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https://sbicaps0-my.sharepoint.com/personal/karan_ved_sbicaps_com/Documents/Karan - Work Files/Karan - Work/ESR/ESR - Nagpur/Suprindustrial Park - SBI Proposal/CMA/"/>
    </mc:Choice>
  </mc:AlternateContent>
  <xr:revisionPtr revIDLastSave="4431" documentId="8_{D7D9E6A9-4AD1-4760-8569-9D111A735681}" xr6:coauthVersionLast="47" xr6:coauthVersionMax="47" xr10:uidLastSave="{C55AA41C-703E-4188-B72C-5C74824CDA6C}"/>
  <bookViews>
    <workbookView xWindow="-108" yWindow="-108" windowWidth="23256" windowHeight="12456" tabRatio="765" firstSheet="7" activeTab="13" xr2:uid="{00000000-000D-0000-FFFF-FFFF00000000}"/>
  </bookViews>
  <sheets>
    <sheet name="Cost &amp; Means" sheetId="26" r:id="rId1"/>
    <sheet name="Assumption Sheet" sheetId="1" r:id="rId2"/>
    <sheet name="Cost Phasing" sheetId="33" r:id="rId3"/>
    <sheet name="Monthly Cashflow" sheetId="19" r:id="rId4"/>
    <sheet name="Quarterly Cashflow" sheetId="41" r:id="rId5"/>
    <sheet name="CF_Debt Schedule" sheetId="20" r:id="rId6"/>
    <sheet name="Quasi Equity_Schedule" sheetId="35" r:id="rId7"/>
    <sheet name="Dep &amp; Tax Schedule" sheetId="22" r:id="rId8"/>
    <sheet name="CF Statement" sheetId="28" r:id="rId9"/>
    <sheet name="P&amp;L Statement" sheetId="32" r:id="rId10"/>
    <sheet name="Balance sheet" sheetId="34" r:id="rId11"/>
    <sheet name="Leasing" sheetId="17" r:id="rId12"/>
    <sheet name="LRD - Combined" sheetId="30" r:id="rId13"/>
    <sheet name="LRD_Phase-wise" sheetId="31" r:id="rId14"/>
    <sheet name="Ratios" sheetId="42" state="hidden" r:id="rId15"/>
    <sheet name="As per Project" sheetId="13" state="veryHidden" r:id="rId16"/>
    <sheet name="As per model" sheetId="14" state="very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a">#REF!</definedName>
    <definedName name="\b">#N/A</definedName>
    <definedName name="\C">#REF!</definedName>
    <definedName name="\F">#REF!</definedName>
    <definedName name="\kl">#REF!</definedName>
    <definedName name="\l">#REF!</definedName>
    <definedName name="\P">#REF!</definedName>
    <definedName name="\Q">#REF!</definedName>
    <definedName name="\r">#REF!</definedName>
    <definedName name="\S">#REF!</definedName>
    <definedName name="\x">#REF!</definedName>
    <definedName name="_">#REF!</definedName>
    <definedName name="__________________A100000">#REF!</definedName>
    <definedName name="__________________A110000">#REF!</definedName>
    <definedName name="__________________A150000">#REF!</definedName>
    <definedName name="__________________A160000">#REF!</definedName>
    <definedName name="__________________A166000">#REF!</definedName>
    <definedName name="__________________A80000">#REF!</definedName>
    <definedName name="__________________A90000">#REF!</definedName>
    <definedName name="_________________A100000">#REF!</definedName>
    <definedName name="_________________A110000">#REF!</definedName>
    <definedName name="_________________A150000">#REF!</definedName>
    <definedName name="_________________A160000">#REF!</definedName>
    <definedName name="_________________A166000">#REF!</definedName>
    <definedName name="_________________A80000">#REF!</definedName>
    <definedName name="_________________A90000">#REF!</definedName>
    <definedName name="________________A100000">#REF!</definedName>
    <definedName name="________________A110000">#REF!</definedName>
    <definedName name="________________A150000">#REF!</definedName>
    <definedName name="________________A160000">#REF!</definedName>
    <definedName name="________________A166000">#REF!</definedName>
    <definedName name="________________A80000">#REF!</definedName>
    <definedName name="________________A90000">#REF!</definedName>
    <definedName name="_______________A100000">#REF!</definedName>
    <definedName name="_______________A110000">#REF!</definedName>
    <definedName name="_______________A150000">#REF!</definedName>
    <definedName name="_______________A160000">#REF!</definedName>
    <definedName name="_______________A166000">#REF!</definedName>
    <definedName name="_______________A80000">#REF!</definedName>
    <definedName name="_______________A90000">#REF!</definedName>
    <definedName name="_______________KC139">#REF!</definedName>
    <definedName name="______________A100000">#REF!</definedName>
    <definedName name="______________A110000">#REF!</definedName>
    <definedName name="______________A150000">#REF!</definedName>
    <definedName name="______________A160000">#REF!</definedName>
    <definedName name="______________A166000">#REF!</definedName>
    <definedName name="______________A80000">#REF!</definedName>
    <definedName name="______________A90000">#REF!</definedName>
    <definedName name="______________can435">43.3</definedName>
    <definedName name="______________KC139">#REF!</definedName>
    <definedName name="_____________A100000">#REF!</definedName>
    <definedName name="_____________A110000">#REF!</definedName>
    <definedName name="_____________A150000">#REF!</definedName>
    <definedName name="_____________A160000">#REF!</definedName>
    <definedName name="_____________A166000">#REF!</definedName>
    <definedName name="_____________A80000">#REF!</definedName>
    <definedName name="_____________A90000">#REF!</definedName>
    <definedName name="_____________can430">40.73</definedName>
    <definedName name="_____________can435">43.3</definedName>
    <definedName name="_____________KC139">#REF!</definedName>
    <definedName name="____________A100000">#REF!</definedName>
    <definedName name="____________A110000">#REF!</definedName>
    <definedName name="____________A150000">#REF!</definedName>
    <definedName name="____________A160000">#REF!</definedName>
    <definedName name="____________A166000">#REF!</definedName>
    <definedName name="____________A80000">#REF!</definedName>
    <definedName name="____________A90000">#REF!</definedName>
    <definedName name="____________can430">40.73</definedName>
    <definedName name="____________can435">43.3</definedName>
    <definedName name="____________dim4">#REF!</definedName>
    <definedName name="____________KC139">#REF!</definedName>
    <definedName name="____________rm4">#REF!</definedName>
    <definedName name="___________A100000">#REF!</definedName>
    <definedName name="___________A110000">#REF!</definedName>
    <definedName name="___________A150000">#REF!</definedName>
    <definedName name="___________A160000">#REF!</definedName>
    <definedName name="___________A166000">#REF!</definedName>
    <definedName name="___________A80000">#REF!</definedName>
    <definedName name="___________A90000">#REF!</definedName>
    <definedName name="___________can430">40.73</definedName>
    <definedName name="___________can435">43.3</definedName>
    <definedName name="___________dim4">#REF!</definedName>
    <definedName name="___________KC139">#REF!</definedName>
    <definedName name="___________rm4">#REF!</definedName>
    <definedName name="__________A100000">#REF!</definedName>
    <definedName name="__________A110000">#REF!</definedName>
    <definedName name="__________A150000">#REF!</definedName>
    <definedName name="__________A160000">#REF!</definedName>
    <definedName name="__________A166000">#REF!</definedName>
    <definedName name="__________A80000">#REF!</definedName>
    <definedName name="__________A90000">#REF!</definedName>
    <definedName name="__________can430">40.73</definedName>
    <definedName name="__________can435">43.3</definedName>
    <definedName name="__________dim4">#REF!</definedName>
    <definedName name="__________KC139">#REF!</definedName>
    <definedName name="__________rm4">#REF!</definedName>
    <definedName name="_________A100000">#REF!</definedName>
    <definedName name="_________A110000">#REF!</definedName>
    <definedName name="_________A150000">#REF!</definedName>
    <definedName name="_________A160000">#REF!</definedName>
    <definedName name="_________A166000">#REF!</definedName>
    <definedName name="_________A80000">#REF!</definedName>
    <definedName name="_________A90000">#REF!</definedName>
    <definedName name="_________can430">40.73</definedName>
    <definedName name="_________can435">43.3</definedName>
    <definedName name="_________dim4">#REF!</definedName>
    <definedName name="_________dim4_16">#REF!</definedName>
    <definedName name="_________dim4_17">#REF!</definedName>
    <definedName name="_________KC139">#REF!</definedName>
    <definedName name="_________loc1">#N/A</definedName>
    <definedName name="_________rm4">#REF!</definedName>
    <definedName name="_________rm4_16">#REF!</definedName>
    <definedName name="_________rm4_17">#REF!</definedName>
    <definedName name="_________xlnm.Print_Area_4">"$#REF!.$A$1:$T$19"</definedName>
    <definedName name="________A100000">#REF!</definedName>
    <definedName name="________A110000">#REF!</definedName>
    <definedName name="________A150000">#REF!</definedName>
    <definedName name="________A160000">#REF!</definedName>
    <definedName name="________A166000">#REF!</definedName>
    <definedName name="________A80000">#REF!</definedName>
    <definedName name="________A90000">#REF!</definedName>
    <definedName name="________can430">40.73</definedName>
    <definedName name="________can435">43.3</definedName>
    <definedName name="________dim4">#REF!</definedName>
    <definedName name="________dim4_16">#REF!</definedName>
    <definedName name="________dim4_17">#REF!</definedName>
    <definedName name="________jj300">#REF!</definedName>
    <definedName name="________KC139">#REF!</definedName>
    <definedName name="________rm4">#REF!</definedName>
    <definedName name="________rm4_16">#REF!</definedName>
    <definedName name="________rm4_17">#REF!</definedName>
    <definedName name="________Sa1">#REF!</definedName>
    <definedName name="________sd1">#REF!</definedName>
    <definedName name="________Sp1">#REF!</definedName>
    <definedName name="________Ss1">#REF!</definedName>
    <definedName name="________vb1">#REF!</definedName>
    <definedName name="________Vs1">#REF!</definedName>
    <definedName name="________xlnm.Print_Area_4">"$#REF!.$A$1:$T$19"</definedName>
    <definedName name="_______A100000">#REF!</definedName>
    <definedName name="_______A110000">#REF!</definedName>
    <definedName name="_______A150000">#REF!</definedName>
    <definedName name="_______A160000">#REF!</definedName>
    <definedName name="_______A166000">#REF!</definedName>
    <definedName name="_______A80000">#REF!</definedName>
    <definedName name="_______A90000">#REF!</definedName>
    <definedName name="_______can430">40.73</definedName>
    <definedName name="_______can435">43.3</definedName>
    <definedName name="_______dim4">#REF!</definedName>
    <definedName name="_______dim4_16">#REF!</definedName>
    <definedName name="_______dim4_17">#REF!</definedName>
    <definedName name="_______KC139">#REF!</definedName>
    <definedName name="_______loc1">#N/A</definedName>
    <definedName name="_______rm4">#REF!</definedName>
    <definedName name="_______rm4_16">#REF!</definedName>
    <definedName name="_______rm4_17">#REF!</definedName>
    <definedName name="_______Sa1">#REF!</definedName>
    <definedName name="_______sd1">#REF!</definedName>
    <definedName name="_______Sp1">#REF!</definedName>
    <definedName name="_______Ss1">#REF!</definedName>
    <definedName name="_______vb1">#REF!</definedName>
    <definedName name="_______Vs1">#REF!</definedName>
    <definedName name="_______xlnm.Print_Area_4">"$#REF!.$A$1:$T$19"</definedName>
    <definedName name="______A100000">#REF!</definedName>
    <definedName name="______A110000">#REF!</definedName>
    <definedName name="______A150000">#REF!</definedName>
    <definedName name="______A160000">#REF!</definedName>
    <definedName name="______A166000">#REF!</definedName>
    <definedName name="______A80000">#REF!</definedName>
    <definedName name="______A90000">#REF!</definedName>
    <definedName name="______dim4">#REF!</definedName>
    <definedName name="______dim4_16">#REF!</definedName>
    <definedName name="______dim4_17">#REF!</definedName>
    <definedName name="______jj300">#REF!</definedName>
    <definedName name="______k8" hidden="1">{#N/A,#N/A,FALSE,"COVER1.XLS ";#N/A,#N/A,FALSE,"RACT1.XLS";#N/A,#N/A,FALSE,"RACT2.XLS";#N/A,#N/A,FALSE,"ECCMP";#N/A,#N/A,FALSE,"WELDER.XLS"}</definedName>
    <definedName name="______KC139">#REF!</definedName>
    <definedName name="______kv2" hidden="1">{#N/A,#N/A,FALSE,"COVER1.XLS ";#N/A,#N/A,FALSE,"RACT1.XLS";#N/A,#N/A,FALSE,"RACT2.XLS";#N/A,#N/A,FALSE,"ECCMP";#N/A,#N/A,FALSE,"WELDER.XLS"}</definedName>
    <definedName name="______kvs1" hidden="1">{#N/A,#N/A,FALSE,"COVER1.XLS ";#N/A,#N/A,FALSE,"RACT1.XLS";#N/A,#N/A,FALSE,"RACT2.XLS";#N/A,#N/A,FALSE,"ECCMP";#N/A,#N/A,FALSE,"WELDER.XLS"}</definedName>
    <definedName name="______kvs2" hidden="1">{#N/A,#N/A,FALSE,"COVER1.XLS ";#N/A,#N/A,FALSE,"RACT1.XLS";#N/A,#N/A,FALSE,"RACT2.XLS";#N/A,#N/A,FALSE,"ECCMP";#N/A,#N/A,FALSE,"WELDER.XLS"}</definedName>
    <definedName name="______kvs5" hidden="1">{#N/A,#N/A,FALSE,"COVER.XLS";#N/A,#N/A,FALSE,"RACT1.XLS";#N/A,#N/A,FALSE,"RACT2.XLS";#N/A,#N/A,FALSE,"ECCMP";#N/A,#N/A,FALSE,"WELDER.XLS"}</definedName>
    <definedName name="______kvs7" hidden="1">{#N/A,#N/A,FALSE,"COVER1.XLS ";#N/A,#N/A,FALSE,"RACT1.XLS";#N/A,#N/A,FALSE,"RACT2.XLS";#N/A,#N/A,FALSE,"ECCMP";#N/A,#N/A,FALSE,"WELDER.XLS"}</definedName>
    <definedName name="______kvs8" hidden="1">{#N/A,#N/A,FALSE,"COVER1.XLS ";#N/A,#N/A,FALSE,"RACT1.XLS";#N/A,#N/A,FALSE,"RACT2.XLS";#N/A,#N/A,FALSE,"ECCMP";#N/A,#N/A,FALSE,"WELDER.XLS"}</definedName>
    <definedName name="______KVS9" hidden="1">{#N/A,#N/A,FALSE,"COVER1.XLS ";#N/A,#N/A,FALSE,"RACT1.XLS";#N/A,#N/A,FALSE,"RACT2.XLS";#N/A,#N/A,FALSE,"ECCMP";#N/A,#N/A,FALSE,"WELDER.XLS"}</definedName>
    <definedName name="_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MN1">#REF!</definedName>
    <definedName name="______q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q2" hidden="1">{#N/A,#N/A,FALSE,"COVER1.XLS ";#N/A,#N/A,FALSE,"RACT1.XLS";#N/A,#N/A,FALSE,"RACT2.XLS";#N/A,#N/A,FALSE,"ECCMP";#N/A,#N/A,FALSE,"WELDER.XLS"}</definedName>
    <definedName name="______q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______rm4">#REF!</definedName>
    <definedName name="______rm4_16">#REF!</definedName>
    <definedName name="______rm4_17">#REF!</definedName>
    <definedName name="______Sa1">#REF!</definedName>
    <definedName name="______sd1">#REF!</definedName>
    <definedName name="______Sp1">#REF!</definedName>
    <definedName name="______Ss1">#REF!</definedName>
    <definedName name="_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_vb1">#REF!</definedName>
    <definedName name="______Vs1">#REF!</definedName>
    <definedName name="______w2" hidden="1">{#N/A,#N/A,FALSE,"17MAY";#N/A,#N/A,FALSE,"24MAY"}</definedName>
    <definedName name="______xlnm.Print_Area_4">"$#REF!.$A$1:$T$19"</definedName>
    <definedName name="_____A100000">#REF!</definedName>
    <definedName name="_____A110000">#REF!</definedName>
    <definedName name="_____A150000">#REF!</definedName>
    <definedName name="_____A160000">#REF!</definedName>
    <definedName name="_____A166000">#REF!</definedName>
    <definedName name="_____a65537">#REF!</definedName>
    <definedName name="_____A65555">#REF!</definedName>
    <definedName name="_____A65658">#REF!</definedName>
    <definedName name="_____A66000">#REF!</definedName>
    <definedName name="_____A80000">#REF!</definedName>
    <definedName name="_____A90000">#REF!</definedName>
    <definedName name="_____A99999">#REF!</definedName>
    <definedName name="_____bol1">#REF!</definedName>
    <definedName name="_____can430">40.73</definedName>
    <definedName name="_____can435">43.3</definedName>
    <definedName name="_____dim4">#REF!</definedName>
    <definedName name="_____dim4_16">#REF!</definedName>
    <definedName name="_____dim4_17">#REF!</definedName>
    <definedName name="_____iv66666">#REF!</definedName>
    <definedName name="_____k8" hidden="1">{#N/A,#N/A,FALSE,"COVER1.XLS ";#N/A,#N/A,FALSE,"RACT1.XLS";#N/A,#N/A,FALSE,"RACT2.XLS";#N/A,#N/A,FALSE,"ECCMP";#N/A,#N/A,FALSE,"WELDER.XLS"}</definedName>
    <definedName name="_____KC139">#REF!</definedName>
    <definedName name="_____kv2" hidden="1">{#N/A,#N/A,FALSE,"COVER1.XLS ";#N/A,#N/A,FALSE,"RACT1.XLS";#N/A,#N/A,FALSE,"RACT2.XLS";#N/A,#N/A,FALSE,"ECCMP";#N/A,#N/A,FALSE,"WELDER.XLS"}</definedName>
    <definedName name="_____kvs1" hidden="1">{#N/A,#N/A,FALSE,"COVER1.XLS ";#N/A,#N/A,FALSE,"RACT1.XLS";#N/A,#N/A,FALSE,"RACT2.XLS";#N/A,#N/A,FALSE,"ECCMP";#N/A,#N/A,FALSE,"WELDER.XLS"}</definedName>
    <definedName name="_____kvs2" hidden="1">{#N/A,#N/A,FALSE,"COVER1.XLS ";#N/A,#N/A,FALSE,"RACT1.XLS";#N/A,#N/A,FALSE,"RACT2.XLS";#N/A,#N/A,FALSE,"ECCMP";#N/A,#N/A,FALSE,"WELDER.XLS"}</definedName>
    <definedName name="_____kvs5" hidden="1">{#N/A,#N/A,FALSE,"COVER.XLS";#N/A,#N/A,FALSE,"RACT1.XLS";#N/A,#N/A,FALSE,"RACT2.XLS";#N/A,#N/A,FALSE,"ECCMP";#N/A,#N/A,FALSE,"WELDER.XLS"}</definedName>
    <definedName name="_____kvs7" hidden="1">{#N/A,#N/A,FALSE,"COVER1.XLS ";#N/A,#N/A,FALSE,"RACT1.XLS";#N/A,#N/A,FALSE,"RACT2.XLS";#N/A,#N/A,FALSE,"ECCMP";#N/A,#N/A,FALSE,"WELDER.XLS"}</definedName>
    <definedName name="_____kvs8" hidden="1">{#N/A,#N/A,FALSE,"COVER1.XLS ";#N/A,#N/A,FALSE,"RACT1.XLS";#N/A,#N/A,FALSE,"RACT2.XLS";#N/A,#N/A,FALSE,"ECCMP";#N/A,#N/A,FALSE,"WELDER.XLS"}</definedName>
    <definedName name="_____KVS9" hidden="1">{#N/A,#N/A,FALSE,"COVER1.XLS ";#N/A,#N/A,FALSE,"RACT1.XLS";#N/A,#N/A,FALSE,"RACT2.XLS";#N/A,#N/A,FALSE,"ECCMP";#N/A,#N/A,FALSE,"WELDER.XLS"}</definedName>
    <definedName name="_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lb1">#REF!</definedName>
    <definedName name="_____lb2">#REF!</definedName>
    <definedName name="_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mm1">#REF!</definedName>
    <definedName name="_____mm2">#REF!</definedName>
    <definedName name="_____mm3">#REF!</definedName>
    <definedName name="_____MN1">#REF!</definedName>
    <definedName name="_____pl1">#REF!</definedName>
    <definedName name="_____Pr1">#REF!</definedName>
    <definedName name="_____pr2">#REF!</definedName>
    <definedName name="_____q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q2" hidden="1">{#N/A,#N/A,FALSE,"COVER1.XLS ";#N/A,#N/A,FALSE,"RACT1.XLS";#N/A,#N/A,FALSE,"RACT2.XLS";#N/A,#N/A,FALSE,"ECCMP";#N/A,#N/A,FALSE,"WELDER.XLS"}</definedName>
    <definedName name="_____q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_____rm4">#REF!</definedName>
    <definedName name="_____rm4_16">#REF!</definedName>
    <definedName name="_____rm4_17">#REF!</definedName>
    <definedName name="_____Sa1">#REF!</definedName>
    <definedName name="_____sd1">#REF!</definedName>
    <definedName name="_____Sp1">#REF!</definedName>
    <definedName name="_____Ss1">#REF!</definedName>
    <definedName name="_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tk1">#REF!</definedName>
    <definedName name="_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_vb1">#REF!</definedName>
    <definedName name="_____Vs1">#REF!</definedName>
    <definedName name="_____w2" hidden="1">{#N/A,#N/A,FALSE,"17MAY";#N/A,#N/A,FALSE,"24MAY"}</definedName>
    <definedName name="_____xlnm.Print_Area_4">"$#REF!.$A$1:$T$19"</definedName>
    <definedName name="____4449_with_attachement">#REF!</definedName>
    <definedName name="____A100000">#REF!</definedName>
    <definedName name="____A110000">#REF!</definedName>
    <definedName name="____A150000">#REF!</definedName>
    <definedName name="____A160000">#REF!</definedName>
    <definedName name="____A166000">#REF!</definedName>
    <definedName name="____A31">#REF!</definedName>
    <definedName name="____a65537">#REF!</definedName>
    <definedName name="____A65555">#REF!</definedName>
    <definedName name="____A65658">#REF!</definedName>
    <definedName name="____A66000">#REF!</definedName>
    <definedName name="____A80000">#REF!</definedName>
    <definedName name="____A90000">#REF!</definedName>
    <definedName name="____A99999">#REF!</definedName>
    <definedName name="____aaa10">#REF!</definedName>
    <definedName name="____aaa5">#REF!</definedName>
    <definedName name="____AAA51">#REF!</definedName>
    <definedName name="____aaa55">#REF!</definedName>
    <definedName name="____AAA6">#REF!</definedName>
    <definedName name="____AAA7">#REF!</definedName>
    <definedName name="____AAD5">#REF!</definedName>
    <definedName name="____aad55">#REF!</definedName>
    <definedName name="____ALT3">#REF!</definedName>
    <definedName name="____bol1">#REF!</definedName>
    <definedName name="____can430">40.73</definedName>
    <definedName name="____can435">43.3</definedName>
    <definedName name="____Ctr10">#REF!</definedName>
    <definedName name="____dim4">#REF!</definedName>
    <definedName name="____dim4_16">#REF!</definedName>
    <definedName name="____dim4_17">#REF!</definedName>
    <definedName name="____exc1">#REF!</definedName>
    <definedName name="____exc11">#REF!</definedName>
    <definedName name="____exc2">#REF!</definedName>
    <definedName name="____EXC3">#REF!</definedName>
    <definedName name="____EXC4">#REF!</definedName>
    <definedName name="____flx200">#REF!</definedName>
    <definedName name="____flx250">#REF!</definedName>
    <definedName name="____flx300">#REF!</definedName>
    <definedName name="____foo1">#REF!</definedName>
    <definedName name="____foo2">#REF!</definedName>
    <definedName name="____foo3">#REF!</definedName>
    <definedName name="____FOO4">#REF!</definedName>
    <definedName name="____iv66666">#REF!</definedName>
    <definedName name="____jj300">#REF!</definedName>
    <definedName name="____k8" hidden="1">{#N/A,#N/A,FALSE,"COVER1.XLS ";#N/A,#N/A,FALSE,"RACT1.XLS";#N/A,#N/A,FALSE,"RACT2.XLS";#N/A,#N/A,FALSE,"ECCMP";#N/A,#N/A,FALSE,"WELDER.XLS"}</definedName>
    <definedName name="____KC139">#REF!</definedName>
    <definedName name="____kv2" hidden="1">{#N/A,#N/A,FALSE,"COVER1.XLS ";#N/A,#N/A,FALSE,"RACT1.XLS";#N/A,#N/A,FALSE,"RACT2.XLS";#N/A,#N/A,FALSE,"ECCMP";#N/A,#N/A,FALSE,"WELDER.XLS"}</definedName>
    <definedName name="____kvs1" hidden="1">{#N/A,#N/A,FALSE,"COVER1.XLS ";#N/A,#N/A,FALSE,"RACT1.XLS";#N/A,#N/A,FALSE,"RACT2.XLS";#N/A,#N/A,FALSE,"ECCMP";#N/A,#N/A,FALSE,"WELDER.XLS"}</definedName>
    <definedName name="____kvs2" hidden="1">{#N/A,#N/A,FALSE,"COVER1.XLS ";#N/A,#N/A,FALSE,"RACT1.XLS";#N/A,#N/A,FALSE,"RACT2.XLS";#N/A,#N/A,FALSE,"ECCMP";#N/A,#N/A,FALSE,"WELDER.XLS"}</definedName>
    <definedName name="____kvs5" hidden="1">{#N/A,#N/A,FALSE,"COVER.XLS";#N/A,#N/A,FALSE,"RACT1.XLS";#N/A,#N/A,FALSE,"RACT2.XLS";#N/A,#N/A,FALSE,"ECCMP";#N/A,#N/A,FALSE,"WELDER.XLS"}</definedName>
    <definedName name="____kvs7" hidden="1">{#N/A,#N/A,FALSE,"COVER1.XLS ";#N/A,#N/A,FALSE,"RACT1.XLS";#N/A,#N/A,FALSE,"RACT2.XLS";#N/A,#N/A,FALSE,"ECCMP";#N/A,#N/A,FALSE,"WELDER.XLS"}</definedName>
    <definedName name="____kvs8" hidden="1">{#N/A,#N/A,FALSE,"COVER1.XLS ";#N/A,#N/A,FALSE,"RACT1.XLS";#N/A,#N/A,FALSE,"RACT2.XLS";#N/A,#N/A,FALSE,"ECCMP";#N/A,#N/A,FALSE,"WELDER.XLS"}</definedName>
    <definedName name="____KVS9" hidden="1">{#N/A,#N/A,FALSE,"COVER1.XLS ";#N/A,#N/A,FALSE,"RACT1.XLS";#N/A,#N/A,FALSE,"RACT2.XLS";#N/A,#N/A,FALSE,"ECCMP";#N/A,#N/A,FALSE,"WELDER.XLS"}</definedName>
    <definedName name="_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b1">#REF!</definedName>
    <definedName name="____lb2">#REF!</definedName>
    <definedName name="_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loc1">#N/A</definedName>
    <definedName name="____mm1">#REF!</definedName>
    <definedName name="____mm2">#REF!</definedName>
    <definedName name="____mm3">#REF!</definedName>
    <definedName name="____MN1">#REF!</definedName>
    <definedName name="____pcc1">#REF!</definedName>
    <definedName name="____pcc2">#REF!</definedName>
    <definedName name="____pcc3">#REF!</definedName>
    <definedName name="____PCC4">#REF!</definedName>
    <definedName name="____pl1">#REF!</definedName>
    <definedName name="____plb1">#REF!</definedName>
    <definedName name="____plb2">#REF!</definedName>
    <definedName name="____plb3">#REF!</definedName>
    <definedName name="____plb4">#REF!</definedName>
    <definedName name="____Pr1">#REF!</definedName>
    <definedName name="____pr2">#REF!</definedName>
    <definedName name="____q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q2" hidden="1">{#N/A,#N/A,FALSE,"COVER1.XLS ";#N/A,#N/A,FALSE,"RACT1.XLS";#N/A,#N/A,FALSE,"RACT2.XLS";#N/A,#N/A,FALSE,"ECCMP";#N/A,#N/A,FALSE,"WELDER.XLS"}</definedName>
    <definedName name="____q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____rm4">#REF!</definedName>
    <definedName name="____rm4_16">#REF!</definedName>
    <definedName name="____rm4_17">#REF!</definedName>
    <definedName name="____Sa1">#REF!</definedName>
    <definedName name="____sd1">#REF!</definedName>
    <definedName name="____sec1">#REF!</definedName>
    <definedName name="____Sec2">#REF!</definedName>
    <definedName name="____sec3">#REF!</definedName>
    <definedName name="____Sec4">#REF!</definedName>
    <definedName name="____sec5">#REF!</definedName>
    <definedName name="____sec6">#REF!</definedName>
    <definedName name="____sec7">#REF!</definedName>
    <definedName name="____sec71">#REF!</definedName>
    <definedName name="____SEC77">#REF!</definedName>
    <definedName name="____sec8">#REF!</definedName>
    <definedName name="____sec81">#REF!</definedName>
    <definedName name="____SEC88">#REF!</definedName>
    <definedName name="____SEC9">#REF!</definedName>
    <definedName name="____SH1">#REF!</definedName>
    <definedName name="____SH2">#REF!</definedName>
    <definedName name="____SH3">#REF!</definedName>
    <definedName name="____SH4">#REF!</definedName>
    <definedName name="____SH5">#REF!</definedName>
    <definedName name="____Sp1">#REF!</definedName>
    <definedName name="____Ss1">#REF!</definedName>
    <definedName name="____STR01">#REF!</definedName>
    <definedName name="____STR02">#REF!</definedName>
    <definedName name="____STR03">#REF!</definedName>
    <definedName name="____STR04">#REF!</definedName>
    <definedName name="____t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tk1">#REF!</definedName>
    <definedName name="_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_vb1">#REF!</definedName>
    <definedName name="____Vs1">#REF!</definedName>
    <definedName name="____w2" hidden="1">{#N/A,#N/A,FALSE,"17MAY";#N/A,#N/A,FALSE,"24MAY"}</definedName>
    <definedName name="____xlnm.Print_Area_10">#REF!</definedName>
    <definedName name="____xlnm.Print_Area_11">#REF!</definedName>
    <definedName name="____xlnm.Print_Area_12">#REF!</definedName>
    <definedName name="____xlnm.Print_Area_13">#REF!</definedName>
    <definedName name="____xlnm.Print_Area_15">#REF!</definedName>
    <definedName name="____xlnm.Print_Area_16">#REF!</definedName>
    <definedName name="____xlnm.Print_Area_3">#REF!</definedName>
    <definedName name="____xlnm.Print_Area_4">"$#REF!.$A$1:$T$19"</definedName>
    <definedName name="____xlnm.Print_Area_5">#REF!</definedName>
    <definedName name="____xlnm.Print_Area_6">#REF!</definedName>
    <definedName name="____xlnm.Print_Area_7">#REF!</definedName>
    <definedName name="____xlnm.Print_Area_8">#REF!</definedName>
    <definedName name="____xlnm.Print_Area_9">#REF!</definedName>
    <definedName name="____xlnm.Print_Titles_10">#REF!</definedName>
    <definedName name="____xlnm.Print_Titles_11">#REF!</definedName>
    <definedName name="____xlnm.Print_Titles_12">#REF!</definedName>
    <definedName name="____xlnm.Print_Titles_13">#REF!</definedName>
    <definedName name="____xlnm.Print_Titles_14">#REF!</definedName>
    <definedName name="____xlnm.Print_Titles_15">#REF!</definedName>
    <definedName name="____xlnm.Print_Titles_16">#REF!</definedName>
    <definedName name="____xlnm.Print_Titles_17">#REF!</definedName>
    <definedName name="____xlnm.Print_Titles_3">#REF!</definedName>
    <definedName name="____xlnm.Print_Titles_4">#REF!</definedName>
    <definedName name="____xlnm.Print_Titles_5">#REF!</definedName>
    <definedName name="____xlnm.Print_Titles_6">#REF!</definedName>
    <definedName name="____xlnm.Print_Titles_7">#REF!</definedName>
    <definedName name="____xlnm.Print_Titles_8">#REF!</definedName>
    <definedName name="____xlnm.Print_Titles_9">#REF!</definedName>
    <definedName name="___4449_with_attachement">#REF!</definedName>
    <definedName name="___a1">#REF!</definedName>
    <definedName name="___A100000">#REF!</definedName>
    <definedName name="___A110000">#REF!</definedName>
    <definedName name="___A150000">#REF!</definedName>
    <definedName name="___A160000">#REF!</definedName>
    <definedName name="___A166000">#REF!</definedName>
    <definedName name="___A31">#REF!</definedName>
    <definedName name="___a65537">#REF!</definedName>
    <definedName name="___A65555">#REF!</definedName>
    <definedName name="___A65658">#REF!</definedName>
    <definedName name="___A65800">#REF!</definedName>
    <definedName name="___A66000">#REF!</definedName>
    <definedName name="___A70000">#REF!</definedName>
    <definedName name="___A80000">#REF!</definedName>
    <definedName name="___A90000">#REF!</definedName>
    <definedName name="___A99999">#REF!</definedName>
    <definedName name="___A999999">#REF!</definedName>
    <definedName name="___AA1">#REF!</definedName>
    <definedName name="___aaa10">#REF!</definedName>
    <definedName name="___aaa5">#REF!</definedName>
    <definedName name="___AAA51">#REF!</definedName>
    <definedName name="___aaa55">#REF!</definedName>
    <definedName name="___AAA6">#REF!</definedName>
    <definedName name="___AAA7">#REF!</definedName>
    <definedName name="___AAD5">#REF!</definedName>
    <definedName name="___aad55">#REF!</definedName>
    <definedName name="___abs123" localSheetId="5" hidden="1">{#N/A,#N/A,FALSE,"M&amp;B_43A_fab";#N/A,#N/A,FALSE,"M&amp;B_43A_ERE.";#N/A,#N/A,FALSE,"M&amp;B-43A-ALIGN"}</definedName>
    <definedName name="___abs123" localSheetId="0" hidden="1">{#N/A,#N/A,FALSE,"M&amp;B_43A_fab";#N/A,#N/A,FALSE,"M&amp;B_43A_ERE.";#N/A,#N/A,FALSE,"M&amp;B-43A-ALIGN"}</definedName>
    <definedName name="___abs123" hidden="1">{#N/A,#N/A,FALSE,"M&amp;B_43A_fab";#N/A,#N/A,FALSE,"M&amp;B_43A_ERE.";#N/A,#N/A,FALSE,"M&amp;B-43A-ALIGN"}</definedName>
    <definedName name="___ABS2" localSheetId="5" hidden="1">{#N/A,#N/A,FALSE,"M&amp;B_43A_fab";#N/A,#N/A,FALSE,"M&amp;B_43A_ERE.";#N/A,#N/A,FALSE,"M&amp;B-43A-ALIGN"}</definedName>
    <definedName name="___ABS2" localSheetId="0" hidden="1">{#N/A,#N/A,FALSE,"M&amp;B_43A_fab";#N/A,#N/A,FALSE,"M&amp;B_43A_ERE.";#N/A,#N/A,FALSE,"M&amp;B-43A-ALIGN"}</definedName>
    <definedName name="___ABS2" hidden="1">{#N/A,#N/A,FALSE,"M&amp;B_43A_fab";#N/A,#N/A,FALSE,"M&amp;B_43A_ERE.";#N/A,#N/A,FALSE,"M&amp;B-43A-ALIGN"}</definedName>
    <definedName name="___alt1">#REF!</definedName>
    <definedName name="___ALT2">#REF!</definedName>
    <definedName name="___ALT3">#REF!</definedName>
    <definedName name="___ALT4">#REF!</definedName>
    <definedName name="___b201185">#REF!</definedName>
    <definedName name="___bol1">#REF!</definedName>
    <definedName name="___can430">40.73</definedName>
    <definedName name="___can435">43.3</definedName>
    <definedName name="___Ctr10">#REF!</definedName>
    <definedName name="___dim4">#REF!</definedName>
    <definedName name="___dim4_16">#REF!</definedName>
    <definedName name="___dim4_17">#REF!</definedName>
    <definedName name="___Eg616103">#REF!</definedName>
    <definedName name="___exc1">#REF!</definedName>
    <definedName name="___exc11">#REF!</definedName>
    <definedName name="___exc2">#REF!</definedName>
    <definedName name="___EXC3">#REF!</definedName>
    <definedName name="___EXC4">#REF!</definedName>
    <definedName name="___fco2" hidden="1">{#N/A,#N/A,FALSE,"gc (2)"}</definedName>
    <definedName name="___flx200">#REF!</definedName>
    <definedName name="___flx250">#REF!</definedName>
    <definedName name="___flx300">#REF!</definedName>
    <definedName name="___foo1">#REF!</definedName>
    <definedName name="___foo2">#REF!</definedName>
    <definedName name="___foo3">#REF!</definedName>
    <definedName name="___FOO4">#REF!</definedName>
    <definedName name="___hp10" localSheetId="5" hidden="1">{#N/A,#N/A,TRUE,"Front";#N/A,#N/A,TRUE,"Simple Letter";#N/A,#N/A,TRUE,"Inside";#N/A,#N/A,TRUE,"Contents";#N/A,#N/A,TRUE,"Basis";#N/A,#N/A,TRUE,"Inclusions";#N/A,#N/A,TRUE,"Exclusions";#N/A,#N/A,TRUE,"Areas";#N/A,#N/A,TRUE,"Summary";#N/A,#N/A,TRUE,"Detail"}</definedName>
    <definedName name="___hp10" localSheetId="0" hidden="1">{#N/A,#N/A,TRUE,"Front";#N/A,#N/A,TRUE,"Simple Letter";#N/A,#N/A,TRUE,"Inside";#N/A,#N/A,TRUE,"Contents";#N/A,#N/A,TRUE,"Basis";#N/A,#N/A,TRUE,"Inclusions";#N/A,#N/A,TRUE,"Exclusions";#N/A,#N/A,TRUE,"Areas";#N/A,#N/A,TRUE,"Summary";#N/A,#N/A,TRUE,"Detail"}</definedName>
    <definedName name="___hp10" hidden="1">{#N/A,#N/A,TRUE,"Front";#N/A,#N/A,TRUE,"Simple Letter";#N/A,#N/A,TRUE,"Inside";#N/A,#N/A,TRUE,"Contents";#N/A,#N/A,TRUE,"Basis";#N/A,#N/A,TRUE,"Inclusions";#N/A,#N/A,TRUE,"Exclusions";#N/A,#N/A,TRUE,"Areas";#N/A,#N/A,TRUE,"Summary";#N/A,#N/A,TRUE,"Detail"}</definedName>
    <definedName name="___iv66666">#REF!</definedName>
    <definedName name="___jj300">#REF!</definedName>
    <definedName name="___k8" hidden="1">{#N/A,#N/A,FALSE,"COVER1.XLS ";#N/A,#N/A,FALSE,"RACT1.XLS";#N/A,#N/A,FALSE,"RACT2.XLS";#N/A,#N/A,FALSE,"ECCMP";#N/A,#N/A,FALSE,"WELDER.XLS"}</definedName>
    <definedName name="___KC139">#REF!</definedName>
    <definedName name="___key2" hidden="1">#REF!</definedName>
    <definedName name="___kv2" hidden="1">{#N/A,#N/A,FALSE,"COVER1.XLS ";#N/A,#N/A,FALSE,"RACT1.XLS";#N/A,#N/A,FALSE,"RACT2.XLS";#N/A,#N/A,FALSE,"ECCMP";#N/A,#N/A,FALSE,"WELDER.XLS"}</definedName>
    <definedName name="___kvs1" hidden="1">{#N/A,#N/A,FALSE,"COVER1.XLS ";#N/A,#N/A,FALSE,"RACT1.XLS";#N/A,#N/A,FALSE,"RACT2.XLS";#N/A,#N/A,FALSE,"ECCMP";#N/A,#N/A,FALSE,"WELDER.XLS"}</definedName>
    <definedName name="___kvs2" hidden="1">{#N/A,#N/A,FALSE,"COVER1.XLS ";#N/A,#N/A,FALSE,"RACT1.XLS";#N/A,#N/A,FALSE,"RACT2.XLS";#N/A,#N/A,FALSE,"ECCMP";#N/A,#N/A,FALSE,"WELDER.XLS"}</definedName>
    <definedName name="___kvs5" hidden="1">{#N/A,#N/A,FALSE,"COVER.XLS";#N/A,#N/A,FALSE,"RACT1.XLS";#N/A,#N/A,FALSE,"RACT2.XLS";#N/A,#N/A,FALSE,"ECCMP";#N/A,#N/A,FALSE,"WELDER.XLS"}</definedName>
    <definedName name="___kvs7" hidden="1">{#N/A,#N/A,FALSE,"COVER1.XLS ";#N/A,#N/A,FALSE,"RACT1.XLS";#N/A,#N/A,FALSE,"RACT2.XLS";#N/A,#N/A,FALSE,"ECCMP";#N/A,#N/A,FALSE,"WELDER.XLS"}</definedName>
    <definedName name="___kvs8" hidden="1">{#N/A,#N/A,FALSE,"COVER1.XLS ";#N/A,#N/A,FALSE,"RACT1.XLS";#N/A,#N/A,FALSE,"RACT2.XLS";#N/A,#N/A,FALSE,"ECCMP";#N/A,#N/A,FALSE,"WELDER.XLS"}</definedName>
    <definedName name="___KVS9" hidden="1">{#N/A,#N/A,FALSE,"COVER1.XLS ";#N/A,#N/A,FALSE,"RACT1.XLS";#N/A,#N/A,FALSE,"RACT2.XLS";#N/A,#N/A,FALSE,"ECCMP";#N/A,#N/A,FALSE,"WELDER.XLS"}</definedName>
    <definedName name="__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b1">#REF!</definedName>
    <definedName name="___lb2">#REF!</definedName>
    <definedName name="__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loc1">#N/A</definedName>
    <definedName name="___mm1">#REF!</definedName>
    <definedName name="___mm2">#REF!</definedName>
    <definedName name="___mm3">#REF!</definedName>
    <definedName name="___MN1">#REF!</definedName>
    <definedName name="___pcc1">#REF!</definedName>
    <definedName name="___pcc2">#REF!</definedName>
    <definedName name="___pcc3">#REF!</definedName>
    <definedName name="___PCC4">#REF!</definedName>
    <definedName name="___pl1">#REF!</definedName>
    <definedName name="___plb1">#REF!</definedName>
    <definedName name="___plb2">#REF!</definedName>
    <definedName name="___plb3">#REF!</definedName>
    <definedName name="___plb4">#REF!</definedName>
    <definedName name="___Pr1">#REF!</definedName>
    <definedName name="___pr2">#REF!</definedName>
    <definedName name="___q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q2" hidden="1">{#N/A,#N/A,FALSE,"COVER1.XLS ";#N/A,#N/A,FALSE,"RACT1.XLS";#N/A,#N/A,FALSE,"RACT2.XLS";#N/A,#N/A,FALSE,"ECCMP";#N/A,#N/A,FALSE,"WELDER.XLS"}</definedName>
    <definedName name="___q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___ram1" hidden="1">{#N/A,#N/A,FALSE,"gc (2)"}</definedName>
    <definedName name="___rim4">#REF!</definedName>
    <definedName name="___rm4">#REF!</definedName>
    <definedName name="___rm4_16">#REF!</definedName>
    <definedName name="___rm4_17">#REF!</definedName>
    <definedName name="___Sa1">#REF!</definedName>
    <definedName name="___sd1">#REF!</definedName>
    <definedName name="___sec1">#REF!</definedName>
    <definedName name="___Sec2">#REF!</definedName>
    <definedName name="___sec3">#REF!</definedName>
    <definedName name="___Sec4">#REF!</definedName>
    <definedName name="___sec5">#REF!</definedName>
    <definedName name="___sec6">#REF!</definedName>
    <definedName name="___sec7">#REF!</definedName>
    <definedName name="___sec71">#REF!</definedName>
    <definedName name="___SEC77">#REF!</definedName>
    <definedName name="___sec8">#REF!</definedName>
    <definedName name="___sec81">#REF!</definedName>
    <definedName name="___SEC88">#REF!</definedName>
    <definedName name="___SEC9">#REF!</definedName>
    <definedName name="___SH1">#REF!</definedName>
    <definedName name="___SH2">#REF!</definedName>
    <definedName name="___SH3">#REF!</definedName>
    <definedName name="___SH4">#REF!</definedName>
    <definedName name="___SH5">#REF!</definedName>
    <definedName name="___Sp1">#REF!</definedName>
    <definedName name="___Ss1">#REF!</definedName>
    <definedName name="___sti02" hidden="1">{#N/A,#N/A,FALSE,"gc (2)"}</definedName>
    <definedName name="___STR01">#REF!</definedName>
    <definedName name="___STR02">#REF!</definedName>
    <definedName name="___STR03">#REF!</definedName>
    <definedName name="___STR04">#REF!</definedName>
    <definedName name="___sum010">#REF!</definedName>
    <definedName name="___sum020">#REF!</definedName>
    <definedName name="___sum120">#REF!</definedName>
    <definedName name="___sum140">#REF!</definedName>
    <definedName name="___SUM200">#REF!</definedName>
    <definedName name="___SUM400">#REF!</definedName>
    <definedName name="___SUM410">#REF!</definedName>
    <definedName name="___SUM420">#REF!</definedName>
    <definedName name="___SUM440">#REF!</definedName>
    <definedName name="___SUM460">#REF!</definedName>
    <definedName name="___SUM480">#REF!</definedName>
    <definedName name="___SUM500">#REF!</definedName>
    <definedName name="___SUM510">#REF!</definedName>
    <definedName name="___SUM530">#REF!</definedName>
    <definedName name="___SUM540">#REF!</definedName>
    <definedName name="___SUM560">#REF!</definedName>
    <definedName name="___SUM570">#REF!</definedName>
    <definedName name="___SUM580">#REF!</definedName>
    <definedName name="___SUM590">#REF!</definedName>
    <definedName name="___SUM700">#REF!</definedName>
    <definedName name="___SUM701">#REF!</definedName>
    <definedName name="___SUM702">#REF!</definedName>
    <definedName name="___SUM703">#REF!</definedName>
    <definedName name="___SUM704">#REF!</definedName>
    <definedName name="___sum770">#REF!</definedName>
    <definedName name="___SUM800">#REF!</definedName>
    <definedName name="___sum900">#REF!</definedName>
    <definedName name="___SUM901">#REF!</definedName>
    <definedName name="___SUM902">#REF!</definedName>
    <definedName name="___SUM903">#REF!</definedName>
    <definedName name="___SUM904">#REF!</definedName>
    <definedName name="__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_ta1" hidden="1">{#N/A,#N/A,TRUE,"Financials";#N/A,#N/A,TRUE,"Operating Statistics";#N/A,#N/A,TRUE,"Capex &amp; Depreciation";#N/A,#N/A,TRUE,"Debt"}</definedName>
    <definedName name="___tb1" hidden="1">{#N/A,#N/A,FALSE,"One Pager";#N/A,#N/A,FALSE,"Technical"}</definedName>
    <definedName name="___tk1">#REF!</definedName>
    <definedName name="__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__vb1">#REF!</definedName>
    <definedName name="___Vs1">#REF!</definedName>
    <definedName name="___w2" hidden="1">{#N/A,#N/A,FALSE,"17MAY";#N/A,#N/A,FALSE,"24MAY"}</definedName>
    <definedName name="___xlfn.BAHTTEXT" hidden="1">#NAME?</definedName>
    <definedName name="___xlnm.Print_Area_10">#REF!</definedName>
    <definedName name="___xlnm.Print_Area_11">#REF!</definedName>
    <definedName name="___xlnm.Print_Area_12">#REF!</definedName>
    <definedName name="___xlnm.Print_Area_13">#REF!</definedName>
    <definedName name="___xlnm.Print_Area_15">#REF!</definedName>
    <definedName name="___xlnm.Print_Area_16">#REF!</definedName>
    <definedName name="___xlnm.Print_Area_3">#REF!</definedName>
    <definedName name="___xlnm.Print_Area_4">"$#REF!.$A$1:$T$19"</definedName>
    <definedName name="___xlnm.Print_Area_5">#REF!</definedName>
    <definedName name="___xlnm.Print_Area_6">#REF!</definedName>
    <definedName name="___xlnm.Print_Area_7">#REF!</definedName>
    <definedName name="___xlnm.Print_Area_8">#REF!</definedName>
    <definedName name="___xlnm.Print_Area_9">#REF!</definedName>
    <definedName name="___xlnm.Print_Titles_10">#REF!</definedName>
    <definedName name="___xlnm.Print_Titles_11">#REF!</definedName>
    <definedName name="___xlnm.Print_Titles_12">#REF!</definedName>
    <definedName name="___xlnm.Print_Titles_13">#REF!</definedName>
    <definedName name="___xlnm.Print_Titles_14">#REF!</definedName>
    <definedName name="___xlnm.Print_Titles_15">#REF!</definedName>
    <definedName name="___xlnm.Print_Titles_16">#REF!</definedName>
    <definedName name="___xlnm.Print_Titles_17">#REF!</definedName>
    <definedName name="___xlnm.Print_Titles_3">#REF!</definedName>
    <definedName name="___xlnm.Print_Titles_4">#REF!</definedName>
    <definedName name="___xlnm.Print_Titles_5">#REF!</definedName>
    <definedName name="___xlnm.Print_Titles_6">#REF!</definedName>
    <definedName name="___xlnm.Print_Titles_7">#REF!</definedName>
    <definedName name="___xlnm.Print_Titles_8">#REF!</definedName>
    <definedName name="___xlnm.Print_Titles_9">#REF!</definedName>
    <definedName name="___zz93">#REF!</definedName>
    <definedName name="__1_">#REF!</definedName>
    <definedName name="__123Graph_A" hidden="1">[1]MAYO98!$AS$266:$AS$271</definedName>
    <definedName name="__123Graph_ACHART1" hidden="1">'[2]BS '!#REF!</definedName>
    <definedName name="__123Graph_AChart2" hidden="1">#REF!</definedName>
    <definedName name="__123Graph_AChart3" hidden="1">#REF!</definedName>
    <definedName name="__123Graph_AChart4" hidden="1">#REF!</definedName>
    <definedName name="__123Graph_AChart5" hidden="1">#REF!</definedName>
    <definedName name="__123Graph_AChart6" hidden="1">#REF!</definedName>
    <definedName name="__123Graph_AChart7" hidden="1">#REF!</definedName>
    <definedName name="__123Graph_AChart8" hidden="1">#REF!</definedName>
    <definedName name="__123Graph_ACUMMTHSALES" hidden="1">[3]IIb!#REF!</definedName>
    <definedName name="__123Graph_ACURRENT" hidden="1">'[2]BS '!#REF!</definedName>
    <definedName name="__123Graph_AIncome" hidden="1">#REF!</definedName>
    <definedName name="__123Graph_AMTHSALES" hidden="1">[3]IIb!#REF!</definedName>
    <definedName name="__123Graph_API" hidden="1">'[4]Statutory Condensed Results'!#REF!</definedName>
    <definedName name="__123Graph_ARELACUIN" hidden="1">[1]MAYO98!$AS$266:$AS$271</definedName>
    <definedName name="__123Graph_ARELTACUM.PIC" hidden="1">[1]MAYO98!$AS$266:$AS$271</definedName>
    <definedName name="__123Graph_ASummary" hidden="1">#REF!</definedName>
    <definedName name="__123Graph_ATOTTOVER" hidden="1">'[5]P&amp;L'!#REF!</definedName>
    <definedName name="__123Graph_ATRAIN" hidden="1">#REF!</definedName>
    <definedName name="__123Graph_AWEEKSALES" hidden="1">[3]IIb!#REF!</definedName>
    <definedName name="__123Graph_B" hidden="1">[1]MAYO98!$AT$266:$AT$271</definedName>
    <definedName name="__123Graph_BCUMMTHSALES" hidden="1">[3]IIb!#REF!</definedName>
    <definedName name="__123Graph_BCURRENT" hidden="1">[6]EXPENSES!#REF!</definedName>
    <definedName name="__123Graph_BIncome" hidden="1">#REF!</definedName>
    <definedName name="__123Graph_BMTHSALES" hidden="1">[3]IIb!#REF!</definedName>
    <definedName name="__123Graph_BPI" hidden="1">'[4]Statutory Condensed Results'!#REF!</definedName>
    <definedName name="__123Graph_BRELACUIN" hidden="1">[1]MAYO98!$AT$266:$AT$271</definedName>
    <definedName name="__123Graph_BRELTACUM.PIC" hidden="1">[1]MAYO98!$AT$266:$AT$271</definedName>
    <definedName name="__123Graph_BSummary" hidden="1">#REF!</definedName>
    <definedName name="__123Graph_BTRAIN" hidden="1">#REF!</definedName>
    <definedName name="__123Graph_BTRENDS" hidden="1">'[5]P&amp;L'!#REF!</definedName>
    <definedName name="__123Graph_BWEEKSALES" hidden="1">[3]IIb!#REF!</definedName>
    <definedName name="__123Graph_C" hidden="1">[1]MAYO98!$AU$266:$AU$271</definedName>
    <definedName name="__123Graph_CCUMMTHSALES" hidden="1">[3]IIb!#REF!</definedName>
    <definedName name="__123Graph_CCURRENT" hidden="1">[6]EXPENSES!#REF!</definedName>
    <definedName name="__123Graph_CMTHSALES" hidden="1">[3]IIb!#REF!</definedName>
    <definedName name="__123Graph_CRELACUIN" hidden="1">[1]MAYO98!$AU$266:$AU$271</definedName>
    <definedName name="__123Graph_CRELTACUM.PIC" hidden="1">[1]MAYO98!$AU$266:$AU$271</definedName>
    <definedName name="__123Graph_CTRAIN" hidden="1">#REF!</definedName>
    <definedName name="__123Graph_CTRENDS" hidden="1">'[5]P&amp;L'!#REF!</definedName>
    <definedName name="__123Graph_D" hidden="1">[1]MAYO98!$AV$266:$AV$271</definedName>
    <definedName name="__123Graph_DChart1" hidden="1">'[4]Statutory P&amp;L'!#REF!</definedName>
    <definedName name="__123Graph_DCUMMTHSALES" hidden="1">[3]IIb!#REF!</definedName>
    <definedName name="__123Graph_DCURRENT" hidden="1">[6]EXPENSES!#REF!</definedName>
    <definedName name="__123Graph_DMTHSALES" hidden="1">[3]IIb!#REF!</definedName>
    <definedName name="__123Graph_DRELACUIN" hidden="1">[1]MAYO98!$AV$266:$AV$271</definedName>
    <definedName name="__123Graph_DRELTACUM.PIC" hidden="1">[1]MAYO98!$AV$266:$AV$271</definedName>
    <definedName name="__123Graph_DTRAIN" hidden="1">#REF!</definedName>
    <definedName name="__123Graph_DTRENDS" hidden="1">'[5]P&amp;L'!#REF!</definedName>
    <definedName name="__123Graph_E" hidden="1">'[7]BALANCE SHEET'!$L$58:$L$67</definedName>
    <definedName name="__123Graph_EChart1" hidden="1">'[4]Statutory P&amp;L'!#REF!</definedName>
    <definedName name="__123Graph_ECUMMTHSALES" hidden="1">[3]IIb!#REF!</definedName>
    <definedName name="__123Graph_ECURRENT" hidden="1">[6]EXPENSES!#REF!</definedName>
    <definedName name="__123Graph_EMTHSALES" hidden="1">[3]IIb!#REF!</definedName>
    <definedName name="__123Graph_ETRAIN" hidden="1">#REF!</definedName>
    <definedName name="__123Graph_ETRENDS" hidden="1">'[5]P&amp;L'!#REF!</definedName>
    <definedName name="__123Graph_F" hidden="1">'[7]BALANCE SHEET'!$M$58:$M$67</definedName>
    <definedName name="__123Graph_FChart1" hidden="1">'[4]Statutory P&amp;L'!#REF!</definedName>
    <definedName name="__123Graph_FCUMMTHSALES" hidden="1">[3]IIb!#REF!</definedName>
    <definedName name="__123Graph_FCurrent" hidden="1">'[4]Statutory P&amp;L'!#REF!</definedName>
    <definedName name="__123Graph_FMTHSALES" hidden="1">[3]IIb!#REF!</definedName>
    <definedName name="__123Graph_FOHEAD" hidden="1">'[5]P&amp;L'!#REF!</definedName>
    <definedName name="__123Graph_FWEEKSALES" hidden="1">[3]IIb!#REF!</definedName>
    <definedName name="__123Graph_LBL_ALNTYPE" hidden="1">'[8]Key Ratios'!#REF!</definedName>
    <definedName name="__123Graph_LBL_BLNTYPE" hidden="1">'[8]Key Ratios'!#REF!</definedName>
    <definedName name="__123Graph_LBL_CLNTYPE" hidden="1">'[8]Key Ratios'!#REF!</definedName>
    <definedName name="__123Graph_LBL_ELNTYPE" hidden="1">'[8]Key Ratios'!#REF!</definedName>
    <definedName name="__123Graph_X" hidden="1">[1]MAYO98!$AF$266:$AF$271</definedName>
    <definedName name="__123Graph_XCUMMTHSALES" hidden="1">[3]IIb!#REF!</definedName>
    <definedName name="__123Graph_XCurrent" hidden="1">'[9]1201'!#REF!</definedName>
    <definedName name="__123Graph_XIncome" hidden="1">#REF!</definedName>
    <definedName name="__123Graph_XMTHSALES" hidden="1">[3]IIb!#REF!</definedName>
    <definedName name="__123Graph_XOHEAD" hidden="1">'[5]P&amp;L'!#REF!</definedName>
    <definedName name="__123Graph_XPI" hidden="1">'[4]Statutory Condensed Results'!#REF!</definedName>
    <definedName name="__123Graph_XRELACUIN" hidden="1">[1]MAYO98!$AF$266:$AF$271</definedName>
    <definedName name="__123Graph_XRELTACUM.PIC" hidden="1">[1]MAYO98!$AF$266:$AF$271</definedName>
    <definedName name="__123Graph_XTOTTOVER" hidden="1">'[5]P&amp;L'!#REF!</definedName>
    <definedName name="__123Graph_XTRAIN" hidden="1">#REF!</definedName>
    <definedName name="__123Graph_XTRENDS" hidden="1">'[5]P&amp;L'!#REF!</definedName>
    <definedName name="__123Graph_XWEEKSALES" hidden="1">[3]IIb!#REF!</definedName>
    <definedName name="__4449_with_attachement">#REF!</definedName>
    <definedName name="__a1">#REF!</definedName>
    <definedName name="__A100000">#REF!</definedName>
    <definedName name="__A110000">#REF!</definedName>
    <definedName name="__A150000">#REF!</definedName>
    <definedName name="__A160000">#REF!</definedName>
    <definedName name="__A166000">#REF!</definedName>
    <definedName name="__A31">#REF!</definedName>
    <definedName name="__a65537">#REF!</definedName>
    <definedName name="__A65555">#REF!</definedName>
    <definedName name="__A65658">#REF!</definedName>
    <definedName name="__A65800">#REF!</definedName>
    <definedName name="__A66000">#REF!</definedName>
    <definedName name="__A70000">#REF!</definedName>
    <definedName name="__A80000">#REF!</definedName>
    <definedName name="__A90000">#REF!</definedName>
    <definedName name="__A99999">#REF!</definedName>
    <definedName name="__A999999">#REF!</definedName>
    <definedName name="__AA1">#REF!</definedName>
    <definedName name="__aaa10">#REF!</definedName>
    <definedName name="__aaa5">#REF!</definedName>
    <definedName name="__AAA51">#REF!</definedName>
    <definedName name="__aaa55">#REF!</definedName>
    <definedName name="__AAA6">#REF!</definedName>
    <definedName name="__AAA7">#REF!</definedName>
    <definedName name="__AAD5">#REF!</definedName>
    <definedName name="__aad55">#REF!</definedName>
    <definedName name="__Actuals_for_total_of_12_Time_selections_Ledger_1" hidden="1">[10]pcQueryData!$A$4</definedName>
    <definedName name="__alt1">#REF!</definedName>
    <definedName name="__ALT2">#REF!</definedName>
    <definedName name="__ALT3">#REF!</definedName>
    <definedName name="__ALT4">#REF!</definedName>
    <definedName name="__b111121">#REF!</definedName>
    <definedName name="__b201185">#REF!</definedName>
    <definedName name="__bol1">#REF!</definedName>
    <definedName name="__can430">40.73</definedName>
    <definedName name="__can435">43.3</definedName>
    <definedName name="__cat12" hidden="1">{#N/A,#N/A,TRUE,"Front";#N/A,#N/A,TRUE,"Simple Letter";#N/A,#N/A,TRUE,"Inside";#N/A,#N/A,TRUE,"Contents";#N/A,#N/A,TRUE,"Basis";#N/A,#N/A,TRUE,"Inclusions";#N/A,#N/A,TRUE,"Exclusions";#N/A,#N/A,TRUE,"Areas";#N/A,#N/A,TRUE,"Summary";#N/A,#N/A,TRUE,"Detail"}</definedName>
    <definedName name="__cat123">#N/A</definedName>
    <definedName name="__Ctr10">#REF!</definedName>
    <definedName name="__D1112" hidden="1">{"'照明目录'!$A$1:$H$31"}</definedName>
    <definedName name="__df1" localSheetId="5" hidden="1">{#N/A,#N/A,FALSE,"Calc";#N/A,#N/A,FALSE,"Sensitivity";#N/A,#N/A,FALSE,"LT Earn.Dil.";#N/A,#N/A,FALSE,"Dil. AVP"}</definedName>
    <definedName name="__df1" localSheetId="0" hidden="1">{#N/A,#N/A,FALSE,"Calc";#N/A,#N/A,FALSE,"Sensitivity";#N/A,#N/A,FALSE,"LT Earn.Dil.";#N/A,#N/A,FALSE,"Dil. AVP"}</definedName>
    <definedName name="__df1" hidden="1">{#N/A,#N/A,FALSE,"Calc";#N/A,#N/A,FALSE,"Sensitivity";#N/A,#N/A,FALSE,"LT Earn.Dil.";#N/A,#N/A,FALSE,"Dil. AVP"}</definedName>
    <definedName name="__df2" localSheetId="5" hidden="1">{#N/A,#N/A,FALSE,"Calc";#N/A,#N/A,FALSE,"Sensitivity";#N/A,#N/A,FALSE,"LT Earn.Dil.";#N/A,#N/A,FALSE,"Dil. AVP"}</definedName>
    <definedName name="__df2" localSheetId="0" hidden="1">{#N/A,#N/A,FALSE,"Calc";#N/A,#N/A,FALSE,"Sensitivity";#N/A,#N/A,FALSE,"LT Earn.Dil.";#N/A,#N/A,FALSE,"Dil. AVP"}</definedName>
    <definedName name="__df2" hidden="1">{#N/A,#N/A,FALSE,"Calc";#N/A,#N/A,FALSE,"Sensitivity";#N/A,#N/A,FALSE,"LT Earn.Dil.";#N/A,#N/A,FALSE,"Dil. AVP"}</definedName>
    <definedName name="__dim4">#REF!</definedName>
    <definedName name="__dim4_16">#REF!</definedName>
    <definedName name="__dim4_17">#REF!</definedName>
    <definedName name="__EA1116" hidden="1">{"'照明目录'!$A$1:$H$31"}</definedName>
    <definedName name="__EdFJsKAA_3">NA()</definedName>
    <definedName name="__Eg616103">#REF!</definedName>
    <definedName name="__exc1">#REF!</definedName>
    <definedName name="__exc11">#REF!</definedName>
    <definedName name="__exc2">#REF!</definedName>
    <definedName name="__EXC3">#REF!</definedName>
    <definedName name="__EXC4">#REF!</definedName>
    <definedName name="__FDS_HYPERLINK_TOGGLE_STATE__" hidden="1">"ON"</definedName>
    <definedName name="__flx200">#REF!</definedName>
    <definedName name="__flx250">#REF!</definedName>
    <definedName name="__flx300">#REF!</definedName>
    <definedName name="__foo1">#REF!</definedName>
    <definedName name="__foo2">#REF!</definedName>
    <definedName name="__foo3">#REF!</definedName>
    <definedName name="__FOO4">#REF!</definedName>
    <definedName name="__hd1" localSheetId="5" hidden="1">{#N/A,#N/A,FALSE,"Calc";#N/A,#N/A,FALSE,"Sensitivity";#N/A,#N/A,FALSE,"LT Earn.Dil.";#N/A,#N/A,FALSE,"Dil. AVP"}</definedName>
    <definedName name="__hd1" localSheetId="0" hidden="1">{#N/A,#N/A,FALSE,"Calc";#N/A,#N/A,FALSE,"Sensitivity";#N/A,#N/A,FALSE,"LT Earn.Dil.";#N/A,#N/A,FALSE,"Dil. AVP"}</definedName>
    <definedName name="__hd1" hidden="1">{#N/A,#N/A,FALSE,"Calc";#N/A,#N/A,FALSE,"Sensitivity";#N/A,#N/A,FALSE,"LT Earn.Dil.";#N/A,#N/A,FALSE,"Dil. AVP"}</definedName>
    <definedName name="__hd2" localSheetId="5" hidden="1">{#N/A,#N/A,FALSE,"Calc";#N/A,#N/A,FALSE,"Sensitivity";#N/A,#N/A,FALSE,"LT Earn.Dil.";#N/A,#N/A,FALSE,"Dil. AVP"}</definedName>
    <definedName name="__hd2" localSheetId="0" hidden="1">{#N/A,#N/A,FALSE,"Calc";#N/A,#N/A,FALSE,"Sensitivity";#N/A,#N/A,FALSE,"LT Earn.Dil.";#N/A,#N/A,FALSE,"Dil. AVP"}</definedName>
    <definedName name="__hd2" hidden="1">{#N/A,#N/A,FALSE,"Calc";#N/A,#N/A,FALSE,"Sensitivity";#N/A,#N/A,FALSE,"LT Earn.Dil.";#N/A,#N/A,FALSE,"Dil. AVP"}</definedName>
    <definedName name="__hp10" localSheetId="5" hidden="1">{#N/A,#N/A,TRUE,"Front";#N/A,#N/A,TRUE,"Simple Letter";#N/A,#N/A,TRUE,"Inside";#N/A,#N/A,TRUE,"Contents";#N/A,#N/A,TRUE,"Basis";#N/A,#N/A,TRUE,"Inclusions";#N/A,#N/A,TRUE,"Exclusions";#N/A,#N/A,TRUE,"Areas";#N/A,#N/A,TRUE,"Summary";#N/A,#N/A,TRUE,"Detail"}</definedName>
    <definedName name="__hp10" localSheetId="0" hidden="1">{#N/A,#N/A,TRUE,"Front";#N/A,#N/A,TRUE,"Simple Letter";#N/A,#N/A,TRUE,"Inside";#N/A,#N/A,TRUE,"Contents";#N/A,#N/A,TRUE,"Basis";#N/A,#N/A,TRUE,"Inclusions";#N/A,#N/A,TRUE,"Exclusions";#N/A,#N/A,TRUE,"Areas";#N/A,#N/A,TRUE,"Summary";#N/A,#N/A,TRUE,"Detail"}</definedName>
    <definedName name="__hp10" hidden="1">{#N/A,#N/A,TRUE,"Front";#N/A,#N/A,TRUE,"Simple Letter";#N/A,#N/A,TRUE,"Inside";#N/A,#N/A,TRUE,"Contents";#N/A,#N/A,TRUE,"Basis";#N/A,#N/A,TRUE,"Inclusions";#N/A,#N/A,TRUE,"Exclusions";#N/A,#N/A,TRUE,"Areas";#N/A,#N/A,TRUE,"Summary";#N/A,#N/A,TRUE,"Detail"}</definedName>
    <definedName name="__IDC2">#N/A</definedName>
    <definedName name="__IntlFixup" hidden="1">TRUE</definedName>
    <definedName name="__IntlFixupTable" hidden="1">#REF!</definedName>
    <definedName name="__iv66666">#REF!</definedName>
    <definedName name="__jj300">#REF!</definedName>
    <definedName name="__KC139">#REF!</definedName>
    <definedName name="__key1" hidden="1">[11]sheet6!#REF!</definedName>
    <definedName name="__key2" hidden="1">#REF!</definedName>
    <definedName name="__Ki1">#REF!</definedName>
    <definedName name="__Ki2">#REF!</definedName>
    <definedName name="__lb1">#REF!</definedName>
    <definedName name="__lb2">#REF!</definedName>
    <definedName name="__loc1">#N/A</definedName>
    <definedName name="__MAN1">#REF!</definedName>
    <definedName name="__mm1">#REF!</definedName>
    <definedName name="__mm2">#REF!</definedName>
    <definedName name="__mm3">#REF!</definedName>
    <definedName name="__MN1">#REF!</definedName>
    <definedName name="__MR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new1" hidden="1">#REF!</definedName>
    <definedName name="__NS1">#REF!</definedName>
    <definedName name="__NSO2" hidden="1">{"'Sheet1'!$L$16"}</definedName>
    <definedName name="__PB1">#REF!</definedName>
    <definedName name="__pcc1">#REF!</definedName>
    <definedName name="__pcc2">#REF!</definedName>
    <definedName name="__pcc3">#REF!</definedName>
    <definedName name="__PCC4">#REF!</definedName>
    <definedName name="__pl1">#REF!</definedName>
    <definedName name="__plb1">#REF!</definedName>
    <definedName name="__plb2">#REF!</definedName>
    <definedName name="__plb3">#REF!</definedName>
    <definedName name="__plb4">#REF!</definedName>
    <definedName name="__Pr1">#REF!</definedName>
    <definedName name="__pr2">#REF!</definedName>
    <definedName name="__RAN1">#N/A</definedName>
    <definedName name="__rim4">#REF!</definedName>
    <definedName name="__rm4">#REF!</definedName>
    <definedName name="__rm4_16">#REF!</definedName>
    <definedName name="__rm4_17">#REF!</definedName>
    <definedName name="__Sa1">#REF!</definedName>
    <definedName name="__sd1">#REF!</definedName>
    <definedName name="__sec1">#REF!</definedName>
    <definedName name="__Sec2">#REF!</definedName>
    <definedName name="__sec3">#REF!</definedName>
    <definedName name="__Sec4">#REF!</definedName>
    <definedName name="__sec5">#REF!</definedName>
    <definedName name="__sec6">#REF!</definedName>
    <definedName name="__sec7">#REF!</definedName>
    <definedName name="__sec71">#REF!</definedName>
    <definedName name="__SEC77">#REF!</definedName>
    <definedName name="__sec8">#REF!</definedName>
    <definedName name="__sec81">#REF!</definedName>
    <definedName name="__SEC88">#REF!</definedName>
    <definedName name="__SEC9">#REF!</definedName>
    <definedName name="__SH1">#REF!</definedName>
    <definedName name="__SH2">#REF!</definedName>
    <definedName name="__SH3">#REF!</definedName>
    <definedName name="__SH4">#REF!</definedName>
    <definedName name="__SH5">#REF!</definedName>
    <definedName name="__Sp1">#REF!</definedName>
    <definedName name="__Ss1">#REF!</definedName>
    <definedName name="__STR01">#REF!</definedName>
    <definedName name="__STR02">#REF!</definedName>
    <definedName name="__STR03">#REF!</definedName>
    <definedName name="__STR04">#REF!</definedName>
    <definedName name="__sum010">#REF!</definedName>
    <definedName name="__sum020">#REF!</definedName>
    <definedName name="__sum120">#REF!</definedName>
    <definedName name="__sum140">#REF!</definedName>
    <definedName name="__SUM200">#REF!</definedName>
    <definedName name="__SUM400">#REF!</definedName>
    <definedName name="__SUM410">#REF!</definedName>
    <definedName name="__SUM420">#REF!</definedName>
    <definedName name="__SUM440">#REF!</definedName>
    <definedName name="__SUM460">#REF!</definedName>
    <definedName name="__SUM480">#REF!</definedName>
    <definedName name="__SUM500">#REF!</definedName>
    <definedName name="__SUM510">#REF!</definedName>
    <definedName name="__SUM530">#REF!</definedName>
    <definedName name="__SUM540">#REF!</definedName>
    <definedName name="__SUM560">#REF!</definedName>
    <definedName name="__SUM570">#REF!</definedName>
    <definedName name="__SUM580">#REF!</definedName>
    <definedName name="__SUM590">#REF!</definedName>
    <definedName name="__SUM700">#REF!</definedName>
    <definedName name="__SUM701">#REF!</definedName>
    <definedName name="__SUM702">#REF!</definedName>
    <definedName name="__SUM703">#REF!</definedName>
    <definedName name="__SUM704">#REF!</definedName>
    <definedName name="__sum770">#REF!</definedName>
    <definedName name="__SUM800">#REF!</definedName>
    <definedName name="__sum900">#REF!</definedName>
    <definedName name="__SUM901">#REF!</definedName>
    <definedName name="__SUM902">#REF!</definedName>
    <definedName name="__SUM903">#REF!</definedName>
    <definedName name="__SUM904">#REF!</definedName>
    <definedName name="__t1"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1"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2"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2"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_ta1" localSheetId="5" hidden="1">{#N/A,#N/A,TRUE,"Financials";#N/A,#N/A,TRUE,"Operating Statistics";#N/A,#N/A,TRUE,"Capex &amp; Depreciation";#N/A,#N/A,TRUE,"Debt"}</definedName>
    <definedName name="__ta1" localSheetId="0" hidden="1">{#N/A,#N/A,TRUE,"Financials";#N/A,#N/A,TRUE,"Operating Statistics";#N/A,#N/A,TRUE,"Capex &amp; Depreciation";#N/A,#N/A,TRUE,"Debt"}</definedName>
    <definedName name="__ta1" hidden="1">{#N/A,#N/A,TRUE,"Financials";#N/A,#N/A,TRUE,"Operating Statistics";#N/A,#N/A,TRUE,"Capex &amp; Depreciation";#N/A,#N/A,TRUE,"Debt"}</definedName>
    <definedName name="__tb1" localSheetId="5" hidden="1">{#N/A,#N/A,FALSE,"One Pager";#N/A,#N/A,FALSE,"Technical"}</definedName>
    <definedName name="__tb1" localSheetId="0" hidden="1">{#N/A,#N/A,FALSE,"One Pager";#N/A,#N/A,FALSE,"Technical"}</definedName>
    <definedName name="__tb1" hidden="1">{#N/A,#N/A,FALSE,"One Pager";#N/A,#N/A,FALSE,"Technical"}</definedName>
    <definedName name="__tk1">#REF!</definedName>
    <definedName name="__tt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_vb1">#REF!</definedName>
    <definedName name="__Vs1">#REF!</definedName>
    <definedName name="__xlfn.BAHTTEXT" hidden="1">#NAME?</definedName>
    <definedName name="__xlnm.Print_Area_1">"#REF!"</definedName>
    <definedName name="__xlnm.Print_Area_10">#REF!</definedName>
    <definedName name="__xlnm.Print_Area_11">#REF!</definedName>
    <definedName name="__xlnm.Print_Area_12">#REF!</definedName>
    <definedName name="__xlnm.Print_Area_13">#REF!</definedName>
    <definedName name="__xlnm.Print_Area_15">#REF!</definedName>
    <definedName name="__xlnm.Print_Area_16">#REF!</definedName>
    <definedName name="__xlnm.Print_Area_2">#REF!</definedName>
    <definedName name="__xlnm.Print_Area_3">#REF!</definedName>
    <definedName name="__xlnm.Print_Area_4">"$#REF!.$A$1:$T$19"</definedName>
    <definedName name="__xlnm.Print_Area_5">#REF!</definedName>
    <definedName name="__xlnm.Print_Area_6">#REF!</definedName>
    <definedName name="__xlnm.Print_Area_7">#REF!</definedName>
    <definedName name="__xlnm.Print_Area_8">#REF!</definedName>
    <definedName name="__xlnm.Print_Area_9">#REF!</definedName>
    <definedName name="__xlnm.Print_Titles_10">#REF!</definedName>
    <definedName name="__xlnm.Print_Titles_11">#REF!</definedName>
    <definedName name="__xlnm.Print_Titles_12">#REF!</definedName>
    <definedName name="__xlnm.Print_Titles_13">#REF!</definedName>
    <definedName name="__xlnm.Print_Titles_14">#REF!</definedName>
    <definedName name="__xlnm.Print_Titles_15">#REF!</definedName>
    <definedName name="__xlnm.Print_Titles_16">#REF!</definedName>
    <definedName name="__xlnm.Print_Titles_17">#REF!</definedName>
    <definedName name="__xlnm.Print_Titles_2">#REF!</definedName>
    <definedName name="__xlnm.Print_Titles_3">#REF!</definedName>
    <definedName name="__xlnm.Print_Titles_4">#REF!</definedName>
    <definedName name="__xlnm.Print_Titles_5">#REF!</definedName>
    <definedName name="__xlnm.Print_Titles_6">#REF!</definedName>
    <definedName name="__xlnm.Print_Titles_7">#REF!</definedName>
    <definedName name="__xlnm.Print_Titles_8">#REF!</definedName>
    <definedName name="__xlnm.Print_Titles_9">#REF!</definedName>
    <definedName name="__xx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__zz93">#REF!</definedName>
    <definedName name="_0">NA()</definedName>
    <definedName name="_0___0">#REF!</definedName>
    <definedName name="_0_6">NA()</definedName>
    <definedName name="_1_">#REF!</definedName>
    <definedName name="_1__123Graph_AAdmin_Expenses" hidden="1">#REF!</definedName>
    <definedName name="_1__123Graph_ACHART_1" hidden="1">'[5]P&amp;L'!#REF!</definedName>
    <definedName name="_1_a_1">#REF!</definedName>
    <definedName name="_10__123Graph_ACHART_6" hidden="1">'[5]P&amp;L'!#REF!</definedName>
    <definedName name="_1000A01">#N/A</definedName>
    <definedName name="_100SalesMgr_4_1">#REF!</definedName>
    <definedName name="_101saud_4_1">#REF!</definedName>
    <definedName name="_102sauf_4_1">#REF!</definedName>
    <definedName name="_103sauif_4_1">#REF!</definedName>
    <definedName name="_104SelectedLanguage_4_1">#REF!</definedName>
    <definedName name="_105SiteID_4_1">#REF!</definedName>
    <definedName name="_106SiteType_4_1">#REF!</definedName>
    <definedName name="_107SmallProj_4_1">#REF!</definedName>
    <definedName name="_108SmallProj_Text_4_1">#REF!</definedName>
    <definedName name="_109SP1Branch_4_1">#REF!</definedName>
    <definedName name="_10BidClass_4_1">#REF!</definedName>
    <definedName name="_11__123Graph_ACHART_7" hidden="1">'[5]P&amp;L'!#REF!</definedName>
    <definedName name="_110SP1Credit_4_1">#REF!</definedName>
    <definedName name="_111SP1Name_4_1">#REF!</definedName>
    <definedName name="_112SP1Number_4_1">#REF!</definedName>
    <definedName name="_113SP2Branch_4_1">#REF!</definedName>
    <definedName name="_114SP2Credit_4_1">#REF!</definedName>
    <definedName name="_115SP2Name_4_1">#REF!</definedName>
    <definedName name="_116SP2Number_4_1">#REF!</definedName>
    <definedName name="_117SP3Branch_4_1">#REF!</definedName>
    <definedName name="_118SP3Credit_4_1">#REF!</definedName>
    <definedName name="_119SP3Name_4_1">#REF!</definedName>
    <definedName name="_11BidClass_Text_4_1">#REF!</definedName>
    <definedName name="_12__123Graph_ACHART_8" hidden="1">'[5]P&amp;L'!#REF!</definedName>
    <definedName name="_120SP3Number_4_1">#REF!</definedName>
    <definedName name="_121SP4Branch_4_1">#REF!</definedName>
    <definedName name="_122SP4Credit_4_1">#REF!</definedName>
    <definedName name="_123SP4Name_4_1">#REF!</definedName>
    <definedName name="_124SP4Number_4_1">#REF!</definedName>
    <definedName name="_125SP5Branch_4_1">#REF!</definedName>
    <definedName name="_126SP5Credit_4_1">#REF!</definedName>
    <definedName name="_127SP5Name_4_1">#REF!</definedName>
    <definedName name="_128SP5Number_4_1">#REF!</definedName>
    <definedName name="_129SpecClass_4_1">#REF!</definedName>
    <definedName name="_12BillingFreq_4_1">#REF!</definedName>
    <definedName name="_13__123Graph_ACHART_9" hidden="1">'[5]P&amp;L'!#REF!</definedName>
    <definedName name="_130SpecClass_Text_4_1">#REF!</definedName>
    <definedName name="_131SpecEnv1_4_1">#REF!</definedName>
    <definedName name="_132SpecEnv1_Text_4_1">#REF!</definedName>
    <definedName name="_133SpecEnv2_4_1">#REF!</definedName>
    <definedName name="_134SpecEnv2_Text_4_1">#REF!</definedName>
    <definedName name="_135SPLR_4_1">#REF!</definedName>
    <definedName name="_136SrvcCode1_4_1">#REF!</definedName>
    <definedName name="_137SrvcCode1_Text_4_1">#REF!</definedName>
    <definedName name="_138SrvcCode2_4_1">#REF!</definedName>
    <definedName name="_139SrvcCode2_Text_4_1">#REF!</definedName>
    <definedName name="_13BillingTiming_4_1">#REF!</definedName>
    <definedName name="_14__123Graph_BCHART_1" hidden="1">'[5]P&amp;L'!#REF!</definedName>
    <definedName name="_140SrvcCode3_4_1">#REF!</definedName>
    <definedName name="_141SrvcCode3_Text_4_1">#REF!</definedName>
    <definedName name="_142SrvcCode4_4_1">#REF!</definedName>
    <definedName name="_143SrvcCode4_Text_4_1">#REF!</definedName>
    <definedName name="_144SrvcCode5_4_1">#REF!</definedName>
    <definedName name="_145SrvcCode5_Text_4_1">#REF!</definedName>
    <definedName name="_146StartDate_4_1">#REF!</definedName>
    <definedName name="_147swf_4_1">#REF!</definedName>
    <definedName name="_148TierCode_4_1">#REF!</definedName>
    <definedName name="_149TierCode_Text_4_1">#REF!</definedName>
    <definedName name="_14BusType_4_1">#REF!</definedName>
    <definedName name="_15__123Graph_BCHART_10" hidden="1">'[5]P&amp;L'!#REF!</definedName>
    <definedName name="_150vatf_4_1">#REF!</definedName>
    <definedName name="_15BusType_Text_4_1">#REF!</definedName>
    <definedName name="_16__123Graph_BCHART_2" hidden="1">'[5]P&amp;L'!#REF!</definedName>
    <definedName name="_16cab21.5tp_4_1">#REF!</definedName>
    <definedName name="_17__123Graph_BCHART_3" hidden="1">'[5]P&amp;L'!#REF!</definedName>
    <definedName name="_17cab21s_4_1">#REF!</definedName>
    <definedName name="_18__123Graph_BCHART_4" hidden="1">'[5]P&amp;L'!#REF!</definedName>
    <definedName name="_18cab21us_4_1">#REF!</definedName>
    <definedName name="_19__123Graph_BCHART_5" hidden="1">'[5]P&amp;L'!#REF!</definedName>
    <definedName name="_19cab31s_4_1">#REF!</definedName>
    <definedName name="_1acd" hidden="1">#REF!</definedName>
    <definedName name="_1Excel_BuiltIn_Print_Area_1_1_1_1">#REF!</definedName>
    <definedName name="_1ÿ_0Other_Contracted_Servi">[12]IS!#REF!</definedName>
    <definedName name="_2__123Graph_ACHART_10" hidden="1">'[5]P&amp;L'!#REF!</definedName>
    <definedName name="_2__123Graph_AChart_1AJ" hidden="1">#REF!</definedName>
    <definedName name="_2__123Graph_AService_Expense" hidden="1">#REF!</definedName>
    <definedName name="_2_4449_with_attachement">#REF!</definedName>
    <definedName name="_2_a_4_1">#REF!</definedName>
    <definedName name="_20__123Graph_BCHART_6" hidden="1">'[5]P&amp;L'!#REF!</definedName>
    <definedName name="_2001Mth">#REF!</definedName>
    <definedName name="_2002Mth">#REF!</definedName>
    <definedName name="_20cab31us_4_1">#REF!</definedName>
    <definedName name="_21__123Graph_BCHART_7" hidden="1">'[5]P&amp;L'!#REF!</definedName>
    <definedName name="_21cab41s_4_1">#REF!</definedName>
    <definedName name="_22__123Graph_BCHART_8" hidden="1">'[5]P&amp;L'!#REF!</definedName>
    <definedName name="_22cab41us_4_1">#REF!</definedName>
    <definedName name="_23__123Graph_BCHART_9" hidden="1">'[5]P&amp;L'!#REF!</definedName>
    <definedName name="_23cabf_4_1">#REF!</definedName>
    <definedName name="_24__123Graph_CCHART_3" hidden="1">'[5]P&amp;L'!#REF!</definedName>
    <definedName name="_24CABLE_4_1">#REF!</definedName>
    <definedName name="_25__123Graph_CCHART_4" hidden="1">'[5]P&amp;L'!#REF!</definedName>
    <definedName name="_25CALf_4_1">#REF!</definedName>
    <definedName name="_26__123Graph_CCHART_6" hidden="1">'[5]P&amp;L'!#REF!</definedName>
    <definedName name="_26ChangeBy_4_1">#REF!</definedName>
    <definedName name="_27__123Graph_CCHART_7" hidden="1">'[5]P&amp;L'!#REF!</definedName>
    <definedName name="_27ChangeDate_4_1">#REF!</definedName>
    <definedName name="_28__123Graph_CCHART_8" hidden="1">'[5]P&amp;L'!#REF!</definedName>
    <definedName name="_28CompDate_4_1">#REF!</definedName>
    <definedName name="_29__123Graph_CCHART_9" hidden="1">'[5]P&amp;L'!#REF!</definedName>
    <definedName name="_29conf_4_1">#REF!</definedName>
    <definedName name="_2Excel_BuiltIn_Print_Titles_2_1_1">#REF!</definedName>
    <definedName name="_2m_100">#REF!</definedName>
    <definedName name="_2m_150">#REF!</definedName>
    <definedName name="_2m_200">#REF!</definedName>
    <definedName name="_2m_25">#REF!</definedName>
    <definedName name="_2m_250">#REF!</definedName>
    <definedName name="_2m_300">#REF!</definedName>
    <definedName name="_2m_32">#REF!</definedName>
    <definedName name="_2m_40">#REF!</definedName>
    <definedName name="_2m_50">#REF!</definedName>
    <definedName name="_2m_65">#REF!</definedName>
    <definedName name="_2m_80">#REF!</definedName>
    <definedName name="_2ÿ_0Professional_F">[12]IS!#REF!</definedName>
    <definedName name="_3__123Graph_ACHART_12" hidden="1">'[5]P&amp;L'!#REF!</definedName>
    <definedName name="_3__123Graph_AChart_1Q" hidden="1">#REF!</definedName>
    <definedName name="_3__123Graph_BAdmin_Expenses" hidden="1">#REF!</definedName>
    <definedName name="_3_l_1">#REF!</definedName>
    <definedName name="_30__123Graph_DCHART_3" hidden="1">'[5]P&amp;L'!#REF!</definedName>
    <definedName name="_30cd___Horizontal_Strobe_light_speaker__wall_mounted">#REF!</definedName>
    <definedName name="_30cd__Vertical_strobe_light__wall_mounted">#REF!</definedName>
    <definedName name="_30ContAmt_4_1">#REF!</definedName>
    <definedName name="_31__123Graph_DCHART_4" hidden="1">'[5]P&amp;L'!#REF!</definedName>
    <definedName name="_31ContWithAcct_4_1">#REF!</definedName>
    <definedName name="_32__123Graph_DCHART_6" hidden="1">'[5]P&amp;L'!#REF!</definedName>
    <definedName name="_32ContWithName_4_1">#REF!</definedName>
    <definedName name="_33__123Graph_DCHART_7" hidden="1">'[5]P&amp;L'!#REF!</definedName>
    <definedName name="_33ContWithPrio_4_1">#REF!</definedName>
    <definedName name="_34__123Graph_DCHART_8" hidden="1">'[5]P&amp;L'!#REF!</definedName>
    <definedName name="_34ContWithPrio_Text_4_1">#REF!</definedName>
    <definedName name="_35__123Graph_DCHART_9" hidden="1">'[5]P&amp;L'!#REF!</definedName>
    <definedName name="_35CONum_4_1">#REF!</definedName>
    <definedName name="_36__123Graph_XCHART_1" hidden="1">'[5]P&amp;L'!#REF!</definedName>
    <definedName name="_36CorpClient_4_1">#REF!</definedName>
    <definedName name="_37__123Graph_XCHART_10" hidden="1">'[5]P&amp;L'!#REF!</definedName>
    <definedName name="_37CorpClient_Text_4_1">#REF!</definedName>
    <definedName name="_38__123Graph_XCHART_13" hidden="1">'[5]P&amp;L'!#REF!</definedName>
    <definedName name="_38CURR_4_1">#REF!</definedName>
    <definedName name="_39__123Graph_XCHART_14" hidden="1">'[5]P&amp;L'!#REF!</definedName>
    <definedName name="_39CurrencyRate_4_1">#REF!</definedName>
    <definedName name="_3m_100">#REF!</definedName>
    <definedName name="_3m_150">#REF!</definedName>
    <definedName name="_3m_200">#REF!</definedName>
    <definedName name="_3m_25">#REF!</definedName>
    <definedName name="_3m_250">#REF!</definedName>
    <definedName name="_3m_300">#REF!</definedName>
    <definedName name="_3m_32">#REF!</definedName>
    <definedName name="_3m_40">#REF!</definedName>
    <definedName name="_3m_50">#REF!</definedName>
    <definedName name="_3m_65">#REF!</definedName>
    <definedName name="_3m_80">#REF!</definedName>
    <definedName name="_3ÿ__Other_Contracted_Servi">[13]IS!#REF!</definedName>
    <definedName name="_4__123Graph_ACHART_13" hidden="1">'[5]P&amp;L'!#REF!</definedName>
    <definedName name="_4__123Graph_BChart_1Q" hidden="1">#REF!</definedName>
    <definedName name="_4__123Graph_BService_Expense" hidden="1">#REF!</definedName>
    <definedName name="_4_l_4_1">#REF!</definedName>
    <definedName name="_40__123Graph_XCHART_2" hidden="1">'[5]P&amp;L'!#REF!</definedName>
    <definedName name="_40dim4_4_1">#REF!</definedName>
    <definedName name="_41__123Graph_XCHART_3" hidden="1">'[5]P&amp;L'!#REF!</definedName>
    <definedName name="_41EngAddress_4_1">#REF!</definedName>
    <definedName name="_42__123Graph_XCHART_4" hidden="1">'[5]P&amp;L'!#REF!</definedName>
    <definedName name="_42EngCity_4_1">#REF!</definedName>
    <definedName name="_43__123Graph_XCHART_5" hidden="1">'[5]P&amp;L'!#REF!</definedName>
    <definedName name="_43EngName_4_1">#REF!</definedName>
    <definedName name="_44__123Graph_XCHART_6" hidden="1">'[5]P&amp;L'!#REF!</definedName>
    <definedName name="_4449_with_attachement">#REF!</definedName>
    <definedName name="_44EngPostal_4_1">#REF!</definedName>
    <definedName name="_45__123Graph_XCHART_7" hidden="1">'[5]P&amp;L'!#REF!</definedName>
    <definedName name="_45EngPrio_4_1">#REF!</definedName>
    <definedName name="_46__123Graph_XCHART_8" hidden="1">'[5]P&amp;L'!#REF!</definedName>
    <definedName name="_46EngPrio_Text_4_1">#REF!</definedName>
    <definedName name="_47__123Graph_XCHART_9" hidden="1">'[5]P&amp;L'!#REF!</definedName>
    <definedName name="_47EngState_4_1">#REF!</definedName>
    <definedName name="_48EstCost_4_1">#REF!</definedName>
    <definedName name="_49eu_4_1">#REF!</definedName>
    <definedName name="_4ÿ__Professional_F">[13]IS!#REF!</definedName>
    <definedName name="_5__123Graph_ACHART_14" hidden="1">'[5]P&amp;L'!#REF!</definedName>
    <definedName name="_5__123Graph_XAdmin_Expenses" hidden="1">#REF!</definedName>
    <definedName name="_5_p_1">#REF!</definedName>
    <definedName name="_50Excel_BuiltIn_Print_Area_1">#REF!</definedName>
    <definedName name="_52FiscalIDNum_4_1">#REF!</definedName>
    <definedName name="_53FormTitle_4_1">#REF!</definedName>
    <definedName name="_54GMAmount_4_1">#REF!</definedName>
    <definedName name="_55GMPercent_4_1">#REF!</definedName>
    <definedName name="_57indf_4_1">#REF!</definedName>
    <definedName name="_58InstBillingMethod_4_1">#REF!</definedName>
    <definedName name="_59instf_4_1">#REF!</definedName>
    <definedName name="_6__123Graph_ACHART_2" hidden="1">'[5]P&amp;L'!#REF!</definedName>
    <definedName name="_6__123Graph_XService_Expense" hidden="1">#REF!</definedName>
    <definedName name="_6_p_4_1">#REF!</definedName>
    <definedName name="_60MarketType_4_1">#REF!</definedName>
    <definedName name="_61MarketType_Text_4_1">#REF!</definedName>
    <definedName name="_62nonmodular_4_1">#REF!</definedName>
    <definedName name="_63OwnAcctNum_4_1">#REF!</definedName>
    <definedName name="_64po_4_1">#REF!</definedName>
    <definedName name="_65PrimeAddress_4_1">#REF!</definedName>
    <definedName name="_66PrimeCity_4_1">#REF!</definedName>
    <definedName name="_67PrimeName_4_1">#REF!</definedName>
    <definedName name="_68PrimePostal_4_1">#REF!</definedName>
    <definedName name="_69PrimePrio_4_1">#REF!</definedName>
    <definedName name="_7__123Graph_ACHART_3" hidden="1">'[5]P&amp;L'!#REF!</definedName>
    <definedName name="_70PrimePrio_Text_4_1">#REF!</definedName>
    <definedName name="_71PrimeState_4_1">#REF!</definedName>
    <definedName name="_72PRINT_AREA_MI_4_1">#REF!</definedName>
    <definedName name="_73PROD_4_1">#REF!</definedName>
    <definedName name="_74ProdCode1_4_1">#REF!</definedName>
    <definedName name="_75ProdCode1_Text_4_1">#REF!</definedName>
    <definedName name="_76ProdCode2_4_1">#REF!</definedName>
    <definedName name="_77ProdCode2_Text_4_1">#REF!</definedName>
    <definedName name="_78ProdCode3_4_1">#REF!</definedName>
    <definedName name="_79ProdCode3_Text_4_1">#REF!</definedName>
    <definedName name="_7AcctName_4_1">#REF!</definedName>
    <definedName name="_8__123Graph_ACHART_4" hidden="1">'[5]P&amp;L'!#REF!</definedName>
    <definedName name="_80ProdCode4_4_1">#REF!</definedName>
    <definedName name="_81ProdCode4_Text_4_1">#REF!</definedName>
    <definedName name="_82ProdCode5_4_1">#REF!</definedName>
    <definedName name="_83ProdCode5_Text_4_1">#REF!</definedName>
    <definedName name="_84ProdPct1_4_1">#REF!</definedName>
    <definedName name="_85ProdPct2_4_1">#REF!</definedName>
    <definedName name="_86ProdPct3_4_1">#REF!</definedName>
    <definedName name="_87ProdPct4_4_1">#REF!</definedName>
    <definedName name="_88ProdPct5_4_1">#REF!</definedName>
    <definedName name="_89ProjAddress1_4_1">#REF!</definedName>
    <definedName name="_8AcctPrio_4_1">#REF!</definedName>
    <definedName name="_9__123Graph_ACHART_5" hidden="1">'[5]P&amp;L'!#REF!</definedName>
    <definedName name="_90ProjAddress2_4_1">#REF!</definedName>
    <definedName name="_91ProjCity_4_1">#REF!</definedName>
    <definedName name="_92ProjCountry_4_1">#REF!</definedName>
    <definedName name="_93ProjCounty_4_1">#REF!</definedName>
    <definedName name="_94ProjName_4_1">#REF!</definedName>
    <definedName name="_95ProjNum_4_1">#REF!</definedName>
    <definedName name="_96ProjPostal_4_1">#REF!</definedName>
    <definedName name="_97ProjState_4_1">#REF!</definedName>
    <definedName name="_98PSABillingMethod_4_1">#REF!</definedName>
    <definedName name="_99rim4_4_1">#REF!</definedName>
    <definedName name="_9AcctPrio_Text_4_1">#REF!</definedName>
    <definedName name="_a">#REF!</definedName>
    <definedName name="_a___0">#REF!</definedName>
    <definedName name="_a___1">#REF!</definedName>
    <definedName name="_a___10">#REF!</definedName>
    <definedName name="_a___11">#REF!</definedName>
    <definedName name="_a___14">#REF!</definedName>
    <definedName name="_a___16">#REF!</definedName>
    <definedName name="_a___17">#REF!</definedName>
    <definedName name="_a___18">#REF!</definedName>
    <definedName name="_a___4">#REF!</definedName>
    <definedName name="_a___5">#REF!</definedName>
    <definedName name="_a___7">#REF!</definedName>
    <definedName name="_a___8">#REF!</definedName>
    <definedName name="_a___9">#REF!</definedName>
    <definedName name="_a_1">#REF!</definedName>
    <definedName name="_a_1___0">#REF!</definedName>
    <definedName name="_a_1___1">#REF!</definedName>
    <definedName name="_a_1___5">#REF!</definedName>
    <definedName name="_a_1_1">#REF!</definedName>
    <definedName name="_a_2">#REF!</definedName>
    <definedName name="_a_4">#REF!</definedName>
    <definedName name="_a_4___0">#REF!</definedName>
    <definedName name="_a_4___1">#REF!</definedName>
    <definedName name="_a_4___17">#REF!</definedName>
    <definedName name="_a_4___4">#REF!</definedName>
    <definedName name="_a_4___5">#REF!</definedName>
    <definedName name="_a_4_1">#REF!</definedName>
    <definedName name="_a_4_1___0">#REF!</definedName>
    <definedName name="_a_4_1___1">#REF!</definedName>
    <definedName name="_a_4_1___5">#REF!</definedName>
    <definedName name="_a_6">#REF!</definedName>
    <definedName name="_a_6___0">#REF!</definedName>
    <definedName name="_a_6___1">#REF!</definedName>
    <definedName name="_a_6___17">#REF!</definedName>
    <definedName name="_a_6___4">#REF!</definedName>
    <definedName name="_a_6___5">#REF!</definedName>
    <definedName name="_a1">#REF!</definedName>
    <definedName name="_a100">#REF!</definedName>
    <definedName name="_A100000">#REF!</definedName>
    <definedName name="_A110000">#REF!</definedName>
    <definedName name="_A150000">#REF!</definedName>
    <definedName name="_A160000">#REF!</definedName>
    <definedName name="_A166000">#REF!</definedName>
    <definedName name="_A31">#REF!</definedName>
    <definedName name="_a65537">#REF!</definedName>
    <definedName name="_A65539">#REF!</definedName>
    <definedName name="_A65555">#REF!</definedName>
    <definedName name="_A65658">#REF!</definedName>
    <definedName name="_A65800">#REF!</definedName>
    <definedName name="_A66000">#REF!</definedName>
    <definedName name="_A70000">#REF!</definedName>
    <definedName name="_A80000">#REF!</definedName>
    <definedName name="_A90000">#REF!</definedName>
    <definedName name="_A99999">#REF!</definedName>
    <definedName name="_A999999">#REF!</definedName>
    <definedName name="_AA1">#REF!</definedName>
    <definedName name="_aaa10">#REF!</definedName>
    <definedName name="_aaa5">#REF!</definedName>
    <definedName name="_AAA51">#REF!</definedName>
    <definedName name="_aaa55">#REF!</definedName>
    <definedName name="_AAA6">#REF!</definedName>
    <definedName name="_AAA7">#REF!</definedName>
    <definedName name="_AAD5">#REF!</definedName>
    <definedName name="_aad55">#REF!</definedName>
    <definedName name="_abs123" localSheetId="5" hidden="1">{#N/A,#N/A,FALSE,"M&amp;B_43A_fab";#N/A,#N/A,FALSE,"M&amp;B_43A_ERE.";#N/A,#N/A,FALSE,"M&amp;B-43A-ALIGN"}</definedName>
    <definedName name="_abs123" localSheetId="0" hidden="1">{#N/A,#N/A,FALSE,"M&amp;B_43A_fab";#N/A,#N/A,FALSE,"M&amp;B_43A_ERE.";#N/A,#N/A,FALSE,"M&amp;B-43A-ALIGN"}</definedName>
    <definedName name="_abs123" hidden="1">{#N/A,#N/A,FALSE,"M&amp;B_43A_fab";#N/A,#N/A,FALSE,"M&amp;B_43A_ERE.";#N/A,#N/A,FALSE,"M&amp;B-43A-ALIGN"}</definedName>
    <definedName name="_ABS2" localSheetId="5" hidden="1">{#N/A,#N/A,FALSE,"M&amp;B_43A_fab";#N/A,#N/A,FALSE,"M&amp;B_43A_ERE.";#N/A,#N/A,FALSE,"M&amp;B-43A-ALIGN"}</definedName>
    <definedName name="_ABS2" localSheetId="0" hidden="1">{#N/A,#N/A,FALSE,"M&amp;B_43A_fab";#N/A,#N/A,FALSE,"M&amp;B_43A_ERE.";#N/A,#N/A,FALSE,"M&amp;B-43A-ALIGN"}</definedName>
    <definedName name="_ABS2" hidden="1">{#N/A,#N/A,FALSE,"M&amp;B_43A_fab";#N/A,#N/A,FALSE,"M&amp;B_43A_ERE.";#N/A,#N/A,FALSE,"M&amp;B-43A-ALIGN"}</definedName>
    <definedName name="_age1" hidden="1">{"'Mach'!$A$1:$D$39"}</definedName>
    <definedName name="_alt1">#REF!</definedName>
    <definedName name="_ALT2">#REF!</definedName>
    <definedName name="_ALT3">#REF!</definedName>
    <definedName name="_ALT4">#REF!</definedName>
    <definedName name="_APR94">'[12]#REF'!#REF!</definedName>
    <definedName name="_as3" hidden="1">#REF!</definedName>
    <definedName name="_b" localSheetId="0" hidden="1">#REF!</definedName>
    <definedName name="_b" hidden="1">#REF!</definedName>
    <definedName name="_b111121">#REF!</definedName>
    <definedName name="_b201185">#REF!</definedName>
    <definedName name="_bdm.01970c4cfbd845dc8aea028a0968a90f.edm" localSheetId="0" hidden="1">#REF!</definedName>
    <definedName name="_bdm.01970c4cfbd845dc8aea028a0968a90f.edm" hidden="1">#REF!</definedName>
    <definedName name="_bdm.1548A132B46F4C60B8E729C4551DF117.edm" hidden="1">'[14]Cons P&amp;L'!$A$1:$IV$65536</definedName>
    <definedName name="_bdm.15BCD9489AD748028D57019E3C0A66F7.edm" hidden="1">#REF!</definedName>
    <definedName name="_bdm.192E1A69B51247D9914DF8B21161D19C.edm" hidden="1">[15]Financials!$A$1:$IV$65536</definedName>
    <definedName name="_bdm.24BD2FD9E425417286248BF927A96720.edm" hidden="1">[14]Tables!$A$1:$IV$65536</definedName>
    <definedName name="_bdm.26553D234A2F4E3D8E53B2192BC0A315.edm" hidden="1">'[14]Report Data'!$A$1:$IV$65536</definedName>
    <definedName name="_bdm.2736ccea4cd24865bbb3956e031a250d.edm" localSheetId="5" hidden="1">#REF!</definedName>
    <definedName name="_bdm.2736ccea4cd24865bbb3956e031a250d.edm" localSheetId="0" hidden="1">#REF!</definedName>
    <definedName name="_bdm.2736ccea4cd24865bbb3956e031a250d.edm" hidden="1">#REF!</definedName>
    <definedName name="_bdm.289fb45b3e784811ba994303035f5698.edm" localSheetId="0" hidden="1">#REF!</definedName>
    <definedName name="_bdm.289fb45b3e784811ba994303035f5698.edm" hidden="1">#REF!</definedName>
    <definedName name="_bdm.33A03B62988A41C39A3ED3AE27C84906.edm" hidden="1">#REF!</definedName>
    <definedName name="_bdm.3CF97D71BED94AA087F318AFD3AFEC75.edm" localSheetId="0" hidden="1">#REF!</definedName>
    <definedName name="_bdm.3CF97D71BED94AA087F318AFD3AFEC75.edm" hidden="1">#REF!</definedName>
    <definedName name="_bdm.465593f8327a4aeebe60b76d377b2bc9.edm" localSheetId="0" hidden="1">#REF!</definedName>
    <definedName name="_bdm.465593f8327a4aeebe60b76d377b2bc9.edm" hidden="1">#REF!</definedName>
    <definedName name="_bdm.58afd861f7f5429ebb99ce4300d92e84.edm" localSheetId="0" hidden="1">#REF!</definedName>
    <definedName name="_bdm.58afd861f7f5429ebb99ce4300d92e84.edm" hidden="1">#REF!</definedName>
    <definedName name="_bdm.69a856a339664a159b871787c9bf7f47.edm" localSheetId="0" hidden="1">#REF!</definedName>
    <definedName name="_bdm.69a856a339664a159b871787c9bf7f47.edm" hidden="1">#REF!</definedName>
    <definedName name="_bdm.6ff0a5a715c640c3a04ed55f601e0dcd.edm" localSheetId="0" hidden="1">#REF!</definedName>
    <definedName name="_bdm.6ff0a5a715c640c3a04ed55f601e0dcd.edm" hidden="1">#REF!</definedName>
    <definedName name="_bdm.76E86265694040A194558E6D508852CA.edm" localSheetId="0" hidden="1">#REF!</definedName>
    <definedName name="_bdm.76E86265694040A194558E6D508852CA.edm" hidden="1">#REF!</definedName>
    <definedName name="_bdm.7d82d219a3bb4b18b0593928df4640ad.edm" localSheetId="0" hidden="1">#REF!</definedName>
    <definedName name="_bdm.7d82d219a3bb4b18b0593928df4640ad.edm" hidden="1">#REF!</definedName>
    <definedName name="_bdm.84B00B6FA1B249B294FCD8F89E13079B.edm" hidden="1">[16]Qtrly!$A$1:$IV$65536</definedName>
    <definedName name="_bdm.8ebfb7f419394851a792d05399a5472c.edm" localSheetId="0" hidden="1">#REF!</definedName>
    <definedName name="_bdm.8ebfb7f419394851a792d05399a5472c.edm" hidden="1">#REF!</definedName>
    <definedName name="_bdm.9560A33D287847109A077533FE570E73.edm" hidden="1">#REF!</definedName>
    <definedName name="_bdm.95F445F17CFE4E66883B738BF6636433.edm" hidden="1">[15]wireline!$A$1:$IV$65536</definedName>
    <definedName name="_bdm.97409afdcd4d4c2796e1030dd82ec4d1.edm" localSheetId="5" hidden="1">#REF!</definedName>
    <definedName name="_bdm.97409afdcd4d4c2796e1030dd82ec4d1.edm" localSheetId="0" hidden="1">#REF!</definedName>
    <definedName name="_bdm.97409afdcd4d4c2796e1030dd82ec4d1.edm" hidden="1">#REF!</definedName>
    <definedName name="_bdm.A2E42FEC9E174E2397DAA1281664C0E5.edm" hidden="1">[17]WTG!$A$1:$IV$65536</definedName>
    <definedName name="_bdm.B114A6131A5F49C1A7A5F91639356266.edm" hidden="1">[15]Workings!$A$1:$IV$65536</definedName>
    <definedName name="_bdm.b8b70c305c86421fa5d686052dbccf45.edm" localSheetId="5" hidden="1">#REF!</definedName>
    <definedName name="_bdm.b8b70c305c86421fa5d686052dbccf45.edm" localSheetId="0" hidden="1">#REF!</definedName>
    <definedName name="_bdm.b8b70c305c86421fa5d686052dbccf45.edm" hidden="1">#REF!</definedName>
    <definedName name="_bdm.BE209056026942F4AE4180B6E4138E6B.edm" hidden="1">#REF!</definedName>
    <definedName name="_bdm.bf6478c9892a4fa0b05c6c56684d57cf.edm" localSheetId="0" hidden="1">#REF!</definedName>
    <definedName name="_bdm.bf6478c9892a4fa0b05c6c56684d57cf.edm" hidden="1">#REF!</definedName>
    <definedName name="_bdm.CA7C0830173C4BED942E509D900BD0CE.edm" hidden="1">#REF!</definedName>
    <definedName name="_bdm.CB56BC02D7144C6984233B865BFB4FD5.edm" hidden="1">[15]INPUT!$A$1:$IV$65536</definedName>
    <definedName name="_bdm.cd5eb6efb2ec47ffb2d2808b403d0074.edm" localSheetId="0" hidden="1">#REF!</definedName>
    <definedName name="_bdm.cd5eb6efb2ec47ffb2d2808b403d0074.edm" hidden="1">#REF!</definedName>
    <definedName name="_bdm.D31DD76238F1412E9074A28EA0D4A1D3.edm" hidden="1">[16]XLink!$A$1:$IV$65536</definedName>
    <definedName name="_bdm.D8450A1B7ADA43A6B01241520EBB1C80.edm" hidden="1">[15]OUTPUT!$A$1:$IV$65536</definedName>
    <definedName name="_bdm.DC897DFCCAB040F0A0613423FABA10C2.edm" hidden="1">[17]Consolidated!$A$1:$IV$65536</definedName>
    <definedName name="_bdm.DFA99D928C514173ACC7302690466393.edm" hidden="1">#REF!</definedName>
    <definedName name="_bdm.E29E946DE9AD43058E12CD132AFEDAA9.edm" hidden="1">#REF!</definedName>
    <definedName name="_bdm.fce9f4a140804cb780d6f1793d33518d.edm" localSheetId="5" hidden="1">#REF!</definedName>
    <definedName name="_bdm.fce9f4a140804cb780d6f1793d33518d.edm" localSheetId="0" hidden="1">#REF!</definedName>
    <definedName name="_bdm.fce9f4a140804cb780d6f1793d33518d.edm" hidden="1">#REF!</definedName>
    <definedName name="_bol1">#REF!</definedName>
    <definedName name="_BQ4.1" hidden="1">#REF!</definedName>
    <definedName name="_BQ4.10" hidden="1">#REF!</definedName>
    <definedName name="_BQ4.11" hidden="1">#REF!</definedName>
    <definedName name="_BQ4.12" hidden="1">#REF!</definedName>
    <definedName name="_BQ4.13" hidden="1">#REF!</definedName>
    <definedName name="_BQ4.14" hidden="1">#REF!</definedName>
    <definedName name="_BQ4.2" hidden="1">#REF!</definedName>
    <definedName name="_BQ4.3" hidden="1">#REF!</definedName>
    <definedName name="_BQ4.4" hidden="1">#REF!</definedName>
    <definedName name="_BQ4.5" hidden="1">#REF!</definedName>
    <definedName name="_BQ4.6" hidden="1">#REF!</definedName>
    <definedName name="_BQ4.7" hidden="1">[18]MISC.EUR!#REF!</definedName>
    <definedName name="_BQ4.8" hidden="1">#REF!</definedName>
    <definedName name="_BQ4.9" hidden="1">#REF!</definedName>
    <definedName name="_C">NA()</definedName>
    <definedName name="_C___0">#REF!</definedName>
    <definedName name="_C___13">#REF!</definedName>
    <definedName name="_C_6">NA()</definedName>
    <definedName name="_can430">40.73</definedName>
    <definedName name="_can435">43.3</definedName>
    <definedName name="_cat12" hidden="1">{#N/A,#N/A,TRUE,"Front";#N/A,#N/A,TRUE,"Simple Letter";#N/A,#N/A,TRUE,"Inside";#N/A,#N/A,TRUE,"Contents";#N/A,#N/A,TRUE,"Basis";#N/A,#N/A,TRUE,"Inclusions";#N/A,#N/A,TRUE,"Exclusions";#N/A,#N/A,TRUE,"Areas";#N/A,#N/A,TRUE,"Summary";#N/A,#N/A,TRUE,"Detail"}</definedName>
    <definedName name="_cat123">#N/A</definedName>
    <definedName name="_Closing_Balance_for_Branch" hidden="1">[19]pcQueryData!$A$3</definedName>
    <definedName name="_Ctr10">#REF!</definedName>
    <definedName name="_CY53__">#REF!</definedName>
    <definedName name="_CY53___6">NA()</definedName>
    <definedName name="_D1112" hidden="1">{"'照明目录'!$A$1:$H$31"}</definedName>
    <definedName name="_DCF1" hidden="1">{#N/A,#N/A,FALSE,"DCF Summary";#N/A,#N/A,FALSE,"Casema";#N/A,#N/A,FALSE,"Casema NoTel";#N/A,#N/A,FALSE,"UK";#N/A,#N/A,FALSE,"RCF";#N/A,#N/A,FALSE,"Intercable CZ";#N/A,#N/A,FALSE,"Interkabel P"}</definedName>
    <definedName name="_dim4">#REF!</definedName>
    <definedName name="_dim4_16">#REF!</definedName>
    <definedName name="_dim4_17">#REF!</definedName>
    <definedName name="_Dist_Bin" localSheetId="0" hidden="1">#REF!</definedName>
    <definedName name="_Dist_Bin" hidden="1">#REF!</definedName>
    <definedName name="_Dist_Values" localSheetId="0" hidden="1">#REF!</definedName>
    <definedName name="_Dist_Values" hidden="1">#REF!</definedName>
    <definedName name="_div011">#REF!</definedName>
    <definedName name="_div012">#REF!</definedName>
    <definedName name="_div021">#REF!</definedName>
    <definedName name="_div022">#REF!</definedName>
    <definedName name="_div023">#REF!</definedName>
    <definedName name="_div031">#REF!</definedName>
    <definedName name="_div032">#REF!</definedName>
    <definedName name="_div033">#REF!</definedName>
    <definedName name="_div041">#REF!</definedName>
    <definedName name="_div042">#REF!</definedName>
    <definedName name="_div050">#REF!</definedName>
    <definedName name="_div061">#REF!</definedName>
    <definedName name="_div062">#REF!</definedName>
    <definedName name="_div063">#REF!</definedName>
    <definedName name="_div064">#REF!</definedName>
    <definedName name="_div070">#REF!</definedName>
    <definedName name="_div081">#REF!</definedName>
    <definedName name="_div082">#REF!</definedName>
    <definedName name="_div083">#REF!</definedName>
    <definedName name="_div084">#REF!</definedName>
    <definedName name="_div091">#REF!</definedName>
    <definedName name="_div092">#REF!</definedName>
    <definedName name="_div111">#REF!</definedName>
    <definedName name="_div112">#REF!</definedName>
    <definedName name="_div113">#REF!</definedName>
    <definedName name="_div121">#REF!</definedName>
    <definedName name="_div122">#REF!</definedName>
    <definedName name="_div123">#REF!</definedName>
    <definedName name="_div124">#REF!</definedName>
    <definedName name="_EA1116" hidden="1">{"'照明目录'!$A$1:$H$31"}</definedName>
    <definedName name="_Eg616103">#REF!</definedName>
    <definedName name="_exc1">#REF!</definedName>
    <definedName name="_exc11">#REF!</definedName>
    <definedName name="_exc2">#REF!</definedName>
    <definedName name="_EXC3">#REF!</definedName>
    <definedName name="_EXC4">#REF!</definedName>
    <definedName name="_FAS106">'[12]#REF'!#REF!</definedName>
    <definedName name="_FAS109">'[12]#REF'!#REF!</definedName>
    <definedName name="_fbt1" hidden="1">#REF!</definedName>
    <definedName name="_fco2" hidden="1">{#N/A,#N/A,FALSE,"gc (2)"}</definedName>
    <definedName name="_feb2" hidden="1">{#N/A,#N/A,TRUE,"KEY DATA";#N/A,#N/A,TRUE,"KEY DATA Base Case";#N/A,#N/A,TRUE,"JULY";#N/A,#N/A,TRUE,"AUG";#N/A,#N/A,TRUE,"SEPT";#N/A,#N/A,TRUE,"3Q"}</definedName>
    <definedName name="_fil" hidden="1">#REF!</definedName>
    <definedName name="_Fill" hidden="1">'[20]final abstract'!#REF!</definedName>
    <definedName name="_xlnm._FilterDatabase" hidden="1">#REF!</definedName>
    <definedName name="_flx200">#REF!</definedName>
    <definedName name="_flx250">#REF!</definedName>
    <definedName name="_flx300">#REF!</definedName>
    <definedName name="_foo1">#REF!</definedName>
    <definedName name="_foo2">#REF!</definedName>
    <definedName name="_foo3">#REF!</definedName>
    <definedName name="_FOO4">#REF!</definedName>
    <definedName name="_g1" hidden="1">{"'August 2000'!$A$1:$J$101"}</definedName>
    <definedName name="_GOTO_I10_">#REF!</definedName>
    <definedName name="_GOTO_I10__6">NA()</definedName>
    <definedName name="_guv3" hidden="1">{"K GuV o. Kommentar",#N/A,FALSE,"Kaufhof"}</definedName>
    <definedName name="_hp10" localSheetId="5" hidden="1">{#N/A,#N/A,TRUE,"Front";#N/A,#N/A,TRUE,"Simple Letter";#N/A,#N/A,TRUE,"Inside";#N/A,#N/A,TRUE,"Contents";#N/A,#N/A,TRUE,"Basis";#N/A,#N/A,TRUE,"Inclusions";#N/A,#N/A,TRUE,"Exclusions";#N/A,#N/A,TRUE,"Areas";#N/A,#N/A,TRUE,"Summary";#N/A,#N/A,TRUE,"Detail"}</definedName>
    <definedName name="_hp10" localSheetId="0"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IDC2">#N/A</definedName>
    <definedName name="_ig541">#REF!</definedName>
    <definedName name="_INT1" hidden="1">{#N/A,#N/A,FALSE,"COMP"}</definedName>
    <definedName name="_iv66666">#REF!</definedName>
    <definedName name="_jj300">#REF!</definedName>
    <definedName name="_jkj" hidden="1">#REF!</definedName>
    <definedName name="_JUN94">'[12]#REF'!#REF!</definedName>
    <definedName name="_k8" hidden="1">{#N/A,#N/A,FALSE,"COVER1.XLS ";#N/A,#N/A,FALSE,"RACT1.XLS";#N/A,#N/A,FALSE,"RACT2.XLS";#N/A,#N/A,FALSE,"ECCMP";#N/A,#N/A,FALSE,"WELDER.XLS"}</definedName>
    <definedName name="_KC139">#REF!</definedName>
    <definedName name="_Key1" localSheetId="0" hidden="1">#REF!</definedName>
    <definedName name="_Key1" hidden="1">#REF!</definedName>
    <definedName name="_Key2" hidden="1">#REF!</definedName>
    <definedName name="_Ki1">#REF!</definedName>
    <definedName name="_Ki2">#REF!</definedName>
    <definedName name="_kv2" hidden="1">{#N/A,#N/A,FALSE,"COVER1.XLS ";#N/A,#N/A,FALSE,"RACT1.XLS";#N/A,#N/A,FALSE,"RACT2.XLS";#N/A,#N/A,FALSE,"ECCMP";#N/A,#N/A,FALSE,"WELDER.XLS"}</definedName>
    <definedName name="_kvs1" hidden="1">{#N/A,#N/A,FALSE,"COVER1.XLS ";#N/A,#N/A,FALSE,"RACT1.XLS";#N/A,#N/A,FALSE,"RACT2.XLS";#N/A,#N/A,FALSE,"ECCMP";#N/A,#N/A,FALSE,"WELDER.XLS"}</definedName>
    <definedName name="_kvs2" hidden="1">{#N/A,#N/A,FALSE,"COVER1.XLS ";#N/A,#N/A,FALSE,"RACT1.XLS";#N/A,#N/A,FALSE,"RACT2.XLS";#N/A,#N/A,FALSE,"ECCMP";#N/A,#N/A,FALSE,"WELDER.XLS"}</definedName>
    <definedName name="_kvs5" hidden="1">{#N/A,#N/A,FALSE,"COVER.XLS";#N/A,#N/A,FALSE,"RACT1.XLS";#N/A,#N/A,FALSE,"RACT2.XLS";#N/A,#N/A,FALSE,"ECCMP";#N/A,#N/A,FALSE,"WELDER.XLS"}</definedName>
    <definedName name="_kvs7" hidden="1">{#N/A,#N/A,FALSE,"COVER1.XLS ";#N/A,#N/A,FALSE,"RACT1.XLS";#N/A,#N/A,FALSE,"RACT2.XLS";#N/A,#N/A,FALSE,"ECCMP";#N/A,#N/A,FALSE,"WELDER.XLS"}</definedName>
    <definedName name="_kvs8" hidden="1">{#N/A,#N/A,FALSE,"COVER1.XLS ";#N/A,#N/A,FALSE,"RACT1.XLS";#N/A,#N/A,FALSE,"RACT2.XLS";#N/A,#N/A,FALSE,"ECCMP";#N/A,#N/A,FALSE,"WELDER.XLS"}</definedName>
    <definedName name="_KVS9" hidden="1">{#N/A,#N/A,FALSE,"COVER1.XLS ";#N/A,#N/A,FALSE,"RACT1.XLS";#N/A,#N/A,FALSE,"RACT2.XLS";#N/A,#N/A,FALSE,"ECCMP";#N/A,#N/A,FALSE,"WELDER.XLS"}</definedName>
    <definedName name="_l">#REF!</definedName>
    <definedName name="_l___0">#REF!</definedName>
    <definedName name="_l___1">#REF!</definedName>
    <definedName name="_l___17">#REF!</definedName>
    <definedName name="_l___18">#REF!</definedName>
    <definedName name="_l___4">#REF!</definedName>
    <definedName name="_l___5">#REF!</definedName>
    <definedName name="_l_1">#REF!</definedName>
    <definedName name="_l_1___0">#REF!</definedName>
    <definedName name="_l_1___1">#REF!</definedName>
    <definedName name="_l_1___5">#REF!</definedName>
    <definedName name="_l_1_1">#REF!</definedName>
    <definedName name="_l_4">#REF!</definedName>
    <definedName name="_l_4___0">#REF!</definedName>
    <definedName name="_l_4___1">#REF!</definedName>
    <definedName name="_l_4___17">#REF!</definedName>
    <definedName name="_l_4___4">#REF!</definedName>
    <definedName name="_l_4___5">#REF!</definedName>
    <definedName name="_l_4_1">#REF!</definedName>
    <definedName name="_l_4_1___0">#REF!</definedName>
    <definedName name="_l_4_1___1">#REF!</definedName>
    <definedName name="_l_4_1___5">#REF!</definedName>
    <definedName name="_l_6">#REF!</definedName>
    <definedName name="_l_6___0">#REF!</definedName>
    <definedName name="_l_6___1">#REF!</definedName>
    <definedName name="_l_6___17">#REF!</definedName>
    <definedName name="_l_6___4">#REF!</definedName>
    <definedName name="_l_6___5">#REF!</definedName>
    <definedName name="_l2"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b1">#REF!</definedName>
    <definedName name="_lb2">#REF!</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oc1">#N/A</definedName>
    <definedName name="_m">NA()</definedName>
    <definedName name="_m_6">NA()</definedName>
    <definedName name="_MAN1">#REF!</definedName>
    <definedName name="_MAY94">'[12]#REF'!#REF!</definedName>
    <definedName name="_mm1">#REF!</definedName>
    <definedName name="_mm2">#REF!</definedName>
    <definedName name="_mm3">#REF!</definedName>
    <definedName name="_MN1">#REF!</definedName>
    <definedName name="_MR1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n">NA()</definedName>
    <definedName name="_n_6">NA()</definedName>
    <definedName name="_nil" hidden="1">#REF!</definedName>
    <definedName name="_nil1" localSheetId="5" hidden="1">{"Inflation-BaseYear",#N/A,FALSE,"Inputs"}</definedName>
    <definedName name="_nil1" localSheetId="0" hidden="1">{"Inflation-BaseYear",#N/A,FALSE,"Inputs"}</definedName>
    <definedName name="_nil1" hidden="1">{"Inflation-BaseYear",#N/A,FALSE,"Inputs"}</definedName>
    <definedName name="_nil2" localSheetId="5" hidden="1">{"Output-3Column",#N/A,FALSE,"Output"}</definedName>
    <definedName name="_nil2" localSheetId="0" hidden="1">{"Output-3Column",#N/A,FALSE,"Output"}</definedName>
    <definedName name="_nil2" hidden="1">{"Output-3Column",#N/A,FALSE,"Output"}</definedName>
    <definedName name="_nil3" localSheetId="5" hidden="1">{"Output-All",#N/A,FALSE,"Output"}</definedName>
    <definedName name="_nil3" localSheetId="0" hidden="1">{"Output-All",#N/A,FALSE,"Output"}</definedName>
    <definedName name="_nil3" hidden="1">{"Output-All",#N/A,FALSE,"Output"}</definedName>
    <definedName name="_nil4" localSheetId="5" hidden="1">{"Output-BaseYear",#N/A,FALSE,"Output"}</definedName>
    <definedName name="_nil4" localSheetId="0" hidden="1">{"Output-BaseYear",#N/A,FALSE,"Output"}</definedName>
    <definedName name="_nil4" hidden="1">{"Output-BaseYear",#N/A,FALSE,"Output"}</definedName>
    <definedName name="_nil5" localSheetId="5" hidden="1">{"Output-Min",#N/A,FALSE,"Output"}</definedName>
    <definedName name="_nil5" localSheetId="0" hidden="1">{"Output-Min",#N/A,FALSE,"Output"}</definedName>
    <definedName name="_nil5" hidden="1">{"Output-Min",#N/A,FALSE,"Output"}</definedName>
    <definedName name="_nil6" localSheetId="5" hidden="1">{"Output%",#N/A,FALSE,"Output"}</definedName>
    <definedName name="_nil6" localSheetId="0" hidden="1">{"Output%",#N/A,FALSE,"Output"}</definedName>
    <definedName name="_nil6" hidden="1">{"Output%",#N/A,FALSE,"Output"}</definedName>
    <definedName name="_nil7" localSheetId="5" hidden="1">{#N/A,#N/A,FALSE,"963YR";#N/A,#N/A,FALSE,"mkt mix";#N/A,#N/A,FALSE,"sect 5";#N/A,#N/A,FALSE,"sect 6";#N/A,#N/A,FALSE,"csh";#N/A,#N/A,FALSE,"capx";#N/A,#N/A,FALSE,"bal sheet"}</definedName>
    <definedName name="_nil7" localSheetId="0" hidden="1">{#N/A,#N/A,FALSE,"963YR";#N/A,#N/A,FALSE,"mkt mix";#N/A,#N/A,FALSE,"sect 5";#N/A,#N/A,FALSE,"sect 6";#N/A,#N/A,FALSE,"csh";#N/A,#N/A,FALSE,"capx";#N/A,#N/A,FALSE,"bal sheet"}</definedName>
    <definedName name="_nil7" hidden="1">{#N/A,#N/A,FALSE,"963YR";#N/A,#N/A,FALSE,"mkt mix";#N/A,#N/A,FALSE,"sect 5";#N/A,#N/A,FALSE,"sect 6";#N/A,#N/A,FALSE,"csh";#N/A,#N/A,FALSE,"capx";#N/A,#N/A,FALSE,"bal sheet"}</definedName>
    <definedName name="_NS1">#REF!</definedName>
    <definedName name="_NSO2" hidden="1">{"'Sheet1'!$L$16"}</definedName>
    <definedName name="_Order1" hidden="1">255</definedName>
    <definedName name="_Order2" hidden="1">255</definedName>
    <definedName name="_OTH01">[12]IS!#REF!</definedName>
    <definedName name="_p">#REF!</definedName>
    <definedName name="_p___0">#REF!</definedName>
    <definedName name="_p___1">#REF!</definedName>
    <definedName name="_p___17">#REF!</definedName>
    <definedName name="_p___18">#REF!</definedName>
    <definedName name="_p___4">#REF!</definedName>
    <definedName name="_p___5">#REF!</definedName>
    <definedName name="_p_1">#REF!</definedName>
    <definedName name="_p_1___0">#REF!</definedName>
    <definedName name="_p_1___1">#REF!</definedName>
    <definedName name="_p_1___5">#REF!</definedName>
    <definedName name="_p_1_1">#REF!</definedName>
    <definedName name="_p_4">#REF!</definedName>
    <definedName name="_p_4___0">#REF!</definedName>
    <definedName name="_p_4___1">#REF!</definedName>
    <definedName name="_p_4___17">#REF!</definedName>
    <definedName name="_p_4___4">#REF!</definedName>
    <definedName name="_p_4___5">#REF!</definedName>
    <definedName name="_p_4_1">#REF!</definedName>
    <definedName name="_p_4_1___0">#REF!</definedName>
    <definedName name="_p_4_1___1">#REF!</definedName>
    <definedName name="_p_4_1___5">#REF!</definedName>
    <definedName name="_p_6">#REF!</definedName>
    <definedName name="_p_6___0">#REF!</definedName>
    <definedName name="_p_6___1">#REF!</definedName>
    <definedName name="_p_6___17">#REF!</definedName>
    <definedName name="_p_6___4">#REF!</definedName>
    <definedName name="_p_6___5">#REF!</definedName>
    <definedName name="_pa1">"$#REF!.$#REF!$#REF!"</definedName>
    <definedName name="_pa2">"$#REF!.$#REF!$#REF!"</definedName>
    <definedName name="_Parse_In" hidden="1">#REF!</definedName>
    <definedName name="_Parse_Out" localSheetId="5" hidden="1">#REF!</definedName>
    <definedName name="_Parse_Out" localSheetId="0" hidden="1">#REF!</definedName>
    <definedName name="_Parse_Out" hidden="1">#REF!</definedName>
    <definedName name="_PB1">#REF!</definedName>
    <definedName name="_pcc1">#REF!</definedName>
    <definedName name="_pcc2">#REF!</definedName>
    <definedName name="_pcc3">#REF!</definedName>
    <definedName name="_PCC4">#REF!</definedName>
    <definedName name="_pcSlicerSheet_Slicer1" hidden="1">#REF!</definedName>
    <definedName name="_pcSlicerSheet1_Slicer1" hidden="1">[10]_pcSlicerSheet1!$A$2</definedName>
    <definedName name="_pcSlicerSheet1_Slicer2" hidden="1">#REF!</definedName>
    <definedName name="_pl1">#REF!</definedName>
    <definedName name="_plb1">#REF!</definedName>
    <definedName name="_plb2">#REF!</definedName>
    <definedName name="_plb3">#REF!</definedName>
    <definedName name="_plb4">#REF!</definedName>
    <definedName name="_PPRN3..AF242">#REF!</definedName>
    <definedName name="_PPRN3..AF242_6">NA()</definedName>
    <definedName name="_Pr1">#REF!</definedName>
    <definedName name="_pr2">#REF!</definedName>
    <definedName name="_q">NA()</definedName>
    <definedName name="_q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q2" hidden="1">{#N/A,#N/A,FALSE,"COVER1.XLS ";#N/A,#N/A,FALSE,"RACT1.XLS";#N/A,#N/A,FALSE,"RACT2.XLS";#N/A,#N/A,FALSE,"ECCMP";#N/A,#N/A,FALSE,"WELDER.XLS"}</definedName>
    <definedName name="_q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_r">NA()</definedName>
    <definedName name="_r_6">NA()</definedName>
    <definedName name="_ram1" hidden="1">{#N/A,#N/A,FALSE,"gc (2)"}</definedName>
    <definedName name="_RAN1">#N/A</definedName>
    <definedName name="_Ree1">'[21]#REF'!$A$89:$N$130</definedName>
    <definedName name="_Ref149981336">#REF!</definedName>
    <definedName name="_Ref149981348">#REF!</definedName>
    <definedName name="_Ref149981361">#REF!</definedName>
    <definedName name="_Regression_Int" hidden="1">1</definedName>
    <definedName name="_Regression_X" hidden="1">[22]ENGG_VAL!#REF!</definedName>
    <definedName name="_rim4">#REF!</definedName>
    <definedName name="_rm4">#REF!</definedName>
    <definedName name="_rm4_16">#REF!</definedName>
    <definedName name="_rm4_17">#REF!</definedName>
    <definedName name="_ROrder1" hidden="1">0</definedName>
    <definedName name="_RVAE306___DOWN">#REF!</definedName>
    <definedName name="_RVAE306___DOWN_6">NA()</definedName>
    <definedName name="_RVAE358___DOWN">#REF!</definedName>
    <definedName name="_RVAE358___DOWN_6">NA()</definedName>
    <definedName name="_RVAE395___DOWN">#REF!</definedName>
    <definedName name="_RVAE395___DOWN_6">NA()</definedName>
    <definedName name="_RVY53..AE53__">#REF!</definedName>
    <definedName name="_RVY53..AE53___6">NA()</definedName>
    <definedName name="_s">NA()</definedName>
    <definedName name="_s_6">NA()</definedName>
    <definedName name="_Sa1">#REF!</definedName>
    <definedName name="_sd1">#REF!</definedName>
    <definedName name="_sdb2">#REF!</definedName>
    <definedName name="_sec1">#REF!</definedName>
    <definedName name="_Sec2">#REF!</definedName>
    <definedName name="_sec3">#REF!</definedName>
    <definedName name="_Sec4">#REF!</definedName>
    <definedName name="_sec5">#REF!</definedName>
    <definedName name="_sec6">#REF!</definedName>
    <definedName name="_sec7">#REF!</definedName>
    <definedName name="_sec71">#REF!</definedName>
    <definedName name="_SEC77">#REF!</definedName>
    <definedName name="_sec8">#REF!</definedName>
    <definedName name="_sec81">#REF!</definedName>
    <definedName name="_SEC88">#REF!</definedName>
    <definedName name="_SEC9">#REF!</definedName>
    <definedName name="_sep1">"$#REF!.$#REF!$#REF!"</definedName>
    <definedName name="_SH1">#REF!</definedName>
    <definedName name="_SH2">#REF!</definedName>
    <definedName name="_SH3">#REF!</definedName>
    <definedName name="_SH4">#REF!</definedName>
    <definedName name="_SH5">#REF!</definedName>
    <definedName name="_Sort" localSheetId="0" hidden="1">#REF!</definedName>
    <definedName name="_Sort" hidden="1">#REF!</definedName>
    <definedName name="_Sp1">#REF!</definedName>
    <definedName name="_Ss1">#REF!</definedName>
    <definedName name="_sti02" hidden="1">{#N/A,#N/A,FALSE,"gc (2)"}</definedName>
    <definedName name="_STR01">#REF!</definedName>
    <definedName name="_STR02">#REF!</definedName>
    <definedName name="_STR03">#REF!</definedName>
    <definedName name="_STR04">#REF!</definedName>
    <definedName name="_sum010">#REF!</definedName>
    <definedName name="_sum020">#REF!</definedName>
    <definedName name="_SUM1">#REF!</definedName>
    <definedName name="_sum120">#REF!</definedName>
    <definedName name="_sum140">#REF!</definedName>
    <definedName name="_sum2">#REF!</definedName>
    <definedName name="_SUM200">#REF!</definedName>
    <definedName name="_SUM400">#REF!</definedName>
    <definedName name="_SUM410">#REF!</definedName>
    <definedName name="_SUM420">#REF!</definedName>
    <definedName name="_SUM440">#REF!</definedName>
    <definedName name="_SUM460">#REF!</definedName>
    <definedName name="_SUM480">#REF!</definedName>
    <definedName name="_SUM500">#REF!</definedName>
    <definedName name="_SUM510">#REF!</definedName>
    <definedName name="_SUM530">#REF!</definedName>
    <definedName name="_SUM540">#REF!</definedName>
    <definedName name="_SUM560">#REF!</definedName>
    <definedName name="_SUM570">#REF!</definedName>
    <definedName name="_SUM580">#REF!</definedName>
    <definedName name="_SUM590">#REF!</definedName>
    <definedName name="_SUM700">#REF!</definedName>
    <definedName name="_SUM701">#REF!</definedName>
    <definedName name="_SUM702">#REF!</definedName>
    <definedName name="_SUM703">#REF!</definedName>
    <definedName name="_SUM704">#REF!</definedName>
    <definedName name="_sum770">#REF!</definedName>
    <definedName name="_SUM800">#REF!</definedName>
    <definedName name="_sum900">#REF!</definedName>
    <definedName name="_SUM901">#REF!</definedName>
    <definedName name="_SUM902">#REF!</definedName>
    <definedName name="_SUM903">#REF!</definedName>
    <definedName name="_SUM904">#REF!</definedName>
    <definedName name="_swf1">#REF!</definedName>
    <definedName name="_t">NA()</definedName>
    <definedName name="_t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_ta1" hidden="1">{#N/A,#N/A,TRUE,"Financials";#N/A,#N/A,TRUE,"Operating Statistics";#N/A,#N/A,TRUE,"Capex &amp; Depreciation";#N/A,#N/A,TRUE,"Debt"}</definedName>
    <definedName name="_Table1_In1" localSheetId="0" hidden="1">#REF!</definedName>
    <definedName name="_Table1_In1" hidden="1">#REF!</definedName>
    <definedName name="_Table1_Out" localSheetId="0"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b1" hidden="1">{#N/A,#N/A,FALSE,"One Pager";#N/A,#N/A,FALSE,"Technical"}</definedName>
    <definedName name="_tk1">#REF!</definedName>
    <definedName name="_tmp1" hidden="1">'[23]F-4'!#REF!</definedName>
    <definedName name="_tr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TTL1">#REF!</definedName>
    <definedName name="_TTL2">#REF!</definedName>
    <definedName name="_TTL3">#REF!</definedName>
    <definedName name="_TTL4">#REF!</definedName>
    <definedName name="_TTL5">#REF!</definedName>
    <definedName name="_TTL6">#REF!</definedName>
    <definedName name="_vb1">#REF!</definedName>
    <definedName name="_Vs1">#REF!</definedName>
    <definedName name="_w2" hidden="1">{#N/A,#N/A,FALSE,"17MAY";#N/A,#N/A,FALSE,"24MAY"}</definedName>
    <definedName name="_WGZY_">#REF!</definedName>
    <definedName name="_WGZY__6">NA()</definedName>
    <definedName name="_x">NA()</definedName>
    <definedName name="_x_6">NA()</definedName>
    <definedName name="_Z">#REF!</definedName>
    <definedName name="_zz93">#REF!</definedName>
    <definedName name="a" hidden="1">{"DEA CAP",#N/A,TRUE,"DEA";"RVA CAP",#N/A,TRUE,"RVA";"MDA CAP",#N/A,TRUE,"MDA";"Table C CAP",#N/A,TRUE,"C";"Table V CAP",#N/A,TRUE,"V";"DEA GL ACCOUNTS",#N/A,TRUE,"DEA";"RULES CAP",#N/A,TRUE,"RULES";"COs CAP",#N/A,TRUE,"COs";#N/A,#N/A,TRUE,"CHIP"}</definedName>
    <definedName name="A.C.Pipe">#REF!</definedName>
    <definedName name="a___0">#REF!</definedName>
    <definedName name="a___13">#REF!</definedName>
    <definedName name="a_1">NA()</definedName>
    <definedName name="a_10">NA()</definedName>
    <definedName name="a_12">NA()</definedName>
    <definedName name="a_15">NA()</definedName>
    <definedName name="a_16">NA()</definedName>
    <definedName name="a_17">NA()</definedName>
    <definedName name="a_19">NA()</definedName>
    <definedName name="a_2">NA()</definedName>
    <definedName name="a_21">NA()</definedName>
    <definedName name="a_3">NA()</definedName>
    <definedName name="a_4">NA()</definedName>
    <definedName name="a_5">NA()</definedName>
    <definedName name="a_6">NA()</definedName>
    <definedName name="a_7">NA()</definedName>
    <definedName name="a_8">NA()</definedName>
    <definedName name="a_9">NA()</definedName>
    <definedName name="A_ConsmrTopHalfGrphs">'[21]Consumer Fraud'!$A$1:$AF$73</definedName>
    <definedName name="A_Graphs">'[21]Avoidance '!$A$1:$Y$82</definedName>
    <definedName name="A_National">'[21]#REF'!$A$2:$N$55</definedName>
    <definedName name="A_TotalLossSum">'[21]#REF'!$A$2:$N$42</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____0">#REF!</definedName>
    <definedName name="A1____1">#REF!</definedName>
    <definedName name="A1____13">#REF!</definedName>
    <definedName name="A1____5">#REF!</definedName>
    <definedName name="A10_">#REF!</definedName>
    <definedName name="A10____0">#REF!</definedName>
    <definedName name="A10____1">#REF!</definedName>
    <definedName name="A10____13">#REF!</definedName>
    <definedName name="A10____5">#REF!</definedName>
    <definedName name="A100000___0">#REF!</definedName>
    <definedName name="A100000___1">#REF!</definedName>
    <definedName name="A100000___5">#REF!</definedName>
    <definedName name="A13_">#REF!</definedName>
    <definedName name="A13____0">#REF!</definedName>
    <definedName name="A13____1">#REF!</definedName>
    <definedName name="A13____13">#REF!</definedName>
    <definedName name="A13____5">#REF!</definedName>
    <definedName name="A1M170">#REF!</definedName>
    <definedName name="A2\">#REF!</definedName>
    <definedName name="A2_">#REF!</definedName>
    <definedName name="A2____0">#REF!</definedName>
    <definedName name="A2____1">#REF!</definedName>
    <definedName name="A2____13">#REF!</definedName>
    <definedName name="A2____5">#REF!</definedName>
    <definedName name="a20.15">#REF!</definedName>
    <definedName name="A3_">#REF!</definedName>
    <definedName name="A3____0">#REF!</definedName>
    <definedName name="A3____1">#REF!</definedName>
    <definedName name="A3____13">#REF!</definedName>
    <definedName name="A3____5">#REF!</definedName>
    <definedName name="A4_">#REF!</definedName>
    <definedName name="A4____0">#REF!</definedName>
    <definedName name="A4____1">#REF!</definedName>
    <definedName name="A4____13">#REF!</definedName>
    <definedName name="A4____5">#REF!</definedName>
    <definedName name="A5_">#REF!</definedName>
    <definedName name="A5____0">#REF!</definedName>
    <definedName name="A5____1">#REF!</definedName>
    <definedName name="A5____13">#REF!</definedName>
    <definedName name="A5____5">#REF!</definedName>
    <definedName name="A6_">#REF!</definedName>
    <definedName name="A6____0">#REF!</definedName>
    <definedName name="A6____1">#REF!</definedName>
    <definedName name="A6____13">#REF!</definedName>
    <definedName name="A6____5">#REF!</definedName>
    <definedName name="A7_">#REF!</definedName>
    <definedName name="A7____0">#REF!</definedName>
    <definedName name="A7____1">#REF!</definedName>
    <definedName name="A7____13">#REF!</definedName>
    <definedName name="A7____5">#REF!</definedName>
    <definedName name="A70000___0">#REF!</definedName>
    <definedName name="A70000___1">#REF!</definedName>
    <definedName name="A70000___5">#REF!</definedName>
    <definedName name="A8_">#REF!</definedName>
    <definedName name="A8____0">#REF!</definedName>
    <definedName name="A8____1">#REF!</definedName>
    <definedName name="A8____13">#REF!</definedName>
    <definedName name="A8____5">#REF!</definedName>
    <definedName name="A80000___0">#REF!</definedName>
    <definedName name="A80000___1">#REF!</definedName>
    <definedName name="A80000___5">#REF!</definedName>
    <definedName name="A9_">#REF!</definedName>
    <definedName name="A9____0">#REF!</definedName>
    <definedName name="A9____1">#REF!</definedName>
    <definedName name="A9____13">#REF!</definedName>
    <definedName name="A9____5">#REF!</definedName>
    <definedName name="A99999___0">#REF!</definedName>
    <definedName name="A99999___1">#REF!</definedName>
    <definedName name="A99999___5">#REF!</definedName>
    <definedName name="A999999___0">#REF!</definedName>
    <definedName name="A999999___1">#REF!</definedName>
    <definedName name="A999999___5">#REF!</definedName>
    <definedName name="AA">#REF!</definedName>
    <definedName name="AA.Report.Files" hidden="1">#REF!</definedName>
    <definedName name="AA.Reports.Available" hidden="1">#REF!</definedName>
    <definedName name="aaa"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AAA_DOCTOPS" hidden="1">"AAA_SET"</definedName>
    <definedName name="AAA_duser" hidden="1">"OFF"</definedName>
    <definedName name="aaaa" localSheetId="5" hidden="1">{#N/A,#N/A,FALSE,"Summary";#N/A,#N/A,FALSE,"CF";#N/A,#N/A,FALSE,"P&amp;L";#N/A,#N/A,FALSE,"BS";#N/A,#N/A,FALSE,"Returns";#N/A,#N/A,FALSE,"Assumptions";#N/A,#N/A,FALSE,"Analysis"}</definedName>
    <definedName name="aaaa" localSheetId="0" hidden="1">{#N/A,#N/A,FALSE,"Summary";#N/A,#N/A,FALSE,"CF";#N/A,#N/A,FALSE,"P&amp;L";#N/A,#N/A,FALSE,"BS";#N/A,#N/A,FALSE,"Returns";#N/A,#N/A,FALSE,"Assumptions";#N/A,#N/A,FALSE,"Analysis"}</definedName>
    <definedName name="aaaa" hidden="1">{#N/A,#N/A,FALSE,"Summary";#N/A,#N/A,FALSE,"CF";#N/A,#N/A,FALSE,"P&amp;L";#N/A,#N/A,FALSE,"BS";#N/A,#N/A,FALSE,"Returns";#N/A,#N/A,FALSE,"Assumptions";#N/A,#N/A,FALSE,"Analysis"}</definedName>
    <definedName name="aaaa5">#REF!</definedName>
    <definedName name="aaaaa">#REF!</definedName>
    <definedName name="aaaaaaa" localSheetId="5" hidden="1">{#N/A,#N/A,FALSE,"DCF Summary";#N/A,#N/A,FALSE,"Casema";#N/A,#N/A,FALSE,"Casema NoTel";#N/A,#N/A,FALSE,"UK";#N/A,#N/A,FALSE,"RCF";#N/A,#N/A,FALSE,"Intercable CZ";#N/A,#N/A,FALSE,"Interkabel P"}</definedName>
    <definedName name="aaaaaaa" localSheetId="0" hidden="1">{#N/A,#N/A,FALSE,"DCF Summary";#N/A,#N/A,FALSE,"Casema";#N/A,#N/A,FALSE,"Casema NoTel";#N/A,#N/A,FALSE,"UK";#N/A,#N/A,FALSE,"RCF";#N/A,#N/A,FALSE,"Intercable CZ";#N/A,#N/A,FALSE,"Interkabel P"}</definedName>
    <definedName name="aaaaaaa" hidden="1">{#N/A,#N/A,FALSE,"DCF Summary";#N/A,#N/A,FALSE,"Casema";#N/A,#N/A,FALSE,"Casema NoTel";#N/A,#N/A,FALSE,"UK";#N/A,#N/A,FALSE,"RCF";#N/A,#N/A,FALSE,"Intercable CZ";#N/A,#N/A,FALSE,"Interkabel P"}</definedName>
    <definedName name="aaafsafsajfksafkajsf" hidden="1">{"'August 2000'!$A$1:$J$101"}</definedName>
    <definedName name="aab" hidden="1">{"'Mach'!$A$1:$D$39"}</definedName>
    <definedName name="AAB_Addin5" hidden="1">"AAB_Description for addin 5,Description for addin 5,Description for addin 5,Description for addin 5,Description for addin 5,Description for addin 5"</definedName>
    <definedName name="aasd" hidden="1">{#N/A,#N/A,TRUE,"BT M200 da 10x20"}</definedName>
    <definedName name="AB" hidden="1">{#N/A,#N/A,FALSE,"Balance Sheets";#N/A,#N/A,FALSE,"96 Conservative";#N/A,#N/A,FALSE,"96 Possible"}</definedName>
    <definedName name="abb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bc">#REF!</definedName>
    <definedName name="abc_111" hidden="1">1</definedName>
    <definedName name="abcd">#REF!</definedName>
    <definedName name="ABS" localSheetId="5" hidden="1">{#N/A,#N/A,FALSE,"M&amp;B_43A_fab";#N/A,#N/A,FALSE,"M&amp;B_43A_ERE.";#N/A,#N/A,FALSE,"M&amp;B-43A-ALIGN"}</definedName>
    <definedName name="ABS" localSheetId="0" hidden="1">{#N/A,#N/A,FALSE,"M&amp;B_43A_fab";#N/A,#N/A,FALSE,"M&amp;B_43A_ERE.";#N/A,#N/A,FALSE,"M&amp;B-43A-ALIGN"}</definedName>
    <definedName name="ABS" hidden="1">{#N/A,#N/A,FALSE,"M&amp;B_43A_fab";#N/A,#N/A,FALSE,"M&amp;B_43A_ERE.";#N/A,#N/A,FALSE,"M&amp;B-43A-ALIGN"}</definedName>
    <definedName name="abstract" localSheetId="5" hidden="1">{#N/A,#N/A,FALSE,"M&amp;B_43A_fab";#N/A,#N/A,FALSE,"M&amp;B_43A_ERE.";#N/A,#N/A,FALSE,"M&amp;B-43A-ALIGN"}</definedName>
    <definedName name="abstract" localSheetId="0" hidden="1">{#N/A,#N/A,FALSE,"M&amp;B_43A_fab";#N/A,#N/A,FALSE,"M&amp;B_43A_ERE.";#N/A,#N/A,FALSE,"M&amp;B-43A-ALIGN"}</definedName>
    <definedName name="abstract" hidden="1">{#N/A,#N/A,FALSE,"M&amp;B_43A_fab";#N/A,#N/A,FALSE,"M&amp;B_43A_ERE.";#N/A,#N/A,FALSE,"M&amp;B-43A-ALIGN"}</definedName>
    <definedName name="abstractEB" hidden="1">{#N/A,#N/A,TRUE,"Front";#N/A,#N/A,TRUE,"Simple Letter";#N/A,#N/A,TRUE,"Inside";#N/A,#N/A,TRUE,"Contents";#N/A,#N/A,TRUE,"Basis";#N/A,#N/A,TRUE,"Inclusions";#N/A,#N/A,TRUE,"Exclusions";#N/A,#N/A,TRUE,"Areas";#N/A,#N/A,TRUE,"Summary";#N/A,#N/A,TRUE,"Detail"}</definedName>
    <definedName name="Ac" hidden="1">{#N/A,#N/A,FALSE,"One Pager";#N/A,#N/A,FALSE,"Technical"}</definedName>
    <definedName name="acab">#REF!</definedName>
    <definedName name="acab_16">#REF!</definedName>
    <definedName name="acab_17">#REF!</definedName>
    <definedName name="acab_18">#REF!</definedName>
    <definedName name="acab_19">#REF!</definedName>
    <definedName name="acab_4">#REF!</definedName>
    <definedName name="acab_5">#REF!</definedName>
    <definedName name="acab_6">#REF!</definedName>
    <definedName name="acab_7">#REF!</definedName>
    <definedName name="acab_8">#REF!</definedName>
    <definedName name="acab_9">#REF!</definedName>
    <definedName name="acabf">#REF!</definedName>
    <definedName name="acabl">#REF!</definedName>
    <definedName name="accab">#REF!</definedName>
    <definedName name="accab_16">#REF!</definedName>
    <definedName name="accab_17">#REF!</definedName>
    <definedName name="accab_18">#REF!</definedName>
    <definedName name="accab_19">#REF!</definedName>
    <definedName name="accab_4">#REF!</definedName>
    <definedName name="accab_5">#REF!</definedName>
    <definedName name="accab_6">#REF!</definedName>
    <definedName name="accab_7">#REF!</definedName>
    <definedName name="accab_8">#REF!</definedName>
    <definedName name="accab_9">#REF!</definedName>
    <definedName name="ACCCHANGE">[12]IS!#REF!</definedName>
    <definedName name="Access_Button" hidden="1">"Cosmo_Links_LINKS_List"</definedName>
    <definedName name="AccessDatabase" hidden="1">"U:\UK Property Market\Property Companies.mdb"</definedName>
    <definedName name="ACCTCODE">'[24]Standard Cost Codes'!#REF!</definedName>
    <definedName name="AcctName">#REF!</definedName>
    <definedName name="AcctName___0">#REF!</definedName>
    <definedName name="AcctName___1">#REF!</definedName>
    <definedName name="AcctName___17">#REF!</definedName>
    <definedName name="AcctName___4">#REF!</definedName>
    <definedName name="AcctName___5">#REF!</definedName>
    <definedName name="AcctName_4">#REF!</definedName>
    <definedName name="AcctName_4___0">#REF!</definedName>
    <definedName name="AcctName_4___1">#REF!</definedName>
    <definedName name="AcctName_4___17">#REF!</definedName>
    <definedName name="AcctName_4___4">#REF!</definedName>
    <definedName name="AcctName_4___5">#REF!</definedName>
    <definedName name="AcctName_4_1">#REF!</definedName>
    <definedName name="AcctName_4_1___0">#REF!</definedName>
    <definedName name="AcctName_4_1___1">#REF!</definedName>
    <definedName name="AcctName_4_1___5">#REF!</definedName>
    <definedName name="AcctName_6">#REF!</definedName>
    <definedName name="AcctName_6___0">#REF!</definedName>
    <definedName name="AcctName_6___1">#REF!</definedName>
    <definedName name="AcctName_6___17">#REF!</definedName>
    <definedName name="AcctName_6___4">#REF!</definedName>
    <definedName name="AcctName_6___5">#REF!</definedName>
    <definedName name="AcctPrio">#REF!</definedName>
    <definedName name="AcctPrio___0">#REF!</definedName>
    <definedName name="AcctPrio___1">#REF!</definedName>
    <definedName name="AcctPrio___17">#REF!</definedName>
    <definedName name="AcctPrio___4">#REF!</definedName>
    <definedName name="AcctPrio___5">#REF!</definedName>
    <definedName name="AcctPrio_4">#REF!</definedName>
    <definedName name="AcctPrio_4___0">#REF!</definedName>
    <definedName name="AcctPrio_4___1">#REF!</definedName>
    <definedName name="AcctPrio_4___17">#REF!</definedName>
    <definedName name="AcctPrio_4___4">#REF!</definedName>
    <definedName name="AcctPrio_4___5">#REF!</definedName>
    <definedName name="AcctPrio_4_1">#REF!</definedName>
    <definedName name="AcctPrio_4_1___0">#REF!</definedName>
    <definedName name="AcctPrio_4_1___1">#REF!</definedName>
    <definedName name="AcctPrio_4_1___5">#REF!</definedName>
    <definedName name="AcctPrio_6">#REF!</definedName>
    <definedName name="AcctPrio_6___0">#REF!</definedName>
    <definedName name="AcctPrio_6___1">#REF!</definedName>
    <definedName name="AcctPrio_6___17">#REF!</definedName>
    <definedName name="AcctPrio_6___4">#REF!</definedName>
    <definedName name="AcctPrio_6___5">#REF!</definedName>
    <definedName name="AcctPrio_Text">#REF!</definedName>
    <definedName name="AcctPrio_Text___0">#REF!</definedName>
    <definedName name="AcctPrio_Text___1">#REF!</definedName>
    <definedName name="AcctPrio_Text___17">#REF!</definedName>
    <definedName name="AcctPrio_Text___4">#REF!</definedName>
    <definedName name="AcctPrio_Text___5">#REF!</definedName>
    <definedName name="AcctPrio_Text_4">#REF!</definedName>
    <definedName name="AcctPrio_Text_4___0">#REF!</definedName>
    <definedName name="AcctPrio_Text_4___1">#REF!</definedName>
    <definedName name="AcctPrio_Text_4___17">#REF!</definedName>
    <definedName name="AcctPrio_Text_4___4">#REF!</definedName>
    <definedName name="AcctPrio_Text_4___5">#REF!</definedName>
    <definedName name="AcctPrio_Text_4_1">#REF!</definedName>
    <definedName name="AcctPrio_Text_4_1___0">#REF!</definedName>
    <definedName name="AcctPrio_Text_4_1___1">#REF!</definedName>
    <definedName name="AcctPrio_Text_4_1___5">#REF!</definedName>
    <definedName name="AcctPrio_Text_6">#REF!</definedName>
    <definedName name="AcctPrio_Text_6___0">#REF!</definedName>
    <definedName name="AcctPrio_Text_6___1">#REF!</definedName>
    <definedName name="AcctPrio_Text_6___17">#REF!</definedName>
    <definedName name="AcctPrio_Text_6___4">#REF!</definedName>
    <definedName name="AcctPrio_Text_6___5">#REF!</definedName>
    <definedName name="ACH">'[25]Qry-Alloc Pool by 2 dot'!$B$3:$D$52</definedName>
    <definedName name="acon">#REF!</definedName>
    <definedName name="acon_16">#REF!</definedName>
    <definedName name="acon_17">#REF!</definedName>
    <definedName name="acon_18">#REF!</definedName>
    <definedName name="acon_19">#REF!</definedName>
    <definedName name="acon_4">#REF!</definedName>
    <definedName name="acon_5">#REF!</definedName>
    <definedName name="acon_6">#REF!</definedName>
    <definedName name="acon_7">#REF!</definedName>
    <definedName name="acon_8">#REF!</definedName>
    <definedName name="acon_9">#REF!</definedName>
    <definedName name="ActCode">#REF!</definedName>
    <definedName name="ACTEA">#REF!</definedName>
    <definedName name="ActNetCO2001">#REF!</definedName>
    <definedName name="ActPilot">#REF!</definedName>
    <definedName name="ActSignal">#REF!</definedName>
    <definedName name="ActType">#REF!</definedName>
    <definedName name="actual">'[26]FAO dwnld'!$A$3:$AL$1271</definedName>
    <definedName name="Actual00" localSheetId="13">[03_operate_pkg_downloads_FKB.XLS]Actual00</definedName>
    <definedName name="Actual00" localSheetId="4">[03_operate_pkg_downloads_FKB.XLS]Actual00</definedName>
    <definedName name="Actual00">[03_operate_pkg_downloads_FKB.XLS]Actual00</definedName>
    <definedName name="ActualCv">#REF!</definedName>
    <definedName name="ActualPress">#REF!</definedName>
    <definedName name="Actuals">#REF!</definedName>
    <definedName name="Actuals_SWF">#REF!</definedName>
    <definedName name="ADD.STRUTT">#REF!</definedName>
    <definedName name="add_BOQ" hidden="1">{#N/A,#N/A,TRUE,"Front";#N/A,#N/A,TRUE,"Simple Letter";#N/A,#N/A,TRUE,"Inside";#N/A,#N/A,TRUE,"Contents";#N/A,#N/A,TRUE,"Basis";#N/A,#N/A,TRUE,"Inclusions";#N/A,#N/A,TRUE,"Exclusions";#N/A,#N/A,TRUE,"Areas";#N/A,#N/A,TRUE,"Summary";#N/A,#N/A,TRUE,"Detail"}</definedName>
    <definedName name="additional">#REF!</definedName>
    <definedName name="adfrs" hidden="1">{#N/A,#N/A,FALSE,"COVER.XLS";#N/A,#N/A,FALSE,"RACT1.XLS";#N/A,#N/A,FALSE,"RACT2.XLS";#N/A,#N/A,FALSE,"ECCMP";#N/A,#N/A,FALSE,"WELDER.XLS"}</definedName>
    <definedName name="adj">#REF!</definedName>
    <definedName name="ADJCOSTASM">'[12]#REF'!#REF!</definedName>
    <definedName name="ADMIN" hidden="1">{#N/A,#N/A,TRUE,"KOCH P&amp;L";#N/A,#N/A,TRUE,"sumpl";#N/A,#N/A,TRUE,"2000";#N/A,#N/A,TRUE,"2001";#N/A,#N/A,TRUE,"2002";#N/A,#N/A,TRUE,"2003 ";#N/A,#N/A,TRUE,"brg comm";#N/A,#N/A,TRUE,"lsm comm"}</definedName>
    <definedName name="ADMINISTRATION" hidden="1">{"'Bsheet BIS'!$A$1:$F$43"}</definedName>
    <definedName name="ADMN" hidden="1">{"'Bsheet BIS'!$A$1:$F$43"}</definedName>
    <definedName name="admn_off">#REF!</definedName>
    <definedName name="admn_site">#REF!</definedName>
    <definedName name="ads" hidden="1">{#N/A,#N/A,FALSE,"Aging Summary";#N/A,#N/A,FALSE,"Ratio Analysis";#N/A,#N/A,FALSE,"Test 120 Day Accts";#N/A,#N/A,FALSE,"Tickmarks"}</definedName>
    <definedName name="ads\" hidden="1">[27]EXPENSES!#REF!</definedName>
    <definedName name="ae">#REF!</definedName>
    <definedName name="aerareh">'[21]#REF'!$A$1:$S$65</definedName>
    <definedName name="af" hidden="1">'[23]F-4'!#REF!</definedName>
    <definedName name="Ag___0">#REF!</definedName>
    <definedName name="Ag___13">#REF!</definedName>
    <definedName name="again" hidden="1">{"DCOMINC",#N/A,FALSE,"COMDEV";"DCOM_N1",#N/A,FALSE,"COMDEV";"DCOM_N",#N/A,FALSE,"COMDEV";"DCOM_F",#N/A,FALSE,"COMDEV"}</definedName>
    <definedName name="Agents">#REF!</definedName>
    <definedName name="ahdfla">#REF!</definedName>
    <definedName name="ahu">#REF!</definedName>
    <definedName name="AI">'[28]Assumption Inputs'!#REF!</definedName>
    <definedName name="Aida_2" localSheetId="5" hidden="1">{#N/A,#N/A,FALSE,"Finanzplan";#N/A,#N/A,FALSE,"Bilanz";#N/A,#N/A,FALSE,"GuV"}</definedName>
    <definedName name="Aida_2" localSheetId="0" hidden="1">{#N/A,#N/A,FALSE,"Finanzplan";#N/A,#N/A,FALSE,"Bilanz";#N/A,#N/A,FALSE,"GuV"}</definedName>
    <definedName name="Aida_2" hidden="1">{#N/A,#N/A,FALSE,"Finanzplan";#N/A,#N/A,FALSE,"Bilanz";#N/A,#N/A,FALSE,"GuV"}</definedName>
    <definedName name="Aida_4" localSheetId="5" hidden="1">{#N/A,#N/A,FALSE,"Finanzplan";#N/A,#N/A,FALSE,"Bilanz";#N/A,#N/A,FALSE,"GuV"}</definedName>
    <definedName name="Aida_4" localSheetId="0" hidden="1">{#N/A,#N/A,FALSE,"Finanzplan";#N/A,#N/A,FALSE,"Bilanz";#N/A,#N/A,FALSE,"GuV"}</definedName>
    <definedName name="Aida_4" hidden="1">{#N/A,#N/A,FALSE,"Finanzplan";#N/A,#N/A,FALSE,"Bilanz";#N/A,#N/A,FALSE,"GuV"}</definedName>
    <definedName name="Alarm_current_Amp_In_Minutes">#REF!</definedName>
    <definedName name="ald">#REF!</definedName>
    <definedName name="All">#REF!</definedName>
    <definedName name="All_Item">#REF!</definedName>
    <definedName name="allf">!$A$265:$Q$299</definedName>
    <definedName name="allfc">!$A$6:$Q$41</definedName>
    <definedName name="allfg">!$A$43:$Q$79</definedName>
    <definedName name="allfi">!$A$80:$Q$116</definedName>
    <definedName name="allfr">!$A$117:$Q$153</definedName>
    <definedName name="allfs">!$A$154:$Q$190</definedName>
    <definedName name="allft">!$A$191:$Q$227</definedName>
    <definedName name="allfz">!$A$228:$Q$264</definedName>
    <definedName name="alpha">#REF!</definedName>
    <definedName name="ALPIN">#N/A</definedName>
    <definedName name="ALPJYOU">#N/A</definedName>
    <definedName name="ALPTOI">#N/A</definedName>
    <definedName name="alpuussss"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lt1___0">#REF!</definedName>
    <definedName name="alt1___1">#REF!</definedName>
    <definedName name="alt1___5">#REF!</definedName>
    <definedName name="ALT2___0">#REF!</definedName>
    <definedName name="ALT2___1">#REF!</definedName>
    <definedName name="ALT2___5">#REF!</definedName>
    <definedName name="ALT3___0">#REF!</definedName>
    <definedName name="ALT3___1">#REF!</definedName>
    <definedName name="ALT3___5">#REF!</definedName>
    <definedName name="ALT4___0">#REF!</definedName>
    <definedName name="ALT4___1">#REF!</definedName>
    <definedName name="ALT4___5">#REF!</definedName>
    <definedName name="ALU_door_window">#REF!</definedName>
    <definedName name="alu_haerware">#REF!</definedName>
    <definedName name="alu_haerware1">#REF!</definedName>
    <definedName name="alu_hardware">#REF!</definedName>
    <definedName name="alw">#REF!</definedName>
    <definedName name="AMC_Yrs">#REF!</definedName>
    <definedName name="amit" hidden="1">{"Balance Sheet",#N/A,FALSE,"Balsheet";"Assets Schedule",#N/A,FALSE,"Balsheet";"Abstract",#N/A,FALSE,"Balsheet"}</definedName>
    <definedName name="amit_1" hidden="1">{#N/A,#N/A,TRUE,"145A"}</definedName>
    <definedName name="amit_1_1" hidden="1">{#N/A,#N/A,TRUE,"145A"}</definedName>
    <definedName name="amit_1_1_1" hidden="1">{#N/A,#N/A,TRUE,"145A"}</definedName>
    <definedName name="amit_2" hidden="1">{#N/A,#N/A,TRUE,"145A"}</definedName>
    <definedName name="amit_2_1" hidden="1">{#N/A,#N/A,TRUE,"145A"}</definedName>
    <definedName name="amit_3" hidden="1">{#N/A,#N/A,TRUE,"145A"}</definedName>
    <definedName name="amit_3_1" hidden="1">{#N/A,#N/A,TRUE,"145A"}</definedName>
    <definedName name="amit_4" hidden="1">{#N/A,#N/A,TRUE,"145A"}</definedName>
    <definedName name="amit_4_1" hidden="1">{#N/A,#N/A,TRUE,"145A"}</definedName>
    <definedName name="amit_5" hidden="1">{#N/A,#N/A,TRUE,"145A"}</definedName>
    <definedName name="amit_5_1" hidden="1">{#N/A,#N/A,TRUE,"145A"}</definedName>
    <definedName name="amt" hidden="1">{"Balance Sheet",#N/A,FALSE,"Balsheet";"Assets Schedule",#N/A,FALSE,"Balsheet";"Abstract",#N/A,FALSE,"Balsheet"}</definedName>
    <definedName name="an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nalysis" hidden="1">'[29]P&amp;M assets &gt; 7 lakh'!#REF!</definedName>
    <definedName name="ann">#REF!</definedName>
    <definedName name="anne">#REF!</definedName>
    <definedName name="annealing">#REF!</definedName>
    <definedName name="annealing1">#REF!</definedName>
    <definedName name="Annexur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nscount" hidden="1">1</definedName>
    <definedName name="AOREV">'[12]#REF'!#REF!</definedName>
    <definedName name="apet">#REF!</definedName>
    <definedName name="APRIL_1996">[12]IS!#REF!</definedName>
    <definedName name="aq" hidden="1">'[23]F-4'!#REF!</definedName>
    <definedName name="AR">"Drop Down 14"</definedName>
    <definedName name="ARCHITECTURAL">#REF!</definedName>
    <definedName name="ARCHITECTURAL_7">#REF!</definedName>
    <definedName name="AREA">#REF!</definedName>
    <definedName name="Area1">#REF!</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equested">[30]Day2works!$J$14</definedName>
    <definedName name="aro" hidden="1">{#N/A,#N/A,TRUE,"145A"}</definedName>
    <definedName name="aro_1" hidden="1">{#N/A,#N/A,TRUE,"145A"}</definedName>
    <definedName name="aro_1_1" hidden="1">{#N/A,#N/A,TRUE,"145A"}</definedName>
    <definedName name="aro_1_1_1" hidden="1">{#N/A,#N/A,TRUE,"145A"}</definedName>
    <definedName name="aro_2" hidden="1">{#N/A,#N/A,TRUE,"145A"}</definedName>
    <definedName name="aro_2_1" hidden="1">{#N/A,#N/A,TRUE,"145A"}</definedName>
    <definedName name="aro_3" hidden="1">{#N/A,#N/A,TRUE,"145A"}</definedName>
    <definedName name="aro_3_1" hidden="1">{#N/A,#N/A,TRUE,"145A"}</definedName>
    <definedName name="aro_4" hidden="1">{#N/A,#N/A,TRUE,"145A"}</definedName>
    <definedName name="aro_4_1" hidden="1">{#N/A,#N/A,TRUE,"145A"}</definedName>
    <definedName name="aro_5" hidden="1">{#N/A,#N/A,TRUE,"145A"}</definedName>
    <definedName name="aro_5_1" hidden="1">{#N/A,#N/A,TRUE,"145A"}</definedName>
    <definedName name="arsdf" hidden="1">{#N/A,#N/A,FALSE,"Aging Summary";#N/A,#N/A,FALSE,"Ratio Analysis";#N/A,#N/A,FALSE,"Test 120 Day Accts";#N/A,#N/A,FALSE,"Tickmarks"}</definedName>
    <definedName name="arse" hidden="1">{"PAGE1",#N/A,FALSE,"Consolidation";"PAGE2",#N/A,FALSE,"Consolidation";"PAGE3",#N/A,FALSE,"Consolidation";"PAGE4",#N/A,FALSE,"Consolidation";"PAGE5",#N/A,FALSE,"Consolidation";"PAGE6",#N/A,FALSE,"Consolidation";"PAGE7",#N/A,FALSE,"Consolidation"}</definedName>
    <definedName name="arse1"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arse2" hidden="1">{"Print Summary",#N/A,FALSE,"Bal_Graphs";"Print Summary",#N/A,FALSE,"DCF";"Print Summary",#N/A,FALSE,"Graphs";"Print Summary",#N/A,FALSE,"Summary"}</definedName>
    <definedName name="as">'[21]#REF'!$A$46:$N$86</definedName>
    <definedName name="AS_PER_TALLY_31_09_04_ONYX_List1">#REF!</definedName>
    <definedName name="AS2DocOpenMode" hidden="1">"AS2DocumentEdit"</definedName>
    <definedName name="AS2HasNoAutoHeaderFooter" hidden="1">" "</definedName>
    <definedName name="AS2NamedRange" hidden="1">2</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CA" hidden="1">{#N/A,#N/A,FALSE,"COMP"}</definedName>
    <definedName name="asas" hidden="1">{"'照明目录'!$A$1:$H$31"}</definedName>
    <definedName name="asd">'[21]#REF'!$A$1:$P$113</definedName>
    <definedName name="asda" hidden="1">{#N/A,#N/A,FALSE,"Cash Flows";#N/A,#N/A,FALSE,"Fixed Assets";#N/A,#N/A,FALSE,"Balance Sheet";#N/A,#N/A,FALSE,"P &amp; L"}</definedName>
    <definedName name="asda1" hidden="1">{#N/A,#N/A,FALSE,"Cash Flows";#N/A,#N/A,FALSE,"Fixed Assets";#N/A,#N/A,FALSE,"Balance Sheet";#N/A,#N/A,FALSE,"P &amp; L"}</definedName>
    <definedName name="asda2" hidden="1">{#N/A,#N/A,FALSE,"Cash Flows";#N/A,#N/A,FALSE,"Fixed Assets";#N/A,#N/A,FALSE,"Balance Sheet";#N/A,#N/A,FALSE,"P &amp; L"}</definedName>
    <definedName name="asdadasd" hidden="1">{#N/A,#N/A,FALSE,"COVER.XLS";#N/A,#N/A,FALSE,"RACT1.XLS";#N/A,#N/A,FALSE,"RACT2.XLS";#N/A,#N/A,FALSE,"ECCMP";#N/A,#N/A,FALSE,"WELDER.XLS"}</definedName>
    <definedName name="asdasdasd"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dasdasdadas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sdfdfdjf"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asdfg" hidden="1">{#N/A,#N/A,TRUE,"KEY DATA";#N/A,#N/A,TRUE,"KEY DATA Base Case";#N/A,#N/A,TRUE,"JULY";#N/A,#N/A,TRUE,"AUG";#N/A,#N/A,TRUE,"SEPT";#N/A,#N/A,TRUE,"3Q"}</definedName>
    <definedName name="asfd" localSheetId="5" hidden="1">{#N/A,#N/A,FALSE,"Finanzplan";#N/A,#N/A,FALSE,"Bilanz";#N/A,#N/A,FALSE,"GuV"}</definedName>
    <definedName name="asfd" localSheetId="0" hidden="1">{#N/A,#N/A,FALSE,"Finanzplan";#N/A,#N/A,FALSE,"Bilanz";#N/A,#N/A,FALSE,"GuV"}</definedName>
    <definedName name="asfd" hidden="1">{#N/A,#N/A,FALSE,"Finanzplan";#N/A,#N/A,FALSE,"Bilanz";#N/A,#N/A,FALSE,"GuV"}</definedName>
    <definedName name="asfsdf" hidden="1">{#N/A,#N/A,FALSE,"COMP"}</definedName>
    <definedName name="ashis" hidden="1">{#N/A,#N/A,FALSE,"8"}</definedName>
    <definedName name="ashish" hidden="1">{#N/A,#N/A,FALSE,"11"}</definedName>
    <definedName name="ASHOKA">#REF!</definedName>
    <definedName name="ASMCAR">'[12]#REF'!#REF!</definedName>
    <definedName name="ASMMEX">'[12]#REF'!#REF!</definedName>
    <definedName name="asreqrv">'[21]#REF'!$A$1:$S$65</definedName>
    <definedName name="ass">'[21]#REF'!$A$89:$N$130</definedName>
    <definedName name="ass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a1"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tm">#REF!</definedName>
    <definedName name="atotal">[30]Day2works!$F$14</definedName>
    <definedName name="atotalusd">[30]Day2works!$G$14</definedName>
    <definedName name="ATUL" hidden="1">{#N/A,#N/A,TRUE,"145A"}</definedName>
    <definedName name="ATUL_1" hidden="1">{#N/A,#N/A,TRUE,"145A"}</definedName>
    <definedName name="ATUL_1_1" hidden="1">{#N/A,#N/A,TRUE,"145A"}</definedName>
    <definedName name="ATUL_1_1_1" hidden="1">{#N/A,#N/A,TRUE,"145A"}</definedName>
    <definedName name="ATUL_2" hidden="1">{#N/A,#N/A,TRUE,"145A"}</definedName>
    <definedName name="ATUL_2_1" hidden="1">{#N/A,#N/A,TRUE,"145A"}</definedName>
    <definedName name="ATUL_3" hidden="1">{#N/A,#N/A,TRUE,"145A"}</definedName>
    <definedName name="ATUL_3_1" hidden="1">{#N/A,#N/A,TRUE,"145A"}</definedName>
    <definedName name="ATUL_4" hidden="1">{#N/A,#N/A,TRUE,"145A"}</definedName>
    <definedName name="ATUL_4_1" hidden="1">{#N/A,#N/A,TRUE,"145A"}</definedName>
    <definedName name="ATUL_5" hidden="1">{#N/A,#N/A,TRUE,"145A"}</definedName>
    <definedName name="ATUL_5_1" hidden="1">{#N/A,#N/A,TRUE,"145A"}</definedName>
    <definedName name="Au">#REF!</definedName>
    <definedName name="Auftragswert">#REF!</definedName>
    <definedName name="Auto_öppna_xlquery_DClick" hidden="1">[31]!Register.DClick</definedName>
    <definedName name="auxlp">#REF!</definedName>
    <definedName name="auxlp___0">#REF!</definedName>
    <definedName name="auxlp___1">#REF!</definedName>
    <definedName name="auxlp___17">#REF!</definedName>
    <definedName name="auxlp___4">#REF!</definedName>
    <definedName name="auxlp___5">#REF!</definedName>
    <definedName name="AvgSellPr" hidden="1">[32]Input!$K$162:$Y$162,[32]Input!$K$180:$Y$180,[32]Input!$K$198:$Y$198,[32]Input!$K$216:$Y$216,[32]Input!$K$234:$Y$234,[32]Input!$K$252:$Y$252,[32]Input!$K$270:$Y$270,[32]Input!$K$288:$Y$288</definedName>
    <definedName name="aw" hidden="1">'[23]F-4'!#REF!</definedName>
    <definedName name="Aweld">#REF!</definedName>
    <definedName name="B">#REF!</definedName>
    <definedName name="B.Bldg">#REF!</definedName>
    <definedName name="B.C1.3.6_40mm">#REF!</definedName>
    <definedName name="B.W.1.3_2.0">#REF!</definedName>
    <definedName name="B.W.1.3_2.25">#REF!</definedName>
    <definedName name="B.W.1.3_2.5">#REF!</definedName>
    <definedName name="B.W.1.3_2.75">#REF!</definedName>
    <definedName name="B.W.1.3_3">#REF!</definedName>
    <definedName name="B.W.1.5_2.0">#REF!</definedName>
    <definedName name="B.W.1.5_2.25">#REF!</definedName>
    <definedName name="B.W.1.5_2.5">#REF!</definedName>
    <definedName name="B.W.1.5_2.75">#REF!</definedName>
    <definedName name="B.W.1.5_3">#REF!</definedName>
    <definedName name="B.W.1.6_2.0">#REF!</definedName>
    <definedName name="B.W.1.6_2.25">#REF!</definedName>
    <definedName name="B.W.1.6_2.5">#REF!</definedName>
    <definedName name="B.W.1.6_2.75">#REF!</definedName>
    <definedName name="B.W.1.6_3">#REF!</definedName>
    <definedName name="B___0">#REF!</definedName>
    <definedName name="B___13">#REF!</definedName>
    <definedName name="B___5">#REF!</definedName>
    <definedName name="B_1">NA()</definedName>
    <definedName name="B_7">NA()</definedName>
    <definedName name="B_ConsmrBtmHalfGrphs">'[21]Consumer Fraud'!$A$79:$AF$150</definedName>
    <definedName name="B_ConsmrLossSum">'[21]#REF'!$A$46:$N$86</definedName>
    <definedName name="B_Data">'[21]Avoidance '!$AD$8:$AS$82</definedName>
    <definedName name="B1Length">#REF!</definedName>
    <definedName name="b275.">#REF!</definedName>
    <definedName name="b275.___0">#REF!</definedName>
    <definedName name="b275.___1">#REF!</definedName>
    <definedName name="b275.___5">#REF!</definedName>
    <definedName name="B2Length">#REF!</definedName>
    <definedName name="B3Length">#REF!</definedName>
    <definedName name="B5Length">#REF!</definedName>
    <definedName name="B8Length">#REF!</definedName>
    <definedName name="b9960.">#REF!</definedName>
    <definedName name="backup" hidden="1">{#N/A,#N/A,TRUE,"KEY DATA";#N/A,#N/A,TRUE,"KEY DATA Base Case";#N/A,#N/A,TRUE,"JULY";#N/A,#N/A,TRUE,"AUG";#N/A,#N/A,TRUE,"SEPT";#N/A,#N/A,TRUE,"3Q"}</definedName>
    <definedName name="Balance" hidden="1">{#N/A,#N/A,FALSE,"Balance Sheets";#N/A,#N/A,FALSE,"96 Conservative";#N/A,#N/A,FALSE,"96 Possible"}</definedName>
    <definedName name="Band_2">'[33]IRP all H2s'!$B$7:$I$191</definedName>
    <definedName name="bandwidth">#REF!</definedName>
    <definedName name="Banquet">#REF!</definedName>
    <definedName name="BASE">#REF!</definedName>
    <definedName name="BASE00">[12]IS!#REF!</definedName>
    <definedName name="BaseData_1" hidden="1">{#N/A,#N/A,FALSE,"Cash Flows";#N/A,#N/A,FALSE,"Fixed Assets";#N/A,#N/A,FALSE,"Balance Sheet";#N/A,#N/A,FALSE,"P &amp; L"}</definedName>
    <definedName name="BaseData_2" hidden="1">{#N/A,#N/A,FALSE,"Cash Flows";#N/A,#N/A,FALSE,"Fixed Assets";#N/A,#N/A,FALSE,"Balance Sheet";#N/A,#N/A,FALSE,"P &amp; L"}</definedName>
    <definedName name="Bassis" hidden="1">{#N/A,#N/A,FALSE,"Cash Flows";#N/A,#N/A,FALSE,"Fixed Assets";#N/A,#N/A,FALSE,"Balance Sheet";#N/A,#N/A,FALSE,"P &amp; L"}</definedName>
    <definedName name="BB">#REF!</definedName>
    <definedName name="bbb">'[21]#REF'!$A$1:$P$113</definedName>
    <definedName name="bbb_7">#REF!</definedName>
    <definedName name="bbbbb" hidden="1">{#N/A,#N/A,FALSE,"Assessment";#N/A,#N/A,FALSE,"Staffing";#N/A,#N/A,FALSE,"Hires";#N/A,#N/A,FALSE,"Assumptions"}</definedName>
    <definedName name="BBRAS"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bb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BC" hidden="1">[34]analysis!#REF!</definedName>
    <definedName name="bca">#REF!</definedName>
    <definedName name="bcfb">#REF!</definedName>
    <definedName name="BD" hidden="1">[34]analysis!#REF!</definedName>
    <definedName name="bddsbsd" hidden="1">{#N/A,#N/A,FALSE,"Assessment";#N/A,#N/A,FALSE,"Staffing";#N/A,#N/A,FALSE,"Hires";#N/A,#N/A,FALSE,"Assumptions"}</definedName>
    <definedName name="bdsbds" hidden="1">{#N/A,#N/A,FALSE,"Assessment";#N/A,#N/A,FALSE,"Staffing";#N/A,#N/A,FALSE,"Hires";#N/A,#N/A,FALSE,"Assumptions"}</definedName>
    <definedName name="bdsbn" hidden="1">{#N/A,#N/A,FALSE,"Assessment";#N/A,#N/A,FALSE,"Staffing";#N/A,#N/A,FALSE,"Hires";#N/A,#N/A,FALSE,"Assumptions"}</definedName>
    <definedName name="bdsbnsd" hidden="1">{#N/A,#N/A,FALSE,"Assessment";#N/A,#N/A,FALSE,"Staffing";#N/A,#N/A,FALSE,"Hires";#N/A,#N/A,FALSE,"Assumptions"}</definedName>
    <definedName name="bdsbsd" hidden="1">{#N/A,#N/A,FALSE,"Assessment";#N/A,#N/A,FALSE,"Staffing";#N/A,#N/A,FALSE,"Hires";#N/A,#N/A,FALSE,"Assumptions"}</definedName>
    <definedName name="bdsdbdsb" hidden="1">{#N/A,#N/A,FALSE,"Assessment";#N/A,#N/A,FALSE,"Staffing";#N/A,#N/A,FALSE,"Hires";#N/A,#N/A,FALSE,"Assumptions"}</definedName>
    <definedName name="BE" hidden="1">[35]analysis!#REF!</definedName>
    <definedName name="beam">#REF!</definedName>
    <definedName name="BeamLength">#REF!</definedName>
    <definedName name="BEAMS">#REF!</definedName>
    <definedName name="BED">#REF!</definedName>
    <definedName name="BED_WALL">#REF!</definedName>
    <definedName name="Beg_Bal">#REF!</definedName>
    <definedName name="BeginBorder">#REF!</definedName>
    <definedName name="BeginBorder_7">#REF!</definedName>
    <definedName name="BELL__Polarised">#REF!</definedName>
    <definedName name="beta">#REF!</definedName>
    <definedName name="Better">[12]iD!$B$56</definedName>
    <definedName name="BF" hidden="1">[34]analysis!#REF!</definedName>
    <definedName name="BFR">#REF!</definedName>
    <definedName name="BG_Del" hidden="1">15</definedName>
    <definedName name="BG_Ins" hidden="1">4</definedName>
    <definedName name="BG_Mod" hidden="1">6</definedName>
    <definedName name="BH" hidden="1">[34]analysis!#REF!</definedName>
    <definedName name="bha" hidden="1">{#N/A,#N/A,TRUE,"Summary";#N/A,#N/A,TRUE,"Balance Sheet";#N/A,#N/A,TRUE,"P &amp; L";#N/A,#N/A,TRUE,"Fixed Assets";#N/A,#N/A,TRUE,"Cash Flows"}</definedName>
    <definedName name="bhavesh" hidden="1">{#N/A,#N/A,FALSE,"Cash Flows";#N/A,#N/A,FALSE,"Fixed Assets";#N/A,#N/A,FALSE,"Balance Sheet";#N/A,#N/A,FALSE,"P &amp; L"}</definedName>
    <definedName name="bhaveshm" hidden="1">{#N/A,#N/A,FALSE,"Cash Flows";#N/A,#N/A,FALSE,"Fixed Assets";#N/A,#N/A,FALSE,"Balance Sheet";#N/A,#N/A,FALSE,"P &amp; L"}</definedName>
    <definedName name="BidClass">#REF!</definedName>
    <definedName name="BidClass___0">#REF!</definedName>
    <definedName name="BidClass___1">#REF!</definedName>
    <definedName name="BidClass___17">#REF!</definedName>
    <definedName name="BidClass___4">#REF!</definedName>
    <definedName name="BidClass___5">#REF!</definedName>
    <definedName name="BidClass_4">#REF!</definedName>
    <definedName name="BidClass_4___0">#REF!</definedName>
    <definedName name="BidClass_4___1">#REF!</definedName>
    <definedName name="BidClass_4___17">#REF!</definedName>
    <definedName name="BidClass_4___4">#REF!</definedName>
    <definedName name="BidClass_4___5">#REF!</definedName>
    <definedName name="BidClass_4_1">#REF!</definedName>
    <definedName name="BidClass_4_1___0">#REF!</definedName>
    <definedName name="BidClass_4_1___1">#REF!</definedName>
    <definedName name="BidClass_4_1___5">#REF!</definedName>
    <definedName name="BidClass_6">#REF!</definedName>
    <definedName name="BidClass_6___0">#REF!</definedName>
    <definedName name="BidClass_6___1">#REF!</definedName>
    <definedName name="BidClass_6___17">#REF!</definedName>
    <definedName name="BidClass_6___4">#REF!</definedName>
    <definedName name="BidClass_6___5">#REF!</definedName>
    <definedName name="BidClass_Text">#REF!</definedName>
    <definedName name="BidClass_Text___0">#REF!</definedName>
    <definedName name="BidClass_Text___1">#REF!</definedName>
    <definedName name="BidClass_Text___17">#REF!</definedName>
    <definedName name="BidClass_Text___4">#REF!</definedName>
    <definedName name="BidClass_Text___5">#REF!</definedName>
    <definedName name="BidClass_Text_4">#REF!</definedName>
    <definedName name="BidClass_Text_4___0">#REF!</definedName>
    <definedName name="BidClass_Text_4___1">#REF!</definedName>
    <definedName name="BidClass_Text_4___17">#REF!</definedName>
    <definedName name="BidClass_Text_4___4">#REF!</definedName>
    <definedName name="BidClass_Text_4___5">#REF!</definedName>
    <definedName name="BidClass_Text_4_1">#REF!</definedName>
    <definedName name="BidClass_Text_4_1___0">#REF!</definedName>
    <definedName name="BidClass_Text_4_1___1">#REF!</definedName>
    <definedName name="BidClass_Text_4_1___5">#REF!</definedName>
    <definedName name="BidClass_Text_6">#REF!</definedName>
    <definedName name="BidClass_Text_6___0">#REF!</definedName>
    <definedName name="BidClass_Text_6___1">#REF!</definedName>
    <definedName name="BidClass_Text_6___17">#REF!</definedName>
    <definedName name="BidClass_Text_6___4">#REF!</definedName>
    <definedName name="BidClass_Text_6___5">#REF!</definedName>
    <definedName name="bijalpur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bilan4" hidden="1">{"K Bilanz o. Kommentar",#N/A,FALSE,"Kaufhof"}</definedName>
    <definedName name="BillingFreq">#REF!</definedName>
    <definedName name="BillingFreq___0">#REF!</definedName>
    <definedName name="BillingFreq___1">#REF!</definedName>
    <definedName name="BillingFreq___17">#REF!</definedName>
    <definedName name="BillingFreq___4">#REF!</definedName>
    <definedName name="BillingFreq___5">#REF!</definedName>
    <definedName name="BillingFreq_4">#REF!</definedName>
    <definedName name="BillingFreq_4___0">#REF!</definedName>
    <definedName name="BillingFreq_4___1">#REF!</definedName>
    <definedName name="BillingFreq_4___17">#REF!</definedName>
    <definedName name="BillingFreq_4___4">#REF!</definedName>
    <definedName name="BillingFreq_4___5">#REF!</definedName>
    <definedName name="BillingFreq_4_1">#REF!</definedName>
    <definedName name="BillingFreq_4_1___0">#REF!</definedName>
    <definedName name="BillingFreq_4_1___1">#REF!</definedName>
    <definedName name="BillingFreq_4_1___5">#REF!</definedName>
    <definedName name="BillingFreq_6">#REF!</definedName>
    <definedName name="BillingFreq_6___0">#REF!</definedName>
    <definedName name="BillingFreq_6___1">#REF!</definedName>
    <definedName name="BillingFreq_6___17">#REF!</definedName>
    <definedName name="BillingFreq_6___4">#REF!</definedName>
    <definedName name="BillingFreq_6___5">#REF!</definedName>
    <definedName name="BillingTiming">#REF!</definedName>
    <definedName name="BillingTiming___0">#REF!</definedName>
    <definedName name="BillingTiming___1">#REF!</definedName>
    <definedName name="BillingTiming___17">#REF!</definedName>
    <definedName name="BillingTiming___4">#REF!</definedName>
    <definedName name="BillingTiming___5">#REF!</definedName>
    <definedName name="BillingTiming_4">#REF!</definedName>
    <definedName name="BillingTiming_4___0">#REF!</definedName>
    <definedName name="BillingTiming_4___1">#REF!</definedName>
    <definedName name="BillingTiming_4___17">#REF!</definedName>
    <definedName name="BillingTiming_4___4">#REF!</definedName>
    <definedName name="BillingTiming_4___5">#REF!</definedName>
    <definedName name="BillingTiming_4_1">#REF!</definedName>
    <definedName name="BillingTiming_4_1___0">#REF!</definedName>
    <definedName name="BillingTiming_4_1___1">#REF!</definedName>
    <definedName name="BillingTiming_4_1___5">#REF!</definedName>
    <definedName name="BillingTiming_6">#REF!</definedName>
    <definedName name="BillingTiming_6___0">#REF!</definedName>
    <definedName name="BillingTiming_6___1">#REF!</definedName>
    <definedName name="BillingTiming_6___17">#REF!</definedName>
    <definedName name="BillingTiming_6___4">#REF!</definedName>
    <definedName name="BillingTiming_6___5">#REF!</definedName>
    <definedName name="Bills" hidden="1">{#N/A,#N/A,FALSE,"COVER1.XLS ";#N/A,#N/A,FALSE,"RACT1.XLS";#N/A,#N/A,FALSE,"RACT2.XLS";#N/A,#N/A,FALSE,"ECCMP";#N/A,#N/A,FALSE,"WELDER.XLS"}</definedName>
    <definedName name="BIN">#REF!</definedName>
    <definedName name="bj" hidden="1">'[36]F-4'!#REF!</definedName>
    <definedName name="bjcdbw" hidden="1">{"'August 2000'!$A$1:$J$101"}</definedName>
    <definedName name="bjhvgshdfgnbfjasfhjbnfjhasfhjnf">#REF!</definedName>
    <definedName name="bjlc">#REF!</definedName>
    <definedName name="bL">#REF!</definedName>
    <definedName name="BldgQty">#REF!</definedName>
    <definedName name="BldgQty_16">#REF!</definedName>
    <definedName name="BldgQty_17">#REF!</definedName>
    <definedName name="BldgQty_18">#REF!</definedName>
    <definedName name="BldgQty_19">#REF!</definedName>
    <definedName name="BldgQty_4">#REF!</definedName>
    <definedName name="BldgQty_5">#REF!</definedName>
    <definedName name="BldgQty_6">#REF!</definedName>
    <definedName name="BldgQty_7">#REF!</definedName>
    <definedName name="BldgQty_8">#REF!</definedName>
    <definedName name="BldgQty_9">#REF!</definedName>
    <definedName name="Block02">#REF!</definedName>
    <definedName name="Block03">#REF!</definedName>
    <definedName name="Block04">#REF!</definedName>
    <definedName name="Block05">#REF!</definedName>
    <definedName name="Block06">#REF!</definedName>
    <definedName name="Block07">#REF!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4" hidden="1">#REF!</definedName>
    <definedName name="BLPH47" hidden="1">#REF!</definedName>
    <definedName name="BLPH48" hidden="1">#REF!</definedName>
    <definedName name="BLPH49" hidden="1">#REF!</definedName>
    <definedName name="BLPH5" hidden="1">#REF!</definedName>
    <definedName name="BLPH50" hidden="1">'[37]Pr.-hist.'!#REF!</definedName>
    <definedName name="BLPH6" hidden="1">#REF!</definedName>
    <definedName name="BLPH7" hidden="1">#REF!</definedName>
    <definedName name="BLPH8" hidden="1">#REF!</definedName>
    <definedName name="BLPH9" hidden="1">#REF!</definedName>
    <definedName name="blv_100">#REF!</definedName>
    <definedName name="blv_150">#REF!</definedName>
    <definedName name="blv_200">#REF!</definedName>
    <definedName name="blv_25">#REF!</definedName>
    <definedName name="blv_250">#REF!</definedName>
    <definedName name="blv_300">#REF!</definedName>
    <definedName name="blv_32">#REF!</definedName>
    <definedName name="blv_40">#REF!</definedName>
    <definedName name="blv_400">#REF!</definedName>
    <definedName name="blv_50">#REF!</definedName>
    <definedName name="blv_500">#REF!</definedName>
    <definedName name="blv_65">#REF!</definedName>
    <definedName name="blv_80">#REF!</definedName>
    <definedName name="BMP">#REF!</definedName>
    <definedName name="bol">#REF!</definedName>
    <definedName name="boml">#REF!</definedName>
    <definedName name="boml1">#REF!</definedName>
    <definedName name="BOOK" hidden="1">{"'Mach'!$A$1:$D$39"}</definedName>
    <definedName name="boq">#REF!</definedName>
    <definedName name="bose">#REF!</definedName>
    <definedName name="botl">#REF!</definedName>
    <definedName name="botl1">#REF!</definedName>
    <definedName name="botn">#REF!</definedName>
    <definedName name="box_speaker">#REF!</definedName>
    <definedName name="Br.Par_2.0">#REF!</definedName>
    <definedName name="Br.Par_2.25">#REF!</definedName>
    <definedName name="Br.Par_2.50">#REF!</definedName>
    <definedName name="Br.Par_2.75">#REF!</definedName>
    <definedName name="Br.Par_3.0">#REF!</definedName>
    <definedName name="Breaks">#REF!</definedName>
    <definedName name="brequested">[30]Day2works!$J$22</definedName>
    <definedName name="brick">#REF!</definedName>
    <definedName name="Brick_Size">#REF!</definedName>
    <definedName name="bridgesum">'[38]bridge data by 3dot'!$A$3:$P$102</definedName>
    <definedName name="bsec1">#REF!</definedName>
    <definedName name="bsec2">#REF!</definedName>
    <definedName name="bsec3">#REF!</definedName>
    <definedName name="bsec4">#REF!</definedName>
    <definedName name="bsec5">#REF!</definedName>
    <definedName name="bsec6">#REF!</definedName>
    <definedName name="btf">#REF!</definedName>
    <definedName name="btotal">[30]Day2works!$F$22</definedName>
    <definedName name="btotalusd">[30]Day2works!$G$22</definedName>
    <definedName name="Bu">#REF!</definedName>
    <definedName name="bua">#REF!</definedName>
    <definedName name="budaccess">#REF!</definedName>
    <definedName name="budahu">#REF!</definedName>
    <definedName name="budav">#REF!</definedName>
    <definedName name="budblinds">#REF!</definedName>
    <definedName name="budblockwork">#REF!</definedName>
    <definedName name="budbms">#REF!</definedName>
    <definedName name="budcarpet">#REF!</definedName>
    <definedName name="budceiling">#REF!</definedName>
    <definedName name="budchairs">#REF!</definedName>
    <definedName name="budchillers">#REF!</definedName>
    <definedName name="buddesign">#REF!</definedName>
    <definedName name="buddg">#REF!</definedName>
    <definedName name="BUDDHA">#REF!</definedName>
    <definedName name="buddoors">#REF!</definedName>
    <definedName name="budelectrical">#REF!</definedName>
    <definedName name="budelectrlow">#REF!</definedName>
    <definedName name="budexting">#REF!</definedName>
    <definedName name="budfire">#REF!</definedName>
    <definedName name="budfm200">#REF!</definedName>
    <definedName name="budgraphics">#REF!</definedName>
    <definedName name="budhvaclow">#REF!</definedName>
    <definedName name="budinterior">#REF!</definedName>
    <definedName name="budinvertor">#REF!</definedName>
    <definedName name="budkitchen">#REF!</definedName>
    <definedName name="budltpanels">#REF!</definedName>
    <definedName name="budmains">#REF!</definedName>
    <definedName name="budmodular">#REF!</definedName>
    <definedName name="budnetworking">#REF!</definedName>
    <definedName name="budplatform">#REF!</definedName>
    <definedName name="budprecision">#REF!</definedName>
    <definedName name="budscreeding">#REF!</definedName>
    <definedName name="budservicetax">#REF!</definedName>
    <definedName name="budsignage">#REF!</definedName>
    <definedName name="budsound">#REF!</definedName>
    <definedName name="budsprinklersinceiling">#REF!</definedName>
    <definedName name="budups">#REF!</definedName>
    <definedName name="budvtiles">#REF!</definedName>
    <definedName name="BUILDER_S__PROFIT__AND__ATTENDANCE">#REF!</definedName>
    <definedName name="building">#REF!</definedName>
    <definedName name="building___0">#REF!</definedName>
    <definedName name="building___11">#REF!</definedName>
    <definedName name="building___12">#REF!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Titles">#REF!</definedName>
    <definedName name="BuiltIn_Print_Titles___0">#REF!</definedName>
    <definedName name="BuiltIn_Print_Titles___0___0">#REF!</definedName>
    <definedName name="BuiltIn_Print_Titles___0___0___0">#REF!</definedName>
    <definedName name="BuiltIn_Print_Titles___0___0___0___0">#REF!</definedName>
    <definedName name="BuiltIn_Print_Titles___0___0___0___0___0">#REF!</definedName>
    <definedName name="BuiltIn_Print_Titles___0___0___0___0___0___0">#REF!</definedName>
    <definedName name="BuiltIn_Print_Titles___0___0___0___0___0___0___0">#REF!</definedName>
    <definedName name="BuiltIn_Print_Titles___0___0___0___0___0___0___0___0">#REF!</definedName>
    <definedName name="BuiltIn_Print_Titles___0___0___0___0___0___0___0___0___0">#REF!</definedName>
    <definedName name="BuiltIn_Print_Titles___0___0___0___0___0___0___0___0___0___0">#REF!</definedName>
    <definedName name="BuiltIn_Print_Titles___0___0___0___0___0___0___0___0___0___0___0">#REF!</definedName>
    <definedName name="BuiltIn_Print_Titles___0___0___0___0___0___0___0___0___0___0___0___0">#REF!</definedName>
    <definedName name="BuiltIn_Print_Titles___0___0___0___0___0___0___0___0___0___0___0___0___0">#REF!</definedName>
    <definedName name="BuiltIn_Print_Titles___0___0___0___0___0___0___0___0___0___0___0___0___0___0">#REF!</definedName>
    <definedName name="BusType">#REF!</definedName>
    <definedName name="BusType___0">#REF!</definedName>
    <definedName name="BusType___1">#REF!</definedName>
    <definedName name="BusType___17">#REF!</definedName>
    <definedName name="BusType___4">#REF!</definedName>
    <definedName name="BusType___5">#REF!</definedName>
    <definedName name="BusType_4">#REF!</definedName>
    <definedName name="BusType_4___0">#REF!</definedName>
    <definedName name="BusType_4___1">#REF!</definedName>
    <definedName name="BusType_4___17">#REF!</definedName>
    <definedName name="BusType_4___4">#REF!</definedName>
    <definedName name="BusType_4___5">#REF!</definedName>
    <definedName name="BusType_4_1">#REF!</definedName>
    <definedName name="BusType_4_1___0">#REF!</definedName>
    <definedName name="BusType_4_1___1">#REF!</definedName>
    <definedName name="BusType_4_1___5">#REF!</definedName>
    <definedName name="BusType_6">#REF!</definedName>
    <definedName name="BusType_6___0">#REF!</definedName>
    <definedName name="BusType_6___1">#REF!</definedName>
    <definedName name="BusType_6___17">#REF!</definedName>
    <definedName name="BusType_6___4">#REF!</definedName>
    <definedName name="BusType_6___5">#REF!</definedName>
    <definedName name="BusType_Text">#REF!</definedName>
    <definedName name="BusType_Text___0">#REF!</definedName>
    <definedName name="BusType_Text___1">#REF!</definedName>
    <definedName name="BusType_Text___17">#REF!</definedName>
    <definedName name="BusType_Text___4">#REF!</definedName>
    <definedName name="BusType_Text___5">#REF!</definedName>
    <definedName name="BusType_Text_4">#REF!</definedName>
    <definedName name="BusType_Text_4___0">#REF!</definedName>
    <definedName name="BusType_Text_4___1">#REF!</definedName>
    <definedName name="BusType_Text_4___17">#REF!</definedName>
    <definedName name="BusType_Text_4___4">#REF!</definedName>
    <definedName name="BusType_Text_4___5">#REF!</definedName>
    <definedName name="BusType_Text_4_1">#REF!</definedName>
    <definedName name="BusType_Text_4_1___0">#REF!</definedName>
    <definedName name="BusType_Text_4_1___1">#REF!</definedName>
    <definedName name="BusType_Text_4_1___5">#REF!</definedName>
    <definedName name="BusType_Text_6">#REF!</definedName>
    <definedName name="BusType_Text_6___0">#REF!</definedName>
    <definedName name="BusType_Text_6___1">#REF!</definedName>
    <definedName name="BusType_Text_6___17">#REF!</definedName>
    <definedName name="BusType_Text_6___4">#REF!</definedName>
    <definedName name="BusType_Text_6___5">#REF!</definedName>
    <definedName name="Button_5">"AS_PER_TALLY_31_09_04_ONYX_List"</definedName>
    <definedName name="Button_7">"AS_PER_TALLY_31_09_04_ONYX_List1"</definedName>
    <definedName name="Button_8">"AS_PER_TALLY_31_09_04_ONYX_List1"</definedName>
    <definedName name="buttonesque">[39]!buttonesque</definedName>
    <definedName name="bW">#REF!</definedName>
    <definedName name="BWF1B">#REF!</definedName>
    <definedName name="bwld">#REF!</definedName>
    <definedName name="bwrwb" hidden="1">{#N/A,#N/A,FALSE,"Assessment";#N/A,#N/A,FALSE,"Staffing";#N/A,#N/A,FALSE,"Hires";#N/A,#N/A,FALSE,"Assumptions"}</definedName>
    <definedName name="Bx">#REF!</definedName>
    <definedName name="Bx___0">#REF!</definedName>
    <definedName name="Bx___13">#REF!</definedName>
    <definedName name="bxnvxnd">#REF!</definedName>
    <definedName name="bxnvxnd___0">#REF!</definedName>
    <definedName name="bxnvxnd___1">#REF!</definedName>
    <definedName name="bxnvxnd___17">#REF!</definedName>
    <definedName name="bxnvxnd___4">#REF!</definedName>
    <definedName name="bxnvxnd___5">#REF!</definedName>
    <definedName name="By">#REF!</definedName>
    <definedName name="C.L.WALL">#REF!</definedName>
    <definedName name="C.M.1.1">#REF!</definedName>
    <definedName name="C.M.1.1.5">#REF!</definedName>
    <definedName name="C.S.WALL">#REF!</definedName>
    <definedName name="C_">#REF!</definedName>
    <definedName name="C_CommLossSum">'[21]#REF'!$A$89:$N$130</definedName>
    <definedName name="C_ConsmrRecvryGrph">'[21]Cons Recov Rates'!$A$1:$V$42</definedName>
    <definedName name="Ca">#REF!</definedName>
    <definedName name="ca1boq">#REF!</definedName>
    <definedName name="ca1boq___0">#REF!</definedName>
    <definedName name="ca1boq___1">#REF!</definedName>
    <definedName name="ca1boq___5">#REF!</definedName>
    <definedName name="cab">#REF!</definedName>
    <definedName name="cab___0">#REF!</definedName>
    <definedName name="cab___1">#REF!</definedName>
    <definedName name="cab___17">#REF!</definedName>
    <definedName name="cab___4">#REF!</definedName>
    <definedName name="cab___5">#REF!</definedName>
    <definedName name="cab21.5tp">#REF!</definedName>
    <definedName name="cab21.5tp___0">#REF!</definedName>
    <definedName name="cab21.5tp___1">#REF!</definedName>
    <definedName name="cab21.5tp___17">#REF!</definedName>
    <definedName name="cab21.5tp___4">#REF!</definedName>
    <definedName name="cab21.5tp___5">#REF!</definedName>
    <definedName name="cab21.5tp_2">NA()</definedName>
    <definedName name="cab21.5tp_4">#REF!</definedName>
    <definedName name="cab21.5tp_4___0">#REF!</definedName>
    <definedName name="cab21.5tp_4___1">#REF!</definedName>
    <definedName name="cab21.5tp_4___17">#REF!</definedName>
    <definedName name="cab21.5tp_4___4">#REF!</definedName>
    <definedName name="cab21.5tp_4___5">#REF!</definedName>
    <definedName name="cab21.5tp_4_1">#REF!</definedName>
    <definedName name="cab21.5tp_4_1___0">#REF!</definedName>
    <definedName name="cab21.5tp_4_1___1">#REF!</definedName>
    <definedName name="cab21.5tp_4_1___5">#REF!</definedName>
    <definedName name="cab21.5tp_6">#REF!</definedName>
    <definedName name="cab21.5tp_6___0">#REF!</definedName>
    <definedName name="cab21.5tp_6___1">#REF!</definedName>
    <definedName name="cab21.5tp_6___17">#REF!</definedName>
    <definedName name="cab21.5tp_6___4">#REF!</definedName>
    <definedName name="cab21.5tp_6___5">#REF!</definedName>
    <definedName name="cab21s">#REF!</definedName>
    <definedName name="cab21s___0">#REF!</definedName>
    <definedName name="cab21s___1">#REF!</definedName>
    <definedName name="cab21s___17">#REF!</definedName>
    <definedName name="cab21s___4">#REF!</definedName>
    <definedName name="cab21s___5">#REF!</definedName>
    <definedName name="cab21s_2">NA()</definedName>
    <definedName name="cab21s_4">#REF!</definedName>
    <definedName name="cab21s_4___0">#REF!</definedName>
    <definedName name="cab21s_4___1">#REF!</definedName>
    <definedName name="cab21s_4___17">#REF!</definedName>
    <definedName name="cab21s_4___4">#REF!</definedName>
    <definedName name="cab21s_4___5">#REF!</definedName>
    <definedName name="cab21s_4_1">#REF!</definedName>
    <definedName name="cab21s_4_1___0">#REF!</definedName>
    <definedName name="cab21s_4_1___1">#REF!</definedName>
    <definedName name="cab21s_4_1___5">#REF!</definedName>
    <definedName name="cab21s_6">#REF!</definedName>
    <definedName name="cab21s_6___0">#REF!</definedName>
    <definedName name="cab21s_6___1">#REF!</definedName>
    <definedName name="cab21s_6___17">#REF!</definedName>
    <definedName name="cab21s_6___4">#REF!</definedName>
    <definedName name="cab21s_6___5">#REF!</definedName>
    <definedName name="cab21us">#REF!</definedName>
    <definedName name="cab21us___0">#REF!</definedName>
    <definedName name="cab21us___1">#REF!</definedName>
    <definedName name="cab21us___17">#REF!</definedName>
    <definedName name="cab21us___4">#REF!</definedName>
    <definedName name="cab21us___5">#REF!</definedName>
    <definedName name="cab21us_2">NA()</definedName>
    <definedName name="cab21us_4">#REF!</definedName>
    <definedName name="cab21us_4___0">#REF!</definedName>
    <definedName name="cab21us_4___1">#REF!</definedName>
    <definedName name="cab21us_4___17">#REF!</definedName>
    <definedName name="cab21us_4___4">#REF!</definedName>
    <definedName name="cab21us_4___5">#REF!</definedName>
    <definedName name="cab21us_4_1">#REF!</definedName>
    <definedName name="cab21us_4_1___0">#REF!</definedName>
    <definedName name="cab21us_4_1___1">#REF!</definedName>
    <definedName name="cab21us_4_1___5">#REF!</definedName>
    <definedName name="cab21us_6">#REF!</definedName>
    <definedName name="cab21us_6___0">#REF!</definedName>
    <definedName name="cab21us_6___1">#REF!</definedName>
    <definedName name="cab21us_6___17">#REF!</definedName>
    <definedName name="cab21us_6___4">#REF!</definedName>
    <definedName name="cab21us_6___5">#REF!</definedName>
    <definedName name="cab31s">#REF!</definedName>
    <definedName name="cab31s___0">#REF!</definedName>
    <definedName name="cab31s___1">#REF!</definedName>
    <definedName name="cab31s___17">#REF!</definedName>
    <definedName name="cab31s___4">#REF!</definedName>
    <definedName name="cab31s___5">#REF!</definedName>
    <definedName name="cab31s_2">NA()</definedName>
    <definedName name="cab31s_4">#REF!</definedName>
    <definedName name="cab31s_4___0">#REF!</definedName>
    <definedName name="cab31s_4___1">#REF!</definedName>
    <definedName name="cab31s_4___17">#REF!</definedName>
    <definedName name="cab31s_4___4">#REF!</definedName>
    <definedName name="cab31s_4___5">#REF!</definedName>
    <definedName name="cab31s_4_1">#REF!</definedName>
    <definedName name="cab31s_4_1___0">#REF!</definedName>
    <definedName name="cab31s_4_1___1">#REF!</definedName>
    <definedName name="cab31s_4_1___5">#REF!</definedName>
    <definedName name="cab31s_6">#REF!</definedName>
    <definedName name="cab31s_6___0">#REF!</definedName>
    <definedName name="cab31s_6___1">#REF!</definedName>
    <definedName name="cab31s_6___17">#REF!</definedName>
    <definedName name="cab31s_6___4">#REF!</definedName>
    <definedName name="cab31s_6___5">#REF!</definedName>
    <definedName name="cab31us">#REF!</definedName>
    <definedName name="cab31us___0">#REF!</definedName>
    <definedName name="cab31us___1">#REF!</definedName>
    <definedName name="cab31us___17">#REF!</definedName>
    <definedName name="cab31us___4">#REF!</definedName>
    <definedName name="cab31us___5">#REF!</definedName>
    <definedName name="cab31us_2">NA()</definedName>
    <definedName name="cab31us_4">#REF!</definedName>
    <definedName name="cab31us_4___0">#REF!</definedName>
    <definedName name="cab31us_4___1">#REF!</definedName>
    <definedName name="cab31us_4___17">#REF!</definedName>
    <definedName name="cab31us_4___4">#REF!</definedName>
    <definedName name="cab31us_4___5">#REF!</definedName>
    <definedName name="cab31us_4_1">#REF!</definedName>
    <definedName name="cab31us_4_1___0">#REF!</definedName>
    <definedName name="cab31us_4_1___1">#REF!</definedName>
    <definedName name="cab31us_4_1___5">#REF!</definedName>
    <definedName name="cab31us_6">#REF!</definedName>
    <definedName name="cab31us_6___0">#REF!</definedName>
    <definedName name="cab31us_6___1">#REF!</definedName>
    <definedName name="cab31us_6___17">#REF!</definedName>
    <definedName name="cab31us_6___4">#REF!</definedName>
    <definedName name="cab31us_6___5">#REF!</definedName>
    <definedName name="cab41s">#REF!</definedName>
    <definedName name="cab41s___0">#REF!</definedName>
    <definedName name="cab41s___1">#REF!</definedName>
    <definedName name="cab41s___17">#REF!</definedName>
    <definedName name="cab41s___4">#REF!</definedName>
    <definedName name="cab41s___5">#REF!</definedName>
    <definedName name="cab41s_2">NA()</definedName>
    <definedName name="cab41s_4">#REF!</definedName>
    <definedName name="cab41s_4___0">#REF!</definedName>
    <definedName name="cab41s_4___1">#REF!</definedName>
    <definedName name="cab41s_4___17">#REF!</definedName>
    <definedName name="cab41s_4___4">#REF!</definedName>
    <definedName name="cab41s_4___5">#REF!</definedName>
    <definedName name="cab41s_4_1">#REF!</definedName>
    <definedName name="cab41s_4_1___0">#REF!</definedName>
    <definedName name="cab41s_4_1___1">#REF!</definedName>
    <definedName name="cab41s_4_1___5">#REF!</definedName>
    <definedName name="cab41s_6">#REF!</definedName>
    <definedName name="cab41s_6___0">#REF!</definedName>
    <definedName name="cab41s_6___1">#REF!</definedName>
    <definedName name="cab41s_6___17">#REF!</definedName>
    <definedName name="cab41s_6___4">#REF!</definedName>
    <definedName name="cab41s_6___5">#REF!</definedName>
    <definedName name="cab41us">#REF!</definedName>
    <definedName name="cab41us___0">#REF!</definedName>
    <definedName name="cab41us___1">#REF!</definedName>
    <definedName name="cab41us___17">#REF!</definedName>
    <definedName name="cab41us___4">#REF!</definedName>
    <definedName name="cab41us___5">#REF!</definedName>
    <definedName name="cab41us_2">NA()</definedName>
    <definedName name="cab41us_4">#REF!</definedName>
    <definedName name="cab41us_4___0">#REF!</definedName>
    <definedName name="cab41us_4___1">#REF!</definedName>
    <definedName name="cab41us_4___17">#REF!</definedName>
    <definedName name="cab41us_4___4">#REF!</definedName>
    <definedName name="cab41us_4___5">#REF!</definedName>
    <definedName name="cab41us_4_1">#REF!</definedName>
    <definedName name="cab41us_4_1___0">#REF!</definedName>
    <definedName name="cab41us_4_1___1">#REF!</definedName>
    <definedName name="cab41us_4_1___5">#REF!</definedName>
    <definedName name="cab41us_6">#REF!</definedName>
    <definedName name="cab41us_6___0">#REF!</definedName>
    <definedName name="cab41us_6___1">#REF!</definedName>
    <definedName name="cab41us_6___17">#REF!</definedName>
    <definedName name="cab41us_6___4">#REF!</definedName>
    <definedName name="cab41us_6___5">#REF!</definedName>
    <definedName name="cabd">#REF!</definedName>
    <definedName name="cabd_16">#REF!</definedName>
    <definedName name="cabd_17">#REF!</definedName>
    <definedName name="cabd_18">#REF!</definedName>
    <definedName name="cabd_19">#REF!</definedName>
    <definedName name="cabd_4">#REF!</definedName>
    <definedName name="cabd_5">#REF!</definedName>
    <definedName name="cabd_6">#REF!</definedName>
    <definedName name="cabd_7">#REF!</definedName>
    <definedName name="cabd_8">#REF!</definedName>
    <definedName name="cabd_9">#REF!</definedName>
    <definedName name="cabf">#REF!</definedName>
    <definedName name="cabf___0">#REF!</definedName>
    <definedName name="cabf___1">#REF!</definedName>
    <definedName name="cabf___17">#REF!</definedName>
    <definedName name="cabf___4">#REF!</definedName>
    <definedName name="cabf___5">#REF!</definedName>
    <definedName name="cabf_1">#REF!</definedName>
    <definedName name="cabf_16">#REF!</definedName>
    <definedName name="cabf_17">#REF!</definedName>
    <definedName name="cabf_18">#REF!</definedName>
    <definedName name="cabf_19">#REF!</definedName>
    <definedName name="cabf_2">NA()</definedName>
    <definedName name="cabf_2_1">#REF!</definedName>
    <definedName name="cabf_4">#REF!</definedName>
    <definedName name="cabf_4___0">#REF!</definedName>
    <definedName name="cabf_4___1">#REF!</definedName>
    <definedName name="cabf_4___17">#REF!</definedName>
    <definedName name="cabf_4___4">#REF!</definedName>
    <definedName name="cabf_4___5">#REF!</definedName>
    <definedName name="cabf_4_1">#REF!</definedName>
    <definedName name="cabf_4_1___0">#REF!</definedName>
    <definedName name="cabf_4_1___1">#REF!</definedName>
    <definedName name="cabf_4_1___5">#REF!</definedName>
    <definedName name="cabf_5">#REF!</definedName>
    <definedName name="cabf_6">#REF!</definedName>
    <definedName name="cabf_6___0">#REF!</definedName>
    <definedName name="cabf_6___1">#REF!</definedName>
    <definedName name="cabf_6___17">#REF!</definedName>
    <definedName name="cabf_6___4">#REF!</definedName>
    <definedName name="cabf_6___5">#REF!</definedName>
    <definedName name="cabf_7">#REF!</definedName>
    <definedName name="cabf_8">#REF!</definedName>
    <definedName name="cabf_9">#REF!</definedName>
    <definedName name="cabinet">#REF!</definedName>
    <definedName name="cabl">#REF!</definedName>
    <definedName name="CABLE">#REF!</definedName>
    <definedName name="CABLE___0">#REF!</definedName>
    <definedName name="CABLE___10">#REF!</definedName>
    <definedName name="CABLE___11">#REF!</definedName>
    <definedName name="CABLE___14">#REF!</definedName>
    <definedName name="CABLE___16">#REF!</definedName>
    <definedName name="CABLE___17">#REF!</definedName>
    <definedName name="CABLE___18">#REF!</definedName>
    <definedName name="CABLE___4">#REF!</definedName>
    <definedName name="CABLE___5">#REF!</definedName>
    <definedName name="CABLE___7">#REF!</definedName>
    <definedName name="CABLE___8">#REF!</definedName>
    <definedName name="CABLE___9">#REF!</definedName>
    <definedName name="CABLE_1">#REF!</definedName>
    <definedName name="CABLE_2">#REF!</definedName>
    <definedName name="CABLE_4">#REF!</definedName>
    <definedName name="CABLE_4___0">#REF!</definedName>
    <definedName name="CABLE_4___1">#REF!</definedName>
    <definedName name="CABLE_4___17">#REF!</definedName>
    <definedName name="CABLE_4___4">#REF!</definedName>
    <definedName name="CABLE_4___5">#REF!</definedName>
    <definedName name="CABLE_4_1">#REF!</definedName>
    <definedName name="CABLE_4_1___0">#REF!</definedName>
    <definedName name="CABLE_4_1___1">#REF!</definedName>
    <definedName name="CABLE_4_1___5">#REF!</definedName>
    <definedName name="CABLE_6">#REF!</definedName>
    <definedName name="CABLE_6___0">#REF!</definedName>
    <definedName name="CABLE_6___1">#REF!</definedName>
    <definedName name="CABLE_6___17">#REF!</definedName>
    <definedName name="CABLE_6___4">#REF!</definedName>
    <definedName name="CABLE_6___5">#REF!</definedName>
    <definedName name="cald">#REF!</definedName>
    <definedName name="cald_16">#REF!</definedName>
    <definedName name="cald_17">#REF!</definedName>
    <definedName name="cald_18">#REF!</definedName>
    <definedName name="cald_19">#REF!</definedName>
    <definedName name="cald_4">#REF!</definedName>
    <definedName name="cald_5">#REF!</definedName>
    <definedName name="cald_6">#REF!</definedName>
    <definedName name="cald_7">#REF!</definedName>
    <definedName name="cald_8">#REF!</definedName>
    <definedName name="cald_9">#REF!</definedName>
    <definedName name="CALf">#REF!</definedName>
    <definedName name="CALf___0">#REF!</definedName>
    <definedName name="CALf___1">#REF!</definedName>
    <definedName name="CALf___17">#REF!</definedName>
    <definedName name="CALf___4">#REF!</definedName>
    <definedName name="CALf___5">#REF!</definedName>
    <definedName name="CALf_2">NA()</definedName>
    <definedName name="CALf_4">#REF!</definedName>
    <definedName name="CALf_4___0">#REF!</definedName>
    <definedName name="CALf_4___1">#REF!</definedName>
    <definedName name="CALf_4___17">#REF!</definedName>
    <definedName name="CALf_4___4">#REF!</definedName>
    <definedName name="CALf_4___5">#REF!</definedName>
    <definedName name="CALf_4_1">#REF!</definedName>
    <definedName name="CALf_4_1___0">#REF!</definedName>
    <definedName name="CALf_4_1___1">#REF!</definedName>
    <definedName name="CALf_4_1___5">#REF!</definedName>
    <definedName name="CALf_6">#REF!</definedName>
    <definedName name="CALf_6___0">#REF!</definedName>
    <definedName name="CALf_6___1">#REF!</definedName>
    <definedName name="CALf_6___17">#REF!</definedName>
    <definedName name="CALf_6___4">#REF!</definedName>
    <definedName name="CALf_6___5">#REF!</definedName>
    <definedName name="CALIMP">[40]factors!#REF!</definedName>
    <definedName name="CALIMP_16">[40]factors!#REF!</definedName>
    <definedName name="CALIMP_17">[40]factors!#REF!</definedName>
    <definedName name="CALIMP_18">[40]factors!#REF!</definedName>
    <definedName name="CALIMP_19">[40]factors!#REF!</definedName>
    <definedName name="CALIMP_4">[40]factors!#REF!</definedName>
    <definedName name="CALIMP_5">[40]factors!#REF!</definedName>
    <definedName name="CALIMP_6">[40]factors!#REF!</definedName>
    <definedName name="CALIMP_7">[40]factors!#REF!</definedName>
    <definedName name="CALIMP_8">[40]factors!#REF!</definedName>
    <definedName name="CALIMP_9">[40]factors!#REF!</definedName>
    <definedName name="cam" hidden="1">{"process graphs",#N/A,FALSE,"graphs&amp;data"}</definedName>
    <definedName name="campustotal">[30]Day2works!$F$40</definedName>
    <definedName name="campususd">[30]Day2works!$G$40</definedName>
    <definedName name="cancel" hidden="1">{#N/A,#N/A,TRUE,"KEY DATA";#N/A,#N/A,TRUE,"KEY DATA Base Case";#N/A,#N/A,TRUE,"JULY";#N/A,#N/A,TRUE,"AUG";#N/A,#N/A,TRUE,"SEPT";#N/A,#N/A,TRUE,"3Q"}</definedName>
    <definedName name="CAPEFF">[12]IS!#REF!</definedName>
    <definedName name="capital">#REF!</definedName>
    <definedName name="carpet">#REF!</definedName>
    <definedName name="carpet___0">#REF!</definedName>
    <definedName name="carpet___11">#REF!</definedName>
    <definedName name="carpet___12">#REF!</definedName>
    <definedName name="CARPI">"'file://Stup-c09/D/JOBS/7078-MADURAVOYAL/ALAPAKKAM%20MAIN%20ROAD%20-%20APR05/ANNEX-2/ANN2-MADURAVOYAL%20DATA-APRIL-05.xls'#$Sheet1.$AX$50"</definedName>
    <definedName name="CARPI_15">[41]Sheet1!#REF!</definedName>
    <definedName name="CARPI_17">[41]Sheet1!#REF!</definedName>
    <definedName name="CARPI_18">[41]Sheet1!#REF!</definedName>
    <definedName name="CARTON">'[12]#REF'!#REF!</definedName>
    <definedName name="cash_bank">#REF!</definedName>
    <definedName name="CASH_OUT">#REF!</definedName>
    <definedName name="CASH_OUT___0">#REF!</definedName>
    <definedName name="CASH_OUT___1">#REF!</definedName>
    <definedName name="CASH_OUT___5">#REF!</definedName>
    <definedName name="cashflow2" hidden="1">{#N/A,#N/A,FALSE,"10"}</definedName>
    <definedName name="category">#REF!</definedName>
    <definedName name="Category_All">#REF!</definedName>
    <definedName name="CATIN">#N/A</definedName>
    <definedName name="CATJYOU">#N/A</definedName>
    <definedName name="CATREC">#N/A</definedName>
    <definedName name="CATSYU">#N/A</definedName>
    <definedName name="Cax">#REF!</definedName>
    <definedName name="cb_sChart16EBA7BA_opts" hidden="1">"1, 1, 1, False, 2, True,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gl1">#REF!</definedName>
    <definedName name="cbgl2">#REF!</definedName>
    <definedName name="cbgl3">#REF!</definedName>
    <definedName name="cbgl4">#REF!</definedName>
    <definedName name="cbu" hidden="1">{#N/A,#N/A,FALSE,"COVER.XLS";#N/A,#N/A,FALSE,"RACT1.XLS";#N/A,#N/A,FALSE,"RACT2.XLS";#N/A,#N/A,FALSE,"ECCMP";#N/A,#N/A,FALSE,"WELDER.XLS"}</definedName>
    <definedName name="cc"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C5a">#REF!</definedName>
    <definedName name="CC5a1">#REF!</definedName>
    <definedName name="CCC">'[42]TBAL9697 -group wise  sdpl'!$A$214</definedName>
    <definedName name="cccc">'[43]TBAL9697 -group wise  sdpl'!$A$34</definedName>
    <definedName name="cchf">#REF!</definedName>
    <definedName name="ccolagl">#REF!</definedName>
    <definedName name="ccsf">#REF!</definedName>
    <definedName name="cdf">#REF!</definedName>
    <definedName name="cdf___0">#REF!</definedName>
    <definedName name="cdf___1">#REF!</definedName>
    <definedName name="cdf___17">#REF!</definedName>
    <definedName name="cdf___4">#REF!</definedName>
    <definedName name="cdf___5">#REF!</definedName>
    <definedName name="cdu" hidden="1">{#N/A,#N/A,FALSE,"COVER.XLS";#N/A,#N/A,FALSE,"RACT1.XLS";#N/A,#N/A,FALSE,"RACT2.XLS";#N/A,#N/A,FALSE,"ECCMP";#N/A,#N/A,FALSE,"WELDER.XLS"}</definedName>
    <definedName name="CEILING__FINISHES">#REF!</definedName>
    <definedName name="Ceiling_Finishes">#REF!</definedName>
    <definedName name="Ceiling_Painting">#REF!</definedName>
    <definedName name="Ceiling_Plaster">#REF!</definedName>
    <definedName name="Ceiling_Plaster___0">#REF!</definedName>
    <definedName name="Ceiling_Plaster___1">#REF!</definedName>
    <definedName name="Ceiling_Plaster___5">#REF!</definedName>
    <definedName name="Ceiling_speaker">#REF!</definedName>
    <definedName name="Ceiling_Speaker_Unsupervised">#REF!</definedName>
    <definedName name="Cement">#REF!</definedName>
    <definedName name="Cement_Paint">#REF!</definedName>
    <definedName name="CENTERING">#REF!</definedName>
    <definedName name="CEO">#REF!</definedName>
    <definedName name="cf" hidden="1">{#N/A,#N/A,TRUE,"Front";#N/A,#N/A,TRUE,"Simple Letter";#N/A,#N/A,TRUE,"Inside";#N/A,#N/A,TRUE,"Contents";#N/A,#N/A,TRUE,"Basis";#N/A,#N/A,TRUE,"Inclusions";#N/A,#N/A,TRUE,"Exclusions";#N/A,#N/A,TRUE,"Areas";#N/A,#N/A,TRUE,"Summary";#N/A,#N/A,TRUE,"Detail"}</definedName>
    <definedName name="cfb">#REF!</definedName>
    <definedName name="cfbeams">#REF!</definedName>
    <definedName name="cfsalb">#REF!</definedName>
    <definedName name="cfslab">#REF!</definedName>
    <definedName name="CG" hidden="1">'[44]080 (2)'!$D$46</definedName>
    <definedName name="CGOMILES">'[12]#REF'!#REF!</definedName>
    <definedName name="ch_area1_3">NA()</definedName>
    <definedName name="ch_area1_3_1">NA()</definedName>
    <definedName name="ch_area2_3">NA()</definedName>
    <definedName name="ch_area2_3_1">NA()</definedName>
    <definedName name="ch_area3_3">NA()</definedName>
    <definedName name="ch_area3_3_1">NA()</definedName>
    <definedName name="ch_area4_3">NA()</definedName>
    <definedName name="ch_area4_3_1">NA()</definedName>
    <definedName name="Cha" hidden="1">{#N/A,#N/A,FALSE,"gc (2)"}</definedName>
    <definedName name="ChangeBy">#REF!</definedName>
    <definedName name="ChangeBy___0">#REF!</definedName>
    <definedName name="ChangeBy___1">#REF!</definedName>
    <definedName name="ChangeBy___17">#REF!</definedName>
    <definedName name="ChangeBy___4">#REF!</definedName>
    <definedName name="ChangeBy___5">#REF!</definedName>
    <definedName name="ChangeBy_4">#REF!</definedName>
    <definedName name="ChangeBy_4___0">#REF!</definedName>
    <definedName name="ChangeBy_4___1">#REF!</definedName>
    <definedName name="ChangeBy_4___17">#REF!</definedName>
    <definedName name="ChangeBy_4___4">#REF!</definedName>
    <definedName name="ChangeBy_4___5">#REF!</definedName>
    <definedName name="ChangeBy_4_1">#REF!</definedName>
    <definedName name="ChangeBy_4_1___0">#REF!</definedName>
    <definedName name="ChangeBy_4_1___1">#REF!</definedName>
    <definedName name="ChangeBy_4_1___5">#REF!</definedName>
    <definedName name="ChangeBy_6">#REF!</definedName>
    <definedName name="ChangeBy_6___0">#REF!</definedName>
    <definedName name="ChangeBy_6___1">#REF!</definedName>
    <definedName name="ChangeBy_6___17">#REF!</definedName>
    <definedName name="ChangeBy_6___4">#REF!</definedName>
    <definedName name="ChangeBy_6___5">#REF!</definedName>
    <definedName name="ChangeDate">#REF!</definedName>
    <definedName name="ChangeDate___0">#REF!</definedName>
    <definedName name="ChangeDate___1">#REF!</definedName>
    <definedName name="ChangeDate___17">#REF!</definedName>
    <definedName name="ChangeDate___4">#REF!</definedName>
    <definedName name="ChangeDate___5">#REF!</definedName>
    <definedName name="ChangeDate_4">#REF!</definedName>
    <definedName name="ChangeDate_4___0">#REF!</definedName>
    <definedName name="ChangeDate_4___1">#REF!</definedName>
    <definedName name="ChangeDate_4___17">#REF!</definedName>
    <definedName name="ChangeDate_4___4">#REF!</definedName>
    <definedName name="ChangeDate_4___5">#REF!</definedName>
    <definedName name="ChangeDate_4_1">#REF!</definedName>
    <definedName name="ChangeDate_4_1___0">#REF!</definedName>
    <definedName name="ChangeDate_4_1___1">#REF!</definedName>
    <definedName name="ChangeDate_4_1___5">#REF!</definedName>
    <definedName name="ChangeDate_6">#REF!</definedName>
    <definedName name="ChangeDate_6___0">#REF!</definedName>
    <definedName name="ChangeDate_6___1">#REF!</definedName>
    <definedName name="ChangeDate_6___17">#REF!</definedName>
    <definedName name="ChangeDate_6___4">#REF!</definedName>
    <definedName name="ChangeDate_6___5">#REF!</definedName>
    <definedName name="charh"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heck">#N/A</definedName>
    <definedName name="Check_Code">"Check Code"</definedName>
    <definedName name="checked">#REF!</definedName>
    <definedName name="chemicalcalculationperungudi">#REF!</definedName>
    <definedName name="chemsludgecal">#REF!</definedName>
    <definedName name="chetan" hidden="1">{#N/A,#N/A,FALSE,"Cash Flows";#N/A,#N/A,FALSE,"Fixed Assets";#N/A,#N/A,FALSE,"Balance Sheet";#N/A,#N/A,FALSE,"P &amp; L"}</definedName>
    <definedName name="chiller">#REF!</definedName>
    <definedName name="chitu" hidden="1">#REF!</definedName>
    <definedName name="CHOOSE">#REF!</definedName>
    <definedName name="Chuck_M10">'[26]Download M-10'!$A$3:$AL$1132</definedName>
    <definedName name="church"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hurch2"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ciff">#REF!</definedName>
    <definedName name="ciff___0">#REF!</definedName>
    <definedName name="ciff___1">#REF!</definedName>
    <definedName name="ciff___17">#REF!</definedName>
    <definedName name="ciff___4">#REF!</definedName>
    <definedName name="ciff___5">#REF!</definedName>
    <definedName name="City">#NAME?</definedName>
    <definedName name="civil" hidden="1">{#N/A,#N/A,TRUE,"Front";#N/A,#N/A,TRUE,"Simple Letter";#N/A,#N/A,TRUE,"Inside";#N/A,#N/A,TRUE,"Contents";#N/A,#N/A,TRUE,"Basis";#N/A,#N/A,TRUE,"Inclusions";#N/A,#N/A,TRUE,"Exclusions";#N/A,#N/A,TRUE,"Areas";#N/A,#N/A,TRUE,"Summary";#N/A,#N/A,TRUE,"Detail"}</definedName>
    <definedName name="CIVIL_7">#REF!</definedName>
    <definedName name="civilworks">#REF!</definedName>
    <definedName name="ckeck1">#REF!</definedName>
    <definedName name="cl" hidden="1">{"'照明目录'!$A$1:$H$31"}</definedName>
    <definedName name="ClientAddress1">#REF!</definedName>
    <definedName name="ClientAddress2">#REF!</definedName>
    <definedName name="ClientCity">#REF!</definedName>
    <definedName name="ClientCountry">#REF!</definedName>
    <definedName name="ClientEmail">#REF!</definedName>
    <definedName name="ClientFax">#REF!</definedName>
    <definedName name="ClientPhone">#REF!</definedName>
    <definedName name="ClientState">#REF!</definedName>
    <definedName name="ClientZip">#REF!</definedName>
    <definedName name="clintels">#REF!</definedName>
    <definedName name="clr">#REF!</definedName>
    <definedName name="clrf">#REF!</definedName>
    <definedName name="clrf___0">#REF!</definedName>
    <definedName name="clrf___1">#REF!</definedName>
    <definedName name="clrf___17">#REF!</definedName>
    <definedName name="clrf___4">#REF!</definedName>
    <definedName name="clrf___5">#REF!</definedName>
    <definedName name="CMH"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cNOTE00">[12]IS!#REF!</definedName>
    <definedName name="cNOTE01">[12]IS!#REF!</definedName>
    <definedName name="CO">#REF!</definedName>
    <definedName name="coimbatore">#REF!</definedName>
    <definedName name="col">#REF!</definedName>
    <definedName name="col___0">#REF!</definedName>
    <definedName name="col___11">#REF!</definedName>
    <definedName name="col___12">#REF!</definedName>
    <definedName name="Colbgl">#REF!</definedName>
    <definedName name="colbgl2">#REF!</definedName>
    <definedName name="Collecotr">#REF!</definedName>
    <definedName name="columnLength">#REF!</definedName>
    <definedName name="Columns">#REF!</definedName>
    <definedName name="combined">#N/A</definedName>
    <definedName name="Comments">#REF!</definedName>
    <definedName name="commn_3">NA()</definedName>
    <definedName name="commn_3_1">NA()</definedName>
    <definedName name="Comp_ME">#REF!</definedName>
    <definedName name="Company">#REF!</definedName>
    <definedName name="CompanyInfo1">"JCI"</definedName>
    <definedName name="CompanyInfo2">"JCI"</definedName>
    <definedName name="CompDate">#REF!</definedName>
    <definedName name="CompDate___0">#REF!</definedName>
    <definedName name="CompDate___1">#REF!</definedName>
    <definedName name="CompDate___17">#REF!</definedName>
    <definedName name="CompDate___4">#REF!</definedName>
    <definedName name="CompDate___5">#REF!</definedName>
    <definedName name="CompDate_4">#REF!</definedName>
    <definedName name="CompDate_4___0">#REF!</definedName>
    <definedName name="CompDate_4___1">#REF!</definedName>
    <definedName name="CompDate_4___17">#REF!</definedName>
    <definedName name="CompDate_4___4">#REF!</definedName>
    <definedName name="CompDate_4___5">#REF!</definedName>
    <definedName name="CompDate_4_1">#REF!</definedName>
    <definedName name="CompDate_4_1___0">#REF!</definedName>
    <definedName name="CompDate_4_1___1">#REF!</definedName>
    <definedName name="CompDate_4_1___5">#REF!</definedName>
    <definedName name="CompDate_6">#REF!</definedName>
    <definedName name="CompDate_6___0">#REF!</definedName>
    <definedName name="CompDate_6___1">#REF!</definedName>
    <definedName name="CompDate_6___17">#REF!</definedName>
    <definedName name="CompDate_6___4">#REF!</definedName>
    <definedName name="CompDate_6___5">#REF!</definedName>
    <definedName name="conc\">#N/A</definedName>
    <definedName name="concondition">#N/A</definedName>
    <definedName name="condf">#REF!</definedName>
    <definedName name="condf___0">#REF!</definedName>
    <definedName name="condf___1">#REF!</definedName>
    <definedName name="condf___17">#REF!</definedName>
    <definedName name="condf___4">#REF!</definedName>
    <definedName name="condf___5">#REF!</definedName>
    <definedName name="conf">#REF!</definedName>
    <definedName name="conf___0">#REF!</definedName>
    <definedName name="conf___1">#REF!</definedName>
    <definedName name="conf___17">#REF!</definedName>
    <definedName name="conf___4">#REF!</definedName>
    <definedName name="conf___5">#REF!</definedName>
    <definedName name="conf_1">#REF!</definedName>
    <definedName name="conf_16">#REF!</definedName>
    <definedName name="conf_17">#REF!</definedName>
    <definedName name="conf_18">#REF!</definedName>
    <definedName name="conf_19">#REF!</definedName>
    <definedName name="conf_2">NA()</definedName>
    <definedName name="conf_2_1">#REF!</definedName>
    <definedName name="conf_4">#REF!</definedName>
    <definedName name="conf_4___0">#REF!</definedName>
    <definedName name="conf_4___1">#REF!</definedName>
    <definedName name="conf_4___17">#REF!</definedName>
    <definedName name="conf_4___4">#REF!</definedName>
    <definedName name="conf_4___5">#REF!</definedName>
    <definedName name="conf_4_1">#REF!</definedName>
    <definedName name="conf_4_1___0">#REF!</definedName>
    <definedName name="conf_4_1___1">#REF!</definedName>
    <definedName name="conf_4_1___5">#REF!</definedName>
    <definedName name="conf_5">#REF!</definedName>
    <definedName name="conf_6">#REF!</definedName>
    <definedName name="conf_6___0">#REF!</definedName>
    <definedName name="conf_6___1">#REF!</definedName>
    <definedName name="conf_6___17">#REF!</definedName>
    <definedName name="conf_6___4">#REF!</definedName>
    <definedName name="conf_6___5">#REF!</definedName>
    <definedName name="conf_7">#REF!</definedName>
    <definedName name="conf_8">#REF!</definedName>
    <definedName name="conf_9">#REF!</definedName>
    <definedName name="conf_balamended" hidden="1">{#N/A,#N/A,FALSE,"PMTABB";#N/A,#N/A,FALSE,"PMTABB"}</definedName>
    <definedName name="conflicr" hidden="1">{#N/A,#N/A,TRUE,"GEM Total";#N/A,#N/A,TRUE,"Final Assembly";#N/A,#N/A,TRUE,"Cleaning";#N/A,#N/A,TRUE,"Schooping,Clearing";#N/A,#N/A,TRUE,"Winding"}</definedName>
    <definedName name="conmsf">[45]factors!$J$8</definedName>
    <definedName name="constrn">#REF!</definedName>
    <definedName name="Construction_Period">#REF!</definedName>
    <definedName name="Consumer">'[46]collections plan 0401'!$C$105:$R$208</definedName>
    <definedName name="Contact">#REF!</definedName>
    <definedName name="ContAmt">#REF!</definedName>
    <definedName name="ContAmt___0">#REF!</definedName>
    <definedName name="ContAmt___1">#REF!</definedName>
    <definedName name="ContAmt___17">#REF!</definedName>
    <definedName name="ContAmt___4">#REF!</definedName>
    <definedName name="ContAmt___5">#REF!</definedName>
    <definedName name="ContAmt_4">#REF!</definedName>
    <definedName name="ContAmt_4___0">#REF!</definedName>
    <definedName name="ContAmt_4___1">#REF!</definedName>
    <definedName name="ContAmt_4___17">#REF!</definedName>
    <definedName name="ContAmt_4___4">#REF!</definedName>
    <definedName name="ContAmt_4___5">#REF!</definedName>
    <definedName name="ContAmt_4_1">#REF!</definedName>
    <definedName name="ContAmt_4_1___0">#REF!</definedName>
    <definedName name="ContAmt_4_1___1">#REF!</definedName>
    <definedName name="ContAmt_4_1___5">#REF!</definedName>
    <definedName name="ContAmt_6">#REF!</definedName>
    <definedName name="ContAmt_6___0">#REF!</definedName>
    <definedName name="ContAmt_6___1">#REF!</definedName>
    <definedName name="ContAmt_6___17">#REF!</definedName>
    <definedName name="ContAmt_6___4">#REF!</definedName>
    <definedName name="ContAmt_6___5">#REF!</definedName>
    <definedName name="ContractName">"Contract"</definedName>
    <definedName name="ContractNumber">"88888888"</definedName>
    <definedName name="Control_Room">#REF!</definedName>
    <definedName name="ContWithAcct">#REF!</definedName>
    <definedName name="ContWithAcct___0">#REF!</definedName>
    <definedName name="ContWithAcct___1">#REF!</definedName>
    <definedName name="ContWithAcct___17">#REF!</definedName>
    <definedName name="ContWithAcct___4">#REF!</definedName>
    <definedName name="ContWithAcct___5">#REF!</definedName>
    <definedName name="ContWithAcct_4">#REF!</definedName>
    <definedName name="ContWithAcct_4___0">#REF!</definedName>
    <definedName name="ContWithAcct_4___1">#REF!</definedName>
    <definedName name="ContWithAcct_4___17">#REF!</definedName>
    <definedName name="ContWithAcct_4___4">#REF!</definedName>
    <definedName name="ContWithAcct_4___5">#REF!</definedName>
    <definedName name="ContWithAcct_4_1">#REF!</definedName>
    <definedName name="ContWithAcct_4_1___0">#REF!</definedName>
    <definedName name="ContWithAcct_4_1___1">#REF!</definedName>
    <definedName name="ContWithAcct_4_1___5">#REF!</definedName>
    <definedName name="ContWithAcct_6">#REF!</definedName>
    <definedName name="ContWithAcct_6___0">#REF!</definedName>
    <definedName name="ContWithAcct_6___1">#REF!</definedName>
    <definedName name="ContWithAcct_6___17">#REF!</definedName>
    <definedName name="ContWithAcct_6___4">#REF!</definedName>
    <definedName name="ContWithAcct_6___5">#REF!</definedName>
    <definedName name="ContWithName">#REF!</definedName>
    <definedName name="ContWithName___0">#REF!</definedName>
    <definedName name="ContWithName___1">#REF!</definedName>
    <definedName name="ContWithName___17">#REF!</definedName>
    <definedName name="ContWithName___4">#REF!</definedName>
    <definedName name="ContWithName___5">#REF!</definedName>
    <definedName name="ContWithName_4">#REF!</definedName>
    <definedName name="ContWithName_4___0">#REF!</definedName>
    <definedName name="ContWithName_4___1">#REF!</definedName>
    <definedName name="ContWithName_4___17">#REF!</definedName>
    <definedName name="ContWithName_4___4">#REF!</definedName>
    <definedName name="ContWithName_4___5">#REF!</definedName>
    <definedName name="ContWithName_4_1">#REF!</definedName>
    <definedName name="ContWithName_4_1___0">#REF!</definedName>
    <definedName name="ContWithName_4_1___1">#REF!</definedName>
    <definedName name="ContWithName_4_1___5">#REF!</definedName>
    <definedName name="ContWithName_6">#REF!</definedName>
    <definedName name="ContWithName_6___0">#REF!</definedName>
    <definedName name="ContWithName_6___1">#REF!</definedName>
    <definedName name="ContWithName_6___17">#REF!</definedName>
    <definedName name="ContWithName_6___4">#REF!</definedName>
    <definedName name="ContWithName_6___5">#REF!</definedName>
    <definedName name="ContWithPrio">#REF!</definedName>
    <definedName name="ContWithPrio___0">#REF!</definedName>
    <definedName name="ContWithPrio___1">#REF!</definedName>
    <definedName name="ContWithPrio___17">#REF!</definedName>
    <definedName name="ContWithPrio___4">#REF!</definedName>
    <definedName name="ContWithPrio___5">#REF!</definedName>
    <definedName name="ContWithPrio_4">#REF!</definedName>
    <definedName name="ContWithPrio_4___0">#REF!</definedName>
    <definedName name="ContWithPrio_4___1">#REF!</definedName>
    <definedName name="ContWithPrio_4___17">#REF!</definedName>
    <definedName name="ContWithPrio_4___4">#REF!</definedName>
    <definedName name="ContWithPrio_4___5">#REF!</definedName>
    <definedName name="ContWithPrio_4_1">#REF!</definedName>
    <definedName name="ContWithPrio_4_1___0">#REF!</definedName>
    <definedName name="ContWithPrio_4_1___1">#REF!</definedName>
    <definedName name="ContWithPrio_4_1___5">#REF!</definedName>
    <definedName name="ContWithPrio_6">#REF!</definedName>
    <definedName name="ContWithPrio_6___0">#REF!</definedName>
    <definedName name="ContWithPrio_6___1">#REF!</definedName>
    <definedName name="ContWithPrio_6___17">#REF!</definedName>
    <definedName name="ContWithPrio_6___4">#REF!</definedName>
    <definedName name="ContWithPrio_6___5">#REF!</definedName>
    <definedName name="ContWithPrio_Text">#REF!</definedName>
    <definedName name="ContWithPrio_Text___0">#REF!</definedName>
    <definedName name="ContWithPrio_Text___1">#REF!</definedName>
    <definedName name="ContWithPrio_Text___17">#REF!</definedName>
    <definedName name="ContWithPrio_Text___4">#REF!</definedName>
    <definedName name="ContWithPrio_Text___5">#REF!</definedName>
    <definedName name="ContWithPrio_Text_4">#REF!</definedName>
    <definedName name="ContWithPrio_Text_4___0">#REF!</definedName>
    <definedName name="ContWithPrio_Text_4___1">#REF!</definedName>
    <definedName name="ContWithPrio_Text_4___17">#REF!</definedName>
    <definedName name="ContWithPrio_Text_4___4">#REF!</definedName>
    <definedName name="ContWithPrio_Text_4___5">#REF!</definedName>
    <definedName name="ContWithPrio_Text_4_1">#REF!</definedName>
    <definedName name="ContWithPrio_Text_4_1___0">#REF!</definedName>
    <definedName name="ContWithPrio_Text_4_1___1">#REF!</definedName>
    <definedName name="ContWithPrio_Text_4_1___5">#REF!</definedName>
    <definedName name="ContWithPrio_Text_6">#REF!</definedName>
    <definedName name="ContWithPrio_Text_6___0">#REF!</definedName>
    <definedName name="ContWithPrio_Text_6___1">#REF!</definedName>
    <definedName name="ContWithPrio_Text_6___17">#REF!</definedName>
    <definedName name="ContWithPrio_Text_6___4">#REF!</definedName>
    <definedName name="ContWithPrio_Text_6___5">#REF!</definedName>
    <definedName name="CONum">#REF!</definedName>
    <definedName name="CONum___0">#REF!</definedName>
    <definedName name="CONum___1">#REF!</definedName>
    <definedName name="CONum___17">#REF!</definedName>
    <definedName name="CONum___4">#REF!</definedName>
    <definedName name="CONum___5">#REF!</definedName>
    <definedName name="CONum_4">#REF!</definedName>
    <definedName name="CONum_4___0">#REF!</definedName>
    <definedName name="CONum_4___1">#REF!</definedName>
    <definedName name="CONum_4___17">#REF!</definedName>
    <definedName name="CONum_4___4">#REF!</definedName>
    <definedName name="CONum_4___5">#REF!</definedName>
    <definedName name="CONum_4_1">#REF!</definedName>
    <definedName name="CONum_4_1___0">#REF!</definedName>
    <definedName name="CONum_4_1___1">#REF!</definedName>
    <definedName name="CONum_4_1___5">#REF!</definedName>
    <definedName name="CONum_6">#REF!</definedName>
    <definedName name="CONum_6___0">#REF!</definedName>
    <definedName name="CONum_6___1">#REF!</definedName>
    <definedName name="CONum_6___17">#REF!</definedName>
    <definedName name="CONum_6___4">#REF!</definedName>
    <definedName name="CONum_6___5">#REF!</definedName>
    <definedName name="COPY">#REF!</definedName>
    <definedName name="cord">#REF!</definedName>
    <definedName name="Core">#REF!</definedName>
    <definedName name="CorpClient">#REF!</definedName>
    <definedName name="CorpClient___0">#REF!</definedName>
    <definedName name="CorpClient___1">#REF!</definedName>
    <definedName name="CorpClient___17">#REF!</definedName>
    <definedName name="CorpClient___4">#REF!</definedName>
    <definedName name="CorpClient___5">#REF!</definedName>
    <definedName name="CorpClient_4">#REF!</definedName>
    <definedName name="CorpClient_4___0">#REF!</definedName>
    <definedName name="CorpClient_4___1">#REF!</definedName>
    <definedName name="CorpClient_4___17">#REF!</definedName>
    <definedName name="CorpClient_4___4">#REF!</definedName>
    <definedName name="CorpClient_4___5">#REF!</definedName>
    <definedName name="CorpClient_4_1">#REF!</definedName>
    <definedName name="CorpClient_4_1___0">#REF!</definedName>
    <definedName name="CorpClient_4_1___1">#REF!</definedName>
    <definedName name="CorpClient_4_1___5">#REF!</definedName>
    <definedName name="CorpClient_6">#REF!</definedName>
    <definedName name="CorpClient_6___0">#REF!</definedName>
    <definedName name="CorpClient_6___1">#REF!</definedName>
    <definedName name="CorpClient_6___17">#REF!</definedName>
    <definedName name="CorpClient_6___4">#REF!</definedName>
    <definedName name="CorpClient_6___5">#REF!</definedName>
    <definedName name="CorpClient_Text">#REF!</definedName>
    <definedName name="CorpClient_Text___0">#REF!</definedName>
    <definedName name="CorpClient_Text___1">#REF!</definedName>
    <definedName name="CorpClient_Text___17">#REF!</definedName>
    <definedName name="CorpClient_Text___4">#REF!</definedName>
    <definedName name="CorpClient_Text___5">#REF!</definedName>
    <definedName name="CorpClient_Text_4">#REF!</definedName>
    <definedName name="CorpClient_Text_4___0">#REF!</definedName>
    <definedName name="CorpClient_Text_4___1">#REF!</definedName>
    <definedName name="CorpClient_Text_4___17">#REF!</definedName>
    <definedName name="CorpClient_Text_4___4">#REF!</definedName>
    <definedName name="CorpClient_Text_4___5">#REF!</definedName>
    <definedName name="CorpClient_Text_4_1">#REF!</definedName>
    <definedName name="CorpClient_Text_4_1___0">#REF!</definedName>
    <definedName name="CorpClient_Text_4_1___1">#REF!</definedName>
    <definedName name="CorpClient_Text_4_1___5">#REF!</definedName>
    <definedName name="CorpClient_Text_6">#REF!</definedName>
    <definedName name="CorpClient_Text_6___0">#REF!</definedName>
    <definedName name="CorpClient_Text_6___1">#REF!</definedName>
    <definedName name="CorpClient_Text_6___17">#REF!</definedName>
    <definedName name="CorpClient_Text_6___4">#REF!</definedName>
    <definedName name="CorpClient_Text_6___5">#REF!</definedName>
    <definedName name="correc">#REF!</definedName>
    <definedName name="CorridorArea">#REF!</definedName>
    <definedName name="CorridorPerimeter">#REF!</definedName>
    <definedName name="Cost__Ex_Works_3">NA()</definedName>
    <definedName name="Cost__Ex_Works_3_1">NA()</definedName>
    <definedName name="COST_DRIVER">[12]IS!#REF!</definedName>
    <definedName name="Cost10">#REF!</definedName>
    <definedName name="CostBasis">'[47]Cost Basis'!$D$1</definedName>
    <definedName name="costing">#REF!</definedName>
    <definedName name="CostSummary">#REF!</definedName>
    <definedName name="cOTH00">[12]IS!#REF!</definedName>
    <definedName name="cOTH01">[12]IS!#REF!</definedName>
    <definedName name="COU">#REF!</definedName>
    <definedName name="COU___0">#REF!</definedName>
    <definedName name="COU___13">#REF!</definedName>
    <definedName name="coun" hidden="1">{#N/A,#N/A,FALSE,"Assessment";#N/A,#N/A,FALSE,"Staffing";#N/A,#N/A,FALSE,"Hires";#N/A,#N/A,FALSE,"Assumptions"}</definedName>
    <definedName name="COUNT">#REF!</definedName>
    <definedName name="COUNT2" hidden="1">{#N/A,#N/A,FALSE,"Assessment";#N/A,#N/A,FALSE,"Staffing";#N/A,#N/A,FALSE,"Hires";#N/A,#N/A,FALSE,"Assumptions"}</definedName>
    <definedName name="Country" hidden="1">{#N/A,#N/A,FALSE,"Balance Sheets";#N/A,#N/A,FALSE,"96 Conservative";#N/A,#N/A,FALSE,"96 Possible"}</definedName>
    <definedName name="COVERPAGE">'[24]Standard Cost Codes'!#REF!</definedName>
    <definedName name="Cp">#REF!</definedName>
    <definedName name="cpcl">#REF!</definedName>
    <definedName name="cpcl26.4">#REF!</definedName>
    <definedName name="cpcl26.4mldnew">#REF!</definedName>
    <definedName name="CpeAe">#REF!</definedName>
    <definedName name="CpeAn">#REF!</definedName>
    <definedName name="CpeAz">#REF!</definedName>
    <definedName name="CpeCe">#REF!</definedName>
    <definedName name="CpeCn">#REF!</definedName>
    <definedName name="CPeCz">#REF!</definedName>
    <definedName name="CpeGz">#REF!</definedName>
    <definedName name="Cpi">#REF!</definedName>
    <definedName name="CPLoansDep">#REF!</definedName>
    <definedName name="Cpx">#REF!</definedName>
    <definedName name="Cpz">#REF!</definedName>
    <definedName name="cr"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red"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re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Credit_Collections_data">#REF!</definedName>
    <definedName name="crequested">[30]Day2works!$J$32</definedName>
    <definedName name="crfChangeAmount">#REF!</definedName>
    <definedName name="crfChangeBenefit">#REF!</definedName>
    <definedName name="crfChangeDesc">#REF!</definedName>
    <definedName name="crfChangeEffect">#REF!</definedName>
    <definedName name="crfChangeReason">#REF!</definedName>
    <definedName name="crfControl">#REF!</definedName>
    <definedName name="crfCorpPurch">#REF!</definedName>
    <definedName name="crfCostBasis">#REF!</definedName>
    <definedName name="crfDecisionBy">#REF!</definedName>
    <definedName name="crfFM">#REF!</definedName>
    <definedName name="crfGroupResp">#REF!</definedName>
    <definedName name="crfIT">#REF!</definedName>
    <definedName name="crfITSecurity">#REF!</definedName>
    <definedName name="crfOther">#REF!</definedName>
    <definedName name="crfProgramMan">#REF!</definedName>
    <definedName name="crfProjectMan">#REF!</definedName>
    <definedName name="crfRequestNo">#REF!</definedName>
    <definedName name="crfSPRE">#REF!</definedName>
    <definedName name="Cricle" hidden="1">{#N/A,#N/A,FALSE,"17MAY";#N/A,#N/A,FALSE,"24MAY"}</definedName>
    <definedName name="CRIT" hidden="1">{#N/A,#N/A,FALSE,"consu_cover";#N/A,#N/A,FALSE,"consu_strategy";#N/A,#N/A,FALSE,"consu_flow";#N/A,#N/A,FALSE,"Summary_reqmt";#N/A,#N/A,FALSE,"field_ppg";#N/A,#N/A,FALSE,"ppg_shop";#N/A,#N/A,FALSE,"strl";#N/A,#N/A,FALSE,"tankages";#N/A,#N/A,FALSE,"gases"}</definedName>
    <definedName name="CRITICAL" hidden="1">{#N/A,#N/A,FALSE,"consu_cover";#N/A,#N/A,FALSE,"consu_strategy";#N/A,#N/A,FALSE,"consu_flow";#N/A,#N/A,FALSE,"Summary_reqmt";#N/A,#N/A,FALSE,"field_ppg";#N/A,#N/A,FALSE,"ppg_shop";#N/A,#N/A,FALSE,"strl";#N/A,#N/A,FALSE,"tankages";#N/A,#N/A,FALSE,"gases"}</definedName>
    <definedName name="CROG_Fraud_010302">#REF!</definedName>
    <definedName name="crsobpl">'[43]TBAL9697 -group wise  sdpl'!$A$34</definedName>
    <definedName name="crsr" hidden="1">[34]analysis!#REF!</definedName>
    <definedName name="crsr1" hidden="1">[34]analysis!#REF!</definedName>
    <definedName name="crsr2" hidden="1">[34]analysis!#REF!</definedName>
    <definedName name="crsr3" hidden="1">[34]analysis!#REF!</definedName>
    <definedName name="CRSVCS">#REF!</definedName>
    <definedName name="Cs">#REF!</definedName>
    <definedName name="Cs___0">#REF!</definedName>
    <definedName name="Cs___13">#REF!</definedName>
    <definedName name="csczd" hidden="1">0</definedName>
    <definedName name="CSDCSDSAS" hidden="1">#REF!</definedName>
    <definedName name="CSI">'[24]Standard Cost Codes'!$A$1:$A$65536</definedName>
    <definedName name="csshade">#REF!</definedName>
    <definedName name="cst">#REF!</definedName>
    <definedName name="cstf">#REF!</definedName>
    <definedName name="cstf___0">#REF!</definedName>
    <definedName name="cstf___1">#REF!</definedName>
    <definedName name="cstf___17">#REF!</definedName>
    <definedName name="cstf___4">#REF!</definedName>
    <definedName name="cstf___5">#REF!</definedName>
    <definedName name="CSVSAL">[12]IS!#REF!</definedName>
    <definedName name="CSVSAL2">'[12]#REF'!#REF!</definedName>
    <definedName name="ctc" hidden="1">{"'Bsheet BIS'!$A$1:$F$43"}</definedName>
    <definedName name="ctf">#REF!</definedName>
    <definedName name="ctl">#REF!</definedName>
    <definedName name="ctotal">[30]Day2works!$F$32</definedName>
    <definedName name="Ctotalusd">[30]Day2works!$G$32</definedName>
    <definedName name="cts">#REF!</definedName>
    <definedName name="Cu">#REF!</definedName>
    <definedName name="CU_1">#REF!</definedName>
    <definedName name="CUDDAPAH_40">#REF!</definedName>
    <definedName name="cum">#REF!</definedName>
    <definedName name="Cum_Int">#REF!</definedName>
    <definedName name="CURR">#REF!</definedName>
    <definedName name="CURR___0">#REF!</definedName>
    <definedName name="CURR___1">#REF!</definedName>
    <definedName name="CURR___17">#REF!</definedName>
    <definedName name="CURR___4">#REF!</definedName>
    <definedName name="CURR___5">#REF!</definedName>
    <definedName name="CURR_4">#REF!</definedName>
    <definedName name="CURR_4___0">#REF!</definedName>
    <definedName name="CURR_4___1">#REF!</definedName>
    <definedName name="CURR_4___17">#REF!</definedName>
    <definedName name="CURR_4___4">#REF!</definedName>
    <definedName name="CURR_4___5">#REF!</definedName>
    <definedName name="CURR_4_1">#REF!</definedName>
    <definedName name="CURR_4_1___0">#REF!</definedName>
    <definedName name="CURR_4_1___1">#REF!</definedName>
    <definedName name="CURR_4_1___5">#REF!</definedName>
    <definedName name="CURR_6">#REF!</definedName>
    <definedName name="CURR_6___0">#REF!</definedName>
    <definedName name="CURR_6___1">#REF!</definedName>
    <definedName name="CURR_6___17">#REF!</definedName>
    <definedName name="CURR_6___4">#REF!</definedName>
    <definedName name="CURR_6___5">#REF!</definedName>
    <definedName name="curr_liab_prov">#REF!</definedName>
    <definedName name="CurrencyAll">#REF!</definedName>
    <definedName name="CurrencyName">#REF!</definedName>
    <definedName name="CurrencyRate">#REF!</definedName>
    <definedName name="CurrencyRate___0">#REF!</definedName>
    <definedName name="CurrencyRate___1">#REF!</definedName>
    <definedName name="CurrencyRate___17">#REF!</definedName>
    <definedName name="CurrencyRate___4">#REF!</definedName>
    <definedName name="CurrencyRate___5">#REF!</definedName>
    <definedName name="CurrencyRate_4">#REF!</definedName>
    <definedName name="CurrencyRate_4___0">#REF!</definedName>
    <definedName name="CurrencyRate_4___1">#REF!</definedName>
    <definedName name="CurrencyRate_4___17">#REF!</definedName>
    <definedName name="CurrencyRate_4___4">#REF!</definedName>
    <definedName name="CurrencyRate_4___5">#REF!</definedName>
    <definedName name="CurrencyRate_4_1">#REF!</definedName>
    <definedName name="CurrencyRate_4_1___0">#REF!</definedName>
    <definedName name="CurrencyRate_4_1___1">#REF!</definedName>
    <definedName name="CurrencyRate_4_1___5">#REF!</definedName>
    <definedName name="CurrencyRate_6">#REF!</definedName>
    <definedName name="CurrencyRate_6___0">#REF!</definedName>
    <definedName name="CurrencyRate_6___1">#REF!</definedName>
    <definedName name="CurrencyRate_6___17">#REF!</definedName>
    <definedName name="CurrencyRate_6___4">#REF!</definedName>
    <definedName name="CurrencyRate_6___5">#REF!</definedName>
    <definedName name="CurrencySymbol">#REF!</definedName>
    <definedName name="CurrencyToEuro">[48]DataSheet!$B$5</definedName>
    <definedName name="current1">#REF!</definedName>
    <definedName name="current2">#REF!</definedName>
    <definedName name="current3">#REF!</definedName>
    <definedName name="current4">#REF!</definedName>
    <definedName name="current5">#REF!</definedName>
    <definedName name="CURVE" hidden="1">{#N/A,#N/A,FALSE,"COVER1.XLS ";#N/A,#N/A,FALSE,"RACT1.XLS";#N/A,#N/A,FALSE,"RACT2.XLS";#N/A,#N/A,FALSE,"ECCMP";#N/A,#N/A,FALSE,"WELDER.XLS"}</definedName>
    <definedName name="CustomDuty">#REF!</definedName>
    <definedName name="Customer">" "</definedName>
    <definedName name="cutoutArea">#REF!</definedName>
    <definedName name="cutoutPerimeter">#REF!</definedName>
    <definedName name="CUTS">[12]IS!#REF!</definedName>
    <definedName name="CUTS_DRIVE">[12]IS!#REF!</definedName>
    <definedName name="CV" hidden="1">#NAME?</definedName>
    <definedName name="cv_100">#REF!</definedName>
    <definedName name="cv_150">#REF!</definedName>
    <definedName name="cv_200">#REF!</definedName>
    <definedName name="cv_25">#REF!</definedName>
    <definedName name="cv_250">#REF!</definedName>
    <definedName name="cv_300">#REF!</definedName>
    <definedName name="cv_32">#REF!</definedName>
    <definedName name="cv_40">#REF!</definedName>
    <definedName name="cv_400">#REF!</definedName>
    <definedName name="cv_50">#REF!</definedName>
    <definedName name="cv_500">#REF!</definedName>
    <definedName name="cv_65">#REF!</definedName>
    <definedName name="cv_80">#REF!</definedName>
    <definedName name="cvdf">#REF!</definedName>
    <definedName name="cvdf___0">#REF!</definedName>
    <definedName name="cvdf___1">#REF!</definedName>
    <definedName name="cvdf___17">#REF!</definedName>
    <definedName name="cvdf___4">#REF!</definedName>
    <definedName name="cvdf___5">#REF!</definedName>
    <definedName name="cx" hidden="1">'[49]5'!#REF!</definedName>
    <definedName name="d"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D.DCF1" hidden="1">[50]DCF!#REF!</definedName>
    <definedName name="D.DCF2" hidden="1">[50]DCF!#REF!</definedName>
    <definedName name="D.DCF3" hidden="1">[50]DCF!#REF!</definedName>
    <definedName name="D.DCF4" hidden="1">[50]DCF!#REF!</definedName>
    <definedName name="D.DCF5" hidden="1">[50]DCF!#REF!</definedName>
    <definedName name="D.DCF6" hidden="1">[50]DCF!#REF!</definedName>
    <definedName name="D.DCF7" hidden="1">[50]DCF!#REF!</definedName>
    <definedName name="D.DCF8" hidden="1">[50]DCF!#REF!</definedName>
    <definedName name="d___0">#REF!</definedName>
    <definedName name="d___13">#REF!</definedName>
    <definedName name="D_GSALossSum">'[21]#REF'!$A$133:$N$174</definedName>
    <definedName name="D_SuppsGrph">'[21]Consumer Supps'!$A$1:$V$41</definedName>
    <definedName name="daaaad" hidden="1">{#N/A,#N/A,FALSE,"Assessment";#N/A,#N/A,FALSE,"Staffing";#N/A,#N/A,FALSE,"Hires";#N/A,#N/A,FALSE,"Assumptions"}</definedName>
    <definedName name="dadadfas" hidden="1">'[5]P&amp;L'!#REF!</definedName>
    <definedName name="DADOO_CL.GLZ">#REF!</definedName>
    <definedName name="DADOO_MOSIC">#REF!</definedName>
    <definedName name="DADOO_WT.GLZ">#REF!</definedName>
    <definedName name="dara">#REF!</definedName>
    <definedName name="dark"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das" localSheetId="0" hidden="1">#REF!</definedName>
    <definedName name="das" hidden="1">#REF!</definedName>
    <definedName name="Dat">#REF!</definedName>
    <definedName name="DAT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1">[51]CCB!#REF!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2">[51]CCB!#REF!</definedName>
    <definedName name="data3">[51]CCB!#REF!</definedName>
    <definedName name="_xlnm.Database">#REF!</definedName>
    <definedName name="Database.File" hidden="1">#REF!</definedName>
    <definedName name="Database1">#REF!</definedName>
    <definedName name="Database2">#REF!</definedName>
    <definedName name="Database3">#REF!</definedName>
    <definedName name="Database4">#REF!</definedName>
    <definedName name="Database5">#REF!</definedName>
    <definedName name="DataVariance">[21]Variance!$A$11:$H$46=[21]Variance!$A$11</definedName>
    <definedName name="Date">#REF!</definedName>
    <definedName name="Datthree">#REF!</definedName>
    <definedName name="Dattwo">#REF!</definedName>
    <definedName name="Daywork">#REF!</definedName>
    <definedName name="db">#REF!</definedName>
    <definedName name="db___0">#REF!</definedName>
    <definedName name="db___13">#REF!</definedName>
    <definedName name="dc">#REF!</definedName>
    <definedName name="DC_1">#REF!</definedName>
    <definedName name="dc_1_no">#REF!</definedName>
    <definedName name="dc_1_pending">#REF!</definedName>
    <definedName name="DC_10">#REF!</definedName>
    <definedName name="dc_10_no">#REF!</definedName>
    <definedName name="dc_10_pending">#REF!</definedName>
    <definedName name="DC_11">#REF!</definedName>
    <definedName name="dc_11_no">#REF!</definedName>
    <definedName name="dc_11_pending">#REF!</definedName>
    <definedName name="DC_12">#REF!</definedName>
    <definedName name="dc_12_no">#REF!</definedName>
    <definedName name="dc_12_pending">#REF!</definedName>
    <definedName name="DC_2">#REF!</definedName>
    <definedName name="dc_2_no">#REF!</definedName>
    <definedName name="dc_2_pending">#REF!</definedName>
    <definedName name="DC_3">#REF!</definedName>
    <definedName name="dc_3_no">#REF!</definedName>
    <definedName name="dc_3_pending">#REF!</definedName>
    <definedName name="DC_4">#REF!</definedName>
    <definedName name="dc_4_no">#REF!</definedName>
    <definedName name="dc_4_pending">#REF!</definedName>
    <definedName name="DC_5">#REF!</definedName>
    <definedName name="dc_5_no">#REF!</definedName>
    <definedName name="dc_5_pending">#REF!</definedName>
    <definedName name="DC_6">#REF!</definedName>
    <definedName name="dc_6_no">#REF!</definedName>
    <definedName name="dc_6_pending">#REF!</definedName>
    <definedName name="DC_7">#REF!</definedName>
    <definedName name="dc_7_no">#REF!</definedName>
    <definedName name="dc_7_pending">#REF!</definedName>
    <definedName name="DC_8">#REF!</definedName>
    <definedName name="dc_8_no">#REF!</definedName>
    <definedName name="dc_8_pending">#REF!</definedName>
    <definedName name="DC_9">#REF!</definedName>
    <definedName name="dc_9_no">#REF!</definedName>
    <definedName name="dc_9_pending">#REF!</definedName>
    <definedName name="DC_job_family_1_3_02">#REF!</definedName>
    <definedName name="DC_Project_Status_Active_2">#REF!</definedName>
    <definedName name="DC_Project_Status_Report_Query">#REF!</definedName>
    <definedName name="DCCurrentActivity">#REF!</definedName>
    <definedName name="DCF" hidden="1">{#N/A,#N/A,FALSE,"DCF Summary";#N/A,#N/A,FALSE,"Casema";#N/A,#N/A,FALSE,"Casema NoTel";#N/A,#N/A,FALSE,"UK";#N/A,#N/A,FALSE,"RCF";#N/A,#N/A,FALSE,"Intercable CZ";#N/A,#N/A,FALSE,"Interkabel P"}</definedName>
    <definedName name="DCI" hidden="1">{#N/A,#N/A,TRUE,"Front";#N/A,#N/A,TRUE,"Simple Letter";#N/A,#N/A,TRUE,"Inside";#N/A,#N/A,TRUE,"Contents";#N/A,#N/A,TRUE,"Basis";#N/A,#N/A,TRUE,"Inclusions";#N/A,#N/A,TRUE,"Exclusions";#N/A,#N/A,TRUE,"Areas";#N/A,#N/A,TRUE,"Summary";#N/A,#N/A,TRUE,"Detail"}</definedName>
    <definedName name="DCSR">#REF!</definedName>
    <definedName name="dd">#REF!</definedName>
    <definedName name="ddd">'[21]#REF'!$A$1:$Z$116</definedName>
    <definedName name="dddd" hidden="1">'[5]P&amp;L'!#REF!</definedName>
    <definedName name="ddddd" hidden="1">{"Bsheet",#N/A,FALSE,"Details";"P&amp;L",#N/A,FALSE,"Details";"Schedule",#N/A,FALSE,"Details";"Details",#N/A,FALSE,"Details"}</definedName>
    <definedName name="dddddddddddddddda" hidden="1">{#N/A,#N/A,FALSE,"Assessment";#N/A,#N/A,FALSE,"Staffing";#N/A,#N/A,FALSE,"Hires";#N/A,#N/A,FALSE,"Assumptions"}</definedName>
    <definedName name="dddddddddddddddddddddddd" hidden="1">{#N/A,#N/A,FALSE,"Assessment";#N/A,#N/A,FALSE,"Staffing";#N/A,#N/A,FALSE,"Hires";#N/A,#N/A,FALSE,"Assumptions"}</definedName>
    <definedName name="dddddddddddddddddde" hidden="1">{#N/A,#N/A,FALSE,"Assessment";#N/A,#N/A,FALSE,"Staffing";#N/A,#N/A,FALSE,"Hires";#N/A,#N/A,FALSE,"Assumptions"}</definedName>
    <definedName name="de" hidden="1">{#N/A,#N/A,FALSE,"Assessment";#N/A,#N/A,FALSE,"Staffing";#N/A,#N/A,FALSE,"Hires";#N/A,#N/A,FALSE,"Assumptions"}</definedName>
    <definedName name="dee" hidden="1">{#N/A,#N/A,TRUE,"KEY DATA";#N/A,#N/A,TRUE,"KEY DATA Base Case";#N/A,#N/A,TRUE,"JULY";#N/A,#N/A,TRUE,"AUG";#N/A,#N/A,TRUE,"SEPT";#N/A,#N/A,TRUE,"3Q"}</definedName>
    <definedName name="deee" hidden="1">{"Bsheet",#N/A,FALSE,"Details";"P&amp;l",#N/A,FALSE,"Details";"Schedule",#N/A,FALSE,"Details";"Details",#N/A,FALSE,"Details";"Annexue II",#N/A,FALSE,"Details";"Branch Bs",#N/A,FALSE,"Details";"Branch PL",#N/A,FALSE,"Details"}</definedName>
    <definedName name="deep" hidden="1">{"Bsheet",#N/A,FALSE,"Details";"P&amp;L",#N/A,FALSE,"Details";"Schedule",#N/A,FALSE,"Details";"Details",#N/A,FALSE,"Details"}</definedName>
    <definedName name="deftax04" hidden="1">{#N/A,#N/A,FALSE,"12"}</definedName>
    <definedName name="deleteme1" localSheetId="5" hidden="1">{#N/A,#N/A,FALSE,"Summary";#N/A,#N/A,FALSE,"CF";#N/A,#N/A,FALSE,"P&amp;L";#N/A,#N/A,FALSE,"BS";#N/A,#N/A,FALSE,"Returns";#N/A,#N/A,FALSE,"Assumptions";#N/A,#N/A,FALSE,"Analysis"}</definedName>
    <definedName name="deleteme1" localSheetId="0" hidden="1">{#N/A,#N/A,FALSE,"Summary";#N/A,#N/A,FALSE,"CF";#N/A,#N/A,FALSE,"P&amp;L";#N/A,#N/A,FALSE,"BS";#N/A,#N/A,FALSE,"Returns";#N/A,#N/A,FALSE,"Assumptions";#N/A,#N/A,FALSE,"Analysis"}</definedName>
    <definedName name="deleteme1" hidden="1">{#N/A,#N/A,FALSE,"Summary";#N/A,#N/A,FALSE,"CF";#N/A,#N/A,FALSE,"P&amp;L";#N/A,#N/A,FALSE,"BS";#N/A,#N/A,FALSE,"Returns";#N/A,#N/A,FALSE,"Assumptions";#N/A,#N/A,FALSE,"Analysis"}</definedName>
    <definedName name="deleteme3" localSheetId="5" hidden="1">{#N/A,#N/A,FALSE,"Summary";#N/A,#N/A,FALSE,"CF";#N/A,#N/A,FALSE,"P&amp;L";"summary",#N/A,FALSE,"Returns";#N/A,#N/A,FALSE,"BS";"summary",#N/A,FALSE,"Analysis";#N/A,#N/A,FALSE,"Assumptions"}</definedName>
    <definedName name="deleteme3" localSheetId="0" hidden="1">{#N/A,#N/A,FALSE,"Summary";#N/A,#N/A,FALSE,"CF";#N/A,#N/A,FALSE,"P&amp;L";"summary",#N/A,FALSE,"Returns";#N/A,#N/A,FALSE,"BS";"summary",#N/A,FALSE,"Analysis";#N/A,#N/A,FALSE,"Assumptions"}</definedName>
    <definedName name="deleteme3" hidden="1">{#N/A,#N/A,FALSE,"Summary";#N/A,#N/A,FALSE,"CF";#N/A,#N/A,FALSE,"P&amp;L";"summary",#N/A,FALSE,"Returns";#N/A,#N/A,FALSE,"BS";"summary",#N/A,FALSE,"Analysis";#N/A,#N/A,FALSE,"Assumptions"}</definedName>
    <definedName name="DELTA20">#REF!</definedName>
    <definedName name="DELTA20___0">#REF!</definedName>
    <definedName name="DELTA20___13">#REF!</definedName>
    <definedName name="DeluxeArea">#REF!</definedName>
    <definedName name="DeluxePerimeter">#REF!</definedName>
    <definedName name="Denomination" hidden="1">1</definedName>
    <definedName name="Depn">#REF!</definedName>
    <definedName name="depr">#REF!</definedName>
    <definedName name="Depreciation" hidden="1">{"'Detail Summary'!$A$1:$F$83"}</definedName>
    <definedName name="DEPRI" hidden="1">[52]EXPENSES!#REF!</definedName>
    <definedName name="DEPTH">#REF!</definedName>
    <definedName name="DES">#REF!</definedName>
    <definedName name="DES_6">NA()</definedName>
    <definedName name="Description">#REF!</definedName>
    <definedName name="Design">#REF!</definedName>
    <definedName name="designed">#REF!</definedName>
    <definedName name="DesignPress">#REF!</definedName>
    <definedName name="DEVDEL">'[24]Standard Cost Codes'!#REF!</definedName>
    <definedName name="df">#REF!</definedName>
    <definedName name="dfad">'[21]#REF'!#REF!</definedName>
    <definedName name="dfadsgdagtr" hidden="1">'[5]P&amp;L'!#REF!</definedName>
    <definedName name="dfafdasdf">#REF!</definedName>
    <definedName name="dfasfadsgfda" hidden="1">[53]XREF!#REF!</definedName>
    <definedName name="dfd" hidden="1">{#N/A,#N/A,TRUE,"Front";#N/A,#N/A,TRUE,"Simple Letter";#N/A,#N/A,TRUE,"Inside";#N/A,#N/A,TRUE,"Contents";#N/A,#N/A,TRUE,"Basis";#N/A,#N/A,TRUE,"Inclusions";#N/A,#N/A,TRUE,"Exclusions";#N/A,#N/A,TRUE,"Areas";#N/A,#N/A,TRUE,"Summary";#N/A,#N/A,TRUE,"Detail"}</definedName>
    <definedName name="dfdbfdbdbdbd" hidden="1">{#N/A,#N/A,FALSE,"Assessment";#N/A,#N/A,FALSE,"Staffing";#N/A,#N/A,FALSE,"Hires";#N/A,#N/A,FALSE,"Assumptions"}</definedName>
    <definedName name="dfdf" hidden="1">{#N/A,#N/A,TRUE,"KEY DATA";#N/A,#N/A,TRUE,"KEY DATA Base Case";#N/A,#N/A,TRUE,"JULY";#N/A,#N/A,TRUE,"AUG";#N/A,#N/A,TRUE,"SEPT";#N/A,#N/A,TRUE,"3Q"}</definedName>
    <definedName name="dffddf" hidden="1">{#N/A,#N/A,FALSE,"Assessment";#N/A,#N/A,FALSE,"Staffing";#N/A,#N/A,FALSE,"Hires";#N/A,#N/A,FALSE,"Assumptions"}</definedName>
    <definedName name="dffdfdfdn" hidden="1">{#N/A,#N/A,FALSE,"Assessment";#N/A,#N/A,FALSE,"Staffing";#N/A,#N/A,FALSE,"Hires";#N/A,#N/A,FALSE,"Assumptions"}</definedName>
    <definedName name="dfg" hidden="1">{#N/A,#N/A,FALSE,"gc (2)"}</definedName>
    <definedName name="dfgfd" hidden="1">{#N/A,#N/A,FALSE,"COMP"}</definedName>
    <definedName name="dfgg" hidden="1">{#N/A,#N/A,FALSE,"gc (2)"}</definedName>
    <definedName name="dfggggggggggggggggggggggggggggggj">#REF!</definedName>
    <definedName name="DFGHJK" hidden="1">8</definedName>
    <definedName name="DFGWSDGFSDGSGDSDG">#REF!</definedName>
    <definedName name="dfh">#REF!</definedName>
    <definedName name="DFHADAWEHYWER3WYEHRQH">#REF!</definedName>
    <definedName name="dfnfdnfd" hidden="1">{#N/A,#N/A,FALSE,"Assessment";#N/A,#N/A,FALSE,"Staffing";#N/A,#N/A,FALSE,"Hires";#N/A,#N/A,FALSE,"Assumptions"}</definedName>
    <definedName name="dfsafgsafdsa" hidden="1">{"'August 2000'!$A$1:$J$101"}</definedName>
    <definedName name="dfsdf">'[21]#REF'!$A$1:$S$65</definedName>
    <definedName name="dfsdfds">#REF!</definedName>
    <definedName name="dfshdfhdfhsdfhsdfh">#REF!</definedName>
    <definedName name="dg">#REF!</definedName>
    <definedName name="dgfgfd" hidden="1">{#N/A,#N/A,FALSE,"COVER.XLS";#N/A,#N/A,FALSE,"RACT1.XLS";#N/A,#N/A,FALSE,"RACT2.XLS";#N/A,#N/A,FALSE,"ECCMP";#N/A,#N/A,FALSE,"WELDER.XLS"}</definedName>
    <definedName name="dh">#REF!</definedName>
    <definedName name="DHTML" localSheetId="5" hidden="1">{"'Sheet1'!$A$4386:$N$4591"}</definedName>
    <definedName name="DHTML" localSheetId="0" hidden="1">{"'Sheet1'!$A$4386:$N$4591"}</definedName>
    <definedName name="DHTML" hidden="1">{"'Sheet1'!$A$4386:$N$4591"}</definedName>
    <definedName name="Di">#REF!</definedName>
    <definedName name="DIA">#REF!</definedName>
    <definedName name="dim4___0">#REF!</definedName>
    <definedName name="dim4___1">#REF!</definedName>
    <definedName name="dim4___17">#REF!</definedName>
    <definedName name="dim4___4">#REF!</definedName>
    <definedName name="dim4___5">#REF!</definedName>
    <definedName name="dim4_1">#REF!</definedName>
    <definedName name="dim4_2">NA()</definedName>
    <definedName name="dim4_2_1">#REF!</definedName>
    <definedName name="dim4_4">#REF!</definedName>
    <definedName name="dim4_4___0">#REF!</definedName>
    <definedName name="dim4_4___1">#REF!</definedName>
    <definedName name="dim4_4___17">#REF!</definedName>
    <definedName name="dim4_4___4">#REF!</definedName>
    <definedName name="dim4_4___5">#REF!</definedName>
    <definedName name="dim4_4_1">#REF!</definedName>
    <definedName name="dim4_4_1___0">#REF!</definedName>
    <definedName name="dim4_4_1___1">#REF!</definedName>
    <definedName name="dim4_4_1___5">#REF!</definedName>
    <definedName name="dim4_6">#REF!</definedName>
    <definedName name="dim4_6___0">#REF!</definedName>
    <definedName name="dim4_6___1">#REF!</definedName>
    <definedName name="dim4_6___17">#REF!</definedName>
    <definedName name="dim4_6___4">#REF!</definedName>
    <definedName name="dim4_6___5">#REF!</definedName>
    <definedName name="dim4e">#REF!</definedName>
    <definedName name="dim4e_16">#REF!</definedName>
    <definedName name="dim4e_17">#REF!</definedName>
    <definedName name="dim4e_18">#REF!</definedName>
    <definedName name="dim4e_19">#REF!</definedName>
    <definedName name="dim4e_4">#REF!</definedName>
    <definedName name="dim4e_5">#REF!</definedName>
    <definedName name="dim4e_6">#REF!</definedName>
    <definedName name="dim4e_7">#REF!</definedName>
    <definedName name="dim4e_8">#REF!</definedName>
    <definedName name="dim4e_9">#REF!</definedName>
    <definedName name="DIns">#REF!</definedName>
    <definedName name="dir" hidden="1">{#N/A,#N/A,FALSE,"COMP"}</definedName>
    <definedName name="Discount" hidden="1">#REF!</definedName>
    <definedName name="Discount1_3">NA()</definedName>
    <definedName name="Discount1_3_1">NA()</definedName>
    <definedName name="display_area_2" hidden="1">#REF!</definedName>
    <definedName name="Distember">#REF!</definedName>
    <definedName name="DistribName">#REF!</definedName>
    <definedName name="Divider">[12]iD!$AA$75</definedName>
    <definedName name="diw" hidden="1">{#N/A,#N/A,TRUE,"145A"}</definedName>
    <definedName name="diw_1" hidden="1">{#N/A,#N/A,TRUE,"145A"}</definedName>
    <definedName name="diw_1_1" hidden="1">{#N/A,#N/A,TRUE,"145A"}</definedName>
    <definedName name="diw_1_1_1" hidden="1">{#N/A,#N/A,TRUE,"145A"}</definedName>
    <definedName name="diw_2" hidden="1">{#N/A,#N/A,TRUE,"145A"}</definedName>
    <definedName name="diw_2_1" hidden="1">{#N/A,#N/A,TRUE,"145A"}</definedName>
    <definedName name="diw_3" hidden="1">{#N/A,#N/A,TRUE,"145A"}</definedName>
    <definedName name="diw_3_1" hidden="1">{#N/A,#N/A,TRUE,"145A"}</definedName>
    <definedName name="diw_4" hidden="1">{#N/A,#N/A,TRUE,"145A"}</definedName>
    <definedName name="diw_4_1" hidden="1">{#N/A,#N/A,TRUE,"145A"}</definedName>
    <definedName name="diw_5" hidden="1">{#N/A,#N/A,TRUE,"145A"}</definedName>
    <definedName name="diw_5_1" hidden="1">{#N/A,#N/A,TRUE,"145A"}</definedName>
    <definedName name="djb">#REF!</definedName>
    <definedName name="dk">#REF!</definedName>
    <definedName name="DL">#REF!</definedName>
    <definedName name="dl___0">#REF!</definedName>
    <definedName name="dl___13">#REF!</definedName>
    <definedName name="DM">#REF!</definedName>
    <definedName name="dma">"$#REF!.$#REF!$#REF!"</definedName>
    <definedName name="dnddddddddddddddddd" hidden="1">{#N/A,#N/A,FALSE,"Assessment";#N/A,#N/A,FALSE,"Staffing";#N/A,#N/A,FALSE,"Hires";#N/A,#N/A,FALSE,"Assumptions"}</definedName>
    <definedName name="Do">#REF!</definedName>
    <definedName name="DocType" localSheetId="16">Word</definedName>
    <definedName name="docu">#REF!</definedName>
    <definedName name="DocumentName">""</definedName>
    <definedName name="DocumentNumber">""</definedName>
    <definedName name="DOOR_Painting">#REF!</definedName>
    <definedName name="DOW_CORNING_789_SILICONE_SEALANT">#REF!</definedName>
    <definedName name="DP">#REF!</definedName>
    <definedName name="dq">#REF!</definedName>
    <definedName name="DR.33">"'file://Stup-c09/D/JOBS/7078-MADURAVOYAL/ALAPAKKAM%20MAIN%20ROAD%20-%20APR05/ANNEX-2/ANN2-MADURAVOYAL%20DATA-APRIL-05.xls'#$''.$B$83:$L$95"</definedName>
    <definedName name="DR.46">"'file://Stup-c09/D/JOBS/7078-MADURAVOYAL/ALAPAKKAM%20MAIN%20ROAD%20-%20APR05/ANNEX-2/ANN2-MADURAVOYAL%20DATA-APRIL-05.xls'#$''.$M$83:$V$95"</definedName>
    <definedName name="DR.56">"'file://Stup-c09/D/JOBS/7078-MADURAVOYAL/ALAPAKKAM%20MAIN%20ROAD%20-%20APR05/ANNEX-2/ANN2-MADURAVOYAL%20DATA-APRIL-05.xls'#$''.$W$83:$Z$95"</definedName>
    <definedName name="DRAINAGE">#REF!</definedName>
    <definedName name="DRAWINGS">#REF!</definedName>
    <definedName name="DRAWINGS_I">#REF!</definedName>
    <definedName name="DRes" localSheetId="5" hidden="1">{"'April 24'!$J$11"}</definedName>
    <definedName name="DRes" localSheetId="0" hidden="1">{"'April 24'!$J$11"}</definedName>
    <definedName name="DRes" hidden="1">{"'April 24'!$J$11"}</definedName>
    <definedName name="DRIVERS" hidden="1">{"'Bsheet BIS'!$A$1:$F$43"}</definedName>
    <definedName name="Ds">#REF!</definedName>
    <definedName name="Ds___0">#REF!</definedName>
    <definedName name="Ds___13">#REF!</definedName>
    <definedName name="dsa" hidden="1">#REF!</definedName>
    <definedName name="dsbdsb" hidden="1">{#N/A,#N/A,FALSE,"Assessment";#N/A,#N/A,FALSE,"Staffing";#N/A,#N/A,FALSE,"Hires";#N/A,#N/A,FALSE,"Assumptions"}</definedName>
    <definedName name="dsds">#REF!</definedName>
    <definedName name="dsdsdsad" hidden="1">#REF!</definedName>
    <definedName name="dsdud">#REF!</definedName>
    <definedName name="dsdud___0">#REF!</definedName>
    <definedName name="dsdud___1">#REF!</definedName>
    <definedName name="dsdud___17">#REF!</definedName>
    <definedName name="dsdud___4">#REF!</definedName>
    <definedName name="dsdud___5">#REF!</definedName>
    <definedName name="dsfdsfdsfdasfdfs">#REF!</definedName>
    <definedName name="dsfhksdfsjaf" localSheetId="5" hidden="1">{#N/A,#N/A,FALSE,"M&amp;B_43A_fab";#N/A,#N/A,FALSE,"M&amp;B_43A_ERE.";#N/A,#N/A,FALSE,"M&amp;B-43A-ALIGN"}</definedName>
    <definedName name="dsfhksdfsjaf" localSheetId="0" hidden="1">{#N/A,#N/A,FALSE,"M&amp;B_43A_fab";#N/A,#N/A,FALSE,"M&amp;B_43A_ERE.";#N/A,#N/A,FALSE,"M&amp;B-43A-ALIGN"}</definedName>
    <definedName name="dsfhksdfsjaf" hidden="1">{#N/A,#N/A,FALSE,"M&amp;B_43A_fab";#N/A,#N/A,FALSE,"M&amp;B_43A_ERE.";#N/A,#N/A,FALSE,"M&amp;B-43A-ALIGN"}</definedName>
    <definedName name="dsgsd" hidden="1">{#N/A,#N/A,FALSE,"Assessment";#N/A,#N/A,FALSE,"Staffing";#N/A,#N/A,FALSE,"Hires";#N/A,#N/A,FALSE,"Assumptions"}</definedName>
    <definedName name="DSRACOPY">'[54]Capex &amp; Debt'!$F$213</definedName>
    <definedName name="dstf">#REF!</definedName>
    <definedName name="Dtata02" hidden="1">#REF!</definedName>
    <definedName name="dtkkkkkkkkkkkkkkkkkkkkkkkkkkkkkkkkkkkk">#REF!</definedName>
    <definedName name="DTX" hidden="1">{"'Bsheet BIS'!$A$1:$F$43"}</definedName>
    <definedName name="dtyytry">'[21]#REF'!$A$46:$N$86</definedName>
    <definedName name="Duct_Plaster">#REF!</definedName>
    <definedName name="Duct_Plaster___0">#REF!</definedName>
    <definedName name="Duct_Plaster___1">#REF!</definedName>
    <definedName name="Duct_Plaster___5">#REF!</definedName>
    <definedName name="dvat">"$#REF!.$#REF!$#REF!"</definedName>
    <definedName name="dvat_15">#REF!</definedName>
    <definedName name="dvat_17">#REF!</definedName>
    <definedName name="dvat_18">#REF!</definedName>
    <definedName name="DWGREG">#REF!</definedName>
    <definedName name="DWPRICE" hidden="1">[55]Quantity!#REF!</definedName>
    <definedName name="dwsd">'[21]#REF'!$A$1:$AF$113</definedName>
    <definedName name="Dx">#REF!</definedName>
    <definedName name="Dy">#REF!</definedName>
    <definedName name="dyfhn" hidden="1">{#N/A,#N/A,FALSE,"Aging Summary";#N/A,#N/A,FALSE,"Ratio Analysis";#N/A,#N/A,FALSE,"Test 120 Day Accts";#N/A,#N/A,FALSE,"Tickmarks"}</definedName>
    <definedName name="e"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e_3">NA()</definedName>
    <definedName name="e_3_1">NA()</definedName>
    <definedName name="E_ATMDebitLossSum">'[21]#REF'!$A$176:$N$217</definedName>
    <definedName name="EARTH_FILL">#REF!</definedName>
    <definedName name="East">'[56]FTE Totals_Plan'!#REF!</definedName>
    <definedName name="eate">'[21]Consumer Fraud'!$A$79:$AF$150</definedName>
    <definedName name="ED">#REF!</definedName>
    <definedName name="edb">[41]Sheet1!#REF!</definedName>
    <definedName name="edf">#REF!</definedName>
    <definedName name="EDG" hidden="1">{#N/A,#N/A,TRUE,"GEM Total";#N/A,#N/A,TRUE,"Final Assembly";#N/A,#N/A,TRUE,"Cleaning";#N/A,#N/A,TRUE,"Schooping,Clearing";#N/A,#N/A,TRUE,"Winding"}</definedName>
    <definedName name="EDGest" hidden="1">{#N/A,#N/A,TRUE,"GEM Total";#N/A,#N/A,TRUE,"Final Assembly";#N/A,#N/A,TRUE,"Cleaning";#N/A,#N/A,TRUE,"Schooping,Clearing";#N/A,#N/A,TRUE,"Winding"}</definedName>
    <definedName name="EE">#REF!</definedName>
    <definedName name="eee">#REF!</definedName>
    <definedName name="eerr" hidden="1">{"Alle Perioden",#N/A,FALSE,"Erf";"Alle Perioden",#N/A,FALSE,"Ang";"Alle Perioden",#N/A,FALSE,"BV";"Alle Perioden",#N/A,FALSE,"BE";"Alle Perioden",#N/A,FALSE,"Re";"Alle Perioden",#N/A,FALSE,"Vol"}</definedName>
    <definedName name="EFG" hidden="1">{"'Mach'!$A$1:$D$39"}</definedName>
    <definedName name="Eg616103___0">#REF!</definedName>
    <definedName name="Eg616103___1">#REF!</definedName>
    <definedName name="Eg616103___5">#REF!</definedName>
    <definedName name="ELECTRICAL">#REF!</definedName>
    <definedName name="ELECTRICAL__INSTALLATIONS">#REF!</definedName>
    <definedName name="ELECTRICAL_7">#REF!</definedName>
    <definedName name="Electrical_Man_Hole">#REF!</definedName>
    <definedName name="Elesum">#REF!</definedName>
    <definedName name="Em">#REF!</definedName>
    <definedName name="Em___0">#REF!</definedName>
    <definedName name="Em___13">#REF!</definedName>
    <definedName name="empty" localSheetId="5" hidden="1">{#N/A,#N/A,FALSE,"963YR";#N/A,#N/A,FALSE,"mkt mix";#N/A,#N/A,FALSE,"sect 5";#N/A,#N/A,FALSE,"sect 6";#N/A,#N/A,FALSE,"csh";#N/A,#N/A,FALSE,"capx";#N/A,#N/A,FALSE,"bal sheet"}</definedName>
    <definedName name="empty" localSheetId="0" hidden="1">{#N/A,#N/A,FALSE,"963YR";#N/A,#N/A,FALSE,"mkt mix";#N/A,#N/A,FALSE,"sect 5";#N/A,#N/A,FALSE,"sect 6";#N/A,#N/A,FALSE,"csh";#N/A,#N/A,FALSE,"capx";#N/A,#N/A,FALSE,"bal sheet"}</definedName>
    <definedName name="empty" hidden="1">{#N/A,#N/A,FALSE,"963YR";#N/A,#N/A,FALSE,"mkt mix";#N/A,#N/A,FALSE,"sect 5";#N/A,#N/A,FALSE,"sect 6";#N/A,#N/A,FALSE,"csh";#N/A,#N/A,FALSE,"capx";#N/A,#N/A,FALSE,"bal sheet"}</definedName>
    <definedName name="Empty1" hidden="1">#REF!</definedName>
    <definedName name="Empty2" hidden="1">#REF!</definedName>
    <definedName name="End_Bal">#REF!</definedName>
    <definedName name="EndBorder">#REF!</definedName>
    <definedName name="EndBorder_7">#REF!</definedName>
    <definedName name="enenenene" hidden="1">{#N/A,#N/A,FALSE,"Assessment";#N/A,#N/A,FALSE,"Staffing";#N/A,#N/A,FALSE,"Hires";#N/A,#N/A,FALSE,"Assumptions"}</definedName>
    <definedName name="EngAddress">#REF!</definedName>
    <definedName name="EngAddress___0">#REF!</definedName>
    <definedName name="EngAddress___1">#REF!</definedName>
    <definedName name="EngAddress___17">#REF!</definedName>
    <definedName name="EngAddress___4">#REF!</definedName>
    <definedName name="EngAddress___5">#REF!</definedName>
    <definedName name="EngAddress_4">#REF!</definedName>
    <definedName name="EngAddress_4___0">#REF!</definedName>
    <definedName name="EngAddress_4___1">#REF!</definedName>
    <definedName name="EngAddress_4___17">#REF!</definedName>
    <definedName name="EngAddress_4___4">#REF!</definedName>
    <definedName name="EngAddress_4___5">#REF!</definedName>
    <definedName name="EngAddress_4_1">#REF!</definedName>
    <definedName name="EngAddress_4_1___0">#REF!</definedName>
    <definedName name="EngAddress_4_1___1">#REF!</definedName>
    <definedName name="EngAddress_4_1___5">#REF!</definedName>
    <definedName name="EngAddress_6">#REF!</definedName>
    <definedName name="EngAddress_6___0">#REF!</definedName>
    <definedName name="EngAddress_6___1">#REF!</definedName>
    <definedName name="EngAddress_6___17">#REF!</definedName>
    <definedName name="EngAddress_6___4">#REF!</definedName>
    <definedName name="EngAddress_6___5">#REF!</definedName>
    <definedName name="EngCity">#REF!</definedName>
    <definedName name="EngCity___0">#REF!</definedName>
    <definedName name="EngCity___1">#REF!</definedName>
    <definedName name="EngCity___17">#REF!</definedName>
    <definedName name="EngCity___4">#REF!</definedName>
    <definedName name="EngCity___5">#REF!</definedName>
    <definedName name="EngCity_4">#REF!</definedName>
    <definedName name="EngCity_4___0">#REF!</definedName>
    <definedName name="EngCity_4___1">#REF!</definedName>
    <definedName name="EngCity_4___17">#REF!</definedName>
    <definedName name="EngCity_4___4">#REF!</definedName>
    <definedName name="EngCity_4___5">#REF!</definedName>
    <definedName name="EngCity_4_1">#REF!</definedName>
    <definedName name="EngCity_4_1___0">#REF!</definedName>
    <definedName name="EngCity_4_1___1">#REF!</definedName>
    <definedName name="EngCity_4_1___5">#REF!</definedName>
    <definedName name="EngCity_6">#REF!</definedName>
    <definedName name="EngCity_6___0">#REF!</definedName>
    <definedName name="EngCity_6___1">#REF!</definedName>
    <definedName name="EngCity_6___17">#REF!</definedName>
    <definedName name="EngCity_6___4">#REF!</definedName>
    <definedName name="EngCity_6___5">#REF!</definedName>
    <definedName name="EngName">#REF!</definedName>
    <definedName name="EngName___0">#REF!</definedName>
    <definedName name="EngName___1">#REF!</definedName>
    <definedName name="EngName___17">#REF!</definedName>
    <definedName name="EngName___4">#REF!</definedName>
    <definedName name="EngName___5">#REF!</definedName>
    <definedName name="EngName_4">#REF!</definedName>
    <definedName name="EngName_4___0">#REF!</definedName>
    <definedName name="EngName_4___1">#REF!</definedName>
    <definedName name="EngName_4___17">#REF!</definedName>
    <definedName name="EngName_4___4">#REF!</definedName>
    <definedName name="EngName_4___5">#REF!</definedName>
    <definedName name="EngName_4_1">#REF!</definedName>
    <definedName name="EngName_4_1___0">#REF!</definedName>
    <definedName name="EngName_4_1___1">#REF!</definedName>
    <definedName name="EngName_4_1___5">#REF!</definedName>
    <definedName name="EngName_6">#REF!</definedName>
    <definedName name="EngName_6___0">#REF!</definedName>
    <definedName name="EngName_6___1">#REF!</definedName>
    <definedName name="EngName_6___17">#REF!</definedName>
    <definedName name="EngName_6___4">#REF!</definedName>
    <definedName name="EngName_6___5">#REF!</definedName>
    <definedName name="EngPostal">#REF!</definedName>
    <definedName name="EngPostal___0">#REF!</definedName>
    <definedName name="EngPostal___1">#REF!</definedName>
    <definedName name="EngPostal___17">#REF!</definedName>
    <definedName name="EngPostal___4">#REF!</definedName>
    <definedName name="EngPostal___5">#REF!</definedName>
    <definedName name="EngPostal_4">#REF!</definedName>
    <definedName name="EngPostal_4___0">#REF!</definedName>
    <definedName name="EngPostal_4___1">#REF!</definedName>
    <definedName name="EngPostal_4___17">#REF!</definedName>
    <definedName name="EngPostal_4___4">#REF!</definedName>
    <definedName name="EngPostal_4___5">#REF!</definedName>
    <definedName name="EngPostal_4_1">#REF!</definedName>
    <definedName name="EngPostal_4_1___0">#REF!</definedName>
    <definedName name="EngPostal_4_1___1">#REF!</definedName>
    <definedName name="EngPostal_4_1___5">#REF!</definedName>
    <definedName name="EngPostal_6">#REF!</definedName>
    <definedName name="EngPostal_6___0">#REF!</definedName>
    <definedName name="EngPostal_6___1">#REF!</definedName>
    <definedName name="EngPostal_6___17">#REF!</definedName>
    <definedName name="EngPostal_6___4">#REF!</definedName>
    <definedName name="EngPostal_6___5">#REF!</definedName>
    <definedName name="EngPrio">#REF!</definedName>
    <definedName name="EngPrio___0">#REF!</definedName>
    <definedName name="EngPrio___1">#REF!</definedName>
    <definedName name="EngPrio___17">#REF!</definedName>
    <definedName name="EngPrio___4">#REF!</definedName>
    <definedName name="EngPrio___5">#REF!</definedName>
    <definedName name="EngPrio_4">#REF!</definedName>
    <definedName name="EngPrio_4___0">#REF!</definedName>
    <definedName name="EngPrio_4___1">#REF!</definedName>
    <definedName name="EngPrio_4___17">#REF!</definedName>
    <definedName name="EngPrio_4___4">#REF!</definedName>
    <definedName name="EngPrio_4___5">#REF!</definedName>
    <definedName name="EngPrio_4_1">#REF!</definedName>
    <definedName name="EngPrio_4_1___0">#REF!</definedName>
    <definedName name="EngPrio_4_1___1">#REF!</definedName>
    <definedName name="EngPrio_4_1___5">#REF!</definedName>
    <definedName name="EngPrio_6">#REF!</definedName>
    <definedName name="EngPrio_6___0">#REF!</definedName>
    <definedName name="EngPrio_6___1">#REF!</definedName>
    <definedName name="EngPrio_6___17">#REF!</definedName>
    <definedName name="EngPrio_6___4">#REF!</definedName>
    <definedName name="EngPrio_6___5">#REF!</definedName>
    <definedName name="EngPrio_Text">#REF!</definedName>
    <definedName name="EngPrio_Text___0">#REF!</definedName>
    <definedName name="EngPrio_Text___1">#REF!</definedName>
    <definedName name="EngPrio_Text___17">#REF!</definedName>
    <definedName name="EngPrio_Text___4">#REF!</definedName>
    <definedName name="EngPrio_Text___5">#REF!</definedName>
    <definedName name="EngPrio_Text_4">#REF!</definedName>
    <definedName name="EngPrio_Text_4___0">#REF!</definedName>
    <definedName name="EngPrio_Text_4___1">#REF!</definedName>
    <definedName name="EngPrio_Text_4___17">#REF!</definedName>
    <definedName name="EngPrio_Text_4___4">#REF!</definedName>
    <definedName name="EngPrio_Text_4___5">#REF!</definedName>
    <definedName name="EngPrio_Text_4_1">#REF!</definedName>
    <definedName name="EngPrio_Text_4_1___0">#REF!</definedName>
    <definedName name="EngPrio_Text_4_1___1">#REF!</definedName>
    <definedName name="EngPrio_Text_4_1___5">#REF!</definedName>
    <definedName name="EngPrio_Text_6">#REF!</definedName>
    <definedName name="EngPrio_Text_6___0">#REF!</definedName>
    <definedName name="EngPrio_Text_6___1">#REF!</definedName>
    <definedName name="EngPrio_Text_6___17">#REF!</definedName>
    <definedName name="EngPrio_Text_6___4">#REF!</definedName>
    <definedName name="EngPrio_Text_6___5">#REF!</definedName>
    <definedName name="EngrName">#REF!</definedName>
    <definedName name="EngState">#REF!</definedName>
    <definedName name="EngState___0">#REF!</definedName>
    <definedName name="EngState___1">#REF!</definedName>
    <definedName name="EngState___17">#REF!</definedName>
    <definedName name="EngState___4">#REF!</definedName>
    <definedName name="EngState___5">#REF!</definedName>
    <definedName name="EngState_4">#REF!</definedName>
    <definedName name="EngState_4___0">#REF!</definedName>
    <definedName name="EngState_4___1">#REF!</definedName>
    <definedName name="EngState_4___17">#REF!</definedName>
    <definedName name="EngState_4___4">#REF!</definedName>
    <definedName name="EngState_4___5">#REF!</definedName>
    <definedName name="EngState_4_1">#REF!</definedName>
    <definedName name="EngState_4_1___0">#REF!</definedName>
    <definedName name="EngState_4_1___1">#REF!</definedName>
    <definedName name="EngState_4_1___5">#REF!</definedName>
    <definedName name="EngState_6">#REF!</definedName>
    <definedName name="EngState_6___0">#REF!</definedName>
    <definedName name="EngState_6___1">#REF!</definedName>
    <definedName name="EngState_6___17">#REF!</definedName>
    <definedName name="EngState_6___4">#REF!</definedName>
    <definedName name="EngState_6___5">#REF!</definedName>
    <definedName name="EnqStatus">#REF!</definedName>
    <definedName name="Entity">#REF!</definedName>
    <definedName name="EOU" hidden="1">#REF!</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rase2" localSheetId="5" hidden="1">{#N/A,#N/A,FALSE,"Summary";#N/A,#N/A,FALSE,"CF";#N/A,#N/A,FALSE,"P&amp;L";#N/A,#N/A,FALSE,"BS";#N/A,#N/A,FALSE,"Returns";#N/A,#N/A,FALSE,"Assumptions";#N/A,#N/A,FALSE,"Analysis"}</definedName>
    <definedName name="erase2" localSheetId="0" hidden="1">{#N/A,#N/A,FALSE,"Summary";#N/A,#N/A,FALSE,"CF";#N/A,#N/A,FALSE,"P&amp;L";#N/A,#N/A,FALSE,"BS";#N/A,#N/A,FALSE,"Returns";#N/A,#N/A,FALSE,"Assumptions";#N/A,#N/A,FALSE,"Analysis"}</definedName>
    <definedName name="erase2" hidden="1">{#N/A,#N/A,FALSE,"Summary";#N/A,#N/A,FALSE,"CF";#N/A,#N/A,FALSE,"P&amp;L";#N/A,#N/A,FALSE,"BS";#N/A,#N/A,FALSE,"Returns";#N/A,#N/A,FALSE,"Assumptions";#N/A,#N/A,FALSE,"Analysis"}</definedName>
    <definedName name="erase3" localSheetId="5" hidden="1">{#N/A,#N/A,FALSE,"Summary";#N/A,#N/A,FALSE,"CF";#N/A,#N/A,FALSE,"P&amp;L";"summary",#N/A,FALSE,"Returns";#N/A,#N/A,FALSE,"BS";"summary",#N/A,FALSE,"Analysis";#N/A,#N/A,FALSE,"Assumptions"}</definedName>
    <definedName name="erase3" localSheetId="0" hidden="1">{#N/A,#N/A,FALSE,"Summary";#N/A,#N/A,FALSE,"CF";#N/A,#N/A,FALSE,"P&amp;L";"summary",#N/A,FALSE,"Returns";#N/A,#N/A,FALSE,"BS";"summary",#N/A,FALSE,"Analysis";#N/A,#N/A,FALSE,"Assumptions"}</definedName>
    <definedName name="erase3" hidden="1">{#N/A,#N/A,FALSE,"Summary";#N/A,#N/A,FALSE,"CF";#N/A,#N/A,FALSE,"P&amp;L";"summary",#N/A,FALSE,"Returns";#N/A,#N/A,FALSE,"BS";"summary",#N/A,FALSE,"Analysis";#N/A,#N/A,FALSE,"Assumptions"}</definedName>
    <definedName name="erq">'[21]#REF'!$A$1:$P$113</definedName>
    <definedName name="erqe">'[21]#REF'!$A$46:$N$86</definedName>
    <definedName name="error2" hidden="1">{"front-cover",#N/A,TRUE,"FRONT";"index",#N/A,TRUE,"FRONT";"P&amp;L",#N/A,TRUE,"Summary";"CASHFLOW",#N/A,TRUE," CASHFLOW,BS";"BSHEET",#N/A,TRUE," CASHFLOW,BS";"COMMISSIONS",#N/A,TRUE,"Commission third party";"OVERHEADS",#N/A,TRUE,"Overheads";"FESTIVALS",#N/A,TRUE,"Festivals";"TRAVEL",#N/A,TRUE,"Travel &amp; Entertainment";"STOCK",#N/A,TRUE,"stock";"DEBTORS",#N/A,TRUE,"DEBTORS";"PREPAYMENTS",#N/A,TRUE,"PREPAYM&amp;ACC"}</definedName>
    <definedName name="ES">#REF!</definedName>
    <definedName name="Es___0">#REF!</definedName>
    <definedName name="Es___13">#REF!</definedName>
    <definedName name="ESF">#REF!</definedName>
    <definedName name="essai">#REF!</definedName>
    <definedName name="EssOptions">"1100000000010000_01000"</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#REF!</definedName>
    <definedName name="EstCost">#REF!</definedName>
    <definedName name="EstCost___0">#REF!</definedName>
    <definedName name="EstCost___1">#REF!</definedName>
    <definedName name="EstCost___17">#REF!</definedName>
    <definedName name="EstCost___4">#REF!</definedName>
    <definedName name="EstCost___5">#REF!</definedName>
    <definedName name="EstCost_4">#REF!</definedName>
    <definedName name="EstCost_4___0">#REF!</definedName>
    <definedName name="EstCost_4___1">#REF!</definedName>
    <definedName name="EstCost_4___17">#REF!</definedName>
    <definedName name="EstCost_4___4">#REF!</definedName>
    <definedName name="EstCost_4___5">#REF!</definedName>
    <definedName name="EstCost_4_1">#REF!</definedName>
    <definedName name="EstCost_4_1___0">#REF!</definedName>
    <definedName name="EstCost_4_1___1">#REF!</definedName>
    <definedName name="EstCost_4_1___5">#REF!</definedName>
    <definedName name="EstCost_6">#REF!</definedName>
    <definedName name="EstCost_6___0">#REF!</definedName>
    <definedName name="EstCost_6___1">#REF!</definedName>
    <definedName name="EstCost_6___17">#REF!</definedName>
    <definedName name="EstCost_6___4">#REF!</definedName>
    <definedName name="EstCost_6___5">#REF!</definedName>
    <definedName name="estimated" hidden="1">{#N/A,#N/A,FALSE,"SMT1";#N/A,#N/A,FALSE,"SMT2";#N/A,#N/A,FALSE,"Summary";#N/A,#N/A,FALSE,"Graphs";#N/A,#N/A,FALSE,"4 Panel"}</definedName>
    <definedName name="Et">#REF!</definedName>
    <definedName name="Et___0">#REF!</definedName>
    <definedName name="Et___13">#REF!</definedName>
    <definedName name="etc" localSheetId="0" hidden="1">#REF!</definedName>
    <definedName name="etc" hidden="1">#REF!</definedName>
    <definedName name="etm" hidden="1">{#N/A,#N/A,TRUE,"145A"}</definedName>
    <definedName name="etm_1" hidden="1">{#N/A,#N/A,TRUE,"145A"}</definedName>
    <definedName name="etm_1_1" hidden="1">{#N/A,#N/A,TRUE,"145A"}</definedName>
    <definedName name="etm_1_1_1" hidden="1">{#N/A,#N/A,TRUE,"145A"}</definedName>
    <definedName name="etm_2" hidden="1">{#N/A,#N/A,TRUE,"145A"}</definedName>
    <definedName name="etm_2_1" hidden="1">{#N/A,#N/A,TRUE,"145A"}</definedName>
    <definedName name="etm_3" hidden="1">{#N/A,#N/A,TRUE,"145A"}</definedName>
    <definedName name="etm_3_1" hidden="1">{#N/A,#N/A,TRUE,"145A"}</definedName>
    <definedName name="etm_4" hidden="1">{#N/A,#N/A,TRUE,"145A"}</definedName>
    <definedName name="etm_4_1" hidden="1">{#N/A,#N/A,TRUE,"145A"}</definedName>
    <definedName name="etm_5" hidden="1">{#N/A,#N/A,TRUE,"145A"}</definedName>
    <definedName name="etm_5_1" hidden="1">{#N/A,#N/A,TRUE,"145A"}</definedName>
    <definedName name="eu">#REF!</definedName>
    <definedName name="eu___0">#REF!</definedName>
    <definedName name="eu___1">#REF!</definedName>
    <definedName name="eu___17">#REF!</definedName>
    <definedName name="eu___4">#REF!</definedName>
    <definedName name="eu___5">#REF!</definedName>
    <definedName name="eu_1">#REF!</definedName>
    <definedName name="eu_1_1">#REF!</definedName>
    <definedName name="eu_16">#REF!</definedName>
    <definedName name="eu_17">#REF!</definedName>
    <definedName name="eu_18">#REF!</definedName>
    <definedName name="eu_19">#REF!</definedName>
    <definedName name="eu_2">NA()</definedName>
    <definedName name="eu_4">#REF!</definedName>
    <definedName name="eu_4___0">#REF!</definedName>
    <definedName name="eu_4___1">#REF!</definedName>
    <definedName name="eu_4___17">#REF!</definedName>
    <definedName name="eu_4___4">#REF!</definedName>
    <definedName name="eu_4___5">#REF!</definedName>
    <definedName name="eu_4_1">#REF!</definedName>
    <definedName name="eu_4_1___0">#REF!</definedName>
    <definedName name="eu_4_1___1">#REF!</definedName>
    <definedName name="eu_4_1___5">#REF!</definedName>
    <definedName name="eu_5">#REF!</definedName>
    <definedName name="eu_6">#REF!</definedName>
    <definedName name="eu_6___0">#REF!</definedName>
    <definedName name="eu_6___1">#REF!</definedName>
    <definedName name="eu_6___17">#REF!</definedName>
    <definedName name="eu_6___4">#REF!</definedName>
    <definedName name="eu_6___5">#REF!</definedName>
    <definedName name="eu_7">#REF!</definedName>
    <definedName name="eu_8">#REF!</definedName>
    <definedName name="eu_9">#REF!</definedName>
    <definedName name="EUR">#REF!</definedName>
    <definedName name="Euro">#REF!</definedName>
    <definedName name="EURO_1">#REF!</definedName>
    <definedName name="EV__EVCOM_OPTIONS__" hidden="1">8</definedName>
    <definedName name="EV__EXPOPTIONS__" hidden="1">0</definedName>
    <definedName name="EV__LASTREFTIME__" hidden="1">"(GMT+05:30)5/14/2016 12:27:02 PM"</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#REF!</definedName>
    <definedName name="ewwwwwwwwwwwwwwwwwwwwwww" hidden="1">{#N/A,#N/A,FALSE,"Assessment";#N/A,#N/A,FALSE,"Staffing";#N/A,#N/A,FALSE,"Hires";#N/A,#N/A,FALSE,"Assumptions"}</definedName>
    <definedName name="ex">#REF!</definedName>
    <definedName name="exc" hidden="1">{"'Sheet1'!$A$4386:$N$4591"}</definedName>
    <definedName name="Excavation">#REF!</definedName>
    <definedName name="EXCAVATION1">#REF!</definedName>
    <definedName name="Excel_BuiltIn__FilterDatabase">NA()</definedName>
    <definedName name="Excel_BuiltIn__FilterDatabase_1">"$#REF!.$A$3:$K$4"</definedName>
    <definedName name="Excel_BuiltIn__FilterDatabase_2">#REF!</definedName>
    <definedName name="Excel_BuiltIn__FilterDatabase_3">#REF!</definedName>
    <definedName name="Excel_BuiltIn__FilterDatabase_3_1">NA()</definedName>
    <definedName name="Excel_BuiltIn__FilterDatabase_4">#REF!</definedName>
    <definedName name="Excel_BuiltIn__FilterDatabase_4_1">#REF!</definedName>
    <definedName name="Excel_BuiltIn__FilterDatabase_5">#REF!</definedName>
    <definedName name="Excel_BuiltIn__FilterDatabase_5_1">#REF!</definedName>
    <definedName name="Excel_BuiltIn__FilterDatabase_7">#REF!</definedName>
    <definedName name="Excel_BuiltIn_Database">#REF!</definedName>
    <definedName name="Excel_BuiltIn_Database_0">#REF!</definedName>
    <definedName name="Excel_BuiltIn_Database_1">#REF!</definedName>
    <definedName name="Excel_BuiltIn_Database_4">#REF!</definedName>
    <definedName name="Excel_BuiltIn_Database_5">#REF!</definedName>
    <definedName name="Excel_BuiltIn_Database_7">#REF!</definedName>
    <definedName name="Excel_BuiltIn_Print_Area">#REF!</definedName>
    <definedName name="Excel_BuiltIn_Print_Area___0">#REF!</definedName>
    <definedName name="Excel_BuiltIn_Print_Area___1">#REF!</definedName>
    <definedName name="Excel_BuiltIn_Print_Area___17">#REF!</definedName>
    <definedName name="Excel_BuiltIn_Print_Area___4">#REF!</definedName>
    <definedName name="Excel_BuiltIn_Print_Area___5">#REF!</definedName>
    <definedName name="Excel_BuiltIn_Print_Area_0">#REF!</definedName>
    <definedName name="Excel_BuiltIn_Print_Area_1">#REF!</definedName>
    <definedName name="Excel_BuiltIn_Print_Area_1___0">#REF!</definedName>
    <definedName name="Excel_BuiltIn_Print_Area_1___1">#REF!</definedName>
    <definedName name="Excel_BuiltIn_Print_Area_1___10">#REF!</definedName>
    <definedName name="Excel_BuiltIn_Print_Area_1___11">#REF!</definedName>
    <definedName name="Excel_BuiltIn_Print_Area_1___14">#REF!</definedName>
    <definedName name="Excel_BuiltIn_Print_Area_1___15">#REF!</definedName>
    <definedName name="Excel_BuiltIn_Print_Area_1___16">#REF!</definedName>
    <definedName name="Excel_BuiltIn_Print_Area_1___17">#REF!</definedName>
    <definedName name="Excel_BuiltIn_Print_Area_1___18">#REF!</definedName>
    <definedName name="Excel_BuiltIn_Print_Area_1___4">#REF!</definedName>
    <definedName name="Excel_BuiltIn_Print_Area_1___5">#REF!</definedName>
    <definedName name="Excel_BuiltIn_Print_Area_1___7">#REF!</definedName>
    <definedName name="Excel_BuiltIn_Print_Area_1___8">#REF!</definedName>
    <definedName name="Excel_BuiltIn_Print_Area_1___9">#REF!</definedName>
    <definedName name="Excel_BuiltIn_Print_Area_1_1">#REF!</definedName>
    <definedName name="Excel_BuiltIn_Print_Area_1_1___0">#REF!</definedName>
    <definedName name="Excel_BuiltIn_Print_Area_1_1___1">#REF!</definedName>
    <definedName name="Excel_BuiltIn_Print_Area_1_1___17">#REF!</definedName>
    <definedName name="Excel_BuiltIn_Print_Area_1_1___4">#REF!</definedName>
    <definedName name="Excel_BuiltIn_Print_Area_1_1___5">#REF!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NA()</definedName>
    <definedName name="Excel_BuiltIn_Print_Area_1_1_1_1_1_1_1_1">NA()</definedName>
    <definedName name="Excel_BuiltIn_Print_Area_1_1_1_1_1_1_1_1_1">NA()</definedName>
    <definedName name="Excel_BuiltIn_Print_Area_1_1_1_1_1_1_1_1_1_1">NA()</definedName>
    <definedName name="Excel_BuiltIn_Print_Area_1_1_1_1_1_1_1_1_1_1_1">NA()</definedName>
    <definedName name="Excel_BuiltIn_Print_Area_1_1_1_1_1_1_1_1_1_1_1_1">NA()</definedName>
    <definedName name="Excel_BuiltIn_Print_Area_1_1_1_1_1_1_1_1_1_1_1_1_1">NA()</definedName>
    <definedName name="Excel_BuiltIn_Print_Area_1_1_2">#REF!</definedName>
    <definedName name="Excel_BuiltIn_Print_Area_1_2">#REF!</definedName>
    <definedName name="Excel_BuiltIn_Print_Area_10">NA()</definedName>
    <definedName name="Excel_BuiltIn_Print_Area_10_1">NA()</definedName>
    <definedName name="Excel_BuiltIn_Print_Area_10_1_1">NA()</definedName>
    <definedName name="Excel_BuiltIn_Print_Area_10_1_1_1">NA()</definedName>
    <definedName name="Excel_BuiltIn_Print_Area_10_1_1_1_1">NA()</definedName>
    <definedName name="Excel_BuiltIn_Print_Area_10_1_1_1_1_1">NA()</definedName>
    <definedName name="Excel_BuiltIn_Print_Area_10_1_1_1_1_1_1">NA()</definedName>
    <definedName name="Excel_BuiltIn_Print_Area_10_1_1_1_1_1_1_1">NA()</definedName>
    <definedName name="Excel_BuiltIn_Print_Area_10_1_1_1_1_1_1_1_1">NA()</definedName>
    <definedName name="Excel_BuiltIn_Print_Area_10_1_1_1_1_1_1_1_1_1">NA()</definedName>
    <definedName name="Excel_BuiltIn_Print_Area_10_1_1_1_1_1_1_1_1_1_1">NA()</definedName>
    <definedName name="Excel_BuiltIn_Print_Area_10_1_1_1_1_1_1_1_1_1_1_1">NA()</definedName>
    <definedName name="Excel_BuiltIn_Print_Area_10_1_1_1_1_1_1_1_1_1_1_1_1">NA()</definedName>
    <definedName name="Excel_BuiltIn_Print_Area_11">#REF!</definedName>
    <definedName name="Excel_BuiltIn_Print_Area_11_1">NA()</definedName>
    <definedName name="Excel_BuiltIn_Print_Area_11_1_1">NA()</definedName>
    <definedName name="Excel_BuiltIn_Print_Area_11_1_1_1">NA()</definedName>
    <definedName name="Excel_BuiltIn_Print_Area_11_1_1_1_1">NA()</definedName>
    <definedName name="Excel_BuiltIn_Print_Area_11_1_1_1_1_1">NA()</definedName>
    <definedName name="Excel_BuiltIn_Print_Area_11_1_1_1_1_1_1">NA()</definedName>
    <definedName name="Excel_BuiltIn_Print_Area_11_1_1_1_1_1_1_1">NA()</definedName>
    <definedName name="Excel_BuiltIn_Print_Area_12">#REF!</definedName>
    <definedName name="Excel_BuiltIn_Print_Area_12_1">#REF!</definedName>
    <definedName name="Excel_BuiltIn_Print_Area_12_1_1">NA()</definedName>
    <definedName name="Excel_BuiltIn_Print_Area_12_1_1_1">NA()</definedName>
    <definedName name="Excel_BuiltIn_Print_Area_12_1_1_1_1">NA()</definedName>
    <definedName name="Excel_BuiltIn_Print_Area_12_1_1_1_1_1">NA()</definedName>
    <definedName name="Excel_BuiltIn_Print_Area_13">#REF!</definedName>
    <definedName name="Excel_BuiltIn_Print_Area_13_1">#REF!</definedName>
    <definedName name="Excel_BuiltIn_Print_Area_14">#REF!</definedName>
    <definedName name="Excel_BuiltIn_Print_Area_14_1">#REF!</definedName>
    <definedName name="Excel_BuiltIn_Print_Area_14_1_1">NA()</definedName>
    <definedName name="Excel_BuiltIn_Print_Area_14_1_1_1">NA()</definedName>
    <definedName name="Excel_BuiltIn_Print_Area_14_1_1_1_1">NA()</definedName>
    <definedName name="Excel_BuiltIn_Print_Area_14_1_1_1_1_1">NA()</definedName>
    <definedName name="Excel_BuiltIn_Print_Area_14_1_1_1_1_1_1">NA()</definedName>
    <definedName name="Excel_BuiltIn_Print_Area_14_1_1_1_1_1_1_1">NA()</definedName>
    <definedName name="Excel_BuiltIn_Print_Area_14_1_1_1_1_1_1_1_1">NA()</definedName>
    <definedName name="Excel_BuiltIn_Print_Area_14_1_1_1_1_1_1_1_1_1">NA()</definedName>
    <definedName name="Excel_BuiltIn_Print_Area_14_1_1_1_1_1_1_1_1_1_1">NA()</definedName>
    <definedName name="Excel_BuiltIn_Print_Area_14_1_1_1_1_1_1_1_1_1_1_1">NA()</definedName>
    <definedName name="Excel_BuiltIn_Print_Area_15">NA()</definedName>
    <definedName name="Excel_BuiltIn_Print_Area_15_1">NA()</definedName>
    <definedName name="Excel_BuiltIn_Print_Area_15_1_1">NA()</definedName>
    <definedName name="Excel_BuiltIn_Print_Area_15_1_1_1">NA()</definedName>
    <definedName name="Excel_BuiltIn_Print_Area_15_1_1_1_1">NA()</definedName>
    <definedName name="Excel_BuiltIn_Print_Area_15_1_1_1_1_1">NA()</definedName>
    <definedName name="Excel_BuiltIn_Print_Area_15_1_1_1_1_1_1">NA()</definedName>
    <definedName name="Excel_BuiltIn_Print_Area_15_1_1_1_1_1_1_1">NA()</definedName>
    <definedName name="Excel_BuiltIn_Print_Area_15_1_1_1_1_1_1_1_1">NA()</definedName>
    <definedName name="Excel_BuiltIn_Print_Area_15_1_1_1_1_1_1_1_1_1">NA()</definedName>
    <definedName name="Excel_BuiltIn_Print_Area_15_1_1_1_1_1_1_1_1_1_1">NA()</definedName>
    <definedName name="Excel_BuiltIn_Print_Area_15_1_1_1_1_1_1_1_1_1_1_1">NA()</definedName>
    <definedName name="Excel_BuiltIn_Print_Area_15_1_1_1_1_1_1_1_1_1_1_1_1">NA()</definedName>
    <definedName name="Excel_BuiltIn_Print_Area_16">#REF!</definedName>
    <definedName name="Excel_BuiltIn_Print_Area_16_1">"#REF!"</definedName>
    <definedName name="Excel_BuiltIn_Print_Area_16_1_1">NA()</definedName>
    <definedName name="Excel_BuiltIn_Print_Area_18">NA()</definedName>
    <definedName name="Excel_BuiltIn_Print_Area_18_1">NA()</definedName>
    <definedName name="Excel_BuiltIn_Print_Area_18_1_1">NA()</definedName>
    <definedName name="Excel_BuiltIn_Print_Area_18_1_1_1">NA()</definedName>
    <definedName name="Excel_BuiltIn_Print_Area_18_1_1_1_1">NA()</definedName>
    <definedName name="Excel_BuiltIn_Print_Area_18_1_1_1_1_1">NA()</definedName>
    <definedName name="Excel_BuiltIn_Print_Area_18_1_1_1_1_1_1">NA()</definedName>
    <definedName name="Excel_BuiltIn_Print_Area_18_1_1_1_1_1_1_1">NA()</definedName>
    <definedName name="Excel_BuiltIn_Print_Area_18_1_1_1_1_1_1_1_1">NA()</definedName>
    <definedName name="Excel_BuiltIn_Print_Area_18_1_1_1_1_1_1_1_1_1">NA()</definedName>
    <definedName name="Excel_BuiltIn_Print_Area_18_1_1_1_1_1_1_1_1_1_1">NA()</definedName>
    <definedName name="Excel_BuiltIn_Print_Area_18_1_1_1_1_1_1_1_1_1_1_1">NA()</definedName>
    <definedName name="Excel_BuiltIn_Print_Area_19_1">NA()</definedName>
    <definedName name="Excel_BuiltIn_Print_Area_19_1_1">NA()</definedName>
    <definedName name="Excel_BuiltIn_Print_Area_19_1_1_1">NA()</definedName>
    <definedName name="Excel_BuiltIn_Print_Area_2">"$#REF!.$A$1:$I$1944"</definedName>
    <definedName name="Excel_BuiltIn_Print_Area_2_1">#REF!</definedName>
    <definedName name="Excel_BuiltIn_Print_Area_2_1_1">#REF!</definedName>
    <definedName name="Excel_BuiltIn_Print_Area_2_1_1_1">NA()</definedName>
    <definedName name="Excel_BuiltIn_Print_Area_2_1_1_1_1">NA()</definedName>
    <definedName name="Excel_BuiltIn_Print_Area_2_1_1_1_1_1">NA()</definedName>
    <definedName name="Excel_BuiltIn_Print_Area_2_1_1_1_1_1_1">NA()</definedName>
    <definedName name="Excel_BuiltIn_Print_Area_2_1_1_1_1_1_1_1">NA()</definedName>
    <definedName name="Excel_BuiltIn_Print_Area_2_1_1_1_1_1_1_1_1">NA()</definedName>
    <definedName name="Excel_BuiltIn_Print_Area_2_1_1_1_1_1_1_1_1_1">NA()</definedName>
    <definedName name="Excel_BuiltIn_Print_Area_2_1_1_1_1_1_1_1_1_1_1">NA()</definedName>
    <definedName name="Excel_BuiltIn_Print_Area_2_1_1_1_1_1_1_1_1_1_1_1">NA()</definedName>
    <definedName name="Excel_BuiltIn_Print_Area_2_1_1_1_1_1_1_1_1_1_1_1_1">NA()</definedName>
    <definedName name="Excel_BuiltIn_Print_Area_2_2">#REF!</definedName>
    <definedName name="Excel_BuiltIn_Print_Area_2_3">#REF!</definedName>
    <definedName name="Excel_BuiltIn_Print_Area_20">NA()</definedName>
    <definedName name="Excel_BuiltIn_Print_Area_20_1">NA()</definedName>
    <definedName name="Excel_BuiltIn_Print_Area_20_1_1">NA()</definedName>
    <definedName name="Excel_BuiltIn_Print_Area_20_1_1_1">NA()</definedName>
    <definedName name="Excel_BuiltIn_Print_Area_20_1_1_1_1">NA()</definedName>
    <definedName name="Excel_BuiltIn_Print_Area_20_1_1_1_1_1">NA()</definedName>
    <definedName name="Excel_BuiltIn_Print_Area_21_1">NA()</definedName>
    <definedName name="Excel_BuiltIn_Print_Area_21_1_1">NA()</definedName>
    <definedName name="Excel_BuiltIn_Print_Area_21_1_1_1">NA()</definedName>
    <definedName name="Excel_BuiltIn_Print_Area_21_1_1_1_1">NA()</definedName>
    <definedName name="Excel_BuiltIn_Print_Area_21_1_1_1_1_1">NA()</definedName>
    <definedName name="Excel_BuiltIn_Print_Area_21_1_1_1_1_1_1">NA()</definedName>
    <definedName name="Excel_BuiltIn_Print_Area_21_1_1_1_1_1_1_1">NA()</definedName>
    <definedName name="Excel_BuiltIn_Print_Area_21_1_1_1_1_1_1_1_1">NA()</definedName>
    <definedName name="Excel_BuiltIn_Print_Area_21_1_1_1_1_1_1_1_1_1">NA()</definedName>
    <definedName name="Excel_BuiltIn_Print_Area_21_1_1_1_1_1_1_1_1_1_1">NA()</definedName>
    <definedName name="Excel_BuiltIn_Print_Area_22">NA()</definedName>
    <definedName name="Excel_BuiltIn_Print_Area_22_1">NA()</definedName>
    <definedName name="Excel_BuiltIn_Print_Area_22_1_1">NA()</definedName>
    <definedName name="Excel_BuiltIn_Print_Area_22_1_1_1">NA()</definedName>
    <definedName name="Excel_BuiltIn_Print_Area_22_1_1_1_1">NA()</definedName>
    <definedName name="Excel_BuiltIn_Print_Area_22_1_1_1_1_1">NA()</definedName>
    <definedName name="Excel_BuiltIn_Print_Area_22_1_1_1_1_1_1">NA()</definedName>
    <definedName name="Excel_BuiltIn_Print_Area_22_1_1_1_1_1_1_1">NA()</definedName>
    <definedName name="Excel_BuiltIn_Print_Area_22_1_1_1_1_1_1_1_1">NA()</definedName>
    <definedName name="Excel_BuiltIn_Print_Area_22_1_1_1_1_1_1_1_1_1">NA()</definedName>
    <definedName name="Excel_BuiltIn_Print_Area_22_1_1_1_1_1_1_1_1_1_1">NA()</definedName>
    <definedName name="Excel_BuiltIn_Print_Area_22_1_1_1_1_1_1_1_1_1_1_1">NA()</definedName>
    <definedName name="Excel_BuiltIn_Print_Area_22_1_1_1_1_1_1_1_1_1_1_1_1">NA()</definedName>
    <definedName name="Excel_BuiltIn_Print_Area_23">NA()</definedName>
    <definedName name="Excel_BuiltIn_Print_Area_23_1">NA()</definedName>
    <definedName name="Excel_BuiltIn_Print_Area_23_1_1">NA()</definedName>
    <definedName name="Excel_BuiltIn_Print_Area_23_1_1_1">NA()</definedName>
    <definedName name="Excel_BuiltIn_Print_Area_23_1_1_1_1">NA()</definedName>
    <definedName name="Excel_BuiltIn_Print_Area_23_1_1_1_1_1">NA()</definedName>
    <definedName name="Excel_BuiltIn_Print_Area_23_1_1_1_1_1_1">NA()</definedName>
    <definedName name="Excel_BuiltIn_Print_Area_23_1_1_1_1_1_1_1">NA()</definedName>
    <definedName name="Excel_BuiltIn_Print_Area_24">NA()</definedName>
    <definedName name="Excel_BuiltIn_Print_Area_24_1">NA()</definedName>
    <definedName name="Excel_BuiltIn_Print_Area_24_1_1">NA()</definedName>
    <definedName name="Excel_BuiltIn_Print_Area_24_1_1_1">NA()</definedName>
    <definedName name="Excel_BuiltIn_Print_Area_24_1_1_1_1">NA()</definedName>
    <definedName name="Excel_BuiltIn_Print_Area_26_1">NA()</definedName>
    <definedName name="Excel_BuiltIn_Print_Area_27">NA()</definedName>
    <definedName name="Excel_BuiltIn_Print_Area_27_1">NA()</definedName>
    <definedName name="Excel_BuiltIn_Print_Area_27_1_1">NA()</definedName>
    <definedName name="Excel_BuiltIn_Print_Area_27_1_1_1">NA()</definedName>
    <definedName name="Excel_BuiltIn_Print_Area_27_1_1_1_1">NA()</definedName>
    <definedName name="Excel_BuiltIn_Print_Area_27_1_1_1_1_1">NA()</definedName>
    <definedName name="Excel_BuiltIn_Print_Area_28">NA()</definedName>
    <definedName name="Excel_BuiltIn_Print_Area_28_1">NA()</definedName>
    <definedName name="Excel_BuiltIn_Print_Area_28_1_1">NA()</definedName>
    <definedName name="Excel_BuiltIn_Print_Area_28_1_1_1">NA()</definedName>
    <definedName name="Excel_BuiltIn_Print_Area_28_1_1_1_1">NA()</definedName>
    <definedName name="Excel_BuiltIn_Print_Area_3">#REF!</definedName>
    <definedName name="Excel_BuiltIn_Print_Area_3_1">#REF!</definedName>
    <definedName name="Excel_BuiltIn_Print_Area_4">#REF!</definedName>
    <definedName name="Excel_BuiltIn_Print_Area_4___0">#REF!</definedName>
    <definedName name="Excel_BuiltIn_Print_Area_4___1">#REF!</definedName>
    <definedName name="Excel_BuiltIn_Print_Area_4___17">#REF!</definedName>
    <definedName name="Excel_BuiltIn_Print_Area_4___4">#REF!</definedName>
    <definedName name="Excel_BuiltIn_Print_Area_4___5">#REF!</definedName>
    <definedName name="Excel_BuiltIn_Print_Area_4_1">#REF!</definedName>
    <definedName name="Excel_BuiltIn_Print_Area_5">#REF!</definedName>
    <definedName name="Excel_BuiltIn_Print_Area_5___0">#REF!</definedName>
    <definedName name="Excel_BuiltIn_Print_Area_5___1">#REF!</definedName>
    <definedName name="Excel_BuiltIn_Print_Area_5___17">#REF!</definedName>
    <definedName name="Excel_BuiltIn_Print_Area_5___4">#REF!</definedName>
    <definedName name="Excel_BuiltIn_Print_Area_5___5">#REF!</definedName>
    <definedName name="Excel_BuiltIn_Print_Area_5_1">#REF!</definedName>
    <definedName name="Excel_BuiltIn_Print_Area_6">#REF!</definedName>
    <definedName name="Excel_BuiltIn_Print_Area_7">#REF!</definedName>
    <definedName name="Excel_BuiltIn_Print_Area_7_1">NA()</definedName>
    <definedName name="Excel_BuiltIn_Print_Area_7_1_1">NA()</definedName>
    <definedName name="Excel_BuiltIn_Print_Area_7_1_1_1">NA()</definedName>
    <definedName name="Excel_BuiltIn_Print_Area_7_1_1_1_1">NA()</definedName>
    <definedName name="Excel_BuiltIn_Print_Area_7_1_1_1_1_1">NA()</definedName>
    <definedName name="Excel_BuiltIn_Print_Area_7_1_1_1_1_1_1">NA()</definedName>
    <definedName name="Excel_BuiltIn_Print_Area_7_1_1_1_1_1_1_1">NA()</definedName>
    <definedName name="Excel_BuiltIn_Print_Area_7_1_1_1_1_1_1_1_1">NA()</definedName>
    <definedName name="Excel_BuiltIn_Print_Area_7_1_1_1_1_1_1_1_1_1">NA()</definedName>
    <definedName name="Excel_BuiltIn_Print_Area_7_1_1_1_1_1_1_1_1_1_1">NA()</definedName>
    <definedName name="Excel_BuiltIn_Print_Area_7_1_1_1_1_1_1_1_1_1_1_1">NA()</definedName>
    <definedName name="Excel_BuiltIn_Print_Area_7_1_1_1_1_1_1_1_1_1_1_1_1">NA()</definedName>
    <definedName name="Excel_BuiltIn_Print_Area_8">#REF!</definedName>
    <definedName name="Excel_BuiltIn_Print_Area_9">#REF!</definedName>
    <definedName name="Excel_BuiltIn_Print_Area_9_1">NA()</definedName>
    <definedName name="Excel_BuiltIn_Print_Area_9_1_1">NA()</definedName>
    <definedName name="Excel_BuiltIn_Print_Area_9_1_1_1">NA()</definedName>
    <definedName name="Excel_BuiltIn_Print_Area_9_1_1_1_1">NA()</definedName>
    <definedName name="Excel_BuiltIn_Print_Area_9_1_1_1_1_1">NA()</definedName>
    <definedName name="Excel_BuiltIn_Print_Area_9_1_1_1_1_1_1">NA()</definedName>
    <definedName name="Excel_BuiltIn_Print_Area_9_1_1_1_1_1_1_1">NA()</definedName>
    <definedName name="Excel_BuiltIn_Print_Area_9_1_1_1_1_1_1_1_1">NA()</definedName>
    <definedName name="Excel_BuiltIn_Print_Area_9_1_1_1_1_1_1_1_1_1">NA()</definedName>
    <definedName name="Excel_BuiltIn_Print_Area_9_1_1_1_1_1_1_1_1_1_1">NA()</definedName>
    <definedName name="Excel_BuiltIn_Print_Area_9_1_1_1_1_1_1_1_1_1_1_1">NA()</definedName>
    <definedName name="Excel_BuiltIn_Print_Area_9_1_1_1_1_1_1_1_1_1_1_1_1">NA()</definedName>
    <definedName name="Excel_BuiltIn_Print_Titles">#REF!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_1_2">#REF!</definedName>
    <definedName name="Excel_BuiltIn_Print_Titles_10">#REF!</definedName>
    <definedName name="Excel_BuiltIn_Print_Titles_10_1">#REF!</definedName>
    <definedName name="Excel_BuiltIn_Print_Titles_11">#REF!</definedName>
    <definedName name="Excel_BuiltIn_Print_Titles_12">#REF!</definedName>
    <definedName name="Excel_BuiltIn_Print_Titles_13">#REF!</definedName>
    <definedName name="Excel_BuiltIn_Print_Titles_14">#REF!</definedName>
    <definedName name="Excel_BuiltIn_Print_Titles_15">#REF!</definedName>
    <definedName name="Excel_BuiltIn_Print_Titles_16">#REF!</definedName>
    <definedName name="Excel_BuiltIn_Print_Titles_16_1">"#REF!"</definedName>
    <definedName name="Excel_BuiltIn_Print_Titles_2">#REF!</definedName>
    <definedName name="Excel_BuiltIn_Print_Titles_2_1">#REF!</definedName>
    <definedName name="Excel_BuiltIn_Print_Titles_2_1_1">#REF!</definedName>
    <definedName name="Excel_BuiltIn_Print_Titles_2_1_1_1">#REF!</definedName>
    <definedName name="Excel_BuiltIn_Print_Titles_3_1">NA()</definedName>
    <definedName name="Excel_BuiltIn_Print_Titles_4">#REF!</definedName>
    <definedName name="Excel_BuiltIn_Print_Titles_4___0">#REF!</definedName>
    <definedName name="Excel_BuiltIn_Print_Titles_4___1">#REF!</definedName>
    <definedName name="Excel_BuiltIn_Print_Titles_4___17">#REF!</definedName>
    <definedName name="Excel_BuiltIn_Print_Titles_4___4">#REF!</definedName>
    <definedName name="Excel_BuiltIn_Print_Titles_4___5">#REF!</definedName>
    <definedName name="Excel_BuiltIn_Print_Titles_4_1">#REF!</definedName>
    <definedName name="Excel_BuiltIn_Print_Titles_5">#REF!</definedName>
    <definedName name="Excel_BuiltIn_Print_Titles_5_1">#REF!</definedName>
    <definedName name="Excel_BuiltIn_Print_Titles_6">#REF!</definedName>
    <definedName name="Excel_BuiltIn_Print_Titles_6_1">#REF!</definedName>
    <definedName name="Excel_BuiltIn_Print_Titles_7">#REF!</definedName>
    <definedName name="Excel_BuiltIn_Print_Titles_7_1">#REF!</definedName>
    <definedName name="Excel_BuiltIn_Print_Titles_7_1_1">#REF!</definedName>
    <definedName name="Excel_BuiltIn_Print_Titles_8">#REF!</definedName>
    <definedName name="Excel_BuiltIn_Print_Titles_9">#REF!</definedName>
    <definedName name="Excel_BuiltIn_Print_Titles_9_1">#REF!</definedName>
    <definedName name="Excel_BuiltIn_Sheet_Title_1">"Gist"</definedName>
    <definedName name="Excel_BuiltIn_Sheet_Title_1_1">"Gist"</definedName>
    <definedName name="Excel_BuiltIn_Sheet_Title_1_1_1">"Gist"</definedName>
    <definedName name="Excel_BuiltIn_Sheet_Title_1_1_1_1">"Gist"</definedName>
    <definedName name="Excel_BuiltIn_Sheet_Title_1_1_1_1_1">"Gist"</definedName>
    <definedName name="Excel_BuiltIn_Sheet_Title_1_1_1_1_1_1">"Gist"</definedName>
    <definedName name="Excel_BuiltIn_Sheet_Title_1_1_1_1_1_1_1">"Gist"</definedName>
    <definedName name="Excel_BuiltIn_Sheet_Title_1_1_1_1_1_1_1_1">"Gist"</definedName>
    <definedName name="Excel_BuiltIn_Sheet_Title_1_1_1_1_1_1_1_1_1">"Gist"</definedName>
    <definedName name="Excel_BuiltIn_Sheet_Title_1_1_1_1_1_1_1_1_1_1">"Gist"</definedName>
    <definedName name="Excel_BuiltIn_Sheet_Title_1_1_1_1_1_1_1_1_1_1_1">"Gist"</definedName>
    <definedName name="Excel_BuiltIn_Sheet_Title_1_1_1_1_1_1_1_1_1_1_1_1">"Gist"</definedName>
    <definedName name="Excel_BuiltIn_Sheet_Title_1_1_1_1_1_1_1_1_1_1_1_1_1">"Gist"</definedName>
    <definedName name="Excel_BuiltIn_Sheet_Title_10">"Boq"</definedName>
    <definedName name="Excel_BuiltIn_Sheet_Title_10_1">"Boq"</definedName>
    <definedName name="Excel_BuiltIn_Sheet_Title_10_1_1">"P&amp;M QTY"</definedName>
    <definedName name="Excel_BuiltIn_Sheet_Title_10_1_1_1">"P&amp;M QTY"</definedName>
    <definedName name="Excel_BuiltIn_Sheet_Title_10_1_1_1_1">"P&amp;M QTY"</definedName>
    <definedName name="Excel_BuiltIn_Sheet_Title_10_1_1_1_1_1">"P&amp;M QTY"</definedName>
    <definedName name="Excel_BuiltIn_Sheet_Title_10_1_1_1_1_1_1">"Compiled BOQ"</definedName>
    <definedName name="Excel_BuiltIn_Sheet_Title_10_1_1_1_1_1_1_1">"Boq"</definedName>
    <definedName name="Excel_BuiltIn_Sheet_Title_10_1_1_1_1_1_1_1_1">"Boq"</definedName>
    <definedName name="Excel_BuiltIn_Sheet_Title_10_1_1_1_1_1_1_1_1_1">"Boq"</definedName>
    <definedName name="Excel_BuiltIn_Sheet_Title_10_1_1_1_1_1_1_1_1_1_1">"Boq"</definedName>
    <definedName name="Excel_BuiltIn_Sheet_Title_10_1_1_1_1_1_1_1_1_1_1_1">"Boq"</definedName>
    <definedName name="Excel_BuiltIn_Sheet_Title_10_1_1_1_1_1_1_1_1_1_1_1_1">"Boq"</definedName>
    <definedName name="Excel_BuiltIn_Sheet_Title_10_1_1_1_1_1_1_1_1_1_1_1_11">"Compiled BOQ"</definedName>
    <definedName name="Excel_BuiltIn_Sheet_Title_10_1_1_1_1_1_1_1_1_1_1_1_12">"Compiled BOQ"</definedName>
    <definedName name="Excel_BuiltIn_Sheet_Title_10_1_1_1_1_1_1_1_1_1_1_1_13">"Compiled BOQ"</definedName>
    <definedName name="Excel_BuiltIn_Sheet_Title_10_1_1_1_1_1_1_1_1_1_1_11">"Compiled BOQ"</definedName>
    <definedName name="Excel_BuiltIn_Sheet_Title_10_1_1_1_1_1_1_1_1_1_1_12">"Compiled BOQ"</definedName>
    <definedName name="Excel_BuiltIn_Sheet_Title_10_1_1_1_1_1_1_1_1_1_1_13">"Compiled BOQ"</definedName>
    <definedName name="Excel_BuiltIn_Sheet_Title_10_1_1_1_1_1_1_1_1_1_11">"Boq"</definedName>
    <definedName name="Excel_BuiltIn_Sheet_Title_10_1_1_1_1_1_1_1_1_1_12">"Boq"</definedName>
    <definedName name="Excel_BuiltIn_Sheet_Title_10_1_1_1_1_1_1_1_1_1_13">"Boq"</definedName>
    <definedName name="Excel_BuiltIn_Sheet_Title_10_1_1_1_1_1_1_1_1_1_18">"Boq"</definedName>
    <definedName name="Excel_BuiltIn_Sheet_Title_10_1_1_1_1_1_1_1_1_11">"P&amp;M QTY"</definedName>
    <definedName name="Excel_BuiltIn_Sheet_Title_10_1_1_1_1_1_1_1_1_12">"P&amp;M QTY"</definedName>
    <definedName name="Excel_BuiltIn_Sheet_Title_10_1_1_1_1_1_1_1_1_13">"P&amp;M QTY"</definedName>
    <definedName name="Excel_BuiltIn_Sheet_Title_10_1_1_1_1_1_1_1_11">"Boq"</definedName>
    <definedName name="Excel_BuiltIn_Sheet_Title_10_1_1_1_1_1_1_1_12">"Boq"</definedName>
    <definedName name="Excel_BuiltIn_Sheet_Title_10_1_1_1_1_1_1_1_13">"Boq"</definedName>
    <definedName name="Excel_BuiltIn_Sheet_Title_10_1_1_1_1_1_1_18">"Compiled BOQ"</definedName>
    <definedName name="Excel_BuiltIn_Sheet_Title_11">"Rate Analysis"</definedName>
    <definedName name="Excel_BuiltIn_Sheet_Title_11_1">"Rate Analysis"</definedName>
    <definedName name="Excel_BuiltIn_Sheet_Title_11_1_1">"Boq"</definedName>
    <definedName name="Excel_BuiltIn_Sheet_Title_11_1_1_1">"Rate Analysis"</definedName>
    <definedName name="Excel_BuiltIn_Sheet_Title_11_1_1_1_1">"Boq"</definedName>
    <definedName name="Excel_BuiltIn_Sheet_Title_11_1_1_1_1_1">"Boq"</definedName>
    <definedName name="Excel_BuiltIn_Sheet_Title_11_1_1_1_1_1_1">"Power &amp; Lighting Summary"</definedName>
    <definedName name="Excel_BuiltIn_Sheet_Title_11_1_1_1_1_1_1_1">"Boq"</definedName>
    <definedName name="Excel_BuiltIn_Sheet_Title_11_1_1_1_1_1_1_1_1">"Rate Analysis"</definedName>
    <definedName name="Excel_BuiltIn_Sheet_Title_11_1_1_1_1_1_1_1_1_1">"Boq"</definedName>
    <definedName name="Excel_BuiltIn_Sheet_Title_11_1_1_1_1_1_1_1_1_1_1">"Rate Analysis"</definedName>
    <definedName name="Excel_BuiltIn_Sheet_Title_11_1_1_1_1_1_1_1_1_1_1_1">"Rate Analysis"</definedName>
    <definedName name="Excel_BuiltIn_Sheet_Title_11_1_1_1_1_1_1_1_1_1_1_1_1">"Rate Analysis"</definedName>
    <definedName name="Excel_BuiltIn_Sheet_Title_11_1_1_1_1_1_1_1_1_1_11">"Rate Analysis"</definedName>
    <definedName name="Excel_BuiltIn_Sheet_Title_11_1_1_1_1_1_1_1_1_1_12">"Rate Analysis"</definedName>
    <definedName name="Excel_BuiltIn_Sheet_Title_11_1_1_1_1_1_1_1_1_1_13">"Rate Analysis"</definedName>
    <definedName name="Excel_BuiltIn_Sheet_Title_11_1_1_1_1_1_1_1_1_1_18">"Boq"</definedName>
    <definedName name="Excel_BuiltIn_Sheet_Title_11_1_1_1_1_1_1_1_1_11">"Boq"</definedName>
    <definedName name="Excel_BuiltIn_Sheet_Title_11_1_1_1_1_1_1_1_1_12">"Boq"</definedName>
    <definedName name="Excel_BuiltIn_Sheet_Title_11_1_1_1_1_1_1_1_1_13">"Boq"</definedName>
    <definedName name="Excel_BuiltIn_Sheet_Title_11_1_1_1_1_1_1_1_1_18">"Boq"</definedName>
    <definedName name="Excel_BuiltIn_Sheet_Title_11_1_1_1_1_1_1_1_1_18_1">"Rate Analysis"</definedName>
    <definedName name="Excel_BuiltIn_Sheet_Title_11_1_1_1_1_1_1_1_18">"Power &amp; Lighting Summary"</definedName>
    <definedName name="Excel_BuiltIn_Sheet_Title_11_1_1_1_11">"Rate Analysis"</definedName>
    <definedName name="Excel_BuiltIn_Sheet_Title_11_1_1_1_12">"Rate Analysis"</definedName>
    <definedName name="Excel_BuiltIn_Sheet_Title_11_1_1_1_13">"Rate Analysis"</definedName>
    <definedName name="Excel_BuiltIn_Sheet_Title_12">"Manmaster"</definedName>
    <definedName name="Excel_BuiltIn_Sheet_Title_12_1">"Manmaster"</definedName>
    <definedName name="Excel_BuiltIn_Sheet_Title_12_1_1">"Compiled BOQ"</definedName>
    <definedName name="Excel_BuiltIn_Sheet_Title_12_1_1_1">"Compiled BOQ"</definedName>
    <definedName name="Excel_BuiltIn_Sheet_Title_12_1_1_1_1">"Compiled BOQ"</definedName>
    <definedName name="Excel_BuiltIn_Sheet_Title_12_1_1_1_1_1">"Rate Analysis"</definedName>
    <definedName name="Excel_BuiltIn_Sheet_Title_12_1_1_1_1_1_1">"Power"</definedName>
    <definedName name="Excel_BuiltIn_Sheet_Title_12_1_1_1_1_1_1_1">"Compiled BOQ"</definedName>
    <definedName name="Excel_BuiltIn_Sheet_Title_12_1_1_1_1_1_1_1_1">"Manmaster"</definedName>
    <definedName name="Excel_BuiltIn_Sheet_Title_12_1_1_1_1_1_1_1_1_1">"Manmaster"</definedName>
    <definedName name="Excel_BuiltIn_Sheet_Title_12_1_1_1_1_1_1_1_1_1_1">"Manmaster"</definedName>
    <definedName name="Excel_BuiltIn_Sheet_Title_12_1_1_1_1_1_1_1_1_1_1_1">"Manmaster"</definedName>
    <definedName name="Excel_BuiltIn_Sheet_Title_12_1_1_1_1_1_1_1_1_1_1_1_1">"Manmaster"</definedName>
    <definedName name="Excel_BuiltIn_Sheet_Title_12_1_1_1_1_1_1_1_1_1_1_11">"Rate Analysis"</definedName>
    <definedName name="Excel_BuiltIn_Sheet_Title_12_1_1_1_1_1_1_1_1_1_1_12">"Rate Analysis"</definedName>
    <definedName name="Excel_BuiltIn_Sheet_Title_12_1_1_1_1_1_1_1_1_1_1_13">"Rate Analysis"</definedName>
    <definedName name="Excel_BuiltIn_Sheet_Title_12_1_1_1_1_1_1_1_1_1_11">"Manmaster"</definedName>
    <definedName name="Excel_BuiltIn_Sheet_Title_12_1_1_1_1_1_1_1_1_1_12">"Manmaster"</definedName>
    <definedName name="Excel_BuiltIn_Sheet_Title_12_1_1_1_1_1_1_1_1_1_13">"Manmaster"</definedName>
    <definedName name="Excel_BuiltIn_Sheet_Title_12_1_1_1_1_1_1_1_1_1_18">"Manmaster"</definedName>
    <definedName name="Excel_BuiltIn_Sheet_Title_12_1_1_1_1_1_1_1_1_1_18_1">"Rate Analysis"</definedName>
    <definedName name="Excel_BuiltIn_Sheet_Title_12_1_1_1_1_1_1_1_11">"Compiled BOQ"</definedName>
    <definedName name="Excel_BuiltIn_Sheet_Title_12_1_1_1_1_1_1_1_12">"Compiled BOQ"</definedName>
    <definedName name="Excel_BuiltIn_Sheet_Title_12_1_1_1_1_1_1_1_13">"Compiled BOQ"</definedName>
    <definedName name="Excel_BuiltIn_Sheet_Title_12_1_1_1_1_1_1_1_18">"Power"</definedName>
    <definedName name="Excel_BuiltIn_Sheet_Title_12_1_1_1_1_11">"Compiled BOQ"</definedName>
    <definedName name="Excel_BuiltIn_Sheet_Title_12_1_1_1_1_12">"Compiled BOQ"</definedName>
    <definedName name="Excel_BuiltIn_Sheet_Title_12_1_1_1_1_13">"Compiled BOQ"</definedName>
    <definedName name="Excel_BuiltIn_Sheet_Title_13">"Standard"</definedName>
    <definedName name="Excel_BuiltIn_Sheet_Title_13_1">"Standard"</definedName>
    <definedName name="Excel_BuiltIn_Sheet_Title_13_1_1">"Rate Analysis"</definedName>
    <definedName name="Excel_BuiltIn_Sheet_Title_13_1_1_1">"Standard"</definedName>
    <definedName name="Excel_BuiltIn_Sheet_Title_13_1_1_1_1">"Rate Analysis"</definedName>
    <definedName name="Excel_BuiltIn_Sheet_Title_13_1_1_1_1_1">"Rate Analysis"</definedName>
    <definedName name="Excel_BuiltIn_Sheet_Title_13_1_1_1_1_1_1">" Lighting "</definedName>
    <definedName name="Excel_BuiltIn_Sheet_Title_13_1_1_1_1_1_1_1">"Standard"</definedName>
    <definedName name="Excel_BuiltIn_Sheet_Title_13_1_1_1_1_1_1_1_1">"Standard"</definedName>
    <definedName name="Excel_BuiltIn_Sheet_Title_13_1_1_1_1_1_1_1_1_1">"Standard"</definedName>
    <definedName name="Excel_BuiltIn_Sheet_Title_13_1_1_1_1_1_1_1_1_1_1">"Standard"</definedName>
    <definedName name="Excel_BuiltIn_Sheet_Title_13_1_1_1_1_1_1_1_1_1_1_1">"Standard"</definedName>
    <definedName name="Excel_BuiltIn_Sheet_Title_13_1_1_1_1_1_1_1_1_1_1_1_1">"Standard"</definedName>
    <definedName name="Excel_BuiltIn_Sheet_Title_13_1_1_1_1_1_1_1_1_1_1_1_11">"Manmaster"</definedName>
    <definedName name="Excel_BuiltIn_Sheet_Title_13_1_1_1_1_1_1_1_1_1_1_1_12">"Manmaster"</definedName>
    <definedName name="Excel_BuiltIn_Sheet_Title_13_1_1_1_1_1_1_1_1_1_1_1_13">"Manmaster"</definedName>
    <definedName name="Excel_BuiltIn_Sheet_Title_13_1_1_1_1_1_1_1_1_1_1_11">"Manmaster"</definedName>
    <definedName name="Excel_BuiltIn_Sheet_Title_13_1_1_1_1_1_1_1_1_1_1_12">"Manmaster"</definedName>
    <definedName name="Excel_BuiltIn_Sheet_Title_13_1_1_1_1_1_1_1_1_1_1_13">"Manmaster"</definedName>
    <definedName name="Excel_BuiltIn_Sheet_Title_13_1_1_1_1_1_1_1_1_1_11">"Manmaster"</definedName>
    <definedName name="Excel_BuiltIn_Sheet_Title_13_1_1_1_1_1_1_1_1_1_12">"Manmaster"</definedName>
    <definedName name="Excel_BuiltIn_Sheet_Title_13_1_1_1_1_1_1_1_1_1_13">"Manmaster"</definedName>
    <definedName name="Excel_BuiltIn_Sheet_Title_13_1_1_1_1_1_1_1_1_11">"Rate Analysis"</definedName>
    <definedName name="Excel_BuiltIn_Sheet_Title_13_1_1_1_1_1_1_1_1_12">"Rate Analysis"</definedName>
    <definedName name="Excel_BuiltIn_Sheet_Title_13_1_1_1_1_1_1_1_1_13">"Rate Analysis"</definedName>
    <definedName name="Excel_BuiltIn_Sheet_Title_13_1_1_1_1_1_1_1_1_18">"Standard"</definedName>
    <definedName name="Excel_BuiltIn_Sheet_Title_13_1_1_1_1_1_1_1_11">"Standard"</definedName>
    <definedName name="Excel_BuiltIn_Sheet_Title_13_1_1_1_1_1_1_1_12">"Standard"</definedName>
    <definedName name="Excel_BuiltIn_Sheet_Title_13_1_1_1_1_1_1_1_13">"Standard"</definedName>
    <definedName name="Excel_BuiltIn_Sheet_Title_13_1_1_1_1_1_1_1_18">" Lighting "</definedName>
    <definedName name="Excel_BuiltIn_Sheet_Title_13_1_1_1_1_1_1_18">"Rate Analysis"</definedName>
    <definedName name="Excel_BuiltIn_Sheet_Title_13_1_1_1_11">"Standard"</definedName>
    <definedName name="Excel_BuiltIn_Sheet_Title_13_1_1_1_12">"Standard"</definedName>
    <definedName name="Excel_BuiltIn_Sheet_Title_13_1_1_1_13">"Standard"</definedName>
    <definedName name="Excel_BuiltIn_Sheet_Title_14">"Shuttering Analysis"</definedName>
    <definedName name="Excel_BuiltIn_Sheet_Title_14_1">"Shuttering Analysis"</definedName>
    <definedName name="Excel_BuiltIn_Sheet_Title_14_1_1">"shuttering Abstract"</definedName>
    <definedName name="Excel_BuiltIn_Sheet_Title_14_1_1_1">"shuttering Abstract"</definedName>
    <definedName name="Excel_BuiltIn_Sheet_Title_14_1_1_1_1">"shuttering Abstract"</definedName>
    <definedName name="Excel_BuiltIn_Sheet_Title_14_1_1_1_1_1">"Standard"</definedName>
    <definedName name="Excel_BuiltIn_Sheet_Title_14_1_1_1_1_1_1">"shuttering Abstract"</definedName>
    <definedName name="Excel_BuiltIn_Sheet_Title_14_1_1_1_1_1_1_1">"Shuttering Analysis"</definedName>
    <definedName name="Excel_BuiltIn_Sheet_Title_14_1_1_1_1_1_1_1_1">"Shuttering Analysis"</definedName>
    <definedName name="Excel_BuiltIn_Sheet_Title_14_1_1_1_1_1_1_1_1_1">"Standard"</definedName>
    <definedName name="Excel_BuiltIn_Sheet_Title_14_1_1_1_1_1_1_1_1_1_1">"Shuttering Analysis"</definedName>
    <definedName name="Excel_BuiltIn_Sheet_Title_14_1_1_1_1_1_1_1_1_1_1_1">"Shuttering Analysis"</definedName>
    <definedName name="Excel_BuiltIn_Sheet_Title_14_1_1_1_1_1_1_1_1_1_1_1_1">"Shuttering Analysis"</definedName>
    <definedName name="Excel_BuiltIn_Sheet_Title_14_1_1_1_1_1_1_1_1_1_1_1_11">"Standard"</definedName>
    <definedName name="Excel_BuiltIn_Sheet_Title_14_1_1_1_1_1_1_1_1_1_1_1_12">"Standard"</definedName>
    <definedName name="Excel_BuiltIn_Sheet_Title_14_1_1_1_1_1_1_1_1_1_1_1_13">"Standard"</definedName>
    <definedName name="Excel_BuiltIn_Sheet_Title_14_1_1_1_1_1_1_1_1_1_1_11">"Shuttering Analysis"</definedName>
    <definedName name="Excel_BuiltIn_Sheet_Title_14_1_1_1_1_1_1_1_1_1_1_12">"Shuttering Analysis"</definedName>
    <definedName name="Excel_BuiltIn_Sheet_Title_14_1_1_1_1_1_1_1_1_1_1_13">"Shuttering Analysis"</definedName>
    <definedName name="Excel_BuiltIn_Sheet_Title_14_1_1_1_1_1_1_1_1_1_11">"Shuttering Analysis"</definedName>
    <definedName name="Excel_BuiltIn_Sheet_Title_14_1_1_1_1_1_1_1_1_1_12">"Shuttering Analysis"</definedName>
    <definedName name="Excel_BuiltIn_Sheet_Title_14_1_1_1_1_1_1_1_1_1_13">"Shuttering Analysis"</definedName>
    <definedName name="Excel_BuiltIn_Sheet_Title_14_1_1_1_1_1_1_1_1_11">"shuttering Abstract"</definedName>
    <definedName name="Excel_BuiltIn_Sheet_Title_14_1_1_1_1_1_1_1_1_12">"shuttering Abstract"</definedName>
    <definedName name="Excel_BuiltIn_Sheet_Title_14_1_1_1_1_1_1_1_1_13">"shuttering Abstract"</definedName>
    <definedName name="Excel_BuiltIn_Sheet_Title_14_1_1_1_1_1_1_1_1_18">"Shuttering Analysis"</definedName>
    <definedName name="Excel_BuiltIn_Sheet_Title_14_1_1_1_1_1_1_1_11">"Shuttering Analysis"</definedName>
    <definedName name="Excel_BuiltIn_Sheet_Title_14_1_1_1_1_1_1_1_12">"Shuttering Analysis"</definedName>
    <definedName name="Excel_BuiltIn_Sheet_Title_14_1_1_1_1_1_1_1_13">"Shuttering Analysis"</definedName>
    <definedName name="Excel_BuiltIn_Sheet_Title_14_1_1_1_1_1_1_18">"Compiled BOQ"</definedName>
    <definedName name="Excel_BuiltIn_Sheet_Title_14_1_1_1_1_1_18">"shuttering Abstract"</definedName>
    <definedName name="Excel_BuiltIn_Sheet_Title_14_1_1_1_1_11">"shuttering Abstract"</definedName>
    <definedName name="Excel_BuiltIn_Sheet_Title_14_1_1_1_1_12">"shuttering Abstract"</definedName>
    <definedName name="Excel_BuiltIn_Sheet_Title_14_1_1_1_1_13">"shuttering Abstract"</definedName>
    <definedName name="Excel_BuiltIn_Sheet_Title_15">"Over Heads- Zero"</definedName>
    <definedName name="Excel_BuiltIn_Sheet_Title_15_1">"Over Heads- Zero"</definedName>
    <definedName name="Excel_BuiltIn_Sheet_Title_15_1_1">"Shuttering Analysis"</definedName>
    <definedName name="Excel_BuiltIn_Sheet_Title_15_1_1_1">"Shuttering Analysis"</definedName>
    <definedName name="Excel_BuiltIn_Sheet_Title_15_1_1_1_1">"Shuttering Analysis"</definedName>
    <definedName name="Excel_BuiltIn_Sheet_Title_15_1_1_1_1_1">"Shuttering Analysis"</definedName>
    <definedName name="Excel_BuiltIn_Sheet_Title_15_1_1_1_1_1_1">"Boq"</definedName>
    <definedName name="Excel_BuiltIn_Sheet_Title_15_1_1_1_1_1_1_1">"Shuttering Analysis"</definedName>
    <definedName name="Excel_BuiltIn_Sheet_Title_15_1_1_1_1_1_1_1_1">"Over Heads- Zero"</definedName>
    <definedName name="Excel_BuiltIn_Sheet_Title_15_1_1_1_1_1_1_1_1_1">"Over Heads- Zero"</definedName>
    <definedName name="Excel_BuiltIn_Sheet_Title_15_1_1_1_1_1_1_1_1_1_1">"Over Heads- Zero"</definedName>
    <definedName name="Excel_BuiltIn_Sheet_Title_15_1_1_1_1_1_1_1_1_1_1_1">"Over Heads- Zero"</definedName>
    <definedName name="Excel_BuiltIn_Sheet_Title_15_1_1_1_1_1_1_1_1_1_1_1_1">"Over Heads- Zero"</definedName>
    <definedName name="Excel_BuiltIn_Sheet_Title_15_1_1_1_1_1_1_1_1_1_1_11">"Shuttering Analysis"</definedName>
    <definedName name="Excel_BuiltIn_Sheet_Title_15_1_1_1_1_1_1_1_1_1_1_12">"Shuttering Analysis"</definedName>
    <definedName name="Excel_BuiltIn_Sheet_Title_15_1_1_1_1_1_1_1_1_1_1_13">"Shuttering Analysis"</definedName>
    <definedName name="Excel_BuiltIn_Sheet_Title_15_1_1_1_1_1_1_1_1_1_11">"Over Heads- Zero"</definedName>
    <definedName name="Excel_BuiltIn_Sheet_Title_15_1_1_1_1_1_1_1_1_1_12">"Over Heads- Zero"</definedName>
    <definedName name="Excel_BuiltIn_Sheet_Title_15_1_1_1_1_1_1_1_1_1_13">"Over Heads- Zero"</definedName>
    <definedName name="Excel_BuiltIn_Sheet_Title_15_1_1_1_1_1_1_1_1_1_18">"Over Heads- Zero"</definedName>
    <definedName name="Excel_BuiltIn_Sheet_Title_15_1_1_1_1_1_1_1_1_18">"Shuttering Analysis"</definedName>
    <definedName name="Excel_BuiltIn_Sheet_Title_15_1_1_1_1_1_1_1_11">"Shuttering Analysis"</definedName>
    <definedName name="Excel_BuiltIn_Sheet_Title_15_1_1_1_1_1_1_1_12">"Shuttering Analysis"</definedName>
    <definedName name="Excel_BuiltIn_Sheet_Title_15_1_1_1_1_1_1_1_13">"Shuttering Analysis"</definedName>
    <definedName name="Excel_BuiltIn_Sheet_Title_15_1_1_1_1_1_1_1_18">"Shuttering Analysis"</definedName>
    <definedName name="Excel_BuiltIn_Sheet_Title_15_1_1_1_1_1_18">"Boq"</definedName>
    <definedName name="Excel_BuiltIn_Sheet_Title_16">"OH- Zero "</definedName>
    <definedName name="Excel_BuiltIn_Sheet_Title_16_1">"OH- Zero "</definedName>
    <definedName name="Excel_BuiltIn_Sheet_Title_16_1_1">"Standard"</definedName>
    <definedName name="Excel_BuiltIn_Sheet_Title_16_1_1_1">"Standard"</definedName>
    <definedName name="Excel_BuiltIn_Sheet_Title_16_1_1_1_1">"Standard"</definedName>
    <definedName name="Excel_BuiltIn_Sheet_Title_16_1_1_1_1_1">"Rate Analysis"</definedName>
    <definedName name="Excel_BuiltIn_Sheet_Title_16_1_1_1_1_1_1">"Over Heads- Zero"</definedName>
    <definedName name="Excel_BuiltIn_Sheet_Title_16_1_1_1_1_1_1_1">"OH- Zero "</definedName>
    <definedName name="Excel_BuiltIn_Sheet_Title_16_1_1_1_1_1_1_1_1">"OH- Zero "</definedName>
    <definedName name="Excel_BuiltIn_Sheet_Title_16_1_1_1_1_1_1_1_1_1">"OH- Zero "</definedName>
    <definedName name="Excel_BuiltIn_Sheet_Title_16_1_1_1_1_1_1_1_1_1_1">"OH- Zero "</definedName>
    <definedName name="Excel_BuiltIn_Sheet_Title_16_1_1_1_1_1_1_1_1_1_1_1">"OH- Zero "</definedName>
    <definedName name="Excel_BuiltIn_Sheet_Title_16_1_1_1_1_1_1_1_1_1_1_1_1">"OH- Zero "</definedName>
    <definedName name="Excel_BuiltIn_Sheet_Title_16_1_1_1_1_1_1_1_1_1_1_1_11">"Over Heads- Zero"</definedName>
    <definedName name="Excel_BuiltIn_Sheet_Title_16_1_1_1_1_1_1_1_1_1_1_1_12">"Over Heads- Zero"</definedName>
    <definedName name="Excel_BuiltIn_Sheet_Title_16_1_1_1_1_1_1_1_1_1_1_1_13">"Over Heads- Zero"</definedName>
    <definedName name="Excel_BuiltIn_Sheet_Title_16_1_1_1_1_1_1_1_1_1_1_11">"Over Heads- Zero"</definedName>
    <definedName name="Excel_BuiltIn_Sheet_Title_16_1_1_1_1_1_1_1_1_1_1_12">"Over Heads- Zero"</definedName>
    <definedName name="Excel_BuiltIn_Sheet_Title_16_1_1_1_1_1_1_1_1_1_1_13">"Over Heads- Zero"</definedName>
    <definedName name="Excel_BuiltIn_Sheet_Title_16_1_1_1_1_1_1_1_1_1_11">"OH- Zero "</definedName>
    <definedName name="Excel_BuiltIn_Sheet_Title_16_1_1_1_1_1_1_1_1_1_12">"OH- Zero "</definedName>
    <definedName name="Excel_BuiltIn_Sheet_Title_16_1_1_1_1_1_1_1_1_1_13">"OH- Zero "</definedName>
    <definedName name="Excel_BuiltIn_Sheet_Title_16_1_1_1_1_1_1_1_1_1_18">"OH- Zero "</definedName>
    <definedName name="Excel_BuiltIn_Sheet_Title_16_1_1_1_1_1_1_1_1_11">"Standard"</definedName>
    <definedName name="Excel_BuiltIn_Sheet_Title_16_1_1_1_1_1_1_1_1_12">"Standard"</definedName>
    <definedName name="Excel_BuiltIn_Sheet_Title_16_1_1_1_1_1_1_1_1_13">"Standard"</definedName>
    <definedName name="Excel_BuiltIn_Sheet_Title_16_1_1_1_1_1_1_1_11">"OH- Zero "</definedName>
    <definedName name="Excel_BuiltIn_Sheet_Title_16_1_1_1_1_1_1_1_12">"OH- Zero "</definedName>
    <definedName name="Excel_BuiltIn_Sheet_Title_16_1_1_1_1_1_1_1_13">"OH- Zero "</definedName>
    <definedName name="Excel_BuiltIn_Sheet_Title_16_1_1_1_1_1_1_1_18">"Over Heads- Zero"</definedName>
    <definedName name="Excel_BuiltIn_Sheet_Title_16_1_1_1_1_1_1_1_18_1">"Standard"</definedName>
    <definedName name="Excel_BuiltIn_Sheet_Title_16_1_1_1_1_11">"Standard"</definedName>
    <definedName name="Excel_BuiltIn_Sheet_Title_16_1_1_1_1_12">"Standard"</definedName>
    <definedName name="Excel_BuiltIn_Sheet_Title_16_1_1_1_1_13">"Standard"</definedName>
    <definedName name="Excel_BuiltIn_Sheet_Title_17">"Top Sheet"</definedName>
    <definedName name="Excel_BuiltIn_Sheet_Title_17_1">"Top Sheet"</definedName>
    <definedName name="Excel_BuiltIn_Sheet_Title_17_1_1">"Manmaster"</definedName>
    <definedName name="Excel_BuiltIn_Sheet_Title_17_1_1_1">"Manmaster"</definedName>
    <definedName name="Excel_BuiltIn_Sheet_Title_17_1_1_1_1">"Manmaster"</definedName>
    <definedName name="Excel_BuiltIn_Sheet_Title_17_1_1_1_1_1">"Manmaster"</definedName>
    <definedName name="Excel_BuiltIn_Sheet_Title_17_1_1_1_1_1_1">"Manmaster"</definedName>
    <definedName name="Excel_BuiltIn_Sheet_Title_17_1_1_1_1_1_1_1">"Top Sheet"</definedName>
    <definedName name="Excel_BuiltIn_Sheet_Title_17_1_1_1_1_1_1_1_1">"Top Sheet"</definedName>
    <definedName name="Excel_BuiltIn_Sheet_Title_17_1_1_1_1_1_1_1_1_1">"OH- Zero "</definedName>
    <definedName name="Excel_BuiltIn_Sheet_Title_17_1_1_1_1_1_1_1_1_1_1">"Top Sheet"</definedName>
    <definedName name="Excel_BuiltIn_Sheet_Title_17_1_1_1_1_1_1_1_1_1_1_1">"Top Sheet"</definedName>
    <definedName name="Excel_BuiltIn_Sheet_Title_17_1_1_1_1_1_1_1_1_1_1_1_1">"Top Sheet"</definedName>
    <definedName name="Excel_BuiltIn_Sheet_Title_17_1_1_1_1_1_1_1_1_1_1_1_11">"OH- Zero "</definedName>
    <definedName name="Excel_BuiltIn_Sheet_Title_17_1_1_1_1_1_1_1_1_1_1_1_12">"OH- Zero "</definedName>
    <definedName name="Excel_BuiltIn_Sheet_Title_17_1_1_1_1_1_1_1_1_1_1_1_13">"OH- Zero "</definedName>
    <definedName name="Excel_BuiltIn_Sheet_Title_17_1_1_1_1_1_1_1_1_1_1_11">"Top Sheet"</definedName>
    <definedName name="Excel_BuiltIn_Sheet_Title_17_1_1_1_1_1_1_1_1_1_1_12">"Top Sheet"</definedName>
    <definedName name="Excel_BuiltIn_Sheet_Title_17_1_1_1_1_1_1_1_1_1_1_13">"Top Sheet"</definedName>
    <definedName name="Excel_BuiltIn_Sheet_Title_17_1_1_1_1_1_1_1_1_1_11">"Manmaster"</definedName>
    <definedName name="Excel_BuiltIn_Sheet_Title_17_1_1_1_1_1_1_1_1_1_12">"Manmaster"</definedName>
    <definedName name="Excel_BuiltIn_Sheet_Title_17_1_1_1_1_1_1_1_1_1_13">"Manmaster"</definedName>
    <definedName name="Excel_BuiltIn_Sheet_Title_17_1_1_1_1_1_1_1_1_11">"Top Sheet"</definedName>
    <definedName name="Excel_BuiltIn_Sheet_Title_17_1_1_1_1_1_1_1_1_12">"Top Sheet"</definedName>
    <definedName name="Excel_BuiltIn_Sheet_Title_17_1_1_1_1_1_1_1_1_13">"Top Sheet"</definedName>
    <definedName name="Excel_BuiltIn_Sheet_Title_17_1_1_1_1_1_1_1_1_18">"Top Sheet"</definedName>
    <definedName name="Excel_BuiltIn_Sheet_Title_17_1_1_1_1_1_1_1_1_18_1">"Manmaster"</definedName>
    <definedName name="Excel_BuiltIn_Sheet_Title_17_1_1_1_1_1_1_1_18">"OH- Zero "</definedName>
    <definedName name="Excel_BuiltIn_Sheet_Title_17_1_1_1_1_1_18">"Manmaster"</definedName>
    <definedName name="Excel_BuiltIn_Sheet_Title_18">"Staff Mobilision- Zero"</definedName>
    <definedName name="Excel_BuiltIn_Sheet_Title_18_1">"Over Heads- Zero"</definedName>
    <definedName name="Excel_BuiltIn_Sheet_Title_18_1_1">"Over Heads- Zero"</definedName>
    <definedName name="Excel_BuiltIn_Sheet_Title_18_1_1_1">"Staff Mobilision- Zero"</definedName>
    <definedName name="Excel_BuiltIn_Sheet_Title_18_1_1_1_1">"Over Heads- Zero"</definedName>
    <definedName name="Excel_BuiltIn_Sheet_Title_18_1_1_1_1_1">"Over Heads- Zero"</definedName>
    <definedName name="Excel_BuiltIn_Sheet_Title_18_1_1_1_1_1_1">"Standard"</definedName>
    <definedName name="Excel_BuiltIn_Sheet_Title_18_1_1_1_1_1_1_1">"Top Sheet"</definedName>
    <definedName name="Excel_BuiltIn_Sheet_Title_18_1_1_1_1_1_1_1_1">"Staff Mobilision- Zero"</definedName>
    <definedName name="Excel_BuiltIn_Sheet_Title_18_1_1_1_1_1_1_1_1_1">"Staff Mobilision- Zero"</definedName>
    <definedName name="Excel_BuiltIn_Sheet_Title_18_1_1_1_1_1_1_1_1_1_1">"Staff Mobilision- Zero"</definedName>
    <definedName name="Excel_BuiltIn_Sheet_Title_18_1_1_1_1_1_1_1_1_1_1_1">"Staff Mobilision- Zero"</definedName>
    <definedName name="Excel_BuiltIn_Sheet_Title_18_1_1_1_1_1_1_1_1_1_1_1_1">"Staff Mobilision- Zero"</definedName>
    <definedName name="Excel_BuiltIn_Sheet_Title_18_1_1_1_1_1_1_1_1_1_1_11">"Top Sheet"</definedName>
    <definedName name="Excel_BuiltIn_Sheet_Title_18_1_1_1_1_1_1_1_1_1_1_12">"Top Sheet"</definedName>
    <definedName name="Excel_BuiltIn_Sheet_Title_18_1_1_1_1_1_1_1_1_1_1_13">"Top Sheet"</definedName>
    <definedName name="Excel_BuiltIn_Sheet_Title_18_1_1_1_1_1_1_1_1_1_11">"Staff Mobilision- Zero"</definedName>
    <definedName name="Excel_BuiltIn_Sheet_Title_18_1_1_1_1_1_1_1_1_1_12">"Staff Mobilision- Zero"</definedName>
    <definedName name="Excel_BuiltIn_Sheet_Title_18_1_1_1_1_1_1_1_1_1_13">"Staff Mobilision- Zero"</definedName>
    <definedName name="Excel_BuiltIn_Sheet_Title_18_1_1_1_1_1_1_1_1_1_18">"Staff Mobilision- Zero"</definedName>
    <definedName name="Excel_BuiltIn_Sheet_Title_18_1_1_1_1_1_1_1_1_1_18_1">"Top Sheet"</definedName>
    <definedName name="Excel_BuiltIn_Sheet_Title_18_1_1_1_1_1_1_1_1_18">"Top Sheet"</definedName>
    <definedName name="Excel_BuiltIn_Sheet_Title_18_1_1_1_1_1_1_1_11">"Top Sheet"</definedName>
    <definedName name="Excel_BuiltIn_Sheet_Title_18_1_1_1_1_1_1_1_12">"Top Sheet"</definedName>
    <definedName name="Excel_BuiltIn_Sheet_Title_18_1_1_1_1_1_1_1_13">"Top Sheet"</definedName>
    <definedName name="Excel_BuiltIn_Sheet_Title_18_1_1_1_1_1_1_18">"Standard"</definedName>
    <definedName name="Excel_BuiltIn_Sheet_Title_18_1_1_1_11">"Staff Mobilision- Zero"</definedName>
    <definedName name="Excel_BuiltIn_Sheet_Title_18_1_1_1_12">"Staff Mobilision- Zero"</definedName>
    <definedName name="Excel_BuiltIn_Sheet_Title_18_1_1_1_13">"Staff Mobilision- Zero"</definedName>
    <definedName name="Excel_BuiltIn_Sheet_Title_19">"Top Sheet to DO"</definedName>
    <definedName name="Excel_BuiltIn_Sheet_Title_19_1">"Top Sheet to DO"</definedName>
    <definedName name="Excel_BuiltIn_Sheet_Title_19_1_1">"OH- Zero "</definedName>
    <definedName name="Excel_BuiltIn_Sheet_Title_19_1_1_1">"Top Sheet to DO"</definedName>
    <definedName name="Excel_BuiltIn_Sheet_Title_19_1_1_1_1">"OH- Zero "</definedName>
    <definedName name="Excel_BuiltIn_Sheet_Title_19_1_1_1_1_1">"OH- Zero "</definedName>
    <definedName name="Excel_BuiltIn_Sheet_Title_19_1_1_1_1_1_1">"OH- Zero "</definedName>
    <definedName name="Excel_BuiltIn_Sheet_Title_19_1_1_1_1_1_1_1">"Top Sheet to DO"</definedName>
    <definedName name="Excel_BuiltIn_Sheet_Title_19_1_1_1_1_1_1_1_1">"Staff Mobilision- Zero"</definedName>
    <definedName name="Excel_BuiltIn_Sheet_Title_19_1_1_1_1_1_1_1_1_1">"Staff Mobilision- Zero"</definedName>
    <definedName name="Excel_BuiltIn_Sheet_Title_19_1_1_1_1_1_1_1_1_1_1">"Top Sheet to DO"</definedName>
    <definedName name="Excel_BuiltIn_Sheet_Title_19_1_1_1_1_1_1_1_1_1_1_1">"Top Sheet to DO"</definedName>
    <definedName name="Excel_BuiltIn_Sheet_Title_19_1_1_1_1_1_1_1_1_1_1_1_1">"Top Sheet to DO"</definedName>
    <definedName name="Excel_BuiltIn_Sheet_Title_19_1_1_1_1_1_1_1_1_1_11">"OH- Zero "</definedName>
    <definedName name="Excel_BuiltIn_Sheet_Title_19_1_1_1_1_1_1_1_1_1_12">"OH- Zero "</definedName>
    <definedName name="Excel_BuiltIn_Sheet_Title_19_1_1_1_1_1_1_1_1_1_13">"OH- Zero "</definedName>
    <definedName name="Excel_BuiltIn_Sheet_Title_19_1_1_1_1_1_1_1_1_1_18">"Staff Mobilision- Zero"</definedName>
    <definedName name="Excel_BuiltIn_Sheet_Title_19_1_1_1_1_1_1_1_1_11">"Top Sheet to DO"</definedName>
    <definedName name="Excel_BuiltIn_Sheet_Title_19_1_1_1_1_1_1_1_1_12">"Top Sheet to DO"</definedName>
    <definedName name="Excel_BuiltIn_Sheet_Title_19_1_1_1_1_1_1_1_1_13">"Top Sheet to DO"</definedName>
    <definedName name="Excel_BuiltIn_Sheet_Title_19_1_1_1_1_1_1_1_1_18">"Top Sheet to DO"</definedName>
    <definedName name="Excel_BuiltIn_Sheet_Title_19_1_1_1_1_1_1_1_18">"Shuttering Analysis"</definedName>
    <definedName name="Excel_BuiltIn_Sheet_Title_19_1_1_1_1_1_1_1_18_1">"OH- Zero "</definedName>
    <definedName name="Excel_BuiltIn_Sheet_Title_19_1_1_1_1_1_18">"OH- Zero "</definedName>
    <definedName name="Excel_BuiltIn_Sheet_Title_19_1_1_1_11">"Top Sheet to DO"</definedName>
    <definedName name="Excel_BuiltIn_Sheet_Title_19_1_1_1_12">"Top Sheet to DO"</definedName>
    <definedName name="Excel_BuiltIn_Sheet_Title_19_1_1_1_13">"Top Sheet to DO"</definedName>
    <definedName name="Excel_BuiltIn_Sheet_Title_2">"Basic Cost"</definedName>
    <definedName name="Excel_BuiltIn_Sheet_Title_2_1">"Basic Cost"</definedName>
    <definedName name="Excel_BuiltIn_Sheet_Title_2_1_1">"Basic Cost"</definedName>
    <definedName name="Excel_BuiltIn_Sheet_Title_2_1_1_1">"Basic Cost"</definedName>
    <definedName name="Excel_BuiltIn_Sheet_Title_2_1_1_1_1">"Basic Cost"</definedName>
    <definedName name="Excel_BuiltIn_Sheet_Title_2_1_1_1_1_1">"Basic Cost"</definedName>
    <definedName name="Excel_BuiltIn_Sheet_Title_2_1_1_1_1_1_1">"Basic Cost"</definedName>
    <definedName name="Excel_BuiltIn_Sheet_Title_2_1_1_1_1_1_1_1">"Basic Cost"</definedName>
    <definedName name="Excel_BuiltIn_Sheet_Title_2_1_1_1_1_1_1_1_1">"Basic Cost"</definedName>
    <definedName name="Excel_BuiltIn_Sheet_Title_2_1_1_1_1_1_1_1_1_1">"Basic Cost"</definedName>
    <definedName name="Excel_BuiltIn_Sheet_Title_2_1_1_1_1_1_1_1_1_1_1">"Basic Cost"</definedName>
    <definedName name="Excel_BuiltIn_Sheet_Title_2_1_1_1_1_1_1_1_1_1_1_1">"Basic Cost"</definedName>
    <definedName name="Excel_BuiltIn_Sheet_Title_2_1_1_1_1_1_1_1_1_1_1_1_1">"Basic Cost"</definedName>
    <definedName name="Excel_BuiltIn_Sheet_Title_20">"Cem. Consumption"</definedName>
    <definedName name="Excel_BuiltIn_Sheet_Title_20_1">"Cem. Consumption"</definedName>
    <definedName name="Excel_BuiltIn_Sheet_Title_20_1_1">"Staff Mobilision- Zero"</definedName>
    <definedName name="Excel_BuiltIn_Sheet_Title_20_1_1_1">"Staff Mobilision- Zero"</definedName>
    <definedName name="Excel_BuiltIn_Sheet_Title_20_1_1_1_1">"Staff Mobilision- Zero"</definedName>
    <definedName name="Excel_BuiltIn_Sheet_Title_20_1_1_1_1_1">"Over Heads- Zero"</definedName>
    <definedName name="Excel_BuiltIn_Sheet_Title_20_1_1_1_1_1_1">"Staff Mobilision- Zero"</definedName>
    <definedName name="Excel_BuiltIn_Sheet_Title_20_1_1_1_1_1_1_1">"Cem. Consumption"</definedName>
    <definedName name="Excel_BuiltIn_Sheet_Title_20_1_1_1_1_1_1_1_1">"Cem. Consumption"</definedName>
    <definedName name="Excel_BuiltIn_Sheet_Title_20_1_1_1_1_1_1_1_1_1">"Cem. Consumption"</definedName>
    <definedName name="Excel_BuiltIn_Sheet_Title_20_1_1_1_1_1_1_1_1_1_1">"Cem. Consumption"</definedName>
    <definedName name="Excel_BuiltIn_Sheet_Title_20_1_1_1_1_1_1_1_1_1_1_1">"Cem. Consumption"</definedName>
    <definedName name="Excel_BuiltIn_Sheet_Title_20_1_1_1_1_1_1_1_1_1_1_1_1">"Cem. Consumption"</definedName>
    <definedName name="Excel_BuiltIn_Sheet_Title_20_1_1_1_1_1_1_1_1_1_1_11">"Top Sheet to DO"</definedName>
    <definedName name="Excel_BuiltIn_Sheet_Title_20_1_1_1_1_1_1_1_1_1_1_12">"Top Sheet to DO"</definedName>
    <definedName name="Excel_BuiltIn_Sheet_Title_20_1_1_1_1_1_1_1_1_1_1_13">"Top Sheet to DO"</definedName>
    <definedName name="Excel_BuiltIn_Sheet_Title_20_1_1_1_1_1_1_1_1_1_11">"Cem. Consumption"</definedName>
    <definedName name="Excel_BuiltIn_Sheet_Title_20_1_1_1_1_1_1_1_1_1_12">"Cem. Consumption"</definedName>
    <definedName name="Excel_BuiltIn_Sheet_Title_20_1_1_1_1_1_1_1_1_1_13">"Cem. Consumption"</definedName>
    <definedName name="Excel_BuiltIn_Sheet_Title_20_1_1_1_1_1_1_1_1_1_18">"Cem. Consumption"</definedName>
    <definedName name="Excel_BuiltIn_Sheet_Title_20_1_1_1_1_1_1_1_1_1_18_1">"Top Sheet to DO"</definedName>
    <definedName name="Excel_BuiltIn_Sheet_Title_20_1_1_1_1_1_1_1_1_11">"Top Sheet to DO"</definedName>
    <definedName name="Excel_BuiltIn_Sheet_Title_20_1_1_1_1_1_1_1_1_12">"Top Sheet to DO"</definedName>
    <definedName name="Excel_BuiltIn_Sheet_Title_20_1_1_1_1_1_1_1_1_13">"Top Sheet to DO"</definedName>
    <definedName name="Excel_BuiltIn_Sheet_Title_20_1_1_1_1_1_1_1_11">"Cem. Consumption"</definedName>
    <definedName name="Excel_BuiltIn_Sheet_Title_20_1_1_1_1_1_1_1_12">"Cem. Consumption"</definedName>
    <definedName name="Excel_BuiltIn_Sheet_Title_20_1_1_1_1_1_1_1_13">"Cem. Consumption"</definedName>
    <definedName name="Excel_BuiltIn_Sheet_Title_20_1_1_1_1_1_1_18">"Staff Mobilision- Zero"</definedName>
    <definedName name="Excel_BuiltIn_Sheet_Title_20_1_1_1_1_11">"Staff Mobilision- Zero"</definedName>
    <definedName name="Excel_BuiltIn_Sheet_Title_20_1_1_1_1_12">"Staff Mobilision- Zero"</definedName>
    <definedName name="Excel_BuiltIn_Sheet_Title_20_1_1_1_1_13">"Staff Mobilision- Zero"</definedName>
    <definedName name="Excel_BuiltIn_Sheet_Title_21">"Power &amp; Water-Zero"</definedName>
    <definedName name="Excel_BuiltIn_Sheet_Title_21_1">"Power &amp; Water-Zero"</definedName>
    <definedName name="Excel_BuiltIn_Sheet_Title_21_1_1">"Top Sheet"</definedName>
    <definedName name="Excel_BuiltIn_Sheet_Title_21_1_1_1">"Power &amp; Water-Zero"</definedName>
    <definedName name="Excel_BuiltIn_Sheet_Title_21_1_1_1_1">"Top Sheet"</definedName>
    <definedName name="Excel_BuiltIn_Sheet_Title_21_1_1_1_1_1">"Top Sheet"</definedName>
    <definedName name="Excel_BuiltIn_Sheet_Title_21_1_1_1_1_1_1">"Top Sheet"</definedName>
    <definedName name="Excel_BuiltIn_Sheet_Title_21_1_1_1_1_1_1_1">"Power &amp; Water-Zero"</definedName>
    <definedName name="Excel_BuiltIn_Sheet_Title_21_1_1_1_1_1_1_1_1">"Top Sheet"</definedName>
    <definedName name="Excel_BuiltIn_Sheet_Title_21_1_1_1_1_1_1_1_1_1">"Cem. Consumption"</definedName>
    <definedName name="Excel_BuiltIn_Sheet_Title_21_1_1_1_1_1_1_1_1_1_1">"Power &amp; Water-Zero"</definedName>
    <definedName name="Excel_BuiltIn_Sheet_Title_21_1_1_1_1_1_1_1_1_1_1_1">"Power &amp; Water-Zero"</definedName>
    <definedName name="Excel_BuiltIn_Sheet_Title_21_1_1_1_1_1_1_1_1_1_1_1_1">"Cem. Consumption"</definedName>
    <definedName name="Excel_BuiltIn_Sheet_Title_21_1_1_1_1_1_1_1_1_1_1_1_11">"Power &amp; Water-Zero"</definedName>
    <definedName name="Excel_BuiltIn_Sheet_Title_21_1_1_1_1_1_1_1_1_1_1_1_12">"Power &amp; Water-Zero"</definedName>
    <definedName name="Excel_BuiltIn_Sheet_Title_21_1_1_1_1_1_1_1_1_1_1_1_13">"Power &amp; Water-Zero"</definedName>
    <definedName name="Excel_BuiltIn_Sheet_Title_21_1_1_1_1_1_1_1_1_1_11">"Power &amp; Water-Zero"</definedName>
    <definedName name="Excel_BuiltIn_Sheet_Title_21_1_1_1_1_1_1_1_1_1_12">"Power &amp; Water-Zero"</definedName>
    <definedName name="Excel_BuiltIn_Sheet_Title_21_1_1_1_1_1_1_1_1_1_13">"Power &amp; Water-Zero"</definedName>
    <definedName name="Excel_BuiltIn_Sheet_Title_21_1_1_1_1_1_1_1_1_1_18">"Top Sheet"</definedName>
    <definedName name="Excel_BuiltIn_Sheet_Title_21_1_1_1_1_1_1_1_1_11">"Power &amp; Water-Zero"</definedName>
    <definedName name="Excel_BuiltIn_Sheet_Title_21_1_1_1_1_1_1_1_1_12">"Power &amp; Water-Zero"</definedName>
    <definedName name="Excel_BuiltIn_Sheet_Title_21_1_1_1_1_1_1_1_1_13">"Power &amp; Water-Zero"</definedName>
    <definedName name="Excel_BuiltIn_Sheet_Title_21_1_1_1_1_1_1_1_18">"OH- Zero "</definedName>
    <definedName name="Excel_BuiltIn_Sheet_Title_21_1_1_1_1_1_1_1_18_1">"Power &amp; Water-Zero"</definedName>
    <definedName name="Excel_BuiltIn_Sheet_Title_21_1_1_1_1_1_18">"Top Sheet"</definedName>
    <definedName name="Excel_BuiltIn_Sheet_Title_21_1_1_1_11">"Power &amp; Water-Zero"</definedName>
    <definedName name="Excel_BuiltIn_Sheet_Title_21_1_1_1_12">"Power &amp; Water-Zero"</definedName>
    <definedName name="Excel_BuiltIn_Sheet_Title_21_1_1_1_13">"Power &amp; Water-Zero"</definedName>
    <definedName name="Excel_BuiltIn_Sheet_Title_22">"Hire Charges"</definedName>
    <definedName name="Excel_BuiltIn_Sheet_Title_22_1">"Hire Charges"</definedName>
    <definedName name="Excel_BuiltIn_Sheet_Title_22_1_1">"Power &amp; Lighting Summary"</definedName>
    <definedName name="Excel_BuiltIn_Sheet_Title_22_1_1_1">"Hire Charges"</definedName>
    <definedName name="Excel_BuiltIn_Sheet_Title_22_1_1_1_1">"Power &amp; Lighting Summary"</definedName>
    <definedName name="Excel_BuiltIn_Sheet_Title_22_1_1_1_1_1">"Power &amp; Lighting Summary"</definedName>
    <definedName name="Excel_BuiltIn_Sheet_Title_22_1_1_1_1_1_1">"Power &amp; Lighting Summary"</definedName>
    <definedName name="Excel_BuiltIn_Sheet_Title_22_1_1_1_1_1_1_1">"Power &amp; Water-Zero"</definedName>
    <definedName name="Excel_BuiltIn_Sheet_Title_22_1_1_1_1_1_1_1_1">"Hire Charges"</definedName>
    <definedName name="Excel_BuiltIn_Sheet_Title_22_1_1_1_1_1_1_1_1_1">"Power &amp; Water-Zero"</definedName>
    <definedName name="Excel_BuiltIn_Sheet_Title_22_1_1_1_1_1_1_1_1_1_1">"Hire Charges"</definedName>
    <definedName name="Excel_BuiltIn_Sheet_Title_22_1_1_1_1_1_1_1_1_1_1_1">"Hire Charges"</definedName>
    <definedName name="Excel_BuiltIn_Sheet_Title_22_1_1_1_1_1_1_1_1_1_1_1_1">"Hire Charges"</definedName>
    <definedName name="Excel_BuiltIn_Sheet_Title_22_1_1_1_1_1_1_1_1_1_1_1_11">"Power &amp; Water-Zero"</definedName>
    <definedName name="Excel_BuiltIn_Sheet_Title_22_1_1_1_1_1_1_1_1_1_1_1_12">"Power &amp; Water-Zero"</definedName>
    <definedName name="Excel_BuiltIn_Sheet_Title_22_1_1_1_1_1_1_1_1_1_1_1_13">"Power &amp; Water-Zero"</definedName>
    <definedName name="Excel_BuiltIn_Sheet_Title_22_1_1_1_1_1_1_1_1_1_1_11">"Hire Charges"</definedName>
    <definedName name="Excel_BuiltIn_Sheet_Title_22_1_1_1_1_1_1_1_1_1_1_12">"Hire Charges"</definedName>
    <definedName name="Excel_BuiltIn_Sheet_Title_22_1_1_1_1_1_1_1_1_1_1_13">"Hire Charges"</definedName>
    <definedName name="Excel_BuiltIn_Sheet_Title_22_1_1_1_1_1_1_1_1_1_11">"Hire Charges"</definedName>
    <definedName name="Excel_BuiltIn_Sheet_Title_22_1_1_1_1_1_1_1_1_1_12">"Hire Charges"</definedName>
    <definedName name="Excel_BuiltIn_Sheet_Title_22_1_1_1_1_1_1_1_1_1_13">"Hire Charges"</definedName>
    <definedName name="Excel_BuiltIn_Sheet_Title_22_1_1_1_1_1_1_1_1_11">"Top Sheet"</definedName>
    <definedName name="Excel_BuiltIn_Sheet_Title_22_1_1_1_1_1_1_1_1_12">"Top Sheet"</definedName>
    <definedName name="Excel_BuiltIn_Sheet_Title_22_1_1_1_1_1_1_1_1_13">"Top Sheet"</definedName>
    <definedName name="Excel_BuiltIn_Sheet_Title_22_1_1_1_1_1_1_1_1_18">"Power &amp; Water-Zero"</definedName>
    <definedName name="Excel_BuiltIn_Sheet_Title_22_1_1_1_1_1_1_1_1_18_1">"Hire Charges"</definedName>
    <definedName name="Excel_BuiltIn_Sheet_Title_22_1_1_1_1_1_1_1_11">"Power &amp; Water-Zero"</definedName>
    <definedName name="Excel_BuiltIn_Sheet_Title_22_1_1_1_1_1_1_1_12">"Power &amp; Water-Zero"</definedName>
    <definedName name="Excel_BuiltIn_Sheet_Title_22_1_1_1_1_1_1_1_13">"Power &amp; Water-Zero"</definedName>
    <definedName name="Excel_BuiltIn_Sheet_Title_22_1_1_1_1_1_1_1_18">"Power &amp; Lighting Summary"</definedName>
    <definedName name="Excel_BuiltIn_Sheet_Title_22_1_1_1_1_1_1_18">"Top Sheet"</definedName>
    <definedName name="Excel_BuiltIn_Sheet_Title_22_1_1_1_11">"Hire Charges"</definedName>
    <definedName name="Excel_BuiltIn_Sheet_Title_22_1_1_1_12">"Hire Charges"</definedName>
    <definedName name="Excel_BuiltIn_Sheet_Title_22_1_1_1_13">"Hire Charges"</definedName>
    <definedName name="Excel_BuiltIn_Sheet_Title_23">"Hire Charges"</definedName>
    <definedName name="Excel_BuiltIn_Sheet_Title_23_1">"Hire Charges"</definedName>
    <definedName name="Excel_BuiltIn_Sheet_Title_23_1_1">"Power"</definedName>
    <definedName name="Excel_BuiltIn_Sheet_Title_23_1_1_1">"Power"</definedName>
    <definedName name="Excel_BuiltIn_Sheet_Title_23_1_1_1_1">"Power"</definedName>
    <definedName name="Excel_BuiltIn_Sheet_Title_23_1_1_1_1_1">"Staff Mobilision- Zero"</definedName>
    <definedName name="Excel_BuiltIn_Sheet_Title_23_1_1_1_1_1_1">"Power"</definedName>
    <definedName name="Excel_BuiltIn_Sheet_Title_23_1_1_1_1_1_1_1">"Power"</definedName>
    <definedName name="Excel_BuiltIn_Sheet_Title_23_1_1_1_1_11">"Power"</definedName>
    <definedName name="Excel_BuiltIn_Sheet_Title_23_1_1_1_1_12">"Power"</definedName>
    <definedName name="Excel_BuiltIn_Sheet_Title_23_1_1_1_1_13">"Power"</definedName>
    <definedName name="Excel_BuiltIn_Sheet_Title_24">"Top Sheet to DO"</definedName>
    <definedName name="Excel_BuiltIn_Sheet_Title_24_1">" Lighting "</definedName>
    <definedName name="Excel_BuiltIn_Sheet_Title_24_1_1">" Lighting "</definedName>
    <definedName name="Excel_BuiltIn_Sheet_Title_24_1_1_1">" Lighting "</definedName>
    <definedName name="Excel_BuiltIn_Sheet_Title_24_1_1_1_1">" Lighting "</definedName>
    <definedName name="Excel_BuiltIn_Sheet_Title_24_1_1_1_1_1">" Lighting "</definedName>
    <definedName name="Excel_BuiltIn_Sheet_Title_25">"Cem. Consumption"</definedName>
    <definedName name="Excel_BuiltIn_Sheet_Title_25_1">"Top Sheet to DO"</definedName>
    <definedName name="Excel_BuiltIn_Sheet_Title_25_1_1">"Top Sheet to DO"</definedName>
    <definedName name="Excel_BuiltIn_Sheet_Title_25_1_1_1">"Top Sheet to DO"</definedName>
    <definedName name="Excel_BuiltIn_Sheet_Title_25_1_1_1_1">"Top Sheet to DO"</definedName>
    <definedName name="Excel_BuiltIn_Sheet_Title_25_1_1_1_1_1">"Top Sheet to DO"</definedName>
    <definedName name="Excel_BuiltIn_Sheet_Title_26">"Power &amp; Water-Zero"</definedName>
    <definedName name="Excel_BuiltIn_Sheet_Title_26_1">"Cem. Consumption"</definedName>
    <definedName name="Excel_BuiltIn_Sheet_Title_26_1_1">"Cem. Consumption"</definedName>
    <definedName name="Excel_BuiltIn_Sheet_Title_26_1_1_1">"Cem. Consumption"</definedName>
    <definedName name="Excel_BuiltIn_Sheet_Title_26_1_1_1_1">"Cem. Consumption"</definedName>
    <definedName name="Excel_BuiltIn_Sheet_Title_26_1_1_1_1_1">"Cem. Consumption"</definedName>
    <definedName name="Excel_BuiltIn_Sheet_Title_27">"Hire Charges"</definedName>
    <definedName name="Excel_BuiltIn_Sheet_Title_27_1">"Power &amp; Water-Zero"</definedName>
    <definedName name="Excel_BuiltIn_Sheet_Title_27_1_1">"Power &amp; Water-Zero"</definedName>
    <definedName name="Excel_BuiltIn_Sheet_Title_27_1_1_1">"Power &amp; Water-Zero"</definedName>
    <definedName name="Excel_BuiltIn_Sheet_Title_27_1_1_1_1">"Power &amp; Water-Zero"</definedName>
    <definedName name="Excel_BuiltIn_Sheet_Title_27_1_1_1_1_1">"Power &amp; Water-Zero"</definedName>
    <definedName name="Excel_BuiltIn_Sheet_Title_28">"Hire Charges"</definedName>
    <definedName name="Excel_BuiltIn_Sheet_Title_28_1">"Hire Charges"</definedName>
    <definedName name="Excel_BuiltIn_Sheet_Title_28_1_1">"Hire Charges"</definedName>
    <definedName name="Excel_BuiltIn_Sheet_Title_28_1_1_1">"Hire Charges"</definedName>
    <definedName name="Excel_BuiltIn_Sheet_Title_28_1_1_1_1">"Hire Charges"</definedName>
    <definedName name="Excel_BuiltIn_Sheet_Title_3">"P+M -EW"</definedName>
    <definedName name="Excel_BuiltIn_Sheet_Title_3_1">"P+M -EW"</definedName>
    <definedName name="Excel_BuiltIn_Sheet_Title_3_1_1">"P+M -EW"</definedName>
    <definedName name="Excel_BuiltIn_Sheet_Title_3_1_1_1">"P+M -EW"</definedName>
    <definedName name="Excel_BuiltIn_Sheet_Title_3_1_1_1_1">"P+M -EW"</definedName>
    <definedName name="Excel_BuiltIn_Sheet_Title_3_1_1_1_1_1">"P+M -EW"</definedName>
    <definedName name="Excel_BuiltIn_Sheet_Title_3_1_1_1_1_1_1">"P+M -EW"</definedName>
    <definedName name="Excel_BuiltIn_Sheet_Title_3_1_1_1_1_1_1_1">"P+M -EW"</definedName>
    <definedName name="Excel_BuiltIn_Sheet_Title_3_1_1_1_1_1_1_1_1">"P+M -EW"</definedName>
    <definedName name="Excel_BuiltIn_Sheet_Title_3_1_1_1_1_1_1_1_1_1">"P+M -EW"</definedName>
    <definedName name="Excel_BuiltIn_Sheet_Title_3_1_1_1_1_1_1_1_1_1_1">"P+M -EW"</definedName>
    <definedName name="Excel_BuiltIn_Sheet_Title_3_1_1_1_1_1_1_1_1_1_1_1">"P+M -EW"</definedName>
    <definedName name="Excel_BuiltIn_Sheet_Title_3_1_1_1_1_1_1_1_1_1_1_1_1">"P+M -EW"</definedName>
    <definedName name="Excel_BuiltIn_Sheet_Title_4">"P+M ( SMC )"</definedName>
    <definedName name="Excel_BuiltIn_Sheet_Title_4_1">"P+M ( SMC )"</definedName>
    <definedName name="Excel_BuiltIn_Sheet_Title_4_1_1">"P+M ( SMC )"</definedName>
    <definedName name="Excel_BuiltIn_Sheet_Title_4_1_1_1">"P+M ( SMC )"</definedName>
    <definedName name="Excel_BuiltIn_Sheet_Title_4_1_1_1_1">"P+M ( SMC )"</definedName>
    <definedName name="Excel_BuiltIn_Sheet_Title_4_1_1_1_1_1">"P+M ( SMC )"</definedName>
    <definedName name="Excel_BuiltIn_Sheet_Title_4_1_1_1_1_1_1">"P+M ( SMC )"</definedName>
    <definedName name="Excel_BuiltIn_Sheet_Title_4_1_1_1_1_1_1_1">"P+M ( SMC )"</definedName>
    <definedName name="Excel_BuiltIn_Sheet_Title_4_1_1_1_1_1_1_1_1">"P+M ( SMC )"</definedName>
    <definedName name="Excel_BuiltIn_Sheet_Title_4_1_1_1_1_1_1_1_1_1">"P+M ( SMC )"</definedName>
    <definedName name="Excel_BuiltIn_Sheet_Title_4_1_1_1_1_1_1_1_1_1_1">"P+M ( SMC )"</definedName>
    <definedName name="Excel_BuiltIn_Sheet_Title_4_1_1_1_1_1_1_1_1_1_1_1">"P+M ( SMC )"</definedName>
    <definedName name="Excel_BuiltIn_Sheet_Title_4_1_1_1_1_1_1_1_1_1_1_1_1">"P+M ( SMC )"</definedName>
    <definedName name="Excel_BuiltIn_Sheet_Title_5">"Concrete P+M ( RMC )"</definedName>
    <definedName name="Excel_BuiltIn_Sheet_Title_5_1">"Concrete P+M ( RMC )"</definedName>
    <definedName name="Excel_BuiltIn_Sheet_Title_5_1_1">"Concrete P+M ( RMC )"</definedName>
    <definedName name="Excel_BuiltIn_Sheet_Title_5_1_1_1">"Concrete P+M ( RMC )"</definedName>
    <definedName name="Excel_BuiltIn_Sheet_Title_5_1_1_1_1">"Concrete P+M ( RMC )"</definedName>
    <definedName name="Excel_BuiltIn_Sheet_Title_5_1_1_1_1_1">"Concrete P+M ( RMC )"</definedName>
    <definedName name="Excel_BuiltIn_Sheet_Title_5_1_1_1_1_1_1">"Concrete P+M ( RMC )"</definedName>
    <definedName name="Excel_BuiltIn_Sheet_Title_5_1_1_1_1_1_1_1">"Concrete P+M ( RMC )"</definedName>
    <definedName name="Excel_BuiltIn_Sheet_Title_5_1_1_1_1_1_1_1_1">"Concrete P+M ( RMC )"</definedName>
    <definedName name="Excel_BuiltIn_Sheet_Title_5_1_1_1_1_1_1_1_1_1">"Concrete P+M ( RMC )"</definedName>
    <definedName name="Excel_BuiltIn_Sheet_Title_5_1_1_1_1_1_1_1_1_1_1">"Concrete P+M ( RMC )"</definedName>
    <definedName name="Excel_BuiltIn_Sheet_Title_5_1_1_1_1_1_1_1_1_1_1_1">"Concrete P+M ( RMC )"</definedName>
    <definedName name="Excel_BuiltIn_Sheet_Title_5_1_1_1_1_1_1_1_1_1_1_1_1">"Concrete P+M ( RMC )"</definedName>
    <definedName name="Excel_BuiltIn_Sheet_Title_6">"General P+M"</definedName>
    <definedName name="Excel_BuiltIn_Sheet_Title_6_1">"General P+M"</definedName>
    <definedName name="Excel_BuiltIn_Sheet_Title_6_1_1">"General P+M"</definedName>
    <definedName name="Excel_BuiltIn_Sheet_Title_6_1_1_1">"General P+M"</definedName>
    <definedName name="Excel_BuiltIn_Sheet_Title_6_1_1_1_1">"General P+M"</definedName>
    <definedName name="Excel_BuiltIn_Sheet_Title_6_1_1_1_1_1">"General P+M"</definedName>
    <definedName name="Excel_BuiltIn_Sheet_Title_6_1_1_1_1_1_1">"General P+M"</definedName>
    <definedName name="Excel_BuiltIn_Sheet_Title_6_1_1_1_1_1_1_1">"General P+M"</definedName>
    <definedName name="Excel_BuiltIn_Sheet_Title_6_1_1_1_1_1_1_1_1">"General P+M"</definedName>
    <definedName name="Excel_BuiltIn_Sheet_Title_6_1_1_1_1_1_1_1_1_1">"General P+M"</definedName>
    <definedName name="Excel_BuiltIn_Sheet_Title_6_1_1_1_1_1_1_1_1_1_1">"General P+M"</definedName>
    <definedName name="Excel_BuiltIn_Sheet_Title_6_1_1_1_1_1_1_1_1_1_1_1">"General P+M"</definedName>
    <definedName name="Excel_BuiltIn_Sheet_Title_6_1_1_1_1_1_1_1_1_1_1_1_1">"General P+M"</definedName>
    <definedName name="Excel_BuiltIn_Sheet_Title_7">"Curing Analysis "</definedName>
    <definedName name="Excel_BuiltIn_Sheet_Title_7_1">"Curing Analysis "</definedName>
    <definedName name="Excel_BuiltIn_Sheet_Title_7_1_1">"Curing Analysis "</definedName>
    <definedName name="Excel_BuiltIn_Sheet_Title_7_1_1_1">"Curing Analysis "</definedName>
    <definedName name="Excel_BuiltIn_Sheet_Title_7_1_1_1_1">"Curing Analysis "</definedName>
    <definedName name="Excel_BuiltIn_Sheet_Title_7_1_1_1_1_1">"Curing Analysis "</definedName>
    <definedName name="Excel_BuiltIn_Sheet_Title_7_1_1_1_1_1_1">"Curing Analysis "</definedName>
    <definedName name="Excel_BuiltIn_Sheet_Title_7_1_1_1_1_1_1_1">"Curing Analysis "</definedName>
    <definedName name="Excel_BuiltIn_Sheet_Title_7_1_1_1_1_1_1_1_1">"Curing Analysis "</definedName>
    <definedName name="Excel_BuiltIn_Sheet_Title_7_1_1_1_1_1_1_1_1_1">"Curing Analysis "</definedName>
    <definedName name="Excel_BuiltIn_Sheet_Title_7_1_1_1_1_1_1_1_1_1_1">"Curing Analysis "</definedName>
    <definedName name="Excel_BuiltIn_Sheet_Title_7_1_1_1_1_1_1_1_1_1_1_1">"Curing Analysis "</definedName>
    <definedName name="Excel_BuiltIn_Sheet_Title_7_1_1_1_1_1_1_1_1_1_1_1_1">"Curing Analysis "</definedName>
    <definedName name="Excel_BuiltIn_Sheet_Title_8">"External Scaffolding "</definedName>
    <definedName name="Excel_BuiltIn_Sheet_Title_8_1">"External Scaffolding "</definedName>
    <definedName name="Excel_BuiltIn_Sheet_Title_8_1_1">"External Scaffolding "</definedName>
    <definedName name="Excel_BuiltIn_Sheet_Title_8_1_1_1">"External Scaffolding "</definedName>
    <definedName name="Excel_BuiltIn_Sheet_Title_8_1_1_1_1">"External Scaffolding "</definedName>
    <definedName name="Excel_BuiltIn_Sheet_Title_8_1_1_1_1_1">"External Scaffolding "</definedName>
    <definedName name="Excel_BuiltIn_Sheet_Title_8_1_1_1_1_1_1">"External Scaffolding "</definedName>
    <definedName name="Excel_BuiltIn_Sheet_Title_8_1_1_1_1_1_1_1">"External Scaffolding "</definedName>
    <definedName name="Excel_BuiltIn_Sheet_Title_8_1_1_1_1_1_1_1_1">"External Scaffolding "</definedName>
    <definedName name="Excel_BuiltIn_Sheet_Title_8_1_1_1_1_1_1_1_1_1">"External Scaffolding "</definedName>
    <definedName name="Excel_BuiltIn_Sheet_Title_8_1_1_1_1_1_1_1_1_1_1">"External Scaffolding "</definedName>
    <definedName name="Excel_BuiltIn_Sheet_Title_8_1_1_1_1_1_1_1_1_1_1_1">"External Scaffolding "</definedName>
    <definedName name="Excel_BuiltIn_Sheet_Title_8_1_1_1_1_1_1_1_1_1_1_1_1">"External Scaffolding "</definedName>
    <definedName name="Excel_BuiltIn_Sheet_Title_9">"Summary of P &amp; M"</definedName>
    <definedName name="Excel_BuiltIn_Sheet_Title_9_1">"Summary of P &amp; M"</definedName>
    <definedName name="Excel_BuiltIn_Sheet_Title_9_1_1">"Summary of P &amp; M"</definedName>
    <definedName name="Excel_BuiltIn_Sheet_Title_9_1_1_1">"Summary of P &amp; M"</definedName>
    <definedName name="Excel_BuiltIn_Sheet_Title_9_1_1_1_1">"Summary of P &amp; M"</definedName>
    <definedName name="Excel_BuiltIn_Sheet_Title_9_1_1_1_1_1">"Summary of P &amp; M"</definedName>
    <definedName name="Excel_BuiltIn_Sheet_Title_9_1_1_1_1_1_1">"Summary of P &amp; M"</definedName>
    <definedName name="Excel_BuiltIn_Sheet_Title_9_1_1_1_1_1_1_1">"Summary of P &amp; M"</definedName>
    <definedName name="Excel_BuiltIn_Sheet_Title_9_1_1_1_1_1_1_1_1">"Summary of P &amp; M"</definedName>
    <definedName name="Excel_BuiltIn_Sheet_Title_9_1_1_1_1_1_1_1_1_1">"Summary of P &amp; M"</definedName>
    <definedName name="Excel_BuiltIn_Sheet_Title_9_1_1_1_1_1_1_1_1_1_1">"Summary of P &amp; M"</definedName>
    <definedName name="Excel_BuiltIn_Sheet_Title_9_1_1_1_1_1_1_1_1_1_1_1">"Summary of P &amp; M"</definedName>
    <definedName name="Excel_BuiltIn_Sheet_Title_9_1_1_1_1_1_1_1_1_1_1_1_1">"Summary of P &amp; M"</definedName>
    <definedName name="excf">#REF!</definedName>
    <definedName name="exchange">[30]Day2works!$L$2</definedName>
    <definedName name="Exchange_rate">#REF!</definedName>
    <definedName name="exchangerate">[30]Day2works!$J$2</definedName>
    <definedName name="ExciseDuty">#REF!</definedName>
    <definedName name="EXHT" hidden="1">15</definedName>
    <definedName name="EXIT">#REF!</definedName>
    <definedName name="exp_ch_3">NA()</definedName>
    <definedName name="exp_ch_3_1">NA()</definedName>
    <definedName name="ExpandOutputs">#N/A</definedName>
    <definedName name="ExpandVPeriods">#N/A</definedName>
    <definedName name="Expded">#REF!</definedName>
    <definedName name="Expl" hidden="1">{#N/A,#N/A,TRUE,"145A"}</definedName>
    <definedName name="Expl_1" hidden="1">{#N/A,#N/A,TRUE,"145A"}</definedName>
    <definedName name="Expl_1_1" hidden="1">{#N/A,#N/A,TRUE,"145A"}</definedName>
    <definedName name="Expl_1_1_1" hidden="1">{#N/A,#N/A,TRUE,"145A"}</definedName>
    <definedName name="Expl_2" hidden="1">{#N/A,#N/A,TRUE,"145A"}</definedName>
    <definedName name="Expl_2_1" hidden="1">{#N/A,#N/A,TRUE,"145A"}</definedName>
    <definedName name="Expl_3" hidden="1">{#N/A,#N/A,TRUE,"145A"}</definedName>
    <definedName name="Expl_3_1" hidden="1">{#N/A,#N/A,TRUE,"145A"}</definedName>
    <definedName name="Expl_4" hidden="1">{#N/A,#N/A,TRUE,"145A"}</definedName>
    <definedName name="Expl_4_1" hidden="1">{#N/A,#N/A,TRUE,"145A"}</definedName>
    <definedName name="Expl_5" hidden="1">{#N/A,#N/A,TRUE,"145A"}</definedName>
    <definedName name="Expl_5_1" hidden="1">{#N/A,#N/A,TRUE,"145A"}</definedName>
    <definedName name="ExportFile">#N/A</definedName>
    <definedName name="External">#REF!</definedName>
    <definedName name="EXTERNAL__SERVICES">#REF!</definedName>
    <definedName name="EXTERNAL__WALLS">#REF!</definedName>
    <definedName name="External_Doors">#REF!</definedName>
    <definedName name="External_paint">#REF!</definedName>
    <definedName name="External_Plaster">#REF!</definedName>
    <definedName name="External_Plaster___0">#REF!</definedName>
    <definedName name="External_Plaster___1">#REF!</definedName>
    <definedName name="External_Plaster___5">#REF!</definedName>
    <definedName name="External_Walls">#REF!</definedName>
    <definedName name="Extra_Pay">#REF!</definedName>
    <definedName name="eyrlp">#REF!</definedName>
    <definedName name="eyrlp___0">#REF!</definedName>
    <definedName name="eyrlp___1">#REF!</definedName>
    <definedName name="eyrlp___17">#REF!</definedName>
    <definedName name="eyrlp___4">#REF!</definedName>
    <definedName name="eyrlp___5">#REF!</definedName>
    <definedName name="f"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F.E.W_ALL">#REF!</definedName>
    <definedName name="F.E.W_H.S.CLAY">#REF!</definedName>
    <definedName name="F.E.W_S.D.R">#REF!</definedName>
    <definedName name="F.E.W_SAND">#REF!</definedName>
    <definedName name="F___0">#REF!</definedName>
    <definedName name="F___1">#REF!</definedName>
    <definedName name="F___5">#REF!</definedName>
    <definedName name="F_AllFiveSummaries">'[21]#REF'!$A$2:$N$217</definedName>
    <definedName name="F3P_new">#REF!</definedName>
    <definedName name="F3P_PP_new">#REF!</definedName>
    <definedName name="fa" hidden="1">[57]EXPENSES!#REF!</definedName>
    <definedName name="fa.xls" hidden="1">{#N/A,#N/A,FALSE,"Full";#N/A,#N/A,FALSE,"Half";#N/A,#N/A,FALSE,"Op Expenses";#N/A,#N/A,FALSE,"Cap Charge";#N/A,#N/A,FALSE,"Cost C";#N/A,#N/A,FALSE,"PP&amp;E";#N/A,#N/A,FALSE,"R&amp;D"}</definedName>
    <definedName name="fac">#REF!</definedName>
    <definedName name="facom">'[43]TBAL9697 -group wise  sdpl'!$A$34</definedName>
    <definedName name="Factor_3">NA()</definedName>
    <definedName name="Factor_3_1">NA()</definedName>
    <definedName name="fafur">'[43]TBAL9697 -group wise  sdpl'!$A$34</definedName>
    <definedName name="faofeq">'[43]TBAL9697 -group wise  sdpl'!$A$34</definedName>
    <definedName name="faplm">'[43]TBAL9697 -group wise  sdpl'!$A$34</definedName>
    <definedName name="fapms">'[43]TBAL9697 -group wise  sdpl'!$A$34</definedName>
    <definedName name="faveh">'[43]TBAL9697 -group wise  sdpl'!$A$34</definedName>
    <definedName name="FAXNO">#REF!</definedName>
    <definedName name="Fb">#REF!</definedName>
    <definedName name="fbeam">#REF!</definedName>
    <definedName name="FBEAM1">#REF!</definedName>
    <definedName name="FC">!$A$6</definedName>
    <definedName name="fclist">'[58]Status Control Sheet'!$Q$4:$Q$20</definedName>
    <definedName name="FCode" hidden="1">#REF!</definedName>
    <definedName name="fcompany">#REF!</definedName>
    <definedName name="Fcst2004F16">#REF!</definedName>
    <definedName name="fcstnew">#REF!</definedName>
    <definedName name="fcstold">#REF!</definedName>
    <definedName name="fcstyear">[59]fcstdwld!$A$1:$AQ$225</definedName>
    <definedName name="fcu">#REF!</definedName>
    <definedName name="fd">'[21]Avoidance '!$AD$8:$AS$82</definedName>
    <definedName name="FDaFAF" hidden="1">{"'Mach'!$A$1:$D$39"}</definedName>
    <definedName name="fdate">#REF!</definedName>
    <definedName name="fdbbbdbfdf" hidden="1">{#N/A,#N/A,FALSE,"Assessment";#N/A,#N/A,FALSE,"Staffing";#N/A,#N/A,FALSE,"Hires";#N/A,#N/A,FALSE,"Assumptions"}</definedName>
    <definedName name="fdbfdfdbfd" hidden="1">{#N/A,#N/A,FALSE,"Assessment";#N/A,#N/A,FALSE,"Staffing";#N/A,#N/A,FALSE,"Hires";#N/A,#N/A,FALSE,"Assumptions"}</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ddddddddddddd" hidden="1">{#N/A,#N/A,FALSE,"Assessment";#N/A,#N/A,FALSE,"Staffing";#N/A,#N/A,FALSE,"Hires";#N/A,#N/A,FALSE,"Assumptions"}</definedName>
    <definedName name="fdevise">#REF!</definedName>
    <definedName name="fdfd" hidden="1">{#N/A,#N/A,TRUE,"KEY DATA";#N/A,#N/A,TRUE,"KEY DATA Base Case";#N/A,#N/A,TRUE,"JULY";#N/A,#N/A,TRUE,"AUG";#N/A,#N/A,TRUE,"SEPT";#N/A,#N/A,TRUE,"3Q"}</definedName>
    <definedName name="fdfeqwtrfeqgfew" hidden="1">'[5]P&amp;L'!#REF!</definedName>
    <definedName name="fdfs" hidden="1">[60]Occ!#REF!</definedName>
    <definedName name="fdfsf" hidden="1">{#N/A,#N/A,TRUE,"KEY DATA";#N/A,#N/A,TRUE,"KEY DATA Base Case";#N/A,#N/A,TRUE,"JULY";#N/A,#N/A,TRUE,"AUG";#N/A,#N/A,TRUE,"SEPT";#N/A,#N/A,TRUE,"3Q"}</definedName>
    <definedName name="fdfwegerger" hidden="1">{#N/A,#N/A,FALSE,"Cash Flows";#N/A,#N/A,FALSE,"Fixed Assets";#N/A,#N/A,FALSE,"Balance Sheet";#N/A,#N/A,FALSE,"P &amp; L"}</definedName>
    <definedName name="fdgsd" hidden="1">{#N/A,#N/A,FALSE,"COMP"}</definedName>
    <definedName name="FDIC">#REF!</definedName>
    <definedName name="fdnd" hidden="1">{#N/A,#N/A,FALSE,"Assessment";#N/A,#N/A,FALSE,"Staffing";#N/A,#N/A,FALSE,"Hires";#N/A,#N/A,FALSE,"Assumptions"}</definedName>
    <definedName name="fdnfd" hidden="1">{#N/A,#N/A,FALSE,"Assessment";#N/A,#N/A,FALSE,"Staffing";#N/A,#N/A,FALSE,"Hires";#N/A,#N/A,FALSE,"Assumptions"}</definedName>
    <definedName name="fdnfdn" hidden="1">{#N/A,#N/A,FALSE,"Assessment";#N/A,#N/A,FALSE,"Staffing";#N/A,#N/A,FALSE,"Hires";#N/A,#N/A,FALSE,"Assumptions"}</definedName>
    <definedName name="FDP_0_1_aSrv" hidden="1">#REF!</definedName>
    <definedName name="FDP_100_1_aSrv" hidden="1">#REF!</definedName>
    <definedName name="FDP_101_1_aSrv" hidden="1">#REF!</definedName>
    <definedName name="FDP_102_1_aSrv" hidden="1">#REF!</definedName>
    <definedName name="FDP_103_1_aSrv" hidden="1">#REF!</definedName>
    <definedName name="FDP_104_1_aSrv" hidden="1">#REF!</definedName>
    <definedName name="FDP_12_1_aDrv" hidden="1">#REF!</definedName>
    <definedName name="FDP_13_1_aDrv" hidden="1">#REF!</definedName>
    <definedName name="FDP_14_1_aDrv" hidden="1">#REF!</definedName>
    <definedName name="FDP_15_1_aUrv" hidden="1">#REF!</definedName>
    <definedName name="FDP_165_1_aUrv" hidden="1">[61]Indexes!$E$4</definedName>
    <definedName name="FDP_166_1_aUrv" hidden="1">[61]Indexes!$E$5</definedName>
    <definedName name="FDP_167_1_aUrv" hidden="1">[61]Indexes!$E$6</definedName>
    <definedName name="FDP_168_1_aSrv" hidden="1">[61]Indexes!$E$7</definedName>
    <definedName name="FDP_169_1_aUrv" hidden="1">[61]Indexes!$E$8</definedName>
    <definedName name="FDP_17_1_aSrv" hidden="1">#REF!</definedName>
    <definedName name="FDP_170_1_aSrv" hidden="1">[61]Indexes!$E$9</definedName>
    <definedName name="FDP_171_1_aUrv" hidden="1">[61]Indexes!$E$10</definedName>
    <definedName name="FDP_172_1_aUrv" hidden="1">[61]Indexes!$E$11</definedName>
    <definedName name="FDP_173_1_aUrv" hidden="1">[61]Indexes!$E$12</definedName>
    <definedName name="FDP_174_1_aSrv" hidden="1">[61]Indexes!$E$13</definedName>
    <definedName name="FDP_175_1_aUrv" hidden="1">[61]Indexes!$E$14</definedName>
    <definedName name="FDP_176_1_aUrv" hidden="1">[61]Indexes!$E$15</definedName>
    <definedName name="FDP_177_1_aSrv" hidden="1">[61]Indexes!$E$16</definedName>
    <definedName name="FDP_178_1_aSrv" hidden="1">[61]Indexes!$E$17</definedName>
    <definedName name="FDP_179_1_aSrv" hidden="1">[61]Indexes!$E$19</definedName>
    <definedName name="FDP_180_1_aSrv" hidden="1">[61]Indexes!$E$21</definedName>
    <definedName name="FDP_181_1_aUrv" hidden="1">[61]Indexes!$E$22</definedName>
    <definedName name="FDP_182_1_aSrv" hidden="1">[61]Indexes!$E$23</definedName>
    <definedName name="FDP_183_1_aSrv" hidden="1">[61]Indexes!$E$25</definedName>
    <definedName name="FDP_184_1_aUrv" hidden="1">[61]Indexes!$E$26</definedName>
    <definedName name="FDP_185_1_aSrv" hidden="1">[61]Indexes!$E$27</definedName>
    <definedName name="FDP_186_1_aUrv" hidden="1">[61]Indexes!$E$28</definedName>
    <definedName name="FDP_187_1_aSrv" hidden="1">[61]Indexes!$E$29</definedName>
    <definedName name="FDP_188_1_aUrv" hidden="1">[61]Indexes!$E$32</definedName>
    <definedName name="FDP_189_1_aUrv" hidden="1">[61]Indexes!$E$33</definedName>
    <definedName name="FDP_19_1_aDrv" hidden="1">#REF!</definedName>
    <definedName name="FDP_190_1_aUrv" hidden="1">[61]Indexes!$E$35</definedName>
    <definedName name="FDP_191_1_aUrv" hidden="1">[61]Indexes!$E$36</definedName>
    <definedName name="FDP_192_1_aSrv" hidden="1">[61]Indexes!$E$37</definedName>
    <definedName name="FDP_193_1_aUrv" hidden="1">[61]Indexes!$E$38</definedName>
    <definedName name="FDP_194_1_aUrv" hidden="1">[61]Indexes!$E$39</definedName>
    <definedName name="FDP_195_1_aUrv" hidden="1">[61]Indexes!$E$41</definedName>
    <definedName name="FDP_196_1_aSrv" hidden="1">[61]Indexes!$E$42</definedName>
    <definedName name="FDP_197_1_aUrv" hidden="1">[61]Indexes!$E$44</definedName>
    <definedName name="FDP_198_1_aSrv" hidden="1">[61]Indexes!$E$45</definedName>
    <definedName name="FDP_199_1_aUrv" hidden="1">[61]Indexes!$E$47</definedName>
    <definedName name="FDP_2_1_aSrv" hidden="1">#REF!</definedName>
    <definedName name="FDP_20_1_aDrv" hidden="1">#REF!</definedName>
    <definedName name="FDP_200_1_aUrv" hidden="1">[61]Indexes!$E$48</definedName>
    <definedName name="FDP_201_1_aUrv" hidden="1">[61]Indexes!$E$49</definedName>
    <definedName name="FDP_202_1_aUrv" hidden="1">[61]Indexes!$E$50</definedName>
    <definedName name="FDP_203_1_aSrv" hidden="1">[61]Indexes!$E$54</definedName>
    <definedName name="FDP_204_1_aUrv" hidden="1">[61]Indexes!$H$54</definedName>
    <definedName name="FDP_205_1_aUrv" hidden="1">[61]Indexes!$I$54</definedName>
    <definedName name="FDP_206_1_aUrv" hidden="1">[61]Indexes!$J$54</definedName>
    <definedName name="FDP_207_1_aUrv" hidden="1">[61]Indexes!$K$54</definedName>
    <definedName name="FDP_208_1_aSrv" hidden="1">[61]Indexes!$E$55</definedName>
    <definedName name="FDP_209_1_aUrv" hidden="1">[61]Indexes!$H$55</definedName>
    <definedName name="FDP_21_1_aDrv" hidden="1">#REF!</definedName>
    <definedName name="FDP_210_1_aUrv" hidden="1">[61]Indexes!$I$55</definedName>
    <definedName name="FDP_211_1_aUrv" hidden="1">[61]Indexes!$J$55</definedName>
    <definedName name="FDP_212_1_aUrv" hidden="1">[61]Indexes!$K$55</definedName>
    <definedName name="FDP_213_1_aSrv" hidden="1">[61]Indexes!$E$56</definedName>
    <definedName name="FDP_214_1_aUrv" hidden="1">[61]Indexes!$H$56</definedName>
    <definedName name="FDP_215_1_aUrv" hidden="1">[61]Indexes!$I$56</definedName>
    <definedName name="FDP_216_1_aUrv" hidden="1">[61]Indexes!$J$56</definedName>
    <definedName name="FDP_217_1_aUrv" hidden="1">[61]Indexes!$K$56</definedName>
    <definedName name="FDP_218_1_aSrv" hidden="1">[61]Indexes!$E$57</definedName>
    <definedName name="FDP_219_1_aSrv" hidden="1">[61]Indexes!$H$57</definedName>
    <definedName name="FDP_22_1_aDrv" hidden="1">#REF!</definedName>
    <definedName name="FDP_220_1_aSrv" hidden="1">[61]Indexes!$I$57</definedName>
    <definedName name="FDP_221_1_aSrv" hidden="1">[61]Indexes!$J$57</definedName>
    <definedName name="FDP_222_1_aSrv" hidden="1">[61]Indexes!$K$57</definedName>
    <definedName name="FDP_223_1_aSrv" hidden="1">[61]Indexes!$E$58</definedName>
    <definedName name="FDP_224_1_aUrv" hidden="1">[61]Indexes!$H$58</definedName>
    <definedName name="FDP_225_1_aUrv" hidden="1">[61]Indexes!$I$58</definedName>
    <definedName name="FDP_226_1_aUrv" hidden="1">[61]Indexes!$J$58</definedName>
    <definedName name="FDP_227_1_aUrv" hidden="1">[61]Indexes!$K$58</definedName>
    <definedName name="FDP_228_1_aSrv" hidden="1">[61]Indexes!$E$59</definedName>
    <definedName name="FDP_229_1_aSrv" hidden="1">[61]Indexes!$H$59</definedName>
    <definedName name="FDP_23_1_aDrv" hidden="1">#REF!</definedName>
    <definedName name="FDP_230_1_aSrv" hidden="1">[61]Indexes!$I$59</definedName>
    <definedName name="FDP_231_1_aSrv" hidden="1">[61]Indexes!$J$59</definedName>
    <definedName name="FDP_232_1_aSrv" hidden="1">[61]Indexes!$K$59</definedName>
    <definedName name="FDP_233_1_aSrv" hidden="1">[61]Indexes!$E$60</definedName>
    <definedName name="FDP_234_1_aUrv" hidden="1">[61]Indexes!$H$60</definedName>
    <definedName name="FDP_235_1_aUrv" hidden="1">[61]Indexes!$I$60</definedName>
    <definedName name="FDP_236_1_aUrv" hidden="1">[61]Indexes!$J$60</definedName>
    <definedName name="FDP_237_1_aUrv" hidden="1">[61]Indexes!$K$60</definedName>
    <definedName name="FDP_238_1_aSrv" hidden="1">[61]Indexes!$E$61</definedName>
    <definedName name="FDP_24_1_aDrv" hidden="1">#REF!</definedName>
    <definedName name="FDP_243_1_aSrv" hidden="1">[61]Indexes!$E$62</definedName>
    <definedName name="FDP_244_1_aSrv" hidden="1">[61]Indexes!$H$62</definedName>
    <definedName name="FDP_245_1_aSrv" hidden="1">[61]Indexes!$I$62</definedName>
    <definedName name="FDP_246_1_aSrv" hidden="1">[61]Indexes!$J$62</definedName>
    <definedName name="FDP_247_1_aSrv" hidden="1">[61]Indexes!$K$62</definedName>
    <definedName name="FDP_248_1_aSrv" hidden="1">[61]Indexes!$E$63</definedName>
    <definedName name="FDP_249_1_aSrv" hidden="1">[61]Indexes!$H$63</definedName>
    <definedName name="FDP_25_1_aUrv" hidden="1">#REF!</definedName>
    <definedName name="FDP_250_1_aSrv" hidden="1">[61]Indexes!$I$63</definedName>
    <definedName name="FDP_251_1_aSrv" hidden="1">[61]Indexes!$J$63</definedName>
    <definedName name="FDP_252_1_aSrv" hidden="1">[61]Indexes!$K$63</definedName>
    <definedName name="FDP_253_1_aSrv" hidden="1">[61]Indexes!$E$64</definedName>
    <definedName name="FDP_254_1_aSrv" hidden="1">[61]Indexes!$E$65</definedName>
    <definedName name="FDP_255_1_aSrv" hidden="1">[61]Indexes!$E$66</definedName>
    <definedName name="FDP_256_1_aSrv" hidden="1">[61]Indexes!$E$67</definedName>
    <definedName name="FDP_257_1_aSrv" hidden="1">[61]Indexes!$E$68</definedName>
    <definedName name="FDP_258_1_aSrv" hidden="1">[61]Indexes!$E$69</definedName>
    <definedName name="FDP_259_1_aSrv" hidden="1">[61]Indexes!$E$70</definedName>
    <definedName name="FDP_26_1_aSrv" hidden="1">#REF!</definedName>
    <definedName name="FDP_260_1_aSrv" hidden="1">[61]Indexes!$E$71</definedName>
    <definedName name="FDP_261_1_aSrv" hidden="1">[61]Indexes!$E$72</definedName>
    <definedName name="FDP_264_1_aUrv" hidden="1">[61]Indexes!$E$81</definedName>
    <definedName name="FDP_265_1_aUrv" hidden="1">[61]Indexes!$H$81</definedName>
    <definedName name="FDP_266_1_aUrv" hidden="1">[61]Indexes!$I$81</definedName>
    <definedName name="FDP_267_1_aUrv" hidden="1">[61]Indexes!$J$81</definedName>
    <definedName name="FDP_268_1_aUrv" hidden="1">[61]Indexes!$K$81</definedName>
    <definedName name="FDP_269_1_aUrv" hidden="1">[61]Indexes!$E$82</definedName>
    <definedName name="FDP_27_1_aUrv" hidden="1">#REF!</definedName>
    <definedName name="FDP_270_1_aUrv" hidden="1">[61]Indexes!$H$82</definedName>
    <definedName name="FDP_271_1_aUrv" hidden="1">[61]Indexes!$I$82</definedName>
    <definedName name="FDP_272_1_aUrv" hidden="1">[61]Indexes!$J$82</definedName>
    <definedName name="FDP_273_1_aUrv" hidden="1">[61]Indexes!$K$82</definedName>
    <definedName name="FDP_274_1_aUrv" hidden="1">[61]Indexes!$E$83</definedName>
    <definedName name="FDP_275_1_aUrv" hidden="1">[61]Indexes!$H$83</definedName>
    <definedName name="FDP_276_1_aUrv" hidden="1">[61]Indexes!$I$83</definedName>
    <definedName name="FDP_277_1_aUrv" hidden="1">[61]Indexes!$J$83</definedName>
    <definedName name="FDP_278_1_aUrv" hidden="1">[61]Indexes!$K$83</definedName>
    <definedName name="FDP_279_1_aSrv" hidden="1">[61]Indexes!$E$84</definedName>
    <definedName name="FDP_28_1_aUrv" hidden="1">#REF!</definedName>
    <definedName name="FDP_29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_1_aSrv" hidden="1">#REF!</definedName>
    <definedName name="FDP_40_1_aUrv" hidden="1">#REF!</definedName>
    <definedName name="FDP_50_1_aDrv" hidden="1">#REF!</definedName>
    <definedName name="FDP_51_1_aDrv" hidden="1">#REF!</definedName>
    <definedName name="FDP_52_1_aDrv" hidden="1">#REF!</definedName>
    <definedName name="FDP_53_1_aUrv" hidden="1">#REF!</definedName>
    <definedName name="FDP_54_1_aUrv" hidden="1">#REF!</definedName>
    <definedName name="FDP_57_1_aSrv" hidden="1">#REF!</definedName>
    <definedName name="FDP_59_1_aUrv" hidden="1">#REF!</definedName>
    <definedName name="FDP_60_1_aUrv" hidden="1">#REF!</definedName>
    <definedName name="FDP_61_1_aSrv" hidden="1">#REF!</definedName>
    <definedName name="FDP_62_1_aDrv" hidden="1">#REF!</definedName>
    <definedName name="FDP_63_1_aUrv" hidden="1">#REF!</definedName>
    <definedName name="FDP_64_1_aUrv" hidden="1">#REF!</definedName>
    <definedName name="FDP_65_1_aUrv" hidden="1">#REF!</definedName>
    <definedName name="FDP_66_1_aUrv" hidden="1">#REF!</definedName>
    <definedName name="FDP_67_1_aDrv" hidden="1">#REF!</definedName>
    <definedName name="FDP_68_1_aUrv" hidden="1">#REF!</definedName>
    <definedName name="FDP_69_1_aUrv" hidden="1">#REF!</definedName>
    <definedName name="FDP_70_1_aUrv" hidden="1">#REF!</definedName>
    <definedName name="FDP_71_1_aDrv" hidden="1">#REF!</definedName>
    <definedName name="FDP_72_1_aDrv" hidden="1">#REF!</definedName>
    <definedName name="FDP_73_1_aDrv" hidden="1">#REF!</definedName>
    <definedName name="FDP_74_1_aDrv" hidden="1">#REF!</definedName>
    <definedName name="FDP_75_1_aUrv" hidden="1">#REF!</definedName>
    <definedName name="FDP_76_1_aUrv" hidden="1">#REF!</definedName>
    <definedName name="FDP_77_1_aDrv" hidden="1">#REF!</definedName>
    <definedName name="FDP_78_1_aUrv" hidden="1">#REF!</definedName>
    <definedName name="FDP_79_1_aUrv" hidden="1">#REF!</definedName>
    <definedName name="FDP_80_1_aDrv" hidden="1">#REF!</definedName>
    <definedName name="FDP_81_1_aSrv" hidden="1">#REF!</definedName>
    <definedName name="FDP_82_1_aUrv" hidden="1">#REF!</definedName>
    <definedName name="FDP_83_1_aDrv" hidden="1">#REF!</definedName>
    <definedName name="FDP_84_1_aDrv" hidden="1">#REF!</definedName>
    <definedName name="FDP_85_1_aDrv" hidden="1">#REF!</definedName>
    <definedName name="FDP_86_1_aDrv" hidden="1">#REF!</definedName>
    <definedName name="FDP_87_1_aDrv" hidden="1">#REF!</definedName>
    <definedName name="FDP_88_1_aDrv" hidden="1">#REF!</definedName>
    <definedName name="FDP_89_1_aDrv" hidden="1">#REF!</definedName>
    <definedName name="FDP_90_1_aDrv" hidden="1">#REF!</definedName>
    <definedName name="FDP_91_1_aDrv" hidden="1">#REF!</definedName>
    <definedName name="FDP_92_1_aDrv" hidden="1">#REF!</definedName>
    <definedName name="FDP_93_1_aSrv" hidden="1">#REF!</definedName>
    <definedName name="FDP_94_1_aSrv" hidden="1">#REF!</definedName>
    <definedName name="FDP_95_1_aSrv" hidden="1">#REF!</definedName>
    <definedName name="FDP_96_1_aSrv" hidden="1">#REF!</definedName>
    <definedName name="FDP_97_1_aUrv" hidden="1">#REF!</definedName>
    <definedName name="FDP_98_1_aSrv" hidden="1">#REF!</definedName>
    <definedName name="FDP_99_1_aSrv" hidden="1">#REF!</definedName>
    <definedName name="fdqwqr">'[21]#REF'!$A$1:$P$113</definedName>
    <definedName name="fdrop">#REF!</definedName>
    <definedName name="fdrop1">#REF!</definedName>
    <definedName name="FDROP11">#REF!</definedName>
    <definedName name="FDROP2">#REF!</definedName>
    <definedName name="fdsdq">'[21]#REF'!$A$1:$AF$113</definedName>
    <definedName name="fdsf" hidden="1">[60]Occ!#REF!</definedName>
    <definedName name="fdssa" localSheetId="5" hidden="1">{#N/A,#N/A,FALSE,"Summary";#N/A,#N/A,FALSE,"CF";#N/A,#N/A,FALSE,"P&amp;L";#N/A,#N/A,FALSE,"BS";#N/A,#N/A,FALSE,"Returns";#N/A,#N/A,FALSE,"Assumptions";#N/A,#N/A,FALSE,"Analysis"}</definedName>
    <definedName name="fdssa" localSheetId="0" hidden="1">{#N/A,#N/A,FALSE,"Summary";#N/A,#N/A,FALSE,"CF";#N/A,#N/A,FALSE,"P&amp;L";#N/A,#N/A,FALSE,"BS";#N/A,#N/A,FALSE,"Returns";#N/A,#N/A,FALSE,"Assumptions";#N/A,#N/A,FALSE,"Analysis"}</definedName>
    <definedName name="fdssa" hidden="1">{#N/A,#N/A,FALSE,"Summary";#N/A,#N/A,FALSE,"CF";#N/A,#N/A,FALSE,"P&amp;L";#N/A,#N/A,FALSE,"BS";#N/A,#N/A,FALSE,"Returns";#N/A,#N/A,FALSE,"Assumptions";#N/A,#N/A,FALSE,"Analysis"}</definedName>
    <definedName name="fdssa1" localSheetId="5" hidden="1">{#N/A,#N/A,FALSE,"Summary";#N/A,#N/A,FALSE,"CF";#N/A,#N/A,FALSE,"P&amp;L";#N/A,#N/A,FALSE,"BS";#N/A,#N/A,FALSE,"Returns";#N/A,#N/A,FALSE,"Assumptions";#N/A,#N/A,FALSE,"Analysis"}</definedName>
    <definedName name="fdssa1" localSheetId="0" hidden="1">{#N/A,#N/A,FALSE,"Summary";#N/A,#N/A,FALSE,"CF";#N/A,#N/A,FALSE,"P&amp;L";#N/A,#N/A,FALSE,"BS";#N/A,#N/A,FALSE,"Returns";#N/A,#N/A,FALSE,"Assumptions";#N/A,#N/A,FALSE,"Analysis"}</definedName>
    <definedName name="fdssa1" hidden="1">{#N/A,#N/A,FALSE,"Summary";#N/A,#N/A,FALSE,"CF";#N/A,#N/A,FALSE,"P&amp;L";#N/A,#N/A,FALSE,"BS";#N/A,#N/A,FALSE,"Returns";#N/A,#N/A,FALSE,"Assumptions";#N/A,#N/A,FALSE,"Analysis"}</definedName>
    <definedName name="fe_1">#REF!</definedName>
    <definedName name="fe_1_no">#REF!</definedName>
    <definedName name="fe_1_pending">#REF!</definedName>
    <definedName name="fe_10">#REF!</definedName>
    <definedName name="fe_10_no">#REF!</definedName>
    <definedName name="fe_10_pending">#REF!</definedName>
    <definedName name="fe_11">#REF!</definedName>
    <definedName name="fe_11_no">#REF!</definedName>
    <definedName name="fe_11_pending">#REF!</definedName>
    <definedName name="fe_12">#REF!</definedName>
    <definedName name="fe_12_no">#REF!</definedName>
    <definedName name="fe_12_pending">#REF!</definedName>
    <definedName name="fe_13">#REF!</definedName>
    <definedName name="fe_13_no">#REF!</definedName>
    <definedName name="fe_13_pending">#REF!</definedName>
    <definedName name="fe_14">#REF!</definedName>
    <definedName name="fe_14_no">#REF!</definedName>
    <definedName name="fe_14_pending">#REF!</definedName>
    <definedName name="fe_15">#REF!</definedName>
    <definedName name="fe_15_no">#REF!</definedName>
    <definedName name="fe_15_pending">#REF!</definedName>
    <definedName name="fe_2">#REF!</definedName>
    <definedName name="fe_2_no">#REF!</definedName>
    <definedName name="fe_2_pending">#REF!</definedName>
    <definedName name="fe_3">#REF!</definedName>
    <definedName name="fe_3_no">#REF!</definedName>
    <definedName name="fe_3_pending">#REF!</definedName>
    <definedName name="fe_4">#REF!</definedName>
    <definedName name="fe_4_no">#REF!</definedName>
    <definedName name="fe_4_pending">#REF!</definedName>
    <definedName name="fe_5">#REF!</definedName>
    <definedName name="fe_5_no">#REF!</definedName>
    <definedName name="fe_5_pending">#REF!</definedName>
    <definedName name="fe_6">#REF!</definedName>
    <definedName name="fe_6_no">#REF!</definedName>
    <definedName name="fe_6_pending">#REF!</definedName>
    <definedName name="fe_7">#REF!</definedName>
    <definedName name="fe_7_no">#REF!</definedName>
    <definedName name="fe_7_pending">#REF!</definedName>
    <definedName name="fe_8">#REF!</definedName>
    <definedName name="fe_8_no">#REF!</definedName>
    <definedName name="fe_8_pending">#REF!</definedName>
    <definedName name="fe_9">#REF!</definedName>
    <definedName name="fe_9_no">#REF!</definedName>
    <definedName name="fe_9_pending">#REF!</definedName>
    <definedName name="feb" hidden="1">{#N/A,#N/A,TRUE,"KEY DATA";#N/A,#N/A,TRUE,"KEY DATA Base Case";#N/A,#N/A,TRUE,"JULY";#N/A,#N/A,TRUE,"AUG";#N/A,#N/A,TRUE,"SEPT";#N/A,#N/A,TRUE,"3Q"}</definedName>
    <definedName name="Fence">#REF!</definedName>
    <definedName name="FF">#REF!</definedName>
    <definedName name="fff">'[21]#REF'!$A$1:$P$113</definedName>
    <definedName name="FFGB5">#REF!</definedName>
    <definedName name="FG">!$A$43</definedName>
    <definedName name="fgececf">#REF!</definedName>
    <definedName name="fgf">#REF!</definedName>
    <definedName name="fgfd" hidden="1">[60]Occ!#REF!</definedName>
    <definedName name="fgh" hidden="1">{"office ltcg",#N/A,FALSE,"gain01";"IT LTCG",#N/A,FALSE,"gain01"}</definedName>
    <definedName name="fghgf" hidden="1">#REF!</definedName>
    <definedName name="fgkfgk" hidden="1">{#N/A,#N/A,FALSE,"Assessment";#N/A,#N/A,FALSE,"Staffing";#N/A,#N/A,FALSE,"Hires";#N/A,#N/A,FALSE,"Assumptions"}</definedName>
    <definedName name="fgnfgnfngf" hidden="1">{#N/A,#N/A,FALSE,"Assessment";#N/A,#N/A,FALSE,"Staffing";#N/A,#N/A,FALSE,"Hires";#N/A,#N/A,FALSE,"Assumptions"}</definedName>
    <definedName name="fgnfngf" hidden="1">{#N/A,#N/A,FALSE,"Assessment";#N/A,#N/A,FALSE,"Staffing";#N/A,#N/A,FALSE,"Hires";#N/A,#N/A,FALSE,"Assumptions"}</definedName>
    <definedName name="fgngfnf" hidden="1">{#N/A,#N/A,FALSE,"Assessment";#N/A,#N/A,FALSE,"Staffing";#N/A,#N/A,FALSE,"Hires";#N/A,#N/A,FALSE,"Assumptions"}</definedName>
    <definedName name="fgs" hidden="1">{#N/A,#N/A,FALSE,"COMP"}</definedName>
    <definedName name="Fh">#REF!</definedName>
    <definedName name="fhf">#REF!</definedName>
    <definedName name="fhh" hidden="1">{#N/A,#N/A,FALSE,"Balance Sheets";#N/A,#N/A,FALSE,"96 Conservative";#N/A,#N/A,FALSE,"96 Possible"}</definedName>
    <definedName name="fhlò" hidden="1">{"Five Year",#N/A,FALSE,"Summary (2)";"Month 1 and Years",#N/A,FALSE,"Cash Budget"}</definedName>
    <definedName name="Fhwl">#REF!</definedName>
    <definedName name="FI">!$A$80</definedName>
    <definedName name="fid">#REF!</definedName>
    <definedName name="fifb">#REF!</definedName>
    <definedName name="fil" hidden="1">#REF!</definedName>
    <definedName name="File.Type" hidden="1">#REF!</definedName>
    <definedName name="File_Used">#REF!</definedName>
    <definedName name="fill" hidden="1">'[62]Sheet3 (2)'!$A$60:$A$76</definedName>
    <definedName name="Fin" localSheetId="5" hidden="1">{#N/A,#N/A,TRUE,"Financials";#N/A,#N/A,TRUE,"Operating Statistics";#N/A,#N/A,TRUE,"Capex &amp; Depreciation";#N/A,#N/A,TRUE,"Debt"}</definedName>
    <definedName name="Fin" localSheetId="0" hidden="1">{#N/A,#N/A,TRUE,"Financials";#N/A,#N/A,TRUE,"Operating Statistics";#N/A,#N/A,TRUE,"Capex &amp; Depreciation";#N/A,#N/A,TRUE,"Debt"}</definedName>
    <definedName name="Fin" hidden="1">{#N/A,#N/A,TRUE,"Financials";#N/A,#N/A,TRUE,"Operating Statistics";#N/A,#N/A,TRUE,"Capex &amp; Depreciation";#N/A,#N/A,TRUE,"Debt"}</definedName>
    <definedName name="final">#REF!</definedName>
    <definedName name="final_report">#REF!</definedName>
    <definedName name="final_report1">#REF!</definedName>
    <definedName name="finalre">#REF!</definedName>
    <definedName name="FINANCE">#REF!</definedName>
    <definedName name="finishesArea">#REF!</definedName>
    <definedName name="finishesPerimeter">#REF!</definedName>
    <definedName name="FINTVL">'[12]#REF'!#REF!</definedName>
    <definedName name="FIRE">#REF!</definedName>
    <definedName name="FIRE_7">#REF!</definedName>
    <definedName name="firstValve">#REF!</definedName>
    <definedName name="FiscalIDNum">#REF!</definedName>
    <definedName name="FiscalIDNum___0">#REF!</definedName>
    <definedName name="FiscalIDNum___1">#REF!</definedName>
    <definedName name="FiscalIDNum___17">#REF!</definedName>
    <definedName name="FiscalIDNum___4">#REF!</definedName>
    <definedName name="FiscalIDNum___5">#REF!</definedName>
    <definedName name="FiscalIDNum_4">#REF!</definedName>
    <definedName name="FiscalIDNum_4___0">#REF!</definedName>
    <definedName name="FiscalIDNum_4___1">#REF!</definedName>
    <definedName name="FiscalIDNum_4___17">#REF!</definedName>
    <definedName name="FiscalIDNum_4___4">#REF!</definedName>
    <definedName name="FiscalIDNum_4___5">#REF!</definedName>
    <definedName name="FiscalIDNum_4_1">#REF!</definedName>
    <definedName name="FiscalIDNum_4_1___0">#REF!</definedName>
    <definedName name="FiscalIDNum_4_1___1">#REF!</definedName>
    <definedName name="FiscalIDNum_4_1___5">#REF!</definedName>
    <definedName name="FiscalIDNum_6">#REF!</definedName>
    <definedName name="FiscalIDNum_6___0">#REF!</definedName>
    <definedName name="FiscalIDNum_6___1">#REF!</definedName>
    <definedName name="FiscalIDNum_6___17">#REF!</definedName>
    <definedName name="FiscalIDNum_6___4">#REF!</definedName>
    <definedName name="FiscalIDNum_6___5">#REF!</definedName>
    <definedName name="FIT">#REF!</definedName>
    <definedName name="FIT___0">#REF!</definedName>
    <definedName name="FIT___13">#REF!</definedName>
    <definedName name="fiw">#REF!</definedName>
    <definedName name="fixed_asset">#REF!</definedName>
    <definedName name="Fixed_Lens">#REF!</definedName>
    <definedName name="fj_100">#REF!</definedName>
    <definedName name="fj_150">#REF!</definedName>
    <definedName name="fj_200">#REF!</definedName>
    <definedName name="fj_25">#REF!</definedName>
    <definedName name="fj_250">#REF!</definedName>
    <definedName name="fj_300">#REF!</definedName>
    <definedName name="fj_32">#REF!</definedName>
    <definedName name="fj_40">#REF!</definedName>
    <definedName name="fj_400">#REF!</definedName>
    <definedName name="fj_50">#REF!</definedName>
    <definedName name="fj_500">#REF!</definedName>
    <definedName name="fj_65">#REF!</definedName>
    <definedName name="fj_80">#REF!</definedName>
    <definedName name="fjfgjsfgfjsfj">#REF!</definedName>
    <definedName name="fkfgkf" hidden="1">{#N/A,#N/A,FALSE,"Assessment";#N/A,#N/A,FALSE,"Staffing";#N/A,#N/A,FALSE,"Hires";#N/A,#N/A,FALSE,"Assumptions"}</definedName>
    <definedName name="fkgfkf" hidden="1">{#N/A,#N/A,FALSE,"Assessment";#N/A,#N/A,FALSE,"Staffing";#N/A,#N/A,FALSE,"Hires";#N/A,#N/A,FALSE,"Assumptions"}</definedName>
    <definedName name="FKP_2001Fcst">#REF!</definedName>
    <definedName name="FKP_2002Fcst">#REF!</definedName>
    <definedName name="FKP_NewPP">#REF!</definedName>
    <definedName name="FKP_OldPP">#REF!</definedName>
    <definedName name="fl">#REF!</definedName>
    <definedName name="flag1">#REF!</definedName>
    <definedName name="fld">#REF!</definedName>
    <definedName name="flf">#REF!</definedName>
    <definedName name="flg">#REF!</definedName>
    <definedName name="Floor">#REF!</definedName>
    <definedName name="FLOOR__FINISHES">#REF!</definedName>
    <definedName name="Floor_Fin">#REF!</definedName>
    <definedName name="FLOORING">#REF!</definedName>
    <definedName name="Floorsqty">#REF!</definedName>
    <definedName name="Floorsqty_16">#REF!</definedName>
    <definedName name="Floorsqty_17">#REF!</definedName>
    <definedName name="Floorsqty_18">#REF!</definedName>
    <definedName name="Floorsqty_19">#REF!</definedName>
    <definedName name="Floorsqty_4">#REF!</definedName>
    <definedName name="Floorsqty_5">#REF!</definedName>
    <definedName name="Floorsqty_6">#REF!</definedName>
    <definedName name="Floorsqty_7">#REF!</definedName>
    <definedName name="Floorsqty_8">#REF!</definedName>
    <definedName name="Floorsqty_9">#REF!</definedName>
    <definedName name="Flow_Metering_Chamber">#REF!</definedName>
    <definedName name="fnfdnfd" hidden="1">{#N/A,#N/A,FALSE,"Assessment";#N/A,#N/A,FALSE,"Staffing";#N/A,#N/A,FALSE,"Hires";#N/A,#N/A,FALSE,"Assumptions"}</definedName>
    <definedName name="fngfgfngfnfgnf" hidden="1">{#N/A,#N/A,FALSE,"Assessment";#N/A,#N/A,FALSE,"Staffing";#N/A,#N/A,FALSE,"Hires";#N/A,#N/A,FALSE,"Assumptions"}</definedName>
    <definedName name="fo">#REF!</definedName>
    <definedName name="Footings">#REF!</definedName>
    <definedName name="Forex">#REF!</definedName>
    <definedName name="form1" hidden="1">{#N/A,#N/A,FALSE,"COMP"}</definedName>
    <definedName name="form3cd" hidden="1">'[63]EAW Final Accounts - 99'!$M$175:$M$189</definedName>
    <definedName name="FormTitle">#REF!</definedName>
    <definedName name="FormTitle___0">#REF!</definedName>
    <definedName name="FormTitle___1">#REF!</definedName>
    <definedName name="FormTitle___17">#REF!</definedName>
    <definedName name="FormTitle___4">#REF!</definedName>
    <definedName name="FormTitle___5">#REF!</definedName>
    <definedName name="FormTitle_4">#REF!</definedName>
    <definedName name="FormTitle_4___0">#REF!</definedName>
    <definedName name="FormTitle_4___1">#REF!</definedName>
    <definedName name="FormTitle_4___17">#REF!</definedName>
    <definedName name="FormTitle_4___4">#REF!</definedName>
    <definedName name="FormTitle_4___5">#REF!</definedName>
    <definedName name="FormTitle_4_1">#REF!</definedName>
    <definedName name="FormTitle_4_1___0">#REF!</definedName>
    <definedName name="FormTitle_4_1___1">#REF!</definedName>
    <definedName name="FormTitle_4_1___5">#REF!</definedName>
    <definedName name="FormTitle_6">#REF!</definedName>
    <definedName name="FormTitle_6___0">#REF!</definedName>
    <definedName name="FormTitle_6___1">#REF!</definedName>
    <definedName name="FormTitle_6___17">#REF!</definedName>
    <definedName name="FormTitle_6___4">#REF!</definedName>
    <definedName name="FormTitle_6___5">#REF!</definedName>
    <definedName name="Formula1">#REF!</definedName>
    <definedName name="Formula2">#REF!</definedName>
    <definedName name="Foundation">#REF!</definedName>
    <definedName name="fp">#REF!</definedName>
    <definedName name="fqfdq" hidden="1">#REF!</definedName>
    <definedName name="FR">!$A$117</definedName>
    <definedName name="fr_m10">[26]FR_M10!$U$1:$AI$134</definedName>
    <definedName name="fr_trend">[26]FR_TREND!$U$1:$AJ$107</definedName>
    <definedName name="FRAME">#REF!</definedName>
    <definedName name="fRANCIS">#REF!</definedName>
    <definedName name="frcst">#REF!</definedName>
    <definedName name="frew" hidden="1">{"CashPrint",#N/A,FALSE,"Cash"}</definedName>
    <definedName name="frncis">#REF!</definedName>
    <definedName name="frncis___0">#REF!</definedName>
    <definedName name="frncis_1">NA()</definedName>
    <definedName name="frncis_7">NA()</definedName>
    <definedName name="FS">!$A$154</definedName>
    <definedName name="fsf">#REF!</definedName>
    <definedName name="fsg">#REF!</definedName>
    <definedName name="FSH_FSO">#REF!</definedName>
    <definedName name="fslab">#REF!</definedName>
    <definedName name="FSLAB1">#REF!</definedName>
    <definedName name="FSR_FSZ">#REF!</definedName>
    <definedName name="FSRVRFR">#REF!</definedName>
    <definedName name="FSRVRFR___0">#REF!</definedName>
    <definedName name="FSRVRFR___1">#REF!</definedName>
    <definedName name="FSRVRFR___17">#REF!</definedName>
    <definedName name="FSRVRFR___4">#REF!</definedName>
    <definedName name="FSRVRFR___5">#REF!</definedName>
    <definedName name="FT">!$A$191</definedName>
    <definedName name="FTE_breakout">'[21]Consumer Outbound'!$B$71:$S$87</definedName>
    <definedName name="ftfh">#REF!</definedName>
    <definedName name="ftfh_16">#REF!</definedName>
    <definedName name="ftfh_17">#REF!</definedName>
    <definedName name="ftfh_18">#REF!</definedName>
    <definedName name="ftfh_19">#REF!</definedName>
    <definedName name="ftfh_4">#REF!</definedName>
    <definedName name="ftfh_5">#REF!</definedName>
    <definedName name="ftfh_6">#REF!</definedName>
    <definedName name="ftfh_7">#REF!</definedName>
    <definedName name="ftfh_8">#REF!</definedName>
    <definedName name="ftfh_9">#REF!</definedName>
    <definedName name="FUELCOMP">'[12]#REF'!#REF!</definedName>
    <definedName name="Full_Print">#REF!</definedName>
    <definedName name="furn">#REF!</definedName>
    <definedName name="Fv">#REF!</definedName>
    <definedName name="fw">#REF!</definedName>
    <definedName name="fwl">#REF!</definedName>
    <definedName name="fwld">#REF!</definedName>
    <definedName name="fww">#REF!</definedName>
    <definedName name="FX">'[12]#REF'!#REF!</definedName>
    <definedName name="FX_US_INR">#REF!</definedName>
    <definedName name="fy85_88_b">[12]triggers!$AL$506:$AL$1505,[12]triggers!$AP$506:$AR$1505,[12]triggers!$AV$506:$AW$1505</definedName>
    <definedName name="fy85_88_s">[12]triggers!$AL$12:$AO$500,[12]triggers!$AS$12:$AU$500</definedName>
    <definedName name="fy89_91_b">[12]triggers!$AY$506:$AY$1505,[12]triggers!$BC$506:$BE$1505,[12]triggers!$BI$506:$BJ$1505</definedName>
    <definedName name="fy89_91_s">[12]triggers!$AY$12:$BB$500,[12]triggers!$BF$12:$BH$500</definedName>
    <definedName name="fy92_94_b">[12]triggers!$BL$506:$BL$1505,[12]triggers!$BP$506:$BR$1505,[12]triggers!$BV$506:$BW$1505</definedName>
    <definedName name="fy92_94_s">[12]triggers!$BL$12:$BO$500,[12]triggers!$BS$12:$BU$500</definedName>
    <definedName name="fy95_Current">[12]triggers!$BY$12:$CB$350,[12]triggers!$CF$12:$CJ$350</definedName>
    <definedName name="fy95_Current_b">[12]triggers!$BY$506:$BY$1505,[12]triggers!$CC$506:$CE$1505,[12]triggers!$CI$506:$CJ$1505</definedName>
    <definedName name="fy95_Current_s">[12]triggers!$BY$12:$CB$500,[12]triggers!$CF$12:$CH$500</definedName>
    <definedName name="FZ">!$A$228</definedName>
    <definedName name="g"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g_3">NA()</definedName>
    <definedName name="g_3_1">NA()</definedName>
    <definedName name="G_TopFourSummaries">'[21]FY Loss Frcst'!$A$2:$N$181</definedName>
    <definedName name="g1622.">#REF!</definedName>
    <definedName name="g1622._1">#REF!</definedName>
    <definedName name="g1622._2">#REF!</definedName>
    <definedName name="g2707.">#REF!</definedName>
    <definedName name="g2707.___0">#REF!</definedName>
    <definedName name="g2707.___1">#REF!</definedName>
    <definedName name="g2707.___17">#REF!</definedName>
    <definedName name="g2707.___4">#REF!</definedName>
    <definedName name="g2707.___5">#REF!</definedName>
    <definedName name="G31j1620">#REF!</definedName>
    <definedName name="G31j1620___0">#REF!</definedName>
    <definedName name="G31j1620___5">#REF!</definedName>
    <definedName name="g5410.">#REF!</definedName>
    <definedName name="g5410.___0">#REF!</definedName>
    <definedName name="g5410.___1">#REF!</definedName>
    <definedName name="g5410.___5">#REF!</definedName>
    <definedName name="GA" localSheetId="5" hidden="1">{"LTV Output",#N/A,FALSE,"Output";"DCR Output",#N/A,FALSE,"Output"}</definedName>
    <definedName name="GA" localSheetId="0" hidden="1">{"LTV Output",#N/A,FALSE,"Output";"DCR Output",#N/A,FALSE,"Output"}</definedName>
    <definedName name="GA" hidden="1">{"LTV Output",#N/A,FALSE,"Output";"DCR Output",#N/A,FALSE,"Output"}</definedName>
    <definedName name="gama">#REF!</definedName>
    <definedName name="gamah">#REF!</definedName>
    <definedName name="GBS">#REF!</definedName>
    <definedName name="GDF" hidden="1">{#N/A,#N/A,FALSE,"COMP"}</definedName>
    <definedName name="GDFA" hidden="1">{#N/A,#N/A,FALSE,"COMP"}</definedName>
    <definedName name="geamte" hidden="1">{#N/A,#N/A,FALSE,"Assessment";#N/A,#N/A,FALSE,"Staffing";#N/A,#N/A,FALSE,"Hires";#N/A,#N/A,FALSE,"Assumptions"}</definedName>
    <definedName name="GENBKOT">#REF!</definedName>
    <definedName name="Geschäftsbereich">#REF!</definedName>
    <definedName name="gf" localSheetId="5" hidden="1">{#N/A,#N/A,FALSE,"963YR";#N/A,#N/A,FALSE,"mkt mix";#N/A,#N/A,FALSE,"sect 5";#N/A,#N/A,FALSE,"sect 6";#N/A,#N/A,FALSE,"csh";#N/A,#N/A,FALSE,"capx";#N/A,#N/A,FALSE,"bal sheet"}</definedName>
    <definedName name="gf" localSheetId="0" hidden="1">{#N/A,#N/A,FALSE,"963YR";#N/A,#N/A,FALSE,"mkt mix";#N/A,#N/A,FALSE,"sect 5";#N/A,#N/A,FALSE,"sect 6";#N/A,#N/A,FALSE,"csh";#N/A,#N/A,FALSE,"capx";#N/A,#N/A,FALSE,"bal sheet"}</definedName>
    <definedName name="gf" hidden="1">{#N/A,#N/A,FALSE,"963YR";#N/A,#N/A,FALSE,"mkt mix";#N/A,#N/A,FALSE,"sect 5";#N/A,#N/A,FALSE,"sect 6";#N/A,#N/A,FALSE,"csh";#N/A,#N/A,FALSE,"capx";#N/A,#N/A,FALSE,"bal sheet"}</definedName>
    <definedName name="GFAArea">#REF!</definedName>
    <definedName name="GFAPerimeter">#REF!</definedName>
    <definedName name="gfg">#REF!</definedName>
    <definedName name="gfgf" hidden="1">[60]Occ!#REF!</definedName>
    <definedName name="gfjgfj">#REF!</definedName>
    <definedName name="gfmgf" hidden="1">{#N/A,#N/A,FALSE,"Assessment";#N/A,#N/A,FALSE,"Staffing";#N/A,#N/A,FALSE,"Hires";#N/A,#N/A,FALSE,"Assumptions"}</definedName>
    <definedName name="gfngfngffg" hidden="1">{#N/A,#N/A,FALSE,"Assessment";#N/A,#N/A,FALSE,"Staffing";#N/A,#N/A,FALSE,"Hires";#N/A,#N/A,FALSE,"Assumptions"}</definedName>
    <definedName name="GFS">#REF!</definedName>
    <definedName name="gg">#REF!</definedName>
    <definedName name="GG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ggtfgg">#REF!</definedName>
    <definedName name="gh" hidden="1">'[23]F-4'!#REF!</definedName>
    <definedName name="ghj" hidden="1">{#N/A,#N/A,FALSE,"gc (2)"}</definedName>
    <definedName name="GHJT">#REF!</definedName>
    <definedName name="ghk">#N/A</definedName>
    <definedName name="ght" hidden="1">#REF!</definedName>
    <definedName name="ghwkd">#REF!</definedName>
    <definedName name="GI">#REF!</definedName>
    <definedName name="GI_1">#REF!</definedName>
    <definedName name="gi_100">#REF!</definedName>
    <definedName name="gi_150">#REF!</definedName>
    <definedName name="gi_200">#REF!</definedName>
    <definedName name="gi_25">#REF!</definedName>
    <definedName name="gi_250">#REF!</definedName>
    <definedName name="gi_300">#REF!</definedName>
    <definedName name="gi_32">#REF!</definedName>
    <definedName name="gi_40">#REF!</definedName>
    <definedName name="gi_400">#REF!</definedName>
    <definedName name="gi_50">#REF!</definedName>
    <definedName name="gi_500">#REF!</definedName>
    <definedName name="gi_600">#REF!</definedName>
    <definedName name="gi_65">#REF!</definedName>
    <definedName name="gi_80">#REF!</definedName>
    <definedName name="gif">#REF!</definedName>
    <definedName name="gil">#REF!</definedName>
    <definedName name="gjghjhg">'[21]Consumer Fraud'!$A$79:$AF$150</definedName>
    <definedName name="gjygj" hidden="1">{#N/A,#N/A,FALSE,"COMP"}</definedName>
    <definedName name="gk0901int" hidden="1">{#N/A,#N/A,FALSE,"PMTABB";#N/A,#N/A,FALSE,"PMTABB"}</definedName>
    <definedName name="GL">#REF!</definedName>
    <definedName name="Glass">#REF!</definedName>
    <definedName name="glb_100">#REF!</definedName>
    <definedName name="glb_150">#REF!</definedName>
    <definedName name="glb_200">#REF!</definedName>
    <definedName name="glb_25">#REF!</definedName>
    <definedName name="glb_250">#REF!</definedName>
    <definedName name="glb_300">#REF!</definedName>
    <definedName name="glb_32">#REF!</definedName>
    <definedName name="glb_40">#REF!</definedName>
    <definedName name="glb_50">#REF!</definedName>
    <definedName name="glb_65">#REF!</definedName>
    <definedName name="glb_80">#REF!</definedName>
    <definedName name="GLs">#REF!</definedName>
    <definedName name="GMAmount">#REF!</definedName>
    <definedName name="GMAmount___0">#REF!</definedName>
    <definedName name="GMAmount___1">#REF!</definedName>
    <definedName name="GMAmount___17">#REF!</definedName>
    <definedName name="GMAmount___4">#REF!</definedName>
    <definedName name="GMAmount___5">#REF!</definedName>
    <definedName name="GMAmount_4">#REF!</definedName>
    <definedName name="GMAmount_4___0">#REF!</definedName>
    <definedName name="GMAmount_4___1">#REF!</definedName>
    <definedName name="GMAmount_4___17">#REF!</definedName>
    <definedName name="GMAmount_4___4">#REF!</definedName>
    <definedName name="GMAmount_4___5">#REF!</definedName>
    <definedName name="GMAmount_4_1">#REF!</definedName>
    <definedName name="GMAmount_4_1___0">#REF!</definedName>
    <definedName name="GMAmount_4_1___1">#REF!</definedName>
    <definedName name="GMAmount_4_1___5">#REF!</definedName>
    <definedName name="GMAmount_6">#REF!</definedName>
    <definedName name="GMAmount_6___0">#REF!</definedName>
    <definedName name="GMAmount_6___1">#REF!</definedName>
    <definedName name="GMAmount_6___17">#REF!</definedName>
    <definedName name="GMAmount_6___4">#REF!</definedName>
    <definedName name="GMAmount_6___5">#REF!</definedName>
    <definedName name="gmgfm" hidden="1">{#N/A,#N/A,FALSE,"Assessment";#N/A,#N/A,FALSE,"Staffing";#N/A,#N/A,FALSE,"Hires";#N/A,#N/A,FALSE,"Assumptions"}</definedName>
    <definedName name="GMPercent">#REF!</definedName>
    <definedName name="GMPercent___0">#REF!</definedName>
    <definedName name="GMPercent___1">#REF!</definedName>
    <definedName name="GMPercent___17">#REF!</definedName>
    <definedName name="GMPercent___4">#REF!</definedName>
    <definedName name="GMPercent___5">#REF!</definedName>
    <definedName name="GMPercent_4">#REF!</definedName>
    <definedName name="GMPercent_4___0">#REF!</definedName>
    <definedName name="GMPercent_4___1">#REF!</definedName>
    <definedName name="GMPercent_4___17">#REF!</definedName>
    <definedName name="GMPercent_4___4">#REF!</definedName>
    <definedName name="GMPercent_4___5">#REF!</definedName>
    <definedName name="GMPercent_4_1">#REF!</definedName>
    <definedName name="GMPercent_4_1___0">#REF!</definedName>
    <definedName name="GMPercent_4_1___1">#REF!</definedName>
    <definedName name="GMPercent_4_1___5">#REF!</definedName>
    <definedName name="GMPercent_6">#REF!</definedName>
    <definedName name="GMPercent_6___0">#REF!</definedName>
    <definedName name="GMPercent_6___1">#REF!</definedName>
    <definedName name="GMPercent_6___17">#REF!</definedName>
    <definedName name="GMPercent_6___4">#REF!</definedName>
    <definedName name="GMPercent_6___5">#REF!</definedName>
    <definedName name="gnfgngf" hidden="1">{#N/A,#N/A,FALSE,"Assessment";#N/A,#N/A,FALSE,"Staffing";#N/A,#N/A,FALSE,"Hires";#N/A,#N/A,FALSE,"Assumptions"}</definedName>
    <definedName name="gopi" hidden="1">{#N/A,#N/A,FALSE,"consu_cover";#N/A,#N/A,FALSE,"consu_strategy";#N/A,#N/A,FALSE,"consu_flow";#N/A,#N/A,FALSE,"Summary_reqmt";#N/A,#N/A,FALSE,"field_ppg";#N/A,#N/A,FALSE,"ppg_shop";#N/A,#N/A,FALSE,"strl";#N/A,#N/A,FALSE,"tankages";#N/A,#N/A,FALSE,"gases"}</definedName>
    <definedName name="Govt">'[64]collections plan 0401'!$C$309:$R$408</definedName>
    <definedName name="gr" hidden="1">{#N/A,#N/A,FALSE,"COVER.XLS";#N/A,#N/A,FALSE,"RACT1.XLS";#N/A,#N/A,FALSE,"RACT2.XLS";#N/A,#N/A,FALSE,"ECCMP";#N/A,#N/A,FALSE,"WELDER.XLS"}</definedName>
    <definedName name="GrandSuiteArea">#REF!</definedName>
    <definedName name="GrandSuitePerimeter">#REF!</definedName>
    <definedName name="GRANO">#REF!</definedName>
    <definedName name="Graphs">'[21]#REF'!$A$1:$AF$150</definedName>
    <definedName name="GraphWithVerbiage">[21]Sheet1!$B$2:$O$39</definedName>
    <definedName name="gretwetwe" hidden="1">'[5]P&amp;L'!#REF!</definedName>
    <definedName name="GROUP" hidden="1">"bisadmin"</definedName>
    <definedName name="Group1">#REF!</definedName>
    <definedName name="Group2">#REF!</definedName>
    <definedName name="Group3">#REF!</definedName>
    <definedName name="Group4">#REF!</definedName>
    <definedName name="gs">#REF!</definedName>
    <definedName name="gsfd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gt">#REF!</definedName>
    <definedName name="gtg" hidden="1">#REF!</definedName>
    <definedName name="gupta"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gv_100">#REF!</definedName>
    <definedName name="gv_150">#REF!</definedName>
    <definedName name="gv_200">#REF!</definedName>
    <definedName name="gv_25">#REF!</definedName>
    <definedName name="gv_250">#REF!</definedName>
    <definedName name="gv_300">#REF!</definedName>
    <definedName name="gv_32">#REF!</definedName>
    <definedName name="gv_40">#REF!</definedName>
    <definedName name="gv_400">#REF!</definedName>
    <definedName name="gv_50">#REF!</definedName>
    <definedName name="gv_500">#REF!</definedName>
    <definedName name="gv_65">#REF!</definedName>
    <definedName name="gv_80">#REF!</definedName>
    <definedName name="gwkd">#REF!</definedName>
    <definedName name="gyhj">'[21]#REF'!$A$2:$N$42</definedName>
    <definedName name="h"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H___0">#REF!</definedName>
    <definedName name="H___13">#REF!</definedName>
    <definedName name="H0">#REF!</definedName>
    <definedName name="H0___0">#REF!</definedName>
    <definedName name="H0___13">#REF!</definedName>
    <definedName name="HARI">#REF!</definedName>
    <definedName name="hdoihd\" hidden="1">[27]EXPENSES!#REF!</definedName>
    <definedName name="Head10">[12]iD!$Q$10</definedName>
    <definedName name="Head11">[12]iD!$R$10</definedName>
    <definedName name="Head12">[12]iD!$S$10</definedName>
    <definedName name="Head13">[12]iD!$T$10</definedName>
    <definedName name="Head14">[12]iD!$U$10</definedName>
    <definedName name="Head2">[12]iD!$I$10</definedName>
    <definedName name="Head3">[12]iD!$J$10</definedName>
    <definedName name="Head4">[12]iD!$K$10</definedName>
    <definedName name="Head5">[12]iD!$L$10</definedName>
    <definedName name="Head6">[12]iD!$M$10</definedName>
    <definedName name="Head8">[12]iD!$O$10</definedName>
    <definedName name="header">#REF!</definedName>
    <definedName name="Header_Row">ROW(#REF!)</definedName>
    <definedName name="header2">#REF!</definedName>
    <definedName name="heading">#REF!</definedName>
    <definedName name="Height">#REF!</definedName>
    <definedName name="Height_1">#REF!</definedName>
    <definedName name="Hemas" hidden="1">{"'August 2000'!$A$1:$J$101"}</definedName>
    <definedName name="hf">#REF!</definedName>
    <definedName name="hfdh">'[21]#REF'!$A$1:$P$113</definedName>
    <definedName name="HFG">#N/A</definedName>
    <definedName name="hgkh" hidden="1">{#N/A,#N/A,FALSE,"Aging Summary";#N/A,#N/A,FALSE,"Ratio Analysis";#N/A,#N/A,FALSE,"Test 120 Day Accts";#N/A,#N/A,FALSE,"Tickmarks"}</definedName>
    <definedName name="HH">#REF!</definedName>
    <definedName name="hh___0">#REF!</definedName>
    <definedName name="hh___13">#REF!</definedName>
    <definedName name="hhhh">#REF!</definedName>
    <definedName name="hi">#REF!</definedName>
    <definedName name="HiddenRows" hidden="1">#REF!</definedName>
    <definedName name="HIGHLT">'[26]#REF'!#REF!</definedName>
    <definedName name="HINDHUSTAN">#REF!</definedName>
    <definedName name="HIns">#REF!</definedName>
    <definedName name="hjfkryjktrkfgk">#REF!</definedName>
    <definedName name="hjkfh_control" hidden="1">{"'August 2000'!$A$1:$J$101"}</definedName>
    <definedName name="hlh" hidden="1">[65]EXPENSES!#REF!</definedName>
    <definedName name="ho">#REF!</definedName>
    <definedName name="ho___0">#REF!</definedName>
    <definedName name="ho___13">#REF!</definedName>
    <definedName name="hoi">#REF!</definedName>
    <definedName name="HollywoodTwinArea">#REF!</definedName>
    <definedName name="HollywoodTwinPerimeter">#REF!</definedName>
    <definedName name="HOME">#REF!</definedName>
    <definedName name="HomeCell">#REF!</definedName>
    <definedName name="HOMFE" hidden="1">{#N/A,#N/A,FALSE,"Assessment";#N/A,#N/A,FALSE,"Staffing";#N/A,#N/A,FALSE,"Hires";#N/A,#N/A,FALSE,"Assumptions"}</definedName>
    <definedName name="Horn_Speaker">#REF!</definedName>
    <definedName name="Hotel">#REF!</definedName>
    <definedName name="How_many_floors">#REF!</definedName>
    <definedName name="hS">#REF!</definedName>
    <definedName name="hS___0">#REF!</definedName>
    <definedName name="hS___13">#REF!</definedName>
    <definedName name="htehaet">'[21]#REF'!$A$1:$P$113</definedName>
    <definedName name="HTML" hidden="1">{"'照明目录'!$A$1:$H$31"}</definedName>
    <definedName name="HTML_CodePage" hidden="1">1252</definedName>
    <definedName name="HTML_Control" localSheetId="5" hidden="1">{"'April 24'!$J$11"}</definedName>
    <definedName name="HTML_Control" localSheetId="0" hidden="1">{"'April 24'!$J$11"}</definedName>
    <definedName name="HTML_Control" hidden="1">{"'April 24'!$J$11"}</definedName>
    <definedName name="HTML_Description" hidden="1">""</definedName>
    <definedName name="HTML_Email" hidden="1">""</definedName>
    <definedName name="HTML_Header" hidden="1">"April 24"</definedName>
    <definedName name="HTML_LastUpdate" hidden="1">"5/5/98"</definedName>
    <definedName name="HTML_LineAfter" hidden="1">FALSE</definedName>
    <definedName name="HTML_LineBefore" hidden="1">FALSE</definedName>
    <definedName name="HTML_Name" hidden="1">"kbs6026"</definedName>
    <definedName name="HTML_OBDlg2" hidden="1">TRUE</definedName>
    <definedName name="HTML_OBDlg3" hidden="1">TRUE</definedName>
    <definedName name="HTML_OBDlg4" hidden="1">TRUE</definedName>
    <definedName name="HTML_OS" hidden="1">0</definedName>
    <definedName name="HTML_PathFile" hidden="1">"G:\GROUP\FINANCE\TRSYREAL\TREASURY\MyHTML.htm"</definedName>
    <definedName name="HTML_PathFileMac" hidden="1">"Macintosh HD:HomePageStuff:New_Home_Page:datafile:ctryprem.html"</definedName>
    <definedName name="HTML_PathTemplate" hidden="1">"C:\infac\pricewth\Aug99\Page06e.htm"</definedName>
    <definedName name="HTML_Title" hidden="1">"Treasury Information 98"</definedName>
    <definedName name="HTML1_1" hidden="1">"[LOG.XLS]Log!$A$1:$L$33"</definedName>
    <definedName name="HTML1_10" hidden="1">""</definedName>
    <definedName name="HTML1_11" hidden="1">1</definedName>
    <definedName name="HTML1_12" hidden="1">"G:\MIKEH\risklog.htm"</definedName>
    <definedName name="HTML1_2" hidden="1">1</definedName>
    <definedName name="HTML1_3" hidden="1">""</definedName>
    <definedName name="HTML1_4" hidden="1">"Risk Management Transaction Log"</definedName>
    <definedName name="HTML1_5" hidden="1">""</definedName>
    <definedName name="HTML1_6" hidden="1">1</definedName>
    <definedName name="HTML1_7" hidden="1">1</definedName>
    <definedName name="HTML1_8" hidden="1">"3/6/97"</definedName>
    <definedName name="HTML1_9" hidden="1">"Delta Air Lines, Inc."</definedName>
    <definedName name="HTML10_1" hidden="1">"'[SETTLE.XLS]Settlement Summary'!$A$3:$Q$80"</definedName>
    <definedName name="HTML10_10" hidden="1">""</definedName>
    <definedName name="HTML10_11" hidden="1">1</definedName>
    <definedName name="HTML10_12" hidden="1">"G:\INTRANET\settle.htm"</definedName>
    <definedName name="HTML10_2" hidden="1">1</definedName>
    <definedName name="HTML10_3" hidden="1">""</definedName>
    <definedName name="HTML10_4" hidden="1">"Settlement Summary"</definedName>
    <definedName name="HTML10_5" hidden="1">""</definedName>
    <definedName name="HTML10_6" hidden="1">-4146</definedName>
    <definedName name="HTML10_7" hidden="1">-4146</definedName>
    <definedName name="HTML10_8" hidden="1">"6/24/97"</definedName>
    <definedName name="HTML10_9" hidden="1">"Delta Air Lines, Inc."</definedName>
    <definedName name="HTML11_1" hidden="1">"'[intrweek.xls]NRx Page'!$A$1:$H$225"</definedName>
    <definedName name="HTML11_10" hidden="1">""</definedName>
    <definedName name="HTML11_11" hidden="1">1</definedName>
    <definedName name="HTML11_12" hidden="1">"S:\MKTRESCH\SCHERING\INTRANET\mktresch\weekmkts\weeknrxs.htm"</definedName>
    <definedName name="HTML11_2" hidden="1">1</definedName>
    <definedName name="HTML11_3" hidden="1">"Weekly New Prescription Report"</definedName>
    <definedName name="HTML11_4" hidden="1">""</definedName>
    <definedName name="HTML11_5" hidden="1">""</definedName>
    <definedName name="HTML11_6" hidden="1">-4146</definedName>
    <definedName name="HTML11_7" hidden="1">-4146</definedName>
    <definedName name="HTML11_8" hidden="1">"6/5/98"</definedName>
    <definedName name="HTML11_9" hidden="1">"James Grote"</definedName>
    <definedName name="HTML12_1" hidden="1">"'[intrweek.xls]TRx Page'!$A$1:$H$240"</definedName>
    <definedName name="HTML12_10" hidden="1">""</definedName>
    <definedName name="HTML12_11" hidden="1">1</definedName>
    <definedName name="HTML12_12" hidden="1">"S:\MKTRESCH\SCHERING\INTRANET\mktresch\weekmkts\weektrxs.htm"</definedName>
    <definedName name="HTML12_2" hidden="1">1</definedName>
    <definedName name="HTML12_3" hidden="1">"Weekly Total Prescription Report"</definedName>
    <definedName name="HTML12_4" hidden="1">" "</definedName>
    <definedName name="HTML12_5" hidden="1">""</definedName>
    <definedName name="HTML12_6" hidden="1">-4146</definedName>
    <definedName name="HTML12_7" hidden="1">-4146</definedName>
    <definedName name="HTML12_8" hidden="1">"7/6/98"</definedName>
    <definedName name="HTML12_9" hidden="1">"James Grote"</definedName>
    <definedName name="HTML13_1" hidden="1">"'[intrweek.xls]NRx Page'!$A$1:$H$239"</definedName>
    <definedName name="HTML13_10" hidden="1">""</definedName>
    <definedName name="HTML13_11" hidden="1">1</definedName>
    <definedName name="HTML13_12" hidden="1">"S:\MKTRESCH\SCHERING\INTRANET\mktresch\weekmkts\weeknrxs.htm"</definedName>
    <definedName name="HTML13_2" hidden="1">1</definedName>
    <definedName name="HTML13_3" hidden="1">"Weekly New Prescription Report"</definedName>
    <definedName name="HTML13_4" hidden="1">""</definedName>
    <definedName name="HTML13_5" hidden="1">""</definedName>
    <definedName name="HTML13_6" hidden="1">-4146</definedName>
    <definedName name="HTML13_7" hidden="1">-4146</definedName>
    <definedName name="HTML13_8" hidden="1">"7/6/98"</definedName>
    <definedName name="HTML13_9" hidden="1">"James Grote"</definedName>
    <definedName name="HTML14_1" hidden="1">"'[intrweek.xls]AllergyVolume (TRx)'!$A$1:$I$58"</definedName>
    <definedName name="HTML14_10" hidden="1">""</definedName>
    <definedName name="HTML14_11" hidden="1">1</definedName>
    <definedName name="HTML14_12" hidden="1">"S:\MKTRESCH\SCHERING\INTRANET\mktresch\weekmkts\wkvolum2.htm"</definedName>
    <definedName name="HTML14_2" hidden="1">1</definedName>
    <definedName name="HTML14_3" hidden="1">"Weekly TRx Volume"</definedName>
    <definedName name="HTML14_4" hidden="1">""</definedName>
    <definedName name="HTML14_5" hidden="1">""</definedName>
    <definedName name="HTML14_6" hidden="1">-4146</definedName>
    <definedName name="HTML14_7" hidden="1">-4146</definedName>
    <definedName name="HTML14_8" hidden="1">"6/19/98"</definedName>
    <definedName name="HTML14_9" hidden="1">"James Grote"</definedName>
    <definedName name="HTML15_1" hidden="1">"'[intrweek.xls]AllergyVolume (TRx)'!$A$1:$I$57"</definedName>
    <definedName name="HTML15_10" hidden="1">""</definedName>
    <definedName name="HTML15_11" hidden="1">1</definedName>
    <definedName name="HTML15_12" hidden="1">"S:\MKTRESCH\SCHERING\INTRANET\mktresch\weekmkts\wkvolum2.htm"</definedName>
    <definedName name="HTML15_2" hidden="1">1</definedName>
    <definedName name="HTML15_3" hidden="1">"Weekly TRx Volume"</definedName>
    <definedName name="HTML15_4" hidden="1">""</definedName>
    <definedName name="HTML15_5" hidden="1">""</definedName>
    <definedName name="HTML15_6" hidden="1">-4146</definedName>
    <definedName name="HTML15_7" hidden="1">-4146</definedName>
    <definedName name="HTML15_8" hidden="1">"7/13/98"</definedName>
    <definedName name="HTML15_9" hidden="1">"James Grote"</definedName>
    <definedName name="HTML16_1" hidden="1">"[intrweek.xls]AllergyVolume!$A$1:$I$54"</definedName>
    <definedName name="HTML16_10" hidden="1">""</definedName>
    <definedName name="HTML16_11" hidden="1">1</definedName>
    <definedName name="HTML16_12" hidden="1">"S:\MKTRESCH\SCHERING\INTRANET\mktresch\weekmkts\wkvolume.htm"</definedName>
    <definedName name="HTML16_2" hidden="1">1</definedName>
    <definedName name="HTML16_3" hidden="1">"Weekly Antihistamine NRx Volume"</definedName>
    <definedName name="HTML16_4" hidden="1">""</definedName>
    <definedName name="HTML16_5" hidden="1">""</definedName>
    <definedName name="HTML16_6" hidden="1">-4146</definedName>
    <definedName name="HTML16_7" hidden="1">-4146</definedName>
    <definedName name="HTML16_8" hidden="1">"7/6/98"</definedName>
    <definedName name="HTML16_9" hidden="1">"James Grote"</definedName>
    <definedName name="HTML17_1" hidden="1">"'[intrweek.xls]NRx Page'!$A$1:$H$240"</definedName>
    <definedName name="HTML17_10" hidden="1">""</definedName>
    <definedName name="HTML17_11" hidden="1">1</definedName>
    <definedName name="HTML17_12" hidden="1">"S:\MKTRESCH\SCHERING\INTRANET\mktresch\weekmkts\weeknrxs.htm"</definedName>
    <definedName name="HTML17_2" hidden="1">1</definedName>
    <definedName name="HTML17_3" hidden="1">"Weekly NRx Page"</definedName>
    <definedName name="HTML17_4" hidden="1">""</definedName>
    <definedName name="HTML17_5" hidden="1">""</definedName>
    <definedName name="HTML17_6" hidden="1">-4146</definedName>
    <definedName name="HTML17_7" hidden="1">-4146</definedName>
    <definedName name="HTML17_8" hidden="1">"7/13/98"</definedName>
    <definedName name="HTML17_9" hidden="1">"James Grote"</definedName>
    <definedName name="HTML18_1" hidden="1">"'[intrweek.xls]TRx Page'!$A$1:$H$241"</definedName>
    <definedName name="HTML18_10" hidden="1">""</definedName>
    <definedName name="HTML18_11" hidden="1">1</definedName>
    <definedName name="HTML18_12" hidden="1">"S:\MKTRESCH\SCHERING\INTRANET\mktresch\weekmkts\weektrxs.htm"</definedName>
    <definedName name="HTML18_2" hidden="1">1</definedName>
    <definedName name="HTML18_3" hidden="1">"Weekly TRx Page"</definedName>
    <definedName name="HTML18_4" hidden="1">""</definedName>
    <definedName name="HTML18_5" hidden="1">""</definedName>
    <definedName name="HTML18_6" hidden="1">-4146</definedName>
    <definedName name="HTML18_7" hidden="1">-4146</definedName>
    <definedName name="HTML18_8" hidden="1">"7/13/98"</definedName>
    <definedName name="HTML18_9" hidden="1">"James Grote"</definedName>
    <definedName name="HTML19_1" hidden="1">"'[weekintr.xls]TRx Page'!$A$1:$I$243"</definedName>
    <definedName name="HTML19_10" hidden="1">""</definedName>
    <definedName name="HTML19_11" hidden="1">1</definedName>
    <definedName name="HTML19_12" hidden="1">"S:\MKTRESCH\SCHERING\INTRANET\mktresch\weekmkts\weektrxs.htm"</definedName>
    <definedName name="HTML19_2" hidden="1">1</definedName>
    <definedName name="HTML19_3" hidden="1">"Weekly Total Prescription Summary"</definedName>
    <definedName name="HTML19_4" hidden="1">""</definedName>
    <definedName name="HTML19_5" hidden="1">""</definedName>
    <definedName name="HTML19_6" hidden="1">-4146</definedName>
    <definedName name="HTML19_7" hidden="1">-4146</definedName>
    <definedName name="HTML19_8" hidden="1">"7/17/98"</definedName>
    <definedName name="HTML19_9" hidden="1">"James Grote"</definedName>
    <definedName name="HTML2_1" hidden="1">"[LOG.XLS]Log!$A$2:$L$38"</definedName>
    <definedName name="HTML2_10" hidden="1">""</definedName>
    <definedName name="HTML2_11" hidden="1">1</definedName>
    <definedName name="HTML2_12" hidden="1">"G:\MIKEH\Risklog.htm"</definedName>
    <definedName name="HTML2_2" hidden="1">1</definedName>
    <definedName name="HTML2_3" hidden="1">""</definedName>
    <definedName name="HTML2_4" hidden="1">"Risk Management Transaction Log"</definedName>
    <definedName name="HTML2_5" hidden="1">""</definedName>
    <definedName name="HTML2_6" hidden="1">1</definedName>
    <definedName name="HTML2_7" hidden="1">1</definedName>
    <definedName name="HTML2_8" hidden="1">"3/6/97"</definedName>
    <definedName name="HTML2_9" hidden="1">"Delta Air Lines, Inc."</definedName>
    <definedName name="HTML20_1" hidden="1">"'[intrweek.xls]NRx Page'!$A$1:$H$257"</definedName>
    <definedName name="HTML20_10" hidden="1">""</definedName>
    <definedName name="HTML20_11" hidden="1">1</definedName>
    <definedName name="HTML20_12" hidden="1">"S:\MKTRESCH\INTRANET\weekrx\weeknrxs.htm"</definedName>
    <definedName name="HTML20_2" hidden="1">1</definedName>
    <definedName name="HTML20_3" hidden="1">"Weekly New Prescription Page"</definedName>
    <definedName name="HTML20_4" hidden="1">""</definedName>
    <definedName name="HTML20_5" hidden="1">""</definedName>
    <definedName name="HTML20_6" hidden="1">-4146</definedName>
    <definedName name="HTML20_7" hidden="1">-4146</definedName>
    <definedName name="HTML20_8" hidden="1">"8/3/98"</definedName>
    <definedName name="HTML20_9" hidden="1">"James Grote"</definedName>
    <definedName name="HTML21_1" hidden="1">"'[intrweek.xls]TRx Page'!$A$1:$H$257"</definedName>
    <definedName name="HTML21_10" hidden="1">""</definedName>
    <definedName name="HTML21_11" hidden="1">1</definedName>
    <definedName name="HTML21_12" hidden="1">"S:\MKTRESCH\INTRANET\weekrx\weektrxs.htm"</definedName>
    <definedName name="HTML21_2" hidden="1">1</definedName>
    <definedName name="HTML21_3" hidden="1">"Weekly Total Prescription Page"</definedName>
    <definedName name="HTML21_4" hidden="1">""</definedName>
    <definedName name="HTML21_5" hidden="1">""</definedName>
    <definedName name="HTML21_6" hidden="1">-4146</definedName>
    <definedName name="HTML21_7" hidden="1">-4146</definedName>
    <definedName name="HTML21_8" hidden="1">"8/3/98"</definedName>
    <definedName name="HTML21_9" hidden="1">"James Grote"</definedName>
    <definedName name="HTML22_1" hidden="1">"[intrweek.xls]NRXAllergyVolume!$A$1:$I$54"</definedName>
    <definedName name="HTML22_10" hidden="1">""</definedName>
    <definedName name="HTML22_11" hidden="1">1</definedName>
    <definedName name="HTML22_12" hidden="1">"S:\MKTRESCH\INTRANET\weekrx\wkvolume.htm"</definedName>
    <definedName name="HTML22_2" hidden="1">1</definedName>
    <definedName name="HTML22_3" hidden="1">"Weekly Antihistamine NRx Volume"</definedName>
    <definedName name="HTML22_4" hidden="1">""</definedName>
    <definedName name="HTML22_5" hidden="1">""</definedName>
    <definedName name="HTML22_6" hidden="1">-4146</definedName>
    <definedName name="HTML22_7" hidden="1">-4146</definedName>
    <definedName name="HTML22_8" hidden="1">"8/3/98"</definedName>
    <definedName name="HTML22_9" hidden="1">"James Grote"</definedName>
    <definedName name="HTML23_1" hidden="1">"'[intrweek.xls]TRXAllergyVolume (2)'!$A$1:$I$54"</definedName>
    <definedName name="HTML23_10" hidden="1">""</definedName>
    <definedName name="HTML23_11" hidden="1">1</definedName>
    <definedName name="HTML23_12" hidden="1">"S:\MKTRESCH\INTRANET\weekrx\wkvolum2.htm"</definedName>
    <definedName name="HTML23_2" hidden="1">1</definedName>
    <definedName name="HTML23_3" hidden="1">"Weekly Antihistamine TRx Volume"</definedName>
    <definedName name="HTML23_4" hidden="1">""</definedName>
    <definedName name="HTML23_5" hidden="1">""</definedName>
    <definedName name="HTML23_6" hidden="1">-4146</definedName>
    <definedName name="HTML23_7" hidden="1">-4146</definedName>
    <definedName name="HTML23_8" hidden="1">"8/3/98"</definedName>
    <definedName name="HTML23_9" hidden="1">"James Grote"</definedName>
    <definedName name="HTML24_1" hidden="1">"'[intrweek.xls]NRx Page'!$A$1:$H$222"</definedName>
    <definedName name="HTML24_10" hidden="1">""</definedName>
    <definedName name="HTML24_11" hidden="1">1</definedName>
    <definedName name="HTML24_12" hidden="1">"S:\MKTRESCH\INTRANET\htmsum\weeknrxs.htm"</definedName>
    <definedName name="HTML24_2" hidden="1">1</definedName>
    <definedName name="HTML24_3" hidden="1">"Weekly NRx Report"</definedName>
    <definedName name="HTML24_4" hidden="1">""</definedName>
    <definedName name="HTML24_5" hidden="1">""</definedName>
    <definedName name="HTML24_6" hidden="1">-4146</definedName>
    <definedName name="HTML24_7" hidden="1">-4146</definedName>
    <definedName name="HTML24_8" hidden="1">"8/10/98"</definedName>
    <definedName name="HTML24_9" hidden="1">"James Grote"</definedName>
    <definedName name="HTML25_1" hidden="1">"'[intrweek.xls]TRx Page'!$A$1:$H$222"</definedName>
    <definedName name="HTML25_10" hidden="1">""</definedName>
    <definedName name="HTML25_11" hidden="1">1</definedName>
    <definedName name="HTML25_12" hidden="1">"S:\MKTRESCH\INTRANET\htmsum\weektrxs.htm"</definedName>
    <definedName name="HTML25_2" hidden="1">1</definedName>
    <definedName name="HTML25_3" hidden="1">"Weekly TRx Report"</definedName>
    <definedName name="HTML25_4" hidden="1">""</definedName>
    <definedName name="HTML25_5" hidden="1">""</definedName>
    <definedName name="HTML25_6" hidden="1">-4146</definedName>
    <definedName name="HTML25_7" hidden="1">-4146</definedName>
    <definedName name="HTML25_8" hidden="1">"8/10/98"</definedName>
    <definedName name="HTML25_9" hidden="1">"James Grote"</definedName>
    <definedName name="HTML26_1" hidden="1">"[intrweek.xls]NRXAllergyVolume!$A$1:$I$47"</definedName>
    <definedName name="HTML26_10" hidden="1">""</definedName>
    <definedName name="HTML26_11" hidden="1">1</definedName>
    <definedName name="HTML26_12" hidden="1">"S:\MKTRESCH\INTRANET\htmsum\wkvolnrx.htm"</definedName>
    <definedName name="HTML26_2" hidden="1">1</definedName>
    <definedName name="HTML26_3" hidden="1">"Weekly New Antihistamine Volume"</definedName>
    <definedName name="HTML26_4" hidden="1">""</definedName>
    <definedName name="HTML26_5" hidden="1">""</definedName>
    <definedName name="HTML26_6" hidden="1">-4146</definedName>
    <definedName name="HTML26_7" hidden="1">-4146</definedName>
    <definedName name="HTML26_8" hidden="1">"9/7/98"</definedName>
    <definedName name="HTML26_9" hidden="1">"James Grote"</definedName>
    <definedName name="HTML27_1" hidden="1">"[intrweek.xls]TRXAllergyVolume!$A$1:$I$47"</definedName>
    <definedName name="HTML27_10" hidden="1">""</definedName>
    <definedName name="HTML27_11" hidden="1">1</definedName>
    <definedName name="HTML27_12" hidden="1">"S:\MKTRESCH\INTRANET\htmsum\wkvoltrx.htm"</definedName>
    <definedName name="HTML27_2" hidden="1">1</definedName>
    <definedName name="HTML27_3" hidden="1">"Weekly Total Antihistamine Volume"</definedName>
    <definedName name="HTML27_4" hidden="1">""</definedName>
    <definedName name="HTML27_5" hidden="1">""</definedName>
    <definedName name="HTML27_6" hidden="1">-4146</definedName>
    <definedName name="HTML27_7" hidden="1">-4146</definedName>
    <definedName name="HTML27_8" hidden="1">"9/7/98"</definedName>
    <definedName name="HTML27_9" hidden="1">"James Grote"</definedName>
    <definedName name="HTML28_1" hidden="1">"'[intrweek.xls]TRx Page'!$A$1:$H$221"</definedName>
    <definedName name="HTML28_10" hidden="1">""</definedName>
    <definedName name="HTML28_11" hidden="1">1</definedName>
    <definedName name="HTML28_12" hidden="1">"S:\MKTRESCH\INTRANET\htmsum\weektrxs.htm"</definedName>
    <definedName name="HTML28_2" hidden="1">1</definedName>
    <definedName name="HTML28_3" hidden="1">"Weekly TRx Report"</definedName>
    <definedName name="HTML28_4" hidden="1">""</definedName>
    <definedName name="HTML28_5" hidden="1">""</definedName>
    <definedName name="HTML28_6" hidden="1">-4146</definedName>
    <definedName name="HTML28_7" hidden="1">-4146</definedName>
    <definedName name="HTML28_8" hidden="1">"8/10/98"</definedName>
    <definedName name="HTML28_9" hidden="1">"James Grote"</definedName>
    <definedName name="HTML29_1" hidden="1">"'[intrweek.xls]NRx Page'!$A$1:$H$220"</definedName>
    <definedName name="HTML29_10" hidden="1">""</definedName>
    <definedName name="HTML29_11" hidden="1">1</definedName>
    <definedName name="HTML29_12" hidden="1">"S:\MKTRESCH\INTRANET\htmsum\weeknrxs.htm"</definedName>
    <definedName name="HTML29_2" hidden="1">1</definedName>
    <definedName name="HTML29_3" hidden="1">"Weekly NRx Report"</definedName>
    <definedName name="HTML29_4" hidden="1">""</definedName>
    <definedName name="HTML29_5" hidden="1">""</definedName>
    <definedName name="HTML29_6" hidden="1">-4146</definedName>
    <definedName name="HTML29_7" hidden="1">-4146</definedName>
    <definedName name="HTML29_8" hidden="1">"8/10/98"</definedName>
    <definedName name="HTML29_9" hidden="1">"James Grote"</definedName>
    <definedName name="HTML3_1" hidden="1">"[LOG.XLS]Log!$A$2:$L$37"</definedName>
    <definedName name="HTML3_10" hidden="1">""</definedName>
    <definedName name="HTML3_11" hidden="1">1</definedName>
    <definedName name="HTML3_12" hidden="1">"G:\MIKEH\risklog.htm"</definedName>
    <definedName name="HTML3_2" hidden="1">1</definedName>
    <definedName name="HTML3_3" hidden="1">""</definedName>
    <definedName name="HTML3_4" hidden="1">"Risk Management Transaction Log"</definedName>
    <definedName name="HTML3_5" hidden="1">""</definedName>
    <definedName name="HTML3_6" hidden="1">1</definedName>
    <definedName name="HTML3_7" hidden="1">1</definedName>
    <definedName name="HTML3_8" hidden="1">"3/6/97"</definedName>
    <definedName name="HTML3_9" hidden="1">"Delta Air Lines, Inc."</definedName>
    <definedName name="HTML30_1" hidden="1">"'[intrweek.xls]TRx Page'!$A$1:$H$220"</definedName>
    <definedName name="HTML30_10" hidden="1">""</definedName>
    <definedName name="HTML30_11" hidden="1">1</definedName>
    <definedName name="HTML30_12" hidden="1">"S:\MKTRESCH\INTRANET\htmsum\weektrxs.htm"</definedName>
    <definedName name="HTML30_2" hidden="1">1</definedName>
    <definedName name="HTML30_3" hidden="1">"Weekly TRx Report"</definedName>
    <definedName name="HTML30_4" hidden="1">""</definedName>
    <definedName name="HTML30_5" hidden="1">""</definedName>
    <definedName name="HTML30_6" hidden="1">-4146</definedName>
    <definedName name="HTML30_7" hidden="1">-4146</definedName>
    <definedName name="HTML30_8" hidden="1">"8/10/98"</definedName>
    <definedName name="HTML30_9" hidden="1">"James Grote"</definedName>
    <definedName name="HTML31_1" hidden="1">"'[intrweek.xls]NRx Page'!$A$1:$H$209"</definedName>
    <definedName name="HTML31_10" hidden="1">""</definedName>
    <definedName name="HTML31_11" hidden="1">1</definedName>
    <definedName name="HTML31_12" hidden="1">"S:\MKTRESCH\INTRANET\htmsum\weeknrxs.htm"</definedName>
    <definedName name="HTML31_2" hidden="1">1</definedName>
    <definedName name="HTML31_3" hidden="1">"Weekly NRx Page"</definedName>
    <definedName name="HTML31_4" hidden="1">""</definedName>
    <definedName name="HTML31_5" hidden="1">""</definedName>
    <definedName name="HTML31_6" hidden="1">-4146</definedName>
    <definedName name="HTML31_7" hidden="1">-4146</definedName>
    <definedName name="HTML31_8" hidden="1">"9/7/98"</definedName>
    <definedName name="HTML31_9" hidden="1">"James Grote"</definedName>
    <definedName name="HTML32_1" hidden="1">"'[intrweek.xls]TRx Page'!$A$1:$H$209"</definedName>
    <definedName name="HTML32_10" hidden="1">""</definedName>
    <definedName name="HTML32_11" hidden="1">1</definedName>
    <definedName name="HTML32_12" hidden="1">"S:\MKTRESCH\INTRANET\htmsum\weektrxs.htm"</definedName>
    <definedName name="HTML32_2" hidden="1">1</definedName>
    <definedName name="HTML32_3" hidden="1">"Weekly TRx Page"</definedName>
    <definedName name="HTML32_4" hidden="1">""</definedName>
    <definedName name="HTML32_5" hidden="1">""</definedName>
    <definedName name="HTML32_6" hidden="1">-4146</definedName>
    <definedName name="HTML32_7" hidden="1">-4146</definedName>
    <definedName name="HTML32_8" hidden="1">"9/7/98"</definedName>
    <definedName name="HTML32_9" hidden="1">"James Grote"</definedName>
    <definedName name="HTML4_1" hidden="1">"[LOG.XLS]Log!$A$1:$L$37"</definedName>
    <definedName name="HTML4_10" hidden="1">""</definedName>
    <definedName name="HTML4_11" hidden="1">1</definedName>
    <definedName name="HTML4_12" hidden="1">"G:\MIKEH\Risklog.htm"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"3/11/97"</definedName>
    <definedName name="HTML4_9" hidden="1">"Delta Air Lines, Inc."</definedName>
    <definedName name="HTML5_1" hidden="1">"[LOG.XLS]Log!$A$1:$M$34"</definedName>
    <definedName name="HTML5_10" hidden="1">""</definedName>
    <definedName name="HTML5_11" hidden="1">1</definedName>
    <definedName name="HTML5_12" hidden="1">"G:\MIKEH\Risklog.htm"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"3/11/97"</definedName>
    <definedName name="HTML5_9" hidden="1">"Delta Air Lines, Inc."</definedName>
    <definedName name="HTML6_1" hidden="1">"[LOG.XLS]Log!$A$1:$L$34"</definedName>
    <definedName name="HTML6_10" hidden="1">""</definedName>
    <definedName name="HTML6_11" hidden="1">1</definedName>
    <definedName name="HTML6_12" hidden="1">"G:\MIKEH\risklog.htm"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"3/11/97"</definedName>
    <definedName name="HTML6_9" hidden="1">"Delta Air Lines, Inc."</definedName>
    <definedName name="HTML7_1" hidden="1">"[LOG.XLS]Log!$A$1:$M$37"</definedName>
    <definedName name="HTML7_10" hidden="1">""</definedName>
    <definedName name="HTML7_11" hidden="1">1</definedName>
    <definedName name="HTML7_12" hidden="1">"G:\MIKEH\risklog.htm"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"3/11/97"</definedName>
    <definedName name="HTML7_9" hidden="1">"Delta Air Lines, Inc."</definedName>
    <definedName name="HTML8_1" hidden="1">"[LOG.XLS]Log!$A$1:$M$35"</definedName>
    <definedName name="HTML8_10" hidden="1">""</definedName>
    <definedName name="HTML8_11" hidden="1">1</definedName>
    <definedName name="HTML8_12" hidden="1">"G:\MIKEH\risklog.htm"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"3/11/97"</definedName>
    <definedName name="HTML8_9" hidden="1">"Delta Air Lines, Inc."</definedName>
    <definedName name="HTML9_1" hidden="1">"[LOG.XLS]sr120798!$A$1:$K$21"</definedName>
    <definedName name="HTML9_10" hidden="1">""</definedName>
    <definedName name="HTML9_11" hidden="1">1</definedName>
    <definedName name="HTML9_12" hidden="1">"G:\INTRANET\Risklog.htm"</definedName>
    <definedName name="HTML9_2" hidden="1">1</definedName>
    <definedName name="HTML9_3" hidden="1">"LOG"</definedName>
    <definedName name="HTML9_4" hidden="1">"sr120798"</definedName>
    <definedName name="HTML9_5" hidden="1">""</definedName>
    <definedName name="HTML9_6" hidden="1">1</definedName>
    <definedName name="HTML9_7" hidden="1">1</definedName>
    <definedName name="HTML9_8" hidden="1">"12/9/98"</definedName>
    <definedName name="HTML9_9" hidden="1">"Delta Air Lines, Inc."</definedName>
    <definedName name="HTMLCount" hidden="1">9</definedName>
    <definedName name="htte">'[21]#REF'!$A$1:$AF$113</definedName>
    <definedName name="Hu">#REF!</definedName>
    <definedName name="Hu___0">#REF!</definedName>
    <definedName name="Hu___13">#REF!</definedName>
    <definedName name="huy" hidden="1">{"'Sheet1'!$L$16"}</definedName>
    <definedName name="HV">#REF!</definedName>
    <definedName name="HV_7">#REF!</definedName>
    <definedName name="HVAClOAD1">CHOOSE(MATCH(#REF!,#REF!,0),Database1,Database2,Database3,Database4,Database5)</definedName>
    <definedName name="hvacrates">#REF!</definedName>
    <definedName name="hxb">#REF!</definedName>
    <definedName name="hxi">#REF!</definedName>
    <definedName name="hy" localSheetId="5" hidden="1">{"Output%",#N/A,FALSE,"Output"}</definedName>
    <definedName name="hy" localSheetId="0" hidden="1">{"Output%",#N/A,FALSE,"Output"}</definedName>
    <definedName name="hy" hidden="1">{"Output%",#N/A,FALSE,"Output"}</definedName>
    <definedName name="i"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I.WALLLength">#REF!</definedName>
    <definedName name="I___0">#REF!</definedName>
    <definedName name="I___13">#REF!</definedName>
    <definedName name="I_3">NA()</definedName>
    <definedName name="I_3_1">NA()</definedName>
    <definedName name="IDCcopy">'[54]Capex &amp; Debt'!#REF!</definedName>
    <definedName name="IDCCPY">'[54]Capex &amp; Debt'!$H$174:$AK$174</definedName>
    <definedName name="IDCGK">#N/A</definedName>
    <definedName name="IDCpast">'[54]Capex &amp; Debt'!#REF!</definedName>
    <definedName name="IDCpasted">'[54]Capex &amp; Debt'!#REF!</definedName>
    <definedName name="IDCPST">'[54]Capex &amp; Debt'!$H$175:$AK$175</definedName>
    <definedName name="idiot" hidden="1">{"dep. full detail",#N/A,FALSE,"annex";"3cd annex",#N/A,FALSE,"annex";"co. dep.",#N/A,FALSE,"annex"}</definedName>
    <definedName name="If">#REF!</definedName>
    <definedName name="Ig">#REF!</definedName>
    <definedName name="Ig___0">#REF!</definedName>
    <definedName name="Ig___13">#REF!</definedName>
    <definedName name="II_control" hidden="1">{"'August 2000'!$A$1:$J$101"}</definedName>
    <definedName name="III_control" hidden="1">{"'August 2000'!$A$1:$J$101"}</definedName>
    <definedName name="iio">#REF!</definedName>
    <definedName name="Im_control" hidden="1">{"'August 2000'!$A$1:$J$101"}</definedName>
    <definedName name="IMPACT">#REF!</definedName>
    <definedName name="Import" localSheetId="13">[66]!Import</definedName>
    <definedName name="Import" localSheetId="4">[66]!Import</definedName>
    <definedName name="Import">[66]!Import</definedName>
    <definedName name="ImportFile">#N/A</definedName>
    <definedName name="In" hidden="1">{#N/A,#N/A,FALSE,"gc (2)"}</definedName>
    <definedName name="in_100">#REF!</definedName>
    <definedName name="in_150">#REF!</definedName>
    <definedName name="in_200">#REF!</definedName>
    <definedName name="in_25">#REF!</definedName>
    <definedName name="in_250">#REF!</definedName>
    <definedName name="in_300">#REF!</definedName>
    <definedName name="in_32">#REF!</definedName>
    <definedName name="in_40">#REF!</definedName>
    <definedName name="in_400">#REF!</definedName>
    <definedName name="in_50">#REF!</definedName>
    <definedName name="in_500">#REF!</definedName>
    <definedName name="in_600">#REF!</definedName>
    <definedName name="in_65">#REF!</definedName>
    <definedName name="in_80">#REF!</definedName>
    <definedName name="INALLOC">#REF!</definedName>
    <definedName name="income">#REF!</definedName>
    <definedName name="Incurr" hidden="1">{#N/A,#N/A,FALSE,"gc (2)"}</definedName>
    <definedName name="ind">#REF!</definedName>
    <definedName name="index">#N/A</definedName>
    <definedName name="indf">#REF!</definedName>
    <definedName name="indf___0">#REF!</definedName>
    <definedName name="indf___1">#REF!</definedName>
    <definedName name="indf___17">#REF!</definedName>
    <definedName name="indf___4">#REF!</definedName>
    <definedName name="indf___5">#REF!</definedName>
    <definedName name="indf_1">#REF!</definedName>
    <definedName name="indf_16">#REF!</definedName>
    <definedName name="indf_17">#REF!</definedName>
    <definedName name="indf_18">#REF!</definedName>
    <definedName name="indf_19">#REF!</definedName>
    <definedName name="indf_2">NA()</definedName>
    <definedName name="indf_2_1">#REF!</definedName>
    <definedName name="indf_4">#REF!</definedName>
    <definedName name="indf_4___0">#REF!</definedName>
    <definedName name="indf_4___1">#REF!</definedName>
    <definedName name="indf_4___17">#REF!</definedName>
    <definedName name="indf_4___4">#REF!</definedName>
    <definedName name="indf_4___5">#REF!</definedName>
    <definedName name="indf_4_1">#REF!</definedName>
    <definedName name="indf_4_1___0">#REF!</definedName>
    <definedName name="indf_4_1___1">#REF!</definedName>
    <definedName name="indf_4_1___5">#REF!</definedName>
    <definedName name="indf_5">#REF!</definedName>
    <definedName name="indf_6">#REF!</definedName>
    <definedName name="indf_6___0">#REF!</definedName>
    <definedName name="indf_6___1">#REF!</definedName>
    <definedName name="indf_6___17">#REF!</definedName>
    <definedName name="indf_6___4">#REF!</definedName>
    <definedName name="indf_6___5">#REF!</definedName>
    <definedName name="indf_7">#REF!</definedName>
    <definedName name="indf_8">#REF!</definedName>
    <definedName name="indf_9">#REF!</definedName>
    <definedName name="InitialUse">0</definedName>
    <definedName name="Inlet_Chamber">#REF!</definedName>
    <definedName name="INR_Conv">#REF!</definedName>
    <definedName name="Insert">#REF!</definedName>
    <definedName name="insert_rows_1">'[67]Basement Budget'!#REF!</definedName>
    <definedName name="inspbg">#REF!</definedName>
    <definedName name="inspbgcharges">#REF!</definedName>
    <definedName name="InstBillingMethod">#REF!</definedName>
    <definedName name="InstBillingMethod___0">#REF!</definedName>
    <definedName name="InstBillingMethod___1">#REF!</definedName>
    <definedName name="InstBillingMethod___17">#REF!</definedName>
    <definedName name="InstBillingMethod___4">#REF!</definedName>
    <definedName name="InstBillingMethod___5">#REF!</definedName>
    <definedName name="InstBillingMethod_4">#REF!</definedName>
    <definedName name="InstBillingMethod_4___0">#REF!</definedName>
    <definedName name="InstBillingMethod_4___1">#REF!</definedName>
    <definedName name="InstBillingMethod_4___17">#REF!</definedName>
    <definedName name="InstBillingMethod_4___4">#REF!</definedName>
    <definedName name="InstBillingMethod_4___5">#REF!</definedName>
    <definedName name="InstBillingMethod_4_1">#REF!</definedName>
    <definedName name="InstBillingMethod_4_1___0">#REF!</definedName>
    <definedName name="InstBillingMethod_4_1___1">#REF!</definedName>
    <definedName name="InstBillingMethod_4_1___5">#REF!</definedName>
    <definedName name="InstBillingMethod_6">#REF!</definedName>
    <definedName name="InstBillingMethod_6___0">#REF!</definedName>
    <definedName name="InstBillingMethod_6___1">#REF!</definedName>
    <definedName name="InstBillingMethod_6___17">#REF!</definedName>
    <definedName name="InstBillingMethod_6___4">#REF!</definedName>
    <definedName name="InstBillingMethod_6___5">#REF!</definedName>
    <definedName name="InstCap" hidden="1">[68]Debt!$K$149:$Y$149,[68]Debt!$K$167:$Y$167,[68]Debt!$K$185:$Y$185,[68]Debt!$K$203:$Y$203,[68]Debt!$K$221:$Y$221,[68]Debt!$K$239:$Y$239,[68]Debt!$K$257:$Y$257,[68]Debt!$K$275:$Y$275</definedName>
    <definedName name="Instf">[45]factors!$J$12</definedName>
    <definedName name="instf___0">#REF!</definedName>
    <definedName name="instf___1">#REF!</definedName>
    <definedName name="instf___17">#REF!</definedName>
    <definedName name="instf___4">#REF!</definedName>
    <definedName name="instf___5">#REF!</definedName>
    <definedName name="instf_1">#REF!</definedName>
    <definedName name="instf_2">NA()</definedName>
    <definedName name="instf_2_1">#REF!</definedName>
    <definedName name="instf_4">#REF!</definedName>
    <definedName name="instf_4___0">#REF!</definedName>
    <definedName name="instf_4___1">#REF!</definedName>
    <definedName name="instf_4___17">#REF!</definedName>
    <definedName name="instf_4___4">#REF!</definedName>
    <definedName name="instf_4___5">#REF!</definedName>
    <definedName name="instf_4_1">#REF!</definedName>
    <definedName name="instf_4_1___0">#REF!</definedName>
    <definedName name="instf_4_1___1">#REF!</definedName>
    <definedName name="instf_4_1___5">#REF!</definedName>
    <definedName name="instf_6">#REF!</definedName>
    <definedName name="instf_6___0">#REF!</definedName>
    <definedName name="instf_6___1">#REF!</definedName>
    <definedName name="instf_6___17">#REF!</definedName>
    <definedName name="instf_6___4">#REF!</definedName>
    <definedName name="instf_6___5">#REF!</definedName>
    <definedName name="Int">#REF!</definedName>
    <definedName name="Interest" hidden="1">#REF!</definedName>
    <definedName name="Interest_Rate">#REF!</definedName>
    <definedName name="Interior">#REF!</definedName>
    <definedName name="INTERNAL__WALLS__AND__PARTITIONS">#REF!</definedName>
    <definedName name="Internal_Doors">#REF!</definedName>
    <definedName name="Internal_Plaster">#REF!</definedName>
    <definedName name="Internal_Plaster___0">#REF!</definedName>
    <definedName name="Internal_Plaster___1">#REF!</definedName>
    <definedName name="Internal_Plaster___5">#REF!</definedName>
    <definedName name="Internal_Walls">#REF!</definedName>
    <definedName name="IntroPrintArea" hidden="1">#REF!</definedName>
    <definedName name="INV_SCH">#REF!</definedName>
    <definedName name="INV_SCH___0">#REF!</definedName>
    <definedName name="INV_SCH___1">#REF!</definedName>
    <definedName name="INV_SCH___5">#REF!</definedName>
    <definedName name="Inventory1" hidden="1">{"Summary analysis",#N/A,FALSE,"Total";"OCPH analysis",#N/A,FALSE,"Total";"detail analysis",#N/A,FALSE,"Total"}</definedName>
    <definedName name="inventory2" hidden="1">{"Summary analysis",#N/A,FALSE,"Total";"OCPH analysis",#N/A,FALSE,"Total";"detail analysis",#N/A,FALSE,"Total"}</definedName>
    <definedName name="investment">#REF!</definedName>
    <definedName name="io">'[21]Consumer Outbound'!$B$71:$S$87</definedName>
    <definedName name="iocl">#REF!</definedName>
    <definedName name="ioio">#REF!</definedName>
    <definedName name="ioioioo">#REF!</definedName>
    <definedName name="IOLIST">#REF!</definedName>
    <definedName name="ipu">#REF!</definedName>
    <definedName name="ipu___0">#REF!</definedName>
    <definedName name="ipu___13">#REF!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"c39"</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ERED_DEPOSITS_FDIC" hidden="1">"c6486"</definedName>
    <definedName name="IQ_BUILDINGS" hidden="1">"c99"</definedName>
    <definedName name="IQ_BUSINESS_DESCRIPTION" hidden="1">"c322"</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"c100"</definedName>
    <definedName name="IQ_BV_SHARE" hidden="1">"c100"</definedName>
    <definedName name="IQ_BV_STDDEV_EST_REUT" hidden="1">"c5408"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"c118"</definedName>
    <definedName name="IQ_CASH_ACQUIRE_CF" hidden="1">"c1630"</definedName>
    <definedName name="IQ_CASH_CONVERSION" hidden="1">"c117"</definedName>
    <definedName name="IQ_CASH_DIVIDENDS_NET_INCOME_FDIC" hidden="1">"c6738"</definedName>
    <definedName name="IQ_CASH_DUE_BANKS" hidden="1">"c118"</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"c373"</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"c552"</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BV_REUT" hidden="1">"c5409"</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FFO_REUT" hidden="1">"c3843"</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BV_DIFF_REUT" hidden="1">"c5433"</definedName>
    <definedName name="IQ_EST_BV_SURPRISE_PERCENT_REUT" hidden="1">"c5434"</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DIFF_REUT" hidden="1">"c3890"</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FFO_SURPRISE_PERCENT_REUT" hidden="1">"c3891"</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BUY_REUT" hidden="1">"c3869"</definedName>
    <definedName name="IQ_EST_NUM_HOLD" hidden="1">"c1761"</definedName>
    <definedName name="IQ_EST_NUM_HOLD_REUT" hidden="1">"c3871"</definedName>
    <definedName name="IQ_EST_NUM_NO_OPINION" hidden="1">"c1758"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EST" hidden="1">"c418"</definedName>
    <definedName name="IQ_FFO_EST_REUT" hidden="1">"c3837"</definedName>
    <definedName name="IQ_FFO_HIGH_EST" hidden="1">"c419"</definedName>
    <definedName name="IQ_FFO_HIGH_EST_REUT" hidden="1">"c3839"</definedName>
    <definedName name="IQ_FFO_LOW_EST" hidden="1">"c420"</definedName>
    <definedName name="IQ_FFO_LOW_EST_REUT" hidden="1">"c3840"</definedName>
    <definedName name="IQ_FFO_MEDIAN_EST" hidden="1">"c1665"</definedName>
    <definedName name="IQ_FFO_MEDIAN_EST_REUT" hidden="1">"c3838"</definedName>
    <definedName name="IQ_FFO_NUM_EST" hidden="1">"c421"</definedName>
    <definedName name="IQ_FFO_NUM_EST_REUT" hidden="1">"c3841"</definedName>
    <definedName name="IQ_FFO_STDDEV_EST" hidden="1">"c422"</definedName>
    <definedName name="IQ_FFO_STDDEV_EST_REUT" hidden="1">"c3842"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ANCING_CASH" hidden="1">"c893"</definedName>
    <definedName name="IQ_FINANCING_CASH_SUPPL" hidden="1">"c899"</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41240.5622222222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"c1026"</definedName>
    <definedName name="IQ_PRICE_OVER_LTM_EPS" hidden="1">"c1029"</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39764.4484953704</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"c1294"</definedName>
    <definedName name="IQ_TOTAL_RISK_BASED_CAPITAL_RATIO_FDIC" hidden="1">"c6747"</definedName>
    <definedName name="IQ_TOTAL_SECURITIES_FDIC" hidden="1">"c6306"</definedName>
    <definedName name="IQ_TOTAL_SPECIAL" hidden="1">"c1618"</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ect">#REF!</definedName>
    <definedName name="IRMA" hidden="1">{"process graphs",#N/A,FALSE,"graphs&amp;data"}</definedName>
    <definedName name="Iron_Paint">#REF!</definedName>
    <definedName name="IRRR" hidden="1">{#N/A,#N/A,FALSE,"Cash Flows";#N/A,#N/A,FALSE,"Fixed Assets";#N/A,#N/A,FALSE,"Balance Sheet";#N/A,#N/A,FALSE,"P &amp; L"}</definedName>
    <definedName name="Is">#REF!</definedName>
    <definedName name="ISEC77">#REF!</definedName>
    <definedName name="issuestatus">[69]Controls!$H$21:$H$23</definedName>
    <definedName name="IT">#REF!</definedName>
    <definedName name="IT_6">NA()</definedName>
    <definedName name="ITC">'[12]#REF'!#REF!</definedName>
    <definedName name="Item_Description">#REF!</definedName>
    <definedName name="Item_Range">#REF!</definedName>
    <definedName name="ItemNum">#REF!</definedName>
    <definedName name="j" hidden="1">{"process graphs",#N/A,FALSE,"graphs&amp;data"}</definedName>
    <definedName name="j_3">NA()</definedName>
    <definedName name="j_3_1">NA()</definedName>
    <definedName name="Jai" hidden="1">{"'August 2000'!$A$1:$J$101"}</definedName>
    <definedName name="Jay" hidden="1">{#N/A,#N/A,FALSE,"gc (2)"}</definedName>
    <definedName name="jay_1" hidden="1">{#N/A,#N/A,TRUE,"145A"}</definedName>
    <definedName name="jay_1_1" hidden="1">{#N/A,#N/A,TRUE,"145A"}</definedName>
    <definedName name="jay_1_1_1" hidden="1">{#N/A,#N/A,TRUE,"145A"}</definedName>
    <definedName name="jay_2" hidden="1">{#N/A,#N/A,TRUE,"145A"}</definedName>
    <definedName name="jay_2_1" hidden="1">{#N/A,#N/A,TRUE,"145A"}</definedName>
    <definedName name="jay_3" hidden="1">{#N/A,#N/A,TRUE,"145A"}</definedName>
    <definedName name="jay_3_1" hidden="1">{#N/A,#N/A,TRUE,"145A"}</definedName>
    <definedName name="jay_4" hidden="1">{#N/A,#N/A,TRUE,"145A"}</definedName>
    <definedName name="jay_4_1" hidden="1">{#N/A,#N/A,TRUE,"145A"}</definedName>
    <definedName name="jay_5" hidden="1">{#N/A,#N/A,TRUE,"145A"}</definedName>
    <definedName name="jay_5_1" hidden="1">{#N/A,#N/A,TRUE,"145A"}</definedName>
    <definedName name="JB">#REF!</definedName>
    <definedName name="JEJS">#REF!</definedName>
    <definedName name="JEJS___0">#REF!</definedName>
    <definedName name="JEJS___11">#REF!</definedName>
    <definedName name="JEJS___12">#REF!</definedName>
    <definedName name="JEJS___13">#REF!</definedName>
    <definedName name="JEJS___4">#REF!</definedName>
    <definedName name="jfjfj_control" hidden="1">{"'August 2000'!$A$1:$J$101"}</definedName>
    <definedName name="jgjgj" hidden="1">{#N/A,#N/A,FALSE,"COVER.XLS";#N/A,#N/A,FALSE,"RACT1.XLS";#N/A,#N/A,FALSE,"RACT2.XLS";#N/A,#N/A,FALSE,"ECCMP";#N/A,#N/A,FALSE,"WELDER.XLS"}</definedName>
    <definedName name="jhdjhd" hidden="1">{"Bsheet",#N/A,FALSE,"Details";"P&amp;l",#N/A,FALSE,"Details";"Schedule",#N/A,FALSE,"Details";"Details",#N/A,FALSE,"Details";"Annexue II",#N/A,FALSE,"Details";"Branch Bs",#N/A,FALSE,"Details";"Branch PL",#N/A,FALSE,"Details"}</definedName>
    <definedName name="jhdsghghfh">#REF!</definedName>
    <definedName name="jhkjh" hidden="1">{#N/A,#N/A,FALSE,"COMP"}</definedName>
    <definedName name="jhnhgg" hidden="1">{#N/A,#N/A,FALSE,"Aging Summary";#N/A,#N/A,FALSE,"Ratio Analysis";#N/A,#N/A,FALSE,"Test 120 Day Accts";#N/A,#N/A,FALSE,"Tickmarks"}</definedName>
    <definedName name="jhsdfjbjhuhfjhfuiasf">#REF!</definedName>
    <definedName name="jhvjh" hidden="1">{#N/A,#N/A,FALSE,"COMP"}</definedName>
    <definedName name="JJ_control" hidden="1">{"'August 2000'!$A$1:$J$101"}</definedName>
    <definedName name="JJJ">#REF!</definedName>
    <definedName name="JJKJKJL" hidden="1">{"'Mach'!$A$1:$D$39"}</definedName>
    <definedName name="jjkk">'[21]Consumer Fraud'!$A$1:$AF$73</definedName>
    <definedName name="jk">#REF!</definedName>
    <definedName name="jkjkjkj">#REF!</definedName>
    <definedName name="jkjkjkj_7">#REF!</definedName>
    <definedName name="jmgkdjgkdfjgkf" hidden="1">{#N/A,#N/A,FALSE,"Cash Flows";#N/A,#N/A,FALSE,"Fixed Assets";#N/A,#N/A,FALSE,"Balance Sheet";#N/A,#N/A,FALSE,"P &amp; L"}</definedName>
    <definedName name="jnnnmklnkl">#REF!</definedName>
    <definedName name="job">#REF!</definedName>
    <definedName name="job___0">#REF!</definedName>
    <definedName name="job___11">#REF!</definedName>
    <definedName name="job___12">#REF!</definedName>
    <definedName name="JobID">#REF!</definedName>
    <definedName name="joisvs" hidden="1">{#N/A,#N/A,FALSE,"COMP"}</definedName>
    <definedName name="Jose" localSheetId="5" hidden="1">{"vi1",#N/A,FALSE,"Financial Statements";"vi2",#N/A,FALSE,"Financial Statements";#N/A,#N/A,FALSE,"DCF"}</definedName>
    <definedName name="Jose" localSheetId="0" hidden="1">{"vi1",#N/A,FALSE,"Financial Statements";"vi2",#N/A,FALSE,"Financial Statements";#N/A,#N/A,FALSE,"DCF"}</definedName>
    <definedName name="Jose" hidden="1">{"vi1",#N/A,FALSE,"Financial Statements";"vi2",#N/A,FALSE,"Financial Statements";#N/A,#N/A,FALSE,"DCF"}</definedName>
    <definedName name="jrtjtjtr" hidden="1">{#N/A,#N/A,FALSE,"Assessment";#N/A,#N/A,FALSE,"Staffing";#N/A,#N/A,FALSE,"Hires";#N/A,#N/A,FALSE,"Assumptions"}</definedName>
    <definedName name="jtrjrt" hidden="1">{#N/A,#N/A,FALSE,"Assessment";#N/A,#N/A,FALSE,"Staffing";#N/A,#N/A,FALSE,"Hires";#N/A,#N/A,FALSE,"Assumptions"}</definedName>
    <definedName name="jttrkj" hidden="1">{#N/A,#N/A,FALSE,"Assessment";#N/A,#N/A,FALSE,"Staffing";#N/A,#N/A,FALSE,"Hires";#N/A,#N/A,FALSE,"Assumptions"}</definedName>
    <definedName name="ju" localSheetId="5" hidden="1">{"Output-Min",#N/A,FALSE,"Output"}</definedName>
    <definedName name="ju" localSheetId="0" hidden="1">{"Output-Min",#N/A,FALSE,"Output"}</definedName>
    <definedName name="ju" hidden="1">{"Output-Min",#N/A,FALSE,"Output"}</definedName>
    <definedName name="jun">#N/A</definedName>
    <definedName name="june">#REF!</definedName>
    <definedName name="k"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K___0">#REF!</definedName>
    <definedName name="K___13">#REF!</definedName>
    <definedName name="k1_table">#REF!</definedName>
    <definedName name="K2_WBEVMODE" hidden="1">-1</definedName>
    <definedName name="ka">#REF!</definedName>
    <definedName name="kal">#REF!</definedName>
    <definedName name="KARNA">#REF!</definedName>
    <definedName name="kb">#REF!</definedName>
    <definedName name="kc">#REF!</definedName>
    <definedName name="kcf">#REF!</definedName>
    <definedName name="key" hidden="1">#REF!</definedName>
    <definedName name="kfk" hidden="1">{#N/A,#N/A,FALSE,"Assessment";#N/A,#N/A,FALSE,"Staffing";#N/A,#N/A,FALSE,"Hires";#N/A,#N/A,FALSE,"Assumptions"}</definedName>
    <definedName name="kfkfkf" hidden="1">{#N/A,#N/A,FALSE,"Assessment";#N/A,#N/A,FALSE,"Staffing";#N/A,#N/A,FALSE,"Hires";#N/A,#N/A,FALSE,"Assumptions"}</definedName>
    <definedName name="kh">#REF!</definedName>
    <definedName name="Kh___0">#REF!</definedName>
    <definedName name="Kh___13">#REF!</definedName>
    <definedName name="khd">#REF!</definedName>
    <definedName name="khd_16">#REF!</definedName>
    <definedName name="khd_17">#REF!</definedName>
    <definedName name="khd_18">#REF!</definedName>
    <definedName name="khd_19">#REF!</definedName>
    <definedName name="khd_4">#REF!</definedName>
    <definedName name="khd_5">#REF!</definedName>
    <definedName name="khd_6">#REF!</definedName>
    <definedName name="khd_7">#REF!</definedName>
    <definedName name="khd_8">#REF!</definedName>
    <definedName name="khd_9">#REF!</definedName>
    <definedName name="khf">#REF!</definedName>
    <definedName name="khf_16">#REF!</definedName>
    <definedName name="khf_17">#REF!</definedName>
    <definedName name="khf_18">#REF!</definedName>
    <definedName name="khf_19">#REF!</definedName>
    <definedName name="khf_4">#REF!</definedName>
    <definedName name="khf_5">#REF!</definedName>
    <definedName name="khf_6">#REF!</definedName>
    <definedName name="khf_7">#REF!</definedName>
    <definedName name="khf_8">#REF!</definedName>
    <definedName name="khf_9">#REF!</definedName>
    <definedName name="khkh" hidden="1">[65]EXPENSES!#REF!</definedName>
    <definedName name="Ki">#REF!</definedName>
    <definedName name="Ki___0">#REF!</definedName>
    <definedName name="Ki___13">#REF!</definedName>
    <definedName name="Ki1___0">#REF!</definedName>
    <definedName name="Ki1___13">#REF!</definedName>
    <definedName name="Ki2___0">#REF!</definedName>
    <definedName name="Ki2___13">#REF!</definedName>
    <definedName name="Kii">#REF!</definedName>
    <definedName name="Kii___0">#REF!</definedName>
    <definedName name="Kii___13">#REF!</definedName>
    <definedName name="kitu" hidden="1">#REF!</definedName>
    <definedName name="kj" hidden="1">{"'照明目录'!$A$1:$H$31"}</definedName>
    <definedName name="kjh">'[21]#REF'!$A$1:$P$113</definedName>
    <definedName name="kjkdf" hidden="1">#REF!</definedName>
    <definedName name="kjll">'[21]#REF'!$A$1:$P$113</definedName>
    <definedName name="kk">#REF!</definedName>
    <definedName name="kljhkadgjsgkjkdjgkljg">#REF!</definedName>
    <definedName name="klm.gtg02" hidden="1">{#N/A,#N/A,FALSE,"BS"}</definedName>
    <definedName name="Km">#REF!</definedName>
    <definedName name="Km___0">#REF!</definedName>
    <definedName name="Km___13">#REF!</definedName>
    <definedName name="Konsortialanteil">#REF!</definedName>
    <definedName name="KOTA_STONE">#REF!</definedName>
    <definedName name="kp" hidden="1">{#N/A,#N/A,TRUE,"Front";#N/A,#N/A,TRUE,"Simple Letter";#N/A,#N/A,TRUE,"Inside";#N/A,#N/A,TRUE,"Contents";#N/A,#N/A,TRUE,"Basis";#N/A,#N/A,TRUE,"Inclusions";#N/A,#N/A,TRUE,"Exclusions";#N/A,#N/A,TRUE,"Areas";#N/A,#N/A,TRUE,"Summary";#N/A,#N/A,TRUE,"Detail"}</definedName>
    <definedName name="Kraft" hidden="1">{#N/A,#N/A,FALSE,"changes";#N/A,#N/A,FALSE,"Assumptions";"view1",#N/A,FALSE,"BE Analysis";"view2",#N/A,FALSE,"BE Analysis";#N/A,#N/A,FALSE,"DCF Calculation - Scenario 1";"Dollar",#N/A,FALSE,"Consolidated - Scenario 1";"CS",#N/A,FALSE,"Consolidated - Scenario 1"}</definedName>
    <definedName name="Ks">#REF!</definedName>
    <definedName name="Ks___0">#REF!</definedName>
    <definedName name="Ks___13">#REF!</definedName>
    <definedName name="ksd">#REF!</definedName>
    <definedName name="ksd_16">#REF!</definedName>
    <definedName name="ksd_17">#REF!</definedName>
    <definedName name="ksd_18">#REF!</definedName>
    <definedName name="ksd_19">#REF!</definedName>
    <definedName name="ksd_4">#REF!</definedName>
    <definedName name="ksd_5">#REF!</definedName>
    <definedName name="ksd_6">#REF!</definedName>
    <definedName name="ksd_7">#REF!</definedName>
    <definedName name="ksd_8">#REF!</definedName>
    <definedName name="ksd_9">#REF!</definedName>
    <definedName name="ksdkdsk" hidden="1">#REF!</definedName>
    <definedName name="ksf">#REF!</definedName>
    <definedName name="ksf_16">#REF!</definedName>
    <definedName name="ksf_17">#REF!</definedName>
    <definedName name="ksf_18">#REF!</definedName>
    <definedName name="ksf_19">#REF!</definedName>
    <definedName name="ksf_4">#REF!</definedName>
    <definedName name="ksf_5">#REF!</definedName>
    <definedName name="ksf_6">#REF!</definedName>
    <definedName name="ksf_7">#REF!</definedName>
    <definedName name="ksf_8">#REF!</definedName>
    <definedName name="ksf_9">#REF!</definedName>
    <definedName name="kskk" hidden="1">{#N/A,#N/A,FALSE,"COVER.XLS";#N/A,#N/A,FALSE,"RACT1.XLS";#N/A,#N/A,FALSE,"RACT2.XLS";#N/A,#N/A,FALSE,"ECCMP";#N/A,#N/A,FALSE,"WELDER.XLS"}</definedName>
    <definedName name="ku" localSheetId="5" hidden="1">{"Output-BaseYear",#N/A,FALSE,"Output"}</definedName>
    <definedName name="ku" localSheetId="0" hidden="1">{"Output-BaseYear",#N/A,FALSE,"Output"}</definedName>
    <definedName name="ku" hidden="1">{"Output-BaseYear",#N/A,FALSE,"Output"}</definedName>
    <definedName name="KUULSD" hidden="1">{#N/A,#N/A,FALSE,"COMP"}</definedName>
    <definedName name="kv" hidden="1">{#N/A,#N/A,FALSE,"COVER1.XLS ";#N/A,#N/A,FALSE,"RACT1.XLS";#N/A,#N/A,FALSE,"RACT2.XLS";#N/A,#N/A,FALSE,"ECCMP";#N/A,#N/A,FALSE,"WELDER.XLS"}</definedName>
    <definedName name="kvs" hidden="1">{#N/A,#N/A,FALSE,"COVER1.XLS ";#N/A,#N/A,FALSE,"RACT1.XLS";#N/A,#N/A,FALSE,"RACT2.XLS";#N/A,#N/A,FALSE,"ECCMP";#N/A,#N/A,FALSE,"WELDER.XLS"}</definedName>
    <definedName name="kvv" hidden="1">{#N/A,#N/A,FALSE,"COVER.XLS";#N/A,#N/A,FALSE,"RACT1.XLS";#N/A,#N/A,FALSE,"RACT2.XLS";#N/A,#N/A,FALSE,"ECCMP";#N/A,#N/A,FALSE,"WELDER.XLS"}</definedName>
    <definedName name="kxljbkcccccccccccccccczb">#REF!</definedName>
    <definedName name="kyd.ChngCell.01." localSheetId="5" hidden="1">#REF!</definedName>
    <definedName name="kyd.ChngCell.01." localSheetId="0" hidden="1">#REF!</definedName>
    <definedName name="kyd.ChngCell.01." hidden="1">#REF!</definedName>
    <definedName name="kyd.CounterLimitCell.01." hidden="1">"x"</definedName>
    <definedName name="kyd.Dim.01." hidden="1">"tm1serv:company"</definedName>
    <definedName name="kyd.ElementList.01." localSheetId="5" hidden="1">#REF!</definedName>
    <definedName name="kyd.ElementList.01." localSheetId="0" hidden="1">#REF!</definedName>
    <definedName name="kyd.ElementList.01." hidden="1">#REF!</definedName>
    <definedName name="kyd.ElementType.01." hidden="1">1</definedName>
    <definedName name="kyd.ItemType.01." hidden="1">2</definedName>
    <definedName name="kyd.MacroAtEnd." hidden="1">""</definedName>
    <definedName name="kyd.MacroEachCycle." hidden="1">""</definedName>
    <definedName name="kyd.MacroEndOfEachCycle." hidden="1">""</definedName>
    <definedName name="kyd.NumLevels.01." hidden="1">999</definedName>
    <definedName name="kyd.PanicStop." hidden="1">FALSE</definedName>
    <definedName name="kyd.ParentName.01." hidden="1">""</definedName>
    <definedName name="kyd.PreScreenData." hidden="1">FALSE</definedName>
    <definedName name="kyd.PrintParent.01." hidden="1">TRUE</definedName>
    <definedName name="kyd.PrintStdWhen." hidden="1">1</definedName>
    <definedName name="kyd.SaveAsFile." hidden="1">FALSE</definedName>
    <definedName name="kyd.SelectString.01." hidden="1">"*"</definedName>
    <definedName name="kyd.StdSortHide." hidden="1">FALSE</definedName>
    <definedName name="l" hidden="1">{"process graphs",#N/A,FALSE,"graphs&amp;data"}</definedName>
    <definedName name="L.Bldg">#REF!</definedName>
    <definedName name="L___0">#REF!</definedName>
    <definedName name="L___1">#REF!</definedName>
    <definedName name="L___13">#REF!</definedName>
    <definedName name="L___5">#REF!</definedName>
    <definedName name="la">#REF!</definedName>
    <definedName name="labor">#REF!</definedName>
    <definedName name="labourrecon">#REF!</definedName>
    <definedName name="LAbrec">#REF!</definedName>
    <definedName name="Lac_Polish">#REF!</definedName>
    <definedName name="lakshmi">#REF!</definedName>
    <definedName name="lala">#REF!</definedName>
    <definedName name="LAMP">#REF!</definedName>
    <definedName name="LAMP___0">#REF!</definedName>
    <definedName name="LAMP___13">#REF!</definedName>
    <definedName name="lan" hidden="1">{#N/A,#N/A,TRUE,"BT M200 da 10x20"}</definedName>
    <definedName name="Land_adv">#REF!</definedName>
    <definedName name="LandingFee">[12]Vol!$B$38:$AK$38</definedName>
    <definedName name="LandingOther">[12]Vol!$B$40:$AK$40</definedName>
    <definedName name="Larsen___Toubro_Limited___ECC_Construction_Division">#REF!</definedName>
    <definedName name="Last_Row">#N/A</definedName>
    <definedName name="LC">#REF!</definedName>
    <definedName name="Lc___0">#REF!</definedName>
    <definedName name="Lc___13">#REF!</definedName>
    <definedName name="LCAR100">#REF!</definedName>
    <definedName name="LDDashboard">#REF!</definedName>
    <definedName name="ldfkjldsjf">'[21]#REF'!$A$1:$P$113</definedName>
    <definedName name="Lead">#REF!</definedName>
    <definedName name="LeaseMasterRange">#REF!</definedName>
    <definedName name="LeaseStat">#REF!</definedName>
    <definedName name="leasingissues">#REF!</definedName>
    <definedName name="lef">#REF!</definedName>
    <definedName name="lel">#REF!</definedName>
    <definedName name="len">#REF!</definedName>
    <definedName name="Length">#REF!</definedName>
    <definedName name="Length_1">#REF!</definedName>
    <definedName name="Lib_Range">#REF!</definedName>
    <definedName name="library">#REF!</definedName>
    <definedName name="liiili">'[21]#REF'!$A$2:$N$217</definedName>
    <definedName name="lil">'[21]#REF'!$A$176:$N$217</definedName>
    <definedName name="limcount" hidden="1">1</definedName>
    <definedName name="LIT">#REF!</definedName>
    <definedName name="lk"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lkd" localSheetId="5" hidden="1">{#N/A,#N/A,FALSE,"Finanzplan";#N/A,#N/A,FALSE,"Bilanz";#N/A,#N/A,FALSE,"GuV"}</definedName>
    <definedName name="lkd" localSheetId="0" hidden="1">{#N/A,#N/A,FALSE,"Finanzplan";#N/A,#N/A,FALSE,"Bilanz";#N/A,#N/A,FALSE,"GuV"}</definedName>
    <definedName name="lkd" hidden="1">{#N/A,#N/A,FALSE,"Finanzplan";#N/A,#N/A,FALSE,"Bilanz";#N/A,#N/A,FALSE,"GuV"}</definedName>
    <definedName name="LL">#REF!</definedName>
    <definedName name="LL_control" hidden="1">{"'August 2000'!$A$1:$J$101"}</definedName>
    <definedName name="ll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llll" hidden="1">{#N/A,#N/A,FALSE,"ActPrior";#N/A,#N/A,FALSE,"ActPlan";#N/A,#N/A,FALSE,"ActFore"}</definedName>
    <definedName name="lllllllllllllllllllllllllll" hidden="1">{#N/A,#N/A,FALSE,"Cash Flows";#N/A,#N/A,FALSE,"Fixed Assets";#N/A,#N/A,FALSE,"Balance Sheet";#N/A,#N/A,FALSE,"P &amp; L"}</definedName>
    <definedName name="loading">#REF!</definedName>
    <definedName name="Loan_Amount">#REF!</definedName>
    <definedName name="Loan_Start">#REF!</definedName>
    <definedName name="Loan_Years">#REF!</definedName>
    <definedName name="loans_adv">#REF!</definedName>
    <definedName name="Lobby">#REF!</definedName>
    <definedName name="Location">#N/A</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k">'[21]#REF'!$A$133:$N$174</definedName>
    <definedName name="look">#REF!</definedName>
    <definedName name="Lr">#REF!</definedName>
    <definedName name="Lr___0">#REF!</definedName>
    <definedName name="Lr___13">#REF!</definedName>
    <definedName name="LSD_4100">#REF!</definedName>
    <definedName name="lsec">#REF!</definedName>
    <definedName name="Lsec1">#REF!</definedName>
    <definedName name="Lsec2">#REF!</definedName>
    <definedName name="Lsec3">#REF!</definedName>
    <definedName name="Lsec4">#REF!</definedName>
    <definedName name="Lsec5">#REF!</definedName>
    <definedName name="Lsec6">#REF!</definedName>
    <definedName name="lsec7">#REF!</definedName>
    <definedName name="lsest">#REF!</definedName>
    <definedName name="lsest___0">#REF!</definedName>
    <definedName name="lsest___1">#REF!</definedName>
    <definedName name="lsest___5">#REF!</definedName>
    <definedName name="lshead">#REF!</definedName>
    <definedName name="lshead___0">#REF!</definedName>
    <definedName name="lshead___1">#REF!</definedName>
    <definedName name="lshead___5">#REF!</definedName>
    <definedName name="lslsl" hidden="1">#REF!</definedName>
    <definedName name="lstf">#REF!</definedName>
    <definedName name="LtDebtDmy" hidden="1">[68]Book2!$A$46:$IV$46,[68]Book2!$A$92:$IV$92,[68]Book2!$A$138:$IV$138,[68]Book2!$A$187:$IV$187,[68]Book2!$A$231:$IV$231</definedName>
    <definedName name="ltf">#REF!</definedName>
    <definedName name="ltf_16">#REF!</definedName>
    <definedName name="ltf_17">#REF!</definedName>
    <definedName name="ltf_18">#REF!</definedName>
    <definedName name="ltf_19">#REF!</definedName>
    <definedName name="ltf_4">#REF!</definedName>
    <definedName name="ltf_5">#REF!</definedName>
    <definedName name="ltf_6">#REF!</definedName>
    <definedName name="ltf_7">#REF!</definedName>
    <definedName name="ltf_8">#REF!</definedName>
    <definedName name="ltf_9">#REF!</definedName>
    <definedName name="LU_Range_BandNoBand">#REF!</definedName>
    <definedName name="LU_Range_Dieb">#REF!</definedName>
    <definedName name="LU_Range_Insight">#REF!</definedName>
    <definedName name="LUMEN">#REF!</definedName>
    <definedName name="LUMEN___0">#REF!</definedName>
    <definedName name="LUMEN___13">#REF!</definedName>
    <definedName name="Lump_Sum_Discount">#REF!</definedName>
    <definedName name="LUX">#REF!</definedName>
    <definedName name="LUX___0">#REF!</definedName>
    <definedName name="LUX___13">#REF!</definedName>
    <definedName name="Lw">#REF!</definedName>
    <definedName name="Lweld">#REF!</definedName>
    <definedName name="Lx">#REF!</definedName>
    <definedName name="Lx___0">#REF!</definedName>
    <definedName name="Lx___13">#REF!</definedName>
    <definedName name="m"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M.S.Grill">#REF!</definedName>
    <definedName name="m___0">#REF!</definedName>
    <definedName name="m___13">#REF!</definedName>
    <definedName name="M_PlaceofPath" hidden="1">"\\SNYCEQT0100\HOME\LZURLO\DATA\TELMEX\Models\tmx_vdf.xls"</definedName>
    <definedName name="m10_1r">'[26]1R_M10'!$U$1:$AH$77</definedName>
    <definedName name="m10_2r">[26]M10_2R!$U$1:$AH$109</definedName>
    <definedName name="m10_3r">'[26]3R_M10'!$U$1:$AJ$122</definedName>
    <definedName name="m10act">'[26]data m10'!$A$1:$AG$1971</definedName>
    <definedName name="m10report">[70]Insight!$A$3:$AI$181</definedName>
    <definedName name="M12aE" hidden="1">{"'照明目录'!$A$1:$H$31"}</definedName>
    <definedName name="ma">"$#REF!.$#REF!$#REF!"</definedName>
    <definedName name="mactavg_10012002">#REF!</definedName>
    <definedName name="Mall">#REF!</definedName>
    <definedName name="man">#REF!</definedName>
    <definedName name="man___0">#REF!</definedName>
    <definedName name="man___11">#REF!</definedName>
    <definedName name="man___12">#REF!</definedName>
    <definedName name="manday1">#REF!</definedName>
    <definedName name="manday1___0">#REF!</definedName>
    <definedName name="manday1___11">#REF!</definedName>
    <definedName name="manday1___12">#REF!</definedName>
    <definedName name="manpower_details">#REF!</definedName>
    <definedName name="MANUEL_INPUT">#REF!</definedName>
    <definedName name="marble">#REF!</definedName>
    <definedName name="market">#REF!</definedName>
    <definedName name="MarketType">#REF!</definedName>
    <definedName name="MarketType___0">#REF!</definedName>
    <definedName name="MarketType___1">#REF!</definedName>
    <definedName name="MarketType___17">#REF!</definedName>
    <definedName name="MarketType___4">#REF!</definedName>
    <definedName name="MarketType___5">#REF!</definedName>
    <definedName name="MarketType_4">#REF!</definedName>
    <definedName name="MarketType_4___0">#REF!</definedName>
    <definedName name="MarketType_4___1">#REF!</definedName>
    <definedName name="MarketType_4___17">#REF!</definedName>
    <definedName name="MarketType_4___4">#REF!</definedName>
    <definedName name="MarketType_4___5">#REF!</definedName>
    <definedName name="MarketType_4_1">#REF!</definedName>
    <definedName name="MarketType_4_1___0">#REF!</definedName>
    <definedName name="MarketType_4_1___1">#REF!</definedName>
    <definedName name="MarketType_4_1___5">#REF!</definedName>
    <definedName name="MarketType_6">#REF!</definedName>
    <definedName name="MarketType_6___0">#REF!</definedName>
    <definedName name="MarketType_6___1">#REF!</definedName>
    <definedName name="MarketType_6___17">#REF!</definedName>
    <definedName name="MarketType_6___4">#REF!</definedName>
    <definedName name="MarketType_6___5">#REF!</definedName>
    <definedName name="MarketType_Text">#REF!</definedName>
    <definedName name="MarketType_Text___0">#REF!</definedName>
    <definedName name="MarketType_Text___1">#REF!</definedName>
    <definedName name="MarketType_Text___17">#REF!</definedName>
    <definedName name="MarketType_Text___4">#REF!</definedName>
    <definedName name="MarketType_Text___5">#REF!</definedName>
    <definedName name="MarketType_Text_4">#REF!</definedName>
    <definedName name="MarketType_Text_4___0">#REF!</definedName>
    <definedName name="MarketType_Text_4___1">#REF!</definedName>
    <definedName name="MarketType_Text_4___17">#REF!</definedName>
    <definedName name="MarketType_Text_4___4">#REF!</definedName>
    <definedName name="MarketType_Text_4___5">#REF!</definedName>
    <definedName name="MarketType_Text_4_1">#REF!</definedName>
    <definedName name="MarketType_Text_4_1___0">#REF!</definedName>
    <definedName name="MarketType_Text_4_1___1">#REF!</definedName>
    <definedName name="MarketType_Text_4_1___5">#REF!</definedName>
    <definedName name="MarketType_Text_6">#REF!</definedName>
    <definedName name="MarketType_Text_6___0">#REF!</definedName>
    <definedName name="MarketType_Text_6___1">#REF!</definedName>
    <definedName name="MarketType_Text_6___17">#REF!</definedName>
    <definedName name="MarketType_Text_6___4">#REF!</definedName>
    <definedName name="MarketType_Text_6___5">#REF!</definedName>
    <definedName name="master">#REF!</definedName>
    <definedName name="Material">#N/A</definedName>
    <definedName name="Material_rate_entry">#REF!</definedName>
    <definedName name="MATV">#REF!</definedName>
    <definedName name="MAY03PH2">#REF!</definedName>
    <definedName name="MAZI">"'file://Stup-c09/D/JOBS/7078-MADURAVOYAL/ALAPAKKAM%20MAIN%20ROAD%20-%20APR05/ANNEX-2/ANN2-MADURAVOYAL%20DATA-APRIL-05.xls'#$Sheet1.$AU$47"</definedName>
    <definedName name="MAZI_15">[41]Sheet1!#REF!</definedName>
    <definedName name="MAZI_17">[41]Sheet1!#REF!</definedName>
    <definedName name="MAZI_18">[41]Sheet1!#REF!</definedName>
    <definedName name="MB10Length">#REF!</definedName>
    <definedName name="MB11Length">#REF!</definedName>
    <definedName name="MB12Length">#REF!</definedName>
    <definedName name="MB13Length">#REF!</definedName>
    <definedName name="MB14Length">#REF!</definedName>
    <definedName name="MB1Length">#REF!</definedName>
    <definedName name="MB2Length">#REF!</definedName>
    <definedName name="MB3Length">#REF!</definedName>
    <definedName name="MB4Length">#REF!</definedName>
    <definedName name="MB5Length">#REF!</definedName>
    <definedName name="MB6Length">#REF!</definedName>
    <definedName name="MB7Length">#REF!</definedName>
    <definedName name="MB8Length">#REF!</definedName>
    <definedName name="MB9Length">#REF!</definedName>
    <definedName name="Mbp">#REF!</definedName>
    <definedName name="mbpt">#REF!</definedName>
    <definedName name="mbw">#REF!</definedName>
    <definedName name="MC_1">#REF!</definedName>
    <definedName name="mc_1_no">#REF!</definedName>
    <definedName name="mc_1_pending">#REF!</definedName>
    <definedName name="mdpl">#REF!</definedName>
    <definedName name="meas">#REF!</definedName>
    <definedName name="MECHANICAL">#REF!</definedName>
    <definedName name="MECHANICAL_7">#REF!</definedName>
    <definedName name="meest">#REF!</definedName>
    <definedName name="meest___0">#REF!</definedName>
    <definedName name="meest___1">#REF!</definedName>
    <definedName name="meest___5">#REF!</definedName>
    <definedName name="mehead">#REF!</definedName>
    <definedName name="mehead___0">#REF!</definedName>
    <definedName name="mehead___1">#REF!</definedName>
    <definedName name="mehead___5">#REF!</definedName>
    <definedName name="MenuOptions">[12]iD!#REF!</definedName>
    <definedName name="MenuOptionsIndex">[12]iD!#REF!</definedName>
    <definedName name="MenuPlace">[12]iD!#REF!</definedName>
    <definedName name="METDEL">'[24]Standard Cost Codes'!#REF!</definedName>
    <definedName name="MF" hidden="1">#REF!</definedName>
    <definedName name="MF___0">#REF!</definedName>
    <definedName name="MF___13">#REF!</definedName>
    <definedName name="mgf">#REF!</definedName>
    <definedName name="mgf_16">#REF!</definedName>
    <definedName name="mgf_17">#REF!</definedName>
    <definedName name="mgf_18">#REF!</definedName>
    <definedName name="mgf_19">#REF!</definedName>
    <definedName name="mgf_4">#REF!</definedName>
    <definedName name="mgf_5">#REF!</definedName>
    <definedName name="mgf_6">#REF!</definedName>
    <definedName name="mgf_7">#REF!</definedName>
    <definedName name="mgf_8">#REF!</definedName>
    <definedName name="mgf_9">#REF!</definedName>
    <definedName name="mgmtrpt">#REF!</definedName>
    <definedName name="mgmtrpt2">#REF!</definedName>
    <definedName name="mhgm">'[21]FY Loss Frcst'!$A$2:$N$181</definedName>
    <definedName name="michelle" hidden="1">{"Summary analysis",#N/A,FALSE,"Total";"OCPH analysis",#N/A,FALSE,"Total";"detail analysis",#N/A,FALSE,"Total"}</definedName>
    <definedName name="MINOR__BUILDING__WORKS">#REF!</definedName>
    <definedName name="MISCACCR">[12]IS!#REF!</definedName>
    <definedName name="MISCACCR2">'[12]#REF'!#REF!</definedName>
    <definedName name="mitu" hidden="1">#REF!</definedName>
    <definedName name="mjmjhm">'[21]#REF'!$A$1:$AF$150</definedName>
    <definedName name="mkl">'[21]Consumer Outbound'!$B$71:$S$87</definedName>
    <definedName name="mm">'[71]GMCP TRACKER (Rs)'!#REF!</definedName>
    <definedName name="mmjhmttu">[21]Sheet1!$B$2:$O$39</definedName>
    <definedName name="mo" hidden="1">{#N/A,#N/A,TRUE,"KEY DATA";#N/A,#N/A,TRUE,"KEY DATA Base Case";#N/A,#N/A,TRUE,"JULY";#N/A,#N/A,TRUE,"AUG";#N/A,#N/A,TRUE,"SEPT";#N/A,#N/A,TRUE,"3Q"}</definedName>
    <definedName name="MODCOSTASM">'[12]#REF'!#REF!</definedName>
    <definedName name="MODELE">#REF!</definedName>
    <definedName name="Month">#REF!</definedName>
    <definedName name="MONTH_CONDITION">#REF!</definedName>
    <definedName name="MONTH_DETAILS">#REF!</definedName>
    <definedName name="Months">#REF!</definedName>
    <definedName name="MONTHS2">[12]KWM!#REF!</definedName>
    <definedName name="MONTHSINDEX">[12]KWM!#REF!</definedName>
    <definedName name="MONTHSINDEX2">[12]KWM!#REF!</definedName>
    <definedName name="MOSIC_INSITU">#REF!</definedName>
    <definedName name="MOSIC_TILES">#REF!</definedName>
    <definedName name="mr10resi"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mr10residen" hidden="1">{#N/A,#N/A,TRUE,"Financials";#N/A,#N/A,TRUE,"Operating Statistics";#N/A,#N/A,TRUE,"Capex &amp; Depreciation";#N/A,#N/A,TRUE,"Debt"}</definedName>
    <definedName name="msf">#REF!</definedName>
    <definedName name="msl">#REF!</definedName>
    <definedName name="MsrStandard">[48]DataSheet!$B$161</definedName>
    <definedName name="MTD_Cap_Spend">'[72]Approved MTD Proj #''s'!$A$1:$E$47</definedName>
    <definedName name="MTS">#REF!</definedName>
    <definedName name="MTV">#REF!</definedName>
    <definedName name="mu6m6u" hidden="1">{#N/A,#N/A,FALSE,"Assessment";#N/A,#N/A,FALSE,"Staffing";#N/A,#N/A,FALSE,"Hires";#N/A,#N/A,FALSE,"Assumptions"}</definedName>
    <definedName name="MUTHU">#REF!</definedName>
    <definedName name="n"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N___0">#REF!</definedName>
    <definedName name="N___13">#REF!</definedName>
    <definedName name="n6n6" hidden="1">{#N/A,#N/A,FALSE,"Assessment";#N/A,#N/A,FALSE,"Staffing";#N/A,#N/A,FALSE,"Hires";#N/A,#N/A,FALSE,"Assumptions"}</definedName>
    <definedName name="nachi">#REF!</definedName>
    <definedName name="Name">#REF!</definedName>
    <definedName name="name_of_project">#REF!</definedName>
    <definedName name="name5" hidden="1">[60]Demand!#REF!</definedName>
    <definedName name="name6" hidden="1">[60]Demand!#REF!</definedName>
    <definedName name="name7" hidden="1">[60]Occ!#REF!</definedName>
    <definedName name="name8" hidden="1">[60]Demand!#REF!</definedName>
    <definedName name="name9" hidden="1">[60]Occ!#REF!</definedName>
    <definedName name="NAMT">#REF!</definedName>
    <definedName name="Nariman_Point_Car_Parking_Site">#REF!</definedName>
    <definedName name="ncabf">#REF!</definedName>
    <definedName name="ncik"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ND">#REF!</definedName>
    <definedName name="nddf" hidden="1">{#N/A,#N/A,FALSE,"Assessment";#N/A,#N/A,FALSE,"Staffing";#N/A,#N/A,FALSE,"Hires";#N/A,#N/A,FALSE,"Assumptions"}</definedName>
    <definedName name="NDGNDN" hidden="1">{"'Mach'!$A$1:$D$39"}</definedName>
    <definedName name="net_cost_list">#REF!</definedName>
    <definedName name="NETINT">'[12]#REF'!#REF!</definedName>
    <definedName name="new">#REF!</definedName>
    <definedName name="NewItem">#REF!</definedName>
    <definedName name="newname1">'[21]Consumer Fraud'!$A$1:$AF$73</definedName>
    <definedName name="Newone" hidden="1">{#N/A,#N/A,FALSE,"COMP"}</definedName>
    <definedName name="NewRow">#REF!</definedName>
    <definedName name="nfdnf" hidden="1">{#N/A,#N/A,FALSE,"Assessment";#N/A,#N/A,FALSE,"Staffing";#N/A,#N/A,FALSE,"Hires";#N/A,#N/A,FALSE,"Assumptions"}</definedName>
    <definedName name="nfdnfd" hidden="1">{"Five Year",#N/A,FALSE,"Summary (2)";"Month 1 and Years",#N/A,FALSE,"Cash Budget"}</definedName>
    <definedName name="nfdnm" hidden="1">{#N/A,#N/A,FALSE,"Assessment";#N/A,#N/A,FALSE,"Staffing";#N/A,#N/A,FALSE,"Hires";#N/A,#N/A,FALSE,"Assumptions"}</definedName>
    <definedName name="nffdn" hidden="1">{#N/A,#N/A,FALSE,"Assessment";#N/A,#N/A,FALSE,"Staffing";#N/A,#N/A,FALSE,"Hires";#N/A,#N/A,FALSE,"Assumptions"}</definedName>
    <definedName name="nffsdn" hidden="1">{#N/A,#N/A,FALSE,"Assessment";#N/A,#N/A,FALSE,"Staffing";#N/A,#N/A,FALSE,"Hires";#N/A,#N/A,FALSE,"Assumptions"}</definedName>
    <definedName name="nggfnf" hidden="1">{#N/A,#N/A,FALSE,"Assessment";#N/A,#N/A,FALSE,"Staffing";#N/A,#N/A,FALSE,"Hires";#N/A,#N/A,FALSE,"Assumptions"}</definedName>
    <definedName name="Nick"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NII">'[26]#REF'!#REF!</definedName>
    <definedName name="nil" localSheetId="5" hidden="1">{"Output-BaseYear",#N/A,FALSE,"Output"}</definedName>
    <definedName name="nil" localSheetId="0" hidden="1">{"Output-BaseYear",#N/A,FALSE,"Output"}</definedName>
    <definedName name="nil" hidden="1">{"Output-BaseYear",#N/A,FALSE,"Output"}</definedName>
    <definedName name="Nitin" hidden="1">'[73]Sheet3 (2)'!$A$60:$A$76</definedName>
    <definedName name="nn">#REF!</definedName>
    <definedName name="NN___0">#REF!</definedName>
    <definedName name="NN___13">#REF!</definedName>
    <definedName name="nnn">#REF!</definedName>
    <definedName name="nnn_7">#REF!</definedName>
    <definedName name="nnnnm">#REF!</definedName>
    <definedName name="nnnnm_7">#REF!</definedName>
    <definedName name="nnnnnnnnnn" hidden="1">{#N/A,#N/A,FALSE,"Status of Projects";#N/A,#N/A,FALSE,"CEA-TEC";#N/A,#N/A,FALSE,"U-Constr.";#N/A,#N/A,FALSE,"summary";#N/A,#N/A,FALSE,"PPP-3 yrs"}</definedName>
    <definedName name="nnnnnnnnnnnnn" hidden="1">{#N/A,#N/A,FALSE,"Assessment";#N/A,#N/A,FALSE,"Staffing";#N/A,#N/A,FALSE,"Hires";#N/A,#N/A,FALSE,"Assumptions"}</definedName>
    <definedName name="nnnnnnnnnnnnnnnn" hidden="1">{#N/A,#N/A,FALSE,"Assessment";#N/A,#N/A,FALSE,"Staffing";#N/A,#N/A,FALSE,"Hires";#N/A,#N/A,FALSE,"Assumptions"}</definedName>
    <definedName name="nnnnnnnnnnnnnnnnhy" hidden="1">{#N/A,#N/A,FALSE,"Assessment";#N/A,#N/A,FALSE,"Staffing";#N/A,#N/A,FALSE,"Hires";#N/A,#N/A,FALSE,"Assumptions"}</definedName>
    <definedName name="nnnnnnnnnnnnnnnnn" hidden="1">{#N/A,#N/A,FALSE,"Assessment";#N/A,#N/A,FALSE,"Staffing";#N/A,#N/A,FALSE,"Hires";#N/A,#N/A,FALSE,"Assumptions"}</definedName>
    <definedName name="nnnnnnnnnnnnnnnnnn" hidden="1">{#N/A,#N/A,FALSE,"Assessment";#N/A,#N/A,FALSE,"Staffing";#N/A,#N/A,FALSE,"Hires";#N/A,#N/A,FALSE,"Assumptions"}</definedName>
    <definedName name="nnnnnnnnnnnnnnnnnnj" hidden="1">{#N/A,#N/A,FALSE,"Assessment";#N/A,#N/A,FALSE,"Staffing";#N/A,#N/A,FALSE,"Hires";#N/A,#N/A,FALSE,"Assumptions"}</definedName>
    <definedName name="nnnnnnnnnnnnnnnnnnnnnnnnnnn" hidden="1">{"Five Year",#N/A,FALSE,"Summary (2)";"Month 1 and Years",#N/A,FALSE,"Cash Budget"}</definedName>
    <definedName name="nnnnnnnnnnnnnnnnnnnnnnnnnnnnn" hidden="1">{#N/A,#N/A,FALSE,"Assessment";#N/A,#N/A,FALSE,"Staffing";#N/A,#N/A,FALSE,"Hires";#N/A,#N/A,FALSE,"Assumptions"}</definedName>
    <definedName name="nnnnnnnnnnnnnnnnnnnnnnnnnnnnnn" hidden="1">{#N/A,#N/A,FALSE,"Assessment";#N/A,#N/A,FALSE,"Staffing";#N/A,#N/A,FALSE,"Hires";#N/A,#N/A,FALSE,"Assumptions"}</definedName>
    <definedName name="nnnnnnnnnnnnnnnnnnnnnnnnnnnnnnnn" hidden="1">{#N/A,#N/A,FALSE,"Assessment";#N/A,#N/A,FALSE,"Staffing";#N/A,#N/A,FALSE,"Hires";#N/A,#N/A,FALSE,"Assumptions"}</definedName>
    <definedName name="nnnnnnnnnnnnnnnnnnnnnnnnnnnnt" hidden="1">{#N/A,#N/A,FALSE,"Assessment";#N/A,#N/A,FALSE,"Staffing";#N/A,#N/A,FALSE,"Hires";#N/A,#N/A,FALSE,"Assumptions"}</definedName>
    <definedName name="nnnnnnnnnnnnnnnnnnnnnnnnnt" hidden="1">{#N/A,#N/A,FALSE,"Assessment";#N/A,#N/A,FALSE,"Staffing";#N/A,#N/A,FALSE,"Hires";#N/A,#N/A,FALSE,"Assumptions"}</definedName>
    <definedName name="nnnnnnnnnnnnnnnnnnnnnnnnt" hidden="1">{#N/A,#N/A,FALSE,"Assessment";#N/A,#N/A,FALSE,"Staffing";#N/A,#N/A,FALSE,"Hires";#N/A,#N/A,FALSE,"Assumptions"}</definedName>
    <definedName name="nnnnnnnnnnnnnnnnnnnnnnt" hidden="1">{"Five Year",#N/A,FALSE,"Summary (2)";"Month 1 and Years",#N/A,FALSE,"Cash Budget"}</definedName>
    <definedName name="nnnntn" hidden="1">{#N/A,#N/A,FALSE,"Assessment";#N/A,#N/A,FALSE,"Staffing";#N/A,#N/A,FALSE,"Hires";#N/A,#N/A,FALSE,"Assumptions"}</definedName>
    <definedName name="NOCSV">[12]IS!#REF!</definedName>
    <definedName name="NOCSV2">'[12]#REF'!#REF!</definedName>
    <definedName name="NOK">#REF!</definedName>
    <definedName name="None" hidden="1">{"Summary analysis",#N/A,FALSE,"Total";"OCPH analysis",#N/A,FALSE,"Total";"detail analysis",#N/A,FALSE,"Total"}</definedName>
    <definedName name="nonmodular">#REF!</definedName>
    <definedName name="nonmodular___0">#REF!</definedName>
    <definedName name="nonmodular___1">#REF!</definedName>
    <definedName name="nonmodular___17">#REF!</definedName>
    <definedName name="nonmodular___4">#REF!</definedName>
    <definedName name="nonmodular___5">#REF!</definedName>
    <definedName name="nonmodular_4">#REF!</definedName>
    <definedName name="nonmodular_4___0">#REF!</definedName>
    <definedName name="nonmodular_4___1">#REF!</definedName>
    <definedName name="nonmodular_4___17">#REF!</definedName>
    <definedName name="nonmodular_4___4">#REF!</definedName>
    <definedName name="nonmodular_4___5">#REF!</definedName>
    <definedName name="nonmodular_4_1">#REF!</definedName>
    <definedName name="nonmodular_4_1___0">#REF!</definedName>
    <definedName name="nonmodular_4_1___1">#REF!</definedName>
    <definedName name="nonmodular_4_1___5">#REF!</definedName>
    <definedName name="nonmodular_6">#REF!</definedName>
    <definedName name="nonmodular_6___0">#REF!</definedName>
    <definedName name="nonmodular_6___1">#REF!</definedName>
    <definedName name="nonmodular_6___17">#REF!</definedName>
    <definedName name="nonmodular_6___4">#REF!</definedName>
    <definedName name="nonmodular_6___5">#REF!</definedName>
    <definedName name="Nos.">#REF!</definedName>
    <definedName name="NOSHARE">'[12]#REF'!#REF!</definedName>
    <definedName name="not" localSheetId="5" hidden="1">{"Output-All",#N/A,FALSE,"Output"}</definedName>
    <definedName name="not" localSheetId="0" hidden="1">{"Output-All",#N/A,FALSE,"Output"}</definedName>
    <definedName name="not" hidden="1">{"Output-All",#N/A,FALSE,"Output"}</definedName>
    <definedName name="Notation">#REF!</definedName>
    <definedName name="Not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NotesExport" localSheetId="13">[74]!NotesExport</definedName>
    <definedName name="NotesExport" localSheetId="4">[74]!NotesExport</definedName>
    <definedName name="NotesExport">[74]!NotesExport</definedName>
    <definedName name="nothing" localSheetId="5" hidden="1">{"Output-Min",#N/A,FALSE,"Output"}</definedName>
    <definedName name="nothing" localSheetId="0" hidden="1">{"Output-Min",#N/A,FALSE,"Output"}</definedName>
    <definedName name="nothing" hidden="1">{"Output-Min",#N/A,FALSE,"Output"}</definedName>
    <definedName name="notok">#REF!</definedName>
    <definedName name="nre" hidden="1">{#N/A,#N/A,FALSE,"Assessment";#N/A,#N/A,FALSE,"Staffing";#N/A,#N/A,FALSE,"Hires";#N/A,#N/A,FALSE,"Assumptions"}</definedName>
    <definedName name="NS">#REF!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rntrnt" hidden="1">{#N/A,#N/A,FALSE,"Assessment";#N/A,#N/A,FALSE,"Staffing";#N/A,#N/A,FALSE,"Hires";#N/A,#N/A,FALSE,"Assumptions"}</definedName>
    <definedName name="nttrntr" hidden="1">{#N/A,#N/A,FALSE,"Assessment";#N/A,#N/A,FALSE,"Staffing";#N/A,#N/A,FALSE,"Hires";#N/A,#N/A,FALSE,"Assumptions"}</definedName>
    <definedName name="Num_Pmt_Per_Year">#REF!</definedName>
    <definedName name="Number_of_Payments" localSheetId="16">MATCH(0.01,End_Bal,-1)+1</definedName>
    <definedName name="Number_of_Payments">MATCH(0.01,End_Bal,-1)+1</definedName>
    <definedName name="numf">#REF!</definedName>
    <definedName name="numf_16">#REF!</definedName>
    <definedName name="numf_17">#REF!</definedName>
    <definedName name="numf_18">#REF!</definedName>
    <definedName name="numf_19">#REF!</definedName>
    <definedName name="numf_4">#REF!</definedName>
    <definedName name="numf_5">#REF!</definedName>
    <definedName name="numf_6">#REF!</definedName>
    <definedName name="numf_7">#REF!</definedName>
    <definedName name="numf_8">#REF!</definedName>
    <definedName name="numf_9">#REF!</definedName>
    <definedName name="numrows">#REF!</definedName>
    <definedName name="NW">#REF!</definedName>
    <definedName name="Nx">#REF!</definedName>
    <definedName name="Nx___0">#REF!</definedName>
    <definedName name="Nx___13">#REF!</definedName>
    <definedName name="Ny">#REF!</definedName>
    <definedName name="Ny___0">#REF!</definedName>
    <definedName name="Ny___13">#REF!</definedName>
    <definedName name="o"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obpl">#REF!</definedName>
    <definedName name="oct" hidden="1">{#N/A,#N/A,FALSE,"Cash Flows";#N/A,#N/A,FALSE,"Fixed Assets";#N/A,#N/A,FALSE,"Balance Sheet";#N/A,#N/A,FALSE,"P &amp; L"}</definedName>
    <definedName name="octf">#REF!</definedName>
    <definedName name="octf___0">#REF!</definedName>
    <definedName name="octf___1">#REF!</definedName>
    <definedName name="octf___17">#REF!</definedName>
    <definedName name="octf___4">#REF!</definedName>
    <definedName name="octf___5">#REF!</definedName>
    <definedName name="off">#N/A</definedName>
    <definedName name="offtop1">#REF!</definedName>
    <definedName name="ojiawf" localSheetId="5" hidden="1">{#N/A,#N/A,FALSE,"Finanzplan";#N/A,#N/A,FALSE,"Bilanz";#N/A,#N/A,FALSE,"GuV"}</definedName>
    <definedName name="ojiawf" localSheetId="0" hidden="1">{#N/A,#N/A,FALSE,"Finanzplan";#N/A,#N/A,FALSE,"Bilanz";#N/A,#N/A,FALSE,"GuV"}</definedName>
    <definedName name="ojiawf" hidden="1">{#N/A,#N/A,FALSE,"Finanzplan";#N/A,#N/A,FALSE,"Bilanz";#N/A,#N/A,FALSE,"GuV"}</definedName>
    <definedName name="ok" hidden="1">{#N/A,#N/A,FALSE,"Aging Summary";#N/A,#N/A,FALSE,"Ratio Analysis";#N/A,#N/A,FALSE,"Test 120 Day Accts";#N/A,#N/A,FALSE,"Tickmarks"}</definedName>
    <definedName name="okkk" hidden="1">{#N/A,#N/A,TRUE,"KEY DATA";#N/A,#N/A,TRUE,"KEY DATA Base Case";#N/A,#N/A,TRUE,"JULY";#N/A,#N/A,TRUE,"AUG";#N/A,#N/A,TRUE,"SEPT";#N/A,#N/A,TRUE,"3Q"}</definedName>
    <definedName name="OldF3P_fcst">#REF!</definedName>
    <definedName name="OldF3P_PP">#REF!</definedName>
    <definedName name="OLE_LINK1">"$boq.$"</definedName>
    <definedName name="OLE_LINK2">"$boq.$"</definedName>
    <definedName name="ooi">'[21]Consumer Supps'!$A$1:$V$41</definedName>
    <definedName name="ooiuy">'[21]#REF'!$A$1:$P$113</definedName>
    <definedName name="ooopp">#REF!</definedName>
    <definedName name="op">'[21]FY Loss Frcst'!$A$2:$N$181</definedName>
    <definedName name="OrderTable" hidden="1">#REF!</definedName>
    <definedName name="org" hidden="1">{#N/A,#N/A,TRUE,"145A"}</definedName>
    <definedName name="org_1" hidden="1">{#N/A,#N/A,TRUE,"145A"}</definedName>
    <definedName name="org_1_1" hidden="1">{#N/A,#N/A,TRUE,"145A"}</definedName>
    <definedName name="org_1_1_1" hidden="1">{#N/A,#N/A,TRUE,"145A"}</definedName>
    <definedName name="org_2" hidden="1">{#N/A,#N/A,TRUE,"145A"}</definedName>
    <definedName name="org_2_1" hidden="1">{#N/A,#N/A,TRUE,"145A"}</definedName>
    <definedName name="org_3" hidden="1">{#N/A,#N/A,TRUE,"145A"}</definedName>
    <definedName name="org_3_1" hidden="1">{#N/A,#N/A,TRUE,"145A"}</definedName>
    <definedName name="org_4" hidden="1">{#N/A,#N/A,TRUE,"145A"}</definedName>
    <definedName name="org_4_1" hidden="1">{#N/A,#N/A,TRUE,"145A"}</definedName>
    <definedName name="org_5" hidden="1">{#N/A,#N/A,TRUE,"145A"}</definedName>
    <definedName name="org_5_1" hidden="1">{#N/A,#N/A,TRUE,"145A"}</definedName>
    <definedName name="OTH00">[12]IS!#REF!</definedName>
    <definedName name="OTHCASH">'[12]#REF'!#REF!</definedName>
    <definedName name="Other_Contracted_Services">[12]IS!#REF!</definedName>
    <definedName name="OTHTVL">'[12]#REF'!#REF!</definedName>
    <definedName name="OUTTERWALLLength">#REF!</definedName>
    <definedName name="Over_pumping_Connection">#REF!</definedName>
    <definedName name="Overall_Summary_Title">#REF!</definedName>
    <definedName name="OVERHEAD">#REF!</definedName>
    <definedName name="OwnAcctNum">#REF!</definedName>
    <definedName name="OwnAcctNum___0">#REF!</definedName>
    <definedName name="OwnAcctNum___1">#REF!</definedName>
    <definedName name="OwnAcctNum___17">#REF!</definedName>
    <definedName name="OwnAcctNum___4">#REF!</definedName>
    <definedName name="OwnAcctNum___5">#REF!</definedName>
    <definedName name="OwnAcctNum_4">#REF!</definedName>
    <definedName name="OwnAcctNum_4___0">#REF!</definedName>
    <definedName name="OwnAcctNum_4___1">#REF!</definedName>
    <definedName name="OwnAcctNum_4___17">#REF!</definedName>
    <definedName name="OwnAcctNum_4___4">#REF!</definedName>
    <definedName name="OwnAcctNum_4___5">#REF!</definedName>
    <definedName name="OwnAcctNum_4_1">#REF!</definedName>
    <definedName name="OwnAcctNum_4_1___0">#REF!</definedName>
    <definedName name="OwnAcctNum_4_1___1">#REF!</definedName>
    <definedName name="OwnAcctNum_4_1___5">#REF!</definedName>
    <definedName name="OwnAcctNum_6">#REF!</definedName>
    <definedName name="OwnAcctNum_6___0">#REF!</definedName>
    <definedName name="OwnAcctNum_6___1">#REF!</definedName>
    <definedName name="OwnAcctNum_6___17">#REF!</definedName>
    <definedName name="OwnAcctNum_6___4">#REF!</definedName>
    <definedName name="OwnAcctNum_6___5">#REF!</definedName>
    <definedName name="p" hidden="1">{"DEA CAP",#N/A,TRUE,"DEA";"RVA CAP",#N/A,TRUE,"RVA";"MDA CAP",#N/A,TRUE,"MDA";"Table C CAP",#N/A,TRUE,"C";"Table V CAP",#N/A,TRUE,"V";"DEA GL ACCOUNTS",#N/A,TRUE,"DEA";"RULES CAP",#N/A,TRUE,"RULES";"COs CAP",#N/A,TRUE,"COs";#N/A,#N/A,TRUE,"CHIP"}</definedName>
    <definedName name="P.C.C.1.2.4.10MM">#REF!</definedName>
    <definedName name="P.C.C.1.2.4.H.B">#REF!</definedName>
    <definedName name="P.C.C.1.2.4.M.B">#REF!+#REF!</definedName>
    <definedName name="P.C.C.1.3.6.40MM">#REF!</definedName>
    <definedName name="P.C.C.1.3.6.H.B">#REF!</definedName>
    <definedName name="P.C.C.1.4.8">#REF!</definedName>
    <definedName name="P.C.C.1.5.10">#REF!</definedName>
    <definedName name="P.C.C.1.8.16HB">#REF!</definedName>
    <definedName name="P.C.C1.3.6.MB">#REF!</definedName>
    <definedName name="P.C.C1.8.16_MB">#REF!</definedName>
    <definedName name="p.sch1">#REF!</definedName>
    <definedName name="p___0">#REF!</definedName>
    <definedName name="p___13">#REF!</definedName>
    <definedName name="pa">#REF!</definedName>
    <definedName name="pa___0">#REF!</definedName>
    <definedName name="pa___13">#REF!</definedName>
    <definedName name="PAD">#REF!</definedName>
    <definedName name="paf">#REF!</definedName>
    <definedName name="pag" hidden="1">{#N/A,#N/A,TRUE,"145A"}</definedName>
    <definedName name="pag_1" hidden="1">{#N/A,#N/A,TRUE,"145A"}</definedName>
    <definedName name="pag_1_1" hidden="1">{#N/A,#N/A,TRUE,"145A"}</definedName>
    <definedName name="pag_1_1_1" hidden="1">{#N/A,#N/A,TRUE,"145A"}</definedName>
    <definedName name="pag_2" hidden="1">{#N/A,#N/A,TRUE,"145A"}</definedName>
    <definedName name="pag_2_1" hidden="1">{#N/A,#N/A,TRUE,"145A"}</definedName>
    <definedName name="pag_3" hidden="1">{#N/A,#N/A,TRUE,"145A"}</definedName>
    <definedName name="pag_3_1" hidden="1">{#N/A,#N/A,TRUE,"145A"}</definedName>
    <definedName name="pag_4" hidden="1">{#N/A,#N/A,TRUE,"145A"}</definedName>
    <definedName name="pag_4_1" hidden="1">{#N/A,#N/A,TRUE,"145A"}</definedName>
    <definedName name="pag_5" hidden="1">{#N/A,#N/A,TRUE,"145A"}</definedName>
    <definedName name="pag_5_1" hidden="1">{#N/A,#N/A,TRUE,"145A"}</definedName>
    <definedName name="PAGE1">#REF!</definedName>
    <definedName name="PAGE2">#REF!</definedName>
    <definedName name="Page3a"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PAN_TILES">#REF!</definedName>
    <definedName name="Pane2">#REF!</definedName>
    <definedName name="Pane2___0">#REF!</definedName>
    <definedName name="Pane2___13">#REF!</definedName>
    <definedName name="parse" localSheetId="0" hidden="1">#REF!</definedName>
    <definedName name="parse" hidden="1">#REF!</definedName>
    <definedName name="PAS">#REF!</definedName>
    <definedName name="password" hidden="1">{#N/A,#N/A,FALSE,"BS";#N/A,#N/A,FALSE,"PL";#N/A,#N/A,FALSE,"A";#N/A,#N/A,FALSE,"B";#N/A,#N/A,FALSE,"B1";#N/A,#N/A,FALSE,"C";#N/A,#N/A,FALSE,"C1";#N/A,#N/A,FALSE,"C2";#N/A,#N/A,FALSE,"D";#N/A,#N/A,FALSE,"E";#N/A,#N/A,FALSE,"F";#N/A,#N/A,FALSE,"AA";#N/A,#N/A,FALSE,"BB";#N/A,#N/A,FALSE,"CC";#N/A,#N/A,FALSE,"DD";#N/A,#N/A,FALSE,"EE";#N/A,#N/A,FALSE,"FF";#N/A,#N/A,FALSE,"PL10";#N/A,#N/A,FALSE,"PL20";#N/A,#N/A,FALSE,"PL30"}</definedName>
    <definedName name="Path2a">[12]iD!#REF!</definedName>
    <definedName name="Path3a">[12]iD!#REF!</definedName>
    <definedName name="Path4a">[12]iD!#REF!</definedName>
    <definedName name="Path5a">[12]iD!#REF!</definedName>
    <definedName name="PAXCAR">'[12]#REF'!#REF!</definedName>
    <definedName name="PAXMEX">'[12]#REF'!#REF!</definedName>
    <definedName name="Pay_Date">#REF!</definedName>
    <definedName name="Pay_Num">#REF!</definedName>
    <definedName name="payment">#REF!</definedName>
    <definedName name="Payment_Date">#N/A</definedName>
    <definedName name="pb">#REF!</definedName>
    <definedName name="pb___0">#REF!</definedName>
    <definedName name="pb___11">#REF!</definedName>
    <definedName name="pb___12">#REF!</definedName>
    <definedName name="pbg">#REF!</definedName>
    <definedName name="pbpt">#REF!</definedName>
    <definedName name="PC_1">#REF!</definedName>
    <definedName name="PC_1_No">#REF!</definedName>
    <definedName name="pc_1_pending">#REF!</definedName>
    <definedName name="pc_10">#REF!</definedName>
    <definedName name="pc_10_no">#REF!</definedName>
    <definedName name="pc_10_pending">#REF!</definedName>
    <definedName name="pc_11">#REF!</definedName>
    <definedName name="pc_11_no">#REF!</definedName>
    <definedName name="pc_11_pending">#REF!</definedName>
    <definedName name="PC_2">#REF!</definedName>
    <definedName name="pc_2_no">#REF!</definedName>
    <definedName name="pc_2_pending">#REF!</definedName>
    <definedName name="PC_3">#REF!</definedName>
    <definedName name="pc_3_no">#REF!</definedName>
    <definedName name="pc_3_pending">#REF!</definedName>
    <definedName name="PC_4">#REF!</definedName>
    <definedName name="pc_4_no">#REF!</definedName>
    <definedName name="pc_4_pending">#REF!</definedName>
    <definedName name="PC_5">#REF!</definedName>
    <definedName name="pc_5_no">#REF!</definedName>
    <definedName name="pc_5_pending">#REF!</definedName>
    <definedName name="PC_6">#REF!</definedName>
    <definedName name="pc_6_no">#REF!</definedName>
    <definedName name="pc_6_pending">#REF!</definedName>
    <definedName name="pc_7">#REF!</definedName>
    <definedName name="pc_7_no">#REF!</definedName>
    <definedName name="pc_7_pending">#REF!</definedName>
    <definedName name="pc_8">#REF!</definedName>
    <definedName name="pc_8_no">#REF!</definedName>
    <definedName name="pc_8_pending">#REF!</definedName>
    <definedName name="pc_9">#REF!</definedName>
    <definedName name="pc_9_no">#REF!</definedName>
    <definedName name="pc_9_pending">#REF!</definedName>
    <definedName name="PCC">#REF!</definedName>
    <definedName name="pccut">#REF!</definedName>
    <definedName name="PDS">#REF!</definedName>
    <definedName name="PEONS" hidden="1">{"'Bsheet BIS'!$A$1:$F$43"}</definedName>
    <definedName name="per">#N/A</definedName>
    <definedName name="Perf_Garantee">#REF!</definedName>
    <definedName name="period">#REF!</definedName>
    <definedName name="PeriodType">[12]iD!#REF!</definedName>
    <definedName name="PERS">'[26]#REF'!#REF!</definedName>
    <definedName name="PERSONNEL">#REF!</definedName>
    <definedName name="PERTVL">'[12]#REF'!#REF!</definedName>
    <definedName name="peru">#REF!</definedName>
    <definedName name="perugudi">#REF!</definedName>
    <definedName name="perungudi">#REF!</definedName>
    <definedName name="pf">#REF!</definedName>
    <definedName name="pg">#REF!</definedName>
    <definedName name="pH">#REF!</definedName>
    <definedName name="pH___0">#REF!</definedName>
    <definedName name="pH___13">#REF!</definedName>
    <definedName name="PhaseCode">#REF!</definedName>
    <definedName name="PhonesQty">#REF!</definedName>
    <definedName name="PhonesQty_16">#REF!</definedName>
    <definedName name="PhonesQty_17">#REF!</definedName>
    <definedName name="PhonesQty_18">#REF!</definedName>
    <definedName name="PhonesQty_19">#REF!</definedName>
    <definedName name="PhonesQty_4">#REF!</definedName>
    <definedName name="PhonesQty_5">#REF!</definedName>
    <definedName name="PhonesQty_6">#REF!</definedName>
    <definedName name="PhonesQty_7">#REF!</definedName>
    <definedName name="PhonesQty_8">#REF!</definedName>
    <definedName name="PhonesQty_9">#REF!</definedName>
    <definedName name="PHX">#REF!</definedName>
    <definedName name="Picture4">#REF!</definedName>
    <definedName name="Pilar1">[12]iD!$H$11</definedName>
    <definedName name="Pilar11">[12]iD!$R$11</definedName>
    <definedName name="Pilar12">[12]iD!$S$11</definedName>
    <definedName name="Pilar13">[12]iD!$T$11</definedName>
    <definedName name="Pilar14">[12]iD!$U$11</definedName>
    <definedName name="Pilar2">[12]iD!$I$11</definedName>
    <definedName name="Pilar3">[12]iD!$J$11</definedName>
    <definedName name="Pilar4">[12]iD!$K$11</definedName>
    <definedName name="Pilar5">[12]iD!$L$11</definedName>
    <definedName name="Pilar6">[12]iD!$M$11</definedName>
    <definedName name="pileinraftCount">#REF!</definedName>
    <definedName name="pip1Address">#REF!</definedName>
    <definedName name="pip1AssetNo">#REF!</definedName>
    <definedName name="pip1BuildingLocation">#REF!</definedName>
    <definedName name="pip1Control">#REF!</definedName>
    <definedName name="pip1Coordinator">#REF!</definedName>
    <definedName name="pip1CorpPurch">#REF!</definedName>
    <definedName name="pip1CRESMailStop">#REF!</definedName>
    <definedName name="pip1DeptName">#REF!</definedName>
    <definedName name="pip1EmailAddress">#REF!</definedName>
    <definedName name="pip1FaxNo">#REF!</definedName>
    <definedName name="pip1FM">#REF!</definedName>
    <definedName name="pip1FMOperations">#REF!</definedName>
    <definedName name="pip1IT">#REF!</definedName>
    <definedName name="pip1ITSecurity">#REF!</definedName>
    <definedName name="pip1ManageProject">#REF!</definedName>
    <definedName name="pip1Other">#REF!</definedName>
    <definedName name="pip1PhoneNo">#REF!</definedName>
    <definedName name="pip1ProgramMan">#REF!</definedName>
    <definedName name="pip1ProjectMan">#REF!</definedName>
    <definedName name="pip1ProjectNumber">#REF!</definedName>
    <definedName name="pip1Projects">#REF!</definedName>
    <definedName name="pip1ProjectScope">#REF!</definedName>
    <definedName name="pip1Risk">#REF!</definedName>
    <definedName name="pip1SpaceCategory">#REF!</definedName>
    <definedName name="pip1SPRE">#REF!</definedName>
    <definedName name="pip1SqImpact">#REF!</definedName>
    <definedName name="pip2BuildingArea1">#REF!</definedName>
    <definedName name="pip2CostPerSq">#REF!</definedName>
    <definedName name="pip2CostPerSqProposed">#REF!</definedName>
    <definedName name="pip2Date1">#REF!</definedName>
    <definedName name="pip2Date2">#REF!</definedName>
    <definedName name="pip2LandArea1">#REF!</definedName>
    <definedName name="pip2No1">#REF!</definedName>
    <definedName name="pip2No2">#REF!</definedName>
    <definedName name="pip2No3">#REF!</definedName>
    <definedName name="pip2No4">#REF!</definedName>
    <definedName name="pip2No5">#REF!</definedName>
    <definedName name="pip2No6">#REF!</definedName>
    <definedName name="pip2No7">#REF!</definedName>
    <definedName name="pip2No8">#REF!</definedName>
    <definedName name="pip2OccupationCost">#REF!</definedName>
    <definedName name="pip2OccupationCostProposed">#REF!</definedName>
    <definedName name="pip2Options1">#REF!</definedName>
    <definedName name="pip2RentableSqMetre">#REF!</definedName>
    <definedName name="pip2RentableSqMetreProposed">#REF!</definedName>
    <definedName name="pip2RentPerSq">#REF!</definedName>
    <definedName name="pip2RentPerSqProposed">#REF!</definedName>
    <definedName name="pip2RentPerYear">#REF!</definedName>
    <definedName name="pip2RentPerYearProposed">#REF!</definedName>
    <definedName name="pip2Term1">#REF!</definedName>
    <definedName name="pip2Yes1">#REF!</definedName>
    <definedName name="pip2Yes2">#REF!</definedName>
    <definedName name="pip2Yes3">#REF!</definedName>
    <definedName name="pip2Yes4">#REF!</definedName>
    <definedName name="pip2Yes5">#REF!</definedName>
    <definedName name="pip2Yes6">#REF!</definedName>
    <definedName name="pip2Yes7">#REF!</definedName>
    <definedName name="pip2Yes8">#REF!</definedName>
    <definedName name="pip3Benefits">#REF!</definedName>
    <definedName name="pip3ImproveBusiness">#REF!</definedName>
    <definedName name="pip3NewBusiness">#REF!</definedName>
    <definedName name="pip3Portfolio">#REF!</definedName>
    <definedName name="pip3ProtectBusiness">#REF!</definedName>
    <definedName name="pip3Qu6">#REF!</definedName>
    <definedName name="pip3Qu7">#REF!</definedName>
    <definedName name="pip3Qu8">#REF!</definedName>
    <definedName name="PipeSize">#REF!</definedName>
    <definedName name="PipingDetail">#REF!</definedName>
    <definedName name="pk">#REF!</definedName>
    <definedName name="Pkg_col">#REF!</definedName>
    <definedName name="PKK" hidden="1">#REF!</definedName>
    <definedName name="pkm" hidden="1">{#N/A,#N/A,TRUE,"145A"}</definedName>
    <definedName name="pkm_1" hidden="1">{#N/A,#N/A,TRUE,"145A"}</definedName>
    <definedName name="pkm_1_1" hidden="1">{#N/A,#N/A,TRUE,"145A"}</definedName>
    <definedName name="pkm_1_1_1" hidden="1">{#N/A,#N/A,TRUE,"145A"}</definedName>
    <definedName name="pkm_2" hidden="1">{#N/A,#N/A,TRUE,"145A"}</definedName>
    <definedName name="pkm_2_1" hidden="1">{#N/A,#N/A,TRUE,"145A"}</definedName>
    <definedName name="pkm_3" hidden="1">{#N/A,#N/A,TRUE,"145A"}</definedName>
    <definedName name="pkm_3_1" hidden="1">{#N/A,#N/A,TRUE,"145A"}</definedName>
    <definedName name="pkm_4" hidden="1">{#N/A,#N/A,TRUE,"145A"}</definedName>
    <definedName name="pkm_4_1" hidden="1">{#N/A,#N/A,TRUE,"145A"}</definedName>
    <definedName name="pkm_5" hidden="1">{#N/A,#N/A,TRUE,"145A"}</definedName>
    <definedName name="pkm_5_1" hidden="1">{#N/A,#N/A,TRUE,"145A"}</definedName>
    <definedName name="pl">#REF!</definedName>
    <definedName name="Plan">#REF!</definedName>
    <definedName name="Plant">#REF!</definedName>
    <definedName name="Plant_Desc">#REF!</definedName>
    <definedName name="planyear">[59]Plandwld!$A$1:$AQ$253</definedName>
    <definedName name="Plast_1.3_W.P.C">#REF!</definedName>
    <definedName name="Plast_1.5_12mm">#REF!</definedName>
    <definedName name="Plast_1.5_20mm">#REF!</definedName>
    <definedName name="Plast_Dummy">#REF!</definedName>
    <definedName name="Plast_Roof">#REF!</definedName>
    <definedName name="PLASTER">#REF!</definedName>
    <definedName name="Plastic_Emulsion">#REF!</definedName>
    <definedName name="plbeams">#REF!</definedName>
    <definedName name="po">#REF!</definedName>
    <definedName name="po___0">#REF!</definedName>
    <definedName name="po___1">#REF!</definedName>
    <definedName name="po___17">#REF!</definedName>
    <definedName name="po___4">#REF!</definedName>
    <definedName name="po___5">#REF!</definedName>
    <definedName name="po_1">#REF!</definedName>
    <definedName name="po_1_1">#REF!</definedName>
    <definedName name="po_16">#REF!</definedName>
    <definedName name="po_17">#REF!</definedName>
    <definedName name="po_18">#REF!</definedName>
    <definedName name="po_19">#REF!</definedName>
    <definedName name="po_2">NA()</definedName>
    <definedName name="po_4">#REF!</definedName>
    <definedName name="po_4___0">#REF!</definedName>
    <definedName name="po_4___1">#REF!</definedName>
    <definedName name="po_4___17">#REF!</definedName>
    <definedName name="po_4___4">#REF!</definedName>
    <definedName name="po_4___5">#REF!</definedName>
    <definedName name="po_4_1">#REF!</definedName>
    <definedName name="po_4_1___0">#REF!</definedName>
    <definedName name="po_4_1___1">#REF!</definedName>
    <definedName name="po_4_1___5">#REF!</definedName>
    <definedName name="po_5">#REF!</definedName>
    <definedName name="po_6">#REF!</definedName>
    <definedName name="po_6___0">#REF!</definedName>
    <definedName name="po_6___1">#REF!</definedName>
    <definedName name="po_6___17">#REF!</definedName>
    <definedName name="po_6___4">#REF!</definedName>
    <definedName name="po_6___5">#REF!</definedName>
    <definedName name="po_7">#REF!</definedName>
    <definedName name="po_8">#REF!</definedName>
    <definedName name="po_9">#REF!</definedName>
    <definedName name="poi">'[21]Cons Recov Rates'!$A$1:$V$42</definedName>
    <definedName name="point1">#REF!</definedName>
    <definedName name="Pondy1">#REF!</definedName>
    <definedName name="portable">[75]Details!$D$11</definedName>
    <definedName name="PP_New">#REF!</definedName>
    <definedName name="PP_Old">#REF!</definedName>
    <definedName name="ppl" hidden="1">{#N/A,#N/A,FALSE,"gc (2)"}</definedName>
    <definedName name="ppp">#REF!</definedName>
    <definedName name="PPSplit_new">#REF!</definedName>
    <definedName name="PRA">#REF!</definedName>
    <definedName name="PRATEEK" hidden="1">{#N/A,#N/A,TRUE,"145A"}</definedName>
    <definedName name="PRATEEK_1" hidden="1">{#N/A,#N/A,TRUE,"145A"}</definedName>
    <definedName name="PRATEEK_1_1" hidden="1">{#N/A,#N/A,TRUE,"145A"}</definedName>
    <definedName name="PRATEEK_1_1_1" hidden="1">{#N/A,#N/A,TRUE,"145A"}</definedName>
    <definedName name="PRATEEK_2" hidden="1">{#N/A,#N/A,TRUE,"145A"}</definedName>
    <definedName name="PRATEEK_2_1" hidden="1">{#N/A,#N/A,TRUE,"145A"}</definedName>
    <definedName name="PRATEEK_3" hidden="1">{#N/A,#N/A,TRUE,"145A"}</definedName>
    <definedName name="PRATEEK_3_1" hidden="1">{#N/A,#N/A,TRUE,"145A"}</definedName>
    <definedName name="PRATEEK_4" hidden="1">{#N/A,#N/A,TRUE,"145A"}</definedName>
    <definedName name="PRATEEK_4_1" hidden="1">{#N/A,#N/A,TRUE,"145A"}</definedName>
    <definedName name="PRATEEK_5" hidden="1">{#N/A,#N/A,TRUE,"145A"}</definedName>
    <definedName name="PRATEEK_5_1" hidden="1">{#N/A,#N/A,TRUE,"145A"}</definedName>
    <definedName name="pravin" hidden="1">[76]Summary!#REF!</definedName>
    <definedName name="Prelm_Exp">#REF!</definedName>
    <definedName name="prem" hidden="1">{"Summary analysis",#N/A,FALSE,"Total";"OCPH analysis",#N/A,FALSE,"Total";"detail analysis",#N/A,FALSE,"Total"}</definedName>
    <definedName name="premium">[12]simulations!$B$3</definedName>
    <definedName name="PressedTile">#REF!</definedName>
    <definedName name="prfBusiness">#REF!</definedName>
    <definedName name="prfBusUser">#REF!</definedName>
    <definedName name="prfCompleteDate">#REF!</definedName>
    <definedName name="prfContactPerson">#REF!</definedName>
    <definedName name="prfControl">#REF!</definedName>
    <definedName name="prfCorpPurch">#REF!</definedName>
    <definedName name="prfCostCentre">#REF!</definedName>
    <definedName name="prfDate">#REF!</definedName>
    <definedName name="prfDeptLocation">#REF!</definedName>
    <definedName name="prfEmail">#REF!</definedName>
    <definedName name="prfEuroAmount">#REF!</definedName>
    <definedName name="prfFeasibilityDesc">#REF!</definedName>
    <definedName name="prfFM">#REF!</definedName>
    <definedName name="prfIG">#REF!</definedName>
    <definedName name="prfIT">#REF!</definedName>
    <definedName name="prfITSecurity">#REF!</definedName>
    <definedName name="prfOptBoth">#REF!</definedName>
    <definedName name="prfOptCapital">#REF!</definedName>
    <definedName name="prfOptNo1">#REF!</definedName>
    <definedName name="prfOptNo2">#REF!</definedName>
    <definedName name="prfOptNo3">#REF!</definedName>
    <definedName name="prfOptNo4">#REF!</definedName>
    <definedName name="prfOptRevenue">#REF!</definedName>
    <definedName name="prfOptYes1">#REF!</definedName>
    <definedName name="prfOptYes2">#REF!</definedName>
    <definedName name="prfOptYes3">#REF!</definedName>
    <definedName name="prfOptYes4">#REF!</definedName>
    <definedName name="prfOther">#REF!</definedName>
    <definedName name="prfPhoneFax">#REF!</definedName>
    <definedName name="prfProgramMan">#REF!</definedName>
    <definedName name="prfProjectCost">#REF!</definedName>
    <definedName name="prfProjectMan">#REF!</definedName>
    <definedName name="prfProjectName">#REF!</definedName>
    <definedName name="prfProjectStrategy">#REF!</definedName>
    <definedName name="prfProjectType">#REF!</definedName>
    <definedName name="prfReqDate">#REF!</definedName>
    <definedName name="prfReqDesc">#REF!</definedName>
    <definedName name="prfSPRE">#REF!</definedName>
    <definedName name="prfStudyCompleteBy">#REF!</definedName>
    <definedName name="price">#REF!</definedName>
    <definedName name="priced_end_3">NA()</definedName>
    <definedName name="priced_end_3_1">NA()</definedName>
    <definedName name="PRIME">#REF!</definedName>
    <definedName name="PRIME___0">#REF!</definedName>
    <definedName name="PRIME___1">#REF!</definedName>
    <definedName name="PRIME___5">#REF!</definedName>
    <definedName name="PrimeAddress">#REF!</definedName>
    <definedName name="PrimeAddress___0">#REF!</definedName>
    <definedName name="PrimeAddress___1">#REF!</definedName>
    <definedName name="PrimeAddress___17">#REF!</definedName>
    <definedName name="PrimeAddress___4">#REF!</definedName>
    <definedName name="PrimeAddress___5">#REF!</definedName>
    <definedName name="PrimeAddress_4">#REF!</definedName>
    <definedName name="PrimeAddress_4___0">#REF!</definedName>
    <definedName name="PrimeAddress_4___1">#REF!</definedName>
    <definedName name="PrimeAddress_4___17">#REF!</definedName>
    <definedName name="PrimeAddress_4___4">#REF!</definedName>
    <definedName name="PrimeAddress_4___5">#REF!</definedName>
    <definedName name="PrimeAddress_4_1">#REF!</definedName>
    <definedName name="PrimeAddress_4_1___0">#REF!</definedName>
    <definedName name="PrimeAddress_4_1___1">#REF!</definedName>
    <definedName name="PrimeAddress_4_1___5">#REF!</definedName>
    <definedName name="PrimeAddress_6">#REF!</definedName>
    <definedName name="PrimeAddress_6___0">#REF!</definedName>
    <definedName name="PrimeAddress_6___1">#REF!</definedName>
    <definedName name="PrimeAddress_6___17">#REF!</definedName>
    <definedName name="PrimeAddress_6___4">#REF!</definedName>
    <definedName name="PrimeAddress_6___5">#REF!</definedName>
    <definedName name="PrimeCity">#REF!</definedName>
    <definedName name="PrimeCity___0">#REF!</definedName>
    <definedName name="PrimeCity___1">#REF!</definedName>
    <definedName name="PrimeCity___17">#REF!</definedName>
    <definedName name="PrimeCity___4">#REF!</definedName>
    <definedName name="PrimeCity___5">#REF!</definedName>
    <definedName name="PrimeCity_4">#REF!</definedName>
    <definedName name="PrimeCity_4___0">#REF!</definedName>
    <definedName name="PrimeCity_4___1">#REF!</definedName>
    <definedName name="PrimeCity_4___17">#REF!</definedName>
    <definedName name="PrimeCity_4___4">#REF!</definedName>
    <definedName name="PrimeCity_4___5">#REF!</definedName>
    <definedName name="PrimeCity_4_1">#REF!</definedName>
    <definedName name="PrimeCity_4_1___0">#REF!</definedName>
    <definedName name="PrimeCity_4_1___1">#REF!</definedName>
    <definedName name="PrimeCity_4_1___5">#REF!</definedName>
    <definedName name="PrimeCity_6">#REF!</definedName>
    <definedName name="PrimeCity_6___0">#REF!</definedName>
    <definedName name="PrimeCity_6___1">#REF!</definedName>
    <definedName name="PrimeCity_6___17">#REF!</definedName>
    <definedName name="PrimeCity_6___4">#REF!</definedName>
    <definedName name="PrimeCity_6___5">#REF!</definedName>
    <definedName name="PrimeName">#REF!</definedName>
    <definedName name="PrimeName___0">#REF!</definedName>
    <definedName name="PrimeName___1">#REF!</definedName>
    <definedName name="PrimeName___17">#REF!</definedName>
    <definedName name="PrimeName___4">#REF!</definedName>
    <definedName name="PrimeName___5">#REF!</definedName>
    <definedName name="PrimeName_4">#REF!</definedName>
    <definedName name="PrimeName_4___0">#REF!</definedName>
    <definedName name="PrimeName_4___1">#REF!</definedName>
    <definedName name="PrimeName_4___17">#REF!</definedName>
    <definedName name="PrimeName_4___4">#REF!</definedName>
    <definedName name="PrimeName_4___5">#REF!</definedName>
    <definedName name="PrimeName_4_1">#REF!</definedName>
    <definedName name="PrimeName_4_1___0">#REF!</definedName>
    <definedName name="PrimeName_4_1___1">#REF!</definedName>
    <definedName name="PrimeName_4_1___5">#REF!</definedName>
    <definedName name="PrimeName_6">#REF!</definedName>
    <definedName name="PrimeName_6___0">#REF!</definedName>
    <definedName name="PrimeName_6___1">#REF!</definedName>
    <definedName name="PrimeName_6___17">#REF!</definedName>
    <definedName name="PrimeName_6___4">#REF!</definedName>
    <definedName name="PrimeName_6___5">#REF!</definedName>
    <definedName name="PrimePostal">#REF!</definedName>
    <definedName name="PrimePostal___0">#REF!</definedName>
    <definedName name="PrimePostal___1">#REF!</definedName>
    <definedName name="PrimePostal___17">#REF!</definedName>
    <definedName name="PrimePostal___4">#REF!</definedName>
    <definedName name="PrimePostal___5">#REF!</definedName>
    <definedName name="PrimePostal_4">#REF!</definedName>
    <definedName name="PrimePostal_4___0">#REF!</definedName>
    <definedName name="PrimePostal_4___1">#REF!</definedName>
    <definedName name="PrimePostal_4___17">#REF!</definedName>
    <definedName name="PrimePostal_4___4">#REF!</definedName>
    <definedName name="PrimePostal_4___5">#REF!</definedName>
    <definedName name="PrimePostal_4_1">#REF!</definedName>
    <definedName name="PrimePostal_4_1___0">#REF!</definedName>
    <definedName name="PrimePostal_4_1___1">#REF!</definedName>
    <definedName name="PrimePostal_4_1___5">#REF!</definedName>
    <definedName name="PrimePostal_6">#REF!</definedName>
    <definedName name="PrimePostal_6___0">#REF!</definedName>
    <definedName name="PrimePostal_6___1">#REF!</definedName>
    <definedName name="PrimePostal_6___17">#REF!</definedName>
    <definedName name="PrimePostal_6___4">#REF!</definedName>
    <definedName name="PrimePostal_6___5">#REF!</definedName>
    <definedName name="PrimePrio">#REF!</definedName>
    <definedName name="PrimePrio___0">#REF!</definedName>
    <definedName name="PrimePrio___1">#REF!</definedName>
    <definedName name="PrimePrio___17">#REF!</definedName>
    <definedName name="PrimePrio___4">#REF!</definedName>
    <definedName name="PrimePrio___5">#REF!</definedName>
    <definedName name="PrimePrio_4">#REF!</definedName>
    <definedName name="PrimePrio_4___0">#REF!</definedName>
    <definedName name="PrimePrio_4___1">#REF!</definedName>
    <definedName name="PrimePrio_4___17">#REF!</definedName>
    <definedName name="PrimePrio_4___4">#REF!</definedName>
    <definedName name="PrimePrio_4___5">#REF!</definedName>
    <definedName name="PrimePrio_4_1">#REF!</definedName>
    <definedName name="PrimePrio_4_1___0">#REF!</definedName>
    <definedName name="PrimePrio_4_1___1">#REF!</definedName>
    <definedName name="PrimePrio_4_1___5">#REF!</definedName>
    <definedName name="PrimePrio_6">#REF!</definedName>
    <definedName name="PrimePrio_6___0">#REF!</definedName>
    <definedName name="PrimePrio_6___1">#REF!</definedName>
    <definedName name="PrimePrio_6___17">#REF!</definedName>
    <definedName name="PrimePrio_6___4">#REF!</definedName>
    <definedName name="PrimePrio_6___5">#REF!</definedName>
    <definedName name="PrimePrio_Text">#REF!</definedName>
    <definedName name="PrimePrio_Text___0">#REF!</definedName>
    <definedName name="PrimePrio_Text___1">#REF!</definedName>
    <definedName name="PrimePrio_Text___17">#REF!</definedName>
    <definedName name="PrimePrio_Text___4">#REF!</definedName>
    <definedName name="PrimePrio_Text___5">#REF!</definedName>
    <definedName name="PrimePrio_Text_4">#REF!</definedName>
    <definedName name="PrimePrio_Text_4___0">#REF!</definedName>
    <definedName name="PrimePrio_Text_4___1">#REF!</definedName>
    <definedName name="PrimePrio_Text_4___17">#REF!</definedName>
    <definedName name="PrimePrio_Text_4___4">#REF!</definedName>
    <definedName name="PrimePrio_Text_4___5">#REF!</definedName>
    <definedName name="PrimePrio_Text_4_1">#REF!</definedName>
    <definedName name="PrimePrio_Text_4_1___0">#REF!</definedName>
    <definedName name="PrimePrio_Text_4_1___1">#REF!</definedName>
    <definedName name="PrimePrio_Text_4_1___5">#REF!</definedName>
    <definedName name="PrimePrio_Text_6">#REF!</definedName>
    <definedName name="PrimePrio_Text_6___0">#REF!</definedName>
    <definedName name="PrimePrio_Text_6___1">#REF!</definedName>
    <definedName name="PrimePrio_Text_6___17">#REF!</definedName>
    <definedName name="PrimePrio_Text_6___4">#REF!</definedName>
    <definedName name="PrimePrio_Text_6___5">#REF!</definedName>
    <definedName name="PrimeState">#REF!</definedName>
    <definedName name="PrimeState___0">#REF!</definedName>
    <definedName name="PrimeState___1">#REF!</definedName>
    <definedName name="PrimeState___17">#REF!</definedName>
    <definedName name="PrimeState___4">#REF!</definedName>
    <definedName name="PrimeState___5">#REF!</definedName>
    <definedName name="PrimeState_4">#REF!</definedName>
    <definedName name="PrimeState_4___0">#REF!</definedName>
    <definedName name="PrimeState_4___1">#REF!</definedName>
    <definedName name="PrimeState_4___17">#REF!</definedName>
    <definedName name="PrimeState_4___4">#REF!</definedName>
    <definedName name="PrimeState_4___5">#REF!</definedName>
    <definedName name="PrimeState_4_1">#REF!</definedName>
    <definedName name="PrimeState_4_1___0">#REF!</definedName>
    <definedName name="PrimeState_4_1___1">#REF!</definedName>
    <definedName name="PrimeState_4_1___5">#REF!</definedName>
    <definedName name="PrimeState_6">#REF!</definedName>
    <definedName name="PrimeState_6___0">#REF!</definedName>
    <definedName name="PrimeState_6___1">#REF!</definedName>
    <definedName name="PrimeState_6___17">#REF!</definedName>
    <definedName name="PrimeState_6___4">#REF!</definedName>
    <definedName name="PrimeState_6___5">#REF!</definedName>
    <definedName name="Princ">#REF!</definedName>
    <definedName name="prince">#REF!</definedName>
    <definedName name="prince1">#REF!</definedName>
    <definedName name="Principal">#REF!</definedName>
    <definedName name="PRINT">#REF!</definedName>
    <definedName name="_xlnm.Print_Area">#REF!</definedName>
    <definedName name="print_area_1">#REF!</definedName>
    <definedName name="Print_Area_MI">'[26]ACTUAL - 12 MTHS DATA'!$A$426:$H$427</definedName>
    <definedName name="PRINT_AREA_MI___0">#REF!</definedName>
    <definedName name="PRINT_AREA_MI___1">#REF!</definedName>
    <definedName name="PRINT_AREA_MI___17">#REF!</definedName>
    <definedName name="PRINT_AREA_MI___4">#REF!</definedName>
    <definedName name="PRINT_AREA_MI___5">#REF!</definedName>
    <definedName name="Print_Area_MI_17">#REF!</definedName>
    <definedName name="Print_Area_MI_2">#REF!</definedName>
    <definedName name="PRINT_AREA_MI_20">#REF!</definedName>
    <definedName name="PRINT_AREA_MI_22">#REF!</definedName>
    <definedName name="Print_Area_MI_3">#REF!</definedName>
    <definedName name="PRINT_AREA_MI_4">#REF!</definedName>
    <definedName name="PRINT_AREA_MI_4___0">#REF!</definedName>
    <definedName name="PRINT_AREA_MI_4___1">#REF!</definedName>
    <definedName name="PRINT_AREA_MI_4___17">#REF!</definedName>
    <definedName name="PRINT_AREA_MI_4___4">#REF!</definedName>
    <definedName name="PRINT_AREA_MI_4___5">#REF!</definedName>
    <definedName name="PRINT_AREA_MI_4_1">#REF!</definedName>
    <definedName name="PRINT_AREA_MI_4_1___0">#REF!</definedName>
    <definedName name="PRINT_AREA_MI_4_1___1">#REF!</definedName>
    <definedName name="PRINT_AREA_MI_4_1___5">#REF!</definedName>
    <definedName name="PRINT_AREA_MI_6">#REF!</definedName>
    <definedName name="PRINT_AREA_MI_6___0">#REF!</definedName>
    <definedName name="PRINT_AREA_MI_6___1">#REF!</definedName>
    <definedName name="PRINT_AREA_MI_6___17">#REF!</definedName>
    <definedName name="PRINT_AREA_MI_6___4">#REF!</definedName>
    <definedName name="PRINT_AREA_MI_6___5">#REF!</definedName>
    <definedName name="Print_Area_Reset">#N/A</definedName>
    <definedName name="Print_Area1">[77]MTNL!$A$585:$AE$800</definedName>
    <definedName name="PRINT_CATEGS">'[78]3:40'!$A$1:$I$62</definedName>
    <definedName name="Print_Front_Page">[68]Sheet1!$A$304:$AE$355</definedName>
    <definedName name="Print_Hotels">#REF!</definedName>
    <definedName name="Print_Range">#REF!</definedName>
    <definedName name="_xlnm.Print_Titles">#REF!</definedName>
    <definedName name="Print_Titles_MI">#REF!</definedName>
    <definedName name="PRINT_TITLES_MI_3">NA()</definedName>
    <definedName name="PRINT_TITLES_MI_3_1">NA()</definedName>
    <definedName name="print1" localSheetId="13">[79]!print1</definedName>
    <definedName name="print1" localSheetId="4">[79]!print1</definedName>
    <definedName name="print1">[79]!print1</definedName>
    <definedName name="Print1Start">[80]DCFValuation!$C$7</definedName>
    <definedName name="Print1Stop">[80]DCFValuation!$X$35</definedName>
    <definedName name="Print2">[68]Sheet1!$A$1:$R$302</definedName>
    <definedName name="Print2Start">[80]DCFValuation!$C$36</definedName>
    <definedName name="Print2Stop">[80]DCFValuation!$AC$93</definedName>
    <definedName name="Print3Start">[80]DCFValuation!$C$94</definedName>
    <definedName name="Print3Stop">[80]DCFValuation!$AC$128</definedName>
    <definedName name="Prior_Year">'[26]Download Prior Year'!$A$3:$AL$1271</definedName>
    <definedName name="PriorityValues">'[81]Field Values'!$C$4:$C$7</definedName>
    <definedName name="prl">#REF!</definedName>
    <definedName name="PRO">#REF!</definedName>
    <definedName name="proc_trend">'[26]3s'!$A$1:$BA$30</definedName>
    <definedName name="ProcSupp2001">#REF!</definedName>
    <definedName name="ProcSupp2002">#REF!</definedName>
    <definedName name="PROD">#REF!</definedName>
    <definedName name="PROD___0">#REF!</definedName>
    <definedName name="PROD___1">#REF!</definedName>
    <definedName name="PROD___17">#REF!</definedName>
    <definedName name="PROD___4">#REF!</definedName>
    <definedName name="PROD___5">#REF!</definedName>
    <definedName name="PROD_4">#REF!</definedName>
    <definedName name="PROD_4___0">#REF!</definedName>
    <definedName name="PROD_4___1">#REF!</definedName>
    <definedName name="PROD_4___17">#REF!</definedName>
    <definedName name="PROD_4___4">#REF!</definedName>
    <definedName name="PROD_4___5">#REF!</definedName>
    <definedName name="PROD_4_1">#REF!</definedName>
    <definedName name="PROD_4_1___0">#REF!</definedName>
    <definedName name="PROD_4_1___1">#REF!</definedName>
    <definedName name="PROD_4_1___5">#REF!</definedName>
    <definedName name="PROD_6">#REF!</definedName>
    <definedName name="PROD_6___0">#REF!</definedName>
    <definedName name="PROD_6___1">#REF!</definedName>
    <definedName name="PROD_6___17">#REF!</definedName>
    <definedName name="PROD_6___4">#REF!</definedName>
    <definedName name="PROD_6___5">#REF!</definedName>
    <definedName name="ProdCode1">#REF!</definedName>
    <definedName name="ProdCode1___0">#REF!</definedName>
    <definedName name="ProdCode1___1">#REF!</definedName>
    <definedName name="ProdCode1___17">#REF!</definedName>
    <definedName name="ProdCode1___4">#REF!</definedName>
    <definedName name="ProdCode1___5">#REF!</definedName>
    <definedName name="ProdCode1_4">#REF!</definedName>
    <definedName name="ProdCode1_4___0">#REF!</definedName>
    <definedName name="ProdCode1_4___1">#REF!</definedName>
    <definedName name="ProdCode1_4___17">#REF!</definedName>
    <definedName name="ProdCode1_4___4">#REF!</definedName>
    <definedName name="ProdCode1_4___5">#REF!</definedName>
    <definedName name="ProdCode1_4_1">#REF!</definedName>
    <definedName name="ProdCode1_4_1___0">#REF!</definedName>
    <definedName name="ProdCode1_4_1___1">#REF!</definedName>
    <definedName name="ProdCode1_4_1___5">#REF!</definedName>
    <definedName name="ProdCode1_6">#REF!</definedName>
    <definedName name="ProdCode1_6___0">#REF!</definedName>
    <definedName name="ProdCode1_6___1">#REF!</definedName>
    <definedName name="ProdCode1_6___17">#REF!</definedName>
    <definedName name="ProdCode1_6___4">#REF!</definedName>
    <definedName name="ProdCode1_6___5">#REF!</definedName>
    <definedName name="ProdCode1_Text">#REF!</definedName>
    <definedName name="ProdCode1_Text___0">#REF!</definedName>
    <definedName name="ProdCode1_Text___1">#REF!</definedName>
    <definedName name="ProdCode1_Text___17">#REF!</definedName>
    <definedName name="ProdCode1_Text___4">#REF!</definedName>
    <definedName name="ProdCode1_Text___5">#REF!</definedName>
    <definedName name="ProdCode1_Text_4">#REF!</definedName>
    <definedName name="ProdCode1_Text_4___0">#REF!</definedName>
    <definedName name="ProdCode1_Text_4___1">#REF!</definedName>
    <definedName name="ProdCode1_Text_4___17">#REF!</definedName>
    <definedName name="ProdCode1_Text_4___4">#REF!</definedName>
    <definedName name="ProdCode1_Text_4___5">#REF!</definedName>
    <definedName name="ProdCode1_Text_4_1">#REF!</definedName>
    <definedName name="ProdCode1_Text_4_1___0">#REF!</definedName>
    <definedName name="ProdCode1_Text_4_1___1">#REF!</definedName>
    <definedName name="ProdCode1_Text_4_1___5">#REF!</definedName>
    <definedName name="ProdCode1_Text_6">#REF!</definedName>
    <definedName name="ProdCode1_Text_6___0">#REF!</definedName>
    <definedName name="ProdCode1_Text_6___1">#REF!</definedName>
    <definedName name="ProdCode1_Text_6___17">#REF!</definedName>
    <definedName name="ProdCode1_Text_6___4">#REF!</definedName>
    <definedName name="ProdCode1_Text_6___5">#REF!</definedName>
    <definedName name="ProdCode2">#REF!</definedName>
    <definedName name="ProdCode2___0">#REF!</definedName>
    <definedName name="ProdCode2___1">#REF!</definedName>
    <definedName name="ProdCode2___17">#REF!</definedName>
    <definedName name="ProdCode2___4">#REF!</definedName>
    <definedName name="ProdCode2___5">#REF!</definedName>
    <definedName name="ProdCode2_4">#REF!</definedName>
    <definedName name="ProdCode2_4___0">#REF!</definedName>
    <definedName name="ProdCode2_4___1">#REF!</definedName>
    <definedName name="ProdCode2_4___17">#REF!</definedName>
    <definedName name="ProdCode2_4___4">#REF!</definedName>
    <definedName name="ProdCode2_4___5">#REF!</definedName>
    <definedName name="ProdCode2_4_1">#REF!</definedName>
    <definedName name="ProdCode2_4_1___0">#REF!</definedName>
    <definedName name="ProdCode2_4_1___1">#REF!</definedName>
    <definedName name="ProdCode2_4_1___5">#REF!</definedName>
    <definedName name="ProdCode2_6">#REF!</definedName>
    <definedName name="ProdCode2_6___0">#REF!</definedName>
    <definedName name="ProdCode2_6___1">#REF!</definedName>
    <definedName name="ProdCode2_6___17">#REF!</definedName>
    <definedName name="ProdCode2_6___4">#REF!</definedName>
    <definedName name="ProdCode2_6___5">#REF!</definedName>
    <definedName name="ProdCode2_Text">#REF!</definedName>
    <definedName name="ProdCode2_Text___0">#REF!</definedName>
    <definedName name="ProdCode2_Text___1">#REF!</definedName>
    <definedName name="ProdCode2_Text___17">#REF!</definedName>
    <definedName name="ProdCode2_Text___4">#REF!</definedName>
    <definedName name="ProdCode2_Text___5">#REF!</definedName>
    <definedName name="ProdCode2_Text_4">#REF!</definedName>
    <definedName name="ProdCode2_Text_4___0">#REF!</definedName>
    <definedName name="ProdCode2_Text_4___1">#REF!</definedName>
    <definedName name="ProdCode2_Text_4___17">#REF!</definedName>
    <definedName name="ProdCode2_Text_4___4">#REF!</definedName>
    <definedName name="ProdCode2_Text_4___5">#REF!</definedName>
    <definedName name="ProdCode2_Text_4_1">#REF!</definedName>
    <definedName name="ProdCode2_Text_4_1___0">#REF!</definedName>
    <definedName name="ProdCode2_Text_4_1___1">#REF!</definedName>
    <definedName name="ProdCode2_Text_4_1___5">#REF!</definedName>
    <definedName name="ProdCode2_Text_6">#REF!</definedName>
    <definedName name="ProdCode2_Text_6___0">#REF!</definedName>
    <definedName name="ProdCode2_Text_6___1">#REF!</definedName>
    <definedName name="ProdCode2_Text_6___17">#REF!</definedName>
    <definedName name="ProdCode2_Text_6___4">#REF!</definedName>
    <definedName name="ProdCode2_Text_6___5">#REF!</definedName>
    <definedName name="ProdCode3">#REF!</definedName>
    <definedName name="ProdCode3___0">#REF!</definedName>
    <definedName name="ProdCode3___1">#REF!</definedName>
    <definedName name="ProdCode3___17">#REF!</definedName>
    <definedName name="ProdCode3___4">#REF!</definedName>
    <definedName name="ProdCode3___5">#REF!</definedName>
    <definedName name="ProdCode3_4">#REF!</definedName>
    <definedName name="ProdCode3_4___0">#REF!</definedName>
    <definedName name="ProdCode3_4___1">#REF!</definedName>
    <definedName name="ProdCode3_4___17">#REF!</definedName>
    <definedName name="ProdCode3_4___4">#REF!</definedName>
    <definedName name="ProdCode3_4___5">#REF!</definedName>
    <definedName name="ProdCode3_4_1">#REF!</definedName>
    <definedName name="ProdCode3_4_1___0">#REF!</definedName>
    <definedName name="ProdCode3_4_1___1">#REF!</definedName>
    <definedName name="ProdCode3_4_1___5">#REF!</definedName>
    <definedName name="ProdCode3_6">#REF!</definedName>
    <definedName name="ProdCode3_6___0">#REF!</definedName>
    <definedName name="ProdCode3_6___1">#REF!</definedName>
    <definedName name="ProdCode3_6___17">#REF!</definedName>
    <definedName name="ProdCode3_6___4">#REF!</definedName>
    <definedName name="ProdCode3_6___5">#REF!</definedName>
    <definedName name="ProdCode3_Text">#REF!</definedName>
    <definedName name="ProdCode3_Text___0">#REF!</definedName>
    <definedName name="ProdCode3_Text___1">#REF!</definedName>
    <definedName name="ProdCode3_Text___17">#REF!</definedName>
    <definedName name="ProdCode3_Text___4">#REF!</definedName>
    <definedName name="ProdCode3_Text___5">#REF!</definedName>
    <definedName name="ProdCode3_Text_4">#REF!</definedName>
    <definedName name="ProdCode3_Text_4___0">#REF!</definedName>
    <definedName name="ProdCode3_Text_4___1">#REF!</definedName>
    <definedName name="ProdCode3_Text_4___17">#REF!</definedName>
    <definedName name="ProdCode3_Text_4___4">#REF!</definedName>
    <definedName name="ProdCode3_Text_4___5">#REF!</definedName>
    <definedName name="ProdCode3_Text_4_1">#REF!</definedName>
    <definedName name="ProdCode3_Text_4_1___0">#REF!</definedName>
    <definedName name="ProdCode3_Text_4_1___1">#REF!</definedName>
    <definedName name="ProdCode3_Text_4_1___5">#REF!</definedName>
    <definedName name="ProdCode3_Text_6">#REF!</definedName>
    <definedName name="ProdCode3_Text_6___0">#REF!</definedName>
    <definedName name="ProdCode3_Text_6___1">#REF!</definedName>
    <definedName name="ProdCode3_Text_6___17">#REF!</definedName>
    <definedName name="ProdCode3_Text_6___4">#REF!</definedName>
    <definedName name="ProdCode3_Text_6___5">#REF!</definedName>
    <definedName name="PRODCODE3KJGSCJKSDHCV">#REF!</definedName>
    <definedName name="PRODCODE3KJGSCJKSDHCV___0">#REF!</definedName>
    <definedName name="PRODCODE3KJGSCJKSDHCV___1">#REF!</definedName>
    <definedName name="PRODCODE3KJGSCJKSDHCV___5">#REF!</definedName>
    <definedName name="ProdCode4">#REF!</definedName>
    <definedName name="ProdCode4___0">#REF!</definedName>
    <definedName name="ProdCode4___1">#REF!</definedName>
    <definedName name="ProdCode4___17">#REF!</definedName>
    <definedName name="ProdCode4___4">#REF!</definedName>
    <definedName name="ProdCode4___5">#REF!</definedName>
    <definedName name="ProdCode4_4">#REF!</definedName>
    <definedName name="ProdCode4_4___0">#REF!</definedName>
    <definedName name="ProdCode4_4___1">#REF!</definedName>
    <definedName name="ProdCode4_4___17">#REF!</definedName>
    <definedName name="ProdCode4_4___4">#REF!</definedName>
    <definedName name="ProdCode4_4___5">#REF!</definedName>
    <definedName name="ProdCode4_4_1">#REF!</definedName>
    <definedName name="ProdCode4_4_1___0">#REF!</definedName>
    <definedName name="ProdCode4_4_1___1">#REF!</definedName>
    <definedName name="ProdCode4_4_1___5">#REF!</definedName>
    <definedName name="ProdCode4_6">#REF!</definedName>
    <definedName name="ProdCode4_6___0">#REF!</definedName>
    <definedName name="ProdCode4_6___1">#REF!</definedName>
    <definedName name="ProdCode4_6___17">#REF!</definedName>
    <definedName name="ProdCode4_6___4">#REF!</definedName>
    <definedName name="ProdCode4_6___5">#REF!</definedName>
    <definedName name="ProdCode4_Text">#REF!</definedName>
    <definedName name="ProdCode4_Text___0">#REF!</definedName>
    <definedName name="ProdCode4_Text___1">#REF!</definedName>
    <definedName name="ProdCode4_Text___17">#REF!</definedName>
    <definedName name="ProdCode4_Text___4">#REF!</definedName>
    <definedName name="ProdCode4_Text___5">#REF!</definedName>
    <definedName name="ProdCode4_Text_4">#REF!</definedName>
    <definedName name="ProdCode4_Text_4___0">#REF!</definedName>
    <definedName name="ProdCode4_Text_4___1">#REF!</definedName>
    <definedName name="ProdCode4_Text_4___17">#REF!</definedName>
    <definedName name="ProdCode4_Text_4___4">#REF!</definedName>
    <definedName name="ProdCode4_Text_4___5">#REF!</definedName>
    <definedName name="ProdCode4_Text_4_1">#REF!</definedName>
    <definedName name="ProdCode4_Text_4_1___0">#REF!</definedName>
    <definedName name="ProdCode4_Text_4_1___1">#REF!</definedName>
    <definedName name="ProdCode4_Text_4_1___5">#REF!</definedName>
    <definedName name="ProdCode4_Text_6">#REF!</definedName>
    <definedName name="ProdCode4_Text_6___0">#REF!</definedName>
    <definedName name="ProdCode4_Text_6___1">#REF!</definedName>
    <definedName name="ProdCode4_Text_6___17">#REF!</definedName>
    <definedName name="ProdCode4_Text_6___4">#REF!</definedName>
    <definedName name="ProdCode4_Text_6___5">#REF!</definedName>
    <definedName name="ProdCode5">#REF!</definedName>
    <definedName name="ProdCode5___0">#REF!</definedName>
    <definedName name="ProdCode5___1">#REF!</definedName>
    <definedName name="ProdCode5___17">#REF!</definedName>
    <definedName name="ProdCode5___4">#REF!</definedName>
    <definedName name="ProdCode5___5">#REF!</definedName>
    <definedName name="ProdCode5_4">#REF!</definedName>
    <definedName name="ProdCode5_4___0">#REF!</definedName>
    <definedName name="ProdCode5_4___1">#REF!</definedName>
    <definedName name="ProdCode5_4___17">#REF!</definedName>
    <definedName name="ProdCode5_4___4">#REF!</definedName>
    <definedName name="ProdCode5_4___5">#REF!</definedName>
    <definedName name="ProdCode5_4_1">#REF!</definedName>
    <definedName name="ProdCode5_4_1___0">#REF!</definedName>
    <definedName name="ProdCode5_4_1___1">#REF!</definedName>
    <definedName name="ProdCode5_4_1___5">#REF!</definedName>
    <definedName name="ProdCode5_6">#REF!</definedName>
    <definedName name="ProdCode5_6___0">#REF!</definedName>
    <definedName name="ProdCode5_6___1">#REF!</definedName>
    <definedName name="ProdCode5_6___17">#REF!</definedName>
    <definedName name="ProdCode5_6___4">#REF!</definedName>
    <definedName name="ProdCode5_6___5">#REF!</definedName>
    <definedName name="ProdCode5_Text">#REF!</definedName>
    <definedName name="ProdCode5_Text___0">#REF!</definedName>
    <definedName name="ProdCode5_Text___1">#REF!</definedName>
    <definedName name="ProdCode5_Text___17">#REF!</definedName>
    <definedName name="ProdCode5_Text___4">#REF!</definedName>
    <definedName name="ProdCode5_Text___5">#REF!</definedName>
    <definedName name="ProdCode5_Text_4">#REF!</definedName>
    <definedName name="ProdCode5_Text_4___0">#REF!</definedName>
    <definedName name="ProdCode5_Text_4___1">#REF!</definedName>
    <definedName name="ProdCode5_Text_4___17">#REF!</definedName>
    <definedName name="ProdCode5_Text_4___4">#REF!</definedName>
    <definedName name="ProdCode5_Text_4___5">#REF!</definedName>
    <definedName name="ProdCode5_Text_4_1">#REF!</definedName>
    <definedName name="ProdCode5_Text_4_1___0">#REF!</definedName>
    <definedName name="ProdCode5_Text_4_1___1">#REF!</definedName>
    <definedName name="ProdCode5_Text_4_1___5">#REF!</definedName>
    <definedName name="ProdCode5_Text_6">#REF!</definedName>
    <definedName name="ProdCode5_Text_6___0">#REF!</definedName>
    <definedName name="ProdCode5_Text_6___1">#REF!</definedName>
    <definedName name="ProdCode5_Text_6___17">#REF!</definedName>
    <definedName name="ProdCode5_Text_6___4">#REF!</definedName>
    <definedName name="ProdCode5_Text_6___5">#REF!</definedName>
    <definedName name="ProdForm" hidden="1">#REF!</definedName>
    <definedName name="ProdPct1">#REF!</definedName>
    <definedName name="ProdPct1___0">#REF!</definedName>
    <definedName name="ProdPct1___1">#REF!</definedName>
    <definedName name="ProdPct1___17">#REF!</definedName>
    <definedName name="ProdPct1___4">#REF!</definedName>
    <definedName name="ProdPct1___5">#REF!</definedName>
    <definedName name="ProdPct1_4">#REF!</definedName>
    <definedName name="ProdPct1_4___0">#REF!</definedName>
    <definedName name="ProdPct1_4___1">#REF!</definedName>
    <definedName name="ProdPct1_4___17">#REF!</definedName>
    <definedName name="ProdPct1_4___4">#REF!</definedName>
    <definedName name="ProdPct1_4___5">#REF!</definedName>
    <definedName name="ProdPct1_4_1">#REF!</definedName>
    <definedName name="ProdPct1_4_1___0">#REF!</definedName>
    <definedName name="ProdPct1_4_1___1">#REF!</definedName>
    <definedName name="ProdPct1_4_1___5">#REF!</definedName>
    <definedName name="ProdPct1_6">#REF!</definedName>
    <definedName name="ProdPct1_6___0">#REF!</definedName>
    <definedName name="ProdPct1_6___1">#REF!</definedName>
    <definedName name="ProdPct1_6___17">#REF!</definedName>
    <definedName name="ProdPct1_6___4">#REF!</definedName>
    <definedName name="ProdPct1_6___5">#REF!</definedName>
    <definedName name="ProdPct2">#REF!</definedName>
    <definedName name="ProdPct2___0">#REF!</definedName>
    <definedName name="ProdPct2___1">#REF!</definedName>
    <definedName name="ProdPct2___17">#REF!</definedName>
    <definedName name="ProdPct2___4">#REF!</definedName>
    <definedName name="ProdPct2___5">#REF!</definedName>
    <definedName name="ProdPct2_4">#REF!</definedName>
    <definedName name="ProdPct2_4___0">#REF!</definedName>
    <definedName name="ProdPct2_4___1">#REF!</definedName>
    <definedName name="ProdPct2_4___17">#REF!</definedName>
    <definedName name="ProdPct2_4___4">#REF!</definedName>
    <definedName name="ProdPct2_4___5">#REF!</definedName>
    <definedName name="ProdPct2_4_1">#REF!</definedName>
    <definedName name="ProdPct2_4_1___0">#REF!</definedName>
    <definedName name="ProdPct2_4_1___1">#REF!</definedName>
    <definedName name="ProdPct2_4_1___5">#REF!</definedName>
    <definedName name="ProdPct2_6">#REF!</definedName>
    <definedName name="ProdPct2_6___0">#REF!</definedName>
    <definedName name="ProdPct2_6___1">#REF!</definedName>
    <definedName name="ProdPct2_6___17">#REF!</definedName>
    <definedName name="ProdPct2_6___4">#REF!</definedName>
    <definedName name="ProdPct2_6___5">#REF!</definedName>
    <definedName name="ProdPct3">#REF!</definedName>
    <definedName name="ProdPct3___0">#REF!</definedName>
    <definedName name="ProdPct3___1">#REF!</definedName>
    <definedName name="ProdPct3___17">#REF!</definedName>
    <definedName name="ProdPct3___4">#REF!</definedName>
    <definedName name="ProdPct3___5">#REF!</definedName>
    <definedName name="ProdPct3_4">#REF!</definedName>
    <definedName name="ProdPct3_4___0">#REF!</definedName>
    <definedName name="ProdPct3_4___1">#REF!</definedName>
    <definedName name="ProdPct3_4___17">#REF!</definedName>
    <definedName name="ProdPct3_4___4">#REF!</definedName>
    <definedName name="ProdPct3_4___5">#REF!</definedName>
    <definedName name="ProdPct3_4_1">#REF!</definedName>
    <definedName name="ProdPct3_4_1___0">#REF!</definedName>
    <definedName name="ProdPct3_4_1___1">#REF!</definedName>
    <definedName name="ProdPct3_4_1___5">#REF!</definedName>
    <definedName name="ProdPct3_6">#REF!</definedName>
    <definedName name="ProdPct3_6___0">#REF!</definedName>
    <definedName name="ProdPct3_6___1">#REF!</definedName>
    <definedName name="ProdPct3_6___17">#REF!</definedName>
    <definedName name="ProdPct3_6___4">#REF!</definedName>
    <definedName name="ProdPct3_6___5">#REF!</definedName>
    <definedName name="ProdPct4">#REF!</definedName>
    <definedName name="ProdPct4___0">#REF!</definedName>
    <definedName name="ProdPct4___1">#REF!</definedName>
    <definedName name="ProdPct4___17">#REF!</definedName>
    <definedName name="ProdPct4___4">#REF!</definedName>
    <definedName name="ProdPct4___5">#REF!</definedName>
    <definedName name="ProdPct4_4">#REF!</definedName>
    <definedName name="ProdPct4_4___0">#REF!</definedName>
    <definedName name="ProdPct4_4___1">#REF!</definedName>
    <definedName name="ProdPct4_4___17">#REF!</definedName>
    <definedName name="ProdPct4_4___4">#REF!</definedName>
    <definedName name="ProdPct4_4___5">#REF!</definedName>
    <definedName name="ProdPct4_4_1">#REF!</definedName>
    <definedName name="ProdPct4_4_1___0">#REF!</definedName>
    <definedName name="ProdPct4_4_1___1">#REF!</definedName>
    <definedName name="ProdPct4_4_1___5">#REF!</definedName>
    <definedName name="ProdPct4_6">#REF!</definedName>
    <definedName name="ProdPct4_6___0">#REF!</definedName>
    <definedName name="ProdPct4_6___1">#REF!</definedName>
    <definedName name="ProdPct4_6___17">#REF!</definedName>
    <definedName name="ProdPct4_6___4">#REF!</definedName>
    <definedName name="ProdPct4_6___5">#REF!</definedName>
    <definedName name="ProdPct5">#REF!</definedName>
    <definedName name="ProdPct5___0">#REF!</definedName>
    <definedName name="ProdPct5___1">#REF!</definedName>
    <definedName name="ProdPct5___17">#REF!</definedName>
    <definedName name="ProdPct5___4">#REF!</definedName>
    <definedName name="ProdPct5___5">#REF!</definedName>
    <definedName name="ProdPct5_4">#REF!</definedName>
    <definedName name="ProdPct5_4___0">#REF!</definedName>
    <definedName name="ProdPct5_4___1">#REF!</definedName>
    <definedName name="ProdPct5_4___17">#REF!</definedName>
    <definedName name="ProdPct5_4___4">#REF!</definedName>
    <definedName name="ProdPct5_4___5">#REF!</definedName>
    <definedName name="ProdPct5_4_1">#REF!</definedName>
    <definedName name="ProdPct5_4_1___0">#REF!</definedName>
    <definedName name="ProdPct5_4_1___1">#REF!</definedName>
    <definedName name="ProdPct5_4_1___5">#REF!</definedName>
    <definedName name="ProdPct5_6">#REF!</definedName>
    <definedName name="ProdPct5_6___0">#REF!</definedName>
    <definedName name="ProdPct5_6___1">#REF!</definedName>
    <definedName name="ProdPct5_6___17">#REF!</definedName>
    <definedName name="ProdPct5_6___4">#REF!</definedName>
    <definedName name="ProdPct5_6___5">#REF!</definedName>
    <definedName name="Product" hidden="1">#REF!</definedName>
    <definedName name="Productivity" hidden="1">{"Summary analysis",#N/A,FALSE,"Total";"OCPH analysis",#N/A,FALSE,"Total";"detail analysis",#N/A,FALSE,"Total"}</definedName>
    <definedName name="ProductivityView">[39]!ProductivityView</definedName>
    <definedName name="Prof" hidden="1">#REF!</definedName>
    <definedName name="Professional_Fees">[12]IS!#REF!</definedName>
    <definedName name="profit" hidden="1">{#N/A,"Good",TRUE,"Sheet1";#N/A,"Normal",TRUE,"Sheet1";#N/A,"Bad",TRUE,"Sheet1"}</definedName>
    <definedName name="prog">#REF!</definedName>
    <definedName name="Programming_Cost_Talk" hidden="1">{"Alle Perioden",#N/A,FALSE,"Erf";"Alle Perioden",#N/A,FALSE,"Ang";"Alle Perioden",#N/A,FALSE,"BV";"Alle Perioden",#N/A,FALSE,"BE";"Alle Perioden",#N/A,FALSE,"Re";"Alle Perioden",#N/A,FALSE,"Vol"}</definedName>
    <definedName name="ProImportExport.ImportFile">#N/A</definedName>
    <definedName name="ProImportExport.SaveNewFile">#N/A</definedName>
    <definedName name="proj">#REF!</definedName>
    <definedName name="ProjAddress1">#REF!</definedName>
    <definedName name="ProjAddress1___0">#REF!</definedName>
    <definedName name="ProjAddress1___1">#REF!</definedName>
    <definedName name="ProjAddress1___17">#REF!</definedName>
    <definedName name="ProjAddress1___4">#REF!</definedName>
    <definedName name="ProjAddress1___5">#REF!</definedName>
    <definedName name="ProjAddress1_4">#REF!</definedName>
    <definedName name="ProjAddress1_4___0">#REF!</definedName>
    <definedName name="ProjAddress1_4___1">#REF!</definedName>
    <definedName name="ProjAddress1_4___17">#REF!</definedName>
    <definedName name="ProjAddress1_4___4">#REF!</definedName>
    <definedName name="ProjAddress1_4___5">#REF!</definedName>
    <definedName name="ProjAddress1_4_1">#REF!</definedName>
    <definedName name="ProjAddress1_4_1___0">#REF!</definedName>
    <definedName name="ProjAddress1_4_1___1">#REF!</definedName>
    <definedName name="ProjAddress1_4_1___5">#REF!</definedName>
    <definedName name="ProjAddress1_6">#REF!</definedName>
    <definedName name="ProjAddress1_6___0">#REF!</definedName>
    <definedName name="ProjAddress1_6___1">#REF!</definedName>
    <definedName name="ProjAddress1_6___17">#REF!</definedName>
    <definedName name="ProjAddress1_6___4">#REF!</definedName>
    <definedName name="ProjAddress1_6___5">#REF!</definedName>
    <definedName name="ProjAddress2">#REF!</definedName>
    <definedName name="ProjAddress2___0">#REF!</definedName>
    <definedName name="ProjAddress2___1">#REF!</definedName>
    <definedName name="ProjAddress2___17">#REF!</definedName>
    <definedName name="ProjAddress2___4">#REF!</definedName>
    <definedName name="ProjAddress2___5">#REF!</definedName>
    <definedName name="ProjAddress2_4">#REF!</definedName>
    <definedName name="ProjAddress2_4___0">#REF!</definedName>
    <definedName name="ProjAddress2_4___1">#REF!</definedName>
    <definedName name="ProjAddress2_4___17">#REF!</definedName>
    <definedName name="ProjAddress2_4___4">#REF!</definedName>
    <definedName name="ProjAddress2_4___5">#REF!</definedName>
    <definedName name="ProjAddress2_4_1">#REF!</definedName>
    <definedName name="ProjAddress2_4_1___0">#REF!</definedName>
    <definedName name="ProjAddress2_4_1___1">#REF!</definedName>
    <definedName name="ProjAddress2_4_1___5">#REF!</definedName>
    <definedName name="ProjAddress2_6">#REF!</definedName>
    <definedName name="ProjAddress2_6___0">#REF!</definedName>
    <definedName name="ProjAddress2_6___1">#REF!</definedName>
    <definedName name="ProjAddress2_6___17">#REF!</definedName>
    <definedName name="ProjAddress2_6___4">#REF!</definedName>
    <definedName name="ProjAddress2_6___5">#REF!</definedName>
    <definedName name="ProjCity">#REF!</definedName>
    <definedName name="ProjCity___0">#REF!</definedName>
    <definedName name="ProjCity___1">#REF!</definedName>
    <definedName name="ProjCity___17">#REF!</definedName>
    <definedName name="ProjCity___4">#REF!</definedName>
    <definedName name="ProjCity___5">#REF!</definedName>
    <definedName name="ProjCity_4">#REF!</definedName>
    <definedName name="ProjCity_4___0">#REF!</definedName>
    <definedName name="ProjCity_4___1">#REF!</definedName>
    <definedName name="ProjCity_4___17">#REF!</definedName>
    <definedName name="ProjCity_4___4">#REF!</definedName>
    <definedName name="ProjCity_4___5">#REF!</definedName>
    <definedName name="ProjCity_4_1">#REF!</definedName>
    <definedName name="ProjCity_4_1___0">#REF!</definedName>
    <definedName name="ProjCity_4_1___1">#REF!</definedName>
    <definedName name="ProjCity_4_1___5">#REF!</definedName>
    <definedName name="ProjCity_6">#REF!</definedName>
    <definedName name="ProjCity_6___0">#REF!</definedName>
    <definedName name="ProjCity_6___1">#REF!</definedName>
    <definedName name="ProjCity_6___17">#REF!</definedName>
    <definedName name="ProjCity_6___4">#REF!</definedName>
    <definedName name="ProjCity_6___5">#REF!</definedName>
    <definedName name="ProjCity1">#REF!</definedName>
    <definedName name="ProjCity1___0">#REF!</definedName>
    <definedName name="ProjCity1___1">#REF!</definedName>
    <definedName name="ProjCity1___5">#REF!</definedName>
    <definedName name="ProjCountry">#REF!</definedName>
    <definedName name="ProjCountry___0">#REF!</definedName>
    <definedName name="ProjCountry___1">#REF!</definedName>
    <definedName name="ProjCountry___17">#REF!</definedName>
    <definedName name="ProjCountry___4">#REF!</definedName>
    <definedName name="ProjCountry___5">#REF!</definedName>
    <definedName name="ProjCountry_4">#REF!</definedName>
    <definedName name="ProjCountry_4___0">#REF!</definedName>
    <definedName name="ProjCountry_4___1">#REF!</definedName>
    <definedName name="ProjCountry_4___17">#REF!</definedName>
    <definedName name="ProjCountry_4___4">#REF!</definedName>
    <definedName name="ProjCountry_4___5">#REF!</definedName>
    <definedName name="ProjCountry_4_1">#REF!</definedName>
    <definedName name="ProjCountry_4_1___0">#REF!</definedName>
    <definedName name="ProjCountry_4_1___1">#REF!</definedName>
    <definedName name="ProjCountry_4_1___5">#REF!</definedName>
    <definedName name="ProjCountry_6">#REF!</definedName>
    <definedName name="ProjCountry_6___0">#REF!</definedName>
    <definedName name="ProjCountry_6___1">#REF!</definedName>
    <definedName name="ProjCountry_6___17">#REF!</definedName>
    <definedName name="ProjCountry_6___4">#REF!</definedName>
    <definedName name="ProjCountry_6___5">#REF!</definedName>
    <definedName name="ProjCounty">#REF!</definedName>
    <definedName name="ProjCounty___0">#REF!</definedName>
    <definedName name="ProjCounty___1">#REF!</definedName>
    <definedName name="ProjCounty___17">#REF!</definedName>
    <definedName name="ProjCounty___4">#REF!</definedName>
    <definedName name="ProjCounty___5">#REF!</definedName>
    <definedName name="ProjCounty_4">#REF!</definedName>
    <definedName name="ProjCounty_4___0">#REF!</definedName>
    <definedName name="ProjCounty_4___1">#REF!</definedName>
    <definedName name="ProjCounty_4___17">#REF!</definedName>
    <definedName name="ProjCounty_4___4">#REF!</definedName>
    <definedName name="ProjCounty_4___5">#REF!</definedName>
    <definedName name="ProjCounty_4_1">#REF!</definedName>
    <definedName name="ProjCounty_4_1___0">#REF!</definedName>
    <definedName name="ProjCounty_4_1___1">#REF!</definedName>
    <definedName name="ProjCounty_4_1___5">#REF!</definedName>
    <definedName name="ProjCounty_6">#REF!</definedName>
    <definedName name="ProjCounty_6___0">#REF!</definedName>
    <definedName name="ProjCounty_6___1">#REF!</definedName>
    <definedName name="ProjCounty_6___17">#REF!</definedName>
    <definedName name="ProjCounty_6___4">#REF!</definedName>
    <definedName name="ProjCounty_6___5">#REF!</definedName>
    <definedName name="project">#REF!</definedName>
    <definedName name="Project_Name">#REF!</definedName>
    <definedName name="ProjectLocation">#REF!</definedName>
    <definedName name="ProjectName">"Test"</definedName>
    <definedName name="ProjectName1">"Test"</definedName>
    <definedName name="ProjectName2">"Test"</definedName>
    <definedName name="ProjectName3">"Test"</definedName>
    <definedName name="ProjectNumber">#REF!</definedName>
    <definedName name="ProjectSubtitle">#REF!</definedName>
    <definedName name="ProjectTitle">#REF!</definedName>
    <definedName name="ProjName">#REF!</definedName>
    <definedName name="ProjName___0">#REF!</definedName>
    <definedName name="ProjName___1">#REF!</definedName>
    <definedName name="ProjName___17">#REF!</definedName>
    <definedName name="ProjName___4">#REF!</definedName>
    <definedName name="ProjName___5">#REF!</definedName>
    <definedName name="ProjName_4">#REF!</definedName>
    <definedName name="ProjName_4___0">#REF!</definedName>
    <definedName name="ProjName_4___1">#REF!</definedName>
    <definedName name="ProjName_4___17">#REF!</definedName>
    <definedName name="ProjName_4___4">#REF!</definedName>
    <definedName name="ProjName_4___5">#REF!</definedName>
    <definedName name="ProjName_4_1">#REF!</definedName>
    <definedName name="ProjName_4_1___0">#REF!</definedName>
    <definedName name="ProjName_4_1___1">#REF!</definedName>
    <definedName name="ProjName_4_1___5">#REF!</definedName>
    <definedName name="ProjName_6">#REF!</definedName>
    <definedName name="ProjName_6___0">#REF!</definedName>
    <definedName name="ProjName_6___1">#REF!</definedName>
    <definedName name="ProjName_6___17">#REF!</definedName>
    <definedName name="ProjName_6___4">#REF!</definedName>
    <definedName name="ProjName_6___5">#REF!</definedName>
    <definedName name="ProjNum">#REF!</definedName>
    <definedName name="ProjNum___0">#REF!</definedName>
    <definedName name="ProjNum___1">#REF!</definedName>
    <definedName name="ProjNum___17">#REF!</definedName>
    <definedName name="ProjNum___4">#REF!</definedName>
    <definedName name="ProjNum___5">#REF!</definedName>
    <definedName name="ProjNum_4">#REF!</definedName>
    <definedName name="ProjNum_4___0">#REF!</definedName>
    <definedName name="ProjNum_4___1">#REF!</definedName>
    <definedName name="ProjNum_4___17">#REF!</definedName>
    <definedName name="ProjNum_4___4">#REF!</definedName>
    <definedName name="ProjNum_4___5">#REF!</definedName>
    <definedName name="ProjNum_4_1">#REF!</definedName>
    <definedName name="ProjNum_4_1___0">#REF!</definedName>
    <definedName name="ProjNum_4_1___1">#REF!</definedName>
    <definedName name="ProjNum_4_1___5">#REF!</definedName>
    <definedName name="ProjNum_6">#REF!</definedName>
    <definedName name="ProjNum_6___0">#REF!</definedName>
    <definedName name="ProjNum_6___1">#REF!</definedName>
    <definedName name="ProjNum_6___17">#REF!</definedName>
    <definedName name="ProjNum_6___4">#REF!</definedName>
    <definedName name="ProjNum_6___5">#REF!</definedName>
    <definedName name="ProjPostal">#REF!</definedName>
    <definedName name="ProjPostal___0">#REF!</definedName>
    <definedName name="ProjPostal___1">#REF!</definedName>
    <definedName name="ProjPostal___17">#REF!</definedName>
    <definedName name="ProjPostal___4">#REF!</definedName>
    <definedName name="ProjPostal___5">#REF!</definedName>
    <definedName name="ProjPostal_4">#REF!</definedName>
    <definedName name="ProjPostal_4___0">#REF!</definedName>
    <definedName name="ProjPostal_4___1">#REF!</definedName>
    <definedName name="ProjPostal_4___17">#REF!</definedName>
    <definedName name="ProjPostal_4___4">#REF!</definedName>
    <definedName name="ProjPostal_4___5">#REF!</definedName>
    <definedName name="ProjPostal_4_1">#REF!</definedName>
    <definedName name="ProjPostal_4_1___0">#REF!</definedName>
    <definedName name="ProjPostal_4_1___1">#REF!</definedName>
    <definedName name="ProjPostal_4_1___5">#REF!</definedName>
    <definedName name="ProjPostal_6">#REF!</definedName>
    <definedName name="ProjPostal_6___0">#REF!</definedName>
    <definedName name="ProjPostal_6___1">#REF!</definedName>
    <definedName name="ProjPostal_6___17">#REF!</definedName>
    <definedName name="ProjPostal_6___4">#REF!</definedName>
    <definedName name="ProjPostal_6___5">#REF!</definedName>
    <definedName name="ProjState">#REF!</definedName>
    <definedName name="ProjState___0">#REF!</definedName>
    <definedName name="ProjState___1">#REF!</definedName>
    <definedName name="ProjState___17">#REF!</definedName>
    <definedName name="ProjState___4">#REF!</definedName>
    <definedName name="ProjState___5">#REF!</definedName>
    <definedName name="ProjState_4">#REF!</definedName>
    <definedName name="ProjState_4___0">#REF!</definedName>
    <definedName name="ProjState_4___1">#REF!</definedName>
    <definedName name="ProjState_4___17">#REF!</definedName>
    <definedName name="ProjState_4___4">#REF!</definedName>
    <definedName name="ProjState_4___5">#REF!</definedName>
    <definedName name="ProjState_4_1">#REF!</definedName>
    <definedName name="ProjState_4_1___0">#REF!</definedName>
    <definedName name="ProjState_4_1___1">#REF!</definedName>
    <definedName name="ProjState_4_1___5">#REF!</definedName>
    <definedName name="ProjState_6">#REF!</definedName>
    <definedName name="ProjState_6___0">#REF!</definedName>
    <definedName name="ProjState_6___1">#REF!</definedName>
    <definedName name="ProjState_6___17">#REF!</definedName>
    <definedName name="ProjState_6___4">#REF!</definedName>
    <definedName name="ProjState_6___5">#REF!</definedName>
    <definedName name="PROPS">"'file://Stup-c09/D/JOBS/7078-MADURAVOYAL/ALAPAKKAM%20MAIN%20ROAD%20-%20APR05/ANNEX-2/ANN2-MADURAVOYAL%20DATA-APRIL-05.xls'#$Sheet1.$AA$27"</definedName>
    <definedName name="PROPS_15">[41]Sheet1!#REF!</definedName>
    <definedName name="PROPS_17">[41]Sheet1!#REF!</definedName>
    <definedName name="PROPS_18">[41]Sheet1!#REF!</definedName>
    <definedName name="PS">#REF!</definedName>
    <definedName name="PS___0">#REF!</definedName>
    <definedName name="PS___13">#REF!</definedName>
    <definedName name="ps_app">#REF!</definedName>
    <definedName name="ps_est">#REF!</definedName>
    <definedName name="ps_max">#REF!</definedName>
    <definedName name="ps_paid">#REF!</definedName>
    <definedName name="ps_quo">#REF!</definedName>
    <definedName name="ps_rec">#REF!</definedName>
    <definedName name="PSABillingMethod">#REF!</definedName>
    <definedName name="PSABillingMethod___0">#REF!</definedName>
    <definedName name="PSABillingMethod___1">#REF!</definedName>
    <definedName name="PSABillingMethod___17">#REF!</definedName>
    <definedName name="PSABillingMethod___4">#REF!</definedName>
    <definedName name="PSABillingMethod___5">#REF!</definedName>
    <definedName name="PSABillingMethod_4">#REF!</definedName>
    <definedName name="PSABillingMethod_4___0">#REF!</definedName>
    <definedName name="PSABillingMethod_4___1">#REF!</definedName>
    <definedName name="PSABillingMethod_4___17">#REF!</definedName>
    <definedName name="PSABillingMethod_4___4">#REF!</definedName>
    <definedName name="PSABillingMethod_4___5">#REF!</definedName>
    <definedName name="PSABillingMethod_4_1">#REF!</definedName>
    <definedName name="PSABillingMethod_4_1___0">#REF!</definedName>
    <definedName name="PSABillingMethod_4_1___1">#REF!</definedName>
    <definedName name="PSABillingMethod_4_1___5">#REF!</definedName>
    <definedName name="PSABillingMethod_6">#REF!</definedName>
    <definedName name="PSABillingMethod_6___0">#REF!</definedName>
    <definedName name="PSABillingMethod_6___1">#REF!</definedName>
    <definedName name="PSABillingMethod_6___17">#REF!</definedName>
    <definedName name="PSABillingMethod_6___4">#REF!</definedName>
    <definedName name="PSABillingMethod_6___5">#REF!</definedName>
    <definedName name="pss">#REF!</definedName>
    <definedName name="PUB_FileID" hidden="1">"L10003363.xls"</definedName>
    <definedName name="PUB_UserID" hidden="1">"MAYERX"</definedName>
    <definedName name="Pulley01">[12]iD!$AA$38</definedName>
    <definedName name="Pulley01a">[12]iD!$AA$39</definedName>
    <definedName name="Pulley02">[12]iD!$AB$38</definedName>
    <definedName name="Pulley03">[12]iD!$AC$38</definedName>
    <definedName name="Pulley03a">[12]iD!$AC$39</definedName>
    <definedName name="Pulley04">[12]iD!$AD$38</definedName>
    <definedName name="Pulley05">[12]iD!$AE$38</definedName>
    <definedName name="Pulley05a">[12]iD!$AE$39</definedName>
    <definedName name="Pulley06">[12]iD!$AF$38</definedName>
    <definedName name="pvc_100">#REF!</definedName>
    <definedName name="pvc_15">#REF!</definedName>
    <definedName name="pvc_150">#REF!</definedName>
    <definedName name="pvc_20">#REF!</definedName>
    <definedName name="pvc_200">#REF!</definedName>
    <definedName name="pvc_25">#REF!</definedName>
    <definedName name="pvc_250">#REF!</definedName>
    <definedName name="pvc_300">#REF!</definedName>
    <definedName name="pvc_32">#REF!</definedName>
    <definedName name="pvc_40">#REF!</definedName>
    <definedName name="pvc_400">#REF!</definedName>
    <definedName name="pvc_50">#REF!</definedName>
    <definedName name="pvc_600">#REF!</definedName>
    <definedName name="pvc_65">#REF!</definedName>
    <definedName name="pvc_80">#REF!</definedName>
    <definedName name="pvcf">#REF!</definedName>
    <definedName name="pvcl">#REF!</definedName>
    <definedName name="pwcFILE" hidden="1">[82]Data!#REF!</definedName>
    <definedName name="py">#REF!</definedName>
    <definedName name="q"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q_3">NA()</definedName>
    <definedName name="q_3_1">NA()</definedName>
    <definedName name="Qc">#REF!</definedName>
    <definedName name="Qc___0">#REF!</definedName>
    <definedName name="Qc___13">#REF!</definedName>
    <definedName name="qda">'[21]Cons Recov Rates'!$A$1:$V$42</definedName>
    <definedName name="qereq3">'[21]#REF'!$A$2:$N$42</definedName>
    <definedName name="qerqe">'[21]Avoidance '!$AD$8:$AS$82</definedName>
    <definedName name="qewqeqwerq" hidden="1">{#N/A,#N/A,FALSE,"Cash Flows";#N/A,#N/A,FALSE,"Fixed Assets";#N/A,#N/A,FALSE,"Balance Sheet";#N/A,#N/A,FALSE,"P &amp; L"}</definedName>
    <definedName name="QEWR" hidden="1">{"Network Summary",#N/A,TRUE,"Summary";"Piping Summary",#N/A,TRUE," Piping";"Meters Summary",#N/A,TRUE,"Meters &amp; Connections";"Connections Summary",#N/A,TRUE,"Meters &amp; Connections";"Stations Summary",#N/A,TRUE,"Stations Pivot"}</definedName>
    <definedName name="Qf">#REF!</definedName>
    <definedName name="Qf___0">#REF!</definedName>
    <definedName name="Qf___13">#REF!</definedName>
    <definedName name="Qi">#REF!</definedName>
    <definedName name="Qi___0">#REF!</definedName>
    <definedName name="Qi___13">#REF!</definedName>
    <definedName name="Ql">#REF!</definedName>
    <definedName name="Ql___0">#REF!</definedName>
    <definedName name="Ql___13">#REF!</definedName>
    <definedName name="qq">#REF!</definedName>
    <definedName name="qqqq">#REF!</definedName>
    <definedName name="qqqqqqqqqqqqq">#REF!</definedName>
    <definedName name="qqqwwe" hidden="1">{"front-cover",#N/A,TRUE,"FRONT";"index",#N/A,TRUE,"FRONT";"P&amp;L",#N/A,TRUE,"Summary";"CASHFLOW",#N/A,TRUE," CASHFLOW,BS";"BSHEET",#N/A,TRUE," CASHFLOW,BS";"COMMISSIONS",#N/A,TRUE,"Commission third party";"OVERHEADS",#N/A,TRUE,"Overheads";"FESTIVALS",#N/A,TRUE,"Festivals";"TRAVEL",#N/A,TRUE,"Travel &amp; Entertainment";"STOCK",#N/A,TRUE,"stock";"DEBTORS",#N/A,TRUE,"DEBTORS";"PREPAYMENTS",#N/A,TRUE,"PREPAYM&amp;ACC"}</definedName>
    <definedName name="qs">#REF!</definedName>
    <definedName name="Qspan">#REF!</definedName>
    <definedName name="qt" hidden="1">{"'Sheet1'!$L$16"}</definedName>
    <definedName name="QtrDwnld">#REF!</definedName>
    <definedName name="qttty" hidden="1">{#N/A,#N/A,TRUE,"Front";#N/A,#N/A,TRUE,"Simple Letter";#N/A,#N/A,TRUE,"Inside";#N/A,#N/A,TRUE,"Contents";#N/A,#N/A,TRUE,"Basis";#N/A,#N/A,TRUE,"Inclusions";#N/A,#N/A,TRUE,"Exclusions";#N/A,#N/A,TRUE,"Areas";#N/A,#N/A,TRUE,"Summary";#N/A,#N/A,TRUE,"Detail"}</definedName>
    <definedName name="qty">#REF!</definedName>
    <definedName name="QtyB02">#REF!</definedName>
    <definedName name="QtyB05">#REF!</definedName>
    <definedName name="QtyB06">#REF!</definedName>
    <definedName name="QtyB07">#REF!</definedName>
    <definedName name="quarterly_report">#REF!</definedName>
    <definedName name="QUARTZ">#REF!</definedName>
    <definedName name="QUERY1.keep_password" hidden="1">TRUE</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hidden="1">{TRUE;FALSE}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w">'[21]Consumer Fraud'!$A$1:$AF$73</definedName>
    <definedName name="qwe">'[21]#REF'!$A$1:$P$113</definedName>
    <definedName name="qweqewq"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qwqqq">'[21]#REF'!$A$176:$N$217</definedName>
    <definedName name="qwqwq">'[21]Consumer Outbound'!$B$71:$S$87</definedName>
    <definedName name="qwqwqw">'[21]#REF'!$A$2:$N$217</definedName>
    <definedName name="R.R_1.3">#REF!</definedName>
    <definedName name="R.R_1.5">#REF!</definedName>
    <definedName name="R.R_1.6">#REF!</definedName>
    <definedName name="R_">#REF!</definedName>
    <definedName name="r__3">NA()</definedName>
    <definedName name="r__3_1">NA()</definedName>
    <definedName name="raams">#REF!</definedName>
    <definedName name="RAFTArea">#REF!</definedName>
    <definedName name="RAFTPerimeter">#REF!</definedName>
    <definedName name="Raj" hidden="1">{"'Sheet1'!$A$4386:$N$4591"}</definedName>
    <definedName name="rajani" localSheetId="5" hidden="1">{#N/A,#N/A,FALSE,"M&amp;B_43A_fab";#N/A,#N/A,FALSE,"M&amp;B_43A_ERE.";#N/A,#N/A,FALSE,"M&amp;B-43A-ALIGN"}</definedName>
    <definedName name="rajani" localSheetId="0" hidden="1">{#N/A,#N/A,FALSE,"M&amp;B_43A_fab";#N/A,#N/A,FALSE,"M&amp;B_43A_ERE.";#N/A,#N/A,FALSE,"M&amp;B-43A-ALIGN"}</definedName>
    <definedName name="rajani" hidden="1">{#N/A,#N/A,FALSE,"M&amp;B_43A_fab";#N/A,#N/A,FALSE,"M&amp;B_43A_ERE.";#N/A,#N/A,FALSE,"M&amp;B-43A-ALIGN"}</definedName>
    <definedName name="ram" hidden="1">{"dep. full detail",#N/A,FALSE,"annex";"3cd annex",#N/A,FALSE,"annex";"co. dep.",#N/A,FALSE,"annex"}</definedName>
    <definedName name="rama" hidden="1">{"'August 2000'!$A$1:$J$101"}</definedName>
    <definedName name="RangeFC">#REF!</definedName>
    <definedName name="RangeHC">#REF!</definedName>
    <definedName name="RangeLeaseMaster">#REF!</definedName>
    <definedName name="RangeRegion">[83]Stakeholders!$A$2:$C$11</definedName>
    <definedName name="RangeSource">#REF!</definedName>
    <definedName name="RangeSymbol">'[84]Lookup Tables'!$A$2:$A$7</definedName>
    <definedName name="RatAna">#REF!</definedName>
    <definedName name="RATE">#REF!</definedName>
    <definedName name="RATE_DRIVER">[12]IS!#REF!</definedName>
    <definedName name="Rate_for_1_Cum">#REF!</definedName>
    <definedName name="RATEADJ">[12]IS!#REF!</definedName>
    <definedName name="Rates">#REF!</definedName>
    <definedName name="RATES__ADJUSTMENT__AREA">#REF!</definedName>
    <definedName name="ravi" hidden="1">{#N/A,#N/A,TRUE,"Front";#N/A,#N/A,TRUE,"Simple Letter";#N/A,#N/A,TRUE,"Inside";#N/A,#N/A,TRUE,"Contents";#N/A,#N/A,TRUE,"Basis";#N/A,#N/A,TRUE,"Inclusions";#N/A,#N/A,TRUE,"Exclusions";#N/A,#N/A,TRUE,"Areas";#N/A,#N/A,TRUE,"Summary";#N/A,#N/A,TRUE,"Detail"}</definedName>
    <definedName name="RCArea" hidden="1">#REF!</definedName>
    <definedName name="RCC">#REF!</definedName>
    <definedName name="RCC.1.1.2_MB">#REF!</definedName>
    <definedName name="RCC.1.1.5.3_MB">#REF!</definedName>
    <definedName name="RCC.1.2.4_MB">#REF!</definedName>
    <definedName name="rcwbgl">#REF!</definedName>
    <definedName name="rcwbgl2">#REF!</definedName>
    <definedName name="re">'[21]#REF'!$A$133:$N$174</definedName>
    <definedName name="Re___0">#REF!</definedName>
    <definedName name="Re___13">#REF!</definedName>
    <definedName name="re_1">#REF!</definedName>
    <definedName name="re_1_no">#REF!</definedName>
    <definedName name="re_1_pending">#REF!</definedName>
    <definedName name="re_2">#REF!</definedName>
    <definedName name="re_2_no">#REF!</definedName>
    <definedName name="re_2_pending">#REF!</definedName>
    <definedName name="re_3">#REF!</definedName>
    <definedName name="re_3_no">#REF!</definedName>
    <definedName name="re_3_pending">#REF!</definedName>
    <definedName name="re_4">#REF!</definedName>
    <definedName name="re_4_no">#REF!</definedName>
    <definedName name="re_4_pending">#REF!</definedName>
    <definedName name="re_5">#REF!</definedName>
    <definedName name="re_5_no">#REF!</definedName>
    <definedName name="re_5_pending">#REF!</definedName>
    <definedName name="re_6">#REF!</definedName>
    <definedName name="re_6_no">#REF!</definedName>
    <definedName name="re_6_pending">#REF!</definedName>
    <definedName name="re_7">#REF!</definedName>
    <definedName name="re_7_no">#REF!</definedName>
    <definedName name="re_7_pending">#REF!</definedName>
    <definedName name="re_8">#REF!</definedName>
    <definedName name="re_8_no">#REF!</definedName>
    <definedName name="re_8_pending">#REF!</definedName>
    <definedName name="re_9">#REF!</definedName>
    <definedName name="re_9_no">#REF!</definedName>
    <definedName name="re_9_pending">#REF!</definedName>
    <definedName name="READ" hidden="1">FALSE</definedName>
    <definedName name="real" hidden="1">{#N/A,#N/A,TRUE,"145A"}</definedName>
    <definedName name="real_1" hidden="1">{#N/A,#N/A,TRUE,"145A"}</definedName>
    <definedName name="real_1_1" hidden="1">{#N/A,#N/A,TRUE,"145A"}</definedName>
    <definedName name="real_1_1_1" hidden="1">{#N/A,#N/A,TRUE,"145A"}</definedName>
    <definedName name="real_2" hidden="1">{#N/A,#N/A,TRUE,"145A"}</definedName>
    <definedName name="real_2_1" hidden="1">{#N/A,#N/A,TRUE,"145A"}</definedName>
    <definedName name="real_3" hidden="1">{#N/A,#N/A,TRUE,"145A"}</definedName>
    <definedName name="real_3_1" hidden="1">{#N/A,#N/A,TRUE,"145A"}</definedName>
    <definedName name="real_4" hidden="1">{#N/A,#N/A,TRUE,"145A"}</definedName>
    <definedName name="real_4_1" hidden="1">{#N/A,#N/A,TRUE,"145A"}</definedName>
    <definedName name="real_5" hidden="1">{#N/A,#N/A,TRUE,"145A"}</definedName>
    <definedName name="real_5_1" hidden="1">{#N/A,#N/A,TRUE,"145A"}</definedName>
    <definedName name="Rebar_Qty._for_Bottom_L">#REF!</definedName>
    <definedName name="rec" hidden="1">{#N/A,#N/A,FALSE,"ActPrior";#N/A,#N/A,FALSE,"ActPlan";#N/A,#N/A,FALSE,"ActFore"}</definedName>
    <definedName name="Receiving_Location">#REF!</definedName>
    <definedName name="Receiving_Location_Key_Lookup">#REF!</definedName>
    <definedName name="Receiving_Location_List">#REF!</definedName>
    <definedName name="_xlnm.Recorder">#REF!</definedName>
    <definedName name="RECOUT">#N/A</definedName>
    <definedName name="rect_4_415">#REF!</definedName>
    <definedName name="REDOXIDE">#REF!</definedName>
    <definedName name="Ree">'[21]#REF'!$A$2:$N$42</definedName>
    <definedName name="reel" hidden="1">{#N/A,#N/A,TRUE,"145A"}</definedName>
    <definedName name="reel_1" hidden="1">{#N/A,#N/A,TRUE,"145A"}</definedName>
    <definedName name="reel_1_1" hidden="1">{#N/A,#N/A,TRUE,"145A"}</definedName>
    <definedName name="reel_1_1_1" hidden="1">{#N/A,#N/A,TRUE,"145A"}</definedName>
    <definedName name="reel_2" hidden="1">{#N/A,#N/A,TRUE,"145A"}</definedName>
    <definedName name="reel_2_1" hidden="1">{#N/A,#N/A,TRUE,"145A"}</definedName>
    <definedName name="reel_3" hidden="1">{#N/A,#N/A,TRUE,"145A"}</definedName>
    <definedName name="reel_3_1" hidden="1">{#N/A,#N/A,TRUE,"145A"}</definedName>
    <definedName name="reel_4" hidden="1">{#N/A,#N/A,TRUE,"145A"}</definedName>
    <definedName name="reel_4_1" hidden="1">{#N/A,#N/A,TRUE,"145A"}</definedName>
    <definedName name="reel_5" hidden="1">{#N/A,#N/A,TRUE,"145A"}</definedName>
    <definedName name="reel_5_1" hidden="1">{#N/A,#N/A,TRUE,"145A"}</definedName>
    <definedName name="REF" hidden="1">{#N/A,#N/A,FALSE,"COMP"}</definedName>
    <definedName name="RefDwg">#REF!</definedName>
    <definedName name="refill" hidden="1">'[85]mdd &amp; co Fdr jan.02 '!$A$33:$M$147</definedName>
    <definedName name="REG">#REF!</definedName>
    <definedName name="REINFORCE">#REF!</definedName>
    <definedName name="rel">#REF!</definedName>
    <definedName name="RELIEF">[12]IS!#REF!</definedName>
    <definedName name="remove" hidden="1">{#N/A,#N/A,TRUE,"KEY DATA";#N/A,#N/A,TRUE,"KEY DATA Base Case";#N/A,#N/A,TRUE,"JULY";#N/A,#N/A,TRUE,"AUG";#N/A,#N/A,TRUE,"SEPT";#N/A,#N/A,TRUE,"3Q"}</definedName>
    <definedName name="remove2" hidden="1">{#N/A,#N/A,TRUE,"KEY DATA";#N/A,#N/A,TRUE,"KEY DATA Base Case";#N/A,#N/A,TRUE,"JULY";#N/A,#N/A,TRUE,"AUG";#N/A,#N/A,TRUE,"SEPT";#N/A,#N/A,TRUE,"3Q"}</definedName>
    <definedName name="removes">#N/A</definedName>
    <definedName name="report">#REF!</definedName>
    <definedName name="REProjectPhase">#REF!</definedName>
    <definedName name="rerw">[41]Sheet1!#REF!</definedName>
    <definedName name="res_sum" hidden="1">{#N/A,#N/A,FALSE,"COVER1.XLS ";#N/A,#N/A,FALSE,"RACT1.XLS";#N/A,#N/A,FALSE,"RACT2.XLS";#N/A,#N/A,FALSE,"ECCMP";#N/A,#N/A,FALSE,"WELDER.XLS"}</definedName>
    <definedName name="ResDoa">#REF!</definedName>
    <definedName name="resources" hidden="1">{#N/A,#N/A,FALSE,"Assessment";#N/A,#N/A,FALSE,"Staffing";#N/A,#N/A,FALSE,"Hires";#N/A,#N/A,FALSE,"Assumptions"}</definedName>
    <definedName name="RESTRUCT">'[12]#REF'!#REF!</definedName>
    <definedName name="ret">'[21]#REF'!$A$1:$P$113</definedName>
    <definedName name="RetaingWallLength">#REF!</definedName>
    <definedName name="retert">'[21]Cons Recov Rates'!$A$1:$V$42</definedName>
    <definedName name="reu" hidden="1">{#N/A,#N/A,FALSE,"gc (2)"}</definedName>
    <definedName name="Rev">#REF!</definedName>
    <definedName name="revised">#N/A</definedName>
    <definedName name="Revision">#REF!</definedName>
    <definedName name="revision1">#REF!</definedName>
    <definedName name="rewtwe" hidden="1">{#N/A,#N/A,FALSE,"COMP"}</definedName>
    <definedName name="reya" hidden="1">{"office ltcg",#N/A,FALSE,"gain01";"IT LTCG",#N/A,FALSE,"gain01"}</definedName>
    <definedName name="rfehneberen" hidden="1">{#N/A,#N/A,FALSE,"Assessment";#N/A,#N/A,FALSE,"Staffing";#N/A,#N/A,FALSE,"Hires";#N/A,#N/A,FALSE,"Assumptions"}</definedName>
    <definedName name="RFP003A">#REF!</definedName>
    <definedName name="RFP003B">#REF!</definedName>
    <definedName name="RFP003C">#REF!</definedName>
    <definedName name="RFP003D">#REF!</definedName>
    <definedName name="RFP003E">#REF!</definedName>
    <definedName name="RFP003F">#REF!</definedName>
    <definedName name="RG" localSheetId="0" hidden="1">#REF!</definedName>
    <definedName name="RG" hidden="1">#REF!</definedName>
    <definedName name="rgasdgasdsdg">#REF!</definedName>
    <definedName name="rgfr">#REF!</definedName>
    <definedName name="rgrw">'[21]Consumer Fraud'!$A$1:$AF$73</definedName>
    <definedName name="RH">#REF!</definedName>
    <definedName name="RHS">#REF!</definedName>
    <definedName name="rig">#REF!</definedName>
    <definedName name="rim4___0">#REF!</definedName>
    <definedName name="rim4___1">#REF!</definedName>
    <definedName name="rim4___17">#REF!</definedName>
    <definedName name="rim4___4">#REF!</definedName>
    <definedName name="rim4___5">#REF!</definedName>
    <definedName name="rim4_1">#REF!</definedName>
    <definedName name="rim4_2">NA()</definedName>
    <definedName name="rim4_2_1">#REF!</definedName>
    <definedName name="rim4_4">#REF!</definedName>
    <definedName name="rim4_4___0">#REF!</definedName>
    <definedName name="rim4_4___1">#REF!</definedName>
    <definedName name="rim4_4___17">#REF!</definedName>
    <definedName name="rim4_4___4">#REF!</definedName>
    <definedName name="rim4_4___5">#REF!</definedName>
    <definedName name="rim4_4_1">#REF!</definedName>
    <definedName name="rim4_4_1___0">#REF!</definedName>
    <definedName name="rim4_4_1___1">#REF!</definedName>
    <definedName name="rim4_4_1___5">#REF!</definedName>
    <definedName name="rim4_6">#REF!</definedName>
    <definedName name="rim4_6___0">#REF!</definedName>
    <definedName name="rim4_6___1">#REF!</definedName>
    <definedName name="rim4_6___17">#REF!</definedName>
    <definedName name="rim4_6___4">#REF!</definedName>
    <definedName name="rim4_6___5">#REF!</definedName>
    <definedName name="ripal" hidden="1">{#N/A,#N/A,FALSE,"gc (2)"}</definedName>
    <definedName name="RISK">#REF!</definedName>
    <definedName name="Rl">#REF!</definedName>
    <definedName name="Rl___0">#REF!</definedName>
    <definedName name="Rl___13">#REF!</definedName>
    <definedName name="RM" hidden="1">[86]EXPENSES!#REF!</definedName>
    <definedName name="rm4___0">#REF!</definedName>
    <definedName name="rm4___1">#REF!</definedName>
    <definedName name="rm4___17">#REF!</definedName>
    <definedName name="rm4___4">#REF!</definedName>
    <definedName name="rm4___5">#REF!</definedName>
    <definedName name="rm4e">#REF!</definedName>
    <definedName name="rm4e_16">#REF!</definedName>
    <definedName name="rm4e_17">#REF!</definedName>
    <definedName name="rm4e_18">#REF!</definedName>
    <definedName name="rm4e_19">#REF!</definedName>
    <definedName name="rm4e_4">#REF!</definedName>
    <definedName name="rm4e_5">#REF!</definedName>
    <definedName name="rm4e_6">#REF!</definedName>
    <definedName name="rm4e_7">#REF!</definedName>
    <definedName name="rm4e_8">#REF!</definedName>
    <definedName name="rm4e_9">#REF!</definedName>
    <definedName name="RMC">#REF!</definedName>
    <definedName name="rn" localSheetId="5" hidden="1">{"Inflation-BaseYear",#N/A,FALSE,"Inputs"}</definedName>
    <definedName name="rn" localSheetId="0" hidden="1">{"Inflation-BaseYear",#N/A,FALSE,"Inputs"}</definedName>
    <definedName name="rn" hidden="1">{"Inflation-BaseYear",#N/A,FALSE,"Inputs"}</definedName>
    <definedName name="rnrn" hidden="1">{#N/A,#N/A,FALSE,"Assessment";#N/A,#N/A,FALSE,"Staffing";#N/A,#N/A,FALSE,"Hires";#N/A,#N/A,FALSE,"Assumptions"}</definedName>
    <definedName name="rnrny" hidden="1">{#N/A,#N/A,FALSE,"Assessment";#N/A,#N/A,FALSE,"Staffing";#N/A,#N/A,FALSE,"Hires";#N/A,#N/A,FALSE,"Assumptions"}</definedName>
    <definedName name="ROAD">#REF!</definedName>
    <definedName name="robot">#REF!</definedName>
    <definedName name="ROOF">#REF!</definedName>
    <definedName name="rosid">#REF!</definedName>
    <definedName name="Rough">#REF!</definedName>
    <definedName name="row1_3">NA()</definedName>
    <definedName name="row1_3_1">NA()</definedName>
    <definedName name="RPMCAR">'[12]#REF'!#REF!</definedName>
    <definedName name="RPMMEX">'[12]#REF'!#REF!</definedName>
    <definedName name="rqereq">'[21]#REF'!$A$2:$N$55</definedName>
    <definedName name="rrdsa" hidden="1">{#N/A,#N/A,FALSE,"consu_cover";#N/A,#N/A,FALSE,"consu_strategy";#N/A,#N/A,FALSE,"consu_flow";#N/A,#N/A,FALSE,"Summary_reqmt";#N/A,#N/A,FALSE,"field_ppg";#N/A,#N/A,FALSE,"ppg_shop";#N/A,#N/A,FALSE,"strl";#N/A,#N/A,FALSE,"tankages";#N/A,#N/A,FALSE,"gases"}</definedName>
    <definedName name="rrrrrrrrrrrrrrrrrg" hidden="1">{#N/A,#N/A,FALSE,"Assessment";#N/A,#N/A,FALSE,"Staffing";#N/A,#N/A,FALSE,"Hires";#N/A,#N/A,FALSE,"Assumptions"}</definedName>
    <definedName name="Rs">#REF!</definedName>
    <definedName name="Rs___0">#REF!</definedName>
    <definedName name="Rs___13">#REF!</definedName>
    <definedName name="Rse">#REF!</definedName>
    <definedName name="Rse___0">#REF!</definedName>
    <definedName name="Rse___13">#REF!</definedName>
    <definedName name="RsmName">#REF!</definedName>
    <definedName name="rt">'[21]Consumer Supps'!$A$1:$V$41</definedName>
    <definedName name="rt4e">'[21]#REF'!$A$1:$P$113</definedName>
    <definedName name="RTFGHJG">#REF!</definedName>
    <definedName name="rtjtrj" hidden="1">{#N/A,#N/A,FALSE,"Assessment";#N/A,#N/A,FALSE,"Staffing";#N/A,#N/A,FALSE,"Hires";#N/A,#N/A,FALSE,"Assumptions"}</definedName>
    <definedName name="rtn" hidden="1">{#N/A,#N/A,FALSE,"Assessment";#N/A,#N/A,FALSE,"Staffing";#N/A,#N/A,FALSE,"Hires";#N/A,#N/A,FALSE,"Assumptions"}</definedName>
    <definedName name="rtnrt" hidden="1">{#N/A,#N/A,FALSE,"Assessment";#N/A,#N/A,FALSE,"Staffing";#N/A,#N/A,FALSE,"Hires";#N/A,#N/A,FALSE,"Assumptions"}</definedName>
    <definedName name="rtr">#REF!</definedName>
    <definedName name="rty">#REF!</definedName>
    <definedName name="rw" hidden="1">{#N/A,#N/A,FALSE,"COVER1.XLS ";#N/A,#N/A,FALSE,"RACT1.XLS";#N/A,#N/A,FALSE,"RACT2.XLS";#N/A,#N/A,FALSE,"ECCMP";#N/A,#N/A,FALSE,"WELDER.XLS"}</definedName>
    <definedName name="rwere" hidden="1">{#N/A,#N/A,FALSE,"COVER1.XLS ";#N/A,#N/A,FALSE,"RACT1.XLS";#N/A,#N/A,FALSE,"RACT2.XLS";#N/A,#N/A,FALSE,"ECCMP";#N/A,#N/A,FALSE,"WELDER.XLS"}</definedName>
    <definedName name="rwgwr">'[21]Avoidance '!$A$1:$Y$82</definedName>
    <definedName name="rwre">#REF!</definedName>
    <definedName name="ryyr" hidden="1">{#N/A,#N/A,FALSE,"Assessment";#N/A,#N/A,FALSE,"Staffing";#N/A,#N/A,FALSE,"Hires";#N/A,#N/A,FALSE,"Assumptions"}</definedName>
    <definedName name="s"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S.L.WALL">#REF!</definedName>
    <definedName name="S.S.WALL">#REF!</definedName>
    <definedName name="s___10">#REF!</definedName>
    <definedName name="s___11">#REF!</definedName>
    <definedName name="s___14">#REF!</definedName>
    <definedName name="s___16">#REF!</definedName>
    <definedName name="s___17">#REF!</definedName>
    <definedName name="s___18">#REF!</definedName>
    <definedName name="s___4">#REF!</definedName>
    <definedName name="s___5">#REF!</definedName>
    <definedName name="s___7">#REF!</definedName>
    <definedName name="s___8">#REF!</definedName>
    <definedName name="s___9">#REF!</definedName>
    <definedName name="s_3">NA()</definedName>
    <definedName name="s_3_1">NA()</definedName>
    <definedName name="S0">#REF!</definedName>
    <definedName name="S0___0">#REF!</definedName>
    <definedName name="S0___1">#REF!</definedName>
    <definedName name="S0___5">#REF!</definedName>
    <definedName name="S0_6">NA()</definedName>
    <definedName name="s11a" hidden="1">{#N/A,#N/A,TRUE,"Summary";#N/A,#N/A,TRUE,"Balance Sheet";#N/A,#N/A,TRUE,"P &amp; L";#N/A,#N/A,TRUE,"Fixed Assets";#N/A,#N/A,TRUE,"Cash Flows"}</definedName>
    <definedName name="s11Area">#REF!</definedName>
    <definedName name="s11Perimeter">#REF!</definedName>
    <definedName name="sa">'[24]Standard Cost Codes'!#REF!</definedName>
    <definedName name="SA___0">#REF!</definedName>
    <definedName name="SA___1">#REF!</definedName>
    <definedName name="SA___5">#REF!</definedName>
    <definedName name="SAB">#REF!</definedName>
    <definedName name="SAD">#REF!</definedName>
    <definedName name="SADDS">#REF!</definedName>
    <definedName name="SALARY">#REF!</definedName>
    <definedName name="SALARY_6">NA()</definedName>
    <definedName name="SalesMgr">#REF!</definedName>
    <definedName name="SalesMgr___0">#REF!</definedName>
    <definedName name="SalesMgr___1">#REF!</definedName>
    <definedName name="SalesMgr___17">#REF!</definedName>
    <definedName name="SalesMgr___4">#REF!</definedName>
    <definedName name="SalesMgr___5">#REF!</definedName>
    <definedName name="SalesMgr_4">#REF!</definedName>
    <definedName name="SalesMgr_4___0">#REF!</definedName>
    <definedName name="SalesMgr_4___1">#REF!</definedName>
    <definedName name="SalesMgr_4___17">#REF!</definedName>
    <definedName name="SalesMgr_4___4">#REF!</definedName>
    <definedName name="SalesMgr_4___5">#REF!</definedName>
    <definedName name="SalesMgr_4_1">#REF!</definedName>
    <definedName name="SalesMgr_4_1___0">#REF!</definedName>
    <definedName name="SalesMgr_4_1___1">#REF!</definedName>
    <definedName name="SalesMgr_4_1___5">#REF!</definedName>
    <definedName name="SalesMgr_6">#REF!</definedName>
    <definedName name="SalesMgr_6___0">#REF!</definedName>
    <definedName name="SalesMgr_6___1">#REF!</definedName>
    <definedName name="SalesMgr_6___17">#REF!</definedName>
    <definedName name="SalesMgr_6___4">#REF!</definedName>
    <definedName name="SalesMgr_6___5">#REF!</definedName>
    <definedName name="SaleUnit" hidden="1">[68]Debt!$K$156:$Y$156,[68]Debt!$K$174:$Y$174,[68]Debt!$K$192:$Y$192,[68]Debt!$K$210:$Y$210,[68]Debt!$K$228:$Y$228,[68]Debt!$K$246:$Y$246,[68]Debt!$K$264:$Y$264,[68]Debt!$K$282:$Y$282</definedName>
    <definedName name="SaleValue" hidden="1">[68]Debt!$K$159:$Y$159,[68]Debt!$K$177:$Y$177,[68]Debt!$K$195:$Y$195,[68]Debt!$K$213:$Y$213,[68]Debt!$K$231:$Y$231,[68]Debt!$K$249:$Y$249,[68]Debt!$K$267:$Y$267,[68]Debt!$K$285:$Y$285</definedName>
    <definedName name="san">#REF!</definedName>
    <definedName name="SANAND" hidden="1">{"'Sheet1'!$A$4386:$N$4591"}</definedName>
    <definedName name="SAND_FILL">#REF!</definedName>
    <definedName name="Sanitary">#REF!</definedName>
    <definedName name="sanjay">#REF!</definedName>
    <definedName name="sanjaythute">#REF!</definedName>
    <definedName name="sanju" hidden="1">{"office ltcg",#N/A,FALSE,"gain01";"IT LTCG",#N/A,FALSE,"gain01"}</definedName>
    <definedName name="SAPBEXdnldView" hidden="1">"4S08PSH833Q4UUBA7NKHH8J71"</definedName>
    <definedName name="SAPBEXrevision" hidden="1">3</definedName>
    <definedName name="SAPBEXsysID" hidden="1">"BAP"</definedName>
    <definedName name="SAPBEXwbID" hidden="1">"40BUNZCZTCQHDPD636A8ETFK3"</definedName>
    <definedName name="Sara" localSheetId="5" hidden="1">{"cashcons",#N/A,FALSE,"CASHCONS";"cash7000",#N/A,FALSE,"CASH7000";"cash9000",#N/A,FALSE,"CASH9000";"assu7000",#N/A,FALSE,"ASSU7000";"assu9000",#N/A,FALSE,"ASSU9000";"rentroll",#N/A,FALSE,"RENTROLL";"expr7000",#N/A,FALSE,"EXPR7000";"expr9000",#N/A,FALSE,"EXPR9000"}</definedName>
    <definedName name="Sara" localSheetId="0" hidden="1">{"cashcons",#N/A,FALSE,"CASHCONS";"cash7000",#N/A,FALSE,"CASH7000";"cash9000",#N/A,FALSE,"CASH9000";"assu7000",#N/A,FALSE,"ASSU7000";"assu9000",#N/A,FALSE,"ASSU9000";"rentroll",#N/A,FALSE,"RENTROLL";"expr7000",#N/A,FALSE,"EXPR7000";"expr9000",#N/A,FALSE,"EXPR9000"}</definedName>
    <definedName name="Sara" hidden="1">{"cashcons",#N/A,FALSE,"CASHCONS";"cash7000",#N/A,FALSE,"CASH7000";"cash9000",#N/A,FALSE,"CASH9000";"assu7000",#N/A,FALSE,"ASSU7000";"assu9000",#N/A,FALSE,"ASSU9000";"rentroll",#N/A,FALSE,"RENTROLL";"expr7000",#N/A,FALSE,"EXPR7000";"expr9000",#N/A,FALSE,"EXPR9000"}</definedName>
    <definedName name="Sara_2" localSheetId="5" hidden="1">{#N/A,#N/A,TRUE,"10 Yr Hold";#N/A,#N/A,TRUE,"7 Yr Hold";#N/A,#N/A,TRUE,"5 Yr Hold";#N/A,#N/A,TRUE,"3 Yr Hold"}</definedName>
    <definedName name="Sara_2" localSheetId="0" hidden="1">{#N/A,#N/A,TRUE,"10 Yr Hold";#N/A,#N/A,TRUE,"7 Yr Hold";#N/A,#N/A,TRUE,"5 Yr Hold";#N/A,#N/A,TRUE,"3 Yr Hold"}</definedName>
    <definedName name="Sara_2" hidden="1">{#N/A,#N/A,TRUE,"10 Yr Hold";#N/A,#N/A,TRUE,"7 Yr Hold";#N/A,#N/A,TRUE,"5 Yr Hold";#N/A,#N/A,TRUE,"3 Yr Hold"}</definedName>
    <definedName name="SASDASD">#REF!</definedName>
    <definedName name="SASDASD___0">#REF!</definedName>
    <definedName name="SASDASD___1">#REF!</definedName>
    <definedName name="SASDASD___5">#REF!</definedName>
    <definedName name="saucomd">#REF!</definedName>
    <definedName name="saucomd___0">#REF!</definedName>
    <definedName name="saucomd___1">#REF!</definedName>
    <definedName name="saucomd___17">#REF!</definedName>
    <definedName name="saucomd___4">#REF!</definedName>
    <definedName name="saucomd___5">#REF!</definedName>
    <definedName name="saucstf">#REF!</definedName>
    <definedName name="saucstf___0">#REF!</definedName>
    <definedName name="saucstf___1">#REF!</definedName>
    <definedName name="saucstf___17">#REF!</definedName>
    <definedName name="saucstf___4">#REF!</definedName>
    <definedName name="saucstf___5">#REF!</definedName>
    <definedName name="saud">#REF!</definedName>
    <definedName name="saud___0">#REF!</definedName>
    <definedName name="saud___1">#REF!</definedName>
    <definedName name="saud___17">#REF!</definedName>
    <definedName name="saud___4">#REF!</definedName>
    <definedName name="saud___5">#REF!</definedName>
    <definedName name="saud_2">NA()</definedName>
    <definedName name="saud_4">#REF!</definedName>
    <definedName name="saud_4___0">#REF!</definedName>
    <definedName name="saud_4___1">#REF!</definedName>
    <definedName name="saud_4___17">#REF!</definedName>
    <definedName name="saud_4___4">#REF!</definedName>
    <definedName name="saud_4___5">#REF!</definedName>
    <definedName name="saud_4_1">#REF!</definedName>
    <definedName name="saud_4_1___0">#REF!</definedName>
    <definedName name="saud_4_1___1">#REF!</definedName>
    <definedName name="saud_4_1___5">#REF!</definedName>
    <definedName name="saud_6">#REF!</definedName>
    <definedName name="saud_6___0">#REF!</definedName>
    <definedName name="saud_6___1">#REF!</definedName>
    <definedName name="saud_6___17">#REF!</definedName>
    <definedName name="saud_6___4">#REF!</definedName>
    <definedName name="saud_6___5">#REF!</definedName>
    <definedName name="saudirf">#REF!</definedName>
    <definedName name="saudirf___0">#REF!</definedName>
    <definedName name="saudirf___1">#REF!</definedName>
    <definedName name="saudirf___17">#REF!</definedName>
    <definedName name="saudirf___4">#REF!</definedName>
    <definedName name="saudirf___5">#REF!</definedName>
    <definedName name="sauf">#REF!</definedName>
    <definedName name="sauf___0">#REF!</definedName>
    <definedName name="sauf___1">#REF!</definedName>
    <definedName name="sauf___17">#REF!</definedName>
    <definedName name="sauf___4">#REF!</definedName>
    <definedName name="sauf___5">#REF!</definedName>
    <definedName name="sauf_1">#REF!</definedName>
    <definedName name="sauf_2">NA()</definedName>
    <definedName name="sauf_2_1">#REF!</definedName>
    <definedName name="sauf_4">#REF!</definedName>
    <definedName name="sauf_4___0">#REF!</definedName>
    <definedName name="sauf_4___1">#REF!</definedName>
    <definedName name="sauf_4___17">#REF!</definedName>
    <definedName name="sauf_4___4">#REF!</definedName>
    <definedName name="sauf_4___5">#REF!</definedName>
    <definedName name="sauf_4_1">#REF!</definedName>
    <definedName name="sauf_4_1___0">#REF!</definedName>
    <definedName name="sauf_4_1___1">#REF!</definedName>
    <definedName name="sauf_4_1___5">#REF!</definedName>
    <definedName name="sauf_6">#REF!</definedName>
    <definedName name="sauf_6___0">#REF!</definedName>
    <definedName name="sauf_6___1">#REF!</definedName>
    <definedName name="sauf_6___17">#REF!</definedName>
    <definedName name="sauf_6___4">#REF!</definedName>
    <definedName name="sauf_6___5">#REF!</definedName>
    <definedName name="sauif">#REF!</definedName>
    <definedName name="sauif___0">#REF!</definedName>
    <definedName name="sauif___1">#REF!</definedName>
    <definedName name="sauif___17">#REF!</definedName>
    <definedName name="sauif___4">#REF!</definedName>
    <definedName name="sauif___5">#REF!</definedName>
    <definedName name="sauif_1">#REF!</definedName>
    <definedName name="sauif_2">NA()</definedName>
    <definedName name="sauif_2_1">#REF!</definedName>
    <definedName name="sauif_4">#REF!</definedName>
    <definedName name="sauif_4___0">#REF!</definedName>
    <definedName name="sauif_4___1">#REF!</definedName>
    <definedName name="sauif_4___17">#REF!</definedName>
    <definedName name="sauif_4___4">#REF!</definedName>
    <definedName name="sauif_4___5">#REF!</definedName>
    <definedName name="sauif_4_1">#REF!</definedName>
    <definedName name="sauif_4_1___0">#REF!</definedName>
    <definedName name="sauif_4_1___1">#REF!</definedName>
    <definedName name="sauif_4_1___5">#REF!</definedName>
    <definedName name="sauif_6">#REF!</definedName>
    <definedName name="sauif_6___0">#REF!</definedName>
    <definedName name="sauif_6___1">#REF!</definedName>
    <definedName name="sauif_6___17">#REF!</definedName>
    <definedName name="sauif_6___4">#REF!</definedName>
    <definedName name="sauif_6___5">#REF!</definedName>
    <definedName name="saurabh" hidden="1">{"'Mach'!$A$1:$D$39"}</definedName>
    <definedName name="sauspad">#REF!</definedName>
    <definedName name="sauspad___0">#REF!</definedName>
    <definedName name="sauspad___1">#REF!</definedName>
    <definedName name="sauspad___17">#REF!</definedName>
    <definedName name="sauspad___4">#REF!</definedName>
    <definedName name="sauspad___5">#REF!</definedName>
    <definedName name="sausysd">#REF!</definedName>
    <definedName name="sausysd___0">#REF!</definedName>
    <definedName name="sausysd___1">#REF!</definedName>
    <definedName name="sausysd___17">#REF!</definedName>
    <definedName name="sausysd___4">#REF!</definedName>
    <definedName name="sausysd___5">#REF!</definedName>
    <definedName name="sav" hidden="1">{#N/A,#N/A,FALSE,"DCF Summary";#N/A,#N/A,FALSE,"Casema";#N/A,#N/A,FALSE,"Casema NoTel";#N/A,#N/A,FALSE,"UK";#N/A,#N/A,FALSE,"RCF";#N/A,#N/A,FALSE,"Intercable CZ";#N/A,#N/A,FALSE,"Interkabel P"}</definedName>
    <definedName name="SaveNewFile">#N/A</definedName>
    <definedName name="sb">#REF!</definedName>
    <definedName name="sc">'[71]GMCP TRACKER (Rs)'!#REF!</definedName>
    <definedName name="SCASC" hidden="1">{#N/A,#N/A,FALSE,"COMP"}</definedName>
    <definedName name="SCC">#REF!</definedName>
    <definedName name="SCD">#REF!</definedName>
    <definedName name="SCE">#REF!</definedName>
    <definedName name="SCED">#REF!</definedName>
    <definedName name="scfb">#REF!</definedName>
    <definedName name="Sched_Pay">#REF!</definedName>
    <definedName name="Scheduled_Extra_Payments">#REF!</definedName>
    <definedName name="Scheduled_Interest_Rate">#REF!</definedName>
    <definedName name="Scheduled_Monthly_Payment">#REF!</definedName>
    <definedName name="scheduleType">"valve"</definedName>
    <definedName name="schools">#REF!</definedName>
    <definedName name="scl">#REF!</definedName>
    <definedName name="scld">#REF!</definedName>
    <definedName name="SCRCNRATIO" hidden="1">'[29]P&amp;M assets &gt; 7 lakh'!$CN$1:$CN$65536</definedName>
    <definedName name="Screening_Chamber">#REF!</definedName>
    <definedName name="scw">#REF!</definedName>
    <definedName name="SD">'[21]#REF'!$A$1:$S$65</definedName>
    <definedName name="sda">[21]Sheet1!$B$2:$O$39</definedName>
    <definedName name="SDASDA" hidden="1">{#N/A,#N/A,FALSE,"COMP"}</definedName>
    <definedName name="Sdate">#REF!</definedName>
    <definedName name="SDF" hidden="1">{#N/A,#N/A,FALSE,"Aging Summary";#N/A,#N/A,FALSE,"Ratio Analysis";#N/A,#N/A,FALSE,"Test 120 Day Accts";#N/A,#N/A,FALSE,"Tickmarks"}</definedName>
    <definedName name="sdfe">#REF!</definedName>
    <definedName name="sdfg" hidden="1">{#N/A,#N/A,FALSE,"Aging Summary";#N/A,#N/A,FALSE,"Ratio Analysis";#N/A,#N/A,FALSE,"Test 120 Day Accts";#N/A,#N/A,FALSE,"Tickmarks"}</definedName>
    <definedName name="sdfhhhhhhhhhhhhhhhhhhhhjidopafhi">#REF!</definedName>
    <definedName name="sdfvsdfv" hidden="1">{#N/A,#N/A,FALSE,"Aging Summary";#N/A,#N/A,FALSE,"Ratio Analysis";#N/A,#N/A,FALSE,"Test 120 Day Accts";#N/A,#N/A,FALSE,"Tickmarks"}</definedName>
    <definedName name="sdgsdg" hidden="1">{#N/A,#N/A,FALSE,"Assessment";#N/A,#N/A,FALSE,"Staffing";#N/A,#N/A,FALSE,"Hires";#N/A,#N/A,FALSE,"Assumptions"}</definedName>
    <definedName name="sdhsdh" hidden="1">{#N/A,#N/A,FALSE,"Assessment";#N/A,#N/A,FALSE,"Staffing";#N/A,#N/A,FALSE,"Hires";#N/A,#N/A,FALSE,"Assumptions"}</definedName>
    <definedName name="sdpl">#REF!</definedName>
    <definedName name="SDPLBS">#REF!</definedName>
    <definedName name="SDPLFA">#REF!</definedName>
    <definedName name="SDPLPL">#REF!</definedName>
    <definedName name="sdrfse" hidden="1">{#N/A,#N/A,FALSE,"COMP"}</definedName>
    <definedName name="sdsa">'[21]Consumer Fraud'!$A$1:$AF$73</definedName>
    <definedName name="sdsd">#REF!</definedName>
    <definedName name="sdsdh" hidden="1">{#N/A,#N/A,FALSE,"Assessment";#N/A,#N/A,FALSE,"Staffing";#N/A,#N/A,FALSE,"Hires";#N/A,#N/A,FALSE,"Assumptions"}</definedName>
    <definedName name="sdswdew" hidden="1">#REF!</definedName>
    <definedName name="se">#REF!</definedName>
    <definedName name="sec_deposit">#REF!</definedName>
    <definedName name="SECRETARY" hidden="1">{"'Bsheet BIS'!$A$1:$F$43"}</definedName>
    <definedName name="SECT">#REF!</definedName>
    <definedName name="SECT___0">#REF!</definedName>
    <definedName name="SECT___1">#REF!</definedName>
    <definedName name="SECT___17">#REF!</definedName>
    <definedName name="SECT___4">#REF!</definedName>
    <definedName name="SECT___5">#REF!</definedName>
    <definedName name="SECTION">#REF!</definedName>
    <definedName name="SECTION___0">#REF!</definedName>
    <definedName name="SECTION_1">#REF!</definedName>
    <definedName name="Section_1_Title">#REF!</definedName>
    <definedName name="SECTION_2">#REF!</definedName>
    <definedName name="Section_2_Title">#REF!</definedName>
    <definedName name="Section_3_Title">#REF!</definedName>
    <definedName name="Section_4_Title">#REF!</definedName>
    <definedName name="Section_5_Title">#REF!</definedName>
    <definedName name="Section_6_Title">#REF!</definedName>
    <definedName name="Section_7_Title">#REF!</definedName>
    <definedName name="Section_8_Title">#REF!</definedName>
    <definedName name="secured">#REF!</definedName>
    <definedName name="see">#REF!</definedName>
    <definedName name="SegCharge">#REF!</definedName>
    <definedName name="SEK">#REF!</definedName>
    <definedName name="SelectedLanguage">#REF!</definedName>
    <definedName name="SelectedLanguage___0">#REF!</definedName>
    <definedName name="SelectedLanguage___1">#REF!</definedName>
    <definedName name="SelectedLanguage___17">#REF!</definedName>
    <definedName name="SelectedLanguage___4">#REF!</definedName>
    <definedName name="SelectedLanguage___5">#REF!</definedName>
    <definedName name="SelectedLanguage_4">#REF!</definedName>
    <definedName name="SelectedLanguage_4___0">#REF!</definedName>
    <definedName name="SelectedLanguage_4___1">#REF!</definedName>
    <definedName name="SelectedLanguage_4___17">#REF!</definedName>
    <definedName name="SelectedLanguage_4___4">#REF!</definedName>
    <definedName name="SelectedLanguage_4___5">#REF!</definedName>
    <definedName name="SelectedLanguage_4_1">#REF!</definedName>
    <definedName name="SelectedLanguage_4_1___0">#REF!</definedName>
    <definedName name="SelectedLanguage_4_1___1">#REF!</definedName>
    <definedName name="SelectedLanguage_4_1___5">#REF!</definedName>
    <definedName name="SelectedLanguage_6">#REF!</definedName>
    <definedName name="SelectedLanguage_6___0">#REF!</definedName>
    <definedName name="SelectedLanguage_6___1">#REF!</definedName>
    <definedName name="SelectedLanguage_6___17">#REF!</definedName>
    <definedName name="SelectedLanguage_6___4">#REF!</definedName>
    <definedName name="SelectedLanguage_6___5">#REF!</definedName>
    <definedName name="sencount" hidden="1">1</definedName>
    <definedName name="sep" hidden="1">{#N/A,#N/A,FALSE,"Cash Flows";#N/A,#N/A,FALSE,"Fixed Assets";#N/A,#N/A,FALSE,"Balance Sheet";#N/A,#N/A,FALSE,"P &amp; L"}</definedName>
    <definedName name="sep1_15">#REF!</definedName>
    <definedName name="sep1_17">#REF!</definedName>
    <definedName name="sep1_18">#REF!</definedName>
    <definedName name="SEPCONC">#REF!</definedName>
    <definedName name="Sept2" hidden="1">#REF!</definedName>
    <definedName name="serf">#REF!</definedName>
    <definedName name="serf_16">#REF!</definedName>
    <definedName name="serf_17">#REF!</definedName>
    <definedName name="serf_18">#REF!</definedName>
    <definedName name="serf_19">#REF!</definedName>
    <definedName name="serf_4">#REF!</definedName>
    <definedName name="serf_5">#REF!</definedName>
    <definedName name="serf_6">#REF!</definedName>
    <definedName name="serf_7">#REF!</definedName>
    <definedName name="serf_8">#REF!</definedName>
    <definedName name="serf_9">#REF!</definedName>
    <definedName name="servf">#REF!</definedName>
    <definedName name="servf___0">#REF!</definedName>
    <definedName name="servf___1">#REF!</definedName>
    <definedName name="servf___17">#REF!</definedName>
    <definedName name="servf___4">#REF!</definedName>
    <definedName name="servf___5">#REF!</definedName>
    <definedName name="Service">#REF!</definedName>
    <definedName name="Setflag">#REF!</definedName>
    <definedName name="SF">#REF!</definedName>
    <definedName name="sfd" hidden="1">{#N/A,#N/A,FALSE,"Aging Summary";#N/A,#N/A,FALSE,"Ratio Analysis";#N/A,#N/A,FALSE,"Test 120 Day Accts";#N/A,#N/A,FALSE,"Tickmarks"}</definedName>
    <definedName name="sg">#REF!</definedName>
    <definedName name="sgdgdg">#REF!</definedName>
    <definedName name="sgh">#REF!</definedName>
    <definedName name="sh0.5">#REF!</definedName>
    <definedName name="sh0.6">#REF!</definedName>
    <definedName name="sh0.8">#REF!</definedName>
    <definedName name="sh1.0">#REF!</definedName>
    <definedName name="sh1.2">#REF!</definedName>
    <definedName name="shape">#REF!</definedName>
    <definedName name="shd">#REF!</definedName>
    <definedName name="shd_16">#REF!</definedName>
    <definedName name="shd_17">#REF!</definedName>
    <definedName name="shd_18">#REF!</definedName>
    <definedName name="shd_19">#REF!</definedName>
    <definedName name="shd_4">#REF!</definedName>
    <definedName name="shd_5">#REF!</definedName>
    <definedName name="shd_6">#REF!</definedName>
    <definedName name="shd_7">#REF!</definedName>
    <definedName name="shd_8">#REF!</definedName>
    <definedName name="shd_9">#REF!</definedName>
    <definedName name="sheet1___0">#REF!</definedName>
    <definedName name="sheet1___13">#REF!</definedName>
    <definedName name="Sheet4" hidden="1">{#N/A,#N/A,FALSE,"BS"}</definedName>
    <definedName name="shf">#REF!</definedName>
    <definedName name="shf_16">#REF!</definedName>
    <definedName name="shf_17">#REF!</definedName>
    <definedName name="shf_18">#REF!</definedName>
    <definedName name="shf_19">#REF!</definedName>
    <definedName name="shf_4">#REF!</definedName>
    <definedName name="shf_5">#REF!</definedName>
    <definedName name="shf_6">#REF!</definedName>
    <definedName name="shf_7">#REF!</definedName>
    <definedName name="shf_8">#REF!</definedName>
    <definedName name="shf_9">#REF!</definedName>
    <definedName name="shi">#REF!</definedName>
    <definedName name="shiva">#REF!</definedName>
    <definedName name="SHOPBOQ">#REF!</definedName>
    <definedName name="SHOPBOQ___0">#REF!</definedName>
    <definedName name="SHOPBOQ___1">#REF!</definedName>
    <definedName name="SHOPBOQ___5">#REF!</definedName>
    <definedName name="SHOPHED">#REF!</definedName>
    <definedName name="SHOPHED___0">#REF!</definedName>
    <definedName name="SHOPHED___1">#REF!</definedName>
    <definedName name="SHOPHED___5">#REF!</definedName>
    <definedName name="short" hidden="1">{#N/A,#N/A,FALSE,"COVER1.XLS ";#N/A,#N/A,FALSE,"RACT1.XLS";#N/A,#N/A,FALSE,"RACT2.XLS";#N/A,#N/A,FALSE,"ECCMP";#N/A,#N/A,FALSE,"WELDER.XLS"}</definedName>
    <definedName name="Show.Acct.Update.Warning" hidden="1">#REF!</definedName>
    <definedName name="Show.MDB.Update.Warning" hidden="1">#REF!</definedName>
    <definedName name="SHOW_TO_CUSTOME">#REF!</definedName>
    <definedName name="shut">#REF!</definedName>
    <definedName name="shut_reqt">#REF!</definedName>
    <definedName name="shutter">#REF!</definedName>
    <definedName name="shuttering" hidden="1">{#N/A,#N/A,TRUE,"Front";#N/A,#N/A,TRUE,"Simple Letter";#N/A,#N/A,TRUE,"Inside";#N/A,#N/A,TRUE,"Contents";#N/A,#N/A,TRUE,"Basis";#N/A,#N/A,TRUE,"Inclusions";#N/A,#N/A,TRUE,"Exclusions";#N/A,#N/A,TRUE,"Areas";#N/A,#N/A,TRUE,"Summary";#N/A,#N/A,TRUE,"Detail"}</definedName>
    <definedName name="si">#REF!</definedName>
    <definedName name="siba">#REF!</definedName>
    <definedName name="siba1">#REF!</definedName>
    <definedName name="sibabb">#REF!</definedName>
    <definedName name="sigma0.2">#REF!</definedName>
    <definedName name="sigma0_2">#REF!</definedName>
    <definedName name="sigmab">#REF!</definedName>
    <definedName name="sigmah">#REF!</definedName>
    <definedName name="sigmat">#REF!</definedName>
    <definedName name="sim">#N/A</definedName>
    <definedName name="site">#REF!</definedName>
    <definedName name="SITE__WORKS">#REF!</definedName>
    <definedName name="SiteExpence">#REF!</definedName>
    <definedName name="SiteID">#REF!</definedName>
    <definedName name="SiteID___0">#REF!</definedName>
    <definedName name="SiteID___1">#REF!</definedName>
    <definedName name="SiteID___17">#REF!</definedName>
    <definedName name="SiteID___4">#REF!</definedName>
    <definedName name="SiteID___5">#REF!</definedName>
    <definedName name="SiteID_4">#REF!</definedName>
    <definedName name="SiteID_4___0">#REF!</definedName>
    <definedName name="SiteID_4___1">#REF!</definedName>
    <definedName name="SiteID_4___17">#REF!</definedName>
    <definedName name="SiteID_4___4">#REF!</definedName>
    <definedName name="SiteID_4___5">#REF!</definedName>
    <definedName name="SiteID_4_1">#REF!</definedName>
    <definedName name="SiteID_4_1___0">#REF!</definedName>
    <definedName name="SiteID_4_1___1">#REF!</definedName>
    <definedName name="SiteID_4_1___5">#REF!</definedName>
    <definedName name="SiteID_6">#REF!</definedName>
    <definedName name="SiteID_6___0">#REF!</definedName>
    <definedName name="SiteID_6___1">#REF!</definedName>
    <definedName name="SiteID_6___17">#REF!</definedName>
    <definedName name="SiteID_6___4">#REF!</definedName>
    <definedName name="SiteID_6___5">#REF!</definedName>
    <definedName name="SiteType">#REF!</definedName>
    <definedName name="SiteType___0">#REF!</definedName>
    <definedName name="SiteType___1">#REF!</definedName>
    <definedName name="SiteType___17">#REF!</definedName>
    <definedName name="SiteType___4">#REF!</definedName>
    <definedName name="SiteType___5">#REF!</definedName>
    <definedName name="SiteType_4">#REF!</definedName>
    <definedName name="SiteType_4___0">#REF!</definedName>
    <definedName name="SiteType_4___1">#REF!</definedName>
    <definedName name="SiteType_4___17">#REF!</definedName>
    <definedName name="SiteType_4___4">#REF!</definedName>
    <definedName name="SiteType_4___5">#REF!</definedName>
    <definedName name="SiteType_4_1">#REF!</definedName>
    <definedName name="SiteType_4_1___0">#REF!</definedName>
    <definedName name="SiteType_4_1___1">#REF!</definedName>
    <definedName name="SiteType_4_1___5">#REF!</definedName>
    <definedName name="SiteType_6">#REF!</definedName>
    <definedName name="SiteType_6___0">#REF!</definedName>
    <definedName name="SiteType_6___1">#REF!</definedName>
    <definedName name="SiteType_6___17">#REF!</definedName>
    <definedName name="SiteType_6___4">#REF!</definedName>
    <definedName name="SiteType_6___5">#REF!</definedName>
    <definedName name="SITEWORKS">#REF!</definedName>
    <definedName name="SITEWORKS_7">#REF!</definedName>
    <definedName name="sk"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ska" localSheetId="5" hidden="1">{#N/A,#N/A,TRUE,"Front";#N/A,#N/A,TRUE,"Simple Letter";#N/A,#N/A,TRUE,"Inside";#N/A,#N/A,TRUE,"Contents";#N/A,#N/A,TRUE,"Basis";#N/A,#N/A,TRUE,"Inclusions";#N/A,#N/A,TRUE,"Exclusions";#N/A,#N/A,TRUE,"Areas";#N/A,#N/A,TRUE,"Summary";#N/A,#N/A,TRUE,"Detail"}</definedName>
    <definedName name="ska" localSheetId="0" hidden="1">{#N/A,#N/A,TRUE,"Front";#N/A,#N/A,TRUE,"Simple Letter";#N/A,#N/A,TRUE,"Inside";#N/A,#N/A,TRUE,"Contents";#N/A,#N/A,TRUE,"Basis";#N/A,#N/A,TRUE,"Inclusions";#N/A,#N/A,TRUE,"Exclusions";#N/A,#N/A,TRUE,"Areas";#N/A,#N/A,TRUE,"Summary";#N/A,#N/A,TRUE,"Detail"}</definedName>
    <definedName name="ska" hidden="1">{#N/A,#N/A,TRUE,"Front";#N/A,#N/A,TRUE,"Simple Letter";#N/A,#N/A,TRUE,"Inside";#N/A,#N/A,TRUE,"Contents";#N/A,#N/A,TRUE,"Basis";#N/A,#N/A,TRUE,"Inclusions";#N/A,#N/A,TRUE,"Exclusions";#N/A,#N/A,TRUE,"Areas";#N/A,#N/A,TRUE,"Summary";#N/A,#N/A,TRUE,"Detail"}</definedName>
    <definedName name="Skirting">#REF!</definedName>
    <definedName name="skq" localSheetId="5" hidden="1">{#N/A,#N/A,TRUE,"Front";#N/A,#N/A,TRUE,"Simple Letter";#N/A,#N/A,TRUE,"Inside";#N/A,#N/A,TRUE,"Contents";#N/A,#N/A,TRUE,"Basis";#N/A,#N/A,TRUE,"Inclusions";#N/A,#N/A,TRUE,"Exclusions";#N/A,#N/A,TRUE,"Areas";#N/A,#N/A,TRUE,"Summary";#N/A,#N/A,TRUE,"Detail"}</definedName>
    <definedName name="skq" localSheetId="0" hidden="1">{#N/A,#N/A,TRUE,"Front";#N/A,#N/A,TRUE,"Simple Letter";#N/A,#N/A,TRUE,"Inside";#N/A,#N/A,TRUE,"Contents";#N/A,#N/A,TRUE,"Basis";#N/A,#N/A,TRUE,"Inclusions";#N/A,#N/A,TRUE,"Exclusions";#N/A,#N/A,TRUE,"Areas";#N/A,#N/A,TRUE,"Summary";#N/A,#N/A,TRUE,"Detail"}</definedName>
    <definedName name="skq" hidden="1">{#N/A,#N/A,TRUE,"Front";#N/A,#N/A,TRUE,"Simple Letter";#N/A,#N/A,TRUE,"Inside";#N/A,#N/A,TRUE,"Contents";#N/A,#N/A,TRUE,"Basis";#N/A,#N/A,TRUE,"Inclusions";#N/A,#N/A,TRUE,"Exclusions";#N/A,#N/A,TRUE,"Areas";#N/A,#N/A,TRUE,"Summary";#N/A,#N/A,TRUE,"Detail"}</definedName>
    <definedName name="sky" hidden="1">{"Summary analysis",#N/A,FALSE,"Total";"OCPH analysis",#N/A,FALSE,"Total";"detail analysis",#N/A,FALSE,"Total"}</definedName>
    <definedName name="SL">#REF!</definedName>
    <definedName name="SL_1">#REF!</definedName>
    <definedName name="Sl_No">#REF!</definedName>
    <definedName name="slab">#REF!</definedName>
    <definedName name="SLAB1">#REF!</definedName>
    <definedName name="SlabArea">#REF!</definedName>
    <definedName name="slabconArea">#REF!</definedName>
    <definedName name="slabconPerimeter">#REF!</definedName>
    <definedName name="SlabPerimeter">#REF!</definedName>
    <definedName name="SLOPE">"'file://Stup-c09/D/JOBS/7078-MADURAVOYAL/ALAPAKKAM%20MAIN%20ROAD%20-%20APR05/ANNEX-2/ANN2-MADURAVOYAL%20DATA-APRIL-05.xls'#$''.$A$83:$A$95"</definedName>
    <definedName name="SlopeWI">3.8</definedName>
    <definedName name="SmallProj">#REF!</definedName>
    <definedName name="SmallProj___0">#REF!</definedName>
    <definedName name="SmallProj___1">#REF!</definedName>
    <definedName name="SmallProj___17">#REF!</definedName>
    <definedName name="SmallProj___4">#REF!</definedName>
    <definedName name="SmallProj___5">#REF!</definedName>
    <definedName name="SmallProj_4">#REF!</definedName>
    <definedName name="SmallProj_4___0">#REF!</definedName>
    <definedName name="SmallProj_4___1">#REF!</definedName>
    <definedName name="SmallProj_4___17">#REF!</definedName>
    <definedName name="SmallProj_4___4">#REF!</definedName>
    <definedName name="SmallProj_4___5">#REF!</definedName>
    <definedName name="SmallProj_4_1">#REF!</definedName>
    <definedName name="SmallProj_4_1___0">#REF!</definedName>
    <definedName name="SmallProj_4_1___1">#REF!</definedName>
    <definedName name="SmallProj_4_1___5">#REF!</definedName>
    <definedName name="SmallProj_6">#REF!</definedName>
    <definedName name="SmallProj_6___0">#REF!</definedName>
    <definedName name="SmallProj_6___1">#REF!</definedName>
    <definedName name="SmallProj_6___17">#REF!</definedName>
    <definedName name="SmallProj_6___4">#REF!</definedName>
    <definedName name="SmallProj_6___5">#REF!</definedName>
    <definedName name="SmallProj_Text">#REF!</definedName>
    <definedName name="SmallProj_Text___0">#REF!</definedName>
    <definedName name="SmallProj_Text___1">#REF!</definedName>
    <definedName name="SmallProj_Text___17">#REF!</definedName>
    <definedName name="SmallProj_Text___4">#REF!</definedName>
    <definedName name="SmallProj_Text___5">#REF!</definedName>
    <definedName name="SmallProj_Text_4">#REF!</definedName>
    <definedName name="SmallProj_Text_4___0">#REF!</definedName>
    <definedName name="SmallProj_Text_4___1">#REF!</definedName>
    <definedName name="SmallProj_Text_4___17">#REF!</definedName>
    <definedName name="SmallProj_Text_4___4">#REF!</definedName>
    <definedName name="SmallProj_Text_4___5">#REF!</definedName>
    <definedName name="SmallProj_Text_4_1">#REF!</definedName>
    <definedName name="SmallProj_Text_4_1___0">#REF!</definedName>
    <definedName name="SmallProj_Text_4_1___1">#REF!</definedName>
    <definedName name="SmallProj_Text_4_1___5">#REF!</definedName>
    <definedName name="SmallProj_Text_6">#REF!</definedName>
    <definedName name="SmallProj_Text_6___0">#REF!</definedName>
    <definedName name="SmallProj_Text_6___1">#REF!</definedName>
    <definedName name="SmallProj_Text_6___17">#REF!</definedName>
    <definedName name="SmallProj_Text_6___4">#REF!</definedName>
    <definedName name="SmallProj_Text_6___5">#REF!</definedName>
    <definedName name="SO">#REF!</definedName>
    <definedName name="SOFITEL">#REF!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1</definedName>
    <definedName name="solver_val" hidden="1">0</definedName>
    <definedName name="sond">#REF!</definedName>
    <definedName name="sond___0">#REF!</definedName>
    <definedName name="sond___1">#REF!</definedName>
    <definedName name="sond___17">#REF!</definedName>
    <definedName name="sond___4">#REF!</definedName>
    <definedName name="sond___5">#REF!</definedName>
    <definedName name="sondf">#REF!</definedName>
    <definedName name="sondf___0">#REF!</definedName>
    <definedName name="sondf___1">#REF!</definedName>
    <definedName name="sondf___17">#REF!</definedName>
    <definedName name="sondf___4">#REF!</definedName>
    <definedName name="sondf___5">#REF!</definedName>
    <definedName name="SONTF">[40]factors!#REF!</definedName>
    <definedName name="SONTF_16">[40]factors!#REF!</definedName>
    <definedName name="SONTF_17">[40]factors!#REF!</definedName>
    <definedName name="SONTF_18">[40]factors!#REF!</definedName>
    <definedName name="SONTF_19">[40]factors!#REF!</definedName>
    <definedName name="SONTF_4">[40]factors!#REF!</definedName>
    <definedName name="SONTF_5">[40]factors!#REF!</definedName>
    <definedName name="SONTF_6">[40]factors!#REF!</definedName>
    <definedName name="SONTF_7">[40]factors!#REF!</definedName>
    <definedName name="SONTF_8">[40]factors!#REF!</definedName>
    <definedName name="SONTF_9">[40]factors!#REF!</definedName>
    <definedName name="Sp">#REF!</definedName>
    <definedName name="SP1Branch">#REF!</definedName>
    <definedName name="SP1Branch___0">#REF!</definedName>
    <definedName name="SP1Branch___1">#REF!</definedName>
    <definedName name="SP1Branch___17">#REF!</definedName>
    <definedName name="SP1Branch___4">#REF!</definedName>
    <definedName name="SP1Branch___5">#REF!</definedName>
    <definedName name="SP1Branch_4">#REF!</definedName>
    <definedName name="SP1Branch_4___0">#REF!</definedName>
    <definedName name="SP1Branch_4___1">#REF!</definedName>
    <definedName name="SP1Branch_4___17">#REF!</definedName>
    <definedName name="SP1Branch_4___4">#REF!</definedName>
    <definedName name="SP1Branch_4___5">#REF!</definedName>
    <definedName name="SP1Branch_4_1">#REF!</definedName>
    <definedName name="SP1Branch_4_1___0">#REF!</definedName>
    <definedName name="SP1Branch_4_1___1">#REF!</definedName>
    <definedName name="SP1Branch_4_1___5">#REF!</definedName>
    <definedName name="SP1Branch_6">#REF!</definedName>
    <definedName name="SP1Branch_6___0">#REF!</definedName>
    <definedName name="SP1Branch_6___1">#REF!</definedName>
    <definedName name="SP1Branch_6___17">#REF!</definedName>
    <definedName name="SP1Branch_6___4">#REF!</definedName>
    <definedName name="SP1Branch_6___5">#REF!</definedName>
    <definedName name="SP1Credit">#REF!</definedName>
    <definedName name="SP1Credit___0">#REF!</definedName>
    <definedName name="SP1Credit___1">#REF!</definedName>
    <definedName name="SP1Credit___17">#REF!</definedName>
    <definedName name="SP1Credit___4">#REF!</definedName>
    <definedName name="SP1Credit___5">#REF!</definedName>
    <definedName name="SP1Credit_4">#REF!</definedName>
    <definedName name="SP1Credit_4___0">#REF!</definedName>
    <definedName name="SP1Credit_4___1">#REF!</definedName>
    <definedName name="SP1Credit_4___17">#REF!</definedName>
    <definedName name="SP1Credit_4___4">#REF!</definedName>
    <definedName name="SP1Credit_4___5">#REF!</definedName>
    <definedName name="SP1Credit_4_1">#REF!</definedName>
    <definedName name="SP1Credit_4_1___0">#REF!</definedName>
    <definedName name="SP1Credit_4_1___1">#REF!</definedName>
    <definedName name="SP1Credit_4_1___5">#REF!</definedName>
    <definedName name="SP1Credit_6">#REF!</definedName>
    <definedName name="SP1Credit_6___0">#REF!</definedName>
    <definedName name="SP1Credit_6___1">#REF!</definedName>
    <definedName name="SP1Credit_6___17">#REF!</definedName>
    <definedName name="SP1Credit_6___4">#REF!</definedName>
    <definedName name="SP1Credit_6___5">#REF!</definedName>
    <definedName name="SP1Name">#REF!</definedName>
    <definedName name="SP1Name___0">#REF!</definedName>
    <definedName name="SP1Name___1">#REF!</definedName>
    <definedName name="SP1Name___17">#REF!</definedName>
    <definedName name="SP1Name___4">#REF!</definedName>
    <definedName name="SP1Name___5">#REF!</definedName>
    <definedName name="SP1Name_4">#REF!</definedName>
    <definedName name="SP1Name_4___0">#REF!</definedName>
    <definedName name="SP1Name_4___1">#REF!</definedName>
    <definedName name="SP1Name_4___17">#REF!</definedName>
    <definedName name="SP1Name_4___4">#REF!</definedName>
    <definedName name="SP1Name_4___5">#REF!</definedName>
    <definedName name="SP1Name_4_1">#REF!</definedName>
    <definedName name="SP1Name_4_1___0">#REF!</definedName>
    <definedName name="SP1Name_4_1___1">#REF!</definedName>
    <definedName name="SP1Name_4_1___5">#REF!</definedName>
    <definedName name="SP1Name_6">#REF!</definedName>
    <definedName name="SP1Name_6___0">#REF!</definedName>
    <definedName name="SP1Name_6___1">#REF!</definedName>
    <definedName name="SP1Name_6___17">#REF!</definedName>
    <definedName name="SP1Name_6___4">#REF!</definedName>
    <definedName name="SP1Name_6___5">#REF!</definedName>
    <definedName name="SP1Number">#REF!</definedName>
    <definedName name="SP1Number___0">#REF!</definedName>
    <definedName name="SP1Number___1">#REF!</definedName>
    <definedName name="SP1Number___17">#REF!</definedName>
    <definedName name="SP1Number___4">#REF!</definedName>
    <definedName name="SP1Number___5">#REF!</definedName>
    <definedName name="SP1Number_4">#REF!</definedName>
    <definedName name="SP1Number_4___0">#REF!</definedName>
    <definedName name="SP1Number_4___1">#REF!</definedName>
    <definedName name="SP1Number_4___17">#REF!</definedName>
    <definedName name="SP1Number_4___4">#REF!</definedName>
    <definedName name="SP1Number_4___5">#REF!</definedName>
    <definedName name="SP1Number_4_1">#REF!</definedName>
    <definedName name="SP1Number_4_1___0">#REF!</definedName>
    <definedName name="SP1Number_4_1___1">#REF!</definedName>
    <definedName name="SP1Number_4_1___5">#REF!</definedName>
    <definedName name="SP1Number_6">#REF!</definedName>
    <definedName name="SP1Number_6___0">#REF!</definedName>
    <definedName name="SP1Number_6___1">#REF!</definedName>
    <definedName name="SP1Number_6___17">#REF!</definedName>
    <definedName name="SP1Number_6___4">#REF!</definedName>
    <definedName name="SP1Number_6___5">#REF!</definedName>
    <definedName name="SP2Branch">#REF!</definedName>
    <definedName name="SP2Branch___0">#REF!</definedName>
    <definedName name="SP2Branch___1">#REF!</definedName>
    <definedName name="SP2Branch___17">#REF!</definedName>
    <definedName name="SP2Branch___4">#REF!</definedName>
    <definedName name="SP2Branch___5">#REF!</definedName>
    <definedName name="SP2Branch_4">#REF!</definedName>
    <definedName name="SP2Branch_4___0">#REF!</definedName>
    <definedName name="SP2Branch_4___1">#REF!</definedName>
    <definedName name="SP2Branch_4___17">#REF!</definedName>
    <definedName name="SP2Branch_4___4">#REF!</definedName>
    <definedName name="SP2Branch_4___5">#REF!</definedName>
    <definedName name="SP2Branch_4_1">#REF!</definedName>
    <definedName name="SP2Branch_4_1___0">#REF!</definedName>
    <definedName name="SP2Branch_4_1___1">#REF!</definedName>
    <definedName name="SP2Branch_4_1___5">#REF!</definedName>
    <definedName name="SP2Branch_6">#REF!</definedName>
    <definedName name="SP2Branch_6___0">#REF!</definedName>
    <definedName name="SP2Branch_6___1">#REF!</definedName>
    <definedName name="SP2Branch_6___17">#REF!</definedName>
    <definedName name="SP2Branch_6___4">#REF!</definedName>
    <definedName name="SP2Branch_6___5">#REF!</definedName>
    <definedName name="SP2Credit">#REF!</definedName>
    <definedName name="SP2Credit___0">#REF!</definedName>
    <definedName name="SP2Credit___1">#REF!</definedName>
    <definedName name="SP2Credit___17">#REF!</definedName>
    <definedName name="SP2Credit___4">#REF!</definedName>
    <definedName name="SP2Credit___5">#REF!</definedName>
    <definedName name="SP2Credit_4">#REF!</definedName>
    <definedName name="SP2Credit_4___0">#REF!</definedName>
    <definedName name="SP2Credit_4___1">#REF!</definedName>
    <definedName name="SP2Credit_4___17">#REF!</definedName>
    <definedName name="SP2Credit_4___4">#REF!</definedName>
    <definedName name="SP2Credit_4___5">#REF!</definedName>
    <definedName name="SP2Credit_4_1">#REF!</definedName>
    <definedName name="SP2Credit_4_1___0">#REF!</definedName>
    <definedName name="SP2Credit_4_1___1">#REF!</definedName>
    <definedName name="SP2Credit_4_1___5">#REF!</definedName>
    <definedName name="SP2Credit_6">#REF!</definedName>
    <definedName name="SP2Credit_6___0">#REF!</definedName>
    <definedName name="SP2Credit_6___1">#REF!</definedName>
    <definedName name="SP2Credit_6___17">#REF!</definedName>
    <definedName name="SP2Credit_6___4">#REF!</definedName>
    <definedName name="SP2Credit_6___5">#REF!</definedName>
    <definedName name="SP2Name">#REF!</definedName>
    <definedName name="SP2Name___0">#REF!</definedName>
    <definedName name="SP2Name___1">#REF!</definedName>
    <definedName name="SP2Name___17">#REF!</definedName>
    <definedName name="SP2Name___4">#REF!</definedName>
    <definedName name="SP2Name___5">#REF!</definedName>
    <definedName name="SP2Name_4">#REF!</definedName>
    <definedName name="SP2Name_4___0">#REF!</definedName>
    <definedName name="SP2Name_4___1">#REF!</definedName>
    <definedName name="SP2Name_4___17">#REF!</definedName>
    <definedName name="SP2Name_4___4">#REF!</definedName>
    <definedName name="SP2Name_4___5">#REF!</definedName>
    <definedName name="SP2Name_4_1">#REF!</definedName>
    <definedName name="SP2Name_4_1___0">#REF!</definedName>
    <definedName name="SP2Name_4_1___1">#REF!</definedName>
    <definedName name="SP2Name_4_1___5">#REF!</definedName>
    <definedName name="SP2Name_6">#REF!</definedName>
    <definedName name="SP2Name_6___0">#REF!</definedName>
    <definedName name="SP2Name_6___1">#REF!</definedName>
    <definedName name="SP2Name_6___17">#REF!</definedName>
    <definedName name="SP2Name_6___4">#REF!</definedName>
    <definedName name="SP2Name_6___5">#REF!</definedName>
    <definedName name="SP2Number">#REF!</definedName>
    <definedName name="SP2Number___0">#REF!</definedName>
    <definedName name="SP2Number___1">#REF!</definedName>
    <definedName name="SP2Number___17">#REF!</definedName>
    <definedName name="SP2Number___4">#REF!</definedName>
    <definedName name="SP2Number___5">#REF!</definedName>
    <definedName name="SP2Number_4">#REF!</definedName>
    <definedName name="SP2Number_4___0">#REF!</definedName>
    <definedName name="SP2Number_4___1">#REF!</definedName>
    <definedName name="SP2Number_4___17">#REF!</definedName>
    <definedName name="SP2Number_4___4">#REF!</definedName>
    <definedName name="SP2Number_4___5">#REF!</definedName>
    <definedName name="SP2Number_4_1">#REF!</definedName>
    <definedName name="SP2Number_4_1___0">#REF!</definedName>
    <definedName name="SP2Number_4_1___1">#REF!</definedName>
    <definedName name="SP2Number_4_1___5">#REF!</definedName>
    <definedName name="SP2Number_6">#REF!</definedName>
    <definedName name="SP2Number_6___0">#REF!</definedName>
    <definedName name="SP2Number_6___1">#REF!</definedName>
    <definedName name="SP2Number_6___17">#REF!</definedName>
    <definedName name="SP2Number_6___4">#REF!</definedName>
    <definedName name="SP2Number_6___5">#REF!</definedName>
    <definedName name="SP3Branch">#REF!</definedName>
    <definedName name="SP3Branch___0">#REF!</definedName>
    <definedName name="SP3Branch___1">#REF!</definedName>
    <definedName name="SP3Branch___17">#REF!</definedName>
    <definedName name="SP3Branch___4">#REF!</definedName>
    <definedName name="SP3Branch___5">#REF!</definedName>
    <definedName name="SP3Branch_4">#REF!</definedName>
    <definedName name="SP3Branch_4___0">#REF!</definedName>
    <definedName name="SP3Branch_4___1">#REF!</definedName>
    <definedName name="SP3Branch_4___17">#REF!</definedName>
    <definedName name="SP3Branch_4___4">#REF!</definedName>
    <definedName name="SP3Branch_4___5">#REF!</definedName>
    <definedName name="SP3Branch_4_1">#REF!</definedName>
    <definedName name="SP3Branch_4_1___0">#REF!</definedName>
    <definedName name="SP3Branch_4_1___1">#REF!</definedName>
    <definedName name="SP3Branch_4_1___5">#REF!</definedName>
    <definedName name="SP3Branch_6">#REF!</definedName>
    <definedName name="SP3Branch_6___0">#REF!</definedName>
    <definedName name="SP3Branch_6___1">#REF!</definedName>
    <definedName name="SP3Branch_6___17">#REF!</definedName>
    <definedName name="SP3Branch_6___4">#REF!</definedName>
    <definedName name="SP3Branch_6___5">#REF!</definedName>
    <definedName name="SP3Credit">#REF!</definedName>
    <definedName name="SP3Credit___0">#REF!</definedName>
    <definedName name="SP3Credit___1">#REF!</definedName>
    <definedName name="SP3Credit___17">#REF!</definedName>
    <definedName name="SP3Credit___4">#REF!</definedName>
    <definedName name="SP3Credit___5">#REF!</definedName>
    <definedName name="SP3Credit_4">#REF!</definedName>
    <definedName name="SP3Credit_4___0">#REF!</definedName>
    <definedName name="SP3Credit_4___1">#REF!</definedName>
    <definedName name="SP3Credit_4___17">#REF!</definedName>
    <definedName name="SP3Credit_4___4">#REF!</definedName>
    <definedName name="SP3Credit_4___5">#REF!</definedName>
    <definedName name="SP3Credit_4_1">#REF!</definedName>
    <definedName name="SP3Credit_4_1___0">#REF!</definedName>
    <definedName name="SP3Credit_4_1___1">#REF!</definedName>
    <definedName name="SP3Credit_4_1___5">#REF!</definedName>
    <definedName name="SP3Credit_6">#REF!</definedName>
    <definedName name="SP3Credit_6___0">#REF!</definedName>
    <definedName name="SP3Credit_6___1">#REF!</definedName>
    <definedName name="SP3Credit_6___17">#REF!</definedName>
    <definedName name="SP3Credit_6___4">#REF!</definedName>
    <definedName name="SP3Credit_6___5">#REF!</definedName>
    <definedName name="SP3Name">#REF!</definedName>
    <definedName name="SP3Name___0">#REF!</definedName>
    <definedName name="SP3Name___1">#REF!</definedName>
    <definedName name="SP3Name___17">#REF!</definedName>
    <definedName name="SP3Name___4">#REF!</definedName>
    <definedName name="SP3Name___5">#REF!</definedName>
    <definedName name="SP3Name_4">#REF!</definedName>
    <definedName name="SP3Name_4___0">#REF!</definedName>
    <definedName name="SP3Name_4___1">#REF!</definedName>
    <definedName name="SP3Name_4___17">#REF!</definedName>
    <definedName name="SP3Name_4___4">#REF!</definedName>
    <definedName name="SP3Name_4___5">#REF!</definedName>
    <definedName name="SP3Name_4_1">#REF!</definedName>
    <definedName name="SP3Name_4_1___0">#REF!</definedName>
    <definedName name="SP3Name_4_1___1">#REF!</definedName>
    <definedName name="SP3Name_4_1___5">#REF!</definedName>
    <definedName name="SP3Name_6">#REF!</definedName>
    <definedName name="SP3Name_6___0">#REF!</definedName>
    <definedName name="SP3Name_6___1">#REF!</definedName>
    <definedName name="SP3Name_6___17">#REF!</definedName>
    <definedName name="SP3Name_6___4">#REF!</definedName>
    <definedName name="SP3Name_6___5">#REF!</definedName>
    <definedName name="SP3Number">#REF!</definedName>
    <definedName name="SP3Number___0">#REF!</definedName>
    <definedName name="SP3Number___1">#REF!</definedName>
    <definedName name="SP3Number___17">#REF!</definedName>
    <definedName name="SP3Number___4">#REF!</definedName>
    <definedName name="SP3Number___5">#REF!</definedName>
    <definedName name="SP3Number_4">#REF!</definedName>
    <definedName name="SP3Number_4___0">#REF!</definedName>
    <definedName name="SP3Number_4___1">#REF!</definedName>
    <definedName name="SP3Number_4___17">#REF!</definedName>
    <definedName name="SP3Number_4___4">#REF!</definedName>
    <definedName name="SP3Number_4___5">#REF!</definedName>
    <definedName name="SP3Number_4_1">#REF!</definedName>
    <definedName name="SP3Number_4_1___0">#REF!</definedName>
    <definedName name="SP3Number_4_1___1">#REF!</definedName>
    <definedName name="SP3Number_4_1___5">#REF!</definedName>
    <definedName name="SP3Number_6">#REF!</definedName>
    <definedName name="SP3Number_6___0">#REF!</definedName>
    <definedName name="SP3Number_6___1">#REF!</definedName>
    <definedName name="SP3Number_6___17">#REF!</definedName>
    <definedName name="SP3Number_6___4">#REF!</definedName>
    <definedName name="SP3Number_6___5">#REF!</definedName>
    <definedName name="SP4Branch">#REF!</definedName>
    <definedName name="SP4Branch___0">#REF!</definedName>
    <definedName name="SP4Branch___1">#REF!</definedName>
    <definedName name="SP4Branch___17">#REF!</definedName>
    <definedName name="SP4Branch___4">#REF!</definedName>
    <definedName name="SP4Branch___5">#REF!</definedName>
    <definedName name="SP4Branch_4">#REF!</definedName>
    <definedName name="SP4Branch_4___0">#REF!</definedName>
    <definedName name="SP4Branch_4___1">#REF!</definedName>
    <definedName name="SP4Branch_4___17">#REF!</definedName>
    <definedName name="SP4Branch_4___4">#REF!</definedName>
    <definedName name="SP4Branch_4___5">#REF!</definedName>
    <definedName name="SP4Branch_4_1">#REF!</definedName>
    <definedName name="SP4Branch_4_1___0">#REF!</definedName>
    <definedName name="SP4Branch_4_1___1">#REF!</definedName>
    <definedName name="SP4Branch_4_1___5">#REF!</definedName>
    <definedName name="SP4Branch_6">#REF!</definedName>
    <definedName name="SP4Branch_6___0">#REF!</definedName>
    <definedName name="SP4Branch_6___1">#REF!</definedName>
    <definedName name="SP4Branch_6___17">#REF!</definedName>
    <definedName name="SP4Branch_6___4">#REF!</definedName>
    <definedName name="SP4Branch_6___5">#REF!</definedName>
    <definedName name="SP4Credit">#REF!</definedName>
    <definedName name="SP4Credit___0">#REF!</definedName>
    <definedName name="SP4Credit___1">#REF!</definedName>
    <definedName name="SP4Credit___17">#REF!</definedName>
    <definedName name="SP4Credit___4">#REF!</definedName>
    <definedName name="SP4Credit___5">#REF!</definedName>
    <definedName name="SP4Credit_4">#REF!</definedName>
    <definedName name="SP4Credit_4___0">#REF!</definedName>
    <definedName name="SP4Credit_4___1">#REF!</definedName>
    <definedName name="SP4Credit_4___17">#REF!</definedName>
    <definedName name="SP4Credit_4___4">#REF!</definedName>
    <definedName name="SP4Credit_4___5">#REF!</definedName>
    <definedName name="SP4Credit_4_1">#REF!</definedName>
    <definedName name="SP4Credit_4_1___0">#REF!</definedName>
    <definedName name="SP4Credit_4_1___1">#REF!</definedName>
    <definedName name="SP4Credit_4_1___5">#REF!</definedName>
    <definedName name="SP4Credit_6">#REF!</definedName>
    <definedName name="SP4Credit_6___0">#REF!</definedName>
    <definedName name="SP4Credit_6___1">#REF!</definedName>
    <definedName name="SP4Credit_6___17">#REF!</definedName>
    <definedName name="SP4Credit_6___4">#REF!</definedName>
    <definedName name="SP4Credit_6___5">#REF!</definedName>
    <definedName name="SP4Name">#REF!</definedName>
    <definedName name="SP4Name___0">#REF!</definedName>
    <definedName name="SP4Name___1">#REF!</definedName>
    <definedName name="SP4Name___17">#REF!</definedName>
    <definedName name="SP4Name___4">#REF!</definedName>
    <definedName name="SP4Name___5">#REF!</definedName>
    <definedName name="SP4Name_4">#REF!</definedName>
    <definedName name="SP4Name_4___0">#REF!</definedName>
    <definedName name="SP4Name_4___1">#REF!</definedName>
    <definedName name="SP4Name_4___17">#REF!</definedName>
    <definedName name="SP4Name_4___4">#REF!</definedName>
    <definedName name="SP4Name_4___5">#REF!</definedName>
    <definedName name="SP4Name_4_1">#REF!</definedName>
    <definedName name="SP4Name_4_1___0">#REF!</definedName>
    <definedName name="SP4Name_4_1___1">#REF!</definedName>
    <definedName name="SP4Name_4_1___5">#REF!</definedName>
    <definedName name="SP4Name_6">#REF!</definedName>
    <definedName name="SP4Name_6___0">#REF!</definedName>
    <definedName name="SP4Name_6___1">#REF!</definedName>
    <definedName name="SP4Name_6___17">#REF!</definedName>
    <definedName name="SP4Name_6___4">#REF!</definedName>
    <definedName name="SP4Name_6___5">#REF!</definedName>
    <definedName name="SP4Number">#REF!</definedName>
    <definedName name="SP4Number___0">#REF!</definedName>
    <definedName name="SP4Number___1">#REF!</definedName>
    <definedName name="SP4Number___17">#REF!</definedName>
    <definedName name="SP4Number___4">#REF!</definedName>
    <definedName name="SP4Number___5">#REF!</definedName>
    <definedName name="SP4Number_4">#REF!</definedName>
    <definedName name="SP4Number_4___0">#REF!</definedName>
    <definedName name="SP4Number_4___1">#REF!</definedName>
    <definedName name="SP4Number_4___17">#REF!</definedName>
    <definedName name="SP4Number_4___4">#REF!</definedName>
    <definedName name="SP4Number_4___5">#REF!</definedName>
    <definedName name="SP4Number_4_1">#REF!</definedName>
    <definedName name="SP4Number_4_1___0">#REF!</definedName>
    <definedName name="SP4Number_4_1___1">#REF!</definedName>
    <definedName name="SP4Number_4_1___5">#REF!</definedName>
    <definedName name="SP4Number_6">#REF!</definedName>
    <definedName name="SP4Number_6___0">#REF!</definedName>
    <definedName name="SP4Number_6___1">#REF!</definedName>
    <definedName name="SP4Number_6___17">#REF!</definedName>
    <definedName name="SP4Number_6___4">#REF!</definedName>
    <definedName name="SP4Number_6___5">#REF!</definedName>
    <definedName name="SP5Branch">#REF!</definedName>
    <definedName name="SP5Branch___0">#REF!</definedName>
    <definedName name="SP5Branch___1">#REF!</definedName>
    <definedName name="SP5Branch___17">#REF!</definedName>
    <definedName name="SP5Branch___4">#REF!</definedName>
    <definedName name="SP5Branch___5">#REF!</definedName>
    <definedName name="SP5Branch_4">#REF!</definedName>
    <definedName name="SP5Branch_4___0">#REF!</definedName>
    <definedName name="SP5Branch_4___1">#REF!</definedName>
    <definedName name="SP5Branch_4___17">#REF!</definedName>
    <definedName name="SP5Branch_4___4">#REF!</definedName>
    <definedName name="SP5Branch_4___5">#REF!</definedName>
    <definedName name="SP5Branch_4_1">#REF!</definedName>
    <definedName name="SP5Branch_4_1___0">#REF!</definedName>
    <definedName name="SP5Branch_4_1___1">#REF!</definedName>
    <definedName name="SP5Branch_4_1___5">#REF!</definedName>
    <definedName name="SP5Branch_6">#REF!</definedName>
    <definedName name="SP5Branch_6___0">#REF!</definedName>
    <definedName name="SP5Branch_6___1">#REF!</definedName>
    <definedName name="SP5Branch_6___17">#REF!</definedName>
    <definedName name="SP5Branch_6___4">#REF!</definedName>
    <definedName name="SP5Branch_6___5">#REF!</definedName>
    <definedName name="SP5Credit">#REF!</definedName>
    <definedName name="SP5Credit___0">#REF!</definedName>
    <definedName name="SP5Credit___1">#REF!</definedName>
    <definedName name="SP5Credit___17">#REF!</definedName>
    <definedName name="SP5Credit___4">#REF!</definedName>
    <definedName name="SP5Credit___5">#REF!</definedName>
    <definedName name="SP5Credit_4">#REF!</definedName>
    <definedName name="SP5Credit_4___0">#REF!</definedName>
    <definedName name="SP5Credit_4___1">#REF!</definedName>
    <definedName name="SP5Credit_4___17">#REF!</definedName>
    <definedName name="SP5Credit_4___4">#REF!</definedName>
    <definedName name="SP5Credit_4___5">#REF!</definedName>
    <definedName name="SP5Credit_4_1">#REF!</definedName>
    <definedName name="SP5Credit_4_1___0">#REF!</definedName>
    <definedName name="SP5Credit_4_1___1">#REF!</definedName>
    <definedName name="SP5Credit_4_1___5">#REF!</definedName>
    <definedName name="SP5Credit_6">#REF!</definedName>
    <definedName name="SP5Credit_6___0">#REF!</definedName>
    <definedName name="SP5Credit_6___1">#REF!</definedName>
    <definedName name="SP5Credit_6___17">#REF!</definedName>
    <definedName name="SP5Credit_6___4">#REF!</definedName>
    <definedName name="SP5Credit_6___5">#REF!</definedName>
    <definedName name="SP5Name">#REF!</definedName>
    <definedName name="SP5Name___0">#REF!</definedName>
    <definedName name="SP5Name___1">#REF!</definedName>
    <definedName name="SP5Name___17">#REF!</definedName>
    <definedName name="SP5Name___4">#REF!</definedName>
    <definedName name="SP5Name___5">#REF!</definedName>
    <definedName name="SP5Name_4">#REF!</definedName>
    <definedName name="SP5Name_4___0">#REF!</definedName>
    <definedName name="SP5Name_4___1">#REF!</definedName>
    <definedName name="SP5Name_4___17">#REF!</definedName>
    <definedName name="SP5Name_4___4">#REF!</definedName>
    <definedName name="SP5Name_4___5">#REF!</definedName>
    <definedName name="SP5Name_4_1">#REF!</definedName>
    <definedName name="SP5Name_4_1___0">#REF!</definedName>
    <definedName name="SP5Name_4_1___1">#REF!</definedName>
    <definedName name="SP5Name_4_1___5">#REF!</definedName>
    <definedName name="SP5Name_6">#REF!</definedName>
    <definedName name="SP5Name_6___0">#REF!</definedName>
    <definedName name="SP5Name_6___1">#REF!</definedName>
    <definedName name="SP5Name_6___17">#REF!</definedName>
    <definedName name="SP5Name_6___4">#REF!</definedName>
    <definedName name="SP5Name_6___5">#REF!</definedName>
    <definedName name="SP5Number">#REF!</definedName>
    <definedName name="SP5Number___0">#REF!</definedName>
    <definedName name="SP5Number___1">#REF!</definedName>
    <definedName name="SP5Number___17">#REF!</definedName>
    <definedName name="SP5Number___4">#REF!</definedName>
    <definedName name="SP5Number___5">#REF!</definedName>
    <definedName name="SP5Number_4">#REF!</definedName>
    <definedName name="SP5Number_4___0">#REF!</definedName>
    <definedName name="SP5Number_4___1">#REF!</definedName>
    <definedName name="SP5Number_4___17">#REF!</definedName>
    <definedName name="SP5Number_4___4">#REF!</definedName>
    <definedName name="SP5Number_4___5">#REF!</definedName>
    <definedName name="SP5Number_4_1">#REF!</definedName>
    <definedName name="SP5Number_4_1___0">#REF!</definedName>
    <definedName name="SP5Number_4_1___1">#REF!</definedName>
    <definedName name="SP5Number_4_1___5">#REF!</definedName>
    <definedName name="SP5Number_6">#REF!</definedName>
    <definedName name="SP5Number_6___0">#REF!</definedName>
    <definedName name="SP5Number_6___1">#REF!</definedName>
    <definedName name="SP5Number_6___17">#REF!</definedName>
    <definedName name="SP5Number_6___4">#REF!</definedName>
    <definedName name="SP5Number_6___5">#REF!</definedName>
    <definedName name="SpecClass">#REF!</definedName>
    <definedName name="SpecClass___0">#REF!</definedName>
    <definedName name="SpecClass___1">#REF!</definedName>
    <definedName name="SpecClass___17">#REF!</definedName>
    <definedName name="SpecClass___4">#REF!</definedName>
    <definedName name="SpecClass___5">#REF!</definedName>
    <definedName name="SpecClass_4">#REF!</definedName>
    <definedName name="SpecClass_4___0">#REF!</definedName>
    <definedName name="SpecClass_4___1">#REF!</definedName>
    <definedName name="SpecClass_4___17">#REF!</definedName>
    <definedName name="SpecClass_4___4">#REF!</definedName>
    <definedName name="SpecClass_4___5">#REF!</definedName>
    <definedName name="SpecClass_4_1">#REF!</definedName>
    <definedName name="SpecClass_4_1___0">#REF!</definedName>
    <definedName name="SpecClass_4_1___1">#REF!</definedName>
    <definedName name="SpecClass_4_1___5">#REF!</definedName>
    <definedName name="SpecClass_6">#REF!</definedName>
    <definedName name="SpecClass_6___0">#REF!</definedName>
    <definedName name="SpecClass_6___1">#REF!</definedName>
    <definedName name="SpecClass_6___17">#REF!</definedName>
    <definedName name="SpecClass_6___4">#REF!</definedName>
    <definedName name="SpecClass_6___5">#REF!</definedName>
    <definedName name="SpecClass_Text">#REF!</definedName>
    <definedName name="SpecClass_Text___0">#REF!</definedName>
    <definedName name="SpecClass_Text___1">#REF!</definedName>
    <definedName name="SpecClass_Text___17">#REF!</definedName>
    <definedName name="SpecClass_Text___4">#REF!</definedName>
    <definedName name="SpecClass_Text___5">#REF!</definedName>
    <definedName name="SpecClass_Text_4">#REF!</definedName>
    <definedName name="SpecClass_Text_4___0">#REF!</definedName>
    <definedName name="SpecClass_Text_4___1">#REF!</definedName>
    <definedName name="SpecClass_Text_4___17">#REF!</definedName>
    <definedName name="SpecClass_Text_4___4">#REF!</definedName>
    <definedName name="SpecClass_Text_4___5">#REF!</definedName>
    <definedName name="SpecClass_Text_4_1">#REF!</definedName>
    <definedName name="SpecClass_Text_4_1___0">#REF!</definedName>
    <definedName name="SpecClass_Text_4_1___1">#REF!</definedName>
    <definedName name="SpecClass_Text_4_1___5">#REF!</definedName>
    <definedName name="SpecClass_Text_6">#REF!</definedName>
    <definedName name="SpecClass_Text_6___0">#REF!</definedName>
    <definedName name="SpecClass_Text_6___1">#REF!</definedName>
    <definedName name="SpecClass_Text_6___17">#REF!</definedName>
    <definedName name="SpecClass_Text_6___4">#REF!</definedName>
    <definedName name="SpecClass_Text_6___5">#REF!</definedName>
    <definedName name="SpecEnv1">#REF!</definedName>
    <definedName name="SpecEnv1___0">#REF!</definedName>
    <definedName name="SpecEnv1___1">#REF!</definedName>
    <definedName name="SpecEnv1___17">#REF!</definedName>
    <definedName name="SpecEnv1___4">#REF!</definedName>
    <definedName name="SpecEnv1___5">#REF!</definedName>
    <definedName name="SpecEnv1_4">#REF!</definedName>
    <definedName name="SpecEnv1_4___0">#REF!</definedName>
    <definedName name="SpecEnv1_4___1">#REF!</definedName>
    <definedName name="SpecEnv1_4___17">#REF!</definedName>
    <definedName name="SpecEnv1_4___4">#REF!</definedName>
    <definedName name="SpecEnv1_4___5">#REF!</definedName>
    <definedName name="SpecEnv1_4_1">#REF!</definedName>
    <definedName name="SpecEnv1_4_1___0">#REF!</definedName>
    <definedName name="SpecEnv1_4_1___1">#REF!</definedName>
    <definedName name="SpecEnv1_4_1___5">#REF!</definedName>
    <definedName name="SpecEnv1_6">#REF!</definedName>
    <definedName name="SpecEnv1_6___0">#REF!</definedName>
    <definedName name="SpecEnv1_6___1">#REF!</definedName>
    <definedName name="SpecEnv1_6___17">#REF!</definedName>
    <definedName name="SpecEnv1_6___4">#REF!</definedName>
    <definedName name="SpecEnv1_6___5">#REF!</definedName>
    <definedName name="SpecEnv1_Text">#REF!</definedName>
    <definedName name="SpecEnv1_Text___0">#REF!</definedName>
    <definedName name="SpecEnv1_Text___1">#REF!</definedName>
    <definedName name="SpecEnv1_Text___17">#REF!</definedName>
    <definedName name="SpecEnv1_Text___4">#REF!</definedName>
    <definedName name="SpecEnv1_Text___5">#REF!</definedName>
    <definedName name="SpecEnv1_Text_4">#REF!</definedName>
    <definedName name="SpecEnv1_Text_4___0">#REF!</definedName>
    <definedName name="SpecEnv1_Text_4___1">#REF!</definedName>
    <definedName name="SpecEnv1_Text_4___17">#REF!</definedName>
    <definedName name="SpecEnv1_Text_4___4">#REF!</definedName>
    <definedName name="SpecEnv1_Text_4___5">#REF!</definedName>
    <definedName name="SpecEnv1_Text_4_1">#REF!</definedName>
    <definedName name="SpecEnv1_Text_4_1___0">#REF!</definedName>
    <definedName name="SpecEnv1_Text_4_1___1">#REF!</definedName>
    <definedName name="SpecEnv1_Text_4_1___5">#REF!</definedName>
    <definedName name="SpecEnv1_Text_6">#REF!</definedName>
    <definedName name="SpecEnv1_Text_6___0">#REF!</definedName>
    <definedName name="SpecEnv1_Text_6___1">#REF!</definedName>
    <definedName name="SpecEnv1_Text_6___17">#REF!</definedName>
    <definedName name="SpecEnv1_Text_6___4">#REF!</definedName>
    <definedName name="SpecEnv1_Text_6___5">#REF!</definedName>
    <definedName name="SpecEnv2">#REF!</definedName>
    <definedName name="SpecEnv2___0">#REF!</definedName>
    <definedName name="SpecEnv2___1">#REF!</definedName>
    <definedName name="SpecEnv2___17">#REF!</definedName>
    <definedName name="SpecEnv2___4">#REF!</definedName>
    <definedName name="SpecEnv2___5">#REF!</definedName>
    <definedName name="SpecEnv2_4">#REF!</definedName>
    <definedName name="SpecEnv2_4___0">#REF!</definedName>
    <definedName name="SpecEnv2_4___1">#REF!</definedName>
    <definedName name="SpecEnv2_4___17">#REF!</definedName>
    <definedName name="SpecEnv2_4___4">#REF!</definedName>
    <definedName name="SpecEnv2_4___5">#REF!</definedName>
    <definedName name="SpecEnv2_4_1">#REF!</definedName>
    <definedName name="SpecEnv2_4_1___0">#REF!</definedName>
    <definedName name="SpecEnv2_4_1___1">#REF!</definedName>
    <definedName name="SpecEnv2_4_1___5">#REF!</definedName>
    <definedName name="SpecEnv2_6">#REF!</definedName>
    <definedName name="SpecEnv2_6___0">#REF!</definedName>
    <definedName name="SpecEnv2_6___1">#REF!</definedName>
    <definedName name="SpecEnv2_6___17">#REF!</definedName>
    <definedName name="SpecEnv2_6___4">#REF!</definedName>
    <definedName name="SpecEnv2_6___5">#REF!</definedName>
    <definedName name="SpecEnv2_Text">#REF!</definedName>
    <definedName name="SpecEnv2_Text___0">#REF!</definedName>
    <definedName name="SpecEnv2_Text___1">#REF!</definedName>
    <definedName name="SpecEnv2_Text___17">#REF!</definedName>
    <definedName name="SpecEnv2_Text___4">#REF!</definedName>
    <definedName name="SpecEnv2_Text___5">#REF!</definedName>
    <definedName name="SpecEnv2_Text_4">#REF!</definedName>
    <definedName name="SpecEnv2_Text_4___0">#REF!</definedName>
    <definedName name="SpecEnv2_Text_4___1">#REF!</definedName>
    <definedName name="SpecEnv2_Text_4___17">#REF!</definedName>
    <definedName name="SpecEnv2_Text_4___4">#REF!</definedName>
    <definedName name="SpecEnv2_Text_4___5">#REF!</definedName>
    <definedName name="SpecEnv2_Text_4_1">#REF!</definedName>
    <definedName name="SpecEnv2_Text_4_1___0">#REF!</definedName>
    <definedName name="SpecEnv2_Text_4_1___1">#REF!</definedName>
    <definedName name="SpecEnv2_Text_4_1___5">#REF!</definedName>
    <definedName name="SpecEnv2_Text_6">#REF!</definedName>
    <definedName name="SpecEnv2_Text_6___0">#REF!</definedName>
    <definedName name="SpecEnv2_Text_6___1">#REF!</definedName>
    <definedName name="SpecEnv2_Text_6___17">#REF!</definedName>
    <definedName name="SpecEnv2_Text_6___4">#REF!</definedName>
    <definedName name="SpecEnv2_Text_6___5">#REF!</definedName>
    <definedName name="SpecialPrice" hidden="1">#REF!</definedName>
    <definedName name="spfactor_3">NA()</definedName>
    <definedName name="spfactor_3_1">NA()</definedName>
    <definedName name="split_new">#REF!</definedName>
    <definedName name="Split_Old">#REF!</definedName>
    <definedName name="split_oldPP">#REF!</definedName>
    <definedName name="SPLR">#REF!</definedName>
    <definedName name="SPLR___0">#REF!</definedName>
    <definedName name="SPLR___1">#REF!</definedName>
    <definedName name="SPLR___17">#REF!</definedName>
    <definedName name="SPLR___4">#REF!</definedName>
    <definedName name="SPLR___5">#REF!</definedName>
    <definedName name="SPLR_4">#REF!</definedName>
    <definedName name="SPLR_4___0">#REF!</definedName>
    <definedName name="SPLR_4___1">#REF!</definedName>
    <definedName name="SPLR_4___17">#REF!</definedName>
    <definedName name="SPLR_4___4">#REF!</definedName>
    <definedName name="SPLR_4___5">#REF!</definedName>
    <definedName name="SPLR_4_1">#REF!</definedName>
    <definedName name="SPLR_4_1___0">#REF!</definedName>
    <definedName name="SPLR_4_1___1">#REF!</definedName>
    <definedName name="SPLR_4_1___5">#REF!</definedName>
    <definedName name="SPLR_6">#REF!</definedName>
    <definedName name="SPLR_6___0">#REF!</definedName>
    <definedName name="SPLR_6___1">#REF!</definedName>
    <definedName name="SPLR_6___17">#REF!</definedName>
    <definedName name="SPLR_6___4">#REF!</definedName>
    <definedName name="SPLR_6___5">#REF!</definedName>
    <definedName name="SPOK">#REF!</definedName>
    <definedName name="SPOT1">#REF!</definedName>
    <definedName name="SPR">#REF!</definedName>
    <definedName name="SPREAD">'[12]#REF'!#REF!</definedName>
    <definedName name="sqdsadada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SQRT__1___0.6___1.0">#REF!</definedName>
    <definedName name="SQRT__1___0_6___1_0">#REF!</definedName>
    <definedName name="SQRT__1___0_6___1_0___0">#REF!</definedName>
    <definedName name="SQRT__1___0_6___1_0___13">#REF!</definedName>
    <definedName name="SRB" localSheetId="5" hidden="1">{"'Sheet1'!$A$4386:$N$4591"}</definedName>
    <definedName name="SRB" localSheetId="0" hidden="1">{"'Sheet1'!$A$4386:$N$4591"}</definedName>
    <definedName name="SRB" hidden="1">{"'Sheet1'!$A$4386:$N$4591"}</definedName>
    <definedName name="SRD">#N/A</definedName>
    <definedName name="srdfg" hidden="1">{#N/A,#N/A,FALSE,"Aging Summary";#N/A,#N/A,FALSE,"Ratio Analysis";#N/A,#N/A,FALSE,"Test 120 Day Accts";#N/A,#N/A,FALSE,"Tickmarks"}</definedName>
    <definedName name="SrvcCode1">#REF!</definedName>
    <definedName name="SrvcCode1___0">#REF!</definedName>
    <definedName name="SrvcCode1___1">#REF!</definedName>
    <definedName name="SrvcCode1___17">#REF!</definedName>
    <definedName name="SrvcCode1___4">#REF!</definedName>
    <definedName name="SrvcCode1___5">#REF!</definedName>
    <definedName name="SrvcCode1_4">#REF!</definedName>
    <definedName name="SrvcCode1_4___0">#REF!</definedName>
    <definedName name="SrvcCode1_4___1">#REF!</definedName>
    <definedName name="SrvcCode1_4___17">#REF!</definedName>
    <definedName name="SrvcCode1_4___4">#REF!</definedName>
    <definedName name="SrvcCode1_4___5">#REF!</definedName>
    <definedName name="SrvcCode1_4_1">#REF!</definedName>
    <definedName name="SrvcCode1_4_1___0">#REF!</definedName>
    <definedName name="SrvcCode1_4_1___1">#REF!</definedName>
    <definedName name="SrvcCode1_4_1___5">#REF!</definedName>
    <definedName name="SrvcCode1_6">#REF!</definedName>
    <definedName name="SrvcCode1_6___0">#REF!</definedName>
    <definedName name="SrvcCode1_6___1">#REF!</definedName>
    <definedName name="SrvcCode1_6___17">#REF!</definedName>
    <definedName name="SrvcCode1_6___4">#REF!</definedName>
    <definedName name="SrvcCode1_6___5">#REF!</definedName>
    <definedName name="SrvcCode1_Text">#REF!</definedName>
    <definedName name="SrvcCode1_Text___0">#REF!</definedName>
    <definedName name="SrvcCode1_Text___1">#REF!</definedName>
    <definedName name="SrvcCode1_Text___17">#REF!</definedName>
    <definedName name="SrvcCode1_Text___4">#REF!</definedName>
    <definedName name="SrvcCode1_Text___5">#REF!</definedName>
    <definedName name="SrvcCode1_Text_4">#REF!</definedName>
    <definedName name="SrvcCode1_Text_4___0">#REF!</definedName>
    <definedName name="SrvcCode1_Text_4___1">#REF!</definedName>
    <definedName name="SrvcCode1_Text_4___17">#REF!</definedName>
    <definedName name="SrvcCode1_Text_4___4">#REF!</definedName>
    <definedName name="SrvcCode1_Text_4___5">#REF!</definedName>
    <definedName name="SrvcCode1_Text_4_1">#REF!</definedName>
    <definedName name="SrvcCode1_Text_4_1___0">#REF!</definedName>
    <definedName name="SrvcCode1_Text_4_1___1">#REF!</definedName>
    <definedName name="SrvcCode1_Text_4_1___5">#REF!</definedName>
    <definedName name="SrvcCode1_Text_6">#REF!</definedName>
    <definedName name="SrvcCode1_Text_6___0">#REF!</definedName>
    <definedName name="SrvcCode1_Text_6___1">#REF!</definedName>
    <definedName name="SrvcCode1_Text_6___17">#REF!</definedName>
    <definedName name="SrvcCode1_Text_6___4">#REF!</definedName>
    <definedName name="SrvcCode1_Text_6___5">#REF!</definedName>
    <definedName name="SrvcCode2">#REF!</definedName>
    <definedName name="SrvcCode2___0">#REF!</definedName>
    <definedName name="SrvcCode2___1">#REF!</definedName>
    <definedName name="SrvcCode2___17">#REF!</definedName>
    <definedName name="SrvcCode2___4">#REF!</definedName>
    <definedName name="SrvcCode2___5">#REF!</definedName>
    <definedName name="SrvcCode2_4">#REF!</definedName>
    <definedName name="SrvcCode2_4___0">#REF!</definedName>
    <definedName name="SrvcCode2_4___1">#REF!</definedName>
    <definedName name="SrvcCode2_4___17">#REF!</definedName>
    <definedName name="SrvcCode2_4___4">#REF!</definedName>
    <definedName name="SrvcCode2_4___5">#REF!</definedName>
    <definedName name="SrvcCode2_4_1">#REF!</definedName>
    <definedName name="SrvcCode2_4_1___0">#REF!</definedName>
    <definedName name="SrvcCode2_4_1___1">#REF!</definedName>
    <definedName name="SrvcCode2_4_1___5">#REF!</definedName>
    <definedName name="SrvcCode2_6">#REF!</definedName>
    <definedName name="SrvcCode2_6___0">#REF!</definedName>
    <definedName name="SrvcCode2_6___1">#REF!</definedName>
    <definedName name="SrvcCode2_6___17">#REF!</definedName>
    <definedName name="SrvcCode2_6___4">#REF!</definedName>
    <definedName name="SrvcCode2_6___5">#REF!</definedName>
    <definedName name="SrvcCode2_Text">#REF!</definedName>
    <definedName name="SrvcCode2_Text___0">#REF!</definedName>
    <definedName name="SrvcCode2_Text___1">#REF!</definedName>
    <definedName name="SrvcCode2_Text___17">#REF!</definedName>
    <definedName name="SrvcCode2_Text___4">#REF!</definedName>
    <definedName name="SrvcCode2_Text___5">#REF!</definedName>
    <definedName name="SrvcCode2_Text_4">#REF!</definedName>
    <definedName name="SrvcCode2_Text_4___0">#REF!</definedName>
    <definedName name="SrvcCode2_Text_4___1">#REF!</definedName>
    <definedName name="SrvcCode2_Text_4___17">#REF!</definedName>
    <definedName name="SrvcCode2_Text_4___4">#REF!</definedName>
    <definedName name="SrvcCode2_Text_4___5">#REF!</definedName>
    <definedName name="SrvcCode2_Text_4_1">#REF!</definedName>
    <definedName name="SrvcCode2_Text_4_1___0">#REF!</definedName>
    <definedName name="SrvcCode2_Text_4_1___1">#REF!</definedName>
    <definedName name="SrvcCode2_Text_4_1___5">#REF!</definedName>
    <definedName name="SrvcCode2_Text_6">#REF!</definedName>
    <definedName name="SrvcCode2_Text_6___0">#REF!</definedName>
    <definedName name="SrvcCode2_Text_6___1">#REF!</definedName>
    <definedName name="SrvcCode2_Text_6___17">#REF!</definedName>
    <definedName name="SrvcCode2_Text_6___4">#REF!</definedName>
    <definedName name="SrvcCode2_Text_6___5">#REF!</definedName>
    <definedName name="SrvcCode3">#REF!</definedName>
    <definedName name="SrvcCode3___0">#REF!</definedName>
    <definedName name="SrvcCode3___1">#REF!</definedName>
    <definedName name="SrvcCode3___17">#REF!</definedName>
    <definedName name="SrvcCode3___4">#REF!</definedName>
    <definedName name="SrvcCode3___5">#REF!</definedName>
    <definedName name="SrvcCode3_4">#REF!</definedName>
    <definedName name="SrvcCode3_4___0">#REF!</definedName>
    <definedName name="SrvcCode3_4___1">#REF!</definedName>
    <definedName name="SrvcCode3_4___17">#REF!</definedName>
    <definedName name="SrvcCode3_4___4">#REF!</definedName>
    <definedName name="SrvcCode3_4___5">#REF!</definedName>
    <definedName name="SrvcCode3_4_1">#REF!</definedName>
    <definedName name="SrvcCode3_4_1___0">#REF!</definedName>
    <definedName name="SrvcCode3_4_1___1">#REF!</definedName>
    <definedName name="SrvcCode3_4_1___5">#REF!</definedName>
    <definedName name="SrvcCode3_6">#REF!</definedName>
    <definedName name="SrvcCode3_6___0">#REF!</definedName>
    <definedName name="SrvcCode3_6___1">#REF!</definedName>
    <definedName name="SrvcCode3_6___17">#REF!</definedName>
    <definedName name="SrvcCode3_6___4">#REF!</definedName>
    <definedName name="SrvcCode3_6___5">#REF!</definedName>
    <definedName name="SrvcCode3_Text">#REF!</definedName>
    <definedName name="SrvcCode3_Text___0">#REF!</definedName>
    <definedName name="SrvcCode3_Text___1">#REF!</definedName>
    <definedName name="SrvcCode3_Text___17">#REF!</definedName>
    <definedName name="SrvcCode3_Text___4">#REF!</definedName>
    <definedName name="SrvcCode3_Text___5">#REF!</definedName>
    <definedName name="SrvcCode3_Text_4">#REF!</definedName>
    <definedName name="SrvcCode3_Text_4___0">#REF!</definedName>
    <definedName name="SrvcCode3_Text_4___1">#REF!</definedName>
    <definedName name="SrvcCode3_Text_4___17">#REF!</definedName>
    <definedName name="SrvcCode3_Text_4___4">#REF!</definedName>
    <definedName name="SrvcCode3_Text_4___5">#REF!</definedName>
    <definedName name="SrvcCode3_Text_4_1">#REF!</definedName>
    <definedName name="SrvcCode3_Text_4_1___0">#REF!</definedName>
    <definedName name="SrvcCode3_Text_4_1___1">#REF!</definedName>
    <definedName name="SrvcCode3_Text_4_1___5">#REF!</definedName>
    <definedName name="SrvcCode3_Text_6">#REF!</definedName>
    <definedName name="SrvcCode3_Text_6___0">#REF!</definedName>
    <definedName name="SrvcCode3_Text_6___1">#REF!</definedName>
    <definedName name="SrvcCode3_Text_6___17">#REF!</definedName>
    <definedName name="SrvcCode3_Text_6___4">#REF!</definedName>
    <definedName name="SrvcCode3_Text_6___5">#REF!</definedName>
    <definedName name="SrvcCode4">#REF!</definedName>
    <definedName name="SrvcCode4___0">#REF!</definedName>
    <definedName name="SrvcCode4___1">#REF!</definedName>
    <definedName name="SrvcCode4___17">#REF!</definedName>
    <definedName name="SrvcCode4___4">#REF!</definedName>
    <definedName name="SrvcCode4___5">#REF!</definedName>
    <definedName name="SrvcCode4_4">#REF!</definedName>
    <definedName name="SrvcCode4_4___0">#REF!</definedName>
    <definedName name="SrvcCode4_4___1">#REF!</definedName>
    <definedName name="SrvcCode4_4___17">#REF!</definedName>
    <definedName name="SrvcCode4_4___4">#REF!</definedName>
    <definedName name="SrvcCode4_4___5">#REF!</definedName>
    <definedName name="SrvcCode4_4_1">#REF!</definedName>
    <definedName name="SrvcCode4_4_1___0">#REF!</definedName>
    <definedName name="SrvcCode4_4_1___1">#REF!</definedName>
    <definedName name="SrvcCode4_4_1___5">#REF!</definedName>
    <definedName name="SrvcCode4_6">#REF!</definedName>
    <definedName name="SrvcCode4_6___0">#REF!</definedName>
    <definedName name="SrvcCode4_6___1">#REF!</definedName>
    <definedName name="SrvcCode4_6___17">#REF!</definedName>
    <definedName name="SrvcCode4_6___4">#REF!</definedName>
    <definedName name="SrvcCode4_6___5">#REF!</definedName>
    <definedName name="SrvcCode4_Text">#REF!</definedName>
    <definedName name="SrvcCode4_Text___0">#REF!</definedName>
    <definedName name="SrvcCode4_Text___1">#REF!</definedName>
    <definedName name="SrvcCode4_Text___17">#REF!</definedName>
    <definedName name="SrvcCode4_Text___4">#REF!</definedName>
    <definedName name="SrvcCode4_Text___5">#REF!</definedName>
    <definedName name="SrvcCode4_Text_4">#REF!</definedName>
    <definedName name="SrvcCode4_Text_4___0">#REF!</definedName>
    <definedName name="SrvcCode4_Text_4___1">#REF!</definedName>
    <definedName name="SrvcCode4_Text_4___17">#REF!</definedName>
    <definedName name="SrvcCode4_Text_4___4">#REF!</definedName>
    <definedName name="SrvcCode4_Text_4___5">#REF!</definedName>
    <definedName name="SrvcCode4_Text_4_1">#REF!</definedName>
    <definedName name="SrvcCode4_Text_4_1___0">#REF!</definedName>
    <definedName name="SrvcCode4_Text_4_1___1">#REF!</definedName>
    <definedName name="SrvcCode4_Text_4_1___5">#REF!</definedName>
    <definedName name="SrvcCode4_Text_6">#REF!</definedName>
    <definedName name="SrvcCode4_Text_6___0">#REF!</definedName>
    <definedName name="SrvcCode4_Text_6___1">#REF!</definedName>
    <definedName name="SrvcCode4_Text_6___17">#REF!</definedName>
    <definedName name="SrvcCode4_Text_6___4">#REF!</definedName>
    <definedName name="SrvcCode4_Text_6___5">#REF!</definedName>
    <definedName name="SrvcCode5">#REF!</definedName>
    <definedName name="SrvcCode5___0">#REF!</definedName>
    <definedName name="SrvcCode5___1">#REF!</definedName>
    <definedName name="SrvcCode5___17">#REF!</definedName>
    <definedName name="SrvcCode5___4">#REF!</definedName>
    <definedName name="SrvcCode5___5">#REF!</definedName>
    <definedName name="SrvcCode5_4">#REF!</definedName>
    <definedName name="SrvcCode5_4___0">#REF!</definedName>
    <definedName name="SrvcCode5_4___1">#REF!</definedName>
    <definedName name="SrvcCode5_4___17">#REF!</definedName>
    <definedName name="SrvcCode5_4___4">#REF!</definedName>
    <definedName name="SrvcCode5_4___5">#REF!</definedName>
    <definedName name="SrvcCode5_4_1">#REF!</definedName>
    <definedName name="SrvcCode5_4_1___0">#REF!</definedName>
    <definedName name="SrvcCode5_4_1___1">#REF!</definedName>
    <definedName name="SrvcCode5_4_1___5">#REF!</definedName>
    <definedName name="SrvcCode5_6">#REF!</definedName>
    <definedName name="SrvcCode5_6___0">#REF!</definedName>
    <definedName name="SrvcCode5_6___1">#REF!</definedName>
    <definedName name="SrvcCode5_6___17">#REF!</definedName>
    <definedName name="SrvcCode5_6___4">#REF!</definedName>
    <definedName name="SrvcCode5_6___5">#REF!</definedName>
    <definedName name="SrvcCode5_Text">#REF!</definedName>
    <definedName name="SrvcCode5_Text___0">#REF!</definedName>
    <definedName name="SrvcCode5_Text___1">#REF!</definedName>
    <definedName name="SrvcCode5_Text___17">#REF!</definedName>
    <definedName name="SrvcCode5_Text___4">#REF!</definedName>
    <definedName name="SrvcCode5_Text___5">#REF!</definedName>
    <definedName name="SrvcCode5_Text_4">#REF!</definedName>
    <definedName name="SrvcCode5_Text_4___0">#REF!</definedName>
    <definedName name="SrvcCode5_Text_4___1">#REF!</definedName>
    <definedName name="SrvcCode5_Text_4___17">#REF!</definedName>
    <definedName name="SrvcCode5_Text_4___4">#REF!</definedName>
    <definedName name="SrvcCode5_Text_4___5">#REF!</definedName>
    <definedName name="SrvcCode5_Text_4_1">#REF!</definedName>
    <definedName name="SrvcCode5_Text_4_1___0">#REF!</definedName>
    <definedName name="SrvcCode5_Text_4_1___1">#REF!</definedName>
    <definedName name="SrvcCode5_Text_4_1___5">#REF!</definedName>
    <definedName name="SrvcCode5_Text_6">#REF!</definedName>
    <definedName name="SrvcCode5_Text_6___0">#REF!</definedName>
    <definedName name="SrvcCode5_Text_6___1">#REF!</definedName>
    <definedName name="SrvcCode5_Text_6___17">#REF!</definedName>
    <definedName name="SrvcCode5_Text_6___4">#REF!</definedName>
    <definedName name="SrvcCode5_Text_6___5">#REF!</definedName>
    <definedName name="srvf">#REF!</definedName>
    <definedName name="srvf_16">#REF!</definedName>
    <definedName name="srvf_17">#REF!</definedName>
    <definedName name="srvf_18">#REF!</definedName>
    <definedName name="srvf_19">#REF!</definedName>
    <definedName name="srvf_4">#REF!</definedName>
    <definedName name="srvf_5">#REF!</definedName>
    <definedName name="srvf_6">#REF!</definedName>
    <definedName name="srvf_7">#REF!</definedName>
    <definedName name="srvf_8">#REF!</definedName>
    <definedName name="srvf_9">#REF!</definedName>
    <definedName name="srw">#REF!</definedName>
    <definedName name="SS">#REF!</definedName>
    <definedName name="SS___0">#REF!</definedName>
    <definedName name="SS___1">#REF!</definedName>
    <definedName name="SS___5">#REF!</definedName>
    <definedName name="ssd">#REF!</definedName>
    <definedName name="ssd_16">#REF!</definedName>
    <definedName name="ssd_17">#REF!</definedName>
    <definedName name="ssd_18">#REF!</definedName>
    <definedName name="ssd_19">#REF!</definedName>
    <definedName name="ssd_4">#REF!</definedName>
    <definedName name="ssd_5">#REF!</definedName>
    <definedName name="ssd_6">#REF!</definedName>
    <definedName name="ssd_7">#REF!</definedName>
    <definedName name="ssd_8">#REF!</definedName>
    <definedName name="ssd_9">#REF!</definedName>
    <definedName name="Ssec1">#REF!</definedName>
    <definedName name="Ssec2">#REF!</definedName>
    <definedName name="Ssec3">#REF!</definedName>
    <definedName name="Ssec4">#REF!</definedName>
    <definedName name="Ssec5">#REF!</definedName>
    <definedName name="Ssec6">#REF!</definedName>
    <definedName name="ssf">#REF!</definedName>
    <definedName name="ssf_16">#REF!</definedName>
    <definedName name="ssf_17">#REF!</definedName>
    <definedName name="ssf_18">#REF!</definedName>
    <definedName name="ssf_19">#REF!</definedName>
    <definedName name="ssf_4">#REF!</definedName>
    <definedName name="ssf_5">#REF!</definedName>
    <definedName name="ssf_6">#REF!</definedName>
    <definedName name="ssf_7">#REF!</definedName>
    <definedName name="ssf_8">#REF!</definedName>
    <definedName name="ssf_9">#REF!</definedName>
    <definedName name="ssh" hidden="1">#REF!</definedName>
    <definedName name="sss">#REF!</definedName>
    <definedName name="SSS___0">#REF!</definedName>
    <definedName name="SSS___1">#REF!</definedName>
    <definedName name="SSS___5">#REF!</definedName>
    <definedName name="sstype3drop">#REF!</definedName>
    <definedName name="SSTYPE3DROP1">#REF!</definedName>
    <definedName name="sstype3slab">#REF!</definedName>
    <definedName name="SSTYPESLAB1">#REF!</definedName>
    <definedName name="st">#REF!</definedName>
    <definedName name="st_100">#REF!</definedName>
    <definedName name="st_150">#REF!</definedName>
    <definedName name="st_200">#REF!</definedName>
    <definedName name="st_25">#REF!</definedName>
    <definedName name="st_250">#REF!</definedName>
    <definedName name="st_300">#REF!</definedName>
    <definedName name="st_32">#REF!</definedName>
    <definedName name="st_40">#REF!</definedName>
    <definedName name="st_400">#REF!</definedName>
    <definedName name="st_50">#REF!</definedName>
    <definedName name="st_500">#REF!</definedName>
    <definedName name="st_65">#REF!</definedName>
    <definedName name="st_80">#REF!</definedName>
    <definedName name="Staff..">#REF!</definedName>
    <definedName name="staffing2" hidden="1">{#N/A,#N/A,FALSE,"Assessment";#N/A,#N/A,FALSE,"Staffing";#N/A,#N/A,FALSE,"Hires";#N/A,#N/A,FALSE,"Assumptions"}</definedName>
    <definedName name="Staffing3" hidden="1">{#N/A,#N/A,FALSE,"Assessment";#N/A,#N/A,FALSE,"Staffing";#N/A,#N/A,FALSE,"Hires";#N/A,#N/A,FALSE,"Assumptions"}</definedName>
    <definedName name="Stage">#REF!</definedName>
    <definedName name="Stagging_18">NA()</definedName>
    <definedName name="Staircase">#REF!</definedName>
    <definedName name="Staircase2">#REF!</definedName>
    <definedName name="Staircases">#REF!</definedName>
    <definedName name="STAIRS">#REF!</definedName>
    <definedName name="Stand_Alone">#REF!</definedName>
    <definedName name="Standalone">#REF!</definedName>
    <definedName name="STANDARD_SPECIFICATION_FOR_HOSPITAL_STRUCTURES">#REF!</definedName>
    <definedName name="STAREP">'[71]GMCP TRACKER (Rs)'!#REF!</definedName>
    <definedName name="START">#REF!</definedName>
    <definedName name="Start_Date">#REF!</definedName>
    <definedName name="StartDate">#REF!</definedName>
    <definedName name="StartDate___0">#REF!</definedName>
    <definedName name="StartDate___1">#REF!</definedName>
    <definedName name="StartDate___17">#REF!</definedName>
    <definedName name="StartDate___4">#REF!</definedName>
    <definedName name="StartDate___5">#REF!</definedName>
    <definedName name="StartDate_4">#REF!</definedName>
    <definedName name="StartDate_4___0">#REF!</definedName>
    <definedName name="StartDate_4___1">#REF!</definedName>
    <definedName name="StartDate_4___17">#REF!</definedName>
    <definedName name="StartDate_4___4">#REF!</definedName>
    <definedName name="StartDate_4___5">#REF!</definedName>
    <definedName name="StartDate_4_1">#REF!</definedName>
    <definedName name="StartDate_4_1___0">#REF!</definedName>
    <definedName name="StartDate_4_1___1">#REF!</definedName>
    <definedName name="StartDate_4_1___5">#REF!</definedName>
    <definedName name="StartDate_6">#REF!</definedName>
    <definedName name="StartDate_6___0">#REF!</definedName>
    <definedName name="StartDate_6___1">#REF!</definedName>
    <definedName name="StartDate_6___17">#REF!</definedName>
    <definedName name="StartDate_6___4">#REF!</definedName>
    <definedName name="StartDate_6___5">#REF!</definedName>
    <definedName name="StartRow">6</definedName>
    <definedName name="STAT">'[24]Standard Cost Codes'!#REF!</definedName>
    <definedName name="STAT2">'[24]Standard Cost Codes'!#REF!</definedName>
    <definedName name="STATR">'[24]Standard Cost Codes'!#REF!</definedName>
    <definedName name="StDebtDmy" hidden="1">[68]Book2!$A$57:$IV$57,[68]Book2!$A$103:$IV$103,[68]Book2!$A$149:$IV$149,[68]Book2!$A$197:$IV$197,[68]Book2!$A$242:$IV$242</definedName>
    <definedName name="stdhg" hidden="1">{#N/A,#N/A,FALSE,"Aging Summary";#N/A,#N/A,FALSE,"Ratio Analysis";#N/A,#N/A,FALSE,"Test 120 Day Accts";#N/A,#N/A,FALSE,"Tickmarks"}</definedName>
    <definedName name="steel">#REF!</definedName>
    <definedName name="STEP">#REF!</definedName>
    <definedName name="stock02" hidden="1">{#N/A,#N/A,FALSE,"gc (2)"}</definedName>
    <definedName name="STP">#REF!</definedName>
    <definedName name="STRAT">#REF!</definedName>
    <definedName name="StrID">#REF!</definedName>
    <definedName name="STRUCTURAL">#REF!</definedName>
    <definedName name="STRUCTURAL_7">#REF!</definedName>
    <definedName name="structure">#REF!</definedName>
    <definedName name="stsg" hidden="1">{"Network Summary",#N/A,TRUE,"Summary";"Piping Summary",#N/A,TRUE," Piping";"Meters Summary",#N/A,TRUE,"Meters &amp; Connections";"Connections Summary",#N/A,TRUE,"Meters &amp; Connections";"Stations Summary",#N/A,TRUE,"Stations Pivot"}</definedName>
    <definedName name="STTRTY">'[24]Standard Cost Codes'!#REF!</definedName>
    <definedName name="Stucco">#REF!</definedName>
    <definedName name="studext">#REF!</definedName>
    <definedName name="STUDEXT1">#REF!</definedName>
    <definedName name="StudioArea">#REF!</definedName>
    <definedName name="StudioPerimeter">#REF!</definedName>
    <definedName name="stype2drop">#REF!</definedName>
    <definedName name="STYPE2DROP1">#REF!</definedName>
    <definedName name="stype2slab">#REF!</definedName>
    <definedName name="STYPE2SLAB1">#REF!</definedName>
    <definedName name="stype3drop">#REF!</definedName>
    <definedName name="STYPE3DROP2">#REF!</definedName>
    <definedName name="stype3slab">#REF!</definedName>
    <definedName name="STYPE3SLAB1">#REF!</definedName>
    <definedName name="Subject">#REF!</definedName>
    <definedName name="SubLeaseStat">#REF!</definedName>
    <definedName name="SUBSTRUCTIRE">#REF!</definedName>
    <definedName name="Substructure">#REF!</definedName>
    <definedName name="suite17Area">#REF!</definedName>
    <definedName name="suite17Perimeter">#REF!</definedName>
    <definedName name="sum">#REF!</definedName>
    <definedName name="sum6b">#REF!</definedName>
    <definedName name="sum6C">#REF!</definedName>
    <definedName name="SUMACT">'[26]ACTUAL - 12 MTHS DATA'!$A$400</definedName>
    <definedName name="SUMFINAL">#REF!</definedName>
    <definedName name="Summary"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SUMMARY___0">#REF!</definedName>
    <definedName name="SUMMARY___10">#REF!</definedName>
    <definedName name="SUMMARY___11">#REF!</definedName>
    <definedName name="SUMMARY___14">#REF!</definedName>
    <definedName name="SUMMARY___16">#REF!</definedName>
    <definedName name="SUMMARY___17">#REF!</definedName>
    <definedName name="SUMMARY___18">#REF!</definedName>
    <definedName name="SUMMARY___7">#REF!</definedName>
    <definedName name="SUMMARY___8">#REF!</definedName>
    <definedName name="SUMMARY___9">#REF!</definedName>
    <definedName name="summaryty" hidden="1">{#N/A,#N/A,TRUE,"KEY DATA";#N/A,#N/A,TRUE,"KEY DATA Base Case";#N/A,#N/A,TRUE,"JULY";#N/A,#N/A,TRUE,"AUG";#N/A,#N/A,TRUE,"SEPT";#N/A,#N/A,TRUE,"3Q"}</definedName>
    <definedName name="summmmmm" hidden="1">{#N/A,#N/A,TRUE,"KEY DATA";#N/A,#N/A,TRUE,"KEY DATA Base Case";#N/A,#N/A,TRUE,"JULY";#N/A,#N/A,TRUE,"AUG";#N/A,#N/A,TRUE,"SEPT";#N/A,#N/A,TRUE,"3Q"}</definedName>
    <definedName name="SUMPLN">'[26]PLAN - 12 MTHS DATA'!$A$399</definedName>
    <definedName name="sumrisk">#REF!</definedName>
    <definedName name="sun" hidden="1">{#N/A,#N/A,TRUE,"145A"}</definedName>
    <definedName name="sun_1" hidden="1">{#N/A,#N/A,TRUE,"145A"}</definedName>
    <definedName name="sun_1_1" hidden="1">{#N/A,#N/A,TRUE,"145A"}</definedName>
    <definedName name="sun_1_1_1" hidden="1">{#N/A,#N/A,TRUE,"145A"}</definedName>
    <definedName name="sun_2" hidden="1">{#N/A,#N/A,TRUE,"145A"}</definedName>
    <definedName name="sun_2_1" hidden="1">{#N/A,#N/A,TRUE,"145A"}</definedName>
    <definedName name="sun_3" hidden="1">{#N/A,#N/A,TRUE,"145A"}</definedName>
    <definedName name="sun_3_1" hidden="1">{#N/A,#N/A,TRUE,"145A"}</definedName>
    <definedName name="sun_4" hidden="1">{#N/A,#N/A,TRUE,"145A"}</definedName>
    <definedName name="sun_4_1" hidden="1">{#N/A,#N/A,TRUE,"145A"}</definedName>
    <definedName name="sun_5" hidden="1">{#N/A,#N/A,TRUE,"145A"}</definedName>
    <definedName name="sun_5_1" hidden="1">{#N/A,#N/A,TRUE,"145A"}</definedName>
    <definedName name="SUNIL">#REF!</definedName>
    <definedName name="SUNIL1">#REF!</definedName>
    <definedName name="SUNIL3">#REF!</definedName>
    <definedName name="SURYA">#REF!</definedName>
    <definedName name="SVCSADM">#REF!</definedName>
    <definedName name="SW_COMP">#N/A</definedName>
    <definedName name="swati" hidden="1">{#N/A,#N/A,FALSE,"8"}</definedName>
    <definedName name="SWD">#REF!</definedName>
    <definedName name="SWDD">#REF!</definedName>
    <definedName name="sweett">#N/A</definedName>
    <definedName name="swf">#REF!</definedName>
    <definedName name="swf___0">#REF!</definedName>
    <definedName name="swf___1">#REF!</definedName>
    <definedName name="swf___17">#REF!</definedName>
    <definedName name="swf___4">#REF!</definedName>
    <definedName name="swf___5">#REF!</definedName>
    <definedName name="swf_1">#REF!</definedName>
    <definedName name="swf_16">#REF!</definedName>
    <definedName name="swf_17">#REF!</definedName>
    <definedName name="swf_18">#REF!</definedName>
    <definedName name="swf_19">#REF!</definedName>
    <definedName name="swf_2">NA()</definedName>
    <definedName name="swf_2_1">#REF!</definedName>
    <definedName name="swf_4">#REF!</definedName>
    <definedName name="swf_4___0">#REF!</definedName>
    <definedName name="swf_4___1">#REF!</definedName>
    <definedName name="swf_4___17">#REF!</definedName>
    <definedName name="swf_4___4">#REF!</definedName>
    <definedName name="swf_4___5">#REF!</definedName>
    <definedName name="swf_4_1">#REF!</definedName>
    <definedName name="swf_4_1___0">#REF!</definedName>
    <definedName name="swf_4_1___1">#REF!</definedName>
    <definedName name="swf_4_1___5">#REF!</definedName>
    <definedName name="swf_5">#REF!</definedName>
    <definedName name="swf_6">#REF!</definedName>
    <definedName name="swf_6___0">#REF!</definedName>
    <definedName name="swf_6___1">#REF!</definedName>
    <definedName name="swf_6___17">#REF!</definedName>
    <definedName name="swf_6___4">#REF!</definedName>
    <definedName name="swf_6___5">#REF!</definedName>
    <definedName name="swf_7">#REF!</definedName>
    <definedName name="swf_8">#REF!</definedName>
    <definedName name="swf_9">#REF!</definedName>
    <definedName name="SWFR">#REF!</definedName>
    <definedName name="Sww">#REF!</definedName>
    <definedName name="Sy">#REF!</definedName>
    <definedName name="SystemName">#REF!</definedName>
    <definedName name="T"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T"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T"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t___0">#REF!</definedName>
    <definedName name="t___13">#REF!</definedName>
    <definedName name="t_3">NA()</definedName>
    <definedName name="t_3_1">NA()</definedName>
    <definedName name="T0">#REF!</definedName>
    <definedName name="T0___0">#REF!</definedName>
    <definedName name="T0___1">#REF!</definedName>
    <definedName name="T0___5">#REF!</definedName>
    <definedName name="T0_6">NA()</definedName>
    <definedName name="t3tr" hidden="1">{#N/A,#N/A,FALSE,"COMP"}</definedName>
    <definedName name="TA" localSheetId="5" hidden="1">{#N/A,#N/A,TRUE,"Financials";#N/A,#N/A,TRUE,"Operating Statistics";#N/A,#N/A,TRUE,"Capex &amp; Depreciation";#N/A,#N/A,TRUE,"Debt"}</definedName>
    <definedName name="TA" localSheetId="0" hidden="1">{#N/A,#N/A,TRUE,"Financials";#N/A,#N/A,TRUE,"Operating Statistics";#N/A,#N/A,TRUE,"Capex &amp; Depreciation";#N/A,#N/A,TRUE,"Debt"}</definedName>
    <definedName name="TA" hidden="1">{#N/A,#N/A,TRUE,"Financials";#N/A,#N/A,TRUE,"Operating Statistics";#N/A,#N/A,TRUE,"Capex &amp; Depreciation";#N/A,#N/A,TRUE,"Debt"}</definedName>
    <definedName name="Table">#REF!</definedName>
    <definedName name="TABLE2">#REF!</definedName>
    <definedName name="TableRange">#REF!</definedName>
    <definedName name="TAHOMA">#REF!</definedName>
    <definedName name="TAMT">#REF!</definedName>
    <definedName name="TARGET">#REF!</definedName>
    <definedName name="TargetDatabaseManagement">[39]!TargetDatabaseManagement</definedName>
    <definedName name="TaxTV">10%</definedName>
    <definedName name="TaxXL">5%</definedName>
    <definedName name="TB" localSheetId="5" hidden="1">{#N/A,#N/A,FALSE,"One Pager";#N/A,#N/A,FALSE,"Technical"}</definedName>
    <definedName name="TB" localSheetId="0" hidden="1">{#N/A,#N/A,FALSE,"One Pager";#N/A,#N/A,FALSE,"Technical"}</definedName>
    <definedName name="TB" hidden="1">{#N/A,#N/A,FALSE,"One Pager";#N/A,#N/A,FALSE,"Technical"}</definedName>
    <definedName name="tbl_ProdInfo" hidden="1">#REF!</definedName>
    <definedName name="tcy">#REF!</definedName>
    <definedName name="tdc" localSheetId="5" hidden="1">{"'April 24'!$J$11"}</definedName>
    <definedName name="tdc" localSheetId="0" hidden="1">{"'April 24'!$J$11"}</definedName>
    <definedName name="tdc" hidden="1">{"'April 24'!$J$11"}</definedName>
    <definedName name="te">#REF!</definedName>
    <definedName name="TECH">#REF!</definedName>
    <definedName name="TECHI">#REF!</definedName>
    <definedName name="tee">#REF!</definedName>
    <definedName name="TEI">#REF!</definedName>
    <definedName name="tel">#REF!</definedName>
    <definedName name="TELE" hidden="1">{"'Mach'!$A$1:$D$39"}</definedName>
    <definedName name="Telecom_Man_Hole">#REF!</definedName>
    <definedName name="TELEVISION">#REF!</definedName>
    <definedName name="tem" localSheetId="5" hidden="1">{#N/A,#N/A,TRUE,"Front";#N/A,#N/A,TRUE,"Simple Letter";#N/A,#N/A,TRUE,"Inside";#N/A,#N/A,TRUE,"Contents";#N/A,#N/A,TRUE,"Basis";#N/A,#N/A,TRUE,"Inclusions";#N/A,#N/A,TRUE,"Exclusions";#N/A,#N/A,TRUE,"Areas";#N/A,#N/A,TRUE,"Summary";#N/A,#N/A,TRUE,"Detail"}</definedName>
    <definedName name="tem" localSheetId="0" hidden="1">{#N/A,#N/A,TRUE,"Front";#N/A,#N/A,TRUE,"Simple Letter";#N/A,#N/A,TRUE,"Inside";#N/A,#N/A,TRUE,"Contents";#N/A,#N/A,TRUE,"Basis";#N/A,#N/A,TRUE,"Inclusions";#N/A,#N/A,TRUE,"Exclusions";#N/A,#N/A,TRUE,"Areas";#N/A,#N/A,TRUE,"Summary";#N/A,#N/A,TRUE,"Detail"}</definedName>
    <definedName name="tem" hidden="1">{#N/A,#N/A,TRUE,"Front";#N/A,#N/A,TRUE,"Simple Letter";#N/A,#N/A,TRUE,"Inside";#N/A,#N/A,TRUE,"Contents";#N/A,#N/A,TRUE,"Basis";#N/A,#N/A,TRUE,"Inclusions";#N/A,#N/A,TRUE,"Exclusions";#N/A,#N/A,TRUE,"Areas";#N/A,#N/A,TRUE,"Summary";#N/A,#N/A,TRUE,"Detail"}</definedName>
    <definedName name="temp" localSheetId="5" hidden="1">{#N/A,#N/A,TRUE,"Front";#N/A,#N/A,TRUE,"Simple Letter";#N/A,#N/A,TRUE,"Inside";#N/A,#N/A,TRUE,"Contents";#N/A,#N/A,TRUE,"Basis";#N/A,#N/A,TRUE,"Inclusions";#N/A,#N/A,TRUE,"Exclusions";#N/A,#N/A,TRUE,"Areas";#N/A,#N/A,TRUE,"Summary";#N/A,#N/A,TRUE,"Detail"}</definedName>
    <definedName name="temp" localSheetId="0"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_2" hidden="1">{#N/A,#N/A,FALSE,"Assessment";#N/A,#N/A,FALSE,"Staffing";#N/A,#N/A,FALSE,"Hires";#N/A,#N/A,FALSE,"Assumptions"}</definedName>
    <definedName name="Temp_3" hidden="1">{#N/A,#N/A,FALSE,"Assessment";#N/A,#N/A,FALSE,"Staffing";#N/A,#N/A,FALSE,"Hires";#N/A,#N/A,FALSE,"Assumptions"}</definedName>
    <definedName name="Temp_BD">#REF!</definedName>
    <definedName name="Temp_CRM_AMI">#REF!</definedName>
    <definedName name="Temp_CRM_MI">#REF!</definedName>
    <definedName name="Temp_CRM_SI">#REF!</definedName>
    <definedName name="Temp_LS_AMI">#REF!</definedName>
    <definedName name="Temp_LS_MLI">#REF!</definedName>
    <definedName name="Temp_LS_SI">#REF!</definedName>
    <definedName name="temp1" localSheetId="5" hidden="1">{#N/A,#N/A,TRUE,"Front";#N/A,#N/A,TRUE,"Simple Letter";#N/A,#N/A,TRUE,"Inside";#N/A,#N/A,TRUE,"Contents";#N/A,#N/A,TRUE,"Basis";#N/A,#N/A,TRUE,"Inclusions";#N/A,#N/A,TRUE,"Exclusions";#N/A,#N/A,TRUE,"Areas";#N/A,#N/A,TRUE,"Summary";#N/A,#N/A,TRUE,"Detail"}</definedName>
    <definedName name="temp1" localSheetId="0"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mp12" hidden="1">{#N/A,#N/A,TRUE,"KEY DATA";#N/A,#N/A,TRUE,"KEY DATA Base Case";#N/A,#N/A,TRUE,"JULY";#N/A,#N/A,TRUE,"AUG";#N/A,#N/A,TRUE,"SEPT";#N/A,#N/A,TRUE,"3Q"}</definedName>
    <definedName name="temp2" hidden="1">{#N/A,#N/A,TRUE,"KEY DATA";#N/A,#N/A,TRUE,"KEY DATA Base Case";#N/A,#N/A,TRUE,"JULY";#N/A,#N/A,TRUE,"AUG";#N/A,#N/A,TRUE,"SEPT";#N/A,#N/A,TRUE,"3Q"}</definedName>
    <definedName name="TEMPLATE">'[26]#REF'!#REF!</definedName>
    <definedName name="temporary">#N/A</definedName>
    <definedName name="TEs">#REF!</definedName>
    <definedName name="TEs___0">#REF!</definedName>
    <definedName name="TEs___13">#REF!</definedName>
    <definedName name="TEST" localSheetId="5" hidden="1">{"cashcons",#N/A,FALSE,"CASHCONS";"cash7000",#N/A,FALSE,"CASH7000";"cash9000",#N/A,FALSE,"CASH9000";"assu7000",#N/A,FALSE,"ASSU7000";"assu9000",#N/A,FALSE,"ASSU9000";"rentroll",#N/A,FALSE,"RENTROLL";"expr7000",#N/A,FALSE,"EXPR7000";"expr9000",#N/A,FALSE,"EXPR9000"}</definedName>
    <definedName name="TEST" localSheetId="0" hidden="1">{"cashcons",#N/A,FALSE,"CASHCONS";"cash7000",#N/A,FALSE,"CASH7000";"cash9000",#N/A,FALSE,"CASH9000";"assu7000",#N/A,FALSE,"ASSU7000";"assu9000",#N/A,FALSE,"ASSU9000";"rentroll",#N/A,FALSE,"RENTROLL";"expr7000",#N/A,FALSE,"EXPR7000";"expr9000",#N/A,FALSE,"EXPR9000"}</definedName>
    <definedName name="TEST" hidden="1">{"cashcons",#N/A,FALSE,"CASHCONS";"cash7000",#N/A,FALSE,"CASH7000";"cash9000",#N/A,FALSE,"CASH9000";"assu7000",#N/A,FALSE,"ASSU7000";"assu9000",#N/A,FALSE,"ASSU9000";"rentroll",#N/A,FALSE,"RENTROLL";"expr7000",#N/A,FALSE,"EXPR7000";"expr9000",#N/A,FALSE,"EXPR9000"}</definedName>
    <definedName name="TEST1"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TEt">#REF!</definedName>
    <definedName name="TEt___0">#REF!</definedName>
    <definedName name="TEt___13">#REF!</definedName>
    <definedName name="text1" hidden="1">{"'Sheet1'!$L$16"}</definedName>
    <definedName name="TextRefCopyRangeCount" hidden="1">1</definedName>
    <definedName name="tf">#REF!</definedName>
    <definedName name="tfa">#REF!</definedName>
    <definedName name="th">#REF!</definedName>
    <definedName name="the" hidden="1">{#N/A,#N/A,FALSE,"gc (2)"}</definedName>
    <definedName name="thg" localSheetId="5" hidden="1">{"Output-All",#N/A,FALSE,"Output"}</definedName>
    <definedName name="thg" localSheetId="0" hidden="1">{"Output-All",#N/A,FALSE,"Output"}</definedName>
    <definedName name="thg" hidden="1">{"Output-All",#N/A,FALSE,"Output"}</definedName>
    <definedName name="tier1high">[12]simulations!$G$2</definedName>
    <definedName name="tier1low">[12]simulations!$E$2</definedName>
    <definedName name="tier2high">[12]simulations!$G$3</definedName>
    <definedName name="tier2low">[12]simulations!$E$3</definedName>
    <definedName name="tier3high">[12]simulations!$G$4</definedName>
    <definedName name="tier3low">[12]simulations!$E$4</definedName>
    <definedName name="TierCode">#REF!</definedName>
    <definedName name="TierCode___0">#REF!</definedName>
    <definedName name="TierCode___1">#REF!</definedName>
    <definedName name="TierCode___17">#REF!</definedName>
    <definedName name="TierCode___4">#REF!</definedName>
    <definedName name="TierCode___5">#REF!</definedName>
    <definedName name="TierCode_4">#REF!</definedName>
    <definedName name="TierCode_4___0">#REF!</definedName>
    <definedName name="TierCode_4___1">#REF!</definedName>
    <definedName name="TierCode_4___17">#REF!</definedName>
    <definedName name="TierCode_4___4">#REF!</definedName>
    <definedName name="TierCode_4___5">#REF!</definedName>
    <definedName name="TierCode_4_1">#REF!</definedName>
    <definedName name="TierCode_4_1___0">#REF!</definedName>
    <definedName name="TierCode_4_1___1">#REF!</definedName>
    <definedName name="TierCode_4_1___5">#REF!</definedName>
    <definedName name="TierCode_6">#REF!</definedName>
    <definedName name="TierCode_6___0">#REF!</definedName>
    <definedName name="TierCode_6___1">#REF!</definedName>
    <definedName name="TierCode_6___17">#REF!</definedName>
    <definedName name="TierCode_6___4">#REF!</definedName>
    <definedName name="TierCode_6___5">#REF!</definedName>
    <definedName name="TierCode_Text">#REF!</definedName>
    <definedName name="TierCode_Text___0">#REF!</definedName>
    <definedName name="TierCode_Text___1">#REF!</definedName>
    <definedName name="TierCode_Text___17">#REF!</definedName>
    <definedName name="TierCode_Text___4">#REF!</definedName>
    <definedName name="TierCode_Text___5">#REF!</definedName>
    <definedName name="TierCode_Text_4">#REF!</definedName>
    <definedName name="TierCode_Text_4___0">#REF!</definedName>
    <definedName name="TierCode_Text_4___1">#REF!</definedName>
    <definedName name="TierCode_Text_4___17">#REF!</definedName>
    <definedName name="TierCode_Text_4___4">#REF!</definedName>
    <definedName name="TierCode_Text_4___5">#REF!</definedName>
    <definedName name="TierCode_Text_4_1">#REF!</definedName>
    <definedName name="TierCode_Text_4_1___0">#REF!</definedName>
    <definedName name="TierCode_Text_4_1___1">#REF!</definedName>
    <definedName name="TierCode_Text_4_1___5">#REF!</definedName>
    <definedName name="TierCode_Text_6">#REF!</definedName>
    <definedName name="TierCode_Text_6___0">#REF!</definedName>
    <definedName name="TierCode_Text_6___1">#REF!</definedName>
    <definedName name="TierCode_Text_6___17">#REF!</definedName>
    <definedName name="TierCode_Text_6___4">#REF!</definedName>
    <definedName name="TierCode_Text_6___5">#REF!</definedName>
    <definedName name="Tile_work">#REF!</definedName>
    <definedName name="TITLE">'[26]#REF'!#REF!</definedName>
    <definedName name="Title1">#REF!</definedName>
    <definedName name="Title2">#REF!</definedName>
    <definedName name="tjtrjrtjt" hidden="1">{#N/A,#N/A,FALSE,"Assessment";#N/A,#N/A,FALSE,"Staffing";#N/A,#N/A,FALSE,"Hires";#N/A,#N/A,FALSE,"Assumptions"}</definedName>
    <definedName name="tjtrjt" hidden="1">{#N/A,#N/A,FALSE,"Assessment";#N/A,#N/A,FALSE,"Staffing";#N/A,#N/A,FALSE,"Hires";#N/A,#N/A,FALSE,"Assumptions"}</definedName>
    <definedName name="tjtrjtr" hidden="1">{#N/A,#N/A,FALSE,"Assessment";#N/A,#N/A,FALSE,"Staffing";#N/A,#N/A,FALSE,"Hires";#N/A,#N/A,FALSE,"Assumptions"}</definedName>
    <definedName name="TMBPLA">"'file://Stup-c09/D/JOBS/7078-MADURAVOYAL/ALAPAKKAM%20MAIN%20ROAD%20-%20APR05/ANNEX-2/ANN2-MADURAVOYAL%20DATA-APRIL-05.xls'#$Sheet1.$V$22"</definedName>
    <definedName name="TMBPLA_15">[41]Sheet1!#REF!</definedName>
    <definedName name="TMBPLA_17">[41]Sheet1!#REF!</definedName>
    <definedName name="TMBPLA_18">[41]Sheet1!#REF!</definedName>
    <definedName name="TMBSCA">"'file://Stup-c09/D/JOBS/7078-MADURAVOYAL/ALAPAKKAM%20MAIN%20ROAD%20-%20APR05/ANNEX-2/ANN2-MADURAVOYAL%20DATA-APRIL-05.xls'#$Sheet1.$U$21"</definedName>
    <definedName name="TMBSCA_15">[41]Sheet1!#REF!</definedName>
    <definedName name="TMBSCA_17">[41]Sheet1!#REF!</definedName>
    <definedName name="TMBSCA_18">[41]Sheet1!#REF!</definedName>
    <definedName name="tmkk_control" hidden="1">{"'August 2000'!$A$1:$J$101"}</definedName>
    <definedName name="TML_control" hidden="1">{"'August 2000'!$A$1:$J$101"}</definedName>
    <definedName name="tmp" hidden="1">'[23]F-4'!#REF!</definedName>
    <definedName name="tnntnt" hidden="1">{#N/A,#N/A,FALSE,"Assessment";#N/A,#N/A,FALSE,"Staffing";#N/A,#N/A,FALSE,"Hires";#N/A,#N/A,FALSE,"Assumptions"}</definedName>
    <definedName name="tnntntrtn" hidden="1">{#N/A,#N/A,FALSE,"Assessment";#N/A,#N/A,FALSE,"Staffing";#N/A,#N/A,FALSE,"Hires";#N/A,#N/A,FALSE,"Assumptions"}</definedName>
    <definedName name="TOBEMULTIPLIED">'[87]US RCP Sep'!#REF!,'[87]US RCP Sep'!#REF!</definedName>
    <definedName name="tol">#REF!</definedName>
    <definedName name="tony" hidden="1">{"Summary analysis",#N/A,FALSE,"Total";"OCPH analysis",#N/A,FALSE,"Total";"detail analysis",#N/A,FALSE,"Total"}</definedName>
    <definedName name="Tool" localSheetId="16" hidden="1">Comment_Writer2011_Version3</definedName>
    <definedName name="Tool" localSheetId="5" hidden="1">Comment_Writer2011_Version3</definedName>
    <definedName name="Tool" localSheetId="0" hidden="1">Comment_Writer2011_Version3</definedName>
    <definedName name="Tool" localSheetId="13" hidden="1">Comment_Writer2011_Version3</definedName>
    <definedName name="Tool" localSheetId="3" hidden="1">Comment_Writer2011_Version3</definedName>
    <definedName name="Tool" localSheetId="4" hidden="1">Comment_Writer2011_Version3</definedName>
    <definedName name="Tool" hidden="1">Comment_Writer2011_Version3</definedName>
    <definedName name="Top">'[21]#REF'!$A$1:$P$113</definedName>
    <definedName name="topl">#REF!</definedName>
    <definedName name="topn">#REF!</definedName>
    <definedName name="topqueues">#REF!</definedName>
    <definedName name="TorF">#REF!</definedName>
    <definedName name="TOT">!$A$265</definedName>
    <definedName name="total_f">#REF!</definedName>
    <definedName name="Total_Interest">#REF!</definedName>
    <definedName name="Total_Pay">#REF!</definedName>
    <definedName name="Total_Payment" localSheetId="16">Scheduled_Payment+Extra_Payment</definedName>
    <definedName name="TotalLTV" localSheetId="16">([0]!SeniorAmt+[0]!JuniorAmt+[0]!MezzAmt)/OMV</definedName>
    <definedName name="totalvol">[12]simulations!$F$1</definedName>
    <definedName name="TowerA">#REF!</definedName>
    <definedName name="TPR">#REF!</definedName>
    <definedName name="tr">'[21]#REF'!$A$1:$AF$150</definedName>
    <definedName name="TRANSACTION">#REF!</definedName>
    <definedName name="TransInsu">#REF!</definedName>
    <definedName name="Travel_Mode">#REF!</definedName>
    <definedName name="Travel_Time">#REF!</definedName>
    <definedName name="tre">'[21]#REF'!$A$1:$P$113</definedName>
    <definedName name="treeList" hidden="1">"10000000000000000000000000000000000000000000000000000000000000000000000000000000000000000000000000000000000000000000000000000000000000000000000000000000000000000000000000000000000000000000000000000000"</definedName>
    <definedName name="trend">'[79]3'!$A$1:$AX$28</definedName>
    <definedName name="trjtjtr" hidden="1">{#N/A,#N/A,FALSE,"Assessment";#N/A,#N/A,FALSE,"Staffing";#N/A,#N/A,FALSE,"Hires";#N/A,#N/A,FALSE,"Assumptions"}</definedName>
    <definedName name="trjtrjrt" hidden="1">{#N/A,#N/A,FALSE,"Assessment";#N/A,#N/A,FALSE,"Staffing";#N/A,#N/A,FALSE,"Hires";#N/A,#N/A,FALSE,"Assumptions"}</definedName>
    <definedName name="trjtrjtr" hidden="1">{#N/A,#N/A,FALSE,"Assessment";#N/A,#N/A,FALSE,"Staffing";#N/A,#N/A,FALSE,"Hires";#N/A,#N/A,FALSE,"Assumptions"}</definedName>
    <definedName name="trn" hidden="1">{#N/A,#N/A,FALSE,"Assessment";#N/A,#N/A,FALSE,"Staffing";#N/A,#N/A,FALSE,"Hires";#N/A,#N/A,FALSE,"Assumptions"}</definedName>
    <definedName name="trnd9f2r">'[26]9F2RTRND'!$U$1:$AJ$95</definedName>
    <definedName name="trnd9f3r">'[26]9F3RTRND'!$U$1:$AJ$100</definedName>
    <definedName name="trrrrrrrrrrrrrrrrrrrrrrrrrrrrrrrrrr" hidden="1">{#N/A,#N/A,FALSE,"Assessment";#N/A,#N/A,FALSE,"Staffing";#N/A,#N/A,FALSE,"Hires";#N/A,#N/A,FALSE,"Assumptions"}</definedName>
    <definedName name="trrtt">'[71]GMCP TRACKER (Rs)'!#REF!</definedName>
    <definedName name="trt">'[21]#REF'!$A$1:$S$65</definedName>
    <definedName name="TRUST">#REF!</definedName>
    <definedName name="ts">#REF!</definedName>
    <definedName name="tS___0">#REF!</definedName>
    <definedName name="tS___13">#REF!</definedName>
    <definedName name="tsf">#REF!</definedName>
    <definedName name="TT" localSheetId="5" hidden="1">{#N/A,#N/A,TRUE,"Financials";#N/A,#N/A,TRUE,"Operating Statistics";#N/A,#N/A,TRUE,"Capex &amp; Depreciation";#N/A,#N/A,TRUE,"Debt"}</definedName>
    <definedName name="TT" localSheetId="0" hidden="1">{#N/A,#N/A,TRUE,"Financials";#N/A,#N/A,TRUE,"Operating Statistics";#N/A,#N/A,TRUE,"Capex &amp; Depreciation";#N/A,#N/A,TRUE,"Debt"}</definedName>
    <definedName name="TT" hidden="1">{#N/A,#N/A,TRUE,"Financials";#N/A,#N/A,TRUE,"Operating Statistics";#N/A,#N/A,TRUE,"Capex &amp; Depreciation";#N/A,#N/A,TRUE,"Debt"}</definedName>
    <definedName name="TTL">#REF!</definedName>
    <definedName name="TTLPROD">[12]IS!#REF!</definedName>
    <definedName name="ttrnrtntr" hidden="1">{#N/A,#N/A,FALSE,"Assessment";#N/A,#N/A,FALSE,"Staffing";#N/A,#N/A,FALSE,"Hires";#N/A,#N/A,FALSE,"Assumptions"}</definedName>
    <definedName name="TUES1">#REF!</definedName>
    <definedName name="tuy">'[21]#REF'!$A$1:$AF$113</definedName>
    <definedName name="TV">#REF!</definedName>
    <definedName name="TVV">#REF!</definedName>
    <definedName name="twertert" hidden="1">{#N/A,#N/A,FALSE,"COMP"}</definedName>
    <definedName name="tx" hidden="1">'[49]5'!#REF!</definedName>
    <definedName name="ty">'[21]Consumer Supps'!$A$1:$V$41</definedName>
    <definedName name="tyieeeeeeeeeee">#REF!</definedName>
    <definedName name="type">#REF!</definedName>
    <definedName name="Type1">#REF!</definedName>
    <definedName name="type11">#REF!</definedName>
    <definedName name="type1drop">#REF!</definedName>
    <definedName name="type1slab">#REF!</definedName>
    <definedName name="Type2">#REF!</definedName>
    <definedName name="type2drop">#REF!</definedName>
    <definedName name="type2slab">#REF!</definedName>
    <definedName name="Type3">#REF!</definedName>
    <definedName name="type3drop">#REF!</definedName>
    <definedName name="type3slab">#REF!</definedName>
    <definedName name="type4">#REF!</definedName>
    <definedName name="type44">#REF!</definedName>
    <definedName name="type4drop">#REF!</definedName>
    <definedName name="type4slab">#REF!</definedName>
    <definedName name="typical">[75]Details!$D$10</definedName>
    <definedName name="tyrty">'[21]#REF'!$A$1:$AF$150</definedName>
    <definedName name="tyty">'[21]Avoidance '!$AD$8:$AS$82</definedName>
    <definedName name="tyuo">'[21]#REF'!$A$89:$N$130</definedName>
    <definedName name="u" localSheetId="5" hidden="1">{"Output-3Column",#N/A,FALSE,"Output"}</definedName>
    <definedName name="u" localSheetId="0" hidden="1">{"Output-3Column",#N/A,FALSE,"Output"}</definedName>
    <definedName name="u" hidden="1">{"Output-3Column",#N/A,FALSE,"Output"}</definedName>
    <definedName name="u_3">NA()</definedName>
    <definedName name="u_3_1">NA()</definedName>
    <definedName name="UBArea">#REF!</definedName>
    <definedName name="UBOQ">#REF!</definedName>
    <definedName name="UBPerimeter">#REF!</definedName>
    <definedName name="UBR_Level_1">#REF!</definedName>
    <definedName name="UBR_Level_2">#REF!</definedName>
    <definedName name="ug" localSheetId="5" hidden="1">{"Inflation-BaseYear",#N/A,FALSE,"Inputs"}</definedName>
    <definedName name="ug" localSheetId="0" hidden="1">{"Inflation-BaseYear",#N/A,FALSE,"Inputs"}</definedName>
    <definedName name="ug" hidden="1">{"Inflation-BaseYear",#N/A,FALSE,"Inputs"}</definedName>
    <definedName name="ugf" localSheetId="5" hidden="1">{"Output-All",#N/A,FALSE,"Output"}</definedName>
    <definedName name="ugf" localSheetId="0" hidden="1">{"Output-All",#N/A,FALSE,"Output"}</definedName>
    <definedName name="ugf" hidden="1">{"Output-All",#N/A,FALSE,"Output"}</definedName>
    <definedName name="ui">'[21]#REF'!$A$2:$N$217</definedName>
    <definedName name="uioui" hidden="1">{#N/A,#N/A,FALSE,"COMP"}</definedName>
    <definedName name="uiui" hidden="1">{#N/A,#N/A,FALSE,"COMP"}</definedName>
    <definedName name="uiy">'[21]#REF'!$A$1:$P$113</definedName>
    <definedName name="uiyg" hidden="1">{#N/A,#N/A,FALSE,"COMP"}</definedName>
    <definedName name="uiyo">'[21]Consumer Fraud'!$A$1:$AF$73</definedName>
    <definedName name="umum" hidden="1">{#N/A,#N/A,FALSE,"Assessment";#N/A,#N/A,FALSE,"Staffing";#N/A,#N/A,FALSE,"Hires";#N/A,#N/A,FALSE,"Assumptions"}</definedName>
    <definedName name="UnhideSheets" localSheetId="13">[74]!UnhideSheets</definedName>
    <definedName name="UnhideSheets" localSheetId="4">[74]!UnhideSheets</definedName>
    <definedName name="UnhideSheets">[74]!UnhideSheets</definedName>
    <definedName name="UNICOD">#REF!</definedName>
    <definedName name="UNICOD_6">NA()</definedName>
    <definedName name="unit2" hidden="1">#REF!</definedName>
    <definedName name="UNITS">#REF!</definedName>
    <definedName name="unsecured">#REF!</definedName>
    <definedName name="unyyum" hidden="1">{#N/A,#N/A,FALSE,"Assessment";#N/A,#N/A,FALSE,"Staffing";#N/A,#N/A,FALSE,"Hires";#N/A,#N/A,FALSE,"Assumptions"}</definedName>
    <definedName name="UP">#REF!</definedName>
    <definedName name="Upper_Floors">#REF!</definedName>
    <definedName name="usd">#REF!</definedName>
    <definedName name="usd___0">#REF!</definedName>
    <definedName name="usd___1">#REF!</definedName>
    <definedName name="usd___17">#REF!</definedName>
    <definedName name="usd___4">#REF!</definedName>
    <definedName name="usd___5">#REF!</definedName>
    <definedName name="USD_1">#REF!</definedName>
    <definedName name="usd_16">#REF!</definedName>
    <definedName name="usd_17">#REF!</definedName>
    <definedName name="usd_18">#REF!</definedName>
    <definedName name="usd_19">#REF!</definedName>
    <definedName name="usd_3">NA()</definedName>
    <definedName name="usd_3_1">NA()</definedName>
    <definedName name="usd_4">#REF!</definedName>
    <definedName name="usd_5">#REF!</definedName>
    <definedName name="usd_6">#REF!</definedName>
    <definedName name="usd_7">#REF!</definedName>
    <definedName name="usd_8">#REF!</definedName>
    <definedName name="usd_9">#REF!</definedName>
    <definedName name="Use_Alternates">#REF!</definedName>
    <definedName name="UseOrNot">[39]!UseOrNot</definedName>
    <definedName name="UserName">"Subrata"</definedName>
    <definedName name="UtilCap" hidden="1">[68]Debt!$K$153:$Y$153,[68]Debt!$K$171:$Y$171,[68]Debt!$K$189:$Y$189,[68]Debt!$K$207:$Y$207,[68]Debt!$K$225:$Y$225,[68]Debt!$K$243:$Y$243,[68]Debt!$K$261:$Y$261,[68]Debt!$K$279:$Y$279</definedName>
    <definedName name="utilisation">'[88]Summary year Plan'!#REF!</definedName>
    <definedName name="UtilProd" hidden="1">[68]Debt!$K$152:$Y$152,[68]Debt!$K$170:$Y$170,[68]Debt!$K$188:$Y$188,[68]Debt!$K$206:$Y$206,[68]Debt!$K$224:$Y$224,[68]Debt!$K$242:$Y$242,[68]Debt!$K$260:$Y$260,[68]Debt!$K$278:$Y$278</definedName>
    <definedName name="uu" hidden="1">{#N/A,#N/A,FALSE,"gc (2)"}</definedName>
    <definedName name="UU_control" hidden="1">{"'August 2000'!$A$1:$J$101"}</definedName>
    <definedName name="uuuu">#REF!</definedName>
    <definedName name="uyr" localSheetId="5" hidden="1">{"Output%",#N/A,FALSE,"Output"}</definedName>
    <definedName name="uyr" localSheetId="0" hidden="1">{"Output%",#N/A,FALSE,"Output"}</definedName>
    <definedName name="uyr" hidden="1">{"Output%",#N/A,FALSE,"Output"}</definedName>
    <definedName name="V">#REF!</definedName>
    <definedName name="v_app">#REF!</definedName>
    <definedName name="V_BASE">[12]IS!#REF!</definedName>
    <definedName name="V_CE">[12]IS!#REF!</definedName>
    <definedName name="v_est">#REF!</definedName>
    <definedName name="v_paid">#REF!</definedName>
    <definedName name="V_PLN">[12]IS!#REF!</definedName>
    <definedName name="v_quo">#REF!</definedName>
    <definedName name="v_rec">#REF!</definedName>
    <definedName name="v_tot">#REF!</definedName>
    <definedName name="va">#REF!</definedName>
    <definedName name="va___0">#REF!</definedName>
    <definedName name="va___13">#REF!</definedName>
    <definedName name="vaishali">#REF!</definedName>
    <definedName name="valid">#REF!</definedName>
    <definedName name="validation">#REF!</definedName>
    <definedName name="ValidStatus">#REF!</definedName>
    <definedName name="Value_Col">#REF!</definedName>
    <definedName name="Values_Entered" localSheetId="16">IF(Loan_Amount*Interest_Rate*Loan_Years*Loan_Start&gt;0,1,0)</definedName>
    <definedName name="Values_Entered">#N/A</definedName>
    <definedName name="Valve_Chamber">#REF!</definedName>
    <definedName name="valve2">#REF!</definedName>
    <definedName name="valve3">#REF!</definedName>
    <definedName name="ValveCfg">#REF!</definedName>
    <definedName name="ValveCloseoff">#REF!</definedName>
    <definedName name="ValveCode">#REF!</definedName>
    <definedName name="ValveConn">#REF!</definedName>
    <definedName name="ValveCv">#REF!</definedName>
    <definedName name="ValveFlow">#REF!</definedName>
    <definedName name="ValveFP">#REF!</definedName>
    <definedName name="ValveQty">#REF!</definedName>
    <definedName name="valves">#REF!</definedName>
    <definedName name="ValveSize">#REF!</definedName>
    <definedName name="VANDEMATARAM">#REF!</definedName>
    <definedName name="vara">#REF!</definedName>
    <definedName name="VARI_DATA">[48]Variations!$B$16:$N$98</definedName>
    <definedName name="Varnish">#REF!</definedName>
    <definedName name="Varnish1">#REF!</definedName>
    <definedName name="vat">#N/A</definedName>
    <definedName name="vat_15">#REF!</definedName>
    <definedName name="vat_17">#REF!</definedName>
    <definedName name="vat_18">#REF!</definedName>
    <definedName name="vatf">#REF!</definedName>
    <definedName name="vatf___0">#REF!</definedName>
    <definedName name="vatf___1">#REF!</definedName>
    <definedName name="vatf___17">#REF!</definedName>
    <definedName name="vatf___4">#REF!</definedName>
    <definedName name="vatf___5">#REF!</definedName>
    <definedName name="vatf_4">#REF!</definedName>
    <definedName name="vatf_4___0">#REF!</definedName>
    <definedName name="vatf_4___1">#REF!</definedName>
    <definedName name="vatf_4___17">#REF!</definedName>
    <definedName name="vatf_4___4">#REF!</definedName>
    <definedName name="vatf_4___5">#REF!</definedName>
    <definedName name="vatf_4_1">#REF!</definedName>
    <definedName name="vatf_4_1___0">#REF!</definedName>
    <definedName name="vatf_4_1___1">#REF!</definedName>
    <definedName name="vatf_4_1___5">#REF!</definedName>
    <definedName name="vatf_6">#REF!</definedName>
    <definedName name="vatf_6___0">#REF!</definedName>
    <definedName name="vatf_6___1">#REF!</definedName>
    <definedName name="vatf_6___17">#REF!</definedName>
    <definedName name="vatf_6___4">#REF!</definedName>
    <definedName name="vatf_6___5">#REF!</definedName>
    <definedName name="Vb">#REF!</definedName>
    <definedName name="vc" hidden="1">'[23]F-4'!#REF!</definedName>
    <definedName name="VD">#REF!</definedName>
    <definedName name="Ve">#REF!</definedName>
    <definedName name="Vend">#REF!</definedName>
    <definedName name="Version">3</definedName>
    <definedName name="Vf">#REF!</definedName>
    <definedName name="vg" hidden="1">{#N/A,#N/A,FALSE,"One Pager";#N/A,#N/A,FALSE,"Technical"}</definedName>
    <definedName name="vga" hidden="1">{#N/A,#N/A,TRUE,"Summary";#N/A,#N/A,TRUE,"Balance Sheet";#N/A,#N/A,TRUE,"P &amp; L";#N/A,#N/A,TRUE,"Fixed Assets";#N/A,#N/A,TRUE,"Cash Flows"}</definedName>
    <definedName name="Vgl" hidden="1">{"K GuV o. Kommentar",#N/A,FALSE,"Kaufhof"}</definedName>
    <definedName name="vishnu" hidden="1">{#N/A,#N/A,FALSE,"One Pager";#N/A,#N/A,FALSE,"Technical"}</definedName>
    <definedName name="VISHWA" hidden="1">{"'Mach'!$A$1:$D$39"}</definedName>
    <definedName name="VIVEKANANDA">#REF!</definedName>
    <definedName name="vk" hidden="1">{#N/A,#N/A,FALSE,"One Pager";#N/A,#N/A,FALSE,"Technical"}</definedName>
    <definedName name="VNFVBDVFBZDSD">#REF!</definedName>
    <definedName name="VNFVBDVFBZDSD___0">#REF!</definedName>
    <definedName name="VNFVBDVFBZDSD___1">#REF!</definedName>
    <definedName name="VNFVBDVFBZDSD___17">#REF!</definedName>
    <definedName name="VNFVBDVFBZDSD___4">#REF!</definedName>
    <definedName name="VNFVBDVFBZDSD___5">#REF!</definedName>
    <definedName name="VOULUME">[12]IS!#REF!</definedName>
    <definedName name="Vs">#REF!</definedName>
    <definedName name="Vsigma">#REF!</definedName>
    <definedName name="vsPlan">[12]iD!$B$60</definedName>
    <definedName name="VTM_1" hidden="1">#REF!</definedName>
    <definedName name="vv">#REF!</definedName>
    <definedName name="vvv">#REF!</definedName>
    <definedName name="vvv_7">#REF!</definedName>
    <definedName name="Vz">#REF!</definedName>
    <definedName name="w">#N/A</definedName>
    <definedName name="W.S._No.">#REF!</definedName>
    <definedName name="w101_budget">[48]Criteria!$R$249:$U$250</definedName>
    <definedName name="w101_pending">[48]Criteria!$K$249:$N$250</definedName>
    <definedName name="w101_yes">[48]Criteria!$D$249:$G$250</definedName>
    <definedName name="w102_budget">[48]Criteria!$R$252:$U$253</definedName>
    <definedName name="w102_pending">[48]Criteria!$K$252:$N$253</definedName>
    <definedName name="w102_yes">[48]Criteria!$D$252:$G$253</definedName>
    <definedName name="w103_budget">[48]Criteria!$R$255:$U$256</definedName>
    <definedName name="w103_pending">[48]Criteria!$K$255:$N$256</definedName>
    <definedName name="w103_yes">[48]Criteria!$D$255:$G$256</definedName>
    <definedName name="w104_budget">[48]Criteria!$R$258:$U$259</definedName>
    <definedName name="w104_pending">[48]Criteria!$K$258:$N$259</definedName>
    <definedName name="w104_yes">[48]Criteria!$D$258:$G$259</definedName>
    <definedName name="w105_budget">[48]Criteria!$R$261:$U$262</definedName>
    <definedName name="w105_pending">[48]Criteria!$K$261:$N$262</definedName>
    <definedName name="w105_yes">[48]Criteria!$D$261:$G$262</definedName>
    <definedName name="w106_budget">[48]Criteria!$R$264:$U$265</definedName>
    <definedName name="w106_pending">[48]Criteria!$K$264:$N$265</definedName>
    <definedName name="w106_yes">[48]Criteria!$D$264:$G$265</definedName>
    <definedName name="w212_budget">[48]Criteria!$R$282:$U$283</definedName>
    <definedName name="w212_pending">[48]Criteria!$K$282:$N$283</definedName>
    <definedName name="w212_yes">[48]Criteria!$D$282:$G$283</definedName>
    <definedName name="w213_budget">[48]Criteria!$R$285:$U$286</definedName>
    <definedName name="w213_pending">[48]Criteria!$K$285:$N$286</definedName>
    <definedName name="w213_yes">[48]Criteria!$D$285:$G$286</definedName>
    <definedName name="w214_budget">[48]Criteria!$R$288:$U$289</definedName>
    <definedName name="w214_pending">[48]Criteria!$K$288:$N$289</definedName>
    <definedName name="w214_yes">[48]Criteria!$D$288:$G$289</definedName>
    <definedName name="w307_budget">[48]Criteria!$R$267:$U$268</definedName>
    <definedName name="w307_pending">[48]Criteria!$K$267:$N$268</definedName>
    <definedName name="w307_yes">[48]Criteria!$D$267:$G$268</definedName>
    <definedName name="w308_budget">[48]Criteria!$R$270:$U$271</definedName>
    <definedName name="w308_pending">[48]Criteria!$K$270:$N$271</definedName>
    <definedName name="w308_yes">[48]Criteria!$D$270:$G$271</definedName>
    <definedName name="w309_budget">[48]Criteria!$R$273:$U$274</definedName>
    <definedName name="w309_pending">[48]Criteria!$K$273:$N$274</definedName>
    <definedName name="w309_yes">[48]Criteria!$D$273:$G$274</definedName>
    <definedName name="w31_pending">[48]Criteria!$K$276:$N$277</definedName>
    <definedName name="w31_yes">[48]Criteria!$D$276:$G$277</definedName>
    <definedName name="w310_budget">[48]Criteria!$R$276:$U$277</definedName>
    <definedName name="w311_budget">[48]Criteria!$R$279:$U$280</definedName>
    <definedName name="w311_pending">[48]Criteria!$K$279:$N$280</definedName>
    <definedName name="w311_yes">[48]Criteria!$D$279:$G$280</definedName>
    <definedName name="wa">'[21]Cons Recov Rates'!$A$1:$V$42</definedName>
    <definedName name="Waiting">"Picture 1"</definedName>
    <definedName name="WALL__FINISHES">#REF!</definedName>
    <definedName name="Wall_Finishes">#REF!</definedName>
    <definedName name="Wall_Painting">#REF!</definedName>
    <definedName name="WALLFINISHESArea">#REF!</definedName>
    <definedName name="WALLFINISHESPerimeter">#REF!</definedName>
    <definedName name="waresd" hidden="1">{#N/A,#N/A,FALSE,"Aging Summary";#N/A,#N/A,FALSE,"Ratio Analysis";#N/A,#N/A,FALSE,"Test 120 Day Accts";#N/A,#N/A,FALSE,"Tickmarks"}</definedName>
    <definedName name="Wash_out_Chamber_Air_Valve_Chamber">#REF!</definedName>
    <definedName name="Water_Proofing">#REF!</definedName>
    <definedName name="Water_Proofing___0">#REF!</definedName>
    <definedName name="Water_Proofing___1">#REF!</definedName>
    <definedName name="Water_Proofing___5">#REF!</definedName>
    <definedName name="Water_Tank">#REF!</definedName>
    <definedName name="WATERTANK2">#REF!</definedName>
    <definedName name="wbag">#REF!</definedName>
    <definedName name="we">[21]Sheet1!$B$2:$O$39</definedName>
    <definedName name="Weath.Course">#REF!</definedName>
    <definedName name="wedwqe">#REF!</definedName>
    <definedName name="wee" hidden="1">{#N/A,#N/A,FALSE,"Balance Sheets";#N/A,#N/A,FALSE,"96 Conservative";#N/A,#N/A,FALSE,"96 Possible"}</definedName>
    <definedName name="weeeeeeeeeeeeeeeeeeeeee" hidden="1">{#N/A,#N/A,FALSE,"Assessment";#N/A,#N/A,FALSE,"Staffing";#N/A,#N/A,FALSE,"Hires";#N/A,#N/A,FALSE,"Assumptions"}</definedName>
    <definedName name="weqew">'[21]Consumer Supps'!$A$1:$V$41</definedName>
    <definedName name="wer">'[21]#REF'!$A$133:$N$174</definedName>
    <definedName name="werfwe" hidden="1">{#N/A,#N/A,FALSE,"COMP"}</definedName>
    <definedName name="werrrrrrrrrrrrrrrrrrrrrrrrrrrrrrrr">#REF!</definedName>
    <definedName name="werwe" hidden="1">{#N/A,#N/A,FALSE,"COMP"}</definedName>
    <definedName name="werweasdfwd">#REF!</definedName>
    <definedName name="West">'[56]FTE Totals_Plan'!#REF!</definedName>
    <definedName name="Wet_well">#REF!</definedName>
    <definedName name="wew" hidden="1">[89]현금흐름표!$F$45</definedName>
    <definedName name="whatever">[21]Exempt!$A$1:$S$65</definedName>
    <definedName name="whatisthis" hidden="1">{"DCOMINC",#N/A,FALSE,"COMDEV";"DCOM_N1",#N/A,FALSE,"COMDEV";"DCOM_N",#N/A,FALSE,"COMDEV";"DCOM_F",#N/A,FALSE,"COMDEV"}</definedName>
    <definedName name="White_Wash">#REF!</definedName>
    <definedName name="wid">#REF!</definedName>
    <definedName name="Win_Grill">#REF!</definedName>
    <definedName name="Win_M.S_RODl">#REF!</definedName>
    <definedName name="Windows">#REF!</definedName>
    <definedName name="WINDOWS__AND__EXTERNAL__DOORS">#REF!</definedName>
    <definedName name="wip">#REF!</definedName>
    <definedName name="wkd">#REF!</definedName>
    <definedName name="wkd_this">#REF!</definedName>
    <definedName name="wlkednjfc" hidden="1">{#N/A,#N/A,FALSE,"Aging Summary";#N/A,#N/A,FALSE,"Ratio Analysis";#N/A,#N/A,FALSE,"Test 120 Day Accts";#N/A,#N/A,FALSE,"Tickmarks"}</definedName>
    <definedName name="WLP">#REF!</definedName>
    <definedName name="wood">#REF!</definedName>
    <definedName name="WOOD_DOOR">#REF!</definedName>
    <definedName name="Wood_Paint">#REF!</definedName>
    <definedName name="work">#REF!</definedName>
    <definedName name="works_range">#REF!</definedName>
    <definedName name="WP">#REF!</definedName>
    <definedName name="wq">'[21]#REF'!$A$1:$AF$150</definedName>
    <definedName name="wqwq">'[21]FY Loss Frcst'!$A$2:$N$181</definedName>
    <definedName name="wr" hidden="1">{#N/A,#N/A,FALSE,"COMP"}</definedName>
    <definedName name="wr.pg10" hidden="1">{#N/A,#N/A,FALSE,"10"}</definedName>
    <definedName name="wrd" hidden="1">#REF!</definedName>
    <definedName name="wrd.2._.pagers.3" localSheetId="5" hidden="1">{"Cover",#N/A,FALSE,"Cover";"Summary",#N/A,FALSE,"Summarpage"}</definedName>
    <definedName name="wrd.2._.pagers.3" localSheetId="0" hidden="1">{"Cover",#N/A,FALSE,"Cover";"Summary",#N/A,FALSE,"Summarpage"}</definedName>
    <definedName name="wrd.2._.pagers.3" hidden="1">{"Cover",#N/A,FALSE,"Cover";"Summary",#N/A,FALSE,"Summarpage"}</definedName>
    <definedName name="WRI" hidden="1">{#N/A,#N/A,FALSE,"COMP"}</definedName>
    <definedName name="wrn"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1." hidden="1">{#N/A,#N/A,FALSE,"17MAY";#N/A,#N/A,FALSE,"24MAY"}</definedName>
    <definedName name="wrn.145Aworking." hidden="1">{#N/A,#N/A,TRUE,"145A"}</definedName>
    <definedName name="wrn.145Aworking._1" hidden="1">{#N/A,#N/A,TRUE,"145A"}</definedName>
    <definedName name="wrn.145Aworking._1_1" hidden="1">{#N/A,#N/A,TRUE,"145A"}</definedName>
    <definedName name="wrn.145Aworking._1_1_1" hidden="1">{#N/A,#N/A,TRUE,"145A"}</definedName>
    <definedName name="wrn.145Aworking._2" hidden="1">{#N/A,#N/A,TRUE,"145A"}</definedName>
    <definedName name="wrn.145Aworking._2_1" hidden="1">{#N/A,#N/A,TRUE,"145A"}</definedName>
    <definedName name="wrn.145Aworking._3" hidden="1">{#N/A,#N/A,TRUE,"145A"}</definedName>
    <definedName name="wrn.145Aworking._3_1" hidden="1">{#N/A,#N/A,TRUE,"145A"}</definedName>
    <definedName name="wrn.145Aworking._4" hidden="1">{#N/A,#N/A,TRUE,"145A"}</definedName>
    <definedName name="wrn.145Aworking._4_1" hidden="1">{#N/A,#N/A,TRUE,"145A"}</definedName>
    <definedName name="wrn.145Aworking._5" hidden="1">{#N/A,#N/A,TRUE,"145A"}</definedName>
    <definedName name="wrn.145Aworking._5_1" hidden="1">{#N/A,#N/A,TRUE,"145A"}</definedName>
    <definedName name="wrn.1996._.PROPERTY._.AND._.BUSINESS._.INTERRUPTION._.VALUES." hidden="1">{#N/A,#N/A,TRUE,"96PROP"}</definedName>
    <definedName name="wrn.2._.pagers." localSheetId="5" hidden="1">{"Cover",#N/A,FALSE,"Cover";"Summary",#N/A,FALSE,"Summarpage"}</definedName>
    <definedName name="wrn.2._.pagers." localSheetId="0" hidden="1">{"Cover",#N/A,FALSE,"Cover";"Summary",#N/A,FALSE,"Summarpage"}</definedName>
    <definedName name="wrn.2._.pagers." hidden="1">{"Cover",#N/A,FALSE,"Cover";"Summary",#N/A,FALSE,"Summarpage"}</definedName>
    <definedName name="wrn.2._.pagers.2" localSheetId="5" hidden="1">{"Cover",#N/A,FALSE,"Cover";"Summary",#N/A,FALSE,"Summarpage"}</definedName>
    <definedName name="wrn.2._.pagers.2" localSheetId="0" hidden="1">{"Cover",#N/A,FALSE,"Cover";"Summary",#N/A,FALSE,"Summarpage"}</definedName>
    <definedName name="wrn.2._.pagers.2" hidden="1">{"Cover",#N/A,FALSE,"Cover";"Summary",#N/A,FALSE,"Summarpage"}</definedName>
    <definedName name="wrn.2.2" hidden="1">{#N/A,#N/A,FALSE,"17MAY";#N/A,#N/A,FALSE,"24MAY"}</definedName>
    <definedName name="wrn.3year._.frcst." localSheetId="5" hidden="1">{#N/A,#N/A,FALSE,"963YR";#N/A,#N/A,FALSE,"mkt mix";#N/A,#N/A,FALSE,"sect 5";#N/A,#N/A,FALSE,"sect 6";#N/A,#N/A,FALSE,"csh";#N/A,#N/A,FALSE,"capx";#N/A,#N/A,FALSE,"bal sheet"}</definedName>
    <definedName name="wrn.3year._.frcst." localSheetId="0" hidden="1">{#N/A,#N/A,FALSE,"963YR";#N/A,#N/A,FALSE,"mkt mix";#N/A,#N/A,FALSE,"sect 5";#N/A,#N/A,FALSE,"sect 6";#N/A,#N/A,FALSE,"csh";#N/A,#N/A,FALSE,"capx";#N/A,#N/A,FALSE,"bal sheet"}</definedName>
    <definedName name="wrn.3year._.frcst." hidden="1">{#N/A,#N/A,FALSE,"963YR";#N/A,#N/A,FALSE,"mkt mix";#N/A,#N/A,FALSE,"sect 5";#N/A,#N/A,FALSE,"sect 6";#N/A,#N/A,FALSE,"csh";#N/A,#N/A,FALSE,"capx";#N/A,#N/A,FALSE,"bal sheet"}</definedName>
    <definedName name="wrn.a." localSheetId="5" hidden="1">{#N/A,#N/A,FALSE,"Sheet1"}</definedName>
    <definedName name="wrn.a." localSheetId="0" hidden="1">{#N/A,#N/A,FALSE,"Sheet1"}</definedName>
    <definedName name="wrn.a." hidden="1">{#N/A,#N/A,FALSE,"Sheet1"}</definedName>
    <definedName name="wrn.AA." hidden="1">{#N/A,#N/A,FALSE,"PMTABB";#N/A,#N/A,FALSE,"PMTABB"}</definedName>
    <definedName name="wrn.Aging._.and._.Trend._.Analysis." hidden="1">{#N/A,#N/A,FALSE,"Aging Summary";#N/A,#N/A,FALSE,"Ratio Analysis";#N/A,#N/A,FALSE,"Test 120 Day Accts";#N/A,#N/A,FALSE,"Tickmarks"}</definedName>
    <definedName name="wrn.All."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PAGES." localSheetId="5" hidden="1">{"cashcons",#N/A,FALSE,"CASHCONS";"cash7000",#N/A,FALSE,"CASH7000";"cash9000",#N/A,FALSE,"CASH9000";"assu7000",#N/A,FALSE,"ASSU7000";"assu9000",#N/A,FALSE,"ASSU9000";"rentroll",#N/A,FALSE,"RENTROLL";"expr7000",#N/A,FALSE,"EXPR7000";"expr9000",#N/A,FALSE,"EXPR9000"}</definedName>
    <definedName name="wrn.ALL._.PAGES." localSheetId="0" hidden="1">{"cashcons",#N/A,FALSE,"CASHCONS";"cash7000",#N/A,FALSE,"CASH7000";"cash9000",#N/A,FALSE,"CASH9000";"assu7000",#N/A,FALSE,"ASSU7000";"assu9000",#N/A,FALSE,"ASSU9000";"rentroll",#N/A,FALSE,"RENTROLL";"expr7000",#N/A,FALSE,"EXPR7000";"expr9000",#N/A,FALSE,"EXPR9000"}</definedName>
    <definedName name="wrn.ALL._.PAGES." hidden="1">{"cashcons",#N/A,FALSE,"CASHCONS";"cash7000",#N/A,FALSE,"CASH7000";"cash9000",#N/A,FALSE,"CASH9000";"assu7000",#N/A,FALSE,"ASSU7000";"assu9000",#N/A,FALSE,"ASSU9000";"rentroll",#N/A,FALSE,"RENTROLL";"expr7000",#N/A,FALSE,"EXPR7000";"expr9000",#N/A,FALSE,"EXPR9000"}</definedName>
    <definedName name="wrn.All._.Reports." hidden="1">{#N/A,#N/A,FALSE,"Balance Sheet";#N/A,#N/A,FALSE,"Profit &amp; Loss ";#N/A,#N/A,FALSE,"Schedule-1";#N/A,#N/A,FALSE,"Schedule-2";#N/A,#N/A,FALSE,"Schedule-3";#N/A,#N/A,FALSE,"Schedule-4 ";#N/A,#N/A,FALSE,"Schedule-5";#N/A,#N/A,FALSE,"Schedule-6,7,8,9";#N/A,#N/A,FALSE,"Schedule-10,11";#N/A,#N/A,FALSE,"Schedule-12,13,14,15";#N/A,#N/A,FALSE,"Scdedule-16";#N/A,#N/A,FALSE,"Schedule-17 ";#N/A,#N/A,FALSE,"Note-9"}</definedName>
    <definedName name="wrn.ALL._.STATEMENTS." hidden="1">{"BALANCE SHEET",#N/A,FALSE,"Balance Sheet";"INCOME STATEMENT",#N/A,FALSE,"Income Statement";"STMT OF CASH FLOWS",#N/A,FALSE,"Cash Flows Indirect";"PARTNERS CAPITAL STMT",#N/A,FALSE,"Partners Capital"}</definedName>
    <definedName name="wrn.all.1" localSheetId="5"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1" localSheetId="0"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1"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AllVariances." hidden="1">{#N/A,#N/A,FALSE,"ActPrior";#N/A,#N/A,FALSE,"ActPlan";#N/A,#N/A,FALSE,"ActFore"}</definedName>
    <definedName name="wrn.amk." localSheetId="5" hidden="1">{#N/A,#N/A,FALSE,"M&amp;B_43A_fab";#N/A,#N/A,FALSE,"M&amp;B_43A_ERE.";#N/A,#N/A,FALSE,"M&amp;B-43A-ALIGN"}</definedName>
    <definedName name="wrn.amk." localSheetId="0" hidden="1">{#N/A,#N/A,FALSE,"M&amp;B_43A_fab";#N/A,#N/A,FALSE,"M&amp;B_43A_ERE.";#N/A,#N/A,FALSE,"M&amp;B-43A-ALIGN"}</definedName>
    <definedName name="wrn.amk." hidden="1">{#N/A,#N/A,FALSE,"M&amp;B_43A_fab";#N/A,#N/A,FALSE,"M&amp;B_43A_ERE.";#N/A,#N/A,FALSE,"M&amp;B-43A-ALIGN"}</definedName>
    <definedName name="wrn.AnnualRentRoll." localSheetId="5" hidden="1">{"AnnualRentRollPg1",#N/A,FALSE,"RentRoll";"AnnualRentRollPg2",#N/A,FALSE,"RentRoll"}</definedName>
    <definedName name="wrn.AnnualRentRoll." localSheetId="0" hidden="1">{"AnnualRentRollPg1",#N/A,FALSE,"RentRoll";"AnnualRentRollPg2",#N/A,FALSE,"RentRoll"}</definedName>
    <definedName name="wrn.AnnualRentRoll." hidden="1">{"AnnualRentRollPg1",#N/A,FALSE,"RentRoll";"AnnualRentRollPg2",#N/A,FALSE,"RentRoll"}</definedName>
    <definedName name="wrn.Anteilig._.alle._.Perioden." hidden="1">{"Alle Perioden",#N/A,FALSE,"Erf";"Alle Perioden",#N/A,FALSE,"Ang";"Alle Perioden",#N/A,FALSE,"BV";"Alle Perioden",#N/A,FALSE,"BE";"Alle Perioden",#N/A,FALSE,"Re";"Alle Perioden",#N/A,FALSE,"Vol"}</definedName>
    <definedName name="wrn.Anteilig._.erste._.elf._.Perioden." hidden="1">{"Erste elf Perioden",#N/A,FALSE,"Erf";"Erste elf Perioden",#N/A,FALSE,"Ang";"Erste elf Perioden",#N/A,FALSE,"BV";"Erste elf Perioden",#N/A,FALSE,"BE";"Erste elf Perioden",#N/A,FALSE,"Vol";"Erste elf Perioden",#N/A,FALSE,"Re"}</definedName>
    <definedName name="wrn.ANZ._.Report." hidden="1">{#N/A,#N/A,FALSE,"Balance Sheets";#N/A,#N/A,FALSE,"96 Conservative";#N/A,#N/A,FALSE,"96 Possible"}</definedName>
    <definedName name="wrn.APCT." hidden="1">{"Page1",#N/A,FALSE,"APCT";"Page2",#N/A,FALSE,"APCT"}</definedName>
    <definedName name="wrn.APL." hidden="1">{"Page1",#N/A,FALSE,"APL";"Page2",#N/A,FALSE,"APL"}</definedName>
    <definedName name="wrn.Assumption._.Book." hidden="1">{#N/A,#N/A,FALSE,"Model Assumptions"}</definedName>
    <definedName name="wrn.assumptions." hidden="1">{"assumptions1",#N/A,FALSE,"Valuation Analysis";"assumptions2",#N/A,FALSE,"Valuation Analysis"}</definedName>
    <definedName name="wrn.backup." hidden="1">{"financials",#N/A,FALSE,"BASIC";"interest",#N/A,FALSE,"BASIC";"leasing and financing",#N/A,FALSE,"BASIC";"returns back up",#N/A,FALSE,"BASIC"}</definedName>
    <definedName name="wrn.BAFF." hidden="1">{"DCOMINC",#N/A,FALSE,"COMDEV";"DCOM_N1",#N/A,FALSE,"COMDEV";"DCOM_N",#N/A,FALSE,"COMDEV";"DCOM_F",#N/A,FALSE,"COMDEV"}</definedName>
    <definedName name="wrn.BAFF1" hidden="1">{"DCOMINC",#N/A,FALSE,"COMDEV";"DCOM_N1",#N/A,FALSE,"COMDEV";"DCOM_N",#N/A,FALSE,"COMDEV";"DCOM_F",#N/A,FALSE,"COMDEV"}</definedName>
    <definedName name="wrn.BAFF1." hidden="1">{"DCOMINC",#N/A,FALSE,"COMDEV";"DCOM_N1",#N/A,FALSE,"COMDEV";"DCOM_N",#N/A,FALSE,"COMDEV";"DCOM_F",#N/A,FALSE,"COMDEV"}</definedName>
    <definedName name="wrn.balance._.sheet." hidden="1">{"bs",#N/A,FALSE,"SCF"}</definedName>
    <definedName name="wrn.Balance._.Sheet._.Set." hidden="1">{"Balance Sheet",#N/A,FALSE,"bsheet";"Assets Schedule",#N/A,FALSE,"bsheet";"Notes",#N/A,FALSE,"bsheet";"Abstract",#N/A,FALSE,"bsheet";"Cash Flow",#N/A,FALSE,"bsheet";"groupings",#N/A,FALSE,"bsheet";"Stocks",#N/A,FALSE,"bsheet";"Trial",#N/A,FALSE,"bsheet"}</definedName>
    <definedName name="wrn.bank._.model." hidden="1">{"banks",#N/A,FALSE,"BASIC"}</definedName>
    <definedName name="wrn.Book." hidden="1">{"EVA",#N/A,FALSE,"SMT2";#N/A,#N/A,FALSE,"Summary";#N/A,#N/A,FALSE,"Graphs";#N/A,#N/A,FALSE,"4 Panel"}</definedName>
    <definedName name="wrn.Both._.Outputs." localSheetId="5" hidden="1">{"LTV Output",#N/A,FALSE,"Output";"DCR Output",#N/A,FALSE,"Output"}</definedName>
    <definedName name="wrn.Both._.Outputs." localSheetId="0" hidden="1">{"LTV Output",#N/A,FALSE,"Output";"DCR Output",#N/A,FALSE,"Output"}</definedName>
    <definedName name="wrn.Both._.Outputs." hidden="1">{"LTV Output",#N/A,FALSE,"Output";"DCR Output",#N/A,FALSE,"Output"}</definedName>
    <definedName name="wrn.Brief." hidden="1">{#N/A,#N/A,TRUE,"Summary";#N/A,#N/A,TRUE,"Balance Sheet";#N/A,#N/A,TRUE,"P &amp; L";#N/A,#N/A,TRUE,"Fixed Assets";#N/A,#N/A,TRUE,"Cash Flows"}</definedName>
    <definedName name="wrn.Budget2000." hidden="1">{#N/A,#N/A,FALSE,"Title";#N/A,#N/A,FALSE,"Corp b sheet";#N/A,#N/A,FALSE,"MODIFIED Pl";#N/A,#N/A,FALSE,"Balance Sheet";#N/A,#N/A,FALSE,"Profit and Loss";#N/A,#N/A,FALSE,"Supplement info";#N/A,#N/A,FALSE,"Cashflow";#N/A,#N/A,FALSE,"Asspc Co - Inv Schedule";#N/A,#N/A,FALSE,"kpi"}</definedName>
    <definedName name="wrn.CAP." hidden="1">{"DEA CAP",#N/A,TRUE,"DEA";"RVA CAP",#N/A,TRUE,"RVA";"MDA CAP",#N/A,TRUE,"MDA";"Table C CAP",#N/A,TRUE,"C";"Table V CAP",#N/A,TRUE,"V";"DEA GL ACCOUNTS",#N/A,TRUE,"DEA";"RULES CAP",#N/A,TRUE,"RULES";"COs CAP",#N/A,TRUE,"COs";#N/A,#N/A,TRUE,"CHIP"}</definedName>
    <definedName name="wrn.Capex._.Report." hidden="1">{"Front Sheet",#N/A,TRUE,"Front";"Summary",#N/A,TRUE,"Summary";"ISD Page 1",#N/A,TRUE,"ISD - Page 1";"ENG Page 2",#N/A,TRUE,"ENG - Page 2";"ENG Page 3",#N/A,TRUE,"ENG(124) - Page 3";"ADM Page 4",#N/A,TRUE,"ADM - Page 4";"ADM Page 5",#N/A,TRUE,"ADM - Page 5"}</definedName>
    <definedName name="wrn.Cash." hidden="1">{"CashPrint",#N/A,FALSE,"Cash"}</definedName>
    <definedName name="wrn.Cillas." hidden="1">{#N/A,#N/A,FALSE,"High Level";#N/A,#N/A,FALSE,"Position Summaries";#N/A,#N/A,FALSE,"Position Listing"}</definedName>
    <definedName name="wrn.Complete." localSheetId="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view." localSheetId="5" hidden="1">{#N/A,#N/A,FALSE,"Occ and Rate";#N/A,#N/A,FALSE,"PF Input";#N/A,#N/A,FALSE,"Capital Input";#N/A,#N/A,FALSE,"Proforma Five Yr";#N/A,#N/A,FALSE,"Calculations";#N/A,#N/A,FALSE,"Transaction Summary-DTW"}</definedName>
    <definedName name="wrn.Complete._.Review." localSheetId="0"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mplete._.Set." hidden="1">{#N/A,#N/A,FALSE,"Full";#N/A,#N/A,FALSE,"Half";#N/A,#N/A,FALSE,"Op Expenses";#N/A,#N/A,FALSE,"Cap Charge";#N/A,#N/A,FALSE,"Cost C";#N/A,#N/A,FALSE,"PP&amp;E";#N/A,#N/A,FALSE,"R&amp;D"}</definedName>
    <definedName name="wrn.Complete.2" localSheetId="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0"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Tor" localSheetId="5" hidden="1">{#N/A,#N/A,TRUE,"DCF Summary";#N/A,#N/A,TRUE,"Casema";#N/A,#N/A,TRUE,"UK";#N/A,#N/A,TRUE,"RCF";#N/A,#N/A,TRUE,"Intercable CZ";#N/A,#N/A,TRUE,"Interkabel P";#N/A,#N/A,TRUE,"LBO-Total";#N/A,#N/A,TRUE,"LBO-Casema"}</definedName>
    <definedName name="wrn.CompleteTor" localSheetId="0"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Computation._.3CD._.Details." hidden="1">{"Computation Tax",#N/A,FALSE,"43B";"Dep I.Tax",#N/A,FALSE,"43B";"I Tax Losses",#N/A,FALSE,"43B";"Annex-III 3CD",#N/A,FALSE,"43B";"Cash Payments",#N/A,FALSE,"43B";"43B",#N/A,FALSE,"43B"}</definedName>
    <definedName name="wrn.concordia." localSheetId="5" hidden="1">{#N/A,#N/A,FALSE,"GW280NEW.XLS"}</definedName>
    <definedName name="wrn.concordia." localSheetId="0" hidden="1">{#N/A,#N/A,FALSE,"GW280NEW.XLS"}</definedName>
    <definedName name="wrn.concordia." hidden="1">{#N/A,#N/A,FALSE,"GW280NEW.XLS"}</definedName>
    <definedName name="wrn.cons" hidden="1">{"PAGE1",#N/A,FALSE,"Consolidation";"PAGE2",#N/A,FALSE,"Consolidation";"PAGE3",#N/A,FALSE,"Consolidation";"PAGE4",#N/A,FALSE,"Consolidation";"PAGE5",#N/A,FALSE,"Consolidation";"PAGE6",#N/A,FALSE,"Consolidation";"PAGE7",#N/A,FALSE,"Consolidation"}</definedName>
    <definedName name="wrn.CONSOLIDATION." hidden="1">{"PAGE1",#N/A,FALSE,"Consolidation";"PAGE2",#N/A,FALSE,"Consolidation";"PAGE3",#N/A,FALSE,"Consolidation";"PAGE4",#N/A,FALSE,"Consolidation";"PAGE5",#N/A,FALSE,"Consolidation";"PAGE6",#N/A,FALSE,"Consolidation";"PAGE7",#N/A,FALSE,"Consolidation"}</definedName>
    <definedName name="wrn.consumable." hidden="1">{#N/A,#N/A,FALSE,"consu_cover";#N/A,#N/A,FALSE,"consu_strategy";#N/A,#N/A,FALSE,"consu_flow";#N/A,#N/A,FALSE,"Summary_reqmt";#N/A,#N/A,FALSE,"field_ppg";#N/A,#N/A,FALSE,"ppg_shop";#N/A,#N/A,FALSE,"strl";#N/A,#N/A,FALSE,"tankages";#N/A,#N/A,FALSE,"gases"}</definedName>
    <definedName name="wrn.contributory._.asset._.charges." hidden="1">{"contributory1",#N/A,FALSE,"Contributory Assets Detail";"contributory2",#N/A,FALSE,"Contributory Assets Detail"}</definedName>
    <definedName name="wrn.COPRODUCTION." hidden="1">{#N/A,#N/A,TRUE,"Sheet1";"sumall",#N/A,TRUE,"TOTAL SUMMARY";"SUM99",#N/A,TRUE,"1999 SUMMARY";"MM99",#N/A,TRUE,"Michael Moore";"SN99",#N/A,TRUE,"Strange Nights";"200099",#N/A,TRUE,"Universe 2000";"blaze99",#N/A,TRUE,"BLAZE"}</definedName>
    <definedName name="wrn.COSA._.FS._.국문." hidden="1">{#N/A,#N/A,FALSE,"BS";#N/A,#N/A,FALSE,"PL";#N/A,#N/A,FALSE,"처분";#N/A,#N/A,FALSE,"현금";#N/A,#N/A,FALSE,"매출";#N/A,#N/A,FALSE,"원가";#N/A,#N/A,FALSE,"경영"}</definedName>
    <definedName name="wrn.datapak." hidden="1">{#N/A,#N/A,FALSE,"Status of Projects";#N/A,#N/A,FALSE,"CEA-TEC";#N/A,#N/A,FALSE,"U-Constr.";#N/A,#N/A,FALSE,"summary";#N/A,#N/A,FALSE,"PPP-3 yrs"}</definedName>
    <definedName name="wrn.DCF._.Only." localSheetId="5" hidden="1">{#N/A,#N/A,FALSE,"DCF Summary";#N/A,#N/A,FALSE,"Casema";#N/A,#N/A,FALSE,"Casema NoTel";#N/A,#N/A,FALSE,"UK";#N/A,#N/A,FALSE,"RCF";#N/A,#N/A,FALSE,"Intercable CZ";#N/A,#N/A,FALSE,"Interkabel P"}</definedName>
    <definedName name="wrn.DCF._.Only." localSheetId="0"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Tor" localSheetId="5" hidden="1">{#N/A,#N/A,FALSE,"DCF Summary";#N/A,#N/A,FALSE,"Casema";#N/A,#N/A,FALSE,"Casema NoTel";#N/A,#N/A,FALSE,"UK";#N/A,#N/A,FALSE,"RCF";#N/A,#N/A,FALSE,"Intercable CZ";#N/A,#N/A,FALSE,"Interkabel P"}</definedName>
    <definedName name="wrn.DCFTor" localSheetId="0"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DCR._.Output." localSheetId="5" hidden="1">{"DCR Output",#N/A,FALSE,"Output"}</definedName>
    <definedName name="wrn.DCR._.Output." localSheetId="0" hidden="1">{"DCR Output",#N/A,FALSE,"Output"}</definedName>
    <definedName name="wrn.DCR._.Output." hidden="1">{"DCR Output",#N/A,FALSE,"Output"}</definedName>
    <definedName name="wrn.dec02." hidden="1">{#N/A,#N/A,FALSE,"BS"}</definedName>
    <definedName name="wrn.dep." hidden="1">{"dep. full detail",#N/A,FALSE,"annex";"3cd annex",#N/A,FALSE,"annex";"co. dep.",#N/A,FALSE,"annex"}</definedName>
    <definedName name="wrn.devdeal." localSheetId="5" hidden="1">{"top",#N/A,TRUE,"Detail";"next",#N/A,TRUE,"Detail";"then",#N/A,TRUE,"Detail";"and",#N/A,TRUE,"Detail";"inaddition",#N/A,TRUE,"Detail";"finally",#N/A,TRUE,"Detail"}</definedName>
    <definedName name="wrn.devdeal." localSheetId="0"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jall." hidden="1">{"djcash",#N/A,FALSE,"DJann";"djinc",#N/A,FALSE,"DJann";"djtaxes",#N/A,FALSE,"DJann";"djbuspub",#N/A,FALSE,"DJann";"djwall",#N/A,FALSE,"DJann";"djcompprs",#N/A,FALSE,"DJann";"djteler",#N/A,FALSE,"DJann"}</definedName>
    <definedName name="wrn.documentation." hidden="1">{"documentation1",#N/A,FALSE,"Documentation";"documentation2",#N/A,FALSE,"Documentation"}</definedName>
    <definedName name="wrn.ecpall." hidden="1">{"ecpcash",#N/A,FALSE,"ECPann";"ecpinc",#N/A,FALSE,"ECPann";"ecpindia",#N/A,FALSE,"ECPann";"ecpmun",#N/A,FALSE,"ECPann";"ecpphoenix",#N/A,FALSE,"ECPann";"ecpothe",#N/A,FALSE,"ECPann";"ecpbalsht",#N/A,FALSE,"ECPann"}</definedName>
    <definedName name="wrn.Einhundert._.Prozent._.alle._.Perioden." hidden="1">{"Alle Perioden",#N/A,FALSE,"Erf";"Alle Perioden",#N/A,FALSE,"BV100";"Alle Perioden",#N/A,FALSE,"BE100";"Alle Perioden",#N/A,FALSE,"Re100";"Alle Perioden",#N/A,FALSE,"Vol100"}</definedName>
    <definedName name="wrn.Einhundert._.Prozent._.erste._.elf._.Perioden." hidden="1">{"Erste elf Perioden",#N/A,FALSE,"Erf";"Erste elf Perioden",#N/A,FALSE,"BV100";"Erste elf Perioden",#N/A,FALSE,"BE100";"Erste elf Perioden",#N/A,FALSE,"Re100";"Erste elf Perioden",#N/A,FALSE,"Vol100"}</definedName>
    <definedName name="wrn.ela" hidden="1">{#N/A,#N/A,FALSE,"Cash Flows";#N/A,#N/A,FALSE,"Fixed Assets";#N/A,#N/A,FALSE,"Balance Sheet";#N/A,#N/A,FALSE,"P &amp; L"}</definedName>
    <definedName name="wrn.Elaborate." hidden="1">{#N/A,#N/A,FALSE,"Cash Flows";#N/A,#N/A,FALSE,"Fixed Assets";#N/A,#N/A,FALSE,"Balance Sheet";#N/A,#N/A,FALSE,"P &amp; L"}</definedName>
    <definedName name="wrn.elect."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Emg._.report." hidden="1">{#N/A,#N/A,FALSE,"Emerging Mkt Fund"}</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tAndSalesAssumptions." localSheetId="5" hidden="1">{#N/A,#N/A,FALSE,"ExitStrategy"}</definedName>
    <definedName name="wrn.ExitAndSalesAssumptions." localSheetId="0" hidden="1">{#N/A,#N/A,FALSE,"ExitStrategy"}</definedName>
    <definedName name="wrn.ExitAndSalesAssumptions." hidden="1">{#N/A,#N/A,FALSE,"ExitStrategy"}</definedName>
    <definedName name="wrn.Financial._.Statements." hidden="1">{#N/A,#N/A,FALSE,"Report01";#N/A,#N/A,FALSE,"Report02";#N/A,#N/A,FALSE,"Report03";#N/A,#N/A,FALSE,"Report04";#N/A,#N/A,FALSE,"Report05";#N/A,#N/A,FALSE,"Report06";#N/A,#N/A,FALSE,"Report07";#N/A,#N/A,FALSE,"Report71";#N/A,#N/A,FALSE,"Report72";#N/A,#N/A,FALSE,"Report08";#N/A,#N/A,FALSE,"Report09";#N/A,#N/A,FALSE,"Report10";#N/A,#N/A,FALSE,"ReportB1";#N/A,#N/A,FALSE,"ReportB2";#N/A,#N/A,FALSE,"Report12"}</definedName>
    <definedName name="wrn.FOOTNOTES." hidden="1">{"Footnotespg1",#N/A,FALSE,"Footnotes";"Footnotespg2",#N/A,FALSE,"Footnotes"}</definedName>
    <definedName name="wrn.FORM1." hidden="1">{#N/A,#N/A,FALSE,"COMP"}</definedName>
    <definedName name="wrn.FORNDV." hidden="1">{"FORNDV",#N/A,FALSE,"Sheet1"}</definedName>
    <definedName name="wrn.Ful._.Set." hidden="1">{"Bsheet",#N/A,FALSE,"Details";"P&amp;L",#N/A,FALSE,"Details";"Schedule",#N/A,FALSE,"Details";"Details",#N/A,FALSE,"Details"}</definedName>
    <definedName name="wrn.Full." localSheetId="5" hidden="1">{#N/A,#N/A,FALSE,"Summary";#N/A,#N/A,FALSE,"CF";#N/A,#N/A,FALSE,"P&amp;L";#N/A,#N/A,FALSE,"BS";#N/A,#N/A,FALSE,"Returns";#N/A,#N/A,FALSE,"Assumptions";#N/A,#N/A,FALSE,"Analysis"}</definedName>
    <definedName name="wrn.Full." localSheetId="0" hidden="1">{#N/A,#N/A,FALSE,"Summary";#N/A,#N/A,FALSE,"CF";#N/A,#N/A,FALSE,"P&amp;L";#N/A,#N/A,FALSE,"BS";#N/A,#N/A,FALSE,"Returns";#N/A,#N/A,FALSE,"Assumptions";#N/A,#N/A,FALSE,"Analysis"}</definedName>
    <definedName name="wrn.Full." hidden="1">{#N/A,#N/A,FALSE,"Summary";#N/A,#N/A,FALSE,"CF";#N/A,#N/A,FALSE,"P&amp;L";#N/A,#N/A,FALSE,"BS";#N/A,#N/A,FALSE,"Returns";#N/A,#N/A,FALSE,"Assumptions";#N/A,#N/A,FALSE,"Analysis"}</definedName>
    <definedName name="wrn.Full._.Financials." localSheetId="5" hidden="1">{#N/A,#N/A,TRUE,"Financials";#N/A,#N/A,TRUE,"Operating Statistics";#N/A,#N/A,TRUE,"Capex &amp; Depreciation";#N/A,#N/A,TRUE,"Debt"}</definedName>
    <definedName name="wrn.Full._.Financials." localSheetId="0" hidden="1">{#N/A,#N/A,TRUE,"Financials";#N/A,#N/A,TRUE,"Operating Statistics";#N/A,#N/A,TRUE,"Capex &amp; Depreciation";#N/A,#N/A,TRUE,"Debt"}</definedName>
    <definedName name="wrn.Full._.Financials." hidden="1">{#N/A,#N/A,TRUE,"Financials";#N/A,#N/A,TRUE,"Operating Statistics";#N/A,#N/A,TRUE,"Capex &amp; Depreciation";#N/A,#N/A,TRUE,"Debt"}</definedName>
    <definedName name="wrn.Full._.Report." localSheetId="5" hidden="1">{"Assumptions",#N/A,FALSE,"Sheet1";"Main Report",#N/A,FALSE,"Sheet1";"Results",#N/A,FALSE,"Sheet1";"Advances",#N/A,FALSE,"Sheet1"}</definedName>
    <definedName name="wrn.Full._.Report." localSheetId="0" hidden="1">{"Assumptions",#N/A,FALSE,"Sheet1";"Main Report",#N/A,FALSE,"Sheet1";"Results",#N/A,FALSE,"Sheet1";"Advances",#N/A,FALSE,"Sheet1"}</definedName>
    <definedName name="wrn.Full._.Report." hidden="1">{"Assumptions",#N/A,FALSE,"Sheet1";"Main Report",#N/A,FALSE,"Sheet1";"Results",#N/A,FALSE,"Sheet1";"Advances",#N/A,FALSE,"Sheet1"}</definedName>
    <definedName name="wrn.Full._.Set." hidden="1">{"Bsheet",#N/A,FALSE,"Details";"P&amp;l",#N/A,FALSE,"Details";"Schedule",#N/A,FALSE,"Details";"Details",#N/A,FALSE,"Details";"Annexue II",#N/A,FALSE,"Details";"Branch Bs",#N/A,FALSE,"Details";"Branch PL",#N/A,FALSE,"Details"}</definedName>
    <definedName name="wrn.full.fin.1" localSheetId="5" hidden="1">{#N/A,#N/A,TRUE,"Financials";#N/A,#N/A,TRUE,"Operating Statistics";#N/A,#N/A,TRUE,"Capex &amp; Depreciation";#N/A,#N/A,TRUE,"Debt"}</definedName>
    <definedName name="wrn.full.fin.1" localSheetId="0" hidden="1">{#N/A,#N/A,TRUE,"Financials";#N/A,#N/A,TRUE,"Operating Statistics";#N/A,#N/A,TRUE,"Capex &amp; Depreciation";#N/A,#N/A,TRUE,"Debt"}</definedName>
    <definedName name="wrn.full.fin.1" hidden="1">{#N/A,#N/A,TRUE,"Financials";#N/A,#N/A,TRUE,"Operating Statistics";#N/A,#N/A,TRUE,"Capex &amp; Depreciation";#N/A,#N/A,TRUE,"Debt"}</definedName>
    <definedName name="wrn.G.C.P.L.." hidden="1">{#N/A,#N/A,FALSE,"gc (2)"}</definedName>
    <definedName name="wrn.GCIall." hidden="1">{"gcicash",#N/A,FALSE,"GCIINC";"gciinc",#N/A,FALSE,"GCIINC";"gciexclusa",#N/A,FALSE,"GCIINC";"usatdy",#N/A,FALSE,"GCIINC"}</definedName>
    <definedName name="wrn.Gesamtausdruck._.alle._.Perioden." hidden="1">{"Alle Perioden",#N/A,FALSE,"Erf";"Alle Perioden",#N/A,FALSE,"Ang";"Alle Perioden",#N/A,FALSE,"BV";"Alle Perioden",#N/A,FALSE,"BE";"Alle Perioden",#N/A,FALSE,"Re";"Alle Perioden",#N/A,FALSE,"Vol";"Alle Perioden",#N/A,FALSE,"BV100";"Alle Perioden",#N/A,FALSE,"BE100";"Alle Perioden",#N/A,FALSE,"Re100";"Alle Perioden",#N/A,FALSE,"Vol100"}</definedName>
    <definedName name="wrn.Gesamtausdruck._.erste._.elf._.Perioden." hidden="1">{"Erste elf Perioden",#N/A,FALSE,"Erf";"Erste elf Perioden",#N/A,FALSE,"Ang";"Erste elf Perioden",#N/A,FALSE,"BV";"Erste elf Perioden",#N/A,FALSE,"BE";"Erste elf Perioden",#N/A,FALSE,"Re";"Erste elf Perioden",#N/A,FALSE,"Vol";"Erste elf Perioden",#N/A,FALSE,"BV100";"Erste elf Perioden",#N/A,FALSE,"BE100";"Erste elf Perioden",#N/A,FALSE,"Re100";"Erste elf Perioden",#N/A,FALSE,"Vol100"}</definedName>
    <definedName name="wrn.GGR._.Network._.Exhibit." hidden="1">{"Network Summary",#N/A,TRUE,"Summary";"Piping Summary",#N/A,TRUE," Piping";"Meters Summary",#N/A,TRUE,"Meters &amp; Connections";"Connections Summary",#N/A,TRUE,"Meters &amp; Connections";"Stations Summary",#N/A,TRUE,"Stations Pivot"}</definedName>
    <definedName name="wrn.gross._.margin._.detail." hidden="1">{"gross_margin1",#N/A,FALSE,"Gross Margin Detail";"gross_margin2",#N/A,FALSE,"Gross Margin Detail"}</definedName>
    <definedName name="wrn.gw280." localSheetId="5" hidden="1">{#N/A,#N/A,FALSE,"GW280NEW.XLS"}</definedName>
    <definedName name="wrn.gw280." localSheetId="0" hidden="1">{#N/A,#N/A,FALSE,"GW280NEW.XLS"}</definedName>
    <definedName name="wrn.gw280." hidden="1">{#N/A,#N/A,FALSE,"GW280NEW.XLS"}</definedName>
    <definedName name="wrn.hh." localSheetId="5" hidden="1">{#N/A,#N/A,FALSE,"Sheet1"}</definedName>
    <definedName name="wrn.hh." localSheetId="0" hidden="1">{#N/A,#N/A,FALSE,"Sheet1"}</definedName>
    <definedName name="wrn.hh." hidden="1">{#N/A,#N/A,FALSE,"Sheet1"}</definedName>
    <definedName name="wrn.historical._.performance." hidden="1">{"historical acquirer",#N/A,FALSE,"Historical Performance";"historical target",#N/A,FALSE,"Historical Performance"}</definedName>
    <definedName name="wrn.imprim." hidden="1">{#N/A,#N/A,FALSE,"Feuil";#N/A,#N/A,FALSE,"Feuil (2)";#N/A,#N/A,FALSE,"Feuil (3)";#N/A,#N/A,FALSE,"Feuil (4)";#N/A,#N/A,FALSE,"Feuil (5)";#N/A,#N/A,FALSE,"Feuil (6)";#N/A,#N/A,FALSE,"Feuil (7)";#N/A,#N/A,FALSE,"Feuil (8)";#N/A,#N/A,FALSE,"Feuil (9)";#N/A,#N/A,FALSE,"Feuil (10)";#N/A,#N/A,FALSE,"Feuil (11)";#N/A,#N/A,FALSE,"Feuil (12)";#N/A,#N/A,FALSE,"Feuil (13)";#N/A,#N/A,FALSE,"Feuil (14)";#N/A,#N/A,FALSE,"Feuil (15)";#N/A,#N/A,FALSE,"Feuil (16)"}</definedName>
    <definedName name="wrn.INCOME._.STATEMENT." hidden="1">{"INCOME STATEMENT",#N/A,FALSE,"Income Statement"}</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put._.and._.output." localSheetId="5"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0"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sheet." hidden="1">{#N/A,#N/A,FALSE,"TICKERS INPUT SHEET"}</definedName>
    <definedName name="wrn.Inputs." localSheetId="5" hidden="1">{#N/A,#N/A,FALSE,"Input"}</definedName>
    <definedName name="wrn.Inputs." localSheetId="0" hidden="1">{#N/A,#N/A,FALSE,"Input"}</definedName>
    <definedName name="wrn.Inputs." hidden="1">{#N/A,#N/A,FALSE,"Input"}</definedName>
    <definedName name="wrn.Investment._.Review." localSheetId="5" hidden="1">{#N/A,#N/A,FALSE,"Proforma Five Yr";#N/A,#N/A,FALSE,"Capital Input";#N/A,#N/A,FALSE,"Calculations";#N/A,#N/A,FALSE,"Transaction Summary-DTW"}</definedName>
    <definedName name="wrn.Investment._.Review." localSheetId="0"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_.Valuation." localSheetId="5" hidden="1">{"assumptions",#N/A,FALSE,"Scenario 1";"valuation",#N/A,FALSE,"Scenario 1"}</definedName>
    <definedName name="wrn.IPO._.Valuation." localSheetId="0" hidden="1">{"assumptions",#N/A,FALSE,"Scenario 1";"valuation",#N/A,FALSE,"Scenario 1"}</definedName>
    <definedName name="wrn.IPO._.Valuation." hidden="1">{"assumptions",#N/A,FALSE,"Scenario 1";"valuation",#N/A,FALSE,"Scenario 1"}</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K._.GuV._.o.._.Kommentar." hidden="1">{"K GuV o. Kommentar",#N/A,FALSE,"Kaufhof"}</definedName>
    <definedName name="wrn.K3._.Annual."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Bilanz._.o.._.Kommentar." hidden="1">{"K Bilanz o. Kommentar",#N/A,FALSE,"Kaufhof"}</definedName>
    <definedName name="wrn.kriall." hidden="1">{"kricash",#N/A,FALSE,"INC";"kriinc",#N/A,FALSE,"INC";"krimiami",#N/A,FALSE,"INC";"kriother",#N/A,FALSE,"INC";"kripapers",#N/A,FALSE,"INC"}</definedName>
    <definedName name="wrn.LBO._.Summary." localSheetId="5" hidden="1">{"LBO Summary",#N/A,FALSE,"Summary"}</definedName>
    <definedName name="wrn.LBO._.Summary." localSheetId="0" hidden="1">{"LBO Summary",#N/A,FALSE,"Summary"}</definedName>
    <definedName name="wrn.LBO._.Summary." hidden="1">{"LBO Summary",#N/A,FALSE,"Summary"}</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IASSE._.CONSOLIDATION." hidden="1">{#N/A,#N/A,FALSE,"Bilan";#N/A,#N/A,FALSE,"Cpt Resultat";#N/A,#N/A,FALSE,"OI_OD";#N/A,#N/A,FALSE,"Equity";#N/A,#N/A,FALSE,"AR, Stocks, Other Assets";#N/A,#N/A,FALSE,"PPE";#N/A,#N/A,FALSE,"Accrued, other assets"}</definedName>
    <definedName name="wrn.LoanInformation." localSheetId="5" hidden="1">{"LoanSchedule",#N/A,FALSE,"LoanAssumptions";"LoanAssumptions",#N/A,FALSE,"LoanAssumptions"}</definedName>
    <definedName name="wrn.LoanInformation." localSheetId="0" hidden="1">{"LoanSchedule",#N/A,FALSE,"LoanAssumptions";"LoanAssumptions",#N/A,FALSE,"LoanAssumptions"}</definedName>
    <definedName name="wrn.LoanInformation." hidden="1">{"LoanSchedule",#N/A,FALSE,"LoanAssumptions";"LoanAssumptions",#N/A,FALSE,"LoanAssumptions"}</definedName>
    <definedName name="wrn.LPNL." hidden="1">{"LPNL1",#N/A,FALSE,"EntitiesWithReclasses";"LPNL2",#N/A,FALSE,"EntitiesWithReclasses";"LPNL3",#N/A,FALSE,"EntitiesWithReclasses"}</definedName>
    <definedName name="wrn.LTCG." hidden="1">{"office ltcg",#N/A,FALSE,"gain01";"IT LTCG",#N/A,FALSE,"gain01"}</definedName>
    <definedName name="wrn.LTV._.Output." localSheetId="5" hidden="1">{"LTV Output",#N/A,FALSE,"Output"}</definedName>
    <definedName name="wrn.LTV._.Output." localSheetId="0" hidden="1">{"LTV Output",#N/A,FALSE,"Output"}</definedName>
    <definedName name="wrn.LTV._.Output." hidden="1">{"LTV Output",#N/A,FALSE,"Output"}</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NAGEMENT._.REPORT." hidden="1">{"front-cover",#N/A,TRUE,"FRONT";"index",#N/A,TRUE,"FRONT";"P&amp;L",#N/A,TRUE,"Summary";"CASHFLOW",#N/A,TRUE," CASHFLOW,BS";"BSHEET",#N/A,TRUE," CASHFLOW,BS";"COMMISSIONS",#N/A,TRUE,"Commission third party";"OVERHEADS",#N/A,TRUE,"Overheads";"FESTIVALS",#N/A,TRUE,"Festivals";"TRAVEL",#N/A,TRUE,"Travel &amp; Entertainment";"STOCK",#N/A,TRUE,"stock";"DEBTORS",#N/A,TRUE,"DEBTORS";"PREPAYMENTS",#N/A,TRUE,"PREPAYM&amp;ACC"}</definedName>
    <definedName name="wrn.Market._.Values." localSheetId="5" hidden="1">{#N/A,#N/A,TRUE,"10 Yr Hold";#N/A,#N/A,TRUE,"7 Yr Hold";#N/A,#N/A,TRUE,"5 Yr Hold";#N/A,#N/A,TRUE,"3 Yr Hold"}</definedName>
    <definedName name="wrn.Market._.Values." localSheetId="0" hidden="1">{#N/A,#N/A,TRUE,"10 Yr Hold";#N/A,#N/A,TRUE,"7 Yr Hold";#N/A,#N/A,TRUE,"5 Yr Hold";#N/A,#N/A,TRUE,"3 Yr Hold"}</definedName>
    <definedName name="wrn.Market._.Values." hidden="1">{#N/A,#N/A,TRUE,"10 Yr Hold";#N/A,#N/A,TRUE,"7 Yr Hold";#N/A,#N/A,TRUE,"5 Yr Hold";#N/A,#N/A,TRUE,"3 Yr Hold"}</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hpall." hidden="1">{"mhpcash",#N/A,FALSE,"MHPNEWX";"mhpinc",#N/A,FALSE,"MHPNEWX";"mhptax",#N/A,FALSE,"MHPNEWX";"mhpbroad",#N/A,FALSE,"MHPNEWX";"mhpeduc",#N/A,FALSE,"MHPNEWX";"mhpfin",#N/A,FALSE,"MHPNEWX";"mhpinfo",#N/A,FALSE,"MHPNEWX"}</definedName>
    <definedName name="wrn.MNGT." hidden="1">{#N/A,#N/A,TRUE,"KOCH P&amp;L";#N/A,#N/A,TRUE,"sumpl";#N/A,#N/A,TRUE,"2000";#N/A,#N/A,TRUE,"2001";#N/A,#N/A,TRUE,"2002";#N/A,#N/A,TRUE,"2003 ";#N/A,#N/A,TRUE,"brg comm";#N/A,#N/A,TRUE,"lsm comm"}</definedName>
    <definedName name="wrn.model." localSheetId="5" hidden="1">{"years",#N/A,FALSE,"UDR_INC";"9899qtrs",#N/A,FALSE,"UDR_INC";"9798qtrs",#N/A,FALSE,"UDR_INC"}</definedName>
    <definedName name="wrn.model." localSheetId="0" hidden="1">{"years",#N/A,FALSE,"UDR_INC";"9899qtrs",#N/A,FALSE,"UDR_INC";"9798qtrs",#N/A,FALSE,"UDR_INC"}</definedName>
    <definedName name="wrn.model." hidden="1">{"years",#N/A,FALSE,"UDR_INC";"9899qtrs",#N/A,FALSE,"UDR_INC";"9798qtrs",#N/A,FALSE,"UDR_INC"}</definedName>
    <definedName name="wrn.Monatsabschluß." localSheetId="5" hidden="1">{#N/A,#N/A,FALSE,"Finanzplan";#N/A,#N/A,FALSE,"Bilanz";#N/A,#N/A,FALSE,"GuV"}</definedName>
    <definedName name="wrn.Monatsabschluß." localSheetId="0" hidden="1">{#N/A,#N/A,FALSE,"Finanzplan";#N/A,#N/A,FALSE,"Bilanz";#N/A,#N/A,FALSE,"GuV"}</definedName>
    <definedName name="wrn.Monatsabschluß." hidden="1">{#N/A,#N/A,FALSE,"Finanzplan";#N/A,#N/A,FALSE,"Bilanz";#N/A,#N/A,FALSE,"GuV"}</definedName>
    <definedName name="wrn.MonthlyRentRoll." localSheetId="5" hidden="1">{"MonthlyRentRoll",#N/A,FALSE,"RentRoll"}</definedName>
    <definedName name="wrn.MonthlyRentRoll." localSheetId="0" hidden="1">{"MonthlyRentRoll",#N/A,FALSE,"RentRoll"}</definedName>
    <definedName name="wrn.MonthlyRentRoll." hidden="1">{"MonthlyRentRoll",#N/A,FALSE,"RentRoll"}</definedName>
    <definedName name="wrn.Multiples._.Calculation." hidden="1">{#N/A,#N/A,FALSE,"GCM Data Sum";#N/A,#N/A,FALSE,"TIC-Calculation";#N/A,#N/A,FALSE,"TIC  Multiples";#N/A,#N/A,FALSE,"P-E &amp; Price to Book Multiples";#N/A,#N/A,FALSE,"Margins-EBITDA-to-Growth"}</definedName>
    <definedName name="WRN.NDS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nytaann." hidden="1">{"nytacash",#N/A,FALSE,"GLOBEINC";"nytainc",#N/A,FALSE,"GLOBEINC";"nytanyt",#N/A,FALSE,"GLOBEINC";"nytareg",#N/A,FALSE,"GLOBEINC";"nytaglobe",#N/A,FALSE,"GLOBEINC";"nytapprttl",#N/A,FALSE,"GLOBEINC"}</definedName>
    <definedName name="wrn.One._.Pager._.plus._.Technicals." localSheetId="5" hidden="1">{#N/A,#N/A,FALSE,"One Pager";#N/A,#N/A,FALSE,"Technical"}</definedName>
    <definedName name="wrn.One._.Pager._.plus._.Technicals." localSheetId="0" hidden="1">{#N/A,#N/A,FALSE,"One Pager";#N/A,#N/A,FALSE,"Technical"}</definedName>
    <definedName name="wrn.One._.Pager._.plus._.Technicals." hidden="1">{#N/A,#N/A,FALSE,"One Pager";#N/A,#N/A,FALSE,"Technical"}</definedName>
    <definedName name="wrn.OperatingAssumtions." localSheetId="5" hidden="1">{#N/A,#N/A,FALSE,"OperatingAssumptions"}</definedName>
    <definedName name="wrn.OperatingAssumtions." localSheetId="0" hidden="1">{#N/A,#N/A,FALSE,"OperatingAssumptions"}</definedName>
    <definedName name="wrn.OperatingAssumtions." hidden="1">{#N/A,#N/A,FALSE,"OperatingAssumptions"}</definedName>
    <definedName name="wrn.Operations._.Review." localSheetId="5" hidden="1">{#N/A,#N/A,FALSE,"Proforma Five Yr";#N/A,#N/A,FALSE,"Occ and Rate";#N/A,#N/A,FALSE,"PF Input";#N/A,#N/A,FALSE,"Hotcomps"}</definedName>
    <definedName name="wrn.Operations._.Review." localSheetId="0" hidden="1">{#N/A,#N/A,FALSE,"Proforma Five Yr";#N/A,#N/A,FALSE,"Occ and Rate";#N/A,#N/A,FALSE,"PF Input";#N/A,#N/A,FALSE,"Hotcomps"}</definedName>
    <definedName name="wrn.Operations._.Review." hidden="1">{#N/A,#N/A,FALSE,"Proforma Five Yr";#N/A,#N/A,FALSE,"Occ and Rate";#N/A,#N/A,FALSE,"PF Input";#N/A,#N/A,FALSE,"Hotcomps"}</definedName>
    <definedName name="wrn.Output." localSheetId="5" hidden="1">{#N/A,#N/A,TRUE,"Summary";#N/A,#N/A,TRUE,"Assumptions";#N/A,#N/A,TRUE,"Stack";#N/A,#N/A,TRUE,"Budget";#N/A,#N/A,TRUE,"Condo Summary";#N/A,#N/A,TRUE,"Condo Sellout Summary"}</definedName>
    <definedName name="wrn.Output." localSheetId="0" hidden="1">{#N/A,#N/A,TRUE,"Summary";#N/A,#N/A,TRUE,"Assumptions";#N/A,#N/A,TRUE,"Stack";#N/A,#N/A,TRUE,"Budget";#N/A,#N/A,TRUE,"Condo Summary";#N/A,#N/A,TRUE,"Condo Sellout Summary"}</definedName>
    <definedName name="wrn.Output." hidden="1">{#N/A,#N/A,TRUE,"Summary";#N/A,#N/A,TRUE,"Assumptions";#N/A,#N/A,TRUE,"Stack";#N/A,#N/A,TRUE,"Budget";#N/A,#N/A,TRUE,"Condo Summary";#N/A,#N/A,TRUE,"Condo Sellout Summary"}</definedName>
    <definedName name="wrn.output1a" localSheetId="5" hidden="1">{#N/A,#N/A,TRUE,"Summary";#N/A,#N/A,TRUE,"Assumptions";#N/A,#N/A,TRUE,"Stack";#N/A,#N/A,TRUE,"Budget";#N/A,#N/A,TRUE,"Condo Summary";#N/A,#N/A,TRUE,"Condo Sellout Summary"}</definedName>
    <definedName name="wrn.output1a" localSheetId="0" hidden="1">{#N/A,#N/A,TRUE,"Summary";#N/A,#N/A,TRUE,"Assumptions";#N/A,#N/A,TRUE,"Stack";#N/A,#N/A,TRUE,"Budget";#N/A,#N/A,TRUE,"Condo Summary";#N/A,#N/A,TRUE,"Condo Sellout Summary"}</definedName>
    <definedName name="wrn.output1a" hidden="1">{#N/A,#N/A,TRUE,"Summary";#N/A,#N/A,TRUE,"Assumptions";#N/A,#N/A,TRUE,"Stack";#N/A,#N/A,TRUE,"Budget";#N/A,#N/A,TRUE,"Condo Summary";#N/A,#N/A,TRUE,"Condo Sellout Summary"}</definedName>
    <definedName name="wrn.output2" localSheetId="5" hidden="1">{#N/A,#N/A,TRUE,"Summary";#N/A,#N/A,TRUE,"Assumptions";#N/A,#N/A,TRUE,"Stack";#N/A,#N/A,TRUE,"Budget";#N/A,#N/A,TRUE,"Condo Summary";#N/A,#N/A,TRUE,"Condo Sellout Summary"}</definedName>
    <definedName name="wrn.output2" localSheetId="0" hidden="1">{#N/A,#N/A,TRUE,"Summary";#N/A,#N/A,TRUE,"Assumptions";#N/A,#N/A,TRUE,"Stack";#N/A,#N/A,TRUE,"Budget";#N/A,#N/A,TRUE,"Condo Summary";#N/A,#N/A,TRUE,"Condo Sellout Summary"}</definedName>
    <definedName name="wrn.output2" hidden="1">{#N/A,#N/A,TRUE,"Summary";#N/A,#N/A,TRUE,"Assumptions";#N/A,#N/A,TRUE,"Stack";#N/A,#N/A,TRUE,"Budget";#N/A,#N/A,TRUE,"Condo Summary";#N/A,#N/A,TRUE,"Condo Sellout Summary"}</definedName>
    <definedName name="wrn.output3" localSheetId="5" hidden="1">{#N/A,#N/A,TRUE,"Summary";#N/A,#N/A,TRUE,"Assumptions";#N/A,#N/A,TRUE,"Stack";#N/A,#N/A,TRUE,"Budget";#N/A,#N/A,TRUE,"Condo Summary";#N/A,#N/A,TRUE,"Condo Sellout Summary"}</definedName>
    <definedName name="wrn.output3" localSheetId="0" hidden="1">{#N/A,#N/A,TRUE,"Summary";#N/A,#N/A,TRUE,"Assumptions";#N/A,#N/A,TRUE,"Stack";#N/A,#N/A,TRUE,"Budget";#N/A,#N/A,TRUE,"Condo Summary";#N/A,#N/A,TRUE,"Condo Sellout Summary"}</definedName>
    <definedName name="wrn.output3" hidden="1">{#N/A,#N/A,TRUE,"Summary";#N/A,#N/A,TRUE,"Assumptions";#N/A,#N/A,TRUE,"Stack";#N/A,#N/A,TRUE,"Budget";#N/A,#N/A,TRUE,"Condo Summary";#N/A,#N/A,TRUE,"Condo Sellout Summary"}</definedName>
    <definedName name="wrn.Output3Column." localSheetId="5" hidden="1">{"Output-3Column",#N/A,FALSE,"Output"}</definedName>
    <definedName name="wrn.Output3Column." localSheetId="0" hidden="1">{"Output-3Column",#N/A,FALSE,"Output"}</definedName>
    <definedName name="wrn.Output3Column." hidden="1">{"Output-3Column",#N/A,FALSE,"Output"}</definedName>
    <definedName name="wrn.output4" localSheetId="5" hidden="1">{#N/A,#N/A,TRUE,"Summary";#N/A,#N/A,TRUE,"Assumptions";#N/A,#N/A,TRUE,"Stack";#N/A,#N/A,TRUE,"Budget";#N/A,#N/A,TRUE,"Condo Summary";#N/A,#N/A,TRUE,"Condo Sellout Summary"}</definedName>
    <definedName name="wrn.output4" localSheetId="0" hidden="1">{#N/A,#N/A,TRUE,"Summary";#N/A,#N/A,TRUE,"Assumptions";#N/A,#N/A,TRUE,"Stack";#N/A,#N/A,TRUE,"Budget";#N/A,#N/A,TRUE,"Condo Summary";#N/A,#N/A,TRUE,"Condo Sellout Summary"}</definedName>
    <definedName name="wrn.output4" hidden="1">{#N/A,#N/A,TRUE,"Summary";#N/A,#N/A,TRUE,"Assumptions";#N/A,#N/A,TRUE,"Stack";#N/A,#N/A,TRUE,"Budget";#N/A,#N/A,TRUE,"Condo Summary";#N/A,#N/A,TRUE,"Condo Sellout Summary"}</definedName>
    <definedName name="wrn.output4a" localSheetId="5" hidden="1">{#N/A,#N/A,TRUE,"Summary";#N/A,#N/A,TRUE,"Assumptions";#N/A,#N/A,TRUE,"Stack";#N/A,#N/A,TRUE,"Budget";#N/A,#N/A,TRUE,"Condo Summary";#N/A,#N/A,TRUE,"Condo Sellout Summary"}</definedName>
    <definedName name="wrn.output4a" localSheetId="0" hidden="1">{#N/A,#N/A,TRUE,"Summary";#N/A,#N/A,TRUE,"Assumptions";#N/A,#N/A,TRUE,"Stack";#N/A,#N/A,TRUE,"Budget";#N/A,#N/A,TRUE,"Condo Summary";#N/A,#N/A,TRUE,"Condo Sellout Summary"}</definedName>
    <definedName name="wrn.output4a" hidden="1">{#N/A,#N/A,TRUE,"Summary";#N/A,#N/A,TRUE,"Assumptions";#N/A,#N/A,TRUE,"Stack";#N/A,#N/A,TRUE,"Budget";#N/A,#N/A,TRUE,"Condo Summary";#N/A,#N/A,TRUE,"Condo Sellout Summary"}</definedName>
    <definedName name="wrn.output4b" localSheetId="5" hidden="1">{#N/A,#N/A,TRUE,"Summary";#N/A,#N/A,TRUE,"Assumptions";#N/A,#N/A,TRUE,"Stack";#N/A,#N/A,TRUE,"Budget";#N/A,#N/A,TRUE,"Condo Summary";#N/A,#N/A,TRUE,"Condo Sellout Summary"}</definedName>
    <definedName name="wrn.output4b" localSheetId="0" hidden="1">{#N/A,#N/A,TRUE,"Summary";#N/A,#N/A,TRUE,"Assumptions";#N/A,#N/A,TRUE,"Stack";#N/A,#N/A,TRUE,"Budget";#N/A,#N/A,TRUE,"Condo Summary";#N/A,#N/A,TRUE,"Condo Sellout Summary"}</definedName>
    <definedName name="wrn.output4b" hidden="1">{#N/A,#N/A,TRUE,"Summary";#N/A,#N/A,TRUE,"Assumptions";#N/A,#N/A,TRUE,"Stack";#N/A,#N/A,TRUE,"Budget";#N/A,#N/A,TRUE,"Condo Summary";#N/A,#N/A,TRUE,"Condo Sellout Summary"}</definedName>
    <definedName name="wrn.OutputAll." localSheetId="5" hidden="1">{"Output-All",#N/A,FALSE,"Output"}</definedName>
    <definedName name="wrn.OutputAll." localSheetId="0" hidden="1">{"Output-All",#N/A,FALSE,"Output"}</definedName>
    <definedName name="wrn.OutputAll." hidden="1">{"Output-All",#N/A,FALSE,"Output"}</definedName>
    <definedName name="wrn.OutputBaseYear." localSheetId="5" hidden="1">{"Output-BaseYear",#N/A,FALSE,"Output"}</definedName>
    <definedName name="wrn.OutputBaseYear." localSheetId="0" hidden="1">{"Output-BaseYear",#N/A,FALSE,"Output"}</definedName>
    <definedName name="wrn.OutputBaseYear." hidden="1">{"Output-BaseYear",#N/A,FALSE,"Output"}</definedName>
    <definedName name="wrn.OutputMin." localSheetId="5" hidden="1">{"Output-Min",#N/A,FALSE,"Output"}</definedName>
    <definedName name="wrn.OutputMin." localSheetId="0" hidden="1">{"Output-Min",#N/A,FALSE,"Output"}</definedName>
    <definedName name="wrn.OutputMin." hidden="1">{"Output-Min",#N/A,FALSE,"Output"}</definedName>
    <definedName name="wrn.OutputPercent." localSheetId="5" hidden="1">{"Output%",#N/A,FALSE,"Output"}</definedName>
    <definedName name="wrn.OutputPercent." localSheetId="0" hidden="1">{"Output%",#N/A,FALSE,"Output"}</definedName>
    <definedName name="wrn.OutputPercent." hidden="1">{"Output%",#N/A,FALSE,"Output"}</definedName>
    <definedName name="wrn.Package." hidden="1">{"proc_tot_nums",#N/A,TRUE,"Act Numbers";"summary_proc",#N/A,TRUE,"Blank1";"PlanProc",#N/A,TRUE,"PlanProc";"process graphs",#N/A,TRUE,"graphs&amp;data";"proj_nums",#N/A,TRUE,"Act Numbers";"Internal_Proj",#N/A,TRUE,"Internal Proj.";#N/A,#N/A,TRUE,"Plan ProjProg";"project graphs",#N/A,TRUE,"graphs&amp;data";"mtm_proc",#N/A,TRUE,"MTM Proc";"MTM_proj",#N/A,TRUE,"MTM Proj"}</definedName>
    <definedName name="wrn.PARTNERS._.CAPITAL._.STMT." hidden="1">{"PARTNERS CAPITAL STMT",#N/A,FALSE,"Partners Capital"}</definedName>
    <definedName name="wrn.pg1." hidden="1">{#N/A,#N/A,FALSE,"1"}</definedName>
    <definedName name="wrn.pg10." hidden="1">{#N/A,#N/A,FALSE,"10"}</definedName>
    <definedName name="wrn.pg100" hidden="1">{#N/A,#N/A,FALSE,"8"}</definedName>
    <definedName name="wrn.pg11." hidden="1">{#N/A,#N/A,FALSE,"11"}</definedName>
    <definedName name="wrn.pg12." hidden="1">{#N/A,#N/A,FALSE,"12"}</definedName>
    <definedName name="wrn.pg13." hidden="1">{#N/A,#N/A,FALSE,"13"}</definedName>
    <definedName name="wrn.pg14." hidden="1">{#N/A,#N/A,FALSE,"14"}</definedName>
    <definedName name="wrn.pg15." hidden="1">{#N/A,#N/A,FALSE,"15"}</definedName>
    <definedName name="wrn.pg16." hidden="1">{#N/A,#N/A,FALSE,"16"}</definedName>
    <definedName name="wrn.pg17." hidden="1">{#N/A,#N/A,FALSE,"17"}</definedName>
    <definedName name="wrn.pg2." hidden="1">{#N/A,#N/A,FALSE,"2"}</definedName>
    <definedName name="wrn.pg20" hidden="1">{#N/A,#N/A,FALSE,"4"}</definedName>
    <definedName name="wrn.pg3." hidden="1">{#N/A,#N/A,FALSE,"3"}</definedName>
    <definedName name="wrn.pg4." hidden="1">{#N/A,#N/A,FALSE,"4"}</definedName>
    <definedName name="wrn.pg5." hidden="1">{#N/A,#N/A,FALSE,"5"}</definedName>
    <definedName name="wrn.pg6." hidden="1">{#N/A,#N/A,FALSE,"6"}</definedName>
    <definedName name="wrn.pg7" hidden="1">{#N/A,#N/A,FALSE,"6"}</definedName>
    <definedName name="wrn.pg7." hidden="1">{#N/A,#N/A,FALSE,"7"}</definedName>
    <definedName name="wrn.pg8." hidden="1">{#N/A,#N/A,FALSE,"8"}</definedName>
    <definedName name="wrn.pg9." hidden="1">{#N/A,#N/A,FALSE,"9"}</definedName>
    <definedName name="wrn.Phase._.I." localSheetId="5" hidden="1">{#N/A,#N/A,FALSE,"Transaction Summary-DTW";#N/A,#N/A,FALSE,"Proforma Five Yr";#N/A,#N/A,FALSE,"Occ and Rate"}</definedName>
    <definedName name="wrn.Phase._.I." localSheetId="0" hidden="1">{#N/A,#N/A,FALSE,"Transaction Summary-DTW";#N/A,#N/A,FALSE,"Proforma Five Yr";#N/A,#N/A,FALSE,"Occ and Rate"}</definedName>
    <definedName name="wrn.Phase._.I." hidden="1">{#N/A,#N/A,FALSE,"Transaction Summary-DTW";#N/A,#N/A,FALSE,"Proforma Five Yr";#N/A,#N/A,FALSE,"Occ and Rate"}</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olymwe." hidden="1">{#N/A,#N/A,TRUE,"Economic Indicators";#N/A,#N/A,TRUE,"Cracker Shutdown schedule";#N/A,#N/A,TRUE,"Benzene Shutdown schedule";#N/A,#N/A,TRUE,"PX Shutdown schedule";#N/A,#N/A,TRUE,"Financials";#N/A,#N/A,TRUE,"Prices&amp;Margins";#N/A,#N/A,TRUE,"Demand-supply";#N/A,#N/A,TRUE,"Polymers-Ind Sum-1999-2000";#N/A,#N/A,TRUE,"Polymers-Ind Sum-Q4";#N/A,#N/A,TRUE,"Polymers-Ind Sum-Q3";#N/A,#N/A,TRUE,"Polymers-Ind Sum-Q4overQ3";#N/A,#N/A,TRUE,"RIL-Q4-Prodn-Sales";#N/A,#N/A,TRUE,"RIL-Q4-Prices";#N/A,#N/A,TRUE,"RIL-Q4-Feedstock";#N/A,#N/A,TRUE,"IPCL-Q4-Prodn-Sales";#N/A,#N/A,TRUE,"IPCL-Q4-Prices";#N/A,#N/A,TRUE,"IPCL-Q4-Feedstock";#N/A,#N/A,TRUE,"NOCIL-Q4-Prodn-Sales";#N/A,#N/A,TRUE,"NOCIL-Q4-Prices";#N/A,#N/A,TRUE,"GAIL-Q4-Prodn-Sales";#N/A,#N/A,TRUE,"GAIL-Q4-Prices"}</definedName>
    <definedName name="wrn.Presentation." localSheetId="5" hidden="1">{#N/A,#N/A,TRUE,"Summary";#N/A,#N/A,TRUE,"ExitStrategy";"SalesAndConstruction",#N/A,TRUE,"cs";#N/A,#N/A,TRUE,"OperatingAssumptions";"PresentationRentRoll",#N/A,TRUE,"RentRoll"}</definedName>
    <definedName name="wrn.Presentation." localSheetId="0" hidden="1">{#N/A,#N/A,TRUE,"Summary";#N/A,#N/A,TRUE,"ExitStrategy";"SalesAndConstruction",#N/A,TRUE,"cs";#N/A,#N/A,TRUE,"OperatingAssumptions";"PresentationRentRoll",#N/A,TRUE,"RentRoll"}</definedName>
    <definedName name="wrn.Presentation." hidden="1">{#N/A,#N/A,TRUE,"Summary";#N/A,#N/A,TRUE,"ExitStrategy";"SalesAndConstruction",#N/A,TRUE,"cs";#N/A,#N/A,TRUE,"OperatingAssumptions";"PresentationRentRoll",#N/A,TRUE,"RentRoll"}</definedName>
    <definedName name="wrn.Print." localSheetId="5" hidden="1">{#N/A,#N/A,FALSE,"Assumps";#N/A,#N/A,FALSE,"Data";#N/A,#N/A,FALSE,"Data (2)";#N/A,#N/A,FALSE,"AcqyrP&amp;L";#N/A,#N/A,FALSE,"Acq+1P&amp;L";#N/A,#N/A,FALSE,"Acq+2P&amp;L";#N/A,#N/A,FALSE,"Cashflow";#N/A,#N/A,FALSE,"BalSheet";#N/A,#N/A,FALSE,"Bidder";#N/A,#N/A,FALSE,"Target";#N/A,#N/A,FALSE,"Tgtann";#N/A,#N/A,FALSE,"Topt";#N/A,#N/A,FALSE,"Disp";#N/A,#N/A,FALSE,"Dann";#N/A,#N/A,FALSE,"Syns"}</definedName>
    <definedName name="wrn.Print." localSheetId="0" hidden="1">{#N/A,#N/A,FALSE,"Assumps";#N/A,#N/A,FALSE,"Data";#N/A,#N/A,FALSE,"Data (2)";#N/A,#N/A,FALSE,"AcqyrP&amp;L";#N/A,#N/A,FALSE,"Acq+1P&amp;L";#N/A,#N/A,FALSE,"Acq+2P&amp;L";#N/A,#N/A,FALSE,"Cashflow";#N/A,#N/A,FALSE,"BalSheet";#N/A,#N/A,FALSE,"Bidder";#N/A,#N/A,FALSE,"Target";#N/A,#N/A,FALSE,"Tgtann";#N/A,#N/A,FALSE,"Topt";#N/A,#N/A,FALSE,"Disp";#N/A,#N/A,FALSE,"Dann";#N/A,#N/A,FALSE,"Syns"}</definedName>
    <definedName name="wrn.Print." hidden="1">{#N/A,#N/A,FALSE,"Assumps";#N/A,#N/A,FALSE,"Data";#N/A,#N/A,FALSE,"Data (2)";#N/A,#N/A,FALSE,"AcqyrP&amp;L";#N/A,#N/A,FALSE,"Acq+1P&amp;L";#N/A,#N/A,FALSE,"Acq+2P&amp;L";#N/A,#N/A,FALSE,"Cashflow";#N/A,#N/A,FALSE,"BalSheet";#N/A,#N/A,FALSE,"Bidder";#N/A,#N/A,FALSE,"Target";#N/A,#N/A,FALSE,"Tgtann";#N/A,#N/A,FALSE,"Topt";#N/A,#N/A,FALSE,"Disp";#N/A,#N/A,FALSE,"Dann";#N/A,#N/A,FALSE,"Syns"}</definedName>
    <definedName name="wrn.Print._.All._.Exhibits." hidden="1">{"Inc Stmt Dollar",#N/A,FALSE,"IS";"Inc Stmt CS",#N/A,FALSE,"IS";"BS Dollar",#N/A,FALSE,"BS";"BS CS",#N/A,FALSE,"BS";"CF Dollar",#N/A,FALSE,"CF";"Ratio No.1",#N/A,FALSE,"Ratio";"Ratio No.2",#N/A,FALSE,"Ratio"}</definedName>
    <definedName name="wrn.Print._.All._.Pages." localSheetId="5" hidden="1">{"LBO Summary",#N/A,FALSE,"Summary";"Income Statement",#N/A,FALSE,"Model";"Cash Flow",#N/A,FALSE,"Model";"Balance Sheet",#N/A,FALSE,"Model";"Working Capital",#N/A,FALSE,"Model";"Pro Forma Balance Sheets",#N/A,FALSE,"PFBS";"Debt Balances",#N/A,FALSE,"Model";"Fee Schedules",#N/A,FALSE,"Model"}</definedName>
    <definedName name="wrn.Print._.All._.Pages." localSheetId="0"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sheets." hidden="1">{"summary",#N/A,FALSE,"Valuation Analysis";"assumptions1",#N/A,FALSE,"Valuation Analysis";"assumptions2",#N/A,FALSE,"Valuation Analysis"}</definedName>
    <definedName name="wrn.Print._.Blank._.Exhibit." hidden="1">{"Extra 1",#N/A,FALSE,"Blank"}</definedName>
    <definedName name="wrn.Print._.BS._.Exhibits." hidden="1">{"BS Dollar",#N/A,FALSE,"BS";"BS CS",#N/A,FALSE,"BS"}</definedName>
    <definedName name="wrn.Print._.CF._.Exhibit." hidden="1">{"CF Dollar",#N/A,FALSE,"CF"}</definedName>
    <definedName name="wrn.Print._.IS._.Exhibits." hidden="1">{"Inc Stmt Dollar",#N/A,FALSE,"IS";"Inc Stmt CS",#N/A,FALSE,"IS"}</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Out._.1." hidden="1">{"Five Year",#N/A,FALSE,"Summary (2)";"Month 1 and Years",#N/A,FALSE,"Cash Budget"}</definedName>
    <definedName name="wrn.Print._.Ratio._.Exhibits." hidden="1">{"Ratio No.1",#N/A,FALSE,"Ratio";"Ratio No.2",#N/A,FALSE,"Ratio"}</definedName>
    <definedName name="wrn.Print._.the._.lot." localSheetId="5" hidden="1">{"First Page",#N/A,FALSE,"Surfactants LBO";"Second Page",#N/A,FALSE,"Surfactants LBO"}</definedName>
    <definedName name="wrn.Print._.the._.lot." localSheetId="0" hidden="1">{"First Page",#N/A,FALSE,"Surfactants LBO";"Second Page",#N/A,FALSE,"Surfactants LBO"}</definedName>
    <definedName name="wrn.Print._.the._.lot." hidden="1">{"First Page",#N/A,FALSE,"Surfactants LBO";"Second Page",#N/A,FALSE,"Surfactants LBO"}</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_Buyer." localSheetId="5" hidden="1">{#N/A,"DR",FALSE,"increm pf";#N/A,"MAMSI",FALSE,"increm pf";#N/A,"MAXI",FALSE,"increm pf";#N/A,"PCAM",FALSE,"increm pf";#N/A,"PHSV",FALSE,"increm pf";#N/A,"SIE",FALSE,"increm pf"}</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ing._.Report." localSheetId="5"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definedName>
    <definedName name="wrn.Printing._.Report." localSheetId="0"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definedName>
    <definedName name="wrn.Printing._.Report." hidden="1">{"Assumptions",#N/A,FALSE,"Assumptions";"Sensitivities1",#N/A,FALSE,"Sensitivities";"Sensitivities2",#N/A,FALSE,"Sensitivities";"Sensitivities3",#N/A,FALSE,"Sensitivities";"Bidder",#N/A,FALSE,"Bidder";"Annualised_Target",#N/A,FALSE,"Target";"Target",#N/A,FALSE,"Target";"Summary",#N/A,FALSE,"Summary";"Historic",#N/A,FALSE,"Hist";"Current",#N/A,FALSE,"Curr";"Prospective",#N/A,FALSE,"Prosp"}</definedName>
    <definedName name="wrn.printqtr." hidden="1">{"nytasecond",#N/A,FALSE,"NYTQTRS";"nytafirst",#N/A,FALSE,"NYTQTRS";"nytathird",#N/A,FALSE,"NYTQTRS";"nytafourth",#N/A,FALSE,"NYTQTRS";"nytafull",#N/A,FALSE,"NYTQTRS"}</definedName>
    <definedName name="wrn.Process._.Graphs." hidden="1">{"process graphs",#N/A,FALSE,"graphs&amp;data"}</definedName>
    <definedName name="wrn.Productivity." hidden="1">{"Summary analysis",#N/A,FALSE,"Total";"OCPH analysis",#N/A,FALSE,"Total";"detail analysis",#N/A,FALSE,"Total"}</definedName>
    <definedName name="wrn.Profitability." hidden="1">{#N/A,"Good",TRUE,"Sheet1";#N/A,"Normal",TRUE,"Sheet1";#N/A,"Bad",TRUE,"Sheet1"}</definedName>
    <definedName name="wrn.Proforma._.Review." localSheetId="5" hidden="1">{#N/A,#N/A,FALSE,"Occ and Rate";#N/A,#N/A,FALSE,"PF Input";#N/A,#N/A,FALSE,"Proforma Five Yr";#N/A,#N/A,FALSE,"Hotcomps"}</definedName>
    <definedName name="wrn.Proforma._.Review." localSheetId="0" hidden="1">{#N/A,#N/A,FALSE,"Occ and Rate";#N/A,#N/A,FALSE,"PF Input";#N/A,#N/A,FALSE,"Proforma Five Yr";#N/A,#N/A,FALSE,"Hotcomps"}</definedName>
    <definedName name="wrn.Proforma._.Review." hidden="1">{#N/A,#N/A,FALSE,"Occ and Rate";#N/A,#N/A,FALSE,"PF Input";#N/A,#N/A,FALSE,"Proforma Five Yr";#N/A,#N/A,FALSE,"Hotcomps"}</definedName>
    <definedName name="wrn.Project." localSheetId="5" hidden="1">{"CAPEX Spending Profile",#N/A,FALSE,"Sheet1";"OPEX Spending Profile",#N/A,FALSE,"Sheet1";"Total Cost",#N/A,FALSE,"Sheet1";"Total Cost Profile",#N/A,FALSE,"Sheet1";"Production",#N/A,FALSE,"Sheet2"}</definedName>
    <definedName name="wrn.Project." localSheetId="0" hidden="1">{"CAPEX Spending Profile",#N/A,FALSE,"Sheet1";"OPEX Spending Profile",#N/A,FALSE,"Sheet1";"Total Cost",#N/A,FALSE,"Sheet1";"Total Cost Profile",#N/A,FALSE,"Sheet1";"Production",#N/A,FALSE,"Sheet2"}</definedName>
    <definedName name="wrn.Project." hidden="1">{"CAPEX Spending Profile",#N/A,FALSE,"Sheet1";"OPEX Spending Profile",#N/A,FALSE,"Sheet1";"Total Cost",#N/A,FALSE,"Sheet1";"Total Cost Profile",#N/A,FALSE,"Sheet1";"Production",#N/A,FALSE,"Sheet2"}</definedName>
    <definedName name="wrn.Project._.Graphs." hidden="1">{"project graphs",#N/A,FALSE,"graphs&amp;data"}</definedName>
    <definedName name="wrn.Projected._.Data._.and._.Subject._.Company._.Data." hidden="1">{#N/A,#N/A,FALSE,"Projected Data &amp; SUBJECT-INPUTS"}</definedName>
    <definedName name="wrn.PropertyInformation." localSheetId="5" hidden="1">{#N/A,#N/A,FALSE,"PropertyInfo"}</definedName>
    <definedName name="wrn.PropertyInformation." localSheetId="0" hidden="1">{#N/A,#N/A,FALSE,"PropertyInfo"}</definedName>
    <definedName name="wrn.PropertyInformation." hidden="1">{#N/A,#N/A,FALSE,"PropertyInfo"}</definedName>
    <definedName name="wrn.Pulp." localSheetId="5" hidden="1">{"Pulp Production",#N/A,FALSE,"Pulp";"Pulp Earnings",#N/A,FALSE,"Pulp"}</definedName>
    <definedName name="wrn.Pulp." localSheetId="0" hidden="1">{"Pulp Production",#N/A,FALSE,"Pulp";"Pulp Earnings",#N/A,FALSE,"Pulp"}</definedName>
    <definedName name="wrn.Pulp." hidden="1">{"Pulp Production",#N/A,FALSE,"Pulp";"Pulp Earnings",#N/A,FALSE,"Pulp"}</definedName>
    <definedName name="wrn.Pulp.2" localSheetId="5" hidden="1">{"Pulp Production",#N/A,FALSE,"Pulp";"Pulp Earnings",#N/A,FALSE,"Pulp"}</definedName>
    <definedName name="wrn.Pulp.2" localSheetId="0" hidden="1">{"Pulp Production",#N/A,FALSE,"Pulp";"Pulp Earnings",#N/A,FALSE,"Pulp"}</definedName>
    <definedName name="wrn.Pulp.2" hidden="1">{"Pulp Production",#N/A,FALSE,"Pulp";"Pulp Earnings",#N/A,FALSE,"Pulp"}</definedName>
    <definedName name="wrn.Pulp.3" localSheetId="5" hidden="1">{"Pulp Production",#N/A,FALSE,"Pulp";"Pulp Earnings",#N/A,FALSE,"Pulp"}</definedName>
    <definedName name="wrn.Pulp.3" localSheetId="0" hidden="1">{"Pulp Production",#N/A,FALSE,"Pulp";"Pulp Earnings",#N/A,FALSE,"Pulp"}</definedName>
    <definedName name="wrn.Pulp.3" hidden="1">{"Pulp Production",#N/A,FALSE,"Pulp";"Pulp Earnings",#N/A,FALSE,"Pulp"}</definedName>
    <definedName name="wrn.Quantity." hidden="1">{#N/A,#N/A,FALSE,"MONTHLY "}</definedName>
    <definedName name="wrn.Range._.Values." hidden="1">{"page1",#N/A,FALSE,"Range Value - Incl Reclasses";"page2",#N/A,FALSE,"Range Value - Incl Reclasses";"page3",#N/A,FALSE,"Range Value - Incl Reclasses"}</definedName>
    <definedName name="wrn.RCC."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port." localSheetId="5" hidden="1">{#N/A,#N/A,FALSE,"Loan Summary";#N/A,#N/A,FALSE,"NOI";"RR and Expir",#N/A,FALSE,"Rental";"Sales History",#N/A,FALSE,"Rental";#N/A,#N/A,FALSE,"Reserves"}</definedName>
    <definedName name="wrn.Report." localSheetId="0" hidden="1">{#N/A,#N/A,FALSE,"Loan Summary";#N/A,#N/A,FALSE,"NOI";"RR and Expir",#N/A,FALSE,"Rental";"Sales History",#N/A,FALSE,"Rental";#N/A,#N/A,FALSE,"Reserves"}</definedName>
    <definedName name="wrn.Report." hidden="1">{#N/A,#N/A,FALSE,"Loan Summary";#N/A,#N/A,FALSE,"NOI";"RR and Expir",#N/A,FALSE,"Rental";"Sales History",#N/A,FALSE,"Rental";#N/A,#N/A,FALSE,"Reserves"}</definedName>
    <definedName name="wrn.Report._.Exhibits." hidden="1">{"Inc Stmt Exhibit",#N/A,FALSE,"IS";"BS Exhibit",#N/A,FALSE,"BS";"Ratio No.1",#N/A,FALSE,"Ratio";"Ratio No.2",#N/A,FALSE,"Ratio"}</definedName>
    <definedName name="wrn.report1" hidden="1">{#N/A,#N/A,FALSE,"COVER.XLS";#N/A,#N/A,FALSE,"RACT1.XLS";#N/A,#N/A,FALSE,"RACT2.XLS";#N/A,#N/A,FALSE,"ECCMP";#N/A,#N/A,FALSE,"WELDER.XLS"}</definedName>
    <definedName name="wrn.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revenue._.detail." hidden="1">{"revenue detail 1",#N/A,FALSE,"Revenue Detail";"revenue detail 2",#N/A,FALSE,"Revenue Detail";"revenue detail 3",#N/A,FALSE,"Revenue Detail";"revenue detail 4",#N/A,FALSE,"Revenue Detail"}</definedName>
    <definedName name="wrn.revenue._.graph." hidden="1">{"revenue graph",#N/A,FALSE,"Revenue Graph"}</definedName>
    <definedName name="wrn.RPLINS." hidden="1">{#N/A,#N/A,FALSE,"str_title";#N/A,#N/A,FALSE,"SUM";#N/A,#N/A,FALSE,"Scope";#N/A,#N/A,FALSE,"PIE-Jn";#N/A,#N/A,FALSE,"PIE-Jn_Hz";#N/A,#N/A,FALSE,"Liq_Plan";#N/A,#N/A,FALSE,"S_Curve";#N/A,#N/A,FALSE,"Liq_Prof";#N/A,#N/A,FALSE,"Man_Pwr";#N/A,#N/A,FALSE,"Man_Prof"}</definedName>
    <definedName name="wrn.RRDOMINION._.TOWER." localSheetId="5" hidden="1">{#N/A,#N/A,FALSE,"Title Pg.- Summary of Rent Roll";#N/A,#N/A,FALSE,"SUMMARY OF RENT ROLL";#N/A,#N/A,FALSE,"SUMMARY OF FLOOR AREAS";#N/A,#N/A,FALSE,"Title Pg. - Rent Roll";#N/A,#N/A,FALSE,"RETAIL SECTION";#N/A,#N/A,FALSE,"OFFICES";#N/A,#N/A,FALSE,"STORAGE";#N/A,#N/A,FALSE,"MISCELLANEOUS";#N/A,#N/A,FALSE,"Title Pg.Rental Income Analysis";#N/A,#N/A,FALSE,"RENTAL INCOME ANALYSIS";#N/A,#N/A,FALSE,"Title Pg.-Lease Expirations";#N/A,#N/A,FALSE,"LEASE EXPIRATIONS"}</definedName>
    <definedName name="wrn.RRDOMINION._.TOWER." localSheetId="0" hidden="1">{#N/A,#N/A,FALSE,"Title Pg.- Summary of Rent Roll";#N/A,#N/A,FALSE,"SUMMARY OF RENT ROLL";#N/A,#N/A,FALSE,"SUMMARY OF FLOOR AREAS";#N/A,#N/A,FALSE,"Title Pg. - Rent Roll";#N/A,#N/A,FALSE,"RETAIL SECTION";#N/A,#N/A,FALSE,"OFFICES";#N/A,#N/A,FALSE,"STORAGE";#N/A,#N/A,FALSE,"MISCELLANEOUS";#N/A,#N/A,FALSE,"Title Pg.Rental Income Analysis";#N/A,#N/A,FALSE,"RENTAL INCOME ANALYSIS";#N/A,#N/A,FALSE,"Title Pg.-Lease Expirations";#N/A,#N/A,FALSE,"LEASE EXPIRATIONS"}</definedName>
    <definedName name="wrn.RRDOMINION._.TOWER." hidden="1">{#N/A,#N/A,FALSE,"Title Pg.- Summary of Rent Roll";#N/A,#N/A,FALSE,"SUMMARY OF RENT ROLL";#N/A,#N/A,FALSE,"SUMMARY OF FLOOR AREAS";#N/A,#N/A,FALSE,"Title Pg. - Rent Roll";#N/A,#N/A,FALSE,"RETAIL SECTION";#N/A,#N/A,FALSE,"OFFICES";#N/A,#N/A,FALSE,"STORAGE";#N/A,#N/A,FALSE,"MISCELLANEOUS";#N/A,#N/A,FALSE,"Title Pg.Rental Income Analysis";#N/A,#N/A,FALSE,"RENTAL INCOME ANALYSIS";#N/A,#N/A,FALSE,"Title Pg.-Lease Expirations";#N/A,#N/A,FALSE,"LEASE EXPIRATIONS"}</definedName>
    <definedName name="wrn.SAA94TAX."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wrn.saasimple."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wrn.sample." hidden="1">{"sample",#N/A,FALSE,"Client Input Sheet"}</definedName>
    <definedName name="wrn.SB_PRES." localSheetId="5" hidden="1">{#N/A,#N/A,TRUE,"Sheet16"}</definedName>
    <definedName name="wrn.SB_PRES." localSheetId="0" hidden="1">{#N/A,#N/A,TRUE,"Sheet16"}</definedName>
    <definedName name="wrn.SB_PRES." hidden="1">{#N/A,#N/A,TRUE,"Sheet16"}</definedName>
    <definedName name="wrn.scorecard._.rpt." hidden="1">{"scorecard view",#N/A,FALSE,"Scorecard output"}</definedName>
    <definedName name="wrn.Shorten._.Version." hidden="1">{#N/A,#N/A,FALSE,"changes";#N/A,#N/A,FALSE,"Assumptions";"view1",#N/A,FALSE,"BE Analysis";"view2",#N/A,FALSE,"BE Analysis";#N/A,#N/A,FALSE,"DCF Calculation - Scenario 1";"Dollar",#N/A,FALSE,"Consolidated - Scenario 1";"CS",#N/A,FALSE,"Consolidated - Scenario 1"}</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taffing." hidden="1">{#N/A,#N/A,FALSE,"Assessment";#N/A,#N/A,FALSE,"Staffing";#N/A,#N/A,FALSE,"Hires";#N/A,#N/A,FALSE,"Assumptions"}</definedName>
    <definedName name="wrn.Staffing1" hidden="1">{#N/A,#N/A,FALSE,"Assessment";#N/A,#N/A,FALSE,"Staffing";#N/A,#N/A,FALSE,"Hires";#N/A,#N/A,FALSE,"Assumptions"}</definedName>
    <definedName name="wrn.Standard." hidden="1">{#N/A,#N/A,FALSE,"IS US";#N/A,#N/A,FALSE,"BS US";#N/A,#N/A,FALSE,"IS LOCAL";#N/A,#N/A,FALSE,"BS INPUT";#N/A,#N/A,FALSE,"EQUITY";#N/A,#N/A,FALSE,"LOCAL ADJ";#N/A,#N/A,FALSE,"GAAP ADJ"}</definedName>
    <definedName name="wrn.STMT._.OF._.CASH._.FLOWS." hidden="1">{"STMT OF CASH FLOWS",#N/A,FALSE,"Cash Flows Indirect"}</definedName>
    <definedName name="wrn.summ1" hidden="1">{#N/A,#N/A,FALSE,"COVER1.XLS ";#N/A,#N/A,FALSE,"RACT1.XLS";#N/A,#N/A,FALSE,"RACT2.XLS";#N/A,#N/A,FALSE,"ECCMP";#N/A,#N/A,FALSE,"WELDER.XLS"}</definedName>
    <definedName name="wrn.summary." localSheetId="5" hidden="1">{#N/A,#N/A,FALSE,"Summary";#N/A,#N/A,FALSE,"CF";#N/A,#N/A,FALSE,"P&amp;L";"summary",#N/A,FALSE,"Returns";#N/A,#N/A,FALSE,"BS";"summary",#N/A,FALSE,"Analysis";#N/A,#N/A,FALSE,"Assumptions"}</definedName>
    <definedName name="wrn.summary." localSheetId="0" hidden="1">{#N/A,#N/A,FALSE,"Summary";#N/A,#N/A,FALSE,"CF";#N/A,#N/A,FALSE,"P&amp;L";"summary",#N/A,FALSE,"Returns";#N/A,#N/A,FALSE,"BS";"summary",#N/A,FALSE,"Analysis";#N/A,#N/A,FALSE,"Assumptions"}</definedName>
    <definedName name="wrn.summary." hidden="1">{#N/A,#N/A,FALSE,"Summary";#N/A,#N/A,FALSE,"CF";#N/A,#N/A,FALSE,"P&amp;L";"summary",#N/A,FALSE,"Returns";#N/A,#N/A,FALSE,"BS";"summary",#N/A,FALSE,"Analysis";#N/A,#N/A,FALSE,"Assumptions"}</definedName>
    <definedName name="wrn.summary._.schedules." hidden="1">{"summary1",#N/A,FALSE,"Summary of Values";"summary2",#N/A,FALSE,"Summary of Values"}</definedName>
    <definedName name="wrn.TB._.ALL._.ACCTS." hidden="1">{"BALANCE SHEET ACCOUNTS",#N/A,TRUE,"Working Trial Balance";"INCOME ACCOUNTS",#N/A,TRUE,"Working Trial Balance"}</definedName>
    <definedName name="wrn.TB._.BALANCE._.SHEET." hidden="1">{"BALANCE SHEET ACCOUNTS",#N/A,FALSE,"Working Trial Balance"}</definedName>
    <definedName name="wrn.TB._.EXPLANATIONS." hidden="1">{"EXPLANATIONS",#N/A,FALSE,"Working Trial Balance"}</definedName>
    <definedName name="wrn.TB._.INCOME._.STMT." hidden="1">{"INCOME ACCOUNTS",#N/A,FALSE,"Working Trial Balance"}</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MCALL." hidden="1">{"tmccash",#N/A,FALSE,"INCX";"tmcinc",#N/A,FALSE,"INCX";"tmcpretx",#N/A,FALSE,"INCX";"tmcadrev",#N/A,FALSE,"INCX";"tmcbooks",#N/A,FALSE,"INCX"}</definedName>
    <definedName name="wrn.TOTAL." hidden="1">{"CONSOL",#N/A,FALSE,"CONSOL";"EMRMOTOR",#N/A,FALSE,"EMRMOTOR";"LSOMER",#N/A,FALSE,"LSOMER";"USEM",#N/A,FALSE,"USEM";"EPT",#N/A,FALSE,"EPT";"WILSON",#N/A,FALSE,"WILSON";"CONTROL TECH",#N/A,FALSE,"CONTROL TECH";"CAMCOEMC",#N/A,FALSE,"CAMCOEMC";"ASCO",#N/A,FALSE,"ASCO";"APPLE",#N/A,FALSE,"APPLE";"BUC",#N/A,FALSE,"BUC";"COMCAM",#N/A,FALSE,"COMCAM";"SWECO",#N/A,FALSE,"SWECO";"KKRAMER",#N/A,FALSE,"KKRAMER";"BUEHLER",#N/A,FALSE,"BUEHLER";"WIE IND",#N/A,FALSE,"WIE IND";"F R",#N/A,FALSE,"F R";"INTELL",#N/A,FALSE,"INTELL";"COPELAND",#N/A,FALSE,"COPELAND";"EMDHERM",#N/A,FALSE,"EMDHERM";"WRODG",#N/A,FALSE,"WRODG";"ALCO",#N/A,FALSE,"ALCO";"FUSITE",#N/A,FALSE,"FUSITE";"RIDGE",#N/A,FALSE,"RIDGE";"SPDWF",#N/A,FALSE,"SPDWF";"ACP",#N/A,FALSE,"ACP";"ISE",#N/A,FALSE,"ISE";"VA",#N/A,FALSE,"VA";"CLAIR",#N/A,FALSE,"CLAIR";"INTER",#N/A,FALSE,"INTER";"LLADDER",#N/A,FALSE,"LLADDER";"TOD",#N/A,FALSE,"TOD";"MALLORY",#N/A,FALSE,"MALLORY";"DAC",#N/A,FALSE,"DAC";"WIE APPL",#N/A,FALSE,"WIE APPL";"LIEBERT",#N/A,FALSE,"LIEBERT";"ASTEC",#N/A,FALSE,"ASTEC";"EMTRANS",#N/A,FALSE,"EMTRANS";"ELIMS",#N/A,FALSE,"ELIMS";"CORP",#N/A,FALSE,"CORP"}</definedName>
    <definedName name="wrn.Total._.Print." hidden="1">{#N/A,#N/A,TRUE,"Cover Sheet";#N/A,#N/A,TRUE,"Contents";#N/A,#N/A,TRUE,"Model Assumptions";#N/A,#N/A,TRUE,"Financial Assumptions";#N/A,#N/A,TRUE,"Scenarios";#N/A,#N/A,TRUE,"SensitivitiesPower";#N/A,#N/A,TRUE,"SensitivitiesGas";#N/A,#N/A,TRUE,"SensitivitiesWater";#N/A,#N/A,TRUE,"Fixed Cost allocation table";#N/A,#N/A,TRUE,"Historic balance sheet";#N/A,#N/A,TRUE,"Stadtwerke Comps";#N/A,#N/A,TRUE,"Electricity Comps";#N/A,#N/A,TRUE,"Gas Comps";#N/A,#N/A,TRUE,"Water Comps";#N/A,#N/A,TRUE,"DCFCoverPower";#N/A,#N/A,TRUE,"DCFOverviewPower";#N/A,#N/A,TRUE,"RevenuesPower";#N/A,#N/A,TRUE,"CostsPower";#N/A,#N/A,TRUE,"PlanPower";#N/A,#N/A,TRUE,"DCFPower";#N/A,#N/A,TRUE,"ValuePower";#N/A,#N/A,TRUE,"WaccPower";#N/A,#N/A,TRUE,"WaccCompPower";#N/A,#N/A,TRUE,"MatrixPower";#N/A,#N/A,TRUE,"DCFCoverGas";#N/A,#N/A,TRUE,"DCFOverviewGas";#N/A,#N/A,TRUE,"RevenuesGas";#N/A,#N/A,TRUE,"CostGas";#N/A,#N/A,TRUE,"PlanGas";#N/A,#N/A,TRUE,"DCFGas";#N/A,#N/A,TRUE,"ValueGas";#N/A,#N/A,TRUE,"WaccGas";#N/A,#N/A,TRUE,"WaccCompGas";#N/A,#N/A,TRUE,"MatrixGas";#N/A,#N/A,TRUE,"DCFCoverWater";#N/A,#N/A,TRUE,"DCFOverviewWater";#N/A,#N/A,TRUE,"RevenuesWater";#N/A,#N/A,TRUE,"CostWater";#N/A,#N/A,TRUE,"PlanWater";#N/A,#N/A,TRUE,"DCFWater";#N/A,#N/A,TRUE,"ValueWater";#N/A,#N/A,TRUE,"WaccWater";#N/A,#N/A,TRUE,"WaccWater";#N/A,#N/A,TRUE,"WaccCompWater";#N/A,#N/A,TRUE,"MatrixWater";#N/A,#N/A,TRUE,"DCFCoverVersorgung";#N/A,#N/A,TRUE,"DCFOverviewVersorgung";#N/A,#N/A,TRUE,"PlanVersorgung";#N/A,#N/A,TRUE,"DCFVersorgung";#N/A,#N/A,TRUE,"ValueVersorgung";#N/A,#N/A,TRUE,"WaccVersorgung";#N/A,#N/A,TRUE,"WaccCompVersorgung";#N/A,#N/A,TRUE,"MatrixVersorgung"}</definedName>
    <definedName name="wrn.trademark._.and._.trade._.name." hidden="1">{"trademark1",#N/A,FALSE,"Trademark(s) and Trade Name(s)"}</definedName>
    <definedName name="wrn.trball." hidden="1">{"trbcash",#N/A,FALSE,"INCPF";"trbinc",#N/A,FALSE,"INCPF";"trbchic",#N/A,FALSE,"INCPF";"trbadrev",#N/A,FALSE,"INCPF";"trbstns",#N/A,FALSE,"INCPF";"trbtvstns",#N/A,FALSE,"INCPF"}</definedName>
    <definedName name="wrn.Valuation._.Summaries." hidden="1">{#N/A,#N/A,FALSE,"Cover Sheet";#N/A,#N/A,FALSE,"Financial Assumptions";#N/A,#N/A,FALSE,"DCFOverviewPower";#N/A,#N/A,FALSE,"DCFOverviewGas";#N/A,#N/A,FALSE,"DCFOverviewWater";#N/A,#N/A,FALSE,"DCFOverviewVersorgung"}</definedName>
    <definedName name="wrn.vd." hidden="1">{#N/A,#N/A,TRUE,"BT M200 da 10x20"}</definedName>
    <definedName name="wrn.ventana." localSheetId="5" hidden="1">{#N/A,#N/A,FALSE,"Cash Flow";#N/A,#N/A,FALSE,"scenario 1"}</definedName>
    <definedName name="wrn.ventana." localSheetId="0" hidden="1">{#N/A,#N/A,FALSE,"Cash Flow";#N/A,#N/A,FALSE,"scenario 1"}</definedName>
    <definedName name="wrn.ventana." hidden="1">{#N/A,#N/A,FALSE,"Cash Flow";#N/A,#N/A,FALSE,"scenario 1"}</definedName>
    <definedName name="wrn.Versorgungs._.GmbH._.Data." hidden="1">{#N/A,#N/A,FALSE,"DCFCoverVersorgung";#N/A,#N/A,FALSE,"DCFOverviewVersorgung";#N/A,#N/A,FALSE,"PlanVersorgung";#N/A,#N/A,FALSE,"DCFVersorgung";#N/A,#N/A,FALSE,"ValueVersorgung";#N/A,#N/A,FALSE,"WaccVersorgung";#N/A,#N/A,FALSE,"WaccVersorgung";#N/A,#N/A,FALSE,"WaccCompVersorgung";#N/A,#N/A,FALSE,"MatrixVersorgung"}</definedName>
    <definedName name="wrn.Weekly._.Rxs." hidden="1">{#N/A,#N/A,TRUE,"Cover";#N/A,#N/A,TRUE,"WNRX Topline";#N/A,#N/A,TRUE,"WTRX Topline";#N/A,#N/A,TRUE,"CEDAX NRx";#N/A,#N/A,TRUE,"Key NRX";#N/A,#N/A,TRUE,"Key TRX"}</definedName>
    <definedName name="wrn.Weekly._.Scrap._.Report." hidden="1">{#N/A,#N/A,TRUE,"GEM Total";#N/A,#N/A,TRUE,"Final Assembly";#N/A,#N/A,TRUE,"Cleaning";#N/A,#N/A,TRUE,"Schooping,Clearing";#N/A,#N/A,TRUE,"Winding"}</definedName>
    <definedName name="wrn.work._.paper._.shcedules." hidden="1">{"summary1",#N/A,FALSE,"Summary of Values";"summary2",#N/A,FALSE,"Summary of Values";"weighted average returns",#N/A,FALSE,"WACC and WARA";"fixed asset detail",#N/A,FALSE,"Fixed Asset Detail"}</definedName>
    <definedName name="wrn.wpoall." hidden="1">{"wpocash",#N/A,FALSE,"WPOALLT";"wpoinc",#N/A,FALSE,"WPOALLT";"wpoexcl",#N/A,FALSE,"WPOALLT";"wpocable",#N/A,FALSE,"WPOALLT";"wpobroad",#N/A,FALSE,"WPOALLT";"wpopost",#N/A,FALSE,"WPOALLT";"wponwsweek",#N/A,FALSE,"WPOALLT"}</definedName>
    <definedName name="wrn.X140." hidden="1">{"page1",#N/A,FALSE,"X140withReclasses";"page2",#N/A,FALSE,"X140withReclasses";"page3",#N/A,FALSE,"X140withReclasses"}</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조흥94세무."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wrn.조흥축약94."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wrn.土地." hidden="1">{"土地",#N/A,FALSE,"土地建物"}</definedName>
    <definedName name="wrn.建物." hidden="1">{"建物",#N/A,FALSE,"土地建物"}</definedName>
    <definedName name="wrn1.brief" hidden="1">{#N/A,#N/A,TRUE,"Summary";#N/A,#N/A,TRUE,"Balance Sheet";#N/A,#N/A,TRUE,"P &amp; L";#N/A,#N/A,TRUE,"Fixed Assets";#N/A,#N/A,TRUE,"Cash Flows"}</definedName>
    <definedName name="wrn1.elaborate" hidden="1">{#N/A,#N/A,FALSE,"Cash Flows";#N/A,#N/A,FALSE,"Fixed Assets";#N/A,#N/A,FALSE,"Balance Sheet";#N/A,#N/A,FALSE,"P &amp; L"}</definedName>
    <definedName name="wrn1.repot" hidden="1">{#N/A,#N/A,FALSE,"Budget at a Glance";#N/A,#N/A,FALSE,"Receipts";#N/A,#N/A,FALSE,"Expenditure";#N/A,#N/A,FALSE,"Impact";#N/A,#N/A,FALSE,"Non-Durables";#N/A,#N/A,FALSE,"Durables";#N/A,#N/A,FALSE,"Cement";#N/A,#N/A,FALSE,"Power Cables";#N/A,#N/A,FALSE,"NFM";#N/A,#N/A,FALSE,"Auto";#N/A,#N/A,FALSE,"Auto1";#N/A,#N/A,FALSE,"Chemicals";#N/A,#N/A,FALSE,"Steel duty";#N/A,#N/A,FALSE,"Petrochemicals";#N/A,#N/A,FALSE,"Paper";#N/A,#N/A,FALSE,"Fibres";#N/A,#N/A,FALSE,"Tyre";#N/A,#N/A,FALSE,"Tyre1";#N/A,#N/A,FALSE,"Cotton (prices &amp; Duty)";#N/A,#N/A,FALSE,"Telecom Equipment";#N/A,#N/A,FALSE,"Cigarettes"}</definedName>
    <definedName name="wrn1.summary" hidden="1">{#N/A,#N/A,TRUE,"KEY DATA";#N/A,#N/A,TRUE,"KEY DATA Base Case";#N/A,#N/A,TRUE,"JULY";#N/A,#N/A,TRUE,"AUG";#N/A,#N/A,TRUE,"SEPT";#N/A,#N/A,TRUE,"3Q"}</definedName>
    <definedName name="wrn10.elaborate" hidden="1">{#N/A,#N/A,FALSE,"Cash Flows";#N/A,#N/A,FALSE,"Fixed Assets";#N/A,#N/A,FALSE,"Balance Sheet";#N/A,#N/A,FALSE,"P &amp; L"}</definedName>
    <definedName name="wrn2.brief" hidden="1">{#N/A,#N/A,TRUE,"Summary";#N/A,#N/A,TRUE,"Balance Sheet";#N/A,#N/A,TRUE,"P &amp; L";#N/A,#N/A,TRUE,"Fixed Assets";#N/A,#N/A,TRUE,"Cash Flows"}</definedName>
    <definedName name="wrn3.elaborate" hidden="1">{#N/A,#N/A,FALSE,"Cash Flows";#N/A,#N/A,FALSE,"Fixed Assets";#N/A,#N/A,FALSE,"Balance Sheet";#N/A,#N/A,FALSE,"P &amp; L"}</definedName>
    <definedName name="wrn5.brief" hidden="1">{#N/A,#N/A,TRUE,"Summary";#N/A,#N/A,TRUE,"Balance Sheet";#N/A,#N/A,TRUE,"P &amp; L";#N/A,#N/A,TRUE,"Fixed Assets";#N/A,#N/A,TRUE,"Cash Flows"}</definedName>
    <definedName name="wrn6.elaborate" hidden="1">{#N/A,#N/A,FALSE,"Cash Flows";#N/A,#N/A,FALSE,"Fixed Assets";#N/A,#N/A,FALSE,"Balance Sheet";#N/A,#N/A,FALSE,"P &amp; L"}</definedName>
    <definedName name="wrn7.brief" hidden="1">{#N/A,#N/A,TRUE,"Summary";#N/A,#N/A,TRUE,"Balance Sheet";#N/A,#N/A,TRUE,"P &amp; L";#N/A,#N/A,TRUE,"Fixed Assets";#N/A,#N/A,TRUE,"Cash Flows"}</definedName>
    <definedName name="wrn8.elaborate" hidden="1">{#N/A,#N/A,FALSE,"Cash Flows";#N/A,#N/A,FALSE,"Fixed Assets";#N/A,#N/A,FALSE,"Balance Sheet";#N/A,#N/A,FALSE,"P &amp; L"}</definedName>
    <definedName name="wrn9.brief" hidden="1">{#N/A,#N/A,TRUE,"Summary";#N/A,#N/A,TRUE,"Balance Sheet";#N/A,#N/A,TRUE,"P &amp; L";#N/A,#N/A,TRUE,"Fixed Assets";#N/A,#N/A,TRUE,"Cash Flows"}</definedName>
    <definedName name="wrnfulla" hidden="1">{#N/A,#N/A,TRUE,"Front";#N/A,#N/A,TRUE,"Simple Letter";#N/A,#N/A,TRUE,"Inside";#N/A,#N/A,TRUE,"Contents";#N/A,#N/A,TRUE,"Basis";#N/A,#N/A,TRUE,"Inclusions";#N/A,#N/A,TRUE,"Exclusions";#N/A,#N/A,TRUE,"Areas";#N/A,#N/A,TRUE,"Summary";#N/A,#N/A,TRUE,"Detail"}</definedName>
    <definedName name="wrttwr">'[21]#REF'!$A$133:$N$174</definedName>
    <definedName name="WW">#REF!</definedName>
    <definedName name="wwe" hidden="1">{#N/A,#N/A,TRUE,"KEY DATA";#N/A,#N/A,TRUE,"KEY DATA Base Case";#N/A,#N/A,TRUE,"JULY";#N/A,#N/A,TRUE,"AUG";#N/A,#N/A,TRUE,"SEPT";#N/A,#N/A,TRUE,"3Q"}</definedName>
    <definedName name="www">#REF!</definedName>
    <definedName name="wwwww" hidden="1">{#N/A,#N/A,FALSE,"12"}</definedName>
    <definedName name="WXC">#REF!</definedName>
    <definedName name="X980210_payment_printing_List">#REF!</definedName>
    <definedName name="xa" hidden="1">'[49]5'!#REF!</definedName>
    <definedName name="XAx" hidden="1">{#N/A,#N/A,FALSE,"COMP"}</definedName>
    <definedName name="xb" hidden="1">'[23]F-4'!#REF!</definedName>
    <definedName name="xba" hidden="1">'[23]F-4'!#REF!</definedName>
    <definedName name="xd" hidden="1">'[49]5'!#REF!</definedName>
    <definedName name="xdfghdfxhg">#REF!</definedName>
    <definedName name="Xl">#REF!</definedName>
    <definedName name="Xl___0">#REF!</definedName>
    <definedName name="Xl___13">#REF!</definedName>
    <definedName name="XPRREV">'[12]#REF'!#REF!</definedName>
    <definedName name="XPRREV2">'[12]#REF'!#REF!</definedName>
    <definedName name="XPRRTMS">'[12]#REF'!#REF!</definedName>
    <definedName name="XPRYLD">'[12]#REF'!#REF!</definedName>
    <definedName name="XREF_13" hidden="1">[90]Additions!$T$1:$T$65536</definedName>
    <definedName name="XREF_COLUMN_1" hidden="1">#REF!</definedName>
    <definedName name="XREF_COLUMN_10" hidden="1">#REF!</definedName>
    <definedName name="XREF_COLUMN_11" hidden="1">'[91]Inventory Count Sheet '!#REF!</definedName>
    <definedName name="XREF_COLUMN_12" hidden="1">'[91]Inventory Count Sheet '!#REF!</definedName>
    <definedName name="XREF_COLUMN_13" hidden="1">'[91]Inventory Count Sheet '!#REF!</definedName>
    <definedName name="XREF_COLUMN_14" hidden="1">#REF!</definedName>
    <definedName name="XREF_COLUMN_15" hidden="1">[92]Consolidated!#REF!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'[93]FA Schedule'!#REF!</definedName>
    <definedName name="XREF_COLUMN_21" hidden="1">[93]Analytical!#REF!</definedName>
    <definedName name="XREF_COLUMN_22" hidden="1">[93]Analytical!#REF!</definedName>
    <definedName name="XREF_COLUMN_24" hidden="1">#REF!</definedName>
    <definedName name="XREF_COLUMN_25" hidden="1">#REF!</definedName>
    <definedName name="XREF_COLUMN_28" hidden="1">'[94]TAB 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1" hidden="1">7</definedName>
    <definedName name="XREF17" hidden="1">[90]Summary!$E$31</definedName>
    <definedName name="XRefActiveRow" hidden="1">#REF!</definedName>
    <definedName name="XRefColumnsCount" hidden="1">2</definedName>
    <definedName name="XRefCopy1" hidden="1">#REF!</definedName>
    <definedName name="XRefCopy10" hidden="1">#REF!</definedName>
    <definedName name="XRefCopy100Row" hidden="1">#REF!</definedName>
    <definedName name="XRefCopy101Row" hidden="1">#REF!</definedName>
    <definedName name="XRefCopy102Row" hidden="1">#REF!</definedName>
    <definedName name="XRefCopy103Row" hidden="1">#REF!</definedName>
    <definedName name="XRefCopy104Row" hidden="1">#REF!</definedName>
    <definedName name="XRefCopy105Row" hidden="1">#REF!</definedName>
    <definedName name="XRefCopy106Row" hidden="1">#REF!</definedName>
    <definedName name="XRefCopy107Row" hidden="1">#REF!</definedName>
    <definedName name="XRefCopy108Row" hidden="1">#REF!</definedName>
    <definedName name="XRefCopy109Row" hidden="1">#REF!</definedName>
    <definedName name="XRefCopy10Row" hidden="1">#REF!</definedName>
    <definedName name="XRefCopy11" hidden="1">#REF!</definedName>
    <definedName name="XRefCopy110Row"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'[95]5.Crs. TB'!#REF!</definedName>
    <definedName name="XRefCopy16Row" hidden="1">[95]XREF!#REF!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[96]XREF!#REF!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'[91]Inventory Count Sheet '!#REF!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[97]XREF!#REF!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[98]XREF!#REF!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6Row" hidden="1">[93]XREF!#REF!</definedName>
    <definedName name="XRefCopy88Row" hidden="1">#REF!</definedName>
    <definedName name="XRefCopy89Row" hidden="1">#REF!</definedName>
    <definedName name="XRefCopy8Row" hidden="1">#REF!</definedName>
    <definedName name="XRefCopy9" hidden="1">#REF!</definedName>
    <definedName name="XRefCopy90Row" hidden="1">#REF!</definedName>
    <definedName name="XRefCopy91Row" hidden="1">#REF!</definedName>
    <definedName name="XRefCopy92Row" hidden="1">#REF!</definedName>
    <definedName name="XRefCopy93Row" hidden="1">#REF!</definedName>
    <definedName name="XRefCopy94Row" hidden="1">#REF!</definedName>
    <definedName name="XRefCopy95Row" hidden="1">#REF!</definedName>
    <definedName name="XRefCopy96Row" hidden="1">#REF!</definedName>
    <definedName name="XRefCopy97Row" hidden="1">#REF!</definedName>
    <definedName name="XRefCopy98Row" hidden="1">#REF!</definedName>
    <definedName name="XRefCopy99Row" hidden="1">#REF!</definedName>
    <definedName name="XRefCopy9Row" hidden="1">#REF!</definedName>
    <definedName name="XRefCopyRangeCount" hidden="1">2</definedName>
    <definedName name="XRefPaste1" hidden="1">#REF!</definedName>
    <definedName name="XRefPaste10" hidden="1">#REF!</definedName>
    <definedName name="XRefPaste100Row" hidden="1">#REF!</definedName>
    <definedName name="XRefPaste101Row" hidden="1">#REF!</definedName>
    <definedName name="XRefPaste102Row" hidden="1">#REF!</definedName>
    <definedName name="XRefPaste103Row" hidden="1">#REF!</definedName>
    <definedName name="XRefPaste104Row" hidden="1">#REF!</definedName>
    <definedName name="XRefPaste105Row" hidden="1">#REF!</definedName>
    <definedName name="XRefPaste106Row" hidden="1">#REF!</definedName>
    <definedName name="XRefPaste107Row" hidden="1">#REF!</definedName>
    <definedName name="XRefPaste108Row" hidden="1">#REF!</definedName>
    <definedName name="XRefPaste109Row" hidden="1">#REF!</definedName>
    <definedName name="XRefPaste10Row" hidden="1">#REF!</definedName>
    <definedName name="XRefPaste11" hidden="1">#REF!</definedName>
    <definedName name="XRefPaste110Row" hidden="1">#REF!</definedName>
    <definedName name="XRefPaste111Row" hidden="1">#REF!</definedName>
    <definedName name="XRefPaste112Row" hidden="1">#REF!</definedName>
    <definedName name="XRefPaste113Row" hidden="1">#REF!</definedName>
    <definedName name="XRefPaste114Row" hidden="1">#REF!</definedName>
    <definedName name="XRefPaste115Row" hidden="1">#REF!</definedName>
    <definedName name="XRefPaste116Row" hidden="1">#REF!</definedName>
    <definedName name="XRefPaste117Row" hidden="1">#REF!</definedName>
    <definedName name="XRefPaste118Row" hidden="1">#REF!</definedName>
    <definedName name="XRefPaste119Row" hidden="1">#REF!</definedName>
    <definedName name="XRefPaste11Row" hidden="1">#REF!</definedName>
    <definedName name="XRefPaste12" hidden="1">#REF!</definedName>
    <definedName name="XRefPaste120Row" hidden="1">#REF!</definedName>
    <definedName name="XRefPaste121Row" hidden="1">#REF!</definedName>
    <definedName name="XRefPaste122Row" hidden="1">#REF!</definedName>
    <definedName name="XRefPaste123Row" hidden="1">#REF!</definedName>
    <definedName name="XRefPaste124Row" hidden="1">#REF!</definedName>
    <definedName name="XRefPaste125Row" hidden="1">#REF!</definedName>
    <definedName name="XRefPaste126Row" hidden="1">#REF!</definedName>
    <definedName name="XRefPaste127Row" hidden="1">#REF!</definedName>
    <definedName name="XRefPaste128Row" hidden="1">#REF!</definedName>
    <definedName name="XRefPaste129Row" hidden="1">#REF!</definedName>
    <definedName name="XRefPaste12Row" hidden="1">#REF!</definedName>
    <definedName name="XRefPaste13" hidden="1">#REF!</definedName>
    <definedName name="XRefPaste130Row" hidden="1">#REF!</definedName>
    <definedName name="XRefPaste131Row" hidden="1">#REF!</definedName>
    <definedName name="XRefPaste132Row" hidden="1">#REF!</definedName>
    <definedName name="XRefPaste133Row" hidden="1">#REF!</definedName>
    <definedName name="XRefPaste134Row" hidden="1">#REF!</definedName>
    <definedName name="XRefPaste135Row" hidden="1">#REF!</definedName>
    <definedName name="XRefPaste13Row" hidden="1">#REF!</definedName>
    <definedName name="XRefPaste14" hidden="1">#REF!</definedName>
    <definedName name="XRefPaste143" hidden="1">#REF!</definedName>
    <definedName name="XRefPaste145" hidden="1">#REF!</definedName>
    <definedName name="XRefPaste145Row" hidden="1">#REF!</definedName>
    <definedName name="XRefPaste146" hidden="1">#REF!</definedName>
    <definedName name="XRefPaste146Row" hidden="1">#REF!</definedName>
    <definedName name="XRefPaste147" hidden="1">#REF!</definedName>
    <definedName name="XRefPaste147Row" hidden="1">#REF!</definedName>
    <definedName name="XRefPaste148" hidden="1">#REF!</definedName>
    <definedName name="XRefPaste148Row" hidden="1">#REF!</definedName>
    <definedName name="XRefPaste14Row" hidden="1">#REF!</definedName>
    <definedName name="XRefPaste15" hidden="1">#REF!</definedName>
    <definedName name="XRefPaste157" hidden="1">[93]Analytical!#REF!</definedName>
    <definedName name="XRefPaste157Row" hidden="1">#REF!</definedName>
    <definedName name="XRefPaste15Row" hidden="1">#REF!</definedName>
    <definedName name="XRefPaste16" hidden="1">#REF!</definedName>
    <definedName name="XRefPaste160" hidden="1">[93]Analytical!#REF!</definedName>
    <definedName name="XRefPaste160Row" hidden="1">[99]XREF!#REF!</definedName>
    <definedName name="XRefPaste164" hidden="1">#REF!</definedName>
    <definedName name="XRefPaste164Row" hidden="1">[99]XREF!#REF!</definedName>
    <definedName name="XRefPaste165" hidden="1">#REF!</definedName>
    <definedName name="XRefPaste165Row" hidden="1">[99]XREF!#REF!</definedName>
    <definedName name="XRefPaste166" hidden="1">#REF!</definedName>
    <definedName name="XRefPaste166Row" hidden="1">[99]XREF!#REF!</definedName>
    <definedName name="XRefPaste167" hidden="1">#REF!</definedName>
    <definedName name="XRefPaste167Row" hidden="1">[99]XREF!#REF!</definedName>
    <definedName name="XRefPaste168" hidden="1">#REF!</definedName>
    <definedName name="XRefPaste168Row" hidden="1">[99]XREF!#REF!</definedName>
    <definedName name="XRefPaste169" hidden="1">[93]Analytical!#REF!</definedName>
    <definedName name="XRefPaste169Row" hidden="1">[99]XREF!#REF!</definedName>
    <definedName name="XRefPaste16Row" hidden="1">#REF!</definedName>
    <definedName name="XRefPaste17" hidden="1">#REF!</definedName>
    <definedName name="XRefPaste170" hidden="1">#REF!</definedName>
    <definedName name="XRefPaste170Row" hidden="1">[99]XREF!#REF!</definedName>
    <definedName name="XRefPaste171" hidden="1">#REF!</definedName>
    <definedName name="XRefPaste171Row" hidden="1">[99]XREF!#REF!</definedName>
    <definedName name="XRefPaste172Row" hidden="1">#REF!</definedName>
    <definedName name="XRefPaste173Row" hidden="1">#REF!</definedName>
    <definedName name="XRefPaste174" hidden="1">'[93]FA Schedule'!#REF!</definedName>
    <definedName name="XRefPaste174Row" hidden="1">#REF!</definedName>
    <definedName name="XRefPaste175Row" hidden="1">#REF!</definedName>
    <definedName name="XRefPaste176Row" hidden="1">#REF!</definedName>
    <definedName name="XRefPaste177" hidden="1">[93]Analytical!#REF!</definedName>
    <definedName name="XRefPaste177Row" hidden="1">#REF!</definedName>
    <definedName name="XRefPaste178" hidden="1">[93]Analytical!#REF!</definedName>
    <definedName name="XRefPaste178Row" hidden="1">#REF!</definedName>
    <definedName name="XRefPaste179" hidden="1">[93]Analytical!#REF!</definedName>
    <definedName name="XRefPaste179Row" hidden="1">#REF!</definedName>
    <definedName name="XRefPaste17Row" hidden="1">#REF!</definedName>
    <definedName name="XRefPaste18" hidden="1">#REF!</definedName>
    <definedName name="XRefPaste180" hidden="1">[93]Analytical!#REF!</definedName>
    <definedName name="XRefPaste180Row" hidden="1">#REF!</definedName>
    <definedName name="XRefPaste181" hidden="1">[93]Analytical!#REF!</definedName>
    <definedName name="XRefPaste181Row" hidden="1">#REF!</definedName>
    <definedName name="XRefPaste182" hidden="1">[93]Analytical!#REF!</definedName>
    <definedName name="XRefPaste182Row" hidden="1">#REF!</definedName>
    <definedName name="XRefPaste183" hidden="1">[93]Analytical!#REF!</definedName>
    <definedName name="XRefPaste183Row" hidden="1">#REF!</definedName>
    <definedName name="XRefPaste184" hidden="1">#REF!</definedName>
    <definedName name="XRefPaste184Row"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[96]XREF!#REF!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[53]XREF!#REF!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'[91]Inventory Count Sheet '!#REF!</definedName>
    <definedName name="XRefPaste35Row" hidden="1">#REF!</definedName>
    <definedName name="XRefPaste36" hidden="1">'[91]Inventory Count Sheet '!#REF!</definedName>
    <definedName name="XRefPaste36Row" hidden="1">#REF!</definedName>
    <definedName name="XRefPaste37" hidden="1">'[91]Inventory Count Sheet '!#REF!</definedName>
    <definedName name="XRefPaste37Row" hidden="1">#REF!</definedName>
    <definedName name="XRefPaste38" hidden="1">'[91]Inventory Count Sheet '!#REF!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Row" hidden="1">#REF!</definedName>
    <definedName name="XRefPaste46Row" hidden="1">#REF!</definedName>
    <definedName name="XRefPaste47" hidden="1">'[94]2.Control Sheet'!#REF!</definedName>
    <definedName name="XRefPaste47Row" hidden="1">#REF!</definedName>
    <definedName name="XRefPaste48Row" hidden="1">#REF!</definedName>
    <definedName name="XRefPaste49Row" hidden="1">#REF!</definedName>
    <definedName name="XRefPaste4Row" hidden="1">#REF!</definedName>
    <definedName name="XRefPaste5" hidden="1">#REF!</definedName>
    <definedName name="XRefPaste50Row"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Row" hidden="1">#REF!</definedName>
    <definedName name="XRefPaste58Row" hidden="1">#REF!</definedName>
    <definedName name="XRefPaste59Row" hidden="1">#REF!</definedName>
    <definedName name="XRefPaste5Row" hidden="1">[98]XREF!#REF!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5Row" hidden="1">#REF!</definedName>
    <definedName name="XRefPaste66Row" hidden="1">#REF!</definedName>
    <definedName name="XRefPaste67Row" hidden="1">#REF!</definedName>
    <definedName name="XRefPaste68Row" hidden="1">#REF!</definedName>
    <definedName name="XRefPaste69Row" hidden="1">#REF!</definedName>
    <definedName name="XRefPaste6Row" hidden="1">#REF!</definedName>
    <definedName name="XRefPaste7" hidden="1">#REF!</definedName>
    <definedName name="XRefPaste70Row" hidden="1">#REF!</definedName>
    <definedName name="XRefPaste71Row" hidden="1">#REF!</definedName>
    <definedName name="XRefPaste72Row" hidden="1">#REF!</definedName>
    <definedName name="XRefPaste73Row" hidden="1">#REF!</definedName>
    <definedName name="XRefPaste74Row" hidden="1">#REF!</definedName>
    <definedName name="XRefPaste76Row" hidden="1">#REF!</definedName>
    <definedName name="XRefPaste77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#REF!</definedName>
    <definedName name="XRefPaste90Row" hidden="1">#REF!</definedName>
    <definedName name="XRefPaste91Row" hidden="1">#REF!</definedName>
    <definedName name="XRefPaste92Row" hidden="1">#REF!</definedName>
    <definedName name="XRefPaste93Row" hidden="1">#REF!</definedName>
    <definedName name="XRefPaste94Row" hidden="1">#REF!</definedName>
    <definedName name="XRefPaste95Row" hidden="1">#REF!</definedName>
    <definedName name="XRefPaste96Row" hidden="1">#REF!</definedName>
    <definedName name="XRefPaste97Row" hidden="1">#REF!</definedName>
    <definedName name="XRefPaste98Row" hidden="1">#REF!</definedName>
    <definedName name="XRefPaste99Row" hidden="1">#REF!</definedName>
    <definedName name="XRefPaste9Row" hidden="1">#REF!</definedName>
    <definedName name="XRefPasteRangeCount" hidden="1">2</definedName>
    <definedName name="XSCAS" hidden="1">{#N/A,#N/A,FALSE,"COMP"}</definedName>
    <definedName name="xsxa" hidden="1">{"'Sheet1'!$A$4386:$N$4591"}</definedName>
    <definedName name="XVCVZX" localSheetId="5" hidden="1">{#N/A,#N/A,FALSE,"Summary";#N/A,#N/A,FALSE,"CF";#N/A,#N/A,FALSE,"P&amp;L";#N/A,#N/A,FALSE,"BS";#N/A,#N/A,FALSE,"Returns";#N/A,#N/A,FALSE,"Assumptions";#N/A,#N/A,FALSE,"Analysis"}</definedName>
    <definedName name="XVCVZX" localSheetId="0" hidden="1">{#N/A,#N/A,FALSE,"Summary";#N/A,#N/A,FALSE,"CF";#N/A,#N/A,FALSE,"P&amp;L";#N/A,#N/A,FALSE,"BS";#N/A,#N/A,FALSE,"Returns";#N/A,#N/A,FALSE,"Assumptions";#N/A,#N/A,FALSE,"Analysis"}</definedName>
    <definedName name="XVCVZX" hidden="1">{#N/A,#N/A,FALSE,"Summary";#N/A,#N/A,FALSE,"CF";#N/A,#N/A,FALSE,"P&amp;L";#N/A,#N/A,FALSE,"BS";#N/A,#N/A,FALSE,"Returns";#N/A,#N/A,FALSE,"Assumptions";#N/A,#N/A,FALSE,"Analysis"}</definedName>
    <definedName name="xx">#REF!</definedName>
    <definedName name="xxnn" hidden="1">{#N/A,#N/A,FALSE,"Balance Sheets";#N/A,#N/A,FALSE,"96 Conservative";#N/A,#N/A,FALSE,"96 Possible"}</definedName>
    <definedName name="xxx">#REF!</definedName>
    <definedName name="xxxx">#REF!</definedName>
    <definedName name="xxxxxx" hidden="1">{#N/A,#N/A,TRUE,"GEM Total";#N/A,#N/A,TRUE,"Final Assembly";#N/A,#N/A,TRUE,"Cleaning";#N/A,#N/A,TRUE,"Schooping,Clearing";#N/A,#N/A,TRUE,"Winding"}</definedName>
    <definedName name="xxxxxxxx">MATCH(0.01,End_Bal,-1)+1</definedName>
    <definedName name="xxxxxxxxxx" hidden="1">{#N/A,#N/A,TRUE,"KEY DATA";#N/A,#N/A,TRUE,"KEY DATA Base Case";#N/A,#N/A,TRUE,"JULY";#N/A,#N/A,TRUE,"AUG";#N/A,#N/A,TRUE,"SEPT";#N/A,#N/A,TRUE,"3Q"}</definedName>
    <definedName name="xxxxxxxxxxxx" hidden="1">{#N/A,#N/A,TRUE,"KEY DATA";#N/A,#N/A,TRUE,"KEY DATA Base Case";#N/A,#N/A,TRUE,"JULY";#N/A,#N/A,TRUE,"AUG";#N/A,#N/A,TRUE,"SEPT";#N/A,#N/A,TRUE,"3Q"}</definedName>
    <definedName name="xxxxxxxxxxxxx" hidden="1">{#N/A,#N/A,TRUE,"KEY DATA";#N/A,#N/A,TRUE,"KEY DATA Base Case";#N/A,#N/A,TRUE,"JULY";#N/A,#N/A,TRUE,"AUG";#N/A,#N/A,TRUE,"SEPT";#N/A,#N/A,TRUE,"3Q"}</definedName>
    <definedName name="xxxxxxxxxxxxxx" hidden="1">{#N/A,#N/A,TRUE,"GEM Total";#N/A,#N/A,TRUE,"Final Assembly";#N/A,#N/A,TRUE,"Cleaning";#N/A,#N/A,TRUE,"Schooping,Clearing";#N/A,#N/A,TRUE,"Winding"}</definedName>
    <definedName name="xxxxxxxxxxxxxxx" hidden="1">{#N/A,#N/A,TRUE,"KEY DATA";#N/A,#N/A,TRUE,"KEY DATA Base Case";#N/A,#N/A,TRUE,"JULY";#N/A,#N/A,TRUE,"AUG";#N/A,#N/A,TRUE,"SEPT";#N/A,#N/A,TRUE,"3Q"}</definedName>
    <definedName name="xxxxxxxxxxxxxxxx" hidden="1">{#N/A,#N/A,TRUE,"GEM Total";#N/A,#N/A,TRUE,"Final Assembly";#N/A,#N/A,TRUE,"Cleaning";#N/A,#N/A,TRUE,"Schooping,Clearing";#N/A,#N/A,TRUE,"Winding"}</definedName>
    <definedName name="xxxxxxxxxxxxxxxxx" hidden="1">{#N/A,#N/A,FALSE,"Assessment";#N/A,#N/A,FALSE,"Staffing";#N/A,#N/A,FALSE,"Hires";#N/A,#N/A,FALSE,"Assumptions"}</definedName>
    <definedName name="xy">#N/A</definedName>
    <definedName name="xyz"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xz" hidden="1">'[23]F-4'!#REF!</definedName>
    <definedName name="y">'[21]#REF'!$A$1:$AF$150</definedName>
    <definedName name="YEN">#REF!</definedName>
    <definedName name="yes" hidden="1">{#N/A,#N/A,TRUE,"Front";#N/A,#N/A,TRUE,"Simple Letter";#N/A,#N/A,TRUE,"Inside";#N/A,#N/A,TRUE,"Contents";#N/A,#N/A,TRUE,"Basis";#N/A,#N/A,TRUE,"Inclusions";#N/A,#N/A,TRUE,"Exclusions";#N/A,#N/A,TRUE,"Areas";#N/A,#N/A,TRUE,"Summary";#N/A,#N/A,TRUE,"Detail"}</definedName>
    <definedName name="yetyte">[21]Sheet1!$B$2:$O$39</definedName>
    <definedName name="yktyk" hidden="1">{#N/A,#N/A,FALSE,"Assessment";#N/A,#N/A,FALSE,"Staffing";#N/A,#N/A,FALSE,"Hires";#N/A,#N/A,FALSE,"Assumptions"}</definedName>
    <definedName name="yrh" hidden="1">{#N/A,#N/A,FALSE,"Aging Summary";#N/A,#N/A,FALSE,"Ratio Analysis";#N/A,#N/A,FALSE,"Test 120 Day Accts";#N/A,#N/A,FALSE,"Tickmarks"}</definedName>
    <definedName name="ys">#REF!</definedName>
    <definedName name="ysr" hidden="1">{#N/A,#N/A,FALSE,"COVER.XLS";#N/A,#N/A,FALSE,"RACT1.XLS";#N/A,#N/A,FALSE,"RACT2.XLS";#N/A,#N/A,FALSE,"ECCMP";#N/A,#N/A,FALSE,"WELDER.XLS"}</definedName>
    <definedName name="YTDPlanEast">'[56]FTE Totals_Plan'!#REF!</definedName>
    <definedName name="YTDPlanWest">'[56]FTE Totals_Plan'!#REF!</definedName>
    <definedName name="yteytw">'[21]Consumer Fraud'!$A$1:$AF$73</definedName>
    <definedName name="ytkyt" hidden="1">{#N/A,#N/A,FALSE,"Assessment";#N/A,#N/A,FALSE,"Staffing";#N/A,#N/A,FALSE,"Hires";#N/A,#N/A,FALSE,"Assumptions"}</definedName>
    <definedName name="yty">#REF!</definedName>
    <definedName name="yu">'[21]#REF'!$A$176:$N$217</definedName>
    <definedName name="yuoiuoio">'[21]#REF'!$A$1:$P$113</definedName>
    <definedName name="yuuyi">'[21]#REF'!$A$1:$AF$113</definedName>
    <definedName name="yy" localSheetId="5" hidden="1">{#N/A,#N/A,FALSE,"963YR";#N/A,#N/A,FALSE,"mkt mix";#N/A,#N/A,FALSE,"sect 5";#N/A,#N/A,FALSE,"sect 6";#N/A,#N/A,FALSE,"csh";#N/A,#N/A,FALSE,"capx";#N/A,#N/A,FALSE,"bal sheet"}</definedName>
    <definedName name="yy" localSheetId="0" hidden="1">{#N/A,#N/A,FALSE,"963YR";#N/A,#N/A,FALSE,"mkt mix";#N/A,#N/A,FALSE,"sect 5";#N/A,#N/A,FALSE,"sect 6";#N/A,#N/A,FALSE,"csh";#N/A,#N/A,FALSE,"capx";#N/A,#N/A,FALSE,"bal sheet"}</definedName>
    <definedName name="yy" hidden="1">{#N/A,#N/A,FALSE,"963YR";#N/A,#N/A,FALSE,"mkt mix";#N/A,#N/A,FALSE,"sect 5";#N/A,#N/A,FALSE,"sect 6";#N/A,#N/A,FALSE,"csh";#N/A,#N/A,FALSE,"capx";#N/A,#N/A,FALSE,"bal sheet"}</definedName>
    <definedName name="yyyyyyyyyyyyyyyyyyyr" hidden="1">{#N/A,#N/A,FALSE,"Assessment";#N/A,#N/A,FALSE,"Staffing";#N/A,#N/A,FALSE,"Hires";#N/A,#N/A,FALSE,"Assumptions"}</definedName>
    <definedName name="z" localSheetId="5" hidden="1">{#N/A,#N/A,FALSE,"One Pager";#N/A,#N/A,FALSE,"Technical"}</definedName>
    <definedName name="z" localSheetId="0" hidden="1">{#N/A,#N/A,FALSE,"One Pager";#N/A,#N/A,FALSE,"Technical"}</definedName>
    <definedName name="z" hidden="1">{#N/A,#N/A,FALSE,"One Pager";#N/A,#N/A,FALSE,"Technical"}</definedName>
    <definedName name="Z_151C847C_F869_11D1_B680_00A02416AF98_.wvu.PrintTitles" hidden="1">'[100]19-PERF'!$B$1:$B$65536,'[100]19-PERF'!$A$1:$IV$4</definedName>
    <definedName name="Z_26F1B120_222F_11D7_91EB_0050BA7F1DA7_.wvu.FilterData" hidden="1">#REF!</definedName>
    <definedName name="Z_57060C6B_3840_44C0_ACAD_828F15D1BF48_.wvu.FilterData">#REF!</definedName>
    <definedName name="Z_57060C6B_3840_44C0_ACAD_828F15D1BF48_.wvu.FilterData_10">NA()</definedName>
    <definedName name="Z_57060C6B_3840_44C0_ACAD_828F15D1BF48_.wvu.FilterData_2">NA()</definedName>
    <definedName name="Z_57060C6B_3840_44C0_ACAD_828F15D1BF48_.wvu.FilterData_3">NA()</definedName>
    <definedName name="Z_57060C6B_3840_44C0_ACAD_828F15D1BF48_.wvu.FilterData_4">NA()</definedName>
    <definedName name="Z_57060C6B_3840_44C0_ACAD_828F15D1BF48_.wvu.FilterData_5">NA()</definedName>
    <definedName name="Z_57060C6B_3840_44C0_ACAD_828F15D1BF48_.wvu.FilterData_6">NA()</definedName>
    <definedName name="Z_57060C6B_3840_44C0_ACAD_828F15D1BF48_.wvu.FilterData_7">NA()</definedName>
    <definedName name="Z_57060C6B_3840_44C0_ACAD_828F15D1BF48_.wvu.FilterData_9">NA()</definedName>
    <definedName name="Z_57060C6B_3840_44C0_ACAD_828F15D1BF48_.wvu.PrintArea">#REF!</definedName>
    <definedName name="Z_57060C6B_3840_44C0_ACAD_828F15D1BF48_.wvu.PrintArea_10">NA()</definedName>
    <definedName name="Z_57060C6B_3840_44C0_ACAD_828F15D1BF48_.wvu.PrintArea_2">NA()</definedName>
    <definedName name="Z_57060C6B_3840_44C0_ACAD_828F15D1BF48_.wvu.PrintArea_3">NA()</definedName>
    <definedName name="Z_57060C6B_3840_44C0_ACAD_828F15D1BF48_.wvu.PrintArea_4">NA()</definedName>
    <definedName name="Z_57060C6B_3840_44C0_ACAD_828F15D1BF48_.wvu.PrintArea_5">NA()</definedName>
    <definedName name="Z_57060C6B_3840_44C0_ACAD_828F15D1BF48_.wvu.PrintArea_6">NA()</definedName>
    <definedName name="Z_57060C6B_3840_44C0_ACAD_828F15D1BF48_.wvu.PrintArea_7">NA()</definedName>
    <definedName name="Z_57060C6B_3840_44C0_ACAD_828F15D1BF48_.wvu.PrintArea_9">NA()</definedName>
    <definedName name="Z_57060C6B_3840_44C0_ACAD_828F15D1BF48_.wvu.PrintTitles">#REF!</definedName>
    <definedName name="Z_57060C6B_3840_44C0_ACAD_828F15D1BF48_.wvu.PrintTitles_10">NA()</definedName>
    <definedName name="Z_57060C6B_3840_44C0_ACAD_828F15D1BF48_.wvu.PrintTitles_2">NA()</definedName>
    <definedName name="Z_57060C6B_3840_44C0_ACAD_828F15D1BF48_.wvu.PrintTitles_3">NA()</definedName>
    <definedName name="Z_57060C6B_3840_44C0_ACAD_828F15D1BF48_.wvu.PrintTitles_4">NA()</definedName>
    <definedName name="Z_57060C6B_3840_44C0_ACAD_828F15D1BF48_.wvu.PrintTitles_5">NA()</definedName>
    <definedName name="Z_57060C6B_3840_44C0_ACAD_828F15D1BF48_.wvu.PrintTitles_6">NA()</definedName>
    <definedName name="Z_57060C6B_3840_44C0_ACAD_828F15D1BF48_.wvu.PrintTitles_7">NA()</definedName>
    <definedName name="Z_57060C6B_3840_44C0_ACAD_828F15D1BF48_.wvu.PrintTitles_9">NA()</definedName>
    <definedName name="Z_57060C6B_3840_44C0_ACAD_828F15D1BF48_.wvu.Rows_10">NA()</definedName>
    <definedName name="Z_57060C6B_3840_44C0_ACAD_828F15D1BF48_.wvu.Rows_2">NA()</definedName>
    <definedName name="Z_57060C6B_3840_44C0_ACAD_828F15D1BF48_.wvu.Rows_3">NA()</definedName>
    <definedName name="Z_57060C6B_3840_44C0_ACAD_828F15D1BF48_.wvu.Rows_4">NA()</definedName>
    <definedName name="Z_57060C6B_3840_44C0_ACAD_828F15D1BF48_.wvu.Rows_5">NA()</definedName>
    <definedName name="Z_57060C6B_3840_44C0_ACAD_828F15D1BF48_.wvu.Rows_6">NA()</definedName>
    <definedName name="Z_57060C6B_3840_44C0_ACAD_828F15D1BF48_.wvu.Rows_7">NA()</definedName>
    <definedName name="Z_57060C6B_3840_44C0_ACAD_828F15D1BF48_.wvu.Rows_9">NA()</definedName>
    <definedName name="Z_7DD39381_ED83_4F65_A47C_F73712E5C615_.wvu.FilterData">#REF!</definedName>
    <definedName name="Z_7DD39381_ED83_4F65_A47C_F73712E5C615_.wvu.FilterData_10">NA()</definedName>
    <definedName name="Z_7DD39381_ED83_4F65_A47C_F73712E5C615_.wvu.FilterData_2">NA()</definedName>
    <definedName name="Z_7DD39381_ED83_4F65_A47C_F73712E5C615_.wvu.FilterData_3">NA()</definedName>
    <definedName name="Z_7DD39381_ED83_4F65_A47C_F73712E5C615_.wvu.FilterData_4">NA()</definedName>
    <definedName name="Z_7DD39381_ED83_4F65_A47C_F73712E5C615_.wvu.FilterData_5">NA()</definedName>
    <definedName name="Z_7DD39381_ED83_4F65_A47C_F73712E5C615_.wvu.FilterData_6">NA()</definedName>
    <definedName name="Z_7DD39381_ED83_4F65_A47C_F73712E5C615_.wvu.FilterData_7">NA()</definedName>
    <definedName name="Z_7DD39381_ED83_4F65_A47C_F73712E5C615_.wvu.FilterData_9">NA()</definedName>
    <definedName name="Z_7DD39381_ED83_4F65_A47C_F73712E5C615_.wvu.PrintArea">#REF!</definedName>
    <definedName name="Z_7DD39381_ED83_4F65_A47C_F73712E5C615_.wvu.PrintArea_10">NA()</definedName>
    <definedName name="Z_7DD39381_ED83_4F65_A47C_F73712E5C615_.wvu.PrintArea_2">NA()</definedName>
    <definedName name="Z_7DD39381_ED83_4F65_A47C_F73712E5C615_.wvu.PrintArea_3">NA()</definedName>
    <definedName name="Z_7DD39381_ED83_4F65_A47C_F73712E5C615_.wvu.PrintArea_4">NA()</definedName>
    <definedName name="Z_7DD39381_ED83_4F65_A47C_F73712E5C615_.wvu.PrintArea_5">NA()</definedName>
    <definedName name="Z_7DD39381_ED83_4F65_A47C_F73712E5C615_.wvu.PrintArea_6">NA()</definedName>
    <definedName name="Z_7DD39381_ED83_4F65_A47C_F73712E5C615_.wvu.PrintArea_7">NA()</definedName>
    <definedName name="Z_7DD39381_ED83_4F65_A47C_F73712E5C615_.wvu.PrintArea_9">NA()</definedName>
    <definedName name="Z_7DD39381_ED83_4F65_A47C_F73712E5C615_.wvu.PrintTitles">#REF!</definedName>
    <definedName name="Z_7DD39381_ED83_4F65_A47C_F73712E5C615_.wvu.PrintTitles_10">NA()</definedName>
    <definedName name="Z_7DD39381_ED83_4F65_A47C_F73712E5C615_.wvu.PrintTitles_2">NA()</definedName>
    <definedName name="Z_7DD39381_ED83_4F65_A47C_F73712E5C615_.wvu.PrintTitles_3">NA()</definedName>
    <definedName name="Z_7DD39381_ED83_4F65_A47C_F73712E5C615_.wvu.PrintTitles_4">NA()</definedName>
    <definedName name="Z_7DD39381_ED83_4F65_A47C_F73712E5C615_.wvu.PrintTitles_5">NA()</definedName>
    <definedName name="Z_7DD39381_ED83_4F65_A47C_F73712E5C615_.wvu.PrintTitles_6">NA()</definedName>
    <definedName name="Z_7DD39381_ED83_4F65_A47C_F73712E5C615_.wvu.PrintTitles_7">NA()</definedName>
    <definedName name="Z_7DD39381_ED83_4F65_A47C_F73712E5C615_.wvu.PrintTitles_9">NA()</definedName>
    <definedName name="Z_7DD39381_ED83_4F65_A47C_F73712E5C615_.wvu.Rows_10">NA()</definedName>
    <definedName name="Z_7DD39381_ED83_4F65_A47C_F73712E5C615_.wvu.Rows_2">NA()</definedName>
    <definedName name="Z_7DD39381_ED83_4F65_A47C_F73712E5C615_.wvu.Rows_3">NA()</definedName>
    <definedName name="Z_7DD39381_ED83_4F65_A47C_F73712E5C615_.wvu.Rows_4">NA()</definedName>
    <definedName name="Z_7DD39381_ED83_4F65_A47C_F73712E5C615_.wvu.Rows_5">NA()</definedName>
    <definedName name="Z_7DD39381_ED83_4F65_A47C_F73712E5C615_.wvu.Rows_6">NA()</definedName>
    <definedName name="Z_7DD39381_ED83_4F65_A47C_F73712E5C615_.wvu.Rows_7">NA()</definedName>
    <definedName name="Z_7DD39381_ED83_4F65_A47C_F73712E5C615_.wvu.Rows_9">NA()</definedName>
    <definedName name="Z_7E36D645_AFB8_11D4_88AD_00D0B77161F9_.wvu.Cols" hidden="1">[101]Snapshot!$D$1:$D$65536,[101]Snapshot!$F$1:$F$65536,[101]Snapshot!$K$1:$K$65536,[101]Snapshot!$N$1:$N$65536</definedName>
    <definedName name="Z_81B49422_B94B_11D7_8BE4_000795ABF7ED_.wvu.FilterData" hidden="1">#REF!</definedName>
    <definedName name="Z_F39DBBB1_88AE_11D5_84DA_00104B2313AA_.wvu.Cols" hidden="1">[101]Snapshot!$D$1:$D$65536,[101]Snapshot!$F$1:$F$65536,[101]Snapshot!$K$1:$K$65536,[101]Snapshot!$N$1:$N$65536</definedName>
    <definedName name="Za">#REF!</definedName>
    <definedName name="Zb">#REF!</definedName>
    <definedName name="Zc">#REF!</definedName>
    <definedName name="Ze">#REF!</definedName>
    <definedName name="zep"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zero" localSheetId="5" hidden="1">{"Output%",#N/A,FALSE,"Output"}</definedName>
    <definedName name="zero" localSheetId="0" hidden="1">{"Output%",#N/A,FALSE,"Output"}</definedName>
    <definedName name="zero" hidden="1">{"Output%",#N/A,FALSE,"Output"}</definedName>
    <definedName name="Zf">#REF!</definedName>
    <definedName name="Zg">#REF!</definedName>
    <definedName name="Zins_Garantee">#REF!</definedName>
    <definedName name="Zins_Monat">#REF!</definedName>
    <definedName name="Zinz_ÖKB">#REF!</definedName>
    <definedName name="Zip1" hidden="1">{#N/A,#N/A,TRUE,"Front";#N/A,#N/A,TRUE,"Simple Letter";#N/A,#N/A,TRUE,"Inside";#N/A,#N/A,TRUE,"Contents";#N/A,#N/A,TRUE,"Basis";#N/A,#N/A,TRUE,"Inclusions";#N/A,#N/A,TRUE,"Exclusions";#N/A,#N/A,TRUE,"Areas";#N/A,#N/A,TRUE,"Summary";#N/A,#N/A,TRUE,"Detail"}</definedName>
    <definedName name="zitd">#REF!</definedName>
    <definedName name="zitd_16">#REF!</definedName>
    <definedName name="zitd_17">#REF!</definedName>
    <definedName name="zitd_18">#REF!</definedName>
    <definedName name="zitd_19">#REF!</definedName>
    <definedName name="zitd_4">#REF!</definedName>
    <definedName name="zitd_5">#REF!</definedName>
    <definedName name="zitd_6">#REF!</definedName>
    <definedName name="zitd_7">#REF!</definedName>
    <definedName name="zitd_8">#REF!</definedName>
    <definedName name="zitd_9">#REF!</definedName>
    <definedName name="zl">#REF!</definedName>
    <definedName name="zl___0">#REF!</definedName>
    <definedName name="zl___13">#REF!</definedName>
    <definedName name="zlpu">#REF!</definedName>
    <definedName name="zlpu___0">#REF!</definedName>
    <definedName name="zlpu___13">#REF!</definedName>
    <definedName name="zs">#REF!</definedName>
    <definedName name="zs___0">#REF!</definedName>
    <definedName name="zs___13">#REF!</definedName>
    <definedName name="zspu">#REF!</definedName>
    <definedName name="zspu___0">#REF!</definedName>
    <definedName name="zspu___13">#REF!</definedName>
    <definedName name="ZSS">#REF!</definedName>
    <definedName name="ZSS___0">#REF!</definedName>
    <definedName name="ZSS___13">#REF!</definedName>
    <definedName name="ztpu">#REF!</definedName>
    <definedName name="ztpu___0">#REF!</definedName>
    <definedName name="ztpu___13">#REF!</definedName>
    <definedName name="ZY">#REF!</definedName>
    <definedName name="ZY___0">#REF!</definedName>
    <definedName name="ZY___13">#REF!</definedName>
    <definedName name="zz">#REF!</definedName>
    <definedName name="zzz">#REF!</definedName>
    <definedName name="zzz_7">#REF!</definedName>
    <definedName name="ZZZZZZZZZZZZZZ" hidden="1">#REF!</definedName>
    <definedName name="건가new" hidden="1">{#N/A,#N/A,FALSE,"BS";#N/A,#N/A,FALSE,"PL";#N/A,#N/A,FALSE,"처분";#N/A,#N/A,FALSE,"현금";#N/A,#N/A,FALSE,"매출";#N/A,#N/A,FALSE,"원가";#N/A,#N/A,FALSE,"경영"}</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hidden="1">{#N/A,#N/A,FALSE,"BS";#N/A,#N/A,FALSE,"PL";#N/A,#N/A,FALSE,"처분";#N/A,#N/A,FALSE,"현금";#N/A,#N/A,FALSE,"매출";#N/A,#N/A,FALSE,"원가";#N/A,#N/A,FALSE,"경영"}</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hidden="1">{#N/A,#N/A,FALSE,"BS";#N/A,#N/A,FALSE,"PL";#N/A,#N/A,FALSE,"처분";#N/A,#N/A,FALSE,"현금";#N/A,#N/A,FALSE,"매출";#N/A,#N/A,FALSE,"원가";#N/A,#N/A,FALSE,"경영"}</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매출" hidden="1">'[102]업무분장 '!$F$45</definedName>
    <definedName name="매출toc" hidden="1">'[102]업무분장 '!$F$45</definedName>
    <definedName name="별지66" hidden="1">{#N/A,#N/A,TRUE,"표지";#N/A,#N/A,TRUE,"총괄표";#N/A,#N/A,TRUE,"1호 과표세액";#N/A,#N/A,TRUE,"2호 서식";#N/A,#N/A,TRUE,"3(1) 부3 세액조정";#N/A,#N/A,TRUE,"임시투자공제";#N/A,#N/A,TRUE,"조8호 기술인력";#N/A,#N/A,TRUE,"3(1)부7 기업합리";#N/A,#N/A,TRUE,"3(3)호(갑) 원천납부";#N/A,#N/A,TRUE,"6호 소득금액";#N/A,#N/A,TRUE,"6호 첨부(익)";#N/A,#N/A,TRUE,"6호 첨부(손)";#N/A,#N/A,TRUE,"6-1호 수입금액";#N/A,#N/A,TRUE,"6-2(4)호 해외시장";#N/A,#N/A,TRUE,"6-2(12)호 수출손실";#N/A,#N/A,TRUE,"6-3호 퇴충";#N/A,#N/A,TRUE,"6-3(3)호 단퇴";#N/A,#N/A,TRUE,"6-3(4)호 대손";#N/A,#N/A,TRUE,"6-4호 접대(갑)";#N/A,#N/A,TRUE,"6-4호 접대(을)";#N/A,#N/A,TRUE,"6-5호 외화(갑)";#N/A,#N/A,TRUE,"6-5호 외화(을)";#N/A,#N/A,TRUE,"6-6호(부표) 자본적지출";#N/A,#N/A,TRUE,"6-10호 재고자산";#N/A,#N/A,TRUE,"6-11호 세금과공과";#N/A,#N/A,TRUE,"6-12호 선급비용";#N/A,#N/A,TRUE,"6-13호 기부금";#N/A,#N/A,TRUE,"6-14호 부동산보유";#N/A,#N/A,TRUE,"8호 기부금조정";#N/A,#N/A,TRUE,"9호 자본금(갑)";#N/A,#N/A,TRUE,"9호 자본금(을)";#N/A,#N/A,TRUE,"10(3)호 주요계정";#N/A,#N/A,TRUE,"10(3)호 부표";#N/A,#N/A,TRUE,"10(4)호 조정수입";#N/A,#N/A,TRUE,"14(1)호 갑 주식";#N/A,#N/A,TRUE,"요약 BS";#N/A,#N/A,TRUE,"요약 PL";#N/A,#N/A,TRUE,"요약원가";#N/A,#N/A,TRUE,"요약RE"}</definedName>
    <definedName name="손익계산서"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아ㅏㅏ" hidden="1">#REF!</definedName>
    <definedName name="안" hidden="1">[103]공통!$F$45</definedName>
    <definedName name="이쁘니" hidden="1">{#N/A,#N/A,TRUE,"일반적사항";#N/A,#N/A,TRUE,"주요재무자료";#N/A,#N/A,TRUE,"표지";#N/A,#N/A,TRUE,"총괄표";#N/A,#N/A,TRUE,"1호 과표세액";#N/A,#N/A,TRUE,"2호 서식";#N/A,#N/A,TRUE,"2호부표 최저한세";#N/A,#N/A,TRUE,"3(1)호 공제감면";#N/A,#N/A,TRUE,"3(1) 부1 공제감면";#N/A,#N/A,TRUE,"3(1) 부2 공제감면";#N/A,#N/A,TRUE,"3(1) 부3 세액조정";#N/A,#N/A,TRUE,"3(1)부7 기업합리";#N/A,#N/A,TRUE,"3(3)호(갑) 원천납부";#N/A,#N/A,TRUE,"4호 특별부가";#N/A,#N/A,TRUE,"5호 농어촌";#N/A,#N/A,TRUE,"5호2 농감면(갑)";#N/A,#N/A,TRUE,"5호2 농감면(을)";#N/A,#N/A,TRUE,"6호 소득금액";#N/A,#N/A,TRUE,"6호 첨부(익)";#N/A,#N/A,TRUE,"6호 첨부(손)";#N/A,#N/A,TRUE,"6-1호 수입금액";#N/A,#N/A,TRUE,"6-2(7)호 해외투자";#N/A,#N/A,TRUE,"6-3호 퇴충";#N/A,#N/A,TRUE,"6-3(3)호 단퇴";#N/A,#N/A,TRUE,"6-3(4)호 대손";#N/A,#N/A,TRUE,"6-4호 접대(갑)";#N/A,#N/A,TRUE,"6-4호 접대(을)";#N/A,#N/A,TRUE,"감가총괄표";#N/A,#N/A,TRUE,"6-6(3)호 감가(정율)";#N/A,#N/A,TRUE,"6-6호(부표) 자본적지출";#N/A,#N/A,TRUE,"6-10호 재고자산";#N/A,#N/A,TRUE,"6-11호 세금과공과";#N/A,#N/A,TRUE,"6-12호 선급비용";#N/A,#N/A,TRUE,"6-13호 기부금";#N/A,#N/A,TRUE,"기부1";#N/A,#N/A,TRUE,"기부2";#N/A,#N/A,TRUE,"8호 기부금조정";#N/A,#N/A,TRUE,"9호 자본금(갑)";#N/A,#N/A,TRUE,"9호 자본금(을)";#N/A,#N/A,TRUE,"10(3)호 주요계정";#N/A,#N/A,TRUE,"10(3)호 부표";#N/A,#N/A,TRUE,"10(4)호 조정수입";#N/A,#N/A,TRUE,"14(1)호 갑 주식";#N/A,#N/A,TRUE,"59호 해외특수";#N/A,#N/A,TRUE,"요약 BS";#N/A,#N/A,TRUE,"요약 PL";#N/A,#N/A,TRUE,"요약RE";#N/A,#N/A,TRUE,"조8호 기술인력";#N/A,#N/A,TRUE,"국공채감면";#N/A,#N/A,TRUE,"전기수정";#N/A,#N/A,TRUE,"퇴충명세";#N/A,#N/A,TRUE,"적금모집권유비";#N/A,#N/A,TRUE,"해외투자현황";#N/A,#N/A,TRUE,"외화감면";#N/A,#N/A,TRUE,"offshore";#N/A,#N/A,TRUE,"대손상각등명세"}</definedName>
    <definedName name="전체">#REF!</definedName>
    <definedName name="총괄표"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ㅏ나앙" hidden="1">{#N/A,#N/A,FALSE,"1호 과표세액";#N/A,#N/A,FALSE,"2호 서식";#N/A,#N/A,FALSE,"2호부표 최저한세";#N/A,#N/A,FALSE,"5호 농어촌";#N/A,#N/A,FALSE,"6호 소득금액";#N/A,#N/A,FALSE,"6호 첨부(익)";#N/A,#N/A,FALSE,"6호 첨부(손)";#N/A,#N/A,FALSE,"6-1호 수입금액";#N/A,#N/A,FALSE,"6-2(7)호 해외투자";#N/A,#N/A,FALSE,"6-3호 퇴충";#N/A,#N/A,FALSE,"6-3(3)호 단퇴";#N/A,#N/A,FALSE,"6-3(4)호 대손";#N/A,#N/A,FALSE,"6-4호 접대(갑)";#N/A,#N/A,FALSE,"6-4호 접대(을)";#N/A,#N/A,FALSE,"9호 자본금(갑)";#N/A,#N/A,FALSE,"9호 자본금(을)";#N/A,#N/A,FALSE,"조8호 기술인력";#N/A,#N/A,FALSE,"국공채감면";#N/A,#N/A,FALSE,"전기수정";#N/A,#N/A,FALSE,"퇴충명세";#N/A,#N/A,FALSE,"적금모집권유비";#N/A,#N/A,FALSE,"해외투자현황";#N/A,#N/A,FALSE,"외화감면";#N/A,#N/A,FALSE,"대손상각등명세"}</definedName>
    <definedName name="ㅏ앙" hidden="1">{#N/A,#N/A,FALSE,"1호 과표세액";#N/A,#N/A,FALSE,"2호 서식";#N/A,#N/A,FALSE,"3(1)부7 기업합리";#N/A,#N/A,FALSE,"6호 소득금액";#N/A,#N/A,FALSE,"6호 첨부(익)";#N/A,#N/A,FALSE,"6호 첨부(손)";#N/A,#N/A,FALSE,"6-1호 수입금액";#N/A,#N/A,FALSE,"6-3(4)호 대손";#N/A,#N/A,FALSE,"6-3호 퇴충";#N/A,#N/A,FALSE,"6-3(3)호 단퇴";#N/A,#N/A,FALSE,"6-3(4)호 대손";#N/A,#N/A,FALSE,"6-4호 접대(갑)";#N/A,#N/A,FALSE,"6-4호 접대(을)";#N/A,#N/A,FALSE,"6-5호 외화(갑)";#N/A,#N/A,FALSE,"6-5호 외화(을)";#N/A,#N/A,FALSE,"6-11호 세금과공과";#N/A,#N/A,FALSE,"6-13호 기부금";#N/A,#N/A,FALSE,"8호 기부금조정";#N/A,#N/A,FALSE,"9호 자본금(갑)";#N/A,#N/A,FALSE,"9호 자본금(을)";#N/A,#N/A,FALSE,"10(3)호 주요계정";#N/A,#N/A,FALSE,"10(3)호 부표";#N/A,#N/A,FALSE,"요약 PL";#N/A,#N/A,FALSE,"10(4)호 조정수입";#N/A,#N/A,FALSE,"14(1)호 갑 주식"}</definedName>
    <definedName name="ㅓㅗㅓㅗㅓㅗ" hidden="1">[104]현금흐름표!$F$45</definedName>
    <definedName name="土建" hidden="1">{"'照明目录'!$A$1:$H$31"}</definedName>
    <definedName name="土建2" hidden="1">{"'照明目录'!$A$1:$H$31"}</definedName>
    <definedName name="好听" hidden="1">{"'照明目录'!$A$1:$H$31"}</definedName>
    <definedName name="才了" hidden="1">{"'照明目录'!$A$1:$H$31"}</definedName>
    <definedName name="掛率">#REF!</definedName>
    <definedName name="春" hidden="1">{"'照明目录'!$A$1:$H$31"}</definedName>
    <definedName name="汇编" hidden="1">{"'照明目录'!$A$1:$H$31"}</definedName>
    <definedName name="汇编1" hidden="1">{"'照明目录'!$A$1:$H$31"}</definedName>
    <definedName name="石膏破碎及输送" hidden="1">{"'照明目录'!$A$1:$H$31"}</definedName>
    <definedName name="自动空气开关" hidden="1">{"'照明目录'!$A$1:$H$31"}</definedName>
    <definedName name="阿嫂" hidden="1">{"'照明目录'!$A$1:$H$31"}</definedName>
    <definedName name="阿瑟" hidden="1">{"'照明目录'!$A$1:$H$31"}</definedName>
    <definedName name="随机配套" hidden="1">{"'照明目录'!$A$1:$H$31"}</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6" i="34" l="1"/>
  <c r="H6" i="42"/>
  <c r="K6" i="42"/>
  <c r="L6" i="42"/>
  <c r="M6" i="42"/>
  <c r="N6" i="42"/>
  <c r="O6" i="42"/>
  <c r="P6" i="42"/>
  <c r="Q6" i="42"/>
  <c r="R6" i="42"/>
  <c r="S6" i="42"/>
  <c r="T6" i="42"/>
  <c r="U6" i="42"/>
  <c r="V6" i="42"/>
  <c r="W6" i="42"/>
  <c r="K4" i="30"/>
  <c r="C77" i="42"/>
  <c r="C74" i="42"/>
  <c r="C67" i="42"/>
  <c r="C70" i="42"/>
  <c r="R64" i="42"/>
  <c r="Q64" i="42"/>
  <c r="P64" i="42"/>
  <c r="O64" i="42"/>
  <c r="N64" i="42"/>
  <c r="M64" i="42"/>
  <c r="L64" i="42"/>
  <c r="K64" i="42"/>
  <c r="J64" i="42"/>
  <c r="I64" i="42"/>
  <c r="H64" i="42"/>
  <c r="G64" i="42"/>
  <c r="F64" i="42"/>
  <c r="E64" i="42"/>
  <c r="D64" i="42"/>
  <c r="C64" i="42"/>
  <c r="B11" i="30"/>
  <c r="B28" i="30"/>
  <c r="C27" i="31"/>
  <c r="D27" i="31"/>
  <c r="E27"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AT27"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BU27" i="31"/>
  <c r="BV27" i="31"/>
  <c r="BW27" i="31"/>
  <c r="BX27" i="31"/>
  <c r="BY27" i="31"/>
  <c r="BZ27" i="31"/>
  <c r="CA27" i="31"/>
  <c r="CB27" i="31"/>
  <c r="CC27" i="31"/>
  <c r="CD27" i="31"/>
  <c r="CE27" i="31"/>
  <c r="CF27" i="31"/>
  <c r="CG27" i="31"/>
  <c r="CH27" i="31"/>
  <c r="CI27" i="31"/>
  <c r="CJ27" i="31"/>
  <c r="CK27" i="31"/>
  <c r="CL27" i="31"/>
  <c r="CM27" i="31"/>
  <c r="CN27" i="31"/>
  <c r="CO27" i="31"/>
  <c r="CP27" i="31"/>
  <c r="CQ27" i="31"/>
  <c r="CR27" i="31"/>
  <c r="CS27" i="31"/>
  <c r="CT27" i="31"/>
  <c r="CU27" i="31"/>
  <c r="CV27" i="31"/>
  <c r="CW27" i="31"/>
  <c r="CX27" i="31"/>
  <c r="CY27" i="31"/>
  <c r="CZ27" i="31"/>
  <c r="DA27" i="31"/>
  <c r="DB27" i="31"/>
  <c r="DC27" i="31"/>
  <c r="DD27" i="31"/>
  <c r="DE27" i="31"/>
  <c r="DF27" i="31"/>
  <c r="DG27" i="31"/>
  <c r="DH27" i="31"/>
  <c r="DI27" i="31"/>
  <c r="DJ27" i="31"/>
  <c r="DK27" i="31"/>
  <c r="DL27" i="31"/>
  <c r="DM27" i="31"/>
  <c r="DN27" i="31"/>
  <c r="DO27" i="31"/>
  <c r="DP27" i="31"/>
  <c r="DQ27" i="31"/>
  <c r="DR27" i="31"/>
  <c r="DS27" i="31"/>
  <c r="DT27" i="31"/>
  <c r="DU27" i="31"/>
  <c r="DV27" i="31"/>
  <c r="DW27" i="31"/>
  <c r="DX27" i="31"/>
  <c r="DY27" i="31"/>
  <c r="DZ27" i="31"/>
  <c r="EA27" i="31"/>
  <c r="EB27" i="31"/>
  <c r="EC27" i="31"/>
  <c r="ED27" i="31"/>
  <c r="EE27" i="31"/>
  <c r="EF27" i="31"/>
  <c r="EG27" i="31"/>
  <c r="EH27" i="31"/>
  <c r="EI27" i="31"/>
  <c r="EJ27" i="31"/>
  <c r="EK27" i="31"/>
  <c r="EL27" i="31"/>
  <c r="EM27" i="31"/>
  <c r="EN27" i="31"/>
  <c r="EO27" i="31"/>
  <c r="EP27" i="31"/>
  <c r="EQ27" i="31"/>
  <c r="ER27" i="31"/>
  <c r="ES27" i="31"/>
  <c r="ET27" i="31"/>
  <c r="EU27" i="31"/>
  <c r="EV27" i="31"/>
  <c r="EW27" i="31"/>
  <c r="EX27" i="31"/>
  <c r="EY27" i="31"/>
  <c r="EZ27" i="31"/>
  <c r="FA27" i="31"/>
  <c r="FB27" i="31"/>
  <c r="FC27" i="31"/>
  <c r="FD27" i="31"/>
  <c r="FE27" i="31"/>
  <c r="FF27" i="31"/>
  <c r="FG27" i="31"/>
  <c r="FH27" i="31"/>
  <c r="FI27" i="31"/>
  <c r="FJ27" i="31"/>
  <c r="FK27" i="31"/>
  <c r="FL27" i="31"/>
  <c r="FM27" i="31"/>
  <c r="FN27" i="31"/>
  <c r="FO27" i="31"/>
  <c r="FP27" i="31"/>
  <c r="FQ27" i="31"/>
  <c r="FR27" i="31"/>
  <c r="FS27" i="31"/>
  <c r="FT27" i="31"/>
  <c r="FU27" i="31"/>
  <c r="FV27" i="31"/>
  <c r="FW27" i="31"/>
  <c r="FX27" i="31"/>
  <c r="FY27" i="31"/>
  <c r="FZ27" i="31"/>
  <c r="GA27" i="31"/>
  <c r="GB27" i="31"/>
  <c r="GC27" i="31"/>
  <c r="GD27" i="31"/>
  <c r="GE27" i="31"/>
  <c r="GF27" i="31"/>
  <c r="GG27" i="31"/>
  <c r="GH27" i="31"/>
  <c r="GI27" i="31"/>
  <c r="GJ27" i="31"/>
  <c r="GK27" i="31"/>
  <c r="GL27" i="31"/>
  <c r="GM27" i="31"/>
  <c r="GN27" i="31"/>
  <c r="GO27" i="31"/>
  <c r="GP27" i="31"/>
  <c r="GQ27" i="31"/>
  <c r="GR27" i="31"/>
  <c r="GS27" i="31"/>
  <c r="GT27" i="31"/>
  <c r="GU27" i="31"/>
  <c r="GV27" i="31"/>
  <c r="GW27" i="31"/>
  <c r="GX27" i="31"/>
  <c r="GY27" i="31"/>
  <c r="GZ27" i="31"/>
  <c r="HA27" i="31"/>
  <c r="HB27" i="31"/>
  <c r="HC27" i="31"/>
  <c r="HD27" i="31"/>
  <c r="HE27" i="31"/>
  <c r="HF27" i="31"/>
  <c r="HG27" i="31"/>
  <c r="HH27" i="31"/>
  <c r="HI27" i="31"/>
  <c r="HJ27" i="31"/>
  <c r="HK27" i="31"/>
  <c r="HL27" i="31"/>
  <c r="HM27" i="31"/>
  <c r="HN27" i="31"/>
  <c r="HO27" i="31"/>
  <c r="HP27" i="31"/>
  <c r="HQ27" i="31"/>
  <c r="HR27" i="31"/>
  <c r="HS27" i="31"/>
  <c r="HT27" i="31"/>
  <c r="HU27" i="31"/>
  <c r="HV27" i="31"/>
  <c r="HW27" i="31"/>
  <c r="HX27" i="31"/>
  <c r="HY27" i="31"/>
  <c r="HZ27" i="31"/>
  <c r="IA27" i="31"/>
  <c r="IB27" i="31"/>
  <c r="IC27" i="31"/>
  <c r="ID27" i="31"/>
  <c r="IE27" i="31"/>
  <c r="IF27" i="31"/>
  <c r="IG27" i="31"/>
  <c r="IH27" i="31"/>
  <c r="II27" i="31"/>
  <c r="IJ27" i="31"/>
  <c r="IK27" i="31"/>
  <c r="IL27" i="31"/>
  <c r="IM27" i="31"/>
  <c r="IN27" i="31"/>
  <c r="IO27" i="31"/>
  <c r="IP27" i="31"/>
  <c r="IQ27" i="31"/>
  <c r="IR27" i="31"/>
  <c r="IS27" i="31"/>
  <c r="IT27" i="31"/>
  <c r="IU27" i="31"/>
  <c r="IV27" i="31"/>
  <c r="IW27" i="31"/>
  <c r="IX27" i="31"/>
  <c r="IY27" i="31"/>
  <c r="IZ27" i="31"/>
  <c r="JA27" i="31"/>
  <c r="JB27" i="31"/>
  <c r="JC27" i="31"/>
  <c r="JD27" i="31"/>
  <c r="JE27" i="31"/>
  <c r="JF27" i="31"/>
  <c r="JG27" i="31"/>
  <c r="JH27" i="31"/>
  <c r="JI27" i="31"/>
  <c r="JJ27" i="31"/>
  <c r="JK27" i="31"/>
  <c r="JL27" i="31"/>
  <c r="JM27" i="31"/>
  <c r="JN27" i="31"/>
  <c r="JO27" i="31"/>
  <c r="JP27" i="31" l="1"/>
  <c r="A41" i="17" l="1"/>
  <c r="A40" i="17"/>
  <c r="A39" i="17"/>
  <c r="A38" i="17"/>
  <c r="A37" i="17"/>
  <c r="A32" i="17"/>
  <c r="A31" i="17"/>
  <c r="A30" i="17"/>
  <c r="A29" i="17"/>
  <c r="A28" i="17"/>
  <c r="W69" i="42"/>
  <c r="D95" i="1" l="1"/>
  <c r="D94" i="1"/>
  <c r="D93" i="1"/>
  <c r="D92" i="1"/>
  <c r="D91" i="1"/>
  <c r="D90" i="1"/>
  <c r="B15" i="1" l="1"/>
  <c r="M29" i="1"/>
  <c r="M30" i="1" s="1"/>
  <c r="M31" i="1" s="1"/>
  <c r="M32" i="1" s="1"/>
  <c r="C94" i="42" l="1"/>
  <c r="C95" i="42" s="1"/>
  <c r="C96" i="42" l="1"/>
  <c r="C97" i="42" s="1"/>
  <c r="C98" i="42" s="1"/>
  <c r="C99" i="42" s="1"/>
  <c r="C100" i="42" s="1"/>
  <c r="C101" i="42" s="1"/>
  <c r="C102" i="42" s="1"/>
  <c r="C103" i="42" s="1"/>
  <c r="C104" i="42" s="1"/>
  <c r="C105" i="42" s="1"/>
  <c r="C106" i="42" s="1"/>
  <c r="C107" i="42" s="1"/>
  <c r="C108" i="42" s="1"/>
  <c r="C109" i="42" s="1"/>
  <c r="C110" i="42" s="1"/>
  <c r="C111" i="42" s="1"/>
  <c r="C112" i="42" s="1"/>
  <c r="B97" i="42"/>
  <c r="B98" i="42" s="1"/>
  <c r="B99" i="42" s="1"/>
  <c r="B100" i="42" s="1"/>
  <c r="B101" i="42" s="1"/>
  <c r="B102" i="42" s="1"/>
  <c r="B103" i="42" s="1"/>
  <c r="B104" i="42" s="1"/>
  <c r="B105" i="42" s="1"/>
  <c r="B106" i="42" s="1"/>
  <c r="B107" i="42" s="1"/>
  <c r="B108" i="42" s="1"/>
  <c r="B109" i="42" s="1"/>
  <c r="B110" i="42" s="1"/>
  <c r="B111" i="42" s="1"/>
  <c r="B112" i="42" s="1"/>
  <c r="E9" i="20" l="1"/>
  <c r="D37" i="34" l="1"/>
  <c r="D5" i="35"/>
  <c r="V118" i="41" l="1"/>
  <c r="V117" i="41"/>
  <c r="V116" i="41"/>
  <c r="U115" i="41"/>
  <c r="T115" i="41"/>
  <c r="S115" i="41"/>
  <c r="R115" i="41"/>
  <c r="Q115" i="41"/>
  <c r="P115" i="41"/>
  <c r="O115" i="41"/>
  <c r="N115" i="41"/>
  <c r="M115" i="41"/>
  <c r="L115" i="41"/>
  <c r="K115" i="41"/>
  <c r="J115" i="41"/>
  <c r="I115" i="41"/>
  <c r="H115" i="41"/>
  <c r="G115" i="41"/>
  <c r="F115" i="41"/>
  <c r="E115" i="41"/>
  <c r="D115" i="41"/>
  <c r="C25" i="30" l="1"/>
  <c r="C26" i="30" s="1"/>
  <c r="C6" i="30"/>
  <c r="D16" i="20"/>
  <c r="M28" i="1"/>
  <c r="U71" i="42" l="1"/>
  <c r="W70" i="42"/>
  <c r="G43" i="1"/>
  <c r="C17" i="30" s="1"/>
  <c r="W71" i="42" l="1"/>
  <c r="E23" i="30"/>
  <c r="D23" i="30"/>
  <c r="C23" i="30"/>
  <c r="H24" i="30"/>
  <c r="K24" i="30" s="1"/>
  <c r="N24" i="30" s="1"/>
  <c r="Q24" i="30" s="1"/>
  <c r="T24" i="30" s="1"/>
  <c r="W24" i="30" s="1"/>
  <c r="Z24" i="30" s="1"/>
  <c r="AC24" i="30" s="1"/>
  <c r="AF24" i="30" s="1"/>
  <c r="AI24" i="30" s="1"/>
  <c r="AL24" i="30" s="1"/>
  <c r="AO24" i="30" s="1"/>
  <c r="AR24" i="30" s="1"/>
  <c r="AU24" i="30" s="1"/>
  <c r="AX24" i="30" s="1"/>
  <c r="BA24" i="30" s="1"/>
  <c r="BD24" i="30" s="1"/>
  <c r="BG24" i="30" s="1"/>
  <c r="BJ24" i="30" s="1"/>
  <c r="BM24" i="30" s="1"/>
  <c r="BP24" i="30" s="1"/>
  <c r="BS24" i="30" s="1"/>
  <c r="BV24" i="30" s="1"/>
  <c r="BY24" i="30" s="1"/>
  <c r="CB24" i="30" s="1"/>
  <c r="CE24" i="30" s="1"/>
  <c r="CH24" i="30" s="1"/>
  <c r="CK24" i="30" s="1"/>
  <c r="CN24" i="30" s="1"/>
  <c r="CQ24" i="30" s="1"/>
  <c r="CT24" i="30" s="1"/>
  <c r="CW24" i="30" s="1"/>
  <c r="CZ24" i="30" s="1"/>
  <c r="DC24" i="30" s="1"/>
  <c r="DF24" i="30" s="1"/>
  <c r="DI24" i="30" s="1"/>
  <c r="DL24" i="30" s="1"/>
  <c r="DO24" i="30" s="1"/>
  <c r="DR24" i="30" s="1"/>
  <c r="DU24" i="30" s="1"/>
  <c r="DX24" i="30" s="1"/>
  <c r="EA24" i="30" s="1"/>
  <c r="G24" i="30"/>
  <c r="J24" i="30" s="1"/>
  <c r="M24" i="30" s="1"/>
  <c r="P24" i="30" s="1"/>
  <c r="S24" i="30" s="1"/>
  <c r="S23" i="30" s="1"/>
  <c r="F24" i="30"/>
  <c r="F23" i="30" s="1"/>
  <c r="W73" i="42" l="1"/>
  <c r="K69" i="42" s="1"/>
  <c r="M23" i="30"/>
  <c r="I24" i="30"/>
  <c r="L24" i="30" s="1"/>
  <c r="AC23" i="30"/>
  <c r="T23" i="30"/>
  <c r="AR23" i="30"/>
  <c r="BP23" i="30"/>
  <c r="CW23" i="30"/>
  <c r="DU23" i="30"/>
  <c r="N23" i="30"/>
  <c r="AL23" i="30"/>
  <c r="BJ23" i="30"/>
  <c r="CH23" i="30"/>
  <c r="DF23" i="30"/>
  <c r="DL23" i="30"/>
  <c r="G23" i="30"/>
  <c r="W23" i="30"/>
  <c r="AU23" i="30"/>
  <c r="BS23" i="30"/>
  <c r="CQ23" i="30"/>
  <c r="DO23" i="30"/>
  <c r="DX23" i="30"/>
  <c r="ED24" i="30"/>
  <c r="EA23" i="30"/>
  <c r="H23" i="30"/>
  <c r="P23" i="30"/>
  <c r="AF23" i="30"/>
  <c r="BD23" i="30"/>
  <c r="CB23" i="30"/>
  <c r="CZ23" i="30"/>
  <c r="Q23" i="30"/>
  <c r="BM23" i="30"/>
  <c r="CK23" i="30"/>
  <c r="DI23" i="30"/>
  <c r="BA23" i="30"/>
  <c r="I23" i="30"/>
  <c r="AO23" i="30"/>
  <c r="V24" i="30"/>
  <c r="J23" i="30"/>
  <c r="Z23" i="30"/>
  <c r="AX23" i="30"/>
  <c r="BV23" i="30"/>
  <c r="CT23" i="30"/>
  <c r="DR23" i="30"/>
  <c r="CN23" i="30"/>
  <c r="BY23" i="30"/>
  <c r="K23" i="30"/>
  <c r="AI23" i="30"/>
  <c r="BG23" i="30"/>
  <c r="CE23" i="30"/>
  <c r="DC23" i="30"/>
  <c r="D49" i="1"/>
  <c r="M69" i="42" l="1"/>
  <c r="H69" i="42"/>
  <c r="I69" i="42"/>
  <c r="F69" i="42"/>
  <c r="O69" i="42"/>
  <c r="P69" i="42"/>
  <c r="L69" i="42"/>
  <c r="D69" i="42"/>
  <c r="E69" i="42"/>
  <c r="N69" i="42"/>
  <c r="Q69" i="42"/>
  <c r="C69" i="42"/>
  <c r="C71" i="42" s="1"/>
  <c r="G69" i="42"/>
  <c r="J69" i="42"/>
  <c r="R69" i="42"/>
  <c r="O24" i="30"/>
  <c r="L23" i="30"/>
  <c r="Y24" i="30"/>
  <c r="V23" i="30"/>
  <c r="EG24" i="30"/>
  <c r="ED23" i="30"/>
  <c r="D70" i="42"/>
  <c r="E70" i="42" s="1"/>
  <c r="D63" i="42"/>
  <c r="E63" i="42" s="1"/>
  <c r="F63" i="42" s="1"/>
  <c r="G63" i="42" s="1"/>
  <c r="H63" i="42" s="1"/>
  <c r="I63" i="42" s="1"/>
  <c r="J63" i="42" s="1"/>
  <c r="K63" i="42" s="1"/>
  <c r="L63" i="42" s="1"/>
  <c r="M63" i="42" s="1"/>
  <c r="N63" i="42" s="1"/>
  <c r="O63" i="42" s="1"/>
  <c r="P63" i="42" s="1"/>
  <c r="Q63" i="42" s="1"/>
  <c r="R63" i="42" s="1"/>
  <c r="R24" i="30" l="1"/>
  <c r="O23" i="30"/>
  <c r="EJ24" i="30"/>
  <c r="EG23" i="30"/>
  <c r="AB24" i="30"/>
  <c r="Y23" i="30"/>
  <c r="D71" i="42"/>
  <c r="F70" i="42"/>
  <c r="E71" i="42"/>
  <c r="U24" i="30" l="1"/>
  <c r="R23" i="30"/>
  <c r="EM24" i="30"/>
  <c r="EJ23" i="30"/>
  <c r="AE24" i="30"/>
  <c r="AB23" i="30"/>
  <c r="G70" i="42"/>
  <c r="F71" i="42"/>
  <c r="D32" i="1"/>
  <c r="X24" i="30" l="1"/>
  <c r="U23" i="30"/>
  <c r="EP24" i="30"/>
  <c r="EM23" i="30"/>
  <c r="AH24" i="30"/>
  <c r="AE23" i="30"/>
  <c r="H70" i="42"/>
  <c r="G71" i="42"/>
  <c r="D39" i="42"/>
  <c r="E39" i="42" s="1"/>
  <c r="F39" i="42" s="1"/>
  <c r="G39" i="42" s="1"/>
  <c r="H39" i="42" s="1"/>
  <c r="I39" i="42" s="1"/>
  <c r="J39" i="42" s="1"/>
  <c r="K39" i="42" s="1"/>
  <c r="L39" i="42" s="1"/>
  <c r="M39" i="42" s="1"/>
  <c r="N39" i="42" s="1"/>
  <c r="O39" i="42" s="1"/>
  <c r="P39" i="42" s="1"/>
  <c r="Q39" i="42" s="1"/>
  <c r="R39" i="42" s="1"/>
  <c r="S39" i="42" s="1"/>
  <c r="T39" i="42" s="1"/>
  <c r="U39" i="42" s="1"/>
  <c r="V39" i="42" s="1"/>
  <c r="W39" i="42" s="1"/>
  <c r="E28" i="42"/>
  <c r="F28" i="42" s="1"/>
  <c r="G28" i="42" s="1"/>
  <c r="H28" i="42" s="1"/>
  <c r="I28" i="42" s="1"/>
  <c r="J28" i="42" s="1"/>
  <c r="K28" i="42" s="1"/>
  <c r="L28" i="42" s="1"/>
  <c r="M28" i="42" s="1"/>
  <c r="N28" i="42" s="1"/>
  <c r="O28" i="42" s="1"/>
  <c r="P28" i="42" s="1"/>
  <c r="Q28" i="42" s="1"/>
  <c r="R28" i="42" s="1"/>
  <c r="S28" i="42" s="1"/>
  <c r="T28" i="42" s="1"/>
  <c r="U28" i="42" s="1"/>
  <c r="V28" i="42" s="1"/>
  <c r="W28" i="42" s="1"/>
  <c r="D29" i="42"/>
  <c r="E29" i="42" s="1"/>
  <c r="F29" i="42" s="1"/>
  <c r="G29" i="42" s="1"/>
  <c r="H29" i="42" s="1"/>
  <c r="I29" i="42" s="1"/>
  <c r="J29" i="42" s="1"/>
  <c r="K29" i="42" s="1"/>
  <c r="L29" i="42" s="1"/>
  <c r="M29" i="42" s="1"/>
  <c r="N29" i="42" s="1"/>
  <c r="O29" i="42" s="1"/>
  <c r="P29" i="42" s="1"/>
  <c r="Q29" i="42" s="1"/>
  <c r="R29" i="42" s="1"/>
  <c r="S29" i="42" s="1"/>
  <c r="T29" i="42" s="1"/>
  <c r="U29" i="42" s="1"/>
  <c r="V29" i="42" s="1"/>
  <c r="W29" i="42" s="1"/>
  <c r="AA24" i="30" l="1"/>
  <c r="X23" i="30"/>
  <c r="AK24" i="30"/>
  <c r="AH23" i="30"/>
  <c r="ES24" i="30"/>
  <c r="EP23" i="30"/>
  <c r="I70" i="42"/>
  <c r="H71" i="42"/>
  <c r="Y15" i="34"/>
  <c r="N6" i="34"/>
  <c r="O6" i="34" s="1"/>
  <c r="P6" i="34" s="1"/>
  <c r="Q6" i="34" s="1"/>
  <c r="R6" i="34" s="1"/>
  <c r="S6" i="34" s="1"/>
  <c r="T6" i="34" s="1"/>
  <c r="U6" i="34" s="1"/>
  <c r="V6" i="34" s="1"/>
  <c r="W6" i="34" s="1"/>
  <c r="X6" i="34" s="1"/>
  <c r="Y6" i="34" s="1"/>
  <c r="N5" i="28"/>
  <c r="D4" i="42"/>
  <c r="E4" i="42" s="1"/>
  <c r="F4" i="42" s="1"/>
  <c r="G4" i="42" s="1"/>
  <c r="H4" i="42" s="1"/>
  <c r="I4" i="42" s="1"/>
  <c r="J4" i="42" s="1"/>
  <c r="K4" i="42" s="1"/>
  <c r="L4" i="42" s="1"/>
  <c r="M4" i="42" s="1"/>
  <c r="N4" i="42" s="1"/>
  <c r="O4" i="42" s="1"/>
  <c r="P4" i="42" s="1"/>
  <c r="Q4" i="42" s="1"/>
  <c r="R4" i="42" s="1"/>
  <c r="S4" i="42" s="1"/>
  <c r="Z56" i="22"/>
  <c r="Z46" i="22"/>
  <c r="Y46" i="22"/>
  <c r="X46" i="22"/>
  <c r="W46" i="22"/>
  <c r="V46" i="22"/>
  <c r="U46" i="22"/>
  <c r="T46" i="22"/>
  <c r="S46" i="22"/>
  <c r="R46" i="22"/>
  <c r="R2" i="22"/>
  <c r="S1" i="22"/>
  <c r="R1" i="22"/>
  <c r="R55" i="22" s="1"/>
  <c r="AD24" i="30" l="1"/>
  <c r="AA23" i="30"/>
  <c r="EV24" i="30"/>
  <c r="ES23" i="30"/>
  <c r="AN24" i="30"/>
  <c r="AK23" i="30"/>
  <c r="T4" i="42"/>
  <c r="J70" i="42"/>
  <c r="I71" i="42"/>
  <c r="O5" i="28"/>
  <c r="N13" i="28"/>
  <c r="S2" i="22"/>
  <c r="T1" i="22"/>
  <c r="S55" i="22"/>
  <c r="AG24" i="30" l="1"/>
  <c r="AD23" i="30"/>
  <c r="AQ24" i="30"/>
  <c r="AN23" i="30"/>
  <c r="EY24" i="30"/>
  <c r="EV23" i="30"/>
  <c r="U4" i="42"/>
  <c r="K70" i="42"/>
  <c r="J71" i="42"/>
  <c r="O13" i="28"/>
  <c r="P5" i="28"/>
  <c r="T55" i="22"/>
  <c r="U1" i="22"/>
  <c r="T2" i="22"/>
  <c r="AJ24" i="30" l="1"/>
  <c r="AG23" i="30"/>
  <c r="FB24" i="30"/>
  <c r="EY23" i="30"/>
  <c r="AT24" i="30"/>
  <c r="AQ23" i="30"/>
  <c r="V4" i="42"/>
  <c r="L70" i="42"/>
  <c r="K71" i="42"/>
  <c r="Q5" i="28"/>
  <c r="P13" i="28"/>
  <c r="U2" i="22"/>
  <c r="U55" i="22"/>
  <c r="V1" i="22"/>
  <c r="AM24" i="30" l="1"/>
  <c r="AJ23" i="30"/>
  <c r="AW24" i="30"/>
  <c r="AT23" i="30"/>
  <c r="FE24" i="30"/>
  <c r="FB23" i="30"/>
  <c r="W4" i="42"/>
  <c r="M70" i="42"/>
  <c r="L71" i="42"/>
  <c r="Q13" i="28"/>
  <c r="R5" i="28"/>
  <c r="V55" i="22"/>
  <c r="W1" i="22"/>
  <c r="V2" i="22"/>
  <c r="AP24" i="30" l="1"/>
  <c r="AM23" i="30"/>
  <c r="FH24" i="30"/>
  <c r="FE23" i="30"/>
  <c r="AZ24" i="30"/>
  <c r="AW23" i="30"/>
  <c r="N70" i="42"/>
  <c r="M71" i="42"/>
  <c r="S5" i="28"/>
  <c r="R13" i="28"/>
  <c r="W2" i="22"/>
  <c r="X1" i="22"/>
  <c r="W55" i="22"/>
  <c r="AS24" i="30" l="1"/>
  <c r="AP23" i="30"/>
  <c r="BC24" i="30"/>
  <c r="AZ23" i="30"/>
  <c r="FK24" i="30"/>
  <c r="FH23" i="30"/>
  <c r="O70" i="42"/>
  <c r="N71" i="42"/>
  <c r="T5" i="28"/>
  <c r="S13" i="28"/>
  <c r="X55" i="22"/>
  <c r="Y1" i="22"/>
  <c r="X2" i="22"/>
  <c r="AV24" i="30" l="1"/>
  <c r="AS23" i="30"/>
  <c r="BF24" i="30"/>
  <c r="BC23" i="30"/>
  <c r="FN24" i="30"/>
  <c r="FK23" i="30"/>
  <c r="P70" i="42"/>
  <c r="O71" i="42"/>
  <c r="U5" i="28"/>
  <c r="T13" i="28"/>
  <c r="Z1" i="22"/>
  <c r="Z55" i="22" s="1"/>
  <c r="Y55" i="22"/>
  <c r="Y2" i="22"/>
  <c r="AY24" i="30" l="1"/>
  <c r="AV23" i="30"/>
  <c r="FQ24" i="30"/>
  <c r="FN23" i="30"/>
  <c r="BI24" i="30"/>
  <c r="BF23" i="30"/>
  <c r="Q70" i="42"/>
  <c r="P71" i="42"/>
  <c r="U13" i="28"/>
  <c r="V5" i="28"/>
  <c r="Z2" i="22"/>
  <c r="BB24" i="30" l="1"/>
  <c r="AY23" i="30"/>
  <c r="FT24" i="30"/>
  <c r="FQ23" i="30"/>
  <c r="BL24" i="30"/>
  <c r="BI23" i="30"/>
  <c r="R70" i="42"/>
  <c r="R71" i="42" s="1"/>
  <c r="Q71" i="42"/>
  <c r="W5" i="28"/>
  <c r="V13" i="28"/>
  <c r="BE24" i="30" l="1"/>
  <c r="BB23" i="30"/>
  <c r="BO24" i="30"/>
  <c r="BL23" i="30"/>
  <c r="FW24" i="30"/>
  <c r="FT23" i="30"/>
  <c r="X5" i="28"/>
  <c r="W13" i="28"/>
  <c r="BH24" i="30" l="1"/>
  <c r="BE23" i="30"/>
  <c r="FZ24" i="30"/>
  <c r="FW23" i="30"/>
  <c r="BR24" i="30"/>
  <c r="BO23" i="30"/>
  <c r="X13" i="28"/>
  <c r="Y5" i="28"/>
  <c r="BK24" i="30" l="1"/>
  <c r="BH23" i="30"/>
  <c r="BU24" i="30"/>
  <c r="BR23" i="30"/>
  <c r="GC24" i="30"/>
  <c r="FZ23" i="30"/>
  <c r="Y13" i="28"/>
  <c r="BN24" i="30" l="1"/>
  <c r="BK23" i="30"/>
  <c r="GF24" i="30"/>
  <c r="GC23" i="30"/>
  <c r="BX24" i="30"/>
  <c r="BU23" i="30"/>
  <c r="K42" i="1"/>
  <c r="K45" i="1" s="1"/>
  <c r="K43" i="1"/>
  <c r="BQ24" i="30" l="1"/>
  <c r="BN23" i="30"/>
  <c r="CA24" i="30"/>
  <c r="BX23" i="30"/>
  <c r="GI24" i="30"/>
  <c r="GF23" i="30"/>
  <c r="E6" i="34"/>
  <c r="D6" i="34"/>
  <c r="C37" i="26"/>
  <c r="C36" i="26"/>
  <c r="C35" i="26"/>
  <c r="C34" i="26"/>
  <c r="C33" i="26"/>
  <c r="B14" i="1"/>
  <c r="BT24" i="30" l="1"/>
  <c r="BQ23" i="30"/>
  <c r="GL24" i="30"/>
  <c r="GI23" i="30"/>
  <c r="CD24" i="30"/>
  <c r="CA23" i="30"/>
  <c r="I132" i="33"/>
  <c r="I131" i="33"/>
  <c r="I130" i="33"/>
  <c r="I129" i="33"/>
  <c r="I128" i="33"/>
  <c r="I125" i="33"/>
  <c r="I124" i="33"/>
  <c r="I123" i="33"/>
  <c r="I122" i="33"/>
  <c r="I121" i="33"/>
  <c r="I115" i="33"/>
  <c r="I114" i="33"/>
  <c r="I113" i="33"/>
  <c r="I112" i="33"/>
  <c r="I111" i="33"/>
  <c r="I106" i="33"/>
  <c r="I105" i="33"/>
  <c r="I104" i="33"/>
  <c r="I103" i="33"/>
  <c r="I102" i="33"/>
  <c r="I97" i="33"/>
  <c r="I96" i="33"/>
  <c r="I95" i="33"/>
  <c r="I94" i="33"/>
  <c r="I93" i="33"/>
  <c r="I88" i="33"/>
  <c r="I87" i="33"/>
  <c r="I86" i="33"/>
  <c r="I85" i="33"/>
  <c r="I84" i="33"/>
  <c r="I81" i="33"/>
  <c r="I80" i="33"/>
  <c r="I79" i="33"/>
  <c r="I78" i="33"/>
  <c r="I77" i="33"/>
  <c r="I72" i="33"/>
  <c r="I71" i="33"/>
  <c r="I70" i="33"/>
  <c r="I69" i="33"/>
  <c r="I68" i="33"/>
  <c r="I56" i="33"/>
  <c r="I55" i="33"/>
  <c r="I54" i="33"/>
  <c r="I53" i="33"/>
  <c r="I52" i="33"/>
  <c r="I65" i="33"/>
  <c r="I64" i="33"/>
  <c r="I63" i="33"/>
  <c r="I62" i="33"/>
  <c r="I61" i="33"/>
  <c r="I49" i="33"/>
  <c r="I48" i="33"/>
  <c r="I47" i="33"/>
  <c r="I46" i="33"/>
  <c r="I45" i="33"/>
  <c r="I40" i="33"/>
  <c r="I39" i="33"/>
  <c r="I38" i="33"/>
  <c r="I37" i="33"/>
  <c r="I36" i="33"/>
  <c r="I33" i="33"/>
  <c r="I32" i="33"/>
  <c r="I31" i="33"/>
  <c r="I30" i="33"/>
  <c r="I29" i="33"/>
  <c r="I24" i="33"/>
  <c r="I23" i="33"/>
  <c r="I22" i="33"/>
  <c r="I21" i="33"/>
  <c r="I20" i="33"/>
  <c r="I17" i="33"/>
  <c r="I16" i="33"/>
  <c r="I15" i="33"/>
  <c r="I14" i="33"/>
  <c r="I13" i="33"/>
  <c r="Q32" i="1"/>
  <c r="Q31" i="1"/>
  <c r="Q30" i="1"/>
  <c r="Q29" i="1"/>
  <c r="Q28" i="1"/>
  <c r="C5" i="30" s="1"/>
  <c r="BW24" i="30" l="1"/>
  <c r="BT23" i="30"/>
  <c r="CG24" i="30"/>
  <c r="CD23" i="30"/>
  <c r="GO24" i="30"/>
  <c r="GL23" i="30"/>
  <c r="BZ24" i="30" l="1"/>
  <c r="BW23" i="30"/>
  <c r="GR24" i="30"/>
  <c r="GO23" i="30"/>
  <c r="CJ24" i="30"/>
  <c r="CG23" i="30"/>
  <c r="C38" i="26"/>
  <c r="D29" i="1"/>
  <c r="D30" i="1" s="1"/>
  <c r="CC24" i="30" l="1"/>
  <c r="BZ23" i="30"/>
  <c r="CM24" i="30"/>
  <c r="CJ23" i="30"/>
  <c r="GU24" i="30"/>
  <c r="GR23" i="30"/>
  <c r="D31" i="1"/>
  <c r="CF24" i="30" l="1"/>
  <c r="CC23" i="30"/>
  <c r="GX24" i="30"/>
  <c r="GU23" i="30"/>
  <c r="CP24" i="30"/>
  <c r="CM23" i="30"/>
  <c r="D28" i="34"/>
  <c r="CI24" i="30" l="1"/>
  <c r="CF23" i="30"/>
  <c r="CS24" i="30"/>
  <c r="CP23" i="30"/>
  <c r="HA24" i="30"/>
  <c r="GX23" i="30"/>
  <c r="E28" i="34"/>
  <c r="C110" i="41"/>
  <c r="C46" i="41" s="1"/>
  <c r="B86" i="41"/>
  <c r="B74" i="41"/>
  <c r="B72" i="41"/>
  <c r="B71" i="41"/>
  <c r="C66" i="41"/>
  <c r="C7" i="41"/>
  <c r="CI6" i="41"/>
  <c r="CU6" i="41" s="1"/>
  <c r="CH6" i="41"/>
  <c r="CT6" i="41" s="1"/>
  <c r="CG6" i="41"/>
  <c r="CS6" i="41" s="1"/>
  <c r="Z6" i="41"/>
  <c r="AL6" i="41" s="1"/>
  <c r="AX6" i="41" s="1"/>
  <c r="BJ6" i="41" s="1"/>
  <c r="Y6" i="41"/>
  <c r="AK6" i="41" s="1"/>
  <c r="AW6" i="41" s="1"/>
  <c r="BI6" i="41" s="1"/>
  <c r="X6" i="41"/>
  <c r="AJ6" i="41" s="1"/>
  <c r="AV6" i="41" s="1"/>
  <c r="BH6" i="41" s="1"/>
  <c r="BT6" i="41" s="1"/>
  <c r="CF6" i="41" s="1"/>
  <c r="CR6" i="41" s="1"/>
  <c r="W6" i="41"/>
  <c r="AI6" i="41" s="1"/>
  <c r="AU6" i="41" s="1"/>
  <c r="BG6" i="41" s="1"/>
  <c r="BS6" i="41" s="1"/>
  <c r="CE6" i="41" s="1"/>
  <c r="CQ6" i="41" s="1"/>
  <c r="V6" i="41"/>
  <c r="AH6" i="41" s="1"/>
  <c r="AT6" i="41" s="1"/>
  <c r="BF6" i="41" s="1"/>
  <c r="BR6" i="41" s="1"/>
  <c r="CD6" i="41" s="1"/>
  <c r="CP6" i="41" s="1"/>
  <c r="U6" i="41"/>
  <c r="AG6" i="41" s="1"/>
  <c r="AS6" i="41" s="1"/>
  <c r="BE6" i="41" s="1"/>
  <c r="BQ6" i="41" s="1"/>
  <c r="CC6" i="41" s="1"/>
  <c r="CO6" i="41" s="1"/>
  <c r="T6" i="41"/>
  <c r="AF6" i="41" s="1"/>
  <c r="AR6" i="41" s="1"/>
  <c r="BD6" i="41" s="1"/>
  <c r="BP6" i="41" s="1"/>
  <c r="CB6" i="41" s="1"/>
  <c r="CN6" i="41" s="1"/>
  <c r="S6" i="41"/>
  <c r="AE6" i="41" s="1"/>
  <c r="AQ6" i="41" s="1"/>
  <c r="BC6" i="41" s="1"/>
  <c r="BO6" i="41" s="1"/>
  <c r="CA6" i="41" s="1"/>
  <c r="CM6" i="41" s="1"/>
  <c r="R6" i="41"/>
  <c r="AD6" i="41" s="1"/>
  <c r="AP6" i="41" s="1"/>
  <c r="BB6" i="41" s="1"/>
  <c r="BN6" i="41" s="1"/>
  <c r="BZ6" i="41" s="1"/>
  <c r="CL6" i="41" s="1"/>
  <c r="CX6" i="41" s="1"/>
  <c r="Q6" i="41"/>
  <c r="AC6" i="41" s="1"/>
  <c r="AO6" i="41" s="1"/>
  <c r="BA6" i="41" s="1"/>
  <c r="BM6" i="41" s="1"/>
  <c r="BY6" i="41" s="1"/>
  <c r="CK6" i="41" s="1"/>
  <c r="CW6" i="41" s="1"/>
  <c r="P6" i="41"/>
  <c r="AB6" i="41" s="1"/>
  <c r="AN6" i="41" s="1"/>
  <c r="AZ6" i="41" s="1"/>
  <c r="BL6" i="41" s="1"/>
  <c r="BX6" i="41" s="1"/>
  <c r="CJ6" i="41" s="1"/>
  <c r="CV6" i="41" s="1"/>
  <c r="I5" i="41"/>
  <c r="L5" i="41" s="1"/>
  <c r="O5" i="41" s="1"/>
  <c r="R5" i="41" s="1"/>
  <c r="U5" i="41" s="1"/>
  <c r="X5" i="41" s="1"/>
  <c r="AA5" i="41" s="1"/>
  <c r="AD5" i="41" s="1"/>
  <c r="AG5" i="41" s="1"/>
  <c r="AJ5" i="41" s="1"/>
  <c r="AM5" i="41" s="1"/>
  <c r="AP5" i="41" s="1"/>
  <c r="AS5" i="41" s="1"/>
  <c r="AV5" i="41" s="1"/>
  <c r="AY5" i="41" s="1"/>
  <c r="BB5" i="41" s="1"/>
  <c r="BE5" i="41" s="1"/>
  <c r="BH5" i="41" s="1"/>
  <c r="BK5" i="41" s="1"/>
  <c r="BN5" i="41" s="1"/>
  <c r="BQ5" i="41" s="1"/>
  <c r="BT5" i="41" s="1"/>
  <c r="BW5" i="41" s="1"/>
  <c r="BZ5" i="41" s="1"/>
  <c r="CC5" i="41" s="1"/>
  <c r="CF5" i="41" s="1"/>
  <c r="CI5" i="41" s="1"/>
  <c r="CL5" i="41" s="1"/>
  <c r="CO5" i="41" s="1"/>
  <c r="CR5" i="41" s="1"/>
  <c r="CU5" i="41" s="1"/>
  <c r="CX5" i="41" s="1"/>
  <c r="H5" i="41"/>
  <c r="K5" i="41" s="1"/>
  <c r="N5" i="41" s="1"/>
  <c r="Q5" i="41" s="1"/>
  <c r="T5" i="41" s="1"/>
  <c r="W5" i="41" s="1"/>
  <c r="Z5" i="41" s="1"/>
  <c r="AC5" i="41" s="1"/>
  <c r="AF5" i="41" s="1"/>
  <c r="AI5" i="41" s="1"/>
  <c r="AL5" i="41" s="1"/>
  <c r="AO5" i="41" s="1"/>
  <c r="AR5" i="41" s="1"/>
  <c r="AU5" i="41" s="1"/>
  <c r="AX5" i="41" s="1"/>
  <c r="BA5" i="41" s="1"/>
  <c r="BD5" i="41" s="1"/>
  <c r="BG5" i="41" s="1"/>
  <c r="BJ5" i="41" s="1"/>
  <c r="BM5" i="41" s="1"/>
  <c r="BP5" i="41" s="1"/>
  <c r="BS5" i="41" s="1"/>
  <c r="BV5" i="41" s="1"/>
  <c r="BY5" i="41" s="1"/>
  <c r="CB5" i="41" s="1"/>
  <c r="CE5" i="41" s="1"/>
  <c r="CH5" i="41" s="1"/>
  <c r="CK5" i="41" s="1"/>
  <c r="CN5" i="41" s="1"/>
  <c r="CQ5" i="41" s="1"/>
  <c r="CT5" i="41" s="1"/>
  <c r="CW5" i="41" s="1"/>
  <c r="G5" i="41"/>
  <c r="J5" i="41" s="1"/>
  <c r="M5" i="41" s="1"/>
  <c r="P5" i="41" s="1"/>
  <c r="S5" i="41" s="1"/>
  <c r="V5" i="41" s="1"/>
  <c r="Y5" i="41" s="1"/>
  <c r="AB5" i="41" s="1"/>
  <c r="AE5" i="41" s="1"/>
  <c r="AH5" i="41" s="1"/>
  <c r="AK5" i="41" s="1"/>
  <c r="AN5" i="41" s="1"/>
  <c r="AQ5" i="41" s="1"/>
  <c r="AT5" i="41" s="1"/>
  <c r="AW5" i="41" s="1"/>
  <c r="AZ5" i="41" s="1"/>
  <c r="BC5" i="41" s="1"/>
  <c r="BF5" i="41" s="1"/>
  <c r="BI5" i="41" s="1"/>
  <c r="BL5" i="41" s="1"/>
  <c r="BO5" i="41" s="1"/>
  <c r="BR5" i="41" s="1"/>
  <c r="BU5" i="41" s="1"/>
  <c r="BX5" i="41" s="1"/>
  <c r="CA5" i="41" s="1"/>
  <c r="CD5" i="41" s="1"/>
  <c r="CG5" i="41" s="1"/>
  <c r="CJ5" i="41" s="1"/>
  <c r="CM5" i="41" s="1"/>
  <c r="CP5" i="41" s="1"/>
  <c r="CS5" i="41" s="1"/>
  <c r="CV5" i="41" s="1"/>
  <c r="P4" i="41"/>
  <c r="AB4" i="41" s="1"/>
  <c r="AN4" i="41" s="1"/>
  <c r="AZ4" i="41" s="1"/>
  <c r="BL4" i="41" s="1"/>
  <c r="BX4" i="41" s="1"/>
  <c r="CJ4" i="41" s="1"/>
  <c r="CV4" i="41" s="1"/>
  <c r="E4" i="41"/>
  <c r="Q4" i="41" s="1"/>
  <c r="AC4" i="41" s="1"/>
  <c r="AO4" i="41" s="1"/>
  <c r="BA4" i="41" s="1"/>
  <c r="BM4" i="41" s="1"/>
  <c r="BY4" i="41" s="1"/>
  <c r="CK4" i="41" s="1"/>
  <c r="CW4" i="41" s="1"/>
  <c r="D1" i="41"/>
  <c r="E1" i="41" s="1"/>
  <c r="F1" i="41" s="1"/>
  <c r="G1" i="41" s="1"/>
  <c r="H1" i="41" s="1"/>
  <c r="I1" i="41" s="1"/>
  <c r="J1" i="41" s="1"/>
  <c r="K1" i="41" s="1"/>
  <c r="L1" i="41" s="1"/>
  <c r="M1" i="41" s="1"/>
  <c r="N1" i="41" s="1"/>
  <c r="O1" i="41" s="1"/>
  <c r="P1" i="41" s="1"/>
  <c r="Q1" i="41" s="1"/>
  <c r="R1" i="41" s="1"/>
  <c r="S1" i="41" s="1"/>
  <c r="T1" i="41" s="1"/>
  <c r="U1" i="41" s="1"/>
  <c r="V1" i="41" s="1"/>
  <c r="W1" i="41" s="1"/>
  <c r="X1" i="41" s="1"/>
  <c r="Y1" i="41" s="1"/>
  <c r="Z1" i="41" s="1"/>
  <c r="AA1" i="41" s="1"/>
  <c r="AB1" i="41" s="1"/>
  <c r="AC1" i="41" s="1"/>
  <c r="AD1" i="41" s="1"/>
  <c r="AE1" i="41" s="1"/>
  <c r="AF1" i="41" s="1"/>
  <c r="AG1" i="41" s="1"/>
  <c r="AH1" i="41" s="1"/>
  <c r="AI1" i="41" s="1"/>
  <c r="AJ1" i="41" s="1"/>
  <c r="AK1" i="41" s="1"/>
  <c r="AL1" i="41" s="1"/>
  <c r="AM1" i="41" s="1"/>
  <c r="AN1" i="41" s="1"/>
  <c r="AO1" i="41" s="1"/>
  <c r="AP1" i="41" s="1"/>
  <c r="AQ1" i="41" s="1"/>
  <c r="AR1" i="41" s="1"/>
  <c r="AS1" i="41" s="1"/>
  <c r="AT1" i="41" s="1"/>
  <c r="AU1" i="41" s="1"/>
  <c r="AV1" i="41" s="1"/>
  <c r="AW1" i="41" s="1"/>
  <c r="AX1" i="41" s="1"/>
  <c r="AY1" i="41" s="1"/>
  <c r="AZ1" i="41" s="1"/>
  <c r="BA1" i="41" s="1"/>
  <c r="BB1" i="41" s="1"/>
  <c r="BC1" i="41" s="1"/>
  <c r="BD1" i="41" s="1"/>
  <c r="BE1" i="41" s="1"/>
  <c r="BF1" i="41" s="1"/>
  <c r="BG1" i="41" s="1"/>
  <c r="BH1" i="41" s="1"/>
  <c r="BI1" i="41" s="1"/>
  <c r="BJ1" i="41" s="1"/>
  <c r="BK1" i="41" s="1"/>
  <c r="BL1" i="41" s="1"/>
  <c r="BM1" i="41" s="1"/>
  <c r="BN1" i="41" s="1"/>
  <c r="BO1" i="41" s="1"/>
  <c r="BP1" i="41" s="1"/>
  <c r="BQ1" i="41" s="1"/>
  <c r="BR1" i="41" s="1"/>
  <c r="BS1" i="41" s="1"/>
  <c r="BT1" i="41" s="1"/>
  <c r="BU1" i="41" s="1"/>
  <c r="BV1" i="41" s="1"/>
  <c r="BW1" i="41" s="1"/>
  <c r="BX1" i="41" s="1"/>
  <c r="BY1" i="41" s="1"/>
  <c r="BZ1" i="41" s="1"/>
  <c r="CA1" i="41" s="1"/>
  <c r="CB1" i="41" s="1"/>
  <c r="CC1" i="41" s="1"/>
  <c r="CD1" i="41" s="1"/>
  <c r="CE1" i="41" s="1"/>
  <c r="CF1" i="41" s="1"/>
  <c r="CG1" i="41" s="1"/>
  <c r="CH1" i="41" s="1"/>
  <c r="CI1" i="41" s="1"/>
  <c r="CJ1" i="41" s="1"/>
  <c r="CK1" i="41" s="1"/>
  <c r="CL1" i="41" s="1"/>
  <c r="CM1" i="41" s="1"/>
  <c r="CN1" i="41" s="1"/>
  <c r="CO1" i="41" s="1"/>
  <c r="CP1" i="41" s="1"/>
  <c r="CQ1" i="41" s="1"/>
  <c r="CR1" i="41" s="1"/>
  <c r="CS1" i="41" s="1"/>
  <c r="CT1" i="41" s="1"/>
  <c r="CU1" i="41" s="1"/>
  <c r="CV1" i="41" s="1"/>
  <c r="CW1" i="41" s="1"/>
  <c r="CX1" i="41" s="1"/>
  <c r="CL24" i="30" l="1"/>
  <c r="CI23" i="30"/>
  <c r="CV24" i="30"/>
  <c r="CS23" i="30"/>
  <c r="HD24" i="30"/>
  <c r="HA23" i="30"/>
  <c r="D7" i="41"/>
  <c r="F6" i="34"/>
  <c r="C2" i="41"/>
  <c r="F4" i="41"/>
  <c r="R4" i="41" s="1"/>
  <c r="AD4" i="41" s="1"/>
  <c r="AP4" i="41" s="1"/>
  <c r="BB4" i="41" s="1"/>
  <c r="BN4" i="41" s="1"/>
  <c r="BZ4" i="41" s="1"/>
  <c r="CL4" i="41" s="1"/>
  <c r="CX4" i="41" s="1"/>
  <c r="G4" i="41"/>
  <c r="C89" i="41"/>
  <c r="CO24" i="30" l="1"/>
  <c r="CL23" i="30"/>
  <c r="HG24" i="30"/>
  <c r="HD23" i="30"/>
  <c r="CY24" i="30"/>
  <c r="CV23" i="30"/>
  <c r="E7" i="41"/>
  <c r="G6" i="34"/>
  <c r="D89" i="41"/>
  <c r="D2" i="41"/>
  <c r="S4" i="41"/>
  <c r="AE4" i="41" s="1"/>
  <c r="AQ4" i="41" s="1"/>
  <c r="BC4" i="41" s="1"/>
  <c r="BO4" i="41" s="1"/>
  <c r="CA4" i="41" s="1"/>
  <c r="CM4" i="41" s="1"/>
  <c r="H4" i="41"/>
  <c r="CR24" i="30" l="1"/>
  <c r="CO23" i="30"/>
  <c r="DB24" i="30"/>
  <c r="CY23" i="30"/>
  <c r="HJ24" i="30"/>
  <c r="HG23" i="30"/>
  <c r="F7" i="41"/>
  <c r="H6" i="34"/>
  <c r="E89" i="41"/>
  <c r="E2" i="41"/>
  <c r="T4" i="41"/>
  <c r="AF4" i="41" s="1"/>
  <c r="AR4" i="41" s="1"/>
  <c r="BD4" i="41" s="1"/>
  <c r="BP4" i="41" s="1"/>
  <c r="CB4" i="41" s="1"/>
  <c r="CN4" i="41" s="1"/>
  <c r="I4" i="41"/>
  <c r="CU24" i="30" l="1"/>
  <c r="CR23" i="30"/>
  <c r="HM24" i="30"/>
  <c r="HJ23" i="30"/>
  <c r="DE24" i="30"/>
  <c r="DB23" i="30"/>
  <c r="G7" i="41"/>
  <c r="I6" i="34"/>
  <c r="U4" i="41"/>
  <c r="AG4" i="41" s="1"/>
  <c r="AS4" i="41" s="1"/>
  <c r="BE4" i="41" s="1"/>
  <c r="BQ4" i="41" s="1"/>
  <c r="CC4" i="41" s="1"/>
  <c r="CO4" i="41" s="1"/>
  <c r="J4" i="41"/>
  <c r="F89" i="41"/>
  <c r="F2" i="41"/>
  <c r="CX24" i="30" l="1"/>
  <c r="CU23" i="30"/>
  <c r="DH24" i="30"/>
  <c r="DE23" i="30"/>
  <c r="HP24" i="30"/>
  <c r="HM23" i="30"/>
  <c r="H7" i="41"/>
  <c r="J6" i="34"/>
  <c r="G89" i="41"/>
  <c r="G2" i="41"/>
  <c r="V4" i="41"/>
  <c r="AH4" i="41" s="1"/>
  <c r="AT4" i="41" s="1"/>
  <c r="BF4" i="41" s="1"/>
  <c r="BR4" i="41" s="1"/>
  <c r="CD4" i="41" s="1"/>
  <c r="CP4" i="41" s="1"/>
  <c r="K4" i="41"/>
  <c r="DA24" i="30" l="1"/>
  <c r="CX23" i="30"/>
  <c r="DK24" i="30"/>
  <c r="DH23" i="30"/>
  <c r="HS24" i="30"/>
  <c r="HP23" i="30"/>
  <c r="I7" i="41"/>
  <c r="K6" i="34"/>
  <c r="L4" i="41"/>
  <c r="W4" i="41"/>
  <c r="AI4" i="41" s="1"/>
  <c r="AU4" i="41" s="1"/>
  <c r="BG4" i="41" s="1"/>
  <c r="BS4" i="41" s="1"/>
  <c r="CE4" i="41" s="1"/>
  <c r="CQ4" i="41" s="1"/>
  <c r="H89" i="41"/>
  <c r="H2" i="41"/>
  <c r="DD24" i="30" l="1"/>
  <c r="DA23" i="30"/>
  <c r="HV24" i="30"/>
  <c r="HS23" i="30"/>
  <c r="DN24" i="30"/>
  <c r="DK23" i="30"/>
  <c r="J7" i="41"/>
  <c r="K7" i="41" s="1"/>
  <c r="L7" i="41" s="1"/>
  <c r="M7" i="41" s="1"/>
  <c r="N7" i="41" s="1"/>
  <c r="O7" i="41" s="1"/>
  <c r="L6" i="34"/>
  <c r="M4" i="41"/>
  <c r="X4" i="41"/>
  <c r="AJ4" i="41" s="1"/>
  <c r="AV4" i="41" s="1"/>
  <c r="BH4" i="41" s="1"/>
  <c r="BT4" i="41" s="1"/>
  <c r="CF4" i="41" s="1"/>
  <c r="CR4" i="41" s="1"/>
  <c r="I89" i="41"/>
  <c r="I2" i="41"/>
  <c r="DG24" i="30" l="1"/>
  <c r="DD23" i="30"/>
  <c r="DQ24" i="30"/>
  <c r="DN23" i="30"/>
  <c r="HY24" i="30"/>
  <c r="HV23" i="30"/>
  <c r="P7" i="41"/>
  <c r="M6" i="34"/>
  <c r="J89" i="41"/>
  <c r="J2" i="41"/>
  <c r="Y4" i="41"/>
  <c r="AK4" i="41" s="1"/>
  <c r="AW4" i="41" s="1"/>
  <c r="BI4" i="41" s="1"/>
  <c r="BU4" i="41" s="1"/>
  <c r="CG4" i="41" s="1"/>
  <c r="CS4" i="41" s="1"/>
  <c r="N4" i="41"/>
  <c r="DJ24" i="30" l="1"/>
  <c r="DG23" i="30"/>
  <c r="DT24" i="30"/>
  <c r="DQ23" i="30"/>
  <c r="IB24" i="30"/>
  <c r="HY23" i="30"/>
  <c r="Q7" i="41"/>
  <c r="Z4" i="41"/>
  <c r="AL4" i="41" s="1"/>
  <c r="AX4" i="41" s="1"/>
  <c r="BJ4" i="41" s="1"/>
  <c r="BV4" i="41" s="1"/>
  <c r="CH4" i="41" s="1"/>
  <c r="CT4" i="41" s="1"/>
  <c r="O4" i="41"/>
  <c r="AA4" i="41" s="1"/>
  <c r="AM4" i="41" s="1"/>
  <c r="AY4" i="41" s="1"/>
  <c r="BK4" i="41" s="1"/>
  <c r="BW4" i="41" s="1"/>
  <c r="CI4" i="41" s="1"/>
  <c r="CU4" i="41" s="1"/>
  <c r="K89" i="41"/>
  <c r="K2" i="41"/>
  <c r="DM24" i="30" l="1"/>
  <c r="DJ23" i="30"/>
  <c r="IE24" i="30"/>
  <c r="IB23" i="30"/>
  <c r="DW24" i="30"/>
  <c r="DT23" i="30"/>
  <c r="R7" i="41"/>
  <c r="L89" i="41"/>
  <c r="L2" i="41"/>
  <c r="DP24" i="30" l="1"/>
  <c r="DM23" i="30"/>
  <c r="DZ24" i="30"/>
  <c r="DW23" i="30"/>
  <c r="IH24" i="30"/>
  <c r="IE23" i="30"/>
  <c r="S7" i="41"/>
  <c r="M89" i="41"/>
  <c r="M2" i="41"/>
  <c r="DS24" i="30" l="1"/>
  <c r="DP23" i="30"/>
  <c r="IK24" i="30"/>
  <c r="IH23" i="30"/>
  <c r="EC24" i="30"/>
  <c r="DZ23" i="30"/>
  <c r="T7" i="41"/>
  <c r="N89" i="41"/>
  <c r="N2" i="41"/>
  <c r="DV24" i="30" l="1"/>
  <c r="DS23" i="30"/>
  <c r="IN24" i="30"/>
  <c r="IK23" i="30"/>
  <c r="EF24" i="30"/>
  <c r="EC23" i="30"/>
  <c r="U7" i="41"/>
  <c r="O89" i="41"/>
  <c r="O2" i="41"/>
  <c r="DY24" i="30" l="1"/>
  <c r="DV23" i="30"/>
  <c r="EI24" i="30"/>
  <c r="EF23" i="30"/>
  <c r="IQ24" i="30"/>
  <c r="IN23" i="30"/>
  <c r="V7" i="41"/>
  <c r="P89" i="41"/>
  <c r="P2" i="41"/>
  <c r="EB24" i="30" l="1"/>
  <c r="DY23" i="30"/>
  <c r="IT24" i="30"/>
  <c r="IQ23" i="30"/>
  <c r="EL24" i="30"/>
  <c r="EI23" i="30"/>
  <c r="W7" i="41"/>
  <c r="Q89" i="41"/>
  <c r="Q2" i="41"/>
  <c r="EE24" i="30" l="1"/>
  <c r="EB23" i="30"/>
  <c r="EO24" i="30"/>
  <c r="EL23" i="30"/>
  <c r="IW24" i="30"/>
  <c r="IT23" i="30"/>
  <c r="X7" i="41"/>
  <c r="R89" i="41"/>
  <c r="R2" i="41"/>
  <c r="EE23" i="30" l="1"/>
  <c r="EH24" i="30"/>
  <c r="IZ24" i="30"/>
  <c r="IW23" i="30"/>
  <c r="ER24" i="30"/>
  <c r="EO23" i="30"/>
  <c r="Y7" i="41"/>
  <c r="S89" i="41"/>
  <c r="S2" i="41"/>
  <c r="EH23" i="30" l="1"/>
  <c r="EK24" i="30"/>
  <c r="EU24" i="30"/>
  <c r="ER23" i="30"/>
  <c r="JC24" i="30"/>
  <c r="IZ23" i="30"/>
  <c r="Z7" i="41"/>
  <c r="T89" i="41"/>
  <c r="T2" i="41"/>
  <c r="EN24" i="30" l="1"/>
  <c r="EK23" i="30"/>
  <c r="JF24" i="30"/>
  <c r="JC23" i="30"/>
  <c r="EX24" i="30"/>
  <c r="EU23" i="30"/>
  <c r="AA7" i="41"/>
  <c r="U89" i="41"/>
  <c r="U2" i="41"/>
  <c r="EQ24" i="30" l="1"/>
  <c r="EN23" i="30"/>
  <c r="JI24" i="30"/>
  <c r="JI23" i="30" s="1"/>
  <c r="JF23" i="30"/>
  <c r="FA24" i="30"/>
  <c r="EX23" i="30"/>
  <c r="AB7" i="41"/>
  <c r="V89" i="41"/>
  <c r="V2" i="41"/>
  <c r="ET24" i="30" l="1"/>
  <c r="EQ23" i="30"/>
  <c r="FD24" i="30"/>
  <c r="FA23" i="30"/>
  <c r="AC7" i="41"/>
  <c r="W89" i="41"/>
  <c r="W2" i="41"/>
  <c r="EW24" i="30" l="1"/>
  <c r="ET23" i="30"/>
  <c r="FG24" i="30"/>
  <c r="FD23" i="30"/>
  <c r="AD7" i="41"/>
  <c r="X89" i="41"/>
  <c r="X2" i="41"/>
  <c r="EZ24" i="30" l="1"/>
  <c r="EW23" i="30"/>
  <c r="FJ24" i="30"/>
  <c r="FG23" i="30"/>
  <c r="AE7" i="41"/>
  <c r="Y89" i="41"/>
  <c r="Y2" i="41"/>
  <c r="FC24" i="30" l="1"/>
  <c r="EZ23" i="30"/>
  <c r="FM24" i="30"/>
  <c r="FJ23" i="30"/>
  <c r="AF7" i="41"/>
  <c r="Z89" i="41"/>
  <c r="Z2" i="41"/>
  <c r="FF24" i="30" l="1"/>
  <c r="FC23" i="30"/>
  <c r="FP24" i="30"/>
  <c r="FM23" i="30"/>
  <c r="AG7" i="41"/>
  <c r="AA89" i="41"/>
  <c r="AA2" i="41"/>
  <c r="FI24" i="30" l="1"/>
  <c r="FF23" i="30"/>
  <c r="FS24" i="30"/>
  <c r="FP23" i="30"/>
  <c r="AH7" i="41"/>
  <c r="AB89" i="41"/>
  <c r="AB2" i="41"/>
  <c r="FL24" i="30" l="1"/>
  <c r="FI23" i="30"/>
  <c r="FV24" i="30"/>
  <c r="FS23" i="30"/>
  <c r="AI7" i="41"/>
  <c r="AC89" i="41"/>
  <c r="AC2" i="41"/>
  <c r="FL23" i="30" l="1"/>
  <c r="FO24" i="30"/>
  <c r="FY24" i="30"/>
  <c r="FV23" i="30"/>
  <c r="AJ7" i="41"/>
  <c r="AD89" i="41"/>
  <c r="AD2" i="41"/>
  <c r="FO23" i="30" l="1"/>
  <c r="FR24" i="30"/>
  <c r="GB24" i="30"/>
  <c r="FY23" i="30"/>
  <c r="AK7" i="41"/>
  <c r="AE89" i="41"/>
  <c r="AE2" i="41"/>
  <c r="FR23" i="30" l="1"/>
  <c r="FU24" i="30"/>
  <c r="GE24" i="30"/>
  <c r="GB23" i="30"/>
  <c r="AL7" i="41"/>
  <c r="AF89" i="41"/>
  <c r="AF2" i="41"/>
  <c r="FU23" i="30" l="1"/>
  <c r="FX24" i="30"/>
  <c r="GH24" i="30"/>
  <c r="GE23" i="30"/>
  <c r="AM7" i="41"/>
  <c r="AG89" i="41"/>
  <c r="AG2" i="41"/>
  <c r="FX23" i="30" l="1"/>
  <c r="GA24" i="30"/>
  <c r="GK24" i="30"/>
  <c r="GH23" i="30"/>
  <c r="AN7" i="41"/>
  <c r="AH89" i="41"/>
  <c r="AH2" i="41"/>
  <c r="GA23" i="30" l="1"/>
  <c r="GD24" i="30"/>
  <c r="GN24" i="30"/>
  <c r="GK23" i="30"/>
  <c r="AO7" i="41"/>
  <c r="AI89" i="41"/>
  <c r="AI2" i="41"/>
  <c r="GG24" i="30" l="1"/>
  <c r="GD23" i="30"/>
  <c r="GQ24" i="30"/>
  <c r="GN23" i="30"/>
  <c r="AP7" i="41"/>
  <c r="AJ89" i="41"/>
  <c r="AJ2" i="41"/>
  <c r="GG23" i="30" l="1"/>
  <c r="GJ24" i="30"/>
  <c r="GT24" i="30"/>
  <c r="GQ23" i="30"/>
  <c r="AQ7" i="41"/>
  <c r="AK89" i="41"/>
  <c r="AK2" i="41"/>
  <c r="GJ23" i="30" l="1"/>
  <c r="GM24" i="30"/>
  <c r="GW24" i="30"/>
  <c r="GT23" i="30"/>
  <c r="AR7" i="41"/>
  <c r="AL89" i="41"/>
  <c r="AL2" i="41"/>
  <c r="GM23" i="30" l="1"/>
  <c r="GP24" i="30"/>
  <c r="GZ24" i="30"/>
  <c r="GW23" i="30"/>
  <c r="AS7" i="41"/>
  <c r="AM89" i="41"/>
  <c r="AM2" i="41"/>
  <c r="GP23" i="30" l="1"/>
  <c r="GS24" i="30"/>
  <c r="HC24" i="30"/>
  <c r="GZ23" i="30"/>
  <c r="AT7" i="41"/>
  <c r="AN89" i="41"/>
  <c r="AN2" i="41"/>
  <c r="GS23" i="30" l="1"/>
  <c r="GV24" i="30"/>
  <c r="HF24" i="30"/>
  <c r="HC23" i="30"/>
  <c r="AU7" i="41"/>
  <c r="AO89" i="41"/>
  <c r="AO2" i="41"/>
  <c r="GY24" i="30" l="1"/>
  <c r="GV23" i="30"/>
  <c r="HI24" i="30"/>
  <c r="HF23" i="30"/>
  <c r="AV7" i="41"/>
  <c r="AP89" i="41"/>
  <c r="AP2" i="41"/>
  <c r="HB24" i="30" l="1"/>
  <c r="GY23" i="30"/>
  <c r="HL24" i="30"/>
  <c r="HI23" i="30"/>
  <c r="AW7" i="41"/>
  <c r="AQ89" i="41"/>
  <c r="AQ2" i="41"/>
  <c r="HE24" i="30" l="1"/>
  <c r="HB23" i="30"/>
  <c r="HO24" i="30"/>
  <c r="HL23" i="30"/>
  <c r="AX7" i="41"/>
  <c r="AR89" i="41"/>
  <c r="AR2" i="41"/>
  <c r="HH24" i="30" l="1"/>
  <c r="HE23" i="30"/>
  <c r="HR24" i="30"/>
  <c r="HO23" i="30"/>
  <c r="AY7" i="41"/>
  <c r="AS89" i="41"/>
  <c r="AS2" i="41"/>
  <c r="HH23" i="30" l="1"/>
  <c r="HK24" i="30"/>
  <c r="HU24" i="30"/>
  <c r="HR23" i="30"/>
  <c r="AZ7" i="41"/>
  <c r="AT89" i="41"/>
  <c r="AT2" i="41"/>
  <c r="HK23" i="30" l="1"/>
  <c r="HN24" i="30"/>
  <c r="HX24" i="30"/>
  <c r="HU23" i="30"/>
  <c r="BA7" i="41"/>
  <c r="AU89" i="41"/>
  <c r="AU2" i="41"/>
  <c r="HN23" i="30" l="1"/>
  <c r="HQ24" i="30"/>
  <c r="IA24" i="30"/>
  <c r="HX23" i="30"/>
  <c r="BB7" i="41"/>
  <c r="AV89" i="41"/>
  <c r="AV2" i="41"/>
  <c r="HT24" i="30" l="1"/>
  <c r="HQ23" i="30"/>
  <c r="ID24" i="30"/>
  <c r="IA23" i="30"/>
  <c r="BC7" i="41"/>
  <c r="AW89" i="41"/>
  <c r="AW2" i="41"/>
  <c r="HW24" i="30" l="1"/>
  <c r="HT23" i="30"/>
  <c r="IG24" i="30"/>
  <c r="ID23" i="30"/>
  <c r="BD7" i="41"/>
  <c r="AX89" i="41"/>
  <c r="AX2" i="41"/>
  <c r="HW23" i="30" l="1"/>
  <c r="HZ24" i="30"/>
  <c r="IJ24" i="30"/>
  <c r="IG23" i="30"/>
  <c r="BE7" i="41"/>
  <c r="AY89" i="41"/>
  <c r="AY2" i="41"/>
  <c r="IC24" i="30" l="1"/>
  <c r="HZ23" i="30"/>
  <c r="IM24" i="30"/>
  <c r="IJ23" i="30"/>
  <c r="BF7" i="41"/>
  <c r="AZ89" i="41"/>
  <c r="AZ2" i="41"/>
  <c r="IF24" i="30" l="1"/>
  <c r="IC23" i="30"/>
  <c r="IP24" i="30"/>
  <c r="IM23" i="30"/>
  <c r="BG7" i="41"/>
  <c r="BA89" i="41"/>
  <c r="BA2" i="41"/>
  <c r="BI88" i="20"/>
  <c r="BH88" i="20"/>
  <c r="BG88" i="20"/>
  <c r="BF88" i="20"/>
  <c r="BE88" i="20"/>
  <c r="BD88" i="20"/>
  <c r="BC88" i="20"/>
  <c r="BB88" i="20"/>
  <c r="BA88" i="20"/>
  <c r="AZ88" i="20"/>
  <c r="AY88" i="20"/>
  <c r="AX88" i="20"/>
  <c r="AW88" i="20"/>
  <c r="AV88" i="20"/>
  <c r="AU88" i="20"/>
  <c r="AT88" i="20"/>
  <c r="AS88" i="20"/>
  <c r="AR88" i="20"/>
  <c r="AQ88" i="20"/>
  <c r="AP88" i="20"/>
  <c r="AO88" i="20"/>
  <c r="AN88" i="20"/>
  <c r="AM88" i="20"/>
  <c r="AL88" i="20"/>
  <c r="AK88" i="20"/>
  <c r="AJ88" i="20"/>
  <c r="AI88" i="20"/>
  <c r="BI87" i="20"/>
  <c r="BH87" i="20"/>
  <c r="BG87" i="20"/>
  <c r="BF87" i="20"/>
  <c r="BE87" i="20"/>
  <c r="BD87" i="20"/>
  <c r="BC87" i="20"/>
  <c r="BB87" i="20"/>
  <c r="BA87" i="20"/>
  <c r="AZ87" i="20"/>
  <c r="AY87" i="20"/>
  <c r="AX87" i="20"/>
  <c r="AW87" i="20"/>
  <c r="AV87" i="20"/>
  <c r="AU87" i="20"/>
  <c r="AT87" i="20"/>
  <c r="AS87" i="20"/>
  <c r="AR87" i="20"/>
  <c r="AQ87" i="20"/>
  <c r="AP87" i="20"/>
  <c r="AO87" i="20"/>
  <c r="AN87" i="20"/>
  <c r="AM87" i="20"/>
  <c r="AL87" i="20"/>
  <c r="AK87" i="20"/>
  <c r="AJ87" i="20"/>
  <c r="AI87" i="20"/>
  <c r="D86" i="20"/>
  <c r="D90" i="20" s="1"/>
  <c r="IF23" i="30" l="1"/>
  <c r="II24" i="30"/>
  <c r="IS24" i="30"/>
  <c r="IP23" i="30"/>
  <c r="BH7" i="41"/>
  <c r="BB89" i="41"/>
  <c r="BB2" i="41"/>
  <c r="E86" i="20"/>
  <c r="IL24" i="30" l="1"/>
  <c r="II23" i="30"/>
  <c r="IV24" i="30"/>
  <c r="IS23" i="30"/>
  <c r="BI7" i="41"/>
  <c r="BC89" i="41"/>
  <c r="BC2" i="41"/>
  <c r="E90" i="20"/>
  <c r="F86" i="20"/>
  <c r="IO24" i="30" l="1"/>
  <c r="IL23" i="30"/>
  <c r="IY24" i="30"/>
  <c r="IV23" i="30"/>
  <c r="BJ7" i="41"/>
  <c r="BD89" i="41"/>
  <c r="BD2" i="41"/>
  <c r="G86" i="20"/>
  <c r="F90" i="20"/>
  <c r="IO23" i="30" l="1"/>
  <c r="IR24" i="30"/>
  <c r="JB24" i="30"/>
  <c r="IY23" i="30"/>
  <c r="BK7" i="41"/>
  <c r="BE89" i="41"/>
  <c r="BE2" i="41"/>
  <c r="G90" i="20"/>
  <c r="H86" i="20"/>
  <c r="IU24" i="30" l="1"/>
  <c r="IR23" i="30"/>
  <c r="JE24" i="30"/>
  <c r="JB23" i="30"/>
  <c r="BL7" i="41"/>
  <c r="BF89" i="41"/>
  <c r="BF2" i="41"/>
  <c r="I86" i="20"/>
  <c r="H90" i="20"/>
  <c r="IX24" i="30" l="1"/>
  <c r="IU23" i="30"/>
  <c r="JH24" i="30"/>
  <c r="JH23" i="30" s="1"/>
  <c r="JE23" i="30"/>
  <c r="BM7" i="41"/>
  <c r="BG89" i="41"/>
  <c r="BG2" i="41"/>
  <c r="J86" i="20"/>
  <c r="I90" i="20"/>
  <c r="IX23" i="30" l="1"/>
  <c r="JA24" i="30"/>
  <c r="BN7" i="41"/>
  <c r="BH89" i="41"/>
  <c r="BH2" i="41"/>
  <c r="K86" i="20"/>
  <c r="J90" i="20"/>
  <c r="JD24" i="30" l="1"/>
  <c r="JA23" i="30"/>
  <c r="BO7" i="41"/>
  <c r="BI89" i="41"/>
  <c r="BI2" i="41"/>
  <c r="K90" i="20"/>
  <c r="L86" i="20"/>
  <c r="JG24" i="30" l="1"/>
  <c r="JG23" i="30" s="1"/>
  <c r="JD23" i="30"/>
  <c r="BP7" i="41"/>
  <c r="BJ89" i="41"/>
  <c r="BJ2" i="41"/>
  <c r="L90" i="20"/>
  <c r="M86" i="20"/>
  <c r="BQ7" i="41" l="1"/>
  <c r="BK89" i="41"/>
  <c r="BK2" i="41"/>
  <c r="N86" i="20"/>
  <c r="M90" i="20"/>
  <c r="BR7" i="41" l="1"/>
  <c r="BL89" i="41"/>
  <c r="BL2" i="41"/>
  <c r="N90" i="20"/>
  <c r="O86" i="20"/>
  <c r="BS7" i="41" l="1"/>
  <c r="BM89" i="41"/>
  <c r="BM2" i="41"/>
  <c r="O90" i="20"/>
  <c r="P86" i="20"/>
  <c r="BT7" i="41" l="1"/>
  <c r="BN89" i="41"/>
  <c r="BN2" i="41"/>
  <c r="P90" i="20"/>
  <c r="Q86" i="20"/>
  <c r="BU7" i="41" l="1"/>
  <c r="BO89" i="41"/>
  <c r="BO2" i="41"/>
  <c r="R86" i="20"/>
  <c r="Q90" i="20"/>
  <c r="BV7" i="41" l="1"/>
  <c r="BP89" i="41"/>
  <c r="BP2" i="41"/>
  <c r="S86" i="20"/>
  <c r="R90" i="20"/>
  <c r="BW7" i="41" l="1"/>
  <c r="BQ89" i="41"/>
  <c r="BQ2" i="41"/>
  <c r="S90" i="20"/>
  <c r="T86" i="20"/>
  <c r="BX7" i="41" l="1"/>
  <c r="BR89" i="41"/>
  <c r="BR2" i="41"/>
  <c r="T90" i="20"/>
  <c r="U86" i="20"/>
  <c r="BY7" i="41" l="1"/>
  <c r="BS89" i="41"/>
  <c r="BS2" i="41"/>
  <c r="V86" i="20"/>
  <c r="U90" i="20"/>
  <c r="BZ7" i="41" l="1"/>
  <c r="BT89" i="41"/>
  <c r="BT2" i="41"/>
  <c r="V90" i="20"/>
  <c r="W86" i="20"/>
  <c r="CA7" i="41" l="1"/>
  <c r="BU89" i="41"/>
  <c r="BU2" i="41"/>
  <c r="X86" i="20"/>
  <c r="W90" i="20"/>
  <c r="CB7" i="41" l="1"/>
  <c r="BV89" i="41"/>
  <c r="BV2" i="41"/>
  <c r="Y86" i="20"/>
  <c r="X90" i="20"/>
  <c r="CC7" i="41" l="1"/>
  <c r="BW89" i="41"/>
  <c r="BW2" i="41"/>
  <c r="Z86" i="20"/>
  <c r="Y90" i="20"/>
  <c r="CD7" i="41" l="1"/>
  <c r="BX89" i="41"/>
  <c r="BX2" i="41"/>
  <c r="AA86" i="20"/>
  <c r="Z90" i="20"/>
  <c r="CE7" i="41" l="1"/>
  <c r="BY89" i="41"/>
  <c r="BY2" i="41"/>
  <c r="AA90" i="20"/>
  <c r="AB86" i="20"/>
  <c r="CF7" i="41" l="1"/>
  <c r="BZ89" i="41"/>
  <c r="BZ2" i="41"/>
  <c r="AB90" i="20"/>
  <c r="AC86" i="20"/>
  <c r="CG7" i="41" l="1"/>
  <c r="CA89" i="41"/>
  <c r="CA2" i="41"/>
  <c r="AD86" i="20"/>
  <c r="AC90" i="20"/>
  <c r="CH7" i="41" l="1"/>
  <c r="CB89" i="41"/>
  <c r="CB2" i="41"/>
  <c r="AD90" i="20"/>
  <c r="AE86" i="20"/>
  <c r="CI7" i="41" l="1"/>
  <c r="CC89" i="41"/>
  <c r="CC2" i="41"/>
  <c r="AE90" i="20"/>
  <c r="AF86" i="20"/>
  <c r="CJ7" i="41" l="1"/>
  <c r="CD89" i="41"/>
  <c r="CD2" i="41"/>
  <c r="AF90" i="20"/>
  <c r="AG86" i="20"/>
  <c r="CK7" i="41" l="1"/>
  <c r="CE89" i="41"/>
  <c r="CE2" i="41"/>
  <c r="AH86" i="20"/>
  <c r="AG90" i="20"/>
  <c r="CL7" i="41" l="1"/>
  <c r="CF89" i="41"/>
  <c r="CF2" i="41"/>
  <c r="AI86" i="20"/>
  <c r="AH90" i="20"/>
  <c r="CM7" i="41" l="1"/>
  <c r="CG89" i="41"/>
  <c r="CG2" i="41"/>
  <c r="AJ86" i="20"/>
  <c r="AI90" i="20"/>
  <c r="CN7" i="41" l="1"/>
  <c r="CH89" i="41"/>
  <c r="CH2" i="41"/>
  <c r="AJ90" i="20"/>
  <c r="AK86" i="20"/>
  <c r="CO7" i="41" l="1"/>
  <c r="CI89" i="41"/>
  <c r="CI2" i="41"/>
  <c r="AK90" i="20"/>
  <c r="AL86" i="20"/>
  <c r="CP7" i="41" l="1"/>
  <c r="CJ89" i="41"/>
  <c r="CJ2" i="41"/>
  <c r="AL90" i="20"/>
  <c r="AM86" i="20"/>
  <c r="CQ7" i="41" l="1"/>
  <c r="CK89" i="41"/>
  <c r="CK2" i="41"/>
  <c r="AM90" i="20"/>
  <c r="AN86" i="20"/>
  <c r="CR7" i="41" l="1"/>
  <c r="CL89" i="41"/>
  <c r="CL2" i="41"/>
  <c r="AO86" i="20"/>
  <c r="AN90" i="20"/>
  <c r="CS7" i="41" l="1"/>
  <c r="CM89" i="41"/>
  <c r="CM2" i="41"/>
  <c r="AP86" i="20"/>
  <c r="AO90" i="20"/>
  <c r="CT7" i="41" l="1"/>
  <c r="CN89" i="41"/>
  <c r="CN2" i="41"/>
  <c r="AQ86" i="20"/>
  <c r="AP90" i="20"/>
  <c r="CU7" i="41" l="1"/>
  <c r="CO89" i="41"/>
  <c r="CO2" i="41"/>
  <c r="AQ90" i="20"/>
  <c r="AR86" i="20"/>
  <c r="CV7" i="41" l="1"/>
  <c r="CP89" i="41"/>
  <c r="CP2" i="41"/>
  <c r="AR90" i="20"/>
  <c r="AS86" i="20"/>
  <c r="CW7" i="41" l="1"/>
  <c r="CQ89" i="41"/>
  <c r="CQ2" i="41"/>
  <c r="AT86" i="20"/>
  <c r="AS90" i="20"/>
  <c r="CX7" i="41" l="1"/>
  <c r="CR89" i="41"/>
  <c r="CR2" i="41"/>
  <c r="AT90" i="20"/>
  <c r="AU86" i="20"/>
  <c r="CS89" i="41" l="1"/>
  <c r="CS2" i="41"/>
  <c r="AV86" i="20"/>
  <c r="AU90" i="20"/>
  <c r="CT89" i="41" l="1"/>
  <c r="CT2" i="41"/>
  <c r="AW86" i="20"/>
  <c r="AV90" i="20"/>
  <c r="CU89" i="41" l="1"/>
  <c r="CU2" i="41"/>
  <c r="AX86" i="20"/>
  <c r="AW90" i="20"/>
  <c r="CV89" i="41" l="1"/>
  <c r="CV2" i="41"/>
  <c r="AY86" i="20"/>
  <c r="AX90" i="20"/>
  <c r="CW89" i="41" l="1"/>
  <c r="CW2" i="41"/>
  <c r="AY90" i="20"/>
  <c r="AZ86" i="20"/>
  <c r="CX89" i="41" l="1"/>
  <c r="CX2" i="41"/>
  <c r="AZ90" i="20"/>
  <c r="BA86" i="20"/>
  <c r="BA90" i="20" l="1"/>
  <c r="BB86" i="20"/>
  <c r="BC86" i="20" l="1"/>
  <c r="BB90" i="20"/>
  <c r="BC90" i="20" l="1"/>
  <c r="BD86" i="20"/>
  <c r="BD90" i="20" l="1"/>
  <c r="BE86" i="20"/>
  <c r="BF86" i="20" l="1"/>
  <c r="BE90" i="20"/>
  <c r="BG86" i="20" l="1"/>
  <c r="BF90" i="20"/>
  <c r="BG90" i="20" l="1"/>
  <c r="BH86" i="20"/>
  <c r="BH90" i="20" l="1"/>
  <c r="BI86" i="20"/>
  <c r="BI90" i="20" s="1"/>
  <c r="D55" i="22" l="1"/>
  <c r="D4" i="35" l="1"/>
  <c r="D2" i="35"/>
  <c r="D3" i="35" l="1"/>
  <c r="E2" i="35"/>
  <c r="I3" i="19"/>
  <c r="L3" i="19" s="1"/>
  <c r="O3" i="19" s="1"/>
  <c r="R3" i="19" s="1"/>
  <c r="U3" i="19" s="1"/>
  <c r="X3" i="19" s="1"/>
  <c r="AA3" i="19" s="1"/>
  <c r="AD3" i="19" s="1"/>
  <c r="AG3" i="19" s="1"/>
  <c r="AJ3" i="19" s="1"/>
  <c r="AM3" i="19" s="1"/>
  <c r="AP3" i="19" s="1"/>
  <c r="AS3" i="19" s="1"/>
  <c r="AV3" i="19" s="1"/>
  <c r="AY3" i="19" s="1"/>
  <c r="BB3" i="19" s="1"/>
  <c r="BE3" i="19" s="1"/>
  <c r="BH3" i="19" s="1"/>
  <c r="BK3" i="19" s="1"/>
  <c r="BN3" i="19" s="1"/>
  <c r="BQ3" i="19" s="1"/>
  <c r="BT3" i="19" s="1"/>
  <c r="BW3" i="19" s="1"/>
  <c r="BZ3" i="19" s="1"/>
  <c r="CC3" i="19" s="1"/>
  <c r="CF3" i="19" s="1"/>
  <c r="CI3" i="19" s="1"/>
  <c r="CL3" i="19" s="1"/>
  <c r="CO3" i="19" s="1"/>
  <c r="CR3" i="19" s="1"/>
  <c r="CU3" i="19" s="1"/>
  <c r="CX3" i="19" s="1"/>
  <c r="DA3" i="19" s="1"/>
  <c r="DD3" i="19" s="1"/>
  <c r="DG3" i="19" s="1"/>
  <c r="DJ3" i="19" s="1"/>
  <c r="DM3" i="19" s="1"/>
  <c r="DP3" i="19" s="1"/>
  <c r="DS3" i="19" s="1"/>
  <c r="DV3" i="19" s="1"/>
  <c r="DY3" i="19" s="1"/>
  <c r="EB3" i="19" s="1"/>
  <c r="EE3" i="19" s="1"/>
  <c r="EH3" i="19" s="1"/>
  <c r="EK3" i="19" s="1"/>
  <c r="EN3" i="19" s="1"/>
  <c r="EQ3" i="19" s="1"/>
  <c r="ET3" i="19" s="1"/>
  <c r="EW3" i="19" s="1"/>
  <c r="EZ3" i="19" s="1"/>
  <c r="FC3" i="19" s="1"/>
  <c r="FF3" i="19" s="1"/>
  <c r="FI3" i="19" s="1"/>
  <c r="FL3" i="19" s="1"/>
  <c r="FO3" i="19" s="1"/>
  <c r="FR3" i="19" s="1"/>
  <c r="FU3" i="19" s="1"/>
  <c r="FX3" i="19" s="1"/>
  <c r="GA3" i="19" s="1"/>
  <c r="GD3" i="19" s="1"/>
  <c r="GG3" i="19" s="1"/>
  <c r="GJ3" i="19" s="1"/>
  <c r="GM3" i="19" s="1"/>
  <c r="GP3" i="19" s="1"/>
  <c r="GS3" i="19" s="1"/>
  <c r="GV3" i="19" s="1"/>
  <c r="GY3" i="19" s="1"/>
  <c r="HB3" i="19" s="1"/>
  <c r="HE3" i="19" s="1"/>
  <c r="HH3" i="19" s="1"/>
  <c r="HK3" i="19" s="1"/>
  <c r="HN3" i="19" s="1"/>
  <c r="HQ3" i="19" s="1"/>
  <c r="HT3" i="19" s="1"/>
  <c r="HW3" i="19" s="1"/>
  <c r="HZ3" i="19" s="1"/>
  <c r="IC3" i="19" s="1"/>
  <c r="IF3" i="19" s="1"/>
  <c r="II3" i="19" s="1"/>
  <c r="IL3" i="19" s="1"/>
  <c r="IO3" i="19" s="1"/>
  <c r="IR3" i="19" s="1"/>
  <c r="IU3" i="19" s="1"/>
  <c r="IX3" i="19" s="1"/>
  <c r="JA3" i="19" s="1"/>
  <c r="JD3" i="19" s="1"/>
  <c r="JG3" i="19" s="1"/>
  <c r="JJ3" i="19" s="1"/>
  <c r="JM3" i="19" s="1"/>
  <c r="JP3" i="19" s="1"/>
  <c r="JS3" i="19" s="1"/>
  <c r="JV3" i="19" s="1"/>
  <c r="JY3" i="19" s="1"/>
  <c r="KB3" i="19" s="1"/>
  <c r="H3" i="19"/>
  <c r="K3" i="19" s="1"/>
  <c r="N3" i="19" s="1"/>
  <c r="Q3" i="19" s="1"/>
  <c r="T3" i="19" s="1"/>
  <c r="W3" i="19" s="1"/>
  <c r="Z3" i="19" s="1"/>
  <c r="AC3" i="19" s="1"/>
  <c r="AF3" i="19" s="1"/>
  <c r="AI3" i="19" s="1"/>
  <c r="AL3" i="19" s="1"/>
  <c r="AO3" i="19" s="1"/>
  <c r="AR3" i="19" s="1"/>
  <c r="AU3" i="19" s="1"/>
  <c r="AX3" i="19" s="1"/>
  <c r="BA3" i="19" s="1"/>
  <c r="BD3" i="19" s="1"/>
  <c r="BG3" i="19" s="1"/>
  <c r="BJ3" i="19" s="1"/>
  <c r="BM3" i="19" s="1"/>
  <c r="BP3" i="19" s="1"/>
  <c r="BS3" i="19" s="1"/>
  <c r="BV3" i="19" s="1"/>
  <c r="BY3" i="19" s="1"/>
  <c r="CB3" i="19" s="1"/>
  <c r="CE3" i="19" s="1"/>
  <c r="CH3" i="19" s="1"/>
  <c r="CK3" i="19" s="1"/>
  <c r="CN3" i="19" s="1"/>
  <c r="CQ3" i="19" s="1"/>
  <c r="CT3" i="19" s="1"/>
  <c r="CW3" i="19" s="1"/>
  <c r="CZ3" i="19" s="1"/>
  <c r="DC3" i="19" s="1"/>
  <c r="DF3" i="19" s="1"/>
  <c r="DI3" i="19" s="1"/>
  <c r="DL3" i="19" s="1"/>
  <c r="DO3" i="19" s="1"/>
  <c r="DR3" i="19" s="1"/>
  <c r="DU3" i="19" s="1"/>
  <c r="DX3" i="19" s="1"/>
  <c r="EA3" i="19" s="1"/>
  <c r="ED3" i="19" s="1"/>
  <c r="EG3" i="19" s="1"/>
  <c r="EJ3" i="19" s="1"/>
  <c r="EM3" i="19" s="1"/>
  <c r="EP3" i="19" s="1"/>
  <c r="ES3" i="19" s="1"/>
  <c r="EV3" i="19" s="1"/>
  <c r="EY3" i="19" s="1"/>
  <c r="FB3" i="19" s="1"/>
  <c r="FE3" i="19" s="1"/>
  <c r="FH3" i="19" s="1"/>
  <c r="FK3" i="19" s="1"/>
  <c r="FN3" i="19" s="1"/>
  <c r="FQ3" i="19" s="1"/>
  <c r="FT3" i="19" s="1"/>
  <c r="FW3" i="19" s="1"/>
  <c r="FZ3" i="19" s="1"/>
  <c r="GC3" i="19" s="1"/>
  <c r="GF3" i="19" s="1"/>
  <c r="GI3" i="19" s="1"/>
  <c r="GL3" i="19" s="1"/>
  <c r="GO3" i="19" s="1"/>
  <c r="GR3" i="19" s="1"/>
  <c r="GU3" i="19" s="1"/>
  <c r="GX3" i="19" s="1"/>
  <c r="HA3" i="19" s="1"/>
  <c r="HD3" i="19" s="1"/>
  <c r="HG3" i="19" s="1"/>
  <c r="HJ3" i="19" s="1"/>
  <c r="HM3" i="19" s="1"/>
  <c r="HP3" i="19" s="1"/>
  <c r="HS3" i="19" s="1"/>
  <c r="HV3" i="19" s="1"/>
  <c r="HY3" i="19" s="1"/>
  <c r="IB3" i="19" s="1"/>
  <c r="IE3" i="19" s="1"/>
  <c r="IH3" i="19" s="1"/>
  <c r="IK3" i="19" s="1"/>
  <c r="IN3" i="19" s="1"/>
  <c r="IQ3" i="19" s="1"/>
  <c r="IT3" i="19" s="1"/>
  <c r="IW3" i="19" s="1"/>
  <c r="IZ3" i="19" s="1"/>
  <c r="JC3" i="19" s="1"/>
  <c r="JF3" i="19" s="1"/>
  <c r="JI3" i="19" s="1"/>
  <c r="JL3" i="19" s="1"/>
  <c r="JO3" i="19" s="1"/>
  <c r="JR3" i="19" s="1"/>
  <c r="JU3" i="19" s="1"/>
  <c r="JX3" i="19" s="1"/>
  <c r="KA3" i="19" s="1"/>
  <c r="G3" i="19"/>
  <c r="J3" i="19" l="1"/>
  <c r="F2" i="35"/>
  <c r="E3" i="35"/>
  <c r="A295" i="31"/>
  <c r="V295" i="31"/>
  <c r="M3" i="19" l="1"/>
  <c r="G2" i="35"/>
  <c r="F3" i="35"/>
  <c r="E55" i="32"/>
  <c r="D55" i="32"/>
  <c r="D45" i="32"/>
  <c r="P3" i="19" l="1"/>
  <c r="H2" i="35"/>
  <c r="G3" i="35"/>
  <c r="D74" i="20"/>
  <c r="E75" i="20"/>
  <c r="G15" i="20"/>
  <c r="J15" i="20" s="1"/>
  <c r="M15" i="20" s="1"/>
  <c r="P15" i="20" s="1"/>
  <c r="S15" i="20" s="1"/>
  <c r="V15" i="20" s="1"/>
  <c r="Y15" i="20" s="1"/>
  <c r="AB15" i="20" s="1"/>
  <c r="AE15" i="20" s="1"/>
  <c r="AH15" i="20" s="1"/>
  <c r="AK15" i="20" s="1"/>
  <c r="AN15" i="20" s="1"/>
  <c r="AQ15" i="20" s="1"/>
  <c r="AT15" i="20" s="1"/>
  <c r="AW15" i="20" s="1"/>
  <c r="AZ15" i="20" s="1"/>
  <c r="BC15" i="20" s="1"/>
  <c r="BF15" i="20" s="1"/>
  <c r="BI15" i="20" s="1"/>
  <c r="BL15" i="20" s="1"/>
  <c r="BO15" i="20" s="1"/>
  <c r="BR15" i="20" s="1"/>
  <c r="BU15" i="20" s="1"/>
  <c r="BX15" i="20" s="1"/>
  <c r="CA15" i="20" s="1"/>
  <c r="CD15" i="20" s="1"/>
  <c r="CG15" i="20" s="1"/>
  <c r="CJ15" i="20" s="1"/>
  <c r="CM15" i="20" s="1"/>
  <c r="CP15" i="20" s="1"/>
  <c r="CS15" i="20" s="1"/>
  <c r="CV15" i="20" s="1"/>
  <c r="CY15" i="20" s="1"/>
  <c r="DB15" i="20" s="1"/>
  <c r="DE15" i="20" s="1"/>
  <c r="DH15" i="20" s="1"/>
  <c r="DK15" i="20" s="1"/>
  <c r="DN15" i="20" s="1"/>
  <c r="DQ15" i="20" s="1"/>
  <c r="DT15" i="20" s="1"/>
  <c r="DW15" i="20" s="1"/>
  <c r="DZ15" i="20" s="1"/>
  <c r="E15" i="20"/>
  <c r="H15" i="20" s="1"/>
  <c r="K15" i="20" s="1"/>
  <c r="N15" i="20" s="1"/>
  <c r="Q15" i="20" s="1"/>
  <c r="T15" i="20" s="1"/>
  <c r="W15" i="20" s="1"/>
  <c r="Z15" i="20" s="1"/>
  <c r="AC15" i="20" s="1"/>
  <c r="AF15" i="20" s="1"/>
  <c r="AI15" i="20" s="1"/>
  <c r="AL15" i="20" s="1"/>
  <c r="AO15" i="20" s="1"/>
  <c r="AR15" i="20" s="1"/>
  <c r="AU15" i="20" s="1"/>
  <c r="AX15" i="20" s="1"/>
  <c r="BA15" i="20" s="1"/>
  <c r="BD15" i="20" s="1"/>
  <c r="BG15" i="20" s="1"/>
  <c r="BJ15" i="20" s="1"/>
  <c r="BM15" i="20" s="1"/>
  <c r="BP15" i="20" s="1"/>
  <c r="BS15" i="20" s="1"/>
  <c r="BV15" i="20" s="1"/>
  <c r="BY15" i="20" s="1"/>
  <c r="CB15" i="20" s="1"/>
  <c r="CE15" i="20" s="1"/>
  <c r="CH15" i="20" s="1"/>
  <c r="CK15" i="20" s="1"/>
  <c r="CN15" i="20" s="1"/>
  <c r="CQ15" i="20" s="1"/>
  <c r="CT15" i="20" s="1"/>
  <c r="CW15" i="20" s="1"/>
  <c r="CZ15" i="20" s="1"/>
  <c r="DC15" i="20" s="1"/>
  <c r="DF15" i="20" s="1"/>
  <c r="DI15" i="20" s="1"/>
  <c r="DL15" i="20" s="1"/>
  <c r="DO15" i="20" s="1"/>
  <c r="DR15" i="20" s="1"/>
  <c r="DU15" i="20" s="1"/>
  <c r="DX15" i="20" s="1"/>
  <c r="EA15" i="20" s="1"/>
  <c r="V63" i="31"/>
  <c r="U63" i="31"/>
  <c r="T63" i="31"/>
  <c r="S63" i="31"/>
  <c r="V56" i="31"/>
  <c r="U56" i="31"/>
  <c r="T56" i="31"/>
  <c r="S56" i="31"/>
  <c r="A42" i="30"/>
  <c r="G38" i="30"/>
  <c r="F297" i="31"/>
  <c r="C95" i="31"/>
  <c r="C100" i="31" s="1"/>
  <c r="C46" i="31"/>
  <c r="C342" i="31" s="1"/>
  <c r="A231" i="31"/>
  <c r="U231" i="31"/>
  <c r="A166" i="31"/>
  <c r="R40" i="31"/>
  <c r="A102" i="31"/>
  <c r="S3" i="19" l="1"/>
  <c r="F75" i="20"/>
  <c r="E74" i="20"/>
  <c r="I2" i="35"/>
  <c r="H3" i="35"/>
  <c r="F15" i="20"/>
  <c r="I15" i="20" s="1"/>
  <c r="L15" i="20" s="1"/>
  <c r="O15" i="20" s="1"/>
  <c r="R15" i="20" s="1"/>
  <c r="U15" i="20" s="1"/>
  <c r="X15" i="20" s="1"/>
  <c r="AA15" i="20" s="1"/>
  <c r="AD15" i="20" s="1"/>
  <c r="AG15" i="20" s="1"/>
  <c r="AJ15" i="20" s="1"/>
  <c r="AM15" i="20" s="1"/>
  <c r="AP15" i="20" s="1"/>
  <c r="AS15" i="20" s="1"/>
  <c r="AV15" i="20" s="1"/>
  <c r="AY15" i="20" s="1"/>
  <c r="BB15" i="20" s="1"/>
  <c r="BE15" i="20" s="1"/>
  <c r="BH15" i="20" s="1"/>
  <c r="BK15" i="20" s="1"/>
  <c r="BN15" i="20" s="1"/>
  <c r="BQ15" i="20" s="1"/>
  <c r="BT15" i="20" s="1"/>
  <c r="BW15" i="20" s="1"/>
  <c r="BZ15" i="20" s="1"/>
  <c r="CC15" i="20" s="1"/>
  <c r="CF15" i="20" s="1"/>
  <c r="CI15" i="20" s="1"/>
  <c r="CL15" i="20" s="1"/>
  <c r="CO15" i="20" s="1"/>
  <c r="CR15" i="20" s="1"/>
  <c r="CU15" i="20" s="1"/>
  <c r="CX15" i="20" s="1"/>
  <c r="DA15" i="20" s="1"/>
  <c r="DD15" i="20" s="1"/>
  <c r="DG15" i="20" s="1"/>
  <c r="DJ15" i="20" s="1"/>
  <c r="DM15" i="20" s="1"/>
  <c r="DP15" i="20" s="1"/>
  <c r="DS15" i="20" s="1"/>
  <c r="DV15" i="20" s="1"/>
  <c r="DY15" i="20" s="1"/>
  <c r="EB15" i="20" s="1"/>
  <c r="C159" i="31"/>
  <c r="C223" i="31" s="1"/>
  <c r="C288" i="31" s="1"/>
  <c r="A40" i="31"/>
  <c r="V3" i="19" l="1"/>
  <c r="G75" i="20"/>
  <c r="F74" i="20"/>
  <c r="J2" i="35"/>
  <c r="I3" i="35"/>
  <c r="B65" i="20"/>
  <c r="B64" i="20"/>
  <c r="B63" i="20"/>
  <c r="Y3" i="19" l="1"/>
  <c r="H75" i="20"/>
  <c r="G74" i="20"/>
  <c r="J3" i="35"/>
  <c r="K2" i="35"/>
  <c r="AB3" i="19" l="1"/>
  <c r="I75" i="20"/>
  <c r="H74" i="20"/>
  <c r="K3" i="35"/>
  <c r="L2" i="35"/>
  <c r="D13" i="26"/>
  <c r="D4" i="34"/>
  <c r="V42" i="30"/>
  <c r="J120" i="33"/>
  <c r="F122" i="33"/>
  <c r="F129" i="33" s="1"/>
  <c r="F123" i="33"/>
  <c r="F130" i="33" s="1"/>
  <c r="F124" i="33"/>
  <c r="F131" i="33" s="1"/>
  <c r="F125" i="33"/>
  <c r="F132" i="33" s="1"/>
  <c r="F121" i="33"/>
  <c r="F128" i="33" s="1"/>
  <c r="F103" i="33"/>
  <c r="F104" i="33"/>
  <c r="F105" i="33"/>
  <c r="F106" i="33"/>
  <c r="F102" i="33"/>
  <c r="D1" i="19"/>
  <c r="E1" i="19" s="1"/>
  <c r="F1" i="19" s="1"/>
  <c r="G1" i="19" s="1"/>
  <c r="H1" i="19" s="1"/>
  <c r="I1" i="19" s="1"/>
  <c r="J1" i="19" s="1"/>
  <c r="K1" i="19" s="1"/>
  <c r="L1" i="19" s="1"/>
  <c r="M1" i="19" s="1"/>
  <c r="N1" i="19" s="1"/>
  <c r="O1" i="19" s="1"/>
  <c r="P1" i="19" s="1"/>
  <c r="Q1" i="19" s="1"/>
  <c r="R1" i="19" s="1"/>
  <c r="S1" i="19" s="1"/>
  <c r="T1" i="19" s="1"/>
  <c r="U1" i="19" s="1"/>
  <c r="V1" i="19" s="1"/>
  <c r="W1" i="19" s="1"/>
  <c r="X1" i="19" s="1"/>
  <c r="Y1" i="19" s="1"/>
  <c r="Z1" i="19" s="1"/>
  <c r="AA1" i="19" s="1"/>
  <c r="AB1" i="19" s="1"/>
  <c r="AC1" i="19" s="1"/>
  <c r="AD1" i="19" s="1"/>
  <c r="AE1" i="19" s="1"/>
  <c r="AF1" i="19" s="1"/>
  <c r="AG1" i="19" s="1"/>
  <c r="AH1" i="19" s="1"/>
  <c r="AI1" i="19" s="1"/>
  <c r="AJ1" i="19" s="1"/>
  <c r="AK1" i="19" s="1"/>
  <c r="AL1" i="19" s="1"/>
  <c r="AM1" i="19" s="1"/>
  <c r="AN1" i="19" s="1"/>
  <c r="AO1" i="19" s="1"/>
  <c r="AP1" i="19" s="1"/>
  <c r="AQ1" i="19" s="1"/>
  <c r="AR1" i="19" s="1"/>
  <c r="AS1" i="19" s="1"/>
  <c r="AT1" i="19" s="1"/>
  <c r="AU1" i="19" s="1"/>
  <c r="AV1" i="19" s="1"/>
  <c r="AW1" i="19" s="1"/>
  <c r="AX1" i="19" s="1"/>
  <c r="AY1" i="19" s="1"/>
  <c r="AZ1" i="19" s="1"/>
  <c r="BA1" i="19" s="1"/>
  <c r="BB1" i="19" s="1"/>
  <c r="BC1" i="19" s="1"/>
  <c r="BD1" i="19" s="1"/>
  <c r="BE1" i="19" s="1"/>
  <c r="BF1" i="19" s="1"/>
  <c r="BG1" i="19" s="1"/>
  <c r="BH1" i="19" s="1"/>
  <c r="BI1" i="19" s="1"/>
  <c r="BJ1" i="19" s="1"/>
  <c r="BK1" i="19" s="1"/>
  <c r="BL1" i="19" s="1"/>
  <c r="BM1" i="19" s="1"/>
  <c r="BN1" i="19" s="1"/>
  <c r="BO1" i="19" s="1"/>
  <c r="BP1" i="19" s="1"/>
  <c r="BQ1" i="19" s="1"/>
  <c r="BR1" i="19" s="1"/>
  <c r="BS1" i="19" s="1"/>
  <c r="BT1" i="19" s="1"/>
  <c r="BU1" i="19" s="1"/>
  <c r="BV1" i="19" s="1"/>
  <c r="BW1" i="19" s="1"/>
  <c r="BX1" i="19" s="1"/>
  <c r="BY1" i="19" s="1"/>
  <c r="BZ1" i="19" s="1"/>
  <c r="CA1" i="19" s="1"/>
  <c r="CB1" i="19" s="1"/>
  <c r="CC1" i="19" s="1"/>
  <c r="CD1" i="19" s="1"/>
  <c r="CE1" i="19" s="1"/>
  <c r="CF1" i="19" s="1"/>
  <c r="CG1" i="19" s="1"/>
  <c r="CH1" i="19" s="1"/>
  <c r="CI1" i="19" s="1"/>
  <c r="CJ1" i="19" s="1"/>
  <c r="CK1" i="19" s="1"/>
  <c r="CL1" i="19" s="1"/>
  <c r="CM1" i="19" s="1"/>
  <c r="CN1" i="19" s="1"/>
  <c r="CO1" i="19" s="1"/>
  <c r="CP1" i="19" s="1"/>
  <c r="CQ1" i="19" s="1"/>
  <c r="CR1" i="19" s="1"/>
  <c r="CS1" i="19" s="1"/>
  <c r="CT1" i="19" s="1"/>
  <c r="CU1" i="19" s="1"/>
  <c r="CV1" i="19" s="1"/>
  <c r="CW1" i="19" s="1"/>
  <c r="CX1" i="19" s="1"/>
  <c r="CY1" i="19" s="1"/>
  <c r="CZ1" i="19" s="1"/>
  <c r="DA1" i="19" s="1"/>
  <c r="DB1" i="19" s="1"/>
  <c r="DC1" i="19" s="1"/>
  <c r="DD1" i="19" s="1"/>
  <c r="DE1" i="19" s="1"/>
  <c r="DF1" i="19" s="1"/>
  <c r="DG1" i="19" s="1"/>
  <c r="DH1" i="19" s="1"/>
  <c r="DI1" i="19" s="1"/>
  <c r="DJ1" i="19" s="1"/>
  <c r="DK1" i="19" s="1"/>
  <c r="DL1" i="19" s="1"/>
  <c r="DM1" i="19" s="1"/>
  <c r="DN1" i="19" s="1"/>
  <c r="DO1" i="19" s="1"/>
  <c r="DP1" i="19" s="1"/>
  <c r="DQ1" i="19" s="1"/>
  <c r="DR1" i="19" s="1"/>
  <c r="DS1" i="19" s="1"/>
  <c r="DT1" i="19" s="1"/>
  <c r="DU1" i="19" s="1"/>
  <c r="DV1" i="19" s="1"/>
  <c r="DW1" i="19" s="1"/>
  <c r="DX1" i="19" s="1"/>
  <c r="DY1" i="19" s="1"/>
  <c r="DZ1" i="19" s="1"/>
  <c r="EA1" i="19" s="1"/>
  <c r="EB1" i="19" s="1"/>
  <c r="EC1" i="19" s="1"/>
  <c r="ED1" i="19" s="1"/>
  <c r="EE1" i="19" s="1"/>
  <c r="EF1" i="19" s="1"/>
  <c r="EG1" i="19" s="1"/>
  <c r="EH1" i="19" s="1"/>
  <c r="EI1" i="19" s="1"/>
  <c r="EJ1" i="19" s="1"/>
  <c r="EK1" i="19" s="1"/>
  <c r="EL1" i="19" s="1"/>
  <c r="EM1" i="19" s="1"/>
  <c r="EN1" i="19" s="1"/>
  <c r="EO1" i="19" s="1"/>
  <c r="EP1" i="19" s="1"/>
  <c r="EQ1" i="19" s="1"/>
  <c r="ER1" i="19" s="1"/>
  <c r="ES1" i="19" s="1"/>
  <c r="ET1" i="19" s="1"/>
  <c r="EU1" i="19" s="1"/>
  <c r="EV1" i="19" s="1"/>
  <c r="EW1" i="19" s="1"/>
  <c r="EX1" i="19" s="1"/>
  <c r="EY1" i="19" s="1"/>
  <c r="EZ1" i="19" s="1"/>
  <c r="FA1" i="19" s="1"/>
  <c r="FB1" i="19" s="1"/>
  <c r="FC1" i="19" s="1"/>
  <c r="FD1" i="19" s="1"/>
  <c r="FE1" i="19" s="1"/>
  <c r="FF1" i="19" s="1"/>
  <c r="FG1" i="19" s="1"/>
  <c r="FH1" i="19" s="1"/>
  <c r="FI1" i="19" s="1"/>
  <c r="FJ1" i="19" s="1"/>
  <c r="FK1" i="19" s="1"/>
  <c r="FL1" i="19" s="1"/>
  <c r="FM1" i="19" s="1"/>
  <c r="FN1" i="19" s="1"/>
  <c r="FO1" i="19" s="1"/>
  <c r="FP1" i="19" s="1"/>
  <c r="FQ1" i="19" s="1"/>
  <c r="FR1" i="19" s="1"/>
  <c r="FS1" i="19" s="1"/>
  <c r="FT1" i="19" s="1"/>
  <c r="FU1" i="19" s="1"/>
  <c r="FV1" i="19" s="1"/>
  <c r="FW1" i="19" s="1"/>
  <c r="FX1" i="19" s="1"/>
  <c r="FY1" i="19" s="1"/>
  <c r="FZ1" i="19" s="1"/>
  <c r="GA1" i="19" s="1"/>
  <c r="GB1" i="19" s="1"/>
  <c r="GC1" i="19" s="1"/>
  <c r="GD1" i="19" s="1"/>
  <c r="GE1" i="19" s="1"/>
  <c r="GF1" i="19" s="1"/>
  <c r="GG1" i="19" s="1"/>
  <c r="GH1" i="19" s="1"/>
  <c r="GI1" i="19" s="1"/>
  <c r="GJ1" i="19" s="1"/>
  <c r="GK1" i="19" s="1"/>
  <c r="GL1" i="19" s="1"/>
  <c r="GM1" i="19" s="1"/>
  <c r="GN1" i="19" s="1"/>
  <c r="GO1" i="19" s="1"/>
  <c r="GP1" i="19" s="1"/>
  <c r="GQ1" i="19" s="1"/>
  <c r="GR1" i="19" s="1"/>
  <c r="GS1" i="19" s="1"/>
  <c r="GT1" i="19" s="1"/>
  <c r="GU1" i="19" s="1"/>
  <c r="GV1" i="19" s="1"/>
  <c r="GW1" i="19" s="1"/>
  <c r="GX1" i="19" s="1"/>
  <c r="GY1" i="19" s="1"/>
  <c r="GZ1" i="19" s="1"/>
  <c r="HA1" i="19" s="1"/>
  <c r="HB1" i="19" s="1"/>
  <c r="HC1" i="19" s="1"/>
  <c r="HD1" i="19" s="1"/>
  <c r="HE1" i="19" s="1"/>
  <c r="HF1" i="19" s="1"/>
  <c r="HG1" i="19" s="1"/>
  <c r="HH1" i="19" s="1"/>
  <c r="HI1" i="19" s="1"/>
  <c r="HJ1" i="19" s="1"/>
  <c r="HK1" i="19" s="1"/>
  <c r="HL1" i="19" s="1"/>
  <c r="HM1" i="19" s="1"/>
  <c r="HN1" i="19" s="1"/>
  <c r="HO1" i="19" s="1"/>
  <c r="HP1" i="19" s="1"/>
  <c r="HQ1" i="19" s="1"/>
  <c r="HR1" i="19" s="1"/>
  <c r="HS1" i="19" s="1"/>
  <c r="HT1" i="19" s="1"/>
  <c r="HU1" i="19" s="1"/>
  <c r="HV1" i="19" s="1"/>
  <c r="HW1" i="19" s="1"/>
  <c r="HX1" i="19" s="1"/>
  <c r="HY1" i="19" s="1"/>
  <c r="HZ1" i="19" s="1"/>
  <c r="IA1" i="19" s="1"/>
  <c r="IB1" i="19" s="1"/>
  <c r="IC1" i="19" s="1"/>
  <c r="ID1" i="19" s="1"/>
  <c r="IE1" i="19" s="1"/>
  <c r="IF1" i="19" s="1"/>
  <c r="IG1" i="19" s="1"/>
  <c r="IH1" i="19" s="1"/>
  <c r="II1" i="19" s="1"/>
  <c r="IJ1" i="19" s="1"/>
  <c r="IK1" i="19" s="1"/>
  <c r="IL1" i="19" s="1"/>
  <c r="IM1" i="19" s="1"/>
  <c r="IN1" i="19" s="1"/>
  <c r="IO1" i="19" s="1"/>
  <c r="IP1" i="19" s="1"/>
  <c r="IQ1" i="19" s="1"/>
  <c r="IR1" i="19" s="1"/>
  <c r="IS1" i="19" s="1"/>
  <c r="IT1" i="19" s="1"/>
  <c r="IU1" i="19" s="1"/>
  <c r="IV1" i="19" s="1"/>
  <c r="IW1" i="19" s="1"/>
  <c r="IX1" i="19" s="1"/>
  <c r="IY1" i="19" s="1"/>
  <c r="IZ1" i="19" s="1"/>
  <c r="JA1" i="19" s="1"/>
  <c r="JB1" i="19" s="1"/>
  <c r="JC1" i="19" s="1"/>
  <c r="JD1" i="19" s="1"/>
  <c r="JE1" i="19" s="1"/>
  <c r="JF1" i="19" s="1"/>
  <c r="JG1" i="19" s="1"/>
  <c r="JH1" i="19" s="1"/>
  <c r="JI1" i="19" s="1"/>
  <c r="JJ1" i="19" s="1"/>
  <c r="JK1" i="19" s="1"/>
  <c r="JL1" i="19" s="1"/>
  <c r="JM1" i="19" s="1"/>
  <c r="JN1" i="19" s="1"/>
  <c r="JO1" i="19" s="1"/>
  <c r="JP1" i="19" s="1"/>
  <c r="JQ1" i="19" s="1"/>
  <c r="JR1" i="19" s="1"/>
  <c r="JS1" i="19" s="1"/>
  <c r="JT1" i="19" s="1"/>
  <c r="JU1" i="19" s="1"/>
  <c r="JV1" i="19" s="1"/>
  <c r="JW1" i="19" s="1"/>
  <c r="JX1" i="19" s="1"/>
  <c r="JY1" i="19" s="1"/>
  <c r="JZ1" i="19" s="1"/>
  <c r="KA1" i="19" s="1"/>
  <c r="KB1" i="19" s="1"/>
  <c r="F94" i="33"/>
  <c r="F95" i="33"/>
  <c r="F96" i="33"/>
  <c r="F97" i="33"/>
  <c r="F93" i="33"/>
  <c r="D5" i="33"/>
  <c r="E5" i="33"/>
  <c r="F5" i="33"/>
  <c r="F30" i="33" s="1"/>
  <c r="F37" i="33" s="1"/>
  <c r="G5" i="33"/>
  <c r="F46" i="33" s="1"/>
  <c r="F53" i="33" s="1"/>
  <c r="H5" i="33"/>
  <c r="F62" i="33" s="1"/>
  <c r="F69" i="33" s="1"/>
  <c r="I5" i="33"/>
  <c r="F78" i="33" s="1"/>
  <c r="F85" i="33" s="1"/>
  <c r="D6" i="33"/>
  <c r="E6" i="33"/>
  <c r="F6" i="33"/>
  <c r="F31" i="33" s="1"/>
  <c r="F38" i="33" s="1"/>
  <c r="G6" i="33"/>
  <c r="F47" i="33" s="1"/>
  <c r="F54" i="33" s="1"/>
  <c r="H6" i="33"/>
  <c r="F63" i="33" s="1"/>
  <c r="F70" i="33" s="1"/>
  <c r="I6" i="33"/>
  <c r="F79" i="33" s="1"/>
  <c r="F86" i="33" s="1"/>
  <c r="D7" i="33"/>
  <c r="E7" i="33"/>
  <c r="F7" i="33"/>
  <c r="F32" i="33" s="1"/>
  <c r="F39" i="33" s="1"/>
  <c r="G7" i="33"/>
  <c r="F48" i="33" s="1"/>
  <c r="F55" i="33" s="1"/>
  <c r="H7" i="33"/>
  <c r="F64" i="33" s="1"/>
  <c r="F71" i="33" s="1"/>
  <c r="I7" i="33"/>
  <c r="F80" i="33" s="1"/>
  <c r="F87" i="33" s="1"/>
  <c r="D8" i="33"/>
  <c r="E8" i="33"/>
  <c r="F8" i="33"/>
  <c r="F33" i="33" s="1"/>
  <c r="F40" i="33" s="1"/>
  <c r="G8" i="33"/>
  <c r="F49" i="33" s="1"/>
  <c r="F56" i="33" s="1"/>
  <c r="H8" i="33"/>
  <c r="F65" i="33" s="1"/>
  <c r="F72" i="33" s="1"/>
  <c r="I8" i="33"/>
  <c r="F81" i="33" s="1"/>
  <c r="F88" i="33" s="1"/>
  <c r="H4" i="33"/>
  <c r="F61" i="33" s="1"/>
  <c r="F68" i="33" s="1"/>
  <c r="G4" i="33"/>
  <c r="F45" i="33" s="1"/>
  <c r="F52" i="33" s="1"/>
  <c r="F4" i="33"/>
  <c r="F29" i="33" s="1"/>
  <c r="F36" i="33" s="1"/>
  <c r="E4" i="33"/>
  <c r="D4" i="33"/>
  <c r="D14" i="33"/>
  <c r="D21" i="33" s="1"/>
  <c r="D30" i="33" s="1"/>
  <c r="D37" i="33" s="1"/>
  <c r="D46" i="33" s="1"/>
  <c r="D53" i="33" s="1"/>
  <c r="D62" i="33" s="1"/>
  <c r="D69" i="33" s="1"/>
  <c r="D78" i="33" s="1"/>
  <c r="D85" i="33" s="1"/>
  <c r="D94" i="33" s="1"/>
  <c r="D103" i="33" s="1"/>
  <c r="D112" i="33" s="1"/>
  <c r="D122" i="33" s="1"/>
  <c r="D129" i="33" s="1"/>
  <c r="D15" i="33"/>
  <c r="D22" i="33" s="1"/>
  <c r="D31" i="33" s="1"/>
  <c r="D38" i="33" s="1"/>
  <c r="D47" i="33" s="1"/>
  <c r="D54" i="33" s="1"/>
  <c r="D63" i="33" s="1"/>
  <c r="D70" i="33" s="1"/>
  <c r="D79" i="33" s="1"/>
  <c r="D86" i="33" s="1"/>
  <c r="D95" i="33" s="1"/>
  <c r="D104" i="33" s="1"/>
  <c r="D113" i="33" s="1"/>
  <c r="D123" i="33" s="1"/>
  <c r="D130" i="33" s="1"/>
  <c r="D16" i="33"/>
  <c r="D23" i="33" s="1"/>
  <c r="D32" i="33" s="1"/>
  <c r="D39" i="33" s="1"/>
  <c r="D48" i="33" s="1"/>
  <c r="D55" i="33" s="1"/>
  <c r="D64" i="33" s="1"/>
  <c r="D71" i="33" s="1"/>
  <c r="D80" i="33" s="1"/>
  <c r="D87" i="33" s="1"/>
  <c r="D96" i="33" s="1"/>
  <c r="D105" i="33" s="1"/>
  <c r="D114" i="33" s="1"/>
  <c r="D124" i="33" s="1"/>
  <c r="D131" i="33" s="1"/>
  <c r="D17" i="33"/>
  <c r="D24" i="33" s="1"/>
  <c r="D13" i="33"/>
  <c r="D20" i="33" s="1"/>
  <c r="D29" i="33" s="1"/>
  <c r="D36" i="33" s="1"/>
  <c r="D45" i="33" s="1"/>
  <c r="D52" i="33" s="1"/>
  <c r="D61" i="33" s="1"/>
  <c r="D68" i="33" s="1"/>
  <c r="D77" i="33" s="1"/>
  <c r="D84" i="33" s="1"/>
  <c r="D93" i="33" s="1"/>
  <c r="D102" i="33" s="1"/>
  <c r="D111" i="33" s="1"/>
  <c r="D121" i="33" s="1"/>
  <c r="D128" i="33" s="1"/>
  <c r="G13" i="33"/>
  <c r="I4" i="33"/>
  <c r="F77" i="33" s="1"/>
  <c r="F84" i="33" s="1"/>
  <c r="AE3" i="19" l="1"/>
  <c r="J75" i="20"/>
  <c r="I74" i="20"/>
  <c r="L3" i="35"/>
  <c r="M2" i="35"/>
  <c r="F13" i="33"/>
  <c r="F20" i="33" s="1"/>
  <c r="F17" i="33"/>
  <c r="F24" i="33" s="1"/>
  <c r="F16" i="33"/>
  <c r="F23" i="33" s="1"/>
  <c r="F14" i="33"/>
  <c r="F21" i="33" s="1"/>
  <c r="J6" i="33"/>
  <c r="K6" i="33" s="1"/>
  <c r="F15" i="33"/>
  <c r="F22" i="33" s="1"/>
  <c r="J4" i="33"/>
  <c r="K4" i="33" s="1"/>
  <c r="J7" i="33"/>
  <c r="K7" i="33" s="1"/>
  <c r="J8" i="33"/>
  <c r="K8" i="33" s="1"/>
  <c r="J5" i="33"/>
  <c r="K5" i="33" s="1"/>
  <c r="D33" i="33"/>
  <c r="D40" i="33" s="1"/>
  <c r="G20" i="33"/>
  <c r="AH3" i="19" l="1"/>
  <c r="K75" i="20"/>
  <c r="J74" i="20"/>
  <c r="N2" i="35"/>
  <c r="M3" i="35"/>
  <c r="D49" i="33"/>
  <c r="D56" i="33" s="1"/>
  <c r="G29" i="33"/>
  <c r="AK3" i="19" l="1"/>
  <c r="AN3" i="19" s="1"/>
  <c r="AQ3" i="19" s="1"/>
  <c r="AT3" i="19" s="1"/>
  <c r="AW3" i="19" s="1"/>
  <c r="AZ3" i="19" s="1"/>
  <c r="BC3" i="19" s="1"/>
  <c r="BF3" i="19" s="1"/>
  <c r="BI3" i="19" s="1"/>
  <c r="BL3" i="19" s="1"/>
  <c r="BO3" i="19" s="1"/>
  <c r="BR3" i="19" s="1"/>
  <c r="BU3" i="19" s="1"/>
  <c r="BX3" i="19" s="1"/>
  <c r="CA3" i="19" s="1"/>
  <c r="CD3" i="19" s="1"/>
  <c r="CG3" i="19" s="1"/>
  <c r="CJ3" i="19" s="1"/>
  <c r="CM3" i="19" s="1"/>
  <c r="CP3" i="19" s="1"/>
  <c r="CS3" i="19" s="1"/>
  <c r="CV3" i="19" s="1"/>
  <c r="CY3" i="19" s="1"/>
  <c r="DB3" i="19" s="1"/>
  <c r="DE3" i="19" s="1"/>
  <c r="DH3" i="19" s="1"/>
  <c r="DK3" i="19" s="1"/>
  <c r="DN3" i="19" s="1"/>
  <c r="DQ3" i="19" s="1"/>
  <c r="DT3" i="19" s="1"/>
  <c r="DW3" i="19" s="1"/>
  <c r="DZ3" i="19" s="1"/>
  <c r="EC3" i="19" s="1"/>
  <c r="EF3" i="19" s="1"/>
  <c r="EI3" i="19" s="1"/>
  <c r="EL3" i="19" s="1"/>
  <c r="EO3" i="19" s="1"/>
  <c r="ER3" i="19" s="1"/>
  <c r="EU3" i="19" s="1"/>
  <c r="EX3" i="19" s="1"/>
  <c r="FA3" i="19" s="1"/>
  <c r="FD3" i="19" s="1"/>
  <c r="FG3" i="19" s="1"/>
  <c r="FJ3" i="19" s="1"/>
  <c r="FM3" i="19" s="1"/>
  <c r="FP3" i="19" s="1"/>
  <c r="FS3" i="19" s="1"/>
  <c r="FV3" i="19" s="1"/>
  <c r="FY3" i="19" s="1"/>
  <c r="GB3" i="19" s="1"/>
  <c r="GE3" i="19" s="1"/>
  <c r="GH3" i="19" s="1"/>
  <c r="GK3" i="19" s="1"/>
  <c r="GN3" i="19" s="1"/>
  <c r="GQ3" i="19" s="1"/>
  <c r="GT3" i="19" s="1"/>
  <c r="GW3" i="19" s="1"/>
  <c r="GZ3" i="19" s="1"/>
  <c r="HC3" i="19" s="1"/>
  <c r="HF3" i="19" s="1"/>
  <c r="HI3" i="19" s="1"/>
  <c r="HL3" i="19" s="1"/>
  <c r="HO3" i="19" s="1"/>
  <c r="HR3" i="19" s="1"/>
  <c r="HU3" i="19" s="1"/>
  <c r="HX3" i="19" s="1"/>
  <c r="IA3" i="19" s="1"/>
  <c r="ID3" i="19" s="1"/>
  <c r="IG3" i="19" s="1"/>
  <c r="IJ3" i="19" s="1"/>
  <c r="IM3" i="19" s="1"/>
  <c r="IP3" i="19" s="1"/>
  <c r="IS3" i="19" s="1"/>
  <c r="IV3" i="19" s="1"/>
  <c r="IY3" i="19" s="1"/>
  <c r="JB3" i="19" s="1"/>
  <c r="JE3" i="19" s="1"/>
  <c r="JH3" i="19" s="1"/>
  <c r="JK3" i="19" s="1"/>
  <c r="JN3" i="19" s="1"/>
  <c r="JQ3" i="19" s="1"/>
  <c r="JT3" i="19" s="1"/>
  <c r="JW3" i="19" s="1"/>
  <c r="JZ3" i="19" s="1"/>
  <c r="L75" i="20"/>
  <c r="K74" i="20"/>
  <c r="O2" i="35"/>
  <c r="N3" i="35"/>
  <c r="D65" i="33"/>
  <c r="D72" i="33" s="1"/>
  <c r="G36" i="33"/>
  <c r="D7" i="35" l="1"/>
  <c r="BW16" i="41"/>
  <c r="BT16" i="41"/>
  <c r="L16" i="41"/>
  <c r="Y16" i="41"/>
  <c r="BX16" i="41"/>
  <c r="CE16" i="41"/>
  <c r="CW16" i="41"/>
  <c r="K16" i="41"/>
  <c r="AE16" i="41"/>
  <c r="M16" i="41"/>
  <c r="S16" i="41"/>
  <c r="AD16" i="41"/>
  <c r="BQ16" i="41"/>
  <c r="Z16" i="41"/>
  <c r="E16" i="41"/>
  <c r="AN16" i="41"/>
  <c r="CK16" i="41"/>
  <c r="AB16" i="41"/>
  <c r="BG16" i="41"/>
  <c r="G16" i="41"/>
  <c r="BB16" i="41"/>
  <c r="AC16" i="41"/>
  <c r="V16" i="41"/>
  <c r="BM16" i="41"/>
  <c r="CB16" i="41"/>
  <c r="Q16" i="41"/>
  <c r="BH16" i="41"/>
  <c r="P16" i="41"/>
  <c r="CS16" i="41"/>
  <c r="T16" i="41"/>
  <c r="AS16" i="41"/>
  <c r="AL16" i="41"/>
  <c r="AA16" i="41"/>
  <c r="H16" i="41"/>
  <c r="BZ16" i="41"/>
  <c r="BU16" i="41"/>
  <c r="BN16" i="41"/>
  <c r="AY16" i="41"/>
  <c r="CL16" i="41"/>
  <c r="AI16" i="41"/>
  <c r="CA16" i="41"/>
  <c r="CG16" i="41"/>
  <c r="AZ16" i="41"/>
  <c r="AX16" i="41"/>
  <c r="O16" i="41"/>
  <c r="CF16" i="41"/>
  <c r="CX16" i="41"/>
  <c r="BK16" i="41"/>
  <c r="AJ16" i="41"/>
  <c r="AO16" i="41"/>
  <c r="CM16" i="41"/>
  <c r="BJ16" i="41"/>
  <c r="CU16" i="41"/>
  <c r="CT16" i="41"/>
  <c r="CP16" i="41"/>
  <c r="AM16" i="41"/>
  <c r="BL16" i="41"/>
  <c r="CI16" i="41"/>
  <c r="I16" i="41"/>
  <c r="N16" i="41"/>
  <c r="BD16" i="41"/>
  <c r="CV16" i="41"/>
  <c r="X16" i="41"/>
  <c r="AK16" i="41"/>
  <c r="AW16" i="41"/>
  <c r="CN16" i="41"/>
  <c r="BS16" i="41"/>
  <c r="CJ16" i="41"/>
  <c r="F16" i="41"/>
  <c r="BI16" i="41"/>
  <c r="W16" i="41"/>
  <c r="CQ16" i="41"/>
  <c r="AV16" i="41"/>
  <c r="AF16" i="41"/>
  <c r="AT16" i="41"/>
  <c r="BE16" i="41"/>
  <c r="CR16" i="41"/>
  <c r="BA16" i="41"/>
  <c r="CD16" i="41"/>
  <c r="BY16" i="41"/>
  <c r="R16" i="41"/>
  <c r="AP16" i="41"/>
  <c r="CO16" i="41"/>
  <c r="BR16" i="41"/>
  <c r="AU16" i="41"/>
  <c r="AH16" i="41"/>
  <c r="CC16" i="41"/>
  <c r="U16" i="41"/>
  <c r="CH16" i="41"/>
  <c r="AQ16" i="41"/>
  <c r="AR16" i="41"/>
  <c r="J16" i="41"/>
  <c r="BO16" i="41"/>
  <c r="BF16" i="41"/>
  <c r="AG16" i="41"/>
  <c r="BC16" i="41"/>
  <c r="D16" i="41"/>
  <c r="BV16" i="41"/>
  <c r="BP16" i="41"/>
  <c r="M75" i="20"/>
  <c r="L74" i="20"/>
  <c r="P2" i="35"/>
  <c r="O3" i="35"/>
  <c r="D81" i="33"/>
  <c r="D88" i="33" s="1"/>
  <c r="G45" i="33"/>
  <c r="E4" i="35" l="1"/>
  <c r="D9" i="35"/>
  <c r="D10" i="35" s="1"/>
  <c r="N75" i="20"/>
  <c r="M74" i="20"/>
  <c r="Q2" i="35"/>
  <c r="P3" i="35"/>
  <c r="D97" i="33"/>
  <c r="D106" i="33" s="1"/>
  <c r="D115" i="33" s="1"/>
  <c r="D125" i="33" s="1"/>
  <c r="D132" i="33" s="1"/>
  <c r="G52" i="33"/>
  <c r="O75" i="20" l="1"/>
  <c r="N74" i="20"/>
  <c r="R2" i="35"/>
  <c r="Q3" i="35"/>
  <c r="G61" i="33"/>
  <c r="P75" i="20" l="1"/>
  <c r="O74" i="20"/>
  <c r="R3" i="35"/>
  <c r="S2" i="35"/>
  <c r="G68" i="33"/>
  <c r="Q75" i="20" l="1"/>
  <c r="P74" i="20"/>
  <c r="S3" i="35"/>
  <c r="T2" i="35"/>
  <c r="G77" i="33"/>
  <c r="R75" i="20" l="1"/>
  <c r="Q74" i="20"/>
  <c r="T3" i="35"/>
  <c r="U2" i="35"/>
  <c r="G84" i="33"/>
  <c r="S75" i="20" l="1"/>
  <c r="R74" i="20"/>
  <c r="V2" i="35"/>
  <c r="U3" i="35"/>
  <c r="G93" i="33"/>
  <c r="T75" i="20" l="1"/>
  <c r="S74" i="20"/>
  <c r="W2" i="35"/>
  <c r="V3" i="35"/>
  <c r="G102" i="33"/>
  <c r="G111" i="33" s="1"/>
  <c r="G121" i="33" s="1"/>
  <c r="G128" i="33" s="1"/>
  <c r="U75" i="20" l="1"/>
  <c r="T74" i="20"/>
  <c r="X2" i="35"/>
  <c r="W3" i="35"/>
  <c r="D45" i="1"/>
  <c r="E4" i="32"/>
  <c r="G39" i="30"/>
  <c r="H39" i="30" s="1"/>
  <c r="I39" i="30" s="1"/>
  <c r="J39" i="30" s="1"/>
  <c r="K39" i="30" s="1"/>
  <c r="L39" i="30" s="1"/>
  <c r="M39" i="30" s="1"/>
  <c r="N39" i="30" s="1"/>
  <c r="O39" i="30" s="1"/>
  <c r="P39" i="30" s="1"/>
  <c r="Q39" i="30" s="1"/>
  <c r="R39" i="30" s="1"/>
  <c r="S39" i="30" s="1"/>
  <c r="T39" i="30" s="1"/>
  <c r="U39" i="30" s="1"/>
  <c r="V39" i="30" s="1"/>
  <c r="C33" i="30"/>
  <c r="C18" i="30"/>
  <c r="B4" i="30"/>
  <c r="B5" i="30"/>
  <c r="B8" i="30"/>
  <c r="B9" i="30"/>
  <c r="B10" i="30"/>
  <c r="B12" i="30"/>
  <c r="B17" i="30"/>
  <c r="B18" i="30"/>
  <c r="B19" i="30"/>
  <c r="B23" i="30"/>
  <c r="B25" i="30"/>
  <c r="B26" i="30"/>
  <c r="B27" i="30"/>
  <c r="B29" i="30"/>
  <c r="B30" i="30"/>
  <c r="B22" i="30"/>
  <c r="B86" i="19"/>
  <c r="C293" i="31"/>
  <c r="C40" i="30" s="1"/>
  <c r="C46" i="30" s="1"/>
  <c r="D288" i="31"/>
  <c r="C229" i="31"/>
  <c r="D223" i="31"/>
  <c r="E223" i="31" s="1"/>
  <c r="T166" i="31"/>
  <c r="C164" i="31"/>
  <c r="C172" i="31" s="1"/>
  <c r="D159" i="31"/>
  <c r="E159" i="31" s="1"/>
  <c r="S102" i="31"/>
  <c r="C108" i="31"/>
  <c r="D99" i="31"/>
  <c r="E99" i="31" s="1"/>
  <c r="F99" i="31" s="1"/>
  <c r="G99" i="31" s="1"/>
  <c r="H99" i="31" s="1"/>
  <c r="I99" i="31" s="1"/>
  <c r="J99" i="31" s="1"/>
  <c r="K99" i="31" s="1"/>
  <c r="L99" i="31" s="1"/>
  <c r="M99" i="31" s="1"/>
  <c r="N99" i="31" s="1"/>
  <c r="O99" i="31" s="1"/>
  <c r="P99" i="31" s="1"/>
  <c r="Q99" i="31" s="1"/>
  <c r="R99" i="31" s="1"/>
  <c r="S99" i="31" s="1"/>
  <c r="T99" i="31" s="1"/>
  <c r="U99" i="31" s="1"/>
  <c r="V99" i="31" s="1"/>
  <c r="C38" i="31"/>
  <c r="C45" i="31" s="1"/>
  <c r="C53" i="31" s="1"/>
  <c r="C62" i="31" s="1"/>
  <c r="D37" i="31"/>
  <c r="E37" i="31" s="1"/>
  <c r="F37" i="31" s="1"/>
  <c r="G37" i="31" s="1"/>
  <c r="H37" i="31" s="1"/>
  <c r="I37" i="31" s="1"/>
  <c r="J37" i="31" s="1"/>
  <c r="K37" i="31" s="1"/>
  <c r="L37" i="31" s="1"/>
  <c r="M37" i="31" s="1"/>
  <c r="N37" i="31" s="1"/>
  <c r="O37" i="31" s="1"/>
  <c r="P37" i="31" s="1"/>
  <c r="Q37" i="31" s="1"/>
  <c r="R37" i="31" s="1"/>
  <c r="S37" i="31" s="1"/>
  <c r="T37" i="31" s="1"/>
  <c r="U37" i="31" s="1"/>
  <c r="V37" i="31" s="1"/>
  <c r="D33" i="31"/>
  <c r="V75" i="20" l="1"/>
  <c r="U74" i="20"/>
  <c r="Y2" i="35"/>
  <c r="X3" i="35"/>
  <c r="C117" i="31"/>
  <c r="C126" i="31" s="1"/>
  <c r="E45" i="32"/>
  <c r="D38" i="31"/>
  <c r="D45" i="31" s="1"/>
  <c r="D47" i="31" s="1"/>
  <c r="D95" i="31"/>
  <c r="D100" i="31" s="1"/>
  <c r="D108" i="31" s="1"/>
  <c r="C55" i="30"/>
  <c r="C66" i="30" s="1"/>
  <c r="E4" i="34"/>
  <c r="D33" i="30"/>
  <c r="F4" i="32"/>
  <c r="D40" i="30"/>
  <c r="D46" i="30" s="1"/>
  <c r="D55" i="30" s="1"/>
  <c r="D66" i="30" s="1"/>
  <c r="E33" i="31"/>
  <c r="E164" i="31"/>
  <c r="E172" i="31" s="1"/>
  <c r="F159" i="31"/>
  <c r="C181" i="31"/>
  <c r="C190" i="31" s="1"/>
  <c r="D164" i="31"/>
  <c r="D172" i="31" s="1"/>
  <c r="F223" i="31"/>
  <c r="E229" i="31"/>
  <c r="E237" i="31" s="1"/>
  <c r="C237" i="31"/>
  <c r="D229" i="31"/>
  <c r="D237" i="31" s="1"/>
  <c r="C301" i="31"/>
  <c r="C341" i="31" s="1"/>
  <c r="C350" i="31" s="1"/>
  <c r="C360" i="31" s="1"/>
  <c r="D293" i="31"/>
  <c r="D301" i="31" s="1"/>
  <c r="D341" i="31" s="1"/>
  <c r="D350" i="31" s="1"/>
  <c r="D360" i="31" s="1"/>
  <c r="E288" i="31"/>
  <c r="W75" i="20" l="1"/>
  <c r="V74" i="20"/>
  <c r="Z2" i="35"/>
  <c r="Y3" i="35"/>
  <c r="F45" i="32"/>
  <c r="E33" i="30"/>
  <c r="C48" i="30" s="1"/>
  <c r="E95" i="31"/>
  <c r="E100" i="31" s="1"/>
  <c r="E108" i="31" s="1"/>
  <c r="F4" i="34"/>
  <c r="G4" i="32"/>
  <c r="E40" i="30"/>
  <c r="E46" i="30" s="1"/>
  <c r="D53" i="31"/>
  <c r="D62" i="31" s="1"/>
  <c r="D117" i="31"/>
  <c r="D126" i="31" s="1"/>
  <c r="E181" i="31"/>
  <c r="E190" i="31" s="1"/>
  <c r="D309" i="31"/>
  <c r="D319" i="31" s="1"/>
  <c r="D181" i="31"/>
  <c r="D190" i="31" s="1"/>
  <c r="C309" i="31"/>
  <c r="C319" i="31" s="1"/>
  <c r="F164" i="31"/>
  <c r="F172" i="31" s="1"/>
  <c r="G159" i="31"/>
  <c r="D245" i="31"/>
  <c r="D254" i="31" s="1"/>
  <c r="E245" i="31"/>
  <c r="E254" i="31" s="1"/>
  <c r="C245" i="31"/>
  <c r="C254" i="31" s="1"/>
  <c r="F33" i="31"/>
  <c r="E38" i="31"/>
  <c r="F288" i="31"/>
  <c r="E293" i="31"/>
  <c r="E301" i="31" s="1"/>
  <c r="E341" i="31" s="1"/>
  <c r="E350" i="31" s="1"/>
  <c r="E360" i="31" s="1"/>
  <c r="F229" i="31"/>
  <c r="F237" i="31" s="1"/>
  <c r="G223" i="31"/>
  <c r="X75" i="20" l="1"/>
  <c r="W74" i="20"/>
  <c r="Z3" i="35"/>
  <c r="AA2" i="35"/>
  <c r="G45" i="32"/>
  <c r="E55" i="30"/>
  <c r="E66" i="30" s="1"/>
  <c r="G4" i="34"/>
  <c r="F33" i="30"/>
  <c r="F95" i="31"/>
  <c r="F100" i="31" s="1"/>
  <c r="H4" i="32"/>
  <c r="F40" i="30"/>
  <c r="F46" i="30" s="1"/>
  <c r="G229" i="31"/>
  <c r="H223" i="31"/>
  <c r="E309" i="31"/>
  <c r="E319" i="31" s="1"/>
  <c r="F181" i="31"/>
  <c r="F190" i="31" s="1"/>
  <c r="E45" i="31"/>
  <c r="E47" i="31" s="1"/>
  <c r="H159" i="31"/>
  <c r="G164" i="31"/>
  <c r="G288" i="31"/>
  <c r="F293" i="31"/>
  <c r="E117" i="31"/>
  <c r="E126" i="31" s="1"/>
  <c r="G33" i="31"/>
  <c r="F38" i="31"/>
  <c r="F245" i="31"/>
  <c r="F254" i="31" s="1"/>
  <c r="Y75" i="20" l="1"/>
  <c r="X74" i="20"/>
  <c r="AA3" i="35"/>
  <c r="AB2" i="35"/>
  <c r="H45" i="32"/>
  <c r="H4" i="34"/>
  <c r="G33" i="30"/>
  <c r="G95" i="31"/>
  <c r="G100" i="31" s="1"/>
  <c r="F55" i="30"/>
  <c r="F66" i="30" s="1"/>
  <c r="I4" i="32"/>
  <c r="G40" i="30"/>
  <c r="G46" i="30" s="1"/>
  <c r="F45" i="31"/>
  <c r="F47" i="31" s="1"/>
  <c r="F301" i="31"/>
  <c r="F341" i="31" s="1"/>
  <c r="F350" i="31" s="1"/>
  <c r="F360" i="31" s="1"/>
  <c r="G172" i="31"/>
  <c r="I159" i="31"/>
  <c r="H164" i="31"/>
  <c r="H172" i="31" s="1"/>
  <c r="H229" i="31"/>
  <c r="I223" i="31"/>
  <c r="G38" i="31"/>
  <c r="H33" i="31"/>
  <c r="G237" i="31"/>
  <c r="E53" i="31"/>
  <c r="E62" i="31" s="1"/>
  <c r="H288" i="31"/>
  <c r="G293" i="31"/>
  <c r="G301" i="31" s="1"/>
  <c r="G341" i="31" s="1"/>
  <c r="G350" i="31" s="1"/>
  <c r="G360" i="31" s="1"/>
  <c r="F108" i="31"/>
  <c r="Z75" i="20" l="1"/>
  <c r="Y74" i="20"/>
  <c r="AB3" i="35"/>
  <c r="AC2" i="35"/>
  <c r="I4" i="34"/>
  <c r="I45" i="32"/>
  <c r="H33" i="30"/>
  <c r="H95" i="31"/>
  <c r="H100" i="31" s="1"/>
  <c r="G55" i="30"/>
  <c r="G66" i="30" s="1"/>
  <c r="J4" i="32"/>
  <c r="H40" i="30"/>
  <c r="H46" i="30" s="1"/>
  <c r="J223" i="31"/>
  <c r="I229" i="31"/>
  <c r="H237" i="31"/>
  <c r="G245" i="31"/>
  <c r="G254" i="31" s="1"/>
  <c r="H181" i="31"/>
  <c r="H190" i="31" s="1"/>
  <c r="G181" i="31"/>
  <c r="G190" i="31" s="1"/>
  <c r="F117" i="31"/>
  <c r="F126" i="31" s="1"/>
  <c r="J159" i="31"/>
  <c r="I164" i="31"/>
  <c r="G309" i="31"/>
  <c r="G319" i="31" s="1"/>
  <c r="H38" i="31"/>
  <c r="I33" i="31"/>
  <c r="F53" i="31"/>
  <c r="F62" i="31" s="1"/>
  <c r="I288" i="31"/>
  <c r="H293" i="31"/>
  <c r="G45" i="31"/>
  <c r="G47" i="31" s="1"/>
  <c r="G108" i="31"/>
  <c r="F309" i="31"/>
  <c r="F319" i="31" s="1"/>
  <c r="AA75" i="20" l="1"/>
  <c r="Z74" i="20"/>
  <c r="AD2" i="35"/>
  <c r="AC3" i="35"/>
  <c r="J4" i="34"/>
  <c r="J45" i="32"/>
  <c r="I33" i="30"/>
  <c r="I95" i="31"/>
  <c r="I100" i="31" s="1"/>
  <c r="H55" i="30"/>
  <c r="H66" i="30" s="1"/>
  <c r="H48" i="30"/>
  <c r="K4" i="32"/>
  <c r="K45" i="32" s="1"/>
  <c r="I40" i="30"/>
  <c r="I46" i="30" s="1"/>
  <c r="H245" i="31"/>
  <c r="H254" i="31" s="1"/>
  <c r="I38" i="31"/>
  <c r="J33" i="31"/>
  <c r="H45" i="31"/>
  <c r="H47" i="31" s="1"/>
  <c r="G117" i="31"/>
  <c r="G126" i="31" s="1"/>
  <c r="H108" i="31"/>
  <c r="I172" i="31"/>
  <c r="K159" i="31"/>
  <c r="J164" i="31"/>
  <c r="J172" i="31" s="1"/>
  <c r="I237" i="31"/>
  <c r="K223" i="31"/>
  <c r="J229" i="31"/>
  <c r="G53" i="31"/>
  <c r="G62" i="31" s="1"/>
  <c r="H301" i="31"/>
  <c r="H341" i="31" s="1"/>
  <c r="H350" i="31" s="1"/>
  <c r="H360" i="31" s="1"/>
  <c r="I293" i="31"/>
  <c r="J288" i="31"/>
  <c r="AB75" i="20" l="1"/>
  <c r="AA74" i="20"/>
  <c r="AE2" i="35"/>
  <c r="AD3" i="35"/>
  <c r="K4" i="34"/>
  <c r="J33" i="30"/>
  <c r="J95" i="31"/>
  <c r="J100" i="31" s="1"/>
  <c r="I55" i="30"/>
  <c r="I66" i="30" s="1"/>
  <c r="I48" i="30"/>
  <c r="L4" i="32"/>
  <c r="J40" i="30"/>
  <c r="J46" i="30" s="1"/>
  <c r="J181" i="31"/>
  <c r="J190" i="31" s="1"/>
  <c r="I45" i="31"/>
  <c r="I47" i="31" s="1"/>
  <c r="H53" i="31"/>
  <c r="H62" i="31" s="1"/>
  <c r="I108" i="31"/>
  <c r="J237" i="31"/>
  <c r="H309" i="31"/>
  <c r="H319" i="31" s="1"/>
  <c r="H117" i="31"/>
  <c r="H126" i="31" s="1"/>
  <c r="K288" i="31"/>
  <c r="J293" i="31"/>
  <c r="L159" i="31"/>
  <c r="K164" i="31"/>
  <c r="K172" i="31" s="1"/>
  <c r="K33" i="31"/>
  <c r="J38" i="31"/>
  <c r="L223" i="31"/>
  <c r="K229" i="31"/>
  <c r="K237" i="31" s="1"/>
  <c r="I301" i="31"/>
  <c r="I341" i="31" s="1"/>
  <c r="I350" i="31" s="1"/>
  <c r="I360" i="31" s="1"/>
  <c r="I245" i="31"/>
  <c r="I254" i="31" s="1"/>
  <c r="I181" i="31"/>
  <c r="I190" i="31" s="1"/>
  <c r="AC75" i="20" l="1"/>
  <c r="AB74" i="20"/>
  <c r="AF2" i="35"/>
  <c r="AE3" i="35"/>
  <c r="L45" i="32"/>
  <c r="M4" i="32"/>
  <c r="N4" i="32" s="1"/>
  <c r="L4" i="34"/>
  <c r="K33" i="30"/>
  <c r="K95" i="31"/>
  <c r="K100" i="31" s="1"/>
  <c r="J55" i="30"/>
  <c r="J66" i="30" s="1"/>
  <c r="J48" i="30"/>
  <c r="K40" i="30"/>
  <c r="K46" i="30" s="1"/>
  <c r="J45" i="31"/>
  <c r="J47" i="31" s="1"/>
  <c r="K181" i="31"/>
  <c r="K190" i="31" s="1"/>
  <c r="K293" i="31"/>
  <c r="L288" i="31"/>
  <c r="K38" i="31"/>
  <c r="L33" i="31"/>
  <c r="M159" i="31"/>
  <c r="L164" i="31"/>
  <c r="I309" i="31"/>
  <c r="I319" i="31" s="1"/>
  <c r="J245" i="31"/>
  <c r="J254" i="31" s="1"/>
  <c r="K245" i="31"/>
  <c r="K254" i="31" s="1"/>
  <c r="M223" i="31"/>
  <c r="L229" i="31"/>
  <c r="L237" i="31" s="1"/>
  <c r="I117" i="31"/>
  <c r="I126" i="31" s="1"/>
  <c r="J108" i="31"/>
  <c r="J301" i="31"/>
  <c r="J341" i="31" s="1"/>
  <c r="J350" i="31" s="1"/>
  <c r="J360" i="31" s="1"/>
  <c r="I53" i="31"/>
  <c r="I62" i="31" s="1"/>
  <c r="O4" i="32" l="1"/>
  <c r="N45" i="32"/>
  <c r="N4" i="34"/>
  <c r="N19" i="32"/>
  <c r="L50" i="42" s="1"/>
  <c r="N20" i="32"/>
  <c r="L49" i="42" s="1"/>
  <c r="AD75" i="20"/>
  <c r="AC74" i="20"/>
  <c r="M45" i="32"/>
  <c r="AG2" i="35"/>
  <c r="AF3" i="35"/>
  <c r="M4" i="34"/>
  <c r="L33" i="30"/>
  <c r="L95" i="31"/>
  <c r="L100" i="31" s="1"/>
  <c r="K55" i="30"/>
  <c r="K66" i="30" s="1"/>
  <c r="K48" i="30"/>
  <c r="L40" i="30"/>
  <c r="L46" i="30" s="1"/>
  <c r="J309" i="31"/>
  <c r="J319" i="31" s="1"/>
  <c r="M164" i="31"/>
  <c r="N159" i="31"/>
  <c r="K301" i="31"/>
  <c r="K341" i="31" s="1"/>
  <c r="K350" i="31" s="1"/>
  <c r="K360" i="31" s="1"/>
  <c r="K108" i="31"/>
  <c r="M33" i="31"/>
  <c r="L38" i="31"/>
  <c r="K45" i="31"/>
  <c r="K47" i="31" s="1"/>
  <c r="L245" i="31"/>
  <c r="L254" i="31" s="1"/>
  <c r="J117" i="31"/>
  <c r="J126" i="31" s="1"/>
  <c r="N223" i="31"/>
  <c r="M229" i="31"/>
  <c r="L172" i="31"/>
  <c r="L293" i="31"/>
  <c r="M288" i="31"/>
  <c r="J53" i="31"/>
  <c r="J62" i="31" s="1"/>
  <c r="N32" i="28" l="1"/>
  <c r="N35" i="32"/>
  <c r="O45" i="32"/>
  <c r="O4" i="34"/>
  <c r="P4" i="32"/>
  <c r="O19" i="32"/>
  <c r="M50" i="42" s="1"/>
  <c r="O20" i="32"/>
  <c r="M49" i="42" s="1"/>
  <c r="AE75" i="20"/>
  <c r="AD74" i="20"/>
  <c r="AH2" i="35"/>
  <c r="AG3" i="35"/>
  <c r="M33" i="30"/>
  <c r="M95" i="31"/>
  <c r="M100" i="31" s="1"/>
  <c r="L55" i="30"/>
  <c r="L66" i="30" s="1"/>
  <c r="L48" i="30"/>
  <c r="M40" i="30"/>
  <c r="M46" i="30" s="1"/>
  <c r="K117" i="31"/>
  <c r="K126" i="31" s="1"/>
  <c r="L108" i="31"/>
  <c r="N229" i="31"/>
  <c r="N237" i="31" s="1"/>
  <c r="O223" i="31"/>
  <c r="L45" i="31"/>
  <c r="L47" i="31" s="1"/>
  <c r="K309" i="31"/>
  <c r="K319" i="31" s="1"/>
  <c r="M293" i="31"/>
  <c r="N288" i="31"/>
  <c r="N33" i="31"/>
  <c r="M38" i="31"/>
  <c r="N164" i="31"/>
  <c r="O159" i="31"/>
  <c r="M108" i="31"/>
  <c r="K53" i="31"/>
  <c r="K62" i="31" s="1"/>
  <c r="L181" i="31"/>
  <c r="L190" i="31" s="1"/>
  <c r="L301" i="31"/>
  <c r="L341" i="31" s="1"/>
  <c r="L350" i="31" s="1"/>
  <c r="L360" i="31" s="1"/>
  <c r="M172" i="31"/>
  <c r="M237" i="31"/>
  <c r="O32" i="28" l="1"/>
  <c r="O35" i="32"/>
  <c r="P45" i="32"/>
  <c r="P4" i="34"/>
  <c r="Q4" i="32"/>
  <c r="P19" i="32"/>
  <c r="N50" i="42" s="1"/>
  <c r="P20" i="32"/>
  <c r="N49" i="42" s="1"/>
  <c r="AF75" i="20"/>
  <c r="AE74" i="20"/>
  <c r="AH3" i="35"/>
  <c r="AI2" i="35"/>
  <c r="N33" i="30"/>
  <c r="N95" i="31"/>
  <c r="N100" i="31" s="1"/>
  <c r="M55" i="30"/>
  <c r="M66" i="30" s="1"/>
  <c r="M48" i="30"/>
  <c r="N40" i="30"/>
  <c r="N46" i="30" s="1"/>
  <c r="O229" i="31"/>
  <c r="P223" i="31"/>
  <c r="N172" i="31"/>
  <c r="M181" i="31"/>
  <c r="M190" i="31" s="1"/>
  <c r="M301" i="31"/>
  <c r="M341" i="31" s="1"/>
  <c r="M350" i="31" s="1"/>
  <c r="M360" i="31" s="1"/>
  <c r="N245" i="31"/>
  <c r="N254" i="31" s="1"/>
  <c r="M45" i="31"/>
  <c r="M47" i="31" s="1"/>
  <c r="M245" i="31"/>
  <c r="M254" i="31" s="1"/>
  <c r="O33" i="31"/>
  <c r="N38" i="31"/>
  <c r="L53" i="31"/>
  <c r="L62" i="31" s="1"/>
  <c r="L309" i="31"/>
  <c r="L319" i="31" s="1"/>
  <c r="M117" i="31"/>
  <c r="M126" i="31" s="1"/>
  <c r="L117" i="31"/>
  <c r="L126" i="31" s="1"/>
  <c r="O164" i="31"/>
  <c r="P159" i="31"/>
  <c r="O288" i="31"/>
  <c r="N293" i="31"/>
  <c r="N301" i="31" s="1"/>
  <c r="N341" i="31" s="1"/>
  <c r="N350" i="31" s="1"/>
  <c r="N360" i="31" s="1"/>
  <c r="Q4" i="34" l="1"/>
  <c r="Q45" i="32"/>
  <c r="Q19" i="32"/>
  <c r="O50" i="42" s="1"/>
  <c r="R4" i="32"/>
  <c r="Q20" i="32"/>
  <c r="O49" i="42" s="1"/>
  <c r="P32" i="28"/>
  <c r="P35" i="32"/>
  <c r="AG75" i="20"/>
  <c r="AF74" i="20"/>
  <c r="AI3" i="35"/>
  <c r="AJ2" i="35"/>
  <c r="O33" i="30"/>
  <c r="O95" i="31"/>
  <c r="O100" i="31" s="1"/>
  <c r="N55" i="30"/>
  <c r="N66" i="30" s="1"/>
  <c r="N48" i="30"/>
  <c r="O40" i="30"/>
  <c r="O46" i="30" s="1"/>
  <c r="M309" i="31"/>
  <c r="M319" i="31" s="1"/>
  <c r="N309" i="31"/>
  <c r="N319" i="31" s="1"/>
  <c r="N108" i="31"/>
  <c r="N45" i="31"/>
  <c r="N47" i="31" s="1"/>
  <c r="P288" i="31"/>
  <c r="O293" i="31"/>
  <c r="M53" i="31"/>
  <c r="M62" i="31" s="1"/>
  <c r="O38" i="31"/>
  <c r="P33" i="31"/>
  <c r="N181" i="31"/>
  <c r="N190" i="31" s="1"/>
  <c r="O172" i="31"/>
  <c r="O237" i="31"/>
  <c r="Q159" i="31"/>
  <c r="P164" i="31"/>
  <c r="P172" i="31" s="1"/>
  <c r="P229" i="31"/>
  <c r="P237" i="31" s="1"/>
  <c r="Q223" i="31"/>
  <c r="R45" i="32" l="1"/>
  <c r="R4" i="34"/>
  <c r="R19" i="32"/>
  <c r="P50" i="42" s="1"/>
  <c r="S4" i="32"/>
  <c r="R20" i="32"/>
  <c r="P49" i="42" s="1"/>
  <c r="Q32" i="28"/>
  <c r="Q35" i="32"/>
  <c r="AH75" i="20"/>
  <c r="AH74" i="20" s="1"/>
  <c r="D19" i="32" s="1"/>
  <c r="AG74" i="20"/>
  <c r="AJ3" i="35"/>
  <c r="AK2" i="35"/>
  <c r="P33" i="30"/>
  <c r="P95" i="31"/>
  <c r="P100" i="31" s="1"/>
  <c r="P108" i="31" s="1"/>
  <c r="O55" i="30"/>
  <c r="O66" i="30" s="1"/>
  <c r="O48" i="30"/>
  <c r="P40" i="30"/>
  <c r="P46" i="30" s="1"/>
  <c r="O181" i="31"/>
  <c r="O190" i="31" s="1"/>
  <c r="O108" i="31"/>
  <c r="N53" i="31"/>
  <c r="N62" i="31" s="1"/>
  <c r="O301" i="31"/>
  <c r="O341" i="31" s="1"/>
  <c r="O350" i="31" s="1"/>
  <c r="O360" i="31" s="1"/>
  <c r="Q288" i="31"/>
  <c r="P293" i="31"/>
  <c r="P181" i="31"/>
  <c r="P190" i="31" s="1"/>
  <c r="O45" i="31"/>
  <c r="O47" i="31" s="1"/>
  <c r="N117" i="31"/>
  <c r="N126" i="31" s="1"/>
  <c r="O245" i="31"/>
  <c r="O254" i="31" s="1"/>
  <c r="Q229" i="31"/>
  <c r="R223" i="31"/>
  <c r="P245" i="31"/>
  <c r="P254" i="31" s="1"/>
  <c r="R159" i="31"/>
  <c r="Q164" i="31"/>
  <c r="Q33" i="31"/>
  <c r="P38" i="31"/>
  <c r="R32" i="28" l="1"/>
  <c r="R35" i="32"/>
  <c r="S4" i="34"/>
  <c r="S45" i="32"/>
  <c r="T4" i="32"/>
  <c r="S19" i="32"/>
  <c r="Q50" i="42" s="1"/>
  <c r="S20" i="32"/>
  <c r="Q49" i="42" s="1"/>
  <c r="D32" i="28"/>
  <c r="M19" i="32"/>
  <c r="K50" i="42" s="1"/>
  <c r="AL2" i="35"/>
  <c r="AK3" i="35"/>
  <c r="Q33" i="30"/>
  <c r="Q95" i="31"/>
  <c r="Q100" i="31" s="1"/>
  <c r="P55" i="30"/>
  <c r="P66" i="30" s="1"/>
  <c r="P48" i="30"/>
  <c r="Q40" i="30"/>
  <c r="Q46" i="30" s="1"/>
  <c r="P301" i="31"/>
  <c r="P341" i="31" s="1"/>
  <c r="P350" i="31" s="1"/>
  <c r="P360" i="31" s="1"/>
  <c r="S159" i="31"/>
  <c r="R164" i="31"/>
  <c r="R288" i="31"/>
  <c r="Q293" i="31"/>
  <c r="Q301" i="31" s="1"/>
  <c r="Q341" i="31" s="1"/>
  <c r="Q350" i="31" s="1"/>
  <c r="Q360" i="31" s="1"/>
  <c r="O53" i="31"/>
  <c r="O62" i="31" s="1"/>
  <c r="S223" i="31"/>
  <c r="R229" i="31"/>
  <c r="O309" i="31"/>
  <c r="O319" i="31" s="1"/>
  <c r="P117" i="31"/>
  <c r="P126" i="31" s="1"/>
  <c r="Q38" i="31"/>
  <c r="R33" i="31"/>
  <c r="R95" i="31" s="1"/>
  <c r="R100" i="31" s="1"/>
  <c r="O117" i="31"/>
  <c r="O126" i="31" s="1"/>
  <c r="P45" i="31"/>
  <c r="P47" i="31" s="1"/>
  <c r="Q172" i="31"/>
  <c r="Q237" i="31"/>
  <c r="S32" i="28" l="1"/>
  <c r="S35" i="32"/>
  <c r="T45" i="32"/>
  <c r="T4" i="34"/>
  <c r="U4" i="32"/>
  <c r="T19" i="32"/>
  <c r="R50" i="42" s="1"/>
  <c r="T20" i="32"/>
  <c r="R49" i="42" s="1"/>
  <c r="M32" i="28"/>
  <c r="M35" i="32"/>
  <c r="AM2" i="35"/>
  <c r="AL3" i="35"/>
  <c r="R33" i="30"/>
  <c r="R38" i="31"/>
  <c r="R45" i="31" s="1"/>
  <c r="R47" i="31" s="1"/>
  <c r="Q55" i="30"/>
  <c r="Q66" i="30" s="1"/>
  <c r="Q48" i="30"/>
  <c r="R40" i="30"/>
  <c r="R46" i="30" s="1"/>
  <c r="Q108" i="31"/>
  <c r="S288" i="31"/>
  <c r="R293" i="31"/>
  <c r="R237" i="31"/>
  <c r="R172" i="31"/>
  <c r="T159" i="31"/>
  <c r="T164" i="31" s="1"/>
  <c r="T172" i="31" s="1"/>
  <c r="T181" i="31" s="1"/>
  <c r="T190" i="31" s="1"/>
  <c r="S164" i="31"/>
  <c r="Q181" i="31"/>
  <c r="Q190" i="31" s="1"/>
  <c r="P53" i="31"/>
  <c r="P62" i="31" s="1"/>
  <c r="T223" i="31"/>
  <c r="T229" i="31" s="1"/>
  <c r="T237" i="31" s="1"/>
  <c r="T245" i="31" s="1"/>
  <c r="T254" i="31" s="1"/>
  <c r="S229" i="31"/>
  <c r="Q245" i="31"/>
  <c r="Q254" i="31" s="1"/>
  <c r="S33" i="31"/>
  <c r="S38" i="31" s="1"/>
  <c r="S45" i="31" s="1"/>
  <c r="S47" i="31" s="1"/>
  <c r="Q45" i="31"/>
  <c r="Q47" i="31" s="1"/>
  <c r="Q309" i="31"/>
  <c r="Q319" i="31" s="1"/>
  <c r="P309" i="31"/>
  <c r="P319" i="31" s="1"/>
  <c r="T32" i="28" l="1"/>
  <c r="T35" i="32"/>
  <c r="U45" i="32"/>
  <c r="U4" i="34"/>
  <c r="V4" i="32"/>
  <c r="U19" i="32"/>
  <c r="S50" i="42" s="1"/>
  <c r="U20" i="32"/>
  <c r="S49" i="42" s="1"/>
  <c r="AN2" i="35"/>
  <c r="AM3" i="35"/>
  <c r="S53" i="31"/>
  <c r="S62" i="31" s="1"/>
  <c r="R53" i="31"/>
  <c r="R62" i="31" s="1"/>
  <c r="S33" i="30"/>
  <c r="S95" i="31"/>
  <c r="S100" i="31" s="1"/>
  <c r="S108" i="31" s="1"/>
  <c r="S117" i="31" s="1"/>
  <c r="S126" i="31" s="1"/>
  <c r="R55" i="30"/>
  <c r="R66" i="30" s="1"/>
  <c r="R48" i="30"/>
  <c r="S40" i="30"/>
  <c r="S46" i="30" s="1"/>
  <c r="T33" i="31"/>
  <c r="T38" i="31" s="1"/>
  <c r="T45" i="31" s="1"/>
  <c r="T47" i="31" s="1"/>
  <c r="R301" i="31"/>
  <c r="R341" i="31" s="1"/>
  <c r="R350" i="31" s="1"/>
  <c r="R360" i="31" s="1"/>
  <c r="S293" i="31"/>
  <c r="T288" i="31"/>
  <c r="T293" i="31" s="1"/>
  <c r="T301" i="31" s="1"/>
  <c r="Q53" i="31"/>
  <c r="Q62" i="31" s="1"/>
  <c r="U223" i="31"/>
  <c r="U229" i="31" s="1"/>
  <c r="U237" i="31" s="1"/>
  <c r="U245" i="31" s="1"/>
  <c r="U254" i="31" s="1"/>
  <c r="R108" i="31"/>
  <c r="R117" i="31" s="1"/>
  <c r="R126" i="31" s="1"/>
  <c r="R245" i="31"/>
  <c r="R254" i="31" s="1"/>
  <c r="S237" i="31"/>
  <c r="R181" i="31"/>
  <c r="R190" i="31" s="1"/>
  <c r="S172" i="31"/>
  <c r="Q117" i="31"/>
  <c r="Q126" i="31" s="1"/>
  <c r="U159" i="31"/>
  <c r="U164" i="31" s="1"/>
  <c r="U172" i="31" s="1"/>
  <c r="U32" i="28" l="1"/>
  <c r="U35" i="32"/>
  <c r="V45" i="32"/>
  <c r="V4" i="34"/>
  <c r="W4" i="32"/>
  <c r="V19" i="32"/>
  <c r="T50" i="42" s="1"/>
  <c r="V20" i="32"/>
  <c r="T49" i="42" s="1"/>
  <c r="AO2" i="35"/>
  <c r="AN3" i="35"/>
  <c r="T53" i="31"/>
  <c r="T62" i="31" s="1"/>
  <c r="T309" i="31"/>
  <c r="T319" i="31" s="1"/>
  <c r="T341" i="31"/>
  <c r="T350" i="31" s="1"/>
  <c r="T360" i="31" s="1"/>
  <c r="U181" i="31"/>
  <c r="U190" i="31" s="1"/>
  <c r="T33" i="30"/>
  <c r="T95" i="31"/>
  <c r="T100" i="31" s="1"/>
  <c r="T108" i="31" s="1"/>
  <c r="T117" i="31" s="1"/>
  <c r="T126" i="31" s="1"/>
  <c r="S55" i="30"/>
  <c r="S66" i="30" s="1"/>
  <c r="S48" i="30"/>
  <c r="T40" i="30"/>
  <c r="S181" i="31"/>
  <c r="S190" i="31" s="1"/>
  <c r="V159" i="31"/>
  <c r="V164" i="31" s="1"/>
  <c r="V172" i="31" s="1"/>
  <c r="S301" i="31"/>
  <c r="S341" i="31" s="1"/>
  <c r="S350" i="31" s="1"/>
  <c r="S360" i="31" s="1"/>
  <c r="S245" i="31"/>
  <c r="S254" i="31" s="1"/>
  <c r="R309" i="31"/>
  <c r="R319" i="31" s="1"/>
  <c r="U33" i="31"/>
  <c r="U38" i="31" s="1"/>
  <c r="U45" i="31" s="1"/>
  <c r="U47" i="31" s="1"/>
  <c r="V223" i="31"/>
  <c r="V229" i="31" s="1"/>
  <c r="V237" i="31" s="1"/>
  <c r="V245" i="31" s="1"/>
  <c r="V254" i="31" s="1"/>
  <c r="U288" i="31"/>
  <c r="U293" i="31" s="1"/>
  <c r="U301" i="31" s="1"/>
  <c r="V32" i="28" l="1"/>
  <c r="V35" i="32"/>
  <c r="W45" i="32"/>
  <c r="W4" i="34"/>
  <c r="X4" i="32"/>
  <c r="W19" i="32"/>
  <c r="U50" i="42" s="1"/>
  <c r="W20" i="32"/>
  <c r="U49" i="42" s="1"/>
  <c r="AO3" i="35"/>
  <c r="U53" i="31"/>
  <c r="U62" i="31" s="1"/>
  <c r="U309" i="31"/>
  <c r="U319" i="31" s="1"/>
  <c r="U341" i="31"/>
  <c r="U350" i="31" s="1"/>
  <c r="U360" i="31" s="1"/>
  <c r="V181" i="31"/>
  <c r="V190" i="31" s="1"/>
  <c r="U33" i="30"/>
  <c r="U95" i="31"/>
  <c r="U100" i="31" s="1"/>
  <c r="U108" i="31" s="1"/>
  <c r="U117" i="31" s="1"/>
  <c r="U126" i="31" s="1"/>
  <c r="U40" i="30"/>
  <c r="T46" i="30"/>
  <c r="W223" i="31"/>
  <c r="V288" i="31"/>
  <c r="V293" i="31" s="1"/>
  <c r="V301" i="31" s="1"/>
  <c r="S309" i="31"/>
  <c r="S319" i="31" s="1"/>
  <c r="W159" i="31"/>
  <c r="V33" i="31"/>
  <c r="V38" i="31" s="1"/>
  <c r="V45" i="31" s="1"/>
  <c r="V47" i="31" s="1"/>
  <c r="W32" i="28" l="1"/>
  <c r="W35" i="32"/>
  <c r="X45" i="32"/>
  <c r="X4" i="34"/>
  <c r="X19" i="32"/>
  <c r="V50" i="42" s="1"/>
  <c r="Y4" i="32"/>
  <c r="X20" i="32"/>
  <c r="V49" i="42" s="1"/>
  <c r="D12" i="28"/>
  <c r="D18" i="34" s="1"/>
  <c r="V53" i="31"/>
  <c r="V62" i="31" s="1"/>
  <c r="U46" i="30"/>
  <c r="V40" i="30"/>
  <c r="V46" i="30" s="1"/>
  <c r="V309" i="31"/>
  <c r="V319" i="31" s="1"/>
  <c r="V341" i="31"/>
  <c r="V350" i="31" s="1"/>
  <c r="V360" i="31" s="1"/>
  <c r="V33" i="30"/>
  <c r="V95" i="31"/>
  <c r="V100" i="31" s="1"/>
  <c r="V108" i="31" s="1"/>
  <c r="V117" i="31" s="1"/>
  <c r="V126" i="31" s="1"/>
  <c r="T55" i="30"/>
  <c r="T66" i="30" s="1"/>
  <c r="T48" i="30"/>
  <c r="X223" i="31"/>
  <c r="X159" i="31"/>
  <c r="Y159" i="31" s="1"/>
  <c r="W288" i="31"/>
  <c r="W33" i="31"/>
  <c r="U29" i="28" l="1"/>
  <c r="V29" i="28"/>
  <c r="N29" i="28"/>
  <c r="R29" i="28"/>
  <c r="Q29" i="28"/>
  <c r="O29" i="28"/>
  <c r="W29" i="28"/>
  <c r="P29" i="28"/>
  <c r="T29" i="28"/>
  <c r="S29" i="28"/>
  <c r="Y45" i="32"/>
  <c r="Y4" i="34"/>
  <c r="Y20" i="32"/>
  <c r="W49" i="42" s="1"/>
  <c r="Y19" i="32"/>
  <c r="W50" i="42" s="1"/>
  <c r="X32" i="28"/>
  <c r="X35" i="32"/>
  <c r="D31" i="28"/>
  <c r="D21" i="32"/>
  <c r="D33" i="28"/>
  <c r="E21" i="32"/>
  <c r="C51" i="42" s="1"/>
  <c r="U55" i="30"/>
  <c r="U66" i="30" s="1"/>
  <c r="U48" i="30"/>
  <c r="E14" i="34"/>
  <c r="D14" i="34"/>
  <c r="D29" i="28"/>
  <c r="V48" i="30"/>
  <c r="V55" i="30"/>
  <c r="V66" i="30" s="1"/>
  <c r="W33" i="30"/>
  <c r="W95" i="31"/>
  <c r="Y223" i="31"/>
  <c r="X33" i="31"/>
  <c r="X288" i="31"/>
  <c r="X29" i="28" l="1"/>
  <c r="Y29" i="28"/>
  <c r="Y32" i="28"/>
  <c r="Y35" i="32"/>
  <c r="D10" i="28"/>
  <c r="D32" i="32"/>
  <c r="X33" i="30"/>
  <c r="X95" i="31"/>
  <c r="Y33" i="31"/>
  <c r="Y288" i="31"/>
  <c r="Y33" i="30" l="1"/>
  <c r="Y95" i="31"/>
  <c r="E4" i="28" l="1"/>
  <c r="E5" i="28"/>
  <c r="E31" i="28" l="1"/>
  <c r="E29" i="28"/>
  <c r="E33" i="28"/>
  <c r="F5" i="28"/>
  <c r="F4" i="28"/>
  <c r="F29" i="28" l="1"/>
  <c r="G5" i="28"/>
  <c r="G4" i="28"/>
  <c r="H5" i="28" l="1"/>
  <c r="H4" i="28"/>
  <c r="I5" i="28" l="1"/>
  <c r="I4" i="28"/>
  <c r="J5" i="28" l="1"/>
  <c r="J4" i="28"/>
  <c r="K5" i="28" l="1"/>
  <c r="K4" i="28"/>
  <c r="L4" i="28" s="1"/>
  <c r="M4" i="28" s="1"/>
  <c r="B11" i="1"/>
  <c r="L5" i="28" l="1"/>
  <c r="L29" i="28" s="1"/>
  <c r="K29" i="28"/>
  <c r="C3" i="20"/>
  <c r="D5" i="26"/>
  <c r="M5" i="28" l="1"/>
  <c r="F20" i="32" l="1"/>
  <c r="M29" i="28"/>
  <c r="E20" i="32"/>
  <c r="D20" i="32"/>
  <c r="I20" i="32"/>
  <c r="G20" i="32"/>
  <c r="M20" i="32"/>
  <c r="H20" i="32"/>
  <c r="K20" i="32"/>
  <c r="L20" i="32"/>
  <c r="F49" i="42" l="1"/>
  <c r="K49" i="42"/>
  <c r="G49" i="42"/>
  <c r="E49" i="42"/>
  <c r="C49" i="42"/>
  <c r="J49" i="42"/>
  <c r="I49" i="42"/>
  <c r="D49" i="42"/>
  <c r="D14" i="20"/>
  <c r="G14" i="33"/>
  <c r="H81" i="1"/>
  <c r="H82" i="1" s="1"/>
  <c r="H83" i="1" s="1"/>
  <c r="H84" i="1" s="1"/>
  <c r="G84" i="1"/>
  <c r="G83" i="1"/>
  <c r="G82" i="1"/>
  <c r="G81" i="1"/>
  <c r="G80" i="1"/>
  <c r="C32" i="1"/>
  <c r="E17" i="33" s="1"/>
  <c r="E24" i="33" s="1"/>
  <c r="E33" i="33" s="1"/>
  <c r="E40" i="33" s="1"/>
  <c r="E49" i="33" s="1"/>
  <c r="E56" i="33" s="1"/>
  <c r="E65" i="33" s="1"/>
  <c r="E72" i="33" s="1"/>
  <c r="E81" i="33" s="1"/>
  <c r="E88" i="33" s="1"/>
  <c r="E97" i="33" s="1"/>
  <c r="E106" i="33" s="1"/>
  <c r="E115" i="33" s="1"/>
  <c r="E125" i="33" s="1"/>
  <c r="E132" i="33" s="1"/>
  <c r="C33" i="1"/>
  <c r="C34" i="1"/>
  <c r="C35" i="1"/>
  <c r="C36" i="1"/>
  <c r="G21" i="33" l="1"/>
  <c r="G30" i="33" s="1"/>
  <c r="G15" i="33"/>
  <c r="G22" i="33" s="1"/>
  <c r="G31" i="33" s="1"/>
  <c r="G38" i="33" s="1"/>
  <c r="G47" i="33" s="1"/>
  <c r="G54" i="33" s="1"/>
  <c r="G63" i="33" s="1"/>
  <c r="G70" i="33" s="1"/>
  <c r="G79" i="33" s="1"/>
  <c r="G86" i="33" s="1"/>
  <c r="G95" i="33" s="1"/>
  <c r="G104" i="33" s="1"/>
  <c r="G113" i="33" s="1"/>
  <c r="G123" i="33" s="1"/>
  <c r="G130" i="33" s="1"/>
  <c r="C261" i="31"/>
  <c r="C262" i="31"/>
  <c r="G16" i="33" l="1"/>
  <c r="G23" i="33" s="1"/>
  <c r="G32" i="33" s="1"/>
  <c r="G39" i="33" s="1"/>
  <c r="G48" i="33" s="1"/>
  <c r="G55" i="33" s="1"/>
  <c r="G64" i="33" s="1"/>
  <c r="G71" i="33" s="1"/>
  <c r="G80" i="33" s="1"/>
  <c r="G87" i="33" s="1"/>
  <c r="G96" i="33" s="1"/>
  <c r="G105" i="33" s="1"/>
  <c r="G114" i="33" s="1"/>
  <c r="G124" i="33" s="1"/>
  <c r="G131" i="33" s="1"/>
  <c r="G37" i="33"/>
  <c r="G46" i="33" s="1"/>
  <c r="G53" i="33" l="1"/>
  <c r="G62" i="33" s="1"/>
  <c r="G17" i="33"/>
  <c r="G32" i="1"/>
  <c r="E32" i="1"/>
  <c r="D22" i="26"/>
  <c r="D14" i="26"/>
  <c r="D7" i="26"/>
  <c r="D6" i="26"/>
  <c r="D10" i="26"/>
  <c r="D12" i="26"/>
  <c r="D11" i="26"/>
  <c r="D20" i="26"/>
  <c r="D15" i="26" l="1"/>
  <c r="H17" i="33"/>
  <c r="H32" i="1"/>
  <c r="I32" i="1"/>
  <c r="G24" i="33"/>
  <c r="G33" i="33" s="1"/>
  <c r="K12" i="33"/>
  <c r="K35" i="33"/>
  <c r="K51" i="33"/>
  <c r="K19" i="33"/>
  <c r="L19" i="33" s="1"/>
  <c r="M19" i="33" s="1"/>
  <c r="N19" i="33" s="1"/>
  <c r="O19" i="33" s="1"/>
  <c r="P19" i="33" s="1"/>
  <c r="Q19" i="33" s="1"/>
  <c r="R19" i="33" s="1"/>
  <c r="S19" i="33" s="1"/>
  <c r="T19" i="33" s="1"/>
  <c r="U19" i="33" s="1"/>
  <c r="V19" i="33" s="1"/>
  <c r="W19" i="33" s="1"/>
  <c r="X19" i="33" s="1"/>
  <c r="Y19" i="33" s="1"/>
  <c r="Z19" i="33" s="1"/>
  <c r="AA19" i="33" s="1"/>
  <c r="AB19" i="33" s="1"/>
  <c r="AC19" i="33" s="1"/>
  <c r="AD19" i="33" s="1"/>
  <c r="AE19" i="33" s="1"/>
  <c r="AF19" i="33" s="1"/>
  <c r="AG19" i="33" s="1"/>
  <c r="AH19" i="33" s="1"/>
  <c r="AI19" i="33" s="1"/>
  <c r="AJ19" i="33" s="1"/>
  <c r="AK19" i="33" s="1"/>
  <c r="AL19" i="33" s="1"/>
  <c r="AM19" i="33" s="1"/>
  <c r="AN19" i="33" s="1"/>
  <c r="AO19" i="33" s="1"/>
  <c r="AP19" i="33" s="1"/>
  <c r="AQ19" i="33" s="1"/>
  <c r="AR19" i="33" s="1"/>
  <c r="AS19" i="33" s="1"/>
  <c r="AT19" i="33" s="1"/>
  <c r="AU19" i="33" s="1"/>
  <c r="AV19" i="33" s="1"/>
  <c r="AW19" i="33" s="1"/>
  <c r="AX19" i="33" s="1"/>
  <c r="AY19" i="33" s="1"/>
  <c r="AZ19" i="33" s="1"/>
  <c r="BA19" i="33" s="1"/>
  <c r="BB19" i="33" s="1"/>
  <c r="BC19" i="33" s="1"/>
  <c r="BD19" i="33" s="1"/>
  <c r="BE19" i="33" s="1"/>
  <c r="BF19" i="33" s="1"/>
  <c r="BG19" i="33" s="1"/>
  <c r="BH19" i="33" s="1"/>
  <c r="BI19" i="33" s="1"/>
  <c r="BJ19" i="33" s="1"/>
  <c r="BK19" i="33" s="1"/>
  <c r="BL19" i="33" s="1"/>
  <c r="K67" i="33"/>
  <c r="G69" i="33"/>
  <c r="G78" i="33" s="1"/>
  <c r="G85" i="33" s="1"/>
  <c r="G94" i="33" s="1"/>
  <c r="G103" i="33" s="1"/>
  <c r="G112" i="33" s="1"/>
  <c r="G122" i="33" s="1"/>
  <c r="G129" i="33" s="1"/>
  <c r="H24" i="33" l="1"/>
  <c r="H33" i="33" s="1"/>
  <c r="B13" i="1"/>
  <c r="L35" i="33"/>
  <c r="M35" i="33" s="1"/>
  <c r="N35" i="33" s="1"/>
  <c r="O35" i="33" s="1"/>
  <c r="P35" i="33" s="1"/>
  <c r="Q35" i="33" s="1"/>
  <c r="R35" i="33" s="1"/>
  <c r="S35" i="33" s="1"/>
  <c r="T35" i="33" s="1"/>
  <c r="U35" i="33" s="1"/>
  <c r="V35" i="33" s="1"/>
  <c r="W35" i="33" s="1"/>
  <c r="X35" i="33" s="1"/>
  <c r="Y35" i="33" s="1"/>
  <c r="Z35" i="33" s="1"/>
  <c r="AA35" i="33" s="1"/>
  <c r="AB35" i="33" s="1"/>
  <c r="AC35" i="33" s="1"/>
  <c r="AD35" i="33" s="1"/>
  <c r="AE35" i="33" s="1"/>
  <c r="AF35" i="33" s="1"/>
  <c r="AG35" i="33" s="1"/>
  <c r="AH35" i="33" s="1"/>
  <c r="AI35" i="33" s="1"/>
  <c r="AJ35" i="33" s="1"/>
  <c r="AK35" i="33" s="1"/>
  <c r="AL35" i="33" s="1"/>
  <c r="AM35" i="33" s="1"/>
  <c r="AN35" i="33" s="1"/>
  <c r="AO35" i="33" s="1"/>
  <c r="AP35" i="33" s="1"/>
  <c r="AQ35" i="33" s="1"/>
  <c r="AR35" i="33" s="1"/>
  <c r="AS35" i="33" s="1"/>
  <c r="AT35" i="33" s="1"/>
  <c r="AU35" i="33" s="1"/>
  <c r="AV35" i="33" s="1"/>
  <c r="AW35" i="33" s="1"/>
  <c r="AX35" i="33" s="1"/>
  <c r="AY35" i="33" s="1"/>
  <c r="AZ35" i="33" s="1"/>
  <c r="BA35" i="33" s="1"/>
  <c r="BB35" i="33" s="1"/>
  <c r="BC35" i="33" s="1"/>
  <c r="BD35" i="33" s="1"/>
  <c r="BE35" i="33" s="1"/>
  <c r="BF35" i="33" s="1"/>
  <c r="BG35" i="33" s="1"/>
  <c r="BH35" i="33" s="1"/>
  <c r="BI35" i="33" s="1"/>
  <c r="BJ35" i="33" s="1"/>
  <c r="BK35" i="33" s="1"/>
  <c r="BL35" i="33" s="1"/>
  <c r="K44" i="33"/>
  <c r="L51" i="33"/>
  <c r="M51" i="33" s="1"/>
  <c r="N51" i="33" s="1"/>
  <c r="O51" i="33" s="1"/>
  <c r="P51" i="33" s="1"/>
  <c r="Q51" i="33" s="1"/>
  <c r="R51" i="33" s="1"/>
  <c r="S51" i="33" s="1"/>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AZ51" i="33" s="1"/>
  <c r="BA51" i="33" s="1"/>
  <c r="BB51" i="33" s="1"/>
  <c r="BC51" i="33" s="1"/>
  <c r="BD51" i="33" s="1"/>
  <c r="BE51" i="33" s="1"/>
  <c r="BF51" i="33" s="1"/>
  <c r="BG51" i="33" s="1"/>
  <c r="BH51" i="33" s="1"/>
  <c r="BI51" i="33" s="1"/>
  <c r="BJ51" i="33" s="1"/>
  <c r="BK51" i="33" s="1"/>
  <c r="BL51" i="33" s="1"/>
  <c r="K17" i="33"/>
  <c r="K24" i="33" s="1"/>
  <c r="L12" i="33"/>
  <c r="G40" i="33"/>
  <c r="G49" i="33" s="1"/>
  <c r="K28" i="33"/>
  <c r="K32" i="1"/>
  <c r="Y32" i="1"/>
  <c r="T32" i="1"/>
  <c r="K76" i="33"/>
  <c r="L67" i="33"/>
  <c r="M67" i="33" s="1"/>
  <c r="N67" i="33" s="1"/>
  <c r="O67" i="33" s="1"/>
  <c r="P67" i="33" s="1"/>
  <c r="Q67" i="33" s="1"/>
  <c r="R67" i="33" s="1"/>
  <c r="S67" i="33" s="1"/>
  <c r="T67" i="33" s="1"/>
  <c r="U67" i="33" s="1"/>
  <c r="V67" i="33" s="1"/>
  <c r="W67" i="33" s="1"/>
  <c r="X67" i="33" s="1"/>
  <c r="Y67" i="33" s="1"/>
  <c r="Z67" i="33" s="1"/>
  <c r="AA67" i="33" s="1"/>
  <c r="AB67" i="33" s="1"/>
  <c r="AC67" i="33" s="1"/>
  <c r="AD67" i="33" s="1"/>
  <c r="AE67" i="33" s="1"/>
  <c r="AF67" i="33" s="1"/>
  <c r="AG67" i="33" s="1"/>
  <c r="AH67" i="33" s="1"/>
  <c r="AI67" i="33" s="1"/>
  <c r="AJ67" i="33" s="1"/>
  <c r="AK67" i="33" s="1"/>
  <c r="AL67" i="33" s="1"/>
  <c r="AM67" i="33" s="1"/>
  <c r="AN67" i="33" s="1"/>
  <c r="AO67" i="33" s="1"/>
  <c r="AP67" i="33" s="1"/>
  <c r="AQ67" i="33" s="1"/>
  <c r="AR67" i="33" s="1"/>
  <c r="AS67" i="33" s="1"/>
  <c r="AT67" i="33" s="1"/>
  <c r="AU67" i="33" s="1"/>
  <c r="AV67" i="33" s="1"/>
  <c r="AW67" i="33" s="1"/>
  <c r="AX67" i="33" s="1"/>
  <c r="AY67" i="33" s="1"/>
  <c r="AZ67" i="33" s="1"/>
  <c r="BA67" i="33" s="1"/>
  <c r="BB67" i="33" s="1"/>
  <c r="BC67" i="33" s="1"/>
  <c r="BD67" i="33" s="1"/>
  <c r="BE67" i="33" s="1"/>
  <c r="BF67" i="33" s="1"/>
  <c r="BG67" i="33" s="1"/>
  <c r="BH67" i="33" s="1"/>
  <c r="BI67" i="33" s="1"/>
  <c r="BJ67" i="33" s="1"/>
  <c r="BK67" i="33" s="1"/>
  <c r="BL67" i="33" s="1"/>
  <c r="BJ33" i="33" l="1"/>
  <c r="BB33" i="33"/>
  <c r="BI33" i="33"/>
  <c r="BA33" i="33"/>
  <c r="AZ33" i="33"/>
  <c r="BC33" i="33"/>
  <c r="BH33" i="33"/>
  <c r="BG33" i="33"/>
  <c r="AY33" i="33"/>
  <c r="BE33" i="33"/>
  <c r="BL33" i="33"/>
  <c r="BK33" i="33"/>
  <c r="BF33" i="33"/>
  <c r="AX33" i="33"/>
  <c r="BD33" i="33"/>
  <c r="H40" i="33"/>
  <c r="H49" i="33" s="1"/>
  <c r="K49" i="33" s="1"/>
  <c r="K56" i="33" s="1"/>
  <c r="BF38" i="41"/>
  <c r="BF43" i="41" s="1"/>
  <c r="BN38" i="41"/>
  <c r="BN43" i="41" s="1"/>
  <c r="BV38" i="41"/>
  <c r="BV43" i="41" s="1"/>
  <c r="CD38" i="41"/>
  <c r="CD43" i="41" s="1"/>
  <c r="CL38" i="41"/>
  <c r="CL43" i="41" s="1"/>
  <c r="CT38" i="41"/>
  <c r="CT43" i="41" s="1"/>
  <c r="G12" i="35"/>
  <c r="O12" i="35"/>
  <c r="AC11" i="35"/>
  <c r="AK11" i="35"/>
  <c r="AC81" i="20"/>
  <c r="BG38" i="41"/>
  <c r="BG43" i="41" s="1"/>
  <c r="BO38" i="41"/>
  <c r="BO43" i="41" s="1"/>
  <c r="BW38" i="41"/>
  <c r="BW43" i="41" s="1"/>
  <c r="CE38" i="41"/>
  <c r="CE43" i="41" s="1"/>
  <c r="CM38" i="41"/>
  <c r="CM43" i="41" s="1"/>
  <c r="CU38" i="41"/>
  <c r="CU43" i="41" s="1"/>
  <c r="H12" i="35"/>
  <c r="P12" i="35"/>
  <c r="AD11" i="35"/>
  <c r="AL11" i="35"/>
  <c r="AB81" i="20"/>
  <c r="AH11" i="35"/>
  <c r="CB38" i="41"/>
  <c r="CB43" i="41" s="1"/>
  <c r="M12" i="35"/>
  <c r="AE81" i="20"/>
  <c r="BU38" i="41"/>
  <c r="BU43" i="41" s="1"/>
  <c r="F12" i="35"/>
  <c r="AD81" i="20"/>
  <c r="BH38" i="41"/>
  <c r="BH43" i="41" s="1"/>
  <c r="BP38" i="41"/>
  <c r="BP43" i="41" s="1"/>
  <c r="BX38" i="41"/>
  <c r="BX43" i="41" s="1"/>
  <c r="CF38" i="41"/>
  <c r="CF43" i="41" s="1"/>
  <c r="CN38" i="41"/>
  <c r="CN43" i="41" s="1"/>
  <c r="CV38" i="41"/>
  <c r="CV43" i="41" s="1"/>
  <c r="I12" i="35"/>
  <c r="Q12" i="35"/>
  <c r="AE11" i="35"/>
  <c r="AM11" i="35"/>
  <c r="AA81" i="20"/>
  <c r="D3" i="32"/>
  <c r="BR38" i="41"/>
  <c r="BR43" i="41" s="1"/>
  <c r="BZ38" i="41"/>
  <c r="BZ43" i="41" s="1"/>
  <c r="CH38" i="41"/>
  <c r="CH43" i="41" s="1"/>
  <c r="CX38" i="41"/>
  <c r="CX43" i="41" s="1"/>
  <c r="S12" i="35"/>
  <c r="D11" i="35"/>
  <c r="D13" i="28" s="1"/>
  <c r="D26" i="34" s="1"/>
  <c r="BK38" i="41"/>
  <c r="BK43" i="41" s="1"/>
  <c r="CA38" i="41"/>
  <c r="CA43" i="41" s="1"/>
  <c r="CI38" i="41"/>
  <c r="CI43" i="41" s="1"/>
  <c r="CQ38" i="41"/>
  <c r="CQ43" i="41" s="1"/>
  <c r="L12" i="35"/>
  <c r="T12" i="35"/>
  <c r="BL38" i="41"/>
  <c r="BL43" i="41" s="1"/>
  <c r="CK38" i="41"/>
  <c r="CK43" i="41" s="1"/>
  <c r="N12" i="35"/>
  <c r="BI38" i="41"/>
  <c r="BI43" i="41" s="1"/>
  <c r="BQ38" i="41"/>
  <c r="BQ43" i="41" s="1"/>
  <c r="BY38" i="41"/>
  <c r="BY43" i="41" s="1"/>
  <c r="CG38" i="41"/>
  <c r="CG43" i="41" s="1"/>
  <c r="CO38" i="41"/>
  <c r="CO43" i="41" s="1"/>
  <c r="CW38" i="41"/>
  <c r="CW43" i="41" s="1"/>
  <c r="J12" i="35"/>
  <c r="R12" i="35"/>
  <c r="AF11" i="35"/>
  <c r="AN11" i="35"/>
  <c r="AF81" i="20"/>
  <c r="BJ38" i="41"/>
  <c r="BJ43" i="41" s="1"/>
  <c r="CP38" i="41"/>
  <c r="CP43" i="41" s="1"/>
  <c r="K12" i="35"/>
  <c r="AG11" i="35"/>
  <c r="AH81" i="20"/>
  <c r="BS38" i="41"/>
  <c r="BS43" i="41" s="1"/>
  <c r="D12" i="35"/>
  <c r="D22" i="32" s="1"/>
  <c r="Z81" i="20"/>
  <c r="BT38" i="41"/>
  <c r="BT43" i="41" s="1"/>
  <c r="CJ38" i="41"/>
  <c r="CJ43" i="41" s="1"/>
  <c r="CR38" i="41"/>
  <c r="CR43" i="41" s="1"/>
  <c r="E12" i="35"/>
  <c r="U12" i="35"/>
  <c r="AI11" i="35"/>
  <c r="AG81" i="20"/>
  <c r="BM38" i="41"/>
  <c r="BM43" i="41" s="1"/>
  <c r="CC38" i="41"/>
  <c r="CC43" i="41" s="1"/>
  <c r="CS38" i="41"/>
  <c r="CS43" i="41" s="1"/>
  <c r="AB11" i="35"/>
  <c r="AJ11" i="35"/>
  <c r="B16" i="1"/>
  <c r="K33" i="33"/>
  <c r="K40" i="33" s="1"/>
  <c r="G56" i="33"/>
  <c r="G65" i="33" s="1"/>
  <c r="L44" i="33"/>
  <c r="M44" i="33" s="1"/>
  <c r="N44" i="33" s="1"/>
  <c r="O44" i="33" s="1"/>
  <c r="P44" i="33" s="1"/>
  <c r="Q44" i="33" s="1"/>
  <c r="R44" i="33" s="1"/>
  <c r="S44" i="33" s="1"/>
  <c r="T44" i="33" s="1"/>
  <c r="U44" i="33" s="1"/>
  <c r="V44" i="33" s="1"/>
  <c r="W44" i="33" s="1"/>
  <c r="X44" i="33" s="1"/>
  <c r="Y44" i="33" s="1"/>
  <c r="Z44" i="33" s="1"/>
  <c r="AA44" i="33" s="1"/>
  <c r="AB44" i="33" s="1"/>
  <c r="AC44" i="33" s="1"/>
  <c r="AD44" i="33" s="1"/>
  <c r="AE44" i="33" s="1"/>
  <c r="AF44" i="33" s="1"/>
  <c r="AG44" i="33" s="1"/>
  <c r="AH44" i="33" s="1"/>
  <c r="AI44" i="33" s="1"/>
  <c r="AJ44" i="33" s="1"/>
  <c r="AK44" i="33" s="1"/>
  <c r="AL44" i="33" s="1"/>
  <c r="AM44" i="33" s="1"/>
  <c r="AN44" i="33" s="1"/>
  <c r="AO44" i="33" s="1"/>
  <c r="AP44" i="33" s="1"/>
  <c r="AQ44" i="33" s="1"/>
  <c r="AR44" i="33" s="1"/>
  <c r="AS44" i="33" s="1"/>
  <c r="AT44" i="33" s="1"/>
  <c r="AU44" i="33" s="1"/>
  <c r="AV44" i="33" s="1"/>
  <c r="AW44" i="33" s="1"/>
  <c r="AX44" i="33" s="1"/>
  <c r="AY44" i="33" s="1"/>
  <c r="AZ44" i="33" s="1"/>
  <c r="BA44" i="33" s="1"/>
  <c r="BB44" i="33" s="1"/>
  <c r="BC44" i="33" s="1"/>
  <c r="BD44" i="33" s="1"/>
  <c r="BE44" i="33" s="1"/>
  <c r="BF44" i="33" s="1"/>
  <c r="BG44" i="33" s="1"/>
  <c r="BH44" i="33" s="1"/>
  <c r="BI44" i="33" s="1"/>
  <c r="BJ44" i="33" s="1"/>
  <c r="BK44" i="33" s="1"/>
  <c r="BL44" i="33" s="1"/>
  <c r="L28" i="33"/>
  <c r="K83" i="33"/>
  <c r="L76" i="33"/>
  <c r="M76" i="33" s="1"/>
  <c r="N76" i="33" s="1"/>
  <c r="O76" i="33" s="1"/>
  <c r="P76" i="33" s="1"/>
  <c r="Q76" i="33" s="1"/>
  <c r="R76" i="33" s="1"/>
  <c r="S76" i="33" s="1"/>
  <c r="T76" i="33" s="1"/>
  <c r="U76" i="33" s="1"/>
  <c r="V76" i="33" s="1"/>
  <c r="W76" i="33" s="1"/>
  <c r="X76" i="33" s="1"/>
  <c r="Y76" i="33" s="1"/>
  <c r="Z76" i="33" s="1"/>
  <c r="AA76" i="33" s="1"/>
  <c r="AB76" i="33" s="1"/>
  <c r="AC76" i="33" s="1"/>
  <c r="AD76" i="33" s="1"/>
  <c r="AE76" i="33" s="1"/>
  <c r="AF76" i="33" s="1"/>
  <c r="AG76" i="33" s="1"/>
  <c r="AH76" i="33" s="1"/>
  <c r="AI76" i="33" s="1"/>
  <c r="AJ76" i="33" s="1"/>
  <c r="AK76" i="33" s="1"/>
  <c r="AL76" i="33" s="1"/>
  <c r="AM76" i="33" s="1"/>
  <c r="AN76" i="33" s="1"/>
  <c r="AO76" i="33" s="1"/>
  <c r="AP76" i="33" s="1"/>
  <c r="AQ76" i="33" s="1"/>
  <c r="AR76" i="33" s="1"/>
  <c r="AS76" i="33" s="1"/>
  <c r="AT76" i="33" s="1"/>
  <c r="AU76" i="33" s="1"/>
  <c r="AV76" i="33" s="1"/>
  <c r="AW76" i="33" s="1"/>
  <c r="AX76" i="33" s="1"/>
  <c r="AY76" i="33" s="1"/>
  <c r="AZ76" i="33" s="1"/>
  <c r="BA76" i="33" s="1"/>
  <c r="BB76" i="33" s="1"/>
  <c r="BC76" i="33" s="1"/>
  <c r="BD76" i="33" s="1"/>
  <c r="BE76" i="33" s="1"/>
  <c r="BF76" i="33" s="1"/>
  <c r="BG76" i="33" s="1"/>
  <c r="BH76" i="33" s="1"/>
  <c r="BI76" i="33" s="1"/>
  <c r="BJ76" i="33" s="1"/>
  <c r="BK76" i="33" s="1"/>
  <c r="BL76" i="33" s="1"/>
  <c r="M12" i="33"/>
  <c r="L17" i="33"/>
  <c r="L24" i="33" s="1"/>
  <c r="L32" i="1"/>
  <c r="C263" i="31"/>
  <c r="C264" i="31" s="1"/>
  <c r="C265" i="31" s="1"/>
  <c r="C7" i="19"/>
  <c r="D47" i="1"/>
  <c r="H50" i="1" s="1"/>
  <c r="B94" i="1"/>
  <c r="B93" i="1"/>
  <c r="I84" i="1"/>
  <c r="I83" i="1"/>
  <c r="H56" i="33" l="1"/>
  <c r="H65" i="33" s="1"/>
  <c r="BK49" i="33"/>
  <c r="BC49" i="33"/>
  <c r="BJ49" i="33"/>
  <c r="BB49" i="33"/>
  <c r="BI49" i="33"/>
  <c r="BA49" i="33"/>
  <c r="BH49" i="33"/>
  <c r="AZ49" i="33"/>
  <c r="BF49" i="33"/>
  <c r="BG49" i="33"/>
  <c r="AY49" i="33"/>
  <c r="AX49" i="33"/>
  <c r="BD49" i="33"/>
  <c r="BE49" i="33"/>
  <c r="BL49" i="33"/>
  <c r="K65" i="33"/>
  <c r="K72" i="33" s="1"/>
  <c r="K106" i="33" s="1"/>
  <c r="C21" i="19"/>
  <c r="C21" i="41" s="1"/>
  <c r="E22" i="32"/>
  <c r="C13" i="30"/>
  <c r="C4" i="20"/>
  <c r="F20" i="28"/>
  <c r="G20" i="28"/>
  <c r="D20" i="28"/>
  <c r="E20" i="28"/>
  <c r="H20" i="28"/>
  <c r="L13" i="28"/>
  <c r="H22" i="32"/>
  <c r="F22" i="32"/>
  <c r="D33" i="32"/>
  <c r="M13" i="28"/>
  <c r="G22" i="32"/>
  <c r="K13" i="28"/>
  <c r="C274" i="31"/>
  <c r="L65" i="33"/>
  <c r="L72" i="33" s="1"/>
  <c r="L49" i="33"/>
  <c r="L56" i="33" s="1"/>
  <c r="L33" i="33"/>
  <c r="L40" i="33" s="1"/>
  <c r="C22" i="19"/>
  <c r="C22" i="41" s="1"/>
  <c r="C20" i="19"/>
  <c r="C20" i="41" s="1"/>
  <c r="C18" i="19"/>
  <c r="C18" i="41" s="1"/>
  <c r="C17" i="19"/>
  <c r="C17" i="41" s="1"/>
  <c r="N12" i="33"/>
  <c r="M17" i="33"/>
  <c r="M24" i="33" s="1"/>
  <c r="M28" i="33"/>
  <c r="K92" i="33"/>
  <c r="L92" i="33" s="1"/>
  <c r="M92" i="33" s="1"/>
  <c r="N92" i="33" s="1"/>
  <c r="O92" i="33" s="1"/>
  <c r="P92" i="33" s="1"/>
  <c r="Q92" i="33" s="1"/>
  <c r="R92" i="33" s="1"/>
  <c r="S92" i="33" s="1"/>
  <c r="T92" i="33" s="1"/>
  <c r="U92" i="33" s="1"/>
  <c r="V92" i="33" s="1"/>
  <c r="W92" i="33" s="1"/>
  <c r="X92" i="33" s="1"/>
  <c r="Y92" i="33" s="1"/>
  <c r="Z92" i="33" s="1"/>
  <c r="AA92" i="33" s="1"/>
  <c r="AB92" i="33" s="1"/>
  <c r="AC92" i="33" s="1"/>
  <c r="AD92" i="33" s="1"/>
  <c r="AE92" i="33" s="1"/>
  <c r="AF92" i="33" s="1"/>
  <c r="AG92" i="33" s="1"/>
  <c r="AH92" i="33" s="1"/>
  <c r="AI92" i="33" s="1"/>
  <c r="AJ92" i="33" s="1"/>
  <c r="AK92" i="33" s="1"/>
  <c r="AL92" i="33" s="1"/>
  <c r="AM92" i="33" s="1"/>
  <c r="AN92" i="33" s="1"/>
  <c r="AO92" i="33" s="1"/>
  <c r="AP92" i="33" s="1"/>
  <c r="AQ92" i="33" s="1"/>
  <c r="AR92" i="33" s="1"/>
  <c r="AS92" i="33" s="1"/>
  <c r="AT92" i="33" s="1"/>
  <c r="AU92" i="33" s="1"/>
  <c r="AV92" i="33" s="1"/>
  <c r="AW92" i="33" s="1"/>
  <c r="AX92" i="33" s="1"/>
  <c r="AY92" i="33" s="1"/>
  <c r="AZ92" i="33" s="1"/>
  <c r="BA92" i="33" s="1"/>
  <c r="BB92" i="33" s="1"/>
  <c r="BC92" i="33" s="1"/>
  <c r="BD92" i="33" s="1"/>
  <c r="BE92" i="33" s="1"/>
  <c r="BF92" i="33" s="1"/>
  <c r="BG92" i="33" s="1"/>
  <c r="BH92" i="33" s="1"/>
  <c r="BI92" i="33" s="1"/>
  <c r="BJ92" i="33" s="1"/>
  <c r="BK92" i="33" s="1"/>
  <c r="BL92" i="33" s="1"/>
  <c r="K101" i="33"/>
  <c r="L101" i="33" s="1"/>
  <c r="M101" i="33" s="1"/>
  <c r="N101" i="33" s="1"/>
  <c r="O101" i="33" s="1"/>
  <c r="P101" i="33" s="1"/>
  <c r="Q101" i="33" s="1"/>
  <c r="R101" i="33" s="1"/>
  <c r="S101" i="33" s="1"/>
  <c r="T101" i="33" s="1"/>
  <c r="U101" i="33" s="1"/>
  <c r="V101" i="33" s="1"/>
  <c r="W101" i="33" s="1"/>
  <c r="X101" i="33" s="1"/>
  <c r="Y101" i="33" s="1"/>
  <c r="Z101" i="33" s="1"/>
  <c r="AA101" i="33" s="1"/>
  <c r="AB101" i="33" s="1"/>
  <c r="AC101" i="33" s="1"/>
  <c r="AD101" i="33" s="1"/>
  <c r="AE101" i="33" s="1"/>
  <c r="AF101" i="33" s="1"/>
  <c r="AG101" i="33" s="1"/>
  <c r="AH101" i="33" s="1"/>
  <c r="AI101" i="33" s="1"/>
  <c r="AJ101" i="33" s="1"/>
  <c r="AK101" i="33" s="1"/>
  <c r="AL101" i="33" s="1"/>
  <c r="AM101" i="33" s="1"/>
  <c r="AN101" i="33" s="1"/>
  <c r="AO101" i="33" s="1"/>
  <c r="AP101" i="33" s="1"/>
  <c r="AQ101" i="33" s="1"/>
  <c r="AR101" i="33" s="1"/>
  <c r="AS101" i="33" s="1"/>
  <c r="AT101" i="33" s="1"/>
  <c r="AU101" i="33" s="1"/>
  <c r="AV101" i="33" s="1"/>
  <c r="AW101" i="33" s="1"/>
  <c r="AX101" i="33" s="1"/>
  <c r="AY101" i="33" s="1"/>
  <c r="AZ101" i="33" s="1"/>
  <c r="BA101" i="33" s="1"/>
  <c r="BB101" i="33" s="1"/>
  <c r="BC101" i="33" s="1"/>
  <c r="BD101" i="33" s="1"/>
  <c r="BE101" i="33" s="1"/>
  <c r="BF101" i="33" s="1"/>
  <c r="BG101" i="33" s="1"/>
  <c r="BH101" i="33" s="1"/>
  <c r="BI101" i="33" s="1"/>
  <c r="BJ101" i="33" s="1"/>
  <c r="BK101" i="33" s="1"/>
  <c r="BL101" i="33" s="1"/>
  <c r="K110" i="33"/>
  <c r="L83" i="33"/>
  <c r="M83" i="33" s="1"/>
  <c r="N83" i="33" s="1"/>
  <c r="O83" i="33" s="1"/>
  <c r="P83" i="33" s="1"/>
  <c r="Q83" i="33" s="1"/>
  <c r="R83" i="33" s="1"/>
  <c r="S83" i="33" s="1"/>
  <c r="T83" i="33" s="1"/>
  <c r="U83" i="33" s="1"/>
  <c r="V83" i="33" s="1"/>
  <c r="W83" i="33" s="1"/>
  <c r="X83" i="33" s="1"/>
  <c r="Y83" i="33" s="1"/>
  <c r="Z83" i="33" s="1"/>
  <c r="AA83" i="33" s="1"/>
  <c r="AB83" i="33" s="1"/>
  <c r="AC83" i="33" s="1"/>
  <c r="AD83" i="33" s="1"/>
  <c r="AE83" i="33" s="1"/>
  <c r="AF83" i="33" s="1"/>
  <c r="AG83" i="33" s="1"/>
  <c r="AH83" i="33" s="1"/>
  <c r="AI83" i="33" s="1"/>
  <c r="AJ83" i="33" s="1"/>
  <c r="AK83" i="33" s="1"/>
  <c r="AL83" i="33" s="1"/>
  <c r="AM83" i="33" s="1"/>
  <c r="AN83" i="33" s="1"/>
  <c r="AO83" i="33" s="1"/>
  <c r="AP83" i="33" s="1"/>
  <c r="AQ83" i="33" s="1"/>
  <c r="AR83" i="33" s="1"/>
  <c r="AS83" i="33" s="1"/>
  <c r="AT83" i="33" s="1"/>
  <c r="AU83" i="33" s="1"/>
  <c r="AV83" i="33" s="1"/>
  <c r="AW83" i="33" s="1"/>
  <c r="AX83" i="33" s="1"/>
  <c r="AY83" i="33" s="1"/>
  <c r="AZ83" i="33" s="1"/>
  <c r="BA83" i="33" s="1"/>
  <c r="BB83" i="33" s="1"/>
  <c r="BC83" i="33" s="1"/>
  <c r="BD83" i="33" s="1"/>
  <c r="BE83" i="33" s="1"/>
  <c r="BF83" i="33" s="1"/>
  <c r="BG83" i="33" s="1"/>
  <c r="BH83" i="33" s="1"/>
  <c r="BI83" i="33" s="1"/>
  <c r="BJ83" i="33" s="1"/>
  <c r="BK83" i="33" s="1"/>
  <c r="BL83" i="33" s="1"/>
  <c r="G72" i="33"/>
  <c r="G81" i="33" s="1"/>
  <c r="K60" i="33"/>
  <c r="L60" i="33" s="1"/>
  <c r="M60" i="33" s="1"/>
  <c r="N60" i="33" s="1"/>
  <c r="O60" i="33" s="1"/>
  <c r="P60" i="33" s="1"/>
  <c r="Q60" i="33" s="1"/>
  <c r="R60" i="33" s="1"/>
  <c r="S60" i="33" s="1"/>
  <c r="T60" i="33" s="1"/>
  <c r="U60" i="33" s="1"/>
  <c r="V60" i="33" s="1"/>
  <c r="W60" i="33" s="1"/>
  <c r="X60" i="33" s="1"/>
  <c r="Y60" i="33" s="1"/>
  <c r="Z60" i="33" s="1"/>
  <c r="AA60" i="33" s="1"/>
  <c r="AB60" i="33" s="1"/>
  <c r="AC60" i="33" s="1"/>
  <c r="AD60" i="33" s="1"/>
  <c r="AE60" i="33" s="1"/>
  <c r="AF60" i="33" s="1"/>
  <c r="AG60" i="33" s="1"/>
  <c r="AH60" i="33" s="1"/>
  <c r="AI60" i="33" s="1"/>
  <c r="AJ60" i="33" s="1"/>
  <c r="AK60" i="33" s="1"/>
  <c r="AL60" i="33" s="1"/>
  <c r="AM60" i="33" s="1"/>
  <c r="AN60" i="33" s="1"/>
  <c r="AO60" i="33" s="1"/>
  <c r="AP60" i="33" s="1"/>
  <c r="AQ60" i="33" s="1"/>
  <c r="AR60" i="33" s="1"/>
  <c r="AS60" i="33" s="1"/>
  <c r="AT60" i="33" s="1"/>
  <c r="AU60" i="33" s="1"/>
  <c r="AV60" i="33" s="1"/>
  <c r="AW60" i="33" s="1"/>
  <c r="AX60" i="33" s="1"/>
  <c r="AY60" i="33" s="1"/>
  <c r="AZ60" i="33" s="1"/>
  <c r="BA60" i="33" s="1"/>
  <c r="BB60" i="33" s="1"/>
  <c r="BC60" i="33" s="1"/>
  <c r="BD60" i="33" s="1"/>
  <c r="BE60" i="33" s="1"/>
  <c r="BF60" i="33" s="1"/>
  <c r="BG60" i="33" s="1"/>
  <c r="BH60" i="33" s="1"/>
  <c r="BI60" i="33" s="1"/>
  <c r="BJ60" i="33" s="1"/>
  <c r="BK60" i="33" s="1"/>
  <c r="BL60" i="33" s="1"/>
  <c r="C89" i="19"/>
  <c r="C2" i="19"/>
  <c r="C197" i="31"/>
  <c r="E4" i="1"/>
  <c r="C116" i="41" l="1"/>
  <c r="K115" i="33"/>
  <c r="H72" i="33"/>
  <c r="H81" i="33" s="1"/>
  <c r="BL65" i="33"/>
  <c r="BD65" i="33"/>
  <c r="BK65" i="33"/>
  <c r="BC65" i="33"/>
  <c r="BB65" i="33"/>
  <c r="BJ65" i="33"/>
  <c r="BI65" i="33"/>
  <c r="BA65" i="33"/>
  <c r="BG65" i="33"/>
  <c r="BF65" i="33"/>
  <c r="BE65" i="33"/>
  <c r="BH65" i="33"/>
  <c r="AZ65" i="33"/>
  <c r="AY65" i="33"/>
  <c r="AX65" i="33"/>
  <c r="L106" i="33"/>
  <c r="E33" i="32"/>
  <c r="C15" i="42" s="1"/>
  <c r="AE82" i="20"/>
  <c r="AD82" i="20"/>
  <c r="AC82" i="20"/>
  <c r="AB82" i="20"/>
  <c r="AH82" i="20"/>
  <c r="AG82" i="20"/>
  <c r="AF82" i="20"/>
  <c r="I82" i="20"/>
  <c r="P82" i="20"/>
  <c r="Q82" i="20"/>
  <c r="N82" i="20"/>
  <c r="M82" i="20"/>
  <c r="G82" i="20"/>
  <c r="D82" i="20"/>
  <c r="F82" i="20"/>
  <c r="S82" i="20"/>
  <c r="O82" i="20"/>
  <c r="E82" i="20"/>
  <c r="R82" i="20"/>
  <c r="K82" i="20"/>
  <c r="L82" i="20"/>
  <c r="H82" i="20"/>
  <c r="J82" i="20"/>
  <c r="C14" i="30"/>
  <c r="C15" i="30" s="1"/>
  <c r="C20" i="30"/>
  <c r="F33" i="32"/>
  <c r="D15" i="42" s="1"/>
  <c r="G33" i="32"/>
  <c r="E15" i="42" s="1"/>
  <c r="H33" i="32"/>
  <c r="F15" i="42" s="1"/>
  <c r="L115" i="33"/>
  <c r="G88" i="33"/>
  <c r="G97" i="33" s="1"/>
  <c r="G106" i="33" s="1"/>
  <c r="G115" i="33" s="1"/>
  <c r="G125" i="33" s="1"/>
  <c r="K81" i="33"/>
  <c r="K88" i="33" s="1"/>
  <c r="C23" i="19"/>
  <c r="C23" i="41" s="1"/>
  <c r="L81" i="33"/>
  <c r="L88" i="33" s="1"/>
  <c r="L110" i="33"/>
  <c r="K120" i="33"/>
  <c r="K127" i="33" s="1"/>
  <c r="M65" i="33"/>
  <c r="M72" i="33" s="1"/>
  <c r="M49" i="33"/>
  <c r="M56" i="33" s="1"/>
  <c r="M81" i="33"/>
  <c r="M88" i="33" s="1"/>
  <c r="M33" i="33"/>
  <c r="M40" i="33" s="1"/>
  <c r="C19" i="19"/>
  <c r="C19" i="41" s="1"/>
  <c r="N17" i="33"/>
  <c r="N24" i="33" s="1"/>
  <c r="O12" i="33"/>
  <c r="N28" i="33"/>
  <c r="BE81" i="33" l="1"/>
  <c r="BL81" i="33"/>
  <c r="BD81" i="33"/>
  <c r="BK81" i="33"/>
  <c r="BC81" i="33"/>
  <c r="BJ81" i="33"/>
  <c r="BB81" i="33"/>
  <c r="BH81" i="33"/>
  <c r="BF81" i="33"/>
  <c r="BI81" i="33"/>
  <c r="BA81" i="33"/>
  <c r="AZ81" i="33"/>
  <c r="AY81" i="33"/>
  <c r="AX81" i="33"/>
  <c r="BG81" i="33"/>
  <c r="H88" i="33"/>
  <c r="H97" i="33" s="1"/>
  <c r="H106" i="33" s="1"/>
  <c r="H115" i="33" s="1"/>
  <c r="H125" i="33" s="1"/>
  <c r="N125" i="33" s="1"/>
  <c r="N132" i="33" s="1"/>
  <c r="M106" i="33"/>
  <c r="G19" i="32"/>
  <c r="E50" i="42" s="1"/>
  <c r="H19" i="32"/>
  <c r="L19" i="32"/>
  <c r="E19" i="32"/>
  <c r="C50" i="42" s="1"/>
  <c r="F19" i="32"/>
  <c r="D50" i="42" s="1"/>
  <c r="M115" i="33"/>
  <c r="C24" i="41"/>
  <c r="M110" i="33"/>
  <c r="L120" i="33"/>
  <c r="L127" i="33" s="1"/>
  <c r="L97" i="33"/>
  <c r="N81" i="33"/>
  <c r="N88" i="33" s="1"/>
  <c r="N65" i="33"/>
  <c r="N72" i="33" s="1"/>
  <c r="N49" i="33"/>
  <c r="N56" i="33" s="1"/>
  <c r="N33" i="33"/>
  <c r="N40" i="33" s="1"/>
  <c r="G132" i="33"/>
  <c r="O28" i="33"/>
  <c r="P12" i="33"/>
  <c r="O17" i="33"/>
  <c r="O24" i="33" s="1"/>
  <c r="L125" i="33" l="1"/>
  <c r="L132" i="33" s="1"/>
  <c r="K125" i="33"/>
  <c r="K132" i="33" s="1"/>
  <c r="BF125" i="33"/>
  <c r="AX125" i="33"/>
  <c r="BE125" i="33"/>
  <c r="BD125" i="33"/>
  <c r="BC125" i="33"/>
  <c r="BG125" i="33"/>
  <c r="BB125" i="33"/>
  <c r="BA125" i="33"/>
  <c r="AY125" i="33"/>
  <c r="AZ125" i="33"/>
  <c r="H132" i="33"/>
  <c r="M125" i="33"/>
  <c r="M132" i="33" s="1"/>
  <c r="L32" i="28"/>
  <c r="J50" i="42"/>
  <c r="H35" i="32"/>
  <c r="F50" i="42"/>
  <c r="N106" i="33"/>
  <c r="O125" i="33"/>
  <c r="O132" i="33" s="1"/>
  <c r="H32" i="28"/>
  <c r="L35" i="32"/>
  <c r="G35" i="32"/>
  <c r="G32" i="28"/>
  <c r="E32" i="32"/>
  <c r="C14" i="42" s="1"/>
  <c r="E32" i="28"/>
  <c r="E10" i="28"/>
  <c r="F35" i="32"/>
  <c r="F32" i="28"/>
  <c r="N115" i="33"/>
  <c r="K97" i="33"/>
  <c r="O81" i="33"/>
  <c r="O88" i="33" s="1"/>
  <c r="O49" i="33"/>
  <c r="O56" i="33" s="1"/>
  <c r="O33" i="33"/>
  <c r="O40" i="33" s="1"/>
  <c r="O65" i="33"/>
  <c r="O72" i="33" s="1"/>
  <c r="N110" i="33"/>
  <c r="M120" i="33"/>
  <c r="M127" i="33" s="1"/>
  <c r="M97" i="33"/>
  <c r="Q12" i="33"/>
  <c r="P17" i="33"/>
  <c r="P24" i="33" s="1"/>
  <c r="P28" i="33"/>
  <c r="O106" i="33" l="1"/>
  <c r="P125" i="33"/>
  <c r="P132" i="33" s="1"/>
  <c r="O115" i="33"/>
  <c r="N97" i="33"/>
  <c r="P65" i="33"/>
  <c r="P72" i="33" s="1"/>
  <c r="P81" i="33"/>
  <c r="P88" i="33" s="1"/>
  <c r="P49" i="33"/>
  <c r="P56" i="33" s="1"/>
  <c r="P33" i="33"/>
  <c r="P40" i="33" s="1"/>
  <c r="P115" i="33" s="1"/>
  <c r="O110" i="33"/>
  <c r="N120" i="33"/>
  <c r="N127" i="33" s="1"/>
  <c r="O97" i="33"/>
  <c r="R12" i="33"/>
  <c r="Q17" i="33"/>
  <c r="Q24" i="33" s="1"/>
  <c r="Q28" i="33"/>
  <c r="P106" i="33" l="1"/>
  <c r="Q125" i="33"/>
  <c r="Q132" i="33" s="1"/>
  <c r="Q81" i="33"/>
  <c r="Q88" i="33" s="1"/>
  <c r="Q65" i="33"/>
  <c r="Q72" i="33" s="1"/>
  <c r="Q33" i="33"/>
  <c r="Q40" i="33" s="1"/>
  <c r="Q49" i="33"/>
  <c r="Q56" i="33" s="1"/>
  <c r="P110" i="33"/>
  <c r="O120" i="33"/>
  <c r="O127" i="33" s="1"/>
  <c r="R17" i="33"/>
  <c r="R24" i="33" s="1"/>
  <c r="S12" i="33"/>
  <c r="R28" i="33"/>
  <c r="C29" i="1"/>
  <c r="E14" i="33" s="1"/>
  <c r="E21" i="33" s="1"/>
  <c r="E30" i="33" s="1"/>
  <c r="E37" i="33" s="1"/>
  <c r="E46" i="33" s="1"/>
  <c r="E53" i="33" s="1"/>
  <c r="E62" i="33" s="1"/>
  <c r="E69" i="33" s="1"/>
  <c r="E78" i="33" s="1"/>
  <c r="E85" i="33" s="1"/>
  <c r="E94" i="33" s="1"/>
  <c r="E103" i="33" s="1"/>
  <c r="E112" i="33" s="1"/>
  <c r="E122" i="33" s="1"/>
  <c r="E129" i="33" s="1"/>
  <c r="C30" i="1"/>
  <c r="E15" i="33" s="1"/>
  <c r="E22" i="33" s="1"/>
  <c r="E31" i="33" s="1"/>
  <c r="E38" i="33" s="1"/>
  <c r="E47" i="33" s="1"/>
  <c r="E54" i="33" s="1"/>
  <c r="E63" i="33" s="1"/>
  <c r="E70" i="33" s="1"/>
  <c r="E79" i="33" s="1"/>
  <c r="E86" i="33" s="1"/>
  <c r="E95" i="33" s="1"/>
  <c r="E104" i="33" s="1"/>
  <c r="E113" i="33" s="1"/>
  <c r="E123" i="33" s="1"/>
  <c r="E130" i="33" s="1"/>
  <c r="C28" i="1"/>
  <c r="E8" i="1"/>
  <c r="B41" i="1" s="1"/>
  <c r="Q106" i="33" l="1"/>
  <c r="R125" i="33"/>
  <c r="R132" i="33" s="1"/>
  <c r="Q115" i="33"/>
  <c r="E13" i="33"/>
  <c r="E20" i="33" s="1"/>
  <c r="E29" i="33" s="1"/>
  <c r="E36" i="33" s="1"/>
  <c r="E45" i="33" s="1"/>
  <c r="E52" i="33" s="1"/>
  <c r="E61" i="33" s="1"/>
  <c r="E68" i="33" s="1"/>
  <c r="E77" i="33" s="1"/>
  <c r="E84" i="33" s="1"/>
  <c r="E93" i="33" s="1"/>
  <c r="E102" i="33" s="1"/>
  <c r="E111" i="33" s="1"/>
  <c r="E121" i="33" s="1"/>
  <c r="E128" i="33" s="1"/>
  <c r="R81" i="33"/>
  <c r="R88" i="33" s="1"/>
  <c r="R65" i="33"/>
  <c r="R72" i="33" s="1"/>
  <c r="R49" i="33"/>
  <c r="R56" i="33" s="1"/>
  <c r="R33" i="33"/>
  <c r="R40" i="33" s="1"/>
  <c r="Q110" i="33"/>
  <c r="P120" i="33"/>
  <c r="P127" i="33" s="1"/>
  <c r="Q97" i="33"/>
  <c r="P97" i="33"/>
  <c r="S28" i="33"/>
  <c r="T12" i="33"/>
  <c r="S17" i="33"/>
  <c r="S24" i="33" s="1"/>
  <c r="C132" i="31"/>
  <c r="C68" i="31"/>
  <c r="C7" i="31"/>
  <c r="C47" i="20"/>
  <c r="C48" i="20"/>
  <c r="C49" i="20"/>
  <c r="C50" i="20"/>
  <c r="R106" i="33" l="1"/>
  <c r="S125" i="33"/>
  <c r="S132" i="33" s="1"/>
  <c r="R115" i="33"/>
  <c r="R97" i="33"/>
  <c r="R110" i="33"/>
  <c r="Q120" i="33"/>
  <c r="Q127" i="33" s="1"/>
  <c r="S81" i="33"/>
  <c r="S88" i="33" s="1"/>
  <c r="S65" i="33"/>
  <c r="S72" i="33" s="1"/>
  <c r="S106" i="33" s="1"/>
  <c r="S49" i="33"/>
  <c r="S56" i="33" s="1"/>
  <c r="S33" i="33"/>
  <c r="S40" i="33" s="1"/>
  <c r="T17" i="33"/>
  <c r="T24" i="33" s="1"/>
  <c r="U12" i="33"/>
  <c r="T28" i="33"/>
  <c r="D34" i="20"/>
  <c r="D46" i="1"/>
  <c r="D44" i="1"/>
  <c r="H48" i="1" s="1"/>
  <c r="H51" i="1" s="1"/>
  <c r="D43" i="1"/>
  <c r="T125" i="33" l="1"/>
  <c r="T132" i="33" s="1"/>
  <c r="S115" i="33"/>
  <c r="S110" i="33"/>
  <c r="R120" i="33"/>
  <c r="R127" i="33" s="1"/>
  <c r="T65" i="33"/>
  <c r="T72" i="33" s="1"/>
  <c r="T81" i="33"/>
  <c r="T88" i="33" s="1"/>
  <c r="T49" i="33"/>
  <c r="T56" i="33" s="1"/>
  <c r="T33" i="33"/>
  <c r="T40" i="33" s="1"/>
  <c r="U17" i="33"/>
  <c r="U24" i="33" s="1"/>
  <c r="V12" i="33"/>
  <c r="U28" i="33"/>
  <c r="D48" i="1"/>
  <c r="D50" i="1" s="1"/>
  <c r="T106" i="33" l="1"/>
  <c r="U125" i="33"/>
  <c r="U132" i="33" s="1"/>
  <c r="T115" i="33"/>
  <c r="S97" i="33"/>
  <c r="T97" i="33"/>
  <c r="U65" i="33"/>
  <c r="U72" i="33" s="1"/>
  <c r="U106" i="33" s="1"/>
  <c r="U49" i="33"/>
  <c r="U56" i="33" s="1"/>
  <c r="U81" i="33"/>
  <c r="U88" i="33" s="1"/>
  <c r="U33" i="33"/>
  <c r="U40" i="33" s="1"/>
  <c r="T110" i="33"/>
  <c r="S120" i="33"/>
  <c r="S127" i="33" s="1"/>
  <c r="V28" i="33"/>
  <c r="W12" i="33"/>
  <c r="V17" i="33"/>
  <c r="V24" i="33" s="1"/>
  <c r="CI6" i="19"/>
  <c r="CU6" i="19" s="1"/>
  <c r="DG6" i="19" s="1"/>
  <c r="DS6" i="19" s="1"/>
  <c r="EE6" i="19" s="1"/>
  <c r="EQ6" i="19" s="1"/>
  <c r="FC6" i="19" s="1"/>
  <c r="FO6" i="19" s="1"/>
  <c r="GA6" i="19" s="1"/>
  <c r="GM6" i="19" s="1"/>
  <c r="GY6" i="19" s="1"/>
  <c r="HK6" i="19" s="1"/>
  <c r="HW6" i="19" s="1"/>
  <c r="II6" i="19" s="1"/>
  <c r="IU6" i="19" s="1"/>
  <c r="JG6" i="19" s="1"/>
  <c r="JS6" i="19" s="1"/>
  <c r="Z6" i="19"/>
  <c r="AL6" i="19" s="1"/>
  <c r="AX6" i="19" s="1"/>
  <c r="BJ6" i="19" s="1"/>
  <c r="CH6" i="19" s="1"/>
  <c r="CT6" i="19" s="1"/>
  <c r="DF6" i="19" s="1"/>
  <c r="DR6" i="19" s="1"/>
  <c r="ED6" i="19" s="1"/>
  <c r="EP6" i="19" s="1"/>
  <c r="FB6" i="19" s="1"/>
  <c r="FN6" i="19" s="1"/>
  <c r="FZ6" i="19" s="1"/>
  <c r="GL6" i="19" s="1"/>
  <c r="GX6" i="19" s="1"/>
  <c r="HJ6" i="19" s="1"/>
  <c r="HV6" i="19" s="1"/>
  <c r="IH6" i="19" s="1"/>
  <c r="IT6" i="19" s="1"/>
  <c r="JF6" i="19" s="1"/>
  <c r="JR6" i="19" s="1"/>
  <c r="Y6" i="19"/>
  <c r="AK6" i="19" s="1"/>
  <c r="AW6" i="19" s="1"/>
  <c r="BI6" i="19" s="1"/>
  <c r="CG6" i="19" s="1"/>
  <c r="CS6" i="19" s="1"/>
  <c r="DE6" i="19" s="1"/>
  <c r="DQ6" i="19" s="1"/>
  <c r="EC6" i="19" s="1"/>
  <c r="EO6" i="19" s="1"/>
  <c r="FA6" i="19" s="1"/>
  <c r="FM6" i="19" s="1"/>
  <c r="FY6" i="19" s="1"/>
  <c r="GK6" i="19" s="1"/>
  <c r="GW6" i="19" s="1"/>
  <c r="HI6" i="19" s="1"/>
  <c r="X6" i="19"/>
  <c r="AJ6" i="19" s="1"/>
  <c r="AV6" i="19" s="1"/>
  <c r="BH6" i="19" s="1"/>
  <c r="BT6" i="19" s="1"/>
  <c r="CF6" i="19" s="1"/>
  <c r="CR6" i="19" s="1"/>
  <c r="DD6" i="19" s="1"/>
  <c r="DP6" i="19" s="1"/>
  <c r="EB6" i="19" s="1"/>
  <c r="EN6" i="19" s="1"/>
  <c r="EZ6" i="19" s="1"/>
  <c r="FL6" i="19" s="1"/>
  <c r="FX6" i="19" s="1"/>
  <c r="GJ6" i="19" s="1"/>
  <c r="GV6" i="19" s="1"/>
  <c r="HH6" i="19" s="1"/>
  <c r="W6" i="19"/>
  <c r="AI6" i="19" s="1"/>
  <c r="AU6" i="19" s="1"/>
  <c r="BG6" i="19" s="1"/>
  <c r="BS6" i="19" s="1"/>
  <c r="CE6" i="19" s="1"/>
  <c r="CQ6" i="19" s="1"/>
  <c r="DC6" i="19" s="1"/>
  <c r="DO6" i="19" s="1"/>
  <c r="EA6" i="19" s="1"/>
  <c r="EM6" i="19" s="1"/>
  <c r="EY6" i="19" s="1"/>
  <c r="FK6" i="19" s="1"/>
  <c r="FW6" i="19" s="1"/>
  <c r="GI6" i="19" s="1"/>
  <c r="GU6" i="19" s="1"/>
  <c r="HG6" i="19" s="1"/>
  <c r="HS6" i="19" s="1"/>
  <c r="IE6" i="19" s="1"/>
  <c r="IQ6" i="19" s="1"/>
  <c r="JC6" i="19" s="1"/>
  <c r="JO6" i="19" s="1"/>
  <c r="KA6" i="19" s="1"/>
  <c r="V6" i="19"/>
  <c r="AH6" i="19" s="1"/>
  <c r="AT6" i="19" s="1"/>
  <c r="BF6" i="19" s="1"/>
  <c r="BR6" i="19" s="1"/>
  <c r="CD6" i="19" s="1"/>
  <c r="CP6" i="19" s="1"/>
  <c r="DB6" i="19" s="1"/>
  <c r="DN6" i="19" s="1"/>
  <c r="DZ6" i="19" s="1"/>
  <c r="EL6" i="19" s="1"/>
  <c r="EX6" i="19" s="1"/>
  <c r="FJ6" i="19" s="1"/>
  <c r="FV6" i="19" s="1"/>
  <c r="GH6" i="19" s="1"/>
  <c r="GT6" i="19" s="1"/>
  <c r="HF6" i="19" s="1"/>
  <c r="HR6" i="19" s="1"/>
  <c r="ID6" i="19" s="1"/>
  <c r="IP6" i="19" s="1"/>
  <c r="JB6" i="19" s="1"/>
  <c r="JN6" i="19" s="1"/>
  <c r="JZ6" i="19" s="1"/>
  <c r="U6" i="19"/>
  <c r="AG6" i="19" s="1"/>
  <c r="AS6" i="19" s="1"/>
  <c r="BE6" i="19" s="1"/>
  <c r="BQ6" i="19" s="1"/>
  <c r="CC6" i="19" s="1"/>
  <c r="CO6" i="19" s="1"/>
  <c r="DA6" i="19" s="1"/>
  <c r="DM6" i="19" s="1"/>
  <c r="DY6" i="19" s="1"/>
  <c r="EK6" i="19" s="1"/>
  <c r="EW6" i="19" s="1"/>
  <c r="FI6" i="19" s="1"/>
  <c r="FU6" i="19" s="1"/>
  <c r="GG6" i="19" s="1"/>
  <c r="GS6" i="19" s="1"/>
  <c r="HE6" i="19" s="1"/>
  <c r="HQ6" i="19" s="1"/>
  <c r="IC6" i="19" s="1"/>
  <c r="IO6" i="19" s="1"/>
  <c r="JA6" i="19" s="1"/>
  <c r="JM6" i="19" s="1"/>
  <c r="JY6" i="19" s="1"/>
  <c r="T6" i="19"/>
  <c r="AF6" i="19" s="1"/>
  <c r="AR6" i="19" s="1"/>
  <c r="BD6" i="19" s="1"/>
  <c r="BP6" i="19" s="1"/>
  <c r="CB6" i="19" s="1"/>
  <c r="CN6" i="19" s="1"/>
  <c r="CZ6" i="19" s="1"/>
  <c r="DL6" i="19" s="1"/>
  <c r="DX6" i="19" s="1"/>
  <c r="EJ6" i="19" s="1"/>
  <c r="EV6" i="19" s="1"/>
  <c r="FH6" i="19" s="1"/>
  <c r="FT6" i="19" s="1"/>
  <c r="GF6" i="19" s="1"/>
  <c r="GR6" i="19" s="1"/>
  <c r="HD6" i="19" s="1"/>
  <c r="HP6" i="19" s="1"/>
  <c r="IB6" i="19" s="1"/>
  <c r="IN6" i="19" s="1"/>
  <c r="IZ6" i="19" s="1"/>
  <c r="JL6" i="19" s="1"/>
  <c r="JX6" i="19" s="1"/>
  <c r="S6" i="19"/>
  <c r="AE6" i="19" s="1"/>
  <c r="AQ6" i="19" s="1"/>
  <c r="BC6" i="19" s="1"/>
  <c r="BO6" i="19" s="1"/>
  <c r="CA6" i="19" s="1"/>
  <c r="CM6" i="19" s="1"/>
  <c r="CY6" i="19" s="1"/>
  <c r="DK6" i="19" s="1"/>
  <c r="DW6" i="19" s="1"/>
  <c r="EI6" i="19" s="1"/>
  <c r="EU6" i="19" s="1"/>
  <c r="FG6" i="19" s="1"/>
  <c r="FS6" i="19" s="1"/>
  <c r="GE6" i="19" s="1"/>
  <c r="GQ6" i="19" s="1"/>
  <c r="HC6" i="19" s="1"/>
  <c r="HO6" i="19" s="1"/>
  <c r="IA6" i="19" s="1"/>
  <c r="IM6" i="19" s="1"/>
  <c r="IY6" i="19" s="1"/>
  <c r="JK6" i="19" s="1"/>
  <c r="JW6" i="19" s="1"/>
  <c r="R6" i="19"/>
  <c r="AD6" i="19" s="1"/>
  <c r="AP6" i="19" s="1"/>
  <c r="BB6" i="19" s="1"/>
  <c r="BN6" i="19" s="1"/>
  <c r="BZ6" i="19" s="1"/>
  <c r="CL6" i="19" s="1"/>
  <c r="CX6" i="19" s="1"/>
  <c r="DJ6" i="19" s="1"/>
  <c r="DV6" i="19" s="1"/>
  <c r="EH6" i="19" s="1"/>
  <c r="ET6" i="19" s="1"/>
  <c r="FF6" i="19" s="1"/>
  <c r="FR6" i="19" s="1"/>
  <c r="GD6" i="19" s="1"/>
  <c r="GP6" i="19" s="1"/>
  <c r="HB6" i="19" s="1"/>
  <c r="HN6" i="19" s="1"/>
  <c r="HZ6" i="19" s="1"/>
  <c r="IL6" i="19" s="1"/>
  <c r="IX6" i="19" s="1"/>
  <c r="JJ6" i="19" s="1"/>
  <c r="JV6" i="19" s="1"/>
  <c r="Q6" i="19"/>
  <c r="AC6" i="19" s="1"/>
  <c r="AO6" i="19" s="1"/>
  <c r="BA6" i="19" s="1"/>
  <c r="BM6" i="19" s="1"/>
  <c r="BY6" i="19" s="1"/>
  <c r="CK6" i="19" s="1"/>
  <c r="CW6" i="19" s="1"/>
  <c r="DI6" i="19" s="1"/>
  <c r="DU6" i="19" s="1"/>
  <c r="EG6" i="19" s="1"/>
  <c r="ES6" i="19" s="1"/>
  <c r="FE6" i="19" s="1"/>
  <c r="FQ6" i="19" s="1"/>
  <c r="GC6" i="19" s="1"/>
  <c r="GO6" i="19" s="1"/>
  <c r="HA6" i="19" s="1"/>
  <c r="HM6" i="19" s="1"/>
  <c r="HY6" i="19" s="1"/>
  <c r="IK6" i="19" s="1"/>
  <c r="IW6" i="19" s="1"/>
  <c r="JI6" i="19" s="1"/>
  <c r="JU6" i="19" s="1"/>
  <c r="P6" i="19"/>
  <c r="R6" i="22" l="1"/>
  <c r="S6" i="22"/>
  <c r="S5" i="22"/>
  <c r="U5" i="22"/>
  <c r="U7" i="22"/>
  <c r="W5" i="22"/>
  <c r="W7" i="22"/>
  <c r="Y7" i="22"/>
  <c r="Y6" i="22"/>
  <c r="V125" i="33"/>
  <c r="V132" i="33" s="1"/>
  <c r="Q8" i="22"/>
  <c r="U115" i="33"/>
  <c r="U97" i="33"/>
  <c r="V81" i="33"/>
  <c r="V88" i="33" s="1"/>
  <c r="V65" i="33"/>
  <c r="V72" i="33" s="1"/>
  <c r="V49" i="33"/>
  <c r="V56" i="33" s="1"/>
  <c r="V33" i="33"/>
  <c r="V40" i="33" s="1"/>
  <c r="U110" i="33"/>
  <c r="T120" i="33"/>
  <c r="T127" i="33" s="1"/>
  <c r="X12" i="33"/>
  <c r="W17" i="33"/>
  <c r="W24" i="33" s="1"/>
  <c r="W28" i="33"/>
  <c r="HT6" i="19"/>
  <c r="IF6" i="19" s="1"/>
  <c r="IR6" i="19" s="1"/>
  <c r="JD6" i="19" s="1"/>
  <c r="JP6" i="19" s="1"/>
  <c r="KB6" i="19" s="1"/>
  <c r="HU6" i="19"/>
  <c r="IG6" i="19" s="1"/>
  <c r="IS6" i="19" s="1"/>
  <c r="JE6" i="19" s="1"/>
  <c r="JQ6" i="19" s="1"/>
  <c r="AB6" i="19"/>
  <c r="AN6" i="19" s="1"/>
  <c r="AZ6" i="19" s="1"/>
  <c r="BL6" i="19" s="1"/>
  <c r="BX6" i="19" s="1"/>
  <c r="CJ6" i="19" s="1"/>
  <c r="CV6" i="19" s="1"/>
  <c r="DH6" i="19" s="1"/>
  <c r="DT6" i="19" s="1"/>
  <c r="EF6" i="19" s="1"/>
  <c r="ER6" i="19" s="1"/>
  <c r="FD6" i="19" s="1"/>
  <c r="FP6" i="19" s="1"/>
  <c r="GB6" i="19" s="1"/>
  <c r="GN6" i="19" s="1"/>
  <c r="GZ6" i="19" s="1"/>
  <c r="HL6" i="19" s="1"/>
  <c r="HX6" i="19" s="1"/>
  <c r="IJ6" i="19" s="1"/>
  <c r="IV6" i="19" s="1"/>
  <c r="JH6" i="19" s="1"/>
  <c r="JT6" i="19" s="1"/>
  <c r="A29" i="1"/>
  <c r="Y8" i="22" l="1"/>
  <c r="W6" i="22"/>
  <c r="U8" i="22"/>
  <c r="S7" i="22"/>
  <c r="S9" i="22" s="1"/>
  <c r="Y5" i="22"/>
  <c r="W8" i="22"/>
  <c r="U6" i="22"/>
  <c r="U9" i="22" s="1"/>
  <c r="S8" i="22"/>
  <c r="X5" i="22"/>
  <c r="Z7" i="22"/>
  <c r="X6" i="22"/>
  <c r="V5" i="22"/>
  <c r="T8" i="22"/>
  <c r="R5" i="22"/>
  <c r="S23" i="34"/>
  <c r="W23" i="34"/>
  <c r="Z6" i="22"/>
  <c r="T6" i="22"/>
  <c r="Z5" i="22"/>
  <c r="V6" i="22"/>
  <c r="T7" i="22"/>
  <c r="R8" i="22"/>
  <c r="U23" i="34"/>
  <c r="V8" i="22"/>
  <c r="X7" i="22"/>
  <c r="Z8" i="22"/>
  <c r="X8" i="22"/>
  <c r="V7" i="22"/>
  <c r="T5" i="22"/>
  <c r="R7" i="22"/>
  <c r="V106" i="33"/>
  <c r="W125" i="33"/>
  <c r="V115" i="33"/>
  <c r="O8" i="22"/>
  <c r="M8" i="22"/>
  <c r="N8" i="22"/>
  <c r="P8" i="22"/>
  <c r="V97" i="33"/>
  <c r="V110" i="33"/>
  <c r="U120" i="33"/>
  <c r="U127" i="33" s="1"/>
  <c r="W81" i="33"/>
  <c r="W88" i="33" s="1"/>
  <c r="W132" i="33"/>
  <c r="W65" i="33"/>
  <c r="W72" i="33" s="1"/>
  <c r="W49" i="33"/>
  <c r="W56" i="33" s="1"/>
  <c r="W33" i="33"/>
  <c r="W40" i="33" s="1"/>
  <c r="X28" i="33"/>
  <c r="Y12" i="33"/>
  <c r="X17" i="33"/>
  <c r="X24" i="33" s="1"/>
  <c r="B88" i="1"/>
  <c r="B89" i="1"/>
  <c r="B90" i="1"/>
  <c r="B91" i="1"/>
  <c r="B92" i="1"/>
  <c r="G79" i="1"/>
  <c r="H79" i="1"/>
  <c r="W9" i="22" l="1"/>
  <c r="S10" i="22"/>
  <c r="S18" i="28"/>
  <c r="W10" i="22"/>
  <c r="W18" i="28"/>
  <c r="U8" i="42" s="1"/>
  <c r="T23" i="34"/>
  <c r="T9" i="22"/>
  <c r="Z9" i="22"/>
  <c r="Z10" i="22" s="1"/>
  <c r="Y23" i="34"/>
  <c r="Y9" i="22"/>
  <c r="V23" i="34"/>
  <c r="V9" i="22"/>
  <c r="U10" i="22"/>
  <c r="U18" i="28"/>
  <c r="S8" i="42" s="1"/>
  <c r="R23" i="34"/>
  <c r="R9" i="22"/>
  <c r="X23" i="34"/>
  <c r="X9" i="22"/>
  <c r="W106" i="33"/>
  <c r="X125" i="33"/>
  <c r="X132" i="33" s="1"/>
  <c r="W115" i="33"/>
  <c r="W110" i="33"/>
  <c r="V120" i="33"/>
  <c r="V127" i="33" s="1"/>
  <c r="X81" i="33"/>
  <c r="X88" i="33" s="1"/>
  <c r="X65" i="33"/>
  <c r="X72" i="33" s="1"/>
  <c r="X49" i="33"/>
  <c r="X56" i="33" s="1"/>
  <c r="X33" i="33"/>
  <c r="X40" i="33" s="1"/>
  <c r="W97" i="33"/>
  <c r="Y17" i="33"/>
  <c r="Y24" i="33" s="1"/>
  <c r="Z12" i="33"/>
  <c r="Y28" i="33"/>
  <c r="B95" i="1"/>
  <c r="I79" i="1"/>
  <c r="R10" i="22" l="1"/>
  <c r="R18" i="28"/>
  <c r="T10" i="22"/>
  <c r="T18" i="28"/>
  <c r="V10" i="22"/>
  <c r="V18" i="28"/>
  <c r="T8" i="42" s="1"/>
  <c r="X10" i="22"/>
  <c r="X18" i="28"/>
  <c r="V8" i="42" s="1"/>
  <c r="Y10" i="22"/>
  <c r="Y18" i="28"/>
  <c r="W8" i="42" s="1"/>
  <c r="X106" i="33"/>
  <c r="Y125" i="33"/>
  <c r="Y132" i="33" s="1"/>
  <c r="X115" i="33"/>
  <c r="X97" i="33"/>
  <c r="X110" i="33"/>
  <c r="W120" i="33"/>
  <c r="W127" i="33" s="1"/>
  <c r="Y81" i="33"/>
  <c r="Y88" i="33" s="1"/>
  <c r="Y33" i="33"/>
  <c r="Y40" i="33" s="1"/>
  <c r="Y65" i="33"/>
  <c r="Y72" i="33" s="1"/>
  <c r="Y49" i="33"/>
  <c r="Y56" i="33" s="1"/>
  <c r="Z17" i="33"/>
  <c r="Z24" i="33" s="1"/>
  <c r="AA12" i="33"/>
  <c r="Z28" i="33"/>
  <c r="H78" i="1"/>
  <c r="G78" i="1"/>
  <c r="Y106" i="33" l="1"/>
  <c r="Z125" i="33"/>
  <c r="Z132" i="33" s="1"/>
  <c r="Y115" i="33"/>
  <c r="Y110" i="33"/>
  <c r="X120" i="33"/>
  <c r="X127" i="33" s="1"/>
  <c r="Y97" i="33"/>
  <c r="Z81" i="33"/>
  <c r="Z88" i="33" s="1"/>
  <c r="Z65" i="33"/>
  <c r="Z72" i="33" s="1"/>
  <c r="Z49" i="33"/>
  <c r="Z56" i="33" s="1"/>
  <c r="Z33" i="33"/>
  <c r="Z40" i="33" s="1"/>
  <c r="AB12" i="33"/>
  <c r="AA17" i="33"/>
  <c r="AA24" i="33" s="1"/>
  <c r="AA28" i="33"/>
  <c r="I80" i="1"/>
  <c r="I78" i="1"/>
  <c r="Z106" i="33" l="1"/>
  <c r="AA125" i="33"/>
  <c r="AA132" i="33" s="1"/>
  <c r="Z115" i="33"/>
  <c r="Z97" i="33"/>
  <c r="AA81" i="33"/>
  <c r="AA88" i="33" s="1"/>
  <c r="AA65" i="33"/>
  <c r="AA72" i="33" s="1"/>
  <c r="AA49" i="33"/>
  <c r="AA56" i="33" s="1"/>
  <c r="AA33" i="33"/>
  <c r="AA40" i="33" s="1"/>
  <c r="Z110" i="33"/>
  <c r="Y120" i="33"/>
  <c r="Y127" i="33" s="1"/>
  <c r="AB28" i="33"/>
  <c r="AB17" i="33"/>
  <c r="AB24" i="33" s="1"/>
  <c r="AC12" i="33"/>
  <c r="AA115" i="33" l="1"/>
  <c r="AA106" i="33"/>
  <c r="AB125" i="33"/>
  <c r="AB132" i="33" s="1"/>
  <c r="AA110" i="33"/>
  <c r="Z120" i="33"/>
  <c r="Z127" i="33" s="1"/>
  <c r="AA97" i="33"/>
  <c r="AB81" i="33"/>
  <c r="AB88" i="33" s="1"/>
  <c r="AB65" i="33"/>
  <c r="AB72" i="33" s="1"/>
  <c r="AB49" i="33"/>
  <c r="AB56" i="33" s="1"/>
  <c r="AB33" i="33"/>
  <c r="AB40" i="33" s="1"/>
  <c r="AC17" i="33"/>
  <c r="AC24" i="33" s="1"/>
  <c r="AD12" i="33"/>
  <c r="AC28" i="33"/>
  <c r="AB106" i="33" l="1"/>
  <c r="AC125" i="33"/>
  <c r="AC132" i="33" s="1"/>
  <c r="AB115" i="33"/>
  <c r="AB97" i="33"/>
  <c r="AC81" i="33"/>
  <c r="AC88" i="33" s="1"/>
  <c r="AC65" i="33"/>
  <c r="AC72" i="33" s="1"/>
  <c r="AC49" i="33"/>
  <c r="AC56" i="33" s="1"/>
  <c r="AC33" i="33"/>
  <c r="AC40" i="33" s="1"/>
  <c r="AB110" i="33"/>
  <c r="AA120" i="33"/>
  <c r="AA127" i="33" s="1"/>
  <c r="AD28" i="33"/>
  <c r="AE12" i="33"/>
  <c r="AD17" i="33"/>
  <c r="AD24" i="33" s="1"/>
  <c r="AC106" i="33" l="1"/>
  <c r="AD125" i="33"/>
  <c r="AD132" i="33" s="1"/>
  <c r="AC115" i="33"/>
  <c r="AC110" i="33"/>
  <c r="AB120" i="33"/>
  <c r="AB127" i="33" s="1"/>
  <c r="AC97" i="33"/>
  <c r="AD65" i="33"/>
  <c r="AD72" i="33" s="1"/>
  <c r="AD106" i="33" s="1"/>
  <c r="AD49" i="33"/>
  <c r="AD56" i="33" s="1"/>
  <c r="AD81" i="33"/>
  <c r="AD88" i="33" s="1"/>
  <c r="AD33" i="33"/>
  <c r="AD40" i="33" s="1"/>
  <c r="AF12" i="33"/>
  <c r="AE17" i="33"/>
  <c r="AE24" i="33" s="1"/>
  <c r="AE28" i="33"/>
  <c r="A32" i="1"/>
  <c r="A84" i="1" s="1"/>
  <c r="A94" i="1" s="1"/>
  <c r="AE125" i="33" l="1"/>
  <c r="AE132" i="33" s="1"/>
  <c r="AD115" i="33"/>
  <c r="AD97" i="33"/>
  <c r="AE81" i="33"/>
  <c r="AE88" i="33" s="1"/>
  <c r="AE65" i="33"/>
  <c r="AE72" i="33" s="1"/>
  <c r="AE49" i="33"/>
  <c r="AE56" i="33" s="1"/>
  <c r="AE33" i="33"/>
  <c r="AE40" i="33" s="1"/>
  <c r="AD110" i="33"/>
  <c r="AC120" i="33"/>
  <c r="AC127" i="33" s="1"/>
  <c r="AF28" i="33"/>
  <c r="AG12" i="33"/>
  <c r="AF17" i="33"/>
  <c r="AF24" i="33" s="1"/>
  <c r="B84" i="1"/>
  <c r="AE106" i="33" l="1"/>
  <c r="AE115" i="33"/>
  <c r="AF125" i="33"/>
  <c r="AF132" i="33" s="1"/>
  <c r="AE97" i="33"/>
  <c r="AE110" i="33"/>
  <c r="AD120" i="33"/>
  <c r="AD127" i="33" s="1"/>
  <c r="AF81" i="33"/>
  <c r="AF88" i="33" s="1"/>
  <c r="AF65" i="33"/>
  <c r="AF72" i="33" s="1"/>
  <c r="AF49" i="33"/>
  <c r="AF56" i="33" s="1"/>
  <c r="AF33" i="33"/>
  <c r="AF40" i="33" s="1"/>
  <c r="AH12" i="33"/>
  <c r="AG17" i="33"/>
  <c r="AG24" i="33" s="1"/>
  <c r="AG28" i="33"/>
  <c r="E10" i="1"/>
  <c r="C16" i="19" s="1"/>
  <c r="D23" i="34" l="1"/>
  <c r="B62" i="19"/>
  <c r="AF106" i="33"/>
  <c r="AG125" i="33"/>
  <c r="AG132" i="33" s="1"/>
  <c r="C16" i="41"/>
  <c r="B62" i="41" s="1"/>
  <c r="B83" i="41" s="1"/>
  <c r="AF115" i="33"/>
  <c r="AF97" i="33"/>
  <c r="AF110" i="33"/>
  <c r="AE120" i="33"/>
  <c r="AE127" i="33" s="1"/>
  <c r="AG65" i="33"/>
  <c r="AG72" i="33" s="1"/>
  <c r="AG81" i="33"/>
  <c r="AG88" i="33" s="1"/>
  <c r="AG33" i="33"/>
  <c r="AG40" i="33" s="1"/>
  <c r="AG49" i="33"/>
  <c r="AG56" i="33" s="1"/>
  <c r="AI12" i="33"/>
  <c r="AH17" i="33"/>
  <c r="AH24" i="33" s="1"/>
  <c r="AH28" i="33"/>
  <c r="B16" i="19"/>
  <c r="AG106" i="33" l="1"/>
  <c r="C4" i="26"/>
  <c r="F34" i="26" s="1"/>
  <c r="D7" i="34"/>
  <c r="AH125" i="33"/>
  <c r="AH132" i="33" s="1"/>
  <c r="B16" i="41"/>
  <c r="AG115" i="33"/>
  <c r="AG110" i="33"/>
  <c r="AF120" i="33"/>
  <c r="AF127" i="33" s="1"/>
  <c r="AH49" i="33"/>
  <c r="AH56" i="33" s="1"/>
  <c r="AH65" i="33"/>
  <c r="AH72" i="33" s="1"/>
  <c r="AH33" i="33"/>
  <c r="AH40" i="33" s="1"/>
  <c r="AH81" i="33"/>
  <c r="AH88" i="33" s="1"/>
  <c r="AG97" i="33"/>
  <c r="AJ12" i="33"/>
  <c r="AI17" i="33"/>
  <c r="AI24" i="33" s="1"/>
  <c r="AI28" i="33"/>
  <c r="F33" i="26" l="1"/>
  <c r="F36" i="26"/>
  <c r="F37" i="26"/>
  <c r="F35" i="26"/>
  <c r="F38" i="26" s="1"/>
  <c r="D5" i="34"/>
  <c r="AH106" i="33"/>
  <c r="AI125" i="33"/>
  <c r="AI132" i="33" s="1"/>
  <c r="AH115" i="33"/>
  <c r="AH110" i="33"/>
  <c r="AG120" i="33"/>
  <c r="AG127" i="33" s="1"/>
  <c r="AH97" i="33"/>
  <c r="AI81" i="33"/>
  <c r="AI88" i="33" s="1"/>
  <c r="AI49" i="33"/>
  <c r="AI56" i="33" s="1"/>
  <c r="AI65" i="33"/>
  <c r="AI72" i="33" s="1"/>
  <c r="AI33" i="33"/>
  <c r="AI40" i="33" s="1"/>
  <c r="AJ17" i="33"/>
  <c r="AJ24" i="33" s="1"/>
  <c r="AK12" i="33"/>
  <c r="AJ28" i="33"/>
  <c r="AI106" i="33" l="1"/>
  <c r="AJ125" i="33"/>
  <c r="AJ132" i="33" s="1"/>
  <c r="AI115" i="33"/>
  <c r="AI97" i="33"/>
  <c r="AI110" i="33"/>
  <c r="AH120" i="33"/>
  <c r="AH127" i="33" s="1"/>
  <c r="AJ81" i="33"/>
  <c r="AJ88" i="33" s="1"/>
  <c r="AJ49" i="33"/>
  <c r="AJ56" i="33" s="1"/>
  <c r="AJ65" i="33"/>
  <c r="AJ72" i="33" s="1"/>
  <c r="AJ33" i="33"/>
  <c r="AJ40" i="33" s="1"/>
  <c r="AK17" i="33"/>
  <c r="AK24" i="33" s="1"/>
  <c r="AL12" i="33"/>
  <c r="AK28" i="33"/>
  <c r="AJ106" i="33" l="1"/>
  <c r="AK125" i="33"/>
  <c r="AK132" i="33" s="1"/>
  <c r="AJ115" i="33"/>
  <c r="AJ110" i="33"/>
  <c r="AI120" i="33"/>
  <c r="AI127" i="33" s="1"/>
  <c r="AK81" i="33"/>
  <c r="AK88" i="33" s="1"/>
  <c r="AK49" i="33"/>
  <c r="AK56" i="33" s="1"/>
  <c r="AK65" i="33"/>
  <c r="AK72" i="33" s="1"/>
  <c r="AK33" i="33"/>
  <c r="AK40" i="33" s="1"/>
  <c r="AJ97" i="33"/>
  <c r="AL28" i="33"/>
  <c r="AL17" i="33"/>
  <c r="AL24" i="33" s="1"/>
  <c r="AM12" i="33"/>
  <c r="AK106" i="33" l="1"/>
  <c r="AL125" i="33"/>
  <c r="AL132" i="33" s="1"/>
  <c r="AK115" i="33"/>
  <c r="AK97" i="33"/>
  <c r="AK110" i="33"/>
  <c r="AJ120" i="33"/>
  <c r="AJ127" i="33" s="1"/>
  <c r="AL49" i="33"/>
  <c r="AL56" i="33" s="1"/>
  <c r="AL81" i="33"/>
  <c r="AL88" i="33" s="1"/>
  <c r="AL65" i="33"/>
  <c r="AL72" i="33" s="1"/>
  <c r="AL33" i="33"/>
  <c r="AL40" i="33" s="1"/>
  <c r="AN12" i="33"/>
  <c r="AM17" i="33"/>
  <c r="AM24" i="33" s="1"/>
  <c r="AM28" i="33"/>
  <c r="AL106" i="33" l="1"/>
  <c r="AM125" i="33"/>
  <c r="AM132" i="33" s="1"/>
  <c r="AL115" i="33"/>
  <c r="AL110" i="33"/>
  <c r="AK120" i="33"/>
  <c r="AK127" i="33" s="1"/>
  <c r="AL97" i="33"/>
  <c r="AM49" i="33"/>
  <c r="AM56" i="33" s="1"/>
  <c r="AM65" i="33"/>
  <c r="AM72" i="33" s="1"/>
  <c r="AM81" i="33"/>
  <c r="AM88" i="33" s="1"/>
  <c r="AM33" i="33"/>
  <c r="AM40" i="33" s="1"/>
  <c r="AN28" i="33"/>
  <c r="AO12" i="33"/>
  <c r="AN17" i="33"/>
  <c r="AN24" i="33" s="1"/>
  <c r="AM106" i="33" l="1"/>
  <c r="AN125" i="33"/>
  <c r="AN132" i="33" s="1"/>
  <c r="AM115" i="33"/>
  <c r="AM97" i="33"/>
  <c r="AM110" i="33"/>
  <c r="AL120" i="33"/>
  <c r="AL127" i="33" s="1"/>
  <c r="AN81" i="33"/>
  <c r="AN88" i="33" s="1"/>
  <c r="AN65" i="33"/>
  <c r="AN72" i="33" s="1"/>
  <c r="AN49" i="33"/>
  <c r="AN56" i="33" s="1"/>
  <c r="AN33" i="33"/>
  <c r="AN40" i="33" s="1"/>
  <c r="AO17" i="33"/>
  <c r="AO24" i="33" s="1"/>
  <c r="AP12" i="33"/>
  <c r="AO28" i="33"/>
  <c r="Q46" i="22"/>
  <c r="AN106" i="33" l="1"/>
  <c r="AO125" i="33"/>
  <c r="AO132" i="33" s="1"/>
  <c r="AN115" i="33"/>
  <c r="AN110" i="33"/>
  <c r="AM120" i="33"/>
  <c r="AM127" i="33" s="1"/>
  <c r="AN97" i="33"/>
  <c r="AO65" i="33"/>
  <c r="AO72" i="33" s="1"/>
  <c r="AO81" i="33"/>
  <c r="AO88" i="33" s="1"/>
  <c r="AO49" i="33"/>
  <c r="AO56" i="33" s="1"/>
  <c r="AO33" i="33"/>
  <c r="AO40" i="33" s="1"/>
  <c r="AP17" i="33"/>
  <c r="AP24" i="33" s="1"/>
  <c r="AQ12" i="33"/>
  <c r="AP28" i="33"/>
  <c r="AO106" i="33" l="1"/>
  <c r="AP125" i="33"/>
  <c r="AP132" i="33" s="1"/>
  <c r="AO115" i="33"/>
  <c r="AO97" i="33"/>
  <c r="AP65" i="33"/>
  <c r="AP72" i="33" s="1"/>
  <c r="AP81" i="33"/>
  <c r="AP88" i="33" s="1"/>
  <c r="AP49" i="33"/>
  <c r="AP56" i="33" s="1"/>
  <c r="AP33" i="33"/>
  <c r="AP40" i="33" s="1"/>
  <c r="AP115" i="33" s="1"/>
  <c r="AO110" i="33"/>
  <c r="AN120" i="33"/>
  <c r="AN127" i="33" s="1"/>
  <c r="AQ28" i="33"/>
  <c r="AQ17" i="33"/>
  <c r="AQ24" i="33" s="1"/>
  <c r="AR12" i="33"/>
  <c r="AP106" i="33" l="1"/>
  <c r="AQ125" i="33"/>
  <c r="AQ132" i="33" s="1"/>
  <c r="AQ49" i="33"/>
  <c r="AQ56" i="33" s="1"/>
  <c r="AQ65" i="33"/>
  <c r="AQ72" i="33" s="1"/>
  <c r="AQ33" i="33"/>
  <c r="AQ40" i="33" s="1"/>
  <c r="AQ81" i="33"/>
  <c r="AQ88" i="33" s="1"/>
  <c r="AP110" i="33"/>
  <c r="AO120" i="33"/>
  <c r="AO127" i="33" s="1"/>
  <c r="AP97" i="33"/>
  <c r="AR17" i="33"/>
  <c r="AR24" i="33" s="1"/>
  <c r="AS12" i="33"/>
  <c r="AR28" i="33"/>
  <c r="AQ106" i="33" l="1"/>
  <c r="AR125" i="33"/>
  <c r="AR132" i="33" s="1"/>
  <c r="AQ115" i="33"/>
  <c r="AQ97" i="33"/>
  <c r="AQ110" i="33"/>
  <c r="AP120" i="33"/>
  <c r="AP127" i="33" s="1"/>
  <c r="AR81" i="33"/>
  <c r="AR88" i="33" s="1"/>
  <c r="AR49" i="33"/>
  <c r="AR56" i="33" s="1"/>
  <c r="AR65" i="33"/>
  <c r="AR72" i="33" s="1"/>
  <c r="AR33" i="33"/>
  <c r="AR40" i="33" s="1"/>
  <c r="AS28" i="33"/>
  <c r="AS17" i="33"/>
  <c r="AS24" i="33" s="1"/>
  <c r="AT12" i="33"/>
  <c r="AR106" i="33" l="1"/>
  <c r="AS125" i="33"/>
  <c r="AS132" i="33" s="1"/>
  <c r="AR115" i="33"/>
  <c r="AS81" i="33"/>
  <c r="AS88" i="33" s="1"/>
  <c r="AS49" i="33"/>
  <c r="AS56" i="33" s="1"/>
  <c r="AS65" i="33"/>
  <c r="AS72" i="33" s="1"/>
  <c r="AS33" i="33"/>
  <c r="AS40" i="33" s="1"/>
  <c r="AR110" i="33"/>
  <c r="AQ120" i="33"/>
  <c r="AQ127" i="33" s="1"/>
  <c r="AR97" i="33"/>
  <c r="AU12" i="33"/>
  <c r="AT17" i="33"/>
  <c r="AT24" i="33" s="1"/>
  <c r="AT28" i="33"/>
  <c r="C8" i="31"/>
  <c r="B69" i="1"/>
  <c r="B67" i="1"/>
  <c r="B66" i="1"/>
  <c r="B65" i="1"/>
  <c r="D79" i="1"/>
  <c r="C78" i="1"/>
  <c r="C79" i="1"/>
  <c r="B82" i="1"/>
  <c r="B81" i="1"/>
  <c r="B80" i="1"/>
  <c r="A28" i="1"/>
  <c r="A30" i="1"/>
  <c r="AS106" i="33" l="1"/>
  <c r="AT125" i="33"/>
  <c r="AT132" i="33" s="1"/>
  <c r="AS115" i="33"/>
  <c r="AS97" i="33"/>
  <c r="AT81" i="33"/>
  <c r="AT88" i="33" s="1"/>
  <c r="AT49" i="33"/>
  <c r="AT56" i="33" s="1"/>
  <c r="AT65" i="33"/>
  <c r="AT72" i="33" s="1"/>
  <c r="AT33" i="33"/>
  <c r="AT40" i="33" s="1"/>
  <c r="AS110" i="33"/>
  <c r="AR120" i="33"/>
  <c r="AR127" i="33" s="1"/>
  <c r="AU28" i="33"/>
  <c r="AV12" i="33"/>
  <c r="AU17" i="33"/>
  <c r="AU24" i="33" s="1"/>
  <c r="A67" i="1"/>
  <c r="A82" i="1"/>
  <c r="A92" i="1" s="1"/>
  <c r="B10" i="17"/>
  <c r="B19" i="17" s="1"/>
  <c r="B29" i="17" s="1"/>
  <c r="B38" i="17" s="1"/>
  <c r="B47" i="17" s="1"/>
  <c r="A81" i="1"/>
  <c r="A91" i="1" s="1"/>
  <c r="B9" i="17"/>
  <c r="B18" i="17" s="1"/>
  <c r="B28" i="17" s="1"/>
  <c r="B37" i="17" s="1"/>
  <c r="B46" i="17" s="1"/>
  <c r="A80" i="1"/>
  <c r="A90" i="1" s="1"/>
  <c r="D78" i="1"/>
  <c r="E79" i="1"/>
  <c r="A65" i="1"/>
  <c r="A66" i="1"/>
  <c r="B11" i="17"/>
  <c r="B20" i="17" s="1"/>
  <c r="B30" i="17" s="1"/>
  <c r="B39" i="17" s="1"/>
  <c r="B48" i="17" s="1"/>
  <c r="AT106" i="33" l="1"/>
  <c r="AU125" i="33"/>
  <c r="AU132" i="33" s="1"/>
  <c r="AT115" i="33"/>
  <c r="A47" i="20"/>
  <c r="AT110" i="33"/>
  <c r="AS120" i="33"/>
  <c r="AS127" i="33" s="1"/>
  <c r="AT97" i="33"/>
  <c r="AU49" i="33"/>
  <c r="AU56" i="33" s="1"/>
  <c r="AU81" i="33"/>
  <c r="AU88" i="33" s="1"/>
  <c r="AU65" i="33"/>
  <c r="AU72" i="33" s="1"/>
  <c r="AU33" i="33"/>
  <c r="AU40" i="33" s="1"/>
  <c r="AW12" i="33"/>
  <c r="AV17" i="33"/>
  <c r="AV24" i="33" s="1"/>
  <c r="AV28" i="33"/>
  <c r="B56" i="17"/>
  <c r="A42" i="20"/>
  <c r="A43" i="20"/>
  <c r="A44" i="20"/>
  <c r="F78" i="1"/>
  <c r="F79" i="1"/>
  <c r="E78" i="1"/>
  <c r="B55" i="17"/>
  <c r="A48" i="20"/>
  <c r="B57" i="17"/>
  <c r="D7" i="19"/>
  <c r="E17" i="20"/>
  <c r="F17" i="20" s="1"/>
  <c r="G17" i="20" s="1"/>
  <c r="H17" i="20" s="1"/>
  <c r="I17" i="20" s="1"/>
  <c r="J17" i="20" s="1"/>
  <c r="K17" i="20" s="1"/>
  <c r="L17" i="20" s="1"/>
  <c r="M17" i="20" s="1"/>
  <c r="N17" i="20" s="1"/>
  <c r="O17" i="20" s="1"/>
  <c r="P17" i="20" s="1"/>
  <c r="Q17" i="20" s="1"/>
  <c r="R17" i="20" s="1"/>
  <c r="S17" i="20" s="1"/>
  <c r="T17" i="20" s="1"/>
  <c r="U17" i="20" s="1"/>
  <c r="V17" i="20" s="1"/>
  <c r="W17" i="20" s="1"/>
  <c r="X17" i="20" s="1"/>
  <c r="Y17" i="20" s="1"/>
  <c r="Z17" i="20" s="1"/>
  <c r="AA17" i="20" s="1"/>
  <c r="AB17" i="20" s="1"/>
  <c r="AC17" i="20" s="1"/>
  <c r="AD17" i="20" s="1"/>
  <c r="AE17" i="20" s="1"/>
  <c r="AF17" i="20" s="1"/>
  <c r="AG17" i="20" s="1"/>
  <c r="AH17" i="20" s="1"/>
  <c r="AI17" i="20" s="1"/>
  <c r="AJ17" i="20" s="1"/>
  <c r="AK17" i="20" s="1"/>
  <c r="AL17" i="20" s="1"/>
  <c r="AM17" i="20" s="1"/>
  <c r="AN17" i="20" s="1"/>
  <c r="AO17" i="20" s="1"/>
  <c r="AP17" i="20" s="1"/>
  <c r="AQ17" i="20" s="1"/>
  <c r="AR17" i="20" s="1"/>
  <c r="AS17" i="20" s="1"/>
  <c r="AT17" i="20" s="1"/>
  <c r="AU17" i="20" s="1"/>
  <c r="AV17" i="20" s="1"/>
  <c r="AW17" i="20" s="1"/>
  <c r="AX17" i="20" s="1"/>
  <c r="AY17" i="20" s="1"/>
  <c r="AZ17" i="20" s="1"/>
  <c r="BA17" i="20" s="1"/>
  <c r="BB17" i="20" s="1"/>
  <c r="BC17" i="20" s="1"/>
  <c r="BD17" i="20" s="1"/>
  <c r="BE17" i="20" s="1"/>
  <c r="BF17" i="20" s="1"/>
  <c r="BG17" i="20" s="1"/>
  <c r="BH17" i="20" s="1"/>
  <c r="BI17" i="20" s="1"/>
  <c r="BJ17" i="20" s="1"/>
  <c r="BK17" i="20" s="1"/>
  <c r="BL17" i="20" s="1"/>
  <c r="BM17" i="20" s="1"/>
  <c r="BN17" i="20" s="1"/>
  <c r="BO17" i="20" s="1"/>
  <c r="BP17" i="20" s="1"/>
  <c r="BQ17" i="20" s="1"/>
  <c r="BR17" i="20" s="1"/>
  <c r="BS17" i="20" s="1"/>
  <c r="BT17" i="20" s="1"/>
  <c r="BU17" i="20" s="1"/>
  <c r="BV17" i="20" s="1"/>
  <c r="BW17" i="20" s="1"/>
  <c r="BX17" i="20" s="1"/>
  <c r="BY17" i="20" s="1"/>
  <c r="BZ17" i="20" s="1"/>
  <c r="CA17" i="20" s="1"/>
  <c r="CB17" i="20" s="1"/>
  <c r="CC17" i="20" s="1"/>
  <c r="CD17" i="20" s="1"/>
  <c r="CE17" i="20" s="1"/>
  <c r="CF17" i="20" s="1"/>
  <c r="CG17" i="20" s="1"/>
  <c r="CH17" i="20" s="1"/>
  <c r="CI17" i="20" s="1"/>
  <c r="CJ17" i="20" s="1"/>
  <c r="CK17" i="20" s="1"/>
  <c r="CL17" i="20" s="1"/>
  <c r="CM17" i="20" s="1"/>
  <c r="CN17" i="20" s="1"/>
  <c r="CO17" i="20" s="1"/>
  <c r="CP17" i="20" s="1"/>
  <c r="CQ17" i="20" s="1"/>
  <c r="CR17" i="20" s="1"/>
  <c r="CS17" i="20" s="1"/>
  <c r="CT17" i="20" s="1"/>
  <c r="CU17" i="20" s="1"/>
  <c r="CV17" i="20" s="1"/>
  <c r="CW17" i="20" s="1"/>
  <c r="CX17" i="20" s="1"/>
  <c r="CY17" i="20" s="1"/>
  <c r="CZ17" i="20" s="1"/>
  <c r="DA17" i="20" s="1"/>
  <c r="DB17" i="20" s="1"/>
  <c r="DC17" i="20" s="1"/>
  <c r="DD17" i="20" s="1"/>
  <c r="DE17" i="20" s="1"/>
  <c r="DF17" i="20" s="1"/>
  <c r="DG17" i="20" s="1"/>
  <c r="DH17" i="20" s="1"/>
  <c r="DI17" i="20" s="1"/>
  <c r="DJ17" i="20" s="1"/>
  <c r="DK17" i="20" s="1"/>
  <c r="DL17" i="20" s="1"/>
  <c r="DM17" i="20" s="1"/>
  <c r="DN17" i="20" s="1"/>
  <c r="DO17" i="20" s="1"/>
  <c r="DP17" i="20" s="1"/>
  <c r="DQ17" i="20" s="1"/>
  <c r="DR17" i="20" s="1"/>
  <c r="DS17" i="20" s="1"/>
  <c r="DT17" i="20" s="1"/>
  <c r="DU17" i="20" s="1"/>
  <c r="DV17" i="20" s="1"/>
  <c r="DW17" i="20" s="1"/>
  <c r="DX17" i="20" s="1"/>
  <c r="DY17" i="20" s="1"/>
  <c r="DZ17" i="20" s="1"/>
  <c r="EA17" i="20" s="1"/>
  <c r="EB17" i="20" s="1"/>
  <c r="E16" i="20"/>
  <c r="AU106" i="33" l="1"/>
  <c r="AV125" i="33"/>
  <c r="AV132" i="33" s="1"/>
  <c r="E14" i="20"/>
  <c r="AU115" i="33"/>
  <c r="AU97" i="33"/>
  <c r="AV81" i="33"/>
  <c r="AV88" i="33" s="1"/>
  <c r="AV65" i="33"/>
  <c r="AV72" i="33" s="1"/>
  <c r="AV49" i="33"/>
  <c r="AV56" i="33" s="1"/>
  <c r="AV33" i="33"/>
  <c r="AV40" i="33" s="1"/>
  <c r="AU110" i="33"/>
  <c r="AT120" i="33"/>
  <c r="AT127" i="33" s="1"/>
  <c r="AW28" i="33"/>
  <c r="AW17" i="33"/>
  <c r="AW24" i="33" s="1"/>
  <c r="AX12" i="33"/>
  <c r="AX17" i="33" s="1"/>
  <c r="D89" i="19"/>
  <c r="D2" i="19"/>
  <c r="E34" i="20"/>
  <c r="E27" i="20"/>
  <c r="F16" i="20"/>
  <c r="F14" i="20" s="1"/>
  <c r="C133" i="31"/>
  <c r="I82" i="1"/>
  <c r="C51" i="20"/>
  <c r="AV106" i="33" l="1"/>
  <c r="AW125" i="33"/>
  <c r="AW132" i="33" s="1"/>
  <c r="AV115" i="33"/>
  <c r="AV110" i="33"/>
  <c r="AU120" i="33"/>
  <c r="AU127" i="33" s="1"/>
  <c r="AW65" i="33"/>
  <c r="AW72" i="33" s="1"/>
  <c r="AW81" i="33"/>
  <c r="AW88" i="33" s="1"/>
  <c r="AW49" i="33"/>
  <c r="AW56" i="33" s="1"/>
  <c r="AW33" i="33"/>
  <c r="AW40" i="33" s="1"/>
  <c r="AV97" i="33"/>
  <c r="AX24" i="33"/>
  <c r="AY12" i="33"/>
  <c r="AY17" i="33" s="1"/>
  <c r="AX28" i="33"/>
  <c r="F34" i="20"/>
  <c r="F27" i="20"/>
  <c r="G16" i="20"/>
  <c r="I81" i="1"/>
  <c r="G14" i="20" l="1"/>
  <c r="AX88" i="33"/>
  <c r="AX132" i="33"/>
  <c r="AX40" i="33"/>
  <c r="AX72" i="33"/>
  <c r="AX56" i="33"/>
  <c r="AW106" i="33"/>
  <c r="AW115" i="33"/>
  <c r="D78" i="20"/>
  <c r="D88" i="20" s="1"/>
  <c r="AW97" i="33"/>
  <c r="AW110" i="33"/>
  <c r="AV120" i="33"/>
  <c r="AV127" i="33" s="1"/>
  <c r="AY28" i="33"/>
  <c r="AY24" i="33"/>
  <c r="AZ12" i="33"/>
  <c r="AZ17" i="33" s="1"/>
  <c r="C69" i="31"/>
  <c r="G34" i="20"/>
  <c r="G27" i="20"/>
  <c r="H16" i="20"/>
  <c r="AY88" i="33" l="1"/>
  <c r="AY132" i="33"/>
  <c r="AY56" i="33"/>
  <c r="AY40" i="33"/>
  <c r="AY72" i="33"/>
  <c r="AX106" i="33"/>
  <c r="H14" i="20"/>
  <c r="AX115" i="33"/>
  <c r="AX97" i="33"/>
  <c r="AX110" i="33"/>
  <c r="AW120" i="33"/>
  <c r="AW127" i="33" s="1"/>
  <c r="BA12" i="33"/>
  <c r="BA17" i="33" s="1"/>
  <c r="AZ24" i="33"/>
  <c r="AZ28" i="33"/>
  <c r="H34" i="20"/>
  <c r="H27" i="20"/>
  <c r="I16" i="20"/>
  <c r="A31" i="1"/>
  <c r="A83" i="1" s="1"/>
  <c r="A93" i="1" s="1"/>
  <c r="A79" i="1"/>
  <c r="A89" i="1" s="1"/>
  <c r="E7" i="1"/>
  <c r="AZ40" i="33" l="1"/>
  <c r="AZ132" i="33"/>
  <c r="AZ72" i="33"/>
  <c r="AZ56" i="33"/>
  <c r="AY106" i="33"/>
  <c r="I14" i="20"/>
  <c r="AY115" i="33"/>
  <c r="AY110" i="33"/>
  <c r="AX120" i="33"/>
  <c r="AX127" i="33" s="1"/>
  <c r="AY97" i="33"/>
  <c r="AZ88" i="33"/>
  <c r="BA28" i="33"/>
  <c r="BA24" i="33"/>
  <c r="BB12" i="33"/>
  <c r="I34" i="20"/>
  <c r="I27" i="20"/>
  <c r="J16" i="20"/>
  <c r="E23" i="1"/>
  <c r="E9" i="1"/>
  <c r="A78" i="1"/>
  <c r="A88" i="1" s="1"/>
  <c r="B13" i="17"/>
  <c r="B22" i="17" s="1"/>
  <c r="B32" i="17" s="1"/>
  <c r="A69" i="1"/>
  <c r="B12" i="17"/>
  <c r="A68" i="1"/>
  <c r="BA72" i="33" l="1"/>
  <c r="BA40" i="33"/>
  <c r="BA56" i="33"/>
  <c r="AZ106" i="33"/>
  <c r="BA132" i="33"/>
  <c r="J14" i="20"/>
  <c r="AZ115" i="33"/>
  <c r="E78" i="20"/>
  <c r="E88" i="20" s="1"/>
  <c r="AZ97" i="33"/>
  <c r="BA88" i="33"/>
  <c r="AZ110" i="33"/>
  <c r="AY120" i="33"/>
  <c r="AY127" i="33" s="1"/>
  <c r="BC12" i="33"/>
  <c r="BB17" i="33"/>
  <c r="BB24" i="33" s="1"/>
  <c r="BB28" i="33"/>
  <c r="J34" i="20"/>
  <c r="J27" i="20"/>
  <c r="K16" i="20"/>
  <c r="K14" i="20" s="1"/>
  <c r="A49" i="20"/>
  <c r="A50" i="20"/>
  <c r="N46" i="22"/>
  <c r="O46" i="22"/>
  <c r="P46" i="22"/>
  <c r="BB40" i="33" l="1"/>
  <c r="BB56" i="33"/>
  <c r="BB72" i="33"/>
  <c r="BA106" i="33"/>
  <c r="BB132" i="33"/>
  <c r="BA115" i="33"/>
  <c r="BA110" i="33"/>
  <c r="AZ120" i="33"/>
  <c r="AZ127" i="33" s="1"/>
  <c r="BB88" i="33"/>
  <c r="BA97" i="33"/>
  <c r="BC28" i="33"/>
  <c r="BC17" i="33"/>
  <c r="BC24" i="33" s="1"/>
  <c r="BD12" i="33"/>
  <c r="K34" i="20"/>
  <c r="K27" i="20"/>
  <c r="L16" i="20"/>
  <c r="L14" i="20" s="1"/>
  <c r="BC40" i="33" l="1"/>
  <c r="BC56" i="33"/>
  <c r="BC72" i="33"/>
  <c r="BC88" i="33"/>
  <c r="BB106" i="33"/>
  <c r="BC132" i="33"/>
  <c r="BB115" i="33"/>
  <c r="BB97" i="33"/>
  <c r="BB110" i="33"/>
  <c r="BA120" i="33"/>
  <c r="BA127" i="33" s="1"/>
  <c r="BE12" i="33"/>
  <c r="BD17" i="33"/>
  <c r="BD24" i="33" s="1"/>
  <c r="BD28" i="33"/>
  <c r="L34" i="20"/>
  <c r="L27" i="20"/>
  <c r="M16" i="20"/>
  <c r="M14" i="20" s="1"/>
  <c r="BD40" i="33" l="1"/>
  <c r="BD56" i="33"/>
  <c r="BD72" i="33"/>
  <c r="BD88" i="33"/>
  <c r="BC106" i="33"/>
  <c r="BD132" i="33"/>
  <c r="BC115" i="33"/>
  <c r="F78" i="20"/>
  <c r="F88" i="20" s="1"/>
  <c r="BC110" i="33"/>
  <c r="BB120" i="33"/>
  <c r="BB127" i="33" s="1"/>
  <c r="BC97" i="33"/>
  <c r="BE17" i="33"/>
  <c r="BE24" i="33" s="1"/>
  <c r="BF12" i="33"/>
  <c r="BE28" i="33"/>
  <c r="M34" i="20"/>
  <c r="M27" i="20"/>
  <c r="N16" i="20"/>
  <c r="N14" i="20" s="1"/>
  <c r="BE88" i="33" l="1"/>
  <c r="BE56" i="33"/>
  <c r="BE40" i="33"/>
  <c r="BE72" i="33"/>
  <c r="BD106" i="33"/>
  <c r="BE132" i="33"/>
  <c r="BD115" i="33"/>
  <c r="BD97" i="33"/>
  <c r="BD110" i="33"/>
  <c r="BC120" i="33"/>
  <c r="BC127" i="33" s="1"/>
  <c r="BF28" i="33"/>
  <c r="BF17" i="33"/>
  <c r="BF24" i="33" s="1"/>
  <c r="BG12" i="33"/>
  <c r="N34" i="20"/>
  <c r="N27" i="20"/>
  <c r="O16" i="20"/>
  <c r="O14" i="20" s="1"/>
  <c r="D46" i="22"/>
  <c r="E46" i="22"/>
  <c r="F46" i="22"/>
  <c r="G46" i="22"/>
  <c r="H46" i="22"/>
  <c r="I46" i="22"/>
  <c r="J46" i="22"/>
  <c r="K46" i="22"/>
  <c r="L46" i="22"/>
  <c r="M46" i="22"/>
  <c r="BF40" i="33" l="1"/>
  <c r="BF72" i="33"/>
  <c r="BF56" i="33"/>
  <c r="BF88" i="33"/>
  <c r="BE106" i="33"/>
  <c r="BF132" i="33"/>
  <c r="BE115" i="33"/>
  <c r="BE110" i="33"/>
  <c r="BD120" i="33"/>
  <c r="BD127" i="33" s="1"/>
  <c r="BE97" i="33"/>
  <c r="BG17" i="33"/>
  <c r="BG24" i="33" s="1"/>
  <c r="BH12" i="33"/>
  <c r="BG28" i="33"/>
  <c r="O34" i="20"/>
  <c r="O27" i="20"/>
  <c r="P16" i="20"/>
  <c r="P14" i="20" s="1"/>
  <c r="E1" i="22"/>
  <c r="E55" i="22" s="1"/>
  <c r="BG88" i="33" l="1"/>
  <c r="BG72" i="33"/>
  <c r="BG40" i="33"/>
  <c r="BF106" i="33"/>
  <c r="BF115" i="33"/>
  <c r="G78" i="20"/>
  <c r="G88" i="20" s="1"/>
  <c r="F1" i="22"/>
  <c r="F55" i="22" s="1"/>
  <c r="BG56" i="33"/>
  <c r="BF110" i="33"/>
  <c r="BE120" i="33"/>
  <c r="BE127" i="33" s="1"/>
  <c r="BF97" i="33"/>
  <c r="BI12" i="33"/>
  <c r="BH17" i="33"/>
  <c r="BH24" i="33" s="1"/>
  <c r="BH28" i="33"/>
  <c r="P34" i="20"/>
  <c r="P27" i="20"/>
  <c r="Q16" i="20"/>
  <c r="Q14" i="20" s="1"/>
  <c r="E2" i="22"/>
  <c r="BG106" i="33" l="1"/>
  <c r="BH88" i="33"/>
  <c r="BH56" i="33"/>
  <c r="BH40" i="33"/>
  <c r="BG132" i="33"/>
  <c r="BH125" i="33"/>
  <c r="BH132" i="33" s="1"/>
  <c r="BG115" i="33"/>
  <c r="G1" i="22"/>
  <c r="G55" i="22" s="1"/>
  <c r="BG97" i="33"/>
  <c r="BG110" i="33"/>
  <c r="BF120" i="33"/>
  <c r="BF127" i="33" s="1"/>
  <c r="BH72" i="33"/>
  <c r="BJ12" i="33"/>
  <c r="BI17" i="33"/>
  <c r="BI24" i="33" s="1"/>
  <c r="BI28" i="33"/>
  <c r="Q34" i="20"/>
  <c r="Q27" i="20"/>
  <c r="R16" i="20"/>
  <c r="R14" i="20" s="1"/>
  <c r="F2" i="22"/>
  <c r="BI125" i="33" l="1"/>
  <c r="BH106" i="33"/>
  <c r="BI132" i="33"/>
  <c r="BH115" i="33"/>
  <c r="H1" i="22"/>
  <c r="H55" i="22" s="1"/>
  <c r="BH110" i="33"/>
  <c r="BG120" i="33"/>
  <c r="BG127" i="33" s="1"/>
  <c r="BH97" i="33"/>
  <c r="BI88" i="33"/>
  <c r="BI56" i="33"/>
  <c r="BI40" i="33"/>
  <c r="BI72" i="33"/>
  <c r="BJ28" i="33"/>
  <c r="BJ17" i="33"/>
  <c r="BJ24" i="33" s="1"/>
  <c r="BK12" i="33"/>
  <c r="R34" i="20"/>
  <c r="R27" i="20"/>
  <c r="S16" i="20"/>
  <c r="S14" i="20" s="1"/>
  <c r="G2" i="22"/>
  <c r="BJ125" i="33" l="1"/>
  <c r="BJ40" i="33"/>
  <c r="BJ56" i="33"/>
  <c r="BJ72" i="33"/>
  <c r="BI106" i="33"/>
  <c r="BI115" i="33"/>
  <c r="H78" i="20"/>
  <c r="H88" i="20" s="1"/>
  <c r="I1" i="22"/>
  <c r="I55" i="22" s="1"/>
  <c r="BI97" i="33"/>
  <c r="BJ88" i="33"/>
  <c r="BI110" i="33"/>
  <c r="BH120" i="33"/>
  <c r="BH127" i="33" s="1"/>
  <c r="BL12" i="33"/>
  <c r="BK17" i="33"/>
  <c r="BK24" i="33" s="1"/>
  <c r="BK28" i="33"/>
  <c r="S34" i="20"/>
  <c r="S27" i="20"/>
  <c r="T16" i="20"/>
  <c r="T14" i="20" s="1"/>
  <c r="H2" i="22"/>
  <c r="BK125" i="33" l="1"/>
  <c r="BK40" i="33"/>
  <c r="BK56" i="33"/>
  <c r="BJ106" i="33"/>
  <c r="BJ132" i="33"/>
  <c r="BK132" i="33"/>
  <c r="BJ115" i="33"/>
  <c r="J1" i="22"/>
  <c r="J55" i="22" s="1"/>
  <c r="BJ110" i="33"/>
  <c r="BI120" i="33"/>
  <c r="BI127" i="33" s="1"/>
  <c r="BJ97" i="33"/>
  <c r="BK88" i="33"/>
  <c r="BK72" i="33"/>
  <c r="BL28" i="33"/>
  <c r="BL17" i="33"/>
  <c r="BL24" i="33" s="1"/>
  <c r="T34" i="20"/>
  <c r="T27" i="20"/>
  <c r="U16" i="20"/>
  <c r="U14" i="20" s="1"/>
  <c r="I2" i="22"/>
  <c r="BL125" i="33" l="1"/>
  <c r="BL40" i="33"/>
  <c r="BL56" i="33"/>
  <c r="BL72" i="33"/>
  <c r="BL88" i="33"/>
  <c r="BK106" i="33"/>
  <c r="BL132" i="33"/>
  <c r="J132" i="33" s="1"/>
  <c r="BK115" i="33"/>
  <c r="K1" i="22"/>
  <c r="K55" i="22" s="1"/>
  <c r="BK97" i="33"/>
  <c r="BK110" i="33"/>
  <c r="BJ120" i="33"/>
  <c r="BJ127" i="33" s="1"/>
  <c r="J17" i="33"/>
  <c r="U34" i="20"/>
  <c r="U27" i="20"/>
  <c r="V16" i="20"/>
  <c r="V14" i="20" s="1"/>
  <c r="J2" i="22"/>
  <c r="BL106" i="33" l="1"/>
  <c r="J125" i="33"/>
  <c r="BL115" i="33"/>
  <c r="I78" i="20"/>
  <c r="I88" i="20" s="1"/>
  <c r="L1" i="22"/>
  <c r="L55" i="22" s="1"/>
  <c r="J65" i="33"/>
  <c r="BL110" i="33"/>
  <c r="BL120" i="33" s="1"/>
  <c r="BL127" i="33" s="1"/>
  <c r="C25" i="19" s="1"/>
  <c r="C25" i="41" s="1"/>
  <c r="BK120" i="33"/>
  <c r="BK127" i="33" s="1"/>
  <c r="J81" i="33"/>
  <c r="J40" i="33"/>
  <c r="J33" i="33"/>
  <c r="J49" i="33"/>
  <c r="J24" i="33"/>
  <c r="V34" i="20"/>
  <c r="V27" i="20"/>
  <c r="W16" i="20"/>
  <c r="W14" i="20" s="1"/>
  <c r="K2" i="22"/>
  <c r="C9" i="20"/>
  <c r="M1" i="22" l="1"/>
  <c r="M55" i="22" s="1"/>
  <c r="BL97" i="33"/>
  <c r="J88" i="33"/>
  <c r="H37" i="26" s="1"/>
  <c r="J56" i="33"/>
  <c r="J72" i="33"/>
  <c r="W34" i="20"/>
  <c r="W27" i="20"/>
  <c r="X16" i="20"/>
  <c r="X14" i="20" s="1"/>
  <c r="L2" i="22"/>
  <c r="C5" i="20"/>
  <c r="C6" i="20" s="1"/>
  <c r="N1" i="22" l="1"/>
  <c r="N55" i="22" s="1"/>
  <c r="J97" i="33"/>
  <c r="J37" i="26" s="1"/>
  <c r="X34" i="20"/>
  <c r="X27" i="20"/>
  <c r="J78" i="20" s="1"/>
  <c r="J88" i="20" s="1"/>
  <c r="Y16" i="20"/>
  <c r="Y14" i="20" s="1"/>
  <c r="M2" i="22"/>
  <c r="M7" i="22" s="1"/>
  <c r="O1" i="22" l="1"/>
  <c r="O55" i="22" s="1"/>
  <c r="Y34" i="20"/>
  <c r="Y27" i="20"/>
  <c r="Z16" i="20"/>
  <c r="Z14" i="20" s="1"/>
  <c r="N2" i="22"/>
  <c r="N7" i="22" s="1"/>
  <c r="O2" i="22" l="1"/>
  <c r="O7" i="22" s="1"/>
  <c r="P1" i="22"/>
  <c r="P55" i="22" s="1"/>
  <c r="Z34" i="20"/>
  <c r="Z27" i="20"/>
  <c r="AA16" i="20"/>
  <c r="AA14" i="20" s="1"/>
  <c r="P2" i="22"/>
  <c r="P7" i="22" s="1"/>
  <c r="Q1" i="22" l="1"/>
  <c r="Q55" i="22" s="1"/>
  <c r="AA34" i="20"/>
  <c r="AA27" i="20"/>
  <c r="K78" i="20" s="1"/>
  <c r="K88" i="20" s="1"/>
  <c r="AB16" i="20"/>
  <c r="AB14" i="20" s="1"/>
  <c r="Q2" i="22"/>
  <c r="Q7" i="22" s="1"/>
  <c r="F60" i="1"/>
  <c r="C7" i="20" s="1"/>
  <c r="E4" i="19"/>
  <c r="Q4" i="19" s="1"/>
  <c r="AC4" i="19" s="1"/>
  <c r="AO4" i="19" s="1"/>
  <c r="BA4" i="19" s="1"/>
  <c r="BM4" i="19" s="1"/>
  <c r="BY4" i="19" s="1"/>
  <c r="CK4" i="19" s="1"/>
  <c r="CW4" i="19" s="1"/>
  <c r="DI4" i="19" s="1"/>
  <c r="DU4" i="19" s="1"/>
  <c r="EG4" i="19" s="1"/>
  <c r="ES4" i="19" s="1"/>
  <c r="FE4" i="19" s="1"/>
  <c r="FQ4" i="19" s="1"/>
  <c r="GC4" i="19" s="1"/>
  <c r="GO4" i="19" s="1"/>
  <c r="HA4" i="19" s="1"/>
  <c r="HM4" i="19" s="1"/>
  <c r="HY4" i="19" s="1"/>
  <c r="IK4" i="19" s="1"/>
  <c r="IW4" i="19" s="1"/>
  <c r="JI4" i="19" s="1"/>
  <c r="JU4" i="19" s="1"/>
  <c r="P4" i="19"/>
  <c r="AB4" i="19" s="1"/>
  <c r="AN4" i="19" s="1"/>
  <c r="AZ4" i="19" s="1"/>
  <c r="BL4" i="19" s="1"/>
  <c r="BX4" i="19" s="1"/>
  <c r="CJ4" i="19" s="1"/>
  <c r="CV4" i="19" s="1"/>
  <c r="DH4" i="19" s="1"/>
  <c r="DT4" i="19" s="1"/>
  <c r="EF4" i="19" s="1"/>
  <c r="ER4" i="19" s="1"/>
  <c r="FD4" i="19" s="1"/>
  <c r="FP4" i="19" s="1"/>
  <c r="GB4" i="19" s="1"/>
  <c r="GN4" i="19" s="1"/>
  <c r="GZ4" i="19" s="1"/>
  <c r="HL4" i="19" s="1"/>
  <c r="HX4" i="19" s="1"/>
  <c r="IJ4" i="19" s="1"/>
  <c r="IV4" i="19" s="1"/>
  <c r="JH4" i="19" s="1"/>
  <c r="JT4" i="19" s="1"/>
  <c r="G5" i="19"/>
  <c r="H5" i="19"/>
  <c r="K5" i="19" s="1"/>
  <c r="N5" i="19" s="1"/>
  <c r="Q5" i="19" s="1"/>
  <c r="T5" i="19" s="1"/>
  <c r="W5" i="19" s="1"/>
  <c r="Z5" i="19" s="1"/>
  <c r="AC5" i="19" s="1"/>
  <c r="AF5" i="19" s="1"/>
  <c r="AI5" i="19" s="1"/>
  <c r="AL5" i="19" s="1"/>
  <c r="AO5" i="19" s="1"/>
  <c r="AR5" i="19" s="1"/>
  <c r="AU5" i="19" s="1"/>
  <c r="AX5" i="19" s="1"/>
  <c r="BA5" i="19" s="1"/>
  <c r="BD5" i="19" s="1"/>
  <c r="BG5" i="19" s="1"/>
  <c r="BJ5" i="19" s="1"/>
  <c r="BM5" i="19" s="1"/>
  <c r="BP5" i="19" s="1"/>
  <c r="BS5" i="19" s="1"/>
  <c r="BV5" i="19" s="1"/>
  <c r="BY5" i="19" s="1"/>
  <c r="CB5" i="19" s="1"/>
  <c r="CE5" i="19" s="1"/>
  <c r="CH5" i="19" s="1"/>
  <c r="CK5" i="19" s="1"/>
  <c r="CN5" i="19" s="1"/>
  <c r="CQ5" i="19" s="1"/>
  <c r="CT5" i="19" s="1"/>
  <c r="CW5" i="19" s="1"/>
  <c r="CZ5" i="19" s="1"/>
  <c r="DC5" i="19" s="1"/>
  <c r="DF5" i="19" s="1"/>
  <c r="DI5" i="19" s="1"/>
  <c r="DL5" i="19" s="1"/>
  <c r="DO5" i="19" s="1"/>
  <c r="DR5" i="19" s="1"/>
  <c r="DU5" i="19" s="1"/>
  <c r="DX5" i="19" s="1"/>
  <c r="EA5" i="19" s="1"/>
  <c r="ED5" i="19" s="1"/>
  <c r="EG5" i="19" s="1"/>
  <c r="EJ5" i="19" s="1"/>
  <c r="EM5" i="19" s="1"/>
  <c r="EP5" i="19" s="1"/>
  <c r="ES5" i="19" s="1"/>
  <c r="EV5" i="19" s="1"/>
  <c r="EY5" i="19" s="1"/>
  <c r="FB5" i="19" s="1"/>
  <c r="FE5" i="19" s="1"/>
  <c r="FH5" i="19" s="1"/>
  <c r="FK5" i="19" s="1"/>
  <c r="FN5" i="19" s="1"/>
  <c r="FQ5" i="19" s="1"/>
  <c r="FT5" i="19" s="1"/>
  <c r="FW5" i="19" s="1"/>
  <c r="FZ5" i="19" s="1"/>
  <c r="GC5" i="19" s="1"/>
  <c r="GF5" i="19" s="1"/>
  <c r="GI5" i="19" s="1"/>
  <c r="GL5" i="19" s="1"/>
  <c r="GO5" i="19" s="1"/>
  <c r="GR5" i="19" s="1"/>
  <c r="GU5" i="19" s="1"/>
  <c r="GX5" i="19" s="1"/>
  <c r="HA5" i="19" s="1"/>
  <c r="HD5" i="19" s="1"/>
  <c r="HG5" i="19" s="1"/>
  <c r="HJ5" i="19" s="1"/>
  <c r="HM5" i="19" s="1"/>
  <c r="HP5" i="19" s="1"/>
  <c r="HS5" i="19" s="1"/>
  <c r="HV5" i="19" s="1"/>
  <c r="HY5" i="19" s="1"/>
  <c r="IB5" i="19" s="1"/>
  <c r="IE5" i="19" s="1"/>
  <c r="IH5" i="19" s="1"/>
  <c r="IK5" i="19" s="1"/>
  <c r="IN5" i="19" s="1"/>
  <c r="IQ5" i="19" s="1"/>
  <c r="IT5" i="19" s="1"/>
  <c r="IW5" i="19" s="1"/>
  <c r="IZ5" i="19" s="1"/>
  <c r="JC5" i="19" s="1"/>
  <c r="JF5" i="19" s="1"/>
  <c r="JI5" i="19" s="1"/>
  <c r="JL5" i="19" s="1"/>
  <c r="JO5" i="19" s="1"/>
  <c r="JR5" i="19" s="1"/>
  <c r="JU5" i="19" s="1"/>
  <c r="JX5" i="19" s="1"/>
  <c r="KA5" i="19" s="1"/>
  <c r="I5" i="19"/>
  <c r="L5" i="19" s="1"/>
  <c r="O5" i="19" s="1"/>
  <c r="R5" i="19" s="1"/>
  <c r="U5" i="19" s="1"/>
  <c r="X5" i="19" s="1"/>
  <c r="AA5" i="19" s="1"/>
  <c r="AD5" i="19" s="1"/>
  <c r="AG5" i="19" s="1"/>
  <c r="AJ5" i="19" s="1"/>
  <c r="AM5" i="19" s="1"/>
  <c r="AP5" i="19" s="1"/>
  <c r="AS5" i="19" s="1"/>
  <c r="AV5" i="19" s="1"/>
  <c r="AY5" i="19" s="1"/>
  <c r="BB5" i="19" s="1"/>
  <c r="BE5" i="19" s="1"/>
  <c r="BH5" i="19" s="1"/>
  <c r="BK5" i="19" s="1"/>
  <c r="BN5" i="19" s="1"/>
  <c r="BQ5" i="19" s="1"/>
  <c r="BT5" i="19" s="1"/>
  <c r="BW5" i="19" s="1"/>
  <c r="BZ5" i="19" s="1"/>
  <c r="CC5" i="19" s="1"/>
  <c r="CF5" i="19" s="1"/>
  <c r="CI5" i="19" s="1"/>
  <c r="CL5" i="19" s="1"/>
  <c r="CO5" i="19" s="1"/>
  <c r="CR5" i="19" s="1"/>
  <c r="CU5" i="19" s="1"/>
  <c r="CX5" i="19" s="1"/>
  <c r="DA5" i="19" s="1"/>
  <c r="DD5" i="19" s="1"/>
  <c r="DG5" i="19" s="1"/>
  <c r="DJ5" i="19" s="1"/>
  <c r="DM5" i="19" s="1"/>
  <c r="DP5" i="19" s="1"/>
  <c r="DS5" i="19" s="1"/>
  <c r="DV5" i="19" s="1"/>
  <c r="DY5" i="19" s="1"/>
  <c r="EB5" i="19" s="1"/>
  <c r="EE5" i="19" s="1"/>
  <c r="EH5" i="19" s="1"/>
  <c r="EK5" i="19" s="1"/>
  <c r="EN5" i="19" s="1"/>
  <c r="EQ5" i="19" s="1"/>
  <c r="ET5" i="19" s="1"/>
  <c r="EW5" i="19" s="1"/>
  <c r="EZ5" i="19" s="1"/>
  <c r="FC5" i="19" s="1"/>
  <c r="FF5" i="19" s="1"/>
  <c r="FI5" i="19" s="1"/>
  <c r="FL5" i="19" s="1"/>
  <c r="FO5" i="19" s="1"/>
  <c r="FR5" i="19" s="1"/>
  <c r="FU5" i="19" s="1"/>
  <c r="FX5" i="19" s="1"/>
  <c r="GA5" i="19" s="1"/>
  <c r="GD5" i="19" s="1"/>
  <c r="GG5" i="19" s="1"/>
  <c r="GJ5" i="19" s="1"/>
  <c r="GM5" i="19" s="1"/>
  <c r="GP5" i="19" s="1"/>
  <c r="GS5" i="19" s="1"/>
  <c r="GV5" i="19" s="1"/>
  <c r="GY5" i="19" s="1"/>
  <c r="HB5" i="19" s="1"/>
  <c r="HE5" i="19" s="1"/>
  <c r="HH5" i="19" s="1"/>
  <c r="HK5" i="19" s="1"/>
  <c r="HN5" i="19" s="1"/>
  <c r="HQ5" i="19" s="1"/>
  <c r="AB34" i="20" l="1"/>
  <c r="AB27" i="20"/>
  <c r="AC16" i="20"/>
  <c r="AC14" i="20" s="1"/>
  <c r="HT5" i="19"/>
  <c r="HW5" i="19" s="1"/>
  <c r="HZ5" i="19" s="1"/>
  <c r="IC5" i="19" s="1"/>
  <c r="IF5" i="19" s="1"/>
  <c r="II5" i="19" s="1"/>
  <c r="IL5" i="19" s="1"/>
  <c r="IO5" i="19" s="1"/>
  <c r="IR5" i="19" s="1"/>
  <c r="IU5" i="19" s="1"/>
  <c r="IX5" i="19" s="1"/>
  <c r="JA5" i="19" s="1"/>
  <c r="JD5" i="19" s="1"/>
  <c r="JG5" i="19" s="1"/>
  <c r="JJ5" i="19" s="1"/>
  <c r="JM5" i="19" s="1"/>
  <c r="JP5" i="19" s="1"/>
  <c r="JS5" i="19" s="1"/>
  <c r="JV5" i="19" s="1"/>
  <c r="JY5" i="19" s="1"/>
  <c r="KB5" i="19" s="1"/>
  <c r="Q5" i="22"/>
  <c r="Q23" i="34" s="1"/>
  <c r="Q6" i="22"/>
  <c r="J5" i="19"/>
  <c r="M5" i="19" s="1"/>
  <c r="P5" i="19" s="1"/>
  <c r="S5" i="19" s="1"/>
  <c r="V5" i="19" s="1"/>
  <c r="Y5" i="19" s="1"/>
  <c r="AB5" i="19" s="1"/>
  <c r="AE5" i="19" s="1"/>
  <c r="AH5" i="19" s="1"/>
  <c r="AK5" i="19" s="1"/>
  <c r="AN5" i="19" s="1"/>
  <c r="AQ5" i="19" s="1"/>
  <c r="AT5" i="19" s="1"/>
  <c r="AW5" i="19" s="1"/>
  <c r="AZ5" i="19" s="1"/>
  <c r="BC5" i="19" s="1"/>
  <c r="BF5" i="19" s="1"/>
  <c r="BI5" i="19" s="1"/>
  <c r="BL5" i="19" s="1"/>
  <c r="BO5" i="19" s="1"/>
  <c r="BR5" i="19" s="1"/>
  <c r="BU5" i="19" s="1"/>
  <c r="BX5" i="19" s="1"/>
  <c r="CA5" i="19" s="1"/>
  <c r="CD5" i="19" s="1"/>
  <c r="CG5" i="19" s="1"/>
  <c r="CJ5" i="19" s="1"/>
  <c r="CM5" i="19" s="1"/>
  <c r="CP5" i="19" s="1"/>
  <c r="CS5" i="19" s="1"/>
  <c r="CV5" i="19" s="1"/>
  <c r="CY5" i="19" s="1"/>
  <c r="DB5" i="19" s="1"/>
  <c r="DE5" i="19" s="1"/>
  <c r="DH5" i="19" s="1"/>
  <c r="DK5" i="19" s="1"/>
  <c r="DN5" i="19" s="1"/>
  <c r="DQ5" i="19" s="1"/>
  <c r="DT5" i="19" s="1"/>
  <c r="DW5" i="19" s="1"/>
  <c r="DZ5" i="19" s="1"/>
  <c r="EC5" i="19" s="1"/>
  <c r="EF5" i="19" s="1"/>
  <c r="EI5" i="19" s="1"/>
  <c r="EL5" i="19" s="1"/>
  <c r="EO5" i="19" s="1"/>
  <c r="ER5" i="19" s="1"/>
  <c r="EU5" i="19" s="1"/>
  <c r="EX5" i="19" s="1"/>
  <c r="FA5" i="19" s="1"/>
  <c r="FD5" i="19" s="1"/>
  <c r="FG5" i="19" s="1"/>
  <c r="FJ5" i="19" s="1"/>
  <c r="FM5" i="19" s="1"/>
  <c r="FP5" i="19" s="1"/>
  <c r="FS5" i="19" s="1"/>
  <c r="FV5" i="19" s="1"/>
  <c r="FY5" i="19" s="1"/>
  <c r="GB5" i="19" s="1"/>
  <c r="GE5" i="19" s="1"/>
  <c r="GH5" i="19" s="1"/>
  <c r="GK5" i="19" s="1"/>
  <c r="GN5" i="19" s="1"/>
  <c r="GQ5" i="19" s="1"/>
  <c r="GT5" i="19" s="1"/>
  <c r="GW5" i="19" s="1"/>
  <c r="GZ5" i="19" s="1"/>
  <c r="HC5" i="19" s="1"/>
  <c r="HF5" i="19" s="1"/>
  <c r="HI5" i="19" s="1"/>
  <c r="HL5" i="19" s="1"/>
  <c r="HO5" i="19" s="1"/>
  <c r="HR5" i="19" s="1"/>
  <c r="F4" i="19"/>
  <c r="AC34" i="20" l="1"/>
  <c r="AC27" i="20"/>
  <c r="AD16" i="20"/>
  <c r="AD14" i="20" s="1"/>
  <c r="HU5" i="19"/>
  <c r="HX5" i="19" s="1"/>
  <c r="IA5" i="19" s="1"/>
  <c r="ID5" i="19" s="1"/>
  <c r="IG5" i="19" s="1"/>
  <c r="IJ5" i="19" s="1"/>
  <c r="IM5" i="19" s="1"/>
  <c r="IP5" i="19" s="1"/>
  <c r="IS5" i="19" s="1"/>
  <c r="IV5" i="19" s="1"/>
  <c r="IY5" i="19" s="1"/>
  <c r="JB5" i="19" s="1"/>
  <c r="JE5" i="19" s="1"/>
  <c r="JH5" i="19" s="1"/>
  <c r="JK5" i="19" s="1"/>
  <c r="JN5" i="19" s="1"/>
  <c r="JQ5" i="19" s="1"/>
  <c r="JT5" i="19" s="1"/>
  <c r="JW5" i="19" s="1"/>
  <c r="JZ5" i="19" s="1"/>
  <c r="Q9" i="22"/>
  <c r="R4" i="19"/>
  <c r="AD4" i="19" s="1"/>
  <c r="AP4" i="19" s="1"/>
  <c r="BB4" i="19" s="1"/>
  <c r="BN4" i="19" s="1"/>
  <c r="BZ4" i="19" s="1"/>
  <c r="CL4" i="19" s="1"/>
  <c r="CX4" i="19" s="1"/>
  <c r="DJ4" i="19" s="1"/>
  <c r="DV4" i="19" s="1"/>
  <c r="EH4" i="19" s="1"/>
  <c r="ET4" i="19" s="1"/>
  <c r="FF4" i="19" s="1"/>
  <c r="FR4" i="19" s="1"/>
  <c r="GD4" i="19" s="1"/>
  <c r="GP4" i="19" s="1"/>
  <c r="HB4" i="19" s="1"/>
  <c r="HN4" i="19" s="1"/>
  <c r="HZ4" i="19" s="1"/>
  <c r="IL4" i="19" s="1"/>
  <c r="IX4" i="19" s="1"/>
  <c r="JJ4" i="19" s="1"/>
  <c r="JV4" i="19" s="1"/>
  <c r="G4" i="19"/>
  <c r="Q10" i="22" l="1"/>
  <c r="Q18" i="28"/>
  <c r="AD34" i="20"/>
  <c r="AD27" i="20"/>
  <c r="L78" i="20" s="1"/>
  <c r="L88" i="20" s="1"/>
  <c r="AE16" i="20"/>
  <c r="AE14" i="20" s="1"/>
  <c r="H4" i="19"/>
  <c r="S4" i="19"/>
  <c r="AE4" i="19" s="1"/>
  <c r="AQ4" i="19" s="1"/>
  <c r="BC4" i="19" s="1"/>
  <c r="BO4" i="19" s="1"/>
  <c r="CA4" i="19" s="1"/>
  <c r="CM4" i="19" s="1"/>
  <c r="CY4" i="19" s="1"/>
  <c r="DK4" i="19" s="1"/>
  <c r="DW4" i="19" s="1"/>
  <c r="EI4" i="19" s="1"/>
  <c r="EU4" i="19" s="1"/>
  <c r="FG4" i="19" s="1"/>
  <c r="FS4" i="19" s="1"/>
  <c r="GE4" i="19" s="1"/>
  <c r="GQ4" i="19" s="1"/>
  <c r="HC4" i="19" s="1"/>
  <c r="HO4" i="19" s="1"/>
  <c r="IA4" i="19" s="1"/>
  <c r="IM4" i="19" s="1"/>
  <c r="IY4" i="19" s="1"/>
  <c r="JK4" i="19" s="1"/>
  <c r="JW4" i="19" s="1"/>
  <c r="B68" i="1"/>
  <c r="AE34" i="20" l="1"/>
  <c r="AE27" i="20"/>
  <c r="AF16" i="20"/>
  <c r="AF14" i="20" s="1"/>
  <c r="P5" i="22"/>
  <c r="P23" i="34" s="1"/>
  <c r="M6" i="22"/>
  <c r="M5" i="22"/>
  <c r="M23" i="34" s="1"/>
  <c r="T4" i="19"/>
  <c r="AF4" i="19" s="1"/>
  <c r="AR4" i="19" s="1"/>
  <c r="BD4" i="19" s="1"/>
  <c r="BP4" i="19" s="1"/>
  <c r="CB4" i="19" s="1"/>
  <c r="CN4" i="19" s="1"/>
  <c r="CZ4" i="19" s="1"/>
  <c r="DL4" i="19" s="1"/>
  <c r="DX4" i="19" s="1"/>
  <c r="EJ4" i="19" s="1"/>
  <c r="EV4" i="19" s="1"/>
  <c r="FH4" i="19" s="1"/>
  <c r="FT4" i="19" s="1"/>
  <c r="GF4" i="19" s="1"/>
  <c r="GR4" i="19" s="1"/>
  <c r="HD4" i="19" s="1"/>
  <c r="HP4" i="19" s="1"/>
  <c r="IB4" i="19" s="1"/>
  <c r="IN4" i="19" s="1"/>
  <c r="IZ4" i="19" s="1"/>
  <c r="JL4" i="19" s="1"/>
  <c r="JX4" i="19" s="1"/>
  <c r="I4" i="19"/>
  <c r="AF34" i="20" l="1"/>
  <c r="AF27" i="20"/>
  <c r="AG16" i="20"/>
  <c r="AG14" i="20" s="1"/>
  <c r="C65" i="1"/>
  <c r="C69" i="1"/>
  <c r="C67" i="1"/>
  <c r="C66" i="1"/>
  <c r="N6" i="22"/>
  <c r="N5" i="22"/>
  <c r="N23" i="34" s="1"/>
  <c r="P6" i="22"/>
  <c r="K5" i="22"/>
  <c r="K23" i="34" s="1"/>
  <c r="O6" i="22"/>
  <c r="O5" i="22"/>
  <c r="O23" i="34" s="1"/>
  <c r="F5" i="22"/>
  <c r="F23" i="34" s="1"/>
  <c r="E5" i="22"/>
  <c r="E23" i="34" s="1"/>
  <c r="G5" i="22"/>
  <c r="G23" i="34" s="1"/>
  <c r="H5" i="22"/>
  <c r="H23" i="34" s="1"/>
  <c r="I5" i="22"/>
  <c r="I23" i="34" s="1"/>
  <c r="J5" i="22"/>
  <c r="J23" i="34" s="1"/>
  <c r="L5" i="22"/>
  <c r="L23" i="34" s="1"/>
  <c r="J4" i="19"/>
  <c r="U4" i="19"/>
  <c r="AG4" i="19" s="1"/>
  <c r="AS4" i="19" s="1"/>
  <c r="BE4" i="19" s="1"/>
  <c r="BQ4" i="19" s="1"/>
  <c r="CC4" i="19" s="1"/>
  <c r="CO4" i="19" s="1"/>
  <c r="DA4" i="19" s="1"/>
  <c r="DM4" i="19" s="1"/>
  <c r="DY4" i="19" s="1"/>
  <c r="EK4" i="19" s="1"/>
  <c r="EW4" i="19" s="1"/>
  <c r="FI4" i="19" s="1"/>
  <c r="FU4" i="19" s="1"/>
  <c r="GG4" i="19" s="1"/>
  <c r="GS4" i="19" s="1"/>
  <c r="HE4" i="19" s="1"/>
  <c r="HQ4" i="19" s="1"/>
  <c r="IC4" i="19" s="1"/>
  <c r="IO4" i="19" s="1"/>
  <c r="JA4" i="19" s="1"/>
  <c r="JM4" i="19" s="1"/>
  <c r="JY4" i="19" s="1"/>
  <c r="AG34" i="20" l="1"/>
  <c r="AG27" i="20"/>
  <c r="M78" i="20" s="1"/>
  <c r="M88" i="20" s="1"/>
  <c r="AH16" i="20"/>
  <c r="AH14" i="20" s="1"/>
  <c r="E66" i="1"/>
  <c r="E67" i="1"/>
  <c r="F67" i="1" s="1"/>
  <c r="G67" i="1" s="1"/>
  <c r="E69" i="1"/>
  <c r="F69" i="1" s="1"/>
  <c r="G69" i="1" s="1"/>
  <c r="P9" i="22"/>
  <c r="N9" i="22"/>
  <c r="O9" i="22"/>
  <c r="V4" i="19"/>
  <c r="AH4" i="19" s="1"/>
  <c r="AT4" i="19" s="1"/>
  <c r="BF4" i="19" s="1"/>
  <c r="BR4" i="19" s="1"/>
  <c r="CD4" i="19" s="1"/>
  <c r="CP4" i="19" s="1"/>
  <c r="DB4" i="19" s="1"/>
  <c r="DN4" i="19" s="1"/>
  <c r="DZ4" i="19" s="1"/>
  <c r="EL4" i="19" s="1"/>
  <c r="EX4" i="19" s="1"/>
  <c r="FJ4" i="19" s="1"/>
  <c r="FV4" i="19" s="1"/>
  <c r="GH4" i="19" s="1"/>
  <c r="GT4" i="19" s="1"/>
  <c r="HF4" i="19" s="1"/>
  <c r="HR4" i="19" s="1"/>
  <c r="ID4" i="19" s="1"/>
  <c r="IP4" i="19" s="1"/>
  <c r="JB4" i="19" s="1"/>
  <c r="JN4" i="19" s="1"/>
  <c r="JZ4" i="19" s="1"/>
  <c r="K4" i="19"/>
  <c r="N10" i="22" l="1"/>
  <c r="N18" i="28"/>
  <c r="P10" i="22"/>
  <c r="P18" i="28"/>
  <c r="O10" i="22"/>
  <c r="O18" i="28"/>
  <c r="AH34" i="20"/>
  <c r="AH27" i="20"/>
  <c r="AI16" i="20"/>
  <c r="AI14" i="20" s="1"/>
  <c r="E65" i="1"/>
  <c r="F66" i="1"/>
  <c r="G66" i="1" s="1"/>
  <c r="W4" i="19"/>
  <c r="AI4" i="19" s="1"/>
  <c r="AU4" i="19" s="1"/>
  <c r="BG4" i="19" s="1"/>
  <c r="BS4" i="19" s="1"/>
  <c r="CE4" i="19" s="1"/>
  <c r="CQ4" i="19" s="1"/>
  <c r="DC4" i="19" s="1"/>
  <c r="DO4" i="19" s="1"/>
  <c r="EA4" i="19" s="1"/>
  <c r="EM4" i="19" s="1"/>
  <c r="EY4" i="19" s="1"/>
  <c r="FK4" i="19" s="1"/>
  <c r="FW4" i="19" s="1"/>
  <c r="GI4" i="19" s="1"/>
  <c r="GU4" i="19" s="1"/>
  <c r="HG4" i="19" s="1"/>
  <c r="HS4" i="19" s="1"/>
  <c r="IE4" i="19" s="1"/>
  <c r="IQ4" i="19" s="1"/>
  <c r="JC4" i="19" s="1"/>
  <c r="JO4" i="19" s="1"/>
  <c r="KA4" i="19" s="1"/>
  <c r="L4" i="19"/>
  <c r="AI34" i="20" l="1"/>
  <c r="AI27" i="20"/>
  <c r="AJ16" i="20"/>
  <c r="AJ14" i="20" s="1"/>
  <c r="F65" i="1"/>
  <c r="G65" i="1" s="1"/>
  <c r="X4" i="19"/>
  <c r="AJ4" i="19" s="1"/>
  <c r="AV4" i="19" s="1"/>
  <c r="BH4" i="19" s="1"/>
  <c r="BT4" i="19" s="1"/>
  <c r="CF4" i="19" s="1"/>
  <c r="CR4" i="19" s="1"/>
  <c r="DD4" i="19" s="1"/>
  <c r="DP4" i="19" s="1"/>
  <c r="EB4" i="19" s="1"/>
  <c r="EN4" i="19" s="1"/>
  <c r="EZ4" i="19" s="1"/>
  <c r="FL4" i="19" s="1"/>
  <c r="FX4" i="19" s="1"/>
  <c r="GJ4" i="19" s="1"/>
  <c r="GV4" i="19" s="1"/>
  <c r="HH4" i="19" s="1"/>
  <c r="M4" i="19"/>
  <c r="AJ34" i="20" l="1"/>
  <c r="AJ27" i="20"/>
  <c r="N78" i="20" s="1"/>
  <c r="N88" i="20" s="1"/>
  <c r="AK16" i="20"/>
  <c r="AK14" i="20" s="1"/>
  <c r="HT4" i="19"/>
  <c r="IF4" i="19" s="1"/>
  <c r="IR4" i="19" s="1"/>
  <c r="JD4" i="19" s="1"/>
  <c r="JP4" i="19" s="1"/>
  <c r="KB4" i="19" s="1"/>
  <c r="Y4" i="19"/>
  <c r="AK4" i="19" s="1"/>
  <c r="AW4" i="19" s="1"/>
  <c r="BI4" i="19" s="1"/>
  <c r="BU4" i="19" s="1"/>
  <c r="CG4" i="19" s="1"/>
  <c r="CS4" i="19" s="1"/>
  <c r="DE4" i="19" s="1"/>
  <c r="DQ4" i="19" s="1"/>
  <c r="EC4" i="19" s="1"/>
  <c r="EO4" i="19" s="1"/>
  <c r="FA4" i="19" s="1"/>
  <c r="FM4" i="19" s="1"/>
  <c r="FY4" i="19" s="1"/>
  <c r="GK4" i="19" s="1"/>
  <c r="GW4" i="19" s="1"/>
  <c r="HI4" i="19" s="1"/>
  <c r="N4" i="19"/>
  <c r="AK34" i="20" l="1"/>
  <c r="AK27" i="20"/>
  <c r="AL16" i="20"/>
  <c r="AL14" i="20" s="1"/>
  <c r="HU4" i="19"/>
  <c r="IG4" i="19" s="1"/>
  <c r="IS4" i="19" s="1"/>
  <c r="JE4" i="19" s="1"/>
  <c r="JQ4" i="19" s="1"/>
  <c r="Z4" i="19"/>
  <c r="AL4" i="19" s="1"/>
  <c r="AX4" i="19" s="1"/>
  <c r="BJ4" i="19" s="1"/>
  <c r="BV4" i="19" s="1"/>
  <c r="CH4" i="19" s="1"/>
  <c r="CT4" i="19" s="1"/>
  <c r="DF4" i="19" s="1"/>
  <c r="DR4" i="19" s="1"/>
  <c r="ED4" i="19" s="1"/>
  <c r="EP4" i="19" s="1"/>
  <c r="FB4" i="19" s="1"/>
  <c r="FN4" i="19" s="1"/>
  <c r="FZ4" i="19" s="1"/>
  <c r="GL4" i="19" s="1"/>
  <c r="GX4" i="19" s="1"/>
  <c r="HJ4" i="19" s="1"/>
  <c r="HV4" i="19" s="1"/>
  <c r="IH4" i="19" s="1"/>
  <c r="IT4" i="19" s="1"/>
  <c r="JF4" i="19" s="1"/>
  <c r="JR4" i="19" s="1"/>
  <c r="O4" i="19"/>
  <c r="AA4" i="19" s="1"/>
  <c r="AM4" i="19" s="1"/>
  <c r="AY4" i="19" s="1"/>
  <c r="BK4" i="19" s="1"/>
  <c r="BW4" i="19" s="1"/>
  <c r="CI4" i="19" s="1"/>
  <c r="CU4" i="19" s="1"/>
  <c r="DG4" i="19" s="1"/>
  <c r="DS4" i="19" s="1"/>
  <c r="EE4" i="19" s="1"/>
  <c r="EQ4" i="19" s="1"/>
  <c r="FC4" i="19" s="1"/>
  <c r="FO4" i="19" s="1"/>
  <c r="GA4" i="19" s="1"/>
  <c r="GM4" i="19" s="1"/>
  <c r="GY4" i="19" s="1"/>
  <c r="HK4" i="19" s="1"/>
  <c r="HW4" i="19" s="1"/>
  <c r="II4" i="19" s="1"/>
  <c r="IU4" i="19" s="1"/>
  <c r="JG4" i="19" s="1"/>
  <c r="JS4" i="19" s="1"/>
  <c r="AL34" i="20" l="1"/>
  <c r="AL27" i="20"/>
  <c r="AM16" i="20"/>
  <c r="AM14" i="20" s="1"/>
  <c r="F5" i="17"/>
  <c r="G5" i="17" s="1"/>
  <c r="H5" i="17" s="1"/>
  <c r="I5" i="17" s="1"/>
  <c r="J5" i="17" s="1"/>
  <c r="K5" i="17" s="1"/>
  <c r="L5" i="17" s="1"/>
  <c r="M5" i="17" s="1"/>
  <c r="N5" i="17" s="1"/>
  <c r="O5" i="17" s="1"/>
  <c r="P5" i="17" s="1"/>
  <c r="Q5" i="17" s="1"/>
  <c r="R5" i="17" s="1"/>
  <c r="S5" i="17" s="1"/>
  <c r="T5" i="17" s="1"/>
  <c r="U5" i="17" s="1"/>
  <c r="V5" i="17" s="1"/>
  <c r="W5" i="17" s="1"/>
  <c r="X5" i="17" s="1"/>
  <c r="Y5" i="17" s="1"/>
  <c r="Z5" i="17" s="1"/>
  <c r="AA5" i="17" s="1"/>
  <c r="AB5" i="17" s="1"/>
  <c r="AC5" i="17" s="1"/>
  <c r="AD5" i="17" s="1"/>
  <c r="AE5" i="17" s="1"/>
  <c r="AF5" i="17" s="1"/>
  <c r="AG5" i="17" s="1"/>
  <c r="AH5" i="17" s="1"/>
  <c r="AI5" i="17" s="1"/>
  <c r="AJ5" i="17" s="1"/>
  <c r="AK5" i="17" s="1"/>
  <c r="AL5" i="17" s="1"/>
  <c r="AM5" i="17" s="1"/>
  <c r="AN5" i="17" s="1"/>
  <c r="AO5" i="17" s="1"/>
  <c r="AP5" i="17" s="1"/>
  <c r="AQ5" i="17" s="1"/>
  <c r="AR5" i="17" s="1"/>
  <c r="AS5" i="17" s="1"/>
  <c r="AT5" i="17" s="1"/>
  <c r="AU5" i="17" s="1"/>
  <c r="AV5" i="17" s="1"/>
  <c r="AW5" i="17" s="1"/>
  <c r="AX5" i="17" s="1"/>
  <c r="AY5" i="17" s="1"/>
  <c r="AZ5" i="17" s="1"/>
  <c r="BA5" i="17" s="1"/>
  <c r="BB5" i="17" s="1"/>
  <c r="BC5" i="17" s="1"/>
  <c r="BD5" i="17" s="1"/>
  <c r="BE5" i="17" s="1"/>
  <c r="BF5" i="17" s="1"/>
  <c r="BG5" i="17" s="1"/>
  <c r="BH5" i="17" s="1"/>
  <c r="BI5" i="17" s="1"/>
  <c r="BJ5" i="17" s="1"/>
  <c r="BK5" i="17" s="1"/>
  <c r="BL5" i="17" s="1"/>
  <c r="BM5" i="17" s="1"/>
  <c r="BN5" i="17" s="1"/>
  <c r="BO5" i="17" s="1"/>
  <c r="BP5" i="17" s="1"/>
  <c r="BQ5" i="17" s="1"/>
  <c r="BR5" i="17" s="1"/>
  <c r="BS5" i="17" s="1"/>
  <c r="BT5" i="17" s="1"/>
  <c r="BU5" i="17" s="1"/>
  <c r="BV5" i="17" s="1"/>
  <c r="BW5" i="17" s="1"/>
  <c r="BX5" i="17" s="1"/>
  <c r="BY5" i="17" s="1"/>
  <c r="BZ5" i="17" s="1"/>
  <c r="CA5" i="17" s="1"/>
  <c r="CB5" i="17" s="1"/>
  <c r="CC5" i="17" s="1"/>
  <c r="CD5" i="17" s="1"/>
  <c r="CE5" i="17" s="1"/>
  <c r="CF5" i="17" s="1"/>
  <c r="CG5" i="17" s="1"/>
  <c r="CH5" i="17" s="1"/>
  <c r="CI5" i="17" s="1"/>
  <c r="CJ5" i="17" s="1"/>
  <c r="CK5" i="17" s="1"/>
  <c r="CL5" i="17" s="1"/>
  <c r="CM5" i="17" s="1"/>
  <c r="CN5" i="17" s="1"/>
  <c r="CO5" i="17" s="1"/>
  <c r="CP5" i="17" s="1"/>
  <c r="CQ5" i="17" s="1"/>
  <c r="CR5" i="17" s="1"/>
  <c r="CS5" i="17" s="1"/>
  <c r="CT5" i="17" s="1"/>
  <c r="CU5" i="17" s="1"/>
  <c r="CV5" i="17" s="1"/>
  <c r="CW5" i="17" s="1"/>
  <c r="CX5" i="17" s="1"/>
  <c r="CY5" i="17" s="1"/>
  <c r="CZ5" i="17" s="1"/>
  <c r="DA5" i="17" s="1"/>
  <c r="DB5" i="17" s="1"/>
  <c r="DC5" i="17" s="1"/>
  <c r="DD5" i="17" s="1"/>
  <c r="DE5" i="17" s="1"/>
  <c r="DF5" i="17" s="1"/>
  <c r="DG5" i="17" s="1"/>
  <c r="DH5" i="17" s="1"/>
  <c r="DI5" i="17" s="1"/>
  <c r="DJ5" i="17" s="1"/>
  <c r="DK5" i="17" s="1"/>
  <c r="DL5" i="17" s="1"/>
  <c r="DM5" i="17" s="1"/>
  <c r="DN5" i="17" s="1"/>
  <c r="DO5" i="17" s="1"/>
  <c r="DP5" i="17" s="1"/>
  <c r="DQ5" i="17" s="1"/>
  <c r="DR5" i="17" s="1"/>
  <c r="DS5" i="17" s="1"/>
  <c r="DT5" i="17" s="1"/>
  <c r="DU5" i="17" s="1"/>
  <c r="DV5" i="17" s="1"/>
  <c r="DW5" i="17" s="1"/>
  <c r="DX5" i="17" s="1"/>
  <c r="DY5" i="17" s="1"/>
  <c r="DZ5" i="17" s="1"/>
  <c r="EA5" i="17" s="1"/>
  <c r="EB5" i="17" s="1"/>
  <c r="EC5" i="17" s="1"/>
  <c r="ED5" i="17" s="1"/>
  <c r="EE5" i="17" s="1"/>
  <c r="EF5" i="17" s="1"/>
  <c r="EG5" i="17" s="1"/>
  <c r="EH5" i="17" s="1"/>
  <c r="EI5" i="17" s="1"/>
  <c r="EJ5" i="17" s="1"/>
  <c r="EK5" i="17" s="1"/>
  <c r="EL5" i="17" s="1"/>
  <c r="EM5" i="17" s="1"/>
  <c r="EN5" i="17" s="1"/>
  <c r="EO5" i="17" s="1"/>
  <c r="EP5" i="17" s="1"/>
  <c r="EQ5" i="17" s="1"/>
  <c r="ER5" i="17" s="1"/>
  <c r="ES5" i="17" s="1"/>
  <c r="ET5" i="17" s="1"/>
  <c r="EU5" i="17" s="1"/>
  <c r="EV5" i="17" s="1"/>
  <c r="EW5" i="17" s="1"/>
  <c r="EX5" i="17" s="1"/>
  <c r="EY5" i="17" s="1"/>
  <c r="EZ5" i="17" s="1"/>
  <c r="FA5" i="17" s="1"/>
  <c r="FB5" i="17" s="1"/>
  <c r="FC5" i="17" s="1"/>
  <c r="FD5" i="17" s="1"/>
  <c r="FE5" i="17" s="1"/>
  <c r="FF5" i="17" s="1"/>
  <c r="FG5" i="17" s="1"/>
  <c r="FH5" i="17" s="1"/>
  <c r="FI5" i="17" s="1"/>
  <c r="FJ5" i="17" s="1"/>
  <c r="FK5" i="17" s="1"/>
  <c r="FL5" i="17" s="1"/>
  <c r="FM5" i="17" s="1"/>
  <c r="FN5" i="17" s="1"/>
  <c r="FO5" i="17" s="1"/>
  <c r="FP5" i="17" s="1"/>
  <c r="FQ5" i="17" s="1"/>
  <c r="FR5" i="17" s="1"/>
  <c r="FS5" i="17" s="1"/>
  <c r="FT5" i="17" s="1"/>
  <c r="FU5" i="17" s="1"/>
  <c r="FV5" i="17" s="1"/>
  <c r="FW5" i="17" s="1"/>
  <c r="FX5" i="17" s="1"/>
  <c r="FY5" i="17" s="1"/>
  <c r="FZ5" i="17" s="1"/>
  <c r="GA5" i="17" s="1"/>
  <c r="GB5" i="17" s="1"/>
  <c r="GC5" i="17" s="1"/>
  <c r="GD5" i="17" s="1"/>
  <c r="GE5" i="17" s="1"/>
  <c r="B21" i="17"/>
  <c r="AM34" i="20" l="1"/>
  <c r="AM27" i="20"/>
  <c r="AN16" i="20"/>
  <c r="AN14" i="20" s="1"/>
  <c r="B41" i="17"/>
  <c r="B50" i="17" s="1"/>
  <c r="B31" i="17"/>
  <c r="B40" i="17" s="1"/>
  <c r="B49" i="17" s="1"/>
  <c r="B58" i="17" s="1"/>
  <c r="GF5" i="17"/>
  <c r="GG5" i="17" s="1"/>
  <c r="GH5" i="17" s="1"/>
  <c r="GI5" i="17" s="1"/>
  <c r="GJ5" i="17" s="1"/>
  <c r="GK5" i="17" s="1"/>
  <c r="GL5" i="17" s="1"/>
  <c r="GM5" i="17" s="1"/>
  <c r="GN5" i="17" s="1"/>
  <c r="GO5" i="17" s="1"/>
  <c r="GP5" i="17" s="1"/>
  <c r="GQ5" i="17" s="1"/>
  <c r="GR5" i="17" s="1"/>
  <c r="GS5" i="17" s="1"/>
  <c r="GT5" i="17" s="1"/>
  <c r="GU5" i="17" s="1"/>
  <c r="GV5" i="17" s="1"/>
  <c r="GW5" i="17" s="1"/>
  <c r="GX5" i="17" s="1"/>
  <c r="GY5" i="17" s="1"/>
  <c r="GZ5" i="17" s="1"/>
  <c r="HA5" i="17" s="1"/>
  <c r="HB5" i="17" s="1"/>
  <c r="HC5" i="17" s="1"/>
  <c r="HD5" i="17" s="1"/>
  <c r="HE5" i="17" s="1"/>
  <c r="HF5" i="17" s="1"/>
  <c r="HG5" i="17" s="1"/>
  <c r="HH5" i="17" s="1"/>
  <c r="HI5" i="17" s="1"/>
  <c r="HJ5" i="17" s="1"/>
  <c r="HK5" i="17" s="1"/>
  <c r="HL5" i="17" s="1"/>
  <c r="HM5" i="17" s="1"/>
  <c r="HN5" i="17" s="1"/>
  <c r="HO5" i="17" s="1"/>
  <c r="HP5" i="17" s="1"/>
  <c r="HQ5" i="17" s="1"/>
  <c r="HR5" i="17" s="1"/>
  <c r="HS5" i="17" s="1"/>
  <c r="HT5" i="17" s="1"/>
  <c r="HU5" i="17" s="1"/>
  <c r="HV5" i="17" s="1"/>
  <c r="HW5" i="17" s="1"/>
  <c r="HX5" i="17" s="1"/>
  <c r="HY5" i="17" s="1"/>
  <c r="HZ5" i="17" s="1"/>
  <c r="IA5" i="17" s="1"/>
  <c r="IB5" i="17" s="1"/>
  <c r="IC5" i="17" s="1"/>
  <c r="ID5" i="17" s="1"/>
  <c r="IE5" i="17" s="1"/>
  <c r="IF5" i="17" s="1"/>
  <c r="IG5" i="17" s="1"/>
  <c r="IH5" i="17" s="1"/>
  <c r="II5" i="17" s="1"/>
  <c r="IJ5" i="17" s="1"/>
  <c r="IK5" i="17" s="1"/>
  <c r="IL5" i="17" s="1"/>
  <c r="IM5" i="17" s="1"/>
  <c r="IN5" i="17" s="1"/>
  <c r="IO5" i="17" s="1"/>
  <c r="IP5" i="17" s="1"/>
  <c r="IQ5" i="17" s="1"/>
  <c r="IR5" i="17" s="1"/>
  <c r="IS5" i="17" s="1"/>
  <c r="IT5" i="17" s="1"/>
  <c r="IU5" i="17" s="1"/>
  <c r="IV5" i="17" s="1"/>
  <c r="IW5" i="17" s="1"/>
  <c r="IX5" i="17" s="1"/>
  <c r="IY5" i="17" s="1"/>
  <c r="IZ5" i="17" s="1"/>
  <c r="JA5" i="17" s="1"/>
  <c r="JB5" i="17" s="1"/>
  <c r="JC5" i="17" s="1"/>
  <c r="JD5" i="17" s="1"/>
  <c r="JE5" i="17" s="1"/>
  <c r="JF5" i="17" s="1"/>
  <c r="JG5" i="17" s="1"/>
  <c r="JH5" i="17" s="1"/>
  <c r="JI5" i="17" s="1"/>
  <c r="JJ5" i="17" s="1"/>
  <c r="JK5" i="17" s="1"/>
  <c r="JL5" i="17" s="1"/>
  <c r="JM5" i="17" s="1"/>
  <c r="JN5" i="17" s="1"/>
  <c r="JO5" i="17" s="1"/>
  <c r="JP5" i="17" s="1"/>
  <c r="JQ5" i="17" s="1"/>
  <c r="JR5" i="17" s="1"/>
  <c r="JS5" i="17" s="1"/>
  <c r="JT5" i="17" s="1"/>
  <c r="JU5" i="17" s="1"/>
  <c r="JV5" i="17" s="1"/>
  <c r="JW5" i="17" s="1"/>
  <c r="JX5" i="17" s="1"/>
  <c r="JY5" i="17" s="1"/>
  <c r="JZ5" i="17" s="1"/>
  <c r="KA5" i="17" s="1"/>
  <c r="KB5" i="17" s="1"/>
  <c r="KC5" i="17" s="1"/>
  <c r="C31" i="1"/>
  <c r="E16" i="33" s="1"/>
  <c r="E23" i="33" s="1"/>
  <c r="E32" i="33" s="1"/>
  <c r="E39" i="33" s="1"/>
  <c r="E48" i="33" s="1"/>
  <c r="E55" i="33" s="1"/>
  <c r="E64" i="33" s="1"/>
  <c r="E71" i="33" s="1"/>
  <c r="E80" i="33" s="1"/>
  <c r="E87" i="33" s="1"/>
  <c r="E96" i="33" s="1"/>
  <c r="E105" i="33" s="1"/>
  <c r="E114" i="33" s="1"/>
  <c r="E124" i="33" s="1"/>
  <c r="E131" i="33" s="1"/>
  <c r="B78" i="1"/>
  <c r="C37" i="1"/>
  <c r="B79" i="1" s="1"/>
  <c r="O78" i="20" l="1"/>
  <c r="O88" i="20" s="1"/>
  <c r="A46" i="20"/>
  <c r="C196" i="31"/>
  <c r="C325" i="31" s="1"/>
  <c r="C4" i="30" s="1"/>
  <c r="AN34" i="20"/>
  <c r="AN27" i="20"/>
  <c r="AO16" i="20"/>
  <c r="AO14" i="20" s="1"/>
  <c r="B83" i="1"/>
  <c r="B85" i="1" s="1"/>
  <c r="C38" i="1"/>
  <c r="B59" i="17"/>
  <c r="C68" i="1"/>
  <c r="AO34" i="20" l="1"/>
  <c r="AO27" i="20"/>
  <c r="AP16" i="20"/>
  <c r="AP14" i="20" s="1"/>
  <c r="E68" i="1"/>
  <c r="F68" i="1" s="1"/>
  <c r="G68" i="1" s="1"/>
  <c r="A51" i="20"/>
  <c r="A45" i="20"/>
  <c r="AP34" i="20" l="1"/>
  <c r="AP27" i="20"/>
  <c r="AQ16" i="20"/>
  <c r="AQ14" i="20" s="1"/>
  <c r="P78" i="20" l="1"/>
  <c r="P88" i="20" s="1"/>
  <c r="AQ34" i="20"/>
  <c r="AQ27" i="20"/>
  <c r="AR16" i="20"/>
  <c r="AR14" i="20" s="1"/>
  <c r="AR34" i="20" l="1"/>
  <c r="AR27" i="20"/>
  <c r="AS16" i="20"/>
  <c r="AS14" i="20" l="1"/>
  <c r="AS34" i="20"/>
  <c r="AS27" i="20"/>
  <c r="AT16" i="20"/>
  <c r="AT14" i="20" s="1"/>
  <c r="Q78" i="20" l="1"/>
  <c r="Q88" i="20" s="1"/>
  <c r="AT34" i="20"/>
  <c r="AT27" i="20"/>
  <c r="AU16" i="20"/>
  <c r="AU14" i="20" l="1"/>
  <c r="AU34" i="20"/>
  <c r="AU27" i="20"/>
  <c r="AV16" i="20"/>
  <c r="AV14" i="20" l="1"/>
  <c r="AV34" i="20"/>
  <c r="AV27" i="20"/>
  <c r="AW16" i="20"/>
  <c r="AW14" i="20" l="1"/>
  <c r="R78" i="20"/>
  <c r="R88" i="20" s="1"/>
  <c r="AW34" i="20"/>
  <c r="AW27" i="20"/>
  <c r="AX16" i="20"/>
  <c r="AX14" i="20" s="1"/>
  <c r="AX34" i="20" l="1"/>
  <c r="AX27" i="20"/>
  <c r="AY16" i="20"/>
  <c r="AY14" i="20" s="1"/>
  <c r="AY27" i="20" l="1"/>
  <c r="AZ16" i="20"/>
  <c r="AZ14" i="20" l="1"/>
  <c r="S78" i="20"/>
  <c r="S88" i="20" s="1"/>
  <c r="AZ27" i="20"/>
  <c r="BA16" i="20"/>
  <c r="BA14" i="20" s="1"/>
  <c r="BA27" i="20" l="1"/>
  <c r="BB16" i="20"/>
  <c r="BB14" i="20" l="1"/>
  <c r="BC16" i="20"/>
  <c r="BC14" i="20" s="1"/>
  <c r="BD16" i="20" l="1"/>
  <c r="BD14" i="20" s="1"/>
  <c r="BE16" i="20" l="1"/>
  <c r="BE14" i="20" l="1"/>
  <c r="BF16" i="20"/>
  <c r="BF14" i="20" s="1"/>
  <c r="BG16" i="20" l="1"/>
  <c r="BG14" i="20" s="1"/>
  <c r="BH16" i="20" l="1"/>
  <c r="BH14" i="20" s="1"/>
  <c r="BI16" i="20" l="1"/>
  <c r="BI14" i="20" s="1"/>
  <c r="BJ16" i="20" l="1"/>
  <c r="BJ14" i="20" s="1"/>
  <c r="BK16" i="20" l="1"/>
  <c r="BL16" i="20" l="1"/>
  <c r="BK14" i="20"/>
  <c r="BM16" i="20" l="1"/>
  <c r="BL14" i="20"/>
  <c r="BN16" i="20" l="1"/>
  <c r="BM14" i="20"/>
  <c r="E7" i="19"/>
  <c r="BO16" i="20" l="1"/>
  <c r="BN14" i="20"/>
  <c r="E2" i="19"/>
  <c r="E89" i="19"/>
  <c r="F7" i="19"/>
  <c r="BP16" i="20" l="1"/>
  <c r="BO14" i="20"/>
  <c r="F2" i="19"/>
  <c r="F89" i="19"/>
  <c r="G7" i="19"/>
  <c r="BQ16" i="20" l="1"/>
  <c r="BP14" i="20"/>
  <c r="G2" i="19"/>
  <c r="G89" i="19"/>
  <c r="H7" i="19"/>
  <c r="BR16" i="20" l="1"/>
  <c r="BQ14" i="20"/>
  <c r="H2" i="19"/>
  <c r="H89" i="19"/>
  <c r="I7" i="19"/>
  <c r="BS16" i="20" l="1"/>
  <c r="BR14" i="20"/>
  <c r="I89" i="19"/>
  <c r="I2" i="19"/>
  <c r="J7" i="19"/>
  <c r="BT16" i="20" l="1"/>
  <c r="BS14" i="20"/>
  <c r="K7" i="19"/>
  <c r="J2" i="19"/>
  <c r="J89" i="19"/>
  <c r="K89" i="19" l="1"/>
  <c r="K2" i="19"/>
  <c r="L7" i="19"/>
  <c r="BU16" i="20"/>
  <c r="BT14" i="20"/>
  <c r="L89" i="19" l="1"/>
  <c r="L2" i="19"/>
  <c r="M7" i="19"/>
  <c r="BV16" i="20"/>
  <c r="BU14" i="20"/>
  <c r="M89" i="19" l="1"/>
  <c r="N7" i="19"/>
  <c r="M2" i="19"/>
  <c r="BW16" i="20"/>
  <c r="BV14" i="20"/>
  <c r="N89" i="19" l="1"/>
  <c r="N2" i="19"/>
  <c r="O7" i="19"/>
  <c r="O2" i="19" s="1"/>
  <c r="BX16" i="20"/>
  <c r="BW14" i="20"/>
  <c r="O89" i="19" l="1"/>
  <c r="P7" i="19"/>
  <c r="BY16" i="20"/>
  <c r="BX14" i="20"/>
  <c r="Q7" i="19" l="1"/>
  <c r="Q89" i="19" s="1"/>
  <c r="P89" i="19"/>
  <c r="P2" i="19"/>
  <c r="BZ16" i="20"/>
  <c r="BY14" i="20"/>
  <c r="R7" i="19" l="1"/>
  <c r="R2" i="19" s="1"/>
  <c r="Q2" i="19"/>
  <c r="CA16" i="20"/>
  <c r="BZ14" i="20"/>
  <c r="R89" i="19"/>
  <c r="S7" i="19"/>
  <c r="CB16" i="20" l="1"/>
  <c r="CA14" i="20"/>
  <c r="S2" i="19"/>
  <c r="S89" i="19"/>
  <c r="T7" i="19"/>
  <c r="CC16" i="20" l="1"/>
  <c r="CB14" i="20"/>
  <c r="T2" i="19"/>
  <c r="T89" i="19"/>
  <c r="U7" i="19"/>
  <c r="CD16" i="20" l="1"/>
  <c r="CC14" i="20"/>
  <c r="U2" i="19"/>
  <c r="U89" i="19"/>
  <c r="V7" i="19"/>
  <c r="CE16" i="20" l="1"/>
  <c r="CD14" i="20"/>
  <c r="V2" i="19"/>
  <c r="V89" i="19"/>
  <c r="W7" i="19"/>
  <c r="CF16" i="20" l="1"/>
  <c r="CE14" i="20"/>
  <c r="W2" i="19"/>
  <c r="W89" i="19"/>
  <c r="X7" i="19"/>
  <c r="CG16" i="20" l="1"/>
  <c r="CF14" i="20"/>
  <c r="X2" i="19"/>
  <c r="X89" i="19"/>
  <c r="Y7" i="19"/>
  <c r="CH16" i="20" l="1"/>
  <c r="CG14" i="20"/>
  <c r="Y2" i="19"/>
  <c r="Y89" i="19"/>
  <c r="Z7" i="19"/>
  <c r="CI16" i="20" l="1"/>
  <c r="CH14" i="20"/>
  <c r="Z2" i="19"/>
  <c r="Z89" i="19"/>
  <c r="AA7" i="19"/>
  <c r="CJ16" i="20" l="1"/>
  <c r="CI14" i="20"/>
  <c r="AA2" i="19"/>
  <c r="AA89" i="19"/>
  <c r="AB7" i="19"/>
  <c r="CK16" i="20" l="1"/>
  <c r="CJ14" i="20"/>
  <c r="AB2" i="19"/>
  <c r="AB89" i="19"/>
  <c r="AC7" i="19"/>
  <c r="CL16" i="20" l="1"/>
  <c r="CK14" i="20"/>
  <c r="AC2" i="19"/>
  <c r="AC89" i="19"/>
  <c r="AD7" i="19"/>
  <c r="CM16" i="20" l="1"/>
  <c r="CL14" i="20"/>
  <c r="AD2" i="19"/>
  <c r="AD89" i="19"/>
  <c r="AE7" i="19"/>
  <c r="CN16" i="20" l="1"/>
  <c r="CM14" i="20"/>
  <c r="AE2" i="19"/>
  <c r="AE89" i="19"/>
  <c r="AF7" i="19"/>
  <c r="CO16" i="20" l="1"/>
  <c r="CN14" i="20"/>
  <c r="AF2" i="19"/>
  <c r="AF89" i="19"/>
  <c r="AG7" i="19"/>
  <c r="CP16" i="20" l="1"/>
  <c r="CO14" i="20"/>
  <c r="AG2" i="19"/>
  <c r="AG89" i="19"/>
  <c r="AH7" i="19"/>
  <c r="CQ16" i="20" l="1"/>
  <c r="CP14" i="20"/>
  <c r="AH2" i="19"/>
  <c r="AH89" i="19"/>
  <c r="AI7" i="19"/>
  <c r="CR16" i="20" l="1"/>
  <c r="CQ14" i="20"/>
  <c r="AI2" i="19"/>
  <c r="AI89" i="19"/>
  <c r="AJ7" i="19"/>
  <c r="CS16" i="20" l="1"/>
  <c r="CR14" i="20"/>
  <c r="AJ2" i="19"/>
  <c r="AJ89" i="19"/>
  <c r="AK7" i="19"/>
  <c r="CT16" i="20" l="1"/>
  <c r="CS14" i="20"/>
  <c r="AK2" i="19"/>
  <c r="AK89" i="19"/>
  <c r="AL7" i="19"/>
  <c r="CU16" i="20" l="1"/>
  <c r="CT14" i="20"/>
  <c r="AL2" i="19"/>
  <c r="AL89" i="19"/>
  <c r="AM7" i="19"/>
  <c r="CV16" i="20" l="1"/>
  <c r="CU14" i="20"/>
  <c r="AM2" i="19"/>
  <c r="AM89" i="19"/>
  <c r="AN7" i="19"/>
  <c r="CW16" i="20" l="1"/>
  <c r="CV14" i="20"/>
  <c r="AN2" i="19"/>
  <c r="AN89" i="19"/>
  <c r="AO7" i="19"/>
  <c r="CX16" i="20" l="1"/>
  <c r="CW14" i="20"/>
  <c r="AO2" i="19"/>
  <c r="AO89" i="19"/>
  <c r="AP7" i="19"/>
  <c r="CY16" i="20" l="1"/>
  <c r="CX14" i="20"/>
  <c r="AP2" i="19"/>
  <c r="AP89" i="19"/>
  <c r="AQ7" i="19"/>
  <c r="CZ16" i="20" l="1"/>
  <c r="CY14" i="20"/>
  <c r="AQ2" i="19"/>
  <c r="AQ89" i="19"/>
  <c r="AR7" i="19"/>
  <c r="DA16" i="20" l="1"/>
  <c r="CZ14" i="20"/>
  <c r="AR2" i="19"/>
  <c r="AR89" i="19"/>
  <c r="AS7" i="19"/>
  <c r="DB16" i="20" l="1"/>
  <c r="DA14" i="20"/>
  <c r="AS2" i="19"/>
  <c r="AS89" i="19"/>
  <c r="AT7" i="19"/>
  <c r="DC16" i="20" l="1"/>
  <c r="DB14" i="20"/>
  <c r="AT2" i="19"/>
  <c r="AT89" i="19"/>
  <c r="AU7" i="19"/>
  <c r="DD16" i="20" l="1"/>
  <c r="DC14" i="20"/>
  <c r="AU2" i="19"/>
  <c r="AU89" i="19"/>
  <c r="AV7" i="19"/>
  <c r="DE16" i="20" l="1"/>
  <c r="DD14" i="20"/>
  <c r="AV2" i="19"/>
  <c r="AV89" i="19"/>
  <c r="AW7" i="19"/>
  <c r="DF16" i="20" l="1"/>
  <c r="DE14" i="20"/>
  <c r="AW2" i="19"/>
  <c r="AW89" i="19"/>
  <c r="AX7" i="19"/>
  <c r="DG16" i="20" l="1"/>
  <c r="DF14" i="20"/>
  <c r="AX2" i="19"/>
  <c r="AX89" i="19"/>
  <c r="AY7" i="19"/>
  <c r="DH16" i="20" l="1"/>
  <c r="DG14" i="20"/>
  <c r="AY2" i="19"/>
  <c r="AY89" i="19"/>
  <c r="AZ7" i="19"/>
  <c r="DI16" i="20" l="1"/>
  <c r="DH14" i="20"/>
  <c r="AZ2" i="19"/>
  <c r="AZ89" i="19"/>
  <c r="BA7" i="19"/>
  <c r="DJ16" i="20" l="1"/>
  <c r="DI14" i="20"/>
  <c r="BA2" i="19"/>
  <c r="BA89" i="19"/>
  <c r="BB7" i="19"/>
  <c r="DK16" i="20" l="1"/>
  <c r="DJ14" i="20"/>
  <c r="BB2" i="19"/>
  <c r="BB89" i="19"/>
  <c r="BC7" i="19"/>
  <c r="DL16" i="20" l="1"/>
  <c r="DK14" i="20"/>
  <c r="BC2" i="19"/>
  <c r="BC89" i="19"/>
  <c r="BD7" i="19"/>
  <c r="DM16" i="20" l="1"/>
  <c r="DL14" i="20"/>
  <c r="BD2" i="19"/>
  <c r="BD89" i="19"/>
  <c r="BE7" i="19"/>
  <c r="DN16" i="20" l="1"/>
  <c r="DM14" i="20"/>
  <c r="BE2" i="19"/>
  <c r="BE89" i="19"/>
  <c r="BF7" i="19"/>
  <c r="BF98" i="19" s="1"/>
  <c r="DO16" i="20" l="1"/>
  <c r="DN14" i="20"/>
  <c r="BF2" i="19"/>
  <c r="BF89" i="19"/>
  <c r="BG7" i="19"/>
  <c r="BG98" i="19" s="1"/>
  <c r="DP16" i="20" l="1"/>
  <c r="DO14" i="20"/>
  <c r="BG2" i="19"/>
  <c r="BG89" i="19"/>
  <c r="BH7" i="19"/>
  <c r="BH98" i="19" s="1"/>
  <c r="DQ16" i="20" l="1"/>
  <c r="DP14" i="20"/>
  <c r="BH2" i="19"/>
  <c r="BH89" i="19"/>
  <c r="BI7" i="19"/>
  <c r="BI98" i="19" s="1"/>
  <c r="DR16" i="20" l="1"/>
  <c r="DQ14" i="20"/>
  <c r="BI89" i="19"/>
  <c r="BI2" i="19"/>
  <c r="BJ7" i="19"/>
  <c r="BJ98" i="19" s="1"/>
  <c r="DS16" i="20" l="1"/>
  <c r="DR14" i="20"/>
  <c r="BJ89" i="19"/>
  <c r="BJ2" i="19"/>
  <c r="BK7" i="19"/>
  <c r="BK98" i="19" s="1"/>
  <c r="DT16" i="20" l="1"/>
  <c r="DS14" i="20"/>
  <c r="BK89" i="19"/>
  <c r="BK2" i="19"/>
  <c r="BL7" i="19"/>
  <c r="BL98" i="19" s="1"/>
  <c r="DU16" i="20" l="1"/>
  <c r="DT14" i="20"/>
  <c r="BL89" i="19"/>
  <c r="BL2" i="19"/>
  <c r="BM7" i="19"/>
  <c r="BM98" i="19" s="1"/>
  <c r="DV16" i="20" l="1"/>
  <c r="DU14" i="20"/>
  <c r="BM89" i="19"/>
  <c r="BM2" i="19"/>
  <c r="BN7" i="19"/>
  <c r="BN98" i="19" s="1"/>
  <c r="DW16" i="20" l="1"/>
  <c r="DV14" i="20"/>
  <c r="BN89" i="19"/>
  <c r="BN2" i="19"/>
  <c r="BO7" i="19"/>
  <c r="BO98" i="19" s="1"/>
  <c r="DX16" i="20" l="1"/>
  <c r="DW14" i="20"/>
  <c r="BO89" i="19"/>
  <c r="BO2" i="19"/>
  <c r="BP7" i="19"/>
  <c r="BP98" i="19" s="1"/>
  <c r="DY16" i="20" l="1"/>
  <c r="DX14" i="20"/>
  <c r="BP89" i="19"/>
  <c r="BP2" i="19"/>
  <c r="BQ7" i="19"/>
  <c r="BQ98" i="19" s="1"/>
  <c r="DZ16" i="20" l="1"/>
  <c r="DY14" i="20"/>
  <c r="BQ89" i="19"/>
  <c r="BQ2" i="19"/>
  <c r="BR7" i="19"/>
  <c r="BR98" i="19" s="1"/>
  <c r="BR21" i="19" l="1"/>
  <c r="EA16" i="20"/>
  <c r="DZ14" i="20"/>
  <c r="BR22" i="19"/>
  <c r="BR25" i="19"/>
  <c r="BR23" i="19"/>
  <c r="BR20" i="19"/>
  <c r="BR19" i="19"/>
  <c r="BR17" i="19"/>
  <c r="BR18" i="19"/>
  <c r="BR89" i="19"/>
  <c r="BR2" i="19"/>
  <c r="BR38" i="19"/>
  <c r="BR90" i="19" s="1"/>
  <c r="BS7" i="19"/>
  <c r="BS98" i="19" s="1"/>
  <c r="BR43" i="19" l="1"/>
  <c r="BS21" i="19"/>
  <c r="EB16" i="20"/>
  <c r="BR31" i="19" s="1"/>
  <c r="EA14" i="20"/>
  <c r="BS23" i="19"/>
  <c r="BS22" i="19"/>
  <c r="BS25" i="19"/>
  <c r="BS19" i="19"/>
  <c r="BS20" i="19"/>
  <c r="BS18" i="19"/>
  <c r="BS17" i="19"/>
  <c r="BS89" i="19"/>
  <c r="BS2" i="19"/>
  <c r="BS38" i="19"/>
  <c r="BS90" i="19" s="1"/>
  <c r="BS31" i="19"/>
  <c r="BT7" i="19"/>
  <c r="BT98" i="19" s="1"/>
  <c r="BP31" i="19" l="1"/>
  <c r="D49" i="41"/>
  <c r="E49" i="41"/>
  <c r="F49" i="41"/>
  <c r="G49" i="41"/>
  <c r="H49" i="41"/>
  <c r="I49" i="41"/>
  <c r="O49" i="41"/>
  <c r="P49" i="41"/>
  <c r="Q49" i="41"/>
  <c r="R49" i="41"/>
  <c r="S49" i="41"/>
  <c r="D30" i="19"/>
  <c r="E30" i="19"/>
  <c r="F30" i="19"/>
  <c r="G30" i="19"/>
  <c r="I30" i="19"/>
  <c r="G31" i="19"/>
  <c r="H30" i="19"/>
  <c r="I31" i="19"/>
  <c r="L31" i="19"/>
  <c r="J30" i="19"/>
  <c r="M31" i="19"/>
  <c r="K31" i="19"/>
  <c r="O31" i="19"/>
  <c r="N31" i="19"/>
  <c r="Q31" i="19"/>
  <c r="R31" i="19"/>
  <c r="S31" i="19"/>
  <c r="P31" i="19"/>
  <c r="U31" i="19"/>
  <c r="T31" i="19"/>
  <c r="V31" i="19"/>
  <c r="W31" i="19"/>
  <c r="Z31" i="19"/>
  <c r="X31" i="19"/>
  <c r="Y31" i="19"/>
  <c r="AD31" i="19"/>
  <c r="AA31" i="19"/>
  <c r="AB31" i="19"/>
  <c r="AC31" i="19"/>
  <c r="AE31" i="19"/>
  <c r="AF31" i="19"/>
  <c r="AG31" i="19"/>
  <c r="AH31" i="19"/>
  <c r="AI31" i="19"/>
  <c r="AJ31" i="19"/>
  <c r="AK31" i="19"/>
  <c r="AL31" i="19"/>
  <c r="AN31" i="19"/>
  <c r="AM31" i="19"/>
  <c r="AO31" i="19"/>
  <c r="AR31" i="19"/>
  <c r="AP31" i="19"/>
  <c r="AQ31" i="19"/>
  <c r="AU31" i="19"/>
  <c r="AS31" i="19"/>
  <c r="AT31" i="19"/>
  <c r="AV31" i="19"/>
  <c r="AW31" i="19"/>
  <c r="BA31" i="19"/>
  <c r="AX31" i="19"/>
  <c r="AY31" i="19"/>
  <c r="AZ31" i="19"/>
  <c r="BB31" i="19"/>
  <c r="BC31" i="19"/>
  <c r="BD31" i="19"/>
  <c r="BE31" i="19"/>
  <c r="BF31" i="19"/>
  <c r="BG31" i="19"/>
  <c r="BH31" i="19"/>
  <c r="BI31" i="19"/>
  <c r="BJ31" i="19"/>
  <c r="BK31" i="19"/>
  <c r="BL31" i="19"/>
  <c r="BO31" i="19"/>
  <c r="BM31" i="19"/>
  <c r="BQ31" i="19"/>
  <c r="BN31" i="19"/>
  <c r="Q11" i="34"/>
  <c r="V11" i="34"/>
  <c r="W11" i="34"/>
  <c r="W13" i="34" s="1"/>
  <c r="W12" i="34" s="1"/>
  <c r="Y11" i="34"/>
  <c r="Y13" i="34" s="1"/>
  <c r="Y12" i="34" s="1"/>
  <c r="Y66" i="32" s="1"/>
  <c r="U11" i="34"/>
  <c r="T11" i="34"/>
  <c r="P11" i="34"/>
  <c r="S11" i="34"/>
  <c r="X11" i="34"/>
  <c r="X13" i="34" s="1"/>
  <c r="X12" i="34" s="1"/>
  <c r="R11" i="34"/>
  <c r="C32" i="19"/>
  <c r="C32" i="41" s="1"/>
  <c r="BP49" i="41"/>
  <c r="BU49" i="41"/>
  <c r="CW49" i="41"/>
  <c r="CT49" i="41"/>
  <c r="BZ49" i="41"/>
  <c r="BG49" i="41"/>
  <c r="CK49" i="41"/>
  <c r="AY49" i="41"/>
  <c r="BT49" i="41"/>
  <c r="BW49" i="41"/>
  <c r="BY49" i="41"/>
  <c r="CQ49" i="41"/>
  <c r="CB49" i="41"/>
  <c r="CL49" i="41"/>
  <c r="BF49" i="41"/>
  <c r="CR49" i="41"/>
  <c r="CG49" i="41"/>
  <c r="BR49" i="41"/>
  <c r="BX49" i="41"/>
  <c r="BK49" i="41"/>
  <c r="CD49" i="41"/>
  <c r="CV49" i="41"/>
  <c r="CN49" i="41"/>
  <c r="BH49" i="41"/>
  <c r="CX49" i="41"/>
  <c r="BB49" i="41"/>
  <c r="CH49" i="41"/>
  <c r="CU49" i="41"/>
  <c r="C49" i="41"/>
  <c r="C64" i="41" s="1"/>
  <c r="CP49" i="41"/>
  <c r="CF49" i="41"/>
  <c r="CO49" i="41"/>
  <c r="CE49" i="41"/>
  <c r="AX49" i="41"/>
  <c r="BC49" i="41"/>
  <c r="BJ49" i="41"/>
  <c r="BQ49" i="41"/>
  <c r="AU49" i="41"/>
  <c r="BM49" i="41"/>
  <c r="BA49" i="41"/>
  <c r="BO49" i="41"/>
  <c r="BI49" i="41"/>
  <c r="CA49" i="41"/>
  <c r="AV49" i="41"/>
  <c r="CS49" i="41"/>
  <c r="AW49" i="41"/>
  <c r="CI49" i="41"/>
  <c r="BS49" i="41"/>
  <c r="AZ49" i="41"/>
  <c r="CM49" i="41"/>
  <c r="BE49" i="41"/>
  <c r="BV49" i="41"/>
  <c r="BN49" i="41"/>
  <c r="CJ49" i="41"/>
  <c r="CC49" i="41"/>
  <c r="BD49" i="41"/>
  <c r="BL49" i="41"/>
  <c r="BS43" i="19"/>
  <c r="BT21" i="19"/>
  <c r="Z21" i="41" s="1"/>
  <c r="EB14" i="20"/>
  <c r="EB34" i="20"/>
  <c r="D11" i="34"/>
  <c r="C30" i="19"/>
  <c r="C98" i="19" s="1"/>
  <c r="BT23" i="19"/>
  <c r="BT22" i="19"/>
  <c r="BT19" i="19"/>
  <c r="BT25" i="19"/>
  <c r="BT20" i="19"/>
  <c r="BT18" i="19"/>
  <c r="BT17" i="19"/>
  <c r="BT89" i="19"/>
  <c r="BT2" i="19"/>
  <c r="BT38" i="19"/>
  <c r="BT90" i="19" s="1"/>
  <c r="BT31" i="19"/>
  <c r="BU7" i="19"/>
  <c r="BU98" i="19" s="1"/>
  <c r="D30" i="41" l="1"/>
  <c r="I98" i="19"/>
  <c r="G98" i="19"/>
  <c r="P13" i="34"/>
  <c r="P12" i="34" s="1"/>
  <c r="T13" i="34"/>
  <c r="T12" i="34" s="1"/>
  <c r="U13" i="34"/>
  <c r="U12" i="34" s="1"/>
  <c r="S13" i="34"/>
  <c r="S12" i="34" s="1"/>
  <c r="R13" i="34"/>
  <c r="R12" i="34" s="1"/>
  <c r="V13" i="34"/>
  <c r="V12" i="34" s="1"/>
  <c r="Q13" i="34"/>
  <c r="Q12" i="34" s="1"/>
  <c r="D54" i="32"/>
  <c r="D13" i="34"/>
  <c r="BT43" i="19"/>
  <c r="C30" i="41"/>
  <c r="BU21" i="19"/>
  <c r="BU23" i="19"/>
  <c r="BU19" i="19"/>
  <c r="BU20" i="19"/>
  <c r="BU22" i="19"/>
  <c r="BU25" i="19"/>
  <c r="BU17" i="19"/>
  <c r="BU18" i="19"/>
  <c r="BU89" i="19"/>
  <c r="BU2" i="19"/>
  <c r="BU38" i="19"/>
  <c r="BU90" i="19" s="1"/>
  <c r="BU31" i="19"/>
  <c r="BV7" i="19"/>
  <c r="BV98" i="19" s="1"/>
  <c r="D12" i="34" l="1"/>
  <c r="D67" i="32"/>
  <c r="BU43" i="19"/>
  <c r="BV21" i="19"/>
  <c r="BV23" i="19"/>
  <c r="BV25" i="19"/>
  <c r="BV20" i="19"/>
  <c r="BV19" i="19"/>
  <c r="BV22" i="19"/>
  <c r="BV17" i="19"/>
  <c r="BV18" i="19"/>
  <c r="BV89" i="19"/>
  <c r="BV2" i="19"/>
  <c r="BV38" i="19"/>
  <c r="BV90" i="19" s="1"/>
  <c r="BV31" i="19"/>
  <c r="BW7" i="19"/>
  <c r="BW98" i="19" s="1"/>
  <c r="D66" i="32" l="1"/>
  <c r="BV43" i="19"/>
  <c r="BW21" i="19"/>
  <c r="AA21" i="41" s="1"/>
  <c r="BW25" i="19"/>
  <c r="BW22" i="19"/>
  <c r="BW23" i="19"/>
  <c r="BW19" i="19"/>
  <c r="BW20" i="19"/>
  <c r="BW18" i="19"/>
  <c r="BW17" i="19"/>
  <c r="BW89" i="19"/>
  <c r="BW2" i="19"/>
  <c r="BW38" i="19"/>
  <c r="BW90" i="19" s="1"/>
  <c r="BW31" i="19"/>
  <c r="BX7" i="19"/>
  <c r="BX98" i="19" s="1"/>
  <c r="BW43" i="19" l="1"/>
  <c r="BX21" i="19"/>
  <c r="BX25" i="19"/>
  <c r="BX22" i="19"/>
  <c r="BX23" i="19"/>
  <c r="BX19" i="19"/>
  <c r="BX20" i="19"/>
  <c r="BX18" i="19"/>
  <c r="BX17" i="19"/>
  <c r="BX89" i="19"/>
  <c r="BX2" i="19"/>
  <c r="BX38" i="19"/>
  <c r="BX90" i="19" s="1"/>
  <c r="BX31" i="19"/>
  <c r="BY7" i="19"/>
  <c r="BY98" i="19" s="1"/>
  <c r="BX43" i="19" l="1"/>
  <c r="BY21" i="19"/>
  <c r="BY22" i="19"/>
  <c r="BY25" i="19"/>
  <c r="BY23" i="19"/>
  <c r="BY19" i="19"/>
  <c r="BY20" i="19"/>
  <c r="BY18" i="19"/>
  <c r="BY17" i="19"/>
  <c r="BY89" i="19"/>
  <c r="BY2" i="19"/>
  <c r="BY38" i="19"/>
  <c r="BY90" i="19" s="1"/>
  <c r="BY31" i="19"/>
  <c r="BZ7" i="19"/>
  <c r="BZ98" i="19" s="1"/>
  <c r="BY43" i="19" l="1"/>
  <c r="BZ21" i="19"/>
  <c r="AB21" i="41" s="1"/>
  <c r="BZ22" i="19"/>
  <c r="BZ25" i="19"/>
  <c r="BZ23" i="19"/>
  <c r="BZ19" i="19"/>
  <c r="AB19" i="41" s="1"/>
  <c r="BZ20" i="19"/>
  <c r="AB20" i="41" s="1"/>
  <c r="BZ17" i="19"/>
  <c r="BZ18" i="19"/>
  <c r="BZ89" i="19"/>
  <c r="BZ2" i="19"/>
  <c r="BZ38" i="19"/>
  <c r="BZ90" i="19" s="1"/>
  <c r="BZ31" i="19"/>
  <c r="CA7" i="19"/>
  <c r="CA98" i="19" s="1"/>
  <c r="BZ43" i="19" l="1"/>
  <c r="CA21" i="19"/>
  <c r="CA23" i="19"/>
  <c r="CA22" i="19"/>
  <c r="CA20" i="19"/>
  <c r="CA25" i="19"/>
  <c r="CA19" i="19"/>
  <c r="CA18" i="19"/>
  <c r="CA17" i="19"/>
  <c r="CA89" i="19"/>
  <c r="CA2" i="19"/>
  <c r="CA38" i="19"/>
  <c r="CA90" i="19" s="1"/>
  <c r="CA31" i="19"/>
  <c r="CB7" i="19"/>
  <c r="CB98" i="19" s="1"/>
  <c r="CA43" i="19" l="1"/>
  <c r="CB21" i="19"/>
  <c r="CB23" i="19"/>
  <c r="CB25" i="19"/>
  <c r="CB19" i="19"/>
  <c r="CB22" i="19"/>
  <c r="CB20" i="19"/>
  <c r="CB18" i="19"/>
  <c r="CB17" i="19"/>
  <c r="CB89" i="19"/>
  <c r="CB2" i="19"/>
  <c r="CB38" i="19"/>
  <c r="CB90" i="19" s="1"/>
  <c r="CB31" i="19"/>
  <c r="CC7" i="19"/>
  <c r="CC98" i="19" s="1"/>
  <c r="CB43" i="19" l="1"/>
  <c r="CC21" i="19"/>
  <c r="AC21" i="41" s="1"/>
  <c r="CC23" i="19"/>
  <c r="CC25" i="19"/>
  <c r="CC19" i="19"/>
  <c r="CC22" i="19"/>
  <c r="CC20" i="19"/>
  <c r="AC20" i="41" s="1"/>
  <c r="CC17" i="19"/>
  <c r="CC18" i="19"/>
  <c r="CC89" i="19"/>
  <c r="CC2" i="19"/>
  <c r="CC38" i="19"/>
  <c r="CC90" i="19" s="1"/>
  <c r="CC31" i="19"/>
  <c r="CD7" i="19"/>
  <c r="CD98" i="19" s="1"/>
  <c r="CC43" i="19" l="1"/>
  <c r="CD21" i="19"/>
  <c r="CD23" i="19"/>
  <c r="CD25" i="19"/>
  <c r="CD20" i="19"/>
  <c r="CD22" i="19"/>
  <c r="CD19" i="19"/>
  <c r="CD17" i="19"/>
  <c r="CD18" i="19"/>
  <c r="CD89" i="19"/>
  <c r="CD2" i="19"/>
  <c r="CD38" i="19"/>
  <c r="CD90" i="19" s="1"/>
  <c r="CD31" i="19"/>
  <c r="CE7" i="19"/>
  <c r="CE98" i="19" s="1"/>
  <c r="CD43" i="19" l="1"/>
  <c r="CE21" i="19"/>
  <c r="CE25" i="19"/>
  <c r="CE23" i="19"/>
  <c r="CE22" i="19"/>
  <c r="CE19" i="19"/>
  <c r="CE20" i="19"/>
  <c r="CE18" i="19"/>
  <c r="CE17" i="19"/>
  <c r="CE89" i="19"/>
  <c r="CE2" i="19"/>
  <c r="CE38" i="19"/>
  <c r="CE90" i="19" s="1"/>
  <c r="CE31" i="19"/>
  <c r="CF7" i="19"/>
  <c r="CF98" i="19" s="1"/>
  <c r="CE43" i="19" l="1"/>
  <c r="CF21" i="19"/>
  <c r="AD21" i="41" s="1"/>
  <c r="CF25" i="19"/>
  <c r="CF22" i="19"/>
  <c r="CF23" i="19"/>
  <c r="CF20" i="19"/>
  <c r="CF19" i="19"/>
  <c r="CF18" i="19"/>
  <c r="CF17" i="19"/>
  <c r="CF89" i="19"/>
  <c r="CF2" i="19"/>
  <c r="CF38" i="19"/>
  <c r="CF90" i="19" s="1"/>
  <c r="CF31" i="19"/>
  <c r="CG7" i="19"/>
  <c r="CG98" i="19" s="1"/>
  <c r="CF43" i="19" l="1"/>
  <c r="CG21" i="19"/>
  <c r="CG25" i="19"/>
  <c r="CG23" i="19"/>
  <c r="CG19" i="19"/>
  <c r="CG22" i="19"/>
  <c r="CG20" i="19"/>
  <c r="CG18" i="19"/>
  <c r="CG17" i="19"/>
  <c r="CG89" i="19"/>
  <c r="CG2" i="19"/>
  <c r="CG38" i="19"/>
  <c r="CG90" i="19" s="1"/>
  <c r="CG31" i="19"/>
  <c r="CH7" i="19"/>
  <c r="CH98" i="19" s="1"/>
  <c r="CG43" i="19" l="1"/>
  <c r="CH21" i="19"/>
  <c r="CH22" i="19"/>
  <c r="CH25" i="19"/>
  <c r="CH23" i="19"/>
  <c r="CH19" i="19"/>
  <c r="CH20" i="19"/>
  <c r="CH17" i="19"/>
  <c r="CH18" i="19"/>
  <c r="CH89" i="19"/>
  <c r="CH2" i="19"/>
  <c r="CH38" i="19"/>
  <c r="CH90" i="19" s="1"/>
  <c r="CH31" i="19"/>
  <c r="CI7" i="19"/>
  <c r="CI98" i="19" s="1"/>
  <c r="CH43" i="19" l="1"/>
  <c r="CI21" i="19"/>
  <c r="AE21" i="41" s="1"/>
  <c r="CI23" i="19"/>
  <c r="CI25" i="19"/>
  <c r="CI19" i="19"/>
  <c r="CI20" i="19"/>
  <c r="CI22" i="19"/>
  <c r="CI18" i="19"/>
  <c r="CI17" i="19"/>
  <c r="CI89" i="19"/>
  <c r="CI2" i="19"/>
  <c r="CI38" i="19"/>
  <c r="CI90" i="19" s="1"/>
  <c r="CH24" i="19"/>
  <c r="CI31" i="19"/>
  <c r="CJ7" i="19"/>
  <c r="CJ98" i="19" s="1"/>
  <c r="CI43" i="19" l="1"/>
  <c r="CJ21" i="19"/>
  <c r="CJ23" i="19"/>
  <c r="CJ22" i="19"/>
  <c r="CJ19" i="19"/>
  <c r="CJ25" i="19"/>
  <c r="CJ20" i="19"/>
  <c r="CJ18" i="19"/>
  <c r="CJ17" i="19"/>
  <c r="CJ89" i="19"/>
  <c r="CJ2" i="19"/>
  <c r="CJ38" i="19"/>
  <c r="CJ90" i="19" s="1"/>
  <c r="CI24" i="19"/>
  <c r="CJ31" i="19"/>
  <c r="CK7" i="19"/>
  <c r="CK98" i="19" s="1"/>
  <c r="CJ43" i="19" l="1"/>
  <c r="CK21" i="19"/>
  <c r="CK23" i="19"/>
  <c r="CK22" i="19"/>
  <c r="CK19" i="19"/>
  <c r="CK25" i="19"/>
  <c r="CK20" i="19"/>
  <c r="CK17" i="19"/>
  <c r="CK18" i="19"/>
  <c r="CK89" i="19"/>
  <c r="CK2" i="19"/>
  <c r="CK38" i="19"/>
  <c r="CK90" i="19" s="1"/>
  <c r="CJ24" i="19"/>
  <c r="CK31" i="19"/>
  <c r="CL7" i="19"/>
  <c r="CL98" i="19" s="1"/>
  <c r="CK43" i="19" l="1"/>
  <c r="CL21" i="19"/>
  <c r="AF21" i="41" s="1"/>
  <c r="CL23" i="19"/>
  <c r="CL25" i="19"/>
  <c r="CL22" i="19"/>
  <c r="CL19" i="19"/>
  <c r="CL20" i="19"/>
  <c r="CL17" i="19"/>
  <c r="AF17" i="41" s="1"/>
  <c r="CL18" i="19"/>
  <c r="CL89" i="19"/>
  <c r="CL2" i="19"/>
  <c r="CL38" i="19"/>
  <c r="CL90" i="19" s="1"/>
  <c r="CK24" i="19"/>
  <c r="CL31" i="19"/>
  <c r="CM7" i="19"/>
  <c r="CM98" i="19" s="1"/>
  <c r="CL43" i="19" l="1"/>
  <c r="CM21" i="19"/>
  <c r="CM25" i="19"/>
  <c r="CM23" i="19"/>
  <c r="CM22" i="19"/>
  <c r="CM19" i="19"/>
  <c r="CM20" i="19"/>
  <c r="CM18" i="19"/>
  <c r="CM17" i="19"/>
  <c r="CM89" i="19"/>
  <c r="CM2" i="19"/>
  <c r="CM38" i="19"/>
  <c r="CM90" i="19" s="1"/>
  <c r="CL24" i="19"/>
  <c r="CM31" i="19"/>
  <c r="CN7" i="19"/>
  <c r="CN98" i="19" s="1"/>
  <c r="CM43" i="19" l="1"/>
  <c r="CN21" i="19"/>
  <c r="CN25" i="19"/>
  <c r="CN22" i="19"/>
  <c r="CN23" i="19"/>
  <c r="CN19" i="19"/>
  <c r="CN20" i="19"/>
  <c r="CN18" i="19"/>
  <c r="CN17" i="19"/>
  <c r="CN89" i="19"/>
  <c r="CN2" i="19"/>
  <c r="CN38" i="19"/>
  <c r="CN90" i="19" s="1"/>
  <c r="CM24" i="19"/>
  <c r="CN31" i="19"/>
  <c r="CO7" i="19"/>
  <c r="CO98" i="19" s="1"/>
  <c r="CN43" i="19" l="1"/>
  <c r="CO21" i="19"/>
  <c r="AG21" i="41" s="1"/>
  <c r="CO25" i="19"/>
  <c r="CO23" i="19"/>
  <c r="AG23" i="41" s="1"/>
  <c r="CO22" i="19"/>
  <c r="CO19" i="19"/>
  <c r="CO20" i="19"/>
  <c r="AG20" i="41" s="1"/>
  <c r="K7" i="22"/>
  <c r="L7" i="22"/>
  <c r="CO18" i="19"/>
  <c r="CO17" i="19"/>
  <c r="CO89" i="19"/>
  <c r="CO2" i="19"/>
  <c r="CO38" i="19"/>
  <c r="CO90" i="19" s="1"/>
  <c r="CN24" i="19"/>
  <c r="L6" i="22"/>
  <c r="CO31" i="19"/>
  <c r="CP7" i="19"/>
  <c r="CP98" i="19" s="1"/>
  <c r="CO43" i="19" l="1"/>
  <c r="CP21" i="19"/>
  <c r="CP25" i="19"/>
  <c r="CP23" i="19"/>
  <c r="CP22" i="19"/>
  <c r="CP19" i="19"/>
  <c r="CP20" i="19"/>
  <c r="CP17" i="19"/>
  <c r="CP18" i="19"/>
  <c r="CP89" i="19"/>
  <c r="CP2" i="19"/>
  <c r="CP38" i="19"/>
  <c r="CP90" i="19" s="1"/>
  <c r="CO24" i="19"/>
  <c r="CP31" i="19"/>
  <c r="CQ7" i="19"/>
  <c r="CQ98" i="19" s="1"/>
  <c r="CP43" i="19" l="1"/>
  <c r="CQ21" i="19"/>
  <c r="CQ23" i="19"/>
  <c r="CQ22" i="19"/>
  <c r="CQ19" i="19"/>
  <c r="CQ25" i="19"/>
  <c r="CQ20" i="19"/>
  <c r="CQ2" i="19"/>
  <c r="CQ18" i="19"/>
  <c r="CQ17" i="19"/>
  <c r="CQ38" i="19"/>
  <c r="CQ90" i="19" s="1"/>
  <c r="CQ89" i="19"/>
  <c r="CP24" i="19"/>
  <c r="CQ31" i="19"/>
  <c r="CR7" i="19"/>
  <c r="CR98" i="19" s="1"/>
  <c r="CQ43" i="19" l="1"/>
  <c r="CR21" i="19"/>
  <c r="AH21" i="41" s="1"/>
  <c r="CR23" i="19"/>
  <c r="CR19" i="19"/>
  <c r="CR25" i="19"/>
  <c r="CR22" i="19"/>
  <c r="CR20" i="19"/>
  <c r="CR2" i="19"/>
  <c r="CR18" i="19"/>
  <c r="CR17" i="19"/>
  <c r="CR38" i="19"/>
  <c r="CR90" i="19" s="1"/>
  <c r="CR89" i="19"/>
  <c r="CQ24" i="19"/>
  <c r="CR31" i="19"/>
  <c r="CS7" i="19"/>
  <c r="CS98" i="19" s="1"/>
  <c r="CR43" i="19" l="1"/>
  <c r="CS21" i="19"/>
  <c r="CS23" i="19"/>
  <c r="CS22" i="19"/>
  <c r="CS19" i="19"/>
  <c r="CS20" i="19"/>
  <c r="CS25" i="19"/>
  <c r="CS2" i="19"/>
  <c r="CS17" i="19"/>
  <c r="CS18" i="19"/>
  <c r="CS38" i="19"/>
  <c r="CS90" i="19" s="1"/>
  <c r="CS89" i="19"/>
  <c r="CR24" i="19"/>
  <c r="CS31" i="19"/>
  <c r="CT7" i="19"/>
  <c r="CT98" i="19" s="1"/>
  <c r="CS43" i="19" l="1"/>
  <c r="CT21" i="19"/>
  <c r="CT23" i="19"/>
  <c r="CT25" i="19"/>
  <c r="CT22" i="19"/>
  <c r="CT20" i="19"/>
  <c r="CT19" i="19"/>
  <c r="CT2" i="19"/>
  <c r="CT17" i="19"/>
  <c r="CT18" i="19"/>
  <c r="CT38" i="19"/>
  <c r="CT90" i="19" s="1"/>
  <c r="CT89" i="19"/>
  <c r="CS24" i="19"/>
  <c r="CT31" i="19"/>
  <c r="CU7" i="19"/>
  <c r="CU98" i="19" s="1"/>
  <c r="CT43" i="19" l="1"/>
  <c r="CU21" i="19"/>
  <c r="AI21" i="41" s="1"/>
  <c r="CU25" i="19"/>
  <c r="CU22" i="19"/>
  <c r="CU23" i="19"/>
  <c r="CU19" i="19"/>
  <c r="CU20" i="19"/>
  <c r="CU2" i="19"/>
  <c r="CU18" i="19"/>
  <c r="CU17" i="19"/>
  <c r="CU38" i="19"/>
  <c r="CU90" i="19" s="1"/>
  <c r="CU89" i="19"/>
  <c r="CT24" i="19"/>
  <c r="CU31" i="19"/>
  <c r="CV7" i="19"/>
  <c r="CV98" i="19" s="1"/>
  <c r="CU43" i="19" l="1"/>
  <c r="CV21" i="19"/>
  <c r="CV25" i="19"/>
  <c r="CV22" i="19"/>
  <c r="CV23" i="19"/>
  <c r="CV19" i="19"/>
  <c r="CV20" i="19"/>
  <c r="CV2" i="19"/>
  <c r="CV18" i="19"/>
  <c r="CV17" i="19"/>
  <c r="CV38" i="19"/>
  <c r="CV90" i="19" s="1"/>
  <c r="CV89" i="19"/>
  <c r="CU24" i="19"/>
  <c r="CV31" i="19"/>
  <c r="CW7" i="19"/>
  <c r="CW98" i="19" s="1"/>
  <c r="CV43" i="19" l="1"/>
  <c r="CW21" i="19"/>
  <c r="CW25" i="19"/>
  <c r="CW22" i="19"/>
  <c r="CW23" i="19"/>
  <c r="CW19" i="19"/>
  <c r="CW20" i="19"/>
  <c r="CW2" i="19"/>
  <c r="CW18" i="19"/>
  <c r="CW17" i="19"/>
  <c r="CW38" i="19"/>
  <c r="CW90" i="19" s="1"/>
  <c r="CW89" i="19"/>
  <c r="CV24" i="19"/>
  <c r="CW31" i="19"/>
  <c r="CX7" i="19"/>
  <c r="CX98" i="19" s="1"/>
  <c r="CW43" i="19" l="1"/>
  <c r="CX21" i="19"/>
  <c r="AJ21" i="41" s="1"/>
  <c r="CX25" i="19"/>
  <c r="CX23" i="19"/>
  <c r="CX19" i="19"/>
  <c r="CX20" i="19"/>
  <c r="CX22" i="19"/>
  <c r="CX2" i="19"/>
  <c r="CX17" i="19"/>
  <c r="CX18" i="19"/>
  <c r="CX38" i="19"/>
  <c r="CX90" i="19" s="1"/>
  <c r="CX89" i="19"/>
  <c r="CW24" i="19"/>
  <c r="CX31" i="19"/>
  <c r="CY7" i="19"/>
  <c r="CY98" i="19" s="1"/>
  <c r="CX43" i="19" l="1"/>
  <c r="CY21" i="19"/>
  <c r="CY23" i="19"/>
  <c r="CY25" i="19"/>
  <c r="CY19" i="19"/>
  <c r="CY22" i="19"/>
  <c r="CY20" i="19"/>
  <c r="CY2" i="19"/>
  <c r="CY18" i="19"/>
  <c r="CY17" i="19"/>
  <c r="CY38" i="19"/>
  <c r="CY90" i="19" s="1"/>
  <c r="CY89" i="19"/>
  <c r="CX24" i="19"/>
  <c r="CY31" i="19"/>
  <c r="CZ7" i="19"/>
  <c r="CZ98" i="19" s="1"/>
  <c r="CY43" i="19" l="1"/>
  <c r="CZ21" i="19"/>
  <c r="CZ23" i="19"/>
  <c r="CZ25" i="19"/>
  <c r="CZ19" i="19"/>
  <c r="CZ20" i="19"/>
  <c r="CZ22" i="19"/>
  <c r="CZ2" i="19"/>
  <c r="CZ18" i="19"/>
  <c r="CZ17" i="19"/>
  <c r="CZ38" i="19"/>
  <c r="CZ90" i="19" s="1"/>
  <c r="CZ89" i="19"/>
  <c r="CY24" i="19"/>
  <c r="CZ31" i="19"/>
  <c r="DA7" i="19"/>
  <c r="DA98" i="19" s="1"/>
  <c r="CZ43" i="19" l="1"/>
  <c r="DA21" i="19"/>
  <c r="AK21" i="41" s="1"/>
  <c r="DA23" i="19"/>
  <c r="DA25" i="19"/>
  <c r="DA19" i="19"/>
  <c r="DA20" i="19"/>
  <c r="DA22" i="19"/>
  <c r="AK22" i="41" s="1"/>
  <c r="DA2" i="19"/>
  <c r="DA17" i="19"/>
  <c r="DA18" i="19"/>
  <c r="DA38" i="19"/>
  <c r="DA90" i="19" s="1"/>
  <c r="DA89" i="19"/>
  <c r="CZ24" i="19"/>
  <c r="DA31" i="19"/>
  <c r="DB7" i="19"/>
  <c r="DB98" i="19" s="1"/>
  <c r="DA43" i="19" l="1"/>
  <c r="DB21" i="19"/>
  <c r="DB23" i="19"/>
  <c r="DB25" i="19"/>
  <c r="DB22" i="19"/>
  <c r="DB20" i="19"/>
  <c r="DB19" i="19"/>
  <c r="DB2" i="19"/>
  <c r="DB17" i="19"/>
  <c r="DB18" i="19"/>
  <c r="DB38" i="19"/>
  <c r="DB90" i="19" s="1"/>
  <c r="DB89" i="19"/>
  <c r="DA24" i="19"/>
  <c r="DB31" i="19"/>
  <c r="DC7" i="19"/>
  <c r="DC98" i="19" s="1"/>
  <c r="DB43" i="19" l="1"/>
  <c r="DC21" i="19"/>
  <c r="DC25" i="19"/>
  <c r="DC22" i="19"/>
  <c r="DC23" i="19"/>
  <c r="DC19" i="19"/>
  <c r="DC20" i="19"/>
  <c r="DC2" i="19"/>
  <c r="DC18" i="19"/>
  <c r="DC17" i="19"/>
  <c r="DC38" i="19"/>
  <c r="DC90" i="19" s="1"/>
  <c r="DC89" i="19"/>
  <c r="DB24" i="19"/>
  <c r="DC31" i="19"/>
  <c r="DD7" i="19"/>
  <c r="DD98" i="19" s="1"/>
  <c r="DC43" i="19" l="1"/>
  <c r="DD21" i="19"/>
  <c r="AL21" i="41" s="1"/>
  <c r="DD25" i="19"/>
  <c r="DD22" i="19"/>
  <c r="DD23" i="19"/>
  <c r="DD19" i="19"/>
  <c r="DD20" i="19"/>
  <c r="AL20" i="41" s="1"/>
  <c r="DD2" i="19"/>
  <c r="DD18" i="19"/>
  <c r="AL18" i="41" s="1"/>
  <c r="DD17" i="19"/>
  <c r="DD38" i="19"/>
  <c r="DD90" i="19" s="1"/>
  <c r="DD89" i="19"/>
  <c r="DC24" i="19"/>
  <c r="DD31" i="19"/>
  <c r="DE7" i="19"/>
  <c r="DE98" i="19" s="1"/>
  <c r="DD43" i="19" l="1"/>
  <c r="DE21" i="19"/>
  <c r="DE25" i="19"/>
  <c r="DE23" i="19"/>
  <c r="DE22" i="19"/>
  <c r="DE19" i="19"/>
  <c r="DE20" i="19"/>
  <c r="DE2" i="19"/>
  <c r="DE18" i="19"/>
  <c r="DE17" i="19"/>
  <c r="DE38" i="19"/>
  <c r="DE90" i="19" s="1"/>
  <c r="DE89" i="19"/>
  <c r="DD24" i="19"/>
  <c r="DE31" i="19"/>
  <c r="DF7" i="19"/>
  <c r="DF98" i="19" s="1"/>
  <c r="DE43" i="19" l="1"/>
  <c r="DF21" i="19"/>
  <c r="DF25" i="19"/>
  <c r="DF23" i="19"/>
  <c r="DF22" i="19"/>
  <c r="DF19" i="19"/>
  <c r="DF20" i="19"/>
  <c r="DF2" i="19"/>
  <c r="DF17" i="19"/>
  <c r="DF18" i="19"/>
  <c r="DF38" i="19"/>
  <c r="DF90" i="19" s="1"/>
  <c r="DF89" i="19"/>
  <c r="DE24" i="19"/>
  <c r="DF31" i="19"/>
  <c r="DG7" i="19"/>
  <c r="DG98" i="19" s="1"/>
  <c r="DF43" i="19" l="1"/>
  <c r="DG21" i="19"/>
  <c r="AM21" i="41" s="1"/>
  <c r="DG23" i="19"/>
  <c r="DG25" i="19"/>
  <c r="DG22" i="19"/>
  <c r="DG20" i="19"/>
  <c r="DG19" i="19"/>
  <c r="DG2" i="19"/>
  <c r="DG18" i="19"/>
  <c r="DG17" i="19"/>
  <c r="DG38" i="19"/>
  <c r="DG90" i="19" s="1"/>
  <c r="DG89" i="19"/>
  <c r="DF24" i="19"/>
  <c r="DG31" i="19"/>
  <c r="DH7" i="19"/>
  <c r="DH98" i="19" s="1"/>
  <c r="DG43" i="19" l="1"/>
  <c r="DH21" i="19"/>
  <c r="DH23" i="19"/>
  <c r="DH19" i="19"/>
  <c r="DH25" i="19"/>
  <c r="DH22" i="19"/>
  <c r="DH20" i="19"/>
  <c r="DH2" i="19"/>
  <c r="DH18" i="19"/>
  <c r="DH17" i="19"/>
  <c r="DH38" i="19"/>
  <c r="DH90" i="19" s="1"/>
  <c r="DH89" i="19"/>
  <c r="DG24" i="19"/>
  <c r="DH31" i="19"/>
  <c r="DI7" i="19"/>
  <c r="DI98" i="19" s="1"/>
  <c r="DH43" i="19" l="1"/>
  <c r="DI21" i="19"/>
  <c r="DI23" i="19"/>
  <c r="DI19" i="19"/>
  <c r="DI25" i="19"/>
  <c r="DI20" i="19"/>
  <c r="DI22" i="19"/>
  <c r="DI2" i="19"/>
  <c r="DI17" i="19"/>
  <c r="DI18" i="19"/>
  <c r="DI38" i="19"/>
  <c r="DI90" i="19" s="1"/>
  <c r="DI89" i="19"/>
  <c r="DH24" i="19"/>
  <c r="DI31" i="19"/>
  <c r="DJ7" i="19"/>
  <c r="DJ98" i="19" s="1"/>
  <c r="DI43" i="19" l="1"/>
  <c r="DJ21" i="19"/>
  <c r="AN21" i="41" s="1"/>
  <c r="DJ23" i="19"/>
  <c r="DJ25" i="19"/>
  <c r="DJ22" i="19"/>
  <c r="DJ20" i="19"/>
  <c r="DJ19" i="19"/>
  <c r="DJ2" i="19"/>
  <c r="DJ17" i="19"/>
  <c r="DJ18" i="19"/>
  <c r="DJ38" i="19"/>
  <c r="DJ90" i="19" s="1"/>
  <c r="DJ89" i="19"/>
  <c r="DI24" i="19"/>
  <c r="DJ31" i="19"/>
  <c r="DK7" i="19"/>
  <c r="DK98" i="19" s="1"/>
  <c r="DJ43" i="19" l="1"/>
  <c r="DK21" i="19"/>
  <c r="DK25" i="19"/>
  <c r="DK23" i="19"/>
  <c r="DK22" i="19"/>
  <c r="DK19" i="19"/>
  <c r="DK20" i="19"/>
  <c r="DK2" i="19"/>
  <c r="DK18" i="19"/>
  <c r="DK17" i="19"/>
  <c r="DK38" i="19"/>
  <c r="DK90" i="19" s="1"/>
  <c r="DK89" i="19"/>
  <c r="DJ24" i="19"/>
  <c r="DK31" i="19"/>
  <c r="DL7" i="19"/>
  <c r="DL98" i="19" s="1"/>
  <c r="DK43" i="19" l="1"/>
  <c r="DL21" i="19"/>
  <c r="DL25" i="19"/>
  <c r="DL23" i="19"/>
  <c r="DL22" i="19"/>
  <c r="DL19" i="19"/>
  <c r="DL20" i="19"/>
  <c r="DL2" i="19"/>
  <c r="DL18" i="19"/>
  <c r="DL17" i="19"/>
  <c r="DL38" i="19"/>
  <c r="DL90" i="19" s="1"/>
  <c r="DL89" i="19"/>
  <c r="DK24" i="19"/>
  <c r="DL31" i="19"/>
  <c r="DM7" i="19"/>
  <c r="DM98" i="19" s="1"/>
  <c r="DL43" i="19" l="1"/>
  <c r="DM21" i="19"/>
  <c r="AO21" i="41" s="1"/>
  <c r="DM25" i="19"/>
  <c r="DM23" i="19"/>
  <c r="DM22" i="19"/>
  <c r="DM19" i="19"/>
  <c r="AO19" i="41" s="1"/>
  <c r="DM20" i="19"/>
  <c r="AO20" i="41" s="1"/>
  <c r="DM2" i="19"/>
  <c r="DM18" i="19"/>
  <c r="DM17" i="19"/>
  <c r="DM38" i="19"/>
  <c r="DM90" i="19" s="1"/>
  <c r="DM89" i="19"/>
  <c r="DL24" i="19"/>
  <c r="DM31" i="19"/>
  <c r="DN7" i="19"/>
  <c r="DN98" i="19" s="1"/>
  <c r="DM43" i="19" l="1"/>
  <c r="DN21" i="19"/>
  <c r="DN25" i="19"/>
  <c r="DN23" i="19"/>
  <c r="DN22" i="19"/>
  <c r="DN19" i="19"/>
  <c r="DN20" i="19"/>
  <c r="DN2" i="19"/>
  <c r="DN17" i="19"/>
  <c r="DN18" i="19"/>
  <c r="DN38" i="19"/>
  <c r="DN90" i="19" s="1"/>
  <c r="DN89" i="19"/>
  <c r="DM24" i="19"/>
  <c r="DN31" i="19"/>
  <c r="DO7" i="19"/>
  <c r="DO98" i="19" s="1"/>
  <c r="DN43" i="19" l="1"/>
  <c r="DO21" i="19"/>
  <c r="DO23" i="19"/>
  <c r="DO19" i="19"/>
  <c r="DO25" i="19"/>
  <c r="DO20" i="19"/>
  <c r="DO22" i="19"/>
  <c r="DO2" i="19"/>
  <c r="DO18" i="19"/>
  <c r="DO17" i="19"/>
  <c r="DO38" i="19"/>
  <c r="DO90" i="19" s="1"/>
  <c r="DO89" i="19"/>
  <c r="DN24" i="19"/>
  <c r="DO31" i="19"/>
  <c r="DP7" i="19"/>
  <c r="DP98" i="19" s="1"/>
  <c r="DO43" i="19" l="1"/>
  <c r="DP21" i="19"/>
  <c r="AP21" i="41" s="1"/>
  <c r="DP23" i="19"/>
  <c r="DP19" i="19"/>
  <c r="DP25" i="19"/>
  <c r="DP20" i="19"/>
  <c r="DP22" i="19"/>
  <c r="DP2" i="19"/>
  <c r="DP18" i="19"/>
  <c r="DP17" i="19"/>
  <c r="DP38" i="19"/>
  <c r="DP90" i="19" s="1"/>
  <c r="DP89" i="19"/>
  <c r="DO24" i="19"/>
  <c r="DP31" i="19"/>
  <c r="DQ7" i="19"/>
  <c r="DQ98" i="19" s="1"/>
  <c r="DP43" i="19" l="1"/>
  <c r="DQ21" i="19"/>
  <c r="DQ23" i="19"/>
  <c r="DQ25" i="19"/>
  <c r="DQ19" i="19"/>
  <c r="DQ20" i="19"/>
  <c r="DQ22" i="19"/>
  <c r="DQ2" i="19"/>
  <c r="DQ17" i="19"/>
  <c r="DQ18" i="19"/>
  <c r="DQ38" i="19"/>
  <c r="DQ90" i="19" s="1"/>
  <c r="DQ89" i="19"/>
  <c r="DP24" i="19"/>
  <c r="DQ31" i="19"/>
  <c r="DR7" i="19"/>
  <c r="DR98" i="19" s="1"/>
  <c r="DQ43" i="19" l="1"/>
  <c r="DR21" i="19"/>
  <c r="DR23" i="19"/>
  <c r="DR25" i="19"/>
  <c r="DR22" i="19"/>
  <c r="DR19" i="19"/>
  <c r="DR20" i="19"/>
  <c r="DR2" i="19"/>
  <c r="DR17" i="19"/>
  <c r="DR18" i="19"/>
  <c r="DR38" i="19"/>
  <c r="DR90" i="19" s="1"/>
  <c r="DR89" i="19"/>
  <c r="DQ24" i="19"/>
  <c r="DR31" i="19"/>
  <c r="DS7" i="19"/>
  <c r="DS98" i="19" s="1"/>
  <c r="DR43" i="19" l="1"/>
  <c r="DS21" i="19"/>
  <c r="AQ21" i="41" s="1"/>
  <c r="DS25" i="19"/>
  <c r="DS22" i="19"/>
  <c r="DS23" i="19"/>
  <c r="DS20" i="19"/>
  <c r="DS19" i="19"/>
  <c r="DS2" i="19"/>
  <c r="DS18" i="19"/>
  <c r="DS17" i="19"/>
  <c r="DS38" i="19"/>
  <c r="DS90" i="19" s="1"/>
  <c r="DS89" i="19"/>
  <c r="DR24" i="19"/>
  <c r="DS31" i="19"/>
  <c r="DT7" i="19"/>
  <c r="DT98" i="19" s="1"/>
  <c r="DS43" i="19" l="1"/>
  <c r="DT21" i="19"/>
  <c r="DT25" i="19"/>
  <c r="DT22" i="19"/>
  <c r="DT23" i="19"/>
  <c r="DT20" i="19"/>
  <c r="DT19" i="19"/>
  <c r="DT2" i="19"/>
  <c r="DT18" i="19"/>
  <c r="DT17" i="19"/>
  <c r="DT38" i="19"/>
  <c r="DT90" i="19" s="1"/>
  <c r="DT89" i="19"/>
  <c r="DS24" i="19"/>
  <c r="DT31" i="19"/>
  <c r="DU7" i="19"/>
  <c r="DU98" i="19" s="1"/>
  <c r="DT43" i="19" l="1"/>
  <c r="DU21" i="19"/>
  <c r="DU25" i="19"/>
  <c r="DU22" i="19"/>
  <c r="DU19" i="19"/>
  <c r="DU23" i="19"/>
  <c r="DU20" i="19"/>
  <c r="DU2" i="19"/>
  <c r="DU18" i="19"/>
  <c r="DU17" i="19"/>
  <c r="DU38" i="19"/>
  <c r="DU90" i="19" s="1"/>
  <c r="DU89" i="19"/>
  <c r="DT24" i="19"/>
  <c r="DU31" i="19"/>
  <c r="DV7" i="19"/>
  <c r="DV98" i="19" s="1"/>
  <c r="DU43" i="19" l="1"/>
  <c r="DV21" i="19"/>
  <c r="AR21" i="41" s="1"/>
  <c r="DV25" i="19"/>
  <c r="DV23" i="19"/>
  <c r="DV22" i="19"/>
  <c r="DV20" i="19"/>
  <c r="DV19" i="19"/>
  <c r="DV2" i="19"/>
  <c r="DV17" i="19"/>
  <c r="DV18" i="19"/>
  <c r="DV38" i="19"/>
  <c r="DV90" i="19" s="1"/>
  <c r="DV89" i="19"/>
  <c r="DU24" i="19"/>
  <c r="DV31" i="19"/>
  <c r="DW7" i="19"/>
  <c r="DW98" i="19" s="1"/>
  <c r="DV43" i="19" l="1"/>
  <c r="DW21" i="19"/>
  <c r="DW23" i="19"/>
  <c r="DW25" i="19"/>
  <c r="DW22" i="19"/>
  <c r="DW19" i="19"/>
  <c r="DW20" i="19"/>
  <c r="DW2" i="19"/>
  <c r="DW18" i="19"/>
  <c r="DW17" i="19"/>
  <c r="DW38" i="19"/>
  <c r="DW90" i="19" s="1"/>
  <c r="DW89" i="19"/>
  <c r="DV24" i="19"/>
  <c r="DW31" i="19"/>
  <c r="DX7" i="19"/>
  <c r="DX98" i="19" s="1"/>
  <c r="DW43" i="19" l="1"/>
  <c r="DX21" i="19"/>
  <c r="DX23" i="19"/>
  <c r="DX19" i="19"/>
  <c r="DX25" i="19"/>
  <c r="DX22" i="19"/>
  <c r="DX20" i="19"/>
  <c r="DX2" i="19"/>
  <c r="DX18" i="19"/>
  <c r="DX17" i="19"/>
  <c r="DX38" i="19"/>
  <c r="DX90" i="19" s="1"/>
  <c r="DX89" i="19"/>
  <c r="DW24" i="19"/>
  <c r="DX31" i="19"/>
  <c r="DY7" i="19"/>
  <c r="DY98" i="19" s="1"/>
  <c r="DX43" i="19" l="1"/>
  <c r="DY21" i="19"/>
  <c r="AS21" i="41" s="1"/>
  <c r="DY23" i="19"/>
  <c r="DY19" i="19"/>
  <c r="AS19" i="41" s="1"/>
  <c r="DY25" i="19"/>
  <c r="DY20" i="19"/>
  <c r="DY22" i="19"/>
  <c r="DY2" i="19"/>
  <c r="DY17" i="19"/>
  <c r="DY18" i="19"/>
  <c r="DY38" i="19"/>
  <c r="DY90" i="19" s="1"/>
  <c r="DY89" i="19"/>
  <c r="DX24" i="19"/>
  <c r="DY31" i="19"/>
  <c r="DZ7" i="19"/>
  <c r="DZ98" i="19" s="1"/>
  <c r="DY43" i="19" l="1"/>
  <c r="DZ21" i="19"/>
  <c r="DZ23" i="19"/>
  <c r="DZ25" i="19"/>
  <c r="DZ22" i="19"/>
  <c r="DZ20" i="19"/>
  <c r="DZ19" i="19"/>
  <c r="DZ2" i="19"/>
  <c r="DZ17" i="19"/>
  <c r="DZ18" i="19"/>
  <c r="DZ38" i="19"/>
  <c r="DZ90" i="19" s="1"/>
  <c r="DZ89" i="19"/>
  <c r="DY24" i="19"/>
  <c r="DZ31" i="19"/>
  <c r="EA7" i="19"/>
  <c r="EA98" i="19" s="1"/>
  <c r="DZ43" i="19" l="1"/>
  <c r="EA21" i="19"/>
  <c r="EA25" i="19"/>
  <c r="EA22" i="19"/>
  <c r="EA23" i="19"/>
  <c r="EA19" i="19"/>
  <c r="EA20" i="19"/>
  <c r="EA2" i="19"/>
  <c r="EA18" i="19"/>
  <c r="EA17" i="19"/>
  <c r="EA38" i="19"/>
  <c r="EA90" i="19" s="1"/>
  <c r="EA89" i="19"/>
  <c r="DZ24" i="19"/>
  <c r="EA31" i="19"/>
  <c r="EB7" i="19"/>
  <c r="EB98" i="19" s="1"/>
  <c r="EA43" i="19" l="1"/>
  <c r="EB21" i="19"/>
  <c r="AT21" i="41" s="1"/>
  <c r="EB25" i="19"/>
  <c r="EB23" i="19"/>
  <c r="EB22" i="19"/>
  <c r="EB19" i="19"/>
  <c r="EB20" i="19"/>
  <c r="AT20" i="41" s="1"/>
  <c r="EB18" i="19"/>
  <c r="EB17" i="19"/>
  <c r="EB89" i="19"/>
  <c r="EB2" i="19"/>
  <c r="EB38" i="19"/>
  <c r="EB90" i="19" s="1"/>
  <c r="EB30" i="19"/>
  <c r="EA24" i="19"/>
  <c r="EB31" i="19"/>
  <c r="EC7" i="19"/>
  <c r="EC98" i="19" l="1"/>
  <c r="EC32" i="19"/>
  <c r="EB43" i="19"/>
  <c r="EC21" i="19"/>
  <c r="EC25" i="19"/>
  <c r="EC23" i="19"/>
  <c r="EC22" i="19"/>
  <c r="EC19" i="19"/>
  <c r="EC20" i="19"/>
  <c r="EC18" i="19"/>
  <c r="EC17" i="19"/>
  <c r="EC89" i="19"/>
  <c r="EC2" i="19"/>
  <c r="EC30" i="19"/>
  <c r="EC38" i="19"/>
  <c r="EC90" i="19" s="1"/>
  <c r="EB24" i="19"/>
  <c r="EC31" i="19"/>
  <c r="EC49" i="19"/>
  <c r="ED7" i="19"/>
  <c r="B3" i="14"/>
  <c r="F3" i="14"/>
  <c r="L4" i="13"/>
  <c r="M3" i="14"/>
  <c r="ED98" i="19" l="1"/>
  <c r="ED32" i="19"/>
  <c r="EC43" i="19"/>
  <c r="EC92" i="19"/>
  <c r="ED21" i="19"/>
  <c r="ED25" i="19"/>
  <c r="ED23" i="19"/>
  <c r="ED19" i="19"/>
  <c r="ED20" i="19"/>
  <c r="ED22" i="19"/>
  <c r="ED17" i="19"/>
  <c r="ED18" i="19"/>
  <c r="ED89" i="19"/>
  <c r="ED2" i="19"/>
  <c r="ED30" i="19"/>
  <c r="ED38" i="19"/>
  <c r="ED90" i="19" s="1"/>
  <c r="EC24" i="19"/>
  <c r="ED49" i="19"/>
  <c r="ED31" i="19"/>
  <c r="EE7" i="19"/>
  <c r="N3" i="14"/>
  <c r="G3" i="14"/>
  <c r="EE98" i="19" l="1"/>
  <c r="EE32" i="19"/>
  <c r="ED43" i="19"/>
  <c r="ED92" i="19"/>
  <c r="EE21" i="19"/>
  <c r="AU21" i="41" s="1"/>
  <c r="AU32" i="41"/>
  <c r="EE23" i="19"/>
  <c r="EE25" i="19"/>
  <c r="EE22" i="19"/>
  <c r="EE19" i="19"/>
  <c r="EE20" i="19"/>
  <c r="AU20" i="41" s="1"/>
  <c r="EE18" i="19"/>
  <c r="AU18" i="41" s="1"/>
  <c r="EE17" i="19"/>
  <c r="EE89" i="19"/>
  <c r="EE2" i="19"/>
  <c r="EE30" i="19"/>
  <c r="EE38" i="19"/>
  <c r="EE90" i="19" s="1"/>
  <c r="ED24" i="19"/>
  <c r="EE31" i="19"/>
  <c r="EE49" i="19"/>
  <c r="EF7" i="19"/>
  <c r="P7" i="13"/>
  <c r="P8" i="13"/>
  <c r="P10" i="13"/>
  <c r="P12" i="13"/>
  <c r="P11" i="13"/>
  <c r="P9" i="13"/>
  <c r="P6" i="13"/>
  <c r="D20" i="13"/>
  <c r="D21" i="13" s="1"/>
  <c r="A17" i="14"/>
  <c r="A18" i="14" s="1"/>
  <c r="A19" i="14" s="1"/>
  <c r="A20" i="14" s="1"/>
  <c r="A21" i="14" s="1"/>
  <c r="L12" i="13"/>
  <c r="L11" i="13"/>
  <c r="L10" i="13"/>
  <c r="H9" i="13"/>
  <c r="H8" i="13"/>
  <c r="L7" i="13"/>
  <c r="L6" i="13"/>
  <c r="A15" i="14"/>
  <c r="B12" i="14"/>
  <c r="B10" i="14"/>
  <c r="N9" i="14"/>
  <c r="G9" i="14"/>
  <c r="N8" i="14"/>
  <c r="G8" i="14"/>
  <c r="N7" i="14"/>
  <c r="G7" i="14"/>
  <c r="N6" i="14"/>
  <c r="G6" i="14"/>
  <c r="N5" i="14"/>
  <c r="G5" i="14"/>
  <c r="A5" i="14"/>
  <c r="A6" i="14" s="1"/>
  <c r="A7" i="14" s="1"/>
  <c r="A8" i="14" s="1"/>
  <c r="A9" i="14" s="1"/>
  <c r="N4" i="14"/>
  <c r="G4" i="14"/>
  <c r="J11" i="13"/>
  <c r="D18" i="13"/>
  <c r="E15" i="13"/>
  <c r="I13" i="13"/>
  <c r="E13" i="13"/>
  <c r="E22" i="13" s="1"/>
  <c r="J12" i="13"/>
  <c r="J10" i="13"/>
  <c r="J9" i="13"/>
  <c r="J8" i="13"/>
  <c r="D8" i="13"/>
  <c r="D9" i="13" s="1"/>
  <c r="D11" i="13" s="1"/>
  <c r="J7" i="13"/>
  <c r="J6" i="13"/>
  <c r="EF98" i="19" l="1"/>
  <c r="EF32" i="19"/>
  <c r="EE43" i="19"/>
  <c r="EE92" i="19"/>
  <c r="EF21" i="19"/>
  <c r="EF23" i="19"/>
  <c r="EF19" i="19"/>
  <c r="EF22" i="19"/>
  <c r="EF25" i="19"/>
  <c r="EF20" i="19"/>
  <c r="EF18" i="19"/>
  <c r="EF17" i="19"/>
  <c r="EF89" i="19"/>
  <c r="EF2" i="19"/>
  <c r="EF38" i="19"/>
  <c r="EF90" i="19" s="1"/>
  <c r="EF30" i="19"/>
  <c r="EE24" i="19"/>
  <c r="EF31" i="19"/>
  <c r="EF49" i="19"/>
  <c r="EG7" i="19"/>
  <c r="E24" i="13"/>
  <c r="E23" i="13"/>
  <c r="E19" i="13"/>
  <c r="E20" i="13"/>
  <c r="E21" i="13"/>
  <c r="Q9" i="13" s="1"/>
  <c r="Q7" i="13"/>
  <c r="B21" i="14"/>
  <c r="B20" i="14"/>
  <c r="D23" i="13"/>
  <c r="D22" i="13"/>
  <c r="D24" i="13" s="1"/>
  <c r="K8" i="13"/>
  <c r="M8" i="13" s="1"/>
  <c r="K9" i="13"/>
  <c r="M9" i="13" s="1"/>
  <c r="H12" i="13"/>
  <c r="K12" i="13" s="1"/>
  <c r="M12" i="13" s="1"/>
  <c r="Q12" i="13" s="1"/>
  <c r="L9" i="13"/>
  <c r="L8" i="13"/>
  <c r="H7" i="13"/>
  <c r="K7" i="13" s="1"/>
  <c r="M7" i="13" s="1"/>
  <c r="H10" i="13"/>
  <c r="K10" i="13" s="1"/>
  <c r="M10" i="13" s="1"/>
  <c r="Q10" i="13" s="1"/>
  <c r="H11" i="13"/>
  <c r="K11" i="13" s="1"/>
  <c r="M11" i="13" s="1"/>
  <c r="Q11" i="13" s="1"/>
  <c r="H6" i="13"/>
  <c r="K6" i="13" s="1"/>
  <c r="B19" i="14"/>
  <c r="B16" i="14"/>
  <c r="N10" i="14"/>
  <c r="B17" i="14"/>
  <c r="B18" i="14"/>
  <c r="B15" i="14"/>
  <c r="D10" i="13"/>
  <c r="P13" i="13"/>
  <c r="E18" i="13"/>
  <c r="EG98" i="19" l="1"/>
  <c r="EG32" i="19"/>
  <c r="EF43" i="19"/>
  <c r="EF92" i="19"/>
  <c r="EG21" i="19"/>
  <c r="EG23" i="19"/>
  <c r="EG19" i="19"/>
  <c r="EG20" i="19"/>
  <c r="EG22" i="19"/>
  <c r="EG25" i="19"/>
  <c r="EG17" i="19"/>
  <c r="EG18" i="19"/>
  <c r="EG89" i="19"/>
  <c r="EG2" i="19"/>
  <c r="EG38" i="19"/>
  <c r="EG90" i="19" s="1"/>
  <c r="EG30" i="19"/>
  <c r="EF24" i="19"/>
  <c r="EG31" i="19"/>
  <c r="EG49" i="19"/>
  <c r="EH7" i="19"/>
  <c r="Q8" i="13"/>
  <c r="M6" i="13"/>
  <c r="L13" i="13"/>
  <c r="D12" i="13"/>
  <c r="EH98" i="19" l="1"/>
  <c r="EH32" i="19"/>
  <c r="AV32" i="41" s="1"/>
  <c r="EG43" i="19"/>
  <c r="EG92" i="19"/>
  <c r="EH21" i="19"/>
  <c r="AV21" i="41" s="1"/>
  <c r="EH23" i="19"/>
  <c r="EH25" i="19"/>
  <c r="EH22" i="19"/>
  <c r="AV22" i="41" s="1"/>
  <c r="EH20" i="19"/>
  <c r="EH19" i="19"/>
  <c r="EH17" i="19"/>
  <c r="EH18" i="19"/>
  <c r="EH89" i="19"/>
  <c r="EH2" i="19"/>
  <c r="EH30" i="19"/>
  <c r="EH38" i="19"/>
  <c r="EH90" i="19" s="1"/>
  <c r="EG24" i="19"/>
  <c r="EH31" i="19"/>
  <c r="EH49" i="19"/>
  <c r="EI7" i="19"/>
  <c r="Q6" i="13"/>
  <c r="Q13" i="13" s="1"/>
  <c r="M13" i="13"/>
  <c r="EI98" i="19" l="1"/>
  <c r="EI32" i="19"/>
  <c r="EH43" i="19"/>
  <c r="EH92" i="19"/>
  <c r="AV31" i="41"/>
  <c r="AV98" i="41" s="1"/>
  <c r="EI21" i="19"/>
  <c r="EI25" i="19"/>
  <c r="EI22" i="19"/>
  <c r="EI23" i="19"/>
  <c r="EI19" i="19"/>
  <c r="EI20" i="19"/>
  <c r="EI18" i="19"/>
  <c r="EI17" i="19"/>
  <c r="EI89" i="19"/>
  <c r="EI2" i="19"/>
  <c r="EI38" i="19"/>
  <c r="EI90" i="19" s="1"/>
  <c r="EI30" i="19"/>
  <c r="EH24" i="19"/>
  <c r="EI31" i="19"/>
  <c r="EI49" i="19"/>
  <c r="EJ7" i="19"/>
  <c r="EJ98" i="19" l="1"/>
  <c r="EJ32" i="19"/>
  <c r="EI43" i="19"/>
  <c r="EI92" i="19"/>
  <c r="EJ21" i="19"/>
  <c r="EJ25" i="19"/>
  <c r="EJ22" i="19"/>
  <c r="EJ23" i="19"/>
  <c r="EJ19" i="19"/>
  <c r="EJ20" i="19"/>
  <c r="EJ18" i="19"/>
  <c r="EJ17" i="19"/>
  <c r="EJ89" i="19"/>
  <c r="EJ2" i="19"/>
  <c r="EJ30" i="19"/>
  <c r="EJ38" i="19"/>
  <c r="EJ90" i="19" s="1"/>
  <c r="EI24" i="19"/>
  <c r="EJ31" i="19"/>
  <c r="EJ49" i="19"/>
  <c r="EK7" i="19"/>
  <c r="EK98" i="19" l="1"/>
  <c r="EK32" i="19"/>
  <c r="EJ43" i="19"/>
  <c r="EJ92" i="19"/>
  <c r="EK21" i="19"/>
  <c r="AW21" i="41" s="1"/>
  <c r="AW32" i="41"/>
  <c r="EK25" i="19"/>
  <c r="EK22" i="19"/>
  <c r="EK23" i="19"/>
  <c r="EK19" i="19"/>
  <c r="EK20" i="19"/>
  <c r="EK18" i="19"/>
  <c r="EK17" i="19"/>
  <c r="EK89" i="19"/>
  <c r="EK2" i="19"/>
  <c r="EK30" i="19"/>
  <c r="EK38" i="19"/>
  <c r="EK90" i="19" s="1"/>
  <c r="EJ24" i="19"/>
  <c r="EK49" i="19"/>
  <c r="EK31" i="19"/>
  <c r="EL7" i="19"/>
  <c r="EL98" i="19" l="1"/>
  <c r="EL32" i="19"/>
  <c r="EK43" i="19"/>
  <c r="EK92" i="19"/>
  <c r="EL21" i="19"/>
  <c r="EL25" i="19"/>
  <c r="EL23" i="19"/>
  <c r="EL22" i="19"/>
  <c r="EL19" i="19"/>
  <c r="EL20" i="19"/>
  <c r="EL17" i="19"/>
  <c r="EL18" i="19"/>
  <c r="EL89" i="19"/>
  <c r="EL2" i="19"/>
  <c r="EL30" i="19"/>
  <c r="EL38" i="19"/>
  <c r="EL90" i="19" s="1"/>
  <c r="EK24" i="19"/>
  <c r="EL49" i="19"/>
  <c r="EL31" i="19"/>
  <c r="EM7" i="19"/>
  <c r="EM98" i="19" l="1"/>
  <c r="EM32" i="19"/>
  <c r="EL43" i="19"/>
  <c r="EL92" i="19"/>
  <c r="EM21" i="19"/>
  <c r="EM23" i="19"/>
  <c r="EM22" i="19"/>
  <c r="EM25" i="19"/>
  <c r="EM19" i="19"/>
  <c r="EM20" i="19"/>
  <c r="EM18" i="19"/>
  <c r="EM17" i="19"/>
  <c r="EM89" i="19"/>
  <c r="EM2" i="19"/>
  <c r="EM30" i="19"/>
  <c r="EM38" i="19"/>
  <c r="EM90" i="19" s="1"/>
  <c r="EL24" i="19"/>
  <c r="EM31" i="19"/>
  <c r="EM49" i="19"/>
  <c r="EN7" i="19"/>
  <c r="EN98" i="19" l="1"/>
  <c r="EN32" i="19"/>
  <c r="EM43" i="19"/>
  <c r="EM92" i="19"/>
  <c r="EN21" i="19"/>
  <c r="AX21" i="41" s="1"/>
  <c r="AX32" i="41"/>
  <c r="EN23" i="19"/>
  <c r="EN25" i="19"/>
  <c r="EN19" i="19"/>
  <c r="EN22" i="19"/>
  <c r="EN20" i="19"/>
  <c r="EN18" i="19"/>
  <c r="EN17" i="19"/>
  <c r="EN89" i="19"/>
  <c r="EN2" i="19"/>
  <c r="EN38" i="19"/>
  <c r="EN90" i="19" s="1"/>
  <c r="EN30" i="19"/>
  <c r="EM24" i="19"/>
  <c r="EN31" i="19"/>
  <c r="EN49" i="19"/>
  <c r="EO7" i="19"/>
  <c r="EO98" i="19" l="1"/>
  <c r="EO32" i="19"/>
  <c r="EN43" i="19"/>
  <c r="EN92" i="19"/>
  <c r="EO21" i="19"/>
  <c r="EO23" i="19"/>
  <c r="EO25" i="19"/>
  <c r="EO19" i="19"/>
  <c r="EO20" i="19"/>
  <c r="EO22" i="19"/>
  <c r="EO17" i="19"/>
  <c r="EO18" i="19"/>
  <c r="EO89" i="19"/>
  <c r="EO2" i="19"/>
  <c r="EO38" i="19"/>
  <c r="EO90" i="19" s="1"/>
  <c r="EO30" i="19"/>
  <c r="EN24" i="19"/>
  <c r="EO31" i="19"/>
  <c r="EO49" i="19"/>
  <c r="EP7" i="19"/>
  <c r="EP98" i="19" l="1"/>
  <c r="EP32" i="19"/>
  <c r="EO43" i="19"/>
  <c r="EO92" i="19"/>
  <c r="EP21" i="19"/>
  <c r="EP23" i="19"/>
  <c r="EP25" i="19"/>
  <c r="EP22" i="19"/>
  <c r="EP20" i="19"/>
  <c r="EP19" i="19"/>
  <c r="EP17" i="19"/>
  <c r="EP18" i="19"/>
  <c r="EP89" i="19"/>
  <c r="EP2" i="19"/>
  <c r="EP30" i="19"/>
  <c r="EP38" i="19"/>
  <c r="EP90" i="19" s="1"/>
  <c r="EO24" i="19"/>
  <c r="EP31" i="19"/>
  <c r="EP49" i="19"/>
  <c r="EQ7" i="19"/>
  <c r="EQ98" i="19" l="1"/>
  <c r="EQ32" i="19"/>
  <c r="EP43" i="19"/>
  <c r="EP92" i="19"/>
  <c r="EQ21" i="19"/>
  <c r="AY21" i="41" s="1"/>
  <c r="AY32" i="41"/>
  <c r="EQ25" i="19"/>
  <c r="EQ22" i="19"/>
  <c r="EQ23" i="19"/>
  <c r="EQ19" i="19"/>
  <c r="AY19" i="41" s="1"/>
  <c r="EQ20" i="19"/>
  <c r="EQ18" i="19"/>
  <c r="EQ17" i="19"/>
  <c r="EQ89" i="19"/>
  <c r="EQ2" i="19"/>
  <c r="EQ38" i="19"/>
  <c r="EQ90" i="19" s="1"/>
  <c r="EQ30" i="19"/>
  <c r="EP24" i="19"/>
  <c r="EQ49" i="19"/>
  <c r="EQ31" i="19"/>
  <c r="ER7" i="19"/>
  <c r="ER98" i="19" l="1"/>
  <c r="ER32" i="19"/>
  <c r="EQ43" i="19"/>
  <c r="EQ92" i="19"/>
  <c r="ER21" i="19"/>
  <c r="ER25" i="19"/>
  <c r="ER22" i="19"/>
  <c r="ER23" i="19"/>
  <c r="ER19" i="19"/>
  <c r="ER20" i="19"/>
  <c r="ER18" i="19"/>
  <c r="ER17" i="19"/>
  <c r="ER89" i="19"/>
  <c r="ER2" i="19"/>
  <c r="ER38" i="19"/>
  <c r="ER90" i="19" s="1"/>
  <c r="ER30" i="19"/>
  <c r="EQ24" i="19"/>
  <c r="ER31" i="19"/>
  <c r="ER49" i="19"/>
  <c r="ES7" i="19"/>
  <c r="ES98" i="19" l="1"/>
  <c r="ES32" i="19"/>
  <c r="ER43" i="19"/>
  <c r="ER92" i="19"/>
  <c r="ES21" i="19"/>
  <c r="ES25" i="19"/>
  <c r="ES22" i="19"/>
  <c r="ES23" i="19"/>
  <c r="ES19" i="19"/>
  <c r="ES20" i="19"/>
  <c r="ES18" i="19"/>
  <c r="ES17" i="19"/>
  <c r="ES89" i="19"/>
  <c r="ES2" i="19"/>
  <c r="ES30" i="19"/>
  <c r="ES38" i="19"/>
  <c r="ES90" i="19" s="1"/>
  <c r="ER24" i="19"/>
  <c r="ES49" i="19"/>
  <c r="ES31" i="19"/>
  <c r="ET7" i="19"/>
  <c r="ET98" i="19" l="1"/>
  <c r="ET32" i="19"/>
  <c r="ES43" i="19"/>
  <c r="ES92" i="19"/>
  <c r="ET21" i="19"/>
  <c r="AZ21" i="41" s="1"/>
  <c r="AZ32" i="41"/>
  <c r="ET25" i="19"/>
  <c r="ET23" i="19"/>
  <c r="ET19" i="19"/>
  <c r="ET22" i="19"/>
  <c r="ET20" i="19"/>
  <c r="ET17" i="19"/>
  <c r="ET18" i="19"/>
  <c r="ET89" i="19"/>
  <c r="ET2" i="19"/>
  <c r="ET30" i="19"/>
  <c r="ET38" i="19"/>
  <c r="ET90" i="19" s="1"/>
  <c r="ES24" i="19"/>
  <c r="ET49" i="19"/>
  <c r="ET31" i="19"/>
  <c r="EU7" i="19"/>
  <c r="EU98" i="19" l="1"/>
  <c r="EU32" i="19"/>
  <c r="ET43" i="19"/>
  <c r="ET92" i="19"/>
  <c r="EU21" i="19"/>
  <c r="EU23" i="19"/>
  <c r="EU25" i="19"/>
  <c r="EU19" i="19"/>
  <c r="EU20" i="19"/>
  <c r="EU22" i="19"/>
  <c r="EU18" i="19"/>
  <c r="EU17" i="19"/>
  <c r="EU89" i="19"/>
  <c r="EU2" i="19"/>
  <c r="EU30" i="19"/>
  <c r="EU38" i="19"/>
  <c r="EU90" i="19" s="1"/>
  <c r="ET24" i="19"/>
  <c r="EU31" i="19"/>
  <c r="EU49" i="19"/>
  <c r="EV7" i="19"/>
  <c r="EV98" i="19" l="1"/>
  <c r="EV32" i="19"/>
  <c r="EU43" i="19"/>
  <c r="EU92" i="19"/>
  <c r="EV21" i="19"/>
  <c r="EV23" i="19"/>
  <c r="EV19" i="19"/>
  <c r="EV25" i="19"/>
  <c r="EV20" i="19"/>
  <c r="EV22" i="19"/>
  <c r="EV18" i="19"/>
  <c r="EV17" i="19"/>
  <c r="EV89" i="19"/>
  <c r="EV2" i="19"/>
  <c r="EV38" i="19"/>
  <c r="EV90" i="19" s="1"/>
  <c r="EV30" i="19"/>
  <c r="EU24" i="19"/>
  <c r="EV31" i="19"/>
  <c r="EV49" i="19"/>
  <c r="EW7" i="19"/>
  <c r="EW98" i="19" l="1"/>
  <c r="EW32" i="19"/>
  <c r="EV43" i="19"/>
  <c r="EV92" i="19"/>
  <c r="EW21" i="19"/>
  <c r="BA21" i="41" s="1"/>
  <c r="BA32" i="41"/>
  <c r="EW23" i="19"/>
  <c r="EW19" i="19"/>
  <c r="EW25" i="19"/>
  <c r="EW20" i="19"/>
  <c r="EW22" i="19"/>
  <c r="EW17" i="19"/>
  <c r="EW18" i="19"/>
  <c r="EW89" i="19"/>
  <c r="EW2" i="19"/>
  <c r="EW30" i="19"/>
  <c r="EW38" i="19"/>
  <c r="EW90" i="19" s="1"/>
  <c r="EV24" i="19"/>
  <c r="EW31" i="19"/>
  <c r="EW49" i="19"/>
  <c r="EX7" i="19"/>
  <c r="EX98" i="19" l="1"/>
  <c r="EX32" i="19"/>
  <c r="EW43" i="19"/>
  <c r="EW92" i="19"/>
  <c r="EX21" i="19"/>
  <c r="EX23" i="19"/>
  <c r="EX25" i="19"/>
  <c r="EX22" i="19"/>
  <c r="EX19" i="19"/>
  <c r="EX20" i="19"/>
  <c r="EX17" i="19"/>
  <c r="EX18" i="19"/>
  <c r="EX89" i="19"/>
  <c r="EX2" i="19"/>
  <c r="EX30" i="19"/>
  <c r="EX38" i="19"/>
  <c r="EX90" i="19" s="1"/>
  <c r="EW24" i="19"/>
  <c r="EX31" i="19"/>
  <c r="EX49" i="19"/>
  <c r="EY7" i="19"/>
  <c r="EY98" i="19" l="1"/>
  <c r="EY32" i="19"/>
  <c r="EX43" i="19"/>
  <c r="EX92" i="19"/>
  <c r="EY21" i="19"/>
  <c r="EY25" i="19"/>
  <c r="EY23" i="19"/>
  <c r="EY22" i="19"/>
  <c r="EY20" i="19"/>
  <c r="EY19" i="19"/>
  <c r="EY18" i="19"/>
  <c r="EY17" i="19"/>
  <c r="EY89" i="19"/>
  <c r="EY2" i="19"/>
  <c r="EY38" i="19"/>
  <c r="EY90" i="19" s="1"/>
  <c r="EY30" i="19"/>
  <c r="EX24" i="19"/>
  <c r="EY49" i="19"/>
  <c r="EY31" i="19"/>
  <c r="EZ7" i="19"/>
  <c r="EZ98" i="19" l="1"/>
  <c r="EZ32" i="19"/>
  <c r="EY43" i="19"/>
  <c r="EY92" i="19"/>
  <c r="EZ21" i="19"/>
  <c r="BB21" i="41" s="1"/>
  <c r="BB32" i="41"/>
  <c r="EZ25" i="19"/>
  <c r="EZ23" i="19"/>
  <c r="EZ22" i="19"/>
  <c r="EZ20" i="19"/>
  <c r="EZ19" i="19"/>
  <c r="EZ18" i="19"/>
  <c r="BB18" i="41" s="1"/>
  <c r="EZ17" i="19"/>
  <c r="EZ89" i="19"/>
  <c r="EZ2" i="19"/>
  <c r="EZ38" i="19"/>
  <c r="EZ90" i="19" s="1"/>
  <c r="EZ30" i="19"/>
  <c r="EY24" i="19"/>
  <c r="EZ31" i="19"/>
  <c r="EZ49" i="19"/>
  <c r="FA7" i="19"/>
  <c r="FA98" i="19" l="1"/>
  <c r="FA32" i="19"/>
  <c r="EZ43" i="19"/>
  <c r="EZ92" i="19"/>
  <c r="FA21" i="19"/>
  <c r="FA25" i="19"/>
  <c r="FA23" i="19"/>
  <c r="FA22" i="19"/>
  <c r="FA19" i="19"/>
  <c r="FA20" i="19"/>
  <c r="FA18" i="19"/>
  <c r="FA17" i="19"/>
  <c r="FA89" i="19"/>
  <c r="FA2" i="19"/>
  <c r="FA30" i="19"/>
  <c r="FA38" i="19"/>
  <c r="FA90" i="19" s="1"/>
  <c r="EZ24" i="19"/>
  <c r="FA31" i="19"/>
  <c r="FA49" i="19"/>
  <c r="FB7" i="19"/>
  <c r="FB98" i="19" l="1"/>
  <c r="FB32" i="19"/>
  <c r="FA43" i="19"/>
  <c r="FA92" i="19"/>
  <c r="FB21" i="19"/>
  <c r="FB25" i="19"/>
  <c r="FB23" i="19"/>
  <c r="FB22" i="19"/>
  <c r="FB19" i="19"/>
  <c r="FB20" i="19"/>
  <c r="FB17" i="19"/>
  <c r="FB18" i="19"/>
  <c r="FB89" i="19"/>
  <c r="FB2" i="19"/>
  <c r="FB30" i="19"/>
  <c r="FB38" i="19"/>
  <c r="FB90" i="19" s="1"/>
  <c r="FA24" i="19"/>
  <c r="FB49" i="19"/>
  <c r="FB31" i="19"/>
  <c r="FC7" i="19"/>
  <c r="FC98" i="19" l="1"/>
  <c r="FC32" i="19"/>
  <c r="FB43" i="19"/>
  <c r="FB92" i="19"/>
  <c r="FC21" i="19"/>
  <c r="BC21" i="41" s="1"/>
  <c r="BC32" i="41"/>
  <c r="FC23" i="19"/>
  <c r="FC22" i="19"/>
  <c r="FC25" i="19"/>
  <c r="FC19" i="19"/>
  <c r="FC20" i="19"/>
  <c r="FC18" i="19"/>
  <c r="FC17" i="19"/>
  <c r="FC89" i="19"/>
  <c r="FC2" i="19"/>
  <c r="FC30" i="19"/>
  <c r="FC38" i="19"/>
  <c r="FC90" i="19" s="1"/>
  <c r="FB24" i="19"/>
  <c r="FC31" i="19"/>
  <c r="FC49" i="19"/>
  <c r="FD7" i="19"/>
  <c r="FD98" i="19" l="1"/>
  <c r="FD32" i="19"/>
  <c r="FC43" i="19"/>
  <c r="FC92" i="19"/>
  <c r="FD21" i="19"/>
  <c r="FD23" i="19"/>
  <c r="FD19" i="19"/>
  <c r="FD22" i="19"/>
  <c r="FD25" i="19"/>
  <c r="FD20" i="19"/>
  <c r="FD18" i="19"/>
  <c r="FD17" i="19"/>
  <c r="FD89" i="19"/>
  <c r="FD2" i="19"/>
  <c r="FD38" i="19"/>
  <c r="FD90" i="19" s="1"/>
  <c r="FD30" i="19"/>
  <c r="FC24" i="19"/>
  <c r="FD31" i="19"/>
  <c r="FD49" i="19"/>
  <c r="FE7" i="19"/>
  <c r="FE98" i="19" l="1"/>
  <c r="FE32" i="19"/>
  <c r="FD43" i="19"/>
  <c r="FD92" i="19"/>
  <c r="FE21" i="19"/>
  <c r="FE23" i="19"/>
  <c r="FE19" i="19"/>
  <c r="FE25" i="19"/>
  <c r="FE20" i="19"/>
  <c r="FE22" i="19"/>
  <c r="FE17" i="19"/>
  <c r="FE18" i="19"/>
  <c r="FE89" i="19"/>
  <c r="FE2" i="19"/>
  <c r="FE30" i="19"/>
  <c r="FE38" i="19"/>
  <c r="FE90" i="19" s="1"/>
  <c r="FD24" i="19"/>
  <c r="FE31" i="19"/>
  <c r="FE49" i="19"/>
  <c r="FF7" i="19"/>
  <c r="FF98" i="19" l="1"/>
  <c r="FF32" i="19"/>
  <c r="FE43" i="19"/>
  <c r="FE92" i="19"/>
  <c r="FF21" i="19"/>
  <c r="BD21" i="41" s="1"/>
  <c r="BD32" i="41"/>
  <c r="FF23" i="19"/>
  <c r="FF25" i="19"/>
  <c r="FF20" i="19"/>
  <c r="FF22" i="19"/>
  <c r="FF19" i="19"/>
  <c r="FF17" i="19"/>
  <c r="BD17" i="41" s="1"/>
  <c r="FF18" i="19"/>
  <c r="FF89" i="19"/>
  <c r="FF2" i="19"/>
  <c r="FF30" i="19"/>
  <c r="FF38" i="19"/>
  <c r="FF90" i="19" s="1"/>
  <c r="FE24" i="19"/>
  <c r="FF31" i="19"/>
  <c r="FF49" i="19"/>
  <c r="FG7" i="19"/>
  <c r="FG98" i="19" l="1"/>
  <c r="FG32" i="19"/>
  <c r="FF43" i="19"/>
  <c r="FF92" i="19"/>
  <c r="FG21" i="19"/>
  <c r="FG25" i="19"/>
  <c r="FG22" i="19"/>
  <c r="FG23" i="19"/>
  <c r="FG19" i="19"/>
  <c r="FG20" i="19"/>
  <c r="FG18" i="19"/>
  <c r="FG17" i="19"/>
  <c r="FG89" i="19"/>
  <c r="FG2" i="19"/>
  <c r="FG38" i="19"/>
  <c r="FG90" i="19" s="1"/>
  <c r="FG30" i="19"/>
  <c r="FF24" i="19"/>
  <c r="FG49" i="19"/>
  <c r="FG31" i="19"/>
  <c r="FH7" i="19"/>
  <c r="FH98" i="19" l="1"/>
  <c r="FH32" i="19"/>
  <c r="FG43" i="19"/>
  <c r="FG92" i="19"/>
  <c r="FH21" i="19"/>
  <c r="FH25" i="19"/>
  <c r="FH22" i="19"/>
  <c r="FH23" i="19"/>
  <c r="FH19" i="19"/>
  <c r="FH20" i="19"/>
  <c r="FH18" i="19"/>
  <c r="FH17" i="19"/>
  <c r="FH89" i="19"/>
  <c r="FH2" i="19"/>
  <c r="FH38" i="19"/>
  <c r="FH90" i="19" s="1"/>
  <c r="FH30" i="19"/>
  <c r="FG24" i="19"/>
  <c r="FH31" i="19"/>
  <c r="FH49" i="19"/>
  <c r="FI7" i="19"/>
  <c r="FI98" i="19" l="1"/>
  <c r="FI32" i="19"/>
  <c r="FH43" i="19"/>
  <c r="FH92" i="19"/>
  <c r="FI21" i="19"/>
  <c r="BE21" i="41" s="1"/>
  <c r="BE32" i="41"/>
  <c r="FI25" i="19"/>
  <c r="FI22" i="19"/>
  <c r="FI20" i="19"/>
  <c r="FI23" i="19"/>
  <c r="FI19" i="19"/>
  <c r="FI18" i="19"/>
  <c r="BE18" i="41" s="1"/>
  <c r="FI17" i="19"/>
  <c r="FI89" i="19"/>
  <c r="FI2" i="19"/>
  <c r="FI30" i="19"/>
  <c r="FI38" i="19"/>
  <c r="FI90" i="19" s="1"/>
  <c r="FH24" i="19"/>
  <c r="FI49" i="19"/>
  <c r="FI31" i="19"/>
  <c r="FJ7" i="19"/>
  <c r="FJ98" i="19" l="1"/>
  <c r="FJ32" i="19"/>
  <c r="FI43" i="19"/>
  <c r="FI92" i="19"/>
  <c r="FJ21" i="19"/>
  <c r="FJ25" i="19"/>
  <c r="FJ23" i="19"/>
  <c r="FJ22" i="19"/>
  <c r="FJ20" i="19"/>
  <c r="FJ19" i="19"/>
  <c r="FJ17" i="19"/>
  <c r="FJ18" i="19"/>
  <c r="FJ89" i="19"/>
  <c r="FJ2" i="19"/>
  <c r="FJ30" i="19"/>
  <c r="FJ38" i="19"/>
  <c r="FJ90" i="19" s="1"/>
  <c r="FI24" i="19"/>
  <c r="FJ49" i="19"/>
  <c r="FJ31" i="19"/>
  <c r="FK7" i="19"/>
  <c r="FK98" i="19" l="1"/>
  <c r="FK32" i="19"/>
  <c r="FJ43" i="19"/>
  <c r="FJ92" i="19"/>
  <c r="FK21" i="19"/>
  <c r="FK23" i="19"/>
  <c r="FK25" i="19"/>
  <c r="FK22" i="19"/>
  <c r="FK20" i="19"/>
  <c r="FK19" i="19"/>
  <c r="FK18" i="19"/>
  <c r="FK17" i="19"/>
  <c r="FK89" i="19"/>
  <c r="FK2" i="19"/>
  <c r="FK30" i="19"/>
  <c r="FK38" i="19"/>
  <c r="FK90" i="19" s="1"/>
  <c r="FJ24" i="19"/>
  <c r="FK31" i="19"/>
  <c r="FK49" i="19"/>
  <c r="FL7" i="19"/>
  <c r="FL98" i="19" l="1"/>
  <c r="FL32" i="19"/>
  <c r="FK43" i="19"/>
  <c r="FK92" i="19"/>
  <c r="FL21" i="19"/>
  <c r="BF21" i="41" s="1"/>
  <c r="BF32" i="41"/>
  <c r="FL23" i="19"/>
  <c r="FL25" i="19"/>
  <c r="FL19" i="19"/>
  <c r="FL22" i="19"/>
  <c r="FL20" i="19"/>
  <c r="FL18" i="19"/>
  <c r="FL17" i="19"/>
  <c r="FL89" i="19"/>
  <c r="FL2" i="19"/>
  <c r="FL38" i="19"/>
  <c r="FL90" i="19" s="1"/>
  <c r="FL30" i="19"/>
  <c r="FK24" i="19"/>
  <c r="FL31" i="19"/>
  <c r="FL49" i="19"/>
  <c r="FM7" i="19"/>
  <c r="FM98" i="19" l="1"/>
  <c r="FM32" i="19"/>
  <c r="FL43" i="19"/>
  <c r="FL92" i="19"/>
  <c r="FM21" i="19"/>
  <c r="FM23" i="19"/>
  <c r="FM25" i="19"/>
  <c r="FM19" i="19"/>
  <c r="FM20" i="19"/>
  <c r="FM22" i="19"/>
  <c r="FM17" i="19"/>
  <c r="FM18" i="19"/>
  <c r="FM89" i="19"/>
  <c r="FM2" i="19"/>
  <c r="FM38" i="19"/>
  <c r="FM90" i="19" s="1"/>
  <c r="FM30" i="19"/>
  <c r="FL24" i="19"/>
  <c r="FM31" i="19"/>
  <c r="FM49" i="19"/>
  <c r="FN7" i="19"/>
  <c r="FN98" i="19" l="1"/>
  <c r="FN32" i="19"/>
  <c r="FM43" i="19"/>
  <c r="FM92" i="19"/>
  <c r="FN21" i="19"/>
  <c r="FN23" i="19"/>
  <c r="FN25" i="19"/>
  <c r="FN20" i="19"/>
  <c r="FN22" i="19"/>
  <c r="FN19" i="19"/>
  <c r="FN17" i="19"/>
  <c r="FN18" i="19"/>
  <c r="FN89" i="19"/>
  <c r="FN2" i="19"/>
  <c r="FN30" i="19"/>
  <c r="FN38" i="19"/>
  <c r="FN90" i="19" s="1"/>
  <c r="FM24" i="19"/>
  <c r="FN31" i="19"/>
  <c r="FN49" i="19"/>
  <c r="FO7" i="19"/>
  <c r="FO98" i="19" l="1"/>
  <c r="FO32" i="19"/>
  <c r="FN43" i="19"/>
  <c r="FN92" i="19"/>
  <c r="FO21" i="19"/>
  <c r="BG21" i="41" s="1"/>
  <c r="BG32" i="41"/>
  <c r="FO25" i="19"/>
  <c r="FO22" i="19"/>
  <c r="FO19" i="19"/>
  <c r="FO20" i="19"/>
  <c r="FO23" i="19"/>
  <c r="FO18" i="19"/>
  <c r="BG18" i="41" s="1"/>
  <c r="FO17" i="19"/>
  <c r="FO89" i="19"/>
  <c r="FO2" i="19"/>
  <c r="FO38" i="19"/>
  <c r="FO90" i="19" s="1"/>
  <c r="FO30" i="19"/>
  <c r="FN24" i="19"/>
  <c r="FO49" i="19"/>
  <c r="FO31" i="19"/>
  <c r="FP7" i="19"/>
  <c r="FP98" i="19" l="1"/>
  <c r="FP32" i="19"/>
  <c r="FO43" i="19"/>
  <c r="FO92" i="19"/>
  <c r="BG31" i="41"/>
  <c r="BG98" i="41" s="1"/>
  <c r="FP21" i="19"/>
  <c r="FP25" i="19"/>
  <c r="FP22" i="19"/>
  <c r="FP23" i="19"/>
  <c r="FP19" i="19"/>
  <c r="FP20" i="19"/>
  <c r="FP18" i="19"/>
  <c r="FP17" i="19"/>
  <c r="FP89" i="19"/>
  <c r="FP2" i="19"/>
  <c r="FP30" i="19"/>
  <c r="FP38" i="19"/>
  <c r="FP90" i="19" s="1"/>
  <c r="FO24" i="19"/>
  <c r="FP31" i="19"/>
  <c r="FP49" i="19"/>
  <c r="FQ7" i="19"/>
  <c r="FQ98" i="19" l="1"/>
  <c r="FQ32" i="19"/>
  <c r="FP43" i="19"/>
  <c r="FP92" i="19"/>
  <c r="FQ21" i="19"/>
  <c r="FQ25" i="19"/>
  <c r="FQ23" i="19"/>
  <c r="FQ22" i="19"/>
  <c r="FQ19" i="19"/>
  <c r="FQ20" i="19"/>
  <c r="FQ18" i="19"/>
  <c r="FQ17" i="19"/>
  <c r="FQ89" i="19"/>
  <c r="FQ2" i="19"/>
  <c r="FQ30" i="19"/>
  <c r="FQ38" i="19"/>
  <c r="FQ90" i="19" s="1"/>
  <c r="FP24" i="19"/>
  <c r="FQ49" i="19"/>
  <c r="FQ31" i="19"/>
  <c r="FR7" i="19"/>
  <c r="FR98" i="19" l="1"/>
  <c r="FR32" i="19"/>
  <c r="FQ43" i="19"/>
  <c r="FQ92" i="19"/>
  <c r="FR21" i="19"/>
  <c r="BH21" i="41" s="1"/>
  <c r="BH32" i="41"/>
  <c r="FR25" i="19"/>
  <c r="FR23" i="19"/>
  <c r="FR19" i="19"/>
  <c r="FR20" i="19"/>
  <c r="FR22" i="19"/>
  <c r="FR17" i="19"/>
  <c r="FR18" i="19"/>
  <c r="FR89" i="19"/>
  <c r="FR2" i="19"/>
  <c r="FR30" i="19"/>
  <c r="FR38" i="19"/>
  <c r="FR90" i="19" s="1"/>
  <c r="FQ24" i="19"/>
  <c r="FR49" i="19"/>
  <c r="FR31" i="19"/>
  <c r="FS7" i="19"/>
  <c r="FS98" i="19" l="1"/>
  <c r="FS32" i="19"/>
  <c r="FR43" i="19"/>
  <c r="FR92" i="19"/>
  <c r="FS21" i="19"/>
  <c r="FS23" i="19"/>
  <c r="FS25" i="19"/>
  <c r="FS19" i="19"/>
  <c r="FS22" i="19"/>
  <c r="FS20" i="19"/>
  <c r="FS18" i="19"/>
  <c r="FS17" i="19"/>
  <c r="FS89" i="19"/>
  <c r="FS2" i="19"/>
  <c r="FS30" i="19"/>
  <c r="FS38" i="19"/>
  <c r="FS90" i="19" s="1"/>
  <c r="FR24" i="19"/>
  <c r="FS31" i="19"/>
  <c r="FS49" i="19"/>
  <c r="FT7" i="19"/>
  <c r="FT98" i="19" l="1"/>
  <c r="FT32" i="19"/>
  <c r="FS43" i="19"/>
  <c r="FS92" i="19"/>
  <c r="FT21" i="19"/>
  <c r="FT23" i="19"/>
  <c r="FT19" i="19"/>
  <c r="FT25" i="19"/>
  <c r="FT20" i="19"/>
  <c r="FT22" i="19"/>
  <c r="FT18" i="19"/>
  <c r="FT17" i="19"/>
  <c r="FT89" i="19"/>
  <c r="FT2" i="19"/>
  <c r="FT38" i="19"/>
  <c r="FT90" i="19" s="1"/>
  <c r="FT30" i="19"/>
  <c r="FS24" i="19"/>
  <c r="FT31" i="19"/>
  <c r="FT49" i="19"/>
  <c r="FU7" i="19"/>
  <c r="FU98" i="19" l="1"/>
  <c r="FU32" i="19"/>
  <c r="FT43" i="19"/>
  <c r="FT92" i="19"/>
  <c r="FU21" i="19"/>
  <c r="BI21" i="41" s="1"/>
  <c r="BI32" i="41"/>
  <c r="FU23" i="19"/>
  <c r="FU19" i="19"/>
  <c r="FU20" i="19"/>
  <c r="BI20" i="41" s="1"/>
  <c r="FU25" i="19"/>
  <c r="FU22" i="19"/>
  <c r="FU17" i="19"/>
  <c r="FU18" i="19"/>
  <c r="FU89" i="19"/>
  <c r="FU2" i="19"/>
  <c r="FU38" i="19"/>
  <c r="FU90" i="19" s="1"/>
  <c r="FU30" i="19"/>
  <c r="FT24" i="19"/>
  <c r="FU31" i="19"/>
  <c r="FU49" i="19"/>
  <c r="FV7" i="19"/>
  <c r="FV98" i="19" l="1"/>
  <c r="FV32" i="19"/>
  <c r="FU43" i="19"/>
  <c r="FU92" i="19"/>
  <c r="FV21" i="19"/>
  <c r="FV23" i="19"/>
  <c r="FV25" i="19"/>
  <c r="FV20" i="19"/>
  <c r="FV22" i="19"/>
  <c r="FV19" i="19"/>
  <c r="FV17" i="19"/>
  <c r="FV18" i="19"/>
  <c r="FV89" i="19"/>
  <c r="FV2" i="19"/>
  <c r="FV30" i="19"/>
  <c r="FV38" i="19"/>
  <c r="FV90" i="19" s="1"/>
  <c r="FU24" i="19"/>
  <c r="FV31" i="19"/>
  <c r="FV49" i="19"/>
  <c r="FW7" i="19"/>
  <c r="FW98" i="19" l="1"/>
  <c r="FW32" i="19"/>
  <c r="FV43" i="19"/>
  <c r="FV92" i="19"/>
  <c r="FW21" i="19"/>
  <c r="FW25" i="19"/>
  <c r="FW23" i="19"/>
  <c r="FW22" i="19"/>
  <c r="FW19" i="19"/>
  <c r="FW20" i="19"/>
  <c r="FW18" i="19"/>
  <c r="FW17" i="19"/>
  <c r="FW89" i="19"/>
  <c r="FW2" i="19"/>
  <c r="FW38" i="19"/>
  <c r="FW90" i="19" s="1"/>
  <c r="FW30" i="19"/>
  <c r="FX7" i="19"/>
  <c r="FV24" i="19"/>
  <c r="FW49" i="19"/>
  <c r="FW31" i="19"/>
  <c r="FX98" i="19" l="1"/>
  <c r="FX32" i="19"/>
  <c r="FW43" i="19"/>
  <c r="FW92" i="19"/>
  <c r="FX21" i="19"/>
  <c r="BJ21" i="41" s="1"/>
  <c r="BJ32" i="41"/>
  <c r="FX25" i="19"/>
  <c r="FX23" i="19"/>
  <c r="FX22" i="19"/>
  <c r="FX19" i="19"/>
  <c r="BJ19" i="41" s="1"/>
  <c r="FX20" i="19"/>
  <c r="BJ20" i="41" s="1"/>
  <c r="FX18" i="19"/>
  <c r="FX17" i="19"/>
  <c r="FX89" i="19"/>
  <c r="FX2" i="19"/>
  <c r="FX38" i="19"/>
  <c r="FX90" i="19" s="1"/>
  <c r="FX30" i="19"/>
  <c r="FX49" i="19"/>
  <c r="FX31" i="19"/>
  <c r="FY7" i="19"/>
  <c r="FW24" i="19"/>
  <c r="FY98" i="19" l="1"/>
  <c r="FY32" i="19"/>
  <c r="FX43" i="19"/>
  <c r="FX92" i="19"/>
  <c r="FY21" i="19"/>
  <c r="FY25" i="19"/>
  <c r="FY23" i="19"/>
  <c r="FY22" i="19"/>
  <c r="FY20" i="19"/>
  <c r="FY19" i="19"/>
  <c r="FY18" i="19"/>
  <c r="FY17" i="19"/>
  <c r="FY89" i="19"/>
  <c r="FY2" i="19"/>
  <c r="FY30" i="19"/>
  <c r="FY38" i="19"/>
  <c r="FY90" i="19" s="1"/>
  <c r="FY31" i="19"/>
  <c r="FY49" i="19"/>
  <c r="FZ7" i="19"/>
  <c r="FX24" i="19"/>
  <c r="B53" i="1"/>
  <c r="FZ98" i="19" l="1"/>
  <c r="FZ32" i="19"/>
  <c r="FY43" i="19"/>
  <c r="FY92" i="19"/>
  <c r="FZ21" i="19"/>
  <c r="FZ25" i="19"/>
  <c r="FZ23" i="19"/>
  <c r="FZ22" i="19"/>
  <c r="FZ19" i="19"/>
  <c r="FZ20" i="19"/>
  <c r="FZ17" i="19"/>
  <c r="FZ18" i="19"/>
  <c r="FZ89" i="19"/>
  <c r="FZ2" i="19"/>
  <c r="FZ30" i="19"/>
  <c r="FZ38" i="19"/>
  <c r="FZ90" i="19" s="1"/>
  <c r="FY24" i="19"/>
  <c r="FZ49" i="19"/>
  <c r="FZ31" i="19"/>
  <c r="GA7" i="19"/>
  <c r="D5" i="22"/>
  <c r="GA98" i="19" l="1"/>
  <c r="GA32" i="19"/>
  <c r="FZ43" i="19"/>
  <c r="FZ92" i="19"/>
  <c r="GA21" i="19"/>
  <c r="BK21" i="41" s="1"/>
  <c r="BK32" i="41"/>
  <c r="GA23" i="19"/>
  <c r="GA19" i="19"/>
  <c r="BK19" i="41" s="1"/>
  <c r="GA22" i="19"/>
  <c r="GA25" i="19"/>
  <c r="GA20" i="19"/>
  <c r="BK20" i="41" s="1"/>
  <c r="GA18" i="19"/>
  <c r="GA17" i="19"/>
  <c r="GA89" i="19"/>
  <c r="GA2" i="19"/>
  <c r="GA30" i="19"/>
  <c r="GA38" i="19"/>
  <c r="GA90" i="19" s="1"/>
  <c r="GB7" i="19"/>
  <c r="GA31" i="19"/>
  <c r="FZ24" i="19"/>
  <c r="GA49" i="19"/>
  <c r="C5" i="22"/>
  <c r="C4" i="14"/>
  <c r="C3" i="14"/>
  <c r="C5" i="14"/>
  <c r="C6" i="14"/>
  <c r="C9" i="14"/>
  <c r="C7" i="14"/>
  <c r="C8" i="14"/>
  <c r="D3" i="14"/>
  <c r="D7" i="14"/>
  <c r="D5" i="14"/>
  <c r="D8" i="14"/>
  <c r="D4" i="14"/>
  <c r="D9" i="14"/>
  <c r="D6" i="14"/>
  <c r="GB98" i="19" l="1"/>
  <c r="GB32" i="19"/>
  <c r="GA43" i="19"/>
  <c r="GA92" i="19"/>
  <c r="GB21" i="19"/>
  <c r="GB23" i="19"/>
  <c r="GB19" i="19"/>
  <c r="GB22" i="19"/>
  <c r="GB20" i="19"/>
  <c r="GB25" i="19"/>
  <c r="GB18" i="19"/>
  <c r="GB17" i="19"/>
  <c r="GB89" i="19"/>
  <c r="GB2" i="19"/>
  <c r="GB38" i="19"/>
  <c r="GB90" i="19" s="1"/>
  <c r="GB30" i="19"/>
  <c r="GC7" i="19"/>
  <c r="GB49" i="19"/>
  <c r="GB31" i="19"/>
  <c r="GA24" i="19"/>
  <c r="C66" i="19"/>
  <c r="I3" i="14"/>
  <c r="I6" i="14"/>
  <c r="I5" i="14"/>
  <c r="I7" i="14"/>
  <c r="I4" i="14"/>
  <c r="E9" i="14"/>
  <c r="H9" i="14" s="1"/>
  <c r="J9" i="14" s="1"/>
  <c r="I9" i="14"/>
  <c r="E4" i="14"/>
  <c r="H4" i="14" s="1"/>
  <c r="J4" i="14" s="1"/>
  <c r="I8" i="14"/>
  <c r="E8" i="14"/>
  <c r="H8" i="14" s="1"/>
  <c r="J8" i="14" s="1"/>
  <c r="E5" i="14"/>
  <c r="H5" i="14" s="1"/>
  <c r="J5" i="14" s="1"/>
  <c r="E7" i="14"/>
  <c r="H7" i="14" s="1"/>
  <c r="J7" i="14" s="1"/>
  <c r="E3" i="14"/>
  <c r="H3" i="14" s="1"/>
  <c r="J3" i="14" s="1"/>
  <c r="E6" i="14"/>
  <c r="H6" i="14" s="1"/>
  <c r="J6" i="14" s="1"/>
  <c r="GC98" i="19" l="1"/>
  <c r="GC32" i="19"/>
  <c r="GB43" i="19"/>
  <c r="GB92" i="19"/>
  <c r="GC21" i="19"/>
  <c r="GC23" i="19"/>
  <c r="GC25" i="19"/>
  <c r="GC19" i="19"/>
  <c r="GC20" i="19"/>
  <c r="GC22" i="19"/>
  <c r="GC17" i="19"/>
  <c r="GC18" i="19"/>
  <c r="GC31" i="19"/>
  <c r="GD7" i="19"/>
  <c r="GC2" i="19"/>
  <c r="GC89" i="19"/>
  <c r="GC30" i="19"/>
  <c r="GC38" i="19"/>
  <c r="GC90" i="19" s="1"/>
  <c r="GC49" i="19"/>
  <c r="GB24" i="19"/>
  <c r="I10" i="14"/>
  <c r="J10" i="14"/>
  <c r="GD32" i="19" l="1"/>
  <c r="GD30" i="19"/>
  <c r="BL30" i="41" s="1"/>
  <c r="GD98" i="19"/>
  <c r="GC43" i="19"/>
  <c r="GC92" i="19"/>
  <c r="GD38" i="19"/>
  <c r="GD90" i="19" s="1"/>
  <c r="GE7" i="19"/>
  <c r="GE32" i="19" s="1"/>
  <c r="GD21" i="19"/>
  <c r="BL21" i="41" s="1"/>
  <c r="BL32" i="41"/>
  <c r="GD23" i="19"/>
  <c r="GD25" i="19"/>
  <c r="GD19" i="19"/>
  <c r="GD20" i="19"/>
  <c r="GD22" i="19"/>
  <c r="BL22" i="41" s="1"/>
  <c r="GD49" i="19"/>
  <c r="GD17" i="19"/>
  <c r="GD18" i="19"/>
  <c r="GD2" i="19"/>
  <c r="GD89" i="19"/>
  <c r="GD31" i="19"/>
  <c r="GC24" i="19"/>
  <c r="K6" i="14"/>
  <c r="GF7" i="19" l="1"/>
  <c r="GF21" i="19" s="1"/>
  <c r="GE98" i="19"/>
  <c r="GE49" i="19"/>
  <c r="GE30" i="19"/>
  <c r="GE38" i="19"/>
  <c r="GE31" i="19"/>
  <c r="GE25" i="19"/>
  <c r="GD43" i="19"/>
  <c r="GD92" i="19"/>
  <c r="GE2" i="19"/>
  <c r="GE20" i="19"/>
  <c r="GE89" i="19"/>
  <c r="GE17" i="19"/>
  <c r="GE19" i="19"/>
  <c r="GE18" i="19"/>
  <c r="GE23" i="19"/>
  <c r="GE22" i="19"/>
  <c r="GE21" i="19"/>
  <c r="GD24" i="19"/>
  <c r="GG7" i="19"/>
  <c r="O6" i="14"/>
  <c r="P6" i="14"/>
  <c r="K3" i="14"/>
  <c r="K8" i="14"/>
  <c r="K5" i="14"/>
  <c r="K7" i="14"/>
  <c r="K4" i="14"/>
  <c r="K9" i="14"/>
  <c r="GF49" i="19" l="1"/>
  <c r="GF20" i="19"/>
  <c r="GF30" i="19"/>
  <c r="GF19" i="19"/>
  <c r="GF89" i="19"/>
  <c r="GF25" i="19"/>
  <c r="GF38" i="19"/>
  <c r="GF90" i="19" s="1"/>
  <c r="GF23" i="19"/>
  <c r="GF2" i="19"/>
  <c r="GF22" i="19"/>
  <c r="GF17" i="19"/>
  <c r="GF31" i="19"/>
  <c r="GF18" i="19"/>
  <c r="GG98" i="19"/>
  <c r="GG32" i="19"/>
  <c r="GF98" i="19"/>
  <c r="GF32" i="19"/>
  <c r="BM32" i="41" s="1"/>
  <c r="GE90" i="19"/>
  <c r="GE92" i="19" s="1"/>
  <c r="GE43" i="19"/>
  <c r="GE24" i="19"/>
  <c r="GG21" i="19"/>
  <c r="BM21" i="41" s="1"/>
  <c r="GG25" i="19"/>
  <c r="GG22" i="19"/>
  <c r="BM22" i="41" s="1"/>
  <c r="GG23" i="19"/>
  <c r="BM23" i="41" s="1"/>
  <c r="GG19" i="19"/>
  <c r="BM19" i="41" s="1"/>
  <c r="GG20" i="19"/>
  <c r="BM20" i="41" s="1"/>
  <c r="GG18" i="19"/>
  <c r="BM18" i="41" s="1"/>
  <c r="GG17" i="19"/>
  <c r="BM17" i="41" s="1"/>
  <c r="GG89" i="19"/>
  <c r="GG2" i="19"/>
  <c r="GG30" i="19"/>
  <c r="GG38" i="19"/>
  <c r="GG90" i="19" s="1"/>
  <c r="GH7" i="19"/>
  <c r="GG31" i="19"/>
  <c r="GG49" i="19"/>
  <c r="O7" i="14"/>
  <c r="P7" i="14"/>
  <c r="O5" i="14"/>
  <c r="P5" i="14"/>
  <c r="P8" i="14"/>
  <c r="O8" i="14"/>
  <c r="O3" i="14"/>
  <c r="O10" i="14" s="1"/>
  <c r="P3" i="14"/>
  <c r="P10" i="14" s="1"/>
  <c r="K10" i="14"/>
  <c r="O9" i="14"/>
  <c r="P9" i="14"/>
  <c r="O4" i="14"/>
  <c r="P4" i="14"/>
  <c r="GF24" i="19" l="1"/>
  <c r="GF43" i="19"/>
  <c r="GF92" i="19"/>
  <c r="GH98" i="19"/>
  <c r="GH32" i="19"/>
  <c r="GG43" i="19"/>
  <c r="GG92" i="19"/>
  <c r="BM24" i="41"/>
  <c r="GH21" i="19"/>
  <c r="GH25" i="19"/>
  <c r="GH23" i="19"/>
  <c r="GH19" i="19"/>
  <c r="GH20" i="19"/>
  <c r="GH22" i="19"/>
  <c r="GH17" i="19"/>
  <c r="GH18" i="19"/>
  <c r="GH89" i="19"/>
  <c r="GH2" i="19"/>
  <c r="GH30" i="19"/>
  <c r="GH38" i="19"/>
  <c r="GH90" i="19" s="1"/>
  <c r="GG24" i="19"/>
  <c r="GH49" i="19"/>
  <c r="GI7" i="19"/>
  <c r="GH31" i="19"/>
  <c r="GI98" i="19" l="1"/>
  <c r="GI32" i="19"/>
  <c r="GH43" i="19"/>
  <c r="GH92" i="19"/>
  <c r="GI21" i="19"/>
  <c r="GI23" i="19"/>
  <c r="GI25" i="19"/>
  <c r="GI22" i="19"/>
  <c r="GI19" i="19"/>
  <c r="GI20" i="19"/>
  <c r="GI18" i="19"/>
  <c r="GI17" i="19"/>
  <c r="GI89" i="19"/>
  <c r="GI2" i="19"/>
  <c r="GI30" i="19"/>
  <c r="GI38" i="19"/>
  <c r="GI90" i="19" s="1"/>
  <c r="GH24" i="19"/>
  <c r="GI49" i="19"/>
  <c r="GI31" i="19"/>
  <c r="GJ7" i="19"/>
  <c r="GJ98" i="19" l="1"/>
  <c r="GJ32" i="19"/>
  <c r="GI43" i="19"/>
  <c r="GI92" i="19"/>
  <c r="GJ21" i="19"/>
  <c r="BN21" i="41" s="1"/>
  <c r="BN32" i="41"/>
  <c r="GJ23" i="19"/>
  <c r="GJ19" i="19"/>
  <c r="BN19" i="41" s="1"/>
  <c r="GJ25" i="19"/>
  <c r="GJ22" i="19"/>
  <c r="GJ20" i="19"/>
  <c r="BN20" i="41" s="1"/>
  <c r="GJ18" i="19"/>
  <c r="BN18" i="41" s="1"/>
  <c r="GJ17" i="19"/>
  <c r="GJ89" i="19"/>
  <c r="GJ2" i="19"/>
  <c r="GJ38" i="19"/>
  <c r="GJ90" i="19" s="1"/>
  <c r="GJ30" i="19"/>
  <c r="GI24" i="19"/>
  <c r="GJ49" i="19"/>
  <c r="GJ31" i="19"/>
  <c r="GK7" i="19"/>
  <c r="GK98" i="19" l="1"/>
  <c r="GK32" i="19"/>
  <c r="GJ43" i="19"/>
  <c r="GJ92" i="19"/>
  <c r="GK21" i="19"/>
  <c r="GK23" i="19"/>
  <c r="GK19" i="19"/>
  <c r="GK25" i="19"/>
  <c r="GK22" i="19"/>
  <c r="GK20" i="19"/>
  <c r="GK17" i="19"/>
  <c r="GK18" i="19"/>
  <c r="GK89" i="19"/>
  <c r="GK2" i="19"/>
  <c r="GK30" i="19"/>
  <c r="GK38" i="19"/>
  <c r="GK90" i="19" s="1"/>
  <c r="GJ24" i="19"/>
  <c r="GL7" i="19"/>
  <c r="GK31" i="19"/>
  <c r="GK49" i="19"/>
  <c r="GL98" i="19" l="1"/>
  <c r="GL32" i="19"/>
  <c r="GK43" i="19"/>
  <c r="GK92" i="19"/>
  <c r="GL21" i="19"/>
  <c r="GL23" i="19"/>
  <c r="GL25" i="19"/>
  <c r="GL22" i="19"/>
  <c r="GL20" i="19"/>
  <c r="GL19" i="19"/>
  <c r="GL17" i="19"/>
  <c r="GL18" i="19"/>
  <c r="GL89" i="19"/>
  <c r="GL2" i="19"/>
  <c r="GL30" i="19"/>
  <c r="GL38" i="19"/>
  <c r="GL90" i="19" s="1"/>
  <c r="GK24" i="19"/>
  <c r="GM7" i="19"/>
  <c r="GL49" i="19"/>
  <c r="GL31" i="19"/>
  <c r="GM98" i="19" l="1"/>
  <c r="GM32" i="19"/>
  <c r="GL43" i="19"/>
  <c r="GL92" i="19"/>
  <c r="GM21" i="19"/>
  <c r="BO21" i="41" s="1"/>
  <c r="BO32" i="41"/>
  <c r="GM25" i="19"/>
  <c r="GM22" i="19"/>
  <c r="GM19" i="19"/>
  <c r="GM23" i="19"/>
  <c r="GM20" i="19"/>
  <c r="BO20" i="41" s="1"/>
  <c r="GM18" i="19"/>
  <c r="GM17" i="19"/>
  <c r="GM89" i="19"/>
  <c r="GM2" i="19"/>
  <c r="GM38" i="19"/>
  <c r="GM90" i="19" s="1"/>
  <c r="GM30" i="19"/>
  <c r="GL24" i="19"/>
  <c r="GM49" i="19"/>
  <c r="GM31" i="19"/>
  <c r="GN7" i="19"/>
  <c r="GN98" i="19" l="1"/>
  <c r="GN32" i="19"/>
  <c r="GM43" i="19"/>
  <c r="GM92" i="19"/>
  <c r="GN21" i="19"/>
  <c r="GN25" i="19"/>
  <c r="GN23" i="19"/>
  <c r="GN22" i="19"/>
  <c r="GN19" i="19"/>
  <c r="GN20" i="19"/>
  <c r="GN18" i="19"/>
  <c r="GN17" i="19"/>
  <c r="GN89" i="19"/>
  <c r="GN2" i="19"/>
  <c r="GN38" i="19"/>
  <c r="GN90" i="19" s="1"/>
  <c r="GN30" i="19"/>
  <c r="GM24" i="19"/>
  <c r="GN49" i="19"/>
  <c r="GO7" i="19"/>
  <c r="GN31" i="19"/>
  <c r="GO98" i="19" l="1"/>
  <c r="GO32" i="19"/>
  <c r="GN43" i="19"/>
  <c r="GN92" i="19"/>
  <c r="GO21" i="19"/>
  <c r="GO25" i="19"/>
  <c r="GO23" i="19"/>
  <c r="GO22" i="19"/>
  <c r="GO20" i="19"/>
  <c r="GO19" i="19"/>
  <c r="GO18" i="19"/>
  <c r="GO17" i="19"/>
  <c r="GO89" i="19"/>
  <c r="GO2" i="19"/>
  <c r="GO30" i="19"/>
  <c r="GO38" i="19"/>
  <c r="GO90" i="19" s="1"/>
  <c r="GN24" i="19"/>
  <c r="GP7" i="19"/>
  <c r="GO49" i="19"/>
  <c r="GO31" i="19"/>
  <c r="GP98" i="19" l="1"/>
  <c r="GP32" i="19"/>
  <c r="GO43" i="19"/>
  <c r="GO92" i="19"/>
  <c r="GP21" i="19"/>
  <c r="BP21" i="41" s="1"/>
  <c r="BP32" i="41"/>
  <c r="GP25" i="19"/>
  <c r="GP23" i="19"/>
  <c r="GP22" i="19"/>
  <c r="GP20" i="19"/>
  <c r="GP19" i="19"/>
  <c r="GP17" i="19"/>
  <c r="GP18" i="19"/>
  <c r="GP89" i="19"/>
  <c r="GP2" i="19"/>
  <c r="GP30" i="19"/>
  <c r="GP38" i="19"/>
  <c r="GP90" i="19" s="1"/>
  <c r="GO24" i="19"/>
  <c r="GP49" i="19"/>
  <c r="GP31" i="19"/>
  <c r="GQ7" i="19"/>
  <c r="GQ98" i="19" l="1"/>
  <c r="GQ32" i="19"/>
  <c r="GP43" i="19"/>
  <c r="GP92" i="19"/>
  <c r="GQ21" i="19"/>
  <c r="GQ23" i="19"/>
  <c r="GQ25" i="19"/>
  <c r="GQ19" i="19"/>
  <c r="GQ20" i="19"/>
  <c r="GQ22" i="19"/>
  <c r="GQ18" i="19"/>
  <c r="GQ17" i="19"/>
  <c r="GQ89" i="19"/>
  <c r="GQ2" i="19"/>
  <c r="GQ30" i="19"/>
  <c r="GQ38" i="19"/>
  <c r="GQ90" i="19" s="1"/>
  <c r="GP24" i="19"/>
  <c r="GQ49" i="19"/>
  <c r="GR7" i="19"/>
  <c r="GQ31" i="19"/>
  <c r="GR98" i="19" l="1"/>
  <c r="GR32" i="19"/>
  <c r="GQ43" i="19"/>
  <c r="GQ92" i="19"/>
  <c r="GR21" i="19"/>
  <c r="GR23" i="19"/>
  <c r="GR19" i="19"/>
  <c r="GR22" i="19"/>
  <c r="GR25" i="19"/>
  <c r="GR20" i="19"/>
  <c r="GR18" i="19"/>
  <c r="GR17" i="19"/>
  <c r="GR89" i="19"/>
  <c r="GR2" i="19"/>
  <c r="GR38" i="19"/>
  <c r="GR90" i="19" s="1"/>
  <c r="GR30" i="19"/>
  <c r="GQ24" i="19"/>
  <c r="GR49" i="19"/>
  <c r="GR31" i="19"/>
  <c r="GS7" i="19"/>
  <c r="GS98" i="19" l="1"/>
  <c r="GS32" i="19"/>
  <c r="GR43" i="19"/>
  <c r="GR92" i="19"/>
  <c r="GS21" i="19"/>
  <c r="BQ21" i="41" s="1"/>
  <c r="BQ32" i="41"/>
  <c r="GS23" i="19"/>
  <c r="GS19" i="19"/>
  <c r="GS20" i="19"/>
  <c r="GS22" i="19"/>
  <c r="BQ22" i="41" s="1"/>
  <c r="GS25" i="19"/>
  <c r="GS17" i="19"/>
  <c r="GS18" i="19"/>
  <c r="GS89" i="19"/>
  <c r="GS2" i="19"/>
  <c r="GS30" i="19"/>
  <c r="GS38" i="19"/>
  <c r="GS90" i="19" s="1"/>
  <c r="GR24" i="19"/>
  <c r="GS31" i="19"/>
  <c r="GS49" i="19"/>
  <c r="GT7" i="19"/>
  <c r="GT98" i="19" l="1"/>
  <c r="GT32" i="19"/>
  <c r="GS43" i="19"/>
  <c r="GS92" i="19"/>
  <c r="BQ31" i="41"/>
  <c r="BQ98" i="41" s="1"/>
  <c r="GT21" i="19"/>
  <c r="GT23" i="19"/>
  <c r="GT25" i="19"/>
  <c r="GT20" i="19"/>
  <c r="GT19" i="19"/>
  <c r="GT22" i="19"/>
  <c r="GT17" i="19"/>
  <c r="GT18" i="19"/>
  <c r="GT89" i="19"/>
  <c r="GT2" i="19"/>
  <c r="GT30" i="19"/>
  <c r="GT38" i="19"/>
  <c r="GT90" i="19" s="1"/>
  <c r="GS24" i="19"/>
  <c r="GT49" i="19"/>
  <c r="GT31" i="19"/>
  <c r="GU7" i="19"/>
  <c r="GU98" i="19" l="1"/>
  <c r="GU32" i="19"/>
  <c r="GT43" i="19"/>
  <c r="GT92" i="19"/>
  <c r="GU21" i="19"/>
  <c r="GU25" i="19"/>
  <c r="GU22" i="19"/>
  <c r="GU23" i="19"/>
  <c r="GU19" i="19"/>
  <c r="GU20" i="19"/>
  <c r="GU18" i="19"/>
  <c r="GU17" i="19"/>
  <c r="GU89" i="19"/>
  <c r="GU2" i="19"/>
  <c r="GU38" i="19"/>
  <c r="GU90" i="19" s="1"/>
  <c r="GU30" i="19"/>
  <c r="GT24" i="19"/>
  <c r="GV7" i="19"/>
  <c r="GU49" i="19"/>
  <c r="GU31" i="19"/>
  <c r="GV98" i="19" l="1"/>
  <c r="GV32" i="19"/>
  <c r="BR32" i="41" s="1"/>
  <c r="GU43" i="19"/>
  <c r="GU92" i="19"/>
  <c r="GV21" i="19"/>
  <c r="BR21" i="41" s="1"/>
  <c r="GV25" i="19"/>
  <c r="GV22" i="19"/>
  <c r="GV23" i="19"/>
  <c r="GV19" i="19"/>
  <c r="BR19" i="41" s="1"/>
  <c r="GV20" i="19"/>
  <c r="BR20" i="41" s="1"/>
  <c r="GV18" i="19"/>
  <c r="GV17" i="19"/>
  <c r="GV89" i="19"/>
  <c r="GV2" i="19"/>
  <c r="GV38" i="19"/>
  <c r="GV90" i="19" s="1"/>
  <c r="GV30" i="19"/>
  <c r="GU24" i="19"/>
  <c r="GV49" i="19"/>
  <c r="GV31" i="19"/>
  <c r="GW7" i="19"/>
  <c r="GW98" i="19" l="1"/>
  <c r="GW32" i="19"/>
  <c r="GV43" i="19"/>
  <c r="GV92" i="19"/>
  <c r="GW21" i="19"/>
  <c r="GW25" i="19"/>
  <c r="GW22" i="19"/>
  <c r="GW23" i="19"/>
  <c r="GW19" i="19"/>
  <c r="GW20" i="19"/>
  <c r="GW18" i="19"/>
  <c r="GW17" i="19"/>
  <c r="GW89" i="19"/>
  <c r="GW2" i="19"/>
  <c r="GW30" i="19"/>
  <c r="GW38" i="19"/>
  <c r="GW90" i="19" s="1"/>
  <c r="GV24" i="19"/>
  <c r="GX7" i="19"/>
  <c r="GW49" i="19"/>
  <c r="GW31" i="19"/>
  <c r="GX98" i="19" l="1"/>
  <c r="GX32" i="19"/>
  <c r="GW43" i="19"/>
  <c r="GW92" i="19"/>
  <c r="GX21" i="19"/>
  <c r="GX25" i="19"/>
  <c r="GX23" i="19"/>
  <c r="GX19" i="19"/>
  <c r="GX20" i="19"/>
  <c r="GX22" i="19"/>
  <c r="GX17" i="19"/>
  <c r="GX18" i="19"/>
  <c r="GX89" i="19"/>
  <c r="GX2" i="19"/>
  <c r="GX30" i="19"/>
  <c r="GX38" i="19"/>
  <c r="GX90" i="19" s="1"/>
  <c r="GW24" i="19"/>
  <c r="GY7" i="19"/>
  <c r="GX31" i="19"/>
  <c r="GX49" i="19"/>
  <c r="GY98" i="19" l="1"/>
  <c r="GY32" i="19"/>
  <c r="GX43" i="19"/>
  <c r="GX92" i="19"/>
  <c r="GY21" i="19"/>
  <c r="BS21" i="41" s="1"/>
  <c r="BS32" i="41"/>
  <c r="GY23" i="19"/>
  <c r="GY22" i="19"/>
  <c r="GY20" i="19"/>
  <c r="BS20" i="41" s="1"/>
  <c r="GY25" i="19"/>
  <c r="GY19" i="19"/>
  <c r="GY18" i="19"/>
  <c r="BS18" i="41" s="1"/>
  <c r="GY17" i="19"/>
  <c r="GY89" i="19"/>
  <c r="GY2" i="19"/>
  <c r="GY30" i="19"/>
  <c r="GY38" i="19"/>
  <c r="GY90" i="19" s="1"/>
  <c r="GX24" i="19"/>
  <c r="GY49" i="19"/>
  <c r="GY31" i="19"/>
  <c r="GZ7" i="19"/>
  <c r="GZ98" i="19" l="1"/>
  <c r="GZ32" i="19"/>
  <c r="GY43" i="19"/>
  <c r="GY92" i="19"/>
  <c r="GZ21" i="19"/>
  <c r="GZ23" i="19"/>
  <c r="GZ25" i="19"/>
  <c r="GZ19" i="19"/>
  <c r="GZ22" i="19"/>
  <c r="GZ20" i="19"/>
  <c r="GZ18" i="19"/>
  <c r="GZ17" i="19"/>
  <c r="GZ89" i="19"/>
  <c r="GZ2" i="19"/>
  <c r="GZ38" i="19"/>
  <c r="GZ90" i="19" s="1"/>
  <c r="GZ30" i="19"/>
  <c r="GY24" i="19"/>
  <c r="GZ49" i="19"/>
  <c r="GZ31" i="19"/>
  <c r="HA7" i="19"/>
  <c r="HA98" i="19" l="1"/>
  <c r="HA32" i="19"/>
  <c r="GZ43" i="19"/>
  <c r="GZ92" i="19"/>
  <c r="HA21" i="19"/>
  <c r="HA23" i="19"/>
  <c r="HA25" i="19"/>
  <c r="HA19" i="19"/>
  <c r="HA20" i="19"/>
  <c r="HA22" i="19"/>
  <c r="HA17" i="19"/>
  <c r="HA18" i="19"/>
  <c r="HA89" i="19"/>
  <c r="HA2" i="19"/>
  <c r="HA38" i="19"/>
  <c r="HA90" i="19" s="1"/>
  <c r="HA30" i="19"/>
  <c r="GZ24" i="19"/>
  <c r="HA49" i="19"/>
  <c r="HB7" i="19"/>
  <c r="HA31" i="19"/>
  <c r="HB98" i="19" l="1"/>
  <c r="HB32" i="19"/>
  <c r="HA43" i="19"/>
  <c r="HA92" i="19"/>
  <c r="HB21" i="19"/>
  <c r="BT21" i="41" s="1"/>
  <c r="BT32" i="41"/>
  <c r="HB23" i="19"/>
  <c r="HB25" i="19"/>
  <c r="HB20" i="19"/>
  <c r="HB19" i="19"/>
  <c r="HB22" i="19"/>
  <c r="BT22" i="41" s="1"/>
  <c r="HB17" i="19"/>
  <c r="BT17" i="41" s="1"/>
  <c r="HB18" i="19"/>
  <c r="HB89" i="19"/>
  <c r="HB2" i="19"/>
  <c r="HB30" i="19"/>
  <c r="HB38" i="19"/>
  <c r="HB90" i="19" s="1"/>
  <c r="HA24" i="19"/>
  <c r="HC7" i="19"/>
  <c r="HB49" i="19"/>
  <c r="HB31" i="19"/>
  <c r="HC98" i="19" l="1"/>
  <c r="HC32" i="19"/>
  <c r="HB43" i="19"/>
  <c r="HB92" i="19"/>
  <c r="BT31" i="41"/>
  <c r="BT98" i="41" s="1"/>
  <c r="HC21" i="19"/>
  <c r="HC25" i="19"/>
  <c r="HC22" i="19"/>
  <c r="HC23" i="19"/>
  <c r="HC20" i="19"/>
  <c r="HC19" i="19"/>
  <c r="HC18" i="19"/>
  <c r="HC17" i="19"/>
  <c r="HC89" i="19"/>
  <c r="HC2" i="19"/>
  <c r="HC38" i="19"/>
  <c r="HC90" i="19" s="1"/>
  <c r="HC30" i="19"/>
  <c r="HB24" i="19"/>
  <c r="HC49" i="19"/>
  <c r="HC31" i="19"/>
  <c r="HD7" i="19"/>
  <c r="HD98" i="19" l="1"/>
  <c r="HD32" i="19"/>
  <c r="HC43" i="19"/>
  <c r="HC92" i="19"/>
  <c r="HD21" i="19"/>
  <c r="HD25" i="19"/>
  <c r="HD22" i="19"/>
  <c r="HD23" i="19"/>
  <c r="HD20" i="19"/>
  <c r="HD19" i="19"/>
  <c r="HD18" i="19"/>
  <c r="HD17" i="19"/>
  <c r="HD89" i="19"/>
  <c r="HD2" i="19"/>
  <c r="HD30" i="19"/>
  <c r="HD38" i="19"/>
  <c r="HD90" i="19" s="1"/>
  <c r="HC24" i="19"/>
  <c r="HE7" i="19"/>
  <c r="HD31" i="19"/>
  <c r="HD49" i="19"/>
  <c r="HE98" i="19" l="1"/>
  <c r="HE32" i="19"/>
  <c r="HD43" i="19"/>
  <c r="HD92" i="19"/>
  <c r="HE21" i="19"/>
  <c r="BU21" i="41" s="1"/>
  <c r="BU32" i="41"/>
  <c r="HE25" i="19"/>
  <c r="HE22" i="19"/>
  <c r="HE19" i="19"/>
  <c r="HE23" i="19"/>
  <c r="HE20" i="19"/>
  <c r="HE18" i="19"/>
  <c r="HE17" i="19"/>
  <c r="HE89" i="19"/>
  <c r="HE2" i="19"/>
  <c r="HE30" i="19"/>
  <c r="HE38" i="19"/>
  <c r="HE90" i="19" s="1"/>
  <c r="HD24" i="19"/>
  <c r="HF7" i="19"/>
  <c r="HE49" i="19"/>
  <c r="HE31" i="19"/>
  <c r="HF98" i="19" l="1"/>
  <c r="HF32" i="19"/>
  <c r="HE43" i="19"/>
  <c r="HE92" i="19"/>
  <c r="HF21" i="19"/>
  <c r="HF25" i="19"/>
  <c r="HF23" i="19"/>
  <c r="HF19" i="19"/>
  <c r="HF22" i="19"/>
  <c r="HF20" i="19"/>
  <c r="HF17" i="19"/>
  <c r="HF18" i="19"/>
  <c r="HF89" i="19"/>
  <c r="HF2" i="19"/>
  <c r="HF30" i="19"/>
  <c r="HF38" i="19"/>
  <c r="HF90" i="19" s="1"/>
  <c r="HE24" i="19"/>
  <c r="HF31" i="19"/>
  <c r="HG7" i="19"/>
  <c r="HF49" i="19"/>
  <c r="HG98" i="19" l="1"/>
  <c r="HG32" i="19"/>
  <c r="HF43" i="19"/>
  <c r="HF92" i="19"/>
  <c r="HG21" i="19"/>
  <c r="HG23" i="19"/>
  <c r="HG25" i="19"/>
  <c r="HG19" i="19"/>
  <c r="HG20" i="19"/>
  <c r="HG22" i="19"/>
  <c r="HG18" i="19"/>
  <c r="HG17" i="19"/>
  <c r="HG89" i="19"/>
  <c r="HG2" i="19"/>
  <c r="HG30" i="19"/>
  <c r="HG38" i="19"/>
  <c r="HG90" i="19" s="1"/>
  <c r="HF24" i="19"/>
  <c r="HH7" i="19"/>
  <c r="HG49" i="19"/>
  <c r="HG31" i="19"/>
  <c r="HH98" i="19" l="1"/>
  <c r="HH32" i="19"/>
  <c r="HG43" i="19"/>
  <c r="HG92" i="19"/>
  <c r="HH21" i="19"/>
  <c r="BV21" i="41" s="1"/>
  <c r="BV32" i="41"/>
  <c r="HH23" i="19"/>
  <c r="HH19" i="19"/>
  <c r="HH25" i="19"/>
  <c r="HH20" i="19"/>
  <c r="BV20" i="41" s="1"/>
  <c r="HH22" i="19"/>
  <c r="BV22" i="41" s="1"/>
  <c r="HH18" i="19"/>
  <c r="HH17" i="19"/>
  <c r="HH89" i="19"/>
  <c r="HH2" i="19"/>
  <c r="HH38" i="19"/>
  <c r="HH90" i="19" s="1"/>
  <c r="HH30" i="19"/>
  <c r="HG24" i="19"/>
  <c r="HH49" i="19"/>
  <c r="HH31" i="19"/>
  <c r="HI7" i="19"/>
  <c r="HI98" i="19" l="1"/>
  <c r="HI32" i="19"/>
  <c r="HH43" i="19"/>
  <c r="HH92" i="19"/>
  <c r="BV30" i="41"/>
  <c r="HI21" i="19"/>
  <c r="HI23" i="19"/>
  <c r="HI19" i="19"/>
  <c r="HI25" i="19"/>
  <c r="HI20" i="19"/>
  <c r="HI22" i="19"/>
  <c r="HI17" i="19"/>
  <c r="HI18" i="19"/>
  <c r="HI89" i="19"/>
  <c r="HI2" i="19"/>
  <c r="HI38" i="19"/>
  <c r="HI90" i="19" s="1"/>
  <c r="HI30" i="19"/>
  <c r="HH24" i="19"/>
  <c r="HI31" i="19"/>
  <c r="HJ7" i="19"/>
  <c r="HI49" i="19"/>
  <c r="HJ98" i="19" l="1"/>
  <c r="HJ32" i="19"/>
  <c r="HI43" i="19"/>
  <c r="HI92" i="19"/>
  <c r="HJ21" i="19"/>
  <c r="HJ23" i="19"/>
  <c r="HJ25" i="19"/>
  <c r="HJ22" i="19"/>
  <c r="HJ19" i="19"/>
  <c r="HJ20" i="19"/>
  <c r="HJ17" i="19"/>
  <c r="HJ18" i="19"/>
  <c r="HJ89" i="19"/>
  <c r="HJ2" i="19"/>
  <c r="HJ30" i="19"/>
  <c r="HJ38" i="19"/>
  <c r="HJ90" i="19" s="1"/>
  <c r="HI24" i="19"/>
  <c r="HJ49" i="19"/>
  <c r="HK7" i="19"/>
  <c r="HJ31" i="19"/>
  <c r="HK98" i="19" l="1"/>
  <c r="HK32" i="19"/>
  <c r="HJ43" i="19"/>
  <c r="HJ92" i="19"/>
  <c r="HK21" i="19"/>
  <c r="BW21" i="41" s="1"/>
  <c r="BW32" i="41"/>
  <c r="HK25" i="19"/>
  <c r="BW25" i="41" s="1"/>
  <c r="HK23" i="19"/>
  <c r="HK22" i="19"/>
  <c r="HK19" i="19"/>
  <c r="HK20" i="19"/>
  <c r="BW20" i="41" s="1"/>
  <c r="HK18" i="19"/>
  <c r="BW18" i="41" s="1"/>
  <c r="HK17" i="19"/>
  <c r="HK89" i="19"/>
  <c r="HK2" i="19"/>
  <c r="HK38" i="19"/>
  <c r="HK90" i="19" s="1"/>
  <c r="HK30" i="19"/>
  <c r="HJ24" i="19"/>
  <c r="HL7" i="19"/>
  <c r="HK49" i="19"/>
  <c r="HK31" i="19"/>
  <c r="HL98" i="19" l="1"/>
  <c r="HL32" i="19"/>
  <c r="HK43" i="19"/>
  <c r="HK92" i="19"/>
  <c r="HL21" i="19"/>
  <c r="HL25" i="19"/>
  <c r="HL23" i="19"/>
  <c r="HL22" i="19"/>
  <c r="HL19" i="19"/>
  <c r="HL20" i="19"/>
  <c r="HL18" i="19"/>
  <c r="HL17" i="19"/>
  <c r="HL89" i="19"/>
  <c r="HL2" i="19"/>
  <c r="HL38" i="19"/>
  <c r="HL90" i="19" s="1"/>
  <c r="HL30" i="19"/>
  <c r="HK24" i="19"/>
  <c r="HL49" i="19"/>
  <c r="HM7" i="19"/>
  <c r="HL31" i="19"/>
  <c r="HM98" i="19" l="1"/>
  <c r="HM32" i="19"/>
  <c r="HL43" i="19"/>
  <c r="HL92" i="19"/>
  <c r="HM21" i="19"/>
  <c r="HM25" i="19"/>
  <c r="HM23" i="19"/>
  <c r="HM22" i="19"/>
  <c r="HM19" i="19"/>
  <c r="HM20" i="19"/>
  <c r="HM18" i="19"/>
  <c r="HM17" i="19"/>
  <c r="HM89" i="19"/>
  <c r="HM2" i="19"/>
  <c r="HM30" i="19"/>
  <c r="HM38" i="19"/>
  <c r="HM90" i="19" s="1"/>
  <c r="HL24" i="19"/>
  <c r="HM49" i="19"/>
  <c r="HM31" i="19"/>
  <c r="HN7" i="19"/>
  <c r="HN98" i="19" l="1"/>
  <c r="HN32" i="19"/>
  <c r="HM43" i="19"/>
  <c r="HM92" i="19"/>
  <c r="HN21" i="19"/>
  <c r="BX21" i="41" s="1"/>
  <c r="BX32" i="41"/>
  <c r="HN25" i="19"/>
  <c r="HN23" i="19"/>
  <c r="HN22" i="19"/>
  <c r="HN19" i="19"/>
  <c r="HN20" i="19"/>
  <c r="BX20" i="41" s="1"/>
  <c r="HN17" i="19"/>
  <c r="HN18" i="19"/>
  <c r="HN89" i="19"/>
  <c r="HN2" i="19"/>
  <c r="HN30" i="19"/>
  <c r="HN38" i="19"/>
  <c r="HN90" i="19" s="1"/>
  <c r="HM24" i="19"/>
  <c r="HN49" i="19"/>
  <c r="HN31" i="19"/>
  <c r="HO7" i="19"/>
  <c r="HO98" i="19" l="1"/>
  <c r="HO32" i="19"/>
  <c r="HN43" i="19"/>
  <c r="HN92" i="19"/>
  <c r="HO21" i="19"/>
  <c r="HO23" i="19"/>
  <c r="HO22" i="19"/>
  <c r="HO25" i="19"/>
  <c r="HO20" i="19"/>
  <c r="HO19" i="19"/>
  <c r="HO18" i="19"/>
  <c r="HO17" i="19"/>
  <c r="HO89" i="19"/>
  <c r="HO2" i="19"/>
  <c r="HO30" i="19"/>
  <c r="HO38" i="19"/>
  <c r="HO90" i="19" s="1"/>
  <c r="HN24" i="19"/>
  <c r="HP7" i="19"/>
  <c r="HO31" i="19"/>
  <c r="HO49" i="19"/>
  <c r="HP98" i="19" l="1"/>
  <c r="HP32" i="19"/>
  <c r="HO43" i="19"/>
  <c r="HO92" i="19"/>
  <c r="HP21" i="19"/>
  <c r="HP23" i="19"/>
  <c r="HP19" i="19"/>
  <c r="HP25" i="19"/>
  <c r="HP22" i="19"/>
  <c r="HP20" i="19"/>
  <c r="HP18" i="19"/>
  <c r="HP17" i="19"/>
  <c r="HP89" i="19"/>
  <c r="HP2" i="19"/>
  <c r="HP38" i="19"/>
  <c r="HP90" i="19" s="1"/>
  <c r="HP30" i="19"/>
  <c r="HO24" i="19"/>
  <c r="HP49" i="19"/>
  <c r="HP31" i="19"/>
  <c r="HQ7" i="19"/>
  <c r="HQ98" i="19" l="1"/>
  <c r="HQ32" i="19"/>
  <c r="HP43" i="19"/>
  <c r="HP92" i="19"/>
  <c r="HQ21" i="19"/>
  <c r="BY21" i="41" s="1"/>
  <c r="BY32" i="41"/>
  <c r="HQ23" i="19"/>
  <c r="HQ19" i="19"/>
  <c r="HQ20" i="19"/>
  <c r="HQ25" i="19"/>
  <c r="HQ22" i="19"/>
  <c r="HQ17" i="19"/>
  <c r="BY17" i="41" s="1"/>
  <c r="HQ18" i="19"/>
  <c r="HQ89" i="19"/>
  <c r="HQ2" i="19"/>
  <c r="HQ38" i="19"/>
  <c r="HQ90" i="19" s="1"/>
  <c r="HQ30" i="19"/>
  <c r="HP24" i="19"/>
  <c r="HQ49" i="19"/>
  <c r="HQ31" i="19"/>
  <c r="HR7" i="19"/>
  <c r="HR98" i="19" l="1"/>
  <c r="HR32" i="19"/>
  <c r="HQ43" i="19"/>
  <c r="HQ92" i="19"/>
  <c r="HR21" i="19"/>
  <c r="HR23" i="19"/>
  <c r="HR25" i="19"/>
  <c r="HR20" i="19"/>
  <c r="HR22" i="19"/>
  <c r="HR19" i="19"/>
  <c r="HR17" i="19"/>
  <c r="HR18" i="19"/>
  <c r="HR89" i="19"/>
  <c r="HR2" i="19"/>
  <c r="HR30" i="19"/>
  <c r="HR38" i="19"/>
  <c r="HR90" i="19" s="1"/>
  <c r="HQ24" i="19"/>
  <c r="HR49" i="19"/>
  <c r="HR31" i="19"/>
  <c r="HS7" i="19"/>
  <c r="HS98" i="19" l="1"/>
  <c r="HS32" i="19"/>
  <c r="HR43" i="19"/>
  <c r="HR92" i="19"/>
  <c r="HS21" i="19"/>
  <c r="HS25" i="19"/>
  <c r="HS22" i="19"/>
  <c r="HS23" i="19"/>
  <c r="HS19" i="19"/>
  <c r="HS20" i="19"/>
  <c r="HS18" i="19"/>
  <c r="HS17" i="19"/>
  <c r="HS89" i="19"/>
  <c r="HS2" i="19"/>
  <c r="HS38" i="19"/>
  <c r="HS90" i="19" s="1"/>
  <c r="HS30" i="19"/>
  <c r="HT7" i="19"/>
  <c r="HR24" i="19"/>
  <c r="HS31" i="19"/>
  <c r="HS49" i="19"/>
  <c r="HT98" i="19" l="1"/>
  <c r="HT32" i="19"/>
  <c r="HS43" i="19"/>
  <c r="HS92" i="19"/>
  <c r="HT21" i="19"/>
  <c r="BZ21" i="41" s="1"/>
  <c r="BZ32" i="41"/>
  <c r="HT25" i="19"/>
  <c r="HT22" i="19"/>
  <c r="HT23" i="19"/>
  <c r="HT19" i="19"/>
  <c r="BZ19" i="41" s="1"/>
  <c r="HT20" i="19"/>
  <c r="BZ20" i="41" s="1"/>
  <c r="HT18" i="19"/>
  <c r="BZ18" i="41" s="1"/>
  <c r="HT17" i="19"/>
  <c r="HT89" i="19"/>
  <c r="HT2" i="19"/>
  <c r="HT31" i="19"/>
  <c r="HT38" i="19"/>
  <c r="HT90" i="19" s="1"/>
  <c r="HT30" i="19"/>
  <c r="HU7" i="19"/>
  <c r="HT49" i="19"/>
  <c r="HS24" i="19"/>
  <c r="HU98" i="19" l="1"/>
  <c r="HU32" i="19"/>
  <c r="HT43" i="19"/>
  <c r="HT92" i="19"/>
  <c r="HU21" i="19"/>
  <c r="HU25" i="19"/>
  <c r="HU22" i="19"/>
  <c r="HU19" i="19"/>
  <c r="HU20" i="19"/>
  <c r="HU23" i="19"/>
  <c r="HU18" i="19"/>
  <c r="HU17" i="19"/>
  <c r="HU89" i="19"/>
  <c r="HU2" i="19"/>
  <c r="HU30" i="19"/>
  <c r="HU38" i="19"/>
  <c r="HU90" i="19" s="1"/>
  <c r="HU31" i="19"/>
  <c r="HV7" i="19"/>
  <c r="HU49" i="19"/>
  <c r="HT24" i="19"/>
  <c r="HV98" i="19" l="1"/>
  <c r="HV32" i="19"/>
  <c r="HU43" i="19"/>
  <c r="HU92" i="19"/>
  <c r="HV21" i="19"/>
  <c r="HV25" i="19"/>
  <c r="HV23" i="19"/>
  <c r="HV19" i="19"/>
  <c r="HV22" i="19"/>
  <c r="HV20" i="19"/>
  <c r="HV17" i="19"/>
  <c r="HV18" i="19"/>
  <c r="HV49" i="19"/>
  <c r="HV2" i="19"/>
  <c r="HV89" i="19"/>
  <c r="HV30" i="19"/>
  <c r="HV38" i="19"/>
  <c r="HV90" i="19" s="1"/>
  <c r="HW7" i="19"/>
  <c r="HV31" i="19"/>
  <c r="HU24" i="19"/>
  <c r="HW98" i="19" l="1"/>
  <c r="HW32" i="19"/>
  <c r="HV43" i="19"/>
  <c r="HV92" i="19"/>
  <c r="HW21" i="19"/>
  <c r="CA21" i="41" s="1"/>
  <c r="CA32" i="41"/>
  <c r="HW23" i="19"/>
  <c r="HW25" i="19"/>
  <c r="HW19" i="19"/>
  <c r="CA19" i="41" s="1"/>
  <c r="HW22" i="19"/>
  <c r="HW20" i="19"/>
  <c r="CA20" i="41" s="1"/>
  <c r="HW18" i="19"/>
  <c r="CA18" i="41" s="1"/>
  <c r="HW17" i="19"/>
  <c r="HW2" i="19"/>
  <c r="HX7" i="19"/>
  <c r="HW89" i="19"/>
  <c r="HW31" i="19"/>
  <c r="HW49" i="19"/>
  <c r="HW30" i="19"/>
  <c r="HW38" i="19"/>
  <c r="HW90" i="19" s="1"/>
  <c r="HV24" i="19"/>
  <c r="HX98" i="19" l="1"/>
  <c r="HX32" i="19"/>
  <c r="HW43" i="19"/>
  <c r="HW92" i="19"/>
  <c r="HX31" i="19"/>
  <c r="HX21" i="19"/>
  <c r="HY7" i="19"/>
  <c r="HY32" i="19" s="1"/>
  <c r="HX23" i="19"/>
  <c r="HX25" i="19"/>
  <c r="HX19" i="19"/>
  <c r="HX22" i="19"/>
  <c r="HX20" i="19"/>
  <c r="HX18" i="19"/>
  <c r="HX17" i="19"/>
  <c r="HX89" i="19"/>
  <c r="HX2" i="19"/>
  <c r="HX49" i="19"/>
  <c r="HX30" i="19"/>
  <c r="HX38" i="19"/>
  <c r="HX90" i="19" s="1"/>
  <c r="HW24" i="19"/>
  <c r="HY2" i="19" l="1"/>
  <c r="HY17" i="19"/>
  <c r="HY98" i="19"/>
  <c r="HX43" i="19"/>
  <c r="HX92" i="19"/>
  <c r="HZ7" i="19"/>
  <c r="HZ32" i="19" s="1"/>
  <c r="HY31" i="19"/>
  <c r="HY25" i="19"/>
  <c r="HY19" i="19"/>
  <c r="HY18" i="19"/>
  <c r="HY22" i="19"/>
  <c r="HY23" i="19"/>
  <c r="HY49" i="19"/>
  <c r="HY89" i="19"/>
  <c r="HY30" i="19"/>
  <c r="HY38" i="19"/>
  <c r="HY90" i="19" s="1"/>
  <c r="HY21" i="19"/>
  <c r="HY20" i="19"/>
  <c r="HX24" i="19"/>
  <c r="HZ23" i="19" l="1"/>
  <c r="CB23" i="41" s="1"/>
  <c r="HZ98" i="19"/>
  <c r="HY43" i="19"/>
  <c r="HY92" i="19"/>
  <c r="HZ18" i="19"/>
  <c r="CB18" i="41" s="1"/>
  <c r="IA7" i="19"/>
  <c r="IA22" i="19" s="1"/>
  <c r="HZ17" i="19"/>
  <c r="CB17" i="41" s="1"/>
  <c r="CB32" i="41"/>
  <c r="HZ21" i="19"/>
  <c r="CB21" i="41" s="1"/>
  <c r="HZ19" i="19"/>
  <c r="CB19" i="41" s="1"/>
  <c r="HZ31" i="19"/>
  <c r="HZ49" i="19"/>
  <c r="HZ38" i="19"/>
  <c r="HZ90" i="19" s="1"/>
  <c r="HZ20" i="19"/>
  <c r="CB20" i="41" s="1"/>
  <c r="HZ30" i="19"/>
  <c r="HZ22" i="19"/>
  <c r="CB22" i="41" s="1"/>
  <c r="HZ2" i="19"/>
  <c r="HZ25" i="19"/>
  <c r="CB25" i="41" s="1"/>
  <c r="HZ89" i="19"/>
  <c r="HY24" i="19"/>
  <c r="IA18" i="19"/>
  <c r="IA38" i="19"/>
  <c r="IA90" i="19" s="1"/>
  <c r="IA31" i="19"/>
  <c r="IA19" i="19" l="1"/>
  <c r="IA98" i="19"/>
  <c r="IA32" i="19"/>
  <c r="IA25" i="19"/>
  <c r="IB7" i="19"/>
  <c r="IA2" i="19"/>
  <c r="IA21" i="19"/>
  <c r="IA89" i="19"/>
  <c r="IA17" i="19"/>
  <c r="IA49" i="19"/>
  <c r="IA23" i="19"/>
  <c r="IA30" i="19"/>
  <c r="IA20" i="19"/>
  <c r="HZ43" i="19"/>
  <c r="HZ92" i="19"/>
  <c r="IA43" i="19"/>
  <c r="IA92" i="19"/>
  <c r="CB30" i="41"/>
  <c r="CB31" i="41"/>
  <c r="CB98" i="41" s="1"/>
  <c r="HZ24" i="19"/>
  <c r="CB24" i="41"/>
  <c r="IB21" i="19"/>
  <c r="IB25" i="19"/>
  <c r="IB22" i="19"/>
  <c r="IB19" i="19"/>
  <c r="IB20" i="19"/>
  <c r="IB23" i="19"/>
  <c r="IB18" i="19"/>
  <c r="IB17" i="19"/>
  <c r="IB89" i="19"/>
  <c r="IB2" i="19"/>
  <c r="IB38" i="19"/>
  <c r="IB90" i="19" s="1"/>
  <c r="IB30" i="19"/>
  <c r="IB49" i="19"/>
  <c r="IB31" i="19"/>
  <c r="IC7" i="19"/>
  <c r="IB98" i="19" l="1"/>
  <c r="IB32" i="19"/>
  <c r="IC98" i="19"/>
  <c r="IC32" i="19"/>
  <c r="IA24" i="19"/>
  <c r="IB43" i="19"/>
  <c r="IB92" i="19"/>
  <c r="IC21" i="19"/>
  <c r="CC21" i="41" s="1"/>
  <c r="CC32" i="41"/>
  <c r="IC25" i="19"/>
  <c r="IC23" i="19"/>
  <c r="IC22" i="19"/>
  <c r="IC19" i="19"/>
  <c r="IC20" i="19"/>
  <c r="IC18" i="19"/>
  <c r="IC17" i="19"/>
  <c r="IC89" i="19"/>
  <c r="IC2" i="19"/>
  <c r="IC30" i="19"/>
  <c r="IC38" i="19"/>
  <c r="IC90" i="19" s="1"/>
  <c r="IC49" i="19"/>
  <c r="IC31" i="19"/>
  <c r="ID7" i="19"/>
  <c r="IB24" i="19"/>
  <c r="ID98" i="19" l="1"/>
  <c r="ID32" i="19"/>
  <c r="IC43" i="19"/>
  <c r="IC92" i="19"/>
  <c r="ID21" i="19"/>
  <c r="ID25" i="19"/>
  <c r="ID23" i="19"/>
  <c r="ID22" i="19"/>
  <c r="ID20" i="19"/>
  <c r="ID19" i="19"/>
  <c r="ID17" i="19"/>
  <c r="ID18" i="19"/>
  <c r="ID89" i="19"/>
  <c r="ID2" i="19"/>
  <c r="ID30" i="19"/>
  <c r="ID38" i="19"/>
  <c r="ID90" i="19" s="1"/>
  <c r="IC24" i="19"/>
  <c r="ID49" i="19"/>
  <c r="ID31" i="19"/>
  <c r="IE7" i="19"/>
  <c r="IE98" i="19" l="1"/>
  <c r="IE32" i="19"/>
  <c r="ID43" i="19"/>
  <c r="ID92" i="19"/>
  <c r="IE21" i="19"/>
  <c r="IE23" i="19"/>
  <c r="IE25" i="19"/>
  <c r="IE20" i="19"/>
  <c r="IE19" i="19"/>
  <c r="IE22" i="19"/>
  <c r="IE18" i="19"/>
  <c r="IE17" i="19"/>
  <c r="IE89" i="19"/>
  <c r="IE2" i="19"/>
  <c r="IE30" i="19"/>
  <c r="IE38" i="19"/>
  <c r="IE90" i="19" s="1"/>
  <c r="ID24" i="19"/>
  <c r="IE31" i="19"/>
  <c r="IE49" i="19"/>
  <c r="IF7" i="19"/>
  <c r="IF98" i="19" l="1"/>
  <c r="IF32" i="19"/>
  <c r="IE43" i="19"/>
  <c r="IE92" i="19"/>
  <c r="IF21" i="19"/>
  <c r="CD21" i="41" s="1"/>
  <c r="CD32" i="41"/>
  <c r="IF23" i="19"/>
  <c r="IF19" i="19"/>
  <c r="CD19" i="41" s="1"/>
  <c r="IF25" i="19"/>
  <c r="IF22" i="19"/>
  <c r="CD22" i="41" s="1"/>
  <c r="IF20" i="19"/>
  <c r="IF18" i="19"/>
  <c r="CD18" i="41" s="1"/>
  <c r="IF17" i="19"/>
  <c r="IF89" i="19"/>
  <c r="IF2" i="19"/>
  <c r="IF38" i="19"/>
  <c r="IF90" i="19" s="1"/>
  <c r="IF30" i="19"/>
  <c r="IE24" i="19"/>
  <c r="IF49" i="19"/>
  <c r="IF31" i="19"/>
  <c r="IG7" i="19"/>
  <c r="IG98" i="19" l="1"/>
  <c r="IG32" i="19"/>
  <c r="IF43" i="19"/>
  <c r="IF92" i="19"/>
  <c r="CD31" i="41"/>
  <c r="CD98" i="41" s="1"/>
  <c r="IG21" i="19"/>
  <c r="IG23" i="19"/>
  <c r="IG25" i="19"/>
  <c r="IG19" i="19"/>
  <c r="IG22" i="19"/>
  <c r="IG20" i="19"/>
  <c r="IG17" i="19"/>
  <c r="IG18" i="19"/>
  <c r="IG89" i="19"/>
  <c r="IG2" i="19"/>
  <c r="IG38" i="19"/>
  <c r="IG90" i="19" s="1"/>
  <c r="IG30" i="19"/>
  <c r="IG49" i="19"/>
  <c r="IG31" i="19"/>
  <c r="IH7" i="19"/>
  <c r="IF24" i="19"/>
  <c r="IH98" i="19" l="1"/>
  <c r="IH32" i="19"/>
  <c r="IG43" i="19"/>
  <c r="IG92" i="19"/>
  <c r="IH21" i="19"/>
  <c r="IH23" i="19"/>
  <c r="IH25" i="19"/>
  <c r="IH20" i="19"/>
  <c r="IH19" i="19"/>
  <c r="IH22" i="19"/>
  <c r="IH17" i="19"/>
  <c r="IH18" i="19"/>
  <c r="IH89" i="19"/>
  <c r="IH2" i="19"/>
  <c r="IH30" i="19"/>
  <c r="IH38" i="19"/>
  <c r="IH90" i="19" s="1"/>
  <c r="IH49" i="19"/>
  <c r="IH31" i="19"/>
  <c r="II7" i="19"/>
  <c r="IG24" i="19"/>
  <c r="II98" i="19" l="1"/>
  <c r="II32" i="19"/>
  <c r="IH43" i="19"/>
  <c r="IH92" i="19"/>
  <c r="II21" i="19"/>
  <c r="CE21" i="41" s="1"/>
  <c r="CE32" i="41"/>
  <c r="II25" i="19"/>
  <c r="II23" i="19"/>
  <c r="II22" i="19"/>
  <c r="II20" i="19"/>
  <c r="II19" i="19"/>
  <c r="II18" i="19"/>
  <c r="CE18" i="41" s="1"/>
  <c r="II17" i="19"/>
  <c r="II89" i="19"/>
  <c r="II2" i="19"/>
  <c r="II38" i="19"/>
  <c r="II90" i="19" s="1"/>
  <c r="II30" i="19"/>
  <c r="IH24" i="19"/>
  <c r="II49" i="19"/>
  <c r="II31" i="19"/>
  <c r="IJ7" i="19"/>
  <c r="IJ98" i="19" l="1"/>
  <c r="IJ32" i="19"/>
  <c r="II43" i="19"/>
  <c r="II92" i="19"/>
  <c r="IJ21" i="19"/>
  <c r="IJ25" i="19"/>
  <c r="IJ23" i="19"/>
  <c r="IJ22" i="19"/>
  <c r="IJ20" i="19"/>
  <c r="IJ19" i="19"/>
  <c r="IJ18" i="19"/>
  <c r="IJ17" i="19"/>
  <c r="IJ89" i="19"/>
  <c r="IJ2" i="19"/>
  <c r="IJ30" i="19"/>
  <c r="IJ38" i="19"/>
  <c r="IJ90" i="19" s="1"/>
  <c r="II24" i="19"/>
  <c r="IJ49" i="19"/>
  <c r="IJ31" i="19"/>
  <c r="IK7" i="19"/>
  <c r="IK98" i="19" l="1"/>
  <c r="IK32" i="19"/>
  <c r="IJ43" i="19"/>
  <c r="IJ92" i="19"/>
  <c r="IK21" i="19"/>
  <c r="IK25" i="19"/>
  <c r="IK23" i="19"/>
  <c r="IK22" i="19"/>
  <c r="IK19" i="19"/>
  <c r="IK20" i="19"/>
  <c r="IK18" i="19"/>
  <c r="IK17" i="19"/>
  <c r="IK89" i="19"/>
  <c r="IK2" i="19"/>
  <c r="IK30" i="19"/>
  <c r="IK38" i="19"/>
  <c r="IK90" i="19" s="1"/>
  <c r="IJ24" i="19"/>
  <c r="IK49" i="19"/>
  <c r="IK31" i="19"/>
  <c r="IL7" i="19"/>
  <c r="IL98" i="19" l="1"/>
  <c r="IL32" i="19"/>
  <c r="CF32" i="41" s="1"/>
  <c r="IK43" i="19"/>
  <c r="IK92" i="19"/>
  <c r="IL21" i="19"/>
  <c r="CF21" i="41" s="1"/>
  <c r="IL25" i="19"/>
  <c r="IL23" i="19"/>
  <c r="IL22" i="19"/>
  <c r="IL19" i="19"/>
  <c r="IL20" i="19"/>
  <c r="CF20" i="41" s="1"/>
  <c r="IL17" i="19"/>
  <c r="IL18" i="19"/>
  <c r="IL89" i="19"/>
  <c r="IL2" i="19"/>
  <c r="IL30" i="19"/>
  <c r="IL38" i="19"/>
  <c r="IL90" i="19" s="1"/>
  <c r="IK24" i="19"/>
  <c r="IL49" i="19"/>
  <c r="IL31" i="19"/>
  <c r="IM7" i="19"/>
  <c r="IM98" i="19" l="1"/>
  <c r="IM32" i="19"/>
  <c r="IL43" i="19"/>
  <c r="IL92" i="19"/>
  <c r="CF31" i="41"/>
  <c r="CF98" i="41" s="1"/>
  <c r="IM21" i="19"/>
  <c r="IM23" i="19"/>
  <c r="IM22" i="19"/>
  <c r="IM25" i="19"/>
  <c r="IM20" i="19"/>
  <c r="IM19" i="19"/>
  <c r="IM18" i="19"/>
  <c r="IM17" i="19"/>
  <c r="IM89" i="19"/>
  <c r="IM2" i="19"/>
  <c r="IM30" i="19"/>
  <c r="IM38" i="19"/>
  <c r="IM90" i="19" s="1"/>
  <c r="IM49" i="19"/>
  <c r="IM31" i="19"/>
  <c r="IN7" i="19"/>
  <c r="IL24" i="19"/>
  <c r="IN98" i="19" l="1"/>
  <c r="IN32" i="19"/>
  <c r="IM43" i="19"/>
  <c r="IM92" i="19"/>
  <c r="IN21" i="19"/>
  <c r="IN23" i="19"/>
  <c r="IN19" i="19"/>
  <c r="IN22" i="19"/>
  <c r="IN25" i="19"/>
  <c r="IN20" i="19"/>
  <c r="IN18" i="19"/>
  <c r="IN17" i="19"/>
  <c r="IN89" i="19"/>
  <c r="IN2" i="19"/>
  <c r="IN38" i="19"/>
  <c r="IN90" i="19" s="1"/>
  <c r="IN30" i="19"/>
  <c r="IN49" i="19"/>
  <c r="IN31" i="19"/>
  <c r="IO7" i="19"/>
  <c r="IM24" i="19"/>
  <c r="IO98" i="19" l="1"/>
  <c r="IO32" i="19"/>
  <c r="IN43" i="19"/>
  <c r="IN92" i="19"/>
  <c r="IO21" i="19"/>
  <c r="CG21" i="41" s="1"/>
  <c r="CG32" i="41"/>
  <c r="IO23" i="19"/>
  <c r="IO25" i="19"/>
  <c r="IO22" i="19"/>
  <c r="IO19" i="19"/>
  <c r="IO20" i="19"/>
  <c r="CG20" i="41" s="1"/>
  <c r="IO17" i="19"/>
  <c r="CG17" i="41" s="1"/>
  <c r="IO18" i="19"/>
  <c r="IO89" i="19"/>
  <c r="IO2" i="19"/>
  <c r="IO30" i="19"/>
  <c r="IO38" i="19"/>
  <c r="IO90" i="19" s="1"/>
  <c r="IO49" i="19"/>
  <c r="IO31" i="19"/>
  <c r="IP7" i="19"/>
  <c r="IN24" i="19"/>
  <c r="IP98" i="19" l="1"/>
  <c r="IP32" i="19"/>
  <c r="IO43" i="19"/>
  <c r="IO92" i="19"/>
  <c r="IP21" i="19"/>
  <c r="IP23" i="19"/>
  <c r="IP25" i="19"/>
  <c r="IP20" i="19"/>
  <c r="IP22" i="19"/>
  <c r="IP19" i="19"/>
  <c r="IP17" i="19"/>
  <c r="IP18" i="19"/>
  <c r="IP89" i="19"/>
  <c r="IP2" i="19"/>
  <c r="IP30" i="19"/>
  <c r="IP38" i="19"/>
  <c r="IP90" i="19" s="1"/>
  <c r="IP49" i="19"/>
  <c r="IP31" i="19"/>
  <c r="IQ7" i="19"/>
  <c r="IO24" i="19"/>
  <c r="IQ98" i="19" l="1"/>
  <c r="IQ32" i="19"/>
  <c r="IP43" i="19"/>
  <c r="IP92" i="19"/>
  <c r="IQ21" i="19"/>
  <c r="IQ25" i="19"/>
  <c r="IQ22" i="19"/>
  <c r="IQ23" i="19"/>
  <c r="IQ20" i="19"/>
  <c r="IQ19" i="19"/>
  <c r="IQ18" i="19"/>
  <c r="IQ17" i="19"/>
  <c r="IQ89" i="19"/>
  <c r="IQ2" i="19"/>
  <c r="IQ38" i="19"/>
  <c r="IQ90" i="19" s="1"/>
  <c r="IQ30" i="19"/>
  <c r="IP24" i="19"/>
  <c r="IQ49" i="19"/>
  <c r="IQ31" i="19"/>
  <c r="IR7" i="19"/>
  <c r="IR98" i="19" l="1"/>
  <c r="IR32" i="19"/>
  <c r="IQ43" i="19"/>
  <c r="IQ92" i="19"/>
  <c r="IR21" i="19"/>
  <c r="CH21" i="41" s="1"/>
  <c r="CH32" i="41"/>
  <c r="IR25" i="19"/>
  <c r="IR22" i="19"/>
  <c r="IR23" i="19"/>
  <c r="IR19" i="19"/>
  <c r="CH19" i="41" s="1"/>
  <c r="IR20" i="19"/>
  <c r="CH20" i="41" s="1"/>
  <c r="IR18" i="19"/>
  <c r="CH18" i="41" s="1"/>
  <c r="IR17" i="19"/>
  <c r="IR89" i="19"/>
  <c r="IR2" i="19"/>
  <c r="IR38" i="19"/>
  <c r="IR90" i="19" s="1"/>
  <c r="IR30" i="19"/>
  <c r="IQ24" i="19"/>
  <c r="IR49" i="19"/>
  <c r="IR31" i="19"/>
  <c r="IS7" i="19"/>
  <c r="IS98" i="19" l="1"/>
  <c r="IS32" i="19"/>
  <c r="IR43" i="19"/>
  <c r="IR92" i="19"/>
  <c r="IS21" i="19"/>
  <c r="IS25" i="19"/>
  <c r="IS22" i="19"/>
  <c r="IS23" i="19"/>
  <c r="IS19" i="19"/>
  <c r="IS20" i="19"/>
  <c r="IS18" i="19"/>
  <c r="IS17" i="19"/>
  <c r="IS89" i="19"/>
  <c r="IS2" i="19"/>
  <c r="IS30" i="19"/>
  <c r="IS38" i="19"/>
  <c r="IS90" i="19" s="1"/>
  <c r="IR24" i="19"/>
  <c r="IS49" i="19"/>
  <c r="IS31" i="19"/>
  <c r="IT7" i="19"/>
  <c r="IT98" i="19" l="1"/>
  <c r="IT32" i="19"/>
  <c r="IS43" i="19"/>
  <c r="IS92" i="19"/>
  <c r="IT21" i="19"/>
  <c r="IT25" i="19"/>
  <c r="IT23" i="19"/>
  <c r="IT19" i="19"/>
  <c r="IT22" i="19"/>
  <c r="IT20" i="19"/>
  <c r="IT17" i="19"/>
  <c r="IT18" i="19"/>
  <c r="IT89" i="19"/>
  <c r="IT2" i="19"/>
  <c r="IT30" i="19"/>
  <c r="IT38" i="19"/>
  <c r="IT90" i="19" s="1"/>
  <c r="IS24" i="19"/>
  <c r="IT49" i="19"/>
  <c r="IT31" i="19"/>
  <c r="IU7" i="19"/>
  <c r="IU98" i="19" l="1"/>
  <c r="IU32" i="19"/>
  <c r="IT43" i="19"/>
  <c r="IT92" i="19"/>
  <c r="IU21" i="19"/>
  <c r="CI21" i="41" s="1"/>
  <c r="CI32" i="41"/>
  <c r="IU23" i="19"/>
  <c r="CI23" i="41" s="1"/>
  <c r="IU25" i="19"/>
  <c r="IU19" i="19"/>
  <c r="IU22" i="19"/>
  <c r="IU20" i="19"/>
  <c r="CI20" i="41" s="1"/>
  <c r="IU18" i="19"/>
  <c r="CI18" i="41" s="1"/>
  <c r="IU17" i="19"/>
  <c r="IU89" i="19"/>
  <c r="IU2" i="19"/>
  <c r="IU30" i="19"/>
  <c r="IU38" i="19"/>
  <c r="IU90" i="19" s="1"/>
  <c r="IT24" i="19"/>
  <c r="IU49" i="19"/>
  <c r="IU31" i="19"/>
  <c r="IV7" i="19"/>
  <c r="IV98" i="19" l="1"/>
  <c r="IV32" i="19"/>
  <c r="IU43" i="19"/>
  <c r="IU92" i="19"/>
  <c r="IV21" i="19"/>
  <c r="IV23" i="19"/>
  <c r="IV19" i="19"/>
  <c r="IV25" i="19"/>
  <c r="IV20" i="19"/>
  <c r="IV22" i="19"/>
  <c r="IV18" i="19"/>
  <c r="IV17" i="19"/>
  <c r="IV89" i="19"/>
  <c r="IV2" i="19"/>
  <c r="IV38" i="19"/>
  <c r="IV90" i="19" s="1"/>
  <c r="IV30" i="19"/>
  <c r="IV49" i="19"/>
  <c r="IV31" i="19"/>
  <c r="IW7" i="19"/>
  <c r="IU24" i="19"/>
  <c r="IW98" i="19" l="1"/>
  <c r="IW32" i="19"/>
  <c r="IV43" i="19"/>
  <c r="IV92" i="19"/>
  <c r="IW21" i="19"/>
  <c r="IW23" i="19"/>
  <c r="IW25" i="19"/>
  <c r="IW22" i="19"/>
  <c r="IW19" i="19"/>
  <c r="IW20" i="19"/>
  <c r="IW17" i="19"/>
  <c r="IW18" i="19"/>
  <c r="IW89" i="19"/>
  <c r="IW2" i="19"/>
  <c r="IW30" i="19"/>
  <c r="IW38" i="19"/>
  <c r="IW90" i="19" s="1"/>
  <c r="IV24" i="19"/>
  <c r="IW49" i="19"/>
  <c r="IW31" i="19"/>
  <c r="IX7" i="19"/>
  <c r="IX98" i="19" l="1"/>
  <c r="IX32" i="19"/>
  <c r="CJ32" i="41" s="1"/>
  <c r="IW43" i="19"/>
  <c r="IW92" i="19"/>
  <c r="IX21" i="19"/>
  <c r="CJ21" i="41" s="1"/>
  <c r="IX23" i="19"/>
  <c r="IX25" i="19"/>
  <c r="CJ25" i="41" s="1"/>
  <c r="IX22" i="19"/>
  <c r="IX20" i="19"/>
  <c r="IX19" i="19"/>
  <c r="IX17" i="19"/>
  <c r="IX18" i="19"/>
  <c r="CJ18" i="41" s="1"/>
  <c r="IX89" i="19"/>
  <c r="IX2" i="19"/>
  <c r="IX30" i="19"/>
  <c r="IX38" i="19"/>
  <c r="IX90" i="19" s="1"/>
  <c r="IW24" i="19"/>
  <c r="IX49" i="19"/>
  <c r="IX31" i="19"/>
  <c r="IY7" i="19"/>
  <c r="IY98" i="19" l="1"/>
  <c r="IY32" i="19"/>
  <c r="IX43" i="19"/>
  <c r="IX92" i="19"/>
  <c r="IY21" i="19"/>
  <c r="IY25" i="19"/>
  <c r="IY22" i="19"/>
  <c r="IY23" i="19"/>
  <c r="IY20" i="19"/>
  <c r="IY19" i="19"/>
  <c r="IY18" i="19"/>
  <c r="IY17" i="19"/>
  <c r="IY89" i="19"/>
  <c r="IY2" i="19"/>
  <c r="IY38" i="19"/>
  <c r="IY90" i="19" s="1"/>
  <c r="IY30" i="19"/>
  <c r="IY49" i="19"/>
  <c r="IY31" i="19"/>
  <c r="IZ7" i="19"/>
  <c r="IX24" i="19"/>
  <c r="IZ98" i="19" l="1"/>
  <c r="IZ32" i="19"/>
  <c r="IY43" i="19"/>
  <c r="IY92" i="19"/>
  <c r="IZ21" i="19"/>
  <c r="IZ25" i="19"/>
  <c r="IZ23" i="19"/>
  <c r="IZ22" i="19"/>
  <c r="IZ20" i="19"/>
  <c r="IZ19" i="19"/>
  <c r="IZ18" i="19"/>
  <c r="IZ17" i="19"/>
  <c r="IZ89" i="19"/>
  <c r="IZ2" i="19"/>
  <c r="IZ38" i="19"/>
  <c r="IZ90" i="19" s="1"/>
  <c r="IZ30" i="19"/>
  <c r="IZ49" i="19"/>
  <c r="IZ31" i="19"/>
  <c r="JA7" i="19"/>
  <c r="IY24" i="19"/>
  <c r="JA98" i="19" l="1"/>
  <c r="JA32" i="19"/>
  <c r="IZ43" i="19"/>
  <c r="IZ92" i="19"/>
  <c r="JA21" i="19"/>
  <c r="CK21" i="41" s="1"/>
  <c r="CK32" i="41"/>
  <c r="JA25" i="19"/>
  <c r="JA23" i="19"/>
  <c r="JA22" i="19"/>
  <c r="JA20" i="19"/>
  <c r="JA19" i="19"/>
  <c r="CK19" i="41" s="1"/>
  <c r="JA18" i="19"/>
  <c r="JA17" i="19"/>
  <c r="JA89" i="19"/>
  <c r="JA2" i="19"/>
  <c r="JA30" i="19"/>
  <c r="JA38" i="19"/>
  <c r="JA90" i="19" s="1"/>
  <c r="JA49" i="19"/>
  <c r="JA31" i="19"/>
  <c r="JB7" i="19"/>
  <c r="IZ24" i="19"/>
  <c r="JB98" i="19" l="1"/>
  <c r="JB32" i="19"/>
  <c r="JA43" i="19"/>
  <c r="JA92" i="19"/>
  <c r="JB21" i="19"/>
  <c r="JB25" i="19"/>
  <c r="JB23" i="19"/>
  <c r="JB22" i="19"/>
  <c r="JB20" i="19"/>
  <c r="JB19" i="19"/>
  <c r="JB17" i="19"/>
  <c r="JB18" i="19"/>
  <c r="JB89" i="19"/>
  <c r="JB2" i="19"/>
  <c r="JB30" i="19"/>
  <c r="JB38" i="19"/>
  <c r="JB90" i="19" s="1"/>
  <c r="JA24" i="19"/>
  <c r="JB49" i="19"/>
  <c r="JB31" i="19"/>
  <c r="JC7" i="19"/>
  <c r="JC98" i="19" l="1"/>
  <c r="JC32" i="19"/>
  <c r="JB43" i="19"/>
  <c r="JB92" i="19"/>
  <c r="JC21" i="19"/>
  <c r="JC23" i="19"/>
  <c r="JC25" i="19"/>
  <c r="JC19" i="19"/>
  <c r="JC22" i="19"/>
  <c r="JC20" i="19"/>
  <c r="JC18" i="19"/>
  <c r="JC17" i="19"/>
  <c r="JC89" i="19"/>
  <c r="JC2" i="19"/>
  <c r="JC30" i="19"/>
  <c r="JC38" i="19"/>
  <c r="JC90" i="19" s="1"/>
  <c r="JC49" i="19"/>
  <c r="JC31" i="19"/>
  <c r="JD7" i="19"/>
  <c r="JB24" i="19"/>
  <c r="JD98" i="19" l="1"/>
  <c r="JD32" i="19"/>
  <c r="JC43" i="19"/>
  <c r="JC92" i="19"/>
  <c r="JD21" i="19"/>
  <c r="CL21" i="41" s="1"/>
  <c r="CL32" i="41"/>
  <c r="JD23" i="19"/>
  <c r="JD19" i="19"/>
  <c r="JD25" i="19"/>
  <c r="JD22" i="19"/>
  <c r="CL22" i="41" s="1"/>
  <c r="JD20" i="19"/>
  <c r="CL20" i="41" s="1"/>
  <c r="JD18" i="19"/>
  <c r="CL18" i="41" s="1"/>
  <c r="JD17" i="19"/>
  <c r="JD89" i="19"/>
  <c r="JD2" i="19"/>
  <c r="JD38" i="19"/>
  <c r="JD90" i="19" s="1"/>
  <c r="JD30" i="19"/>
  <c r="JC24" i="19"/>
  <c r="JD49" i="19"/>
  <c r="JD31" i="19"/>
  <c r="JE7" i="19"/>
  <c r="JE98" i="19" l="1"/>
  <c r="JE32" i="19"/>
  <c r="JD43" i="19"/>
  <c r="JD92" i="19"/>
  <c r="CL31" i="41"/>
  <c r="CL98" i="41" s="1"/>
  <c r="JE21" i="19"/>
  <c r="JE23" i="19"/>
  <c r="JE19" i="19"/>
  <c r="JE25" i="19"/>
  <c r="JE22" i="19"/>
  <c r="JE20" i="19"/>
  <c r="JE17" i="19"/>
  <c r="JE18" i="19"/>
  <c r="JE89" i="19"/>
  <c r="JE2" i="19"/>
  <c r="JE30" i="19"/>
  <c r="JE38" i="19"/>
  <c r="JE90" i="19" s="1"/>
  <c r="JD24" i="19"/>
  <c r="JE49" i="19"/>
  <c r="JE31" i="19"/>
  <c r="JF7" i="19"/>
  <c r="JF98" i="19" l="1"/>
  <c r="JF32" i="19"/>
  <c r="JE43" i="19"/>
  <c r="JE92" i="19"/>
  <c r="JF21" i="19"/>
  <c r="JF23" i="19"/>
  <c r="JF25" i="19"/>
  <c r="JF19" i="19"/>
  <c r="JF20" i="19"/>
  <c r="JF22" i="19"/>
  <c r="JF17" i="19"/>
  <c r="JF18" i="19"/>
  <c r="JF89" i="19"/>
  <c r="JF2" i="19"/>
  <c r="JF30" i="19"/>
  <c r="JF38" i="19"/>
  <c r="JF90" i="19" s="1"/>
  <c r="JE24" i="19"/>
  <c r="JF49" i="19"/>
  <c r="JF31" i="19"/>
  <c r="JG7" i="19"/>
  <c r="JG98" i="19" l="1"/>
  <c r="JG32" i="19"/>
  <c r="JF43" i="19"/>
  <c r="JF92" i="19"/>
  <c r="JG21" i="19"/>
  <c r="CM21" i="41" s="1"/>
  <c r="CM32" i="41"/>
  <c r="JG25" i="19"/>
  <c r="JG22" i="19"/>
  <c r="CM22" i="41" s="1"/>
  <c r="JG23" i="19"/>
  <c r="JG19" i="19"/>
  <c r="JG20" i="19"/>
  <c r="CM20" i="41" s="1"/>
  <c r="JG18" i="19"/>
  <c r="JG17" i="19"/>
  <c r="JG89" i="19"/>
  <c r="JG2" i="19"/>
  <c r="JG38" i="19"/>
  <c r="JG90" i="19" s="1"/>
  <c r="JG30" i="19"/>
  <c r="JF24" i="19"/>
  <c r="JG49" i="19"/>
  <c r="JG31" i="19"/>
  <c r="JH7" i="19"/>
  <c r="JH98" i="19" l="1"/>
  <c r="JH32" i="19"/>
  <c r="JG43" i="19"/>
  <c r="JG92" i="19"/>
  <c r="CM31" i="41"/>
  <c r="CM98" i="41" s="1"/>
  <c r="JH21" i="19"/>
  <c r="JH25" i="19"/>
  <c r="JH22" i="19"/>
  <c r="JH23" i="19"/>
  <c r="JH19" i="19"/>
  <c r="JH20" i="19"/>
  <c r="JH18" i="19"/>
  <c r="JH17" i="19"/>
  <c r="JH89" i="19"/>
  <c r="JH2" i="19"/>
  <c r="JH38" i="19"/>
  <c r="JH90" i="19" s="1"/>
  <c r="JH30" i="19"/>
  <c r="JG24" i="19"/>
  <c r="JH49" i="19"/>
  <c r="JH31" i="19"/>
  <c r="JI7" i="19"/>
  <c r="JI98" i="19" l="1"/>
  <c r="JI32" i="19"/>
  <c r="JH43" i="19"/>
  <c r="JH92" i="19"/>
  <c r="JI21" i="19"/>
  <c r="JI25" i="19"/>
  <c r="JI22" i="19"/>
  <c r="JI23" i="19"/>
  <c r="JI19" i="19"/>
  <c r="JI20" i="19"/>
  <c r="JI18" i="19"/>
  <c r="JI17" i="19"/>
  <c r="JI89" i="19"/>
  <c r="JI2" i="19"/>
  <c r="JI30" i="19"/>
  <c r="JI38" i="19"/>
  <c r="JI90" i="19" s="1"/>
  <c r="JI49" i="19"/>
  <c r="JI31" i="19"/>
  <c r="JJ7" i="19"/>
  <c r="JH24" i="19"/>
  <c r="JJ98" i="19" l="1"/>
  <c r="JJ32" i="19"/>
  <c r="JI43" i="19"/>
  <c r="JI92" i="19"/>
  <c r="JJ21" i="19"/>
  <c r="CN21" i="41" s="1"/>
  <c r="CN32" i="41"/>
  <c r="JJ25" i="19"/>
  <c r="JJ23" i="19"/>
  <c r="JJ22" i="19"/>
  <c r="JJ19" i="19"/>
  <c r="CN19" i="41" s="1"/>
  <c r="JJ20" i="19"/>
  <c r="CN20" i="41" s="1"/>
  <c r="JJ17" i="19"/>
  <c r="JJ18" i="19"/>
  <c r="JJ89" i="19"/>
  <c r="JJ2" i="19"/>
  <c r="JJ30" i="19"/>
  <c r="JJ38" i="19"/>
  <c r="JJ90" i="19" s="1"/>
  <c r="JI24" i="19"/>
  <c r="JJ49" i="19"/>
  <c r="JJ31" i="19"/>
  <c r="JK7" i="19"/>
  <c r="JK98" i="19" l="1"/>
  <c r="JK32" i="19"/>
  <c r="JJ43" i="19"/>
  <c r="JJ92" i="19"/>
  <c r="JK21" i="19"/>
  <c r="JK23" i="19"/>
  <c r="JK22" i="19"/>
  <c r="JK19" i="19"/>
  <c r="JK25" i="19"/>
  <c r="JK20" i="19"/>
  <c r="JK18" i="19"/>
  <c r="JK17" i="19"/>
  <c r="JK89" i="19"/>
  <c r="JK2" i="19"/>
  <c r="JK30" i="19"/>
  <c r="JK38" i="19"/>
  <c r="JK90" i="19" s="1"/>
  <c r="JK49" i="19"/>
  <c r="JK31" i="19"/>
  <c r="JL7" i="19"/>
  <c r="JJ24" i="19"/>
  <c r="JL98" i="19" l="1"/>
  <c r="JL32" i="19"/>
  <c r="JK43" i="19"/>
  <c r="JK92" i="19"/>
  <c r="JL21" i="19"/>
  <c r="JL23" i="19"/>
  <c r="JL25" i="19"/>
  <c r="JL19" i="19"/>
  <c r="JL22" i="19"/>
  <c r="JL20" i="19"/>
  <c r="JL18" i="19"/>
  <c r="JL17" i="19"/>
  <c r="JL89" i="19"/>
  <c r="JL2" i="19"/>
  <c r="JL38" i="19"/>
  <c r="JL90" i="19" s="1"/>
  <c r="JL30" i="19"/>
  <c r="JL49" i="19"/>
  <c r="JL31" i="19"/>
  <c r="JM7" i="19"/>
  <c r="JK24" i="19"/>
  <c r="JM98" i="19" l="1"/>
  <c r="JM32" i="19"/>
  <c r="JL43" i="19"/>
  <c r="JL92" i="19"/>
  <c r="JM21" i="19"/>
  <c r="CO21" i="41" s="1"/>
  <c r="CO32" i="41"/>
  <c r="JM23" i="19"/>
  <c r="JM25" i="19"/>
  <c r="JM19" i="19"/>
  <c r="JM22" i="19"/>
  <c r="JM20" i="19"/>
  <c r="CO20" i="41" s="1"/>
  <c r="JM17" i="19"/>
  <c r="CO17" i="41" s="1"/>
  <c r="JM18" i="19"/>
  <c r="JM89" i="19"/>
  <c r="JM2" i="19"/>
  <c r="JM38" i="19"/>
  <c r="JM90" i="19" s="1"/>
  <c r="JM30" i="19"/>
  <c r="JM49" i="19"/>
  <c r="JM31" i="19"/>
  <c r="JN7" i="19"/>
  <c r="JL24" i="19"/>
  <c r="JN98" i="19" l="1"/>
  <c r="JN32" i="19"/>
  <c r="JM43" i="19"/>
  <c r="JM92" i="19"/>
  <c r="JN21" i="19"/>
  <c r="JN23" i="19"/>
  <c r="JN25" i="19"/>
  <c r="JN19" i="19"/>
  <c r="JN20" i="19"/>
  <c r="JN22" i="19"/>
  <c r="JN17" i="19"/>
  <c r="JN18" i="19"/>
  <c r="JN89" i="19"/>
  <c r="JN2" i="19"/>
  <c r="JN30" i="19"/>
  <c r="JN38" i="19"/>
  <c r="JN90" i="19" s="1"/>
  <c r="JN49" i="19"/>
  <c r="JN31" i="19"/>
  <c r="JO7" i="19"/>
  <c r="JM24" i="19"/>
  <c r="JO98" i="19" l="1"/>
  <c r="JO32" i="19"/>
  <c r="JN43" i="19"/>
  <c r="JN92" i="19"/>
  <c r="JO21" i="19"/>
  <c r="JO25" i="19"/>
  <c r="JO22" i="19"/>
  <c r="JO20" i="19"/>
  <c r="JO23" i="19"/>
  <c r="JO19" i="19"/>
  <c r="JO18" i="19"/>
  <c r="JO17" i="19"/>
  <c r="JO89" i="19"/>
  <c r="JO2" i="19"/>
  <c r="JO38" i="19"/>
  <c r="JO90" i="19" s="1"/>
  <c r="JO30" i="19"/>
  <c r="JO49" i="19"/>
  <c r="JO31" i="19"/>
  <c r="JP7" i="19"/>
  <c r="JN24" i="19"/>
  <c r="JP98" i="19" l="1"/>
  <c r="JP32" i="19"/>
  <c r="JO43" i="19"/>
  <c r="JO92" i="19"/>
  <c r="JP21" i="19"/>
  <c r="CP21" i="41" s="1"/>
  <c r="CP32" i="41"/>
  <c r="JP25" i="19"/>
  <c r="JP22" i="19"/>
  <c r="JP23" i="19"/>
  <c r="JP20" i="19"/>
  <c r="JP19" i="19"/>
  <c r="CP19" i="41" s="1"/>
  <c r="JP18" i="19"/>
  <c r="CP18" i="41" s="1"/>
  <c r="JP17" i="19"/>
  <c r="JP89" i="19"/>
  <c r="JP2" i="19"/>
  <c r="JP38" i="19"/>
  <c r="JP90" i="19" s="1"/>
  <c r="JP30" i="19"/>
  <c r="JP49" i="19"/>
  <c r="JP31" i="19"/>
  <c r="JQ7" i="19"/>
  <c r="JO24" i="19"/>
  <c r="JQ98" i="19" l="1"/>
  <c r="JQ32" i="19"/>
  <c r="JP43" i="19"/>
  <c r="JP92" i="19"/>
  <c r="JQ21" i="19"/>
  <c r="JQ25" i="19"/>
  <c r="JQ22" i="19"/>
  <c r="JQ19" i="19"/>
  <c r="JQ23" i="19"/>
  <c r="JQ20" i="19"/>
  <c r="JQ18" i="19"/>
  <c r="JQ17" i="19"/>
  <c r="JQ89" i="19"/>
  <c r="JQ2" i="19"/>
  <c r="JQ30" i="19"/>
  <c r="JQ38" i="19"/>
  <c r="JQ90" i="19" s="1"/>
  <c r="JP24" i="19"/>
  <c r="JQ49" i="19"/>
  <c r="JQ31" i="19"/>
  <c r="JR7" i="19"/>
  <c r="JR98" i="19" l="1"/>
  <c r="JR32" i="19"/>
  <c r="JQ43" i="19"/>
  <c r="JQ92" i="19"/>
  <c r="JR21" i="19"/>
  <c r="JR25" i="19"/>
  <c r="JR23" i="19"/>
  <c r="JR22" i="19"/>
  <c r="JR19" i="19"/>
  <c r="JR20" i="19"/>
  <c r="JR17" i="19"/>
  <c r="JR18" i="19"/>
  <c r="JR89" i="19"/>
  <c r="JR2" i="19"/>
  <c r="JR30" i="19"/>
  <c r="JR38" i="19"/>
  <c r="JR90" i="19" s="1"/>
  <c r="JQ24" i="19"/>
  <c r="JR49" i="19"/>
  <c r="JR31" i="19"/>
  <c r="JS7" i="19"/>
  <c r="JS98" i="19" l="1"/>
  <c r="JS32" i="19"/>
  <c r="JR43" i="19"/>
  <c r="JR92" i="19"/>
  <c r="JS21" i="19"/>
  <c r="CQ21" i="41" s="1"/>
  <c r="CQ32" i="41"/>
  <c r="JS23" i="19"/>
  <c r="JS25" i="19"/>
  <c r="JS22" i="19"/>
  <c r="JS19" i="19"/>
  <c r="CQ19" i="41" s="1"/>
  <c r="JS20" i="19"/>
  <c r="CQ20" i="41" s="1"/>
  <c r="JS18" i="19"/>
  <c r="JS17" i="19"/>
  <c r="JS89" i="19"/>
  <c r="JS2" i="19"/>
  <c r="JS30" i="19"/>
  <c r="JS38" i="19"/>
  <c r="JS90" i="19" s="1"/>
  <c r="JR24" i="19"/>
  <c r="JS49" i="19"/>
  <c r="JS31" i="19"/>
  <c r="JT7" i="19"/>
  <c r="JT98" i="19" l="1"/>
  <c r="JT32" i="19"/>
  <c r="JS43" i="19"/>
  <c r="JS92" i="19"/>
  <c r="JT21" i="19"/>
  <c r="JT23" i="19"/>
  <c r="JT19" i="19"/>
  <c r="JT25" i="19"/>
  <c r="JT22" i="19"/>
  <c r="JT20" i="19"/>
  <c r="JT18" i="19"/>
  <c r="JT17" i="19"/>
  <c r="JT89" i="19"/>
  <c r="JT2" i="19"/>
  <c r="JT38" i="19"/>
  <c r="JT90" i="19" s="1"/>
  <c r="JT30" i="19"/>
  <c r="JS24" i="19"/>
  <c r="JT49" i="19"/>
  <c r="JT31" i="19"/>
  <c r="JU7" i="19"/>
  <c r="JU98" i="19" l="1"/>
  <c r="JU32" i="19"/>
  <c r="JT43" i="19"/>
  <c r="JT92" i="19"/>
  <c r="JU21" i="19"/>
  <c r="JU23" i="19"/>
  <c r="JU25" i="19"/>
  <c r="JU22" i="19"/>
  <c r="JU19" i="19"/>
  <c r="JU20" i="19"/>
  <c r="JU17" i="19"/>
  <c r="JU18" i="19"/>
  <c r="JU89" i="19"/>
  <c r="JU2" i="19"/>
  <c r="JU38" i="19"/>
  <c r="JU90" i="19" s="1"/>
  <c r="JU30" i="19"/>
  <c r="JU49" i="19"/>
  <c r="JU31" i="19"/>
  <c r="JV7" i="19"/>
  <c r="JT24" i="19"/>
  <c r="JV98" i="19" l="1"/>
  <c r="JV32" i="19"/>
  <c r="JU43" i="19"/>
  <c r="JU92" i="19"/>
  <c r="JV21" i="19"/>
  <c r="CR21" i="41" s="1"/>
  <c r="CR32" i="41"/>
  <c r="JV23" i="19"/>
  <c r="JV25" i="19"/>
  <c r="JV22" i="19"/>
  <c r="JV19" i="19"/>
  <c r="JV20" i="19"/>
  <c r="CR20" i="41" s="1"/>
  <c r="JV17" i="19"/>
  <c r="CR17" i="41" s="1"/>
  <c r="JV18" i="19"/>
  <c r="CR18" i="41" s="1"/>
  <c r="JV89" i="19"/>
  <c r="JV2" i="19"/>
  <c r="JV30" i="19"/>
  <c r="JV38" i="19"/>
  <c r="JV90" i="19" s="1"/>
  <c r="JV49" i="19"/>
  <c r="JV31" i="19"/>
  <c r="JW7" i="19"/>
  <c r="JU24" i="19"/>
  <c r="JW98" i="19" l="1"/>
  <c r="JW32" i="19"/>
  <c r="JV43" i="19"/>
  <c r="JV92" i="19"/>
  <c r="JW21" i="19"/>
  <c r="JW25" i="19"/>
  <c r="JW23" i="19"/>
  <c r="JW22" i="19"/>
  <c r="JW19" i="19"/>
  <c r="JW20" i="19"/>
  <c r="JW18" i="19"/>
  <c r="JW17" i="19"/>
  <c r="JW89" i="19"/>
  <c r="JW2" i="19"/>
  <c r="JW38" i="19"/>
  <c r="JW90" i="19" s="1"/>
  <c r="JW30" i="19"/>
  <c r="JW49" i="19"/>
  <c r="JW31" i="19"/>
  <c r="JX7" i="19"/>
  <c r="JV24" i="19"/>
  <c r="JX98" i="19" l="1"/>
  <c r="JX32" i="19"/>
  <c r="JW43" i="19"/>
  <c r="JW92" i="19"/>
  <c r="JX21" i="19"/>
  <c r="JX25" i="19"/>
  <c r="JX23" i="19"/>
  <c r="JX22" i="19"/>
  <c r="JX20" i="19"/>
  <c r="JX19" i="19"/>
  <c r="JX18" i="19"/>
  <c r="JX17" i="19"/>
  <c r="JX89" i="19"/>
  <c r="JX2" i="19"/>
  <c r="JX38" i="19"/>
  <c r="JX90" i="19" s="1"/>
  <c r="JX30" i="19"/>
  <c r="JW24" i="19"/>
  <c r="JX49" i="19"/>
  <c r="JX31" i="19"/>
  <c r="JY7" i="19"/>
  <c r="JY98" i="19" l="1"/>
  <c r="JY32" i="19"/>
  <c r="JX43" i="19"/>
  <c r="JX92" i="19"/>
  <c r="JY21" i="19"/>
  <c r="CS21" i="41" s="1"/>
  <c r="CS32" i="41"/>
  <c r="JY25" i="19"/>
  <c r="JY23" i="19"/>
  <c r="JY22" i="19"/>
  <c r="JY20" i="19"/>
  <c r="JY19" i="19"/>
  <c r="CS19" i="41" s="1"/>
  <c r="JY18" i="19"/>
  <c r="CS18" i="41" s="1"/>
  <c r="JY17" i="19"/>
  <c r="CS17" i="41" s="1"/>
  <c r="JY89" i="19"/>
  <c r="JY2" i="19"/>
  <c r="JY30" i="19"/>
  <c r="JY38" i="19"/>
  <c r="JY90" i="19" s="1"/>
  <c r="JX24" i="19"/>
  <c r="JY49" i="19"/>
  <c r="JY31" i="19"/>
  <c r="JZ7" i="19"/>
  <c r="JZ98" i="19" l="1"/>
  <c r="JZ32" i="19"/>
  <c r="JY43" i="19"/>
  <c r="JY92" i="19"/>
  <c r="JZ21" i="19"/>
  <c r="JZ25" i="19"/>
  <c r="JZ23" i="19"/>
  <c r="JZ22" i="19"/>
  <c r="JZ20" i="19"/>
  <c r="JZ19" i="19"/>
  <c r="JZ17" i="19"/>
  <c r="JZ18" i="19"/>
  <c r="JZ89" i="19"/>
  <c r="JZ2" i="19"/>
  <c r="JZ30" i="19"/>
  <c r="JZ38" i="19"/>
  <c r="JZ90" i="19" s="1"/>
  <c r="JZ49" i="19"/>
  <c r="JZ31" i="19"/>
  <c r="KA7" i="19"/>
  <c r="JY24" i="19"/>
  <c r="KA98" i="19" l="1"/>
  <c r="KA32" i="19"/>
  <c r="JZ43" i="19"/>
  <c r="JZ92" i="19"/>
  <c r="KA21" i="19"/>
  <c r="KA23" i="19"/>
  <c r="KA25" i="19"/>
  <c r="KA22" i="19"/>
  <c r="KA20" i="19"/>
  <c r="KA19" i="19"/>
  <c r="KA18" i="19"/>
  <c r="KA17" i="19"/>
  <c r="KA89" i="19"/>
  <c r="KA2" i="19"/>
  <c r="KA30" i="19"/>
  <c r="KA38" i="19"/>
  <c r="KA90" i="19" s="1"/>
  <c r="KA49" i="19"/>
  <c r="KA31" i="19"/>
  <c r="KB7" i="19"/>
  <c r="JZ24" i="19"/>
  <c r="KB98" i="19" l="1"/>
  <c r="KB32" i="19"/>
  <c r="KA43" i="19"/>
  <c r="KA92" i="19"/>
  <c r="KB21" i="19"/>
  <c r="CT21" i="41" s="1"/>
  <c r="CT32" i="41"/>
  <c r="KB23" i="19"/>
  <c r="KB19" i="19"/>
  <c r="KB25" i="19"/>
  <c r="KB22" i="19"/>
  <c r="KB20" i="19"/>
  <c r="CT20" i="41" s="1"/>
  <c r="KB18" i="19"/>
  <c r="CT18" i="41" s="1"/>
  <c r="KB17" i="19"/>
  <c r="KB89" i="19"/>
  <c r="KB2" i="19"/>
  <c r="KB38" i="19"/>
  <c r="KB90" i="19" s="1"/>
  <c r="KB30" i="19"/>
  <c r="KA24" i="19"/>
  <c r="KB49" i="19"/>
  <c r="KB31" i="19"/>
  <c r="KB43" i="19" l="1"/>
  <c r="KB92" i="19"/>
  <c r="KB24" i="19"/>
  <c r="CU21" i="41" l="1"/>
  <c r="CU32" i="41"/>
  <c r="CU18" i="41"/>
  <c r="CV21" i="41" l="1"/>
  <c r="CV32" i="41"/>
  <c r="CV20" i="41"/>
  <c r="CV17" i="41"/>
  <c r="CV31" i="41" l="1"/>
  <c r="CV98" i="41" s="1"/>
  <c r="CW21" i="41" l="1"/>
  <c r="CW32" i="41"/>
  <c r="CW20" i="41"/>
  <c r="CX21" i="41" l="1"/>
  <c r="CX32" i="41"/>
  <c r="CX20" i="41"/>
  <c r="O19" i="28" l="1"/>
  <c r="P20" i="28" s="1"/>
  <c r="P19" i="28"/>
  <c r="Q20" i="28" s="1"/>
  <c r="Q19" i="28"/>
  <c r="R20" i="28" s="1"/>
  <c r="R19" i="28"/>
  <c r="S20" i="28" s="1"/>
  <c r="S19" i="28"/>
  <c r="T20" i="28" s="1"/>
  <c r="T19" i="28"/>
  <c r="U20" i="28" s="1"/>
  <c r="U19" i="28"/>
  <c r="V20" i="28" s="1"/>
  <c r="V19" i="28"/>
  <c r="W20" i="28" s="1"/>
  <c r="W19" i="28"/>
  <c r="X20" i="28" s="1"/>
  <c r="X19" i="28"/>
  <c r="Y20" i="28" s="1"/>
  <c r="Y19" i="28"/>
  <c r="CX31" i="41"/>
  <c r="CX98" i="41" s="1"/>
  <c r="D27" i="28"/>
  <c r="D12" i="32"/>
  <c r="D19" i="28"/>
  <c r="D28" i="28" l="1"/>
  <c r="D27" i="34"/>
  <c r="D22" i="28"/>
  <c r="D17" i="34" l="1"/>
  <c r="D59" i="32" s="1"/>
  <c r="J31" i="19" l="1"/>
  <c r="J98" i="19" s="1"/>
  <c r="F31" i="19"/>
  <c r="F98" i="19" s="1"/>
  <c r="F31" i="41" l="1"/>
  <c r="F98" i="41" s="1"/>
  <c r="H31" i="19" l="1"/>
  <c r="H98" i="19" s="1"/>
  <c r="E28" i="1"/>
  <c r="G28" i="1"/>
  <c r="E29" i="1"/>
  <c r="C81" i="1" s="1"/>
  <c r="E31" i="41" l="1"/>
  <c r="E98" i="41" s="1"/>
  <c r="H28" i="1"/>
  <c r="H13" i="33"/>
  <c r="I28" i="1"/>
  <c r="C80" i="1"/>
  <c r="D80" i="1"/>
  <c r="K28" i="1"/>
  <c r="E80" i="1"/>
  <c r="T28" i="1"/>
  <c r="Y28" i="1"/>
  <c r="G29" i="1"/>
  <c r="H14" i="33" s="1"/>
  <c r="H21" i="33" l="1"/>
  <c r="H30" i="33" s="1"/>
  <c r="K14" i="33"/>
  <c r="K21" i="33" s="1"/>
  <c r="L14" i="33"/>
  <c r="L21" i="33" s="1"/>
  <c r="M14" i="33"/>
  <c r="M21" i="33" s="1"/>
  <c r="N14" i="33"/>
  <c r="N21" i="33" s="1"/>
  <c r="O14" i="33"/>
  <c r="O21" i="33" s="1"/>
  <c r="P14" i="33"/>
  <c r="P21" i="33" s="1"/>
  <c r="Q14" i="33"/>
  <c r="Q21" i="33" s="1"/>
  <c r="R14" i="33"/>
  <c r="R21" i="33" s="1"/>
  <c r="S14" i="33"/>
  <c r="S21" i="33" s="1"/>
  <c r="T14" i="33"/>
  <c r="T21" i="33" s="1"/>
  <c r="U14" i="33"/>
  <c r="U21" i="33" s="1"/>
  <c r="V14" i="33"/>
  <c r="V21" i="33" s="1"/>
  <c r="W14" i="33"/>
  <c r="W21" i="33" s="1"/>
  <c r="X14" i="33"/>
  <c r="X21" i="33" s="1"/>
  <c r="Y14" i="33"/>
  <c r="Y21" i="33" s="1"/>
  <c r="Z14" i="33"/>
  <c r="Z21" i="33" s="1"/>
  <c r="AA14" i="33"/>
  <c r="AA21" i="33" s="1"/>
  <c r="AB14" i="33"/>
  <c r="AB21" i="33" s="1"/>
  <c r="AC14" i="33"/>
  <c r="AC21" i="33" s="1"/>
  <c r="AD14" i="33"/>
  <c r="AD21" i="33" s="1"/>
  <c r="AE14" i="33"/>
  <c r="AE21" i="33" s="1"/>
  <c r="AF14" i="33"/>
  <c r="AF21" i="33" s="1"/>
  <c r="AG14" i="33"/>
  <c r="AG21" i="33" s="1"/>
  <c r="AH14" i="33"/>
  <c r="AH21" i="33" s="1"/>
  <c r="AI14" i="33"/>
  <c r="AI21" i="33" s="1"/>
  <c r="AJ14" i="33"/>
  <c r="AJ21" i="33" s="1"/>
  <c r="AK14" i="33"/>
  <c r="AK21" i="33" s="1"/>
  <c r="AL14" i="33"/>
  <c r="AL21" i="33" s="1"/>
  <c r="AM14" i="33"/>
  <c r="AM21" i="33" s="1"/>
  <c r="AN14" i="33"/>
  <c r="AN21" i="33" s="1"/>
  <c r="AO14" i="33"/>
  <c r="AO21" i="33" s="1"/>
  <c r="AP14" i="33"/>
  <c r="AP21" i="33" s="1"/>
  <c r="AQ14" i="33"/>
  <c r="AQ21" i="33" s="1"/>
  <c r="AR14" i="33"/>
  <c r="AR21" i="33" s="1"/>
  <c r="AS14" i="33"/>
  <c r="AS21" i="33" s="1"/>
  <c r="AT14" i="33"/>
  <c r="AT21" i="33" s="1"/>
  <c r="AU14" i="33"/>
  <c r="AU21" i="33" s="1"/>
  <c r="AV14" i="33"/>
  <c r="AV21" i="33" s="1"/>
  <c r="AW14" i="33"/>
  <c r="AW21" i="33" s="1"/>
  <c r="AX14" i="33"/>
  <c r="AX21" i="33" s="1"/>
  <c r="AY14" i="33"/>
  <c r="AY21" i="33" s="1"/>
  <c r="AZ14" i="33"/>
  <c r="AZ21" i="33" s="1"/>
  <c r="BA14" i="33"/>
  <c r="BA21" i="33" s="1"/>
  <c r="BB14" i="33"/>
  <c r="BB21" i="33" s="1"/>
  <c r="BC14" i="33"/>
  <c r="BC21" i="33" s="1"/>
  <c r="BD14" i="33"/>
  <c r="BD21" i="33" s="1"/>
  <c r="BE14" i="33"/>
  <c r="BE21" i="33" s="1"/>
  <c r="BF14" i="33"/>
  <c r="BF21" i="33" s="1"/>
  <c r="BG14" i="33"/>
  <c r="BG21" i="33" s="1"/>
  <c r="BH14" i="33"/>
  <c r="BH21" i="33" s="1"/>
  <c r="BI14" i="33"/>
  <c r="BI21" i="33" s="1"/>
  <c r="BJ14" i="33"/>
  <c r="BJ21" i="33" s="1"/>
  <c r="BK14" i="33"/>
  <c r="BK21" i="33" s="1"/>
  <c r="BL14" i="33"/>
  <c r="BL21" i="33" s="1"/>
  <c r="H20" i="33"/>
  <c r="H29" i="33" s="1"/>
  <c r="K13" i="33"/>
  <c r="K20" i="33" s="1"/>
  <c r="L13" i="33"/>
  <c r="L20" i="33" s="1"/>
  <c r="M13" i="33"/>
  <c r="M20" i="33" s="1"/>
  <c r="N13" i="33"/>
  <c r="N20" i="33" s="1"/>
  <c r="O13" i="33"/>
  <c r="O20" i="33" s="1"/>
  <c r="P13" i="33"/>
  <c r="P20" i="33" s="1"/>
  <c r="Q13" i="33"/>
  <c r="Q20" i="33" s="1"/>
  <c r="R13" i="33"/>
  <c r="R20" i="33" s="1"/>
  <c r="S13" i="33"/>
  <c r="S20" i="33" s="1"/>
  <c r="T13" i="33"/>
  <c r="T20" i="33" s="1"/>
  <c r="U13" i="33"/>
  <c r="U20" i="33" s="1"/>
  <c r="V13" i="33"/>
  <c r="V20" i="33" s="1"/>
  <c r="W13" i="33"/>
  <c r="W20" i="33" s="1"/>
  <c r="X13" i="33"/>
  <c r="X20" i="33" s="1"/>
  <c r="Y13" i="33"/>
  <c r="Y20" i="33" s="1"/>
  <c r="Z13" i="33"/>
  <c r="Z20" i="33" s="1"/>
  <c r="AA13" i="33"/>
  <c r="AA20" i="33" s="1"/>
  <c r="AB13" i="33"/>
  <c r="AB20" i="33" s="1"/>
  <c r="AC13" i="33"/>
  <c r="AC20" i="33" s="1"/>
  <c r="AD13" i="33"/>
  <c r="AD20" i="33" s="1"/>
  <c r="AE13" i="33"/>
  <c r="AE20" i="33" s="1"/>
  <c r="AF13" i="33"/>
  <c r="AF20" i="33" s="1"/>
  <c r="AG13" i="33"/>
  <c r="AG20" i="33" s="1"/>
  <c r="AH13" i="33"/>
  <c r="AH20" i="33" s="1"/>
  <c r="AI13" i="33"/>
  <c r="AI20" i="33" s="1"/>
  <c r="AJ13" i="33"/>
  <c r="AJ20" i="33" s="1"/>
  <c r="AK13" i="33"/>
  <c r="AK20" i="33" s="1"/>
  <c r="AL13" i="33"/>
  <c r="AL20" i="33" s="1"/>
  <c r="AM13" i="33"/>
  <c r="AM20" i="33" s="1"/>
  <c r="AN13" i="33"/>
  <c r="AN20" i="33" s="1"/>
  <c r="AO13" i="33"/>
  <c r="AO20" i="33" s="1"/>
  <c r="AP13" i="33"/>
  <c r="AP20" i="33" s="1"/>
  <c r="AQ13" i="33"/>
  <c r="AQ20" i="33" s="1"/>
  <c r="AR13" i="33"/>
  <c r="AR20" i="33" s="1"/>
  <c r="AS13" i="33"/>
  <c r="AS20" i="33" s="1"/>
  <c r="AT13" i="33"/>
  <c r="AT20" i="33" s="1"/>
  <c r="AU13" i="33"/>
  <c r="AU20" i="33" s="1"/>
  <c r="AV13" i="33"/>
  <c r="AV20" i="33" s="1"/>
  <c r="AW13" i="33"/>
  <c r="AW20" i="33" s="1"/>
  <c r="AX13" i="33"/>
  <c r="AX20" i="33" s="1"/>
  <c r="AY13" i="33"/>
  <c r="AY20" i="33" s="1"/>
  <c r="AZ13" i="33"/>
  <c r="AZ20" i="33" s="1"/>
  <c r="BA13" i="33"/>
  <c r="BA20" i="33" s="1"/>
  <c r="BB13" i="33"/>
  <c r="BB20" i="33" s="1"/>
  <c r="BC13" i="33"/>
  <c r="BC20" i="33" s="1"/>
  <c r="BD13" i="33"/>
  <c r="BD20" i="33" s="1"/>
  <c r="BE13" i="33"/>
  <c r="BE20" i="33" s="1"/>
  <c r="BF13" i="33"/>
  <c r="BF20" i="33" s="1"/>
  <c r="BG13" i="33"/>
  <c r="BG20" i="33" s="1"/>
  <c r="BH13" i="33"/>
  <c r="BH20" i="33" s="1"/>
  <c r="BI13" i="33"/>
  <c r="BI20" i="33" s="1"/>
  <c r="BJ13" i="33"/>
  <c r="BJ20" i="33" s="1"/>
  <c r="BK13" i="33"/>
  <c r="BK20" i="33" s="1"/>
  <c r="BL13" i="33"/>
  <c r="BL20" i="33" s="1"/>
  <c r="C9" i="31"/>
  <c r="C10" i="31" s="1"/>
  <c r="C11" i="31" s="1"/>
  <c r="H65" i="1"/>
  <c r="E30" i="1"/>
  <c r="G30" i="1"/>
  <c r="H15" i="33" s="1"/>
  <c r="L28" i="1"/>
  <c r="F80" i="1"/>
  <c r="H29" i="1"/>
  <c r="I29" i="1"/>
  <c r="D81" i="1"/>
  <c r="C24" i="31" l="1"/>
  <c r="C20" i="31"/>
  <c r="K29" i="33"/>
  <c r="K36" i="33" s="1"/>
  <c r="L29" i="33"/>
  <c r="L36" i="33" s="1"/>
  <c r="M29" i="33"/>
  <c r="M36" i="33" s="1"/>
  <c r="N29" i="33"/>
  <c r="N36" i="33" s="1"/>
  <c r="O29" i="33"/>
  <c r="O36" i="33" s="1"/>
  <c r="P29" i="33"/>
  <c r="P36" i="33" s="1"/>
  <c r="Q29" i="33"/>
  <c r="Q36" i="33" s="1"/>
  <c r="R29" i="33"/>
  <c r="R36" i="33" s="1"/>
  <c r="S29" i="33"/>
  <c r="S36" i="33" s="1"/>
  <c r="T29" i="33"/>
  <c r="T36" i="33" s="1"/>
  <c r="U29" i="33"/>
  <c r="U36" i="33" s="1"/>
  <c r="V29" i="33"/>
  <c r="V36" i="33" s="1"/>
  <c r="W29" i="33"/>
  <c r="W36" i="33" s="1"/>
  <c r="X29" i="33"/>
  <c r="X36" i="33" s="1"/>
  <c r="Y29" i="33"/>
  <c r="Y36" i="33" s="1"/>
  <c r="Z29" i="33"/>
  <c r="Z36" i="33" s="1"/>
  <c r="AA29" i="33"/>
  <c r="AA36" i="33" s="1"/>
  <c r="AB29" i="33"/>
  <c r="AB36" i="33" s="1"/>
  <c r="AC29" i="33"/>
  <c r="AC36" i="33" s="1"/>
  <c r="AD29" i="33"/>
  <c r="AD36" i="33" s="1"/>
  <c r="AE29" i="33"/>
  <c r="AE36" i="33" s="1"/>
  <c r="AF29" i="33"/>
  <c r="AF36" i="33" s="1"/>
  <c r="AG29" i="33"/>
  <c r="AG36" i="33" s="1"/>
  <c r="AH29" i="33"/>
  <c r="AH36" i="33" s="1"/>
  <c r="AI29" i="33"/>
  <c r="AI36" i="33" s="1"/>
  <c r="AJ29" i="33"/>
  <c r="AJ36" i="33" s="1"/>
  <c r="AK29" i="33"/>
  <c r="AK36" i="33" s="1"/>
  <c r="AL29" i="33"/>
  <c r="AL36" i="33" s="1"/>
  <c r="AM29" i="33"/>
  <c r="AM36" i="33" s="1"/>
  <c r="AN29" i="33"/>
  <c r="AN36" i="33" s="1"/>
  <c r="AO29" i="33"/>
  <c r="AO36" i="33" s="1"/>
  <c r="AP29" i="33"/>
  <c r="AP36" i="33" s="1"/>
  <c r="AQ29" i="33"/>
  <c r="AQ36" i="33" s="1"/>
  <c r="AR29" i="33"/>
  <c r="AR36" i="33" s="1"/>
  <c r="AS29" i="33"/>
  <c r="AS36" i="33" s="1"/>
  <c r="AT29" i="33"/>
  <c r="AT36" i="33" s="1"/>
  <c r="AU29" i="33"/>
  <c r="AU36" i="33" s="1"/>
  <c r="AV29" i="33"/>
  <c r="AV36" i="33" s="1"/>
  <c r="AW29" i="33"/>
  <c r="AW36" i="33" s="1"/>
  <c r="AX29" i="33"/>
  <c r="AX36" i="33" s="1"/>
  <c r="AY29" i="33"/>
  <c r="AY36" i="33" s="1"/>
  <c r="AZ29" i="33"/>
  <c r="AZ36" i="33" s="1"/>
  <c r="BA29" i="33"/>
  <c r="BA36" i="33" s="1"/>
  <c r="BB29" i="33"/>
  <c r="BB36" i="33" s="1"/>
  <c r="BC29" i="33"/>
  <c r="BC36" i="33" s="1"/>
  <c r="BD29" i="33"/>
  <c r="BD36" i="33" s="1"/>
  <c r="BE29" i="33"/>
  <c r="BE36" i="33" s="1"/>
  <c r="BF29" i="33"/>
  <c r="BF36" i="33" s="1"/>
  <c r="BG29" i="33"/>
  <c r="BG36" i="33" s="1"/>
  <c r="BH29" i="33"/>
  <c r="BH36" i="33" s="1"/>
  <c r="BI29" i="33"/>
  <c r="BI36" i="33" s="1"/>
  <c r="BJ29" i="33"/>
  <c r="BJ36" i="33" s="1"/>
  <c r="BK29" i="33"/>
  <c r="BK36" i="33" s="1"/>
  <c r="BL29" i="33"/>
  <c r="BL36" i="33" s="1"/>
  <c r="K30" i="33"/>
  <c r="K37" i="33" s="1"/>
  <c r="L30" i="33"/>
  <c r="L37" i="33" s="1"/>
  <c r="M30" i="33"/>
  <c r="M37" i="33" s="1"/>
  <c r="N30" i="33"/>
  <c r="N37" i="33" s="1"/>
  <c r="O30" i="33"/>
  <c r="O37" i="33" s="1"/>
  <c r="P30" i="33"/>
  <c r="P37" i="33" s="1"/>
  <c r="Q30" i="33"/>
  <c r="Q37" i="33" s="1"/>
  <c r="R30" i="33"/>
  <c r="R37" i="33" s="1"/>
  <c r="S30" i="33"/>
  <c r="S37" i="33" s="1"/>
  <c r="T30" i="33"/>
  <c r="T37" i="33" s="1"/>
  <c r="U30" i="33"/>
  <c r="U37" i="33" s="1"/>
  <c r="V30" i="33"/>
  <c r="V37" i="33" s="1"/>
  <c r="W30" i="33"/>
  <c r="W37" i="33" s="1"/>
  <c r="X30" i="33"/>
  <c r="X37" i="33" s="1"/>
  <c r="Y30" i="33"/>
  <c r="Y37" i="33" s="1"/>
  <c r="Z30" i="33"/>
  <c r="Z37" i="33" s="1"/>
  <c r="AA30" i="33"/>
  <c r="AA37" i="33" s="1"/>
  <c r="AB30" i="33"/>
  <c r="AB37" i="33" s="1"/>
  <c r="AC30" i="33"/>
  <c r="AC37" i="33" s="1"/>
  <c r="AD30" i="33"/>
  <c r="AD37" i="33" s="1"/>
  <c r="AE30" i="33"/>
  <c r="AE37" i="33" s="1"/>
  <c r="AF30" i="33"/>
  <c r="AF37" i="33" s="1"/>
  <c r="AG30" i="33"/>
  <c r="AG37" i="33" s="1"/>
  <c r="AH30" i="33"/>
  <c r="AH37" i="33" s="1"/>
  <c r="AI30" i="33"/>
  <c r="AI37" i="33" s="1"/>
  <c r="AJ30" i="33"/>
  <c r="AJ37" i="33" s="1"/>
  <c r="AK30" i="33"/>
  <c r="AK37" i="33" s="1"/>
  <c r="AL30" i="33"/>
  <c r="AL37" i="33" s="1"/>
  <c r="AM30" i="33"/>
  <c r="AM37" i="33" s="1"/>
  <c r="AN30" i="33"/>
  <c r="AN37" i="33" s="1"/>
  <c r="AO30" i="33"/>
  <c r="AO37" i="33" s="1"/>
  <c r="AP30" i="33"/>
  <c r="AP37" i="33" s="1"/>
  <c r="AQ30" i="33"/>
  <c r="AQ37" i="33" s="1"/>
  <c r="AR30" i="33"/>
  <c r="AR37" i="33" s="1"/>
  <c r="AS30" i="33"/>
  <c r="AS37" i="33" s="1"/>
  <c r="AT30" i="33"/>
  <c r="AT37" i="33" s="1"/>
  <c r="AU30" i="33"/>
  <c r="AU37" i="33" s="1"/>
  <c r="AV30" i="33"/>
  <c r="AV37" i="33" s="1"/>
  <c r="AW30" i="33"/>
  <c r="AW37" i="33" s="1"/>
  <c r="AX30" i="33"/>
  <c r="AX37" i="33" s="1"/>
  <c r="AY30" i="33"/>
  <c r="AY37" i="33" s="1"/>
  <c r="AZ30" i="33"/>
  <c r="AZ37" i="33" s="1"/>
  <c r="BA30" i="33"/>
  <c r="BA37" i="33" s="1"/>
  <c r="BB30" i="33"/>
  <c r="BB37" i="33" s="1"/>
  <c r="BC30" i="33"/>
  <c r="BC37" i="33" s="1"/>
  <c r="BD30" i="33"/>
  <c r="BD37" i="33" s="1"/>
  <c r="BE30" i="33"/>
  <c r="BE37" i="33" s="1"/>
  <c r="BF30" i="33"/>
  <c r="BF37" i="33" s="1"/>
  <c r="BG30" i="33"/>
  <c r="BG37" i="33" s="1"/>
  <c r="BH30" i="33"/>
  <c r="BH37" i="33" s="1"/>
  <c r="BI30" i="33"/>
  <c r="BI37" i="33" s="1"/>
  <c r="BJ30" i="33"/>
  <c r="BJ37" i="33" s="1"/>
  <c r="BK30" i="33"/>
  <c r="BK37" i="33" s="1"/>
  <c r="BL30" i="33"/>
  <c r="BL37" i="33" s="1"/>
  <c r="H36" i="33"/>
  <c r="H45" i="33" s="1"/>
  <c r="H22" i="33"/>
  <c r="H31" i="33" s="1"/>
  <c r="K15" i="33"/>
  <c r="K22" i="33" s="1"/>
  <c r="L15" i="33"/>
  <c r="L22" i="33" s="1"/>
  <c r="M15" i="33"/>
  <c r="M22" i="33" s="1"/>
  <c r="N15" i="33"/>
  <c r="N22" i="33" s="1"/>
  <c r="O15" i="33"/>
  <c r="O22" i="33" s="1"/>
  <c r="P15" i="33"/>
  <c r="P22" i="33" s="1"/>
  <c r="Q15" i="33"/>
  <c r="Q22" i="33" s="1"/>
  <c r="R15" i="33"/>
  <c r="R22" i="33" s="1"/>
  <c r="S15" i="33"/>
  <c r="S22" i="33" s="1"/>
  <c r="T15" i="33"/>
  <c r="T22" i="33" s="1"/>
  <c r="U15" i="33"/>
  <c r="U22" i="33" s="1"/>
  <c r="V15" i="33"/>
  <c r="V22" i="33" s="1"/>
  <c r="W15" i="33"/>
  <c r="W22" i="33" s="1"/>
  <c r="X15" i="33"/>
  <c r="X22" i="33" s="1"/>
  <c r="Y15" i="33"/>
  <c r="Y22" i="33" s="1"/>
  <c r="Z15" i="33"/>
  <c r="Z22" i="33" s="1"/>
  <c r="AA15" i="33"/>
  <c r="AA22" i="33" s="1"/>
  <c r="AB15" i="33"/>
  <c r="AB22" i="33" s="1"/>
  <c r="AC15" i="33"/>
  <c r="AC22" i="33" s="1"/>
  <c r="AD15" i="33"/>
  <c r="AD22" i="33" s="1"/>
  <c r="AE15" i="33"/>
  <c r="AE22" i="33" s="1"/>
  <c r="AF15" i="33"/>
  <c r="AF22" i="33" s="1"/>
  <c r="AG15" i="33"/>
  <c r="AG22" i="33" s="1"/>
  <c r="AH15" i="33"/>
  <c r="AH22" i="33" s="1"/>
  <c r="AI15" i="33"/>
  <c r="AI22" i="33" s="1"/>
  <c r="AJ15" i="33"/>
  <c r="AJ22" i="33" s="1"/>
  <c r="AK15" i="33"/>
  <c r="AK22" i="33" s="1"/>
  <c r="AL15" i="33"/>
  <c r="AL22" i="33" s="1"/>
  <c r="AM15" i="33"/>
  <c r="AM22" i="33" s="1"/>
  <c r="AN15" i="33"/>
  <c r="AN22" i="33" s="1"/>
  <c r="AO15" i="33"/>
  <c r="AO22" i="33" s="1"/>
  <c r="AP15" i="33"/>
  <c r="AP22" i="33" s="1"/>
  <c r="AQ15" i="33"/>
  <c r="AQ22" i="33" s="1"/>
  <c r="AR15" i="33"/>
  <c r="AR22" i="33" s="1"/>
  <c r="AS15" i="33"/>
  <c r="AS22" i="33" s="1"/>
  <c r="AT15" i="33"/>
  <c r="AT22" i="33" s="1"/>
  <c r="AU15" i="33"/>
  <c r="AU22" i="33" s="1"/>
  <c r="AV15" i="33"/>
  <c r="AV22" i="33" s="1"/>
  <c r="AW15" i="33"/>
  <c r="AW22" i="33" s="1"/>
  <c r="AX15" i="33"/>
  <c r="AX22" i="33" s="1"/>
  <c r="AY15" i="33"/>
  <c r="AY22" i="33" s="1"/>
  <c r="AZ15" i="33"/>
  <c r="AZ22" i="33" s="1"/>
  <c r="BA15" i="33"/>
  <c r="BA22" i="33" s="1"/>
  <c r="BB15" i="33"/>
  <c r="BB22" i="33" s="1"/>
  <c r="BC15" i="33"/>
  <c r="BC22" i="33" s="1"/>
  <c r="BD15" i="33"/>
  <c r="BD22" i="33" s="1"/>
  <c r="BE15" i="33"/>
  <c r="BE22" i="33" s="1"/>
  <c r="BF15" i="33"/>
  <c r="BF22" i="33" s="1"/>
  <c r="BG15" i="33"/>
  <c r="BG22" i="33" s="1"/>
  <c r="BH15" i="33"/>
  <c r="BH22" i="33" s="1"/>
  <c r="BI15" i="33"/>
  <c r="BI22" i="33" s="1"/>
  <c r="BJ15" i="33"/>
  <c r="BJ22" i="33" s="1"/>
  <c r="BK15" i="33"/>
  <c r="BK22" i="33" s="1"/>
  <c r="BL15" i="33"/>
  <c r="BL22" i="33" s="1"/>
  <c r="J14" i="33"/>
  <c r="J13" i="33"/>
  <c r="H37" i="33"/>
  <c r="H46" i="33" s="1"/>
  <c r="C82" i="1"/>
  <c r="I65" i="1"/>
  <c r="C42" i="20"/>
  <c r="E31" i="1"/>
  <c r="G31" i="1"/>
  <c r="H16" i="33" s="1"/>
  <c r="K29" i="1"/>
  <c r="T29" i="1"/>
  <c r="E81" i="1"/>
  <c r="Y29" i="1"/>
  <c r="D82" i="1"/>
  <c r="H30" i="1"/>
  <c r="I30" i="1"/>
  <c r="C86" i="31" l="1"/>
  <c r="C87" i="31" s="1"/>
  <c r="C25" i="31"/>
  <c r="D25" i="31" s="1"/>
  <c r="E25" i="31" s="1"/>
  <c r="F25" i="31" s="1"/>
  <c r="G25" i="31" s="1"/>
  <c r="H25" i="31" s="1"/>
  <c r="I25" i="31" s="1"/>
  <c r="J25" i="31" s="1"/>
  <c r="K25" i="31" s="1"/>
  <c r="L25" i="31" s="1"/>
  <c r="M25" i="31" s="1"/>
  <c r="N25" i="31" s="1"/>
  <c r="O25" i="31" s="1"/>
  <c r="P25" i="31" s="1"/>
  <c r="Q25" i="31" s="1"/>
  <c r="R25" i="31" s="1"/>
  <c r="S25" i="31" s="1"/>
  <c r="T25" i="31" s="1"/>
  <c r="U25" i="31" s="1"/>
  <c r="V25" i="31" s="1"/>
  <c r="W25" i="31" s="1"/>
  <c r="X25" i="31" s="1"/>
  <c r="Y25" i="31" s="1"/>
  <c r="Z25" i="31" s="1"/>
  <c r="AA25" i="31" s="1"/>
  <c r="AB25" i="31" s="1"/>
  <c r="AC25" i="31" s="1"/>
  <c r="AD25" i="31" s="1"/>
  <c r="AE25" i="31" s="1"/>
  <c r="AF25" i="31" s="1"/>
  <c r="AG25" i="31" s="1"/>
  <c r="AH25" i="31" s="1"/>
  <c r="AI25" i="31" s="1"/>
  <c r="AJ25" i="31" s="1"/>
  <c r="AK25" i="31" s="1"/>
  <c r="AL25" i="31" s="1"/>
  <c r="AM25" i="31" s="1"/>
  <c r="AN25" i="31" s="1"/>
  <c r="AO25" i="31" s="1"/>
  <c r="AP25" i="31" s="1"/>
  <c r="AQ25" i="31" s="1"/>
  <c r="AR25" i="31" s="1"/>
  <c r="AS25" i="31" s="1"/>
  <c r="AT25" i="31" s="1"/>
  <c r="AU25" i="31" s="1"/>
  <c r="AV25" i="31" s="1"/>
  <c r="AW25" i="31" s="1"/>
  <c r="AX25" i="31" s="1"/>
  <c r="AY25" i="31" s="1"/>
  <c r="AZ25" i="31" s="1"/>
  <c r="BA25" i="31" s="1"/>
  <c r="BB25" i="31" s="1"/>
  <c r="BC25" i="31" s="1"/>
  <c r="BD25" i="31" s="1"/>
  <c r="BE25" i="31" s="1"/>
  <c r="BF25" i="31" s="1"/>
  <c r="BG25" i="31" s="1"/>
  <c r="BH25" i="31" s="1"/>
  <c r="BI25" i="31" s="1"/>
  <c r="BJ25" i="31" s="1"/>
  <c r="BK25" i="31" s="1"/>
  <c r="BL25" i="31" s="1"/>
  <c r="BM25" i="31" s="1"/>
  <c r="BN25" i="31" s="1"/>
  <c r="BO25" i="31" s="1"/>
  <c r="BP25" i="31" s="1"/>
  <c r="BQ25" i="31" s="1"/>
  <c r="BR25" i="31" s="1"/>
  <c r="BS25" i="31" s="1"/>
  <c r="BT25" i="31" s="1"/>
  <c r="BU25" i="31" s="1"/>
  <c r="BV25" i="31" s="1"/>
  <c r="BW25" i="31" s="1"/>
  <c r="BX25" i="31" s="1"/>
  <c r="BY25" i="31" s="1"/>
  <c r="BZ25" i="31" s="1"/>
  <c r="CA25" i="31" s="1"/>
  <c r="CB25" i="31" s="1"/>
  <c r="CC25" i="31" s="1"/>
  <c r="CD25" i="31" s="1"/>
  <c r="CE25" i="31" s="1"/>
  <c r="CF25" i="31" s="1"/>
  <c r="CG25" i="31" s="1"/>
  <c r="CH25" i="31" s="1"/>
  <c r="CI25" i="31" s="1"/>
  <c r="CJ25" i="31" s="1"/>
  <c r="CK25" i="31" s="1"/>
  <c r="CL25" i="31" s="1"/>
  <c r="CM25" i="31" s="1"/>
  <c r="CN25" i="31" s="1"/>
  <c r="CO25" i="31" s="1"/>
  <c r="CP25" i="31" s="1"/>
  <c r="CQ25" i="31" s="1"/>
  <c r="CR25" i="31" s="1"/>
  <c r="CS25" i="31" s="1"/>
  <c r="CT25" i="31" s="1"/>
  <c r="CU25" i="31" s="1"/>
  <c r="CV25" i="31" s="1"/>
  <c r="CW25" i="31" s="1"/>
  <c r="CX25" i="31" s="1"/>
  <c r="CY25" i="31" s="1"/>
  <c r="CZ25" i="31" s="1"/>
  <c r="DA25" i="31" s="1"/>
  <c r="DB25" i="31" s="1"/>
  <c r="DC25" i="31" s="1"/>
  <c r="DD25" i="31" s="1"/>
  <c r="DE25" i="31" s="1"/>
  <c r="DF25" i="31" s="1"/>
  <c r="DG25" i="31" s="1"/>
  <c r="DH25" i="31" s="1"/>
  <c r="DI25" i="31" s="1"/>
  <c r="DJ25" i="31" s="1"/>
  <c r="DK25" i="31" s="1"/>
  <c r="DL25" i="31" s="1"/>
  <c r="DM25" i="31" s="1"/>
  <c r="DN25" i="31" s="1"/>
  <c r="DO25" i="31" s="1"/>
  <c r="DP25" i="31" s="1"/>
  <c r="DQ25" i="31" s="1"/>
  <c r="DR25" i="31" s="1"/>
  <c r="DS25" i="31" s="1"/>
  <c r="DT25" i="31" s="1"/>
  <c r="DU25" i="31" s="1"/>
  <c r="DV25" i="31" s="1"/>
  <c r="DW25" i="31" s="1"/>
  <c r="DX25" i="31" s="1"/>
  <c r="DY25" i="31" s="1"/>
  <c r="DZ25" i="31" s="1"/>
  <c r="EA25" i="31" s="1"/>
  <c r="EB25" i="31" s="1"/>
  <c r="EC25" i="31" s="1"/>
  <c r="ED25" i="31" s="1"/>
  <c r="EE25" i="31" s="1"/>
  <c r="EF25" i="31" s="1"/>
  <c r="EG25" i="31" s="1"/>
  <c r="EH25" i="31" s="1"/>
  <c r="EI25" i="31" s="1"/>
  <c r="EJ25" i="31" s="1"/>
  <c r="EK25" i="31" s="1"/>
  <c r="EL25" i="31" s="1"/>
  <c r="EM25" i="31" s="1"/>
  <c r="EN25" i="31" s="1"/>
  <c r="EO25" i="31" s="1"/>
  <c r="EP25" i="31" s="1"/>
  <c r="EQ25" i="31" s="1"/>
  <c r="ER25" i="31" s="1"/>
  <c r="ES25" i="31" s="1"/>
  <c r="ET25" i="31" s="1"/>
  <c r="EU25" i="31" s="1"/>
  <c r="EV25" i="31" s="1"/>
  <c r="EW25" i="31" s="1"/>
  <c r="EX25" i="31" s="1"/>
  <c r="EY25" i="31" s="1"/>
  <c r="EZ25" i="31" s="1"/>
  <c r="FA25" i="31" s="1"/>
  <c r="FB25" i="31" s="1"/>
  <c r="FC25" i="31" s="1"/>
  <c r="FD25" i="31" s="1"/>
  <c r="FE25" i="31" s="1"/>
  <c r="FF25" i="31" s="1"/>
  <c r="FG25" i="31" s="1"/>
  <c r="FH25" i="31" s="1"/>
  <c r="FI25" i="31" s="1"/>
  <c r="FJ25" i="31" s="1"/>
  <c r="FK25" i="31" s="1"/>
  <c r="FL25" i="31" s="1"/>
  <c r="FM25" i="31" s="1"/>
  <c r="FN25" i="31" s="1"/>
  <c r="FO25" i="31" s="1"/>
  <c r="FP25" i="31" s="1"/>
  <c r="FQ25" i="31" s="1"/>
  <c r="FR25" i="31" s="1"/>
  <c r="FS25" i="31" s="1"/>
  <c r="FT25" i="31" s="1"/>
  <c r="FU25" i="31" s="1"/>
  <c r="FV25" i="31" s="1"/>
  <c r="FW25" i="31" s="1"/>
  <c r="FX25" i="31" s="1"/>
  <c r="FY25" i="31" s="1"/>
  <c r="FZ25" i="31" s="1"/>
  <c r="GA25" i="31" s="1"/>
  <c r="GB25" i="31" s="1"/>
  <c r="GC25" i="31" s="1"/>
  <c r="GD25" i="31" s="1"/>
  <c r="GE25" i="31" s="1"/>
  <c r="GF25" i="31" s="1"/>
  <c r="GG25" i="31" s="1"/>
  <c r="GH25" i="31" s="1"/>
  <c r="GI25" i="31" s="1"/>
  <c r="GJ25" i="31" s="1"/>
  <c r="GK25" i="31" s="1"/>
  <c r="GL25" i="31" s="1"/>
  <c r="GM25" i="31" s="1"/>
  <c r="GN25" i="31" s="1"/>
  <c r="GO25" i="31" s="1"/>
  <c r="GP25" i="31" s="1"/>
  <c r="GQ25" i="31" s="1"/>
  <c r="GR25" i="31" s="1"/>
  <c r="GS25" i="31" s="1"/>
  <c r="GT25" i="31" s="1"/>
  <c r="GU25" i="31" s="1"/>
  <c r="GV25" i="31" s="1"/>
  <c r="GW25" i="31" s="1"/>
  <c r="GX25" i="31" s="1"/>
  <c r="GY25" i="31" s="1"/>
  <c r="GZ25" i="31" s="1"/>
  <c r="HA25" i="31" s="1"/>
  <c r="HB25" i="31" s="1"/>
  <c r="HC25" i="31" s="1"/>
  <c r="HD25" i="31" s="1"/>
  <c r="HE25" i="31" s="1"/>
  <c r="HF25" i="31" s="1"/>
  <c r="HG25" i="31" s="1"/>
  <c r="HH25" i="31" s="1"/>
  <c r="HI25" i="31" s="1"/>
  <c r="HJ25" i="31" s="1"/>
  <c r="HK25" i="31" s="1"/>
  <c r="HL25" i="31" s="1"/>
  <c r="HM25" i="31" s="1"/>
  <c r="HN25" i="31" s="1"/>
  <c r="HO25" i="31" s="1"/>
  <c r="HP25" i="31" s="1"/>
  <c r="HQ25" i="31" s="1"/>
  <c r="HR25" i="31" s="1"/>
  <c r="HS25" i="31" s="1"/>
  <c r="HT25" i="31" s="1"/>
  <c r="HU25" i="31" s="1"/>
  <c r="HV25" i="31" s="1"/>
  <c r="HW25" i="31" s="1"/>
  <c r="HX25" i="31" s="1"/>
  <c r="HY25" i="31" s="1"/>
  <c r="HZ25" i="31" s="1"/>
  <c r="IA25" i="31" s="1"/>
  <c r="IB25" i="31" s="1"/>
  <c r="IC25" i="31" s="1"/>
  <c r="ID25" i="31" s="1"/>
  <c r="IE25" i="31" s="1"/>
  <c r="IF25" i="31" s="1"/>
  <c r="IG25" i="31" s="1"/>
  <c r="IH25" i="31" s="1"/>
  <c r="II25" i="31" s="1"/>
  <c r="IJ25" i="31" s="1"/>
  <c r="IK25" i="31" s="1"/>
  <c r="IL25" i="31" s="1"/>
  <c r="IM25" i="31" s="1"/>
  <c r="IN25" i="31" s="1"/>
  <c r="IO25" i="31" s="1"/>
  <c r="IP25" i="31" s="1"/>
  <c r="IQ25" i="31" s="1"/>
  <c r="IR25" i="31" s="1"/>
  <c r="IS25" i="31" s="1"/>
  <c r="IT25" i="31" s="1"/>
  <c r="IU25" i="31" s="1"/>
  <c r="IV25" i="31" s="1"/>
  <c r="IW25" i="31" s="1"/>
  <c r="IX25" i="31" s="1"/>
  <c r="IY25" i="31" s="1"/>
  <c r="IZ25" i="31" s="1"/>
  <c r="JA25" i="31" s="1"/>
  <c r="JB25" i="31" s="1"/>
  <c r="JC25" i="31" s="1"/>
  <c r="JD25" i="31" s="1"/>
  <c r="JE25" i="31" s="1"/>
  <c r="JF25" i="31" s="1"/>
  <c r="JG25" i="31" s="1"/>
  <c r="JH25" i="31" s="1"/>
  <c r="JI25" i="31" s="1"/>
  <c r="JJ25" i="31" s="1"/>
  <c r="JK25" i="31" s="1"/>
  <c r="JL25" i="31" s="1"/>
  <c r="JM25" i="31" s="1"/>
  <c r="JN25" i="31" s="1"/>
  <c r="JO25" i="31" s="1"/>
  <c r="K31" i="33"/>
  <c r="K38" i="33" s="1"/>
  <c r="L31" i="33"/>
  <c r="L38" i="33" s="1"/>
  <c r="M31" i="33"/>
  <c r="M38" i="33" s="1"/>
  <c r="N31" i="33"/>
  <c r="N38" i="33" s="1"/>
  <c r="O31" i="33"/>
  <c r="O38" i="33" s="1"/>
  <c r="P31" i="33"/>
  <c r="P38" i="33" s="1"/>
  <c r="Q31" i="33"/>
  <c r="Q38" i="33" s="1"/>
  <c r="R31" i="33"/>
  <c r="R38" i="33" s="1"/>
  <c r="S31" i="33"/>
  <c r="S38" i="33" s="1"/>
  <c r="T31" i="33"/>
  <c r="T38" i="33" s="1"/>
  <c r="U31" i="33"/>
  <c r="U38" i="33" s="1"/>
  <c r="V31" i="33"/>
  <c r="V38" i="33" s="1"/>
  <c r="W31" i="33"/>
  <c r="W38" i="33" s="1"/>
  <c r="X31" i="33"/>
  <c r="X38" i="33" s="1"/>
  <c r="Y31" i="33"/>
  <c r="Y38" i="33" s="1"/>
  <c r="Z31" i="33"/>
  <c r="Z38" i="33" s="1"/>
  <c r="AA31" i="33"/>
  <c r="AA38" i="33" s="1"/>
  <c r="AB31" i="33"/>
  <c r="AB38" i="33" s="1"/>
  <c r="AC31" i="33"/>
  <c r="AC38" i="33" s="1"/>
  <c r="AD31" i="33"/>
  <c r="AD38" i="33" s="1"/>
  <c r="AE31" i="33"/>
  <c r="AE38" i="33" s="1"/>
  <c r="AF31" i="33"/>
  <c r="AF38" i="33" s="1"/>
  <c r="AG31" i="33"/>
  <c r="AG38" i="33" s="1"/>
  <c r="AH31" i="33"/>
  <c r="AH38" i="33" s="1"/>
  <c r="AI31" i="33"/>
  <c r="AI38" i="33" s="1"/>
  <c r="AJ31" i="33"/>
  <c r="AJ38" i="33" s="1"/>
  <c r="AK31" i="33"/>
  <c r="AK38" i="33" s="1"/>
  <c r="AL31" i="33"/>
  <c r="AL38" i="33" s="1"/>
  <c r="AM31" i="33"/>
  <c r="AM38" i="33" s="1"/>
  <c r="AN31" i="33"/>
  <c r="AN38" i="33" s="1"/>
  <c r="AO31" i="33"/>
  <c r="AO38" i="33" s="1"/>
  <c r="AP31" i="33"/>
  <c r="AP38" i="33" s="1"/>
  <c r="AQ31" i="33"/>
  <c r="AQ38" i="33" s="1"/>
  <c r="AR31" i="33"/>
  <c r="AR38" i="33" s="1"/>
  <c r="AS31" i="33"/>
  <c r="AS38" i="33" s="1"/>
  <c r="AT31" i="33"/>
  <c r="AT38" i="33" s="1"/>
  <c r="AU31" i="33"/>
  <c r="AU38" i="33" s="1"/>
  <c r="AV31" i="33"/>
  <c r="AV38" i="33" s="1"/>
  <c r="AW31" i="33"/>
  <c r="AW38" i="33" s="1"/>
  <c r="AX31" i="33"/>
  <c r="AX38" i="33" s="1"/>
  <c r="AY31" i="33"/>
  <c r="AY38" i="33" s="1"/>
  <c r="AZ31" i="33"/>
  <c r="AZ38" i="33" s="1"/>
  <c r="BA31" i="33"/>
  <c r="BA38" i="33" s="1"/>
  <c r="BB31" i="33"/>
  <c r="BB38" i="33" s="1"/>
  <c r="BC31" i="33"/>
  <c r="BC38" i="33" s="1"/>
  <c r="BD31" i="33"/>
  <c r="BD38" i="33" s="1"/>
  <c r="BE31" i="33"/>
  <c r="BE38" i="33" s="1"/>
  <c r="BF31" i="33"/>
  <c r="BF38" i="33" s="1"/>
  <c r="BG31" i="33"/>
  <c r="BG38" i="33" s="1"/>
  <c r="BH31" i="33"/>
  <c r="BH38" i="33" s="1"/>
  <c r="BI31" i="33"/>
  <c r="BI38" i="33" s="1"/>
  <c r="BJ31" i="33"/>
  <c r="BJ38" i="33" s="1"/>
  <c r="BK31" i="33"/>
  <c r="BK38" i="33" s="1"/>
  <c r="BL31" i="33"/>
  <c r="BL38" i="33" s="1"/>
  <c r="H52" i="33"/>
  <c r="H61" i="33" s="1"/>
  <c r="K45" i="33"/>
  <c r="K52" i="33" s="1"/>
  <c r="L45" i="33"/>
  <c r="L52" i="33" s="1"/>
  <c r="M45" i="33"/>
  <c r="M52" i="33" s="1"/>
  <c r="N45" i="33"/>
  <c r="N52" i="33" s="1"/>
  <c r="O45" i="33"/>
  <c r="O52" i="33" s="1"/>
  <c r="P45" i="33"/>
  <c r="P52" i="33" s="1"/>
  <c r="Q45" i="33"/>
  <c r="Q52" i="33" s="1"/>
  <c r="R45" i="33"/>
  <c r="R52" i="33" s="1"/>
  <c r="S45" i="33"/>
  <c r="S52" i="33" s="1"/>
  <c r="T45" i="33"/>
  <c r="T52" i="33" s="1"/>
  <c r="U45" i="33"/>
  <c r="U52" i="33" s="1"/>
  <c r="V45" i="33"/>
  <c r="V52" i="33" s="1"/>
  <c r="W45" i="33"/>
  <c r="W52" i="33" s="1"/>
  <c r="X45" i="33"/>
  <c r="X52" i="33" s="1"/>
  <c r="Y45" i="33"/>
  <c r="Y52" i="33" s="1"/>
  <c r="Z45" i="33"/>
  <c r="Z52" i="33" s="1"/>
  <c r="AA45" i="33"/>
  <c r="AA52" i="33" s="1"/>
  <c r="AB45" i="33"/>
  <c r="AB52" i="33" s="1"/>
  <c r="AC45" i="33"/>
  <c r="AC52" i="33" s="1"/>
  <c r="AD45" i="33"/>
  <c r="AD52" i="33" s="1"/>
  <c r="AE45" i="33"/>
  <c r="AE52" i="33" s="1"/>
  <c r="AF45" i="33"/>
  <c r="AF52" i="33" s="1"/>
  <c r="AG45" i="33"/>
  <c r="AG52" i="33" s="1"/>
  <c r="AH45" i="33"/>
  <c r="AH52" i="33" s="1"/>
  <c r="AI45" i="33"/>
  <c r="AI52" i="33" s="1"/>
  <c r="AJ45" i="33"/>
  <c r="AJ52" i="33" s="1"/>
  <c r="AK45" i="33"/>
  <c r="AK52" i="33" s="1"/>
  <c r="AL45" i="33"/>
  <c r="AL52" i="33" s="1"/>
  <c r="AM45" i="33"/>
  <c r="AM52" i="33" s="1"/>
  <c r="AN45" i="33"/>
  <c r="AN52" i="33" s="1"/>
  <c r="AO45" i="33"/>
  <c r="AO52" i="33" s="1"/>
  <c r="AP45" i="33"/>
  <c r="AP52" i="33" s="1"/>
  <c r="AQ45" i="33"/>
  <c r="AQ52" i="33" s="1"/>
  <c r="AR45" i="33"/>
  <c r="AR52" i="33" s="1"/>
  <c r="AS45" i="33"/>
  <c r="AS52" i="33" s="1"/>
  <c r="AT45" i="33"/>
  <c r="AT52" i="33" s="1"/>
  <c r="AU45" i="33"/>
  <c r="AU52" i="33" s="1"/>
  <c r="AV45" i="33"/>
  <c r="AV52" i="33" s="1"/>
  <c r="AW45" i="33"/>
  <c r="AW52" i="33" s="1"/>
  <c r="AX45" i="33"/>
  <c r="AX52" i="33" s="1"/>
  <c r="AY45" i="33"/>
  <c r="AY52" i="33" s="1"/>
  <c r="AZ45" i="33"/>
  <c r="AZ52" i="33" s="1"/>
  <c r="BA45" i="33"/>
  <c r="BA52" i="33" s="1"/>
  <c r="BB45" i="33"/>
  <c r="BB52" i="33" s="1"/>
  <c r="BC45" i="33"/>
  <c r="BC52" i="33" s="1"/>
  <c r="BD45" i="33"/>
  <c r="BD52" i="33" s="1"/>
  <c r="BE45" i="33"/>
  <c r="BE52" i="33" s="1"/>
  <c r="BF45" i="33"/>
  <c r="BF52" i="33" s="1"/>
  <c r="BG45" i="33"/>
  <c r="BG52" i="33" s="1"/>
  <c r="BH45" i="33"/>
  <c r="BH52" i="33" s="1"/>
  <c r="BI45" i="33"/>
  <c r="BI52" i="33" s="1"/>
  <c r="BJ45" i="33"/>
  <c r="BJ52" i="33" s="1"/>
  <c r="BK45" i="33"/>
  <c r="BK52" i="33" s="1"/>
  <c r="BL45" i="33"/>
  <c r="BL52" i="33" s="1"/>
  <c r="H53" i="33"/>
  <c r="H62" i="33" s="1"/>
  <c r="K46" i="33"/>
  <c r="K53" i="33" s="1"/>
  <c r="L46" i="33"/>
  <c r="L53" i="33" s="1"/>
  <c r="M46" i="33"/>
  <c r="M53" i="33" s="1"/>
  <c r="N46" i="33"/>
  <c r="N53" i="33" s="1"/>
  <c r="O46" i="33"/>
  <c r="O53" i="33" s="1"/>
  <c r="P46" i="33"/>
  <c r="P53" i="33" s="1"/>
  <c r="Q46" i="33"/>
  <c r="Q53" i="33" s="1"/>
  <c r="R46" i="33"/>
  <c r="R53" i="33" s="1"/>
  <c r="S46" i="33"/>
  <c r="S53" i="33" s="1"/>
  <c r="T46" i="33"/>
  <c r="T53" i="33" s="1"/>
  <c r="U46" i="33"/>
  <c r="U53" i="33" s="1"/>
  <c r="V46" i="33"/>
  <c r="V53" i="33" s="1"/>
  <c r="W46" i="33"/>
  <c r="W53" i="33" s="1"/>
  <c r="X46" i="33"/>
  <c r="X53" i="33" s="1"/>
  <c r="Y46" i="33"/>
  <c r="Y53" i="33" s="1"/>
  <c r="Z46" i="33"/>
  <c r="Z53" i="33" s="1"/>
  <c r="AA46" i="33"/>
  <c r="AA53" i="33" s="1"/>
  <c r="AB46" i="33"/>
  <c r="AB53" i="33" s="1"/>
  <c r="AC46" i="33"/>
  <c r="AC53" i="33" s="1"/>
  <c r="AD46" i="33"/>
  <c r="AD53" i="33" s="1"/>
  <c r="AE46" i="33"/>
  <c r="AE53" i="33" s="1"/>
  <c r="AF46" i="33"/>
  <c r="AF53" i="33" s="1"/>
  <c r="AG46" i="33"/>
  <c r="AG53" i="33" s="1"/>
  <c r="AH46" i="33"/>
  <c r="AH53" i="33" s="1"/>
  <c r="AI46" i="33"/>
  <c r="AI53" i="33" s="1"/>
  <c r="AJ46" i="33"/>
  <c r="AJ53" i="33" s="1"/>
  <c r="AK46" i="33"/>
  <c r="AK53" i="33" s="1"/>
  <c r="AL46" i="33"/>
  <c r="AL53" i="33" s="1"/>
  <c r="AM46" i="33"/>
  <c r="AM53" i="33" s="1"/>
  <c r="AN46" i="33"/>
  <c r="AN53" i="33" s="1"/>
  <c r="AO46" i="33"/>
  <c r="AO53" i="33" s="1"/>
  <c r="AP46" i="33"/>
  <c r="AP53" i="33" s="1"/>
  <c r="AQ46" i="33"/>
  <c r="AQ53" i="33" s="1"/>
  <c r="AR46" i="33"/>
  <c r="AR53" i="33" s="1"/>
  <c r="AS46" i="33"/>
  <c r="AS53" i="33" s="1"/>
  <c r="AT46" i="33"/>
  <c r="AT53" i="33" s="1"/>
  <c r="AU46" i="33"/>
  <c r="AU53" i="33" s="1"/>
  <c r="AV46" i="33"/>
  <c r="AV53" i="33" s="1"/>
  <c r="AW46" i="33"/>
  <c r="AW53" i="33" s="1"/>
  <c r="AX46" i="33"/>
  <c r="AX53" i="33" s="1"/>
  <c r="AY46" i="33"/>
  <c r="AY53" i="33" s="1"/>
  <c r="AZ46" i="33"/>
  <c r="AZ53" i="33" s="1"/>
  <c r="BA46" i="33"/>
  <c r="BA53" i="33" s="1"/>
  <c r="BB46" i="33"/>
  <c r="BB53" i="33" s="1"/>
  <c r="BC46" i="33"/>
  <c r="BC53" i="33" s="1"/>
  <c r="BD46" i="33"/>
  <c r="BD53" i="33" s="1"/>
  <c r="BE46" i="33"/>
  <c r="BE53" i="33" s="1"/>
  <c r="BF46" i="33"/>
  <c r="BF53" i="33" s="1"/>
  <c r="BG46" i="33"/>
  <c r="BG53" i="33" s="1"/>
  <c r="BH46" i="33"/>
  <c r="BH53" i="33" s="1"/>
  <c r="BI46" i="33"/>
  <c r="BI53" i="33" s="1"/>
  <c r="BJ46" i="33"/>
  <c r="BJ53" i="33" s="1"/>
  <c r="BK46" i="33"/>
  <c r="BK53" i="33" s="1"/>
  <c r="BL46" i="33"/>
  <c r="BL53" i="33" s="1"/>
  <c r="H23" i="33"/>
  <c r="H32" i="33" s="1"/>
  <c r="K16" i="33"/>
  <c r="K23" i="33" s="1"/>
  <c r="L16" i="33"/>
  <c r="L23" i="33" s="1"/>
  <c r="M16" i="33"/>
  <c r="M23" i="33" s="1"/>
  <c r="N16" i="33"/>
  <c r="N23" i="33" s="1"/>
  <c r="O16" i="33"/>
  <c r="O23" i="33" s="1"/>
  <c r="P16" i="33"/>
  <c r="P23" i="33" s="1"/>
  <c r="Q16" i="33"/>
  <c r="Q23" i="33" s="1"/>
  <c r="R16" i="33"/>
  <c r="S16" i="33"/>
  <c r="S23" i="33" s="1"/>
  <c r="T16" i="33"/>
  <c r="T23" i="33" s="1"/>
  <c r="U16" i="33"/>
  <c r="U23" i="33" s="1"/>
  <c r="V16" i="33"/>
  <c r="V23" i="33" s="1"/>
  <c r="W16" i="33"/>
  <c r="W23" i="33" s="1"/>
  <c r="X16" i="33"/>
  <c r="X23" i="33" s="1"/>
  <c r="Y16" i="33"/>
  <c r="Y23" i="33" s="1"/>
  <c r="Z16" i="33"/>
  <c r="AA16" i="33"/>
  <c r="AA23" i="33" s="1"/>
  <c r="AB16" i="33"/>
  <c r="AB23" i="33" s="1"/>
  <c r="AC16" i="33"/>
  <c r="AC23" i="33" s="1"/>
  <c r="AD16" i="33"/>
  <c r="AD23" i="33" s="1"/>
  <c r="AE16" i="33"/>
  <c r="AE23" i="33" s="1"/>
  <c r="AF16" i="33"/>
  <c r="AF23" i="33" s="1"/>
  <c r="AG16" i="33"/>
  <c r="AG23" i="33" s="1"/>
  <c r="AH16" i="33"/>
  <c r="AH23" i="33" s="1"/>
  <c r="AI16" i="33"/>
  <c r="AI23" i="33" s="1"/>
  <c r="AJ16" i="33"/>
  <c r="AJ23" i="33" s="1"/>
  <c r="AK16" i="33"/>
  <c r="AK23" i="33" s="1"/>
  <c r="AL16" i="33"/>
  <c r="AL23" i="33" s="1"/>
  <c r="AM16" i="33"/>
  <c r="AM23" i="33" s="1"/>
  <c r="AN16" i="33"/>
  <c r="AN23" i="33" s="1"/>
  <c r="AO16" i="33"/>
  <c r="AO23" i="33" s="1"/>
  <c r="AP16" i="33"/>
  <c r="AQ16" i="33"/>
  <c r="AQ23" i="33" s="1"/>
  <c r="AR16" i="33"/>
  <c r="AR23" i="33" s="1"/>
  <c r="AS16" i="33"/>
  <c r="AS23" i="33" s="1"/>
  <c r="AT16" i="33"/>
  <c r="AT23" i="33" s="1"/>
  <c r="AU16" i="33"/>
  <c r="AU23" i="33" s="1"/>
  <c r="AV16" i="33"/>
  <c r="AV23" i="33" s="1"/>
  <c r="AW16" i="33"/>
  <c r="AW23" i="33" s="1"/>
  <c r="AX16" i="33"/>
  <c r="AX23" i="33" s="1"/>
  <c r="AY16" i="33"/>
  <c r="AY23" i="33" s="1"/>
  <c r="AZ16" i="33"/>
  <c r="AZ23" i="33" s="1"/>
  <c r="BA16" i="33"/>
  <c r="BA23" i="33" s="1"/>
  <c r="BB16" i="33"/>
  <c r="BB23" i="33" s="1"/>
  <c r="BC16" i="33"/>
  <c r="BC23" i="33" s="1"/>
  <c r="BD16" i="33"/>
  <c r="BD23" i="33" s="1"/>
  <c r="BE16" i="33"/>
  <c r="BE23" i="33" s="1"/>
  <c r="BF16" i="33"/>
  <c r="BF23" i="33" s="1"/>
  <c r="BG16" i="33"/>
  <c r="BG23" i="33" s="1"/>
  <c r="BH16" i="33"/>
  <c r="BH23" i="33" s="1"/>
  <c r="BI16" i="33"/>
  <c r="BI23" i="33" s="1"/>
  <c r="BJ16" i="33"/>
  <c r="BJ23" i="33" s="1"/>
  <c r="BK16" i="33"/>
  <c r="BK23" i="33" s="1"/>
  <c r="BL16" i="33"/>
  <c r="BL23" i="33" s="1"/>
  <c r="J21" i="33"/>
  <c r="J30" i="33"/>
  <c r="J37" i="33"/>
  <c r="J22" i="33"/>
  <c r="J15" i="33"/>
  <c r="J29" i="33"/>
  <c r="H38" i="33"/>
  <c r="H47" i="33" s="1"/>
  <c r="C70" i="31"/>
  <c r="C71" i="31" s="1"/>
  <c r="C72" i="31" s="1"/>
  <c r="C23" i="31"/>
  <c r="C331" i="31" s="1"/>
  <c r="D24" i="31"/>
  <c r="L29" i="1"/>
  <c r="F81" i="1"/>
  <c r="Y30" i="1"/>
  <c r="E82" i="1"/>
  <c r="K30" i="1"/>
  <c r="T30" i="1"/>
  <c r="H31" i="1"/>
  <c r="D83" i="1"/>
  <c r="I31" i="1"/>
  <c r="C83" i="1"/>
  <c r="H66" i="1"/>
  <c r="BF25" i="33" l="1"/>
  <c r="AX25" i="33"/>
  <c r="D86" i="31"/>
  <c r="E86" i="31" s="1"/>
  <c r="F86" i="31" s="1"/>
  <c r="G86" i="31" s="1"/>
  <c r="H86" i="31" s="1"/>
  <c r="I86" i="31" s="1"/>
  <c r="J86" i="31" s="1"/>
  <c r="K86" i="31" s="1"/>
  <c r="L86" i="31" s="1"/>
  <c r="M86" i="31" s="1"/>
  <c r="N86" i="31" s="1"/>
  <c r="O86" i="31" s="1"/>
  <c r="P86" i="31" s="1"/>
  <c r="Q86" i="31" s="1"/>
  <c r="R86" i="31" s="1"/>
  <c r="S86" i="31" s="1"/>
  <c r="T86" i="31" s="1"/>
  <c r="U86" i="31" s="1"/>
  <c r="V86" i="31" s="1"/>
  <c r="W86" i="31" s="1"/>
  <c r="X86" i="31" s="1"/>
  <c r="Y86" i="31" s="1"/>
  <c r="Z86" i="31" s="1"/>
  <c r="AA86" i="31" s="1"/>
  <c r="AB86" i="31" s="1"/>
  <c r="AC86" i="31" s="1"/>
  <c r="AD86" i="31" s="1"/>
  <c r="AE86" i="31" s="1"/>
  <c r="AF86" i="31" s="1"/>
  <c r="AG86" i="31" s="1"/>
  <c r="AH86" i="31" s="1"/>
  <c r="AI86" i="31" s="1"/>
  <c r="AJ86" i="31" s="1"/>
  <c r="AK86" i="31" s="1"/>
  <c r="AL86" i="31" s="1"/>
  <c r="AM86" i="31" s="1"/>
  <c r="AN86" i="31" s="1"/>
  <c r="AO86" i="31" s="1"/>
  <c r="AP86" i="31" s="1"/>
  <c r="AQ86" i="31" s="1"/>
  <c r="AR86" i="31" s="1"/>
  <c r="AS86" i="31" s="1"/>
  <c r="AT86" i="31" s="1"/>
  <c r="AU86" i="31" s="1"/>
  <c r="AV86" i="31" s="1"/>
  <c r="AW86" i="31" s="1"/>
  <c r="AX86" i="31" s="1"/>
  <c r="AY86" i="31" s="1"/>
  <c r="AZ86" i="31" s="1"/>
  <c r="BA86" i="31" s="1"/>
  <c r="BB86" i="31" s="1"/>
  <c r="BC86" i="31" s="1"/>
  <c r="BD86" i="31" s="1"/>
  <c r="BE86" i="31" s="1"/>
  <c r="BF86" i="31" s="1"/>
  <c r="BG86" i="31" s="1"/>
  <c r="BH86" i="31" s="1"/>
  <c r="BI86" i="31" s="1"/>
  <c r="BJ86" i="31" s="1"/>
  <c r="BK86" i="31" s="1"/>
  <c r="BL86" i="31" s="1"/>
  <c r="BM86" i="31" s="1"/>
  <c r="BN86" i="31" s="1"/>
  <c r="BO86" i="31" s="1"/>
  <c r="BP86" i="31" s="1"/>
  <c r="BQ86" i="31" s="1"/>
  <c r="BR86" i="31" s="1"/>
  <c r="BS86" i="31" s="1"/>
  <c r="BT86" i="31" s="1"/>
  <c r="BU86" i="31" s="1"/>
  <c r="BV86" i="31" s="1"/>
  <c r="BW86" i="31" s="1"/>
  <c r="BX86" i="31" s="1"/>
  <c r="BY86" i="31" s="1"/>
  <c r="BZ86" i="31" s="1"/>
  <c r="CA86" i="31" s="1"/>
  <c r="CB86" i="31" s="1"/>
  <c r="CC86" i="31" s="1"/>
  <c r="CD86" i="31" s="1"/>
  <c r="CE86" i="31" s="1"/>
  <c r="CF86" i="31" s="1"/>
  <c r="CG86" i="31" s="1"/>
  <c r="CH86" i="31" s="1"/>
  <c r="CI86" i="31" s="1"/>
  <c r="CJ86" i="31" s="1"/>
  <c r="CK86" i="31" s="1"/>
  <c r="CL86" i="31" s="1"/>
  <c r="CM86" i="31" s="1"/>
  <c r="CN86" i="31" s="1"/>
  <c r="CO86" i="31" s="1"/>
  <c r="CP86" i="31" s="1"/>
  <c r="CQ86" i="31" s="1"/>
  <c r="CR86" i="31" s="1"/>
  <c r="CS86" i="31" s="1"/>
  <c r="CT86" i="31" s="1"/>
  <c r="CU86" i="31" s="1"/>
  <c r="CV86" i="31" s="1"/>
  <c r="CW86" i="31" s="1"/>
  <c r="CX86" i="31" s="1"/>
  <c r="CY86" i="31" s="1"/>
  <c r="CZ86" i="31" s="1"/>
  <c r="DA86" i="31" s="1"/>
  <c r="DB86" i="31" s="1"/>
  <c r="DC86" i="31" s="1"/>
  <c r="DD86" i="31" s="1"/>
  <c r="DE86" i="31" s="1"/>
  <c r="DF86" i="31" s="1"/>
  <c r="DG86" i="31" s="1"/>
  <c r="DH86" i="31" s="1"/>
  <c r="DI86" i="31" s="1"/>
  <c r="DJ86" i="31" s="1"/>
  <c r="DK86" i="31" s="1"/>
  <c r="DL86" i="31" s="1"/>
  <c r="DM86" i="31" s="1"/>
  <c r="DN86" i="31" s="1"/>
  <c r="DO86" i="31" s="1"/>
  <c r="DP86" i="31" s="1"/>
  <c r="DQ86" i="31" s="1"/>
  <c r="DR86" i="31" s="1"/>
  <c r="DS86" i="31" s="1"/>
  <c r="DT86" i="31" s="1"/>
  <c r="DU86" i="31" s="1"/>
  <c r="DV86" i="31" s="1"/>
  <c r="DW86" i="31" s="1"/>
  <c r="DX86" i="31" s="1"/>
  <c r="DY86" i="31" s="1"/>
  <c r="DZ86" i="31" s="1"/>
  <c r="EA86" i="31" s="1"/>
  <c r="EB86" i="31" s="1"/>
  <c r="EC86" i="31" s="1"/>
  <c r="ED86" i="31" s="1"/>
  <c r="EE86" i="31" s="1"/>
  <c r="EF86" i="31" s="1"/>
  <c r="EG86" i="31" s="1"/>
  <c r="EH86" i="31" s="1"/>
  <c r="EI86" i="31" s="1"/>
  <c r="EJ86" i="31" s="1"/>
  <c r="EK86" i="31" s="1"/>
  <c r="EL86" i="31" s="1"/>
  <c r="EM86" i="31" s="1"/>
  <c r="EN86" i="31" s="1"/>
  <c r="EO86" i="31" s="1"/>
  <c r="EP86" i="31" s="1"/>
  <c r="EQ86" i="31" s="1"/>
  <c r="ER86" i="31" s="1"/>
  <c r="ES86" i="31" s="1"/>
  <c r="ET86" i="31" s="1"/>
  <c r="EU86" i="31" s="1"/>
  <c r="EV86" i="31" s="1"/>
  <c r="EW86" i="31" s="1"/>
  <c r="EX86" i="31" s="1"/>
  <c r="EY86" i="31" s="1"/>
  <c r="EZ86" i="31" s="1"/>
  <c r="FA86" i="31" s="1"/>
  <c r="FB86" i="31" s="1"/>
  <c r="FC86" i="31" s="1"/>
  <c r="FD86" i="31" s="1"/>
  <c r="FE86" i="31" s="1"/>
  <c r="FF86" i="31" s="1"/>
  <c r="FG86" i="31" s="1"/>
  <c r="FH86" i="31" s="1"/>
  <c r="FI86" i="31" s="1"/>
  <c r="FJ86" i="31" s="1"/>
  <c r="FK86" i="31" s="1"/>
  <c r="FL86" i="31" s="1"/>
  <c r="FM86" i="31" s="1"/>
  <c r="FN86" i="31" s="1"/>
  <c r="FO86" i="31" s="1"/>
  <c r="FP86" i="31" s="1"/>
  <c r="FQ86" i="31" s="1"/>
  <c r="FR86" i="31" s="1"/>
  <c r="FS86" i="31" s="1"/>
  <c r="FT86" i="31" s="1"/>
  <c r="FU86" i="31" s="1"/>
  <c r="FV86" i="31" s="1"/>
  <c r="FW86" i="31" s="1"/>
  <c r="FX86" i="31" s="1"/>
  <c r="FY86" i="31" s="1"/>
  <c r="FZ86" i="31" s="1"/>
  <c r="GA86" i="31" s="1"/>
  <c r="GB86" i="31" s="1"/>
  <c r="GC86" i="31" s="1"/>
  <c r="GD86" i="31" s="1"/>
  <c r="GE86" i="31" s="1"/>
  <c r="GF86" i="31" s="1"/>
  <c r="GG86" i="31" s="1"/>
  <c r="GH86" i="31" s="1"/>
  <c r="GI86" i="31" s="1"/>
  <c r="GJ86" i="31" s="1"/>
  <c r="GK86" i="31" s="1"/>
  <c r="GL86" i="31" s="1"/>
  <c r="GM86" i="31" s="1"/>
  <c r="GN86" i="31" s="1"/>
  <c r="GO86" i="31" s="1"/>
  <c r="GP86" i="31" s="1"/>
  <c r="GQ86" i="31" s="1"/>
  <c r="GR86" i="31" s="1"/>
  <c r="GS86" i="31" s="1"/>
  <c r="GT86" i="31" s="1"/>
  <c r="GU86" i="31" s="1"/>
  <c r="GV86" i="31" s="1"/>
  <c r="GW86" i="31" s="1"/>
  <c r="GX86" i="31" s="1"/>
  <c r="GY86" i="31" s="1"/>
  <c r="GZ86" i="31" s="1"/>
  <c r="HA86" i="31" s="1"/>
  <c r="HB86" i="31" s="1"/>
  <c r="HC86" i="31" s="1"/>
  <c r="HD86" i="31" s="1"/>
  <c r="HE86" i="31" s="1"/>
  <c r="HF86" i="31" s="1"/>
  <c r="HG86" i="31" s="1"/>
  <c r="HH86" i="31" s="1"/>
  <c r="HI86" i="31" s="1"/>
  <c r="HJ86" i="31" s="1"/>
  <c r="HK86" i="31" s="1"/>
  <c r="HL86" i="31" s="1"/>
  <c r="HM86" i="31" s="1"/>
  <c r="HN86" i="31" s="1"/>
  <c r="HO86" i="31" s="1"/>
  <c r="HP86" i="31" s="1"/>
  <c r="HQ86" i="31" s="1"/>
  <c r="HR86" i="31" s="1"/>
  <c r="HS86" i="31" s="1"/>
  <c r="HT86" i="31" s="1"/>
  <c r="HU86" i="31" s="1"/>
  <c r="HV86" i="31" s="1"/>
  <c r="HW86" i="31" s="1"/>
  <c r="HX86" i="31" s="1"/>
  <c r="HY86" i="31" s="1"/>
  <c r="HZ86" i="31" s="1"/>
  <c r="IA86" i="31" s="1"/>
  <c r="IB86" i="31" s="1"/>
  <c r="IC86" i="31" s="1"/>
  <c r="ID86" i="31" s="1"/>
  <c r="IE86" i="31" s="1"/>
  <c r="IF86" i="31" s="1"/>
  <c r="IG86" i="31" s="1"/>
  <c r="IH86" i="31" s="1"/>
  <c r="II86" i="31" s="1"/>
  <c r="IJ86" i="31" s="1"/>
  <c r="IK86" i="31" s="1"/>
  <c r="IL86" i="31" s="1"/>
  <c r="IM86" i="31" s="1"/>
  <c r="IN86" i="31" s="1"/>
  <c r="IO86" i="31" s="1"/>
  <c r="IP86" i="31" s="1"/>
  <c r="IQ86" i="31" s="1"/>
  <c r="IR86" i="31" s="1"/>
  <c r="IS86" i="31" s="1"/>
  <c r="IT86" i="31" s="1"/>
  <c r="IU86" i="31" s="1"/>
  <c r="IV86" i="31" s="1"/>
  <c r="IW86" i="31" s="1"/>
  <c r="IX86" i="31" s="1"/>
  <c r="IY86" i="31" s="1"/>
  <c r="IZ86" i="31" s="1"/>
  <c r="JA86" i="31" s="1"/>
  <c r="JB86" i="31" s="1"/>
  <c r="JC86" i="31" s="1"/>
  <c r="JD86" i="31" s="1"/>
  <c r="JE86" i="31" s="1"/>
  <c r="JF86" i="31" s="1"/>
  <c r="JG86" i="31" s="1"/>
  <c r="JH86" i="31" s="1"/>
  <c r="JI86" i="31" s="1"/>
  <c r="AP23" i="33"/>
  <c r="Z23" i="33"/>
  <c r="R23" i="33"/>
  <c r="C150" i="31"/>
  <c r="C151" i="31" s="1"/>
  <c r="D87" i="31"/>
  <c r="E87" i="31" s="1"/>
  <c r="F87" i="31" s="1"/>
  <c r="G87" i="31" s="1"/>
  <c r="H87" i="31" s="1"/>
  <c r="I87" i="31" s="1"/>
  <c r="J87" i="31" s="1"/>
  <c r="K87" i="31" s="1"/>
  <c r="L87" i="31" s="1"/>
  <c r="M87" i="31" s="1"/>
  <c r="N87" i="31" s="1"/>
  <c r="O87" i="31" s="1"/>
  <c r="P87" i="31" s="1"/>
  <c r="Q87" i="31" s="1"/>
  <c r="R87" i="31" s="1"/>
  <c r="S87" i="31" s="1"/>
  <c r="T87" i="31" s="1"/>
  <c r="U87" i="31" s="1"/>
  <c r="V87" i="31" s="1"/>
  <c r="W87" i="31" s="1"/>
  <c r="X87" i="31" s="1"/>
  <c r="Y87" i="31" s="1"/>
  <c r="Z87" i="31" s="1"/>
  <c r="AA87" i="31" s="1"/>
  <c r="AB87" i="31" s="1"/>
  <c r="AC87" i="31" s="1"/>
  <c r="AD87" i="31" s="1"/>
  <c r="AE87" i="31" s="1"/>
  <c r="AF87" i="31" s="1"/>
  <c r="AG87" i="31" s="1"/>
  <c r="AH87" i="31" s="1"/>
  <c r="AI87" i="31" s="1"/>
  <c r="AJ87" i="31" s="1"/>
  <c r="AK87" i="31" s="1"/>
  <c r="AL87" i="31" s="1"/>
  <c r="AM87" i="31" s="1"/>
  <c r="AN87" i="31" s="1"/>
  <c r="AO87" i="31" s="1"/>
  <c r="AP87" i="31" s="1"/>
  <c r="AQ87" i="31" s="1"/>
  <c r="AR87" i="31" s="1"/>
  <c r="AS87" i="31" s="1"/>
  <c r="AT87" i="31" s="1"/>
  <c r="AU87" i="31" s="1"/>
  <c r="AV87" i="31" s="1"/>
  <c r="AW87" i="31" s="1"/>
  <c r="AX87" i="31" s="1"/>
  <c r="AY87" i="31" s="1"/>
  <c r="AZ87" i="31" s="1"/>
  <c r="BA87" i="31" s="1"/>
  <c r="BB87" i="31" s="1"/>
  <c r="BC87" i="31" s="1"/>
  <c r="BD87" i="31" s="1"/>
  <c r="BE87" i="31" s="1"/>
  <c r="BF87" i="31" s="1"/>
  <c r="BG87" i="31" s="1"/>
  <c r="BH87" i="31" s="1"/>
  <c r="BI87" i="31" s="1"/>
  <c r="BJ87" i="31" s="1"/>
  <c r="BK87" i="31" s="1"/>
  <c r="BL87" i="31" s="1"/>
  <c r="BM87" i="31" s="1"/>
  <c r="BN87" i="31" s="1"/>
  <c r="BO87" i="31" s="1"/>
  <c r="BP87" i="31" s="1"/>
  <c r="BQ87" i="31" s="1"/>
  <c r="BR87" i="31" s="1"/>
  <c r="BS87" i="31" s="1"/>
  <c r="BT87" i="31" s="1"/>
  <c r="BU87" i="31" s="1"/>
  <c r="BV87" i="31" s="1"/>
  <c r="BW87" i="31" s="1"/>
  <c r="BX87" i="31" s="1"/>
  <c r="BY87" i="31" s="1"/>
  <c r="BZ87" i="31" s="1"/>
  <c r="CA87" i="31" s="1"/>
  <c r="CB87" i="31" s="1"/>
  <c r="CC87" i="31" s="1"/>
  <c r="CD87" i="31" s="1"/>
  <c r="CE87" i="31" s="1"/>
  <c r="CF87" i="31" s="1"/>
  <c r="CG87" i="31" s="1"/>
  <c r="CH87" i="31" s="1"/>
  <c r="CI87" i="31" s="1"/>
  <c r="CJ87" i="31" s="1"/>
  <c r="CK87" i="31" s="1"/>
  <c r="CL87" i="31" s="1"/>
  <c r="CM87" i="31" s="1"/>
  <c r="CN87" i="31" s="1"/>
  <c r="CO87" i="31" s="1"/>
  <c r="CP87" i="31" s="1"/>
  <c r="CQ87" i="31" s="1"/>
  <c r="CR87" i="31" s="1"/>
  <c r="CS87" i="31" s="1"/>
  <c r="CT87" i="31" s="1"/>
  <c r="CU87" i="31" s="1"/>
  <c r="CV87" i="31" s="1"/>
  <c r="CW87" i="31" s="1"/>
  <c r="CX87" i="31" s="1"/>
  <c r="CY87" i="31" s="1"/>
  <c r="CZ87" i="31" s="1"/>
  <c r="DA87" i="31" s="1"/>
  <c r="DB87" i="31" s="1"/>
  <c r="DC87" i="31" s="1"/>
  <c r="DD87" i="31" s="1"/>
  <c r="DE87" i="31" s="1"/>
  <c r="DF87" i="31" s="1"/>
  <c r="DG87" i="31" s="1"/>
  <c r="DH87" i="31" s="1"/>
  <c r="DI87" i="31" s="1"/>
  <c r="DJ87" i="31" s="1"/>
  <c r="DK87" i="31" s="1"/>
  <c r="DL87" i="31" s="1"/>
  <c r="DM87" i="31" s="1"/>
  <c r="DN87" i="31" s="1"/>
  <c r="DO87" i="31" s="1"/>
  <c r="DP87" i="31" s="1"/>
  <c r="DQ87" i="31" s="1"/>
  <c r="DR87" i="31" s="1"/>
  <c r="DS87" i="31" s="1"/>
  <c r="DT87" i="31" s="1"/>
  <c r="DU87" i="31" s="1"/>
  <c r="DV87" i="31" s="1"/>
  <c r="DW87" i="31" s="1"/>
  <c r="DX87" i="31" s="1"/>
  <c r="DY87" i="31" s="1"/>
  <c r="DZ87" i="31" s="1"/>
  <c r="EA87" i="31" s="1"/>
  <c r="EB87" i="31" s="1"/>
  <c r="EC87" i="31" s="1"/>
  <c r="ED87" i="31" s="1"/>
  <c r="EE87" i="31" s="1"/>
  <c r="EF87" i="31" s="1"/>
  <c r="EG87" i="31" s="1"/>
  <c r="EH87" i="31" s="1"/>
  <c r="EI87" i="31" s="1"/>
  <c r="EJ87" i="31" s="1"/>
  <c r="EK87" i="31" s="1"/>
  <c r="EL87" i="31" s="1"/>
  <c r="EM87" i="31" s="1"/>
  <c r="EN87" i="31" s="1"/>
  <c r="EO87" i="31" s="1"/>
  <c r="EP87" i="31" s="1"/>
  <c r="EQ87" i="31" s="1"/>
  <c r="ER87" i="31" s="1"/>
  <c r="ES87" i="31" s="1"/>
  <c r="ET87" i="31" s="1"/>
  <c r="EU87" i="31" s="1"/>
  <c r="EV87" i="31" s="1"/>
  <c r="EW87" i="31" s="1"/>
  <c r="EX87" i="31" s="1"/>
  <c r="EY87" i="31" s="1"/>
  <c r="EZ87" i="31" s="1"/>
  <c r="FA87" i="31" s="1"/>
  <c r="FB87" i="31" s="1"/>
  <c r="FC87" i="31" s="1"/>
  <c r="FD87" i="31" s="1"/>
  <c r="FE87" i="31" s="1"/>
  <c r="FF87" i="31" s="1"/>
  <c r="FG87" i="31" s="1"/>
  <c r="FH87" i="31" s="1"/>
  <c r="FI87" i="31" s="1"/>
  <c r="FJ87" i="31" s="1"/>
  <c r="FK87" i="31" s="1"/>
  <c r="FL87" i="31" s="1"/>
  <c r="FM87" i="31" s="1"/>
  <c r="FN87" i="31" s="1"/>
  <c r="FO87" i="31" s="1"/>
  <c r="FP87" i="31" s="1"/>
  <c r="FQ87" i="31" s="1"/>
  <c r="FR87" i="31" s="1"/>
  <c r="FS87" i="31" s="1"/>
  <c r="FT87" i="31" s="1"/>
  <c r="FU87" i="31" s="1"/>
  <c r="FV87" i="31" s="1"/>
  <c r="FW87" i="31" s="1"/>
  <c r="FX87" i="31" s="1"/>
  <c r="FY87" i="31" s="1"/>
  <c r="FZ87" i="31" s="1"/>
  <c r="GA87" i="31" s="1"/>
  <c r="GB87" i="31" s="1"/>
  <c r="GC87" i="31" s="1"/>
  <c r="GD87" i="31" s="1"/>
  <c r="GE87" i="31" s="1"/>
  <c r="GF87" i="31" s="1"/>
  <c r="GG87" i="31" s="1"/>
  <c r="GH87" i="31" s="1"/>
  <c r="GI87" i="31" s="1"/>
  <c r="GJ87" i="31" s="1"/>
  <c r="GK87" i="31" s="1"/>
  <c r="GL87" i="31" s="1"/>
  <c r="GM87" i="31" s="1"/>
  <c r="GN87" i="31" s="1"/>
  <c r="GO87" i="31" s="1"/>
  <c r="GP87" i="31" s="1"/>
  <c r="GQ87" i="31" s="1"/>
  <c r="GR87" i="31" s="1"/>
  <c r="GS87" i="31" s="1"/>
  <c r="GT87" i="31" s="1"/>
  <c r="GU87" i="31" s="1"/>
  <c r="GV87" i="31" s="1"/>
  <c r="GW87" i="31" s="1"/>
  <c r="GX87" i="31" s="1"/>
  <c r="GY87" i="31" s="1"/>
  <c r="GZ87" i="31" s="1"/>
  <c r="HA87" i="31" s="1"/>
  <c r="HB87" i="31" s="1"/>
  <c r="HC87" i="31" s="1"/>
  <c r="HD87" i="31" s="1"/>
  <c r="HE87" i="31" s="1"/>
  <c r="HF87" i="31" s="1"/>
  <c r="HG87" i="31" s="1"/>
  <c r="HH87" i="31" s="1"/>
  <c r="HI87" i="31" s="1"/>
  <c r="HJ87" i="31" s="1"/>
  <c r="HK87" i="31" s="1"/>
  <c r="HL87" i="31" s="1"/>
  <c r="HM87" i="31" s="1"/>
  <c r="HN87" i="31" s="1"/>
  <c r="HO87" i="31" s="1"/>
  <c r="HP87" i="31" s="1"/>
  <c r="HQ87" i="31" s="1"/>
  <c r="HR87" i="31" s="1"/>
  <c r="HS87" i="31" s="1"/>
  <c r="HT87" i="31" s="1"/>
  <c r="HU87" i="31" s="1"/>
  <c r="HV87" i="31" s="1"/>
  <c r="HW87" i="31" s="1"/>
  <c r="HX87" i="31" s="1"/>
  <c r="HY87" i="31" s="1"/>
  <c r="HZ87" i="31" s="1"/>
  <c r="IA87" i="31" s="1"/>
  <c r="IB87" i="31" s="1"/>
  <c r="IC87" i="31" s="1"/>
  <c r="ID87" i="31" s="1"/>
  <c r="IE87" i="31" s="1"/>
  <c r="IF87" i="31" s="1"/>
  <c r="IG87" i="31" s="1"/>
  <c r="IH87" i="31" s="1"/>
  <c r="II87" i="31" s="1"/>
  <c r="IJ87" i="31" s="1"/>
  <c r="IK87" i="31" s="1"/>
  <c r="IL87" i="31" s="1"/>
  <c r="IM87" i="31" s="1"/>
  <c r="IN87" i="31" s="1"/>
  <c r="IO87" i="31" s="1"/>
  <c r="IP87" i="31" s="1"/>
  <c r="IQ87" i="31" s="1"/>
  <c r="IR87" i="31" s="1"/>
  <c r="IS87" i="31" s="1"/>
  <c r="IT87" i="31" s="1"/>
  <c r="IU87" i="31" s="1"/>
  <c r="IV87" i="31" s="1"/>
  <c r="IW87" i="31" s="1"/>
  <c r="IX87" i="31" s="1"/>
  <c r="IY87" i="31" s="1"/>
  <c r="IZ87" i="31" s="1"/>
  <c r="JA87" i="31" s="1"/>
  <c r="JB87" i="31" s="1"/>
  <c r="JC87" i="31" s="1"/>
  <c r="JD87" i="31" s="1"/>
  <c r="JE87" i="31" s="1"/>
  <c r="JF87" i="31" s="1"/>
  <c r="JG87" i="31" s="1"/>
  <c r="JH87" i="31" s="1"/>
  <c r="JI87" i="31" s="1"/>
  <c r="C81" i="31"/>
  <c r="E24" i="31"/>
  <c r="H54" i="33"/>
  <c r="H63" i="33" s="1"/>
  <c r="K47" i="33"/>
  <c r="K54" i="33" s="1"/>
  <c r="L47" i="33"/>
  <c r="L54" i="33" s="1"/>
  <c r="M47" i="33"/>
  <c r="M54" i="33" s="1"/>
  <c r="N47" i="33"/>
  <c r="N54" i="33" s="1"/>
  <c r="O47" i="33"/>
  <c r="O54" i="33" s="1"/>
  <c r="P47" i="33"/>
  <c r="P54" i="33" s="1"/>
  <c r="Q47" i="33"/>
  <c r="Q54" i="33" s="1"/>
  <c r="R47" i="33"/>
  <c r="R54" i="33" s="1"/>
  <c r="S47" i="33"/>
  <c r="S54" i="33" s="1"/>
  <c r="T47" i="33"/>
  <c r="T54" i="33" s="1"/>
  <c r="U47" i="33"/>
  <c r="U54" i="33" s="1"/>
  <c r="V47" i="33"/>
  <c r="V54" i="33" s="1"/>
  <c r="W47" i="33"/>
  <c r="W54" i="33" s="1"/>
  <c r="X47" i="33"/>
  <c r="X54" i="33" s="1"/>
  <c r="Y47" i="33"/>
  <c r="Y54" i="33" s="1"/>
  <c r="Z47" i="33"/>
  <c r="Z54" i="33" s="1"/>
  <c r="AA47" i="33"/>
  <c r="AA54" i="33" s="1"/>
  <c r="AB47" i="33"/>
  <c r="AB54" i="33" s="1"/>
  <c r="AC47" i="33"/>
  <c r="AC54" i="33" s="1"/>
  <c r="AD47" i="33"/>
  <c r="AD54" i="33" s="1"/>
  <c r="AE47" i="33"/>
  <c r="AE54" i="33" s="1"/>
  <c r="AF47" i="33"/>
  <c r="AF54" i="33" s="1"/>
  <c r="AG47" i="33"/>
  <c r="AG54" i="33" s="1"/>
  <c r="AH47" i="33"/>
  <c r="AH54" i="33" s="1"/>
  <c r="AI47" i="33"/>
  <c r="AI54" i="33" s="1"/>
  <c r="AJ47" i="33"/>
  <c r="AJ54" i="33" s="1"/>
  <c r="AK47" i="33"/>
  <c r="AK54" i="33" s="1"/>
  <c r="AL47" i="33"/>
  <c r="AL54" i="33" s="1"/>
  <c r="AM47" i="33"/>
  <c r="AM54" i="33" s="1"/>
  <c r="AN47" i="33"/>
  <c r="AN54" i="33" s="1"/>
  <c r="AO47" i="33"/>
  <c r="AO54" i="33" s="1"/>
  <c r="AP47" i="33"/>
  <c r="AP54" i="33" s="1"/>
  <c r="AQ47" i="33"/>
  <c r="AQ54" i="33" s="1"/>
  <c r="AR47" i="33"/>
  <c r="AR54" i="33" s="1"/>
  <c r="AS47" i="33"/>
  <c r="AS54" i="33" s="1"/>
  <c r="AT47" i="33"/>
  <c r="AT54" i="33" s="1"/>
  <c r="AU47" i="33"/>
  <c r="AU54" i="33" s="1"/>
  <c r="AV47" i="33"/>
  <c r="AV54" i="33" s="1"/>
  <c r="AW47" i="33"/>
  <c r="AW54" i="33" s="1"/>
  <c r="AX47" i="33"/>
  <c r="AX54" i="33" s="1"/>
  <c r="AY47" i="33"/>
  <c r="AY54" i="33" s="1"/>
  <c r="AZ47" i="33"/>
  <c r="AZ54" i="33" s="1"/>
  <c r="BA47" i="33"/>
  <c r="BA54" i="33" s="1"/>
  <c r="BB47" i="33"/>
  <c r="BB54" i="33" s="1"/>
  <c r="BC47" i="33"/>
  <c r="BC54" i="33" s="1"/>
  <c r="BD47" i="33"/>
  <c r="BD54" i="33" s="1"/>
  <c r="BE47" i="33"/>
  <c r="BE54" i="33" s="1"/>
  <c r="BF47" i="33"/>
  <c r="BF54" i="33" s="1"/>
  <c r="BG47" i="33"/>
  <c r="BG54" i="33" s="1"/>
  <c r="BH47" i="33"/>
  <c r="BH54" i="33" s="1"/>
  <c r="BI47" i="33"/>
  <c r="BI54" i="33" s="1"/>
  <c r="BJ47" i="33"/>
  <c r="BJ54" i="33" s="1"/>
  <c r="BK47" i="33"/>
  <c r="BK54" i="33" s="1"/>
  <c r="BL47" i="33"/>
  <c r="BL54" i="33" s="1"/>
  <c r="J45" i="33"/>
  <c r="K32" i="33"/>
  <c r="K39" i="33" s="1"/>
  <c r="L32" i="33"/>
  <c r="M32" i="33"/>
  <c r="N32" i="33"/>
  <c r="O32" i="33"/>
  <c r="P32" i="33"/>
  <c r="Q32" i="33"/>
  <c r="R32" i="33"/>
  <c r="S32" i="33"/>
  <c r="T32" i="33"/>
  <c r="U32" i="33"/>
  <c r="V32" i="33"/>
  <c r="W32" i="33"/>
  <c r="X32" i="33"/>
  <c r="Y32" i="33"/>
  <c r="Z32" i="33"/>
  <c r="AA32" i="33"/>
  <c r="AB32" i="33"/>
  <c r="AC32" i="33"/>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BH32" i="33"/>
  <c r="BI32" i="33"/>
  <c r="BJ32" i="33"/>
  <c r="BK32" i="33"/>
  <c r="BL32" i="33"/>
  <c r="H68" i="33"/>
  <c r="H77" i="33" s="1"/>
  <c r="K61" i="33"/>
  <c r="K68" i="33" s="1"/>
  <c r="L61" i="33"/>
  <c r="L68" i="33" s="1"/>
  <c r="L102" i="33" s="1"/>
  <c r="M61" i="33"/>
  <c r="M68" i="33" s="1"/>
  <c r="M102" i="33" s="1"/>
  <c r="N61" i="33"/>
  <c r="N68" i="33" s="1"/>
  <c r="N102" i="33" s="1"/>
  <c r="O61" i="33"/>
  <c r="O68" i="33" s="1"/>
  <c r="O102" i="33" s="1"/>
  <c r="P61" i="33"/>
  <c r="P68" i="33" s="1"/>
  <c r="P102" i="33" s="1"/>
  <c r="Q61" i="33"/>
  <c r="Q68" i="33" s="1"/>
  <c r="Q102" i="33" s="1"/>
  <c r="R61" i="33"/>
  <c r="R68" i="33" s="1"/>
  <c r="R102" i="33" s="1"/>
  <c r="S61" i="33"/>
  <c r="S68" i="33" s="1"/>
  <c r="S102" i="33" s="1"/>
  <c r="T61" i="33"/>
  <c r="T68" i="33" s="1"/>
  <c r="T102" i="33" s="1"/>
  <c r="U61" i="33"/>
  <c r="U68" i="33" s="1"/>
  <c r="U102" i="33" s="1"/>
  <c r="V61" i="33"/>
  <c r="V68" i="33" s="1"/>
  <c r="V102" i="33" s="1"/>
  <c r="W61" i="33"/>
  <c r="W68" i="33" s="1"/>
  <c r="W102" i="33" s="1"/>
  <c r="X61" i="33"/>
  <c r="X68" i="33" s="1"/>
  <c r="X102" i="33" s="1"/>
  <c r="Y61" i="33"/>
  <c r="Y68" i="33" s="1"/>
  <c r="Y102" i="33" s="1"/>
  <c r="Z61" i="33"/>
  <c r="Z68" i="33" s="1"/>
  <c r="Z102" i="33" s="1"/>
  <c r="AA61" i="33"/>
  <c r="AA68" i="33" s="1"/>
  <c r="AA102" i="33" s="1"/>
  <c r="AB61" i="33"/>
  <c r="AB68" i="33" s="1"/>
  <c r="AB102" i="33" s="1"/>
  <c r="AC61" i="33"/>
  <c r="AC68" i="33" s="1"/>
  <c r="AC102" i="33" s="1"/>
  <c r="AD61" i="33"/>
  <c r="AD68" i="33" s="1"/>
  <c r="AD102" i="33" s="1"/>
  <c r="AE61" i="33"/>
  <c r="AE68" i="33" s="1"/>
  <c r="AE102" i="33" s="1"/>
  <c r="AF61" i="33"/>
  <c r="AF68" i="33" s="1"/>
  <c r="AF102" i="33" s="1"/>
  <c r="AG61" i="33"/>
  <c r="AG68" i="33" s="1"/>
  <c r="AG102" i="33" s="1"/>
  <c r="AH61" i="33"/>
  <c r="AH68" i="33" s="1"/>
  <c r="AH102" i="33" s="1"/>
  <c r="AI61" i="33"/>
  <c r="AI68" i="33" s="1"/>
  <c r="AI102" i="33" s="1"/>
  <c r="AJ61" i="33"/>
  <c r="AJ68" i="33" s="1"/>
  <c r="AJ102" i="33" s="1"/>
  <c r="AK61" i="33"/>
  <c r="AK68" i="33" s="1"/>
  <c r="AK102" i="33" s="1"/>
  <c r="AL61" i="33"/>
  <c r="AL68" i="33" s="1"/>
  <c r="AL102" i="33" s="1"/>
  <c r="AM61" i="33"/>
  <c r="AM68" i="33" s="1"/>
  <c r="AM102" i="33" s="1"/>
  <c r="AN61" i="33"/>
  <c r="AN68" i="33" s="1"/>
  <c r="AN102" i="33" s="1"/>
  <c r="AO61" i="33"/>
  <c r="AO68" i="33" s="1"/>
  <c r="AO102" i="33" s="1"/>
  <c r="AP61" i="33"/>
  <c r="AP68" i="33" s="1"/>
  <c r="AP102" i="33" s="1"/>
  <c r="AQ61" i="33"/>
  <c r="AQ68" i="33" s="1"/>
  <c r="AQ102" i="33" s="1"/>
  <c r="AR61" i="33"/>
  <c r="AR68" i="33" s="1"/>
  <c r="AR102" i="33" s="1"/>
  <c r="AS61" i="33"/>
  <c r="AS68" i="33" s="1"/>
  <c r="AS102" i="33" s="1"/>
  <c r="AT61" i="33"/>
  <c r="AT68" i="33" s="1"/>
  <c r="AT102" i="33" s="1"/>
  <c r="AU61" i="33"/>
  <c r="AU68" i="33" s="1"/>
  <c r="AU102" i="33" s="1"/>
  <c r="AV61" i="33"/>
  <c r="AV68" i="33" s="1"/>
  <c r="AV102" i="33" s="1"/>
  <c r="AW61" i="33"/>
  <c r="AW68" i="33" s="1"/>
  <c r="AW102" i="33" s="1"/>
  <c r="AX61" i="33"/>
  <c r="AX68" i="33" s="1"/>
  <c r="AX102" i="33" s="1"/>
  <c r="AY61" i="33"/>
  <c r="AY68" i="33" s="1"/>
  <c r="AY102" i="33" s="1"/>
  <c r="AZ61" i="33"/>
  <c r="AZ68" i="33" s="1"/>
  <c r="AZ102" i="33" s="1"/>
  <c r="BA61" i="33"/>
  <c r="BA68" i="33" s="1"/>
  <c r="BA102" i="33" s="1"/>
  <c r="BB61" i="33"/>
  <c r="BB68" i="33" s="1"/>
  <c r="BB102" i="33" s="1"/>
  <c r="BC61" i="33"/>
  <c r="BC68" i="33" s="1"/>
  <c r="BC102" i="33" s="1"/>
  <c r="BD61" i="33"/>
  <c r="BD68" i="33" s="1"/>
  <c r="BD102" i="33" s="1"/>
  <c r="BE61" i="33"/>
  <c r="BE68" i="33" s="1"/>
  <c r="BE102" i="33" s="1"/>
  <c r="BF61" i="33"/>
  <c r="BF68" i="33" s="1"/>
  <c r="BF102" i="33" s="1"/>
  <c r="BG61" i="33"/>
  <c r="BG68" i="33" s="1"/>
  <c r="BG102" i="33" s="1"/>
  <c r="BH61" i="33"/>
  <c r="BH68" i="33" s="1"/>
  <c r="BH102" i="33" s="1"/>
  <c r="BI61" i="33"/>
  <c r="BI68" i="33" s="1"/>
  <c r="BI102" i="33" s="1"/>
  <c r="BJ61" i="33"/>
  <c r="BJ68" i="33" s="1"/>
  <c r="BJ102" i="33" s="1"/>
  <c r="BK61" i="33"/>
  <c r="BK68" i="33" s="1"/>
  <c r="BK102" i="33" s="1"/>
  <c r="BL61" i="33"/>
  <c r="BL68" i="33" s="1"/>
  <c r="BL102" i="33" s="1"/>
  <c r="J53" i="33"/>
  <c r="J46" i="33"/>
  <c r="H69" i="33"/>
  <c r="H78" i="33" s="1"/>
  <c r="K62" i="33"/>
  <c r="K69" i="33" s="1"/>
  <c r="K103" i="33" s="1"/>
  <c r="L62" i="33"/>
  <c r="L69" i="33" s="1"/>
  <c r="L103" i="33" s="1"/>
  <c r="M62" i="33"/>
  <c r="M69" i="33" s="1"/>
  <c r="M103" i="33" s="1"/>
  <c r="N62" i="33"/>
  <c r="N69" i="33" s="1"/>
  <c r="N103" i="33" s="1"/>
  <c r="O62" i="33"/>
  <c r="O69" i="33" s="1"/>
  <c r="O103" i="33" s="1"/>
  <c r="P62" i="33"/>
  <c r="P69" i="33" s="1"/>
  <c r="P103" i="33" s="1"/>
  <c r="Q62" i="33"/>
  <c r="Q69" i="33" s="1"/>
  <c r="Q103" i="33" s="1"/>
  <c r="R62" i="33"/>
  <c r="R69" i="33" s="1"/>
  <c r="R103" i="33" s="1"/>
  <c r="S62" i="33"/>
  <c r="S69" i="33" s="1"/>
  <c r="S103" i="33" s="1"/>
  <c r="T62" i="33"/>
  <c r="T69" i="33" s="1"/>
  <c r="T103" i="33" s="1"/>
  <c r="U62" i="33"/>
  <c r="U69" i="33" s="1"/>
  <c r="U103" i="33" s="1"/>
  <c r="V62" i="33"/>
  <c r="V69" i="33" s="1"/>
  <c r="V103" i="33" s="1"/>
  <c r="W62" i="33"/>
  <c r="W69" i="33" s="1"/>
  <c r="W103" i="33" s="1"/>
  <c r="X62" i="33"/>
  <c r="X69" i="33" s="1"/>
  <c r="X103" i="33" s="1"/>
  <c r="Y62" i="33"/>
  <c r="Y69" i="33" s="1"/>
  <c r="Y103" i="33" s="1"/>
  <c r="Z62" i="33"/>
  <c r="Z69" i="33" s="1"/>
  <c r="Z103" i="33" s="1"/>
  <c r="AA62" i="33"/>
  <c r="AA69" i="33" s="1"/>
  <c r="AA103" i="33" s="1"/>
  <c r="AB62" i="33"/>
  <c r="AB69" i="33" s="1"/>
  <c r="AB103" i="33" s="1"/>
  <c r="AC62" i="33"/>
  <c r="AC69" i="33" s="1"/>
  <c r="AC103" i="33" s="1"/>
  <c r="AD62" i="33"/>
  <c r="AD69" i="33" s="1"/>
  <c r="AD103" i="33" s="1"/>
  <c r="AE62" i="33"/>
  <c r="AE69" i="33" s="1"/>
  <c r="AE103" i="33" s="1"/>
  <c r="AF62" i="33"/>
  <c r="AF69" i="33" s="1"/>
  <c r="AF103" i="33" s="1"/>
  <c r="AG62" i="33"/>
  <c r="AG69" i="33" s="1"/>
  <c r="AG103" i="33" s="1"/>
  <c r="AH62" i="33"/>
  <c r="AH69" i="33" s="1"/>
  <c r="AH103" i="33" s="1"/>
  <c r="AI62" i="33"/>
  <c r="AI69" i="33" s="1"/>
  <c r="AI103" i="33" s="1"/>
  <c r="AJ62" i="33"/>
  <c r="AJ69" i="33" s="1"/>
  <c r="AJ103" i="33" s="1"/>
  <c r="AK62" i="33"/>
  <c r="AK69" i="33" s="1"/>
  <c r="AK103" i="33" s="1"/>
  <c r="AL62" i="33"/>
  <c r="AL69" i="33" s="1"/>
  <c r="AL103" i="33" s="1"/>
  <c r="AM62" i="33"/>
  <c r="AM69" i="33" s="1"/>
  <c r="AM103" i="33" s="1"/>
  <c r="AN62" i="33"/>
  <c r="AN69" i="33" s="1"/>
  <c r="AN103" i="33" s="1"/>
  <c r="AO62" i="33"/>
  <c r="AO69" i="33" s="1"/>
  <c r="AO103" i="33" s="1"/>
  <c r="AP62" i="33"/>
  <c r="AP69" i="33" s="1"/>
  <c r="AP103" i="33" s="1"/>
  <c r="AQ62" i="33"/>
  <c r="AQ69" i="33" s="1"/>
  <c r="AQ103" i="33" s="1"/>
  <c r="AR62" i="33"/>
  <c r="AR69" i="33" s="1"/>
  <c r="AR103" i="33" s="1"/>
  <c r="AS62" i="33"/>
  <c r="AS69" i="33" s="1"/>
  <c r="AS103" i="33" s="1"/>
  <c r="AT62" i="33"/>
  <c r="AT69" i="33" s="1"/>
  <c r="AT103" i="33" s="1"/>
  <c r="AU62" i="33"/>
  <c r="AU69" i="33" s="1"/>
  <c r="AU103" i="33" s="1"/>
  <c r="AV62" i="33"/>
  <c r="AV69" i="33" s="1"/>
  <c r="AV103" i="33" s="1"/>
  <c r="AW62" i="33"/>
  <c r="AW69" i="33" s="1"/>
  <c r="AW103" i="33" s="1"/>
  <c r="AX62" i="33"/>
  <c r="AX69" i="33" s="1"/>
  <c r="AX103" i="33" s="1"/>
  <c r="AY62" i="33"/>
  <c r="AY69" i="33" s="1"/>
  <c r="AY103" i="33" s="1"/>
  <c r="AZ62" i="33"/>
  <c r="AZ69" i="33" s="1"/>
  <c r="AZ103" i="33" s="1"/>
  <c r="BA62" i="33"/>
  <c r="BA69" i="33" s="1"/>
  <c r="BA103" i="33" s="1"/>
  <c r="BB62" i="33"/>
  <c r="BB69" i="33" s="1"/>
  <c r="BB103" i="33" s="1"/>
  <c r="BC62" i="33"/>
  <c r="BC69" i="33" s="1"/>
  <c r="BC103" i="33" s="1"/>
  <c r="BD62" i="33"/>
  <c r="BD69" i="33" s="1"/>
  <c r="BD103" i="33" s="1"/>
  <c r="BE62" i="33"/>
  <c r="BE69" i="33" s="1"/>
  <c r="BE103" i="33" s="1"/>
  <c r="BF62" i="33"/>
  <c r="BF69" i="33" s="1"/>
  <c r="BF103" i="33" s="1"/>
  <c r="BG62" i="33"/>
  <c r="BG69" i="33" s="1"/>
  <c r="BG103" i="33" s="1"/>
  <c r="BH62" i="33"/>
  <c r="BH69" i="33" s="1"/>
  <c r="BH103" i="33" s="1"/>
  <c r="BI62" i="33"/>
  <c r="BI69" i="33" s="1"/>
  <c r="BI103" i="33" s="1"/>
  <c r="BJ62" i="33"/>
  <c r="BJ69" i="33" s="1"/>
  <c r="BJ103" i="33" s="1"/>
  <c r="BK62" i="33"/>
  <c r="BK69" i="33" s="1"/>
  <c r="BK103" i="33" s="1"/>
  <c r="BL62" i="33"/>
  <c r="BL69" i="33" s="1"/>
  <c r="BL103" i="33" s="1"/>
  <c r="BE25" i="33"/>
  <c r="AW25" i="33"/>
  <c r="AO25" i="33"/>
  <c r="AG25" i="33"/>
  <c r="Y25" i="33"/>
  <c r="Q25" i="33"/>
  <c r="J17" i="19" s="1"/>
  <c r="AH25" i="33"/>
  <c r="BL25" i="33"/>
  <c r="BD25" i="33"/>
  <c r="AV25" i="33"/>
  <c r="AN25" i="33"/>
  <c r="AF25" i="33"/>
  <c r="X25" i="33"/>
  <c r="P25" i="33"/>
  <c r="I17" i="19" s="1"/>
  <c r="BK25" i="33"/>
  <c r="BC25" i="33"/>
  <c r="AU25" i="33"/>
  <c r="AM25" i="33"/>
  <c r="AE25" i="33"/>
  <c r="W25" i="33"/>
  <c r="O25" i="33"/>
  <c r="H17" i="19" s="1"/>
  <c r="BJ25" i="33"/>
  <c r="BB25" i="33"/>
  <c r="AT25" i="33"/>
  <c r="AL25" i="33"/>
  <c r="AD25" i="33"/>
  <c r="V25" i="33"/>
  <c r="O17" i="19" s="1"/>
  <c r="N25" i="33"/>
  <c r="G17" i="19" s="1"/>
  <c r="BI25" i="33"/>
  <c r="BA25" i="33"/>
  <c r="AS25" i="33"/>
  <c r="AL17" i="19" s="1"/>
  <c r="AK25" i="33"/>
  <c r="AC25" i="33"/>
  <c r="U25" i="33"/>
  <c r="N17" i="19" s="1"/>
  <c r="M25" i="33"/>
  <c r="F17" i="19" s="1"/>
  <c r="BH25" i="33"/>
  <c r="AZ25" i="33"/>
  <c r="AR25" i="33"/>
  <c r="AK17" i="19" s="1"/>
  <c r="AJ25" i="33"/>
  <c r="AC17" i="19" s="1"/>
  <c r="AB25" i="33"/>
  <c r="T25" i="33"/>
  <c r="M17" i="19" s="1"/>
  <c r="L25" i="33"/>
  <c r="E17" i="19" s="1"/>
  <c r="J31" i="33"/>
  <c r="BG25" i="33"/>
  <c r="AY25" i="33"/>
  <c r="AR17" i="19" s="1"/>
  <c r="AQ25" i="33"/>
  <c r="AI25" i="33"/>
  <c r="AB17" i="19" s="1"/>
  <c r="AA25" i="33"/>
  <c r="T17" i="19" s="1"/>
  <c r="S25" i="33"/>
  <c r="L17" i="19" s="1"/>
  <c r="J16" i="33"/>
  <c r="H39" i="33"/>
  <c r="H48" i="33" s="1"/>
  <c r="C134" i="31"/>
  <c r="C135" i="31" s="1"/>
  <c r="C136" i="31" s="1"/>
  <c r="D23" i="31"/>
  <c r="D331" i="31" s="1"/>
  <c r="T31" i="1"/>
  <c r="Y31" i="1"/>
  <c r="E83" i="1"/>
  <c r="K31" i="1"/>
  <c r="D84" i="1"/>
  <c r="C84" i="1"/>
  <c r="C43" i="20"/>
  <c r="I66" i="1"/>
  <c r="F82" i="1"/>
  <c r="L30" i="1"/>
  <c r="H67" i="1"/>
  <c r="E1" i="17"/>
  <c r="K102" i="33" l="1"/>
  <c r="K93" i="33"/>
  <c r="J23" i="33"/>
  <c r="U17" i="19"/>
  <c r="AD17" i="19"/>
  <c r="AM17" i="19"/>
  <c r="O17" i="41" s="1"/>
  <c r="O116" i="41" s="1"/>
  <c r="X17" i="19"/>
  <c r="AH17" i="19"/>
  <c r="V17" i="19"/>
  <c r="AN17" i="19"/>
  <c r="BG112" i="33"/>
  <c r="AQ112" i="33"/>
  <c r="AI112" i="33"/>
  <c r="AA112" i="33"/>
  <c r="S112" i="33"/>
  <c r="K112" i="33"/>
  <c r="BH111" i="33"/>
  <c r="AZ111" i="33"/>
  <c r="AR111" i="33"/>
  <c r="AJ111" i="33"/>
  <c r="AB111" i="33"/>
  <c r="T111" i="33"/>
  <c r="L111" i="33"/>
  <c r="AF17" i="19"/>
  <c r="AO17" i="19"/>
  <c r="AP17" i="19"/>
  <c r="BF112" i="33"/>
  <c r="AX112" i="33"/>
  <c r="AP112" i="33"/>
  <c r="AH112" i="33"/>
  <c r="Z112" i="33"/>
  <c r="R112" i="33"/>
  <c r="BG111" i="33"/>
  <c r="AY111" i="33"/>
  <c r="AQ111" i="33"/>
  <c r="AI111" i="33"/>
  <c r="AA111" i="33"/>
  <c r="S111" i="33"/>
  <c r="K111" i="33"/>
  <c r="AG17" i="19"/>
  <c r="AY112" i="33"/>
  <c r="AW17" i="19"/>
  <c r="BI17" i="19"/>
  <c r="AX17" i="19"/>
  <c r="BJ17" i="19"/>
  <c r="BE112" i="33"/>
  <c r="AW112" i="33"/>
  <c r="AO112" i="33"/>
  <c r="AG112" i="33"/>
  <c r="Y112" i="33"/>
  <c r="Q112" i="33"/>
  <c r="BF111" i="33"/>
  <c r="AX111" i="33"/>
  <c r="AP111" i="33"/>
  <c r="AH111" i="33"/>
  <c r="Z111" i="33"/>
  <c r="R111" i="33"/>
  <c r="AQ17" i="19"/>
  <c r="BG17" i="19"/>
  <c r="BD17" i="19"/>
  <c r="BP17" i="19"/>
  <c r="AA17" i="19"/>
  <c r="BK112" i="33"/>
  <c r="BC112" i="33"/>
  <c r="AU112" i="33"/>
  <c r="AM112" i="33"/>
  <c r="AE112" i="33"/>
  <c r="W112" i="33"/>
  <c r="O112" i="33"/>
  <c r="BL111" i="33"/>
  <c r="BD111" i="33"/>
  <c r="AV111" i="33"/>
  <c r="AN111" i="33"/>
  <c r="AF111" i="33"/>
  <c r="X111" i="33"/>
  <c r="P111" i="33"/>
  <c r="AY17" i="19"/>
  <c r="BK17" i="19"/>
  <c r="AJ17" i="19"/>
  <c r="AT17" i="19"/>
  <c r="BF17" i="19"/>
  <c r="BC17" i="19"/>
  <c r="BO17" i="19"/>
  <c r="BJ112" i="33"/>
  <c r="BB112" i="33"/>
  <c r="AT112" i="33"/>
  <c r="AL112" i="33"/>
  <c r="AD112" i="33"/>
  <c r="V112" i="33"/>
  <c r="N112" i="33"/>
  <c r="BK111" i="33"/>
  <c r="BC111" i="33"/>
  <c r="AU111" i="33"/>
  <c r="AM111" i="33"/>
  <c r="AE111" i="33"/>
  <c r="W111" i="33"/>
  <c r="O111" i="33"/>
  <c r="R25" i="33"/>
  <c r="K17" i="19" s="1"/>
  <c r="F17" i="41" s="1"/>
  <c r="F116" i="41" s="1"/>
  <c r="AV17" i="19"/>
  <c r="BH17" i="19"/>
  <c r="BE17" i="19"/>
  <c r="BQ17" i="19"/>
  <c r="BD112" i="33"/>
  <c r="AN112" i="33"/>
  <c r="X112" i="33"/>
  <c r="AW111" i="33"/>
  <c r="AG111" i="33"/>
  <c r="Y111" i="33"/>
  <c r="AS17" i="19"/>
  <c r="BB17" i="19"/>
  <c r="BN17" i="19"/>
  <c r="Q17" i="19"/>
  <c r="R17" i="19"/>
  <c r="BI112" i="33"/>
  <c r="BA112" i="33"/>
  <c r="AS112" i="33"/>
  <c r="AK112" i="33"/>
  <c r="AC112" i="33"/>
  <c r="U112" i="33"/>
  <c r="M112" i="33"/>
  <c r="BJ111" i="33"/>
  <c r="BB111" i="33"/>
  <c r="AT111" i="33"/>
  <c r="AL111" i="33"/>
  <c r="AD111" i="33"/>
  <c r="V111" i="33"/>
  <c r="N111" i="33"/>
  <c r="Z25" i="33"/>
  <c r="S17" i="19" s="1"/>
  <c r="I17" i="41" s="1"/>
  <c r="I116" i="41" s="1"/>
  <c r="BL112" i="33"/>
  <c r="AV112" i="33"/>
  <c r="AF112" i="33"/>
  <c r="P112" i="33"/>
  <c r="BE111" i="33"/>
  <c r="AO111" i="33"/>
  <c r="Q111" i="33"/>
  <c r="E47" i="17"/>
  <c r="AZ17" i="19"/>
  <c r="BL17" i="19"/>
  <c r="BA17" i="19"/>
  <c r="BM17" i="19"/>
  <c r="E17" i="41"/>
  <c r="E116" i="41" s="1"/>
  <c r="Y17" i="19"/>
  <c r="Z17" i="19"/>
  <c r="BH112" i="33"/>
  <c r="AZ112" i="33"/>
  <c r="AR112" i="33"/>
  <c r="AJ112" i="33"/>
  <c r="AB112" i="33"/>
  <c r="T112" i="33"/>
  <c r="L112" i="33"/>
  <c r="BI111" i="33"/>
  <c r="BA111" i="33"/>
  <c r="AS111" i="33"/>
  <c r="AK111" i="33"/>
  <c r="AC111" i="33"/>
  <c r="U111" i="33"/>
  <c r="M111" i="33"/>
  <c r="AP25" i="33"/>
  <c r="AI17" i="19" s="1"/>
  <c r="G17" i="41"/>
  <c r="G116" i="41" s="1"/>
  <c r="E56" i="17"/>
  <c r="E50" i="17"/>
  <c r="E59" i="17"/>
  <c r="E55" i="17"/>
  <c r="E46" i="17"/>
  <c r="BF39" i="33"/>
  <c r="AX39" i="33"/>
  <c r="AP39" i="33"/>
  <c r="AP41" i="33" s="1"/>
  <c r="AH39" i="33"/>
  <c r="Z39" i="33"/>
  <c r="Z41" i="33" s="1"/>
  <c r="R39" i="33"/>
  <c r="R41" i="33" s="1"/>
  <c r="K18" i="19" s="1"/>
  <c r="BE39" i="33"/>
  <c r="AW39" i="33"/>
  <c r="AO39" i="33"/>
  <c r="AG39" i="33"/>
  <c r="Y39" i="33"/>
  <c r="Q39" i="33"/>
  <c r="BL39" i="33"/>
  <c r="BD39" i="33"/>
  <c r="AV39" i="33"/>
  <c r="AN39" i="33"/>
  <c r="AF39" i="33"/>
  <c r="X39" i="33"/>
  <c r="P39" i="33"/>
  <c r="BK39" i="33"/>
  <c r="BC39" i="33"/>
  <c r="AU39" i="33"/>
  <c r="AM39" i="33"/>
  <c r="AE39" i="33"/>
  <c r="W39" i="33"/>
  <c r="O39" i="33"/>
  <c r="BJ39" i="33"/>
  <c r="BB39" i="33"/>
  <c r="AT39" i="33"/>
  <c r="AL39" i="33"/>
  <c r="AD39" i="33"/>
  <c r="V39" i="33"/>
  <c r="N39" i="33"/>
  <c r="BI39" i="33"/>
  <c r="BA39" i="33"/>
  <c r="AS39" i="33"/>
  <c r="AK39" i="33"/>
  <c r="AC39" i="33"/>
  <c r="U39" i="33"/>
  <c r="M39" i="33"/>
  <c r="BH39" i="33"/>
  <c r="AZ39" i="33"/>
  <c r="AR39" i="33"/>
  <c r="AJ39" i="33"/>
  <c r="AB39" i="33"/>
  <c r="T39" i="33"/>
  <c r="L39" i="33"/>
  <c r="BG39" i="33"/>
  <c r="AY39" i="33"/>
  <c r="AQ39" i="33"/>
  <c r="AI39" i="33"/>
  <c r="AA39" i="33"/>
  <c r="S39" i="33"/>
  <c r="E48" i="17"/>
  <c r="E57" i="17"/>
  <c r="D150" i="31"/>
  <c r="E150" i="31" s="1"/>
  <c r="F150" i="31" s="1"/>
  <c r="G150" i="31" s="1"/>
  <c r="H150" i="31" s="1"/>
  <c r="I150" i="31" s="1"/>
  <c r="J150" i="31" s="1"/>
  <c r="K150" i="31" s="1"/>
  <c r="L150" i="31" s="1"/>
  <c r="M150" i="31" s="1"/>
  <c r="N150" i="31" s="1"/>
  <c r="O150" i="31" s="1"/>
  <c r="P150" i="31" s="1"/>
  <c r="Q150" i="31" s="1"/>
  <c r="R150" i="31" s="1"/>
  <c r="S150" i="31" s="1"/>
  <c r="T150" i="31" s="1"/>
  <c r="U150" i="31" s="1"/>
  <c r="V150" i="31" s="1"/>
  <c r="W150" i="31" s="1"/>
  <c r="X150" i="31" s="1"/>
  <c r="Y150" i="31" s="1"/>
  <c r="Z150" i="31" s="1"/>
  <c r="AA150" i="31" s="1"/>
  <c r="AB150" i="31" s="1"/>
  <c r="AC150" i="31" s="1"/>
  <c r="AD150" i="31" s="1"/>
  <c r="AE150" i="31" s="1"/>
  <c r="AF150" i="31" s="1"/>
  <c r="AG150" i="31" s="1"/>
  <c r="AH150" i="31" s="1"/>
  <c r="AI150" i="31" s="1"/>
  <c r="AJ150" i="31" s="1"/>
  <c r="AK150" i="31" s="1"/>
  <c r="AL150" i="31" s="1"/>
  <c r="AM150" i="31" s="1"/>
  <c r="AN150" i="31" s="1"/>
  <c r="AO150" i="31" s="1"/>
  <c r="AP150" i="31" s="1"/>
  <c r="AQ150" i="31" s="1"/>
  <c r="AR150" i="31" s="1"/>
  <c r="AS150" i="31" s="1"/>
  <c r="AT150" i="31" s="1"/>
  <c r="AU150" i="31" s="1"/>
  <c r="AV150" i="31" s="1"/>
  <c r="AW150" i="31" s="1"/>
  <c r="AX150" i="31" s="1"/>
  <c r="AY150" i="31" s="1"/>
  <c r="AZ150" i="31" s="1"/>
  <c r="BA150" i="31" s="1"/>
  <c r="BB150" i="31" s="1"/>
  <c r="BC150" i="31" s="1"/>
  <c r="BD150" i="31" s="1"/>
  <c r="BE150" i="31" s="1"/>
  <c r="BF150" i="31" s="1"/>
  <c r="BG150" i="31" s="1"/>
  <c r="BH150" i="31" s="1"/>
  <c r="BI150" i="31" s="1"/>
  <c r="BJ150" i="31" s="1"/>
  <c r="BK150" i="31" s="1"/>
  <c r="BL150" i="31" s="1"/>
  <c r="BM150" i="31" s="1"/>
  <c r="BN150" i="31" s="1"/>
  <c r="BO150" i="31" s="1"/>
  <c r="BP150" i="31" s="1"/>
  <c r="BQ150" i="31" s="1"/>
  <c r="BR150" i="31" s="1"/>
  <c r="BS150" i="31" s="1"/>
  <c r="BT150" i="31" s="1"/>
  <c r="BU150" i="31" s="1"/>
  <c r="BV150" i="31" s="1"/>
  <c r="BW150" i="31" s="1"/>
  <c r="BX150" i="31" s="1"/>
  <c r="BY150" i="31" s="1"/>
  <c r="BZ150" i="31" s="1"/>
  <c r="CA150" i="31" s="1"/>
  <c r="CB150" i="31" s="1"/>
  <c r="CC150" i="31" s="1"/>
  <c r="CD150" i="31" s="1"/>
  <c r="CE150" i="31" s="1"/>
  <c r="CF150" i="31" s="1"/>
  <c r="CG150" i="31" s="1"/>
  <c r="CH150" i="31" s="1"/>
  <c r="CI150" i="31" s="1"/>
  <c r="CJ150" i="31" s="1"/>
  <c r="CK150" i="31" s="1"/>
  <c r="CL150" i="31" s="1"/>
  <c r="CM150" i="31" s="1"/>
  <c r="CN150" i="31" s="1"/>
  <c r="CO150" i="31" s="1"/>
  <c r="CP150" i="31" s="1"/>
  <c r="CQ150" i="31" s="1"/>
  <c r="CR150" i="31" s="1"/>
  <c r="CS150" i="31" s="1"/>
  <c r="CT150" i="31" s="1"/>
  <c r="CU150" i="31" s="1"/>
  <c r="CV150" i="31" s="1"/>
  <c r="CW150" i="31" s="1"/>
  <c r="CX150" i="31" s="1"/>
  <c r="CY150" i="31" s="1"/>
  <c r="CZ150" i="31" s="1"/>
  <c r="DA150" i="31" s="1"/>
  <c r="DB150" i="31" s="1"/>
  <c r="DC150" i="31" s="1"/>
  <c r="DD150" i="31" s="1"/>
  <c r="DE150" i="31" s="1"/>
  <c r="DF150" i="31" s="1"/>
  <c r="DG150" i="31" s="1"/>
  <c r="DH150" i="31" s="1"/>
  <c r="DI150" i="31" s="1"/>
  <c r="DJ150" i="31" s="1"/>
  <c r="DK150" i="31" s="1"/>
  <c r="DL150" i="31" s="1"/>
  <c r="DM150" i="31" s="1"/>
  <c r="DN150" i="31" s="1"/>
  <c r="DO150" i="31" s="1"/>
  <c r="DP150" i="31" s="1"/>
  <c r="DQ150" i="31" s="1"/>
  <c r="DR150" i="31" s="1"/>
  <c r="DS150" i="31" s="1"/>
  <c r="DT150" i="31" s="1"/>
  <c r="DU150" i="31" s="1"/>
  <c r="DV150" i="31" s="1"/>
  <c r="DW150" i="31" s="1"/>
  <c r="DX150" i="31" s="1"/>
  <c r="DY150" i="31" s="1"/>
  <c r="DZ150" i="31" s="1"/>
  <c r="EA150" i="31" s="1"/>
  <c r="EB150" i="31" s="1"/>
  <c r="EC150" i="31" s="1"/>
  <c r="ED150" i="31" s="1"/>
  <c r="EE150" i="31" s="1"/>
  <c r="EF150" i="31" s="1"/>
  <c r="EG150" i="31" s="1"/>
  <c r="EH150" i="31" s="1"/>
  <c r="EI150" i="31" s="1"/>
  <c r="EJ150" i="31" s="1"/>
  <c r="EK150" i="31" s="1"/>
  <c r="EL150" i="31" s="1"/>
  <c r="EM150" i="31" s="1"/>
  <c r="EN150" i="31" s="1"/>
  <c r="EO150" i="31" s="1"/>
  <c r="EP150" i="31" s="1"/>
  <c r="EQ150" i="31" s="1"/>
  <c r="ER150" i="31" s="1"/>
  <c r="ES150" i="31" s="1"/>
  <c r="ET150" i="31" s="1"/>
  <c r="EU150" i="31" s="1"/>
  <c r="EV150" i="31" s="1"/>
  <c r="EW150" i="31" s="1"/>
  <c r="EX150" i="31" s="1"/>
  <c r="EY150" i="31" s="1"/>
  <c r="EZ150" i="31" s="1"/>
  <c r="FA150" i="31" s="1"/>
  <c r="FB150" i="31" s="1"/>
  <c r="FC150" i="31" s="1"/>
  <c r="FD150" i="31" s="1"/>
  <c r="FE150" i="31" s="1"/>
  <c r="FF150" i="31" s="1"/>
  <c r="FG150" i="31" s="1"/>
  <c r="FH150" i="31" s="1"/>
  <c r="FI150" i="31" s="1"/>
  <c r="FJ150" i="31" s="1"/>
  <c r="FK150" i="31" s="1"/>
  <c r="FL150" i="31" s="1"/>
  <c r="FM150" i="31" s="1"/>
  <c r="FN150" i="31" s="1"/>
  <c r="FO150" i="31" s="1"/>
  <c r="FP150" i="31" s="1"/>
  <c r="FQ150" i="31" s="1"/>
  <c r="FR150" i="31" s="1"/>
  <c r="FS150" i="31" s="1"/>
  <c r="FT150" i="31" s="1"/>
  <c r="FU150" i="31" s="1"/>
  <c r="FV150" i="31" s="1"/>
  <c r="FW150" i="31" s="1"/>
  <c r="FX150" i="31" s="1"/>
  <c r="FY150" i="31" s="1"/>
  <c r="FZ150" i="31" s="1"/>
  <c r="GA150" i="31" s="1"/>
  <c r="GB150" i="31" s="1"/>
  <c r="GC150" i="31" s="1"/>
  <c r="GD150" i="31" s="1"/>
  <c r="GE150" i="31" s="1"/>
  <c r="GF150" i="31" s="1"/>
  <c r="GG150" i="31" s="1"/>
  <c r="GH150" i="31" s="1"/>
  <c r="GI150" i="31" s="1"/>
  <c r="GJ150" i="31" s="1"/>
  <c r="GK150" i="31" s="1"/>
  <c r="GL150" i="31" s="1"/>
  <c r="GM150" i="31" s="1"/>
  <c r="GN150" i="31" s="1"/>
  <c r="GO150" i="31" s="1"/>
  <c r="GP150" i="31" s="1"/>
  <c r="GQ150" i="31" s="1"/>
  <c r="GR150" i="31" s="1"/>
  <c r="GS150" i="31" s="1"/>
  <c r="GT150" i="31" s="1"/>
  <c r="GU150" i="31" s="1"/>
  <c r="GV150" i="31" s="1"/>
  <c r="GW150" i="31" s="1"/>
  <c r="GX150" i="31" s="1"/>
  <c r="GY150" i="31" s="1"/>
  <c r="GZ150" i="31" s="1"/>
  <c r="HA150" i="31" s="1"/>
  <c r="HB150" i="31" s="1"/>
  <c r="HC150" i="31" s="1"/>
  <c r="HD150" i="31" s="1"/>
  <c r="HE150" i="31" s="1"/>
  <c r="HF150" i="31" s="1"/>
  <c r="HG150" i="31" s="1"/>
  <c r="HH150" i="31" s="1"/>
  <c r="HI150" i="31" s="1"/>
  <c r="HJ150" i="31" s="1"/>
  <c r="HK150" i="31" s="1"/>
  <c r="HL150" i="31" s="1"/>
  <c r="HM150" i="31" s="1"/>
  <c r="HN150" i="31" s="1"/>
  <c r="HO150" i="31" s="1"/>
  <c r="HP150" i="31" s="1"/>
  <c r="HQ150" i="31" s="1"/>
  <c r="HR150" i="31" s="1"/>
  <c r="HS150" i="31" s="1"/>
  <c r="HT150" i="31" s="1"/>
  <c r="HU150" i="31" s="1"/>
  <c r="HV150" i="31" s="1"/>
  <c r="HW150" i="31" s="1"/>
  <c r="HX150" i="31" s="1"/>
  <c r="HY150" i="31" s="1"/>
  <c r="HZ150" i="31" s="1"/>
  <c r="IA150" i="31" s="1"/>
  <c r="IB150" i="31" s="1"/>
  <c r="IC150" i="31" s="1"/>
  <c r="ID150" i="31" s="1"/>
  <c r="IE150" i="31" s="1"/>
  <c r="IF150" i="31" s="1"/>
  <c r="IG150" i="31" s="1"/>
  <c r="IH150" i="31" s="1"/>
  <c r="II150" i="31" s="1"/>
  <c r="IJ150" i="31" s="1"/>
  <c r="IK150" i="31" s="1"/>
  <c r="IL150" i="31" s="1"/>
  <c r="IM150" i="31" s="1"/>
  <c r="IN150" i="31" s="1"/>
  <c r="IO150" i="31" s="1"/>
  <c r="IP150" i="31" s="1"/>
  <c r="IQ150" i="31" s="1"/>
  <c r="IR150" i="31" s="1"/>
  <c r="IS150" i="31" s="1"/>
  <c r="IT150" i="31" s="1"/>
  <c r="IU150" i="31" s="1"/>
  <c r="IV150" i="31" s="1"/>
  <c r="IW150" i="31" s="1"/>
  <c r="IX150" i="31" s="1"/>
  <c r="IY150" i="31" s="1"/>
  <c r="IZ150" i="31" s="1"/>
  <c r="JA150" i="31" s="1"/>
  <c r="JB150" i="31" s="1"/>
  <c r="JC150" i="31" s="1"/>
  <c r="JD150" i="31" s="1"/>
  <c r="JE150" i="31" s="1"/>
  <c r="JF150" i="31" s="1"/>
  <c r="JG150" i="31" s="1"/>
  <c r="JH150" i="31" s="1"/>
  <c r="JI150" i="31" s="1"/>
  <c r="C214" i="31"/>
  <c r="C215" i="31" s="1"/>
  <c r="D151" i="31"/>
  <c r="E151" i="31" s="1"/>
  <c r="F151" i="31" s="1"/>
  <c r="G151" i="31" s="1"/>
  <c r="H151" i="31" s="1"/>
  <c r="I151" i="31" s="1"/>
  <c r="J151" i="31" s="1"/>
  <c r="K151" i="31" s="1"/>
  <c r="L151" i="31" s="1"/>
  <c r="M151" i="31" s="1"/>
  <c r="N151" i="31" s="1"/>
  <c r="O151" i="31" s="1"/>
  <c r="P151" i="31" s="1"/>
  <c r="Q151" i="31" s="1"/>
  <c r="R151" i="31" s="1"/>
  <c r="S151" i="31" s="1"/>
  <c r="T151" i="31" s="1"/>
  <c r="U151" i="31" s="1"/>
  <c r="V151" i="31" s="1"/>
  <c r="W151" i="31" s="1"/>
  <c r="X151" i="31" s="1"/>
  <c r="Y151" i="31" s="1"/>
  <c r="Z151" i="31" s="1"/>
  <c r="AA151" i="31" s="1"/>
  <c r="AB151" i="31" s="1"/>
  <c r="AC151" i="31" s="1"/>
  <c r="AD151" i="31" s="1"/>
  <c r="AE151" i="31" s="1"/>
  <c r="AF151" i="31" s="1"/>
  <c r="AG151" i="31" s="1"/>
  <c r="AH151" i="31" s="1"/>
  <c r="AI151" i="31" s="1"/>
  <c r="AJ151" i="31" s="1"/>
  <c r="AK151" i="31" s="1"/>
  <c r="AL151" i="31" s="1"/>
  <c r="AM151" i="31" s="1"/>
  <c r="AN151" i="31" s="1"/>
  <c r="AO151" i="31" s="1"/>
  <c r="AP151" i="31" s="1"/>
  <c r="AQ151" i="31" s="1"/>
  <c r="AR151" i="31" s="1"/>
  <c r="AS151" i="31" s="1"/>
  <c r="AT151" i="31" s="1"/>
  <c r="AU151" i="31" s="1"/>
  <c r="AV151" i="31" s="1"/>
  <c r="AW151" i="31" s="1"/>
  <c r="AX151" i="31" s="1"/>
  <c r="AY151" i="31" s="1"/>
  <c r="AZ151" i="31" s="1"/>
  <c r="BA151" i="31" s="1"/>
  <c r="BB151" i="31" s="1"/>
  <c r="BC151" i="31" s="1"/>
  <c r="BD151" i="31" s="1"/>
  <c r="BE151" i="31" s="1"/>
  <c r="BF151" i="31" s="1"/>
  <c r="BG151" i="31" s="1"/>
  <c r="BH151" i="31" s="1"/>
  <c r="BI151" i="31" s="1"/>
  <c r="BJ151" i="31" s="1"/>
  <c r="BK151" i="31" s="1"/>
  <c r="BL151" i="31" s="1"/>
  <c r="BM151" i="31" s="1"/>
  <c r="BN151" i="31" s="1"/>
  <c r="BO151" i="31" s="1"/>
  <c r="BP151" i="31" s="1"/>
  <c r="BQ151" i="31" s="1"/>
  <c r="BR151" i="31" s="1"/>
  <c r="BS151" i="31" s="1"/>
  <c r="BT151" i="31" s="1"/>
  <c r="BU151" i="31" s="1"/>
  <c r="BV151" i="31" s="1"/>
  <c r="BW151" i="31" s="1"/>
  <c r="BX151" i="31" s="1"/>
  <c r="BY151" i="31" s="1"/>
  <c r="BZ151" i="31" s="1"/>
  <c r="CA151" i="31" s="1"/>
  <c r="CB151" i="31" s="1"/>
  <c r="CC151" i="31" s="1"/>
  <c r="CD151" i="31" s="1"/>
  <c r="CE151" i="31" s="1"/>
  <c r="CF151" i="31" s="1"/>
  <c r="CG151" i="31" s="1"/>
  <c r="CH151" i="31" s="1"/>
  <c r="CI151" i="31" s="1"/>
  <c r="CJ151" i="31" s="1"/>
  <c r="CK151" i="31" s="1"/>
  <c r="CL151" i="31" s="1"/>
  <c r="CM151" i="31" s="1"/>
  <c r="CN151" i="31" s="1"/>
  <c r="CO151" i="31" s="1"/>
  <c r="CP151" i="31" s="1"/>
  <c r="CQ151" i="31" s="1"/>
  <c r="CR151" i="31" s="1"/>
  <c r="CS151" i="31" s="1"/>
  <c r="CT151" i="31" s="1"/>
  <c r="CU151" i="31" s="1"/>
  <c r="CV151" i="31" s="1"/>
  <c r="CW151" i="31" s="1"/>
  <c r="CX151" i="31" s="1"/>
  <c r="CY151" i="31" s="1"/>
  <c r="CZ151" i="31" s="1"/>
  <c r="DA151" i="31" s="1"/>
  <c r="DB151" i="31" s="1"/>
  <c r="DC151" i="31" s="1"/>
  <c r="DD151" i="31" s="1"/>
  <c r="DE151" i="31" s="1"/>
  <c r="DF151" i="31" s="1"/>
  <c r="DG151" i="31" s="1"/>
  <c r="DH151" i="31" s="1"/>
  <c r="DI151" i="31" s="1"/>
  <c r="DJ151" i="31" s="1"/>
  <c r="DK151" i="31" s="1"/>
  <c r="DL151" i="31" s="1"/>
  <c r="DM151" i="31" s="1"/>
  <c r="DN151" i="31" s="1"/>
  <c r="DO151" i="31" s="1"/>
  <c r="DP151" i="31" s="1"/>
  <c r="DQ151" i="31" s="1"/>
  <c r="DR151" i="31" s="1"/>
  <c r="DS151" i="31" s="1"/>
  <c r="DT151" i="31" s="1"/>
  <c r="DU151" i="31" s="1"/>
  <c r="DV151" i="31" s="1"/>
  <c r="DW151" i="31" s="1"/>
  <c r="DX151" i="31" s="1"/>
  <c r="DY151" i="31" s="1"/>
  <c r="DZ151" i="31" s="1"/>
  <c r="EA151" i="31" s="1"/>
  <c r="EB151" i="31" s="1"/>
  <c r="EC151" i="31" s="1"/>
  <c r="ED151" i="31" s="1"/>
  <c r="EE151" i="31" s="1"/>
  <c r="EF151" i="31" s="1"/>
  <c r="EG151" i="31" s="1"/>
  <c r="EH151" i="31" s="1"/>
  <c r="EI151" i="31" s="1"/>
  <c r="EJ151" i="31" s="1"/>
  <c r="EK151" i="31" s="1"/>
  <c r="EL151" i="31" s="1"/>
  <c r="EM151" i="31" s="1"/>
  <c r="EN151" i="31" s="1"/>
  <c r="EO151" i="31" s="1"/>
  <c r="EP151" i="31" s="1"/>
  <c r="EQ151" i="31" s="1"/>
  <c r="ER151" i="31" s="1"/>
  <c r="ES151" i="31" s="1"/>
  <c r="ET151" i="31" s="1"/>
  <c r="EU151" i="31" s="1"/>
  <c r="EV151" i="31" s="1"/>
  <c r="EW151" i="31" s="1"/>
  <c r="EX151" i="31" s="1"/>
  <c r="EY151" i="31" s="1"/>
  <c r="EZ151" i="31" s="1"/>
  <c r="FA151" i="31" s="1"/>
  <c r="FB151" i="31" s="1"/>
  <c r="FC151" i="31" s="1"/>
  <c r="FD151" i="31" s="1"/>
  <c r="FE151" i="31" s="1"/>
  <c r="FF151" i="31" s="1"/>
  <c r="FG151" i="31" s="1"/>
  <c r="FH151" i="31" s="1"/>
  <c r="FI151" i="31" s="1"/>
  <c r="FJ151" i="31" s="1"/>
  <c r="FK151" i="31" s="1"/>
  <c r="FL151" i="31" s="1"/>
  <c r="FM151" i="31" s="1"/>
  <c r="FN151" i="31" s="1"/>
  <c r="FO151" i="31" s="1"/>
  <c r="FP151" i="31" s="1"/>
  <c r="FQ151" i="31" s="1"/>
  <c r="FR151" i="31" s="1"/>
  <c r="FS151" i="31" s="1"/>
  <c r="FT151" i="31" s="1"/>
  <c r="FU151" i="31" s="1"/>
  <c r="FV151" i="31" s="1"/>
  <c r="FW151" i="31" s="1"/>
  <c r="FX151" i="31" s="1"/>
  <c r="FY151" i="31" s="1"/>
  <c r="FZ151" i="31" s="1"/>
  <c r="GA151" i="31" s="1"/>
  <c r="GB151" i="31" s="1"/>
  <c r="GC151" i="31" s="1"/>
  <c r="GD151" i="31" s="1"/>
  <c r="GE151" i="31" s="1"/>
  <c r="GF151" i="31" s="1"/>
  <c r="GG151" i="31" s="1"/>
  <c r="GH151" i="31" s="1"/>
  <c r="GI151" i="31" s="1"/>
  <c r="GJ151" i="31" s="1"/>
  <c r="GK151" i="31" s="1"/>
  <c r="GL151" i="31" s="1"/>
  <c r="GM151" i="31" s="1"/>
  <c r="GN151" i="31" s="1"/>
  <c r="GO151" i="31" s="1"/>
  <c r="GP151" i="31" s="1"/>
  <c r="GQ151" i="31" s="1"/>
  <c r="GR151" i="31" s="1"/>
  <c r="GS151" i="31" s="1"/>
  <c r="GT151" i="31" s="1"/>
  <c r="GU151" i="31" s="1"/>
  <c r="GV151" i="31" s="1"/>
  <c r="GW151" i="31" s="1"/>
  <c r="GX151" i="31" s="1"/>
  <c r="GY151" i="31" s="1"/>
  <c r="GZ151" i="31" s="1"/>
  <c r="HA151" i="31" s="1"/>
  <c r="HB151" i="31" s="1"/>
  <c r="HC151" i="31" s="1"/>
  <c r="HD151" i="31" s="1"/>
  <c r="HE151" i="31" s="1"/>
  <c r="HF151" i="31" s="1"/>
  <c r="HG151" i="31" s="1"/>
  <c r="HH151" i="31" s="1"/>
  <c r="HI151" i="31" s="1"/>
  <c r="HJ151" i="31" s="1"/>
  <c r="HK151" i="31" s="1"/>
  <c r="HL151" i="31" s="1"/>
  <c r="HM151" i="31" s="1"/>
  <c r="HN151" i="31" s="1"/>
  <c r="HO151" i="31" s="1"/>
  <c r="HP151" i="31" s="1"/>
  <c r="HQ151" i="31" s="1"/>
  <c r="HR151" i="31" s="1"/>
  <c r="HS151" i="31" s="1"/>
  <c r="HT151" i="31" s="1"/>
  <c r="HU151" i="31" s="1"/>
  <c r="HV151" i="31" s="1"/>
  <c r="HW151" i="31" s="1"/>
  <c r="HX151" i="31" s="1"/>
  <c r="HY151" i="31" s="1"/>
  <c r="HZ151" i="31" s="1"/>
  <c r="IA151" i="31" s="1"/>
  <c r="IB151" i="31" s="1"/>
  <c r="IC151" i="31" s="1"/>
  <c r="ID151" i="31" s="1"/>
  <c r="IE151" i="31" s="1"/>
  <c r="IF151" i="31" s="1"/>
  <c r="IG151" i="31" s="1"/>
  <c r="IH151" i="31" s="1"/>
  <c r="II151" i="31" s="1"/>
  <c r="IJ151" i="31" s="1"/>
  <c r="IK151" i="31" s="1"/>
  <c r="IL151" i="31" s="1"/>
  <c r="IM151" i="31" s="1"/>
  <c r="IN151" i="31" s="1"/>
  <c r="IO151" i="31" s="1"/>
  <c r="IP151" i="31" s="1"/>
  <c r="IQ151" i="31" s="1"/>
  <c r="IR151" i="31" s="1"/>
  <c r="IS151" i="31" s="1"/>
  <c r="IT151" i="31" s="1"/>
  <c r="IU151" i="31" s="1"/>
  <c r="IV151" i="31" s="1"/>
  <c r="IW151" i="31" s="1"/>
  <c r="IX151" i="31" s="1"/>
  <c r="IY151" i="31" s="1"/>
  <c r="IZ151" i="31" s="1"/>
  <c r="JA151" i="31" s="1"/>
  <c r="JB151" i="31" s="1"/>
  <c r="JC151" i="31" s="1"/>
  <c r="JD151" i="31" s="1"/>
  <c r="JE151" i="31" s="1"/>
  <c r="JF151" i="31" s="1"/>
  <c r="JG151" i="31" s="1"/>
  <c r="JH151" i="31" s="1"/>
  <c r="JI151" i="31" s="1"/>
  <c r="C145" i="31"/>
  <c r="J52" i="33"/>
  <c r="H55" i="33"/>
  <c r="H64" i="33" s="1"/>
  <c r="K48" i="33"/>
  <c r="K55" i="33" s="1"/>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J61" i="33"/>
  <c r="J62" i="33"/>
  <c r="J69" i="33"/>
  <c r="H84" i="33"/>
  <c r="H93" i="33" s="1"/>
  <c r="H102" i="33" s="1"/>
  <c r="H111" i="33" s="1"/>
  <c r="H121" i="33" s="1"/>
  <c r="K77" i="33"/>
  <c r="K84" i="33" s="1"/>
  <c r="L77" i="33"/>
  <c r="L84" i="33" s="1"/>
  <c r="M77" i="33"/>
  <c r="M84" i="33" s="1"/>
  <c r="N77" i="33"/>
  <c r="N84" i="33" s="1"/>
  <c r="O77" i="33"/>
  <c r="O84" i="33" s="1"/>
  <c r="P77" i="33"/>
  <c r="P84" i="33" s="1"/>
  <c r="Q77" i="33"/>
  <c r="Q84" i="33" s="1"/>
  <c r="R77" i="33"/>
  <c r="R84" i="33" s="1"/>
  <c r="S77" i="33"/>
  <c r="S84" i="33" s="1"/>
  <c r="T77" i="33"/>
  <c r="T84" i="33" s="1"/>
  <c r="U77" i="33"/>
  <c r="U84" i="33" s="1"/>
  <c r="V77" i="33"/>
  <c r="V84" i="33" s="1"/>
  <c r="W77" i="33"/>
  <c r="W84" i="33" s="1"/>
  <c r="X77" i="33"/>
  <c r="X84" i="33" s="1"/>
  <c r="Y77" i="33"/>
  <c r="Y84" i="33" s="1"/>
  <c r="Z77" i="33"/>
  <c r="Z84" i="33" s="1"/>
  <c r="AA77" i="33"/>
  <c r="AA84" i="33" s="1"/>
  <c r="AB77" i="33"/>
  <c r="AB84" i="33" s="1"/>
  <c r="AC77" i="33"/>
  <c r="AC84" i="33" s="1"/>
  <c r="AD77" i="33"/>
  <c r="AD84" i="33" s="1"/>
  <c r="AE77" i="33"/>
  <c r="AE84" i="33" s="1"/>
  <c r="AF77" i="33"/>
  <c r="AF84" i="33" s="1"/>
  <c r="AG77" i="33"/>
  <c r="AG84" i="33" s="1"/>
  <c r="AH77" i="33"/>
  <c r="AH84" i="33" s="1"/>
  <c r="AI77" i="33"/>
  <c r="AI84" i="33" s="1"/>
  <c r="AJ77" i="33"/>
  <c r="AJ84" i="33" s="1"/>
  <c r="AK77" i="33"/>
  <c r="AK84" i="33" s="1"/>
  <c r="AL77" i="33"/>
  <c r="AL84" i="33" s="1"/>
  <c r="AM77" i="33"/>
  <c r="AM84" i="33" s="1"/>
  <c r="AN77" i="33"/>
  <c r="AN84" i="33" s="1"/>
  <c r="AO77" i="33"/>
  <c r="AO84" i="33" s="1"/>
  <c r="AP77" i="33"/>
  <c r="AP84" i="33" s="1"/>
  <c r="AQ77" i="33"/>
  <c r="AQ84" i="33" s="1"/>
  <c r="AR77" i="33"/>
  <c r="AR84" i="33" s="1"/>
  <c r="AS77" i="33"/>
  <c r="AS84" i="33" s="1"/>
  <c r="AT77" i="33"/>
  <c r="AT84" i="33" s="1"/>
  <c r="AU77" i="33"/>
  <c r="AU84" i="33" s="1"/>
  <c r="AV77" i="33"/>
  <c r="AV84" i="33" s="1"/>
  <c r="AW77" i="33"/>
  <c r="AW84" i="33" s="1"/>
  <c r="AX77" i="33"/>
  <c r="AX84" i="33" s="1"/>
  <c r="AY77" i="33"/>
  <c r="AY84" i="33" s="1"/>
  <c r="AZ77" i="33"/>
  <c r="AZ84" i="33" s="1"/>
  <c r="BA77" i="33"/>
  <c r="BA84" i="33" s="1"/>
  <c r="BB77" i="33"/>
  <c r="BB84" i="33" s="1"/>
  <c r="BC77" i="33"/>
  <c r="BC84" i="33" s="1"/>
  <c r="BD77" i="33"/>
  <c r="BD84" i="33" s="1"/>
  <c r="BE77" i="33"/>
  <c r="BE84" i="33" s="1"/>
  <c r="BF77" i="33"/>
  <c r="BF84" i="33" s="1"/>
  <c r="BG77" i="33"/>
  <c r="BG84" i="33" s="1"/>
  <c r="BH77" i="33"/>
  <c r="BH84" i="33" s="1"/>
  <c r="BI77" i="33"/>
  <c r="BI84" i="33" s="1"/>
  <c r="BJ77" i="33"/>
  <c r="BJ84" i="33" s="1"/>
  <c r="BK77" i="33"/>
  <c r="BK84" i="33" s="1"/>
  <c r="BL77" i="33"/>
  <c r="BL84" i="33" s="1"/>
  <c r="J54" i="33"/>
  <c r="J47" i="33"/>
  <c r="H85" i="33"/>
  <c r="H94" i="33" s="1"/>
  <c r="H103" i="33" s="1"/>
  <c r="H112" i="33" s="1"/>
  <c r="H122" i="33" s="1"/>
  <c r="K78" i="33"/>
  <c r="K85" i="33" s="1"/>
  <c r="L78" i="33"/>
  <c r="L85" i="33" s="1"/>
  <c r="M78" i="33"/>
  <c r="M85" i="33" s="1"/>
  <c r="N78" i="33"/>
  <c r="N85" i="33" s="1"/>
  <c r="O78" i="33"/>
  <c r="O85" i="33" s="1"/>
  <c r="P78" i="33"/>
  <c r="P85" i="33" s="1"/>
  <c r="Q78" i="33"/>
  <c r="Q85" i="33" s="1"/>
  <c r="R78" i="33"/>
  <c r="R85" i="33" s="1"/>
  <c r="S78" i="33"/>
  <c r="S85" i="33" s="1"/>
  <c r="T78" i="33"/>
  <c r="T85" i="33" s="1"/>
  <c r="U78" i="33"/>
  <c r="U85" i="33" s="1"/>
  <c r="V78" i="33"/>
  <c r="V85" i="33" s="1"/>
  <c r="W78" i="33"/>
  <c r="W85" i="33" s="1"/>
  <c r="X78" i="33"/>
  <c r="X85" i="33" s="1"/>
  <c r="Y78" i="33"/>
  <c r="Y85" i="33" s="1"/>
  <c r="Z78" i="33"/>
  <c r="Z85" i="33" s="1"/>
  <c r="AA78" i="33"/>
  <c r="AA85" i="33" s="1"/>
  <c r="AB78" i="33"/>
  <c r="AB85" i="33" s="1"/>
  <c r="AC78" i="33"/>
  <c r="AC85" i="33" s="1"/>
  <c r="AD78" i="33"/>
  <c r="AD85" i="33" s="1"/>
  <c r="AE78" i="33"/>
  <c r="AE85" i="33" s="1"/>
  <c r="AF78" i="33"/>
  <c r="AF85" i="33" s="1"/>
  <c r="AG78" i="33"/>
  <c r="AG85" i="33" s="1"/>
  <c r="AH78" i="33"/>
  <c r="AH85" i="33" s="1"/>
  <c r="AI78" i="33"/>
  <c r="AI85" i="33" s="1"/>
  <c r="AJ78" i="33"/>
  <c r="AJ85" i="33" s="1"/>
  <c r="AK78" i="33"/>
  <c r="AK85" i="33" s="1"/>
  <c r="AL78" i="33"/>
  <c r="AL85" i="33" s="1"/>
  <c r="AM78" i="33"/>
  <c r="AM85" i="33" s="1"/>
  <c r="AN78" i="33"/>
  <c r="AN85" i="33" s="1"/>
  <c r="AO78" i="33"/>
  <c r="AO85" i="33" s="1"/>
  <c r="AP78" i="33"/>
  <c r="AP85" i="33" s="1"/>
  <c r="AQ78" i="33"/>
  <c r="AQ85" i="33" s="1"/>
  <c r="AR78" i="33"/>
  <c r="AR85" i="33" s="1"/>
  <c r="AS78" i="33"/>
  <c r="AS85" i="33" s="1"/>
  <c r="AT78" i="33"/>
  <c r="AT85" i="33" s="1"/>
  <c r="AU78" i="33"/>
  <c r="AU85" i="33" s="1"/>
  <c r="AV78" i="33"/>
  <c r="AV85" i="33" s="1"/>
  <c r="AW78" i="33"/>
  <c r="AW85" i="33" s="1"/>
  <c r="AX78" i="33"/>
  <c r="AX85" i="33" s="1"/>
  <c r="AY78" i="33"/>
  <c r="AY85" i="33" s="1"/>
  <c r="AZ78" i="33"/>
  <c r="AZ85" i="33" s="1"/>
  <c r="BA78" i="33"/>
  <c r="BA85" i="33" s="1"/>
  <c r="BB78" i="33"/>
  <c r="BB85" i="33" s="1"/>
  <c r="BC78" i="33"/>
  <c r="BC85" i="33" s="1"/>
  <c r="BD78" i="33"/>
  <c r="BD85" i="33" s="1"/>
  <c r="BE78" i="33"/>
  <c r="BE85" i="33" s="1"/>
  <c r="BF78" i="33"/>
  <c r="BF85" i="33" s="1"/>
  <c r="BG78" i="33"/>
  <c r="BG85" i="33" s="1"/>
  <c r="BH78" i="33"/>
  <c r="BH85" i="33" s="1"/>
  <c r="BI78" i="33"/>
  <c r="BI85" i="33" s="1"/>
  <c r="BJ78" i="33"/>
  <c r="BJ85" i="33" s="1"/>
  <c r="BK78" i="33"/>
  <c r="BK85" i="33" s="1"/>
  <c r="BL78" i="33"/>
  <c r="BL85" i="33" s="1"/>
  <c r="H70" i="33"/>
  <c r="H79" i="33" s="1"/>
  <c r="K63" i="33"/>
  <c r="K70" i="33" s="1"/>
  <c r="K104" i="33" s="1"/>
  <c r="L63" i="33"/>
  <c r="L70" i="33" s="1"/>
  <c r="L104" i="33" s="1"/>
  <c r="M63" i="33"/>
  <c r="M70" i="33" s="1"/>
  <c r="M104" i="33" s="1"/>
  <c r="N63" i="33"/>
  <c r="N70" i="33" s="1"/>
  <c r="N104" i="33" s="1"/>
  <c r="O63" i="33"/>
  <c r="O70" i="33" s="1"/>
  <c r="O104" i="33" s="1"/>
  <c r="P63" i="33"/>
  <c r="P70" i="33" s="1"/>
  <c r="P104" i="33" s="1"/>
  <c r="Q63" i="33"/>
  <c r="Q70" i="33" s="1"/>
  <c r="Q104" i="33" s="1"/>
  <c r="R63" i="33"/>
  <c r="R70" i="33" s="1"/>
  <c r="R104" i="33" s="1"/>
  <c r="S63" i="33"/>
  <c r="S70" i="33" s="1"/>
  <c r="S104" i="33" s="1"/>
  <c r="T63" i="33"/>
  <c r="T70" i="33" s="1"/>
  <c r="T104" i="33" s="1"/>
  <c r="U63" i="33"/>
  <c r="U70" i="33" s="1"/>
  <c r="U104" i="33" s="1"/>
  <c r="V63" i="33"/>
  <c r="V70" i="33" s="1"/>
  <c r="V104" i="33" s="1"/>
  <c r="W63" i="33"/>
  <c r="W70" i="33" s="1"/>
  <c r="W104" i="33" s="1"/>
  <c r="X63" i="33"/>
  <c r="X70" i="33" s="1"/>
  <c r="X104" i="33" s="1"/>
  <c r="Y63" i="33"/>
  <c r="Y70" i="33" s="1"/>
  <c r="Y104" i="33" s="1"/>
  <c r="Z63" i="33"/>
  <c r="Z70" i="33" s="1"/>
  <c r="Z104" i="33" s="1"/>
  <c r="AA63" i="33"/>
  <c r="AA70" i="33" s="1"/>
  <c r="AA104" i="33" s="1"/>
  <c r="AB63" i="33"/>
  <c r="AB70" i="33" s="1"/>
  <c r="AB104" i="33" s="1"/>
  <c r="AC63" i="33"/>
  <c r="AC70" i="33" s="1"/>
  <c r="AC104" i="33" s="1"/>
  <c r="AD63" i="33"/>
  <c r="AD70" i="33" s="1"/>
  <c r="AD104" i="33" s="1"/>
  <c r="AE63" i="33"/>
  <c r="AE70" i="33" s="1"/>
  <c r="AE104" i="33" s="1"/>
  <c r="AF63" i="33"/>
  <c r="AF70" i="33" s="1"/>
  <c r="AF104" i="33" s="1"/>
  <c r="AG63" i="33"/>
  <c r="AG70" i="33" s="1"/>
  <c r="AG104" i="33" s="1"/>
  <c r="AH63" i="33"/>
  <c r="AH70" i="33" s="1"/>
  <c r="AH104" i="33" s="1"/>
  <c r="AI63" i="33"/>
  <c r="AI70" i="33" s="1"/>
  <c r="AI104" i="33" s="1"/>
  <c r="AJ63" i="33"/>
  <c r="AJ70" i="33" s="1"/>
  <c r="AJ104" i="33" s="1"/>
  <c r="AK63" i="33"/>
  <c r="AK70" i="33" s="1"/>
  <c r="AK104" i="33" s="1"/>
  <c r="AL63" i="33"/>
  <c r="AL70" i="33" s="1"/>
  <c r="AL104" i="33" s="1"/>
  <c r="AM63" i="33"/>
  <c r="AM70" i="33" s="1"/>
  <c r="AM104" i="33" s="1"/>
  <c r="AN63" i="33"/>
  <c r="AN70" i="33" s="1"/>
  <c r="AN104" i="33" s="1"/>
  <c r="AO63" i="33"/>
  <c r="AO70" i="33" s="1"/>
  <c r="AO104" i="33" s="1"/>
  <c r="AP63" i="33"/>
  <c r="AP70" i="33" s="1"/>
  <c r="AP104" i="33" s="1"/>
  <c r="AQ63" i="33"/>
  <c r="AQ70" i="33" s="1"/>
  <c r="AQ104" i="33" s="1"/>
  <c r="AR63" i="33"/>
  <c r="AR70" i="33" s="1"/>
  <c r="AR104" i="33" s="1"/>
  <c r="AS63" i="33"/>
  <c r="AS70" i="33" s="1"/>
  <c r="AS104" i="33" s="1"/>
  <c r="AT63" i="33"/>
  <c r="AT70" i="33" s="1"/>
  <c r="AT104" i="33" s="1"/>
  <c r="AU63" i="33"/>
  <c r="AU70" i="33" s="1"/>
  <c r="AU104" i="33" s="1"/>
  <c r="AV63" i="33"/>
  <c r="AV70" i="33" s="1"/>
  <c r="AV104" i="33" s="1"/>
  <c r="AW63" i="33"/>
  <c r="AW70" i="33" s="1"/>
  <c r="AW104" i="33" s="1"/>
  <c r="AX63" i="33"/>
  <c r="AX70" i="33" s="1"/>
  <c r="AX104" i="33" s="1"/>
  <c r="AY63" i="33"/>
  <c r="AY70" i="33" s="1"/>
  <c r="AY104" i="33" s="1"/>
  <c r="AZ63" i="33"/>
  <c r="AZ70" i="33" s="1"/>
  <c r="AZ104" i="33" s="1"/>
  <c r="BA63" i="33"/>
  <c r="BA70" i="33" s="1"/>
  <c r="BA104" i="33" s="1"/>
  <c r="BB63" i="33"/>
  <c r="BB70" i="33" s="1"/>
  <c r="BB104" i="33" s="1"/>
  <c r="BC63" i="33"/>
  <c r="BC70" i="33" s="1"/>
  <c r="BC104" i="33" s="1"/>
  <c r="BD63" i="33"/>
  <c r="BD70" i="33" s="1"/>
  <c r="BD104" i="33" s="1"/>
  <c r="BE63" i="33"/>
  <c r="BE70" i="33" s="1"/>
  <c r="BE104" i="33" s="1"/>
  <c r="BF63" i="33"/>
  <c r="BF70" i="33" s="1"/>
  <c r="BF104" i="33" s="1"/>
  <c r="BG63" i="33"/>
  <c r="BG70" i="33" s="1"/>
  <c r="BG104" i="33" s="1"/>
  <c r="BH63" i="33"/>
  <c r="BH70" i="33" s="1"/>
  <c r="BH104" i="33" s="1"/>
  <c r="BI63" i="33"/>
  <c r="BI70" i="33" s="1"/>
  <c r="BI104" i="33" s="1"/>
  <c r="BJ63" i="33"/>
  <c r="BJ70" i="33" s="1"/>
  <c r="BJ104" i="33" s="1"/>
  <c r="BK63" i="33"/>
  <c r="BK70" i="33" s="1"/>
  <c r="BK104" i="33" s="1"/>
  <c r="BL63" i="33"/>
  <c r="BL70" i="33" s="1"/>
  <c r="BL104" i="33" s="1"/>
  <c r="J32" i="33"/>
  <c r="J38" i="33"/>
  <c r="K25" i="33"/>
  <c r="D17" i="19" s="1"/>
  <c r="D17" i="41" s="1"/>
  <c r="D116" i="41" s="1"/>
  <c r="F24" i="31"/>
  <c r="E23" i="31"/>
  <c r="E331" i="31" s="1"/>
  <c r="C198" i="31"/>
  <c r="C199" i="31" s="1"/>
  <c r="C200" i="31" s="1"/>
  <c r="F1" i="17"/>
  <c r="E4" i="17"/>
  <c r="E19" i="17"/>
  <c r="E21" i="17"/>
  <c r="E18" i="17"/>
  <c r="E20" i="17"/>
  <c r="H68" i="1"/>
  <c r="C44" i="20"/>
  <c r="F83" i="1"/>
  <c r="L31" i="1"/>
  <c r="I67" i="1"/>
  <c r="E84" i="1"/>
  <c r="K121" i="33" l="1"/>
  <c r="K128" i="33" s="1"/>
  <c r="L121" i="33"/>
  <c r="M121" i="33"/>
  <c r="N121" i="33"/>
  <c r="N128" i="33" s="1"/>
  <c r="O121" i="33"/>
  <c r="O128" i="33" s="1"/>
  <c r="P121" i="33"/>
  <c r="P128" i="33" s="1"/>
  <c r="Q121" i="33"/>
  <c r="Q128" i="33" s="1"/>
  <c r="R121" i="33"/>
  <c r="R128" i="33" s="1"/>
  <c r="S121" i="33"/>
  <c r="S128" i="33" s="1"/>
  <c r="T121" i="33"/>
  <c r="T128" i="33" s="1"/>
  <c r="U121" i="33"/>
  <c r="U128" i="33" s="1"/>
  <c r="V121" i="33"/>
  <c r="V128" i="33" s="1"/>
  <c r="W121" i="33"/>
  <c r="W128" i="33" s="1"/>
  <c r="X121" i="33"/>
  <c r="X128" i="33" s="1"/>
  <c r="Y121" i="33"/>
  <c r="Y128" i="33" s="1"/>
  <c r="Z121" i="33"/>
  <c r="Z128" i="33" s="1"/>
  <c r="AA121" i="33"/>
  <c r="AA128" i="33" s="1"/>
  <c r="AB121" i="33"/>
  <c r="AC121" i="33"/>
  <c r="AD121" i="33"/>
  <c r="AE121" i="33"/>
  <c r="AF121" i="33"/>
  <c r="AF128" i="33" s="1"/>
  <c r="AG121" i="33"/>
  <c r="AG128" i="33" s="1"/>
  <c r="AH121" i="33"/>
  <c r="AH128" i="33" s="1"/>
  <c r="AI121" i="33"/>
  <c r="AI128" i="33" s="1"/>
  <c r="AJ121" i="33"/>
  <c r="AK121" i="33"/>
  <c r="AL121" i="33"/>
  <c r="AM121" i="33"/>
  <c r="AM128" i="33" s="1"/>
  <c r="AN121" i="33"/>
  <c r="AN128" i="33" s="1"/>
  <c r="AO121" i="33"/>
  <c r="AO128" i="33" s="1"/>
  <c r="AP121" i="33"/>
  <c r="AP128" i="33" s="1"/>
  <c r="AQ121" i="33"/>
  <c r="AQ128" i="33" s="1"/>
  <c r="AR121" i="33"/>
  <c r="AS121" i="33"/>
  <c r="AT121" i="33"/>
  <c r="AT128" i="33" s="1"/>
  <c r="AU121" i="33"/>
  <c r="AV121" i="33"/>
  <c r="AV128" i="33" s="1"/>
  <c r="AW121" i="33"/>
  <c r="AW128" i="33" s="1"/>
  <c r="AX121" i="33"/>
  <c r="AX128" i="33" s="1"/>
  <c r="AY121" i="33"/>
  <c r="AY128" i="33" s="1"/>
  <c r="AZ121" i="33"/>
  <c r="BA121" i="33"/>
  <c r="BB121" i="33"/>
  <c r="BB128" i="33" s="1"/>
  <c r="BC121" i="33"/>
  <c r="BD121" i="33"/>
  <c r="BD128" i="33" s="1"/>
  <c r="BE121" i="33"/>
  <c r="BE128" i="33" s="1"/>
  <c r="BF121" i="33"/>
  <c r="BF128" i="33" s="1"/>
  <c r="BG121" i="33"/>
  <c r="BG128" i="33" s="1"/>
  <c r="BH121" i="33"/>
  <c r="BI121" i="33"/>
  <c r="BJ121" i="33"/>
  <c r="BK121" i="33"/>
  <c r="BK128" i="33" s="1"/>
  <c r="BL121" i="33"/>
  <c r="BL128" i="33" s="1"/>
  <c r="K122" i="33"/>
  <c r="L122" i="33"/>
  <c r="M122" i="33"/>
  <c r="N122" i="33"/>
  <c r="O122" i="33"/>
  <c r="P122" i="33"/>
  <c r="Q122" i="33"/>
  <c r="R122" i="33"/>
  <c r="S122" i="33"/>
  <c r="T122" i="33"/>
  <c r="U122" i="33"/>
  <c r="V122" i="33"/>
  <c r="W122" i="33"/>
  <c r="X122" i="33"/>
  <c r="Y122" i="33"/>
  <c r="Z122" i="33"/>
  <c r="AA122" i="33"/>
  <c r="AB122" i="33"/>
  <c r="AC122" i="33"/>
  <c r="AD122" i="33"/>
  <c r="AE122" i="33"/>
  <c r="AE129" i="33" s="1"/>
  <c r="AF122" i="33"/>
  <c r="AF129" i="33" s="1"/>
  <c r="AG122" i="33"/>
  <c r="AG129" i="33" s="1"/>
  <c r="AH122" i="33"/>
  <c r="AH129" i="33" s="1"/>
  <c r="AI122" i="33"/>
  <c r="AI129" i="33" s="1"/>
  <c r="AJ122" i="33"/>
  <c r="AJ129" i="33" s="1"/>
  <c r="AK122" i="33"/>
  <c r="AK129" i="33" s="1"/>
  <c r="AL122" i="33"/>
  <c r="AM122" i="33"/>
  <c r="AN122" i="33"/>
  <c r="AO122" i="33"/>
  <c r="AP122" i="33"/>
  <c r="AP129" i="33" s="1"/>
  <c r="AQ122" i="33"/>
  <c r="AR122" i="33"/>
  <c r="AR129" i="33" s="1"/>
  <c r="AS122" i="33"/>
  <c r="AT122" i="33"/>
  <c r="AU122" i="33"/>
  <c r="AV122" i="33"/>
  <c r="AW122" i="33"/>
  <c r="AW129" i="33" s="1"/>
  <c r="AX122" i="33"/>
  <c r="AX129" i="33" s="1"/>
  <c r="AY122" i="33"/>
  <c r="AY129" i="33" s="1"/>
  <c r="AZ122" i="33"/>
  <c r="AZ129" i="33" s="1"/>
  <c r="BA122" i="33"/>
  <c r="BB122" i="33"/>
  <c r="BC122" i="33"/>
  <c r="BD122" i="33"/>
  <c r="BD129" i="33" s="1"/>
  <c r="BE122" i="33"/>
  <c r="BF122" i="33"/>
  <c r="BF129" i="33" s="1"/>
  <c r="BG122" i="33"/>
  <c r="BG129" i="33" s="1"/>
  <c r="BH122" i="33"/>
  <c r="BH129" i="33" s="1"/>
  <c r="BI122" i="33"/>
  <c r="BJ122" i="33"/>
  <c r="BK122" i="33"/>
  <c r="BL122" i="33"/>
  <c r="BL129" i="33" s="1"/>
  <c r="U17" i="41"/>
  <c r="U116" i="41" s="1"/>
  <c r="P17" i="41"/>
  <c r="P116" i="41" s="1"/>
  <c r="Q17" i="41"/>
  <c r="Q116" i="41" s="1"/>
  <c r="N17" i="41"/>
  <c r="N116" i="41" s="1"/>
  <c r="S17" i="41"/>
  <c r="S116" i="41" s="1"/>
  <c r="AI113" i="33"/>
  <c r="AX113" i="33"/>
  <c r="R113" i="33"/>
  <c r="U41" i="33"/>
  <c r="N18" i="19" s="1"/>
  <c r="AD41" i="33"/>
  <c r="W18" i="19" s="1"/>
  <c r="AV41" i="33"/>
  <c r="BE41" i="33"/>
  <c r="BI113" i="33"/>
  <c r="BA113" i="33"/>
  <c r="AS113" i="33"/>
  <c r="AK113" i="33"/>
  <c r="AC113" i="33"/>
  <c r="U113" i="33"/>
  <c r="M113" i="33"/>
  <c r="BH113" i="33"/>
  <c r="AZ113" i="33"/>
  <c r="AR113" i="33"/>
  <c r="AJ113" i="33"/>
  <c r="AB113" i="33"/>
  <c r="T113" i="33"/>
  <c r="L113" i="33"/>
  <c r="AY41" i="33"/>
  <c r="BH41" i="33"/>
  <c r="N41" i="33"/>
  <c r="G18" i="19" s="1"/>
  <c r="W41" i="33"/>
  <c r="AF41" i="33"/>
  <c r="AO41" i="33"/>
  <c r="AH18" i="19" s="1"/>
  <c r="BF41" i="33"/>
  <c r="BG41" i="33"/>
  <c r="M41" i="33"/>
  <c r="F18" i="19" s="1"/>
  <c r="V41" i="33"/>
  <c r="O18" i="19" s="1"/>
  <c r="AE41" i="33"/>
  <c r="AN41" i="33"/>
  <c r="AW41" i="33"/>
  <c r="AQ113" i="33"/>
  <c r="S113" i="33"/>
  <c r="AP113" i="33"/>
  <c r="AW113" i="33"/>
  <c r="Y113" i="33"/>
  <c r="T41" i="33"/>
  <c r="M18" i="19" s="1"/>
  <c r="AC41" i="33"/>
  <c r="AL41" i="33"/>
  <c r="AE18" i="19" s="1"/>
  <c r="AU41" i="33"/>
  <c r="BD41" i="33"/>
  <c r="AE17" i="19"/>
  <c r="BG113" i="33"/>
  <c r="AA113" i="33"/>
  <c r="BF113" i="33"/>
  <c r="Z113" i="33"/>
  <c r="L41" i="33"/>
  <c r="E18" i="19" s="1"/>
  <c r="AM41" i="33"/>
  <c r="BE113" i="33"/>
  <c r="AG113" i="33"/>
  <c r="Q113" i="33"/>
  <c r="BL113" i="33"/>
  <c r="BD113" i="33"/>
  <c r="AV113" i="33"/>
  <c r="AN113" i="33"/>
  <c r="AF113" i="33"/>
  <c r="X113" i="33"/>
  <c r="P113" i="33"/>
  <c r="S41" i="33"/>
  <c r="L18" i="19" s="1"/>
  <c r="AB41" i="33"/>
  <c r="AK41" i="33"/>
  <c r="AT41" i="33"/>
  <c r="AM18" i="19" s="1"/>
  <c r="BC41" i="33"/>
  <c r="BL41" i="33"/>
  <c r="T17" i="41"/>
  <c r="T116" i="41" s="1"/>
  <c r="W17" i="19"/>
  <c r="J17" i="41" s="1"/>
  <c r="J116" i="41" s="1"/>
  <c r="BK113" i="33"/>
  <c r="BC113" i="33"/>
  <c r="AU113" i="33"/>
  <c r="AM113" i="33"/>
  <c r="AE113" i="33"/>
  <c r="W113" i="33"/>
  <c r="O113" i="33"/>
  <c r="AA41" i="33"/>
  <c r="T18" i="19" s="1"/>
  <c r="AJ41" i="33"/>
  <c r="AS41" i="33"/>
  <c r="BB41" i="33"/>
  <c r="BK41" i="33"/>
  <c r="Q41" i="33"/>
  <c r="J18" i="19" s="1"/>
  <c r="AH41" i="33"/>
  <c r="AU17" i="19"/>
  <c r="R17" i="41" s="1"/>
  <c r="R116" i="41" s="1"/>
  <c r="AY113" i="33"/>
  <c r="K113" i="33"/>
  <c r="AH113" i="33"/>
  <c r="AO113" i="33"/>
  <c r="BJ113" i="33"/>
  <c r="BB113" i="33"/>
  <c r="AT113" i="33"/>
  <c r="AL113" i="33"/>
  <c r="AD113" i="33"/>
  <c r="V113" i="33"/>
  <c r="N113" i="33"/>
  <c r="AI41" i="33"/>
  <c r="AB18" i="19" s="1"/>
  <c r="AR41" i="33"/>
  <c r="AK18" i="19" s="1"/>
  <c r="BA41" i="33"/>
  <c r="BJ41" i="33"/>
  <c r="P41" i="33"/>
  <c r="I18" i="19" s="1"/>
  <c r="Y41" i="33"/>
  <c r="R18" i="19" s="1"/>
  <c r="AI18" i="19"/>
  <c r="K17" i="41"/>
  <c r="K116" i="41" s="1"/>
  <c r="AQ41" i="33"/>
  <c r="AJ18" i="19" s="1"/>
  <c r="AZ41" i="33"/>
  <c r="AS18" i="19" s="1"/>
  <c r="BI41" i="33"/>
  <c r="O41" i="33"/>
  <c r="H18" i="19" s="1"/>
  <c r="X41" i="33"/>
  <c r="AG41" i="33"/>
  <c r="AX41" i="33"/>
  <c r="AQ18" i="19" s="1"/>
  <c r="P17" i="19"/>
  <c r="H17" i="41" s="1"/>
  <c r="H116" i="41" s="1"/>
  <c r="F50" i="17"/>
  <c r="F59" i="17"/>
  <c r="F46" i="17"/>
  <c r="F55" i="17"/>
  <c r="F56" i="17"/>
  <c r="F47" i="17"/>
  <c r="F48" i="17"/>
  <c r="F57" i="17"/>
  <c r="BG55" i="33"/>
  <c r="BG57" i="33" s="1"/>
  <c r="AY55" i="33"/>
  <c r="AY57" i="33" s="1"/>
  <c r="AQ55" i="33"/>
  <c r="AQ57" i="33" s="1"/>
  <c r="AI55" i="33"/>
  <c r="AI57" i="33" s="1"/>
  <c r="AA55" i="33"/>
  <c r="AA57" i="33" s="1"/>
  <c r="S55" i="33"/>
  <c r="S57" i="33" s="1"/>
  <c r="L20" i="19" s="1"/>
  <c r="AR55" i="33"/>
  <c r="AR57" i="33" s="1"/>
  <c r="AB55" i="33"/>
  <c r="AB57" i="33" s="1"/>
  <c r="BF55" i="33"/>
  <c r="BF57" i="33" s="1"/>
  <c r="AX55" i="33"/>
  <c r="AX57" i="33" s="1"/>
  <c r="AP55" i="33"/>
  <c r="AP57" i="33" s="1"/>
  <c r="AH55" i="33"/>
  <c r="AH57" i="33" s="1"/>
  <c r="Z55" i="33"/>
  <c r="Z57" i="33" s="1"/>
  <c r="R55" i="33"/>
  <c r="R57" i="33" s="1"/>
  <c r="K20" i="19" s="1"/>
  <c r="BE55" i="33"/>
  <c r="BE57" i="33" s="1"/>
  <c r="AW55" i="33"/>
  <c r="AW57" i="33" s="1"/>
  <c r="AO55" i="33"/>
  <c r="AO57" i="33" s="1"/>
  <c r="AG55" i="33"/>
  <c r="AG57" i="33" s="1"/>
  <c r="Y55" i="33"/>
  <c r="Y57" i="33" s="1"/>
  <c r="Q55" i="33"/>
  <c r="Q57" i="33" s="1"/>
  <c r="J20" i="19" s="1"/>
  <c r="AJ55" i="33"/>
  <c r="AJ57" i="33" s="1"/>
  <c r="BL55" i="33"/>
  <c r="BL57" i="33" s="1"/>
  <c r="BD55" i="33"/>
  <c r="BD57" i="33" s="1"/>
  <c r="AV55" i="33"/>
  <c r="AV57" i="33" s="1"/>
  <c r="AN55" i="33"/>
  <c r="AN57" i="33" s="1"/>
  <c r="AG20" i="19" s="1"/>
  <c r="AF55" i="33"/>
  <c r="AF57" i="33" s="1"/>
  <c r="X55" i="33"/>
  <c r="X57" i="33" s="1"/>
  <c r="P55" i="33"/>
  <c r="P57" i="33" s="1"/>
  <c r="I20" i="19" s="1"/>
  <c r="AZ55" i="33"/>
  <c r="AZ57" i="33" s="1"/>
  <c r="T55" i="33"/>
  <c r="T57" i="33" s="1"/>
  <c r="M20" i="19" s="1"/>
  <c r="BK55" i="33"/>
  <c r="BK57" i="33" s="1"/>
  <c r="BC55" i="33"/>
  <c r="BC57" i="33" s="1"/>
  <c r="AU55" i="33"/>
  <c r="AU57" i="33" s="1"/>
  <c r="AM55" i="33"/>
  <c r="AM57" i="33" s="1"/>
  <c r="AE55" i="33"/>
  <c r="AE57" i="33" s="1"/>
  <c r="W55" i="33"/>
  <c r="W57" i="33" s="1"/>
  <c r="O55" i="33"/>
  <c r="O57" i="33" s="1"/>
  <c r="H20" i="19" s="1"/>
  <c r="BH55" i="33"/>
  <c r="BH57" i="33" s="1"/>
  <c r="L55" i="33"/>
  <c r="L57" i="33" s="1"/>
  <c r="E20" i="19" s="1"/>
  <c r="BJ55" i="33"/>
  <c r="BJ57" i="33" s="1"/>
  <c r="BB55" i="33"/>
  <c r="BB57" i="33" s="1"/>
  <c r="AT55" i="33"/>
  <c r="AT57" i="33" s="1"/>
  <c r="AL55" i="33"/>
  <c r="AL57" i="33" s="1"/>
  <c r="AE20" i="19" s="1"/>
  <c r="AD55" i="33"/>
  <c r="AD57" i="33" s="1"/>
  <c r="V55" i="33"/>
  <c r="V57" i="33" s="1"/>
  <c r="O20" i="19" s="1"/>
  <c r="N55" i="33"/>
  <c r="N57" i="33" s="1"/>
  <c r="G20" i="19" s="1"/>
  <c r="BI55" i="33"/>
  <c r="BI57" i="33" s="1"/>
  <c r="BA55" i="33"/>
  <c r="BA57" i="33" s="1"/>
  <c r="AS55" i="33"/>
  <c r="AS57" i="33" s="1"/>
  <c r="AK55" i="33"/>
  <c r="AK57" i="33" s="1"/>
  <c r="AC55" i="33"/>
  <c r="AC57" i="33" s="1"/>
  <c r="V20" i="19" s="1"/>
  <c r="U55" i="33"/>
  <c r="U57" i="33" s="1"/>
  <c r="N20" i="19" s="1"/>
  <c r="M55" i="33"/>
  <c r="M57" i="33" s="1"/>
  <c r="F20" i="19" s="1"/>
  <c r="E49" i="17"/>
  <c r="F58" i="17"/>
  <c r="E58" i="17"/>
  <c r="F49" i="17"/>
  <c r="C279" i="31"/>
  <c r="C280" i="31" s="1"/>
  <c r="D280" i="31" s="1"/>
  <c r="E280" i="31" s="1"/>
  <c r="F280" i="31" s="1"/>
  <c r="G280" i="31" s="1"/>
  <c r="H280" i="31" s="1"/>
  <c r="I280" i="31" s="1"/>
  <c r="J280" i="31" s="1"/>
  <c r="K280" i="31" s="1"/>
  <c r="L280" i="31" s="1"/>
  <c r="M280" i="31" s="1"/>
  <c r="N280" i="31" s="1"/>
  <c r="O280" i="31" s="1"/>
  <c r="P280" i="31" s="1"/>
  <c r="Q280" i="31" s="1"/>
  <c r="R280" i="31" s="1"/>
  <c r="S280" i="31" s="1"/>
  <c r="T280" i="31" s="1"/>
  <c r="U280" i="31" s="1"/>
  <c r="V280" i="31" s="1"/>
  <c r="W280" i="31" s="1"/>
  <c r="X280" i="31" s="1"/>
  <c r="Y280" i="31" s="1"/>
  <c r="Z280" i="31" s="1"/>
  <c r="AA280" i="31" s="1"/>
  <c r="AB280" i="31" s="1"/>
  <c r="AC280" i="31" s="1"/>
  <c r="AD280" i="31" s="1"/>
  <c r="AE280" i="31" s="1"/>
  <c r="AF280" i="31" s="1"/>
  <c r="AG280" i="31" s="1"/>
  <c r="AH280" i="31" s="1"/>
  <c r="AI280" i="31" s="1"/>
  <c r="AJ280" i="31" s="1"/>
  <c r="AK280" i="31" s="1"/>
  <c r="AL280" i="31" s="1"/>
  <c r="AM280" i="31" s="1"/>
  <c r="AN280" i="31" s="1"/>
  <c r="AO280" i="31" s="1"/>
  <c r="AP280" i="31" s="1"/>
  <c r="AQ280" i="31" s="1"/>
  <c r="AR280" i="31" s="1"/>
  <c r="AS280" i="31" s="1"/>
  <c r="AT280" i="31" s="1"/>
  <c r="AU280" i="31" s="1"/>
  <c r="AV280" i="31" s="1"/>
  <c r="AW280" i="31" s="1"/>
  <c r="AX280" i="31" s="1"/>
  <c r="AY280" i="31" s="1"/>
  <c r="AZ280" i="31" s="1"/>
  <c r="BA280" i="31" s="1"/>
  <c r="BB280" i="31" s="1"/>
  <c r="BC280" i="31" s="1"/>
  <c r="BD280" i="31" s="1"/>
  <c r="BE280" i="31" s="1"/>
  <c r="BF280" i="31" s="1"/>
  <c r="BG280" i="31" s="1"/>
  <c r="BH280" i="31" s="1"/>
  <c r="BI280" i="31" s="1"/>
  <c r="BJ280" i="31" s="1"/>
  <c r="BK280" i="31" s="1"/>
  <c r="BL280" i="31" s="1"/>
  <c r="BM280" i="31" s="1"/>
  <c r="BN280" i="31" s="1"/>
  <c r="BO280" i="31" s="1"/>
  <c r="BP280" i="31" s="1"/>
  <c r="BQ280" i="31" s="1"/>
  <c r="BR280" i="31" s="1"/>
  <c r="BS280" i="31" s="1"/>
  <c r="BT280" i="31" s="1"/>
  <c r="BU280" i="31" s="1"/>
  <c r="BV280" i="31" s="1"/>
  <c r="BW280" i="31" s="1"/>
  <c r="BX280" i="31" s="1"/>
  <c r="BY280" i="31" s="1"/>
  <c r="BZ280" i="31" s="1"/>
  <c r="CA280" i="31" s="1"/>
  <c r="CB280" i="31" s="1"/>
  <c r="CC280" i="31" s="1"/>
  <c r="CD280" i="31" s="1"/>
  <c r="CE280" i="31" s="1"/>
  <c r="CF280" i="31" s="1"/>
  <c r="CG280" i="31" s="1"/>
  <c r="CH280" i="31" s="1"/>
  <c r="CI280" i="31" s="1"/>
  <c r="CJ280" i="31" s="1"/>
  <c r="CK280" i="31" s="1"/>
  <c r="CL280" i="31" s="1"/>
  <c r="CM280" i="31" s="1"/>
  <c r="CN280" i="31" s="1"/>
  <c r="CO280" i="31" s="1"/>
  <c r="CP280" i="31" s="1"/>
  <c r="CQ280" i="31" s="1"/>
  <c r="CR280" i="31" s="1"/>
  <c r="CS280" i="31" s="1"/>
  <c r="CT280" i="31" s="1"/>
  <c r="CU280" i="31" s="1"/>
  <c r="CV280" i="31" s="1"/>
  <c r="CW280" i="31" s="1"/>
  <c r="CX280" i="31" s="1"/>
  <c r="CY280" i="31" s="1"/>
  <c r="CZ280" i="31" s="1"/>
  <c r="DA280" i="31" s="1"/>
  <c r="DB280" i="31" s="1"/>
  <c r="DC280" i="31" s="1"/>
  <c r="DD280" i="31" s="1"/>
  <c r="DE280" i="31" s="1"/>
  <c r="DF280" i="31" s="1"/>
  <c r="DG280" i="31" s="1"/>
  <c r="DH280" i="31" s="1"/>
  <c r="DI280" i="31" s="1"/>
  <c r="DJ280" i="31" s="1"/>
  <c r="DK280" i="31" s="1"/>
  <c r="DL280" i="31" s="1"/>
  <c r="DM280" i="31" s="1"/>
  <c r="DN280" i="31" s="1"/>
  <c r="DO280" i="31" s="1"/>
  <c r="DP280" i="31" s="1"/>
  <c r="DQ280" i="31" s="1"/>
  <c r="DR280" i="31" s="1"/>
  <c r="DS280" i="31" s="1"/>
  <c r="DT280" i="31" s="1"/>
  <c r="DU280" i="31" s="1"/>
  <c r="DV280" i="31" s="1"/>
  <c r="DW280" i="31" s="1"/>
  <c r="DX280" i="31" s="1"/>
  <c r="DY280" i="31" s="1"/>
  <c r="DZ280" i="31" s="1"/>
  <c r="EA280" i="31" s="1"/>
  <c r="EB280" i="31" s="1"/>
  <c r="EC280" i="31" s="1"/>
  <c r="ED280" i="31" s="1"/>
  <c r="EE280" i="31" s="1"/>
  <c r="EF280" i="31" s="1"/>
  <c r="EG280" i="31" s="1"/>
  <c r="EH280" i="31" s="1"/>
  <c r="EI280" i="31" s="1"/>
  <c r="EJ280" i="31" s="1"/>
  <c r="EK280" i="31" s="1"/>
  <c r="EL280" i="31" s="1"/>
  <c r="EM280" i="31" s="1"/>
  <c r="EN280" i="31" s="1"/>
  <c r="EO280" i="31" s="1"/>
  <c r="EP280" i="31" s="1"/>
  <c r="EQ280" i="31" s="1"/>
  <c r="ER280" i="31" s="1"/>
  <c r="ES280" i="31" s="1"/>
  <c r="ET280" i="31" s="1"/>
  <c r="EU280" i="31" s="1"/>
  <c r="EV280" i="31" s="1"/>
  <c r="EW280" i="31" s="1"/>
  <c r="EX280" i="31" s="1"/>
  <c r="EY280" i="31" s="1"/>
  <c r="EZ280" i="31" s="1"/>
  <c r="FA280" i="31" s="1"/>
  <c r="FB280" i="31" s="1"/>
  <c r="FC280" i="31" s="1"/>
  <c r="FD280" i="31" s="1"/>
  <c r="FE280" i="31" s="1"/>
  <c r="FF280" i="31" s="1"/>
  <c r="FG280" i="31" s="1"/>
  <c r="FH280" i="31" s="1"/>
  <c r="FI280" i="31" s="1"/>
  <c r="FJ280" i="31" s="1"/>
  <c r="FK280" i="31" s="1"/>
  <c r="FL280" i="31" s="1"/>
  <c r="FM280" i="31" s="1"/>
  <c r="FN280" i="31" s="1"/>
  <c r="FO280" i="31" s="1"/>
  <c r="FP280" i="31" s="1"/>
  <c r="FQ280" i="31" s="1"/>
  <c r="FR280" i="31" s="1"/>
  <c r="FS280" i="31" s="1"/>
  <c r="FT280" i="31" s="1"/>
  <c r="FU280" i="31" s="1"/>
  <c r="FV280" i="31" s="1"/>
  <c r="FW280" i="31" s="1"/>
  <c r="FX280" i="31" s="1"/>
  <c r="FY280" i="31" s="1"/>
  <c r="FZ280" i="31" s="1"/>
  <c r="GA280" i="31" s="1"/>
  <c r="GB280" i="31" s="1"/>
  <c r="GC280" i="31" s="1"/>
  <c r="GD280" i="31" s="1"/>
  <c r="GE280" i="31" s="1"/>
  <c r="GF280" i="31" s="1"/>
  <c r="GG280" i="31" s="1"/>
  <c r="GH280" i="31" s="1"/>
  <c r="GI280" i="31" s="1"/>
  <c r="GJ280" i="31" s="1"/>
  <c r="GK280" i="31" s="1"/>
  <c r="GL280" i="31" s="1"/>
  <c r="GM280" i="31" s="1"/>
  <c r="GN280" i="31" s="1"/>
  <c r="GO280" i="31" s="1"/>
  <c r="GP280" i="31" s="1"/>
  <c r="GQ280" i="31" s="1"/>
  <c r="GR280" i="31" s="1"/>
  <c r="GS280" i="31" s="1"/>
  <c r="GT280" i="31" s="1"/>
  <c r="GU280" i="31" s="1"/>
  <c r="GV280" i="31" s="1"/>
  <c r="GW280" i="31" s="1"/>
  <c r="GX280" i="31" s="1"/>
  <c r="GY280" i="31" s="1"/>
  <c r="GZ280" i="31" s="1"/>
  <c r="HA280" i="31" s="1"/>
  <c r="HB280" i="31" s="1"/>
  <c r="HC280" i="31" s="1"/>
  <c r="HD280" i="31" s="1"/>
  <c r="HE280" i="31" s="1"/>
  <c r="HF280" i="31" s="1"/>
  <c r="HG280" i="31" s="1"/>
  <c r="HH280" i="31" s="1"/>
  <c r="HI280" i="31" s="1"/>
  <c r="HJ280" i="31" s="1"/>
  <c r="HK280" i="31" s="1"/>
  <c r="HL280" i="31" s="1"/>
  <c r="HM280" i="31" s="1"/>
  <c r="HN280" i="31" s="1"/>
  <c r="HO280" i="31" s="1"/>
  <c r="HP280" i="31" s="1"/>
  <c r="HQ280" i="31" s="1"/>
  <c r="HR280" i="31" s="1"/>
  <c r="HS280" i="31" s="1"/>
  <c r="HT280" i="31" s="1"/>
  <c r="HU280" i="31" s="1"/>
  <c r="HV280" i="31" s="1"/>
  <c r="HW280" i="31" s="1"/>
  <c r="HX280" i="31" s="1"/>
  <c r="HY280" i="31" s="1"/>
  <c r="HZ280" i="31" s="1"/>
  <c r="IA280" i="31" s="1"/>
  <c r="IB280" i="31" s="1"/>
  <c r="IC280" i="31" s="1"/>
  <c r="ID280" i="31" s="1"/>
  <c r="IE280" i="31" s="1"/>
  <c r="IF280" i="31" s="1"/>
  <c r="IG280" i="31" s="1"/>
  <c r="IH280" i="31" s="1"/>
  <c r="II280" i="31" s="1"/>
  <c r="IJ280" i="31" s="1"/>
  <c r="IK280" i="31" s="1"/>
  <c r="IL280" i="31" s="1"/>
  <c r="IM280" i="31" s="1"/>
  <c r="IN280" i="31" s="1"/>
  <c r="IO280" i="31" s="1"/>
  <c r="IP280" i="31" s="1"/>
  <c r="IQ280" i="31" s="1"/>
  <c r="IR280" i="31" s="1"/>
  <c r="IS280" i="31" s="1"/>
  <c r="IT280" i="31" s="1"/>
  <c r="IU280" i="31" s="1"/>
  <c r="IV280" i="31" s="1"/>
  <c r="IW280" i="31" s="1"/>
  <c r="IX280" i="31" s="1"/>
  <c r="IY280" i="31" s="1"/>
  <c r="IZ280" i="31" s="1"/>
  <c r="JA280" i="31" s="1"/>
  <c r="JB280" i="31" s="1"/>
  <c r="JC280" i="31" s="1"/>
  <c r="JD280" i="31" s="1"/>
  <c r="JE280" i="31" s="1"/>
  <c r="JF280" i="31" s="1"/>
  <c r="JG280" i="31" s="1"/>
  <c r="JH280" i="31" s="1"/>
  <c r="JI280" i="31" s="1"/>
  <c r="D214" i="31"/>
  <c r="E214" i="31" s="1"/>
  <c r="F214" i="31" s="1"/>
  <c r="G214" i="31" s="1"/>
  <c r="H214" i="31" s="1"/>
  <c r="I214" i="31" s="1"/>
  <c r="J214" i="31" s="1"/>
  <c r="K214" i="31" s="1"/>
  <c r="L214" i="31" s="1"/>
  <c r="M214" i="31" s="1"/>
  <c r="N214" i="31" s="1"/>
  <c r="O214" i="31" s="1"/>
  <c r="P214" i="31" s="1"/>
  <c r="Q214" i="31" s="1"/>
  <c r="R214" i="31" s="1"/>
  <c r="S214" i="31" s="1"/>
  <c r="T214" i="31" s="1"/>
  <c r="U214" i="31" s="1"/>
  <c r="V214" i="31" s="1"/>
  <c r="W214" i="31" s="1"/>
  <c r="X214" i="31" s="1"/>
  <c r="Y214" i="31" s="1"/>
  <c r="Z214" i="31" s="1"/>
  <c r="AA214" i="31" s="1"/>
  <c r="AB214" i="31" s="1"/>
  <c r="AC214" i="31" s="1"/>
  <c r="AD214" i="31" s="1"/>
  <c r="AE214" i="31" s="1"/>
  <c r="AF214" i="31" s="1"/>
  <c r="AG214" i="31" s="1"/>
  <c r="AH214" i="31" s="1"/>
  <c r="AI214" i="31" s="1"/>
  <c r="AJ214" i="31" s="1"/>
  <c r="AK214" i="31" s="1"/>
  <c r="AL214" i="31" s="1"/>
  <c r="AM214" i="31" s="1"/>
  <c r="AN214" i="31" s="1"/>
  <c r="AO214" i="31" s="1"/>
  <c r="AP214" i="31" s="1"/>
  <c r="AQ214" i="31" s="1"/>
  <c r="AR214" i="31" s="1"/>
  <c r="AS214" i="31" s="1"/>
  <c r="AT214" i="31" s="1"/>
  <c r="AU214" i="31" s="1"/>
  <c r="AV214" i="31" s="1"/>
  <c r="AW214" i="31" s="1"/>
  <c r="AX214" i="31" s="1"/>
  <c r="AY214" i="31" s="1"/>
  <c r="AZ214" i="31" s="1"/>
  <c r="BA214" i="31" s="1"/>
  <c r="BB214" i="31" s="1"/>
  <c r="BC214" i="31" s="1"/>
  <c r="BD214" i="31" s="1"/>
  <c r="BE214" i="31" s="1"/>
  <c r="BF214" i="31" s="1"/>
  <c r="BG214" i="31" s="1"/>
  <c r="BH214" i="31" s="1"/>
  <c r="BI214" i="31" s="1"/>
  <c r="BJ214" i="31" s="1"/>
  <c r="BK214" i="31" s="1"/>
  <c r="BL214" i="31" s="1"/>
  <c r="BM214" i="31" s="1"/>
  <c r="BN214" i="31" s="1"/>
  <c r="BO214" i="31" s="1"/>
  <c r="BP214" i="31" s="1"/>
  <c r="BQ214" i="31" s="1"/>
  <c r="BR214" i="31" s="1"/>
  <c r="BS214" i="31" s="1"/>
  <c r="BT214" i="31" s="1"/>
  <c r="BU214" i="31" s="1"/>
  <c r="BV214" i="31" s="1"/>
  <c r="BW214" i="31" s="1"/>
  <c r="BX214" i="31" s="1"/>
  <c r="BY214" i="31" s="1"/>
  <c r="BZ214" i="31" s="1"/>
  <c r="CA214" i="31" s="1"/>
  <c r="CB214" i="31" s="1"/>
  <c r="CC214" i="31" s="1"/>
  <c r="CD214" i="31" s="1"/>
  <c r="CE214" i="31" s="1"/>
  <c r="CF214" i="31" s="1"/>
  <c r="CG214" i="31" s="1"/>
  <c r="CH214" i="31" s="1"/>
  <c r="CI214" i="31" s="1"/>
  <c r="CJ214" i="31" s="1"/>
  <c r="CK214" i="31" s="1"/>
  <c r="CL214" i="31" s="1"/>
  <c r="CM214" i="31" s="1"/>
  <c r="CN214" i="31" s="1"/>
  <c r="CO214" i="31" s="1"/>
  <c r="CP214" i="31" s="1"/>
  <c r="CQ214" i="31" s="1"/>
  <c r="CR214" i="31" s="1"/>
  <c r="CS214" i="31" s="1"/>
  <c r="CT214" i="31" s="1"/>
  <c r="CU214" i="31" s="1"/>
  <c r="CV214" i="31" s="1"/>
  <c r="CW214" i="31" s="1"/>
  <c r="CX214" i="31" s="1"/>
  <c r="CY214" i="31" s="1"/>
  <c r="CZ214" i="31" s="1"/>
  <c r="DA214" i="31" s="1"/>
  <c r="DB214" i="31" s="1"/>
  <c r="DC214" i="31" s="1"/>
  <c r="DD214" i="31" s="1"/>
  <c r="DE214" i="31" s="1"/>
  <c r="DF214" i="31" s="1"/>
  <c r="DG214" i="31" s="1"/>
  <c r="DH214" i="31" s="1"/>
  <c r="DI214" i="31" s="1"/>
  <c r="DJ214" i="31" s="1"/>
  <c r="DK214" i="31" s="1"/>
  <c r="DL214" i="31" s="1"/>
  <c r="DM214" i="31" s="1"/>
  <c r="DN214" i="31" s="1"/>
  <c r="DO214" i="31" s="1"/>
  <c r="DP214" i="31" s="1"/>
  <c r="DQ214" i="31" s="1"/>
  <c r="DR214" i="31" s="1"/>
  <c r="DS214" i="31" s="1"/>
  <c r="DT214" i="31" s="1"/>
  <c r="DU214" i="31" s="1"/>
  <c r="DV214" i="31" s="1"/>
  <c r="DW214" i="31" s="1"/>
  <c r="DX214" i="31" s="1"/>
  <c r="DY214" i="31" s="1"/>
  <c r="DZ214" i="31" s="1"/>
  <c r="EA214" i="31" s="1"/>
  <c r="EB214" i="31" s="1"/>
  <c r="EC214" i="31" s="1"/>
  <c r="ED214" i="31" s="1"/>
  <c r="EE214" i="31" s="1"/>
  <c r="EF214" i="31" s="1"/>
  <c r="EG214" i="31" s="1"/>
  <c r="EH214" i="31" s="1"/>
  <c r="EI214" i="31" s="1"/>
  <c r="EJ214" i="31" s="1"/>
  <c r="EK214" i="31" s="1"/>
  <c r="EL214" i="31" s="1"/>
  <c r="EM214" i="31" s="1"/>
  <c r="EN214" i="31" s="1"/>
  <c r="EO214" i="31" s="1"/>
  <c r="EP214" i="31" s="1"/>
  <c r="EQ214" i="31" s="1"/>
  <c r="ER214" i="31" s="1"/>
  <c r="ES214" i="31" s="1"/>
  <c r="ET214" i="31" s="1"/>
  <c r="EU214" i="31" s="1"/>
  <c r="EV214" i="31" s="1"/>
  <c r="EW214" i="31" s="1"/>
  <c r="EX214" i="31" s="1"/>
  <c r="EY214" i="31" s="1"/>
  <c r="EZ214" i="31" s="1"/>
  <c r="FA214" i="31" s="1"/>
  <c r="FB214" i="31" s="1"/>
  <c r="FC214" i="31" s="1"/>
  <c r="FD214" i="31" s="1"/>
  <c r="FE214" i="31" s="1"/>
  <c r="FF214" i="31" s="1"/>
  <c r="FG214" i="31" s="1"/>
  <c r="FH214" i="31" s="1"/>
  <c r="FI214" i="31" s="1"/>
  <c r="FJ214" i="31" s="1"/>
  <c r="FK214" i="31" s="1"/>
  <c r="FL214" i="31" s="1"/>
  <c r="FM214" i="31" s="1"/>
  <c r="FN214" i="31" s="1"/>
  <c r="FO214" i="31" s="1"/>
  <c r="FP214" i="31" s="1"/>
  <c r="FQ214" i="31" s="1"/>
  <c r="FR214" i="31" s="1"/>
  <c r="FS214" i="31" s="1"/>
  <c r="FT214" i="31" s="1"/>
  <c r="FU214" i="31" s="1"/>
  <c r="FV214" i="31" s="1"/>
  <c r="FW214" i="31" s="1"/>
  <c r="FX214" i="31" s="1"/>
  <c r="FY214" i="31" s="1"/>
  <c r="FZ214" i="31" s="1"/>
  <c r="GA214" i="31" s="1"/>
  <c r="GB214" i="31" s="1"/>
  <c r="GC214" i="31" s="1"/>
  <c r="GD214" i="31" s="1"/>
  <c r="GE214" i="31" s="1"/>
  <c r="GF214" i="31" s="1"/>
  <c r="GG214" i="31" s="1"/>
  <c r="GH214" i="31" s="1"/>
  <c r="GI214" i="31" s="1"/>
  <c r="GJ214" i="31" s="1"/>
  <c r="GK214" i="31" s="1"/>
  <c r="GL214" i="31" s="1"/>
  <c r="GM214" i="31" s="1"/>
  <c r="GN214" i="31" s="1"/>
  <c r="GO214" i="31" s="1"/>
  <c r="GP214" i="31" s="1"/>
  <c r="GQ214" i="31" s="1"/>
  <c r="GR214" i="31" s="1"/>
  <c r="GS214" i="31" s="1"/>
  <c r="GT214" i="31" s="1"/>
  <c r="GU214" i="31" s="1"/>
  <c r="GV214" i="31" s="1"/>
  <c r="GW214" i="31" s="1"/>
  <c r="GX214" i="31" s="1"/>
  <c r="GY214" i="31" s="1"/>
  <c r="GZ214" i="31" s="1"/>
  <c r="HA214" i="31" s="1"/>
  <c r="HB214" i="31" s="1"/>
  <c r="HC214" i="31" s="1"/>
  <c r="HD214" i="31" s="1"/>
  <c r="HE214" i="31" s="1"/>
  <c r="HF214" i="31" s="1"/>
  <c r="HG214" i="31" s="1"/>
  <c r="HH214" i="31" s="1"/>
  <c r="HI214" i="31" s="1"/>
  <c r="HJ214" i="31" s="1"/>
  <c r="HK214" i="31" s="1"/>
  <c r="HL214" i="31" s="1"/>
  <c r="HM214" i="31" s="1"/>
  <c r="HN214" i="31" s="1"/>
  <c r="HO214" i="31" s="1"/>
  <c r="HP214" i="31" s="1"/>
  <c r="HQ214" i="31" s="1"/>
  <c r="HR214" i="31" s="1"/>
  <c r="HS214" i="31" s="1"/>
  <c r="HT214" i="31" s="1"/>
  <c r="HU214" i="31" s="1"/>
  <c r="HV214" i="31" s="1"/>
  <c r="HW214" i="31" s="1"/>
  <c r="HX214" i="31" s="1"/>
  <c r="HY214" i="31" s="1"/>
  <c r="HZ214" i="31" s="1"/>
  <c r="IA214" i="31" s="1"/>
  <c r="IB214" i="31" s="1"/>
  <c r="IC214" i="31" s="1"/>
  <c r="ID214" i="31" s="1"/>
  <c r="IE214" i="31" s="1"/>
  <c r="IF214" i="31" s="1"/>
  <c r="IG214" i="31" s="1"/>
  <c r="IH214" i="31" s="1"/>
  <c r="II214" i="31" s="1"/>
  <c r="IJ214" i="31" s="1"/>
  <c r="IK214" i="31" s="1"/>
  <c r="IL214" i="31" s="1"/>
  <c r="IM214" i="31" s="1"/>
  <c r="IN214" i="31" s="1"/>
  <c r="IO214" i="31" s="1"/>
  <c r="IP214" i="31" s="1"/>
  <c r="IQ214" i="31" s="1"/>
  <c r="IR214" i="31" s="1"/>
  <c r="IS214" i="31" s="1"/>
  <c r="IT214" i="31" s="1"/>
  <c r="IU214" i="31" s="1"/>
  <c r="IV214" i="31" s="1"/>
  <c r="IW214" i="31" s="1"/>
  <c r="IX214" i="31" s="1"/>
  <c r="IY214" i="31" s="1"/>
  <c r="IZ214" i="31" s="1"/>
  <c r="JA214" i="31" s="1"/>
  <c r="JB214" i="31" s="1"/>
  <c r="JC214" i="31" s="1"/>
  <c r="JD214" i="31" s="1"/>
  <c r="JE214" i="31" s="1"/>
  <c r="JF214" i="31" s="1"/>
  <c r="JG214" i="31" s="1"/>
  <c r="JH214" i="31" s="1"/>
  <c r="JI214" i="31" s="1"/>
  <c r="JJ214" i="31" s="1"/>
  <c r="JK214" i="31" s="1"/>
  <c r="JL214" i="31" s="1"/>
  <c r="JM214" i="31" s="1"/>
  <c r="JN214" i="31" s="1"/>
  <c r="JO214" i="31" s="1"/>
  <c r="D215" i="31"/>
  <c r="E215" i="31" s="1"/>
  <c r="F215" i="31" s="1"/>
  <c r="G215" i="31" s="1"/>
  <c r="H215" i="31" s="1"/>
  <c r="I215" i="31" s="1"/>
  <c r="J215" i="31" s="1"/>
  <c r="K215" i="31" s="1"/>
  <c r="L215" i="31" s="1"/>
  <c r="M215" i="31" s="1"/>
  <c r="N215" i="31" s="1"/>
  <c r="O215" i="31" s="1"/>
  <c r="P215" i="31" s="1"/>
  <c r="Q215" i="31" s="1"/>
  <c r="R215" i="31" s="1"/>
  <c r="S215" i="31" s="1"/>
  <c r="T215" i="31" s="1"/>
  <c r="U215" i="31" s="1"/>
  <c r="V215" i="31" s="1"/>
  <c r="W215" i="31" s="1"/>
  <c r="X215" i="31" s="1"/>
  <c r="Y215" i="31" s="1"/>
  <c r="Z215" i="31" s="1"/>
  <c r="AA215" i="31" s="1"/>
  <c r="AB215" i="31" s="1"/>
  <c r="AC215" i="31" s="1"/>
  <c r="AD215" i="31" s="1"/>
  <c r="AE215" i="31" s="1"/>
  <c r="AF215" i="31" s="1"/>
  <c r="AG215" i="31" s="1"/>
  <c r="AH215" i="31" s="1"/>
  <c r="AI215" i="31" s="1"/>
  <c r="AJ215" i="31" s="1"/>
  <c r="AK215" i="31" s="1"/>
  <c r="AL215" i="31" s="1"/>
  <c r="AM215" i="31" s="1"/>
  <c r="AN215" i="31" s="1"/>
  <c r="AO215" i="31" s="1"/>
  <c r="AP215" i="31" s="1"/>
  <c r="AQ215" i="31" s="1"/>
  <c r="AR215" i="31" s="1"/>
  <c r="AS215" i="31" s="1"/>
  <c r="AT215" i="31" s="1"/>
  <c r="AU215" i="31" s="1"/>
  <c r="AV215" i="31" s="1"/>
  <c r="AW215" i="31" s="1"/>
  <c r="AX215" i="31" s="1"/>
  <c r="AY215" i="31" s="1"/>
  <c r="AZ215" i="31" s="1"/>
  <c r="BA215" i="31" s="1"/>
  <c r="BB215" i="31" s="1"/>
  <c r="BC215" i="31" s="1"/>
  <c r="BD215" i="31" s="1"/>
  <c r="BE215" i="31" s="1"/>
  <c r="BF215" i="31" s="1"/>
  <c r="BG215" i="31" s="1"/>
  <c r="BH215" i="31" s="1"/>
  <c r="BI215" i="31" s="1"/>
  <c r="BJ215" i="31" s="1"/>
  <c r="BK215" i="31" s="1"/>
  <c r="BL215" i="31" s="1"/>
  <c r="BM215" i="31" s="1"/>
  <c r="BN215" i="31" s="1"/>
  <c r="BO215" i="31" s="1"/>
  <c r="BP215" i="31" s="1"/>
  <c r="BQ215" i="31" s="1"/>
  <c r="BR215" i="31" s="1"/>
  <c r="BS215" i="31" s="1"/>
  <c r="BT215" i="31" s="1"/>
  <c r="BU215" i="31" s="1"/>
  <c r="BV215" i="31" s="1"/>
  <c r="BW215" i="31" s="1"/>
  <c r="BX215" i="31" s="1"/>
  <c r="BY215" i="31" s="1"/>
  <c r="BZ215" i="31" s="1"/>
  <c r="CA215" i="31" s="1"/>
  <c r="CB215" i="31" s="1"/>
  <c r="CC215" i="31" s="1"/>
  <c r="CD215" i="31" s="1"/>
  <c r="CE215" i="31" s="1"/>
  <c r="CF215" i="31" s="1"/>
  <c r="CG215" i="31" s="1"/>
  <c r="CH215" i="31" s="1"/>
  <c r="CI215" i="31" s="1"/>
  <c r="CJ215" i="31" s="1"/>
  <c r="CK215" i="31" s="1"/>
  <c r="CL215" i="31" s="1"/>
  <c r="CM215" i="31" s="1"/>
  <c r="CN215" i="31" s="1"/>
  <c r="CO215" i="31" s="1"/>
  <c r="CP215" i="31" s="1"/>
  <c r="CQ215" i="31" s="1"/>
  <c r="CR215" i="31" s="1"/>
  <c r="CS215" i="31" s="1"/>
  <c r="CT215" i="31" s="1"/>
  <c r="CU215" i="31" s="1"/>
  <c r="CV215" i="31" s="1"/>
  <c r="CW215" i="31" s="1"/>
  <c r="CX215" i="31" s="1"/>
  <c r="CY215" i="31" s="1"/>
  <c r="CZ215" i="31" s="1"/>
  <c r="DA215" i="31" s="1"/>
  <c r="DB215" i="31" s="1"/>
  <c r="DC215" i="31" s="1"/>
  <c r="DD215" i="31" s="1"/>
  <c r="DE215" i="31" s="1"/>
  <c r="DF215" i="31" s="1"/>
  <c r="DG215" i="31" s="1"/>
  <c r="DH215" i="31" s="1"/>
  <c r="DI215" i="31" s="1"/>
  <c r="DJ215" i="31" s="1"/>
  <c r="DK215" i="31" s="1"/>
  <c r="DL215" i="31" s="1"/>
  <c r="DM215" i="31" s="1"/>
  <c r="DN215" i="31" s="1"/>
  <c r="DO215" i="31" s="1"/>
  <c r="DP215" i="31" s="1"/>
  <c r="DQ215" i="31" s="1"/>
  <c r="DR215" i="31" s="1"/>
  <c r="DS215" i="31" s="1"/>
  <c r="DT215" i="31" s="1"/>
  <c r="DU215" i="31" s="1"/>
  <c r="DV215" i="31" s="1"/>
  <c r="DW215" i="31" s="1"/>
  <c r="DX215" i="31" s="1"/>
  <c r="DY215" i="31" s="1"/>
  <c r="DZ215" i="31" s="1"/>
  <c r="EA215" i="31" s="1"/>
  <c r="EB215" i="31" s="1"/>
  <c r="EC215" i="31" s="1"/>
  <c r="ED215" i="31" s="1"/>
  <c r="EE215" i="31" s="1"/>
  <c r="EF215" i="31" s="1"/>
  <c r="EG215" i="31" s="1"/>
  <c r="EH215" i="31" s="1"/>
  <c r="EI215" i="31" s="1"/>
  <c r="EJ215" i="31" s="1"/>
  <c r="EK215" i="31" s="1"/>
  <c r="EL215" i="31" s="1"/>
  <c r="EM215" i="31" s="1"/>
  <c r="EN215" i="31" s="1"/>
  <c r="EO215" i="31" s="1"/>
  <c r="EP215" i="31" s="1"/>
  <c r="EQ215" i="31" s="1"/>
  <c r="ER215" i="31" s="1"/>
  <c r="ES215" i="31" s="1"/>
  <c r="ET215" i="31" s="1"/>
  <c r="EU215" i="31" s="1"/>
  <c r="EV215" i="31" s="1"/>
  <c r="EW215" i="31" s="1"/>
  <c r="EX215" i="31" s="1"/>
  <c r="EY215" i="31" s="1"/>
  <c r="EZ215" i="31" s="1"/>
  <c r="FA215" i="31" s="1"/>
  <c r="FB215" i="31" s="1"/>
  <c r="FC215" i="31" s="1"/>
  <c r="FD215" i="31" s="1"/>
  <c r="FE215" i="31" s="1"/>
  <c r="FF215" i="31" s="1"/>
  <c r="FG215" i="31" s="1"/>
  <c r="FH215" i="31" s="1"/>
  <c r="FI215" i="31" s="1"/>
  <c r="FJ215" i="31" s="1"/>
  <c r="FK215" i="31" s="1"/>
  <c r="FL215" i="31" s="1"/>
  <c r="FM215" i="31" s="1"/>
  <c r="FN215" i="31" s="1"/>
  <c r="FO215" i="31" s="1"/>
  <c r="FP215" i="31" s="1"/>
  <c r="FQ215" i="31" s="1"/>
  <c r="FR215" i="31" s="1"/>
  <c r="FS215" i="31" s="1"/>
  <c r="FT215" i="31" s="1"/>
  <c r="FU215" i="31" s="1"/>
  <c r="FV215" i="31" s="1"/>
  <c r="FW215" i="31" s="1"/>
  <c r="FX215" i="31" s="1"/>
  <c r="FY215" i="31" s="1"/>
  <c r="FZ215" i="31" s="1"/>
  <c r="GA215" i="31" s="1"/>
  <c r="GB215" i="31" s="1"/>
  <c r="GC215" i="31" s="1"/>
  <c r="GD215" i="31" s="1"/>
  <c r="GE215" i="31" s="1"/>
  <c r="GF215" i="31" s="1"/>
  <c r="GG215" i="31" s="1"/>
  <c r="GH215" i="31" s="1"/>
  <c r="GI215" i="31" s="1"/>
  <c r="GJ215" i="31" s="1"/>
  <c r="GK215" i="31" s="1"/>
  <c r="GL215" i="31" s="1"/>
  <c r="GM215" i="31" s="1"/>
  <c r="GN215" i="31" s="1"/>
  <c r="GO215" i="31" s="1"/>
  <c r="GP215" i="31" s="1"/>
  <c r="GQ215" i="31" s="1"/>
  <c r="GR215" i="31" s="1"/>
  <c r="GS215" i="31" s="1"/>
  <c r="GT215" i="31" s="1"/>
  <c r="GU215" i="31" s="1"/>
  <c r="GV215" i="31" s="1"/>
  <c r="GW215" i="31" s="1"/>
  <c r="GX215" i="31" s="1"/>
  <c r="GY215" i="31" s="1"/>
  <c r="GZ215" i="31" s="1"/>
  <c r="HA215" i="31" s="1"/>
  <c r="HB215" i="31" s="1"/>
  <c r="HC215" i="31" s="1"/>
  <c r="HD215" i="31" s="1"/>
  <c r="HE215" i="31" s="1"/>
  <c r="HF215" i="31" s="1"/>
  <c r="HG215" i="31" s="1"/>
  <c r="HH215" i="31" s="1"/>
  <c r="HI215" i="31" s="1"/>
  <c r="HJ215" i="31" s="1"/>
  <c r="HK215" i="31" s="1"/>
  <c r="HL215" i="31" s="1"/>
  <c r="HM215" i="31" s="1"/>
  <c r="HN215" i="31" s="1"/>
  <c r="HO215" i="31" s="1"/>
  <c r="HP215" i="31" s="1"/>
  <c r="HQ215" i="31" s="1"/>
  <c r="HR215" i="31" s="1"/>
  <c r="HS215" i="31" s="1"/>
  <c r="HT215" i="31" s="1"/>
  <c r="HU215" i="31" s="1"/>
  <c r="HV215" i="31" s="1"/>
  <c r="HW215" i="31" s="1"/>
  <c r="HX215" i="31" s="1"/>
  <c r="HY215" i="31" s="1"/>
  <c r="HZ215" i="31" s="1"/>
  <c r="IA215" i="31" s="1"/>
  <c r="IB215" i="31" s="1"/>
  <c r="IC215" i="31" s="1"/>
  <c r="ID215" i="31" s="1"/>
  <c r="IE215" i="31" s="1"/>
  <c r="IF215" i="31" s="1"/>
  <c r="IG215" i="31" s="1"/>
  <c r="IH215" i="31" s="1"/>
  <c r="II215" i="31" s="1"/>
  <c r="IJ215" i="31" s="1"/>
  <c r="IK215" i="31" s="1"/>
  <c r="IL215" i="31" s="1"/>
  <c r="IM215" i="31" s="1"/>
  <c r="IN215" i="31" s="1"/>
  <c r="IO215" i="31" s="1"/>
  <c r="IP215" i="31" s="1"/>
  <c r="IQ215" i="31" s="1"/>
  <c r="IR215" i="31" s="1"/>
  <c r="IS215" i="31" s="1"/>
  <c r="IT215" i="31" s="1"/>
  <c r="IU215" i="31" s="1"/>
  <c r="IV215" i="31" s="1"/>
  <c r="IW215" i="31" s="1"/>
  <c r="IX215" i="31" s="1"/>
  <c r="IY215" i="31" s="1"/>
  <c r="IZ215" i="31" s="1"/>
  <c r="JA215" i="31" s="1"/>
  <c r="JB215" i="31" s="1"/>
  <c r="JC215" i="31" s="1"/>
  <c r="JD215" i="31" s="1"/>
  <c r="JE215" i="31" s="1"/>
  <c r="JF215" i="31" s="1"/>
  <c r="JG215" i="31" s="1"/>
  <c r="JH215" i="31" s="1"/>
  <c r="JI215" i="31" s="1"/>
  <c r="JJ215" i="31" s="1"/>
  <c r="JK215" i="31" s="1"/>
  <c r="JL215" i="31" s="1"/>
  <c r="JM215" i="31" s="1"/>
  <c r="JN215" i="31" s="1"/>
  <c r="JO215" i="31" s="1"/>
  <c r="C209" i="31"/>
  <c r="BF94" i="33"/>
  <c r="H71" i="33"/>
  <c r="H80" i="33" s="1"/>
  <c r="K64" i="33"/>
  <c r="K71" i="33" s="1"/>
  <c r="K105" i="33" s="1"/>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AX64" i="33"/>
  <c r="AY64" i="33"/>
  <c r="AZ64" i="33"/>
  <c r="BA64" i="33"/>
  <c r="BB64" i="33"/>
  <c r="BC64" i="33"/>
  <c r="BD64" i="33"/>
  <c r="BE64" i="33"/>
  <c r="BF64" i="33"/>
  <c r="BG64" i="33"/>
  <c r="BH64" i="33"/>
  <c r="BI64" i="33"/>
  <c r="BJ64" i="33"/>
  <c r="BK64" i="33"/>
  <c r="BL64" i="33"/>
  <c r="AQ94" i="33"/>
  <c r="J48" i="33"/>
  <c r="AX94" i="33"/>
  <c r="AP94" i="33"/>
  <c r="AH94" i="33"/>
  <c r="Z94" i="33"/>
  <c r="R94" i="33"/>
  <c r="H129" i="33"/>
  <c r="K129" i="33"/>
  <c r="L129" i="33"/>
  <c r="M129" i="33"/>
  <c r="N129" i="33"/>
  <c r="O129" i="33"/>
  <c r="P129" i="33"/>
  <c r="Q129" i="33"/>
  <c r="R129" i="33"/>
  <c r="S129" i="33"/>
  <c r="T129" i="33"/>
  <c r="U129" i="33"/>
  <c r="V129" i="33"/>
  <c r="W129" i="33"/>
  <c r="X129" i="33"/>
  <c r="Y129" i="33"/>
  <c r="Z129" i="33"/>
  <c r="AA129" i="33"/>
  <c r="AB129" i="33"/>
  <c r="AC129" i="33"/>
  <c r="AD129" i="33"/>
  <c r="AL129" i="33"/>
  <c r="AM129" i="33"/>
  <c r="AN129" i="33"/>
  <c r="AO129" i="33"/>
  <c r="AQ129" i="33"/>
  <c r="AS129" i="33"/>
  <c r="AT129" i="33"/>
  <c r="AU129" i="33"/>
  <c r="AV129" i="33"/>
  <c r="BA129" i="33"/>
  <c r="BB129" i="33"/>
  <c r="BC129" i="33"/>
  <c r="BE129" i="33"/>
  <c r="BI129" i="33"/>
  <c r="BJ129" i="33"/>
  <c r="BK129" i="33"/>
  <c r="BG93" i="33"/>
  <c r="AY93" i="33"/>
  <c r="AQ93" i="33"/>
  <c r="AI93" i="33"/>
  <c r="AA93" i="33"/>
  <c r="S93" i="33"/>
  <c r="J77" i="33"/>
  <c r="BE94" i="33"/>
  <c r="AW94" i="33"/>
  <c r="AO94" i="33"/>
  <c r="AG94" i="33"/>
  <c r="Y94" i="33"/>
  <c r="Q94" i="33"/>
  <c r="BF93" i="33"/>
  <c r="AX93" i="33"/>
  <c r="AP93" i="33"/>
  <c r="AH93" i="33"/>
  <c r="Z93" i="33"/>
  <c r="R93" i="33"/>
  <c r="H128" i="33"/>
  <c r="L128" i="33"/>
  <c r="M128" i="33"/>
  <c r="AB128" i="33"/>
  <c r="AC128" i="33"/>
  <c r="AD128" i="33"/>
  <c r="AE128" i="33"/>
  <c r="AJ128" i="33"/>
  <c r="AK128" i="33"/>
  <c r="AL128" i="33"/>
  <c r="AR128" i="33"/>
  <c r="AS128" i="33"/>
  <c r="AU128" i="33"/>
  <c r="AZ128" i="33"/>
  <c r="BA128" i="33"/>
  <c r="BC128" i="33"/>
  <c r="BH128" i="33"/>
  <c r="BI128" i="33"/>
  <c r="BJ128" i="33"/>
  <c r="AA94" i="33"/>
  <c r="AZ93" i="33"/>
  <c r="T93" i="33"/>
  <c r="AV94" i="33"/>
  <c r="AF94" i="33"/>
  <c r="BE93" i="33"/>
  <c r="AW93" i="33"/>
  <c r="AO93" i="33"/>
  <c r="AG93" i="33"/>
  <c r="Y93" i="33"/>
  <c r="Q93" i="33"/>
  <c r="J68" i="33"/>
  <c r="AY94" i="33"/>
  <c r="BH93" i="33"/>
  <c r="AB93" i="33"/>
  <c r="AN94" i="33"/>
  <c r="H86" i="33"/>
  <c r="H95" i="33" s="1"/>
  <c r="H104" i="33" s="1"/>
  <c r="H113" i="33" s="1"/>
  <c r="H123" i="33" s="1"/>
  <c r="K79" i="33"/>
  <c r="K86" i="33" s="1"/>
  <c r="L79" i="33"/>
  <c r="L86" i="33" s="1"/>
  <c r="M79" i="33"/>
  <c r="M86" i="33" s="1"/>
  <c r="N79" i="33"/>
  <c r="N86" i="33" s="1"/>
  <c r="O79" i="33"/>
  <c r="O86" i="33" s="1"/>
  <c r="P79" i="33"/>
  <c r="P86" i="33" s="1"/>
  <c r="Q79" i="33"/>
  <c r="Q86" i="33" s="1"/>
  <c r="R79" i="33"/>
  <c r="R86" i="33" s="1"/>
  <c r="S79" i="33"/>
  <c r="S86" i="33" s="1"/>
  <c r="T79" i="33"/>
  <c r="T86" i="33" s="1"/>
  <c r="U79" i="33"/>
  <c r="U86" i="33" s="1"/>
  <c r="V79" i="33"/>
  <c r="V86" i="33" s="1"/>
  <c r="W79" i="33"/>
  <c r="W86" i="33" s="1"/>
  <c r="X79" i="33"/>
  <c r="X86" i="33" s="1"/>
  <c r="Y79" i="33"/>
  <c r="Y86" i="33" s="1"/>
  <c r="Z79" i="33"/>
  <c r="Z86" i="33" s="1"/>
  <c r="AA79" i="33"/>
  <c r="AA86" i="33" s="1"/>
  <c r="AB79" i="33"/>
  <c r="AB86" i="33" s="1"/>
  <c r="AC79" i="33"/>
  <c r="AC86" i="33" s="1"/>
  <c r="AD79" i="33"/>
  <c r="AD86" i="33" s="1"/>
  <c r="AE79" i="33"/>
  <c r="AE86" i="33" s="1"/>
  <c r="AF79" i="33"/>
  <c r="AF86" i="33" s="1"/>
  <c r="AG79" i="33"/>
  <c r="AG86" i="33" s="1"/>
  <c r="AH79" i="33"/>
  <c r="AH86" i="33" s="1"/>
  <c r="AI79" i="33"/>
  <c r="AI86" i="33" s="1"/>
  <c r="AJ79" i="33"/>
  <c r="AJ86" i="33" s="1"/>
  <c r="AK79" i="33"/>
  <c r="AK86" i="33" s="1"/>
  <c r="AL79" i="33"/>
  <c r="AL86" i="33" s="1"/>
  <c r="AM79" i="33"/>
  <c r="AM86" i="33" s="1"/>
  <c r="AN79" i="33"/>
  <c r="AN86" i="33" s="1"/>
  <c r="AO79" i="33"/>
  <c r="AO86" i="33" s="1"/>
  <c r="AP79" i="33"/>
  <c r="AP86" i="33" s="1"/>
  <c r="AQ79" i="33"/>
  <c r="AQ86" i="33" s="1"/>
  <c r="AR79" i="33"/>
  <c r="AR86" i="33" s="1"/>
  <c r="AS79" i="33"/>
  <c r="AS86" i="33" s="1"/>
  <c r="AT79" i="33"/>
  <c r="AT86" i="33" s="1"/>
  <c r="AU79" i="33"/>
  <c r="AU86" i="33" s="1"/>
  <c r="AV79" i="33"/>
  <c r="AV86" i="33" s="1"/>
  <c r="AW79" i="33"/>
  <c r="AW86" i="33" s="1"/>
  <c r="AX79" i="33"/>
  <c r="AX86" i="33" s="1"/>
  <c r="AY79" i="33"/>
  <c r="AY86" i="33" s="1"/>
  <c r="AZ79" i="33"/>
  <c r="AZ86" i="33" s="1"/>
  <c r="BA79" i="33"/>
  <c r="BA86" i="33" s="1"/>
  <c r="BB79" i="33"/>
  <c r="BB86" i="33" s="1"/>
  <c r="BC79" i="33"/>
  <c r="BC86" i="33" s="1"/>
  <c r="BD79" i="33"/>
  <c r="BD86" i="33" s="1"/>
  <c r="BE79" i="33"/>
  <c r="BE86" i="33" s="1"/>
  <c r="BF79" i="33"/>
  <c r="BF86" i="33" s="1"/>
  <c r="BG79" i="33"/>
  <c r="BG86" i="33" s="1"/>
  <c r="BH79" i="33"/>
  <c r="BH86" i="33" s="1"/>
  <c r="BI79" i="33"/>
  <c r="BI86" i="33" s="1"/>
  <c r="BJ79" i="33"/>
  <c r="BJ86" i="33" s="1"/>
  <c r="BK79" i="33"/>
  <c r="BK86" i="33" s="1"/>
  <c r="BL79" i="33"/>
  <c r="BL86" i="33" s="1"/>
  <c r="W94" i="33"/>
  <c r="AF93" i="33"/>
  <c r="J70" i="33"/>
  <c r="J63" i="33"/>
  <c r="BC94" i="33"/>
  <c r="AE94" i="33"/>
  <c r="BD93" i="33"/>
  <c r="X93" i="33"/>
  <c r="BJ94" i="33"/>
  <c r="AL94" i="33"/>
  <c r="V94" i="33"/>
  <c r="BK93" i="33"/>
  <c r="AU93" i="33"/>
  <c r="AE93" i="33"/>
  <c r="O93" i="33"/>
  <c r="BG94" i="33"/>
  <c r="S94" i="33"/>
  <c r="AR93" i="33"/>
  <c r="L93" i="33"/>
  <c r="BD94" i="33"/>
  <c r="P94" i="33"/>
  <c r="BK94" i="33"/>
  <c r="AM94" i="33"/>
  <c r="BL93" i="33"/>
  <c r="AN93" i="33"/>
  <c r="AT94" i="33"/>
  <c r="AD94" i="33"/>
  <c r="N94" i="33"/>
  <c r="BC93" i="33"/>
  <c r="AM93" i="33"/>
  <c r="W93" i="33"/>
  <c r="BI94" i="33"/>
  <c r="BA94" i="33"/>
  <c r="AS94" i="33"/>
  <c r="AK94" i="33"/>
  <c r="AC94" i="33"/>
  <c r="U94" i="33"/>
  <c r="M94" i="33"/>
  <c r="BJ93" i="33"/>
  <c r="BB93" i="33"/>
  <c r="AT93" i="33"/>
  <c r="AL93" i="33"/>
  <c r="AD93" i="33"/>
  <c r="V93" i="33"/>
  <c r="N93" i="33"/>
  <c r="AI94" i="33"/>
  <c r="J78" i="33"/>
  <c r="AJ93" i="33"/>
  <c r="BL94" i="33"/>
  <c r="X94" i="33"/>
  <c r="AU94" i="33"/>
  <c r="O94" i="33"/>
  <c r="AV93" i="33"/>
  <c r="P93" i="33"/>
  <c r="BB94" i="33"/>
  <c r="BH94" i="33"/>
  <c r="AZ94" i="33"/>
  <c r="AR94" i="33"/>
  <c r="AJ94" i="33"/>
  <c r="AB94" i="33"/>
  <c r="T94" i="33"/>
  <c r="L94" i="33"/>
  <c r="BI93" i="33"/>
  <c r="BA93" i="33"/>
  <c r="AS93" i="33"/>
  <c r="AK93" i="33"/>
  <c r="AC93" i="33"/>
  <c r="U93" i="33"/>
  <c r="M93" i="33"/>
  <c r="J39" i="33"/>
  <c r="K41" i="33"/>
  <c r="D18" i="19" s="1"/>
  <c r="G24" i="31"/>
  <c r="F23" i="31"/>
  <c r="F331" i="31" s="1"/>
  <c r="E22" i="17"/>
  <c r="I68" i="1"/>
  <c r="C24" i="19"/>
  <c r="C45" i="20"/>
  <c r="F4" i="17"/>
  <c r="G1" i="17"/>
  <c r="F18" i="17"/>
  <c r="F19" i="17"/>
  <c r="F20" i="17"/>
  <c r="F21" i="17"/>
  <c r="F22" i="17"/>
  <c r="F84" i="1"/>
  <c r="H69" i="1"/>
  <c r="K123" i="33" l="1"/>
  <c r="L123" i="33"/>
  <c r="M123" i="33"/>
  <c r="N123" i="33"/>
  <c r="O123" i="33"/>
  <c r="O130" i="33" s="1"/>
  <c r="P123" i="33"/>
  <c r="P130" i="33" s="1"/>
  <c r="Q123" i="33"/>
  <c r="Q130" i="33" s="1"/>
  <c r="R123" i="33"/>
  <c r="R130" i="33" s="1"/>
  <c r="S123" i="33"/>
  <c r="T123" i="33"/>
  <c r="U123" i="33"/>
  <c r="V123" i="33"/>
  <c r="W123" i="33"/>
  <c r="W130" i="33" s="1"/>
  <c r="X123" i="33"/>
  <c r="X130" i="33" s="1"/>
  <c r="Y123" i="33"/>
  <c r="Y130" i="33" s="1"/>
  <c r="Z123" i="33"/>
  <c r="Z130" i="33" s="1"/>
  <c r="AA123" i="33"/>
  <c r="AB123" i="33"/>
  <c r="AC123" i="33"/>
  <c r="AD123" i="33"/>
  <c r="AE123" i="33"/>
  <c r="AE130" i="33" s="1"/>
  <c r="AF123" i="33"/>
  <c r="AF130" i="33" s="1"/>
  <c r="AG123" i="33"/>
  <c r="AG130" i="33" s="1"/>
  <c r="AH123" i="33"/>
  <c r="AH130" i="33" s="1"/>
  <c r="AI123" i="33"/>
  <c r="AJ123" i="33"/>
  <c r="AK123" i="33"/>
  <c r="AL123" i="33"/>
  <c r="AM123" i="33"/>
  <c r="AM130" i="33" s="1"/>
  <c r="AN123" i="33"/>
  <c r="AN130" i="33" s="1"/>
  <c r="AO123" i="33"/>
  <c r="AO130" i="33" s="1"/>
  <c r="AP123" i="33"/>
  <c r="AP130" i="33" s="1"/>
  <c r="AQ123" i="33"/>
  <c r="AQ130" i="33" s="1"/>
  <c r="AR123" i="33"/>
  <c r="AR130" i="33" s="1"/>
  <c r="AS123" i="33"/>
  <c r="AS130" i="33" s="1"/>
  <c r="AT123" i="33"/>
  <c r="AT130" i="33" s="1"/>
  <c r="AU123" i="33"/>
  <c r="AV123" i="33"/>
  <c r="AW123" i="33"/>
  <c r="AW130" i="33" s="1"/>
  <c r="AX123" i="33"/>
  <c r="AY123" i="33"/>
  <c r="AZ123" i="33"/>
  <c r="BA123" i="33"/>
  <c r="BB123" i="33"/>
  <c r="BC123" i="33"/>
  <c r="BD123" i="33"/>
  <c r="BD130" i="33" s="1"/>
  <c r="BE123" i="33"/>
  <c r="BE130" i="33" s="1"/>
  <c r="BF123" i="33"/>
  <c r="BF130" i="33" s="1"/>
  <c r="BG123" i="33"/>
  <c r="BH123" i="33"/>
  <c r="BI123" i="33"/>
  <c r="BJ123" i="33"/>
  <c r="BK123" i="33"/>
  <c r="BL123" i="33"/>
  <c r="AK20" i="19"/>
  <c r="AP18" i="19"/>
  <c r="Y18" i="19"/>
  <c r="AS20" i="19"/>
  <c r="Q20" i="19"/>
  <c r="R20" i="19"/>
  <c r="AI20" i="19"/>
  <c r="N18" i="41"/>
  <c r="N117" i="41" s="1"/>
  <c r="E18" i="41"/>
  <c r="E117" i="41" s="1"/>
  <c r="B17" i="19"/>
  <c r="C6" i="26" s="1"/>
  <c r="F18" i="41"/>
  <c r="F117" i="41" s="1"/>
  <c r="AC20" i="19"/>
  <c r="S20" i="19"/>
  <c r="T20" i="19"/>
  <c r="Z18" i="19"/>
  <c r="AC18" i="19"/>
  <c r="W20" i="19"/>
  <c r="F20" i="41"/>
  <c r="AA20" i="19"/>
  <c r="AB20" i="19"/>
  <c r="BA18" i="19"/>
  <c r="BM18" i="19"/>
  <c r="AX18" i="19"/>
  <c r="BJ18" i="19"/>
  <c r="Q18" i="19"/>
  <c r="BD18" i="19"/>
  <c r="BP18" i="19"/>
  <c r="V18" i="19"/>
  <c r="AD20" i="19"/>
  <c r="AM20" i="19"/>
  <c r="AF20" i="19"/>
  <c r="Y20" i="19"/>
  <c r="Z20" i="19"/>
  <c r="AQ20" i="19"/>
  <c r="AR20" i="19"/>
  <c r="BC18" i="19"/>
  <c r="BO18" i="19"/>
  <c r="S18" i="19"/>
  <c r="AD18" i="19"/>
  <c r="AG18" i="19"/>
  <c r="AZ18" i="19"/>
  <c r="BL18" i="19"/>
  <c r="AR18" i="19"/>
  <c r="Q18" i="41" s="1"/>
  <c r="Q117" i="41" s="1"/>
  <c r="AO18" i="19"/>
  <c r="BA20" i="19"/>
  <c r="BM20" i="19"/>
  <c r="AY18" i="19"/>
  <c r="BK18" i="19"/>
  <c r="AJ20" i="19"/>
  <c r="K114" i="33"/>
  <c r="AL20" i="19"/>
  <c r="AU20" i="19"/>
  <c r="BG20" i="19"/>
  <c r="AN20" i="19"/>
  <c r="AH20" i="19"/>
  <c r="AY20" i="19"/>
  <c r="BK20" i="19"/>
  <c r="AZ20" i="19"/>
  <c r="BL20" i="19"/>
  <c r="AU18" i="19"/>
  <c r="BG18" i="19"/>
  <c r="AW18" i="19"/>
  <c r="BI18" i="19"/>
  <c r="G18" i="41"/>
  <c r="G117" i="41" s="1"/>
  <c r="X20" i="19"/>
  <c r="AT20" i="19"/>
  <c r="BF20" i="19"/>
  <c r="BC20" i="19"/>
  <c r="BO20" i="19"/>
  <c r="AV20" i="19"/>
  <c r="BH20" i="19"/>
  <c r="AO20" i="19"/>
  <c r="AP20" i="19"/>
  <c r="U20" i="19"/>
  <c r="AT18" i="19"/>
  <c r="BF18" i="19"/>
  <c r="BE18" i="19"/>
  <c r="BQ18" i="19"/>
  <c r="U18" i="19"/>
  <c r="AF18" i="19"/>
  <c r="M18" i="41" s="1"/>
  <c r="M117" i="41" s="1"/>
  <c r="X18" i="19"/>
  <c r="P18" i="19"/>
  <c r="BE20" i="19"/>
  <c r="BQ20" i="19"/>
  <c r="AV18" i="19"/>
  <c r="BH18" i="19"/>
  <c r="G49" i="17"/>
  <c r="BB20" i="19"/>
  <c r="BN20" i="19"/>
  <c r="BD20" i="19"/>
  <c r="BP20" i="19"/>
  <c r="AW20" i="19"/>
  <c r="BI20" i="19"/>
  <c r="AX20" i="19"/>
  <c r="BJ20" i="19"/>
  <c r="BB18" i="19"/>
  <c r="BN18" i="19"/>
  <c r="AA18" i="19"/>
  <c r="AL18" i="19"/>
  <c r="O18" i="41" s="1"/>
  <c r="O117" i="41" s="1"/>
  <c r="AN18" i="19"/>
  <c r="D18" i="41"/>
  <c r="D117" i="41" s="1"/>
  <c r="E20" i="41"/>
  <c r="G20" i="41"/>
  <c r="G58" i="17"/>
  <c r="G50" i="17"/>
  <c r="G59" i="17"/>
  <c r="G55" i="17"/>
  <c r="G46" i="17"/>
  <c r="G56" i="17"/>
  <c r="G47" i="17"/>
  <c r="G48" i="17"/>
  <c r="G57" i="17"/>
  <c r="J55" i="33"/>
  <c r="BH71" i="33"/>
  <c r="BH105" i="33" s="1"/>
  <c r="AJ71" i="33"/>
  <c r="AJ105" i="33" s="1"/>
  <c r="T71" i="33"/>
  <c r="T105" i="33" s="1"/>
  <c r="L71" i="33"/>
  <c r="L105" i="33" s="1"/>
  <c r="BG71" i="33"/>
  <c r="BG105" i="33" s="1"/>
  <c r="AY71" i="33"/>
  <c r="AY105" i="33" s="1"/>
  <c r="AQ71" i="33"/>
  <c r="AQ105" i="33" s="1"/>
  <c r="AI71" i="33"/>
  <c r="AI105" i="33" s="1"/>
  <c r="AA71" i="33"/>
  <c r="AA105" i="33" s="1"/>
  <c r="S71" i="33"/>
  <c r="S105" i="33" s="1"/>
  <c r="BF71" i="33"/>
  <c r="BF105" i="33" s="1"/>
  <c r="AB71" i="33"/>
  <c r="AB105" i="33" s="1"/>
  <c r="R71" i="33"/>
  <c r="R105" i="33" s="1"/>
  <c r="BE71" i="33"/>
  <c r="BE105" i="33" s="1"/>
  <c r="AW71" i="33"/>
  <c r="AW105" i="33" s="1"/>
  <c r="AO71" i="33"/>
  <c r="AO105" i="33" s="1"/>
  <c r="AG71" i="33"/>
  <c r="AG105" i="33" s="1"/>
  <c r="Y71" i="33"/>
  <c r="Y105" i="33" s="1"/>
  <c r="Q71" i="33"/>
  <c r="Q105" i="33" s="1"/>
  <c r="AR71" i="33"/>
  <c r="AR105" i="33" s="1"/>
  <c r="AX71" i="33"/>
  <c r="AX105" i="33" s="1"/>
  <c r="BL71" i="33"/>
  <c r="BL105" i="33" s="1"/>
  <c r="BD71" i="33"/>
  <c r="BD105" i="33" s="1"/>
  <c r="AV71" i="33"/>
  <c r="AV105" i="33" s="1"/>
  <c r="AN71" i="33"/>
  <c r="AN105" i="33" s="1"/>
  <c r="AF71" i="33"/>
  <c r="AF105" i="33" s="1"/>
  <c r="X71" i="33"/>
  <c r="X105" i="33" s="1"/>
  <c r="P71" i="33"/>
  <c r="P105" i="33" s="1"/>
  <c r="AP71" i="33"/>
  <c r="AP105" i="33" s="1"/>
  <c r="BK71" i="33"/>
  <c r="BK105" i="33" s="1"/>
  <c r="BC71" i="33"/>
  <c r="BC105" i="33" s="1"/>
  <c r="AU71" i="33"/>
  <c r="AU105" i="33" s="1"/>
  <c r="AM71" i="33"/>
  <c r="AM105" i="33" s="1"/>
  <c r="AE71" i="33"/>
  <c r="AE105" i="33" s="1"/>
  <c r="W71" i="33"/>
  <c r="W105" i="33" s="1"/>
  <c r="O71" i="33"/>
  <c r="O105" i="33" s="1"/>
  <c r="AZ71" i="33"/>
  <c r="AZ105" i="33" s="1"/>
  <c r="AH71" i="33"/>
  <c r="AH105" i="33" s="1"/>
  <c r="BJ71" i="33"/>
  <c r="BJ105" i="33" s="1"/>
  <c r="BB71" i="33"/>
  <c r="BB105" i="33" s="1"/>
  <c r="AT71" i="33"/>
  <c r="AT105" i="33" s="1"/>
  <c r="AL71" i="33"/>
  <c r="AL105" i="33" s="1"/>
  <c r="AD71" i="33"/>
  <c r="AD105" i="33" s="1"/>
  <c r="V71" i="33"/>
  <c r="V105" i="33" s="1"/>
  <c r="N71" i="33"/>
  <c r="N105" i="33" s="1"/>
  <c r="Z71" i="33"/>
  <c r="Z105" i="33" s="1"/>
  <c r="BI71" i="33"/>
  <c r="BI105" i="33" s="1"/>
  <c r="BA71" i="33"/>
  <c r="BA105" i="33" s="1"/>
  <c r="AS71" i="33"/>
  <c r="AS105" i="33" s="1"/>
  <c r="AK71" i="33"/>
  <c r="AK105" i="33" s="1"/>
  <c r="AC71" i="33"/>
  <c r="AC105" i="33" s="1"/>
  <c r="U71" i="33"/>
  <c r="U105" i="33" s="1"/>
  <c r="M71" i="33"/>
  <c r="M105" i="33" s="1"/>
  <c r="E23" i="17"/>
  <c r="K57" i="33"/>
  <c r="D20" i="19" s="1"/>
  <c r="D279" i="31"/>
  <c r="E279" i="31" s="1"/>
  <c r="F279" i="31" s="1"/>
  <c r="G279" i="31" s="1"/>
  <c r="H279" i="31" s="1"/>
  <c r="I279" i="31" s="1"/>
  <c r="J279" i="31" s="1"/>
  <c r="K279" i="31" s="1"/>
  <c r="L279" i="31" s="1"/>
  <c r="M279" i="31" s="1"/>
  <c r="N279" i="31" s="1"/>
  <c r="O279" i="31" s="1"/>
  <c r="P279" i="31" s="1"/>
  <c r="Q279" i="31" s="1"/>
  <c r="R279" i="31" s="1"/>
  <c r="S279" i="31" s="1"/>
  <c r="T279" i="31" s="1"/>
  <c r="U279" i="31" s="1"/>
  <c r="V279" i="31" s="1"/>
  <c r="W279" i="31" s="1"/>
  <c r="X279" i="31" s="1"/>
  <c r="Y279" i="31" s="1"/>
  <c r="Z279" i="31" s="1"/>
  <c r="AA279" i="31" s="1"/>
  <c r="AB279" i="31" s="1"/>
  <c r="AC279" i="31" s="1"/>
  <c r="AD279" i="31" s="1"/>
  <c r="AE279" i="31" s="1"/>
  <c r="AF279" i="31" s="1"/>
  <c r="AG279" i="31" s="1"/>
  <c r="AH279" i="31" s="1"/>
  <c r="AI279" i="31" s="1"/>
  <c r="AJ279" i="31" s="1"/>
  <c r="AK279" i="31" s="1"/>
  <c r="AL279" i="31" s="1"/>
  <c r="AM279" i="31" s="1"/>
  <c r="AN279" i="31" s="1"/>
  <c r="AO279" i="31" s="1"/>
  <c r="AP279" i="31" s="1"/>
  <c r="AQ279" i="31" s="1"/>
  <c r="AR279" i="31" s="1"/>
  <c r="AS279" i="31" s="1"/>
  <c r="AT279" i="31" s="1"/>
  <c r="AU279" i="31" s="1"/>
  <c r="AV279" i="31" s="1"/>
  <c r="AW279" i="31" s="1"/>
  <c r="AX279" i="31" s="1"/>
  <c r="AY279" i="31" s="1"/>
  <c r="AZ279" i="31" s="1"/>
  <c r="BA279" i="31" s="1"/>
  <c r="BB279" i="31" s="1"/>
  <c r="BC279" i="31" s="1"/>
  <c r="BD279" i="31" s="1"/>
  <c r="BE279" i="31" s="1"/>
  <c r="BF279" i="31" s="1"/>
  <c r="BG279" i="31" s="1"/>
  <c r="BH279" i="31" s="1"/>
  <c r="BI279" i="31" s="1"/>
  <c r="BJ279" i="31" s="1"/>
  <c r="BK279" i="31" s="1"/>
  <c r="BL279" i="31" s="1"/>
  <c r="BM279" i="31" s="1"/>
  <c r="BN279" i="31" s="1"/>
  <c r="BO279" i="31" s="1"/>
  <c r="BP279" i="31" s="1"/>
  <c r="BQ279" i="31" s="1"/>
  <c r="BR279" i="31" s="1"/>
  <c r="BS279" i="31" s="1"/>
  <c r="BT279" i="31" s="1"/>
  <c r="BU279" i="31" s="1"/>
  <c r="BV279" i="31" s="1"/>
  <c r="BW279" i="31" s="1"/>
  <c r="BX279" i="31" s="1"/>
  <c r="BY279" i="31" s="1"/>
  <c r="BZ279" i="31" s="1"/>
  <c r="CA279" i="31" s="1"/>
  <c r="CB279" i="31" s="1"/>
  <c r="CC279" i="31" s="1"/>
  <c r="CD279" i="31" s="1"/>
  <c r="CE279" i="31" s="1"/>
  <c r="CF279" i="31" s="1"/>
  <c r="CG279" i="31" s="1"/>
  <c r="CH279" i="31" s="1"/>
  <c r="CI279" i="31" s="1"/>
  <c r="CJ279" i="31" s="1"/>
  <c r="CK279" i="31" s="1"/>
  <c r="CL279" i="31" s="1"/>
  <c r="CM279" i="31" s="1"/>
  <c r="CN279" i="31" s="1"/>
  <c r="CO279" i="31" s="1"/>
  <c r="CP279" i="31" s="1"/>
  <c r="CQ279" i="31" s="1"/>
  <c r="CR279" i="31" s="1"/>
  <c r="CS279" i="31" s="1"/>
  <c r="CT279" i="31" s="1"/>
  <c r="CU279" i="31" s="1"/>
  <c r="CV279" i="31" s="1"/>
  <c r="CW279" i="31" s="1"/>
  <c r="CX279" i="31" s="1"/>
  <c r="CY279" i="31" s="1"/>
  <c r="CZ279" i="31" s="1"/>
  <c r="DA279" i="31" s="1"/>
  <c r="DB279" i="31" s="1"/>
  <c r="DC279" i="31" s="1"/>
  <c r="DD279" i="31" s="1"/>
  <c r="DE279" i="31" s="1"/>
  <c r="DF279" i="31" s="1"/>
  <c r="DG279" i="31" s="1"/>
  <c r="DH279" i="31" s="1"/>
  <c r="DI279" i="31" s="1"/>
  <c r="DJ279" i="31" s="1"/>
  <c r="DK279" i="31" s="1"/>
  <c r="DL279" i="31" s="1"/>
  <c r="DM279" i="31" s="1"/>
  <c r="DN279" i="31" s="1"/>
  <c r="DO279" i="31" s="1"/>
  <c r="DP279" i="31" s="1"/>
  <c r="DQ279" i="31" s="1"/>
  <c r="DR279" i="31" s="1"/>
  <c r="DS279" i="31" s="1"/>
  <c r="DT279" i="31" s="1"/>
  <c r="DU279" i="31" s="1"/>
  <c r="DV279" i="31" s="1"/>
  <c r="DW279" i="31" s="1"/>
  <c r="DX279" i="31" s="1"/>
  <c r="DY279" i="31" s="1"/>
  <c r="DZ279" i="31" s="1"/>
  <c r="EA279" i="31" s="1"/>
  <c r="EB279" i="31" s="1"/>
  <c r="EC279" i="31" s="1"/>
  <c r="ED279" i="31" s="1"/>
  <c r="EE279" i="31" s="1"/>
  <c r="EF279" i="31" s="1"/>
  <c r="EG279" i="31" s="1"/>
  <c r="EH279" i="31" s="1"/>
  <c r="EI279" i="31" s="1"/>
  <c r="EJ279" i="31" s="1"/>
  <c r="EK279" i="31" s="1"/>
  <c r="EL279" i="31" s="1"/>
  <c r="EM279" i="31" s="1"/>
  <c r="EN279" i="31" s="1"/>
  <c r="EO279" i="31" s="1"/>
  <c r="EP279" i="31" s="1"/>
  <c r="EQ279" i="31" s="1"/>
  <c r="ER279" i="31" s="1"/>
  <c r="ES279" i="31" s="1"/>
  <c r="ET279" i="31" s="1"/>
  <c r="EU279" i="31" s="1"/>
  <c r="EV279" i="31" s="1"/>
  <c r="EW279" i="31" s="1"/>
  <c r="EX279" i="31" s="1"/>
  <c r="EY279" i="31" s="1"/>
  <c r="EZ279" i="31" s="1"/>
  <c r="FA279" i="31" s="1"/>
  <c r="FB279" i="31" s="1"/>
  <c r="FC279" i="31" s="1"/>
  <c r="FD279" i="31" s="1"/>
  <c r="FE279" i="31" s="1"/>
  <c r="FF279" i="31" s="1"/>
  <c r="FG279" i="31" s="1"/>
  <c r="FH279" i="31" s="1"/>
  <c r="FI279" i="31" s="1"/>
  <c r="FJ279" i="31" s="1"/>
  <c r="FK279" i="31" s="1"/>
  <c r="FL279" i="31" s="1"/>
  <c r="FM279" i="31" s="1"/>
  <c r="FN279" i="31" s="1"/>
  <c r="FO279" i="31" s="1"/>
  <c r="FP279" i="31" s="1"/>
  <c r="FQ279" i="31" s="1"/>
  <c r="FR279" i="31" s="1"/>
  <c r="FS279" i="31" s="1"/>
  <c r="FT279" i="31" s="1"/>
  <c r="FU279" i="31" s="1"/>
  <c r="FV279" i="31" s="1"/>
  <c r="FW279" i="31" s="1"/>
  <c r="FX279" i="31" s="1"/>
  <c r="FY279" i="31" s="1"/>
  <c r="FZ279" i="31" s="1"/>
  <c r="GA279" i="31" s="1"/>
  <c r="GB279" i="31" s="1"/>
  <c r="GC279" i="31" s="1"/>
  <c r="GD279" i="31" s="1"/>
  <c r="GE279" i="31" s="1"/>
  <c r="GF279" i="31" s="1"/>
  <c r="GG279" i="31" s="1"/>
  <c r="GH279" i="31" s="1"/>
  <c r="GI279" i="31" s="1"/>
  <c r="GJ279" i="31" s="1"/>
  <c r="GK279" i="31" s="1"/>
  <c r="GL279" i="31" s="1"/>
  <c r="GM279" i="31" s="1"/>
  <c r="GN279" i="31" s="1"/>
  <c r="GO279" i="31" s="1"/>
  <c r="GP279" i="31" s="1"/>
  <c r="GQ279" i="31" s="1"/>
  <c r="GR279" i="31" s="1"/>
  <c r="GS279" i="31" s="1"/>
  <c r="GT279" i="31" s="1"/>
  <c r="GU279" i="31" s="1"/>
  <c r="GV279" i="31" s="1"/>
  <c r="GW279" i="31" s="1"/>
  <c r="GX279" i="31" s="1"/>
  <c r="GY279" i="31" s="1"/>
  <c r="GZ279" i="31" s="1"/>
  <c r="HA279" i="31" s="1"/>
  <c r="HB279" i="31" s="1"/>
  <c r="HC279" i="31" s="1"/>
  <c r="HD279" i="31" s="1"/>
  <c r="HE279" i="31" s="1"/>
  <c r="HF279" i="31" s="1"/>
  <c r="HG279" i="31" s="1"/>
  <c r="HH279" i="31" s="1"/>
  <c r="HI279" i="31" s="1"/>
  <c r="HJ279" i="31" s="1"/>
  <c r="HK279" i="31" s="1"/>
  <c r="HL279" i="31" s="1"/>
  <c r="HM279" i="31" s="1"/>
  <c r="HN279" i="31" s="1"/>
  <c r="HO279" i="31" s="1"/>
  <c r="HP279" i="31" s="1"/>
  <c r="HQ279" i="31" s="1"/>
  <c r="HR279" i="31" s="1"/>
  <c r="HS279" i="31" s="1"/>
  <c r="HT279" i="31" s="1"/>
  <c r="HU279" i="31" s="1"/>
  <c r="HV279" i="31" s="1"/>
  <c r="HW279" i="31" s="1"/>
  <c r="HX279" i="31" s="1"/>
  <c r="HY279" i="31" s="1"/>
  <c r="HZ279" i="31" s="1"/>
  <c r="IA279" i="31" s="1"/>
  <c r="IB279" i="31" s="1"/>
  <c r="IC279" i="31" s="1"/>
  <c r="ID279" i="31" s="1"/>
  <c r="IE279" i="31" s="1"/>
  <c r="IF279" i="31" s="1"/>
  <c r="IG279" i="31" s="1"/>
  <c r="IH279" i="31" s="1"/>
  <c r="II279" i="31" s="1"/>
  <c r="IJ279" i="31" s="1"/>
  <c r="IK279" i="31" s="1"/>
  <c r="IL279" i="31" s="1"/>
  <c r="IM279" i="31" s="1"/>
  <c r="IN279" i="31" s="1"/>
  <c r="IO279" i="31" s="1"/>
  <c r="IP279" i="31" s="1"/>
  <c r="IQ279" i="31" s="1"/>
  <c r="IR279" i="31" s="1"/>
  <c r="IS279" i="31" s="1"/>
  <c r="IT279" i="31" s="1"/>
  <c r="IU279" i="31" s="1"/>
  <c r="IV279" i="31" s="1"/>
  <c r="IW279" i="31" s="1"/>
  <c r="IX279" i="31" s="1"/>
  <c r="IY279" i="31" s="1"/>
  <c r="IZ279" i="31" s="1"/>
  <c r="JA279" i="31" s="1"/>
  <c r="JB279" i="31" s="1"/>
  <c r="JC279" i="31" s="1"/>
  <c r="JD279" i="31" s="1"/>
  <c r="JE279" i="31" s="1"/>
  <c r="JF279" i="31" s="1"/>
  <c r="JG279" i="31" s="1"/>
  <c r="JH279" i="31" s="1"/>
  <c r="JI279" i="31" s="1"/>
  <c r="C332" i="31"/>
  <c r="BB95" i="33"/>
  <c r="AS95" i="33"/>
  <c r="U95" i="33"/>
  <c r="BJ95" i="33"/>
  <c r="AD95" i="33"/>
  <c r="BI95" i="33"/>
  <c r="BA95" i="33"/>
  <c r="AK95" i="33"/>
  <c r="AC95" i="33"/>
  <c r="M95" i="33"/>
  <c r="BH95" i="33"/>
  <c r="AZ95" i="33"/>
  <c r="AR95" i="33"/>
  <c r="AJ95" i="33"/>
  <c r="AB95" i="33"/>
  <c r="T95" i="33"/>
  <c r="L95" i="33"/>
  <c r="BG95" i="33"/>
  <c r="AY95" i="33"/>
  <c r="AQ95" i="33"/>
  <c r="AI95" i="33"/>
  <c r="AA95" i="33"/>
  <c r="S95" i="33"/>
  <c r="J79" i="33"/>
  <c r="AL95" i="33"/>
  <c r="K94" i="33"/>
  <c r="J85" i="33"/>
  <c r="H34" i="26" s="1"/>
  <c r="BF95" i="33"/>
  <c r="AX95" i="33"/>
  <c r="AP95" i="33"/>
  <c r="AH95" i="33"/>
  <c r="Z95" i="33"/>
  <c r="R95" i="33"/>
  <c r="H130" i="33"/>
  <c r="K130" i="33"/>
  <c r="L130" i="33"/>
  <c r="M130" i="33"/>
  <c r="N130" i="33"/>
  <c r="S130" i="33"/>
  <c r="T130" i="33"/>
  <c r="U130" i="33"/>
  <c r="V130" i="33"/>
  <c r="AA130" i="33"/>
  <c r="AB130" i="33"/>
  <c r="AC130" i="33"/>
  <c r="AD130" i="33"/>
  <c r="AI130" i="33"/>
  <c r="AJ130" i="33"/>
  <c r="AK130" i="33"/>
  <c r="AL130" i="33"/>
  <c r="AU130" i="33"/>
  <c r="AV130" i="33"/>
  <c r="BG130" i="33"/>
  <c r="BH130" i="33"/>
  <c r="BI130" i="33"/>
  <c r="BJ130" i="33"/>
  <c r="BK130" i="33"/>
  <c r="BL130" i="33"/>
  <c r="N95" i="33"/>
  <c r="BE95" i="33"/>
  <c r="AW95" i="33"/>
  <c r="AO95" i="33"/>
  <c r="AG95" i="33"/>
  <c r="Y95" i="33"/>
  <c r="Q95" i="33"/>
  <c r="J64" i="33"/>
  <c r="V95" i="33"/>
  <c r="BL95" i="33"/>
  <c r="BD95" i="33"/>
  <c r="AV95" i="33"/>
  <c r="AN95" i="33"/>
  <c r="AF95" i="33"/>
  <c r="X95" i="33"/>
  <c r="P95" i="33"/>
  <c r="J121" i="33"/>
  <c r="J128" i="33"/>
  <c r="H87" i="33"/>
  <c r="H96" i="33" s="1"/>
  <c r="H105" i="33" s="1"/>
  <c r="H114" i="33" s="1"/>
  <c r="H124" i="33" s="1"/>
  <c r="K80" i="33"/>
  <c r="K87" i="33" s="1"/>
  <c r="L80" i="33"/>
  <c r="L87" i="33" s="1"/>
  <c r="M80" i="33"/>
  <c r="M87" i="33" s="1"/>
  <c r="N80" i="33"/>
  <c r="N87" i="33" s="1"/>
  <c r="O80" i="33"/>
  <c r="O87" i="33" s="1"/>
  <c r="P80" i="33"/>
  <c r="P87" i="33" s="1"/>
  <c r="Q80" i="33"/>
  <c r="Q87" i="33" s="1"/>
  <c r="R80" i="33"/>
  <c r="R87" i="33" s="1"/>
  <c r="S80" i="33"/>
  <c r="S87" i="33" s="1"/>
  <c r="T80" i="33"/>
  <c r="T87" i="33" s="1"/>
  <c r="U80" i="33"/>
  <c r="U87" i="33" s="1"/>
  <c r="V80" i="33"/>
  <c r="V87" i="33" s="1"/>
  <c r="W80" i="33"/>
  <c r="W87" i="33" s="1"/>
  <c r="X80" i="33"/>
  <c r="X87" i="33" s="1"/>
  <c r="Y80" i="33"/>
  <c r="Y87" i="33" s="1"/>
  <c r="Z80" i="33"/>
  <c r="Z87" i="33" s="1"/>
  <c r="AA80" i="33"/>
  <c r="AA87" i="33" s="1"/>
  <c r="AB80" i="33"/>
  <c r="AB87" i="33" s="1"/>
  <c r="AC80" i="33"/>
  <c r="AC87" i="33" s="1"/>
  <c r="AD80" i="33"/>
  <c r="AD87" i="33" s="1"/>
  <c r="AE80" i="33"/>
  <c r="AE87" i="33" s="1"/>
  <c r="AF80" i="33"/>
  <c r="AF87" i="33" s="1"/>
  <c r="AG80" i="33"/>
  <c r="AG87" i="33" s="1"/>
  <c r="AH80" i="33"/>
  <c r="AH87" i="33" s="1"/>
  <c r="AI80" i="33"/>
  <c r="AI87" i="33" s="1"/>
  <c r="AJ80" i="33"/>
  <c r="AJ87" i="33" s="1"/>
  <c r="AK80" i="33"/>
  <c r="AK87" i="33" s="1"/>
  <c r="AL80" i="33"/>
  <c r="AL87" i="33" s="1"/>
  <c r="AM80" i="33"/>
  <c r="AM87" i="33" s="1"/>
  <c r="AN80" i="33"/>
  <c r="AN87" i="33" s="1"/>
  <c r="AO80" i="33"/>
  <c r="AO87" i="33" s="1"/>
  <c r="AP80" i="33"/>
  <c r="AP87" i="33" s="1"/>
  <c r="AQ80" i="33"/>
  <c r="AQ87" i="33" s="1"/>
  <c r="AR80" i="33"/>
  <c r="AR87" i="33" s="1"/>
  <c r="AS80" i="33"/>
  <c r="AS87" i="33" s="1"/>
  <c r="AT80" i="33"/>
  <c r="AT87" i="33" s="1"/>
  <c r="AU80" i="33"/>
  <c r="AU87" i="33" s="1"/>
  <c r="AV80" i="33"/>
  <c r="AV87" i="33" s="1"/>
  <c r="AW80" i="33"/>
  <c r="AW87" i="33" s="1"/>
  <c r="AX80" i="33"/>
  <c r="AX87" i="33" s="1"/>
  <c r="AY80" i="33"/>
  <c r="AY87" i="33" s="1"/>
  <c r="AZ80" i="33"/>
  <c r="AZ87" i="33" s="1"/>
  <c r="BA80" i="33"/>
  <c r="BA87" i="33" s="1"/>
  <c r="BB80" i="33"/>
  <c r="BB87" i="33" s="1"/>
  <c r="BC80" i="33"/>
  <c r="BC87" i="33" s="1"/>
  <c r="BD80" i="33"/>
  <c r="BD87" i="33" s="1"/>
  <c r="BE80" i="33"/>
  <c r="BE87" i="33" s="1"/>
  <c r="BF80" i="33"/>
  <c r="BF87" i="33" s="1"/>
  <c r="BG80" i="33"/>
  <c r="BG87" i="33" s="1"/>
  <c r="BH80" i="33"/>
  <c r="BH87" i="33" s="1"/>
  <c r="BI80" i="33"/>
  <c r="BI87" i="33" s="1"/>
  <c r="BJ80" i="33"/>
  <c r="BJ87" i="33" s="1"/>
  <c r="BK80" i="33"/>
  <c r="BK87" i="33" s="1"/>
  <c r="BL80" i="33"/>
  <c r="BL87" i="33" s="1"/>
  <c r="AT95" i="33"/>
  <c r="J129" i="33"/>
  <c r="J122" i="33"/>
  <c r="BK95" i="33"/>
  <c r="BC95" i="33"/>
  <c r="AU95" i="33"/>
  <c r="AM95" i="33"/>
  <c r="AE95" i="33"/>
  <c r="W95" i="33"/>
  <c r="O95" i="33"/>
  <c r="J84" i="33"/>
  <c r="H33" i="26" s="1"/>
  <c r="H24" i="31"/>
  <c r="G23" i="31"/>
  <c r="G331" i="31" s="1"/>
  <c r="E16" i="17"/>
  <c r="F60" i="17"/>
  <c r="KC6" i="19"/>
  <c r="I69" i="1"/>
  <c r="F16" i="17"/>
  <c r="F23" i="17"/>
  <c r="G2" i="17"/>
  <c r="F2" i="17"/>
  <c r="H1" i="17"/>
  <c r="E2" i="17"/>
  <c r="G4" i="17"/>
  <c r="G20" i="17"/>
  <c r="G18" i="17"/>
  <c r="G22" i="17"/>
  <c r="G19" i="17"/>
  <c r="G21" i="17"/>
  <c r="C46" i="20"/>
  <c r="E3" i="17" l="1"/>
  <c r="H2" i="17"/>
  <c r="D332" i="31"/>
  <c r="F3" i="17"/>
  <c r="I2" i="17"/>
  <c r="G3" i="17"/>
  <c r="J2" i="17"/>
  <c r="X30" i="28"/>
  <c r="P30" i="28"/>
  <c r="S30" i="28"/>
  <c r="W30" i="28"/>
  <c r="O30" i="28"/>
  <c r="R30" i="28"/>
  <c r="V30" i="28"/>
  <c r="N30" i="28"/>
  <c r="Q30" i="28"/>
  <c r="U30" i="28"/>
  <c r="T30" i="28"/>
  <c r="Y30" i="28"/>
  <c r="K124" i="33"/>
  <c r="K131" i="33" s="1"/>
  <c r="L124" i="33"/>
  <c r="M124" i="33"/>
  <c r="N124" i="33"/>
  <c r="O124" i="33"/>
  <c r="P124" i="33"/>
  <c r="Q124" i="33"/>
  <c r="R124" i="33"/>
  <c r="S124" i="33"/>
  <c r="T124" i="33"/>
  <c r="U124" i="33"/>
  <c r="V124" i="33"/>
  <c r="W124" i="33"/>
  <c r="X124" i="33"/>
  <c r="Y124" i="33"/>
  <c r="Z124" i="33"/>
  <c r="Z131" i="33" s="1"/>
  <c r="Z133" i="33" s="1"/>
  <c r="AA124" i="33"/>
  <c r="AB124" i="33"/>
  <c r="AC124" i="33"/>
  <c r="AD124" i="33"/>
  <c r="AE124" i="33"/>
  <c r="AF124" i="33"/>
  <c r="AG124" i="33"/>
  <c r="AH124" i="33"/>
  <c r="AI124" i="33"/>
  <c r="AJ124" i="33"/>
  <c r="AK124" i="33"/>
  <c r="AL124" i="33"/>
  <c r="AM124" i="33"/>
  <c r="AN124" i="33"/>
  <c r="AO124" i="33"/>
  <c r="AO131" i="33" s="1"/>
  <c r="AP124" i="33"/>
  <c r="AQ124" i="33"/>
  <c r="AR124" i="33"/>
  <c r="AS124" i="33"/>
  <c r="AT124" i="33"/>
  <c r="AU124" i="33"/>
  <c r="AV124" i="33"/>
  <c r="AW124" i="33"/>
  <c r="AW131" i="33" s="1"/>
  <c r="AW133" i="33" s="1"/>
  <c r="AX124" i="33"/>
  <c r="AX131" i="33" s="1"/>
  <c r="AY124" i="33"/>
  <c r="AY131" i="33" s="1"/>
  <c r="AZ124" i="33"/>
  <c r="AZ131" i="33" s="1"/>
  <c r="BA124" i="33"/>
  <c r="BA131" i="33" s="1"/>
  <c r="BB124" i="33"/>
  <c r="BB131" i="33" s="1"/>
  <c r="BC124" i="33"/>
  <c r="BC131" i="33" s="1"/>
  <c r="BD124" i="33"/>
  <c r="BE124" i="33"/>
  <c r="BF124" i="33"/>
  <c r="BG124" i="33"/>
  <c r="BH124" i="33"/>
  <c r="BI124" i="33"/>
  <c r="BJ124" i="33"/>
  <c r="BK124" i="33"/>
  <c r="BL124" i="33"/>
  <c r="J57" i="33"/>
  <c r="T20" i="41"/>
  <c r="P18" i="41"/>
  <c r="P117" i="41" s="1"/>
  <c r="U20" i="41"/>
  <c r="R20" i="41"/>
  <c r="O20" i="41"/>
  <c r="I20" i="41"/>
  <c r="P20" i="41"/>
  <c r="N20" i="41"/>
  <c r="J20" i="41"/>
  <c r="K20" i="41"/>
  <c r="H18" i="41"/>
  <c r="H117" i="41" s="1"/>
  <c r="Q20" i="41"/>
  <c r="AH73" i="33"/>
  <c r="AH114" i="33"/>
  <c r="U73" i="33"/>
  <c r="N22" i="19" s="1"/>
  <c r="U114" i="33"/>
  <c r="N114" i="33"/>
  <c r="AZ73" i="33"/>
  <c r="AZ114" i="33"/>
  <c r="AP73" i="33"/>
  <c r="AI22" i="19" s="1"/>
  <c r="AP114" i="33"/>
  <c r="BL73" i="33"/>
  <c r="BL114" i="33"/>
  <c r="BE73" i="33"/>
  <c r="BE114" i="33"/>
  <c r="AY73" i="33"/>
  <c r="AY114" i="33"/>
  <c r="T18" i="41"/>
  <c r="T117" i="41" s="1"/>
  <c r="K18" i="41"/>
  <c r="K117" i="41" s="1"/>
  <c r="Z73" i="33"/>
  <c r="Z114" i="33"/>
  <c r="AQ73" i="33"/>
  <c r="AJ22" i="19" s="1"/>
  <c r="AQ114" i="33"/>
  <c r="AC73" i="33"/>
  <c r="V22" i="19" s="1"/>
  <c r="AC114" i="33"/>
  <c r="V73" i="33"/>
  <c r="O22" i="19" s="1"/>
  <c r="V114" i="33"/>
  <c r="O73" i="33"/>
  <c r="H22" i="19" s="1"/>
  <c r="O114" i="33"/>
  <c r="P73" i="33"/>
  <c r="I22" i="19" s="1"/>
  <c r="P114" i="33"/>
  <c r="AX73" i="33"/>
  <c r="AX114" i="33"/>
  <c r="R73" i="33"/>
  <c r="K22" i="19" s="1"/>
  <c r="R114" i="33"/>
  <c r="BG73" i="33"/>
  <c r="BG114" i="33"/>
  <c r="S20" i="41"/>
  <c r="S18" i="41"/>
  <c r="S117" i="41" s="1"/>
  <c r="BK73" i="33"/>
  <c r="BK114" i="33"/>
  <c r="AD73" i="33"/>
  <c r="AD114" i="33"/>
  <c r="M73" i="33"/>
  <c r="F22" i="19" s="1"/>
  <c r="M114" i="33"/>
  <c r="AW73" i="33"/>
  <c r="AP22" i="19" s="1"/>
  <c r="AW114" i="33"/>
  <c r="AK73" i="33"/>
  <c r="AK114" i="33"/>
  <c r="W73" i="33"/>
  <c r="W114" i="33"/>
  <c r="X73" i="33"/>
  <c r="Q22" i="19" s="1"/>
  <c r="X114" i="33"/>
  <c r="AR73" i="33"/>
  <c r="AR114" i="33"/>
  <c r="AB73" i="33"/>
  <c r="U22" i="19" s="1"/>
  <c r="AB114" i="33"/>
  <c r="L73" i="33"/>
  <c r="E22" i="19" s="1"/>
  <c r="L114" i="33"/>
  <c r="AS114" i="33"/>
  <c r="AL73" i="33"/>
  <c r="AE22" i="19" s="1"/>
  <c r="AL114" i="33"/>
  <c r="AE73" i="33"/>
  <c r="AE114" i="33"/>
  <c r="AF114" i="33"/>
  <c r="Q73" i="33"/>
  <c r="J22" i="19" s="1"/>
  <c r="Q114" i="33"/>
  <c r="BF73" i="33"/>
  <c r="BF114" i="33"/>
  <c r="T73" i="33"/>
  <c r="M22" i="19" s="1"/>
  <c r="T114" i="33"/>
  <c r="B18" i="19"/>
  <c r="I18" i="41"/>
  <c r="I117" i="41" s="1"/>
  <c r="P20" i="19"/>
  <c r="H20" i="41" s="1"/>
  <c r="AS73" i="33"/>
  <c r="AT73" i="33"/>
  <c r="AM22" i="19" s="1"/>
  <c r="AT114" i="33"/>
  <c r="AM73" i="33"/>
  <c r="AF22" i="19" s="1"/>
  <c r="AM114" i="33"/>
  <c r="AF73" i="33"/>
  <c r="Y73" i="33"/>
  <c r="Y114" i="33"/>
  <c r="S73" i="33"/>
  <c r="L22" i="19" s="1"/>
  <c r="S114" i="33"/>
  <c r="AJ73" i="33"/>
  <c r="AC22" i="19" s="1"/>
  <c r="AJ114" i="33"/>
  <c r="R18" i="41"/>
  <c r="R117" i="41" s="1"/>
  <c r="BA73" i="33"/>
  <c r="BA114" i="33"/>
  <c r="AU73" i="33"/>
  <c r="AU114" i="33"/>
  <c r="AN73" i="33"/>
  <c r="AG22" i="19" s="1"/>
  <c r="AN114" i="33"/>
  <c r="AG73" i="33"/>
  <c r="Z22" i="19" s="1"/>
  <c r="AG114" i="33"/>
  <c r="BH73" i="33"/>
  <c r="BH114" i="33"/>
  <c r="U18" i="41"/>
  <c r="U117" i="41" s="1"/>
  <c r="BD73" i="33"/>
  <c r="BD114" i="33"/>
  <c r="BB73" i="33"/>
  <c r="BB114" i="33"/>
  <c r="AA73" i="33"/>
  <c r="T22" i="19" s="1"/>
  <c r="AA114" i="33"/>
  <c r="BI73" i="33"/>
  <c r="BI114" i="33"/>
  <c r="BJ73" i="33"/>
  <c r="BJ114" i="33"/>
  <c r="BC73" i="33"/>
  <c r="BC114" i="33"/>
  <c r="AV73" i="33"/>
  <c r="AO22" i="19" s="1"/>
  <c r="AV114" i="33"/>
  <c r="AO73" i="33"/>
  <c r="AO114" i="33"/>
  <c r="AI73" i="33"/>
  <c r="AB22" i="19" s="1"/>
  <c r="AI114" i="33"/>
  <c r="J18" i="41"/>
  <c r="J117" i="41" s="1"/>
  <c r="D20" i="41"/>
  <c r="F24" i="17"/>
  <c r="J71" i="33"/>
  <c r="J73" i="33" s="1"/>
  <c r="N73" i="33"/>
  <c r="G22" i="19" s="1"/>
  <c r="BC130" i="33"/>
  <c r="BC133" i="33" s="1"/>
  <c r="BB130" i="33"/>
  <c r="BA130" i="33"/>
  <c r="AZ130" i="33"/>
  <c r="AZ133" i="33" s="1"/>
  <c r="H50" i="17"/>
  <c r="H59" i="17"/>
  <c r="H46" i="17"/>
  <c r="H55" i="17"/>
  <c r="H56" i="17"/>
  <c r="H47" i="17"/>
  <c r="H57" i="17"/>
  <c r="H48" i="17"/>
  <c r="H58" i="17"/>
  <c r="H49" i="17"/>
  <c r="AY130" i="33"/>
  <c r="AX130" i="33"/>
  <c r="AY89" i="33"/>
  <c r="AQ89" i="33"/>
  <c r="BF89" i="33"/>
  <c r="AP89" i="33"/>
  <c r="AI19" i="19" s="1"/>
  <c r="AW89" i="33"/>
  <c r="Y89" i="33"/>
  <c r="BH89" i="33"/>
  <c r="BJ89" i="33"/>
  <c r="BB89" i="33"/>
  <c r="AL89" i="33"/>
  <c r="AD89" i="33"/>
  <c r="AA96" i="33"/>
  <c r="AA98" i="33" s="1"/>
  <c r="BF96" i="33"/>
  <c r="AX96" i="33"/>
  <c r="AP96" i="33"/>
  <c r="AH96" i="33"/>
  <c r="Z96" i="33"/>
  <c r="R96" i="33"/>
  <c r="R98" i="33" s="1"/>
  <c r="K23" i="19" s="1"/>
  <c r="R89" i="33"/>
  <c r="K19" i="19" s="1"/>
  <c r="H131" i="33"/>
  <c r="M131" i="33"/>
  <c r="AI96" i="33"/>
  <c r="BE96" i="33"/>
  <c r="BE98" i="33" s="1"/>
  <c r="AW96" i="33"/>
  <c r="AO96" i="33"/>
  <c r="AO98" i="33" s="1"/>
  <c r="AG96" i="33"/>
  <c r="AG98" i="33" s="1"/>
  <c r="AG89" i="33"/>
  <c r="Y96" i="33"/>
  <c r="Q96" i="33"/>
  <c r="Q98" i="33" s="1"/>
  <c r="J23" i="19" s="1"/>
  <c r="Z89" i="33"/>
  <c r="BG96" i="33"/>
  <c r="BG98" i="33" s="1"/>
  <c r="BL96" i="33"/>
  <c r="BL89" i="33"/>
  <c r="BD96" i="33"/>
  <c r="BD98" i="33" s="1"/>
  <c r="BD89" i="33"/>
  <c r="AV96" i="33"/>
  <c r="AV89" i="33"/>
  <c r="AN96" i="33"/>
  <c r="AF96" i="33"/>
  <c r="AF98" i="33" s="1"/>
  <c r="AF89" i="33"/>
  <c r="X96" i="33"/>
  <c r="X89" i="33"/>
  <c r="P96" i="33"/>
  <c r="P98" i="33" s="1"/>
  <c r="I23" i="19" s="1"/>
  <c r="AX89" i="33"/>
  <c r="AQ19" i="19" s="1"/>
  <c r="J94" i="33"/>
  <c r="J34" i="26" s="1"/>
  <c r="AA89" i="33"/>
  <c r="AQ96" i="33"/>
  <c r="BK96" i="33"/>
  <c r="BK89" i="33"/>
  <c r="BC96" i="33"/>
  <c r="BC89" i="33"/>
  <c r="AU96" i="33"/>
  <c r="AU89" i="33"/>
  <c r="AM96" i="33"/>
  <c r="AM89" i="33"/>
  <c r="AE96" i="33"/>
  <c r="AE89" i="33"/>
  <c r="W96" i="33"/>
  <c r="W98" i="33" s="1"/>
  <c r="W89" i="33"/>
  <c r="O96" i="33"/>
  <c r="O89" i="33"/>
  <c r="H19" i="19" s="1"/>
  <c r="P89" i="33"/>
  <c r="I19" i="19" s="1"/>
  <c r="S96" i="33"/>
  <c r="S89" i="33"/>
  <c r="L19" i="19" s="1"/>
  <c r="BJ96" i="33"/>
  <c r="AT96" i="33"/>
  <c r="AD96" i="33"/>
  <c r="V96" i="33"/>
  <c r="AI89" i="33"/>
  <c r="AB19" i="19" s="1"/>
  <c r="K95" i="33"/>
  <c r="J86" i="33"/>
  <c r="H35" i="26" s="1"/>
  <c r="Q89" i="33"/>
  <c r="J19" i="19" s="1"/>
  <c r="AT89" i="33"/>
  <c r="AY96" i="33"/>
  <c r="J80" i="33"/>
  <c r="BB96" i="33"/>
  <c r="AL96" i="33"/>
  <c r="N96" i="33"/>
  <c r="N98" i="33" s="1"/>
  <c r="G23" i="19" s="1"/>
  <c r="N89" i="33"/>
  <c r="G19" i="19" s="1"/>
  <c r="BI96" i="33"/>
  <c r="BI89" i="33"/>
  <c r="BA96" i="33"/>
  <c r="BA89" i="33"/>
  <c r="AS96" i="33"/>
  <c r="AS89" i="33"/>
  <c r="AL19" i="19" s="1"/>
  <c r="AK96" i="33"/>
  <c r="AK89" i="33"/>
  <c r="AD19" i="19" s="1"/>
  <c r="AC96" i="33"/>
  <c r="AC89" i="33"/>
  <c r="U96" i="33"/>
  <c r="U89" i="33"/>
  <c r="N19" i="19" s="1"/>
  <c r="M96" i="33"/>
  <c r="M89" i="33"/>
  <c r="F19" i="19" s="1"/>
  <c r="AH89" i="33"/>
  <c r="AA19" i="19" s="1"/>
  <c r="J123" i="33"/>
  <c r="AO89" i="33"/>
  <c r="AN89" i="33"/>
  <c r="BG89" i="33"/>
  <c r="BH96" i="33"/>
  <c r="AZ96" i="33"/>
  <c r="AZ89" i="33"/>
  <c r="AS19" i="19" s="1"/>
  <c r="AR96" i="33"/>
  <c r="AR89" i="33"/>
  <c r="AK19" i="19" s="1"/>
  <c r="AJ96" i="33"/>
  <c r="AJ98" i="33" s="1"/>
  <c r="AJ89" i="33"/>
  <c r="AC19" i="19" s="1"/>
  <c r="AB96" i="33"/>
  <c r="AB89" i="33"/>
  <c r="T96" i="33"/>
  <c r="T89" i="33"/>
  <c r="M19" i="19" s="1"/>
  <c r="L108" i="33"/>
  <c r="E21" i="19" s="1"/>
  <c r="L96" i="33"/>
  <c r="L98" i="33" s="1"/>
  <c r="E23" i="19" s="1"/>
  <c r="L89" i="33"/>
  <c r="E19" i="19" s="1"/>
  <c r="K73" i="33"/>
  <c r="D22" i="19" s="1"/>
  <c r="BE89" i="33"/>
  <c r="V89" i="33"/>
  <c r="O19" i="19" s="1"/>
  <c r="KC17" i="19"/>
  <c r="D30" i="28"/>
  <c r="I24" i="31"/>
  <c r="H23" i="31"/>
  <c r="H331" i="31" s="1"/>
  <c r="KC48" i="19"/>
  <c r="KC16" i="19"/>
  <c r="F51" i="17"/>
  <c r="G51" i="17"/>
  <c r="I1" i="17"/>
  <c r="H4" i="17"/>
  <c r="H21" i="17"/>
  <c r="H22" i="17"/>
  <c r="H18" i="17"/>
  <c r="H19" i="17"/>
  <c r="H20" i="17"/>
  <c r="E51" i="17"/>
  <c r="G60" i="17"/>
  <c r="G16" i="17"/>
  <c r="G23" i="17"/>
  <c r="G24" i="17" s="1"/>
  <c r="E6" i="26"/>
  <c r="E60" i="17"/>
  <c r="D49" i="19"/>
  <c r="G49" i="19"/>
  <c r="L2" i="17" l="1"/>
  <c r="I3" i="17"/>
  <c r="E332" i="31"/>
  <c r="D25" i="30"/>
  <c r="D26" i="30" s="1"/>
  <c r="AY133" i="33"/>
  <c r="J3" i="17"/>
  <c r="M2" i="17"/>
  <c r="H3" i="17"/>
  <c r="K2" i="17"/>
  <c r="BA133" i="33"/>
  <c r="BB133" i="33"/>
  <c r="AX133" i="33"/>
  <c r="G19" i="41"/>
  <c r="E22" i="41"/>
  <c r="E118" i="41" s="1"/>
  <c r="E119" i="41" s="1"/>
  <c r="F22" i="41"/>
  <c r="F118" i="41" s="1"/>
  <c r="F119" i="41" s="1"/>
  <c r="T19" i="19"/>
  <c r="S19" i="19"/>
  <c r="AN19" i="19"/>
  <c r="AK22" i="19"/>
  <c r="Q19" i="19"/>
  <c r="Z19" i="19"/>
  <c r="R22" i="19"/>
  <c r="AG19" i="19"/>
  <c r="V19" i="19"/>
  <c r="AM19" i="19"/>
  <c r="O19" i="41" s="1"/>
  <c r="X19" i="19"/>
  <c r="Y22" i="19"/>
  <c r="AR19" i="19"/>
  <c r="Q19" i="41" s="1"/>
  <c r="AS22" i="19"/>
  <c r="B20" i="19"/>
  <c r="G22" i="41"/>
  <c r="G118" i="41" s="1"/>
  <c r="G119" i="41" s="1"/>
  <c r="BI23" i="19"/>
  <c r="BB22" i="19"/>
  <c r="BN22" i="19"/>
  <c r="AF19" i="19"/>
  <c r="Y19" i="19"/>
  <c r="AE19" i="19"/>
  <c r="AJ19" i="19"/>
  <c r="AU22" i="19"/>
  <c r="BG22" i="19"/>
  <c r="BA22" i="19"/>
  <c r="BM22" i="19"/>
  <c r="AY22" i="19"/>
  <c r="BK22" i="19"/>
  <c r="X22" i="19"/>
  <c r="W22" i="19"/>
  <c r="AZ22" i="19"/>
  <c r="BL22" i="19"/>
  <c r="BL23" i="19"/>
  <c r="AU19" i="19"/>
  <c r="BG19" i="19"/>
  <c r="AN22" i="19"/>
  <c r="P22" i="41" s="1"/>
  <c r="P118" i="41" s="1"/>
  <c r="P119" i="41" s="1"/>
  <c r="S22" i="19"/>
  <c r="I22" i="41" s="1"/>
  <c r="I118" i="41" s="1"/>
  <c r="I119" i="41" s="1"/>
  <c r="AX22" i="19"/>
  <c r="BJ22" i="19"/>
  <c r="BA19" i="19"/>
  <c r="BM19" i="19"/>
  <c r="BG25" i="19"/>
  <c r="BD22" i="19"/>
  <c r="BP22" i="19"/>
  <c r="AO19" i="19"/>
  <c r="U19" i="19"/>
  <c r="AT19" i="19"/>
  <c r="BF19" i="19"/>
  <c r="AV19" i="19"/>
  <c r="BH19" i="19"/>
  <c r="R19" i="19"/>
  <c r="BH25" i="19"/>
  <c r="AV22" i="19"/>
  <c r="BH22" i="19"/>
  <c r="AW22" i="19"/>
  <c r="BI22" i="19"/>
  <c r="AT22" i="19"/>
  <c r="BF22" i="19"/>
  <c r="P22" i="19"/>
  <c r="BE22" i="19"/>
  <c r="BQ22" i="19"/>
  <c r="AX19" i="19"/>
  <c r="BJ19" i="19"/>
  <c r="AZ19" i="19"/>
  <c r="BL19" i="19"/>
  <c r="AW19" i="19"/>
  <c r="BI19" i="19"/>
  <c r="AP19" i="19"/>
  <c r="AA22" i="19"/>
  <c r="BF25" i="19"/>
  <c r="BB19" i="19"/>
  <c r="BN19" i="19"/>
  <c r="AH22" i="19"/>
  <c r="N22" i="41" s="1"/>
  <c r="N118" i="41" s="1"/>
  <c r="N119" i="41" s="1"/>
  <c r="AQ22" i="19"/>
  <c r="AR22" i="19"/>
  <c r="BJ23" i="19"/>
  <c r="BC19" i="19"/>
  <c r="BO19" i="19"/>
  <c r="BD19" i="19"/>
  <c r="BP19" i="19"/>
  <c r="AH19" i="19"/>
  <c r="BE19" i="19"/>
  <c r="BQ19" i="19"/>
  <c r="Z23" i="19"/>
  <c r="W19" i="19"/>
  <c r="AY19" i="19"/>
  <c r="BK19" i="19"/>
  <c r="BC22" i="19"/>
  <c r="BO22" i="19"/>
  <c r="AL22" i="19"/>
  <c r="AD22" i="19"/>
  <c r="F19" i="41"/>
  <c r="L17" i="41"/>
  <c r="L116" i="41" s="1"/>
  <c r="M17" i="41"/>
  <c r="M116" i="41" s="1"/>
  <c r="V17" i="41"/>
  <c r="W17" i="41"/>
  <c r="X17" i="41"/>
  <c r="Y17" i="41"/>
  <c r="Z17" i="41"/>
  <c r="AA17" i="41"/>
  <c r="AB17" i="41"/>
  <c r="AC17" i="41"/>
  <c r="AD17" i="41"/>
  <c r="AE17" i="41"/>
  <c r="AG17" i="41"/>
  <c r="AH17" i="41"/>
  <c r="AI17" i="41"/>
  <c r="AJ17" i="41"/>
  <c r="AK17" i="41"/>
  <c r="AL17" i="41"/>
  <c r="AM17" i="41"/>
  <c r="AN17" i="41"/>
  <c r="AO17" i="41"/>
  <c r="AP17" i="41"/>
  <c r="AQ17" i="41"/>
  <c r="AR17" i="41"/>
  <c r="AS17" i="41"/>
  <c r="AT17" i="41"/>
  <c r="AU17" i="41"/>
  <c r="AV17" i="41"/>
  <c r="AW17" i="41"/>
  <c r="AX17" i="41"/>
  <c r="AY17" i="41"/>
  <c r="AZ17" i="41"/>
  <c r="BA17" i="41"/>
  <c r="BB17" i="41"/>
  <c r="BC17" i="41"/>
  <c r="BE17" i="41"/>
  <c r="BF17" i="41"/>
  <c r="BG17" i="41"/>
  <c r="BH17" i="41"/>
  <c r="BI17" i="41"/>
  <c r="BJ17" i="41"/>
  <c r="BK17" i="41"/>
  <c r="BL17" i="41"/>
  <c r="BN17" i="41"/>
  <c r="BO17" i="41"/>
  <c r="BP17" i="41"/>
  <c r="BQ17" i="41"/>
  <c r="BR17" i="41"/>
  <c r="BS17" i="41"/>
  <c r="BU17" i="41"/>
  <c r="BV17" i="41"/>
  <c r="BW17" i="41"/>
  <c r="BX17" i="41"/>
  <c r="BZ17" i="41"/>
  <c r="CA17" i="41"/>
  <c r="CC17" i="41"/>
  <c r="CD17" i="41"/>
  <c r="CE17" i="41"/>
  <c r="CF17" i="41"/>
  <c r="CH17" i="41"/>
  <c r="CI17" i="41"/>
  <c r="CJ17" i="41"/>
  <c r="CK17" i="41"/>
  <c r="CL17" i="41"/>
  <c r="CM17" i="41"/>
  <c r="CN17" i="41"/>
  <c r="CP17" i="41"/>
  <c r="CQ17" i="41"/>
  <c r="CT17" i="41"/>
  <c r="CU17" i="41"/>
  <c r="CW17" i="41"/>
  <c r="CX17" i="41"/>
  <c r="D22" i="41"/>
  <c r="D118" i="41" s="1"/>
  <c r="D119" i="41" s="1"/>
  <c r="E19" i="41"/>
  <c r="I50" i="17"/>
  <c r="I59" i="17"/>
  <c r="I46" i="17"/>
  <c r="I55" i="17"/>
  <c r="I56" i="17"/>
  <c r="I47" i="17"/>
  <c r="I57" i="17"/>
  <c r="I48" i="17"/>
  <c r="I58" i="17"/>
  <c r="I49" i="17"/>
  <c r="BF131" i="33"/>
  <c r="BF133" i="33" s="1"/>
  <c r="AQ131" i="33"/>
  <c r="AQ133" i="33" s="1"/>
  <c r="AJ25" i="19" s="1"/>
  <c r="AI131" i="33"/>
  <c r="AI133" i="33" s="1"/>
  <c r="AB25" i="19" s="1"/>
  <c r="AA131" i="33"/>
  <c r="AA133" i="33" s="1"/>
  <c r="T25" i="19" s="1"/>
  <c r="S131" i="33"/>
  <c r="S133" i="33" s="1"/>
  <c r="L25" i="19" s="1"/>
  <c r="BE131" i="33"/>
  <c r="BE133" i="33" s="1"/>
  <c r="AP131" i="33"/>
  <c r="AP133" i="33" s="1"/>
  <c r="AI25" i="19" s="1"/>
  <c r="AH131" i="33"/>
  <c r="AH133" i="33" s="1"/>
  <c r="R131" i="33"/>
  <c r="R133" i="33" s="1"/>
  <c r="K25" i="19" s="1"/>
  <c r="BL131" i="33"/>
  <c r="BL133" i="33" s="1"/>
  <c r="BD131" i="33"/>
  <c r="BD133" i="33" s="1"/>
  <c r="AG131" i="33"/>
  <c r="AG133" i="33" s="1"/>
  <c r="Z25" i="19" s="1"/>
  <c r="Y131" i="33"/>
  <c r="Y133" i="33" s="1"/>
  <c r="Q131" i="33"/>
  <c r="Q133" i="33" s="1"/>
  <c r="J25" i="19" s="1"/>
  <c r="BK131" i="33"/>
  <c r="BK133" i="33" s="1"/>
  <c r="AV131" i="33"/>
  <c r="AV133" i="33" s="1"/>
  <c r="AN131" i="33"/>
  <c r="AN133" i="33" s="1"/>
  <c r="AF131" i="33"/>
  <c r="AF133" i="33" s="1"/>
  <c r="X131" i="33"/>
  <c r="X133" i="33" s="1"/>
  <c r="P131" i="33"/>
  <c r="P133" i="33" s="1"/>
  <c r="I25" i="19" s="1"/>
  <c r="BJ131" i="33"/>
  <c r="BJ133" i="33" s="1"/>
  <c r="AU131" i="33"/>
  <c r="AU133" i="33" s="1"/>
  <c r="AM131" i="33"/>
  <c r="AM133" i="33" s="1"/>
  <c r="AR25" i="19" s="1"/>
  <c r="AE131" i="33"/>
  <c r="AE133" i="33" s="1"/>
  <c r="W131" i="33"/>
  <c r="W133" i="33" s="1"/>
  <c r="O131" i="33"/>
  <c r="O133" i="33" s="1"/>
  <c r="H25" i="19" s="1"/>
  <c r="BI131" i="33"/>
  <c r="BI133" i="33" s="1"/>
  <c r="AT131" i="33"/>
  <c r="AT133" i="33" s="1"/>
  <c r="AM25" i="19" s="1"/>
  <c r="AL131" i="33"/>
  <c r="AL133" i="33" s="1"/>
  <c r="AE25" i="19" s="1"/>
  <c r="AD131" i="33"/>
  <c r="AD133" i="33" s="1"/>
  <c r="V131" i="33"/>
  <c r="V133" i="33" s="1"/>
  <c r="O25" i="19" s="1"/>
  <c r="N131" i="33"/>
  <c r="N133" i="33" s="1"/>
  <c r="G25" i="19" s="1"/>
  <c r="BH131" i="33"/>
  <c r="BH133" i="33" s="1"/>
  <c r="AS131" i="33"/>
  <c r="AS133" i="33" s="1"/>
  <c r="AK131" i="33"/>
  <c r="AK133" i="33" s="1"/>
  <c r="AC131" i="33"/>
  <c r="AC133" i="33" s="1"/>
  <c r="V25" i="19" s="1"/>
  <c r="U131" i="33"/>
  <c r="U133" i="33" s="1"/>
  <c r="N25" i="19" s="1"/>
  <c r="BG131" i="33"/>
  <c r="BG133" i="33" s="1"/>
  <c r="AR131" i="33"/>
  <c r="AR133" i="33" s="1"/>
  <c r="AJ131" i="33"/>
  <c r="AJ133" i="33" s="1"/>
  <c r="AB131" i="33"/>
  <c r="AB133" i="33" s="1"/>
  <c r="T131" i="33"/>
  <c r="T133" i="33" s="1"/>
  <c r="M25" i="19" s="1"/>
  <c r="L131" i="33"/>
  <c r="L133" i="33" s="1"/>
  <c r="E25" i="19" s="1"/>
  <c r="AP98" i="33"/>
  <c r="BK98" i="33"/>
  <c r="BB98" i="33"/>
  <c r="AL98" i="33"/>
  <c r="L116" i="33"/>
  <c r="AK98" i="33"/>
  <c r="X98" i="33"/>
  <c r="Q23" i="19" s="1"/>
  <c r="AH98" i="33"/>
  <c r="AU98" i="33"/>
  <c r="AZ23" i="19" s="1"/>
  <c r="V98" i="33"/>
  <c r="O23" i="19" s="1"/>
  <c r="M98" i="33"/>
  <c r="F23" i="19" s="1"/>
  <c r="BJ98" i="33"/>
  <c r="AM98" i="33"/>
  <c r="AF23" i="19" s="1"/>
  <c r="M133" i="33"/>
  <c r="F25" i="19" s="1"/>
  <c r="J130" i="33"/>
  <c r="K133" i="33"/>
  <c r="D25" i="19" s="1"/>
  <c r="U98" i="33"/>
  <c r="N23" i="19" s="1"/>
  <c r="AW98" i="33"/>
  <c r="AP23" i="19" s="1"/>
  <c r="BI98" i="33"/>
  <c r="J124" i="33"/>
  <c r="AO133" i="33"/>
  <c r="AT25" i="19" s="1"/>
  <c r="AR98" i="33"/>
  <c r="AK23" i="19" s="1"/>
  <c r="K108" i="33"/>
  <c r="D21" i="19" s="1"/>
  <c r="K96" i="33"/>
  <c r="K98" i="33" s="1"/>
  <c r="D23" i="19" s="1"/>
  <c r="J87" i="33"/>
  <c r="K89" i="33"/>
  <c r="D19" i="19" s="1"/>
  <c r="AE98" i="33"/>
  <c r="X23" i="19" s="1"/>
  <c r="AQ98" i="33"/>
  <c r="AV98" i="33"/>
  <c r="AO23" i="19" s="1"/>
  <c r="AZ98" i="33"/>
  <c r="AC98" i="33"/>
  <c r="V23" i="19" s="1"/>
  <c r="J95" i="33"/>
  <c r="J35" i="26" s="1"/>
  <c r="AT98" i="33"/>
  <c r="AM23" i="19" s="1"/>
  <c r="S98" i="33"/>
  <c r="L23" i="19" s="1"/>
  <c r="F23" i="41" s="1"/>
  <c r="AB98" i="33"/>
  <c r="U23" i="19" s="1"/>
  <c r="BA98" i="33"/>
  <c r="AY98" i="33"/>
  <c r="AR23" i="19" s="1"/>
  <c r="BL98" i="33"/>
  <c r="Z98" i="33"/>
  <c r="S23" i="19" s="1"/>
  <c r="BF98" i="33"/>
  <c r="I23" i="31"/>
  <c r="I331" i="31" s="1"/>
  <c r="J24" i="31"/>
  <c r="D4" i="26"/>
  <c r="D19" i="26" s="1"/>
  <c r="C49" i="19"/>
  <c r="E49" i="19"/>
  <c r="H49" i="19"/>
  <c r="H51" i="17"/>
  <c r="I4" i="17"/>
  <c r="J1" i="17"/>
  <c r="I21" i="17"/>
  <c r="I19" i="17"/>
  <c r="I20" i="17"/>
  <c r="I22" i="17"/>
  <c r="I18" i="17"/>
  <c r="H60" i="17"/>
  <c r="H16" i="17"/>
  <c r="H23" i="17"/>
  <c r="H24" i="17" s="1"/>
  <c r="M3" i="17" l="1"/>
  <c r="P2" i="17"/>
  <c r="F332" i="31"/>
  <c r="E25" i="30"/>
  <c r="E26" i="30" s="1"/>
  <c r="N2" i="17"/>
  <c r="K3" i="17"/>
  <c r="L3" i="17"/>
  <c r="O2" i="17"/>
  <c r="I19" i="41"/>
  <c r="H22" i="41"/>
  <c r="H118" i="41" s="1"/>
  <c r="H119" i="41" s="1"/>
  <c r="J19" i="41"/>
  <c r="J89" i="33"/>
  <c r="H36" i="26"/>
  <c r="H38" i="26" s="1"/>
  <c r="K22" i="41"/>
  <c r="K118" i="41" s="1"/>
  <c r="K119" i="41" s="1"/>
  <c r="O22" i="41"/>
  <c r="O118" i="41" s="1"/>
  <c r="O119" i="41" s="1"/>
  <c r="R19" i="41"/>
  <c r="T19" i="41"/>
  <c r="P19" i="41"/>
  <c r="K19" i="41"/>
  <c r="S19" i="41"/>
  <c r="N19" i="41"/>
  <c r="U25" i="19"/>
  <c r="X25" i="19"/>
  <c r="AC25" i="19"/>
  <c r="AK25" i="19"/>
  <c r="W25" i="19"/>
  <c r="AQ25" i="19"/>
  <c r="U22" i="41"/>
  <c r="U118" i="41" s="1"/>
  <c r="U119" i="41" s="1"/>
  <c r="T22" i="41"/>
  <c r="T118" i="41" s="1"/>
  <c r="T119" i="41" s="1"/>
  <c r="U19" i="41"/>
  <c r="B22" i="19"/>
  <c r="C7" i="26" s="1"/>
  <c r="R22" i="41"/>
  <c r="R118" i="41" s="1"/>
  <c r="R119" i="41" s="1"/>
  <c r="J22" i="41"/>
  <c r="J118" i="41" s="1"/>
  <c r="J119" i="41" s="1"/>
  <c r="AD25" i="19"/>
  <c r="AP25" i="19"/>
  <c r="BB25" i="19"/>
  <c r="BN25" i="19"/>
  <c r="Q25" i="19"/>
  <c r="AW25" i="19"/>
  <c r="BI25" i="19"/>
  <c r="Y19" i="41"/>
  <c r="Y25" i="19"/>
  <c r="BE25" i="19"/>
  <c r="BQ25" i="19"/>
  <c r="P23" i="19"/>
  <c r="AH23" i="19"/>
  <c r="AL25" i="19"/>
  <c r="AY23" i="19"/>
  <c r="BK23" i="19"/>
  <c r="AA23" i="19"/>
  <c r="BA25" i="19"/>
  <c r="BM25" i="19"/>
  <c r="P25" i="19"/>
  <c r="AG25" i="19"/>
  <c r="AY25" i="19"/>
  <c r="BK25" i="19"/>
  <c r="AV25" i="19"/>
  <c r="AO25" i="19"/>
  <c r="AA25" i="19"/>
  <c r="AC23" i="19"/>
  <c r="BB23" i="19"/>
  <c r="BN23" i="19"/>
  <c r="AU23" i="19"/>
  <c r="BG23" i="19"/>
  <c r="BE23" i="19"/>
  <c r="BQ23" i="19"/>
  <c r="AF25" i="19"/>
  <c r="AW23" i="19"/>
  <c r="BD25" i="19"/>
  <c r="BP25" i="19"/>
  <c r="AH25" i="19"/>
  <c r="N25" i="41" s="1"/>
  <c r="BD23" i="19"/>
  <c r="BP23" i="19"/>
  <c r="AZ25" i="19"/>
  <c r="BL25" i="19"/>
  <c r="AN25" i="19"/>
  <c r="AX25" i="19"/>
  <c r="BJ25" i="19"/>
  <c r="Q22" i="41"/>
  <c r="Q118" i="41" s="1"/>
  <c r="Q119" i="41" s="1"/>
  <c r="Q120" i="41" s="1"/>
  <c r="AS25" i="19"/>
  <c r="X22" i="41"/>
  <c r="AT23" i="19"/>
  <c r="BF23" i="19"/>
  <c r="AJ23" i="19"/>
  <c r="BO23" i="19"/>
  <c r="AE23" i="19"/>
  <c r="BC25" i="19"/>
  <c r="BO25" i="19"/>
  <c r="R25" i="19"/>
  <c r="S25" i="19"/>
  <c r="S22" i="41"/>
  <c r="S118" i="41" s="1"/>
  <c r="S119" i="41" s="1"/>
  <c r="P19" i="19"/>
  <c r="H19" i="41" s="1"/>
  <c r="AU25" i="19"/>
  <c r="D23" i="41"/>
  <c r="B17" i="41"/>
  <c r="G25" i="41"/>
  <c r="E25" i="41"/>
  <c r="F25" i="41"/>
  <c r="D19" i="41"/>
  <c r="D25" i="41"/>
  <c r="J50" i="17"/>
  <c r="J59" i="17"/>
  <c r="J55" i="17"/>
  <c r="J46" i="17"/>
  <c r="J47" i="17"/>
  <c r="J56" i="17"/>
  <c r="J48" i="17"/>
  <c r="J57" i="17"/>
  <c r="J58" i="17"/>
  <c r="J49" i="17"/>
  <c r="K116" i="33"/>
  <c r="D8" i="26"/>
  <c r="D24" i="19"/>
  <c r="J96" i="33"/>
  <c r="J36" i="26" s="1"/>
  <c r="J131" i="33"/>
  <c r="J23" i="31"/>
  <c r="J331" i="31" s="1"/>
  <c r="K24" i="31"/>
  <c r="E4" i="26"/>
  <c r="I51" i="17"/>
  <c r="I60" i="17"/>
  <c r="K1" i="17"/>
  <c r="J4" i="17"/>
  <c r="J18" i="17"/>
  <c r="J19" i="17"/>
  <c r="J20" i="17"/>
  <c r="J21" i="17"/>
  <c r="J22" i="17"/>
  <c r="I16" i="17"/>
  <c r="I23" i="17"/>
  <c r="I24" i="17" s="1"/>
  <c r="O3" i="17" l="1"/>
  <c r="R2" i="17"/>
  <c r="N3" i="17"/>
  <c r="Q2" i="17"/>
  <c r="G332" i="31"/>
  <c r="F25" i="30"/>
  <c r="F26" i="30" s="1"/>
  <c r="S2" i="17"/>
  <c r="P3" i="17"/>
  <c r="B19" i="19"/>
  <c r="C5" i="26" s="1"/>
  <c r="O25" i="41"/>
  <c r="R25" i="41"/>
  <c r="K25" i="41"/>
  <c r="J25" i="41"/>
  <c r="S25" i="41"/>
  <c r="Q25" i="41"/>
  <c r="U25" i="41"/>
  <c r="H25" i="41"/>
  <c r="B25" i="19"/>
  <c r="T25" i="41"/>
  <c r="Y23" i="41"/>
  <c r="P25" i="41"/>
  <c r="K59" i="17"/>
  <c r="K50" i="17"/>
  <c r="K55" i="17"/>
  <c r="K46" i="17"/>
  <c r="K56" i="17"/>
  <c r="K47" i="17"/>
  <c r="K57" i="17"/>
  <c r="K48" i="17"/>
  <c r="K58" i="17"/>
  <c r="K49" i="17"/>
  <c r="J133" i="33"/>
  <c r="L24" i="31"/>
  <c r="K23" i="31"/>
  <c r="K331" i="31" s="1"/>
  <c r="J16" i="17"/>
  <c r="J23" i="17"/>
  <c r="J24" i="17" s="1"/>
  <c r="J60" i="17"/>
  <c r="J51" i="17"/>
  <c r="L1" i="17"/>
  <c r="K4" i="17"/>
  <c r="K18" i="17"/>
  <c r="K22" i="17"/>
  <c r="K20" i="17"/>
  <c r="K19" i="17"/>
  <c r="K21" i="17"/>
  <c r="V2" i="17" l="1"/>
  <c r="S3" i="17"/>
  <c r="H332" i="31"/>
  <c r="G25" i="30"/>
  <c r="G26" i="30" s="1"/>
  <c r="T2" i="17"/>
  <c r="Q3" i="17"/>
  <c r="R3" i="17"/>
  <c r="U2" i="17"/>
  <c r="L59" i="17"/>
  <c r="L50" i="17"/>
  <c r="L46" i="17"/>
  <c r="L55" i="17"/>
  <c r="L47" i="17"/>
  <c r="L56" i="17"/>
  <c r="L57" i="17"/>
  <c r="L48" i="17"/>
  <c r="L49" i="17"/>
  <c r="L58" i="17"/>
  <c r="M24" i="31"/>
  <c r="L23" i="31"/>
  <c r="L331" i="31" s="1"/>
  <c r="K60" i="17"/>
  <c r="M1" i="17"/>
  <c r="L4" i="17"/>
  <c r="L18" i="17"/>
  <c r="L19" i="17"/>
  <c r="L20" i="17"/>
  <c r="L21" i="17"/>
  <c r="L22" i="17"/>
  <c r="K51" i="17"/>
  <c r="C41" i="19" s="1"/>
  <c r="C41" i="41" s="1"/>
  <c r="K16" i="17"/>
  <c r="K23" i="17"/>
  <c r="K24" i="17" s="1"/>
  <c r="U3" i="17" l="1"/>
  <c r="X2" i="17"/>
  <c r="T3" i="17"/>
  <c r="W2" i="17"/>
  <c r="I332" i="31"/>
  <c r="H25" i="30"/>
  <c r="H26" i="30" s="1"/>
  <c r="Y2" i="17"/>
  <c r="V3" i="17"/>
  <c r="M50" i="17"/>
  <c r="M59" i="17"/>
  <c r="M55" i="17"/>
  <c r="M46" i="17"/>
  <c r="M47" i="17"/>
  <c r="M56" i="17"/>
  <c r="M48" i="17"/>
  <c r="M57" i="17"/>
  <c r="M58" i="17"/>
  <c r="M49" i="17"/>
  <c r="M23" i="31"/>
  <c r="M331" i="31" s="1"/>
  <c r="N24" i="31"/>
  <c r="L16" i="17"/>
  <c r="L23" i="17"/>
  <c r="L24" i="17" s="1"/>
  <c r="L60" i="17"/>
  <c r="N1" i="17"/>
  <c r="M4" i="17"/>
  <c r="M19" i="17"/>
  <c r="M21" i="17"/>
  <c r="M18" i="17"/>
  <c r="M20" i="17"/>
  <c r="M22" i="17"/>
  <c r="L51" i="17"/>
  <c r="AB2" i="17" l="1"/>
  <c r="Y3" i="17"/>
  <c r="J332" i="31"/>
  <c r="I25" i="30"/>
  <c r="I26" i="30" s="1"/>
  <c r="W3" i="17"/>
  <c r="Z2" i="17"/>
  <c r="X3" i="17"/>
  <c r="AA2" i="17"/>
  <c r="N50" i="17"/>
  <c r="N59" i="17"/>
  <c r="N46" i="17"/>
  <c r="N55" i="17"/>
  <c r="N56" i="17"/>
  <c r="N47" i="17"/>
  <c r="N48" i="17"/>
  <c r="N57" i="17"/>
  <c r="N58" i="17"/>
  <c r="N49" i="17"/>
  <c r="O24" i="31"/>
  <c r="N23" i="31"/>
  <c r="N331" i="31" s="1"/>
  <c r="O1" i="17"/>
  <c r="N4" i="17"/>
  <c r="N18" i="17"/>
  <c r="N19" i="17"/>
  <c r="N20" i="17"/>
  <c r="N21" i="17"/>
  <c r="N22" i="17"/>
  <c r="M60" i="17"/>
  <c r="M16" i="17"/>
  <c r="M23" i="17"/>
  <c r="M24" i="17" s="1"/>
  <c r="M51" i="17"/>
  <c r="AD2" i="17" l="1"/>
  <c r="AA3" i="17"/>
  <c r="K332" i="31"/>
  <c r="J25" i="30"/>
  <c r="J26" i="30" s="1"/>
  <c r="Z3" i="17"/>
  <c r="AC2" i="17"/>
  <c r="AB3" i="17"/>
  <c r="AE2" i="17"/>
  <c r="O50" i="17"/>
  <c r="O59" i="17"/>
  <c r="O46" i="17"/>
  <c r="O55" i="17"/>
  <c r="O56" i="17"/>
  <c r="O47" i="17"/>
  <c r="O48" i="17"/>
  <c r="O57" i="17"/>
  <c r="O58" i="17"/>
  <c r="O49" i="17"/>
  <c r="P24" i="31"/>
  <c r="O23" i="31"/>
  <c r="O331" i="31" s="1"/>
  <c r="N60" i="17"/>
  <c r="P1" i="17"/>
  <c r="O4" i="17"/>
  <c r="O20" i="17"/>
  <c r="O18" i="17"/>
  <c r="O22" i="17"/>
  <c r="O19" i="17"/>
  <c r="O21" i="17"/>
  <c r="N51" i="17"/>
  <c r="N16" i="17"/>
  <c r="N23" i="17"/>
  <c r="N24" i="17" s="1"/>
  <c r="AE3" i="17" l="1"/>
  <c r="AH2" i="17"/>
  <c r="AF2" i="17"/>
  <c r="AC3" i="17"/>
  <c r="L332" i="31"/>
  <c r="K25" i="30"/>
  <c r="K26" i="30" s="1"/>
  <c r="AD3" i="17"/>
  <c r="AG2" i="17"/>
  <c r="P50" i="17"/>
  <c r="P59" i="17"/>
  <c r="P46" i="17"/>
  <c r="P55" i="17"/>
  <c r="P47" i="17"/>
  <c r="P56" i="17"/>
  <c r="P48" i="17"/>
  <c r="P57" i="17"/>
  <c r="P58" i="17"/>
  <c r="P49" i="17"/>
  <c r="Q24" i="31"/>
  <c r="P23" i="31"/>
  <c r="P331" i="31" s="1"/>
  <c r="Q1" i="17"/>
  <c r="P4" i="17"/>
  <c r="P18" i="17"/>
  <c r="P19" i="17"/>
  <c r="P20" i="17"/>
  <c r="P21" i="17"/>
  <c r="P22" i="17"/>
  <c r="O51" i="17"/>
  <c r="O16" i="17"/>
  <c r="O23" i="17"/>
  <c r="O24" i="17" s="1"/>
  <c r="O60" i="17"/>
  <c r="M332" i="31" l="1"/>
  <c r="L25" i="30"/>
  <c r="L26" i="30" s="1"/>
  <c r="AF3" i="17"/>
  <c r="AI2" i="17"/>
  <c r="AJ2" i="17"/>
  <c r="AG3" i="17"/>
  <c r="AH3" i="17"/>
  <c r="AK2" i="17"/>
  <c r="Q50" i="17"/>
  <c r="Q59" i="17"/>
  <c r="Q46" i="17"/>
  <c r="Q55" i="17"/>
  <c r="Q56" i="17"/>
  <c r="Q47" i="17"/>
  <c r="Q48" i="17"/>
  <c r="Q57" i="17"/>
  <c r="Q58" i="17"/>
  <c r="Q49" i="17"/>
  <c r="R24" i="31"/>
  <c r="Q23" i="31"/>
  <c r="Q331" i="31" s="1"/>
  <c r="P51" i="17"/>
  <c r="P16" i="17"/>
  <c r="P23" i="17"/>
  <c r="P24" i="17" s="1"/>
  <c r="P60" i="17"/>
  <c r="Q4" i="17"/>
  <c r="R1" i="17"/>
  <c r="Q21" i="17"/>
  <c r="Q19" i="17"/>
  <c r="Q18" i="17"/>
  <c r="Q20" i="17"/>
  <c r="Q22" i="17"/>
  <c r="AM2" i="17" l="1"/>
  <c r="AJ3" i="17"/>
  <c r="AI3" i="17"/>
  <c r="AL2" i="17"/>
  <c r="AN2" i="17"/>
  <c r="AK3" i="17"/>
  <c r="N332" i="31"/>
  <c r="M25" i="30"/>
  <c r="M26" i="30" s="1"/>
  <c r="R59" i="17"/>
  <c r="R50" i="17"/>
  <c r="R55" i="17"/>
  <c r="R46" i="17"/>
  <c r="R56" i="17"/>
  <c r="R47" i="17"/>
  <c r="R57" i="17"/>
  <c r="R48" i="17"/>
  <c r="R49" i="17"/>
  <c r="R58" i="17"/>
  <c r="R23" i="31"/>
  <c r="R331" i="31" s="1"/>
  <c r="S24" i="31"/>
  <c r="R4" i="17"/>
  <c r="S1" i="17"/>
  <c r="R22" i="17"/>
  <c r="R18" i="17"/>
  <c r="R19" i="17"/>
  <c r="R20" i="17"/>
  <c r="R21" i="17"/>
  <c r="Q16" i="17"/>
  <c r="Q23" i="17"/>
  <c r="Q24" i="17" s="1"/>
  <c r="Q51" i="17"/>
  <c r="Q60" i="17"/>
  <c r="P26" i="19" s="1"/>
  <c r="O332" i="31" l="1"/>
  <c r="N25" i="30"/>
  <c r="N26" i="30" s="1"/>
  <c r="AQ2" i="17"/>
  <c r="AN3" i="17"/>
  <c r="AO2" i="17"/>
  <c r="AL3" i="17"/>
  <c r="AM3" i="17"/>
  <c r="AP2" i="17"/>
  <c r="S59" i="17"/>
  <c r="S50" i="17"/>
  <c r="S46" i="17"/>
  <c r="S55" i="17"/>
  <c r="S56" i="17"/>
  <c r="S47" i="17"/>
  <c r="S57" i="17"/>
  <c r="S48" i="17"/>
  <c r="S49" i="17"/>
  <c r="S58" i="17"/>
  <c r="S23" i="31"/>
  <c r="S331" i="31" s="1"/>
  <c r="T24" i="31"/>
  <c r="T1" i="17"/>
  <c r="S4" i="17"/>
  <c r="S18" i="17"/>
  <c r="S22" i="17"/>
  <c r="S20" i="17"/>
  <c r="S21" i="17"/>
  <c r="S19" i="17"/>
  <c r="R60" i="17"/>
  <c r="Q26" i="19" s="1"/>
  <c r="R51" i="17"/>
  <c r="R16" i="17"/>
  <c r="R23" i="17"/>
  <c r="R24" i="17" s="1"/>
  <c r="AR2" i="17" l="1"/>
  <c r="AO3" i="17"/>
  <c r="AP3" i="17"/>
  <c r="AS2" i="17"/>
  <c r="AT2" i="17"/>
  <c r="AQ3" i="17"/>
  <c r="P332" i="31"/>
  <c r="O25" i="30"/>
  <c r="O26" i="30" s="1"/>
  <c r="T50" i="17"/>
  <c r="T59" i="17"/>
  <c r="T55" i="17"/>
  <c r="T46" i="17"/>
  <c r="T56" i="17"/>
  <c r="T47" i="17"/>
  <c r="T57" i="17"/>
  <c r="T48" i="17"/>
  <c r="T58" i="17"/>
  <c r="T49" i="17"/>
  <c r="U24" i="31"/>
  <c r="T23" i="31"/>
  <c r="T331" i="31" s="1"/>
  <c r="U1" i="17"/>
  <c r="T4" i="17"/>
  <c r="T19" i="17"/>
  <c r="T20" i="17"/>
  <c r="T21" i="17"/>
  <c r="T22" i="17"/>
  <c r="T18" i="17"/>
  <c r="S60" i="17"/>
  <c r="R26" i="19" s="1"/>
  <c r="H26" i="41" s="1"/>
  <c r="H27" i="41" s="1"/>
  <c r="S16" i="17"/>
  <c r="S23" i="17"/>
  <c r="S24" i="17" s="1"/>
  <c r="S51" i="17"/>
  <c r="Q332" i="31" l="1"/>
  <c r="P25" i="30"/>
  <c r="P26" i="30" s="1"/>
  <c r="AT3" i="17"/>
  <c r="AW2" i="17"/>
  <c r="AS3" i="17"/>
  <c r="AV2" i="17"/>
  <c r="AU2" i="17"/>
  <c r="AR3" i="17"/>
  <c r="U50" i="17"/>
  <c r="U59" i="17"/>
  <c r="U55" i="17"/>
  <c r="U46" i="17"/>
  <c r="U56" i="17"/>
  <c r="U47" i="17"/>
  <c r="U57" i="17"/>
  <c r="U48" i="17"/>
  <c r="U58" i="17"/>
  <c r="U49" i="17"/>
  <c r="U23" i="31"/>
  <c r="U331" i="31" s="1"/>
  <c r="V24" i="31"/>
  <c r="V1" i="17"/>
  <c r="U4" i="17"/>
  <c r="U19" i="17"/>
  <c r="U21" i="17"/>
  <c r="U18" i="17"/>
  <c r="U20" i="17"/>
  <c r="U22" i="17"/>
  <c r="T51" i="17"/>
  <c r="T16" i="17"/>
  <c r="T23" i="17"/>
  <c r="T24" i="17" s="1"/>
  <c r="T60" i="17"/>
  <c r="S26" i="19" s="1"/>
  <c r="AU3" i="17" l="1"/>
  <c r="AX2" i="17"/>
  <c r="AY2" i="17"/>
  <c r="AV3" i="17"/>
  <c r="AW3" i="17"/>
  <c r="AZ2" i="17"/>
  <c r="R332" i="31"/>
  <c r="Q25" i="30"/>
  <c r="Q26" i="30" s="1"/>
  <c r="H47" i="41"/>
  <c r="V50" i="17"/>
  <c r="V59" i="17"/>
  <c r="V55" i="17"/>
  <c r="V46" i="17"/>
  <c r="V56" i="17"/>
  <c r="V47" i="17"/>
  <c r="V48" i="17"/>
  <c r="V57" i="17"/>
  <c r="V49" i="17"/>
  <c r="V58" i="17"/>
  <c r="W24" i="31"/>
  <c r="V23" i="31"/>
  <c r="V331" i="31" s="1"/>
  <c r="U60" i="17"/>
  <c r="T26" i="19" s="1"/>
  <c r="W1" i="17"/>
  <c r="V4" i="17"/>
  <c r="V18" i="17"/>
  <c r="V19" i="17"/>
  <c r="V20" i="17"/>
  <c r="V21" i="17"/>
  <c r="V22" i="17"/>
  <c r="U51" i="17"/>
  <c r="U16" i="17"/>
  <c r="U23" i="17"/>
  <c r="U24" i="17" s="1"/>
  <c r="S332" i="31" l="1"/>
  <c r="R25" i="30"/>
  <c r="R26" i="30" s="1"/>
  <c r="BC2" i="17"/>
  <c r="AZ3" i="17"/>
  <c r="AY3" i="17"/>
  <c r="BB2" i="17"/>
  <c r="BA2" i="17"/>
  <c r="AX3" i="17"/>
  <c r="W9" i="17"/>
  <c r="W50" i="17"/>
  <c r="W59" i="17"/>
  <c r="W46" i="17"/>
  <c r="W55" i="17"/>
  <c r="W56" i="17"/>
  <c r="W47" i="17"/>
  <c r="W57" i="17"/>
  <c r="W48" i="17"/>
  <c r="W58" i="17"/>
  <c r="W49" i="17"/>
  <c r="X24" i="31"/>
  <c r="W23" i="31"/>
  <c r="W331" i="31" s="1"/>
  <c r="V60" i="17"/>
  <c r="U26" i="19" s="1"/>
  <c r="I26" i="41" s="1"/>
  <c r="V51" i="17"/>
  <c r="X1" i="17"/>
  <c r="W4" i="17"/>
  <c r="W20" i="17"/>
  <c r="W18" i="17"/>
  <c r="W22" i="17"/>
  <c r="W19" i="17"/>
  <c r="W21" i="17"/>
  <c r="V16" i="17"/>
  <c r="V23" i="17"/>
  <c r="V24" i="17" s="1"/>
  <c r="BA3" i="17" l="1"/>
  <c r="BD2" i="17"/>
  <c r="BB3" i="17"/>
  <c r="BE2" i="17"/>
  <c r="BF2" i="17"/>
  <c r="BC3" i="17"/>
  <c r="T332" i="31"/>
  <c r="S25" i="30"/>
  <c r="S26" i="30" s="1"/>
  <c r="W28" i="17"/>
  <c r="X50" i="17"/>
  <c r="X59" i="17"/>
  <c r="X46" i="17"/>
  <c r="X55" i="17"/>
  <c r="X47" i="17"/>
  <c r="X56" i="17"/>
  <c r="X48" i="17"/>
  <c r="X57" i="17"/>
  <c r="X58" i="17"/>
  <c r="X49" i="17"/>
  <c r="Y24" i="31"/>
  <c r="X23" i="31"/>
  <c r="X331" i="31" s="1"/>
  <c r="W51" i="17"/>
  <c r="W60" i="17"/>
  <c r="V26" i="19" s="1"/>
  <c r="Y1" i="17"/>
  <c r="X4" i="17"/>
  <c r="X18" i="17"/>
  <c r="X19" i="17"/>
  <c r="X20" i="17"/>
  <c r="X21" i="17"/>
  <c r="X22" i="17"/>
  <c r="W16" i="17"/>
  <c r="W23" i="17"/>
  <c r="W24" i="17" s="1"/>
  <c r="U332" i="31" l="1"/>
  <c r="T25" i="30"/>
  <c r="T26" i="30" s="1"/>
  <c r="BI2" i="17"/>
  <c r="BF3" i="17"/>
  <c r="BH2" i="17"/>
  <c r="BE3" i="17"/>
  <c r="BD3" i="17"/>
  <c r="BG2" i="17"/>
  <c r="I47" i="41"/>
  <c r="Y59" i="17"/>
  <c r="Y50" i="17"/>
  <c r="Y46" i="17"/>
  <c r="Y55" i="17"/>
  <c r="Y47" i="17"/>
  <c r="Y56" i="17"/>
  <c r="Y48" i="17"/>
  <c r="Y57" i="17"/>
  <c r="Y49" i="17"/>
  <c r="Y58" i="17"/>
  <c r="Y23" i="31"/>
  <c r="Y331" i="31" s="1"/>
  <c r="Z24" i="31"/>
  <c r="Y4" i="17"/>
  <c r="Z1" i="17"/>
  <c r="Y21" i="17"/>
  <c r="Y19" i="17"/>
  <c r="Y18" i="17"/>
  <c r="Y20" i="17"/>
  <c r="Y22" i="17"/>
  <c r="X51" i="17"/>
  <c r="X60" i="17"/>
  <c r="W26" i="19" s="1"/>
  <c r="X16" i="17"/>
  <c r="X23" i="17"/>
  <c r="X24" i="17" s="1"/>
  <c r="BJ2" i="17" l="1"/>
  <c r="BG3" i="17"/>
  <c r="BK2" i="17"/>
  <c r="BH3" i="17"/>
  <c r="BI3" i="17"/>
  <c r="BL2" i="17"/>
  <c r="V332" i="31"/>
  <c r="U25" i="30"/>
  <c r="U26" i="30" s="1"/>
  <c r="Z59" i="17"/>
  <c r="Z50" i="17"/>
  <c r="Z55" i="17"/>
  <c r="Z46" i="17"/>
  <c r="Z56" i="17"/>
  <c r="Z47" i="17"/>
  <c r="Z48" i="17"/>
  <c r="Z57" i="17"/>
  <c r="Z49" i="17"/>
  <c r="Z58" i="17"/>
  <c r="AA24" i="31"/>
  <c r="Z23" i="31"/>
  <c r="Z331" i="31" s="1"/>
  <c r="AA1" i="17"/>
  <c r="Z4" i="17"/>
  <c r="Z18" i="17"/>
  <c r="Z19" i="17"/>
  <c r="Z20" i="17"/>
  <c r="Z21" i="17"/>
  <c r="Z22" i="17"/>
  <c r="Y60" i="17"/>
  <c r="X26" i="19" s="1"/>
  <c r="J26" i="41" s="1"/>
  <c r="J27" i="41" s="1"/>
  <c r="Y51" i="17"/>
  <c r="Y16" i="17"/>
  <c r="Y23" i="17"/>
  <c r="Y24" i="17" s="1"/>
  <c r="W332" i="31" l="1"/>
  <c r="V25" i="30"/>
  <c r="V26" i="30" s="1"/>
  <c r="BO2" i="17"/>
  <c r="BL3" i="17"/>
  <c r="BK3" i="17"/>
  <c r="BN2" i="17"/>
  <c r="BJ3" i="17"/>
  <c r="BM2" i="17"/>
  <c r="AA50" i="17"/>
  <c r="AA59" i="17"/>
  <c r="AA46" i="17"/>
  <c r="AA55" i="17"/>
  <c r="AA47" i="17"/>
  <c r="AA56" i="17"/>
  <c r="AA48" i="17"/>
  <c r="AA57" i="17"/>
  <c r="AA58" i="17"/>
  <c r="AA49" i="17"/>
  <c r="AB24" i="31"/>
  <c r="AA23" i="31"/>
  <c r="AA331" i="31" s="1"/>
  <c r="Z16" i="17"/>
  <c r="Z23" i="17"/>
  <c r="Z24" i="17" s="1"/>
  <c r="AB1" i="17"/>
  <c r="AA4" i="17"/>
  <c r="AA18" i="17"/>
  <c r="AA22" i="17"/>
  <c r="AA20" i="17"/>
  <c r="AA19" i="17"/>
  <c r="AA21" i="17"/>
  <c r="Z51" i="17"/>
  <c r="Z60" i="17"/>
  <c r="Y26" i="19" s="1"/>
  <c r="BN3" i="17" l="1"/>
  <c r="BQ2" i="17"/>
  <c r="BM3" i="17"/>
  <c r="BP2" i="17"/>
  <c r="BO3" i="17"/>
  <c r="BR2" i="17"/>
  <c r="X332" i="31"/>
  <c r="W25" i="30"/>
  <c r="W26" i="30" s="1"/>
  <c r="AB50" i="17"/>
  <c r="AB59" i="17"/>
  <c r="AB55" i="17"/>
  <c r="AB46" i="17"/>
  <c r="AB47" i="17"/>
  <c r="AB56" i="17"/>
  <c r="AB48" i="17"/>
  <c r="AB57" i="17"/>
  <c r="AB58" i="17"/>
  <c r="AB49" i="17"/>
  <c r="AC24" i="31"/>
  <c r="AB23" i="31"/>
  <c r="AB331" i="31" s="1"/>
  <c r="AA60" i="17"/>
  <c r="Z26" i="19" s="1"/>
  <c r="AA16" i="17"/>
  <c r="AA23" i="17"/>
  <c r="AA24" i="17" s="1"/>
  <c r="AA51" i="17"/>
  <c r="AC1" i="17"/>
  <c r="AB4" i="17"/>
  <c r="AB18" i="17"/>
  <c r="AB19" i="17"/>
  <c r="AB20" i="17"/>
  <c r="AB21" i="17"/>
  <c r="AB22" i="17"/>
  <c r="Y332" i="31" l="1"/>
  <c r="X25" i="30"/>
  <c r="X26" i="30" s="1"/>
  <c r="BR3" i="17"/>
  <c r="BU2" i="17"/>
  <c r="BS2" i="17"/>
  <c r="BP3" i="17"/>
  <c r="BT2" i="17"/>
  <c r="BQ3" i="17"/>
  <c r="AC50" i="17"/>
  <c r="AC59" i="17"/>
  <c r="AC55" i="17"/>
  <c r="AC46" i="17"/>
  <c r="AC56" i="17"/>
  <c r="AC47" i="17"/>
  <c r="AC48" i="17"/>
  <c r="AC57" i="17"/>
  <c r="AC49" i="17"/>
  <c r="AC58" i="17"/>
  <c r="AD24" i="31"/>
  <c r="AC23" i="31"/>
  <c r="AC331" i="31" s="1"/>
  <c r="AB60" i="17"/>
  <c r="AA26" i="19" s="1"/>
  <c r="AB16" i="17"/>
  <c r="AB23" i="17"/>
  <c r="AB24" i="17" s="1"/>
  <c r="AB51" i="17"/>
  <c r="AD1" i="17"/>
  <c r="AC4" i="17"/>
  <c r="AC19" i="17"/>
  <c r="AC21" i="17"/>
  <c r="AC22" i="17"/>
  <c r="AC18" i="17"/>
  <c r="AC20" i="17"/>
  <c r="BW2" i="17" l="1"/>
  <c r="BT3" i="17"/>
  <c r="BS3" i="17"/>
  <c r="BV2" i="17"/>
  <c r="BX2" i="17"/>
  <c r="BU3" i="17"/>
  <c r="Z332" i="31"/>
  <c r="Y25" i="30"/>
  <c r="Y26" i="30" s="1"/>
  <c r="AD50" i="17"/>
  <c r="AD59" i="17"/>
  <c r="AD46" i="17"/>
  <c r="AD55" i="17"/>
  <c r="AD56" i="17"/>
  <c r="AD47" i="17"/>
  <c r="AD48" i="17"/>
  <c r="AD57" i="17"/>
  <c r="AD49" i="17"/>
  <c r="AD58" i="17"/>
  <c r="AD23" i="31"/>
  <c r="AD331" i="31" s="1"/>
  <c r="AE24" i="31"/>
  <c r="AD4" i="17"/>
  <c r="AE1" i="17"/>
  <c r="AD20" i="17"/>
  <c r="AD21" i="17"/>
  <c r="AD22" i="17"/>
  <c r="AD18" i="17"/>
  <c r="AD19" i="17"/>
  <c r="AC51" i="17"/>
  <c r="AC60" i="17"/>
  <c r="AB26" i="19" s="1"/>
  <c r="AC16" i="17"/>
  <c r="AC23" i="17"/>
  <c r="AC24" i="17" s="1"/>
  <c r="AA332" i="31" l="1"/>
  <c r="Z25" i="30"/>
  <c r="Z26" i="30" s="1"/>
  <c r="BX3" i="17"/>
  <c r="CA2" i="17"/>
  <c r="BY2" i="17"/>
  <c r="BV3" i="17"/>
  <c r="BZ2" i="17"/>
  <c r="BW3" i="17"/>
  <c r="AE50" i="17"/>
  <c r="AE59" i="17"/>
  <c r="AE55" i="17"/>
  <c r="AE46" i="17"/>
  <c r="AE47" i="17"/>
  <c r="AE56" i="17"/>
  <c r="AE57" i="17"/>
  <c r="AE48" i="17"/>
  <c r="AE58" i="17"/>
  <c r="AE49" i="17"/>
  <c r="AF24" i="31"/>
  <c r="AE23" i="31"/>
  <c r="AD60" i="17"/>
  <c r="AC26" i="19" s="1"/>
  <c r="AD16" i="17"/>
  <c r="AD23" i="17"/>
  <c r="AD24" i="17" s="1"/>
  <c r="AD51" i="17"/>
  <c r="AF1" i="17"/>
  <c r="AE4" i="17"/>
  <c r="AE20" i="17"/>
  <c r="AE18" i="17"/>
  <c r="AE22" i="17"/>
  <c r="AE19" i="17"/>
  <c r="AE21" i="17"/>
  <c r="BZ3" i="17" l="1"/>
  <c r="CC2" i="17"/>
  <c r="CB2" i="17"/>
  <c r="BY3" i="17"/>
  <c r="CA3" i="17"/>
  <c r="CD2" i="17"/>
  <c r="AB332" i="31"/>
  <c r="AA25" i="30"/>
  <c r="AA26" i="30" s="1"/>
  <c r="AF59" i="17"/>
  <c r="AF50" i="17"/>
  <c r="AF46" i="17"/>
  <c r="AF55" i="17"/>
  <c r="AF47" i="17"/>
  <c r="AF56" i="17"/>
  <c r="AF48" i="17"/>
  <c r="AF57" i="17"/>
  <c r="AF49" i="17"/>
  <c r="AF58" i="17"/>
  <c r="AE331" i="31"/>
  <c r="AF23" i="31"/>
  <c r="AG24" i="31"/>
  <c r="AE51" i="17"/>
  <c r="AG1" i="17"/>
  <c r="AF4" i="17"/>
  <c r="AF18" i="17"/>
  <c r="AF19" i="17"/>
  <c r="AF20" i="17"/>
  <c r="AF21" i="17"/>
  <c r="AF22" i="17"/>
  <c r="AE16" i="17"/>
  <c r="AE23" i="17"/>
  <c r="AE24" i="17" s="1"/>
  <c r="AE60" i="17"/>
  <c r="AD26" i="19" s="1"/>
  <c r="L26" i="41" s="1"/>
  <c r="AC332" i="31" l="1"/>
  <c r="AB25" i="30"/>
  <c r="AB26" i="30" s="1"/>
  <c r="CG2" i="17"/>
  <c r="CD3" i="17"/>
  <c r="CB3" i="17"/>
  <c r="CE2" i="17"/>
  <c r="CF2" i="17"/>
  <c r="CC3" i="17"/>
  <c r="AG50" i="17"/>
  <c r="AG59" i="17"/>
  <c r="AG55" i="17"/>
  <c r="AG46" i="17"/>
  <c r="AG56" i="17"/>
  <c r="AG47" i="17"/>
  <c r="AG48" i="17"/>
  <c r="AG57" i="17"/>
  <c r="AG58" i="17"/>
  <c r="AG49" i="17"/>
  <c r="AF331" i="31"/>
  <c r="AH24" i="31"/>
  <c r="AG23" i="31"/>
  <c r="AF16" i="17"/>
  <c r="AF23" i="17"/>
  <c r="AF24" i="17" s="1"/>
  <c r="AF51" i="17"/>
  <c r="AH1" i="17"/>
  <c r="AG4" i="17"/>
  <c r="AG21" i="17"/>
  <c r="AG19" i="17"/>
  <c r="AG18" i="17"/>
  <c r="AG20" i="17"/>
  <c r="AG22" i="17"/>
  <c r="AF60" i="17"/>
  <c r="AE26" i="19" s="1"/>
  <c r="CF3" i="17" l="1"/>
  <c r="CI2" i="17"/>
  <c r="CH2" i="17"/>
  <c r="CE3" i="17"/>
  <c r="CJ2" i="17"/>
  <c r="CG3" i="17"/>
  <c r="AD332" i="31"/>
  <c r="AC25" i="30"/>
  <c r="AC26" i="30" s="1"/>
  <c r="AH50" i="17"/>
  <c r="AH59" i="17"/>
  <c r="AH55" i="17"/>
  <c r="AH46" i="17"/>
  <c r="AH47" i="17"/>
  <c r="AH56" i="17"/>
  <c r="AH48" i="17"/>
  <c r="AH57" i="17"/>
  <c r="AH58" i="17"/>
  <c r="AH49" i="17"/>
  <c r="AG331" i="31"/>
  <c r="AH23" i="31"/>
  <c r="AI24" i="31"/>
  <c r="AH4" i="17"/>
  <c r="AI1" i="17"/>
  <c r="AI10" i="17" s="1"/>
  <c r="AH18" i="17"/>
  <c r="AH19" i="17"/>
  <c r="AH20" i="17"/>
  <c r="AH21" i="17"/>
  <c r="AH22" i="17"/>
  <c r="AG51" i="17"/>
  <c r="AG16" i="17"/>
  <c r="AG23" i="17"/>
  <c r="AG24" i="17" s="1"/>
  <c r="AG60" i="17"/>
  <c r="AF26" i="19" s="1"/>
  <c r="AE332" i="31" l="1"/>
  <c r="AD25" i="30"/>
  <c r="AD26" i="30" s="1"/>
  <c r="AD340" i="31"/>
  <c r="CM2" i="17"/>
  <c r="CJ3" i="17"/>
  <c r="CH3" i="17"/>
  <c r="CK2" i="17"/>
  <c r="CI3" i="17"/>
  <c r="CL2" i="17"/>
  <c r="AI50" i="17"/>
  <c r="AI59" i="17"/>
  <c r="AI46" i="17"/>
  <c r="AI55" i="17"/>
  <c r="AI47" i="17"/>
  <c r="AI56" i="17"/>
  <c r="AI48" i="17"/>
  <c r="AI57" i="17"/>
  <c r="AI58" i="17"/>
  <c r="AI49" i="17"/>
  <c r="AH331" i="31"/>
  <c r="AI23" i="31"/>
  <c r="AJ24" i="31"/>
  <c r="AH16" i="17"/>
  <c r="AH23" i="17"/>
  <c r="AH24" i="17" s="1"/>
  <c r="AH60" i="17"/>
  <c r="AG26" i="19" s="1"/>
  <c r="M26" i="41" s="1"/>
  <c r="AH51" i="17"/>
  <c r="AJ1" i="17"/>
  <c r="AI4" i="17"/>
  <c r="AI18" i="17"/>
  <c r="AI22" i="17"/>
  <c r="AI20" i="17"/>
  <c r="AI19" i="17"/>
  <c r="AI21" i="17"/>
  <c r="CN2" i="17" l="1"/>
  <c r="CK3" i="17"/>
  <c r="CM3" i="17"/>
  <c r="CP2" i="17"/>
  <c r="CO2" i="17"/>
  <c r="CL3" i="17"/>
  <c r="AF332" i="31"/>
  <c r="AE25" i="30"/>
  <c r="AE26" i="30" s="1"/>
  <c r="AJ50" i="17"/>
  <c r="AJ59" i="17"/>
  <c r="AJ46" i="17"/>
  <c r="AJ55" i="17"/>
  <c r="AJ56" i="17"/>
  <c r="AJ47" i="17"/>
  <c r="AJ48" i="17"/>
  <c r="AJ57" i="17"/>
  <c r="AJ49" i="17"/>
  <c r="AJ58" i="17"/>
  <c r="AI331" i="31"/>
  <c r="AJ23" i="31"/>
  <c r="AK24" i="31"/>
  <c r="AI60" i="17"/>
  <c r="AH26" i="19" s="1"/>
  <c r="AI51" i="17"/>
  <c r="AK1" i="17"/>
  <c r="AJ4" i="17"/>
  <c r="AJ18" i="17"/>
  <c r="AJ19" i="17"/>
  <c r="AJ20" i="17"/>
  <c r="AJ21" i="17"/>
  <c r="AJ22" i="17"/>
  <c r="AI16" i="17"/>
  <c r="AI23" i="17"/>
  <c r="AI24" i="17" s="1"/>
  <c r="AG332" i="31" l="1"/>
  <c r="AF25" i="30"/>
  <c r="AF26" i="30" s="1"/>
  <c r="CO3" i="17"/>
  <c r="CR2" i="17"/>
  <c r="CP3" i="17"/>
  <c r="CS2" i="17"/>
  <c r="CN3" i="17"/>
  <c r="CQ2" i="17"/>
  <c r="AK50" i="17"/>
  <c r="AK59" i="17"/>
  <c r="AK46" i="17"/>
  <c r="AK55" i="17"/>
  <c r="AK56" i="17"/>
  <c r="AK47" i="17"/>
  <c r="AK48" i="17"/>
  <c r="AK57" i="17"/>
  <c r="AK58" i="17"/>
  <c r="AK49" i="17"/>
  <c r="AJ331" i="31"/>
  <c r="AL24" i="31"/>
  <c r="AK23" i="31"/>
  <c r="AJ16" i="17"/>
  <c r="AJ23" i="17"/>
  <c r="AJ24" i="17" s="1"/>
  <c r="AJ60" i="17"/>
  <c r="AI26" i="19" s="1"/>
  <c r="AL1" i="17"/>
  <c r="AK4" i="17"/>
  <c r="AK19" i="17"/>
  <c r="AK21" i="17"/>
  <c r="AK18" i="17"/>
  <c r="AK20" i="17"/>
  <c r="AK22" i="17"/>
  <c r="AJ51" i="17"/>
  <c r="CV2" i="17" l="1"/>
  <c r="CS3" i="17"/>
  <c r="CU2" i="17"/>
  <c r="CR3" i="17"/>
  <c r="CQ3" i="17"/>
  <c r="CT2" i="17"/>
  <c r="AH332" i="31"/>
  <c r="AG25" i="30"/>
  <c r="AG26" i="30" s="1"/>
  <c r="AL50" i="17"/>
  <c r="AL59" i="17"/>
  <c r="AL46" i="17"/>
  <c r="AL55" i="17"/>
  <c r="AL47" i="17"/>
  <c r="AL56" i="17"/>
  <c r="AL48" i="17"/>
  <c r="AL57" i="17"/>
  <c r="AL58" i="17"/>
  <c r="AL49" i="17"/>
  <c r="AK331" i="31"/>
  <c r="AM24" i="31"/>
  <c r="AL23" i="31"/>
  <c r="AK51" i="17"/>
  <c r="AL4" i="17"/>
  <c r="AM1" i="17"/>
  <c r="AL18" i="17"/>
  <c r="AL19" i="17"/>
  <c r="AL20" i="17"/>
  <c r="AL21" i="17"/>
  <c r="AL22" i="17"/>
  <c r="AK60" i="17"/>
  <c r="AJ26" i="19" s="1"/>
  <c r="N26" i="41" s="1"/>
  <c r="N27" i="41" s="1"/>
  <c r="AK16" i="17"/>
  <c r="AK23" i="17"/>
  <c r="AK24" i="17" s="1"/>
  <c r="AI332" i="31" l="1"/>
  <c r="AH25" i="30"/>
  <c r="AH26" i="30" s="1"/>
  <c r="CW2" i="17"/>
  <c r="CT3" i="17"/>
  <c r="CX2" i="17"/>
  <c r="CU3" i="17"/>
  <c r="CY2" i="17"/>
  <c r="CV3" i="17"/>
  <c r="AM50" i="17"/>
  <c r="AM59" i="17"/>
  <c r="AM55" i="17"/>
  <c r="AM46" i="17"/>
  <c r="AM47" i="17"/>
  <c r="AM56" i="17"/>
  <c r="AM57" i="17"/>
  <c r="AM48" i="17"/>
  <c r="AM58" i="17"/>
  <c r="AM49" i="17"/>
  <c r="AL331" i="31"/>
  <c r="AM23" i="31"/>
  <c r="AN24" i="31"/>
  <c r="AL51" i="17"/>
  <c r="AL16" i="17"/>
  <c r="AL23" i="17"/>
  <c r="AL24" i="17" s="1"/>
  <c r="AL60" i="17"/>
  <c r="AK26" i="19" s="1"/>
  <c r="AN1" i="17"/>
  <c r="AM4" i="17"/>
  <c r="AM20" i="17"/>
  <c r="AM18" i="17"/>
  <c r="AM22" i="17"/>
  <c r="AM19" i="17"/>
  <c r="AM21" i="17"/>
  <c r="DB2" i="17" l="1"/>
  <c r="CY3" i="17"/>
  <c r="CX3" i="17"/>
  <c r="DA2" i="17"/>
  <c r="CW3" i="17"/>
  <c r="CZ2" i="17"/>
  <c r="AJ332" i="31"/>
  <c r="AI25" i="30"/>
  <c r="AI26" i="30" s="1"/>
  <c r="AN59" i="17"/>
  <c r="AN50" i="17"/>
  <c r="AN46" i="17"/>
  <c r="AN55" i="17"/>
  <c r="AN56" i="17"/>
  <c r="AN47" i="17"/>
  <c r="AN57" i="17"/>
  <c r="AN48" i="17"/>
  <c r="AN58" i="17"/>
  <c r="AN49" i="17"/>
  <c r="AM331" i="31"/>
  <c r="AN23" i="31"/>
  <c r="AO24" i="31"/>
  <c r="AM51" i="17"/>
  <c r="AO1" i="17"/>
  <c r="AN4" i="17"/>
  <c r="AN21" i="17"/>
  <c r="AN22" i="17"/>
  <c r="AN18" i="17"/>
  <c r="AN19" i="17"/>
  <c r="AN20" i="17"/>
  <c r="AM60" i="17"/>
  <c r="AL26" i="19" s="1"/>
  <c r="AM16" i="17"/>
  <c r="AM23" i="17"/>
  <c r="AM24" i="17" s="1"/>
  <c r="AK332" i="31" l="1"/>
  <c r="AJ25" i="30"/>
  <c r="AJ26" i="30" s="1"/>
  <c r="DD2" i="17"/>
  <c r="DA3" i="17"/>
  <c r="DC2" i="17"/>
  <c r="CZ3" i="17"/>
  <c r="DE2" i="17"/>
  <c r="DB3" i="17"/>
  <c r="AO50" i="17"/>
  <c r="AO59" i="17"/>
  <c r="AO46" i="17"/>
  <c r="AO55" i="17"/>
  <c r="AO47" i="17"/>
  <c r="AO56" i="17"/>
  <c r="AO48" i="17"/>
  <c r="AO57" i="17"/>
  <c r="AO49" i="17"/>
  <c r="AO58" i="17"/>
  <c r="AN331" i="31"/>
  <c r="AP24" i="31"/>
  <c r="AO23" i="31"/>
  <c r="AN16" i="17"/>
  <c r="AN23" i="17"/>
  <c r="AN24" i="17" s="1"/>
  <c r="AN51" i="17"/>
  <c r="AN60" i="17"/>
  <c r="AM26" i="19" s="1"/>
  <c r="AO4" i="17"/>
  <c r="AP1" i="17"/>
  <c r="AO21" i="17"/>
  <c r="AO19" i="17"/>
  <c r="AO20" i="17"/>
  <c r="AO22" i="17"/>
  <c r="AO18" i="17"/>
  <c r="DH2" i="17" l="1"/>
  <c r="DE3" i="17"/>
  <c r="DF2" i="17"/>
  <c r="DC3" i="17"/>
  <c r="DG2" i="17"/>
  <c r="DD3" i="17"/>
  <c r="AL332" i="31"/>
  <c r="AK25" i="30"/>
  <c r="AK26" i="30" s="1"/>
  <c r="AP50" i="17"/>
  <c r="AP59" i="17"/>
  <c r="AP46" i="17"/>
  <c r="AP55" i="17"/>
  <c r="AP47" i="17"/>
  <c r="AP56" i="17"/>
  <c r="AP57" i="17"/>
  <c r="AP48" i="17"/>
  <c r="AP58" i="17"/>
  <c r="AP49" i="17"/>
  <c r="AO331" i="31"/>
  <c r="AQ24" i="31"/>
  <c r="AP23" i="31"/>
  <c r="AO16" i="17"/>
  <c r="AO23" i="17"/>
  <c r="AO24" i="17" s="1"/>
  <c r="AO51" i="17"/>
  <c r="AO60" i="17"/>
  <c r="AN26" i="19" s="1"/>
  <c r="AP4" i="17"/>
  <c r="AQ1" i="17"/>
  <c r="AP18" i="17"/>
  <c r="AP19" i="17"/>
  <c r="AP20" i="17"/>
  <c r="AP21" i="17"/>
  <c r="AP22" i="17"/>
  <c r="AM332" i="31" l="1"/>
  <c r="AL25" i="30"/>
  <c r="AL26" i="30" s="1"/>
  <c r="DG3" i="17"/>
  <c r="DJ2" i="17"/>
  <c r="DF3" i="17"/>
  <c r="DI2" i="17"/>
  <c r="DK2" i="17"/>
  <c r="DH3" i="17"/>
  <c r="AQ50" i="17"/>
  <c r="AQ59" i="17"/>
  <c r="AQ46" i="17"/>
  <c r="AQ55" i="17"/>
  <c r="AQ47" i="17"/>
  <c r="AQ56" i="17"/>
  <c r="AQ48" i="17"/>
  <c r="AQ57" i="17"/>
  <c r="AQ58" i="17"/>
  <c r="AQ49" i="17"/>
  <c r="AP331" i="31"/>
  <c r="AQ23" i="31"/>
  <c r="AR24" i="31"/>
  <c r="AP60" i="17"/>
  <c r="AO26" i="19" s="1"/>
  <c r="AR1" i="17"/>
  <c r="AR11" i="17" s="1"/>
  <c r="AQ4" i="17"/>
  <c r="AQ18" i="17"/>
  <c r="AQ22" i="17"/>
  <c r="AQ20" i="17"/>
  <c r="AQ19" i="17"/>
  <c r="AQ21" i="17"/>
  <c r="AP16" i="17"/>
  <c r="AP23" i="17"/>
  <c r="AP24" i="17" s="1"/>
  <c r="AP51" i="17"/>
  <c r="DN2" i="17" l="1"/>
  <c r="DK3" i="17"/>
  <c r="DM2" i="17"/>
  <c r="DJ3" i="17"/>
  <c r="DL2" i="17"/>
  <c r="DI3" i="17"/>
  <c r="AN332" i="31"/>
  <c r="AM25" i="30"/>
  <c r="AM26" i="30" s="1"/>
  <c r="AR50" i="17"/>
  <c r="AR59" i="17"/>
  <c r="AR55" i="17"/>
  <c r="AR46" i="17"/>
  <c r="AR47" i="17"/>
  <c r="AR56" i="17"/>
  <c r="AR48" i="17"/>
  <c r="AR57" i="17"/>
  <c r="AR58" i="17"/>
  <c r="AR49" i="17"/>
  <c r="AQ331" i="31"/>
  <c r="AR23" i="31"/>
  <c r="AS24" i="31"/>
  <c r="AQ60" i="17"/>
  <c r="AP26" i="19" s="1"/>
  <c r="AQ51" i="17"/>
  <c r="AQ16" i="17"/>
  <c r="AQ23" i="17"/>
  <c r="AQ24" i="17" s="1"/>
  <c r="AS1" i="17"/>
  <c r="AR4" i="17"/>
  <c r="AR18" i="17"/>
  <c r="AR19" i="17"/>
  <c r="AR20" i="17"/>
  <c r="AR21" i="17"/>
  <c r="AR22" i="17"/>
  <c r="AO332" i="31" l="1"/>
  <c r="AN25" i="30"/>
  <c r="AN26" i="30" s="1"/>
  <c r="DO2" i="17"/>
  <c r="DL3" i="17"/>
  <c r="DM3" i="17"/>
  <c r="DP2" i="17"/>
  <c r="DN3" i="17"/>
  <c r="DQ2" i="17"/>
  <c r="AS50" i="17"/>
  <c r="AS59" i="17"/>
  <c r="AS55" i="17"/>
  <c r="AS46" i="17"/>
  <c r="AS56" i="17"/>
  <c r="AS47" i="17"/>
  <c r="AS57" i="17"/>
  <c r="AS48" i="17"/>
  <c r="AS58" i="17"/>
  <c r="AS49" i="17"/>
  <c r="AR331" i="31"/>
  <c r="AS23" i="31"/>
  <c r="AT24" i="31"/>
  <c r="AR60" i="17"/>
  <c r="AQ26" i="19" s="1"/>
  <c r="AR51" i="17"/>
  <c r="AR16" i="17"/>
  <c r="AR23" i="17"/>
  <c r="AR24" i="17" s="1"/>
  <c r="AT1" i="17"/>
  <c r="AS4" i="17"/>
  <c r="AS19" i="17"/>
  <c r="AS21" i="17"/>
  <c r="AS18" i="17"/>
  <c r="AS20" i="17"/>
  <c r="AS22" i="17"/>
  <c r="DS2" i="17" l="1"/>
  <c r="DP3" i="17"/>
  <c r="DQ3" i="17"/>
  <c r="DT2" i="17"/>
  <c r="DR2" i="17"/>
  <c r="DO3" i="17"/>
  <c r="AP332" i="31"/>
  <c r="AO25" i="30"/>
  <c r="AO26" i="30" s="1"/>
  <c r="AT50" i="17"/>
  <c r="AT59" i="17"/>
  <c r="AT55" i="17"/>
  <c r="AT46" i="17"/>
  <c r="AT47" i="17"/>
  <c r="AT56" i="17"/>
  <c r="AT57" i="17"/>
  <c r="AT48" i="17"/>
  <c r="AT58" i="17"/>
  <c r="AT49" i="17"/>
  <c r="AS331" i="31"/>
  <c r="AU24" i="31"/>
  <c r="AT23" i="31"/>
  <c r="AS60" i="17"/>
  <c r="AR26" i="19" s="1"/>
  <c r="AS16" i="17"/>
  <c r="AS23" i="17"/>
  <c r="AS24" i="17" s="1"/>
  <c r="AS51" i="17"/>
  <c r="AT4" i="17"/>
  <c r="AU1" i="17"/>
  <c r="AT18" i="17"/>
  <c r="AT19" i="17"/>
  <c r="AT20" i="17"/>
  <c r="AT21" i="17"/>
  <c r="AT22" i="17"/>
  <c r="AQ332" i="31" l="1"/>
  <c r="AP25" i="30"/>
  <c r="AP26" i="30" s="1"/>
  <c r="DU2" i="17"/>
  <c r="DR3" i="17"/>
  <c r="DW2" i="17"/>
  <c r="DT3" i="17"/>
  <c r="DS3" i="17"/>
  <c r="DV2" i="17"/>
  <c r="AU59" i="17"/>
  <c r="AU50" i="17"/>
  <c r="AU55" i="17"/>
  <c r="AU46" i="17"/>
  <c r="AU56" i="17"/>
  <c r="AU47" i="17"/>
  <c r="AU48" i="17"/>
  <c r="AU57" i="17"/>
  <c r="AU49" i="17"/>
  <c r="AU58" i="17"/>
  <c r="AT331" i="31"/>
  <c r="AV24" i="31"/>
  <c r="AU23" i="31"/>
  <c r="AU4" i="17"/>
  <c r="AV1" i="17"/>
  <c r="AU20" i="17"/>
  <c r="AU18" i="17"/>
  <c r="AU22" i="17"/>
  <c r="AU19" i="17"/>
  <c r="AU21" i="17"/>
  <c r="AT60" i="17"/>
  <c r="AS26" i="19" s="1"/>
  <c r="Q26" i="41" s="1"/>
  <c r="Q27" i="41" s="1"/>
  <c r="AT51" i="17"/>
  <c r="AT16" i="17"/>
  <c r="AT23" i="17"/>
  <c r="AT24" i="17" s="1"/>
  <c r="DY2" i="17" l="1"/>
  <c r="DV3" i="17"/>
  <c r="DZ2" i="17"/>
  <c r="DW3" i="17"/>
  <c r="DU3" i="17"/>
  <c r="DX2" i="17"/>
  <c r="AR332" i="31"/>
  <c r="AQ25" i="30"/>
  <c r="AQ26" i="30" s="1"/>
  <c r="AV50" i="17"/>
  <c r="AV59" i="17"/>
  <c r="AV46" i="17"/>
  <c r="AV55" i="17"/>
  <c r="AV56" i="17"/>
  <c r="AV47" i="17"/>
  <c r="AV48" i="17"/>
  <c r="AV57" i="17"/>
  <c r="AV58" i="17"/>
  <c r="AV49" i="17"/>
  <c r="AU331" i="31"/>
  <c r="AV23" i="31"/>
  <c r="AW24" i="31"/>
  <c r="AU60" i="17"/>
  <c r="AT26" i="19" s="1"/>
  <c r="AU16" i="17"/>
  <c r="AU23" i="17"/>
  <c r="AU24" i="17" s="1"/>
  <c r="AW1" i="17"/>
  <c r="AV4" i="17"/>
  <c r="AV18" i="17"/>
  <c r="AV19" i="17"/>
  <c r="AV20" i="17"/>
  <c r="AV21" i="17"/>
  <c r="AV22" i="17"/>
  <c r="AU51" i="17"/>
  <c r="AS332" i="31" l="1"/>
  <c r="AR25" i="30"/>
  <c r="AR26" i="30" s="1"/>
  <c r="EA2" i="17"/>
  <c r="DX3" i="17"/>
  <c r="EC2" i="17"/>
  <c r="DZ3" i="17"/>
  <c r="EB2" i="17"/>
  <c r="DY3" i="17"/>
  <c r="AW50" i="17"/>
  <c r="AW59" i="17"/>
  <c r="AW55" i="17"/>
  <c r="AW46" i="17"/>
  <c r="AW47" i="17"/>
  <c r="AW56" i="17"/>
  <c r="AW57" i="17"/>
  <c r="AW48" i="17"/>
  <c r="AW58" i="17"/>
  <c r="AW49" i="17"/>
  <c r="AV331" i="31"/>
  <c r="AW23" i="31"/>
  <c r="AX24" i="31"/>
  <c r="AV51" i="17"/>
  <c r="AW4" i="17"/>
  <c r="AX1" i="17"/>
  <c r="AW21" i="17"/>
  <c r="AW19" i="17"/>
  <c r="AW18" i="17"/>
  <c r="AW20" i="17"/>
  <c r="AW22" i="17"/>
  <c r="AV60" i="17"/>
  <c r="AU26" i="19" s="1"/>
  <c r="AV16" i="17"/>
  <c r="AV23" i="17"/>
  <c r="AV24" i="17" s="1"/>
  <c r="EB3" i="17" l="1"/>
  <c r="EE2" i="17"/>
  <c r="EC3" i="17"/>
  <c r="EF2" i="17"/>
  <c r="EA3" i="17"/>
  <c r="ED2" i="17"/>
  <c r="AT332" i="31"/>
  <c r="AS25" i="30"/>
  <c r="AS26" i="30" s="1"/>
  <c r="AX50" i="17"/>
  <c r="AX59" i="17"/>
  <c r="AX55" i="17"/>
  <c r="AX46" i="17"/>
  <c r="AX47" i="17"/>
  <c r="AX56" i="17"/>
  <c r="AX48" i="17"/>
  <c r="AX57" i="17"/>
  <c r="AX58" i="17"/>
  <c r="AX49" i="17"/>
  <c r="AW331" i="31"/>
  <c r="AX23" i="31"/>
  <c r="AY24" i="31"/>
  <c r="AW60" i="17"/>
  <c r="AV26" i="19" s="1"/>
  <c r="R26" i="41" s="1"/>
  <c r="R27" i="41" s="1"/>
  <c r="AX4" i="17"/>
  <c r="AY1" i="17"/>
  <c r="AX22" i="17"/>
  <c r="AX18" i="17"/>
  <c r="AX19" i="17"/>
  <c r="AX20" i="17"/>
  <c r="AX21" i="17"/>
  <c r="AW16" i="17"/>
  <c r="AW23" i="17"/>
  <c r="AW24" i="17" s="1"/>
  <c r="AW51" i="17"/>
  <c r="AU332" i="31" l="1"/>
  <c r="AT25" i="30"/>
  <c r="AT26" i="30" s="1"/>
  <c r="ED3" i="17"/>
  <c r="EG2" i="17"/>
  <c r="EI2" i="17"/>
  <c r="EF3" i="17"/>
  <c r="EH2" i="17"/>
  <c r="EE3" i="17"/>
  <c r="AY50" i="17"/>
  <c r="AY59" i="17"/>
  <c r="AY55" i="17"/>
  <c r="AY46" i="17"/>
  <c r="AY47" i="17"/>
  <c r="AY56" i="17"/>
  <c r="AY48" i="17"/>
  <c r="AY57" i="17"/>
  <c r="AY58" i="17"/>
  <c r="AY49" i="17"/>
  <c r="AX331" i="31"/>
  <c r="AY23" i="31"/>
  <c r="AZ24" i="31"/>
  <c r="AX60" i="17"/>
  <c r="AW26" i="19" s="1"/>
  <c r="AX51" i="17"/>
  <c r="AX16" i="17"/>
  <c r="AX23" i="17"/>
  <c r="AX24" i="17" s="1"/>
  <c r="AZ1" i="17"/>
  <c r="AY4" i="17"/>
  <c r="AY18" i="17"/>
  <c r="AY22" i="17"/>
  <c r="AY20" i="17"/>
  <c r="AY21" i="17"/>
  <c r="AY19" i="17"/>
  <c r="EK2" i="17" l="1"/>
  <c r="EH3" i="17"/>
  <c r="EI3" i="17"/>
  <c r="EL2" i="17"/>
  <c r="EG3" i="17"/>
  <c r="EJ2" i="17"/>
  <c r="AV332" i="31"/>
  <c r="AU25" i="30"/>
  <c r="AU26" i="30" s="1"/>
  <c r="AZ50" i="17"/>
  <c r="AZ59" i="17"/>
  <c r="AZ46" i="17"/>
  <c r="AZ55" i="17"/>
  <c r="AZ56" i="17"/>
  <c r="AZ47" i="17"/>
  <c r="AZ48" i="17"/>
  <c r="AZ57" i="17"/>
  <c r="AZ58" i="17"/>
  <c r="AZ49" i="17"/>
  <c r="AY331" i="31"/>
  <c r="AZ23" i="31"/>
  <c r="BA24" i="31"/>
  <c r="AY16" i="17"/>
  <c r="AY23" i="17"/>
  <c r="AY24" i="17" s="1"/>
  <c r="AY60" i="17"/>
  <c r="AX26" i="19" s="1"/>
  <c r="AY51" i="17"/>
  <c r="BA1" i="17"/>
  <c r="BA12" i="17" s="1"/>
  <c r="AZ4" i="17"/>
  <c r="AZ19" i="17"/>
  <c r="AZ20" i="17"/>
  <c r="AZ21" i="17"/>
  <c r="AZ22" i="17"/>
  <c r="AZ18" i="17"/>
  <c r="AW332" i="31" l="1"/>
  <c r="AV25" i="30"/>
  <c r="AV26" i="30" s="1"/>
  <c r="EM2" i="17"/>
  <c r="EJ3" i="17"/>
  <c r="EL3" i="17"/>
  <c r="EO2" i="17"/>
  <c r="EK3" i="17"/>
  <c r="EN2" i="17"/>
  <c r="BA50" i="17"/>
  <c r="BA59" i="17"/>
  <c r="BA55" i="17"/>
  <c r="BA46" i="17"/>
  <c r="BA56" i="17"/>
  <c r="BA47" i="17"/>
  <c r="BA48" i="17"/>
  <c r="BA57" i="17"/>
  <c r="BA58" i="17"/>
  <c r="BA49" i="17"/>
  <c r="AZ331" i="31"/>
  <c r="BB24" i="31"/>
  <c r="BA23" i="31"/>
  <c r="AZ16" i="17"/>
  <c r="AZ23" i="17"/>
  <c r="AZ24" i="17" s="1"/>
  <c r="AZ60" i="17"/>
  <c r="AY26" i="19" s="1"/>
  <c r="AZ51" i="17"/>
  <c r="BB1" i="17"/>
  <c r="BA4" i="17"/>
  <c r="BA19" i="17"/>
  <c r="BA21" i="17"/>
  <c r="BA18" i="17"/>
  <c r="BA20" i="17"/>
  <c r="BA22" i="17"/>
  <c r="ER2" i="17" l="1"/>
  <c r="EO3" i="17"/>
  <c r="EM3" i="17"/>
  <c r="EP2" i="17"/>
  <c r="EN3" i="17"/>
  <c r="EQ2" i="17"/>
  <c r="AX332" i="31"/>
  <c r="AW25" i="30"/>
  <c r="AW26" i="30" s="1"/>
  <c r="BB59" i="17"/>
  <c r="BB50" i="17"/>
  <c r="BB46" i="17"/>
  <c r="BB55" i="17"/>
  <c r="BB47" i="17"/>
  <c r="BB56" i="17"/>
  <c r="BB48" i="17"/>
  <c r="BB57" i="17"/>
  <c r="BB49" i="17"/>
  <c r="BB58" i="17"/>
  <c r="BA331" i="31"/>
  <c r="BB23" i="31"/>
  <c r="BC24" i="31"/>
  <c r="BC1" i="17"/>
  <c r="BB4" i="17"/>
  <c r="BB18" i="17"/>
  <c r="BB19" i="17"/>
  <c r="BB20" i="17"/>
  <c r="BB21" i="17"/>
  <c r="BB22" i="17"/>
  <c r="BA51" i="17"/>
  <c r="BA16" i="17"/>
  <c r="BA23" i="17"/>
  <c r="BA24" i="17" s="1"/>
  <c r="BA60" i="17"/>
  <c r="AZ26" i="19" s="1"/>
  <c r="AY332" i="31" l="1"/>
  <c r="AX25" i="30"/>
  <c r="AX26" i="30" s="1"/>
  <c r="ES2" i="17"/>
  <c r="EP3" i="17"/>
  <c r="ET2" i="17"/>
  <c r="EQ3" i="17"/>
  <c r="EU2" i="17"/>
  <c r="ER3" i="17"/>
  <c r="BC50" i="17"/>
  <c r="BC59" i="17"/>
  <c r="BC55" i="17"/>
  <c r="BC46" i="17"/>
  <c r="BC47" i="17"/>
  <c r="BC56" i="17"/>
  <c r="BC48" i="17"/>
  <c r="BC57" i="17"/>
  <c r="BC58" i="17"/>
  <c r="BC49" i="17"/>
  <c r="BB331" i="31"/>
  <c r="BD24" i="31"/>
  <c r="BC23" i="31"/>
  <c r="BB16" i="17"/>
  <c r="BB23" i="17"/>
  <c r="BB24" i="17" s="1"/>
  <c r="BB60" i="17"/>
  <c r="BA26" i="19" s="1"/>
  <c r="BB51" i="17"/>
  <c r="BD1" i="17"/>
  <c r="BC4" i="17"/>
  <c r="BC20" i="17"/>
  <c r="BC18" i="17"/>
  <c r="BC22" i="17"/>
  <c r="BC19" i="17"/>
  <c r="BC21" i="17"/>
  <c r="EU3" i="17" l="1"/>
  <c r="EX2" i="17"/>
  <c r="EW2" i="17"/>
  <c r="ET3" i="17"/>
  <c r="ES3" i="17"/>
  <c r="EV2" i="17"/>
  <c r="AZ332" i="31"/>
  <c r="AY25" i="30"/>
  <c r="AY26" i="30" s="1"/>
  <c r="BD50" i="17"/>
  <c r="BD59" i="17"/>
  <c r="BD46" i="17"/>
  <c r="BD55" i="17"/>
  <c r="BD56" i="17"/>
  <c r="BD47" i="17"/>
  <c r="BD57" i="17"/>
  <c r="BD48" i="17"/>
  <c r="BD58" i="17"/>
  <c r="BD49" i="17"/>
  <c r="BC331" i="31"/>
  <c r="BE24" i="31"/>
  <c r="BD23" i="31"/>
  <c r="BE1" i="17"/>
  <c r="BD4" i="17"/>
  <c r="BD18" i="17"/>
  <c r="BD19" i="17"/>
  <c r="BD20" i="17"/>
  <c r="BD21" i="17"/>
  <c r="BD22" i="17"/>
  <c r="BC60" i="17"/>
  <c r="BB26" i="19" s="1"/>
  <c r="T26" i="41" s="1"/>
  <c r="T27" i="41" s="1"/>
  <c r="BC16" i="17"/>
  <c r="BC23" i="17"/>
  <c r="BC24" i="17" s="1"/>
  <c r="BC51" i="17"/>
  <c r="BA332" i="31" l="1"/>
  <c r="AZ25" i="30"/>
  <c r="AZ26" i="30" s="1"/>
  <c r="EY2" i="17"/>
  <c r="EV3" i="17"/>
  <c r="EW3" i="17"/>
  <c r="EZ2" i="17"/>
  <c r="FA2" i="17"/>
  <c r="EX3" i="17"/>
  <c r="BE50" i="17"/>
  <c r="BE59" i="17"/>
  <c r="BE55" i="17"/>
  <c r="BE46" i="17"/>
  <c r="BE47" i="17"/>
  <c r="BE56" i="17"/>
  <c r="BE57" i="17"/>
  <c r="BE48" i="17"/>
  <c r="BE49" i="17"/>
  <c r="BE58" i="17"/>
  <c r="BD331" i="31"/>
  <c r="BE23" i="31"/>
  <c r="BF24" i="31"/>
  <c r="BD60" i="17"/>
  <c r="BC26" i="19" s="1"/>
  <c r="BD16" i="17"/>
  <c r="BD23" i="17"/>
  <c r="BD24" i="17" s="1"/>
  <c r="BD51" i="17"/>
  <c r="BE4" i="17"/>
  <c r="BF1" i="17"/>
  <c r="BE21" i="17"/>
  <c r="BE19" i="17"/>
  <c r="BE18" i="17"/>
  <c r="BE20" i="17"/>
  <c r="BE22" i="17"/>
  <c r="T47" i="41"/>
  <c r="FD2" i="17" l="1"/>
  <c r="FA3" i="17"/>
  <c r="FC2" i="17"/>
  <c r="EZ3" i="17"/>
  <c r="EY3" i="17"/>
  <c r="FB2" i="17"/>
  <c r="BB332" i="31"/>
  <c r="BA25" i="30"/>
  <c r="BA26" i="30" s="1"/>
  <c r="BF50" i="17"/>
  <c r="BF59" i="17"/>
  <c r="BF55" i="17"/>
  <c r="BF46" i="17"/>
  <c r="BF47" i="17"/>
  <c r="BF56" i="17"/>
  <c r="BF57" i="17"/>
  <c r="BF48" i="17"/>
  <c r="BF58" i="17"/>
  <c r="BF49" i="17"/>
  <c r="BE331" i="31"/>
  <c r="BF23" i="31"/>
  <c r="BG24" i="31"/>
  <c r="BG1" i="17"/>
  <c r="BF4" i="17"/>
  <c r="BF18" i="17"/>
  <c r="BF19" i="17"/>
  <c r="BF20" i="17"/>
  <c r="BF21" i="17"/>
  <c r="BF22" i="17"/>
  <c r="BE16" i="17"/>
  <c r="BE23" i="17"/>
  <c r="BE24" i="17" s="1"/>
  <c r="BE60" i="17"/>
  <c r="BD26" i="19" s="1"/>
  <c r="BE51" i="17"/>
  <c r="BC332" i="31" l="1"/>
  <c r="BB25" i="30"/>
  <c r="BB26" i="30" s="1"/>
  <c r="FB3" i="17"/>
  <c r="FE2" i="17"/>
  <c r="FC3" i="17"/>
  <c r="FF2" i="17"/>
  <c r="FG2" i="17"/>
  <c r="FD3" i="17"/>
  <c r="BG50" i="17"/>
  <c r="BG59" i="17"/>
  <c r="BG55" i="17"/>
  <c r="BG46" i="17"/>
  <c r="BG56" i="17"/>
  <c r="BG47" i="17"/>
  <c r="BG57" i="17"/>
  <c r="BG48" i="17"/>
  <c r="BG58" i="17"/>
  <c r="BG49" i="17"/>
  <c r="BF331" i="31"/>
  <c r="BH24" i="31"/>
  <c r="BG23" i="31"/>
  <c r="BF60" i="17"/>
  <c r="BE26" i="19" s="1"/>
  <c r="U26" i="41" s="1"/>
  <c r="U27" i="41" s="1"/>
  <c r="BH1" i="17"/>
  <c r="BG4" i="17"/>
  <c r="BG18" i="17"/>
  <c r="BG22" i="17"/>
  <c r="BG20" i="17"/>
  <c r="BG19" i="17"/>
  <c r="BG21" i="17"/>
  <c r="BF16" i="17"/>
  <c r="BF23" i="17"/>
  <c r="BF24" i="17" s="1"/>
  <c r="BF51" i="17"/>
  <c r="FJ2" i="17" l="1"/>
  <c r="FG3" i="17"/>
  <c r="FI2" i="17"/>
  <c r="FF3" i="17"/>
  <c r="FH2" i="17"/>
  <c r="FE3" i="17"/>
  <c r="BD332" i="31"/>
  <c r="BC25" i="30"/>
  <c r="BC26" i="30" s="1"/>
  <c r="BH50" i="17"/>
  <c r="BH59" i="17"/>
  <c r="BH55" i="17"/>
  <c r="BH46" i="17"/>
  <c r="BH56" i="17"/>
  <c r="BH47" i="17"/>
  <c r="BH57" i="17"/>
  <c r="BH48" i="17"/>
  <c r="BH58" i="17"/>
  <c r="BH49" i="17"/>
  <c r="BG331" i="31"/>
  <c r="BH23" i="31"/>
  <c r="BI24" i="31"/>
  <c r="BG60" i="17"/>
  <c r="BF26" i="19" s="1"/>
  <c r="BG51" i="17"/>
  <c r="BG16" i="17"/>
  <c r="BG23" i="17"/>
  <c r="BG24" i="17" s="1"/>
  <c r="BI1" i="17"/>
  <c r="BH4" i="17"/>
  <c r="BH18" i="17"/>
  <c r="BH19" i="17"/>
  <c r="BH20" i="17"/>
  <c r="BH21" i="17"/>
  <c r="BH22" i="17"/>
  <c r="U47" i="41"/>
  <c r="BE332" i="31" l="1"/>
  <c r="BD25" i="30"/>
  <c r="BD26" i="30" s="1"/>
  <c r="FH3" i="17"/>
  <c r="FK2" i="17"/>
  <c r="FL2" i="17"/>
  <c r="FI3" i="17"/>
  <c r="FM2" i="17"/>
  <c r="FJ3" i="17"/>
  <c r="BI59" i="17"/>
  <c r="BI50" i="17"/>
  <c r="BI55" i="17"/>
  <c r="BI46" i="17"/>
  <c r="BI47" i="17"/>
  <c r="BI56" i="17"/>
  <c r="BI57" i="17"/>
  <c r="BI48" i="17"/>
  <c r="BI49" i="17"/>
  <c r="BI58" i="17"/>
  <c r="BH331" i="31"/>
  <c r="BI23" i="31"/>
  <c r="BJ24" i="31"/>
  <c r="BJ1" i="17"/>
  <c r="BI4" i="17"/>
  <c r="BI19" i="17"/>
  <c r="BI21" i="17"/>
  <c r="BI22" i="17"/>
  <c r="BI18" i="17"/>
  <c r="BI20" i="17"/>
  <c r="BH16" i="17"/>
  <c r="BH23" i="17"/>
  <c r="BH24" i="17" s="1"/>
  <c r="BH51" i="17"/>
  <c r="BH60" i="17"/>
  <c r="BG26" i="19" s="1"/>
  <c r="FP2" i="17" l="1"/>
  <c r="FM3" i="17"/>
  <c r="FO2" i="17"/>
  <c r="FL3" i="17"/>
  <c r="FK3" i="17"/>
  <c r="FN2" i="17"/>
  <c r="BF332" i="31"/>
  <c r="BE25" i="30"/>
  <c r="BE26" i="30" s="1"/>
  <c r="BJ50" i="17"/>
  <c r="BJ59" i="17"/>
  <c r="BJ55" i="17"/>
  <c r="BJ46" i="17"/>
  <c r="BJ56" i="17"/>
  <c r="BJ47" i="17"/>
  <c r="BJ57" i="17"/>
  <c r="BJ48" i="17"/>
  <c r="BJ58" i="17"/>
  <c r="BJ49" i="17"/>
  <c r="BI331" i="31"/>
  <c r="BJ23" i="31"/>
  <c r="BK24" i="31"/>
  <c r="BI16" i="17"/>
  <c r="BI23" i="17"/>
  <c r="BI24" i="17" s="1"/>
  <c r="BI51" i="17"/>
  <c r="BK1" i="17"/>
  <c r="BJ4" i="17"/>
  <c r="BJ20" i="17"/>
  <c r="BJ21" i="17"/>
  <c r="BJ22" i="17"/>
  <c r="BJ18" i="17"/>
  <c r="BJ19" i="17"/>
  <c r="BI60" i="17"/>
  <c r="BH26" i="19" s="1"/>
  <c r="V26" i="41" s="1"/>
  <c r="BG332" i="31" l="1"/>
  <c r="BF25" i="30"/>
  <c r="BF26" i="30" s="1"/>
  <c r="FN3" i="17"/>
  <c r="FQ2" i="17"/>
  <c r="FR2" i="17"/>
  <c r="FO3" i="17"/>
  <c r="FS2" i="17"/>
  <c r="FP3" i="17"/>
  <c r="BK50" i="17"/>
  <c r="BK59" i="17"/>
  <c r="BK55" i="17"/>
  <c r="BK46" i="17"/>
  <c r="BK47" i="17"/>
  <c r="BK56" i="17"/>
  <c r="BK48" i="17"/>
  <c r="BK57" i="17"/>
  <c r="BK58" i="17"/>
  <c r="BK49" i="17"/>
  <c r="BJ331" i="31"/>
  <c r="BL24" i="31"/>
  <c r="BK23" i="31"/>
  <c r="BJ16" i="17"/>
  <c r="BJ23" i="17"/>
  <c r="BJ24" i="17" s="1"/>
  <c r="BL1" i="17"/>
  <c r="BK4" i="17"/>
  <c r="BK20" i="17"/>
  <c r="BK18" i="17"/>
  <c r="BK22" i="17"/>
  <c r="BK19" i="17"/>
  <c r="BK21" i="17"/>
  <c r="V47" i="41"/>
  <c r="BJ51" i="17"/>
  <c r="BJ60" i="17"/>
  <c r="BI26" i="19" s="1"/>
  <c r="FS3" i="17" l="1"/>
  <c r="FV2" i="17"/>
  <c r="FR3" i="17"/>
  <c r="FU2" i="17"/>
  <c r="FQ3" i="17"/>
  <c r="FT2" i="17"/>
  <c r="BH332" i="31"/>
  <c r="BG25" i="30"/>
  <c r="BG26" i="30" s="1"/>
  <c r="BL50" i="17"/>
  <c r="BL59" i="17"/>
  <c r="BL46" i="17"/>
  <c r="BL55" i="17"/>
  <c r="BL56" i="17"/>
  <c r="BL47" i="17"/>
  <c r="BL57" i="17"/>
  <c r="BL48" i="17"/>
  <c r="BL58" i="17"/>
  <c r="BL49" i="17"/>
  <c r="BK331" i="31"/>
  <c r="BL23" i="31"/>
  <c r="BM24" i="31"/>
  <c r="BM1" i="17"/>
  <c r="BL4" i="17"/>
  <c r="BL18" i="17"/>
  <c r="BL19" i="17"/>
  <c r="BL20" i="17"/>
  <c r="BL21" i="17"/>
  <c r="BL22" i="17"/>
  <c r="BK51" i="17"/>
  <c r="BK16" i="17"/>
  <c r="BK23" i="17"/>
  <c r="BK24" i="17" s="1"/>
  <c r="BK60" i="17"/>
  <c r="BJ26" i="19" s="1"/>
  <c r="BI332" i="31" l="1"/>
  <c r="BH25" i="30"/>
  <c r="BH26" i="30" s="1"/>
  <c r="FW2" i="17"/>
  <c r="FT3" i="17"/>
  <c r="FU3" i="17"/>
  <c r="FX2" i="17"/>
  <c r="FY2" i="17"/>
  <c r="FV3" i="17"/>
  <c r="BM50" i="17"/>
  <c r="BM59" i="17"/>
  <c r="BM55" i="17"/>
  <c r="BM46" i="17"/>
  <c r="BM47" i="17"/>
  <c r="BM56" i="17"/>
  <c r="BM57" i="17"/>
  <c r="BM48" i="17"/>
  <c r="BM49" i="17"/>
  <c r="BM58" i="17"/>
  <c r="BL331" i="31"/>
  <c r="BM23" i="31"/>
  <c r="BN24" i="31"/>
  <c r="BL51" i="17"/>
  <c r="BL60" i="17"/>
  <c r="BK26" i="19" s="1"/>
  <c r="W26" i="41" s="1"/>
  <c r="BM4" i="17"/>
  <c r="BN1" i="17"/>
  <c r="BM21" i="17"/>
  <c r="BM19" i="17"/>
  <c r="BM18" i="17"/>
  <c r="BM20" i="17"/>
  <c r="BM22" i="17"/>
  <c r="BL16" i="17"/>
  <c r="BL23" i="17"/>
  <c r="BL24" i="17" s="1"/>
  <c r="FY3" i="17" l="1"/>
  <c r="GB2" i="17"/>
  <c r="GA2" i="17"/>
  <c r="FX3" i="17"/>
  <c r="FZ2" i="17"/>
  <c r="FW3" i="17"/>
  <c r="BJ332" i="31"/>
  <c r="BI25" i="30"/>
  <c r="BI26" i="30" s="1"/>
  <c r="BN50" i="17"/>
  <c r="BN59" i="17"/>
  <c r="BN55" i="17"/>
  <c r="BN46" i="17"/>
  <c r="BN56" i="17"/>
  <c r="BN47" i="17"/>
  <c r="BN48" i="17"/>
  <c r="BN57" i="17"/>
  <c r="BN58" i="17"/>
  <c r="BN49" i="17"/>
  <c r="BM331" i="31"/>
  <c r="BN23" i="31"/>
  <c r="BO24" i="31"/>
  <c r="BM60" i="17"/>
  <c r="BL26" i="19" s="1"/>
  <c r="BM51" i="17"/>
  <c r="BM16" i="17"/>
  <c r="BM23" i="17"/>
  <c r="BM24" i="17" s="1"/>
  <c r="BN4" i="17"/>
  <c r="BO1" i="17"/>
  <c r="BN18" i="17"/>
  <c r="BN19" i="17"/>
  <c r="BN20" i="17"/>
  <c r="BN21" i="17"/>
  <c r="BN22" i="17"/>
  <c r="BK332" i="31" l="1"/>
  <c r="BJ25" i="30"/>
  <c r="BJ26" i="30" s="1"/>
  <c r="FZ3" i="17"/>
  <c r="GC2" i="17"/>
  <c r="GA3" i="17"/>
  <c r="GD2" i="17"/>
  <c r="GE2" i="17"/>
  <c r="GB3" i="17"/>
  <c r="BO59" i="17"/>
  <c r="BO50" i="17"/>
  <c r="BO55" i="17"/>
  <c r="BO46" i="17"/>
  <c r="BO56" i="17"/>
  <c r="BO47" i="17"/>
  <c r="BO57" i="17"/>
  <c r="BO48" i="17"/>
  <c r="BO58" i="17"/>
  <c r="BO49" i="17"/>
  <c r="BN331" i="31"/>
  <c r="BP24" i="31"/>
  <c r="BO23" i="31"/>
  <c r="BN16" i="17"/>
  <c r="BN23" i="17"/>
  <c r="BN24" i="17" s="1"/>
  <c r="BP1" i="17"/>
  <c r="BO4" i="17"/>
  <c r="BO18" i="17"/>
  <c r="BO22" i="17"/>
  <c r="BO20" i="17"/>
  <c r="BO19" i="17"/>
  <c r="BO21" i="17"/>
  <c r="BN60" i="17"/>
  <c r="BM26" i="19" s="1"/>
  <c r="BN51" i="17"/>
  <c r="GH2" i="17" l="1"/>
  <c r="GE3" i="17"/>
  <c r="GG2" i="17"/>
  <c r="GD3" i="17"/>
  <c r="GF2" i="17"/>
  <c r="GC3" i="17"/>
  <c r="BL332" i="31"/>
  <c r="BK25" i="30"/>
  <c r="BK26" i="30" s="1"/>
  <c r="BP59" i="17"/>
  <c r="BP50" i="17"/>
  <c r="BP55" i="17"/>
  <c r="BP46" i="17"/>
  <c r="BP56" i="17"/>
  <c r="BP47" i="17"/>
  <c r="BP57" i="17"/>
  <c r="BP48" i="17"/>
  <c r="BP49" i="17"/>
  <c r="BP58" i="17"/>
  <c r="BO331" i="31"/>
  <c r="BQ24" i="31"/>
  <c r="BP23" i="31"/>
  <c r="BO60" i="17"/>
  <c r="BN26" i="19" s="1"/>
  <c r="X26" i="41" s="1"/>
  <c r="BO16" i="17"/>
  <c r="BO23" i="17"/>
  <c r="BO24" i="17" s="1"/>
  <c r="BQ1" i="17"/>
  <c r="BP4" i="17"/>
  <c r="BP18" i="17"/>
  <c r="BP19" i="17"/>
  <c r="BP20" i="17"/>
  <c r="BP21" i="17"/>
  <c r="BP22" i="17"/>
  <c r="BO51" i="17"/>
  <c r="BM332" i="31" l="1"/>
  <c r="BL25" i="30"/>
  <c r="BL26" i="30" s="1"/>
  <c r="GI2" i="17"/>
  <c r="GF3" i="17"/>
  <c r="GG3" i="17"/>
  <c r="GJ2" i="17"/>
  <c r="GH3" i="17"/>
  <c r="GK2" i="17"/>
  <c r="BQ50" i="17"/>
  <c r="BQ59" i="17"/>
  <c r="BQ55" i="17"/>
  <c r="BQ46" i="17"/>
  <c r="BQ56" i="17"/>
  <c r="BQ47" i="17"/>
  <c r="BQ57" i="17"/>
  <c r="BQ48" i="17"/>
  <c r="BQ58" i="17"/>
  <c r="BQ49" i="17"/>
  <c r="BP331" i="31"/>
  <c r="BQ23" i="31"/>
  <c r="BR24" i="31"/>
  <c r="BP60" i="17"/>
  <c r="BO26" i="19" s="1"/>
  <c r="BP51" i="17"/>
  <c r="BP16" i="17"/>
  <c r="BP23" i="17"/>
  <c r="BP24" i="17" s="1"/>
  <c r="X47" i="41"/>
  <c r="BR1" i="17"/>
  <c r="BQ4" i="17"/>
  <c r="BQ19" i="17"/>
  <c r="BQ21" i="17"/>
  <c r="BQ18" i="17"/>
  <c r="BQ20" i="17"/>
  <c r="BQ22" i="17"/>
  <c r="GN2" i="17" l="1"/>
  <c r="GK3" i="17"/>
  <c r="GJ3" i="17"/>
  <c r="GM2" i="17"/>
  <c r="GL2" i="17"/>
  <c r="GI3" i="17"/>
  <c r="BN332" i="31"/>
  <c r="BM25" i="30"/>
  <c r="BM26" i="30" s="1"/>
  <c r="BR50" i="17"/>
  <c r="BR59" i="17"/>
  <c r="BR55" i="17"/>
  <c r="BR46" i="17"/>
  <c r="BR56" i="17"/>
  <c r="BR47" i="17"/>
  <c r="BR57" i="17"/>
  <c r="BR48" i="17"/>
  <c r="BR49" i="17"/>
  <c r="BR58" i="17"/>
  <c r="BQ331" i="31"/>
  <c r="BR23" i="31"/>
  <c r="BS24" i="31"/>
  <c r="BQ60" i="17"/>
  <c r="BP26" i="19" s="1"/>
  <c r="BR4" i="17"/>
  <c r="BS1" i="17"/>
  <c r="BR18" i="17"/>
  <c r="BR19" i="17"/>
  <c r="BR20" i="17"/>
  <c r="BR21" i="17"/>
  <c r="BR22" i="17"/>
  <c r="BQ16" i="17"/>
  <c r="BQ23" i="17"/>
  <c r="BQ24" i="17" s="1"/>
  <c r="BQ51" i="17"/>
  <c r="BO332" i="31" l="1"/>
  <c r="BN25" i="30"/>
  <c r="BN26" i="30" s="1"/>
  <c r="GL3" i="17"/>
  <c r="GO2" i="17"/>
  <c r="GP2" i="17"/>
  <c r="GM3" i="17"/>
  <c r="GQ2" i="17"/>
  <c r="GN3" i="17"/>
  <c r="BS50" i="17"/>
  <c r="BS59" i="17"/>
  <c r="BS46" i="17"/>
  <c r="BS55" i="17"/>
  <c r="BS56" i="17"/>
  <c r="BS47" i="17"/>
  <c r="BS48" i="17"/>
  <c r="BS57" i="17"/>
  <c r="BS58" i="17"/>
  <c r="BS49" i="17"/>
  <c r="BR331" i="31"/>
  <c r="BT24" i="31"/>
  <c r="BS23" i="31"/>
  <c r="BR51" i="17"/>
  <c r="BR16" i="17"/>
  <c r="BR23" i="17"/>
  <c r="BR24" i="17" s="1"/>
  <c r="BT1" i="17"/>
  <c r="BS4" i="17"/>
  <c r="BS20" i="17"/>
  <c r="BS18" i="17"/>
  <c r="BS22" i="17"/>
  <c r="BS19" i="17"/>
  <c r="BS21" i="17"/>
  <c r="BR60" i="17"/>
  <c r="BQ26" i="19" s="1"/>
  <c r="Y26" i="41" s="1"/>
  <c r="GQ3" i="17" l="1"/>
  <c r="GT2" i="17"/>
  <c r="GS2" i="17"/>
  <c r="GP3" i="17"/>
  <c r="GO3" i="17"/>
  <c r="GR2" i="17"/>
  <c r="BP332" i="31"/>
  <c r="BO25" i="30"/>
  <c r="BO26" i="30" s="1"/>
  <c r="BT50" i="17"/>
  <c r="BT59" i="17"/>
  <c r="BT46" i="17"/>
  <c r="BT55" i="17"/>
  <c r="BT47" i="17"/>
  <c r="BT56" i="17"/>
  <c r="BT57" i="17"/>
  <c r="BT48" i="17"/>
  <c r="BT58" i="17"/>
  <c r="BT49" i="17"/>
  <c r="BS331" i="31"/>
  <c r="BU24" i="31"/>
  <c r="BT23" i="31"/>
  <c r="BU1" i="17"/>
  <c r="BT4" i="17"/>
  <c r="BT21" i="17"/>
  <c r="BT22" i="17"/>
  <c r="BT18" i="17"/>
  <c r="BT19" i="17"/>
  <c r="BT20" i="17"/>
  <c r="Y47" i="41"/>
  <c r="BS51" i="17"/>
  <c r="BS16" i="17"/>
  <c r="BS23" i="17"/>
  <c r="BS24" i="17" s="1"/>
  <c r="BS60" i="17"/>
  <c r="BR26" i="19" s="1"/>
  <c r="BQ332" i="31" l="1"/>
  <c r="BP25" i="30"/>
  <c r="BP26" i="30" s="1"/>
  <c r="GU2" i="17"/>
  <c r="GR3" i="17"/>
  <c r="GV2" i="17"/>
  <c r="GS3" i="17"/>
  <c r="GW2" i="17"/>
  <c r="GT3" i="17"/>
  <c r="BU50" i="17"/>
  <c r="BU59" i="17"/>
  <c r="BU46" i="17"/>
  <c r="BU55" i="17"/>
  <c r="BU56" i="17"/>
  <c r="BU47" i="17"/>
  <c r="BU57" i="17"/>
  <c r="BU48" i="17"/>
  <c r="BU58" i="17"/>
  <c r="BU49" i="17"/>
  <c r="BT331" i="31"/>
  <c r="BV24" i="31"/>
  <c r="BU23" i="31"/>
  <c r="BT60" i="17"/>
  <c r="BS26" i="19" s="1"/>
  <c r="BT16" i="17"/>
  <c r="BT23" i="17"/>
  <c r="BT24" i="17" s="1"/>
  <c r="BT51" i="17"/>
  <c r="BU4" i="17"/>
  <c r="BV1" i="17"/>
  <c r="BU21" i="17"/>
  <c r="BU19" i="17"/>
  <c r="BU20" i="17"/>
  <c r="BU22" i="17"/>
  <c r="BU18" i="17"/>
  <c r="GZ2" i="17" l="1"/>
  <c r="GW3" i="17"/>
  <c r="GY2" i="17"/>
  <c r="GV3" i="17"/>
  <c r="GX2" i="17"/>
  <c r="GU3" i="17"/>
  <c r="BR332" i="31"/>
  <c r="BQ25" i="30"/>
  <c r="BQ26" i="30" s="1"/>
  <c r="BV50" i="17"/>
  <c r="BV59" i="17"/>
  <c r="BV46" i="17"/>
  <c r="BV55" i="17"/>
  <c r="BV56" i="17"/>
  <c r="BV47" i="17"/>
  <c r="BV57" i="17"/>
  <c r="BV48" i="17"/>
  <c r="BV58" i="17"/>
  <c r="BV49" i="17"/>
  <c r="BU331" i="31"/>
  <c r="BW24" i="31"/>
  <c r="BV23" i="31"/>
  <c r="BU51" i="17"/>
  <c r="BU60" i="17"/>
  <c r="BT26" i="19" s="1"/>
  <c r="Z26" i="41" s="1"/>
  <c r="BU16" i="17"/>
  <c r="BU23" i="17"/>
  <c r="BU24" i="17" s="1"/>
  <c r="BW1" i="17"/>
  <c r="BV4" i="17"/>
  <c r="BV18" i="17"/>
  <c r="BV19" i="17"/>
  <c r="BV20" i="17"/>
  <c r="BV21" i="17"/>
  <c r="BV22" i="17"/>
  <c r="BS332" i="31" l="1"/>
  <c r="BR25" i="30"/>
  <c r="BR26" i="30" s="1"/>
  <c r="GX3" i="17"/>
  <c r="HA2" i="17"/>
  <c r="GY3" i="17"/>
  <c r="HB2" i="17"/>
  <c r="GZ3" i="17"/>
  <c r="HC2" i="17"/>
  <c r="BW59" i="17"/>
  <c r="BW50" i="17"/>
  <c r="BW46" i="17"/>
  <c r="BW55" i="17"/>
  <c r="BW56" i="17"/>
  <c r="BW47" i="17"/>
  <c r="BW57" i="17"/>
  <c r="BW48" i="17"/>
  <c r="BW58" i="17"/>
  <c r="BW49" i="17"/>
  <c r="BV331" i="31"/>
  <c r="BX24" i="31"/>
  <c r="BW23" i="31"/>
  <c r="BV60" i="17"/>
  <c r="BU26" i="19" s="1"/>
  <c r="BX1" i="17"/>
  <c r="BW4" i="17"/>
  <c r="BW18" i="17"/>
  <c r="BW22" i="17"/>
  <c r="BW20" i="17"/>
  <c r="BW19" i="17"/>
  <c r="BW21" i="17"/>
  <c r="BV51" i="17"/>
  <c r="Z47" i="41"/>
  <c r="BV16" i="17"/>
  <c r="BV23" i="17"/>
  <c r="BV24" i="17" s="1"/>
  <c r="HE2" i="17" l="1"/>
  <c r="HB3" i="17"/>
  <c r="HC3" i="17"/>
  <c r="HF2" i="17"/>
  <c r="HD2" i="17"/>
  <c r="HA3" i="17"/>
  <c r="BT332" i="31"/>
  <c r="BS25" i="30"/>
  <c r="BS26" i="30" s="1"/>
  <c r="BX59" i="17"/>
  <c r="BX50" i="17"/>
  <c r="BX46" i="17"/>
  <c r="BX55" i="17"/>
  <c r="BX56" i="17"/>
  <c r="BX47" i="17"/>
  <c r="BX57" i="17"/>
  <c r="BX48" i="17"/>
  <c r="BX49" i="17"/>
  <c r="BX58" i="17"/>
  <c r="BW331" i="31"/>
  <c r="BY24" i="31"/>
  <c r="BX23" i="31"/>
  <c r="BW16" i="17"/>
  <c r="BW23" i="17"/>
  <c r="BW24" i="17" s="1"/>
  <c r="BY1" i="17"/>
  <c r="BX4" i="17"/>
  <c r="BX18" i="17"/>
  <c r="BX19" i="17"/>
  <c r="BX20" i="17"/>
  <c r="BX21" i="17"/>
  <c r="BX22" i="17"/>
  <c r="BW51" i="17"/>
  <c r="BW60" i="17"/>
  <c r="BV26" i="19" s="1"/>
  <c r="BU332" i="31" l="1"/>
  <c r="BT25" i="30"/>
  <c r="BT26" i="30" s="1"/>
  <c r="HG2" i="17"/>
  <c r="HD3" i="17"/>
  <c r="HF3" i="17"/>
  <c r="HI2" i="17"/>
  <c r="HH2" i="17"/>
  <c r="HE3" i="17"/>
  <c r="BY50" i="17"/>
  <c r="BY59" i="17"/>
  <c r="BY55" i="17"/>
  <c r="BY46" i="17"/>
  <c r="BY56" i="17"/>
  <c r="BY47" i="17"/>
  <c r="BY57" i="17"/>
  <c r="BY48" i="17"/>
  <c r="BY58" i="17"/>
  <c r="BY49" i="17"/>
  <c r="BX331" i="31"/>
  <c r="BZ24" i="31"/>
  <c r="BY23" i="31"/>
  <c r="BX51" i="17"/>
  <c r="BZ1" i="17"/>
  <c r="BY4" i="17"/>
  <c r="BY19" i="17"/>
  <c r="BY21" i="17"/>
  <c r="BY18" i="17"/>
  <c r="BY20" i="17"/>
  <c r="BY22" i="17"/>
  <c r="BX16" i="17"/>
  <c r="BX23" i="17"/>
  <c r="BX24" i="17" s="1"/>
  <c r="BX60" i="17"/>
  <c r="BW26" i="19" s="1"/>
  <c r="AA26" i="41" s="1"/>
  <c r="HK2" i="17" l="1"/>
  <c r="HH3" i="17"/>
  <c r="HL2" i="17"/>
  <c r="HI3" i="17"/>
  <c r="HG3" i="17"/>
  <c r="HJ2" i="17"/>
  <c r="BV332" i="31"/>
  <c r="BU25" i="30"/>
  <c r="BU26" i="30" s="1"/>
  <c r="BZ50" i="17"/>
  <c r="BZ59" i="17"/>
  <c r="BZ55" i="17"/>
  <c r="BZ46" i="17"/>
  <c r="BZ56" i="17"/>
  <c r="BZ47" i="17"/>
  <c r="BZ48" i="17"/>
  <c r="BZ57" i="17"/>
  <c r="BZ49" i="17"/>
  <c r="BZ58" i="17"/>
  <c r="BY331" i="31"/>
  <c r="CA24" i="31"/>
  <c r="BZ23" i="31"/>
  <c r="BY60" i="17"/>
  <c r="BX26" i="19" s="1"/>
  <c r="BY16" i="17"/>
  <c r="BY23" i="17"/>
  <c r="BY24" i="17" s="1"/>
  <c r="CA1" i="17"/>
  <c r="BZ4" i="17"/>
  <c r="BZ18" i="17"/>
  <c r="BZ19" i="17"/>
  <c r="BZ20" i="17"/>
  <c r="BZ21" i="17"/>
  <c r="BZ22" i="17"/>
  <c r="BY51" i="17"/>
  <c r="BW332" i="31" l="1"/>
  <c r="BV25" i="30"/>
  <c r="BV26" i="30" s="1"/>
  <c r="HJ3" i="17"/>
  <c r="HM2" i="17"/>
  <c r="HO2" i="17"/>
  <c r="HL3" i="17"/>
  <c r="HN2" i="17"/>
  <c r="HK3" i="17"/>
  <c r="CA50" i="17"/>
  <c r="CA59" i="17"/>
  <c r="CA46" i="17"/>
  <c r="CA55" i="17"/>
  <c r="CA47" i="17"/>
  <c r="CA56" i="17"/>
  <c r="CA48" i="17"/>
  <c r="CA57" i="17"/>
  <c r="CA58" i="17"/>
  <c r="CA49" i="17"/>
  <c r="BZ331" i="31"/>
  <c r="CA23" i="31"/>
  <c r="CB24" i="31"/>
  <c r="BZ16" i="17"/>
  <c r="BZ23" i="17"/>
  <c r="BZ24" i="17" s="1"/>
  <c r="BZ60" i="17"/>
  <c r="BY26" i="19" s="1"/>
  <c r="CB1" i="17"/>
  <c r="CA4" i="17"/>
  <c r="CA20" i="17"/>
  <c r="CA18" i="17"/>
  <c r="CA22" i="17"/>
  <c r="CA19" i="17"/>
  <c r="CA21" i="17"/>
  <c r="BZ51" i="17"/>
  <c r="HN3" i="17" l="1"/>
  <c r="HQ2" i="17"/>
  <c r="HO3" i="17"/>
  <c r="HR2" i="17"/>
  <c r="HP2" i="17"/>
  <c r="HM3" i="17"/>
  <c r="BX332" i="31"/>
  <c r="BW25" i="30"/>
  <c r="BW26" i="30" s="1"/>
  <c r="CB50" i="17"/>
  <c r="CB59" i="17"/>
  <c r="CB46" i="17"/>
  <c r="CB55" i="17"/>
  <c r="CB56" i="17"/>
  <c r="CB47" i="17"/>
  <c r="CB57" i="17"/>
  <c r="CB48" i="17"/>
  <c r="CB58" i="17"/>
  <c r="CB49" i="17"/>
  <c r="CA331" i="31"/>
  <c r="CB23" i="31"/>
  <c r="CC24" i="31"/>
  <c r="CA16" i="17"/>
  <c r="CA23" i="17"/>
  <c r="CA24" i="17" s="1"/>
  <c r="CA60" i="17"/>
  <c r="BZ26" i="19" s="1"/>
  <c r="AB26" i="41" s="1"/>
  <c r="CA51" i="17"/>
  <c r="CC1" i="17"/>
  <c r="CB4" i="17"/>
  <c r="CB18" i="17"/>
  <c r="CB19" i="17"/>
  <c r="CB20" i="17"/>
  <c r="CB21" i="17"/>
  <c r="CB22" i="17"/>
  <c r="BY332" i="31" l="1"/>
  <c r="BX25" i="30"/>
  <c r="BX26" i="30" s="1"/>
  <c r="HS2" i="17"/>
  <c r="HP3" i="17"/>
  <c r="HU2" i="17"/>
  <c r="HR3" i="17"/>
  <c r="HQ3" i="17"/>
  <c r="HT2" i="17"/>
  <c r="CC50" i="17"/>
  <c r="CC59" i="17"/>
  <c r="CC46" i="17"/>
  <c r="CC55" i="17"/>
  <c r="CC56" i="17"/>
  <c r="CC47" i="17"/>
  <c r="CC48" i="17"/>
  <c r="CC57" i="17"/>
  <c r="CC58" i="17"/>
  <c r="CC49" i="17"/>
  <c r="CB331" i="31"/>
  <c r="CD24" i="31"/>
  <c r="CC23" i="31"/>
  <c r="CD1" i="17"/>
  <c r="CC4" i="17"/>
  <c r="CC21" i="17"/>
  <c r="CC19" i="17"/>
  <c r="CC18" i="17"/>
  <c r="CC20" i="17"/>
  <c r="CC22" i="17"/>
  <c r="CB16" i="17"/>
  <c r="CB23" i="17"/>
  <c r="CB24" i="17" s="1"/>
  <c r="AB47" i="41"/>
  <c r="CB51" i="17"/>
  <c r="CB60" i="17"/>
  <c r="CA26" i="19" s="1"/>
  <c r="HX2" i="17" l="1"/>
  <c r="HU3" i="17"/>
  <c r="HS3" i="17"/>
  <c r="HV2" i="17"/>
  <c r="HW2" i="17"/>
  <c r="HT3" i="17"/>
  <c r="BZ332" i="31"/>
  <c r="BY25" i="30"/>
  <c r="BY26" i="30" s="1"/>
  <c r="CD59" i="17"/>
  <c r="CD50" i="17"/>
  <c r="CD55" i="17"/>
  <c r="CD46" i="17"/>
  <c r="CD56" i="17"/>
  <c r="CD47" i="17"/>
  <c r="CD57" i="17"/>
  <c r="CD48" i="17"/>
  <c r="CD49" i="17"/>
  <c r="CD58" i="17"/>
  <c r="CC331" i="31"/>
  <c r="CD23" i="31"/>
  <c r="CE24" i="31"/>
  <c r="CC16" i="17"/>
  <c r="CC23" i="17"/>
  <c r="CC24" i="17" s="1"/>
  <c r="CE1" i="17"/>
  <c r="CD4" i="17"/>
  <c r="CD22" i="17"/>
  <c r="CD18" i="17"/>
  <c r="CD19" i="17"/>
  <c r="CD20" i="17"/>
  <c r="CD21" i="17"/>
  <c r="CC51" i="17"/>
  <c r="CC60" i="17"/>
  <c r="CB26" i="19" s="1"/>
  <c r="CA332" i="31" l="1"/>
  <c r="BZ25" i="30"/>
  <c r="BZ26" i="30" s="1"/>
  <c r="HW3" i="17"/>
  <c r="HZ2" i="17"/>
  <c r="HY2" i="17"/>
  <c r="HV3" i="17"/>
  <c r="IA2" i="17"/>
  <c r="HX3" i="17"/>
  <c r="CE59" i="17"/>
  <c r="CE50" i="17"/>
  <c r="CE55" i="17"/>
  <c r="CE46" i="17"/>
  <c r="CE56" i="17"/>
  <c r="CE47" i="17"/>
  <c r="CE57" i="17"/>
  <c r="CE48" i="17"/>
  <c r="CE49" i="17"/>
  <c r="CE58" i="17"/>
  <c r="CD331" i="31"/>
  <c r="CE23" i="31"/>
  <c r="CF24" i="31"/>
  <c r="CF1" i="17"/>
  <c r="CE4" i="17"/>
  <c r="CE18" i="17"/>
  <c r="CE22" i="17"/>
  <c r="CE20" i="17"/>
  <c r="CE21" i="17"/>
  <c r="CE19" i="17"/>
  <c r="CD60" i="17"/>
  <c r="CC26" i="19" s="1"/>
  <c r="AC26" i="41" s="1"/>
  <c r="CD51" i="17"/>
  <c r="CD16" i="17"/>
  <c r="CD23" i="17"/>
  <c r="CD24" i="17" s="1"/>
  <c r="ID2" i="17" l="1"/>
  <c r="IA3" i="17"/>
  <c r="IB2" i="17"/>
  <c r="HY3" i="17"/>
  <c r="IC2" i="17"/>
  <c r="HZ3" i="17"/>
  <c r="CB332" i="31"/>
  <c r="CA25" i="30"/>
  <c r="CA26" i="30" s="1"/>
  <c r="CF50" i="17"/>
  <c r="CF59" i="17"/>
  <c r="CF55" i="17"/>
  <c r="CF46" i="17"/>
  <c r="CF47" i="17"/>
  <c r="CF56" i="17"/>
  <c r="CF57" i="17"/>
  <c r="CF48" i="17"/>
  <c r="CF49" i="17"/>
  <c r="CF58" i="17"/>
  <c r="CE331" i="31"/>
  <c r="CG24" i="31"/>
  <c r="CF23" i="31"/>
  <c r="CE16" i="17"/>
  <c r="CE23" i="17"/>
  <c r="CE24" i="17" s="1"/>
  <c r="CE60" i="17"/>
  <c r="CD26" i="19" s="1"/>
  <c r="CE51" i="17"/>
  <c r="AC47" i="41"/>
  <c r="CG1" i="17"/>
  <c r="CF4" i="17"/>
  <c r="CF19" i="17"/>
  <c r="CF20" i="17"/>
  <c r="CF21" i="17"/>
  <c r="CF22" i="17"/>
  <c r="CF18" i="17"/>
  <c r="CC332" i="31" l="1"/>
  <c r="CB25" i="30"/>
  <c r="CB26" i="30" s="1"/>
  <c r="IC3" i="17"/>
  <c r="IF2" i="17"/>
  <c r="IE2" i="17"/>
  <c r="IB3" i="17"/>
  <c r="ID3" i="17"/>
  <c r="IG2" i="17"/>
  <c r="CG50" i="17"/>
  <c r="CG59" i="17"/>
  <c r="CG55" i="17"/>
  <c r="CG46" i="17"/>
  <c r="CG56" i="17"/>
  <c r="CG47" i="17"/>
  <c r="CG57" i="17"/>
  <c r="CG48" i="17"/>
  <c r="CG58" i="17"/>
  <c r="CG49" i="17"/>
  <c r="CF331" i="31"/>
  <c r="CG23" i="31"/>
  <c r="CH24" i="31"/>
  <c r="CH1" i="17"/>
  <c r="CG4" i="17"/>
  <c r="CG19" i="17"/>
  <c r="CG21" i="17"/>
  <c r="CG18" i="17"/>
  <c r="CG20" i="17"/>
  <c r="CG22" i="17"/>
  <c r="CF51" i="17"/>
  <c r="CF16" i="17"/>
  <c r="CF23" i="17"/>
  <c r="CF24" i="17" s="1"/>
  <c r="CF60" i="17"/>
  <c r="CE26" i="19" s="1"/>
  <c r="IE3" i="17" l="1"/>
  <c r="IH2" i="17"/>
  <c r="IJ2" i="17"/>
  <c r="IG3" i="17"/>
  <c r="IF3" i="17"/>
  <c r="II2" i="17"/>
  <c r="CD332" i="31"/>
  <c r="CC25" i="30"/>
  <c r="CC26" i="30" s="1"/>
  <c r="CH50" i="17"/>
  <c r="CH59" i="17"/>
  <c r="CH46" i="17"/>
  <c r="CH55" i="17"/>
  <c r="CH56" i="17"/>
  <c r="CH47" i="17"/>
  <c r="CH57" i="17"/>
  <c r="CH48" i="17"/>
  <c r="CH58" i="17"/>
  <c r="CH49" i="17"/>
  <c r="CG331" i="31"/>
  <c r="W32" i="1"/>
  <c r="E13" i="17" s="1"/>
  <c r="F13" i="17" s="1"/>
  <c r="G13" i="17" s="1"/>
  <c r="H13" i="17" s="1"/>
  <c r="I13" i="17" s="1"/>
  <c r="J13" i="17" s="1"/>
  <c r="K13" i="17" s="1"/>
  <c r="L13" i="17" s="1"/>
  <c r="M13" i="17" s="1"/>
  <c r="N13" i="17" s="1"/>
  <c r="O13" i="17" s="1"/>
  <c r="P13" i="17" s="1"/>
  <c r="Q13" i="17" s="1"/>
  <c r="R13" i="17" s="1"/>
  <c r="S13" i="17" s="1"/>
  <c r="T13" i="17" s="1"/>
  <c r="U13" i="17" s="1"/>
  <c r="V13" i="17" s="1"/>
  <c r="W13" i="17" s="1"/>
  <c r="X13" i="17" s="1"/>
  <c r="Y13" i="17" s="1"/>
  <c r="Z13" i="17" s="1"/>
  <c r="AA13" i="17" s="1"/>
  <c r="AB13" i="17" s="1"/>
  <c r="AC13" i="17" s="1"/>
  <c r="AD13" i="17" s="1"/>
  <c r="AE13" i="17" s="1"/>
  <c r="AF13" i="17" s="1"/>
  <c r="AG13" i="17" s="1"/>
  <c r="AH13" i="17" s="1"/>
  <c r="AI13" i="17" s="1"/>
  <c r="AJ13" i="17" s="1"/>
  <c r="AK13" i="17" s="1"/>
  <c r="AL13" i="17" s="1"/>
  <c r="AM13" i="17" s="1"/>
  <c r="AN13" i="17" s="1"/>
  <c r="AO13" i="17" s="1"/>
  <c r="AP13" i="17" s="1"/>
  <c r="AQ13" i="17" s="1"/>
  <c r="AR13" i="17" s="1"/>
  <c r="AS13" i="17" s="1"/>
  <c r="AT13" i="17" s="1"/>
  <c r="AU13" i="17" s="1"/>
  <c r="AV13" i="17" s="1"/>
  <c r="AW13" i="17" s="1"/>
  <c r="AX13" i="17" s="1"/>
  <c r="AY13" i="17" s="1"/>
  <c r="AZ13" i="17" s="1"/>
  <c r="BA13" i="17" s="1"/>
  <c r="BB13" i="17" s="1"/>
  <c r="BC13" i="17" s="1"/>
  <c r="BD13" i="17" s="1"/>
  <c r="BE13" i="17" s="1"/>
  <c r="BF13" i="17" s="1"/>
  <c r="BG13" i="17" s="1"/>
  <c r="BH13" i="17" s="1"/>
  <c r="BI13" i="17" s="1"/>
  <c r="BJ13" i="17" s="1"/>
  <c r="BK13" i="17" s="1"/>
  <c r="BL13" i="17" s="1"/>
  <c r="BM13" i="17" s="1"/>
  <c r="BN13" i="17" s="1"/>
  <c r="BO13" i="17" s="1"/>
  <c r="BP13" i="17" s="1"/>
  <c r="BQ13" i="17" s="1"/>
  <c r="BR13" i="17" s="1"/>
  <c r="BS13" i="17" s="1"/>
  <c r="BT13" i="17" s="1"/>
  <c r="BU13" i="17" s="1"/>
  <c r="BV13" i="17" s="1"/>
  <c r="BW13" i="17" s="1"/>
  <c r="BX13" i="17" s="1"/>
  <c r="BY13" i="17" s="1"/>
  <c r="BZ13" i="17" s="1"/>
  <c r="CA13" i="17" s="1"/>
  <c r="CB13" i="17" s="1"/>
  <c r="CC13" i="17" s="1"/>
  <c r="CD13" i="17" s="1"/>
  <c r="CE13" i="17" s="1"/>
  <c r="CF13" i="17" s="1"/>
  <c r="CG13" i="17" s="1"/>
  <c r="CH13" i="17" s="1"/>
  <c r="CI13" i="17" s="1"/>
  <c r="CH23" i="31"/>
  <c r="CI24" i="31"/>
  <c r="CG60" i="17"/>
  <c r="CF26" i="19" s="1"/>
  <c r="AD26" i="41" s="1"/>
  <c r="CG51" i="17"/>
  <c r="CG23" i="17"/>
  <c r="CG24" i="17" s="1"/>
  <c r="CG16" i="17"/>
  <c r="CI1" i="17"/>
  <c r="CH4" i="17"/>
  <c r="CH18" i="17"/>
  <c r="CH19" i="17"/>
  <c r="CH20" i="17"/>
  <c r="CH21" i="17"/>
  <c r="CH22" i="17"/>
  <c r="W29" i="1"/>
  <c r="W28" i="1"/>
  <c r="W30" i="1"/>
  <c r="W31" i="1"/>
  <c r="CE332" i="31" l="1"/>
  <c r="CD25" i="30"/>
  <c r="CD26" i="30" s="1"/>
  <c r="IL2" i="17"/>
  <c r="II3" i="17"/>
  <c r="IM2" i="17"/>
  <c r="IJ3" i="17"/>
  <c r="IK2" i="17"/>
  <c r="IH3" i="17"/>
  <c r="E11" i="17"/>
  <c r="F11" i="17" s="1"/>
  <c r="G11" i="17" s="1"/>
  <c r="H11" i="17" s="1"/>
  <c r="I11" i="17" s="1"/>
  <c r="J11" i="17" s="1"/>
  <c r="K11" i="17" s="1"/>
  <c r="L11" i="17" s="1"/>
  <c r="M11" i="17" s="1"/>
  <c r="N11" i="17" s="1"/>
  <c r="O11" i="17" s="1"/>
  <c r="P11" i="17" s="1"/>
  <c r="Q11" i="17" s="1"/>
  <c r="R11" i="17" s="1"/>
  <c r="S11" i="17" s="1"/>
  <c r="T11" i="17" s="1"/>
  <c r="U11" i="17" s="1"/>
  <c r="V11" i="17" s="1"/>
  <c r="W11" i="17" s="1"/>
  <c r="X11" i="17" s="1"/>
  <c r="Y11" i="17" s="1"/>
  <c r="Z11" i="17" s="1"/>
  <c r="AA11" i="17" s="1"/>
  <c r="AB11" i="17" s="1"/>
  <c r="AC11" i="17" s="1"/>
  <c r="AD11" i="17" s="1"/>
  <c r="AE11" i="17" s="1"/>
  <c r="AF11" i="17" s="1"/>
  <c r="AG11" i="17" s="1"/>
  <c r="AH11" i="17" s="1"/>
  <c r="AI11" i="17" s="1"/>
  <c r="AJ11" i="17" s="1"/>
  <c r="AK11" i="17" s="1"/>
  <c r="AL11" i="17" s="1"/>
  <c r="AM11" i="17" s="1"/>
  <c r="AN11" i="17" s="1"/>
  <c r="AO11" i="17" s="1"/>
  <c r="AP11" i="17" s="1"/>
  <c r="AQ11" i="17" s="1"/>
  <c r="AS11" i="17"/>
  <c r="AT11" i="17" s="1"/>
  <c r="AU11" i="17" s="1"/>
  <c r="AV11" i="17" s="1"/>
  <c r="AW11" i="17" s="1"/>
  <c r="AX11" i="17" s="1"/>
  <c r="AY11" i="17" s="1"/>
  <c r="AZ11" i="17" s="1"/>
  <c r="BA11" i="17" s="1"/>
  <c r="BB11" i="17" s="1"/>
  <c r="BC11" i="17" s="1"/>
  <c r="BD11" i="17" s="1"/>
  <c r="BE11" i="17" s="1"/>
  <c r="BF11" i="17" s="1"/>
  <c r="BG11" i="17" s="1"/>
  <c r="BH11" i="17" s="1"/>
  <c r="BI11" i="17" s="1"/>
  <c r="BJ11" i="17" s="1"/>
  <c r="BK11" i="17" s="1"/>
  <c r="BL11" i="17" s="1"/>
  <c r="BM11" i="17" s="1"/>
  <c r="BN11" i="17" s="1"/>
  <c r="BO11" i="17" s="1"/>
  <c r="BP11" i="17" s="1"/>
  <c r="BQ11" i="17" s="1"/>
  <c r="BR11" i="17" s="1"/>
  <c r="BS11" i="17" s="1"/>
  <c r="BT11" i="17" s="1"/>
  <c r="BU11" i="17" s="1"/>
  <c r="BV11" i="17" s="1"/>
  <c r="BW11" i="17" s="1"/>
  <c r="BX11" i="17" s="1"/>
  <c r="BY11" i="17" s="1"/>
  <c r="BZ11" i="17" s="1"/>
  <c r="CA11" i="17" s="1"/>
  <c r="CB11" i="17" s="1"/>
  <c r="CC11" i="17" s="1"/>
  <c r="CD11" i="17" s="1"/>
  <c r="CE11" i="17" s="1"/>
  <c r="CF11" i="17" s="1"/>
  <c r="CG11" i="17" s="1"/>
  <c r="CH11" i="17" s="1"/>
  <c r="CI11" i="17" s="1"/>
  <c r="E12" i="17"/>
  <c r="F12" i="17" s="1"/>
  <c r="G12" i="17" s="1"/>
  <c r="H12" i="17" s="1"/>
  <c r="I12" i="17" s="1"/>
  <c r="J12" i="17" s="1"/>
  <c r="K12" i="17" s="1"/>
  <c r="L12" i="17" s="1"/>
  <c r="M12" i="17" s="1"/>
  <c r="N12" i="17" s="1"/>
  <c r="O12" i="17" s="1"/>
  <c r="P12" i="17" s="1"/>
  <c r="Q12" i="17" s="1"/>
  <c r="R12" i="17" s="1"/>
  <c r="S12" i="17" s="1"/>
  <c r="T12" i="17" s="1"/>
  <c r="U12" i="17" s="1"/>
  <c r="V12" i="17" s="1"/>
  <c r="W12" i="17" s="1"/>
  <c r="X12" i="17" s="1"/>
  <c r="Y12" i="17" s="1"/>
  <c r="Z12" i="17" s="1"/>
  <c r="AA12" i="17" s="1"/>
  <c r="AB12" i="17" s="1"/>
  <c r="AC12" i="17" s="1"/>
  <c r="AD12" i="17" s="1"/>
  <c r="AE12" i="17" s="1"/>
  <c r="AF12" i="17" s="1"/>
  <c r="AG12" i="17" s="1"/>
  <c r="AH12" i="17" s="1"/>
  <c r="AI12" i="17" s="1"/>
  <c r="AJ12" i="17" s="1"/>
  <c r="AK12" i="17" s="1"/>
  <c r="AL12" i="17" s="1"/>
  <c r="AM12" i="17" s="1"/>
  <c r="AN12" i="17" s="1"/>
  <c r="AO12" i="17" s="1"/>
  <c r="AP12" i="17" s="1"/>
  <c r="AQ12" i="17" s="1"/>
  <c r="AR12" i="17" s="1"/>
  <c r="AS12" i="17" s="1"/>
  <c r="AT12" i="17" s="1"/>
  <c r="AU12" i="17" s="1"/>
  <c r="AV12" i="17" s="1"/>
  <c r="AW12" i="17" s="1"/>
  <c r="AX12" i="17" s="1"/>
  <c r="AY12" i="17" s="1"/>
  <c r="AZ12" i="17" s="1"/>
  <c r="BB12" i="17"/>
  <c r="BC12" i="17" s="1"/>
  <c r="BD12" i="17" s="1"/>
  <c r="BE12" i="17" s="1"/>
  <c r="BF12" i="17" s="1"/>
  <c r="BG12" i="17" s="1"/>
  <c r="BH12" i="17" s="1"/>
  <c r="BI12" i="17" s="1"/>
  <c r="BJ12" i="17" s="1"/>
  <c r="BK12" i="17" s="1"/>
  <c r="BL12" i="17" s="1"/>
  <c r="BM12" i="17" s="1"/>
  <c r="BN12" i="17" s="1"/>
  <c r="BO12" i="17" s="1"/>
  <c r="BP12" i="17" s="1"/>
  <c r="BQ12" i="17" s="1"/>
  <c r="BR12" i="17" s="1"/>
  <c r="BS12" i="17" s="1"/>
  <c r="BT12" i="17" s="1"/>
  <c r="BU12" i="17" s="1"/>
  <c r="BV12" i="17" s="1"/>
  <c r="BW12" i="17" s="1"/>
  <c r="BX12" i="17" s="1"/>
  <c r="BY12" i="17" s="1"/>
  <c r="BZ12" i="17" s="1"/>
  <c r="CA12" i="17" s="1"/>
  <c r="CB12" i="17" s="1"/>
  <c r="CC12" i="17" s="1"/>
  <c r="CD12" i="17" s="1"/>
  <c r="CE12" i="17" s="1"/>
  <c r="CF12" i="17" s="1"/>
  <c r="CG12" i="17" s="1"/>
  <c r="CH12" i="17" s="1"/>
  <c r="CI12" i="17" s="1"/>
  <c r="E9" i="17"/>
  <c r="F9" i="17" s="1"/>
  <c r="G9" i="17" s="1"/>
  <c r="H9" i="17" s="1"/>
  <c r="I9" i="17" s="1"/>
  <c r="J9" i="17" s="1"/>
  <c r="K9" i="17" s="1"/>
  <c r="L9" i="17" s="1"/>
  <c r="M9" i="17" s="1"/>
  <c r="N9" i="17" s="1"/>
  <c r="O9" i="17" s="1"/>
  <c r="P9" i="17" s="1"/>
  <c r="Q9" i="17" s="1"/>
  <c r="R9" i="17" s="1"/>
  <c r="S9" i="17" s="1"/>
  <c r="T9" i="17" s="1"/>
  <c r="U9" i="17" s="1"/>
  <c r="V9" i="17" s="1"/>
  <c r="X9" i="17"/>
  <c r="Y9" i="17" s="1"/>
  <c r="Z9" i="17" s="1"/>
  <c r="AA9" i="17" s="1"/>
  <c r="AB9" i="17" s="1"/>
  <c r="AC9" i="17" s="1"/>
  <c r="AD9" i="17" s="1"/>
  <c r="AE9" i="17" s="1"/>
  <c r="AF9" i="17" s="1"/>
  <c r="AG9" i="17" s="1"/>
  <c r="AH9" i="17" s="1"/>
  <c r="AI9" i="17" s="1"/>
  <c r="AJ9" i="17" s="1"/>
  <c r="AK9" i="17" s="1"/>
  <c r="AL9" i="17" s="1"/>
  <c r="AM9" i="17" s="1"/>
  <c r="AN9" i="17" s="1"/>
  <c r="AO9" i="17" s="1"/>
  <c r="AP9" i="17" s="1"/>
  <c r="AQ9" i="17" s="1"/>
  <c r="AR9" i="17" s="1"/>
  <c r="AS9" i="17" s="1"/>
  <c r="AT9" i="17" s="1"/>
  <c r="AU9" i="17" s="1"/>
  <c r="AV9" i="17" s="1"/>
  <c r="AW9" i="17" s="1"/>
  <c r="AX9" i="17" s="1"/>
  <c r="AY9" i="17" s="1"/>
  <c r="AZ9" i="17" s="1"/>
  <c r="BA9" i="17" s="1"/>
  <c r="BB9" i="17" s="1"/>
  <c r="BC9" i="17" s="1"/>
  <c r="BD9" i="17" s="1"/>
  <c r="BE9" i="17" s="1"/>
  <c r="BF9" i="17" s="1"/>
  <c r="BG9" i="17" s="1"/>
  <c r="BH9" i="17" s="1"/>
  <c r="BI9" i="17" s="1"/>
  <c r="BJ9" i="17" s="1"/>
  <c r="BK9" i="17" s="1"/>
  <c r="BL9" i="17" s="1"/>
  <c r="BM9" i="17" s="1"/>
  <c r="BN9" i="17" s="1"/>
  <c r="BO9" i="17" s="1"/>
  <c r="BP9" i="17" s="1"/>
  <c r="BQ9" i="17" s="1"/>
  <c r="BR9" i="17" s="1"/>
  <c r="BS9" i="17" s="1"/>
  <c r="BT9" i="17" s="1"/>
  <c r="BU9" i="17" s="1"/>
  <c r="BV9" i="17" s="1"/>
  <c r="BW9" i="17" s="1"/>
  <c r="BX9" i="17" s="1"/>
  <c r="BY9" i="17" s="1"/>
  <c r="BZ9" i="17" s="1"/>
  <c r="CA9" i="17" s="1"/>
  <c r="CB9" i="17" s="1"/>
  <c r="CC9" i="17" s="1"/>
  <c r="CD9" i="17" s="1"/>
  <c r="CE9" i="17" s="1"/>
  <c r="CF9" i="17" s="1"/>
  <c r="CG9" i="17" s="1"/>
  <c r="CH9" i="17" s="1"/>
  <c r="CI9" i="17" s="1"/>
  <c r="CJ9" i="17" s="1"/>
  <c r="E10" i="17"/>
  <c r="F10" i="17" s="1"/>
  <c r="G10" i="17" s="1"/>
  <c r="H10" i="17" s="1"/>
  <c r="I10" i="17" s="1"/>
  <c r="J10" i="17" s="1"/>
  <c r="K10" i="17" s="1"/>
  <c r="L10" i="17" s="1"/>
  <c r="M10" i="17" s="1"/>
  <c r="N10" i="17" s="1"/>
  <c r="O10" i="17" s="1"/>
  <c r="P10" i="17" s="1"/>
  <c r="Q10" i="17" s="1"/>
  <c r="R10" i="17" s="1"/>
  <c r="S10" i="17" s="1"/>
  <c r="T10" i="17" s="1"/>
  <c r="U10" i="17" s="1"/>
  <c r="V10" i="17" s="1"/>
  <c r="W10" i="17" s="1"/>
  <c r="X10" i="17" s="1"/>
  <c r="Y10" i="17" s="1"/>
  <c r="Z10" i="17" s="1"/>
  <c r="AA10" i="17" s="1"/>
  <c r="AB10" i="17" s="1"/>
  <c r="AC10" i="17" s="1"/>
  <c r="AD10" i="17" s="1"/>
  <c r="AE10" i="17" s="1"/>
  <c r="AF10" i="17" s="1"/>
  <c r="AG10" i="17" s="1"/>
  <c r="AH10" i="17" s="1"/>
  <c r="AJ10" i="17"/>
  <c r="AK10" i="17" s="1"/>
  <c r="AL10" i="17" s="1"/>
  <c r="AM10" i="17" s="1"/>
  <c r="AN10" i="17" s="1"/>
  <c r="AO10" i="17" s="1"/>
  <c r="AP10" i="17" s="1"/>
  <c r="AQ10" i="17" s="1"/>
  <c r="AR10" i="17" s="1"/>
  <c r="AS10" i="17" s="1"/>
  <c r="AT10" i="17" s="1"/>
  <c r="AU10" i="17" s="1"/>
  <c r="AV10" i="17" s="1"/>
  <c r="AW10" i="17" s="1"/>
  <c r="AX10" i="17" s="1"/>
  <c r="AY10" i="17" s="1"/>
  <c r="AZ10" i="17" s="1"/>
  <c r="BA10" i="17" s="1"/>
  <c r="BB10" i="17" s="1"/>
  <c r="BC10" i="17" s="1"/>
  <c r="BD10" i="17" s="1"/>
  <c r="BE10" i="17" s="1"/>
  <c r="BF10" i="17" s="1"/>
  <c r="BG10" i="17" s="1"/>
  <c r="BH10" i="17" s="1"/>
  <c r="BI10" i="17" s="1"/>
  <c r="BJ10" i="17" s="1"/>
  <c r="BK10" i="17" s="1"/>
  <c r="BL10" i="17" s="1"/>
  <c r="BM10" i="17" s="1"/>
  <c r="BN10" i="17" s="1"/>
  <c r="BO10" i="17" s="1"/>
  <c r="BP10" i="17" s="1"/>
  <c r="BQ10" i="17" s="1"/>
  <c r="BR10" i="17" s="1"/>
  <c r="BS10" i="17" s="1"/>
  <c r="BT10" i="17" s="1"/>
  <c r="BU10" i="17" s="1"/>
  <c r="BV10" i="17" s="1"/>
  <c r="BW10" i="17" s="1"/>
  <c r="BX10" i="17" s="1"/>
  <c r="BY10" i="17" s="1"/>
  <c r="BZ10" i="17" s="1"/>
  <c r="CA10" i="17" s="1"/>
  <c r="CB10" i="17" s="1"/>
  <c r="CC10" i="17" s="1"/>
  <c r="CD10" i="17" s="1"/>
  <c r="CE10" i="17" s="1"/>
  <c r="CF10" i="17" s="1"/>
  <c r="CG10" i="17" s="1"/>
  <c r="CH10" i="17" s="1"/>
  <c r="CI10" i="17" s="1"/>
  <c r="CJ10" i="17" s="1"/>
  <c r="CI50" i="17"/>
  <c r="CI59" i="17"/>
  <c r="CI46" i="17"/>
  <c r="CI55" i="17"/>
  <c r="CI56" i="17"/>
  <c r="CI47" i="17"/>
  <c r="CI57" i="17"/>
  <c r="CI48" i="17"/>
  <c r="CI58" i="17"/>
  <c r="CI49" i="17"/>
  <c r="CH331" i="31"/>
  <c r="CI23" i="31"/>
  <c r="CJ24" i="31"/>
  <c r="CH16" i="17"/>
  <c r="CH23" i="17"/>
  <c r="CH24" i="17" s="1"/>
  <c r="CH60" i="17"/>
  <c r="CG26" i="19" s="1"/>
  <c r="CJ1" i="17"/>
  <c r="CJ13" i="17" s="1"/>
  <c r="CI4" i="17"/>
  <c r="CI20" i="17"/>
  <c r="CI18" i="17"/>
  <c r="CI22" i="17"/>
  <c r="CI19" i="17"/>
  <c r="CI21" i="17"/>
  <c r="CH51" i="17"/>
  <c r="AD47" i="41"/>
  <c r="IN2" i="17" l="1"/>
  <c r="IK3" i="17"/>
  <c r="IM3" i="17"/>
  <c r="IP2" i="17"/>
  <c r="IL3" i="17"/>
  <c r="IO2" i="17"/>
  <c r="CF332" i="31"/>
  <c r="CE25" i="30"/>
  <c r="CE26" i="30" s="1"/>
  <c r="CJ12" i="17"/>
  <c r="CJ11" i="17"/>
  <c r="CJ50" i="17"/>
  <c r="CJ59" i="17"/>
  <c r="CJ46" i="17"/>
  <c r="CJ55" i="17"/>
  <c r="CJ47" i="17"/>
  <c r="CJ56" i="17"/>
  <c r="CJ48" i="17"/>
  <c r="CJ57" i="17"/>
  <c r="CJ58" i="17"/>
  <c r="CJ49" i="17"/>
  <c r="E41" i="17"/>
  <c r="E32" i="17"/>
  <c r="E40" i="17"/>
  <c r="E31" i="17"/>
  <c r="E39" i="17"/>
  <c r="E30" i="17"/>
  <c r="E38" i="17"/>
  <c r="E29" i="17"/>
  <c r="E37" i="17"/>
  <c r="E28" i="17"/>
  <c r="CI331" i="31"/>
  <c r="CJ23" i="31"/>
  <c r="CK24" i="31"/>
  <c r="F32" i="17"/>
  <c r="CK1" i="17"/>
  <c r="CK13" i="17" s="1"/>
  <c r="CJ4" i="17"/>
  <c r="CJ18" i="17"/>
  <c r="CJ19" i="17"/>
  <c r="CJ20" i="17"/>
  <c r="CJ21" i="17"/>
  <c r="CJ22" i="17"/>
  <c r="F31" i="17"/>
  <c r="CI51" i="17"/>
  <c r="CI16" i="17"/>
  <c r="CI23" i="17"/>
  <c r="CI24" i="17" s="1"/>
  <c r="F29" i="17"/>
  <c r="CI60" i="17"/>
  <c r="CH26" i="19" s="1"/>
  <c r="CG332" i="31" l="1"/>
  <c r="CF25" i="30"/>
  <c r="CF26" i="30" s="1"/>
  <c r="IR2" i="17"/>
  <c r="IO3" i="17"/>
  <c r="IS2" i="17"/>
  <c r="IP3" i="17"/>
  <c r="IQ2" i="17"/>
  <c r="IN3" i="17"/>
  <c r="CK12" i="17"/>
  <c r="CK10" i="17"/>
  <c r="CK11" i="17"/>
  <c r="CK9" i="17"/>
  <c r="CK59" i="17"/>
  <c r="CK50" i="17"/>
  <c r="CK46" i="17"/>
  <c r="CK55" i="17"/>
  <c r="CK56" i="17"/>
  <c r="CK47" i="17"/>
  <c r="CK48" i="17"/>
  <c r="CK57" i="17"/>
  <c r="CK49" i="17"/>
  <c r="CK58" i="17"/>
  <c r="F41" i="17"/>
  <c r="F40" i="17"/>
  <c r="F30" i="17"/>
  <c r="F39" i="17"/>
  <c r="F38" i="17"/>
  <c r="F28" i="17"/>
  <c r="F37" i="17"/>
  <c r="CJ331" i="31"/>
  <c r="CK23" i="31"/>
  <c r="CL24" i="31"/>
  <c r="G28" i="17"/>
  <c r="G29" i="17"/>
  <c r="G31" i="17"/>
  <c r="E42" i="17"/>
  <c r="CJ51" i="17"/>
  <c r="G32" i="17"/>
  <c r="E33" i="17"/>
  <c r="G30" i="17"/>
  <c r="CJ60" i="17"/>
  <c r="CI26" i="19" s="1"/>
  <c r="AE26" i="41" s="1"/>
  <c r="CJ16" i="17"/>
  <c r="CJ23" i="17"/>
  <c r="CJ24" i="17" s="1"/>
  <c r="CK4" i="17"/>
  <c r="CL1" i="17"/>
  <c r="CL13" i="17" s="1"/>
  <c r="CK21" i="17"/>
  <c r="CK19" i="17"/>
  <c r="CK18" i="17"/>
  <c r="CK20" i="17"/>
  <c r="CK22" i="17"/>
  <c r="IT2" i="17" l="1"/>
  <c r="IQ3" i="17"/>
  <c r="IS3" i="17"/>
  <c r="IV2" i="17"/>
  <c r="IR3" i="17"/>
  <c r="IU2" i="17"/>
  <c r="CH332" i="31"/>
  <c r="CG25" i="30"/>
  <c r="CG26" i="30" s="1"/>
  <c r="CL9" i="17"/>
  <c r="CL11" i="17"/>
  <c r="CL12" i="17"/>
  <c r="CL10" i="17"/>
  <c r="G40" i="17"/>
  <c r="CL59" i="17"/>
  <c r="CL50" i="17"/>
  <c r="CL55" i="17"/>
  <c r="CL46" i="17"/>
  <c r="CL56" i="17"/>
  <c r="CL47" i="17"/>
  <c r="CL48" i="17"/>
  <c r="CL57" i="17"/>
  <c r="CL49" i="17"/>
  <c r="CL58" i="17"/>
  <c r="G41" i="17"/>
  <c r="G39" i="17"/>
  <c r="G38" i="17"/>
  <c r="G37" i="17"/>
  <c r="CK331" i="31"/>
  <c r="CL23" i="31"/>
  <c r="CM24" i="31"/>
  <c r="H32" i="17"/>
  <c r="CK51" i="17"/>
  <c r="H30" i="17"/>
  <c r="H29" i="17"/>
  <c r="CK60" i="17"/>
  <c r="CJ26" i="19" s="1"/>
  <c r="CK23" i="17"/>
  <c r="CK24" i="17" s="1"/>
  <c r="CK16" i="17"/>
  <c r="CL4" i="17"/>
  <c r="CM1" i="17"/>
  <c r="CM13" i="17" s="1"/>
  <c r="CL18" i="17"/>
  <c r="CL19" i="17"/>
  <c r="CL20" i="17"/>
  <c r="CL21" i="17"/>
  <c r="CL22" i="17"/>
  <c r="F33" i="17"/>
  <c r="AE47" i="41"/>
  <c r="F42" i="17"/>
  <c r="H31" i="17"/>
  <c r="H28" i="17"/>
  <c r="CI332" i="31" l="1"/>
  <c r="CH25" i="30"/>
  <c r="CH26" i="30" s="1"/>
  <c r="IU3" i="17"/>
  <c r="IX2" i="17"/>
  <c r="IY2" i="17"/>
  <c r="IV3" i="17"/>
  <c r="IT3" i="17"/>
  <c r="IW2" i="17"/>
  <c r="CM9" i="17"/>
  <c r="CM10" i="17"/>
  <c r="CM12" i="17"/>
  <c r="CM11" i="17"/>
  <c r="CM50" i="17"/>
  <c r="CM59" i="17"/>
  <c r="CM55" i="17"/>
  <c r="CM46" i="17"/>
  <c r="CM47" i="17"/>
  <c r="CM56" i="17"/>
  <c r="CM48" i="17"/>
  <c r="CM57" i="17"/>
  <c r="CM58" i="17"/>
  <c r="CM49" i="17"/>
  <c r="H37" i="17"/>
  <c r="H41" i="17"/>
  <c r="H40" i="17"/>
  <c r="H39" i="17"/>
  <c r="H38" i="17"/>
  <c r="CL331" i="31"/>
  <c r="CM23" i="31"/>
  <c r="CN24" i="31"/>
  <c r="CN1" i="17"/>
  <c r="CN13" i="17" s="1"/>
  <c r="CM4" i="17"/>
  <c r="CM18" i="17"/>
  <c r="CM22" i="17"/>
  <c r="CM20" i="17"/>
  <c r="CM19" i="17"/>
  <c r="CM21" i="17"/>
  <c r="G33" i="17"/>
  <c r="I30" i="17"/>
  <c r="I28" i="17"/>
  <c r="I32" i="17"/>
  <c r="G42" i="17"/>
  <c r="CL60" i="17"/>
  <c r="CK26" i="19" s="1"/>
  <c r="CL51" i="17"/>
  <c r="CL23" i="17"/>
  <c r="CL24" i="17" s="1"/>
  <c r="CL16" i="17"/>
  <c r="JB2" i="17" l="1"/>
  <c r="IY3" i="17"/>
  <c r="IZ2" i="17"/>
  <c r="IW3" i="17"/>
  <c r="IX3" i="17"/>
  <c r="JA2" i="17"/>
  <c r="CJ332" i="31"/>
  <c r="CI25" i="30"/>
  <c r="CI26" i="30" s="1"/>
  <c r="CN12" i="17"/>
  <c r="CN11" i="17"/>
  <c r="CN10" i="17"/>
  <c r="CN9" i="17"/>
  <c r="CN50" i="17"/>
  <c r="CN59" i="17"/>
  <c r="CN55" i="17"/>
  <c r="CN46" i="17"/>
  <c r="CN56" i="17"/>
  <c r="CN47" i="17"/>
  <c r="CN48" i="17"/>
  <c r="CN57" i="17"/>
  <c r="CN49" i="17"/>
  <c r="CN58" i="17"/>
  <c r="I41" i="17"/>
  <c r="I31" i="17"/>
  <c r="I40" i="17"/>
  <c r="I39" i="17"/>
  <c r="I29" i="17"/>
  <c r="I38" i="17"/>
  <c r="I37" i="17"/>
  <c r="CM331" i="31"/>
  <c r="CN23" i="31"/>
  <c r="CO24" i="31"/>
  <c r="J28" i="17"/>
  <c r="J30" i="17"/>
  <c r="CM51" i="17"/>
  <c r="CM16" i="17"/>
  <c r="CM23" i="17"/>
  <c r="CM24" i="17" s="1"/>
  <c r="H33" i="17"/>
  <c r="H42" i="17"/>
  <c r="CO1" i="17"/>
  <c r="CO13" i="17" s="1"/>
  <c r="CN4" i="17"/>
  <c r="CN18" i="17"/>
  <c r="CN19" i="17"/>
  <c r="CN20" i="17"/>
  <c r="CN21" i="17"/>
  <c r="CN22" i="17"/>
  <c r="J29" i="17"/>
  <c r="J32" i="17"/>
  <c r="CM60" i="17"/>
  <c r="CL26" i="19" s="1"/>
  <c r="CK332" i="31" l="1"/>
  <c r="CJ25" i="30"/>
  <c r="CJ26" i="30" s="1"/>
  <c r="JA3" i="17"/>
  <c r="JD2" i="17"/>
  <c r="JC2" i="17"/>
  <c r="IZ3" i="17"/>
  <c r="JE2" i="17"/>
  <c r="JB3" i="17"/>
  <c r="CO9" i="17"/>
  <c r="CO10" i="17"/>
  <c r="CO11" i="17"/>
  <c r="CO12" i="17"/>
  <c r="J37" i="17"/>
  <c r="CO50" i="17"/>
  <c r="CO59" i="17"/>
  <c r="CO55" i="17"/>
  <c r="CO46" i="17"/>
  <c r="CO56" i="17"/>
  <c r="CO47" i="17"/>
  <c r="CO57" i="17"/>
  <c r="CO48" i="17"/>
  <c r="CO58" i="17"/>
  <c r="CO49" i="17"/>
  <c r="J41" i="17"/>
  <c r="J31" i="17"/>
  <c r="J40" i="17"/>
  <c r="J39" i="17"/>
  <c r="J38" i="17"/>
  <c r="CN331" i="31"/>
  <c r="CP24" i="31"/>
  <c r="CO23" i="31"/>
  <c r="I42" i="17"/>
  <c r="K28" i="17"/>
  <c r="CP1" i="17"/>
  <c r="CP13" i="17" s="1"/>
  <c r="CO4" i="17"/>
  <c r="CO19" i="17"/>
  <c r="CO21" i="17"/>
  <c r="CO22" i="17"/>
  <c r="CO18" i="17"/>
  <c r="CO20" i="17"/>
  <c r="K29" i="17"/>
  <c r="CN16" i="17"/>
  <c r="CN23" i="17"/>
  <c r="CN24" i="17" s="1"/>
  <c r="CN60" i="17"/>
  <c r="CM26" i="19" s="1"/>
  <c r="CN51" i="17"/>
  <c r="K30" i="17"/>
  <c r="K32" i="17"/>
  <c r="AF47" i="41"/>
  <c r="I33" i="17"/>
  <c r="JE3" i="17" l="1"/>
  <c r="JH2" i="17"/>
  <c r="JC3" i="17"/>
  <c r="JF2" i="17"/>
  <c r="JG2" i="17"/>
  <c r="JD3" i="17"/>
  <c r="CL332" i="31"/>
  <c r="CK25" i="30"/>
  <c r="CK26" i="30" s="1"/>
  <c r="CP12" i="17"/>
  <c r="CP9" i="17"/>
  <c r="CP11" i="17"/>
  <c r="CP10" i="17"/>
  <c r="CP50" i="17"/>
  <c r="CP59" i="17"/>
  <c r="CP55" i="17"/>
  <c r="CP46" i="17"/>
  <c r="CP56" i="17"/>
  <c r="CP47" i="17"/>
  <c r="CP48" i="17"/>
  <c r="CP57" i="17"/>
  <c r="CP58" i="17"/>
  <c r="CP49" i="17"/>
  <c r="K37" i="17"/>
  <c r="K41" i="17"/>
  <c r="K31" i="17"/>
  <c r="K40" i="17"/>
  <c r="K39" i="17"/>
  <c r="K38" i="17"/>
  <c r="CO331" i="31"/>
  <c r="CQ24" i="31"/>
  <c r="CP23" i="31"/>
  <c r="CO60" i="17"/>
  <c r="CN26" i="19" s="1"/>
  <c r="J42" i="17"/>
  <c r="CO16" i="17"/>
  <c r="CO23" i="17"/>
  <c r="CO24" i="17" s="1"/>
  <c r="J33" i="17"/>
  <c r="L29" i="17"/>
  <c r="L28" i="17"/>
  <c r="CP4" i="17"/>
  <c r="CQ1" i="17"/>
  <c r="CQ13" i="17" s="1"/>
  <c r="CP20" i="17"/>
  <c r="CP21" i="17"/>
  <c r="CP22" i="17"/>
  <c r="CP18" i="17"/>
  <c r="CP19" i="17"/>
  <c r="L32" i="17"/>
  <c r="CO51" i="17"/>
  <c r="L30" i="17"/>
  <c r="CM332" i="31" l="1"/>
  <c r="CL25" i="30"/>
  <c r="CL26" i="30" s="1"/>
  <c r="JJ2" i="17"/>
  <c r="JG3" i="17"/>
  <c r="JI2" i="17"/>
  <c r="JF3" i="17"/>
  <c r="JK2" i="17"/>
  <c r="JH3" i="17"/>
  <c r="CQ10" i="17"/>
  <c r="CQ11" i="17"/>
  <c r="CQ9" i="17"/>
  <c r="CQ12" i="17"/>
  <c r="CQ50" i="17"/>
  <c r="CQ59" i="17"/>
  <c r="CQ55" i="17"/>
  <c r="CQ46" i="17"/>
  <c r="CQ47" i="17"/>
  <c r="CQ56" i="17"/>
  <c r="CQ57" i="17"/>
  <c r="CQ48" i="17"/>
  <c r="CQ58" i="17"/>
  <c r="CQ49" i="17"/>
  <c r="L41" i="17"/>
  <c r="L31" i="17"/>
  <c r="L40" i="17"/>
  <c r="L39" i="17"/>
  <c r="L38" i="17"/>
  <c r="L37" i="17"/>
  <c r="CP331" i="31"/>
  <c r="CR24" i="31"/>
  <c r="CQ23" i="31"/>
  <c r="CR1" i="17"/>
  <c r="CR10" i="17" s="1"/>
  <c r="CQ4" i="17"/>
  <c r="CQ20" i="17"/>
  <c r="CQ18" i="17"/>
  <c r="CQ22" i="17"/>
  <c r="CQ19" i="17"/>
  <c r="CQ21" i="17"/>
  <c r="K33" i="17"/>
  <c r="M28" i="17"/>
  <c r="K42" i="17"/>
  <c r="CP60" i="17"/>
  <c r="CO26" i="19" s="1"/>
  <c r="AG26" i="41" s="1"/>
  <c r="M32" i="17"/>
  <c r="CP16" i="17"/>
  <c r="CP23" i="17"/>
  <c r="CP24" i="17" s="1"/>
  <c r="M30" i="17"/>
  <c r="CP51" i="17"/>
  <c r="M29" i="17"/>
  <c r="JK3" i="17" l="1"/>
  <c r="JN2" i="17"/>
  <c r="JL2" i="17"/>
  <c r="JI3" i="17"/>
  <c r="JJ3" i="17"/>
  <c r="JM2" i="17"/>
  <c r="CN332" i="31"/>
  <c r="CM25" i="30"/>
  <c r="CM26" i="30" s="1"/>
  <c r="CR12" i="17"/>
  <c r="CR9" i="17"/>
  <c r="CR13" i="17"/>
  <c r="CR11" i="17"/>
  <c r="CR59" i="17"/>
  <c r="CR50" i="17"/>
  <c r="CR46" i="17"/>
  <c r="CR55" i="17"/>
  <c r="CR47" i="17"/>
  <c r="CR56" i="17"/>
  <c r="CR57" i="17"/>
  <c r="CR48" i="17"/>
  <c r="CR49" i="17"/>
  <c r="CR58" i="17"/>
  <c r="M41" i="17"/>
  <c r="M31" i="17"/>
  <c r="M40" i="17"/>
  <c r="M39" i="17"/>
  <c r="M38" i="17"/>
  <c r="M37" i="17"/>
  <c r="CQ331" i="31"/>
  <c r="CR23" i="31"/>
  <c r="CS24" i="31"/>
  <c r="CQ16" i="17"/>
  <c r="CQ23" i="17"/>
  <c r="CQ24" i="17" s="1"/>
  <c r="N31" i="17"/>
  <c r="AG47" i="41"/>
  <c r="CQ60" i="17"/>
  <c r="CP26" i="19" s="1"/>
  <c r="N30" i="17"/>
  <c r="L42" i="17"/>
  <c r="CS1" i="17"/>
  <c r="CS10" i="17" s="1"/>
  <c r="CR4" i="17"/>
  <c r="CR18" i="17"/>
  <c r="CR19" i="17"/>
  <c r="CR20" i="17"/>
  <c r="CR21" i="17"/>
  <c r="CR22" i="17"/>
  <c r="N29" i="17"/>
  <c r="L33" i="17"/>
  <c r="CQ51" i="17"/>
  <c r="N32" i="17"/>
  <c r="N28" i="17"/>
  <c r="CO332" i="31" l="1"/>
  <c r="CN25" i="30"/>
  <c r="CN26" i="30" s="1"/>
  <c r="JP2" i="17"/>
  <c r="JM3" i="17"/>
  <c r="JO2" i="17"/>
  <c r="JL3" i="17"/>
  <c r="JQ2" i="17"/>
  <c r="JN3" i="17"/>
  <c r="CS12" i="17"/>
  <c r="CS11" i="17"/>
  <c r="CS13" i="17"/>
  <c r="CS9" i="17"/>
  <c r="CS50" i="17"/>
  <c r="CS59" i="17"/>
  <c r="CS55" i="17"/>
  <c r="CS46" i="17"/>
  <c r="CS56" i="17"/>
  <c r="CS47" i="17"/>
  <c r="CS48" i="17"/>
  <c r="CS57" i="17"/>
  <c r="CS49" i="17"/>
  <c r="CS58" i="17"/>
  <c r="N41" i="17"/>
  <c r="N40" i="17"/>
  <c r="N39" i="17"/>
  <c r="N38" i="17"/>
  <c r="N37" i="17"/>
  <c r="CR331" i="31"/>
  <c r="CS23" i="31"/>
  <c r="CT24" i="31"/>
  <c r="M42" i="17"/>
  <c r="O32" i="17"/>
  <c r="O30" i="17"/>
  <c r="CR51" i="17"/>
  <c r="O28" i="17"/>
  <c r="CT1" i="17"/>
  <c r="CT10" i="17" s="1"/>
  <c r="CS4" i="17"/>
  <c r="CS21" i="17"/>
  <c r="CS19" i="17"/>
  <c r="CS18" i="17"/>
  <c r="CS20" i="17"/>
  <c r="CS22" i="17"/>
  <c r="M33" i="17"/>
  <c r="CR60" i="17"/>
  <c r="CQ26" i="19" s="1"/>
  <c r="O29" i="17"/>
  <c r="CR16" i="17"/>
  <c r="CR23" i="17"/>
  <c r="CR24" i="17" s="1"/>
  <c r="O31" i="17"/>
  <c r="JT2" i="17" l="1"/>
  <c r="JQ3" i="17"/>
  <c r="JO3" i="17"/>
  <c r="JR2" i="17"/>
  <c r="JS2" i="17"/>
  <c r="JP3" i="17"/>
  <c r="CP332" i="31"/>
  <c r="CO25" i="30"/>
  <c r="CO26" i="30" s="1"/>
  <c r="CT12" i="17"/>
  <c r="CT9" i="17"/>
  <c r="CT13" i="17"/>
  <c r="CT11" i="17"/>
  <c r="CT50" i="17"/>
  <c r="CT59" i="17"/>
  <c r="CT55" i="17"/>
  <c r="CT46" i="17"/>
  <c r="CT47" i="17"/>
  <c r="CT56" i="17"/>
  <c r="CT57" i="17"/>
  <c r="CT48" i="17"/>
  <c r="CT58" i="17"/>
  <c r="CT49" i="17"/>
  <c r="O41" i="17"/>
  <c r="O40" i="17"/>
  <c r="O39" i="17"/>
  <c r="O38" i="17"/>
  <c r="O37" i="17"/>
  <c r="CS331" i="31"/>
  <c r="CU24" i="31"/>
  <c r="CT23" i="31"/>
  <c r="N42" i="17"/>
  <c r="P30" i="17"/>
  <c r="CS60" i="17"/>
  <c r="CR26" i="19" s="1"/>
  <c r="AH26" i="41" s="1"/>
  <c r="CS51" i="17"/>
  <c r="CS23" i="17"/>
  <c r="CS24" i="17" s="1"/>
  <c r="CS16" i="17"/>
  <c r="P29" i="17"/>
  <c r="CT4" i="17"/>
  <c r="CU1" i="17"/>
  <c r="CU10" i="17" s="1"/>
  <c r="CT18" i="17"/>
  <c r="CT19" i="17"/>
  <c r="CT20" i="17"/>
  <c r="CT21" i="17"/>
  <c r="CT22" i="17"/>
  <c r="N33" i="17"/>
  <c r="P31" i="17"/>
  <c r="P28" i="17"/>
  <c r="P32" i="17"/>
  <c r="CQ332" i="31" l="1"/>
  <c r="CP25" i="30"/>
  <c r="CP26" i="30" s="1"/>
  <c r="JS3" i="17"/>
  <c r="JV2" i="17"/>
  <c r="JR3" i="17"/>
  <c r="JU2" i="17"/>
  <c r="JW2" i="17"/>
  <c r="JT3" i="17"/>
  <c r="CU11" i="17"/>
  <c r="CU13" i="17"/>
  <c r="CU9" i="17"/>
  <c r="CU12" i="17"/>
  <c r="CU50" i="17"/>
  <c r="CU59" i="17"/>
  <c r="CU46" i="17"/>
  <c r="CU55" i="17"/>
  <c r="CU47" i="17"/>
  <c r="CU56" i="17"/>
  <c r="CU48" i="17"/>
  <c r="CU57" i="17"/>
  <c r="CU58" i="17"/>
  <c r="CU49" i="17"/>
  <c r="P41" i="17"/>
  <c r="P40" i="17"/>
  <c r="P39" i="17"/>
  <c r="P38" i="17"/>
  <c r="P37" i="17"/>
  <c r="CT331" i="31"/>
  <c r="CU23" i="31"/>
  <c r="CV24" i="31"/>
  <c r="Q29" i="17"/>
  <c r="O33" i="17"/>
  <c r="Q28" i="17"/>
  <c r="CT23" i="17"/>
  <c r="CT24" i="17" s="1"/>
  <c r="CT16" i="17"/>
  <c r="Q32" i="17"/>
  <c r="AH47" i="41"/>
  <c r="CT60" i="17"/>
  <c r="CS26" i="19" s="1"/>
  <c r="CT51" i="17"/>
  <c r="CV1" i="17"/>
  <c r="CV10" i="17" s="1"/>
  <c r="CU4" i="17"/>
  <c r="CU18" i="17"/>
  <c r="CU22" i="17"/>
  <c r="CU20" i="17"/>
  <c r="CU19" i="17"/>
  <c r="CU21" i="17"/>
  <c r="Q30" i="17"/>
  <c r="Q31" i="17"/>
  <c r="O42" i="17"/>
  <c r="JZ2" i="17" l="1"/>
  <c r="JW3" i="17"/>
  <c r="JX2" i="17"/>
  <c r="JU3" i="17"/>
  <c r="JV3" i="17"/>
  <c r="JY2" i="17"/>
  <c r="CR332" i="31"/>
  <c r="CQ25" i="30"/>
  <c r="CQ26" i="30" s="1"/>
  <c r="CV12" i="17"/>
  <c r="CV9" i="17"/>
  <c r="CV11" i="17"/>
  <c r="CV13" i="17"/>
  <c r="Q41" i="17"/>
  <c r="CV50" i="17"/>
  <c r="CV59" i="17"/>
  <c r="CV46" i="17"/>
  <c r="CV55" i="17"/>
  <c r="CV56" i="17"/>
  <c r="CV47" i="17"/>
  <c r="CV48" i="17"/>
  <c r="CV57" i="17"/>
  <c r="CV49" i="17"/>
  <c r="CV58" i="17"/>
  <c r="Q38" i="17"/>
  <c r="Q40" i="17"/>
  <c r="Q39" i="17"/>
  <c r="Q37" i="17"/>
  <c r="CU331" i="31"/>
  <c r="CV23" i="31"/>
  <c r="CW24" i="31"/>
  <c r="R31" i="17"/>
  <c r="CU60" i="17"/>
  <c r="CT26" i="19" s="1"/>
  <c r="CU51" i="17"/>
  <c r="P42" i="17"/>
  <c r="P33" i="17"/>
  <c r="CW1" i="17"/>
  <c r="CW10" i="17" s="1"/>
  <c r="CV4" i="17"/>
  <c r="CV18" i="17"/>
  <c r="CV19" i="17"/>
  <c r="CV20" i="17"/>
  <c r="CV21" i="17"/>
  <c r="CV22" i="17"/>
  <c r="R30" i="17"/>
  <c r="CU16" i="17"/>
  <c r="CU23" i="17"/>
  <c r="CU24" i="17" s="1"/>
  <c r="R29" i="17"/>
  <c r="R32" i="17"/>
  <c r="R28" i="17"/>
  <c r="CS332" i="31" l="1"/>
  <c r="CR25" i="30"/>
  <c r="CR26" i="30" s="1"/>
  <c r="JY3" i="17"/>
  <c r="KB2" i="17"/>
  <c r="KA2" i="17"/>
  <c r="JX3" i="17"/>
  <c r="JZ3" i="17"/>
  <c r="KC2" i="17"/>
  <c r="CW11" i="17"/>
  <c r="CW13" i="17"/>
  <c r="CW9" i="17"/>
  <c r="CW12" i="17"/>
  <c r="CW50" i="17"/>
  <c r="CW59" i="17"/>
  <c r="CW46" i="17"/>
  <c r="CW55" i="17"/>
  <c r="CW56" i="17"/>
  <c r="CW47" i="17"/>
  <c r="CW57" i="17"/>
  <c r="CW48" i="17"/>
  <c r="CW58" i="17"/>
  <c r="CW49" i="17"/>
  <c r="R40" i="17"/>
  <c r="R41" i="17"/>
  <c r="R39" i="17"/>
  <c r="R38" i="17"/>
  <c r="R37" i="17"/>
  <c r="CV331" i="31"/>
  <c r="CW23" i="31"/>
  <c r="CX24" i="31"/>
  <c r="S32" i="17"/>
  <c r="S29" i="17"/>
  <c r="S28" i="17"/>
  <c r="Q42" i="17"/>
  <c r="CV51" i="17"/>
  <c r="Q33" i="17"/>
  <c r="CV16" i="17"/>
  <c r="CV23" i="17"/>
  <c r="CV24" i="17" s="1"/>
  <c r="CX1" i="17"/>
  <c r="CX10" i="17" s="1"/>
  <c r="CW4" i="17"/>
  <c r="CW19" i="17"/>
  <c r="CW21" i="17"/>
  <c r="CW18" i="17"/>
  <c r="CW20" i="17"/>
  <c r="CW22" i="17"/>
  <c r="S31" i="17"/>
  <c r="S30" i="17"/>
  <c r="CV60" i="17"/>
  <c r="CU26" i="19" s="1"/>
  <c r="AI26" i="41" s="1"/>
  <c r="KA3" i="17" l="1"/>
  <c r="KB3" i="17"/>
  <c r="KC3" i="17"/>
  <c r="CT332" i="31"/>
  <c r="CS25" i="30"/>
  <c r="CS26" i="30" s="1"/>
  <c r="CX12" i="17"/>
  <c r="CX9" i="17"/>
  <c r="CX13" i="17"/>
  <c r="CX11" i="17"/>
  <c r="CX50" i="17"/>
  <c r="CX59" i="17"/>
  <c r="CX46" i="17"/>
  <c r="CX55" i="17"/>
  <c r="CX47" i="17"/>
  <c r="CX56" i="17"/>
  <c r="CX57" i="17"/>
  <c r="CX48" i="17"/>
  <c r="CX58" i="17"/>
  <c r="CX49" i="17"/>
  <c r="S41" i="17"/>
  <c r="S40" i="17"/>
  <c r="S39" i="17"/>
  <c r="S38" i="17"/>
  <c r="S37" i="17"/>
  <c r="CW331" i="31"/>
  <c r="CX23" i="31"/>
  <c r="CY24" i="31"/>
  <c r="R42" i="17"/>
  <c r="CW60" i="17"/>
  <c r="CV26" i="19" s="1"/>
  <c r="CW16" i="17"/>
  <c r="CW23" i="17"/>
  <c r="CW24" i="17" s="1"/>
  <c r="CX4" i="17"/>
  <c r="CY1" i="17"/>
  <c r="CY10" i="17" s="1"/>
  <c r="CX18" i="17"/>
  <c r="CX19" i="17"/>
  <c r="CX20" i="17"/>
  <c r="CX21" i="17"/>
  <c r="CX22" i="17"/>
  <c r="R33" i="17"/>
  <c r="T29" i="17"/>
  <c r="T30" i="17"/>
  <c r="CW51" i="17"/>
  <c r="AI47" i="41"/>
  <c r="T28" i="17"/>
  <c r="T31" i="17"/>
  <c r="T32" i="17"/>
  <c r="CU332" i="31" l="1"/>
  <c r="CT25" i="30"/>
  <c r="CT26" i="30" s="1"/>
  <c r="CY11" i="17"/>
  <c r="CY13" i="17"/>
  <c r="CY9" i="17"/>
  <c r="CY12" i="17"/>
  <c r="CY50" i="17"/>
  <c r="CY59" i="17"/>
  <c r="CY46" i="17"/>
  <c r="CY55" i="17"/>
  <c r="CY56" i="17"/>
  <c r="CY47" i="17"/>
  <c r="CY57" i="17"/>
  <c r="CY48" i="17"/>
  <c r="CY58" i="17"/>
  <c r="CY49" i="17"/>
  <c r="T41" i="17"/>
  <c r="T40" i="17"/>
  <c r="T39" i="17"/>
  <c r="T38" i="17"/>
  <c r="T37" i="17"/>
  <c r="CX331" i="31"/>
  <c r="CZ24" i="31"/>
  <c r="CY23" i="31"/>
  <c r="U32" i="17"/>
  <c r="U31" i="17"/>
  <c r="CZ1" i="17"/>
  <c r="CZ10" i="17" s="1"/>
  <c r="CY4" i="17"/>
  <c r="CY20" i="17"/>
  <c r="CY18" i="17"/>
  <c r="CY22" i="17"/>
  <c r="CY19" i="17"/>
  <c r="CY21" i="17"/>
  <c r="U28" i="17"/>
  <c r="CX60" i="17"/>
  <c r="CW26" i="19" s="1"/>
  <c r="S33" i="17"/>
  <c r="U30" i="17"/>
  <c r="S42" i="17"/>
  <c r="CX51" i="17"/>
  <c r="U29" i="17"/>
  <c r="CX16" i="17"/>
  <c r="CX23" i="17"/>
  <c r="CX24" i="17" s="1"/>
  <c r="CV332" i="31" l="1"/>
  <c r="CU25" i="30"/>
  <c r="CU26" i="30" s="1"/>
  <c r="CZ13" i="17"/>
  <c r="CZ12" i="17"/>
  <c r="CZ9" i="17"/>
  <c r="CZ11" i="17"/>
  <c r="CZ59" i="17"/>
  <c r="CZ50" i="17"/>
  <c r="CZ46" i="17"/>
  <c r="CZ55" i="17"/>
  <c r="CZ47" i="17"/>
  <c r="CZ56" i="17"/>
  <c r="CZ48" i="17"/>
  <c r="CZ57" i="17"/>
  <c r="CZ49" i="17"/>
  <c r="CZ58" i="17"/>
  <c r="U41" i="17"/>
  <c r="U40" i="17"/>
  <c r="U39" i="17"/>
  <c r="U38" i="17"/>
  <c r="U37" i="17"/>
  <c r="CY331" i="31"/>
  <c r="CZ23" i="31"/>
  <c r="DA24" i="31"/>
  <c r="T42" i="17"/>
  <c r="CY51" i="17"/>
  <c r="T33" i="17"/>
  <c r="DA1" i="17"/>
  <c r="DA10" i="17" s="1"/>
  <c r="CZ4" i="17"/>
  <c r="CZ21" i="17"/>
  <c r="CZ22" i="17"/>
  <c r="CZ18" i="17"/>
  <c r="CZ19" i="17"/>
  <c r="CZ20" i="17"/>
  <c r="V31" i="17"/>
  <c r="V29" i="17"/>
  <c r="V30" i="17"/>
  <c r="CY60" i="17"/>
  <c r="CX26" i="19" s="1"/>
  <c r="AJ26" i="41" s="1"/>
  <c r="CY16" i="17"/>
  <c r="CY23" i="17"/>
  <c r="CY24" i="17" s="1"/>
  <c r="V32" i="17"/>
  <c r="CW332" i="31" l="1"/>
  <c r="CV25" i="30"/>
  <c r="CV26" i="30" s="1"/>
  <c r="DA11" i="17"/>
  <c r="DA9" i="17"/>
  <c r="DA12" i="17"/>
  <c r="DA13" i="17"/>
  <c r="DA50" i="17"/>
  <c r="DA59" i="17"/>
  <c r="DA46" i="17"/>
  <c r="DA55" i="17"/>
  <c r="DA56" i="17"/>
  <c r="DA47" i="17"/>
  <c r="DA48" i="17"/>
  <c r="DA57" i="17"/>
  <c r="DA58" i="17"/>
  <c r="DA49" i="17"/>
  <c r="V41" i="17"/>
  <c r="V40" i="17"/>
  <c r="V39" i="17"/>
  <c r="V38" i="17"/>
  <c r="V28" i="17"/>
  <c r="V37" i="17"/>
  <c r="CZ331" i="31"/>
  <c r="DA23" i="31"/>
  <c r="DB24" i="31"/>
  <c r="U42" i="17"/>
  <c r="W32" i="17"/>
  <c r="W29" i="17"/>
  <c r="W30" i="17"/>
  <c r="CZ51" i="17"/>
  <c r="CZ60" i="17"/>
  <c r="CY26" i="19" s="1"/>
  <c r="W31" i="17"/>
  <c r="AJ47" i="41"/>
  <c r="CZ16" i="17"/>
  <c r="CZ23" i="17"/>
  <c r="CZ24" i="17" s="1"/>
  <c r="U33" i="17"/>
  <c r="DA4" i="17"/>
  <c r="DB1" i="17"/>
  <c r="DB10" i="17" s="1"/>
  <c r="DA21" i="17"/>
  <c r="DA19" i="17"/>
  <c r="DA20" i="17"/>
  <c r="DA22" i="17"/>
  <c r="DA18" i="17"/>
  <c r="CX332" i="31" l="1"/>
  <c r="CW25" i="30"/>
  <c r="CW26" i="30" s="1"/>
  <c r="DB13" i="17"/>
  <c r="DB12" i="17"/>
  <c r="DB9" i="17"/>
  <c r="DB11" i="17"/>
  <c r="DB50" i="17"/>
  <c r="DB59" i="17"/>
  <c r="DB46" i="17"/>
  <c r="DB55" i="17"/>
  <c r="DB56" i="17"/>
  <c r="DB47" i="17"/>
  <c r="DB48" i="17"/>
  <c r="DB57" i="17"/>
  <c r="DB58" i="17"/>
  <c r="DB49" i="17"/>
  <c r="W41" i="17"/>
  <c r="W40" i="17"/>
  <c r="W39" i="17"/>
  <c r="W38" i="17"/>
  <c r="W37" i="17"/>
  <c r="DA331" i="31"/>
  <c r="DC24" i="31"/>
  <c r="DB23" i="31"/>
  <c r="V33" i="17"/>
  <c r="V42" i="17"/>
  <c r="DB4" i="17"/>
  <c r="DC1" i="17"/>
  <c r="DC10" i="17" s="1"/>
  <c r="DB18" i="17"/>
  <c r="DB19" i="17"/>
  <c r="DB20" i="17"/>
  <c r="DB21" i="17"/>
  <c r="DB22" i="17"/>
  <c r="X29" i="17"/>
  <c r="X30" i="17"/>
  <c r="X32" i="17"/>
  <c r="DA51" i="17"/>
  <c r="X31" i="17"/>
  <c r="DA60" i="17"/>
  <c r="CZ26" i="19" s="1"/>
  <c r="X28" i="17"/>
  <c r="DA23" i="17"/>
  <c r="DA24" i="17" s="1"/>
  <c r="DA16" i="17"/>
  <c r="CY332" i="31" l="1"/>
  <c r="CX25" i="30"/>
  <c r="CX26" i="30" s="1"/>
  <c r="DC12" i="17"/>
  <c r="DC13" i="17"/>
  <c r="DC11" i="17"/>
  <c r="DC9" i="17"/>
  <c r="DC50" i="17"/>
  <c r="DC59" i="17"/>
  <c r="DC55" i="17"/>
  <c r="DC46" i="17"/>
  <c r="DC47" i="17"/>
  <c r="DC56" i="17"/>
  <c r="DC48" i="17"/>
  <c r="DC57" i="17"/>
  <c r="DC58" i="17"/>
  <c r="DC49" i="17"/>
  <c r="X39" i="17"/>
  <c r="X41" i="17"/>
  <c r="X40" i="17"/>
  <c r="X38" i="17"/>
  <c r="X37" i="17"/>
  <c r="DB331" i="31"/>
  <c r="DD24" i="31"/>
  <c r="DC23" i="31"/>
  <c r="W33" i="17"/>
  <c r="DB60" i="17"/>
  <c r="DA26" i="19" s="1"/>
  <c r="AK26" i="41" s="1"/>
  <c r="DB51" i="17"/>
  <c r="Y31" i="17"/>
  <c r="Y32" i="17"/>
  <c r="Y28" i="17"/>
  <c r="DD1" i="17"/>
  <c r="DD10" i="17" s="1"/>
  <c r="DC4" i="17"/>
  <c r="DC18" i="17"/>
  <c r="DC22" i="17"/>
  <c r="DC20" i="17"/>
  <c r="DC19" i="17"/>
  <c r="DC21" i="17"/>
  <c r="W42" i="17"/>
  <c r="Y29" i="17"/>
  <c r="Y30" i="17"/>
  <c r="DB23" i="17"/>
  <c r="DB24" i="17" s="1"/>
  <c r="DB16" i="17"/>
  <c r="C27" i="30" l="1"/>
  <c r="C28" i="30" s="1"/>
  <c r="CZ332" i="31"/>
  <c r="CY25" i="30"/>
  <c r="CY26" i="30" s="1"/>
  <c r="DD9" i="17"/>
  <c r="DD11" i="17"/>
  <c r="DD13" i="17"/>
  <c r="DD12" i="17"/>
  <c r="Y41" i="17"/>
  <c r="DD50" i="17"/>
  <c r="DD59" i="17"/>
  <c r="DD46" i="17"/>
  <c r="DD55" i="17"/>
  <c r="DD47" i="17"/>
  <c r="DD56" i="17"/>
  <c r="DD48" i="17"/>
  <c r="DD57" i="17"/>
  <c r="DD58" i="17"/>
  <c r="DD49" i="17"/>
  <c r="Y37" i="17"/>
  <c r="Y40" i="17"/>
  <c r="Y39" i="17"/>
  <c r="Y38" i="17"/>
  <c r="DC331" i="31"/>
  <c r="DD23" i="31"/>
  <c r="DE24" i="31"/>
  <c r="X42" i="17"/>
  <c r="DC60" i="17"/>
  <c r="DB26" i="19" s="1"/>
  <c r="X33" i="17"/>
  <c r="Z28" i="17"/>
  <c r="Z29" i="17"/>
  <c r="Z31" i="17"/>
  <c r="DC23" i="17"/>
  <c r="DC24" i="17" s="1"/>
  <c r="DC16" i="17"/>
  <c r="Z30" i="17"/>
  <c r="DC51" i="17"/>
  <c r="DE1" i="17"/>
  <c r="DE10" i="17" s="1"/>
  <c r="DD4" i="17"/>
  <c r="DD18" i="17"/>
  <c r="DD19" i="17"/>
  <c r="DD20" i="17"/>
  <c r="DD21" i="17"/>
  <c r="DD22" i="17"/>
  <c r="AK47" i="41"/>
  <c r="Z32" i="17"/>
  <c r="C29" i="30" l="1"/>
  <c r="D27" i="30"/>
  <c r="DA332" i="31"/>
  <c r="CZ25" i="30"/>
  <c r="CZ26" i="30" s="1"/>
  <c r="DE12" i="17"/>
  <c r="DE13" i="17"/>
  <c r="DE11" i="17"/>
  <c r="DE9" i="17"/>
  <c r="DE50" i="17"/>
  <c r="DE59" i="17"/>
  <c r="DE55" i="17"/>
  <c r="DE46" i="17"/>
  <c r="DE47" i="17"/>
  <c r="DE56" i="17"/>
  <c r="DE57" i="17"/>
  <c r="DE48" i="17"/>
  <c r="DE58" i="17"/>
  <c r="DE49" i="17"/>
  <c r="Z41" i="17"/>
  <c r="Z40" i="17"/>
  <c r="Z39" i="17"/>
  <c r="Z38" i="17"/>
  <c r="Z37" i="17"/>
  <c r="DD331" i="31"/>
  <c r="DF24" i="31"/>
  <c r="DE23" i="31"/>
  <c r="Y42" i="17"/>
  <c r="DF1" i="17"/>
  <c r="DF10" i="17" s="1"/>
  <c r="DE4" i="17"/>
  <c r="DE19" i="17"/>
  <c r="DE21" i="17"/>
  <c r="DE18" i="17"/>
  <c r="DE20" i="17"/>
  <c r="DE22" i="17"/>
  <c r="AA29" i="17"/>
  <c r="DD51" i="17"/>
  <c r="AA31" i="17"/>
  <c r="Y33" i="17"/>
  <c r="DD16" i="17"/>
  <c r="DD23" i="17"/>
  <c r="DD24" i="17" s="1"/>
  <c r="AA28" i="17"/>
  <c r="AA32" i="17"/>
  <c r="DD60" i="17"/>
  <c r="DC26" i="19" s="1"/>
  <c r="AA30" i="17"/>
  <c r="D29" i="30" l="1"/>
  <c r="D28" i="30"/>
  <c r="C30" i="30"/>
  <c r="DB332" i="31"/>
  <c r="DA25" i="30"/>
  <c r="DA26" i="30" s="1"/>
  <c r="E27" i="30"/>
  <c r="E28" i="30" s="1"/>
  <c r="DF9" i="17"/>
  <c r="DF13" i="17"/>
  <c r="DF11" i="17"/>
  <c r="DF12" i="17"/>
  <c r="AA39" i="17"/>
  <c r="DF50" i="17"/>
  <c r="DF59" i="17"/>
  <c r="DF55" i="17"/>
  <c r="DF46" i="17"/>
  <c r="DF47" i="17"/>
  <c r="DF56" i="17"/>
  <c r="DF57" i="17"/>
  <c r="DF48" i="17"/>
  <c r="DF58" i="17"/>
  <c r="DF49" i="17"/>
  <c r="AA40" i="17"/>
  <c r="AA41" i="17"/>
  <c r="AA38" i="17"/>
  <c r="AA37" i="17"/>
  <c r="DE331" i="31"/>
  <c r="DF23" i="31"/>
  <c r="DG24" i="31"/>
  <c r="DE60" i="17"/>
  <c r="DD26" i="19" s="1"/>
  <c r="AL26" i="41" s="1"/>
  <c r="Z33" i="17"/>
  <c r="DG1" i="17"/>
  <c r="DG10" i="17" s="1"/>
  <c r="DF4" i="17"/>
  <c r="DF18" i="17"/>
  <c r="DF19" i="17"/>
  <c r="DF20" i="17"/>
  <c r="DF21" i="17"/>
  <c r="DF22" i="17"/>
  <c r="AB30" i="17"/>
  <c r="AB31" i="17"/>
  <c r="AB29" i="17"/>
  <c r="AB32" i="17"/>
  <c r="DE23" i="17"/>
  <c r="DE24" i="17" s="1"/>
  <c r="DE16" i="17"/>
  <c r="Z42" i="17"/>
  <c r="DE51" i="17"/>
  <c r="F27" i="30" l="1"/>
  <c r="F28" i="30" s="1"/>
  <c r="E29" i="30"/>
  <c r="C35" i="30" s="1"/>
  <c r="C36" i="30" s="1"/>
  <c r="C34" i="30"/>
  <c r="DC332" i="31"/>
  <c r="DB25" i="30"/>
  <c r="DB26" i="30" s="1"/>
  <c r="DG12" i="17"/>
  <c r="DG11" i="17"/>
  <c r="DG13" i="17"/>
  <c r="DG9" i="17"/>
  <c r="AB37" i="17"/>
  <c r="DG59" i="17"/>
  <c r="DG50" i="17"/>
  <c r="DG46" i="17"/>
  <c r="DG55" i="17"/>
  <c r="DG56" i="17"/>
  <c r="DG47" i="17"/>
  <c r="DG48" i="17"/>
  <c r="DG57" i="17"/>
  <c r="DG49" i="17"/>
  <c r="DG58" i="17"/>
  <c r="AB41" i="17"/>
  <c r="AB40" i="17"/>
  <c r="AB39" i="17"/>
  <c r="AB38" i="17"/>
  <c r="AC28" i="17"/>
  <c r="AB28" i="17"/>
  <c r="DF331" i="31"/>
  <c r="DH24" i="31"/>
  <c r="DG23" i="31"/>
  <c r="AA42" i="17"/>
  <c r="AA33" i="17"/>
  <c r="AL47" i="41"/>
  <c r="DF16" i="17"/>
  <c r="DF23" i="17"/>
  <c r="DF24" i="17" s="1"/>
  <c r="DG4" i="17"/>
  <c r="DH1" i="17"/>
  <c r="DH10" i="17" s="1"/>
  <c r="DG20" i="17"/>
  <c r="DG18" i="17"/>
  <c r="DG22" i="17"/>
  <c r="DG19" i="17"/>
  <c r="DG21" i="17"/>
  <c r="DF60" i="17"/>
  <c r="DE26" i="19" s="1"/>
  <c r="AC31" i="17"/>
  <c r="AC32" i="17"/>
  <c r="AC29" i="17"/>
  <c r="AC30" i="17"/>
  <c r="DF51" i="17"/>
  <c r="G27" i="30" l="1"/>
  <c r="G28" i="30" s="1"/>
  <c r="DD332" i="31"/>
  <c r="DC25" i="30"/>
  <c r="DC26" i="30" s="1"/>
  <c r="F29" i="30"/>
  <c r="DH9" i="17"/>
  <c r="DH13" i="17"/>
  <c r="DH12" i="17"/>
  <c r="DH11" i="17"/>
  <c r="AD28" i="17"/>
  <c r="DH50" i="17"/>
  <c r="DH59" i="17"/>
  <c r="DH46" i="17"/>
  <c r="DH55" i="17"/>
  <c r="DH47" i="17"/>
  <c r="DH56" i="17"/>
  <c r="DH57" i="17"/>
  <c r="DH48" i="17"/>
  <c r="DH49" i="17"/>
  <c r="DH58" i="17"/>
  <c r="AC41" i="17"/>
  <c r="AC40" i="17"/>
  <c r="AC39" i="17"/>
  <c r="AC38" i="17"/>
  <c r="AC37" i="17"/>
  <c r="AD37" i="17" s="1"/>
  <c r="DG331" i="31"/>
  <c r="DH23" i="31"/>
  <c r="DI24" i="31"/>
  <c r="AE28" i="17"/>
  <c r="AB42" i="17"/>
  <c r="DG51" i="17"/>
  <c r="AD29" i="17"/>
  <c r="DG16" i="17"/>
  <c r="DG23" i="17"/>
  <c r="DG24" i="17" s="1"/>
  <c r="AD31" i="17"/>
  <c r="DG60" i="17"/>
  <c r="DF26" i="19" s="1"/>
  <c r="AB33" i="17"/>
  <c r="AD30" i="17"/>
  <c r="DI1" i="17"/>
  <c r="DI10" i="17" s="1"/>
  <c r="DH4" i="17"/>
  <c r="DH18" i="17"/>
  <c r="DH19" i="17"/>
  <c r="DH20" i="17"/>
  <c r="DH21" i="17"/>
  <c r="DH22" i="17"/>
  <c r="AD32" i="17"/>
  <c r="G29" i="30" l="1"/>
  <c r="H27" i="30"/>
  <c r="DE332" i="31"/>
  <c r="DD25" i="30"/>
  <c r="DD26" i="30" s="1"/>
  <c r="DI11" i="17"/>
  <c r="DI12" i="17"/>
  <c r="DI13" i="17"/>
  <c r="DI9" i="17"/>
  <c r="DI50" i="17"/>
  <c r="DI59" i="17"/>
  <c r="DI46" i="17"/>
  <c r="DI55" i="17"/>
  <c r="DI56" i="17"/>
  <c r="DI47" i="17"/>
  <c r="DI57" i="17"/>
  <c r="DI48" i="17"/>
  <c r="DI49" i="17"/>
  <c r="DI58" i="17"/>
  <c r="AD41" i="17"/>
  <c r="AD40" i="17"/>
  <c r="AD39" i="17"/>
  <c r="AD38" i="17"/>
  <c r="AE37" i="17"/>
  <c r="DH331" i="31"/>
  <c r="DI23" i="31"/>
  <c r="DJ24" i="31"/>
  <c r="AF28" i="17"/>
  <c r="DH60" i="17"/>
  <c r="DG26" i="19" s="1"/>
  <c r="DH16" i="17"/>
  <c r="DH23" i="17"/>
  <c r="DH24" i="17" s="1"/>
  <c r="AC33" i="17"/>
  <c r="AE32" i="17"/>
  <c r="DJ1" i="17"/>
  <c r="DJ10" i="17" s="1"/>
  <c r="DI4" i="17"/>
  <c r="DI21" i="17"/>
  <c r="DI19" i="17"/>
  <c r="DI18" i="17"/>
  <c r="DI20" i="17"/>
  <c r="DI22" i="17"/>
  <c r="AC42" i="17"/>
  <c r="AE30" i="17"/>
  <c r="AE31" i="17"/>
  <c r="DH51" i="17"/>
  <c r="H29" i="30" l="1"/>
  <c r="H28" i="30"/>
  <c r="I27" i="30"/>
  <c r="I28" i="30" s="1"/>
  <c r="DF332" i="31"/>
  <c r="DE25" i="30"/>
  <c r="DE26" i="30" s="1"/>
  <c r="DJ9" i="17"/>
  <c r="DJ13" i="17"/>
  <c r="DJ12" i="17"/>
  <c r="DJ11" i="17"/>
  <c r="DJ50" i="17"/>
  <c r="DJ59" i="17"/>
  <c r="DJ55" i="17"/>
  <c r="DJ46" i="17"/>
  <c r="DJ47" i="17"/>
  <c r="DJ56" i="17"/>
  <c r="DJ57" i="17"/>
  <c r="DJ48" i="17"/>
  <c r="DJ58" i="17"/>
  <c r="DJ49" i="17"/>
  <c r="AE41" i="17"/>
  <c r="AE40" i="17"/>
  <c r="AE39" i="17"/>
  <c r="AE38" i="17"/>
  <c r="AF29" i="17"/>
  <c r="AE29" i="17"/>
  <c r="AF37" i="17"/>
  <c r="DI331" i="31"/>
  <c r="DJ23" i="31"/>
  <c r="DK24" i="31"/>
  <c r="AG28" i="17"/>
  <c r="AD42" i="17"/>
  <c r="DI60" i="17"/>
  <c r="DH26" i="19" s="1"/>
  <c r="AF32" i="17"/>
  <c r="DJ4" i="17"/>
  <c r="DK1" i="17"/>
  <c r="DK10" i="17" s="1"/>
  <c r="DJ22" i="17"/>
  <c r="DJ18" i="17"/>
  <c r="DJ19" i="17"/>
  <c r="DJ20" i="17"/>
  <c r="DJ21" i="17"/>
  <c r="AD33" i="17"/>
  <c r="AF31" i="17"/>
  <c r="DI23" i="17"/>
  <c r="DI24" i="17" s="1"/>
  <c r="DI16" i="17"/>
  <c r="AF30" i="17"/>
  <c r="AM47" i="41"/>
  <c r="DI51" i="17"/>
  <c r="J27" i="30" l="1"/>
  <c r="J28" i="30" s="1"/>
  <c r="DG332" i="31"/>
  <c r="DF25" i="30"/>
  <c r="DF26" i="30" s="1"/>
  <c r="I29" i="30"/>
  <c r="DK11" i="17"/>
  <c r="DK12" i="17"/>
  <c r="DK13" i="17"/>
  <c r="DK9" i="17"/>
  <c r="AG29" i="17"/>
  <c r="DK50" i="17"/>
  <c r="DK59" i="17"/>
  <c r="DK55" i="17"/>
  <c r="DK46" i="17"/>
  <c r="DK56" i="17"/>
  <c r="DK47" i="17"/>
  <c r="DK48" i="17"/>
  <c r="DK57" i="17"/>
  <c r="DK49" i="17"/>
  <c r="DK58" i="17"/>
  <c r="AF41" i="17"/>
  <c r="AF40" i="17"/>
  <c r="AF39" i="17"/>
  <c r="AF38" i="17"/>
  <c r="AG38" i="17" s="1"/>
  <c r="AG37" i="17"/>
  <c r="DJ331" i="31"/>
  <c r="DK23" i="31"/>
  <c r="DL24" i="31"/>
  <c r="AH28" i="17"/>
  <c r="AE42" i="17"/>
  <c r="DJ60" i="17"/>
  <c r="DI26" i="19" s="1"/>
  <c r="AG31" i="17"/>
  <c r="DL1" i="17"/>
  <c r="DL10" i="17" s="1"/>
  <c r="DK4" i="17"/>
  <c r="DK18" i="17"/>
  <c r="DK22" i="17"/>
  <c r="DK20" i="17"/>
  <c r="DK21" i="17"/>
  <c r="DK19" i="17"/>
  <c r="DJ51" i="17"/>
  <c r="AE33" i="17"/>
  <c r="AG32" i="17"/>
  <c r="AG30" i="17"/>
  <c r="DJ23" i="17"/>
  <c r="DJ24" i="17" s="1"/>
  <c r="DJ16" i="17"/>
  <c r="DH332" i="31" l="1"/>
  <c r="DG25" i="30"/>
  <c r="DG26" i="30" s="1"/>
  <c r="K27" i="30"/>
  <c r="K28" i="30" s="1"/>
  <c r="J29" i="30"/>
  <c r="DL13" i="17"/>
  <c r="DL12" i="17"/>
  <c r="DL9" i="17"/>
  <c r="DL11" i="17"/>
  <c r="DL50" i="17"/>
  <c r="DL59" i="17"/>
  <c r="DL55" i="17"/>
  <c r="DL46" i="17"/>
  <c r="DL56" i="17"/>
  <c r="DL47" i="17"/>
  <c r="DL48" i="17"/>
  <c r="DL57" i="17"/>
  <c r="DL58" i="17"/>
  <c r="DL49" i="17"/>
  <c r="AG41" i="17"/>
  <c r="AG40" i="17"/>
  <c r="AG39" i="17"/>
  <c r="AH29" i="17"/>
  <c r="AH38" i="17"/>
  <c r="AH37" i="17"/>
  <c r="DK331" i="31"/>
  <c r="DL23" i="31"/>
  <c r="DM24" i="31"/>
  <c r="AI28" i="17"/>
  <c r="DK60" i="17"/>
  <c r="DJ26" i="19" s="1"/>
  <c r="AF42" i="17"/>
  <c r="AI29" i="17"/>
  <c r="AF33" i="17"/>
  <c r="DM1" i="17"/>
  <c r="DM10" i="17" s="1"/>
  <c r="DL4" i="17"/>
  <c r="DL19" i="17"/>
  <c r="DL20" i="17"/>
  <c r="DL21" i="17"/>
  <c r="DL22" i="17"/>
  <c r="DL18" i="17"/>
  <c r="AH31" i="17"/>
  <c r="AH30" i="17"/>
  <c r="DK23" i="17"/>
  <c r="DK24" i="17" s="1"/>
  <c r="DK16" i="17"/>
  <c r="DK51" i="17"/>
  <c r="AH32" i="17"/>
  <c r="L27" i="30" l="1"/>
  <c r="L28" i="30" s="1"/>
  <c r="K29" i="30"/>
  <c r="DI332" i="31"/>
  <c r="DH25" i="30"/>
  <c r="DH26" i="30" s="1"/>
  <c r="DM11" i="17"/>
  <c r="DM9" i="17"/>
  <c r="DM12" i="17"/>
  <c r="DM13" i="17"/>
  <c r="DM50" i="17"/>
  <c r="DM59" i="17"/>
  <c r="DM55" i="17"/>
  <c r="DM46" i="17"/>
  <c r="DM47" i="17"/>
  <c r="DM56" i="17"/>
  <c r="DM48" i="17"/>
  <c r="DM57" i="17"/>
  <c r="DM58" i="17"/>
  <c r="DM49" i="17"/>
  <c r="AH41" i="17"/>
  <c r="AH40" i="17"/>
  <c r="AH39" i="17"/>
  <c r="AI38" i="17"/>
  <c r="AI37" i="17"/>
  <c r="DL331" i="31"/>
  <c r="DM23" i="31"/>
  <c r="DN24" i="31"/>
  <c r="AG42" i="17"/>
  <c r="AJ28" i="17"/>
  <c r="AJ29" i="17"/>
  <c r="AG33" i="17"/>
  <c r="M27" i="30" s="1"/>
  <c r="M28" i="30" s="1"/>
  <c r="DL60" i="17"/>
  <c r="DK26" i="19" s="1"/>
  <c r="DN1" i="17"/>
  <c r="DN10" i="17" s="1"/>
  <c r="DM4" i="17"/>
  <c r="DM19" i="17"/>
  <c r="DM21" i="17"/>
  <c r="DM18" i="17"/>
  <c r="DM20" i="17"/>
  <c r="DM22" i="17"/>
  <c r="AN47" i="41"/>
  <c r="DL51" i="17"/>
  <c r="AI31" i="17"/>
  <c r="AI32" i="17"/>
  <c r="AI30" i="17"/>
  <c r="DL16" i="17"/>
  <c r="DL23" i="17"/>
  <c r="DL24" i="17" s="1"/>
  <c r="L29" i="30" l="1"/>
  <c r="M29" i="30"/>
  <c r="DJ332" i="31"/>
  <c r="DI25" i="30"/>
  <c r="DI26" i="30" s="1"/>
  <c r="DN13" i="17"/>
  <c r="DN12" i="17"/>
  <c r="DN9" i="17"/>
  <c r="DN11" i="17"/>
  <c r="DN59" i="17"/>
  <c r="DN50" i="17"/>
  <c r="DN55" i="17"/>
  <c r="DN46" i="17"/>
  <c r="DN47" i="17"/>
  <c r="DN56" i="17"/>
  <c r="DN57" i="17"/>
  <c r="DN48" i="17"/>
  <c r="DN58" i="17"/>
  <c r="DN49" i="17"/>
  <c r="AI41" i="17"/>
  <c r="AI40" i="17"/>
  <c r="AI39" i="17"/>
  <c r="AJ38" i="17"/>
  <c r="AJ37" i="17"/>
  <c r="DM331" i="31"/>
  <c r="DN23" i="31"/>
  <c r="DO24" i="31"/>
  <c r="AK28" i="17"/>
  <c r="AH42" i="17"/>
  <c r="AJ32" i="17"/>
  <c r="DM60" i="17"/>
  <c r="DL26" i="19" s="1"/>
  <c r="AJ31" i="17"/>
  <c r="DO1" i="17"/>
  <c r="DO10" i="17" s="1"/>
  <c r="DN4" i="17"/>
  <c r="DN18" i="17"/>
  <c r="DN19" i="17"/>
  <c r="DN20" i="17"/>
  <c r="DN21" i="17"/>
  <c r="DN22" i="17"/>
  <c r="AH33" i="17"/>
  <c r="N27" i="30" s="1"/>
  <c r="N28" i="30" s="1"/>
  <c r="DM51" i="17"/>
  <c r="DM23" i="17"/>
  <c r="DM24" i="17" s="1"/>
  <c r="DM16" i="17"/>
  <c r="AJ30" i="17"/>
  <c r="N29" i="30" l="1"/>
  <c r="DK332" i="31"/>
  <c r="DJ25" i="30"/>
  <c r="DJ26" i="30" s="1"/>
  <c r="DO11" i="17"/>
  <c r="DO9" i="17"/>
  <c r="DO12" i="17"/>
  <c r="DO13" i="17"/>
  <c r="DO50" i="17"/>
  <c r="DO59" i="17"/>
  <c r="DO55" i="17"/>
  <c r="DO46" i="17"/>
  <c r="DO56" i="17"/>
  <c r="DO47" i="17"/>
  <c r="DO48" i="17"/>
  <c r="DO57" i="17"/>
  <c r="DO58" i="17"/>
  <c r="DO49" i="17"/>
  <c r="AJ41" i="17"/>
  <c r="AJ40" i="17"/>
  <c r="AJ39" i="17"/>
  <c r="AK29" i="17"/>
  <c r="AK38" i="17"/>
  <c r="AK37" i="17"/>
  <c r="DN331" i="31"/>
  <c r="DP24" i="31"/>
  <c r="DO23" i="31"/>
  <c r="AI42" i="17"/>
  <c r="AL28" i="17"/>
  <c r="AL29" i="17"/>
  <c r="AI33" i="17"/>
  <c r="DN60" i="17"/>
  <c r="DM26" i="19" s="1"/>
  <c r="AO26" i="41" s="1"/>
  <c r="DN23" i="17"/>
  <c r="DN24" i="17" s="1"/>
  <c r="DN16" i="17"/>
  <c r="AK31" i="17"/>
  <c r="DN51" i="17"/>
  <c r="AK32" i="17"/>
  <c r="DP1" i="17"/>
  <c r="DP10" i="17" s="1"/>
  <c r="DO4" i="17"/>
  <c r="DO20" i="17"/>
  <c r="DO18" i="17"/>
  <c r="DO22" i="17"/>
  <c r="DO19" i="17"/>
  <c r="DO21" i="17"/>
  <c r="O27" i="30" l="1"/>
  <c r="O28" i="30" s="1"/>
  <c r="DL332" i="31"/>
  <c r="DK25" i="30"/>
  <c r="DK26" i="30" s="1"/>
  <c r="DP13" i="17"/>
  <c r="DP12" i="17"/>
  <c r="DP11" i="17"/>
  <c r="DP9" i="17"/>
  <c r="DP50" i="17"/>
  <c r="DP59" i="17"/>
  <c r="DP46" i="17"/>
  <c r="DP55" i="17"/>
  <c r="DP47" i="17"/>
  <c r="DP56" i="17"/>
  <c r="DP48" i="17"/>
  <c r="DP57" i="17"/>
  <c r="DP49" i="17"/>
  <c r="DP58" i="17"/>
  <c r="AK41" i="17"/>
  <c r="AK40" i="17"/>
  <c r="AL30" i="17"/>
  <c r="AK30" i="17"/>
  <c r="AK39" i="17"/>
  <c r="AL38" i="17"/>
  <c r="AL37" i="17"/>
  <c r="DO331" i="31"/>
  <c r="DQ24" i="31"/>
  <c r="DP23" i="31"/>
  <c r="AJ42" i="17"/>
  <c r="AM28" i="17"/>
  <c r="AM29" i="17"/>
  <c r="AL31" i="17"/>
  <c r="DO60" i="17"/>
  <c r="DN26" i="19" s="1"/>
  <c r="AO47" i="41"/>
  <c r="DQ1" i="17"/>
  <c r="DQ10" i="17" s="1"/>
  <c r="DP4" i="17"/>
  <c r="DP18" i="17"/>
  <c r="DP19" i="17"/>
  <c r="DP20" i="17"/>
  <c r="DP21" i="17"/>
  <c r="DP22" i="17"/>
  <c r="AJ33" i="17"/>
  <c r="DO51" i="17"/>
  <c r="AL32" i="17"/>
  <c r="DO23" i="17"/>
  <c r="DO24" i="17" s="1"/>
  <c r="DO16" i="17"/>
  <c r="O29" i="30" l="1"/>
  <c r="P27" i="30"/>
  <c r="P28" i="30" s="1"/>
  <c r="DM332" i="31"/>
  <c r="DL25" i="30"/>
  <c r="DL26" i="30" s="1"/>
  <c r="DQ9" i="17"/>
  <c r="DQ11" i="17"/>
  <c r="DQ12" i="17"/>
  <c r="DQ13" i="17"/>
  <c r="AM30" i="17"/>
  <c r="AL39" i="17"/>
  <c r="DQ50" i="17"/>
  <c r="DQ59" i="17"/>
  <c r="DQ46" i="17"/>
  <c r="DQ55" i="17"/>
  <c r="DQ47" i="17"/>
  <c r="DQ56" i="17"/>
  <c r="DQ57" i="17"/>
  <c r="DQ48" i="17"/>
  <c r="DQ49" i="17"/>
  <c r="DQ58" i="17"/>
  <c r="AL41" i="17"/>
  <c r="AL40" i="17"/>
  <c r="AM38" i="17"/>
  <c r="AM37" i="17"/>
  <c r="DP331" i="31"/>
  <c r="DQ23" i="31"/>
  <c r="DR24" i="31"/>
  <c r="AN28" i="17"/>
  <c r="AN30" i="17"/>
  <c r="AN29" i="17"/>
  <c r="AK42" i="17"/>
  <c r="DP51" i="17"/>
  <c r="DQ4" i="17"/>
  <c r="DR1" i="17"/>
  <c r="DR10" i="17" s="1"/>
  <c r="DQ21" i="17"/>
  <c r="DQ19" i="17"/>
  <c r="DQ18" i="17"/>
  <c r="DQ20" i="17"/>
  <c r="DQ22" i="17"/>
  <c r="AM31" i="17"/>
  <c r="DP60" i="17"/>
  <c r="DO26" i="19" s="1"/>
  <c r="DP16" i="17"/>
  <c r="DP23" i="17"/>
  <c r="DP24" i="17" s="1"/>
  <c r="AM32" i="17"/>
  <c r="AK33" i="17"/>
  <c r="Q27" i="30" l="1"/>
  <c r="Q28" i="30" s="1"/>
  <c r="DN332" i="31"/>
  <c r="DM25" i="30"/>
  <c r="DM26" i="30" s="1"/>
  <c r="P29" i="30"/>
  <c r="DR13" i="17"/>
  <c r="DR12" i="17"/>
  <c r="DR11" i="17"/>
  <c r="DR9" i="17"/>
  <c r="AM39" i="17"/>
  <c r="AN39" i="17" s="1"/>
  <c r="AM41" i="17"/>
  <c r="DR50" i="17"/>
  <c r="DR59" i="17"/>
  <c r="DR46" i="17"/>
  <c r="DR55" i="17"/>
  <c r="DR56" i="17"/>
  <c r="DR47" i="17"/>
  <c r="DR48" i="17"/>
  <c r="DR57" i="17"/>
  <c r="DR58" i="17"/>
  <c r="DR49" i="17"/>
  <c r="AM40" i="17"/>
  <c r="AN38" i="17"/>
  <c r="AN37" i="17"/>
  <c r="DQ331" i="31"/>
  <c r="DR23" i="31"/>
  <c r="DS24" i="31"/>
  <c r="AL42" i="17"/>
  <c r="AO28" i="17"/>
  <c r="AO30" i="17"/>
  <c r="AO29" i="17"/>
  <c r="AL33" i="17"/>
  <c r="AN32" i="17"/>
  <c r="AN31" i="17"/>
  <c r="DQ16" i="17"/>
  <c r="DQ23" i="17"/>
  <c r="DQ24" i="17" s="1"/>
  <c r="DQ51" i="17"/>
  <c r="DQ60" i="17"/>
  <c r="DP26" i="19" s="1"/>
  <c r="AP26" i="41" s="1"/>
  <c r="DS1" i="17"/>
  <c r="DS10" i="17" s="1"/>
  <c r="DR4" i="17"/>
  <c r="DR18" i="17"/>
  <c r="DR19" i="17"/>
  <c r="DR20" i="17"/>
  <c r="DR21" i="17"/>
  <c r="DR22" i="17"/>
  <c r="R27" i="30" l="1"/>
  <c r="DO332" i="31"/>
  <c r="DN25" i="30"/>
  <c r="DN26" i="30" s="1"/>
  <c r="Q29" i="30"/>
  <c r="DS9" i="17"/>
  <c r="DS11" i="17"/>
  <c r="DS12" i="17"/>
  <c r="DS13" i="17"/>
  <c r="DS50" i="17"/>
  <c r="DS59" i="17"/>
  <c r="DS46" i="17"/>
  <c r="DS55" i="17"/>
  <c r="DS56" i="17"/>
  <c r="DS47" i="17"/>
  <c r="DS57" i="17"/>
  <c r="DS48" i="17"/>
  <c r="DS58" i="17"/>
  <c r="DS49" i="17"/>
  <c r="AN41" i="17"/>
  <c r="AN40" i="17"/>
  <c r="AO39" i="17"/>
  <c r="AO38" i="17"/>
  <c r="AO37" i="17"/>
  <c r="DR331" i="31"/>
  <c r="DS23" i="31"/>
  <c r="DT24" i="31"/>
  <c r="AM42" i="17"/>
  <c r="AM33" i="17"/>
  <c r="AP28" i="17"/>
  <c r="AP30" i="17"/>
  <c r="AP29" i="17"/>
  <c r="DR16" i="17"/>
  <c r="DR23" i="17"/>
  <c r="DR24" i="17" s="1"/>
  <c r="AO31" i="17"/>
  <c r="AP47" i="41"/>
  <c r="AO32" i="17"/>
  <c r="DT1" i="17"/>
  <c r="DT10" i="17" s="1"/>
  <c r="DS4" i="17"/>
  <c r="DS18" i="17"/>
  <c r="DS22" i="17"/>
  <c r="DS20" i="17"/>
  <c r="DS19" i="17"/>
  <c r="DS21" i="17"/>
  <c r="DR51" i="17"/>
  <c r="DR60" i="17"/>
  <c r="DQ26" i="19" s="1"/>
  <c r="R29" i="30" l="1"/>
  <c r="R28" i="30"/>
  <c r="S27" i="30"/>
  <c r="DP332" i="31"/>
  <c r="DO25" i="30"/>
  <c r="DO26" i="30" s="1"/>
  <c r="DT13" i="17"/>
  <c r="DT12" i="17"/>
  <c r="DT11" i="17"/>
  <c r="DT9" i="17"/>
  <c r="DT50" i="17"/>
  <c r="DT59" i="17"/>
  <c r="DT55" i="17"/>
  <c r="DT46" i="17"/>
  <c r="DT56" i="17"/>
  <c r="DT47" i="17"/>
  <c r="DT57" i="17"/>
  <c r="DT48" i="17"/>
  <c r="DT49" i="17"/>
  <c r="DT58" i="17"/>
  <c r="AO41" i="17"/>
  <c r="AO40" i="17"/>
  <c r="AP39" i="17"/>
  <c r="AP38" i="17"/>
  <c r="AP37" i="17"/>
  <c r="DS331" i="31"/>
  <c r="DT23" i="31"/>
  <c r="DU24" i="31"/>
  <c r="AN42" i="17"/>
  <c r="AQ28" i="17"/>
  <c r="AQ29" i="17"/>
  <c r="AP31" i="17"/>
  <c r="AN33" i="17"/>
  <c r="AP32" i="17"/>
  <c r="DS60" i="17"/>
  <c r="DR26" i="19" s="1"/>
  <c r="DS16" i="17"/>
  <c r="DS23" i="17"/>
  <c r="DS24" i="17" s="1"/>
  <c r="DS51" i="17"/>
  <c r="DU1" i="17"/>
  <c r="DU10" i="17" s="1"/>
  <c r="DT4" i="17"/>
  <c r="DT18" i="17"/>
  <c r="DT19" i="17"/>
  <c r="DT20" i="17"/>
  <c r="DT21" i="17"/>
  <c r="DT22" i="17"/>
  <c r="S29" i="30" l="1"/>
  <c r="S28" i="30"/>
  <c r="T27" i="30"/>
  <c r="DQ332" i="31"/>
  <c r="DP25" i="30"/>
  <c r="DP26" i="30" s="1"/>
  <c r="DU9" i="17"/>
  <c r="DU11" i="17"/>
  <c r="DU12" i="17"/>
  <c r="DU13" i="17"/>
  <c r="DU59" i="17"/>
  <c r="DU50" i="17"/>
  <c r="DU55" i="17"/>
  <c r="DU46" i="17"/>
  <c r="DU47" i="17"/>
  <c r="DU56" i="17"/>
  <c r="DU48" i="17"/>
  <c r="DU57" i="17"/>
  <c r="DU49" i="17"/>
  <c r="DU58" i="17"/>
  <c r="AP41" i="17"/>
  <c r="AP40" i="17"/>
  <c r="AQ30" i="17"/>
  <c r="AQ39" i="17"/>
  <c r="AQ38" i="17"/>
  <c r="AQ37" i="17"/>
  <c r="DT331" i="31"/>
  <c r="DU23" i="31"/>
  <c r="DV24" i="31"/>
  <c r="AO42" i="17"/>
  <c r="AR28" i="17"/>
  <c r="AR29" i="17"/>
  <c r="DT16" i="17"/>
  <c r="DT23" i="17"/>
  <c r="DT24" i="17" s="1"/>
  <c r="DT51" i="17"/>
  <c r="AQ32" i="17"/>
  <c r="DV1" i="17"/>
  <c r="DV10" i="17" s="1"/>
  <c r="DU4" i="17"/>
  <c r="DU19" i="17"/>
  <c r="DU21" i="17"/>
  <c r="DU22" i="17"/>
  <c r="DU18" i="17"/>
  <c r="DU20" i="17"/>
  <c r="DT60" i="17"/>
  <c r="DS26" i="19" s="1"/>
  <c r="AO33" i="17"/>
  <c r="T29" i="30" l="1"/>
  <c r="T28" i="30"/>
  <c r="U27" i="30"/>
  <c r="DR332" i="31"/>
  <c r="DQ25" i="30"/>
  <c r="DQ26" i="30" s="1"/>
  <c r="DV13" i="17"/>
  <c r="DV12" i="17"/>
  <c r="DV11" i="17"/>
  <c r="DV9" i="17"/>
  <c r="DV50" i="17"/>
  <c r="DV59" i="17"/>
  <c r="DV46" i="17"/>
  <c r="DV55" i="17"/>
  <c r="DV56" i="17"/>
  <c r="DV47" i="17"/>
  <c r="DV57" i="17"/>
  <c r="DV48" i="17"/>
  <c r="DV49" i="17"/>
  <c r="DV58" i="17"/>
  <c r="AQ41" i="17"/>
  <c r="AR31" i="17"/>
  <c r="AQ31" i="17"/>
  <c r="AQ40" i="17"/>
  <c r="AR30" i="17"/>
  <c r="AR39" i="17"/>
  <c r="AR38" i="17"/>
  <c r="AR37" i="17"/>
  <c r="DU331" i="31"/>
  <c r="DW24" i="31"/>
  <c r="DV23" i="31"/>
  <c r="AP33" i="17"/>
  <c r="AS28" i="17"/>
  <c r="AS30" i="17"/>
  <c r="AS29" i="17"/>
  <c r="AP42" i="17"/>
  <c r="DU60" i="17"/>
  <c r="DT26" i="19" s="1"/>
  <c r="AR32" i="17"/>
  <c r="DU16" i="17"/>
  <c r="DU23" i="17"/>
  <c r="DU24" i="17" s="1"/>
  <c r="AQ47" i="41"/>
  <c r="DV4" i="17"/>
  <c r="DW1" i="17"/>
  <c r="DW10" i="17" s="1"/>
  <c r="DV20" i="17"/>
  <c r="DV21" i="17"/>
  <c r="DV22" i="17"/>
  <c r="DV18" i="17"/>
  <c r="DV19" i="17"/>
  <c r="DU51" i="17"/>
  <c r="U29" i="30" l="1"/>
  <c r="U28" i="30"/>
  <c r="V27" i="30"/>
  <c r="V28" i="30" s="1"/>
  <c r="DS332" i="31"/>
  <c r="DR25" i="30"/>
  <c r="DR26" i="30" s="1"/>
  <c r="DW9" i="17"/>
  <c r="DW11" i="17"/>
  <c r="DW12" i="17"/>
  <c r="DW13" i="17"/>
  <c r="DW50" i="17"/>
  <c r="DW59" i="17"/>
  <c r="DW55" i="17"/>
  <c r="DW46" i="17"/>
  <c r="DW56" i="17"/>
  <c r="DW47" i="17"/>
  <c r="DW48" i="17"/>
  <c r="DW57" i="17"/>
  <c r="DW58" i="17"/>
  <c r="DW49" i="17"/>
  <c r="AS31" i="17"/>
  <c r="AR40" i="17"/>
  <c r="AR41" i="17"/>
  <c r="AS39" i="17"/>
  <c r="AS38" i="17"/>
  <c r="AS37" i="17"/>
  <c r="DV331" i="31"/>
  <c r="DW23" i="31"/>
  <c r="DX24" i="31"/>
  <c r="AQ42" i="17"/>
  <c r="AT28" i="17"/>
  <c r="AT29" i="17"/>
  <c r="AT30" i="17"/>
  <c r="AQ33" i="17"/>
  <c r="DV60" i="17"/>
  <c r="DU26" i="19" s="1"/>
  <c r="DV16" i="17"/>
  <c r="DV23" i="17"/>
  <c r="DV24" i="17" s="1"/>
  <c r="AS32" i="17"/>
  <c r="DV51" i="17"/>
  <c r="DX1" i="17"/>
  <c r="DX10" i="17" s="1"/>
  <c r="DW4" i="17"/>
  <c r="DW20" i="17"/>
  <c r="DW18" i="17"/>
  <c r="DW22" i="17"/>
  <c r="DW19" i="17"/>
  <c r="DW21" i="17"/>
  <c r="W27" i="30" l="1"/>
  <c r="W28" i="30" s="1"/>
  <c r="V29" i="30"/>
  <c r="DT332" i="31"/>
  <c r="DS25" i="30"/>
  <c r="DS26" i="30" s="1"/>
  <c r="DX13" i="17"/>
  <c r="DX12" i="17"/>
  <c r="DX11" i="17"/>
  <c r="DX9" i="17"/>
  <c r="AT31" i="17"/>
  <c r="AS40" i="17"/>
  <c r="AT40" i="17" s="1"/>
  <c r="DX50" i="17"/>
  <c r="DX59" i="17"/>
  <c r="DX46" i="17"/>
  <c r="DX55" i="17"/>
  <c r="DX47" i="17"/>
  <c r="DX56" i="17"/>
  <c r="DX57" i="17"/>
  <c r="DX48" i="17"/>
  <c r="DX58" i="17"/>
  <c r="DX49" i="17"/>
  <c r="AS41" i="17"/>
  <c r="AT39" i="17"/>
  <c r="AT38" i="17"/>
  <c r="AT37" i="17"/>
  <c r="DW331" i="31"/>
  <c r="DX23" i="31"/>
  <c r="DY24" i="31"/>
  <c r="AR33" i="17"/>
  <c r="AU28" i="17"/>
  <c r="AR42" i="17"/>
  <c r="AU30" i="17"/>
  <c r="AU31" i="17"/>
  <c r="AU29" i="17"/>
  <c r="DW51" i="17"/>
  <c r="DW16" i="17"/>
  <c r="DW23" i="17"/>
  <c r="DW24" i="17" s="1"/>
  <c r="DW60" i="17"/>
  <c r="DV26" i="19" s="1"/>
  <c r="AR26" i="41" s="1"/>
  <c r="DX4" i="17"/>
  <c r="DY1" i="17"/>
  <c r="DY10" i="17" s="1"/>
  <c r="DX18" i="17"/>
  <c r="DX19" i="17"/>
  <c r="DX20" i="17"/>
  <c r="DX21" i="17"/>
  <c r="DX22" i="17"/>
  <c r="AT32" i="17"/>
  <c r="W29" i="30" l="1"/>
  <c r="X27" i="30"/>
  <c r="X28" i="30" s="1"/>
  <c r="DU332" i="31"/>
  <c r="DT25" i="30"/>
  <c r="DT26" i="30" s="1"/>
  <c r="DY9" i="17"/>
  <c r="DY11" i="17"/>
  <c r="DY12" i="17"/>
  <c r="DY13" i="17"/>
  <c r="AS42" i="17"/>
  <c r="DY50" i="17"/>
  <c r="DY59" i="17"/>
  <c r="DY55" i="17"/>
  <c r="DY46" i="17"/>
  <c r="DY47" i="17"/>
  <c r="DY56" i="17"/>
  <c r="DY57" i="17"/>
  <c r="DY48" i="17"/>
  <c r="DY58" i="17"/>
  <c r="DY49" i="17"/>
  <c r="AT41" i="17"/>
  <c r="AT42" i="17" s="1"/>
  <c r="AU40" i="17"/>
  <c r="AU39" i="17"/>
  <c r="AU38" i="17"/>
  <c r="AU37" i="17"/>
  <c r="DX331" i="31"/>
  <c r="DY23" i="31"/>
  <c r="DZ24" i="31"/>
  <c r="AS33" i="17"/>
  <c r="AV28" i="17"/>
  <c r="AV31" i="17"/>
  <c r="AV29" i="17"/>
  <c r="AV30" i="17"/>
  <c r="DX16" i="17"/>
  <c r="DX23" i="17"/>
  <c r="DX24" i="17" s="1"/>
  <c r="AU32" i="17"/>
  <c r="DX51" i="17"/>
  <c r="DY4" i="17"/>
  <c r="DZ1" i="17"/>
  <c r="DZ10" i="17" s="1"/>
  <c r="DY21" i="17"/>
  <c r="DY19" i="17"/>
  <c r="DY18" i="17"/>
  <c r="DY20" i="17"/>
  <c r="DY22" i="17"/>
  <c r="AR47" i="41"/>
  <c r="DX60" i="17"/>
  <c r="DW26" i="19" s="1"/>
  <c r="Y27" i="30" l="1"/>
  <c r="Y28" i="30" s="1"/>
  <c r="DV332" i="31"/>
  <c r="DU25" i="30"/>
  <c r="DU26" i="30" s="1"/>
  <c r="X29" i="30"/>
  <c r="DZ11" i="17"/>
  <c r="DZ13" i="17"/>
  <c r="DZ12" i="17"/>
  <c r="DZ9" i="17"/>
  <c r="DZ50" i="17"/>
  <c r="DZ59" i="17"/>
  <c r="DZ55" i="17"/>
  <c r="DZ46" i="17"/>
  <c r="DZ56" i="17"/>
  <c r="DZ47" i="17"/>
  <c r="DZ57" i="17"/>
  <c r="DZ48" i="17"/>
  <c r="DZ58" i="17"/>
  <c r="DZ49" i="17"/>
  <c r="AU41" i="17"/>
  <c r="AU42" i="17" s="1"/>
  <c r="AV40" i="17"/>
  <c r="AV39" i="17"/>
  <c r="AV38" i="17"/>
  <c r="AV37" i="17"/>
  <c r="DY331" i="31"/>
  <c r="EA24" i="31"/>
  <c r="DZ23" i="31"/>
  <c r="AT33" i="17"/>
  <c r="Z27" i="30" s="1"/>
  <c r="Z28" i="30" s="1"/>
  <c r="AW28" i="17"/>
  <c r="AW29" i="17"/>
  <c r="AW30" i="17"/>
  <c r="AW31" i="17"/>
  <c r="DZ4" i="17"/>
  <c r="EA1" i="17"/>
  <c r="EA10" i="17" s="1"/>
  <c r="DZ18" i="17"/>
  <c r="DZ19" i="17"/>
  <c r="DZ20" i="17"/>
  <c r="DZ21" i="17"/>
  <c r="DZ22" i="17"/>
  <c r="AV32" i="17"/>
  <c r="DY60" i="17"/>
  <c r="DX26" i="19" s="1"/>
  <c r="DY51" i="17"/>
  <c r="DY23" i="17"/>
  <c r="DY24" i="17" s="1"/>
  <c r="DY16" i="17"/>
  <c r="DW332" i="31" l="1"/>
  <c r="DV25" i="30"/>
  <c r="DV26" i="30" s="1"/>
  <c r="Z29" i="30"/>
  <c r="Y29" i="30"/>
  <c r="EA9" i="17"/>
  <c r="EA12" i="17"/>
  <c r="EA11" i="17"/>
  <c r="EA13" i="17"/>
  <c r="EA59" i="17"/>
  <c r="EA50" i="17"/>
  <c r="EA55" i="17"/>
  <c r="EA46" i="17"/>
  <c r="EA56" i="17"/>
  <c r="EA47" i="17"/>
  <c r="EA57" i="17"/>
  <c r="EA48" i="17"/>
  <c r="EA58" i="17"/>
  <c r="EA49" i="17"/>
  <c r="AW39" i="17"/>
  <c r="AV41" i="17"/>
  <c r="AV42" i="17" s="1"/>
  <c r="AW40" i="17"/>
  <c r="AW38" i="17"/>
  <c r="AW37" i="17"/>
  <c r="DZ331" i="31"/>
  <c r="EB24" i="31"/>
  <c r="EA23" i="31"/>
  <c r="AU33" i="17"/>
  <c r="AA27" i="30" s="1"/>
  <c r="AA28" i="30" s="1"/>
  <c r="AX28" i="17"/>
  <c r="AX30" i="17"/>
  <c r="AX29" i="17"/>
  <c r="AX31" i="17"/>
  <c r="DZ60" i="17"/>
  <c r="DY26" i="19" s="1"/>
  <c r="AS26" i="41" s="1"/>
  <c r="DZ51" i="17"/>
  <c r="EB1" i="17"/>
  <c r="EB10" i="17" s="1"/>
  <c r="EA4" i="17"/>
  <c r="EA18" i="17"/>
  <c r="EA22" i="17"/>
  <c r="EA20" i="17"/>
  <c r="EA19" i="17"/>
  <c r="EA21" i="17"/>
  <c r="DZ23" i="17"/>
  <c r="DZ24" i="17" s="1"/>
  <c r="DZ16" i="17"/>
  <c r="AA29" i="30" l="1"/>
  <c r="DX332" i="31"/>
  <c r="DW25" i="30"/>
  <c r="DW26" i="30" s="1"/>
  <c r="EB13" i="17"/>
  <c r="EB11" i="17"/>
  <c r="EB12" i="17"/>
  <c r="EB9" i="17"/>
  <c r="EB59" i="17"/>
  <c r="EB50" i="17"/>
  <c r="EB46" i="17"/>
  <c r="EB55" i="17"/>
  <c r="EB47" i="17"/>
  <c r="EB56" i="17"/>
  <c r="EB57" i="17"/>
  <c r="EB48" i="17"/>
  <c r="EB49" i="17"/>
  <c r="EB58" i="17"/>
  <c r="AX32" i="17"/>
  <c r="AW32" i="17"/>
  <c r="AW41" i="17"/>
  <c r="AX40" i="17"/>
  <c r="AX39" i="17"/>
  <c r="AX38" i="17"/>
  <c r="AX37" i="17"/>
  <c r="EA331" i="31"/>
  <c r="EB23" i="31"/>
  <c r="EC24" i="31"/>
  <c r="AV33" i="17"/>
  <c r="AB27" i="30" s="1"/>
  <c r="AB28" i="30" s="1"/>
  <c r="AY28" i="17"/>
  <c r="AY29" i="17"/>
  <c r="AY30" i="17"/>
  <c r="AY31" i="17"/>
  <c r="EA51" i="17"/>
  <c r="EC1" i="17"/>
  <c r="EC10" i="17" s="1"/>
  <c r="EB4" i="17"/>
  <c r="EB18" i="17"/>
  <c r="EB19" i="17"/>
  <c r="EB20" i="17"/>
  <c r="EB21" i="17"/>
  <c r="EB22" i="17"/>
  <c r="EA16" i="17"/>
  <c r="EA23" i="17"/>
  <c r="EA24" i="17" s="1"/>
  <c r="EA60" i="17"/>
  <c r="DZ26" i="19" s="1"/>
  <c r="AS47" i="41"/>
  <c r="AB29" i="30" l="1"/>
  <c r="DY332" i="31"/>
  <c r="DX25" i="30"/>
  <c r="DX26" i="30" s="1"/>
  <c r="EC9" i="17"/>
  <c r="EC12" i="17"/>
  <c r="EC11" i="17"/>
  <c r="EC13" i="17"/>
  <c r="EC50" i="17"/>
  <c r="EC59" i="17"/>
  <c r="EC55" i="17"/>
  <c r="EC46" i="17"/>
  <c r="EC56" i="17"/>
  <c r="EC47" i="17"/>
  <c r="EC57" i="17"/>
  <c r="EC48" i="17"/>
  <c r="EC58" i="17"/>
  <c r="EC49" i="17"/>
  <c r="AY32" i="17"/>
  <c r="AX41" i="17"/>
  <c r="AX42" i="17" s="1"/>
  <c r="AY40" i="17"/>
  <c r="AY39" i="17"/>
  <c r="AY38" i="17"/>
  <c r="AY37" i="17"/>
  <c r="EB331" i="31"/>
  <c r="ED24" i="31"/>
  <c r="EC23" i="31"/>
  <c r="AW33" i="17"/>
  <c r="AW42" i="17"/>
  <c r="AZ28" i="17"/>
  <c r="AZ29" i="17"/>
  <c r="AZ30" i="17"/>
  <c r="AX33" i="17"/>
  <c r="EB60" i="17"/>
  <c r="EA26" i="19" s="1"/>
  <c r="ED1" i="17"/>
  <c r="ED10" i="17" s="1"/>
  <c r="EC4" i="17"/>
  <c r="EC19" i="17"/>
  <c r="EC21" i="17"/>
  <c r="EC18" i="17"/>
  <c r="EC20" i="17"/>
  <c r="EC22" i="17"/>
  <c r="EB51" i="17"/>
  <c r="EB16" i="17"/>
  <c r="EB23" i="17"/>
  <c r="EB24" i="17" s="1"/>
  <c r="AD27" i="30" l="1"/>
  <c r="AD28" i="30" s="1"/>
  <c r="DZ332" i="31"/>
  <c r="DY25" i="30"/>
  <c r="DY26" i="30" s="1"/>
  <c r="AC27" i="30"/>
  <c r="AC28" i="30" s="1"/>
  <c r="ED13" i="17"/>
  <c r="ED11" i="17"/>
  <c r="ED12" i="17"/>
  <c r="ED9" i="17"/>
  <c r="AZ32" i="17"/>
  <c r="AY41" i="17"/>
  <c r="AY42" i="17" s="1"/>
  <c r="ED50" i="17"/>
  <c r="ED59" i="17"/>
  <c r="ED55" i="17"/>
  <c r="ED46" i="17"/>
  <c r="ED56" i="17"/>
  <c r="ED47" i="17"/>
  <c r="ED57" i="17"/>
  <c r="ED48" i="17"/>
  <c r="ED49" i="17"/>
  <c r="ED58" i="17"/>
  <c r="AZ31" i="17"/>
  <c r="AZ40" i="17"/>
  <c r="AZ39" i="17"/>
  <c r="AZ38" i="17"/>
  <c r="AZ37" i="17"/>
  <c r="EC331" i="31"/>
  <c r="ED23" i="31"/>
  <c r="EE24" i="31"/>
  <c r="BA28" i="17"/>
  <c r="AY33" i="17"/>
  <c r="AE27" i="30" s="1"/>
  <c r="AE28" i="30" s="1"/>
  <c r="BA31" i="17"/>
  <c r="BA30" i="17"/>
  <c r="BA29" i="17"/>
  <c r="EC16" i="17"/>
  <c r="EC23" i="17"/>
  <c r="EC24" i="17" s="1"/>
  <c r="EC51" i="17"/>
  <c r="EE1" i="17"/>
  <c r="EE10" i="17" s="1"/>
  <c r="ED4" i="17"/>
  <c r="ED18" i="17"/>
  <c r="ED19" i="17"/>
  <c r="ED20" i="17"/>
  <c r="ED21" i="17"/>
  <c r="ED22" i="17"/>
  <c r="EC60" i="17"/>
  <c r="EB26" i="19" s="1"/>
  <c r="AT26" i="41" s="1"/>
  <c r="AD29" i="30" l="1"/>
  <c r="AE29" i="30"/>
  <c r="AC29" i="30"/>
  <c r="EA332" i="31"/>
  <c r="DZ25" i="30"/>
  <c r="DZ26" i="30" s="1"/>
  <c r="EE9" i="17"/>
  <c r="EE12" i="17"/>
  <c r="EE13" i="17"/>
  <c r="EE11" i="17"/>
  <c r="BA32" i="17"/>
  <c r="AZ41" i="17"/>
  <c r="EE50" i="17"/>
  <c r="EE59" i="17"/>
  <c r="EE46" i="17"/>
  <c r="EE55" i="17"/>
  <c r="EE47" i="17"/>
  <c r="EE56" i="17"/>
  <c r="EE48" i="17"/>
  <c r="EE57" i="17"/>
  <c r="EE58" i="17"/>
  <c r="EE49" i="17"/>
  <c r="BA40" i="17"/>
  <c r="BA39" i="17"/>
  <c r="BA38" i="17"/>
  <c r="BA37" i="17"/>
  <c r="ED331" i="31"/>
  <c r="EE23" i="31"/>
  <c r="EF24" i="31"/>
  <c r="BB28" i="17"/>
  <c r="AZ33" i="17"/>
  <c r="BB31" i="17"/>
  <c r="BB29" i="17"/>
  <c r="BB30" i="17"/>
  <c r="EE4" i="17"/>
  <c r="EF1" i="17"/>
  <c r="EF10" i="17" s="1"/>
  <c r="EE20" i="17"/>
  <c r="EE18" i="17"/>
  <c r="EE22" i="17"/>
  <c r="EE19" i="17"/>
  <c r="EE21" i="17"/>
  <c r="ED51" i="17"/>
  <c r="ED16" i="17"/>
  <c r="ED23" i="17"/>
  <c r="ED24" i="17" s="1"/>
  <c r="AT47" i="41"/>
  <c r="ED60" i="17"/>
  <c r="EC26" i="19" s="1"/>
  <c r="EB332" i="31" l="1"/>
  <c r="EA25" i="30"/>
  <c r="EA26" i="30" s="1"/>
  <c r="EF11" i="17"/>
  <c r="EF13" i="17"/>
  <c r="EF12" i="17"/>
  <c r="EF9" i="17"/>
  <c r="BB32" i="17"/>
  <c r="BA41" i="17"/>
  <c r="BA42" i="17" s="1"/>
  <c r="AZ42" i="17"/>
  <c r="AF27" i="30" s="1"/>
  <c r="AF28" i="30" s="1"/>
  <c r="EF50" i="17"/>
  <c r="EF59" i="17"/>
  <c r="EF46" i="17"/>
  <c r="EF55" i="17"/>
  <c r="EF47" i="17"/>
  <c r="EF56" i="17"/>
  <c r="EF48" i="17"/>
  <c r="EF57" i="17"/>
  <c r="EF58" i="17"/>
  <c r="EF49" i="17"/>
  <c r="BB40" i="17"/>
  <c r="BB39" i="17"/>
  <c r="BB38" i="17"/>
  <c r="BB37" i="17"/>
  <c r="EE331" i="31"/>
  <c r="EG24" i="31"/>
  <c r="EF23" i="31"/>
  <c r="BA33" i="17"/>
  <c r="BC28" i="17"/>
  <c r="BC29" i="17"/>
  <c r="BC30" i="17"/>
  <c r="BC31" i="17"/>
  <c r="EE60" i="17"/>
  <c r="ED26" i="19" s="1"/>
  <c r="EE16" i="17"/>
  <c r="EE23" i="17"/>
  <c r="EE24" i="17" s="1"/>
  <c r="EE51" i="17"/>
  <c r="EF4" i="17"/>
  <c r="EG1" i="17"/>
  <c r="EG10" i="17" s="1"/>
  <c r="EF21" i="17"/>
  <c r="EF22" i="17"/>
  <c r="EF18" i="17"/>
  <c r="EF19" i="17"/>
  <c r="EF20" i="17"/>
  <c r="AG27" i="30" l="1"/>
  <c r="AG28" i="30" s="1"/>
  <c r="AF29" i="30"/>
  <c r="EC332" i="31"/>
  <c r="EB25" i="30"/>
  <c r="EB26" i="30" s="1"/>
  <c r="EG9" i="17"/>
  <c r="EG12" i="17"/>
  <c r="EG13" i="17"/>
  <c r="EG11" i="17"/>
  <c r="BC32" i="17"/>
  <c r="BB41" i="17"/>
  <c r="BB42" i="17" s="1"/>
  <c r="EG50" i="17"/>
  <c r="EG59" i="17"/>
  <c r="EG55" i="17"/>
  <c r="EG46" i="17"/>
  <c r="EG56" i="17"/>
  <c r="EG47" i="17"/>
  <c r="EG57" i="17"/>
  <c r="EG48" i="17"/>
  <c r="EG58" i="17"/>
  <c r="EG49" i="17"/>
  <c r="BC40" i="17"/>
  <c r="BC39" i="17"/>
  <c r="BC38" i="17"/>
  <c r="BC37" i="17"/>
  <c r="EF331" i="31"/>
  <c r="EG23" i="31"/>
  <c r="EH24" i="31"/>
  <c r="BD28" i="17"/>
  <c r="BD31" i="17"/>
  <c r="BD30" i="17"/>
  <c r="BD29" i="17"/>
  <c r="BB33" i="17"/>
  <c r="EF51" i="17"/>
  <c r="EH1" i="17"/>
  <c r="EH10" i="17" s="1"/>
  <c r="EG4" i="17"/>
  <c r="EG21" i="17"/>
  <c r="EG19" i="17"/>
  <c r="EG20" i="17"/>
  <c r="EG22" i="17"/>
  <c r="EG18" i="17"/>
  <c r="EF60" i="17"/>
  <c r="EE26" i="19" s="1"/>
  <c r="EF16" i="17"/>
  <c r="EF23" i="17"/>
  <c r="EF24" i="17" s="1"/>
  <c r="AG29" i="30" l="1"/>
  <c r="AH27" i="30"/>
  <c r="ED332" i="31"/>
  <c r="EC25" i="30"/>
  <c r="EC26" i="30" s="1"/>
  <c r="EH11" i="17"/>
  <c r="EH13" i="17"/>
  <c r="EH12" i="17"/>
  <c r="EH9" i="17"/>
  <c r="BD32" i="17"/>
  <c r="BC41" i="17"/>
  <c r="BC42" i="17" s="1"/>
  <c r="EH50" i="17"/>
  <c r="EH59" i="17"/>
  <c r="EH46" i="17"/>
  <c r="EH55" i="17"/>
  <c r="EH56" i="17"/>
  <c r="EH47" i="17"/>
  <c r="EH57" i="17"/>
  <c r="EH48" i="17"/>
  <c r="EH58" i="17"/>
  <c r="EH49" i="17"/>
  <c r="BD40" i="17"/>
  <c r="BD39" i="17"/>
  <c r="BD38" i="17"/>
  <c r="BD37" i="17"/>
  <c r="EG331" i="31"/>
  <c r="EH23" i="31"/>
  <c r="EI24" i="31"/>
  <c r="BC33" i="17"/>
  <c r="BE28" i="17"/>
  <c r="BE29" i="17"/>
  <c r="BE30" i="17"/>
  <c r="BE31" i="17"/>
  <c r="EG23" i="17"/>
  <c r="EG24" i="17" s="1"/>
  <c r="EG16" i="17"/>
  <c r="EI1" i="17"/>
  <c r="EI10" i="17" s="1"/>
  <c r="EH4" i="17"/>
  <c r="EH18" i="17"/>
  <c r="EH19" i="17"/>
  <c r="EH20" i="17"/>
  <c r="EH21" i="17"/>
  <c r="EH22" i="17"/>
  <c r="EG51" i="17"/>
  <c r="EG60" i="17"/>
  <c r="EF26" i="19" s="1"/>
  <c r="AU47" i="41"/>
  <c r="AH29" i="30" l="1"/>
  <c r="AH28" i="30"/>
  <c r="AI27" i="30"/>
  <c r="EE332" i="31"/>
  <c r="ED25" i="30"/>
  <c r="ED26" i="30" s="1"/>
  <c r="EI9" i="17"/>
  <c r="EI12" i="17"/>
  <c r="EI13" i="17"/>
  <c r="EI11" i="17"/>
  <c r="BE32" i="17"/>
  <c r="BD41" i="17"/>
  <c r="EI59" i="17"/>
  <c r="EI50" i="17"/>
  <c r="EI55" i="17"/>
  <c r="EI46" i="17"/>
  <c r="EI56" i="17"/>
  <c r="EI47" i="17"/>
  <c r="EI57" i="17"/>
  <c r="EI48" i="17"/>
  <c r="EI58" i="17"/>
  <c r="EI49" i="17"/>
  <c r="BE40" i="17"/>
  <c r="BE39" i="17"/>
  <c r="BE38" i="17"/>
  <c r="BE37" i="17"/>
  <c r="EH331" i="31"/>
  <c r="EI23" i="31"/>
  <c r="EJ24" i="31"/>
  <c r="BF28" i="17"/>
  <c r="BF30" i="17"/>
  <c r="BF31" i="17"/>
  <c r="BF32" i="17"/>
  <c r="BD33" i="17"/>
  <c r="BF29" i="17"/>
  <c r="EH60" i="17"/>
  <c r="EG26" i="19" s="1"/>
  <c r="EH23" i="17"/>
  <c r="EH24" i="17" s="1"/>
  <c r="EH16" i="17"/>
  <c r="EH51" i="17"/>
  <c r="EJ1" i="17"/>
  <c r="EJ10" i="17" s="1"/>
  <c r="EI4" i="17"/>
  <c r="EI18" i="17"/>
  <c r="EI22" i="17"/>
  <c r="EI20" i="17"/>
  <c r="EI19" i="17"/>
  <c r="EI21" i="17"/>
  <c r="AI29" i="30" l="1"/>
  <c r="AI28" i="30"/>
  <c r="EF332" i="31"/>
  <c r="EE25" i="30"/>
  <c r="EE26" i="30" s="1"/>
  <c r="EJ13" i="17"/>
  <c r="EJ11" i="17"/>
  <c r="EJ12" i="17"/>
  <c r="EJ9" i="17"/>
  <c r="BE41" i="17"/>
  <c r="BE42" i="17" s="1"/>
  <c r="BD42" i="17"/>
  <c r="AJ27" i="30" s="1"/>
  <c r="AJ28" i="30" s="1"/>
  <c r="EJ59" i="17"/>
  <c r="EJ50" i="17"/>
  <c r="EJ55" i="17"/>
  <c r="EJ46" i="17"/>
  <c r="EJ56" i="17"/>
  <c r="EJ47" i="17"/>
  <c r="EJ57" i="17"/>
  <c r="EJ48" i="17"/>
  <c r="EJ49" i="17"/>
  <c r="EJ58" i="17"/>
  <c r="BF40" i="17"/>
  <c r="BF39" i="17"/>
  <c r="BF38" i="17"/>
  <c r="BF37" i="17"/>
  <c r="EI331" i="31"/>
  <c r="EK24" i="31"/>
  <c r="EJ23" i="31"/>
  <c r="BG28" i="17"/>
  <c r="BE33" i="17"/>
  <c r="BG29" i="17"/>
  <c r="BG30" i="17"/>
  <c r="BG32" i="17"/>
  <c r="EI51" i="17"/>
  <c r="EK1" i="17"/>
  <c r="EK10" i="17" s="1"/>
  <c r="EJ4" i="17"/>
  <c r="EJ18" i="17"/>
  <c r="EJ19" i="17"/>
  <c r="EJ20" i="17"/>
  <c r="EJ21" i="17"/>
  <c r="EJ22" i="17"/>
  <c r="EI60" i="17"/>
  <c r="EH26" i="19" s="1"/>
  <c r="EI23" i="17"/>
  <c r="EI24" i="17" s="1"/>
  <c r="EI16" i="17"/>
  <c r="AK27" i="30" l="1"/>
  <c r="AK28" i="30" s="1"/>
  <c r="AJ29" i="30"/>
  <c r="EG332" i="31"/>
  <c r="EF25" i="30"/>
  <c r="EF26" i="30" s="1"/>
  <c r="BF41" i="17"/>
  <c r="BG41" i="17" s="1"/>
  <c r="EK9" i="17"/>
  <c r="EK12" i="17"/>
  <c r="EK11" i="17"/>
  <c r="EK13" i="17"/>
  <c r="BG39" i="17"/>
  <c r="EK50" i="17"/>
  <c r="EK59" i="17"/>
  <c r="EK55" i="17"/>
  <c r="EK46" i="17"/>
  <c r="EK56" i="17"/>
  <c r="EK47" i="17"/>
  <c r="EK48" i="17"/>
  <c r="EK57" i="17"/>
  <c r="EK58" i="17"/>
  <c r="EK49" i="17"/>
  <c r="BG31" i="17"/>
  <c r="BG40" i="17"/>
  <c r="BG38" i="17"/>
  <c r="BG37" i="17"/>
  <c r="EJ331" i="31"/>
  <c r="EL24" i="31"/>
  <c r="EK23" i="31"/>
  <c r="BH28" i="17"/>
  <c r="BH29" i="17"/>
  <c r="BH32" i="17"/>
  <c r="BH31" i="17"/>
  <c r="BH30" i="17"/>
  <c r="BF33" i="17"/>
  <c r="EJ51" i="17"/>
  <c r="EJ16" i="17"/>
  <c r="EJ23" i="17"/>
  <c r="EJ24" i="17" s="1"/>
  <c r="EJ60" i="17"/>
  <c r="EI26" i="19" s="1"/>
  <c r="EL1" i="17"/>
  <c r="EL10" i="17" s="1"/>
  <c r="EK4" i="17"/>
  <c r="EK19" i="17"/>
  <c r="EK21" i="17"/>
  <c r="EK18" i="17"/>
  <c r="EK20" i="17"/>
  <c r="EK22" i="17"/>
  <c r="AV47" i="41"/>
  <c r="AK29" i="30" l="1"/>
  <c r="BF42" i="17"/>
  <c r="AL27" i="30" s="1"/>
  <c r="AL28" i="30" s="1"/>
  <c r="EH332" i="31"/>
  <c r="EG25" i="30"/>
  <c r="EG26" i="30" s="1"/>
  <c r="EL13" i="17"/>
  <c r="EL11" i="17"/>
  <c r="EL12" i="17"/>
  <c r="EL9" i="17"/>
  <c r="EL50" i="17"/>
  <c r="EL59" i="17"/>
  <c r="EL55" i="17"/>
  <c r="EL46" i="17"/>
  <c r="EL56" i="17"/>
  <c r="EL47" i="17"/>
  <c r="EL48" i="17"/>
  <c r="EL57" i="17"/>
  <c r="EL58" i="17"/>
  <c r="EL49" i="17"/>
  <c r="BH41" i="17"/>
  <c r="BH40" i="17"/>
  <c r="BH39" i="17"/>
  <c r="BH38" i="17"/>
  <c r="BH37" i="17"/>
  <c r="EK331" i="31"/>
  <c r="EM24" i="31"/>
  <c r="EL23" i="31"/>
  <c r="BI28" i="17"/>
  <c r="BI31" i="17"/>
  <c r="BI30" i="17"/>
  <c r="BG33" i="17"/>
  <c r="BI29" i="17"/>
  <c r="EK60" i="17"/>
  <c r="EJ26" i="19" s="1"/>
  <c r="EK51" i="17"/>
  <c r="BG42" i="17"/>
  <c r="EK23" i="17"/>
  <c r="EK24" i="17" s="1"/>
  <c r="EK16" i="17"/>
  <c r="EM1" i="17"/>
  <c r="EM10" i="17" s="1"/>
  <c r="EL4" i="17"/>
  <c r="EL18" i="17"/>
  <c r="EL19" i="17"/>
  <c r="EL20" i="17"/>
  <c r="EL21" i="17"/>
  <c r="EL22" i="17"/>
  <c r="AM27" i="30" l="1"/>
  <c r="AL29" i="30"/>
  <c r="EI332" i="31"/>
  <c r="EH25" i="30"/>
  <c r="EH26" i="30" s="1"/>
  <c r="EM9" i="17"/>
  <c r="EM11" i="17"/>
  <c r="EM13" i="17"/>
  <c r="EM12" i="17"/>
  <c r="EM50" i="17"/>
  <c r="EM59" i="17"/>
  <c r="EM55" i="17"/>
  <c r="EM46" i="17"/>
  <c r="EM56" i="17"/>
  <c r="EM47" i="17"/>
  <c r="EM48" i="17"/>
  <c r="EM57" i="17"/>
  <c r="EM58" i="17"/>
  <c r="EM49" i="17"/>
  <c r="BI32" i="17"/>
  <c r="BI41" i="17"/>
  <c r="BI40" i="17"/>
  <c r="BI39" i="17"/>
  <c r="BI38" i="17"/>
  <c r="BI37" i="17"/>
  <c r="EL331" i="31"/>
  <c r="EN24" i="31"/>
  <c r="EM23" i="31"/>
  <c r="BJ28" i="17"/>
  <c r="BH33" i="17"/>
  <c r="BJ30" i="17"/>
  <c r="BJ29" i="17"/>
  <c r="BJ32" i="17"/>
  <c r="BJ31" i="17"/>
  <c r="EM4" i="17"/>
  <c r="EN1" i="17"/>
  <c r="EN10" i="17" s="1"/>
  <c r="EM20" i="17"/>
  <c r="EM18" i="17"/>
  <c r="EM22" i="17"/>
  <c r="EM19" i="17"/>
  <c r="EM21" i="17"/>
  <c r="EL60" i="17"/>
  <c r="EK26" i="19" s="1"/>
  <c r="AW26" i="41" s="1"/>
  <c r="EL51" i="17"/>
  <c r="EL16" i="17"/>
  <c r="EL23" i="17"/>
  <c r="EL24" i="17" s="1"/>
  <c r="BH42" i="17"/>
  <c r="AM29" i="30" l="1"/>
  <c r="AM28" i="30"/>
  <c r="AN27" i="30"/>
  <c r="EJ332" i="31"/>
  <c r="EI25" i="30"/>
  <c r="EI26" i="30" s="1"/>
  <c r="EN12" i="17"/>
  <c r="EN13" i="17"/>
  <c r="EN11" i="17"/>
  <c r="EN9" i="17"/>
  <c r="EN50" i="17"/>
  <c r="EN59" i="17"/>
  <c r="EN46" i="17"/>
  <c r="EN55" i="17"/>
  <c r="EN56" i="17"/>
  <c r="EN47" i="17"/>
  <c r="EN48" i="17"/>
  <c r="EN57" i="17"/>
  <c r="EN49" i="17"/>
  <c r="EN58" i="17"/>
  <c r="BJ38" i="17"/>
  <c r="BJ39" i="17"/>
  <c r="BJ41" i="17"/>
  <c r="BJ40" i="17"/>
  <c r="BJ37" i="17"/>
  <c r="EM331" i="31"/>
  <c r="EO24" i="31"/>
  <c r="EN23" i="31"/>
  <c r="BK28" i="17"/>
  <c r="BK32" i="17"/>
  <c r="BK29" i="17"/>
  <c r="BI33" i="17"/>
  <c r="BK31" i="17"/>
  <c r="BK30" i="17"/>
  <c r="EM16" i="17"/>
  <c r="EM23" i="17"/>
  <c r="EM24" i="17" s="1"/>
  <c r="EN4" i="17"/>
  <c r="EO1" i="17"/>
  <c r="EO10" i="17" s="1"/>
  <c r="EN18" i="17"/>
  <c r="EN19" i="17"/>
  <c r="EN20" i="17"/>
  <c r="EN21" i="17"/>
  <c r="EN22" i="17"/>
  <c r="EM60" i="17"/>
  <c r="EL26" i="19" s="1"/>
  <c r="BI42" i="17"/>
  <c r="AW47" i="41"/>
  <c r="EM51" i="17"/>
  <c r="AN29" i="30" l="1"/>
  <c r="AN28" i="30"/>
  <c r="EK332" i="31"/>
  <c r="EJ25" i="30"/>
  <c r="EJ26" i="30" s="1"/>
  <c r="AO27" i="30"/>
  <c r="AO28" i="30" s="1"/>
  <c r="EO9" i="17"/>
  <c r="EO11" i="17"/>
  <c r="EO13" i="17"/>
  <c r="EO12" i="17"/>
  <c r="EO50" i="17"/>
  <c r="EO59" i="17"/>
  <c r="EO55" i="17"/>
  <c r="EO46" i="17"/>
  <c r="EO47" i="17"/>
  <c r="EO56" i="17"/>
  <c r="EO48" i="17"/>
  <c r="EO57" i="17"/>
  <c r="EO58" i="17"/>
  <c r="EO49" i="17"/>
  <c r="BK39" i="17"/>
  <c r="BK41" i="17"/>
  <c r="BK40" i="17"/>
  <c r="BK38" i="17"/>
  <c r="BK37" i="17"/>
  <c r="EN331" i="31"/>
  <c r="EO23" i="31"/>
  <c r="EP24" i="31"/>
  <c r="BL28" i="17"/>
  <c r="BJ33" i="17"/>
  <c r="BL29" i="17"/>
  <c r="BL30" i="17"/>
  <c r="BL31" i="17"/>
  <c r="BL32" i="17"/>
  <c r="EN16" i="17"/>
  <c r="EN23" i="17"/>
  <c r="EN24" i="17" s="1"/>
  <c r="EN60" i="17"/>
  <c r="EM26" i="19" s="1"/>
  <c r="EP1" i="17"/>
  <c r="EP10" i="17" s="1"/>
  <c r="EO4" i="17"/>
  <c r="EO21" i="17"/>
  <c r="EO19" i="17"/>
  <c r="EO18" i="17"/>
  <c r="EO20" i="17"/>
  <c r="EO22" i="17"/>
  <c r="BJ42" i="17"/>
  <c r="EN51" i="17"/>
  <c r="AP27" i="30" l="1"/>
  <c r="AO29" i="30"/>
  <c r="EL332" i="31"/>
  <c r="EK25" i="30"/>
  <c r="EK26" i="30" s="1"/>
  <c r="EP12" i="17"/>
  <c r="EP13" i="17"/>
  <c r="EP11" i="17"/>
  <c r="EP9" i="17"/>
  <c r="EP59" i="17"/>
  <c r="EP50" i="17"/>
  <c r="EP55" i="17"/>
  <c r="EP46" i="17"/>
  <c r="EP56" i="17"/>
  <c r="EP47" i="17"/>
  <c r="EP57" i="17"/>
  <c r="EP48" i="17"/>
  <c r="EP49" i="17"/>
  <c r="EP58" i="17"/>
  <c r="BL38" i="17"/>
  <c r="BL41" i="17"/>
  <c r="BL40" i="17"/>
  <c r="BL39" i="17"/>
  <c r="BL37" i="17"/>
  <c r="EO331" i="31"/>
  <c r="EP23" i="31"/>
  <c r="EQ24" i="31"/>
  <c r="BM28" i="17"/>
  <c r="BM30" i="17"/>
  <c r="BM32" i="17"/>
  <c r="BM29" i="17"/>
  <c r="BK33" i="17"/>
  <c r="BM31" i="17"/>
  <c r="EO60" i="17"/>
  <c r="EN26" i="19" s="1"/>
  <c r="AX26" i="41" s="1"/>
  <c r="EQ1" i="17"/>
  <c r="EQ10" i="17" s="1"/>
  <c r="EP4" i="17"/>
  <c r="EP22" i="17"/>
  <c r="EP18" i="17"/>
  <c r="EP19" i="17"/>
  <c r="EP20" i="17"/>
  <c r="EP21" i="17"/>
  <c r="EO23" i="17"/>
  <c r="EO24" i="17" s="1"/>
  <c r="EO16" i="17"/>
  <c r="BK42" i="17"/>
  <c r="EO51" i="17"/>
  <c r="AP29" i="30" l="1"/>
  <c r="AP28" i="30"/>
  <c r="AQ27" i="30"/>
  <c r="EM332" i="31"/>
  <c r="EL25" i="30"/>
  <c r="EL26" i="30" s="1"/>
  <c r="EQ9" i="17"/>
  <c r="EQ11" i="17"/>
  <c r="EQ13" i="17"/>
  <c r="EQ12" i="17"/>
  <c r="EQ59" i="17"/>
  <c r="EQ50" i="17"/>
  <c r="EQ46" i="17"/>
  <c r="EQ55" i="17"/>
  <c r="EQ56" i="17"/>
  <c r="EQ47" i="17"/>
  <c r="EQ57" i="17"/>
  <c r="EQ48" i="17"/>
  <c r="EQ49" i="17"/>
  <c r="EQ58" i="17"/>
  <c r="BM41" i="17"/>
  <c r="BM40" i="17"/>
  <c r="BM39" i="17"/>
  <c r="BM38" i="17"/>
  <c r="BM37" i="17"/>
  <c r="EP331" i="31"/>
  <c r="ER24" i="31"/>
  <c r="EQ23" i="31"/>
  <c r="BN28" i="17"/>
  <c r="BL33" i="17"/>
  <c r="BN32" i="17"/>
  <c r="BN31" i="17"/>
  <c r="BN30" i="17"/>
  <c r="BN29" i="17"/>
  <c r="ER1" i="17"/>
  <c r="ER10" i="17" s="1"/>
  <c r="EQ4" i="17"/>
  <c r="EQ18" i="17"/>
  <c r="EQ22" i="17"/>
  <c r="EQ20" i="17"/>
  <c r="EQ21" i="17"/>
  <c r="EQ19" i="17"/>
  <c r="EP60" i="17"/>
  <c r="EO26" i="19" s="1"/>
  <c r="EP23" i="17"/>
  <c r="EP24" i="17" s="1"/>
  <c r="EP16" i="17"/>
  <c r="BL42" i="17"/>
  <c r="EP51" i="17"/>
  <c r="AX47" i="41"/>
  <c r="AQ29" i="30" l="1"/>
  <c r="AQ28" i="30"/>
  <c r="AR27" i="30"/>
  <c r="AR28" i="30" s="1"/>
  <c r="EN332" i="31"/>
  <c r="EM25" i="30"/>
  <c r="EM26" i="30" s="1"/>
  <c r="ER12" i="17"/>
  <c r="ER13" i="17"/>
  <c r="ER11" i="17"/>
  <c r="ER9" i="17"/>
  <c r="ER50" i="17"/>
  <c r="ER59" i="17"/>
  <c r="ER46" i="17"/>
  <c r="ER55" i="17"/>
  <c r="ER47" i="17"/>
  <c r="ER56" i="17"/>
  <c r="ER57" i="17"/>
  <c r="ER48" i="17"/>
  <c r="ER58" i="17"/>
  <c r="ER49" i="17"/>
  <c r="BN41" i="17"/>
  <c r="BN40" i="17"/>
  <c r="BN39" i="17"/>
  <c r="BN38" i="17"/>
  <c r="BN37" i="17"/>
  <c r="EQ331" i="31"/>
  <c r="ES24" i="31"/>
  <c r="ER23" i="31"/>
  <c r="BO28" i="17"/>
  <c r="BM33" i="17"/>
  <c r="BO29" i="17"/>
  <c r="BO31" i="17"/>
  <c r="BO30" i="17"/>
  <c r="BO32" i="17"/>
  <c r="EQ23" i="17"/>
  <c r="EQ24" i="17" s="1"/>
  <c r="EQ16" i="17"/>
  <c r="EQ60" i="17"/>
  <c r="EP26" i="19" s="1"/>
  <c r="BM42" i="17"/>
  <c r="EQ51" i="17"/>
  <c r="ES1" i="17"/>
  <c r="ES10" i="17" s="1"/>
  <c r="ER4" i="17"/>
  <c r="ER19" i="17"/>
  <c r="ER20" i="17"/>
  <c r="ER21" i="17"/>
  <c r="ER22" i="17"/>
  <c r="ER18" i="17"/>
  <c r="AS27" i="30" l="1"/>
  <c r="AS28" i="30" s="1"/>
  <c r="EO332" i="31"/>
  <c r="EN25" i="30"/>
  <c r="EN26" i="30" s="1"/>
  <c r="AR29" i="30"/>
  <c r="ES9" i="17"/>
  <c r="ES11" i="17"/>
  <c r="ES12" i="17"/>
  <c r="ES13" i="17"/>
  <c r="ES50" i="17"/>
  <c r="ES59" i="17"/>
  <c r="ES55" i="17"/>
  <c r="ES46" i="17"/>
  <c r="ES56" i="17"/>
  <c r="ES47" i="17"/>
  <c r="ES48" i="17"/>
  <c r="ES57" i="17"/>
  <c r="ES58" i="17"/>
  <c r="ES49" i="17"/>
  <c r="BO41" i="17"/>
  <c r="BO40" i="17"/>
  <c r="BO39" i="17"/>
  <c r="BO38" i="17"/>
  <c r="BO37" i="17"/>
  <c r="ER331" i="31"/>
  <c r="ET24" i="31"/>
  <c r="ES23" i="31"/>
  <c r="BP28" i="17"/>
  <c r="BN33" i="17"/>
  <c r="BP32" i="17"/>
  <c r="BP29" i="17"/>
  <c r="BP30" i="17"/>
  <c r="BP31" i="17"/>
  <c r="ER60" i="17"/>
  <c r="EQ26" i="19" s="1"/>
  <c r="BN42" i="17"/>
  <c r="ER51" i="17"/>
  <c r="ET1" i="17"/>
  <c r="ET10" i="17" s="1"/>
  <c r="ES4" i="17"/>
  <c r="ES19" i="17"/>
  <c r="ES21" i="17"/>
  <c r="ES18" i="17"/>
  <c r="ES20" i="17"/>
  <c r="ES22" i="17"/>
  <c r="ER16" i="17"/>
  <c r="ER23" i="17"/>
  <c r="ER24" i="17" s="1"/>
  <c r="AS29" i="30" l="1"/>
  <c r="AT27" i="30"/>
  <c r="AT28" i="30" s="1"/>
  <c r="EP332" i="31"/>
  <c r="EO25" i="30"/>
  <c r="EO26" i="30" s="1"/>
  <c r="AT29" i="30"/>
  <c r="ET13" i="17"/>
  <c r="ET12" i="17"/>
  <c r="ET11" i="17"/>
  <c r="ET9" i="17"/>
  <c r="ET50" i="17"/>
  <c r="ET59" i="17"/>
  <c r="ET46" i="17"/>
  <c r="ET55" i="17"/>
  <c r="ET56" i="17"/>
  <c r="ET47" i="17"/>
  <c r="ET48" i="17"/>
  <c r="ET57" i="17"/>
  <c r="ET58" i="17"/>
  <c r="ET49" i="17"/>
  <c r="BP41" i="17"/>
  <c r="BP40" i="17"/>
  <c r="BP39" i="17"/>
  <c r="BP38" i="17"/>
  <c r="BP37" i="17"/>
  <c r="ES331" i="31"/>
  <c r="ET23" i="31"/>
  <c r="EU24" i="31"/>
  <c r="BQ28" i="17"/>
  <c r="BO33" i="17"/>
  <c r="BQ31" i="17"/>
  <c r="BQ29" i="17"/>
  <c r="BQ32" i="17"/>
  <c r="BQ30" i="17"/>
  <c r="AY47" i="41"/>
  <c r="ET4" i="17"/>
  <c r="EU1" i="17"/>
  <c r="EU10" i="17" s="1"/>
  <c r="ET18" i="17"/>
  <c r="ET19" i="17"/>
  <c r="ET20" i="17"/>
  <c r="ET21" i="17"/>
  <c r="ET22" i="17"/>
  <c r="ES51" i="17"/>
  <c r="ES23" i="17"/>
  <c r="ES24" i="17" s="1"/>
  <c r="ES16" i="17"/>
  <c r="ES60" i="17"/>
  <c r="ER26" i="19" s="1"/>
  <c r="BO42" i="17"/>
  <c r="AU27" i="30" l="1"/>
  <c r="AU28" i="30" s="1"/>
  <c r="EQ332" i="31"/>
  <c r="EP25" i="30"/>
  <c r="EP26" i="30" s="1"/>
  <c r="EU9" i="17"/>
  <c r="EU11" i="17"/>
  <c r="EU12" i="17"/>
  <c r="EU13" i="17"/>
  <c r="EU50" i="17"/>
  <c r="EU59" i="17"/>
  <c r="EU46" i="17"/>
  <c r="EU55" i="17"/>
  <c r="EU47" i="17"/>
  <c r="EU56" i="17"/>
  <c r="EU57" i="17"/>
  <c r="EU48" i="17"/>
  <c r="EU58" i="17"/>
  <c r="EU49" i="17"/>
  <c r="BQ41" i="17"/>
  <c r="BQ40" i="17"/>
  <c r="BQ39" i="17"/>
  <c r="BQ38" i="17"/>
  <c r="BQ37" i="17"/>
  <c r="ET331" i="31"/>
  <c r="EU23" i="31"/>
  <c r="EV24" i="31"/>
  <c r="BR28" i="17"/>
  <c r="BR32" i="17"/>
  <c r="BR29" i="17"/>
  <c r="BP33" i="17"/>
  <c r="BR30" i="17"/>
  <c r="BR31" i="17"/>
  <c r="ET51" i="17"/>
  <c r="BP42" i="17"/>
  <c r="EU4" i="17"/>
  <c r="EV1" i="17"/>
  <c r="EV10" i="17" s="1"/>
  <c r="EU20" i="17"/>
  <c r="EU18" i="17"/>
  <c r="EU22" i="17"/>
  <c r="EU19" i="17"/>
  <c r="EU21" i="17"/>
  <c r="ET23" i="17"/>
  <c r="ET24" i="17" s="1"/>
  <c r="ET16" i="17"/>
  <c r="ET60" i="17"/>
  <c r="ES26" i="19" s="1"/>
  <c r="AV27" i="30" l="1"/>
  <c r="AU29" i="30"/>
  <c r="ER332" i="31"/>
  <c r="EQ25" i="30"/>
  <c r="EQ26" i="30" s="1"/>
  <c r="EV13" i="17"/>
  <c r="EV12" i="17"/>
  <c r="EV11" i="17"/>
  <c r="EV9" i="17"/>
  <c r="EV50" i="17"/>
  <c r="EV59" i="17"/>
  <c r="EV55" i="17"/>
  <c r="EV46" i="17"/>
  <c r="EV56" i="17"/>
  <c r="EV47" i="17"/>
  <c r="EV48" i="17"/>
  <c r="EV57" i="17"/>
  <c r="EV58" i="17"/>
  <c r="EV49" i="17"/>
  <c r="BR38" i="17"/>
  <c r="BR41" i="17"/>
  <c r="BR40" i="17"/>
  <c r="BR39" i="17"/>
  <c r="BR37" i="17"/>
  <c r="EU331" i="31"/>
  <c r="EW24" i="31"/>
  <c r="EV23" i="31"/>
  <c r="BS28" i="17"/>
  <c r="BS31" i="17"/>
  <c r="BQ33" i="17"/>
  <c r="BS30" i="17"/>
  <c r="BS32" i="17"/>
  <c r="BS29" i="17"/>
  <c r="EU51" i="17"/>
  <c r="EU23" i="17"/>
  <c r="EU24" i="17" s="1"/>
  <c r="EU16" i="17"/>
  <c r="EV4" i="17"/>
  <c r="EW1" i="17"/>
  <c r="EW10" i="17" s="1"/>
  <c r="EV18" i="17"/>
  <c r="EV19" i="17"/>
  <c r="EV20" i="17"/>
  <c r="EV21" i="17"/>
  <c r="EV22" i="17"/>
  <c r="EU60" i="17"/>
  <c r="ET26" i="19" s="1"/>
  <c r="AZ26" i="41" s="1"/>
  <c r="BQ42" i="17"/>
  <c r="AV29" i="30" l="1"/>
  <c r="AV28" i="30"/>
  <c r="AW27" i="30"/>
  <c r="AW28" i="30" s="1"/>
  <c r="ES332" i="31"/>
  <c r="ER25" i="30"/>
  <c r="ER26" i="30" s="1"/>
  <c r="EW9" i="17"/>
  <c r="EW11" i="17"/>
  <c r="EW12" i="17"/>
  <c r="EW13" i="17"/>
  <c r="EW59" i="17"/>
  <c r="EW50" i="17"/>
  <c r="EW55" i="17"/>
  <c r="EW46" i="17"/>
  <c r="EW47" i="17"/>
  <c r="EW56" i="17"/>
  <c r="EW48" i="17"/>
  <c r="EW57" i="17"/>
  <c r="EW49" i="17"/>
  <c r="EW58" i="17"/>
  <c r="BS41" i="17"/>
  <c r="BS40" i="17"/>
  <c r="BS39" i="17"/>
  <c r="BS38" i="17"/>
  <c r="BS37" i="17"/>
  <c r="EV331" i="31"/>
  <c r="EX24" i="31"/>
  <c r="EW23" i="31"/>
  <c r="BT28" i="17"/>
  <c r="BR33" i="17"/>
  <c r="BT30" i="17"/>
  <c r="BT29" i="17"/>
  <c r="BT31" i="17"/>
  <c r="BT32" i="17"/>
  <c r="BR42" i="17"/>
  <c r="EW4" i="17"/>
  <c r="EX1" i="17"/>
  <c r="EX10" i="17" s="1"/>
  <c r="EW21" i="17"/>
  <c r="EW19" i="17"/>
  <c r="EW18" i="17"/>
  <c r="EW20" i="17"/>
  <c r="EW22" i="17"/>
  <c r="EV51" i="17"/>
  <c r="EV60" i="17"/>
  <c r="EU26" i="19" s="1"/>
  <c r="EV16" i="17"/>
  <c r="EV23" i="17"/>
  <c r="EV24" i="17" s="1"/>
  <c r="AZ47" i="41"/>
  <c r="AX27" i="30" l="1"/>
  <c r="ET332" i="31"/>
  <c r="ES25" i="30"/>
  <c r="ES26" i="30" s="1"/>
  <c r="AW29" i="30"/>
  <c r="EX13" i="17"/>
  <c r="EX9" i="17"/>
  <c r="EX12" i="17"/>
  <c r="EX11" i="17"/>
  <c r="EX59" i="17"/>
  <c r="C59" i="17" s="1"/>
  <c r="EX50" i="17"/>
  <c r="EX55" i="17"/>
  <c r="EX46" i="17"/>
  <c r="EX56" i="17"/>
  <c r="C56" i="17" s="1"/>
  <c r="EX47" i="17"/>
  <c r="EX48" i="17"/>
  <c r="EX57" i="17"/>
  <c r="C57" i="17" s="1"/>
  <c r="EX49" i="17"/>
  <c r="EX58" i="17"/>
  <c r="C58" i="17" s="1"/>
  <c r="BT38" i="17"/>
  <c r="BT41" i="17"/>
  <c r="BT40" i="17"/>
  <c r="BT39" i="17"/>
  <c r="BT37" i="17"/>
  <c r="EW331" i="31"/>
  <c r="EX23" i="31"/>
  <c r="EY24" i="31"/>
  <c r="BU28" i="17"/>
  <c r="BU29" i="17"/>
  <c r="BS33" i="17"/>
  <c r="BU32" i="17"/>
  <c r="BU30" i="17"/>
  <c r="BU31" i="17"/>
  <c r="BS42" i="17"/>
  <c r="EY1" i="17"/>
  <c r="EY10" i="17" s="1"/>
  <c r="EX4" i="17"/>
  <c r="EX18" i="17"/>
  <c r="EX19" i="17"/>
  <c r="EX20" i="17"/>
  <c r="EX21" i="17"/>
  <c r="EX22" i="17"/>
  <c r="EW16" i="17"/>
  <c r="EW23" i="17"/>
  <c r="EW24" i="17" s="1"/>
  <c r="EW51" i="17"/>
  <c r="EW60" i="17"/>
  <c r="EV26" i="19" s="1"/>
  <c r="AX29" i="30" l="1"/>
  <c r="AX28" i="30"/>
  <c r="AY27" i="30"/>
  <c r="AY28" i="30" s="1"/>
  <c r="EU332" i="31"/>
  <c r="ET25" i="30"/>
  <c r="ET26" i="30" s="1"/>
  <c r="AY29" i="30"/>
  <c r="EY11" i="17"/>
  <c r="EY12" i="17"/>
  <c r="EY9" i="17"/>
  <c r="EY13" i="17"/>
  <c r="C46" i="17"/>
  <c r="EY50" i="17"/>
  <c r="EY59" i="17"/>
  <c r="EY55" i="17"/>
  <c r="EY46" i="17"/>
  <c r="EY47" i="17"/>
  <c r="EY56" i="17"/>
  <c r="EY48" i="17"/>
  <c r="EY57" i="17"/>
  <c r="EY58" i="17"/>
  <c r="EY49" i="17"/>
  <c r="BU41" i="17"/>
  <c r="BU40" i="17"/>
  <c r="BU39" i="17"/>
  <c r="BU38" i="17"/>
  <c r="BU37" i="17"/>
  <c r="EX331" i="31"/>
  <c r="EY23" i="31"/>
  <c r="EZ24" i="31"/>
  <c r="BV28" i="17"/>
  <c r="BV32" i="17"/>
  <c r="BV31" i="17"/>
  <c r="BV29" i="17"/>
  <c r="BV30" i="17"/>
  <c r="BT33" i="17"/>
  <c r="BT42" i="17"/>
  <c r="C50" i="17"/>
  <c r="EX51" i="17"/>
  <c r="C51" i="17" s="1"/>
  <c r="EX60" i="17"/>
  <c r="C55" i="17"/>
  <c r="C47" i="17"/>
  <c r="EZ1" i="17"/>
  <c r="EZ10" i="17" s="1"/>
  <c r="EY4" i="17"/>
  <c r="EY18" i="17"/>
  <c r="EY22" i="17"/>
  <c r="EY20" i="17"/>
  <c r="EY19" i="17"/>
  <c r="EY21" i="17"/>
  <c r="C49" i="17"/>
  <c r="EX16" i="17"/>
  <c r="EX23" i="17"/>
  <c r="EX24" i="17" s="1"/>
  <c r="C48" i="17"/>
  <c r="AZ27" i="30" l="1"/>
  <c r="AZ28" i="30" s="1"/>
  <c r="EV332" i="31"/>
  <c r="EU25" i="30"/>
  <c r="EU26" i="30" s="1"/>
  <c r="EZ12" i="17"/>
  <c r="EZ13" i="17"/>
  <c r="EZ9" i="17"/>
  <c r="EZ11" i="17"/>
  <c r="EW26" i="19"/>
  <c r="BA26" i="41" s="1"/>
  <c r="C60" i="17"/>
  <c r="EZ50" i="17"/>
  <c r="EZ59" i="17"/>
  <c r="EZ55" i="17"/>
  <c r="EZ46" i="17"/>
  <c r="EZ47" i="17"/>
  <c r="EZ56" i="17"/>
  <c r="EZ48" i="17"/>
  <c r="EZ57" i="17"/>
  <c r="EZ49" i="17"/>
  <c r="EZ58" i="17"/>
  <c r="BV40" i="17"/>
  <c r="BV41" i="17"/>
  <c r="BV39" i="17"/>
  <c r="BV38" i="17"/>
  <c r="BV37" i="17"/>
  <c r="EY331" i="31"/>
  <c r="EZ23" i="31"/>
  <c r="FA24" i="31"/>
  <c r="BU33" i="17"/>
  <c r="BA27" i="30" s="1"/>
  <c r="BA28" i="30" s="1"/>
  <c r="BW28" i="17"/>
  <c r="BW29" i="17"/>
  <c r="BW31" i="17"/>
  <c r="BW30" i="17"/>
  <c r="BW32" i="17"/>
  <c r="BU42" i="17"/>
  <c r="EY60" i="17"/>
  <c r="EX26" i="19" s="1"/>
  <c r="EY16" i="17"/>
  <c r="EY23" i="17"/>
  <c r="EY24" i="17" s="1"/>
  <c r="BA47" i="41"/>
  <c r="EY51" i="17"/>
  <c r="FA1" i="17"/>
  <c r="FA10" i="17" s="1"/>
  <c r="EZ4" i="17"/>
  <c r="EZ18" i="17"/>
  <c r="EZ19" i="17"/>
  <c r="EZ20" i="17"/>
  <c r="EZ21" i="17"/>
  <c r="EZ22" i="17"/>
  <c r="BA29" i="30" l="1"/>
  <c r="EW332" i="31"/>
  <c r="EV25" i="30"/>
  <c r="EV26" i="30" s="1"/>
  <c r="AZ29" i="30"/>
  <c r="FA11" i="17"/>
  <c r="FA9" i="17"/>
  <c r="FA13" i="17"/>
  <c r="FA12" i="17"/>
  <c r="FA50" i="17"/>
  <c r="FA59" i="17"/>
  <c r="FA46" i="17"/>
  <c r="FA55" i="17"/>
  <c r="FA47" i="17"/>
  <c r="FA56" i="17"/>
  <c r="FA48" i="17"/>
  <c r="FA57" i="17"/>
  <c r="FA58" i="17"/>
  <c r="FA49" i="17"/>
  <c r="BW41" i="17"/>
  <c r="BW40" i="17"/>
  <c r="BW39" i="17"/>
  <c r="BW38" i="17"/>
  <c r="BW37" i="17"/>
  <c r="EZ331" i="31"/>
  <c r="FB24" i="31"/>
  <c r="FA23" i="31"/>
  <c r="BX28" i="17"/>
  <c r="BX31" i="17"/>
  <c r="BX32" i="17"/>
  <c r="BV33" i="17"/>
  <c r="BX30" i="17"/>
  <c r="BX29" i="17"/>
  <c r="EZ60" i="17"/>
  <c r="EY26" i="19" s="1"/>
  <c r="FB1" i="17"/>
  <c r="FB10" i="17" s="1"/>
  <c r="FA4" i="17"/>
  <c r="FA19" i="17"/>
  <c r="FA21" i="17"/>
  <c r="FA22" i="17"/>
  <c r="FA18" i="17"/>
  <c r="FA20" i="17"/>
  <c r="EZ51" i="17"/>
  <c r="BV42" i="17"/>
  <c r="EZ16" i="17"/>
  <c r="EZ23" i="17"/>
  <c r="EZ24" i="17" s="1"/>
  <c r="EX332" i="31" l="1"/>
  <c r="EW25" i="30"/>
  <c r="EW26" i="30" s="1"/>
  <c r="BB27" i="30"/>
  <c r="BB28" i="30" s="1"/>
  <c r="FB12" i="17"/>
  <c r="FB13" i="17"/>
  <c r="FB9" i="17"/>
  <c r="FB11" i="17"/>
  <c r="FB50" i="17"/>
  <c r="FB59" i="17"/>
  <c r="FB46" i="17"/>
  <c r="FB55" i="17"/>
  <c r="FB56" i="17"/>
  <c r="FB47" i="17"/>
  <c r="FB48" i="17"/>
  <c r="FB57" i="17"/>
  <c r="FB49" i="17"/>
  <c r="FB58" i="17"/>
  <c r="BX41" i="17"/>
  <c r="BX40" i="17"/>
  <c r="BX39" i="17"/>
  <c r="BX38" i="17"/>
  <c r="BX37" i="17"/>
  <c r="FA331" i="31"/>
  <c r="FC24" i="31"/>
  <c r="FB23" i="31"/>
  <c r="BY28" i="17"/>
  <c r="BW33" i="17"/>
  <c r="BY32" i="17"/>
  <c r="BY29" i="17"/>
  <c r="BY30" i="17"/>
  <c r="BY31" i="17"/>
  <c r="FA60" i="17"/>
  <c r="EZ26" i="19" s="1"/>
  <c r="BB26" i="41" s="1"/>
  <c r="FA16" i="17"/>
  <c r="FA23" i="17"/>
  <c r="FA24" i="17" s="1"/>
  <c r="BW42" i="17"/>
  <c r="FA51" i="17"/>
  <c r="FC1" i="17"/>
  <c r="FC10" i="17" s="1"/>
  <c r="FB4" i="17"/>
  <c r="FB20" i="17"/>
  <c r="FB21" i="17"/>
  <c r="FB22" i="17"/>
  <c r="FB18" i="17"/>
  <c r="FB19" i="17"/>
  <c r="BC27" i="30" l="1"/>
  <c r="BC28" i="30" s="1"/>
  <c r="BB29" i="30"/>
  <c r="EY332" i="31"/>
  <c r="EX25" i="30"/>
  <c r="EX26" i="30" s="1"/>
  <c r="FC11" i="17"/>
  <c r="FC9" i="17"/>
  <c r="FC13" i="17"/>
  <c r="FC12" i="17"/>
  <c r="FC50" i="17"/>
  <c r="FC59" i="17"/>
  <c r="FC55" i="17"/>
  <c r="FC46" i="17"/>
  <c r="FC56" i="17"/>
  <c r="FC47" i="17"/>
  <c r="FC57" i="17"/>
  <c r="FC48" i="17"/>
  <c r="FC58" i="17"/>
  <c r="FC49" i="17"/>
  <c r="BY38" i="17"/>
  <c r="BY41" i="17"/>
  <c r="BY40" i="17"/>
  <c r="BY39" i="17"/>
  <c r="BY37" i="17"/>
  <c r="FB331" i="31"/>
  <c r="FC23" i="31"/>
  <c r="FD24" i="31"/>
  <c r="BZ28" i="17"/>
  <c r="BX33" i="17"/>
  <c r="BZ29" i="17"/>
  <c r="BZ31" i="17"/>
  <c r="BZ30" i="17"/>
  <c r="BZ32" i="17"/>
  <c r="BB47" i="41"/>
  <c r="FB60" i="17"/>
  <c r="FA26" i="19" s="1"/>
  <c r="FB16" i="17"/>
  <c r="FB23" i="17"/>
  <c r="FB24" i="17" s="1"/>
  <c r="FD1" i="17"/>
  <c r="FD10" i="17" s="1"/>
  <c r="FC4" i="17"/>
  <c r="FC20" i="17"/>
  <c r="FC18" i="17"/>
  <c r="FC22" i="17"/>
  <c r="FC19" i="17"/>
  <c r="FC21" i="17"/>
  <c r="BX42" i="17"/>
  <c r="FB51" i="17"/>
  <c r="BC29" i="30" l="1"/>
  <c r="BD27" i="30"/>
  <c r="EZ332" i="31"/>
  <c r="EY25" i="30"/>
  <c r="EY26" i="30" s="1"/>
  <c r="FD12" i="17"/>
  <c r="FD13" i="17"/>
  <c r="FD9" i="17"/>
  <c r="FD11" i="17"/>
  <c r="FD59" i="17"/>
  <c r="FD50" i="17"/>
  <c r="FD55" i="17"/>
  <c r="FD46" i="17"/>
  <c r="FD56" i="17"/>
  <c r="FD47" i="17"/>
  <c r="FD48" i="17"/>
  <c r="FD57" i="17"/>
  <c r="FD49" i="17"/>
  <c r="FD58" i="17"/>
  <c r="BZ41" i="17"/>
  <c r="BZ40" i="17"/>
  <c r="BZ39" i="17"/>
  <c r="BZ38" i="17"/>
  <c r="BZ37" i="17"/>
  <c r="FC331" i="31"/>
  <c r="FD23" i="31"/>
  <c r="FE24" i="31"/>
  <c r="CA28" i="17"/>
  <c r="CA32" i="17"/>
  <c r="BY33" i="17"/>
  <c r="CA30" i="17"/>
  <c r="CA29" i="17"/>
  <c r="CA31" i="17"/>
  <c r="BY42" i="17"/>
  <c r="FC60" i="17"/>
  <c r="FB26" i="19" s="1"/>
  <c r="FC16" i="17"/>
  <c r="FC23" i="17"/>
  <c r="FC24" i="17" s="1"/>
  <c r="FC51" i="17"/>
  <c r="FD4" i="17"/>
  <c r="FE1" i="17"/>
  <c r="FE10" i="17" s="1"/>
  <c r="FD18" i="17"/>
  <c r="FD19" i="17"/>
  <c r="FD20" i="17"/>
  <c r="FD21" i="17"/>
  <c r="FD22" i="17"/>
  <c r="BD29" i="30" l="1"/>
  <c r="BD28" i="30"/>
  <c r="FA332" i="31"/>
  <c r="EZ25" i="30"/>
  <c r="EZ26" i="30" s="1"/>
  <c r="BE27" i="30"/>
  <c r="BE28" i="30" s="1"/>
  <c r="FE11" i="17"/>
  <c r="FE9" i="17"/>
  <c r="FE13" i="17"/>
  <c r="FE12" i="17"/>
  <c r="FE50" i="17"/>
  <c r="FE59" i="17"/>
  <c r="FE55" i="17"/>
  <c r="FE46" i="17"/>
  <c r="FE47" i="17"/>
  <c r="FE56" i="17"/>
  <c r="FE48" i="17"/>
  <c r="FE57" i="17"/>
  <c r="FE58" i="17"/>
  <c r="FE49" i="17"/>
  <c r="CA41" i="17"/>
  <c r="CA40" i="17"/>
  <c r="CA39" i="17"/>
  <c r="CA38" i="17"/>
  <c r="CA37" i="17"/>
  <c r="FD331" i="31"/>
  <c r="FE23" i="31"/>
  <c r="FF24" i="31"/>
  <c r="CB28" i="17"/>
  <c r="BZ33" i="17"/>
  <c r="CB30" i="17"/>
  <c r="CB31" i="17"/>
  <c r="CB29" i="17"/>
  <c r="CB32" i="17"/>
  <c r="FF1" i="17"/>
  <c r="FF10" i="17" s="1"/>
  <c r="FE4" i="17"/>
  <c r="FE21" i="17"/>
  <c r="FE19" i="17"/>
  <c r="FE18" i="17"/>
  <c r="FE20" i="17"/>
  <c r="FE22" i="17"/>
  <c r="FD51" i="17"/>
  <c r="FD60" i="17"/>
  <c r="FC26" i="19" s="1"/>
  <c r="FD16" i="17"/>
  <c r="FD23" i="17"/>
  <c r="FD24" i="17" s="1"/>
  <c r="BZ42" i="17"/>
  <c r="BF27" i="30" l="1"/>
  <c r="BF28" i="30" s="1"/>
  <c r="BE29" i="30"/>
  <c r="BF29" i="30"/>
  <c r="FB332" i="31"/>
  <c r="FA25" i="30"/>
  <c r="FA26" i="30" s="1"/>
  <c r="FF12" i="17"/>
  <c r="FF13" i="17"/>
  <c r="FF9" i="17"/>
  <c r="FF11" i="17"/>
  <c r="FF50" i="17"/>
  <c r="FF59" i="17"/>
  <c r="FF46" i="17"/>
  <c r="FF55" i="17"/>
  <c r="FF47" i="17"/>
  <c r="FF56" i="17"/>
  <c r="FF48" i="17"/>
  <c r="FF57" i="17"/>
  <c r="FF58" i="17"/>
  <c r="FF49" i="17"/>
  <c r="CB41" i="17"/>
  <c r="CB40" i="17"/>
  <c r="CB39" i="17"/>
  <c r="CB38" i="17"/>
  <c r="CB37" i="17"/>
  <c r="FE331" i="31"/>
  <c r="FF23" i="31"/>
  <c r="FG24" i="31"/>
  <c r="CC28" i="17"/>
  <c r="CC30" i="17"/>
  <c r="CC31" i="17"/>
  <c r="CC29" i="17"/>
  <c r="CC32" i="17"/>
  <c r="CA33" i="17"/>
  <c r="CA42" i="17"/>
  <c r="BC47" i="41"/>
  <c r="FF4" i="17"/>
  <c r="FG1" i="17"/>
  <c r="FG10" i="17" s="1"/>
  <c r="FF18" i="17"/>
  <c r="FF19" i="17"/>
  <c r="FF20" i="17"/>
  <c r="FF21" i="17"/>
  <c r="FF22" i="17"/>
  <c r="FE60" i="17"/>
  <c r="FD26" i="19" s="1"/>
  <c r="FE51" i="17"/>
  <c r="FE23" i="17"/>
  <c r="FE24" i="17" s="1"/>
  <c r="FE16" i="17"/>
  <c r="BG27" i="30" l="1"/>
  <c r="FC332" i="31"/>
  <c r="FB25" i="30"/>
  <c r="FB26" i="30" s="1"/>
  <c r="FG11" i="17"/>
  <c r="FG12" i="17"/>
  <c r="FG9" i="17"/>
  <c r="FG13" i="17"/>
  <c r="FG50" i="17"/>
  <c r="FG59" i="17"/>
  <c r="FG55" i="17"/>
  <c r="FG46" i="17"/>
  <c r="FG47" i="17"/>
  <c r="FG56" i="17"/>
  <c r="FG48" i="17"/>
  <c r="FG57" i="17"/>
  <c r="FG58" i="17"/>
  <c r="FG49" i="17"/>
  <c r="CC41" i="17"/>
  <c r="CC40" i="17"/>
  <c r="CC39" i="17"/>
  <c r="CC38" i="17"/>
  <c r="CC37" i="17"/>
  <c r="FF331" i="31"/>
  <c r="FG23" i="31"/>
  <c r="FH24" i="31"/>
  <c r="CD28" i="17"/>
  <c r="CB33" i="17"/>
  <c r="CD29" i="17"/>
  <c r="CD31" i="17"/>
  <c r="CD32" i="17"/>
  <c r="CD30" i="17"/>
  <c r="FF23" i="17"/>
  <c r="FF24" i="17" s="1"/>
  <c r="FF16" i="17"/>
  <c r="FH1" i="17"/>
  <c r="FH10" i="17" s="1"/>
  <c r="FG4" i="17"/>
  <c r="FG18" i="17"/>
  <c r="FG22" i="17"/>
  <c r="FG20" i="17"/>
  <c r="FG19" i="17"/>
  <c r="FG21" i="17"/>
  <c r="FF60" i="17"/>
  <c r="FE26" i="19" s="1"/>
  <c r="CB42" i="17"/>
  <c r="FF51" i="17"/>
  <c r="BG29" i="30" l="1"/>
  <c r="BG28" i="30"/>
  <c r="BH27" i="30"/>
  <c r="BH28" i="30" s="1"/>
  <c r="FD332" i="31"/>
  <c r="FC25" i="30"/>
  <c r="FC26" i="30" s="1"/>
  <c r="FH13" i="17"/>
  <c r="FH9" i="17"/>
  <c r="FH12" i="17"/>
  <c r="FH11" i="17"/>
  <c r="FH50" i="17"/>
  <c r="FH59" i="17"/>
  <c r="FH55" i="17"/>
  <c r="FH46" i="17"/>
  <c r="FH47" i="17"/>
  <c r="FH56" i="17"/>
  <c r="FH48" i="17"/>
  <c r="FH57" i="17"/>
  <c r="FH49" i="17"/>
  <c r="FH58" i="17"/>
  <c r="CD41" i="17"/>
  <c r="CD40" i="17"/>
  <c r="CD39" i="17"/>
  <c r="CD38" i="17"/>
  <c r="CD37" i="17"/>
  <c r="FG331" i="31"/>
  <c r="FI24" i="31"/>
  <c r="FH23" i="31"/>
  <c r="CE28" i="17"/>
  <c r="CE32" i="17"/>
  <c r="CE31" i="17"/>
  <c r="CE29" i="17"/>
  <c r="CE30" i="17"/>
  <c r="CC33" i="17"/>
  <c r="FG60" i="17"/>
  <c r="FF26" i="19" s="1"/>
  <c r="FG51" i="17"/>
  <c r="FG16" i="17"/>
  <c r="FG23" i="17"/>
  <c r="FG24" i="17" s="1"/>
  <c r="FI1" i="17"/>
  <c r="FI10" i="17" s="1"/>
  <c r="FH4" i="17"/>
  <c r="FH18" i="17"/>
  <c r="FH19" i="17"/>
  <c r="FH20" i="17"/>
  <c r="FH21" i="17"/>
  <c r="FH22" i="17"/>
  <c r="CC42" i="17"/>
  <c r="FE332" i="31" l="1"/>
  <c r="FD25" i="30"/>
  <c r="FD26" i="30" s="1"/>
  <c r="BI27" i="30"/>
  <c r="BI28" i="30" s="1"/>
  <c r="BH29" i="30"/>
  <c r="FI11" i="17"/>
  <c r="FI12" i="17"/>
  <c r="FI9" i="17"/>
  <c r="FI13" i="17"/>
  <c r="CE39" i="17"/>
  <c r="FI50" i="17"/>
  <c r="FI59" i="17"/>
  <c r="FI46" i="17"/>
  <c r="FI55" i="17"/>
  <c r="FI56" i="17"/>
  <c r="FI47" i="17"/>
  <c r="FI48" i="17"/>
  <c r="FI57" i="17"/>
  <c r="FI58" i="17"/>
  <c r="FI49" i="17"/>
  <c r="CE41" i="17"/>
  <c r="CE40" i="17"/>
  <c r="CE38" i="17"/>
  <c r="CE37" i="17"/>
  <c r="FH331" i="31"/>
  <c r="FJ24" i="31"/>
  <c r="FI23" i="31"/>
  <c r="CF28" i="17"/>
  <c r="CD33" i="17"/>
  <c r="CF29" i="17"/>
  <c r="CF31" i="17"/>
  <c r="CF30" i="17"/>
  <c r="CF32" i="17"/>
  <c r="FH60" i="17"/>
  <c r="FG26" i="19" s="1"/>
  <c r="BD47" i="41"/>
  <c r="FJ1" i="17"/>
  <c r="FJ10" i="17" s="1"/>
  <c r="FI4" i="17"/>
  <c r="FI19" i="17"/>
  <c r="FI21" i="17"/>
  <c r="FI18" i="17"/>
  <c r="FI20" i="17"/>
  <c r="FI22" i="17"/>
  <c r="CD42" i="17"/>
  <c r="FH51" i="17"/>
  <c r="FH16" i="17"/>
  <c r="FH23" i="17"/>
  <c r="FH24" i="17" s="1"/>
  <c r="BJ27" i="30" l="1"/>
  <c r="BJ28" i="30" s="1"/>
  <c r="BI29" i="30"/>
  <c r="FF332" i="31"/>
  <c r="FE25" i="30"/>
  <c r="FE26" i="30" s="1"/>
  <c r="FJ13" i="17"/>
  <c r="FJ11" i="17"/>
  <c r="FJ9" i="17"/>
  <c r="FJ12" i="17"/>
  <c r="FJ50" i="17"/>
  <c r="FJ59" i="17"/>
  <c r="FJ55" i="17"/>
  <c r="FJ46" i="17"/>
  <c r="FJ47" i="17"/>
  <c r="FJ56" i="17"/>
  <c r="FJ48" i="17"/>
  <c r="FJ57" i="17"/>
  <c r="FJ58" i="17"/>
  <c r="FJ49" i="17"/>
  <c r="CF38" i="17"/>
  <c r="CF41" i="17"/>
  <c r="CF40" i="17"/>
  <c r="CF39" i="17"/>
  <c r="CF37" i="17"/>
  <c r="FI331" i="31"/>
  <c r="FK24" i="31"/>
  <c r="FJ23" i="31"/>
  <c r="CG28" i="17"/>
  <c r="CG32" i="17"/>
  <c r="CG29" i="17"/>
  <c r="CE33" i="17"/>
  <c r="CG30" i="17"/>
  <c r="CG31" i="17"/>
  <c r="FI60" i="17"/>
  <c r="FH26" i="19" s="1"/>
  <c r="CE42" i="17"/>
  <c r="FI16" i="17"/>
  <c r="FI23" i="17"/>
  <c r="FI24" i="17" s="1"/>
  <c r="FI51" i="17"/>
  <c r="FJ4" i="17"/>
  <c r="FK1" i="17"/>
  <c r="FK10" i="17" s="1"/>
  <c r="FJ18" i="17"/>
  <c r="FJ19" i="17"/>
  <c r="FJ20" i="17"/>
  <c r="FJ21" i="17"/>
  <c r="FJ22" i="17"/>
  <c r="BK27" i="30" l="1"/>
  <c r="BK28" i="30" s="1"/>
  <c r="FG332" i="31"/>
  <c r="FF25" i="30"/>
  <c r="FF26" i="30" s="1"/>
  <c r="BJ29" i="30"/>
  <c r="FK12" i="17"/>
  <c r="FK9" i="17"/>
  <c r="FK13" i="17"/>
  <c r="FK11" i="17"/>
  <c r="FK50" i="17"/>
  <c r="FK59" i="17"/>
  <c r="FK55" i="17"/>
  <c r="FK46" i="17"/>
  <c r="FK47" i="17"/>
  <c r="FK56" i="17"/>
  <c r="FK57" i="17"/>
  <c r="FK48" i="17"/>
  <c r="FK58" i="17"/>
  <c r="FK49" i="17"/>
  <c r="CG41" i="17"/>
  <c r="CG40" i="17"/>
  <c r="CG39" i="17"/>
  <c r="CG38" i="17"/>
  <c r="CG37" i="17"/>
  <c r="FJ331" i="31"/>
  <c r="FK23" i="31"/>
  <c r="FL24" i="31"/>
  <c r="CH28" i="17"/>
  <c r="CF33" i="17"/>
  <c r="CH31" i="17"/>
  <c r="CH29" i="17"/>
  <c r="CH30" i="17"/>
  <c r="CH32" i="17"/>
  <c r="FJ51" i="17"/>
  <c r="CF42" i="17"/>
  <c r="FJ16" i="17"/>
  <c r="FJ23" i="17"/>
  <c r="FJ24" i="17" s="1"/>
  <c r="FJ60" i="17"/>
  <c r="FI26" i="19" s="1"/>
  <c r="BE26" i="41" s="1"/>
  <c r="FK4" i="17"/>
  <c r="FL1" i="17"/>
  <c r="FL10" i="17" s="1"/>
  <c r="FK20" i="17"/>
  <c r="FK18" i="17"/>
  <c r="FK22" i="17"/>
  <c r="FK19" i="17"/>
  <c r="FK21" i="17"/>
  <c r="BK29" i="30" l="1"/>
  <c r="BL27" i="30"/>
  <c r="BL28" i="30" s="1"/>
  <c r="FH332" i="31"/>
  <c r="FG25" i="30"/>
  <c r="FG26" i="30" s="1"/>
  <c r="BL29" i="30"/>
  <c r="FL11" i="17"/>
  <c r="FL13" i="17"/>
  <c r="FL9" i="17"/>
  <c r="FL12" i="17"/>
  <c r="FL59" i="17"/>
  <c r="FL50" i="17"/>
  <c r="FL46" i="17"/>
  <c r="FL55" i="17"/>
  <c r="FL56" i="17"/>
  <c r="FL47" i="17"/>
  <c r="FL57" i="17"/>
  <c r="FL48" i="17"/>
  <c r="FL49" i="17"/>
  <c r="FL58" i="17"/>
  <c r="CH41" i="17"/>
  <c r="CH40" i="17"/>
  <c r="CH39" i="17"/>
  <c r="CH38" i="17"/>
  <c r="CH37" i="17"/>
  <c r="FK331" i="31"/>
  <c r="FM24" i="31"/>
  <c r="FL23" i="31"/>
  <c r="CI28" i="17"/>
  <c r="CG33" i="17"/>
  <c r="CI29" i="17"/>
  <c r="CI32" i="17"/>
  <c r="CI31" i="17"/>
  <c r="CI30" i="17"/>
  <c r="CG42" i="17"/>
  <c r="FK51" i="17"/>
  <c r="FL4" i="17"/>
  <c r="FM1" i="17"/>
  <c r="FM10" i="17" s="1"/>
  <c r="FL21" i="17"/>
  <c r="FL22" i="17"/>
  <c r="FL18" i="17"/>
  <c r="FL19" i="17"/>
  <c r="FL20" i="17"/>
  <c r="FK16" i="17"/>
  <c r="FK23" i="17"/>
  <c r="FK24" i="17" s="1"/>
  <c r="FK60" i="17"/>
  <c r="FJ26" i="19" s="1"/>
  <c r="BE47" i="41"/>
  <c r="BM27" i="30" l="1"/>
  <c r="BM28" i="30" s="1"/>
  <c r="FI332" i="31"/>
  <c r="FH25" i="30"/>
  <c r="FH26" i="30" s="1"/>
  <c r="FM13" i="17"/>
  <c r="FM12" i="17"/>
  <c r="FM9" i="17"/>
  <c r="FM11" i="17"/>
  <c r="FM50" i="17"/>
  <c r="FM59" i="17"/>
  <c r="FM55" i="17"/>
  <c r="FM46" i="17"/>
  <c r="FM47" i="17"/>
  <c r="FM56" i="17"/>
  <c r="FM48" i="17"/>
  <c r="FM57" i="17"/>
  <c r="FM49" i="17"/>
  <c r="FM58" i="17"/>
  <c r="CI41" i="17"/>
  <c r="CI40" i="17"/>
  <c r="CI39" i="17"/>
  <c r="CI38" i="17"/>
  <c r="CI37" i="17"/>
  <c r="FL331" i="31"/>
  <c r="FN24" i="31"/>
  <c r="FM23" i="31"/>
  <c r="CJ28" i="17"/>
  <c r="CJ31" i="17"/>
  <c r="CJ32" i="17"/>
  <c r="CJ30" i="17"/>
  <c r="CH33" i="17"/>
  <c r="CJ29" i="17"/>
  <c r="FL60" i="17"/>
  <c r="FK26" i="19" s="1"/>
  <c r="FL16" i="17"/>
  <c r="FL23" i="17"/>
  <c r="FL24" i="17" s="1"/>
  <c r="CH42" i="17"/>
  <c r="FL51" i="17"/>
  <c r="FN1" i="17"/>
  <c r="FN10" i="17" s="1"/>
  <c r="FM4" i="17"/>
  <c r="FM21" i="17"/>
  <c r="FM19" i="17"/>
  <c r="FM20" i="17"/>
  <c r="FM22" i="17"/>
  <c r="FM18" i="17"/>
  <c r="BN27" i="30" l="1"/>
  <c r="FJ332" i="31"/>
  <c r="FI25" i="30"/>
  <c r="FI26" i="30" s="1"/>
  <c r="BM29" i="30"/>
  <c r="FN11" i="17"/>
  <c r="FN9" i="17"/>
  <c r="FN13" i="17"/>
  <c r="FN12" i="17"/>
  <c r="FN50" i="17"/>
  <c r="FN59" i="17"/>
  <c r="FN55" i="17"/>
  <c r="FN46" i="17"/>
  <c r="FN47" i="17"/>
  <c r="FN56" i="17"/>
  <c r="FN57" i="17"/>
  <c r="FN48" i="17"/>
  <c r="FN58" i="17"/>
  <c r="FN49" i="17"/>
  <c r="CJ41" i="17"/>
  <c r="CJ40" i="17"/>
  <c r="CJ39" i="17"/>
  <c r="CJ38" i="17"/>
  <c r="CJ37" i="17"/>
  <c r="FM331" i="31"/>
  <c r="FO24" i="31"/>
  <c r="FN23" i="31"/>
  <c r="CK28" i="17"/>
  <c r="CI33" i="17"/>
  <c r="CK29" i="17"/>
  <c r="CK32" i="17"/>
  <c r="CK30" i="17"/>
  <c r="CK31" i="17"/>
  <c r="FO1" i="17"/>
  <c r="FO10" i="17" s="1"/>
  <c r="FN4" i="17"/>
  <c r="FN18" i="17"/>
  <c r="FN19" i="17"/>
  <c r="FN20" i="17"/>
  <c r="FN21" i="17"/>
  <c r="FN22" i="17"/>
  <c r="CI42" i="17"/>
  <c r="FM51" i="17"/>
  <c r="FM23" i="17"/>
  <c r="FM24" i="17" s="1"/>
  <c r="FM16" i="17"/>
  <c r="FM60" i="17"/>
  <c r="FL26" i="19" s="1"/>
  <c r="BF26" i="41" s="1"/>
  <c r="BN29" i="30" l="1"/>
  <c r="BN28" i="30"/>
  <c r="FK332" i="31"/>
  <c r="FJ25" i="30"/>
  <c r="FJ26" i="30" s="1"/>
  <c r="BO27" i="30"/>
  <c r="BO28" i="30" s="1"/>
  <c r="FO12" i="17"/>
  <c r="FO13" i="17"/>
  <c r="FO9" i="17"/>
  <c r="FO11" i="17"/>
  <c r="FO50" i="17"/>
  <c r="FO59" i="17"/>
  <c r="FO46" i="17"/>
  <c r="FO55" i="17"/>
  <c r="FO47" i="17"/>
  <c r="FO56" i="17"/>
  <c r="FO48" i="17"/>
  <c r="FO57" i="17"/>
  <c r="FO58" i="17"/>
  <c r="FO49" i="17"/>
  <c r="CK41" i="17"/>
  <c r="CK40" i="17"/>
  <c r="CK39" i="17"/>
  <c r="CK38" i="17"/>
  <c r="CK37" i="17"/>
  <c r="FN331" i="31"/>
  <c r="FO23" i="31"/>
  <c r="FP24" i="31"/>
  <c r="CL28" i="17"/>
  <c r="CL31" i="17"/>
  <c r="CL32" i="17"/>
  <c r="CJ33" i="17"/>
  <c r="CL29" i="17"/>
  <c r="CL30" i="17"/>
  <c r="FN23" i="17"/>
  <c r="FN24" i="17" s="1"/>
  <c r="FN16" i="17"/>
  <c r="BF47" i="41"/>
  <c r="CJ42" i="17"/>
  <c r="FN60" i="17"/>
  <c r="FM26" i="19" s="1"/>
  <c r="FN51" i="17"/>
  <c r="FP1" i="17"/>
  <c r="FP10" i="17" s="1"/>
  <c r="FO4" i="17"/>
  <c r="FO18" i="17"/>
  <c r="FO22" i="17"/>
  <c r="FO20" i="17"/>
  <c r="FO19" i="17"/>
  <c r="FO21" i="17"/>
  <c r="BP27" i="30" l="1"/>
  <c r="BP28" i="30" s="1"/>
  <c r="BO29" i="30"/>
  <c r="FL332" i="31"/>
  <c r="FK25" i="30"/>
  <c r="FK26" i="30" s="1"/>
  <c r="FP11" i="17"/>
  <c r="FP9" i="17"/>
  <c r="FP13" i="17"/>
  <c r="FP12" i="17"/>
  <c r="CL39" i="17"/>
  <c r="FP50" i="17"/>
  <c r="FP59" i="17"/>
  <c r="FP55" i="17"/>
  <c r="FP46" i="17"/>
  <c r="FP47" i="17"/>
  <c r="FP56" i="17"/>
  <c r="FP48" i="17"/>
  <c r="FP57" i="17"/>
  <c r="FP49" i="17"/>
  <c r="FP58" i="17"/>
  <c r="CL41" i="17"/>
  <c r="CL40" i="17"/>
  <c r="CL38" i="17"/>
  <c r="CL37" i="17"/>
  <c r="FO331" i="31"/>
  <c r="FP23" i="31"/>
  <c r="FQ24" i="31"/>
  <c r="CM28" i="17"/>
  <c r="CM32" i="17"/>
  <c r="CM30" i="17"/>
  <c r="CM31" i="17"/>
  <c r="CM29" i="17"/>
  <c r="CK33" i="17"/>
  <c r="FO51" i="17"/>
  <c r="FQ1" i="17"/>
  <c r="FQ10" i="17" s="1"/>
  <c r="FP4" i="17"/>
  <c r="FP18" i="17"/>
  <c r="FP19" i="17"/>
  <c r="FP20" i="17"/>
  <c r="FP21" i="17"/>
  <c r="FP22" i="17"/>
  <c r="FO60" i="17"/>
  <c r="FN26" i="19" s="1"/>
  <c r="FO23" i="17"/>
  <c r="FO24" i="17" s="1"/>
  <c r="FO16" i="17"/>
  <c r="CK42" i="17"/>
  <c r="BP29" i="30" l="1"/>
  <c r="BQ27" i="30"/>
  <c r="BQ28" i="30" s="1"/>
  <c r="FM332" i="31"/>
  <c r="FL25" i="30"/>
  <c r="FL26" i="30" s="1"/>
  <c r="FQ12" i="17"/>
  <c r="FQ13" i="17"/>
  <c r="FQ9" i="17"/>
  <c r="FQ11" i="17"/>
  <c r="FQ50" i="17"/>
  <c r="FQ59" i="17"/>
  <c r="FQ55" i="17"/>
  <c r="FQ46" i="17"/>
  <c r="FQ47" i="17"/>
  <c r="FQ56" i="17"/>
  <c r="FQ57" i="17"/>
  <c r="FQ48" i="17"/>
  <c r="FQ58" i="17"/>
  <c r="FQ49" i="17"/>
  <c r="CM41" i="17"/>
  <c r="CM40" i="17"/>
  <c r="CM39" i="17"/>
  <c r="CM38" i="17"/>
  <c r="CM37" i="17"/>
  <c r="FP331" i="31"/>
  <c r="FQ23" i="31"/>
  <c r="FR24" i="31"/>
  <c r="CN28" i="17"/>
  <c r="CN31" i="17"/>
  <c r="CN30" i="17"/>
  <c r="CN29" i="17"/>
  <c r="CL33" i="17"/>
  <c r="CN32" i="17"/>
  <c r="FP16" i="17"/>
  <c r="FP23" i="17"/>
  <c r="FP24" i="17" s="1"/>
  <c r="FP60" i="17"/>
  <c r="FO26" i="19" s="1"/>
  <c r="CL42" i="17"/>
  <c r="FR1" i="17"/>
  <c r="FR10" i="17" s="1"/>
  <c r="FQ4" i="17"/>
  <c r="FQ19" i="17"/>
  <c r="FQ21" i="17"/>
  <c r="FQ18" i="17"/>
  <c r="FQ20" i="17"/>
  <c r="FQ22" i="17"/>
  <c r="FP51" i="17"/>
  <c r="BR27" i="30" l="1"/>
  <c r="FN332" i="31"/>
  <c r="FM25" i="30"/>
  <c r="FM26" i="30" s="1"/>
  <c r="BQ29" i="30"/>
  <c r="FR11" i="17"/>
  <c r="FR9" i="17"/>
  <c r="FR13" i="17"/>
  <c r="FR12" i="17"/>
  <c r="FR50" i="17"/>
  <c r="FR59" i="17"/>
  <c r="FR55" i="17"/>
  <c r="FR46" i="17"/>
  <c r="FR47" i="17"/>
  <c r="FR56" i="17"/>
  <c r="FR57" i="17"/>
  <c r="FR48" i="17"/>
  <c r="FR58" i="17"/>
  <c r="FR49" i="17"/>
  <c r="CN41" i="17"/>
  <c r="CN40" i="17"/>
  <c r="CN39" i="17"/>
  <c r="CN38" i="17"/>
  <c r="CN37" i="17"/>
  <c r="FQ331" i="31"/>
  <c r="FS24" i="31"/>
  <c r="FR23" i="31"/>
  <c r="CO28" i="17"/>
  <c r="CO32" i="17"/>
  <c r="CO30" i="17"/>
  <c r="CM33" i="17"/>
  <c r="CO29" i="17"/>
  <c r="CO31" i="17"/>
  <c r="CM42" i="17"/>
  <c r="BG47" i="41"/>
  <c r="FQ60" i="17"/>
  <c r="FP26" i="19" s="1"/>
  <c r="FQ23" i="17"/>
  <c r="FQ24" i="17" s="1"/>
  <c r="FQ16" i="17"/>
  <c r="FQ51" i="17"/>
  <c r="FR4" i="17"/>
  <c r="FS1" i="17"/>
  <c r="FS10" i="17" s="1"/>
  <c r="FR18" i="17"/>
  <c r="FR19" i="17"/>
  <c r="FR20" i="17"/>
  <c r="FR21" i="17"/>
  <c r="FR22" i="17"/>
  <c r="BR29" i="30" l="1"/>
  <c r="BR28" i="30"/>
  <c r="FO332" i="31"/>
  <c r="FN25" i="30"/>
  <c r="FN26" i="30" s="1"/>
  <c r="BS27" i="30"/>
  <c r="BS28" i="30" s="1"/>
  <c r="FS12" i="17"/>
  <c r="FS13" i="17"/>
  <c r="FS9" i="17"/>
  <c r="FS11" i="17"/>
  <c r="FS59" i="17"/>
  <c r="FS50" i="17"/>
  <c r="FS55" i="17"/>
  <c r="FS46" i="17"/>
  <c r="FS56" i="17"/>
  <c r="FS47" i="17"/>
  <c r="FS48" i="17"/>
  <c r="FS57" i="17"/>
  <c r="FS49" i="17"/>
  <c r="FS58" i="17"/>
  <c r="CO41" i="17"/>
  <c r="CO40" i="17"/>
  <c r="CO39" i="17"/>
  <c r="CO38" i="17"/>
  <c r="CO37" i="17"/>
  <c r="FR331" i="31"/>
  <c r="FS23" i="31"/>
  <c r="FT24" i="31"/>
  <c r="CP28" i="17"/>
  <c r="CP31" i="17"/>
  <c r="CP30" i="17"/>
  <c r="CN33" i="17"/>
  <c r="CP32" i="17"/>
  <c r="CP29" i="17"/>
  <c r="FR60" i="17"/>
  <c r="FQ26" i="19" s="1"/>
  <c r="FS4" i="17"/>
  <c r="FT1" i="17"/>
  <c r="FT10" i="17" s="1"/>
  <c r="FS20" i="17"/>
  <c r="FS18" i="17"/>
  <c r="FS22" i="17"/>
  <c r="FS19" i="17"/>
  <c r="FS21" i="17"/>
  <c r="FR16" i="17"/>
  <c r="FR23" i="17"/>
  <c r="FR24" i="17" s="1"/>
  <c r="FR51" i="17"/>
  <c r="CN42" i="17"/>
  <c r="BS29" i="30" l="1"/>
  <c r="BT27" i="30"/>
  <c r="BT28" i="30" s="1"/>
  <c r="FP332" i="31"/>
  <c r="FO25" i="30"/>
  <c r="FO26" i="30" s="1"/>
  <c r="U13" i="22"/>
  <c r="U14" i="22" s="1"/>
  <c r="R13" i="22"/>
  <c r="R14" i="22" s="1"/>
  <c r="X13" i="22"/>
  <c r="X14" i="22" s="1"/>
  <c r="W13" i="22"/>
  <c r="W14" i="22" s="1"/>
  <c r="Z13" i="22"/>
  <c r="Z14" i="22" s="1"/>
  <c r="Y13" i="22"/>
  <c r="Y14" i="22" s="1"/>
  <c r="V13" i="22"/>
  <c r="V14" i="22" s="1"/>
  <c r="T13" i="22"/>
  <c r="T14" i="22" s="1"/>
  <c r="FT11" i="17"/>
  <c r="FT9" i="17"/>
  <c r="FT13" i="17"/>
  <c r="FT12" i="17"/>
  <c r="CP38" i="17"/>
  <c r="FT50" i="17"/>
  <c r="FT59" i="17"/>
  <c r="FT46" i="17"/>
  <c r="FT55" i="17"/>
  <c r="FT56" i="17"/>
  <c r="FT47" i="17"/>
  <c r="FT48" i="17"/>
  <c r="FT57" i="17"/>
  <c r="FT49" i="17"/>
  <c r="FT58" i="17"/>
  <c r="CP41" i="17"/>
  <c r="CP40" i="17"/>
  <c r="CP39" i="17"/>
  <c r="CP37" i="17"/>
  <c r="FS331" i="31"/>
  <c r="FT23" i="31"/>
  <c r="FU24" i="31"/>
  <c r="CQ28" i="17"/>
  <c r="CO33" i="17"/>
  <c r="CQ29" i="17"/>
  <c r="CQ30" i="17"/>
  <c r="CQ31" i="17"/>
  <c r="CQ32" i="17"/>
  <c r="H13" i="22"/>
  <c r="H14" i="22" s="1"/>
  <c r="Q13" i="22"/>
  <c r="Q14" i="22" s="1"/>
  <c r="I13" i="22"/>
  <c r="I14" i="22" s="1"/>
  <c r="M13" i="22"/>
  <c r="M14" i="22" s="1"/>
  <c r="F13" i="22"/>
  <c r="F14" i="22" s="1"/>
  <c r="L13" i="22"/>
  <c r="L14" i="22" s="1"/>
  <c r="O13" i="22"/>
  <c r="O14" i="22" s="1"/>
  <c r="K13" i="22"/>
  <c r="K14" i="22" s="1"/>
  <c r="E13" i="22"/>
  <c r="E14" i="22" s="1"/>
  <c r="G13" i="22"/>
  <c r="G14" i="22" s="1"/>
  <c r="P13" i="22"/>
  <c r="P14" i="22" s="1"/>
  <c r="D13" i="22"/>
  <c r="D14" i="22" s="1"/>
  <c r="D15" i="22" s="1"/>
  <c r="J13" i="22"/>
  <c r="J14" i="22" s="1"/>
  <c r="N13" i="22"/>
  <c r="N14" i="22" s="1"/>
  <c r="CO42" i="17"/>
  <c r="FS51" i="17"/>
  <c r="FS16" i="17"/>
  <c r="FS23" i="17"/>
  <c r="FS24" i="17" s="1"/>
  <c r="S13" i="22" s="1"/>
  <c r="S14" i="22" s="1"/>
  <c r="FU1" i="17"/>
  <c r="FU10" i="17" s="1"/>
  <c r="FT18" i="17"/>
  <c r="FT19" i="17"/>
  <c r="FT20" i="17"/>
  <c r="FT21" i="17"/>
  <c r="FT22" i="17"/>
  <c r="FS60" i="17"/>
  <c r="FR26" i="19" s="1"/>
  <c r="BH26" i="41" s="1"/>
  <c r="FQ332" i="31" l="1"/>
  <c r="FP25" i="30"/>
  <c r="FP26" i="30" s="1"/>
  <c r="BT29" i="30"/>
  <c r="BU27" i="30"/>
  <c r="BU28" i="30" s="1"/>
  <c r="FU12" i="17"/>
  <c r="FU13" i="17"/>
  <c r="FU9" i="17"/>
  <c r="FU11" i="17"/>
  <c r="FU50" i="17"/>
  <c r="FU59" i="17"/>
  <c r="FU46" i="17"/>
  <c r="FU55" i="17"/>
  <c r="FU47" i="17"/>
  <c r="FU56" i="17"/>
  <c r="FU57" i="17"/>
  <c r="FU48" i="17"/>
  <c r="FU49" i="17"/>
  <c r="FU58" i="17"/>
  <c r="CQ40" i="17"/>
  <c r="CQ41" i="17"/>
  <c r="CQ39" i="17"/>
  <c r="CQ38" i="17"/>
  <c r="CQ37" i="17"/>
  <c r="FT331" i="31"/>
  <c r="FU23" i="31"/>
  <c r="FV24" i="31"/>
  <c r="CR28" i="17"/>
  <c r="CR31" i="17"/>
  <c r="CR30" i="17"/>
  <c r="CR32" i="17"/>
  <c r="CR29" i="17"/>
  <c r="CP33" i="17"/>
  <c r="FT51" i="17"/>
  <c r="BH47" i="41"/>
  <c r="FT16" i="17"/>
  <c r="FT23" i="17"/>
  <c r="FT24" i="17" s="1"/>
  <c r="FT60" i="17"/>
  <c r="FS26" i="19" s="1"/>
  <c r="CP42" i="17"/>
  <c r="E15" i="22"/>
  <c r="D16" i="22"/>
  <c r="FV1" i="17"/>
  <c r="FV10" i="17" s="1"/>
  <c r="FU21" i="17"/>
  <c r="FU19" i="17"/>
  <c r="FU18" i="17"/>
  <c r="FU20" i="17"/>
  <c r="FU22" i="17"/>
  <c r="BV27" i="30" l="1"/>
  <c r="BV28" i="30" s="1"/>
  <c r="BU29" i="30"/>
  <c r="FR332" i="31"/>
  <c r="FQ25" i="30"/>
  <c r="FQ26" i="30" s="1"/>
  <c r="FV11" i="17"/>
  <c r="FV9" i="17"/>
  <c r="FV13" i="17"/>
  <c r="FV12" i="17"/>
  <c r="FV50" i="17"/>
  <c r="FV59" i="17"/>
  <c r="FV55" i="17"/>
  <c r="FV46" i="17"/>
  <c r="FV47" i="17"/>
  <c r="FV56" i="17"/>
  <c r="FV48" i="17"/>
  <c r="FV57" i="17"/>
  <c r="FV58" i="17"/>
  <c r="FV49" i="17"/>
  <c r="CR41" i="17"/>
  <c r="CR40" i="17"/>
  <c r="CR39" i="17"/>
  <c r="CR38" i="17"/>
  <c r="CR37" i="17"/>
  <c r="FU331" i="31"/>
  <c r="FV23" i="31"/>
  <c r="FW24" i="31"/>
  <c r="CS28" i="17"/>
  <c r="CS32" i="17"/>
  <c r="CS30" i="17"/>
  <c r="CQ33" i="17"/>
  <c r="CS29" i="17"/>
  <c r="CS31" i="17"/>
  <c r="FU60" i="17"/>
  <c r="FT26" i="19" s="1"/>
  <c r="F15" i="22"/>
  <c r="E16" i="22"/>
  <c r="FU23" i="17"/>
  <c r="FU24" i="17" s="1"/>
  <c r="FU16" i="17"/>
  <c r="CQ42" i="17"/>
  <c r="FU51" i="17"/>
  <c r="FW1" i="17"/>
  <c r="FW10" i="17" s="1"/>
  <c r="FV22" i="17"/>
  <c r="FV18" i="17"/>
  <c r="FV19" i="17"/>
  <c r="FV20" i="17"/>
  <c r="FV21" i="17"/>
  <c r="BV29" i="30" l="1"/>
  <c r="FS332" i="31"/>
  <c r="FR25" i="30"/>
  <c r="FR26" i="30" s="1"/>
  <c r="BW27" i="30"/>
  <c r="BW28" i="30" s="1"/>
  <c r="FW11" i="17"/>
  <c r="FW12" i="17"/>
  <c r="FW13" i="17"/>
  <c r="FW9" i="17"/>
  <c r="FW50" i="17"/>
  <c r="FW59" i="17"/>
  <c r="FW46" i="17"/>
  <c r="FW55" i="17"/>
  <c r="FW56" i="17"/>
  <c r="FW47" i="17"/>
  <c r="FW48" i="17"/>
  <c r="FW57" i="17"/>
  <c r="FW49" i="17"/>
  <c r="FW58" i="17"/>
  <c r="CS41" i="17"/>
  <c r="CS40" i="17"/>
  <c r="CS39" i="17"/>
  <c r="CS38" i="17"/>
  <c r="CS37" i="17"/>
  <c r="FV331" i="31"/>
  <c r="FW23" i="31"/>
  <c r="FX24" i="31"/>
  <c r="CT28" i="17"/>
  <c r="CT30" i="17"/>
  <c r="CT31" i="17"/>
  <c r="CT29" i="17"/>
  <c r="CR33" i="17"/>
  <c r="CT32" i="17"/>
  <c r="G15" i="22"/>
  <c r="F16" i="22"/>
  <c r="FV23" i="17"/>
  <c r="FV24" i="17" s="1"/>
  <c r="FV16" i="17"/>
  <c r="CR42" i="17"/>
  <c r="FV60" i="17"/>
  <c r="FU26" i="19" s="1"/>
  <c r="BI26" i="41" s="1"/>
  <c r="FV51" i="17"/>
  <c r="FX1" i="17"/>
  <c r="FX10" i="17" s="1"/>
  <c r="FW18" i="17"/>
  <c r="FW22" i="17"/>
  <c r="FW20" i="17"/>
  <c r="FW21" i="17"/>
  <c r="FW19" i="17"/>
  <c r="BW29" i="30" l="1"/>
  <c r="BX27" i="30"/>
  <c r="BX28" i="30" s="1"/>
  <c r="FT332" i="31"/>
  <c r="FS25" i="30"/>
  <c r="FS26" i="30" s="1"/>
  <c r="FX9" i="17"/>
  <c r="FX13" i="17"/>
  <c r="FX12" i="17"/>
  <c r="FX11" i="17"/>
  <c r="FX50" i="17"/>
  <c r="FX59" i="17"/>
  <c r="FX55" i="17"/>
  <c r="FX46" i="17"/>
  <c r="FX47" i="17"/>
  <c r="FX56" i="17"/>
  <c r="FX48" i="17"/>
  <c r="FX57" i="17"/>
  <c r="FX58" i="17"/>
  <c r="FX49" i="17"/>
  <c r="CT41" i="17"/>
  <c r="CT40" i="17"/>
  <c r="CT39" i="17"/>
  <c r="CT38" i="17"/>
  <c r="CT37" i="17"/>
  <c r="FW331" i="31"/>
  <c r="FX23" i="31"/>
  <c r="FY24" i="31"/>
  <c r="CU28" i="17"/>
  <c r="CU32" i="17"/>
  <c r="CU31" i="17"/>
  <c r="CS33" i="17"/>
  <c r="CU29" i="17"/>
  <c r="CU30" i="17"/>
  <c r="BI47" i="41"/>
  <c r="FW23" i="17"/>
  <c r="FW24" i="17" s="1"/>
  <c r="FW16" i="17"/>
  <c r="FW60" i="17"/>
  <c r="FV26" i="19" s="1"/>
  <c r="CS42" i="17"/>
  <c r="FW51" i="17"/>
  <c r="FY1" i="17"/>
  <c r="FY10" i="17" s="1"/>
  <c r="FX19" i="17"/>
  <c r="FX20" i="17"/>
  <c r="FX21" i="17"/>
  <c r="FX22" i="17"/>
  <c r="FX18" i="17"/>
  <c r="G16" i="22"/>
  <c r="H15" i="22"/>
  <c r="FU332" i="31" l="1"/>
  <c r="FT25" i="30"/>
  <c r="FT26" i="30" s="1"/>
  <c r="BY27" i="30"/>
  <c r="BY28" i="30" s="1"/>
  <c r="BX29" i="30"/>
  <c r="FY11" i="17"/>
  <c r="FY12" i="17"/>
  <c r="FY13" i="17"/>
  <c r="FY9" i="17"/>
  <c r="FY50" i="17"/>
  <c r="FY59" i="17"/>
  <c r="FY55" i="17"/>
  <c r="FY46" i="17"/>
  <c r="FY47" i="17"/>
  <c r="FY56" i="17"/>
  <c r="FY57" i="17"/>
  <c r="FY48" i="17"/>
  <c r="FY58" i="17"/>
  <c r="FY49" i="17"/>
  <c r="CU41" i="17"/>
  <c r="CU40" i="17"/>
  <c r="CU39" i="17"/>
  <c r="CU38" i="17"/>
  <c r="CU37" i="17"/>
  <c r="FX331" i="31"/>
  <c r="FZ24" i="31"/>
  <c r="FY23" i="31"/>
  <c r="CV28" i="17"/>
  <c r="CV30" i="17"/>
  <c r="CV31" i="17"/>
  <c r="CT33" i="17"/>
  <c r="CV29" i="17"/>
  <c r="CV32" i="17"/>
  <c r="FX60" i="17"/>
  <c r="FW26" i="19" s="1"/>
  <c r="CT42" i="17"/>
  <c r="H16" i="22"/>
  <c r="I15" i="22"/>
  <c r="FZ1" i="17"/>
  <c r="FZ10" i="17" s="1"/>
  <c r="FY19" i="17"/>
  <c r="FY21" i="17"/>
  <c r="FY18" i="17"/>
  <c r="FY20" i="17"/>
  <c r="FY22" i="17"/>
  <c r="FX51" i="17"/>
  <c r="FX16" i="17"/>
  <c r="FX23" i="17"/>
  <c r="FX24" i="17" s="1"/>
  <c r="BY29" i="30" l="1"/>
  <c r="BZ27" i="30"/>
  <c r="BZ28" i="30" s="1"/>
  <c r="FV332" i="31"/>
  <c r="FU25" i="30"/>
  <c r="FU26" i="30" s="1"/>
  <c r="FZ9" i="17"/>
  <c r="FZ11" i="17"/>
  <c r="FZ13" i="17"/>
  <c r="FZ12" i="17"/>
  <c r="FZ59" i="17"/>
  <c r="FZ50" i="17"/>
  <c r="FZ55" i="17"/>
  <c r="FZ46" i="17"/>
  <c r="FZ47" i="17"/>
  <c r="FZ56" i="17"/>
  <c r="FZ48" i="17"/>
  <c r="FZ57" i="17"/>
  <c r="FZ49" i="17"/>
  <c r="FZ58" i="17"/>
  <c r="CV41" i="17"/>
  <c r="CV40" i="17"/>
  <c r="CV39" i="17"/>
  <c r="CV38" i="17"/>
  <c r="CV37" i="17"/>
  <c r="FY331" i="31"/>
  <c r="FZ23" i="31"/>
  <c r="GA24" i="31"/>
  <c r="CW28" i="17"/>
  <c r="CU33" i="17"/>
  <c r="CW32" i="17"/>
  <c r="CW31" i="17"/>
  <c r="CW29" i="17"/>
  <c r="CW30" i="17"/>
  <c r="FY51" i="17"/>
  <c r="FY23" i="17"/>
  <c r="FY24" i="17" s="1"/>
  <c r="FY16" i="17"/>
  <c r="I16" i="22"/>
  <c r="J15" i="22"/>
  <c r="FY60" i="17"/>
  <c r="FX26" i="19" s="1"/>
  <c r="BJ26" i="41" s="1"/>
  <c r="CU42" i="17"/>
  <c r="GA1" i="17"/>
  <c r="GA10" i="17" s="1"/>
  <c r="FZ18" i="17"/>
  <c r="FZ19" i="17"/>
  <c r="FZ20" i="17"/>
  <c r="FZ21" i="17"/>
  <c r="FZ22" i="17"/>
  <c r="CA27" i="30" l="1"/>
  <c r="CA28" i="30" s="1"/>
  <c r="FW332" i="31"/>
  <c r="FV25" i="30"/>
  <c r="FV26" i="30" s="1"/>
  <c r="BZ29" i="30"/>
  <c r="GA12" i="17"/>
  <c r="GA13" i="17"/>
  <c r="GA11" i="17"/>
  <c r="GA9" i="17"/>
  <c r="GA50" i="17"/>
  <c r="GA59" i="17"/>
  <c r="GA46" i="17"/>
  <c r="GA55" i="17"/>
  <c r="GA56" i="17"/>
  <c r="GA47" i="17"/>
  <c r="GA48" i="17"/>
  <c r="GA57" i="17"/>
  <c r="GA58" i="17"/>
  <c r="GA49" i="17"/>
  <c r="CW41" i="17"/>
  <c r="CW40" i="17"/>
  <c r="CW39" i="17"/>
  <c r="CW38" i="17"/>
  <c r="CW37" i="17"/>
  <c r="FZ331" i="31"/>
  <c r="GB24" i="31"/>
  <c r="GA23" i="31"/>
  <c r="CX28" i="17"/>
  <c r="CX30" i="17"/>
  <c r="CX31" i="17"/>
  <c r="CX29" i="17"/>
  <c r="CV33" i="17"/>
  <c r="CX32" i="17"/>
  <c r="GB1" i="17"/>
  <c r="GB10" i="17" s="1"/>
  <c r="GA20" i="17"/>
  <c r="GA18" i="17"/>
  <c r="GA22" i="17"/>
  <c r="GA19" i="17"/>
  <c r="GA21" i="17"/>
  <c r="FZ23" i="17"/>
  <c r="FZ24" i="17" s="1"/>
  <c r="FZ16" i="17"/>
  <c r="BJ47" i="41"/>
  <c r="FZ60" i="17"/>
  <c r="FY26" i="19" s="1"/>
  <c r="CV42" i="17"/>
  <c r="FZ51" i="17"/>
  <c r="J16" i="22"/>
  <c r="K15" i="22"/>
  <c r="CA29" i="30" l="1"/>
  <c r="CB27" i="30"/>
  <c r="CB28" i="30" s="1"/>
  <c r="FX332" i="31"/>
  <c r="FW25" i="30"/>
  <c r="FW26" i="30" s="1"/>
  <c r="GB9" i="17"/>
  <c r="GB11" i="17"/>
  <c r="GB13" i="17"/>
  <c r="GB12" i="17"/>
  <c r="GB50" i="17"/>
  <c r="GB59" i="17"/>
  <c r="GB46" i="17"/>
  <c r="GB55" i="17"/>
  <c r="GB56" i="17"/>
  <c r="GB47" i="17"/>
  <c r="GB57" i="17"/>
  <c r="GB48" i="17"/>
  <c r="GB58" i="17"/>
  <c r="GB49" i="17"/>
  <c r="CX41" i="17"/>
  <c r="CX40" i="17"/>
  <c r="CX39" i="17"/>
  <c r="CX38" i="17"/>
  <c r="CX37" i="17"/>
  <c r="GA331" i="31"/>
  <c r="FX47" i="19"/>
  <c r="GC24" i="31"/>
  <c r="GB23" i="31"/>
  <c r="CY28" i="17"/>
  <c r="CW33" i="17"/>
  <c r="CY32" i="17"/>
  <c r="CY31" i="17"/>
  <c r="CY30" i="17"/>
  <c r="CY29" i="17"/>
  <c r="CW42" i="17"/>
  <c r="K16" i="22"/>
  <c r="L15" i="22"/>
  <c r="GA51" i="17"/>
  <c r="GC1" i="17"/>
  <c r="GC10" i="17" s="1"/>
  <c r="GB18" i="17"/>
  <c r="GB19" i="17"/>
  <c r="GB20" i="17"/>
  <c r="GB21" i="17"/>
  <c r="GB22" i="17"/>
  <c r="FX34" i="19"/>
  <c r="GA23" i="17"/>
  <c r="GA24" i="17" s="1"/>
  <c r="GA16" i="17"/>
  <c r="GA60" i="17"/>
  <c r="FZ26" i="19" s="1"/>
  <c r="FY332" i="31" l="1"/>
  <c r="FX25" i="30"/>
  <c r="FX26" i="30" s="1"/>
  <c r="CC27" i="30"/>
  <c r="CC28" i="30" s="1"/>
  <c r="CB29" i="30"/>
  <c r="GC12" i="17"/>
  <c r="GC13" i="17"/>
  <c r="GC11" i="17"/>
  <c r="GC9" i="17"/>
  <c r="GC50" i="17"/>
  <c r="GC59" i="17"/>
  <c r="GC55" i="17"/>
  <c r="GC46" i="17"/>
  <c r="GC47" i="17"/>
  <c r="GC56" i="17"/>
  <c r="GC57" i="17"/>
  <c r="GC48" i="17"/>
  <c r="GC58" i="17"/>
  <c r="GC49" i="17"/>
  <c r="CY41" i="17"/>
  <c r="CY40" i="17"/>
  <c r="CY39" i="17"/>
  <c r="CY38" i="17"/>
  <c r="CY37" i="17"/>
  <c r="GB331" i="31"/>
  <c r="FY47" i="19"/>
  <c r="GC23" i="31"/>
  <c r="GD24" i="31"/>
  <c r="CZ28" i="17"/>
  <c r="CX33" i="17"/>
  <c r="CD27" i="30" s="1"/>
  <c r="CD28" i="30" s="1"/>
  <c r="CZ29" i="17"/>
  <c r="CZ31" i="17"/>
  <c r="CZ32" i="17"/>
  <c r="CZ30" i="17"/>
  <c r="FY34" i="19"/>
  <c r="GD1" i="17"/>
  <c r="GD10" i="17" s="1"/>
  <c r="GC21" i="17"/>
  <c r="GC19" i="17"/>
  <c r="GC18" i="17"/>
  <c r="GC20" i="17"/>
  <c r="GC22" i="17"/>
  <c r="GB51" i="17"/>
  <c r="CX42" i="17"/>
  <c r="M15" i="22"/>
  <c r="L16" i="22"/>
  <c r="GB60" i="17"/>
  <c r="GA26" i="19" s="1"/>
  <c r="GB16" i="17"/>
  <c r="GB23" i="17"/>
  <c r="GB24" i="17" s="1"/>
  <c r="CD29" i="30" l="1"/>
  <c r="CC29" i="30"/>
  <c r="FZ332" i="31"/>
  <c r="FY25" i="30"/>
  <c r="FY26" i="30" s="1"/>
  <c r="GD9" i="17"/>
  <c r="GD11" i="17"/>
  <c r="GD12" i="17"/>
  <c r="GD13" i="17"/>
  <c r="GD50" i="17"/>
  <c r="GD59" i="17"/>
  <c r="GD55" i="17"/>
  <c r="GD46" i="17"/>
  <c r="GD56" i="17"/>
  <c r="GD47" i="17"/>
  <c r="GD57" i="17"/>
  <c r="GD48" i="17"/>
  <c r="GD58" i="17"/>
  <c r="GD49" i="17"/>
  <c r="CZ41" i="17"/>
  <c r="CZ40" i="17"/>
  <c r="CZ39" i="17"/>
  <c r="CZ38" i="17"/>
  <c r="CZ37" i="17"/>
  <c r="GC331" i="31"/>
  <c r="FZ47" i="19"/>
  <c r="GD23" i="31"/>
  <c r="GE24" i="31"/>
  <c r="DA28" i="17"/>
  <c r="DA32" i="17"/>
  <c r="DA31" i="17"/>
  <c r="DA29" i="17"/>
  <c r="DA30" i="17"/>
  <c r="CY33" i="17"/>
  <c r="GC16" i="17"/>
  <c r="GC23" i="17"/>
  <c r="GC24" i="17" s="1"/>
  <c r="N15" i="22"/>
  <c r="M16" i="22"/>
  <c r="BK47" i="41"/>
  <c r="GC51" i="17"/>
  <c r="GC60" i="17"/>
  <c r="GB26" i="19" s="1"/>
  <c r="FZ34" i="19"/>
  <c r="CY42" i="17"/>
  <c r="GE1" i="17"/>
  <c r="GE10" i="17" s="1"/>
  <c r="GD18" i="17"/>
  <c r="GD19" i="17"/>
  <c r="GD20" i="17"/>
  <c r="GD21" i="17"/>
  <c r="GD22" i="17"/>
  <c r="GA332" i="31" l="1"/>
  <c r="FZ25" i="30"/>
  <c r="FZ26" i="30" s="1"/>
  <c r="CE27" i="30"/>
  <c r="CE28" i="30" s="1"/>
  <c r="GE13" i="17"/>
  <c r="GE12" i="17"/>
  <c r="GE11" i="17"/>
  <c r="GE9" i="17"/>
  <c r="GE50" i="17"/>
  <c r="GE59" i="17"/>
  <c r="GE46" i="17"/>
  <c r="GE55" i="17"/>
  <c r="GE47" i="17"/>
  <c r="GE56" i="17"/>
  <c r="GE57" i="17"/>
  <c r="GE48" i="17"/>
  <c r="GE58" i="17"/>
  <c r="GE49" i="17"/>
  <c r="DA38" i="17"/>
  <c r="DA41" i="17"/>
  <c r="DA40" i="17"/>
  <c r="DA39" i="17"/>
  <c r="DA37" i="17"/>
  <c r="GD331" i="31"/>
  <c r="GA47" i="19"/>
  <c r="GE23" i="31"/>
  <c r="GF24" i="31"/>
  <c r="CZ33" i="17"/>
  <c r="DB28" i="17"/>
  <c r="DB30" i="17"/>
  <c r="DB31" i="17"/>
  <c r="DB32" i="17"/>
  <c r="DB29" i="17"/>
  <c r="GD60" i="17"/>
  <c r="GC26" i="19" s="1"/>
  <c r="GD16" i="17"/>
  <c r="GD23" i="17"/>
  <c r="GD24" i="17" s="1"/>
  <c r="CZ42" i="17"/>
  <c r="GA34" i="19"/>
  <c r="GD51" i="17"/>
  <c r="GF1" i="17"/>
  <c r="GF10" i="17" s="1"/>
  <c r="GE18" i="17"/>
  <c r="GE22" i="17"/>
  <c r="GE20" i="17"/>
  <c r="GE19" i="17"/>
  <c r="GE21" i="17"/>
  <c r="O15" i="22"/>
  <c r="N16" i="22"/>
  <c r="CF27" i="30" l="1"/>
  <c r="CE29" i="30"/>
  <c r="GB332" i="31"/>
  <c r="GA25" i="30"/>
  <c r="GA26" i="30" s="1"/>
  <c r="GF9" i="17"/>
  <c r="GF11" i="17"/>
  <c r="GF12" i="17"/>
  <c r="GF13" i="17"/>
  <c r="GF50" i="17"/>
  <c r="GF59" i="17"/>
  <c r="GF46" i="17"/>
  <c r="GF55" i="17"/>
  <c r="GF47" i="17"/>
  <c r="GF56" i="17"/>
  <c r="GF57" i="17"/>
  <c r="GF48" i="17"/>
  <c r="GF49" i="17"/>
  <c r="GF58" i="17"/>
  <c r="DB41" i="17"/>
  <c r="DB40" i="17"/>
  <c r="DB39" i="17"/>
  <c r="DB38" i="17"/>
  <c r="DB37" i="17"/>
  <c r="GE331" i="31"/>
  <c r="GB47" i="19"/>
  <c r="GG24" i="31"/>
  <c r="GF23" i="31"/>
  <c r="DC28" i="17"/>
  <c r="DC31" i="17"/>
  <c r="DA33" i="17"/>
  <c r="DC29" i="17"/>
  <c r="DC32" i="17"/>
  <c r="DC30" i="17"/>
  <c r="GE60" i="17"/>
  <c r="GD26" i="19" s="1"/>
  <c r="GE51" i="17"/>
  <c r="GE16" i="17"/>
  <c r="GE23" i="17"/>
  <c r="GE24" i="17" s="1"/>
  <c r="GG1" i="17"/>
  <c r="GG10" i="17" s="1"/>
  <c r="GF18" i="17"/>
  <c r="GF19" i="17"/>
  <c r="GF20" i="17"/>
  <c r="GF21" i="17"/>
  <c r="GF22" i="17"/>
  <c r="DA42" i="17"/>
  <c r="O16" i="22"/>
  <c r="P15" i="22"/>
  <c r="GB34" i="19"/>
  <c r="CF29" i="30" l="1"/>
  <c r="CF28" i="30"/>
  <c r="GC332" i="31"/>
  <c r="GB25" i="30"/>
  <c r="GB26" i="30" s="1"/>
  <c r="CG27" i="30"/>
  <c r="CG28" i="30" s="1"/>
  <c r="GG13" i="17"/>
  <c r="GG12" i="17"/>
  <c r="GG11" i="17"/>
  <c r="GG9" i="17"/>
  <c r="GG59" i="17"/>
  <c r="GG50" i="17"/>
  <c r="GG46" i="17"/>
  <c r="GG55" i="17"/>
  <c r="GG56" i="17"/>
  <c r="GG47" i="17"/>
  <c r="GG48" i="17"/>
  <c r="GG57" i="17"/>
  <c r="GG49" i="17"/>
  <c r="GG58" i="17"/>
  <c r="DC41" i="17"/>
  <c r="DC40" i="17"/>
  <c r="DC39" i="17"/>
  <c r="DC38" i="17"/>
  <c r="DC37" i="17"/>
  <c r="GF331" i="31"/>
  <c r="GC47" i="19"/>
  <c r="GH24" i="31"/>
  <c r="GG23" i="31"/>
  <c r="DD28" i="17"/>
  <c r="DD29" i="17"/>
  <c r="DD30" i="17"/>
  <c r="DB33" i="17"/>
  <c r="DD32" i="17"/>
  <c r="DD31" i="17"/>
  <c r="GH1" i="17"/>
  <c r="GH10" i="17" s="1"/>
  <c r="GG19" i="17"/>
  <c r="GG21" i="17"/>
  <c r="GG22" i="17"/>
  <c r="GG18" i="17"/>
  <c r="GG20" i="17"/>
  <c r="P16" i="22"/>
  <c r="Q15" i="22"/>
  <c r="GF16" i="17"/>
  <c r="GF23" i="17"/>
  <c r="GF24" i="17" s="1"/>
  <c r="GC34" i="19"/>
  <c r="GF51" i="17"/>
  <c r="BL47" i="41"/>
  <c r="GF60" i="17"/>
  <c r="GE26" i="19" s="1"/>
  <c r="DB42" i="17"/>
  <c r="CG29" i="30" l="1"/>
  <c r="CH27" i="30"/>
  <c r="CH28" i="30" s="1"/>
  <c r="GD332" i="31"/>
  <c r="GC25" i="30"/>
  <c r="GC26" i="30" s="1"/>
  <c r="Q16" i="22"/>
  <c r="R15" i="22"/>
  <c r="GH9" i="17"/>
  <c r="GH11" i="17"/>
  <c r="GH12" i="17"/>
  <c r="GH13" i="17"/>
  <c r="GH50" i="17"/>
  <c r="GH59" i="17"/>
  <c r="GH46" i="17"/>
  <c r="GH55" i="17"/>
  <c r="GH56" i="17"/>
  <c r="GH47" i="17"/>
  <c r="GH57" i="17"/>
  <c r="GH48" i="17"/>
  <c r="GH49" i="17"/>
  <c r="GH58" i="17"/>
  <c r="DD41" i="17"/>
  <c r="DD40" i="17"/>
  <c r="DD39" i="17"/>
  <c r="DD38" i="17"/>
  <c r="DD37" i="17"/>
  <c r="GG331" i="31"/>
  <c r="GD47" i="19"/>
  <c r="GH23" i="31"/>
  <c r="GI24" i="31"/>
  <c r="DE28" i="17"/>
  <c r="DE30" i="17"/>
  <c r="DE31" i="17"/>
  <c r="DE32" i="17"/>
  <c r="DE29" i="17"/>
  <c r="DC33" i="17"/>
  <c r="GG60" i="17"/>
  <c r="GF26" i="19" s="1"/>
  <c r="GG16" i="17"/>
  <c r="GG23" i="17"/>
  <c r="GG24" i="17" s="1"/>
  <c r="GD34" i="19"/>
  <c r="GI1" i="17"/>
  <c r="GI10" i="17" s="1"/>
  <c r="GH20" i="17"/>
  <c r="GH21" i="17"/>
  <c r="GH22" i="17"/>
  <c r="GH18" i="17"/>
  <c r="GH19" i="17"/>
  <c r="DC42" i="17"/>
  <c r="GG51" i="17"/>
  <c r="CI27" i="30" l="1"/>
  <c r="CI28" i="30" s="1"/>
  <c r="GE332" i="31"/>
  <c r="GD25" i="30"/>
  <c r="GD26" i="30" s="1"/>
  <c r="CH29" i="30"/>
  <c r="R16" i="22"/>
  <c r="S15" i="22"/>
  <c r="GI13" i="17"/>
  <c r="GI12" i="17"/>
  <c r="GI11" i="17"/>
  <c r="GI9" i="17"/>
  <c r="GI50" i="17"/>
  <c r="GI59" i="17"/>
  <c r="GI55" i="17"/>
  <c r="GI46" i="17"/>
  <c r="GI47" i="17"/>
  <c r="GI56" i="17"/>
  <c r="GI48" i="17"/>
  <c r="GI57" i="17"/>
  <c r="GI58" i="17"/>
  <c r="GI49" i="17"/>
  <c r="DE41" i="17"/>
  <c r="DE40" i="17"/>
  <c r="DE39" i="17"/>
  <c r="DE38" i="17"/>
  <c r="DE37" i="17"/>
  <c r="GH331" i="31"/>
  <c r="GE47" i="19"/>
  <c r="GI23" i="31"/>
  <c r="GJ24" i="31"/>
  <c r="DF28" i="17"/>
  <c r="DD33" i="17"/>
  <c r="DF32" i="17"/>
  <c r="DF31" i="17"/>
  <c r="DF30" i="17"/>
  <c r="DF29" i="17"/>
  <c r="GJ1" i="17"/>
  <c r="GJ10" i="17" s="1"/>
  <c r="GI20" i="17"/>
  <c r="GI18" i="17"/>
  <c r="GI22" i="17"/>
  <c r="GI19" i="17"/>
  <c r="GI21" i="17"/>
  <c r="GH51" i="17"/>
  <c r="GE34" i="19"/>
  <c r="DD42" i="17"/>
  <c r="GH60" i="17"/>
  <c r="GG26" i="19" s="1"/>
  <c r="BM26" i="41" s="1"/>
  <c r="GH23" i="17"/>
  <c r="GH24" i="17" s="1"/>
  <c r="CJ27" i="30" l="1"/>
  <c r="CJ28" i="30" s="1"/>
  <c r="GF332" i="31"/>
  <c r="GE25" i="30"/>
  <c r="GE26" i="30" s="1"/>
  <c r="CI29" i="30"/>
  <c r="S16" i="22"/>
  <c r="T15" i="22"/>
  <c r="GJ9" i="17"/>
  <c r="GJ13" i="17"/>
  <c r="GJ11" i="17"/>
  <c r="GJ12" i="17"/>
  <c r="GJ50" i="17"/>
  <c r="GJ59" i="17"/>
  <c r="GJ46" i="17"/>
  <c r="GJ55" i="17"/>
  <c r="GJ56" i="17"/>
  <c r="GJ47" i="17"/>
  <c r="GJ57" i="17"/>
  <c r="GJ48" i="17"/>
  <c r="GJ49" i="17"/>
  <c r="GJ58" i="17"/>
  <c r="DF41" i="17"/>
  <c r="DF40" i="17"/>
  <c r="DF39" i="17"/>
  <c r="DF38" i="17"/>
  <c r="DF37" i="17"/>
  <c r="GI331" i="31"/>
  <c r="GF47" i="19"/>
  <c r="GK24" i="31"/>
  <c r="GJ23" i="31"/>
  <c r="DE33" i="17"/>
  <c r="DG28" i="17"/>
  <c r="DG31" i="17"/>
  <c r="DG29" i="17"/>
  <c r="DG30" i="17"/>
  <c r="DG32" i="17"/>
  <c r="GF34" i="19"/>
  <c r="GI23" i="17"/>
  <c r="GI24" i="17" s="1"/>
  <c r="BM47" i="41"/>
  <c r="GI60" i="17"/>
  <c r="GH26" i="19" s="1"/>
  <c r="GK1" i="17"/>
  <c r="GK10" i="17" s="1"/>
  <c r="GJ18" i="17"/>
  <c r="GJ19" i="17"/>
  <c r="GJ20" i="17"/>
  <c r="GJ21" i="17"/>
  <c r="GJ22" i="17"/>
  <c r="DE42" i="17"/>
  <c r="GI51" i="17"/>
  <c r="CK27" i="30" l="1"/>
  <c r="GG332" i="31"/>
  <c r="GF25" i="30"/>
  <c r="GF26" i="30" s="1"/>
  <c r="CJ29" i="30"/>
  <c r="T16" i="22"/>
  <c r="U15" i="22"/>
  <c r="GK12" i="17"/>
  <c r="GK11" i="17"/>
  <c r="GK13" i="17"/>
  <c r="GK9" i="17"/>
  <c r="GK50" i="17"/>
  <c r="GK59" i="17"/>
  <c r="GK46" i="17"/>
  <c r="GK55" i="17"/>
  <c r="GK47" i="17"/>
  <c r="GK56" i="17"/>
  <c r="GK57" i="17"/>
  <c r="GK48" i="17"/>
  <c r="GK58" i="17"/>
  <c r="GK49" i="17"/>
  <c r="DG41" i="17"/>
  <c r="DG40" i="17"/>
  <c r="DG39" i="17"/>
  <c r="DG38" i="17"/>
  <c r="DG37" i="17"/>
  <c r="GJ331" i="31"/>
  <c r="GG47" i="19"/>
  <c r="GL24" i="31"/>
  <c r="GK23" i="31"/>
  <c r="DH28" i="17"/>
  <c r="DH32" i="17"/>
  <c r="DH29" i="17"/>
  <c r="DF33" i="17"/>
  <c r="DH30" i="17"/>
  <c r="DH31" i="17"/>
  <c r="DF42" i="17"/>
  <c r="GJ60" i="17"/>
  <c r="GI26" i="19" s="1"/>
  <c r="GJ23" i="17"/>
  <c r="GJ24" i="17" s="1"/>
  <c r="GL1" i="17"/>
  <c r="GL10" i="17" s="1"/>
  <c r="GK21" i="17"/>
  <c r="GK19" i="17"/>
  <c r="GK18" i="17"/>
  <c r="GK20" i="17"/>
  <c r="GK22" i="17"/>
  <c r="GG34" i="19"/>
  <c r="GJ51" i="17"/>
  <c r="CK29" i="30" l="1"/>
  <c r="CK28" i="30"/>
  <c r="CL27" i="30"/>
  <c r="GH332" i="31"/>
  <c r="GG25" i="30"/>
  <c r="GG26" i="30" s="1"/>
  <c r="V15" i="22"/>
  <c r="U16" i="22"/>
  <c r="GL9" i="17"/>
  <c r="GL13" i="17"/>
  <c r="GL11" i="17"/>
  <c r="GL12" i="17"/>
  <c r="DH39" i="17"/>
  <c r="GL50" i="17"/>
  <c r="GL59" i="17"/>
  <c r="GL46" i="17"/>
  <c r="GL55" i="17"/>
  <c r="GL56" i="17"/>
  <c r="GL47" i="17"/>
  <c r="GL48" i="17"/>
  <c r="GL57" i="17"/>
  <c r="GL58" i="17"/>
  <c r="GL49" i="17"/>
  <c r="DH41" i="17"/>
  <c r="DH40" i="17"/>
  <c r="DH38" i="17"/>
  <c r="DH37" i="17"/>
  <c r="GK331" i="31"/>
  <c r="GH47" i="19"/>
  <c r="GM24" i="31"/>
  <c r="GL23" i="31"/>
  <c r="DI28" i="17"/>
  <c r="DI31" i="17"/>
  <c r="DI29" i="17"/>
  <c r="DG33" i="17"/>
  <c r="DI32" i="17"/>
  <c r="DI30" i="17"/>
  <c r="GM1" i="17"/>
  <c r="GM10" i="17" s="1"/>
  <c r="GL18" i="17"/>
  <c r="GL19" i="17"/>
  <c r="GL20" i="17"/>
  <c r="GL21" i="17"/>
  <c r="GL22" i="17"/>
  <c r="GH34" i="19"/>
  <c r="GK60" i="17"/>
  <c r="GJ26" i="19" s="1"/>
  <c r="BN26" i="41" s="1"/>
  <c r="GK51" i="17"/>
  <c r="GK23" i="17"/>
  <c r="GK24" i="17" s="1"/>
  <c r="DG42" i="17"/>
  <c r="CL29" i="30" l="1"/>
  <c r="CL28" i="30"/>
  <c r="CM27" i="30"/>
  <c r="CM28" i="30" s="1"/>
  <c r="GI332" i="31"/>
  <c r="GH25" i="30"/>
  <c r="GH26" i="30" s="1"/>
  <c r="V16" i="22"/>
  <c r="W15" i="22"/>
  <c r="GM12" i="17"/>
  <c r="GM9" i="17"/>
  <c r="GM11" i="17"/>
  <c r="GM13" i="17"/>
  <c r="GM59" i="17"/>
  <c r="GM50" i="17"/>
  <c r="GM55" i="17"/>
  <c r="GM46" i="17"/>
  <c r="GM47" i="17"/>
  <c r="GM56" i="17"/>
  <c r="GM57" i="17"/>
  <c r="GM48" i="17"/>
  <c r="GM58" i="17"/>
  <c r="GM49" i="17"/>
  <c r="DI41" i="17"/>
  <c r="DI40" i="17"/>
  <c r="DI39" i="17"/>
  <c r="DI38" i="17"/>
  <c r="DI37" i="17"/>
  <c r="GL331" i="31"/>
  <c r="GI47" i="19"/>
  <c r="GN24" i="31"/>
  <c r="GM23" i="31"/>
  <c r="DJ28" i="17"/>
  <c r="DJ29" i="17"/>
  <c r="DH33" i="17"/>
  <c r="DJ30" i="17"/>
  <c r="DJ31" i="17"/>
  <c r="DJ32" i="17"/>
  <c r="GN1" i="17"/>
  <c r="GN10" i="17" s="1"/>
  <c r="GM18" i="17"/>
  <c r="GM22" i="17"/>
  <c r="GM20" i="17"/>
  <c r="GM19" i="17"/>
  <c r="GM21" i="17"/>
  <c r="GL60" i="17"/>
  <c r="GK26" i="19" s="1"/>
  <c r="GL51" i="17"/>
  <c r="DH42" i="17"/>
  <c r="GL23" i="17"/>
  <c r="GL24" i="17" s="1"/>
  <c r="BN47" i="41"/>
  <c r="GI34" i="19"/>
  <c r="CN27" i="30" l="1"/>
  <c r="CN28" i="30" s="1"/>
  <c r="GJ332" i="31"/>
  <c r="GI25" i="30"/>
  <c r="GI26" i="30" s="1"/>
  <c r="CM29" i="30"/>
  <c r="W16" i="22"/>
  <c r="X15" i="22"/>
  <c r="GN13" i="17"/>
  <c r="GN11" i="17"/>
  <c r="GN9" i="17"/>
  <c r="GN12" i="17"/>
  <c r="GN59" i="17"/>
  <c r="GN50" i="17"/>
  <c r="GN46" i="17"/>
  <c r="GN55" i="17"/>
  <c r="GN56" i="17"/>
  <c r="GN47" i="17"/>
  <c r="GN57" i="17"/>
  <c r="GN48" i="17"/>
  <c r="GN49" i="17"/>
  <c r="GN58" i="17"/>
  <c r="DJ41" i="17"/>
  <c r="DJ40" i="17"/>
  <c r="DJ39" i="17"/>
  <c r="DJ38" i="17"/>
  <c r="DJ37" i="17"/>
  <c r="GM331" i="31"/>
  <c r="GJ47" i="19"/>
  <c r="GN23" i="31"/>
  <c r="GO24" i="31"/>
  <c r="DK28" i="17"/>
  <c r="DK32" i="17"/>
  <c r="DK30" i="17"/>
  <c r="DK29" i="17"/>
  <c r="DI33" i="17"/>
  <c r="DK31" i="17"/>
  <c r="DI42" i="17"/>
  <c r="GM60" i="17"/>
  <c r="GL26" i="19" s="1"/>
  <c r="GM51" i="17"/>
  <c r="GO1" i="17"/>
  <c r="GO10" i="17" s="1"/>
  <c r="GN18" i="17"/>
  <c r="GN19" i="17"/>
  <c r="GN20" i="17"/>
  <c r="GN21" i="17"/>
  <c r="GN22" i="17"/>
  <c r="GM23" i="17"/>
  <c r="GM24" i="17" s="1"/>
  <c r="GJ34" i="19"/>
  <c r="CO27" i="30" l="1"/>
  <c r="GK332" i="31"/>
  <c r="GJ25" i="30"/>
  <c r="GJ26" i="30" s="1"/>
  <c r="CN29" i="30"/>
  <c r="X16" i="22"/>
  <c r="Y15" i="22"/>
  <c r="GO12" i="17"/>
  <c r="GO9" i="17"/>
  <c r="GO11" i="17"/>
  <c r="GO13" i="17"/>
  <c r="GO50" i="17"/>
  <c r="GO59" i="17"/>
  <c r="GO55" i="17"/>
  <c r="GO46" i="17"/>
  <c r="GO47" i="17"/>
  <c r="GO56" i="17"/>
  <c r="GO57" i="17"/>
  <c r="GO48" i="17"/>
  <c r="GO58" i="17"/>
  <c r="GO49" i="17"/>
  <c r="DK41" i="17"/>
  <c r="DK40" i="17"/>
  <c r="DK39" i="17"/>
  <c r="DK38" i="17"/>
  <c r="DK37" i="17"/>
  <c r="GN331" i="31"/>
  <c r="GK47" i="19"/>
  <c r="GO23" i="31"/>
  <c r="GP24" i="31"/>
  <c r="DL28" i="17"/>
  <c r="DJ33" i="17"/>
  <c r="DL29" i="17"/>
  <c r="DL30" i="17"/>
  <c r="DL31" i="17"/>
  <c r="DL32" i="17"/>
  <c r="GN60" i="17"/>
  <c r="GM26" i="19" s="1"/>
  <c r="GP1" i="17"/>
  <c r="GP10" i="17" s="1"/>
  <c r="GO19" i="17"/>
  <c r="GO21" i="17"/>
  <c r="GO18" i="17"/>
  <c r="GO20" i="17"/>
  <c r="GO22" i="17"/>
  <c r="DJ42" i="17"/>
  <c r="GK34" i="19"/>
  <c r="GN51" i="17"/>
  <c r="GN23" i="17"/>
  <c r="GN24" i="17" s="1"/>
  <c r="CO29" i="30" l="1"/>
  <c r="CO28" i="30"/>
  <c r="GL332" i="31"/>
  <c r="GK25" i="30"/>
  <c r="GK26" i="30" s="1"/>
  <c r="CP27" i="30"/>
  <c r="CP28" i="30" s="1"/>
  <c r="Y16" i="22"/>
  <c r="Z15" i="22"/>
  <c r="Z16" i="22" s="1"/>
  <c r="GP13" i="17"/>
  <c r="GP11" i="17"/>
  <c r="GP9" i="17"/>
  <c r="GP12" i="17"/>
  <c r="GP50" i="17"/>
  <c r="GP59" i="17"/>
  <c r="GP46" i="17"/>
  <c r="GP55" i="17"/>
  <c r="GP56" i="17"/>
  <c r="GP47" i="17"/>
  <c r="GP57" i="17"/>
  <c r="GP48" i="17"/>
  <c r="GP58" i="17"/>
  <c r="GP49" i="17"/>
  <c r="DL41" i="17"/>
  <c r="DL40" i="17"/>
  <c r="DL39" i="17"/>
  <c r="DL38" i="17"/>
  <c r="DL37" i="17"/>
  <c r="GO331" i="31"/>
  <c r="GL47" i="19"/>
  <c r="GP23" i="31"/>
  <c r="GQ24" i="31"/>
  <c r="DM28" i="17"/>
  <c r="DM31" i="17"/>
  <c r="DM30" i="17"/>
  <c r="DM32" i="17"/>
  <c r="DK33" i="17"/>
  <c r="DM29" i="17"/>
  <c r="GO51" i="17"/>
  <c r="DK42" i="17"/>
  <c r="GO60" i="17"/>
  <c r="GN26" i="19" s="1"/>
  <c r="GL34" i="19"/>
  <c r="BO47" i="41"/>
  <c r="GO23" i="17"/>
  <c r="GO24" i="17" s="1"/>
  <c r="GQ1" i="17"/>
  <c r="GQ10" i="17" s="1"/>
  <c r="GP18" i="17"/>
  <c r="GP19" i="17"/>
  <c r="GP20" i="17"/>
  <c r="GP21" i="17"/>
  <c r="GP22" i="17"/>
  <c r="CQ27" i="30" l="1"/>
  <c r="CQ28" i="30" s="1"/>
  <c r="CP29" i="30"/>
  <c r="GM332" i="31"/>
  <c r="GL25" i="30"/>
  <c r="GL26" i="30" s="1"/>
  <c r="GQ12" i="17"/>
  <c r="GQ9" i="17"/>
  <c r="GQ11" i="17"/>
  <c r="GQ13" i="17"/>
  <c r="GQ50" i="17"/>
  <c r="GQ59" i="17"/>
  <c r="GQ46" i="17"/>
  <c r="GQ55" i="17"/>
  <c r="GQ47" i="17"/>
  <c r="GQ56" i="17"/>
  <c r="GQ48" i="17"/>
  <c r="GQ57" i="17"/>
  <c r="GQ58" i="17"/>
  <c r="GQ49" i="17"/>
  <c r="DM38" i="17"/>
  <c r="DM41" i="17"/>
  <c r="DM40" i="17"/>
  <c r="DM39" i="17"/>
  <c r="DM37" i="17"/>
  <c r="GP331" i="31"/>
  <c r="GM47" i="19"/>
  <c r="GR24" i="31"/>
  <c r="GQ23" i="31"/>
  <c r="DN28" i="17"/>
  <c r="DN31" i="17"/>
  <c r="DN32" i="17"/>
  <c r="DN29" i="17"/>
  <c r="DL33" i="17"/>
  <c r="DN30" i="17"/>
  <c r="GR1" i="17"/>
  <c r="GR10" i="17" s="1"/>
  <c r="GQ20" i="17"/>
  <c r="GQ18" i="17"/>
  <c r="GQ22" i="17"/>
  <c r="GQ19" i="17"/>
  <c r="GQ21" i="17"/>
  <c r="GP51" i="17"/>
  <c r="DL42" i="17"/>
  <c r="GP23" i="17"/>
  <c r="GP24" i="17" s="1"/>
  <c r="GP60" i="17"/>
  <c r="GO26" i="19" s="1"/>
  <c r="GM34" i="19"/>
  <c r="CQ29" i="30" l="1"/>
  <c r="GN332" i="31"/>
  <c r="GM25" i="30"/>
  <c r="GM26" i="30" s="1"/>
  <c r="CR27" i="30"/>
  <c r="CR28" i="30" s="1"/>
  <c r="GR13" i="17"/>
  <c r="GR11" i="17"/>
  <c r="GR9" i="17"/>
  <c r="GR12" i="17"/>
  <c r="GR50" i="17"/>
  <c r="GR59" i="17"/>
  <c r="GR55" i="17"/>
  <c r="GR46" i="17"/>
  <c r="GR56" i="17"/>
  <c r="GR47" i="17"/>
  <c r="GR57" i="17"/>
  <c r="GR48" i="17"/>
  <c r="GR58" i="17"/>
  <c r="GR49" i="17"/>
  <c r="DN41" i="17"/>
  <c r="DN40" i="17"/>
  <c r="DN39" i="17"/>
  <c r="DN38" i="17"/>
  <c r="DN37" i="17"/>
  <c r="GQ331" i="31"/>
  <c r="GN47" i="19"/>
  <c r="GS24" i="31"/>
  <c r="GR23" i="31"/>
  <c r="DO28" i="17"/>
  <c r="DO32" i="17"/>
  <c r="DO30" i="17"/>
  <c r="DO31" i="17"/>
  <c r="DM33" i="17"/>
  <c r="DO29" i="17"/>
  <c r="GQ51" i="17"/>
  <c r="GQ23" i="17"/>
  <c r="GQ24" i="17" s="1"/>
  <c r="GS1" i="17"/>
  <c r="GS10" i="17" s="1"/>
  <c r="GR21" i="17"/>
  <c r="GR22" i="17"/>
  <c r="GR18" i="17"/>
  <c r="GR19" i="17"/>
  <c r="GR20" i="17"/>
  <c r="DM42" i="17"/>
  <c r="GQ60" i="17"/>
  <c r="GP26" i="19" s="1"/>
  <c r="BP26" i="41" s="1"/>
  <c r="GN34" i="19"/>
  <c r="CS27" i="30" l="1"/>
  <c r="CR29" i="30"/>
  <c r="GO332" i="31"/>
  <c r="GN25" i="30"/>
  <c r="GN26" i="30" s="1"/>
  <c r="GS13" i="17"/>
  <c r="GS12" i="17"/>
  <c r="GS9" i="17"/>
  <c r="GS11" i="17"/>
  <c r="GS50" i="17"/>
  <c r="GS59" i="17"/>
  <c r="GS46" i="17"/>
  <c r="GS55" i="17"/>
  <c r="GS56" i="17"/>
  <c r="GS47" i="17"/>
  <c r="GS57" i="17"/>
  <c r="GS48" i="17"/>
  <c r="GS58" i="17"/>
  <c r="GS49" i="17"/>
  <c r="DO38" i="17"/>
  <c r="DO41" i="17"/>
  <c r="DO40" i="17"/>
  <c r="DO39" i="17"/>
  <c r="DO37" i="17"/>
  <c r="GR331" i="31"/>
  <c r="GO47" i="19"/>
  <c r="GS23" i="31"/>
  <c r="GT24" i="31"/>
  <c r="DP28" i="17"/>
  <c r="DP31" i="17"/>
  <c r="DP29" i="17"/>
  <c r="DP30" i="17"/>
  <c r="DP32" i="17"/>
  <c r="DN33" i="17"/>
  <c r="GR51" i="17"/>
  <c r="GT1" i="17"/>
  <c r="GT10" i="17" s="1"/>
  <c r="GS21" i="17"/>
  <c r="GS19" i="17"/>
  <c r="GS20" i="17"/>
  <c r="GS22" i="17"/>
  <c r="GS18" i="17"/>
  <c r="BP47" i="41"/>
  <c r="GR60" i="17"/>
  <c r="GQ26" i="19" s="1"/>
  <c r="GR23" i="17"/>
  <c r="GR24" i="17" s="1"/>
  <c r="DN42" i="17"/>
  <c r="GO34" i="19"/>
  <c r="CS29" i="30" l="1"/>
  <c r="CS28" i="30"/>
  <c r="CT27" i="30"/>
  <c r="GP332" i="31"/>
  <c r="GO25" i="30"/>
  <c r="GO26" i="30" s="1"/>
  <c r="GT11" i="17"/>
  <c r="GT9" i="17"/>
  <c r="GT12" i="17"/>
  <c r="GT13" i="17"/>
  <c r="GT50" i="17"/>
  <c r="GT59" i="17"/>
  <c r="GT55" i="17"/>
  <c r="GT46" i="17"/>
  <c r="GT56" i="17"/>
  <c r="GT47" i="17"/>
  <c r="GT57" i="17"/>
  <c r="GT48" i="17"/>
  <c r="GT58" i="17"/>
  <c r="GT49" i="17"/>
  <c r="DP41" i="17"/>
  <c r="DP40" i="17"/>
  <c r="DP39" i="17"/>
  <c r="DP38" i="17"/>
  <c r="DP37" i="17"/>
  <c r="GS331" i="31"/>
  <c r="GP47" i="19"/>
  <c r="GU24" i="31"/>
  <c r="GT23" i="31"/>
  <c r="DQ28" i="17"/>
  <c r="DQ30" i="17"/>
  <c r="DQ29" i="17"/>
  <c r="DO33" i="17"/>
  <c r="DQ32" i="17"/>
  <c r="DQ31" i="17"/>
  <c r="DO42" i="17"/>
  <c r="GS51" i="17"/>
  <c r="GS60" i="17"/>
  <c r="GR26" i="19" s="1"/>
  <c r="W47" i="19"/>
  <c r="CU47" i="19"/>
  <c r="FB34" i="19"/>
  <c r="CN47" i="19"/>
  <c r="CW34" i="19"/>
  <c r="EU34" i="19"/>
  <c r="EY34" i="19"/>
  <c r="EF34" i="19"/>
  <c r="FM34" i="19"/>
  <c r="BZ47" i="19"/>
  <c r="FI47" i="19"/>
  <c r="EB34" i="19"/>
  <c r="DM34" i="19"/>
  <c r="EJ47" i="19"/>
  <c r="DX47" i="19"/>
  <c r="DP34" i="19"/>
  <c r="DF47" i="19"/>
  <c r="DQ47" i="19"/>
  <c r="CY34" i="19"/>
  <c r="EV34" i="19"/>
  <c r="CL34" i="19"/>
  <c r="EK34" i="19"/>
  <c r="DX34" i="19"/>
  <c r="EL47" i="19"/>
  <c r="DR34" i="19"/>
  <c r="ET34" i="19"/>
  <c r="FU47" i="19"/>
  <c r="FQ34" i="19"/>
  <c r="DM47" i="19"/>
  <c r="EU47" i="19"/>
  <c r="FV34" i="19"/>
  <c r="EN47" i="19"/>
  <c r="DC34" i="19"/>
  <c r="DI34" i="19"/>
  <c r="FF47" i="19"/>
  <c r="DO34" i="19"/>
  <c r="FH34" i="19"/>
  <c r="EZ34" i="19"/>
  <c r="DZ47" i="19"/>
  <c r="DJ47" i="19"/>
  <c r="CD34" i="19"/>
  <c r="FR34" i="19"/>
  <c r="FR47" i="19"/>
  <c r="DB47" i="19"/>
  <c r="DU47" i="19"/>
  <c r="EH34" i="19"/>
  <c r="DO47" i="19"/>
  <c r="EH47" i="19"/>
  <c r="DS34" i="19"/>
  <c r="FA47" i="19"/>
  <c r="EF47" i="19"/>
  <c r="EG34" i="19"/>
  <c r="FP34" i="19"/>
  <c r="DN34" i="19"/>
  <c r="EM47" i="19"/>
  <c r="DA47" i="19"/>
  <c r="DW47" i="19"/>
  <c r="EA47" i="19"/>
  <c r="EP47" i="19"/>
  <c r="EJ34" i="19"/>
  <c r="CO34" i="19"/>
  <c r="BY34" i="19"/>
  <c r="CZ47" i="19"/>
  <c r="CI34" i="19"/>
  <c r="FN47" i="19"/>
  <c r="EW34" i="19"/>
  <c r="EA34" i="19"/>
  <c r="FU34" i="19"/>
  <c r="EC47" i="19"/>
  <c r="FI34" i="19"/>
  <c r="FJ34" i="19"/>
  <c r="EO34" i="19"/>
  <c r="CR47" i="19"/>
  <c r="DC47" i="19"/>
  <c r="EC34" i="19"/>
  <c r="DW34" i="19"/>
  <c r="CE34" i="19"/>
  <c r="FC47" i="19"/>
  <c r="ED47" i="19"/>
  <c r="CE47" i="19"/>
  <c r="FG47" i="19"/>
  <c r="DP47" i="19"/>
  <c r="FW47" i="19"/>
  <c r="DK34" i="19"/>
  <c r="CQ34" i="19"/>
  <c r="P47" i="19"/>
  <c r="W34" i="19"/>
  <c r="CP47" i="19"/>
  <c r="CB34" i="19"/>
  <c r="FF34" i="19"/>
  <c r="ER34" i="19"/>
  <c r="EQ47" i="19"/>
  <c r="FP47" i="19"/>
  <c r="DD47" i="19"/>
  <c r="CP34" i="19"/>
  <c r="FK47" i="19"/>
  <c r="BS34" i="19"/>
  <c r="EL34" i="19"/>
  <c r="ER47" i="19"/>
  <c r="CB47" i="19"/>
  <c r="FG34" i="19"/>
  <c r="FS47" i="19"/>
  <c r="FH47" i="19"/>
  <c r="DY34" i="19"/>
  <c r="CS47" i="19"/>
  <c r="DZ34" i="19"/>
  <c r="CX47" i="19"/>
  <c r="DU34" i="19"/>
  <c r="DK47" i="19"/>
  <c r="DT34" i="19"/>
  <c r="FO47" i="19"/>
  <c r="BZ34" i="19"/>
  <c r="FA34" i="19"/>
  <c r="FL34" i="19"/>
  <c r="FL47" i="19"/>
  <c r="CG47" i="19"/>
  <c r="DI47" i="19"/>
  <c r="ET47" i="19"/>
  <c r="CT34" i="19"/>
  <c r="DN47" i="19"/>
  <c r="FT34" i="19"/>
  <c r="Q47" i="19"/>
  <c r="EV47" i="19"/>
  <c r="FW34" i="19"/>
  <c r="DG34" i="19"/>
  <c r="DL47" i="19"/>
  <c r="DF34" i="19"/>
  <c r="X34" i="19"/>
  <c r="DV47" i="19"/>
  <c r="FS34" i="19"/>
  <c r="EQ34" i="19"/>
  <c r="EP34" i="19"/>
  <c r="CW47" i="19"/>
  <c r="DS47" i="19"/>
  <c r="Z47" i="19"/>
  <c r="EN34" i="19"/>
  <c r="CR34" i="19"/>
  <c r="EB47" i="19"/>
  <c r="DJ34" i="19"/>
  <c r="DL34" i="19"/>
  <c r="ED34" i="19"/>
  <c r="EI47" i="19"/>
  <c r="EE47" i="19"/>
  <c r="ES34" i="19"/>
  <c r="EZ47" i="19"/>
  <c r="CN34" i="19"/>
  <c r="FT47" i="19"/>
  <c r="FB47" i="19"/>
  <c r="FD34" i="19"/>
  <c r="CX34" i="19"/>
  <c r="EM34" i="19"/>
  <c r="Y47" i="19"/>
  <c r="DD34" i="19"/>
  <c r="FO34" i="19"/>
  <c r="EW47" i="19"/>
  <c r="EO47" i="19"/>
  <c r="CT47" i="19"/>
  <c r="BQ34" i="19"/>
  <c r="Y34" i="19"/>
  <c r="Z34" i="19"/>
  <c r="DA34" i="19"/>
  <c r="CL47" i="19"/>
  <c r="DY47" i="19"/>
  <c r="P34" i="19"/>
  <c r="EY47" i="19"/>
  <c r="DH34" i="19"/>
  <c r="CG34" i="19"/>
  <c r="DV34" i="19"/>
  <c r="BQ47" i="19"/>
  <c r="CZ34" i="19"/>
  <c r="CU34" i="19"/>
  <c r="EG47" i="19"/>
  <c r="CY47" i="19"/>
  <c r="DH47" i="19"/>
  <c r="FV47" i="19"/>
  <c r="DE34" i="19"/>
  <c r="FN34" i="19"/>
  <c r="ES47" i="19"/>
  <c r="EE34" i="19"/>
  <c r="CV47" i="19"/>
  <c r="FM47" i="19"/>
  <c r="CS34" i="19"/>
  <c r="FJ47" i="19"/>
  <c r="BY47" i="19"/>
  <c r="CV34" i="19"/>
  <c r="EI34" i="19"/>
  <c r="Q34" i="19"/>
  <c r="EX47" i="19"/>
  <c r="DT47" i="19"/>
  <c r="FD47" i="19"/>
  <c r="DR47" i="19"/>
  <c r="BS47" i="19"/>
  <c r="FQ47" i="19"/>
  <c r="DQ34" i="19"/>
  <c r="AQ34" i="41" s="1"/>
  <c r="CK47" i="19"/>
  <c r="FC34" i="19"/>
  <c r="CQ47" i="19"/>
  <c r="X47" i="19"/>
  <c r="EK47" i="19"/>
  <c r="DG47" i="19"/>
  <c r="CD47" i="19"/>
  <c r="DB34" i="19"/>
  <c r="EX34" i="19"/>
  <c r="DE47" i="19"/>
  <c r="FE47" i="19"/>
  <c r="FE34" i="19"/>
  <c r="CK34" i="19"/>
  <c r="CI47" i="19"/>
  <c r="CO47" i="19"/>
  <c r="FK34" i="19"/>
  <c r="GS23" i="17"/>
  <c r="GS24" i="17" s="1"/>
  <c r="GU1" i="17"/>
  <c r="GU10" i="17" s="1"/>
  <c r="GT18" i="17"/>
  <c r="GT19" i="17"/>
  <c r="GT20" i="17"/>
  <c r="GT21" i="17"/>
  <c r="GT22" i="17"/>
  <c r="GP34" i="19"/>
  <c r="CT29" i="30" l="1"/>
  <c r="CT28" i="30"/>
  <c r="CU27" i="30"/>
  <c r="CU28" i="30" s="1"/>
  <c r="GQ332" i="31"/>
  <c r="GP25" i="30"/>
  <c r="GP26" i="30" s="1"/>
  <c r="GU13" i="17"/>
  <c r="GU12" i="17"/>
  <c r="GU9" i="17"/>
  <c r="GU11" i="17"/>
  <c r="BH34" i="41"/>
  <c r="AW34" i="41"/>
  <c r="AR34" i="41"/>
  <c r="AP34" i="41"/>
  <c r="BC34" i="41"/>
  <c r="AT34" i="41"/>
  <c r="AZ34" i="41"/>
  <c r="AH34" i="41"/>
  <c r="AN34" i="41"/>
  <c r="BB34" i="41"/>
  <c r="BE34" i="41"/>
  <c r="AS34" i="41"/>
  <c r="BA34" i="41"/>
  <c r="AX34" i="41"/>
  <c r="AU34" i="41"/>
  <c r="AK34" i="41"/>
  <c r="BD34" i="41"/>
  <c r="AJ34" i="41"/>
  <c r="BJ34" i="41"/>
  <c r="BG34" i="41"/>
  <c r="AY34" i="41"/>
  <c r="AV34" i="41"/>
  <c r="AI34" i="41"/>
  <c r="AM34" i="41"/>
  <c r="BI34" i="41"/>
  <c r="AL34" i="41"/>
  <c r="AO34" i="41"/>
  <c r="BF34" i="41"/>
  <c r="GU59" i="17"/>
  <c r="GU50" i="17"/>
  <c r="GU55" i="17"/>
  <c r="GU46" i="17"/>
  <c r="GU56" i="17"/>
  <c r="GU47" i="17"/>
  <c r="GU57" i="17"/>
  <c r="GU48" i="17"/>
  <c r="GU58" i="17"/>
  <c r="GU49" i="17"/>
  <c r="DQ41" i="17"/>
  <c r="DQ40" i="17"/>
  <c r="DQ39" i="17"/>
  <c r="DQ38" i="17"/>
  <c r="DQ37" i="17"/>
  <c r="GT331" i="31"/>
  <c r="GQ47" i="19"/>
  <c r="GV24" i="31"/>
  <c r="GU23" i="31"/>
  <c r="BQ47" i="41"/>
  <c r="DR28" i="17"/>
  <c r="DR31" i="17"/>
  <c r="DR29" i="17"/>
  <c r="DP33" i="17"/>
  <c r="DR32" i="17"/>
  <c r="DR30" i="17"/>
  <c r="GT23" i="17"/>
  <c r="GT24" i="17" s="1"/>
  <c r="DP42" i="17"/>
  <c r="GV1" i="17"/>
  <c r="GV10" i="17" s="1"/>
  <c r="GU18" i="17"/>
  <c r="GU22" i="17"/>
  <c r="GU20" i="17"/>
  <c r="GU19" i="17"/>
  <c r="GU21" i="17"/>
  <c r="GT60" i="17"/>
  <c r="GS26" i="19" s="1"/>
  <c r="BQ26" i="41" s="1"/>
  <c r="GT51" i="17"/>
  <c r="GQ34" i="19"/>
  <c r="CV27" i="30" l="1"/>
  <c r="CV28" i="30" s="1"/>
  <c r="GR332" i="31"/>
  <c r="GQ25" i="30"/>
  <c r="GQ26" i="30" s="1"/>
  <c r="CU29" i="30"/>
  <c r="GV9" i="17"/>
  <c r="GV11" i="17"/>
  <c r="GV12" i="17"/>
  <c r="GV13" i="17"/>
  <c r="GV59" i="17"/>
  <c r="GV50" i="17"/>
  <c r="GV55" i="17"/>
  <c r="GV46" i="17"/>
  <c r="GV56" i="17"/>
  <c r="GV47" i="17"/>
  <c r="GV57" i="17"/>
  <c r="GV48" i="17"/>
  <c r="GV49" i="17"/>
  <c r="GV58" i="17"/>
  <c r="DR41" i="17"/>
  <c r="DR40" i="17"/>
  <c r="DR39" i="17"/>
  <c r="DR38" i="17"/>
  <c r="DR37" i="17"/>
  <c r="GU331" i="31"/>
  <c r="GR47" i="19"/>
  <c r="GS47" i="19"/>
  <c r="GV23" i="31"/>
  <c r="GW24" i="31"/>
  <c r="GS34" i="19"/>
  <c r="DS28" i="17"/>
  <c r="DS32" i="17"/>
  <c r="DS29" i="17"/>
  <c r="DQ33" i="17"/>
  <c r="DS30" i="17"/>
  <c r="DS31" i="17"/>
  <c r="DQ42" i="17"/>
  <c r="GR34" i="19"/>
  <c r="GU60" i="17"/>
  <c r="GT26" i="19" s="1"/>
  <c r="GU23" i="17"/>
  <c r="GU24" i="17" s="1"/>
  <c r="GU51" i="17"/>
  <c r="GW1" i="17"/>
  <c r="GW10" i="17" s="1"/>
  <c r="GV18" i="17"/>
  <c r="GV19" i="17"/>
  <c r="GV20" i="17"/>
  <c r="GV21" i="17"/>
  <c r="GV22" i="17"/>
  <c r="CW27" i="30" l="1"/>
  <c r="GS332" i="31"/>
  <c r="GR25" i="30"/>
  <c r="GR26" i="30" s="1"/>
  <c r="CV29" i="30"/>
  <c r="GW13" i="17"/>
  <c r="GW12" i="17"/>
  <c r="GW11" i="17"/>
  <c r="GW9" i="17"/>
  <c r="BQ34" i="41"/>
  <c r="GW50" i="17"/>
  <c r="GW59" i="17"/>
  <c r="GW55" i="17"/>
  <c r="GW46" i="17"/>
  <c r="GW47" i="17"/>
  <c r="GW56" i="17"/>
  <c r="GW57" i="17"/>
  <c r="GW48" i="17"/>
  <c r="GW58" i="17"/>
  <c r="GW49" i="17"/>
  <c r="DS41" i="17"/>
  <c r="DS40" i="17"/>
  <c r="DS39" i="17"/>
  <c r="DS38" i="17"/>
  <c r="DS37" i="17"/>
  <c r="GV331" i="31"/>
  <c r="GT47" i="19"/>
  <c r="GW23" i="31"/>
  <c r="GX24" i="31"/>
  <c r="GT34" i="19"/>
  <c r="DT28" i="17"/>
  <c r="DT29" i="17"/>
  <c r="DT31" i="17"/>
  <c r="DR33" i="17"/>
  <c r="DT30" i="17"/>
  <c r="DT32" i="17"/>
  <c r="GV51" i="17"/>
  <c r="GV23" i="17"/>
  <c r="GV24" i="17" s="1"/>
  <c r="GV60" i="17"/>
  <c r="GU26" i="19" s="1"/>
  <c r="GX1" i="17"/>
  <c r="GX10" i="17" s="1"/>
  <c r="GW19" i="17"/>
  <c r="GW21" i="17"/>
  <c r="GW18" i="17"/>
  <c r="GW20" i="17"/>
  <c r="GW22" i="17"/>
  <c r="DR42" i="17"/>
  <c r="CW29" i="30" l="1"/>
  <c r="CW28" i="30"/>
  <c r="CX27" i="30"/>
  <c r="CX28" i="30" s="1"/>
  <c r="GT332" i="31"/>
  <c r="GS25" i="30"/>
  <c r="GS26" i="30" s="1"/>
  <c r="GX9" i="17"/>
  <c r="GX11" i="17"/>
  <c r="GX12" i="17"/>
  <c r="GX13" i="17"/>
  <c r="GX50" i="17"/>
  <c r="GX59" i="17"/>
  <c r="GX55" i="17"/>
  <c r="GX46" i="17"/>
  <c r="GX56" i="17"/>
  <c r="GX47" i="17"/>
  <c r="GX48" i="17"/>
  <c r="GX57" i="17"/>
  <c r="GX49" i="17"/>
  <c r="GX58" i="17"/>
  <c r="DT41" i="17"/>
  <c r="DT40" i="17"/>
  <c r="DT39" i="17"/>
  <c r="DT38" i="17"/>
  <c r="DT37" i="17"/>
  <c r="GW331" i="31"/>
  <c r="GU47" i="19"/>
  <c r="GX23" i="31"/>
  <c r="GY24" i="31"/>
  <c r="GU34" i="19"/>
  <c r="BR47" i="41"/>
  <c r="DU28" i="17"/>
  <c r="DS33" i="17"/>
  <c r="DU30" i="17"/>
  <c r="DU32" i="17"/>
  <c r="DU31" i="17"/>
  <c r="DU29" i="17"/>
  <c r="GW23" i="17"/>
  <c r="GW24" i="17" s="1"/>
  <c r="GY1" i="17"/>
  <c r="GY10" i="17" s="1"/>
  <c r="GX18" i="17"/>
  <c r="GX19" i="17"/>
  <c r="GX20" i="17"/>
  <c r="GX21" i="17"/>
  <c r="GX22" i="17"/>
  <c r="GW51" i="17"/>
  <c r="DS42" i="17"/>
  <c r="GW60" i="17"/>
  <c r="GV26" i="19" s="1"/>
  <c r="CY27" i="30" l="1"/>
  <c r="CY28" i="30" s="1"/>
  <c r="GU332" i="31"/>
  <c r="GT25" i="30"/>
  <c r="GT26" i="30" s="1"/>
  <c r="CX29" i="30"/>
  <c r="GY13" i="17"/>
  <c r="GY12" i="17"/>
  <c r="GY11" i="17"/>
  <c r="GY9" i="17"/>
  <c r="GY50" i="17"/>
  <c r="GY59" i="17"/>
  <c r="GY55" i="17"/>
  <c r="GY46" i="17"/>
  <c r="GY47" i="17"/>
  <c r="GY56" i="17"/>
  <c r="GY48" i="17"/>
  <c r="GY57" i="17"/>
  <c r="GY58" i="17"/>
  <c r="GY49" i="17"/>
  <c r="DU41" i="17"/>
  <c r="DU40" i="17"/>
  <c r="DU39" i="17"/>
  <c r="DU38" i="17"/>
  <c r="DU37" i="17"/>
  <c r="GX331" i="31"/>
  <c r="GV47" i="19"/>
  <c r="GZ24" i="31"/>
  <c r="GY23" i="31"/>
  <c r="GV34" i="19"/>
  <c r="DV28" i="17"/>
  <c r="DV31" i="17"/>
  <c r="DV29" i="17"/>
  <c r="DT33" i="17"/>
  <c r="DV32" i="17"/>
  <c r="DV30" i="17"/>
  <c r="GX60" i="17"/>
  <c r="GW26" i="19" s="1"/>
  <c r="GZ1" i="17"/>
  <c r="GZ10" i="17" s="1"/>
  <c r="GY20" i="17"/>
  <c r="GY18" i="17"/>
  <c r="GY22" i="17"/>
  <c r="GY19" i="17"/>
  <c r="GY21" i="17"/>
  <c r="DT42" i="17"/>
  <c r="GX51" i="17"/>
  <c r="GX23" i="17"/>
  <c r="GX24" i="17" s="1"/>
  <c r="CZ27" i="30" l="1"/>
  <c r="GV332" i="31"/>
  <c r="GU25" i="30"/>
  <c r="GU26" i="30" s="1"/>
  <c r="CY29" i="30"/>
  <c r="GZ9" i="17"/>
  <c r="GZ11" i="17"/>
  <c r="GZ12" i="17"/>
  <c r="GZ13" i="17"/>
  <c r="GZ50" i="17"/>
  <c r="GZ59" i="17"/>
  <c r="GZ55" i="17"/>
  <c r="GZ46" i="17"/>
  <c r="GZ56" i="17"/>
  <c r="GZ47" i="17"/>
  <c r="GZ48" i="17"/>
  <c r="GZ57" i="17"/>
  <c r="GZ58" i="17"/>
  <c r="GZ49" i="17"/>
  <c r="DV41" i="17"/>
  <c r="DV40" i="17"/>
  <c r="DV39" i="17"/>
  <c r="DV38" i="17"/>
  <c r="DV37" i="17"/>
  <c r="GY331" i="31"/>
  <c r="GW47" i="19"/>
  <c r="GZ23" i="31"/>
  <c r="HA24" i="31"/>
  <c r="GW34" i="19"/>
  <c r="DW28" i="17"/>
  <c r="DU33" i="17"/>
  <c r="DW30" i="17"/>
  <c r="DW29" i="17"/>
  <c r="DW31" i="17"/>
  <c r="DW32" i="17"/>
  <c r="GY60" i="17"/>
  <c r="GX26" i="19" s="1"/>
  <c r="HA1" i="17"/>
  <c r="HA10" i="17" s="1"/>
  <c r="GZ18" i="17"/>
  <c r="GZ19" i="17"/>
  <c r="GZ20" i="17"/>
  <c r="GZ21" i="17"/>
  <c r="GZ22" i="17"/>
  <c r="U47" i="19"/>
  <c r="GY51" i="17"/>
  <c r="DU42" i="17"/>
  <c r="GY23" i="17"/>
  <c r="GY24" i="17" s="1"/>
  <c r="CZ29" i="30" l="1"/>
  <c r="CZ28" i="30"/>
  <c r="DA27" i="30"/>
  <c r="DA28" i="30" s="1"/>
  <c r="GW332" i="31"/>
  <c r="GV25" i="30"/>
  <c r="GV26" i="30" s="1"/>
  <c r="DA29" i="30"/>
  <c r="HA13" i="17"/>
  <c r="HA12" i="17"/>
  <c r="HA11" i="17"/>
  <c r="HA9" i="17"/>
  <c r="HA50" i="17"/>
  <c r="HA59" i="17"/>
  <c r="HA46" i="17"/>
  <c r="HA55" i="17"/>
  <c r="HA56" i="17"/>
  <c r="HA47" i="17"/>
  <c r="HA48" i="17"/>
  <c r="HA57" i="17"/>
  <c r="HA58" i="17"/>
  <c r="HA49" i="17"/>
  <c r="DW41" i="17"/>
  <c r="DW40" i="17"/>
  <c r="DW39" i="17"/>
  <c r="DW38" i="17"/>
  <c r="DW37" i="17"/>
  <c r="GZ331" i="31"/>
  <c r="GX47" i="19"/>
  <c r="HB24" i="31"/>
  <c r="HA23" i="31"/>
  <c r="GX34" i="19"/>
  <c r="BS47" i="41"/>
  <c r="DX28" i="17"/>
  <c r="DV33" i="17"/>
  <c r="DX29" i="17"/>
  <c r="DX30" i="17"/>
  <c r="DX32" i="17"/>
  <c r="DX31" i="17"/>
  <c r="U34" i="19"/>
  <c r="DV42" i="17"/>
  <c r="GZ51" i="17"/>
  <c r="GZ23" i="17"/>
  <c r="GZ24" i="17" s="1"/>
  <c r="GZ60" i="17"/>
  <c r="GY26" i="19" s="1"/>
  <c r="HB1" i="17"/>
  <c r="HB10" i="17" s="1"/>
  <c r="HA21" i="17"/>
  <c r="HA19" i="17"/>
  <c r="HA18" i="17"/>
  <c r="HA20" i="17"/>
  <c r="HA22" i="17"/>
  <c r="R47" i="19"/>
  <c r="DB27" i="30" l="1"/>
  <c r="DB28" i="30" s="1"/>
  <c r="GX332" i="31"/>
  <c r="GW25" i="30"/>
  <c r="GW26" i="30" s="1"/>
  <c r="HB9" i="17"/>
  <c r="HB11" i="17"/>
  <c r="HB12" i="17"/>
  <c r="HB13" i="17"/>
  <c r="HB59" i="17"/>
  <c r="HB50" i="17"/>
  <c r="HB46" i="17"/>
  <c r="HB55" i="17"/>
  <c r="HB56" i="17"/>
  <c r="HB47" i="17"/>
  <c r="HB57" i="17"/>
  <c r="HB48" i="17"/>
  <c r="HB49" i="17"/>
  <c r="HB58" i="17"/>
  <c r="DX41" i="17"/>
  <c r="DX40" i="17"/>
  <c r="DX39" i="17"/>
  <c r="DX38" i="17"/>
  <c r="DX37" i="17"/>
  <c r="HA331" i="31"/>
  <c r="GY47" i="19"/>
  <c r="HB23" i="31"/>
  <c r="HC24" i="31"/>
  <c r="GY34" i="19"/>
  <c r="DY28" i="17"/>
  <c r="DY32" i="17"/>
  <c r="DY31" i="17"/>
  <c r="DY30" i="17"/>
  <c r="DY29" i="17"/>
  <c r="DW33" i="17"/>
  <c r="HA60" i="17"/>
  <c r="GZ26" i="19" s="1"/>
  <c r="R34" i="19"/>
  <c r="HA23" i="17"/>
  <c r="HA24" i="17" s="1"/>
  <c r="HA51" i="17"/>
  <c r="HC1" i="17"/>
  <c r="HC10" i="17" s="1"/>
  <c r="HB22" i="17"/>
  <c r="HB18" i="17"/>
  <c r="HB19" i="17"/>
  <c r="HB20" i="17"/>
  <c r="HB21" i="17"/>
  <c r="DW42" i="17"/>
  <c r="GY332" i="31" l="1"/>
  <c r="GX25" i="30"/>
  <c r="GX26" i="30" s="1"/>
  <c r="DC27" i="30"/>
  <c r="DC28" i="30" s="1"/>
  <c r="DB29" i="30"/>
  <c r="HC13" i="17"/>
  <c r="HC12" i="17"/>
  <c r="HC11" i="17"/>
  <c r="HC9" i="17"/>
  <c r="HC59" i="17"/>
  <c r="HC50" i="17"/>
  <c r="HC46" i="17"/>
  <c r="HC55" i="17"/>
  <c r="HC56" i="17"/>
  <c r="HC47" i="17"/>
  <c r="HC57" i="17"/>
  <c r="HC48" i="17"/>
  <c r="HC49" i="17"/>
  <c r="HC58" i="17"/>
  <c r="DY41" i="17"/>
  <c r="DY40" i="17"/>
  <c r="DY39" i="17"/>
  <c r="DY38" i="17"/>
  <c r="DY37" i="17"/>
  <c r="HB331" i="31"/>
  <c r="GZ47" i="19"/>
  <c r="HC23" i="31"/>
  <c r="HD24" i="31"/>
  <c r="GZ34" i="19"/>
  <c r="DZ28" i="17"/>
  <c r="DX33" i="17"/>
  <c r="DZ31" i="17"/>
  <c r="DZ29" i="17"/>
  <c r="DZ32" i="17"/>
  <c r="DZ30" i="17"/>
  <c r="HD1" i="17"/>
  <c r="HD10" i="17" s="1"/>
  <c r="HC18" i="17"/>
  <c r="HC22" i="17"/>
  <c r="HC20" i="17"/>
  <c r="HC21" i="17"/>
  <c r="HC19" i="17"/>
  <c r="DX42" i="17"/>
  <c r="HB23" i="17"/>
  <c r="HB24" i="17" s="1"/>
  <c r="HB60" i="17"/>
  <c r="HA26" i="19" s="1"/>
  <c r="HB51" i="17"/>
  <c r="DD27" i="30" l="1"/>
  <c r="DD28" i="30" s="1"/>
  <c r="DC29" i="30"/>
  <c r="GZ332" i="31"/>
  <c r="GY25" i="30"/>
  <c r="GY26" i="30" s="1"/>
  <c r="HD9" i="17"/>
  <c r="HD11" i="17"/>
  <c r="HD12" i="17"/>
  <c r="HD13" i="17"/>
  <c r="HD50" i="17"/>
  <c r="HD59" i="17"/>
  <c r="HD46" i="17"/>
  <c r="HD55" i="17"/>
  <c r="HD47" i="17"/>
  <c r="HD56" i="17"/>
  <c r="HD57" i="17"/>
  <c r="HD48" i="17"/>
  <c r="HD58" i="17"/>
  <c r="HD49" i="17"/>
  <c r="DZ41" i="17"/>
  <c r="DZ40" i="17"/>
  <c r="DZ39" i="17"/>
  <c r="DZ38" i="17"/>
  <c r="DZ37" i="17"/>
  <c r="HC331" i="31"/>
  <c r="HA47" i="19"/>
  <c r="HD23" i="31"/>
  <c r="HE24" i="31"/>
  <c r="HA34" i="19"/>
  <c r="BT47" i="41"/>
  <c r="EA28" i="17"/>
  <c r="DY33" i="17"/>
  <c r="EA29" i="17"/>
  <c r="EA30" i="17"/>
  <c r="EA32" i="17"/>
  <c r="EA31" i="17"/>
  <c r="HC60" i="17"/>
  <c r="HB26" i="19" s="1"/>
  <c r="HC51" i="17"/>
  <c r="HE1" i="17"/>
  <c r="HE10" i="17" s="1"/>
  <c r="HD19" i="17"/>
  <c r="HD20" i="17"/>
  <c r="HD21" i="17"/>
  <c r="HD22" i="17"/>
  <c r="HD18" i="17"/>
  <c r="DY42" i="17"/>
  <c r="HC23" i="17"/>
  <c r="HC24" i="17" s="1"/>
  <c r="DE27" i="30" l="1"/>
  <c r="DE28" i="30" s="1"/>
  <c r="HA332" i="31"/>
  <c r="GZ25" i="30"/>
  <c r="GZ26" i="30" s="1"/>
  <c r="DD29" i="30"/>
  <c r="HE13" i="17"/>
  <c r="HE12" i="17"/>
  <c r="HE11" i="17"/>
  <c r="HE9" i="17"/>
  <c r="HE50" i="17"/>
  <c r="HE59" i="17"/>
  <c r="HE46" i="17"/>
  <c r="HE55" i="17"/>
  <c r="HE47" i="17"/>
  <c r="HE56" i="17"/>
  <c r="HE57" i="17"/>
  <c r="HE48" i="17"/>
  <c r="HE49" i="17"/>
  <c r="HE58" i="17"/>
  <c r="EA41" i="17"/>
  <c r="EA40" i="17"/>
  <c r="EA39" i="17"/>
  <c r="EA38" i="17"/>
  <c r="EA37" i="17"/>
  <c r="HD331" i="31"/>
  <c r="HB47" i="19"/>
  <c r="HE23" i="31"/>
  <c r="HF24" i="31"/>
  <c r="HB34" i="19"/>
  <c r="EB28" i="17"/>
  <c r="EB30" i="17"/>
  <c r="EB32" i="17"/>
  <c r="EB29" i="17"/>
  <c r="DZ33" i="17"/>
  <c r="EB31" i="17"/>
  <c r="HD60" i="17"/>
  <c r="HC26" i="19" s="1"/>
  <c r="HF1" i="17"/>
  <c r="HF10" i="17" s="1"/>
  <c r="HE19" i="17"/>
  <c r="HE21" i="17"/>
  <c r="HE18" i="17"/>
  <c r="HE20" i="17"/>
  <c r="HE22" i="17"/>
  <c r="DZ42" i="17"/>
  <c r="HD51" i="17"/>
  <c r="HD23" i="17"/>
  <c r="HD24" i="17" s="1"/>
  <c r="DF27" i="30" l="1"/>
  <c r="DF28" i="30" s="1"/>
  <c r="HB332" i="31"/>
  <c r="HA25" i="30"/>
  <c r="HA26" i="30" s="1"/>
  <c r="DE29" i="30"/>
  <c r="HF9" i="17"/>
  <c r="HF11" i="17"/>
  <c r="HF12" i="17"/>
  <c r="HF13" i="17"/>
  <c r="HF50" i="17"/>
  <c r="HF59" i="17"/>
  <c r="HF46" i="17"/>
  <c r="HF55" i="17"/>
  <c r="HF56" i="17"/>
  <c r="HF47" i="17"/>
  <c r="HF57" i="17"/>
  <c r="HF48" i="17"/>
  <c r="HF58" i="17"/>
  <c r="HF49" i="17"/>
  <c r="EB41" i="17"/>
  <c r="EB40" i="17"/>
  <c r="EB39" i="17"/>
  <c r="EB38" i="17"/>
  <c r="EB37" i="17"/>
  <c r="HE331" i="31"/>
  <c r="HC47" i="19"/>
  <c r="HF23" i="31"/>
  <c r="HG24" i="31"/>
  <c r="HC34" i="19"/>
  <c r="EC28" i="17"/>
  <c r="EA33" i="17"/>
  <c r="EC29" i="17"/>
  <c r="EC32" i="17"/>
  <c r="EC31" i="17"/>
  <c r="EC30" i="17"/>
  <c r="HE51" i="17"/>
  <c r="EA42" i="17"/>
  <c r="HE60" i="17"/>
  <c r="HD26" i="19" s="1"/>
  <c r="HG1" i="17"/>
  <c r="HG10" i="17" s="1"/>
  <c r="HF18" i="17"/>
  <c r="HF19" i="17"/>
  <c r="HF20" i="17"/>
  <c r="HF21" i="17"/>
  <c r="HF22" i="17"/>
  <c r="HE23" i="17"/>
  <c r="HE24" i="17" s="1"/>
  <c r="DF29" i="30" l="1"/>
  <c r="DG27" i="30"/>
  <c r="DG28" i="30" s="1"/>
  <c r="HC332" i="31"/>
  <c r="HB25" i="30"/>
  <c r="HB26" i="30" s="1"/>
  <c r="HG12" i="17"/>
  <c r="HG13" i="17"/>
  <c r="HG11" i="17"/>
  <c r="HG9" i="17"/>
  <c r="HG50" i="17"/>
  <c r="HG59" i="17"/>
  <c r="HG46" i="17"/>
  <c r="HG55" i="17"/>
  <c r="HG56" i="17"/>
  <c r="HG47" i="17"/>
  <c r="HG57" i="17"/>
  <c r="HG48" i="17"/>
  <c r="HG58" i="17"/>
  <c r="HG49" i="17"/>
  <c r="EC41" i="17"/>
  <c r="EC40" i="17"/>
  <c r="EC39" i="17"/>
  <c r="EC38" i="17"/>
  <c r="EC37" i="17"/>
  <c r="HF331" i="31"/>
  <c r="HD47" i="19"/>
  <c r="HH24" i="31"/>
  <c r="HG23" i="31"/>
  <c r="HD34" i="19"/>
  <c r="BU47" i="41"/>
  <c r="ED28" i="17"/>
  <c r="ED32" i="17"/>
  <c r="ED30" i="17"/>
  <c r="EB33" i="17"/>
  <c r="ED31" i="17"/>
  <c r="ED29" i="17"/>
  <c r="HF60" i="17"/>
  <c r="HE26" i="19" s="1"/>
  <c r="HF23" i="17"/>
  <c r="HF24" i="17" s="1"/>
  <c r="HF51" i="17"/>
  <c r="EB42" i="17"/>
  <c r="HH1" i="17"/>
  <c r="HH10" i="17" s="1"/>
  <c r="HG20" i="17"/>
  <c r="HG18" i="17"/>
  <c r="HG22" i="17"/>
  <c r="HG19" i="17"/>
  <c r="HG21" i="17"/>
  <c r="DH27" i="30" l="1"/>
  <c r="DH28" i="30" s="1"/>
  <c r="DG29" i="30"/>
  <c r="HD332" i="31"/>
  <c r="HC25" i="30"/>
  <c r="HC26" i="30" s="1"/>
  <c r="DH29" i="30"/>
  <c r="HH9" i="17"/>
  <c r="HH11" i="17"/>
  <c r="HH13" i="17"/>
  <c r="HH12" i="17"/>
  <c r="HH50" i="17"/>
  <c r="HH59" i="17"/>
  <c r="HH55" i="17"/>
  <c r="HH46" i="17"/>
  <c r="HH56" i="17"/>
  <c r="HH47" i="17"/>
  <c r="HH48" i="17"/>
  <c r="HH57" i="17"/>
  <c r="HH58" i="17"/>
  <c r="HH49" i="17"/>
  <c r="ED41" i="17"/>
  <c r="ED40" i="17"/>
  <c r="ED39" i="17"/>
  <c r="ED38" i="17"/>
  <c r="ED37" i="17"/>
  <c r="HG331" i="31"/>
  <c r="HE47" i="19"/>
  <c r="HH23" i="31"/>
  <c r="HI24" i="31"/>
  <c r="HE34" i="19"/>
  <c r="EE28" i="17"/>
  <c r="EE29" i="17"/>
  <c r="EC33" i="17"/>
  <c r="EE30" i="17"/>
  <c r="EE32" i="17"/>
  <c r="EE31" i="17"/>
  <c r="HG51" i="17"/>
  <c r="HI1" i="17"/>
  <c r="HI10" i="17" s="1"/>
  <c r="HH18" i="17"/>
  <c r="HH19" i="17"/>
  <c r="HH20" i="17"/>
  <c r="HH21" i="17"/>
  <c r="HH22" i="17"/>
  <c r="EC42" i="17"/>
  <c r="HG60" i="17"/>
  <c r="HF26" i="19" s="1"/>
  <c r="HG23" i="17"/>
  <c r="HG24" i="17" s="1"/>
  <c r="DI27" i="30" l="1"/>
  <c r="HE332" i="31"/>
  <c r="HD25" i="30"/>
  <c r="HD26" i="30" s="1"/>
  <c r="HI12" i="17"/>
  <c r="HI13" i="17"/>
  <c r="HI11" i="17"/>
  <c r="HI9" i="17"/>
  <c r="HI59" i="17"/>
  <c r="HI50" i="17"/>
  <c r="HI55" i="17"/>
  <c r="HI46" i="17"/>
  <c r="HI56" i="17"/>
  <c r="HI47" i="17"/>
  <c r="HI48" i="17"/>
  <c r="HI57" i="17"/>
  <c r="HI49" i="17"/>
  <c r="HI58" i="17"/>
  <c r="EE41" i="17"/>
  <c r="EE40" i="17"/>
  <c r="EE39" i="17"/>
  <c r="EE38" i="17"/>
  <c r="EE37" i="17"/>
  <c r="HH331" i="31"/>
  <c r="HF47" i="19"/>
  <c r="HI23" i="31"/>
  <c r="HJ24" i="31"/>
  <c r="HF34" i="19"/>
  <c r="EF28" i="17"/>
  <c r="EF29" i="17"/>
  <c r="EF31" i="17"/>
  <c r="EF30" i="17"/>
  <c r="EF32" i="17"/>
  <c r="ED33" i="17"/>
  <c r="HH60" i="17"/>
  <c r="HG26" i="19" s="1"/>
  <c r="ED42" i="17"/>
  <c r="HJ1" i="17"/>
  <c r="HJ10" i="17" s="1"/>
  <c r="HI21" i="17"/>
  <c r="HI19" i="17"/>
  <c r="HI18" i="17"/>
  <c r="HI20" i="17"/>
  <c r="HI22" i="17"/>
  <c r="HH51" i="17"/>
  <c r="HH23" i="17"/>
  <c r="HH24" i="17" s="1"/>
  <c r="DI29" i="30" l="1"/>
  <c r="DI28" i="30"/>
  <c r="HF332" i="31"/>
  <c r="HE25" i="30"/>
  <c r="HE26" i="30" s="1"/>
  <c r="DJ27" i="30"/>
  <c r="DJ28" i="30" s="1"/>
  <c r="HJ12" i="17"/>
  <c r="HJ9" i="17"/>
  <c r="HJ11" i="17"/>
  <c r="HJ13" i="17"/>
  <c r="HJ59" i="17"/>
  <c r="HJ50" i="17"/>
  <c r="HJ55" i="17"/>
  <c r="HJ46" i="17"/>
  <c r="HJ56" i="17"/>
  <c r="HJ47" i="17"/>
  <c r="HJ48" i="17"/>
  <c r="HJ57" i="17"/>
  <c r="HJ49" i="17"/>
  <c r="HJ58" i="17"/>
  <c r="EF41" i="17"/>
  <c r="EF40" i="17"/>
  <c r="EF39" i="17"/>
  <c r="EF38" i="17"/>
  <c r="EF37" i="17"/>
  <c r="HI331" i="31"/>
  <c r="HG47" i="19"/>
  <c r="HJ23" i="31"/>
  <c r="HK24" i="31"/>
  <c r="HG34" i="19"/>
  <c r="BV47" i="41"/>
  <c r="EG28" i="17"/>
  <c r="EG31" i="17"/>
  <c r="EG30" i="17"/>
  <c r="EE33" i="17"/>
  <c r="EG32" i="17"/>
  <c r="EG29" i="17"/>
  <c r="HI23" i="17"/>
  <c r="HI24" i="17" s="1"/>
  <c r="HI51" i="17"/>
  <c r="HI60" i="17"/>
  <c r="HH26" i="19" s="1"/>
  <c r="BV26" i="41" s="1"/>
  <c r="HK1" i="17"/>
  <c r="HK10" i="17" s="1"/>
  <c r="HJ18" i="17"/>
  <c r="HJ19" i="17"/>
  <c r="HJ20" i="17"/>
  <c r="HJ21" i="17"/>
  <c r="HJ22" i="17"/>
  <c r="EE42" i="17"/>
  <c r="DK27" i="30" l="1"/>
  <c r="DK28" i="30" s="1"/>
  <c r="DJ29" i="30"/>
  <c r="HG332" i="31"/>
  <c r="HF25" i="30"/>
  <c r="HF26" i="30" s="1"/>
  <c r="HK12" i="17"/>
  <c r="HK13" i="17"/>
  <c r="HK11" i="17"/>
  <c r="HK9" i="17"/>
  <c r="HK50" i="17"/>
  <c r="HK59" i="17"/>
  <c r="HK55" i="17"/>
  <c r="HK46" i="17"/>
  <c r="HK47" i="17"/>
  <c r="HK56" i="17"/>
  <c r="HK48" i="17"/>
  <c r="HK57" i="17"/>
  <c r="HK58" i="17"/>
  <c r="HK49" i="17"/>
  <c r="EG41" i="17"/>
  <c r="EG40" i="17"/>
  <c r="EG39" i="17"/>
  <c r="EG38" i="17"/>
  <c r="EG37" i="17"/>
  <c r="HJ331" i="31"/>
  <c r="HH47" i="19"/>
  <c r="HK23" i="31"/>
  <c r="HL24" i="31"/>
  <c r="HH34" i="19"/>
  <c r="EH28" i="17"/>
  <c r="EH29" i="17"/>
  <c r="EF33" i="17"/>
  <c r="EH30" i="17"/>
  <c r="EH32" i="17"/>
  <c r="EH31" i="17"/>
  <c r="HJ60" i="17"/>
  <c r="HI26" i="19" s="1"/>
  <c r="EF42" i="17"/>
  <c r="HL1" i="17"/>
  <c r="HL10" i="17" s="1"/>
  <c r="HK18" i="17"/>
  <c r="HK22" i="17"/>
  <c r="HK20" i="17"/>
  <c r="HK19" i="17"/>
  <c r="HK21" i="17"/>
  <c r="HJ23" i="17"/>
  <c r="HJ24" i="17" s="1"/>
  <c r="HJ51" i="17"/>
  <c r="DL27" i="30" l="1"/>
  <c r="HH332" i="31"/>
  <c r="HG25" i="30"/>
  <c r="HG26" i="30" s="1"/>
  <c r="DK29" i="30"/>
  <c r="HL9" i="17"/>
  <c r="HL11" i="17"/>
  <c r="HL13" i="17"/>
  <c r="HL12" i="17"/>
  <c r="HL50" i="17"/>
  <c r="HL59" i="17"/>
  <c r="HL55" i="17"/>
  <c r="HL46" i="17"/>
  <c r="HL47" i="17"/>
  <c r="HL56" i="17"/>
  <c r="HL48" i="17"/>
  <c r="HL57" i="17"/>
  <c r="HL58" i="17"/>
  <c r="HL49" i="17"/>
  <c r="EH41" i="17"/>
  <c r="EH40" i="17"/>
  <c r="EH39" i="17"/>
  <c r="EH38" i="17"/>
  <c r="EH37" i="17"/>
  <c r="HK331" i="31"/>
  <c r="HI47" i="19"/>
  <c r="HL23" i="31"/>
  <c r="HM24" i="31"/>
  <c r="HI34" i="19"/>
  <c r="EI28" i="17"/>
  <c r="EI30" i="17"/>
  <c r="EI31" i="17"/>
  <c r="EI32" i="17"/>
  <c r="EG33" i="17"/>
  <c r="EI29" i="17"/>
  <c r="EG42" i="17"/>
  <c r="HK51" i="17"/>
  <c r="HK23" i="17"/>
  <c r="HK24" i="17" s="1"/>
  <c r="HM1" i="17"/>
  <c r="HM10" i="17" s="1"/>
  <c r="HL18" i="17"/>
  <c r="HL19" i="17"/>
  <c r="HL20" i="17"/>
  <c r="HL21" i="17"/>
  <c r="HL22" i="17"/>
  <c r="HK60" i="17"/>
  <c r="HJ26" i="19" s="1"/>
  <c r="DL29" i="30" l="1"/>
  <c r="DL28" i="30"/>
  <c r="DM27" i="30"/>
  <c r="HI332" i="31"/>
  <c r="HH25" i="30"/>
  <c r="HH26" i="30" s="1"/>
  <c r="HM13" i="17"/>
  <c r="HM11" i="17"/>
  <c r="HM9" i="17"/>
  <c r="HM12" i="17"/>
  <c r="HM50" i="17"/>
  <c r="HM59" i="17"/>
  <c r="HM46" i="17"/>
  <c r="HM55" i="17"/>
  <c r="HM56" i="17"/>
  <c r="HM47" i="17"/>
  <c r="HM57" i="17"/>
  <c r="HM48" i="17"/>
  <c r="HM49" i="17"/>
  <c r="HM58" i="17"/>
  <c r="EI41" i="17"/>
  <c r="EI40" i="17"/>
  <c r="EI39" i="17"/>
  <c r="EI38" i="17"/>
  <c r="EI37" i="17"/>
  <c r="HL331" i="31"/>
  <c r="HJ47" i="19"/>
  <c r="HN24" i="31"/>
  <c r="HM23" i="31"/>
  <c r="HJ34" i="19"/>
  <c r="BW47" i="41"/>
  <c r="EJ28" i="17"/>
  <c r="EJ32" i="17"/>
  <c r="EJ31" i="17"/>
  <c r="EH33" i="17"/>
  <c r="EJ29" i="17"/>
  <c r="EJ30" i="17"/>
  <c r="HL51" i="17"/>
  <c r="HL60" i="17"/>
  <c r="HK26" i="19" s="1"/>
  <c r="EH42" i="17"/>
  <c r="HN1" i="17"/>
  <c r="HN10" i="17" s="1"/>
  <c r="HM19" i="17"/>
  <c r="HM21" i="17"/>
  <c r="HM22" i="17"/>
  <c r="HM18" i="17"/>
  <c r="HM20" i="17"/>
  <c r="HL23" i="17"/>
  <c r="HL24" i="17" s="1"/>
  <c r="DM29" i="30" l="1"/>
  <c r="DM28" i="30"/>
  <c r="DN27" i="30"/>
  <c r="DN28" i="30" s="1"/>
  <c r="HJ332" i="31"/>
  <c r="HI25" i="30"/>
  <c r="HI26" i="30" s="1"/>
  <c r="HN12" i="17"/>
  <c r="HN9" i="17"/>
  <c r="HN11" i="17"/>
  <c r="HN13" i="17"/>
  <c r="HN50" i="17"/>
  <c r="HN59" i="17"/>
  <c r="HN55" i="17"/>
  <c r="HN46" i="17"/>
  <c r="HN56" i="17"/>
  <c r="HN47" i="17"/>
  <c r="HN48" i="17"/>
  <c r="HN57" i="17"/>
  <c r="HN58" i="17"/>
  <c r="HN49" i="17"/>
  <c r="EJ41" i="17"/>
  <c r="EJ40" i="17"/>
  <c r="EJ39" i="17"/>
  <c r="EJ38" i="17"/>
  <c r="EJ37" i="17"/>
  <c r="HM331" i="31"/>
  <c r="HK47" i="19"/>
  <c r="HN23" i="31"/>
  <c r="HO24" i="31"/>
  <c r="HK34" i="19"/>
  <c r="EK28" i="17"/>
  <c r="EK30" i="17"/>
  <c r="EK31" i="17"/>
  <c r="EK29" i="17"/>
  <c r="EI33" i="17"/>
  <c r="EK32" i="17"/>
  <c r="HM60" i="17"/>
  <c r="HL26" i="19" s="1"/>
  <c r="HM23" i="17"/>
  <c r="HM24" i="17" s="1"/>
  <c r="EI42" i="17"/>
  <c r="HO1" i="17"/>
  <c r="HO10" i="17" s="1"/>
  <c r="HN20" i="17"/>
  <c r="HN21" i="17"/>
  <c r="HN22" i="17"/>
  <c r="HN18" i="17"/>
  <c r="HN19" i="17"/>
  <c r="HM51" i="17"/>
  <c r="DO27" i="30" l="1"/>
  <c r="DO28" i="30" s="1"/>
  <c r="HK332" i="31"/>
  <c r="HJ25" i="30"/>
  <c r="HJ26" i="30" s="1"/>
  <c r="DN29" i="30"/>
  <c r="HO13" i="17"/>
  <c r="HO11" i="17"/>
  <c r="HO9" i="17"/>
  <c r="HO12" i="17"/>
  <c r="HO50" i="17"/>
  <c r="HO59" i="17"/>
  <c r="HO55" i="17"/>
  <c r="HO46" i="17"/>
  <c r="HO47" i="17"/>
  <c r="HO56" i="17"/>
  <c r="HO57" i="17"/>
  <c r="HO48" i="17"/>
  <c r="HO58" i="17"/>
  <c r="HO49" i="17"/>
  <c r="EK41" i="17"/>
  <c r="EK40" i="17"/>
  <c r="EK39" i="17"/>
  <c r="EK38" i="17"/>
  <c r="EK37" i="17"/>
  <c r="HN331" i="31"/>
  <c r="HL47" i="19"/>
  <c r="HP24" i="31"/>
  <c r="HO23" i="31"/>
  <c r="HL34" i="19"/>
  <c r="EL28" i="17"/>
  <c r="EL29" i="17"/>
  <c r="EL32" i="17"/>
  <c r="EL31" i="17"/>
  <c r="EL30" i="17"/>
  <c r="EJ33" i="17"/>
  <c r="HN23" i="17"/>
  <c r="HN24" i="17" s="1"/>
  <c r="EJ42" i="17"/>
  <c r="HP1" i="17"/>
  <c r="HP10" i="17" s="1"/>
  <c r="HO20" i="17"/>
  <c r="HO18" i="17"/>
  <c r="HO22" i="17"/>
  <c r="HO19" i="17"/>
  <c r="HO21" i="17"/>
  <c r="HN51" i="17"/>
  <c r="HN60" i="17"/>
  <c r="HM26" i="19" s="1"/>
  <c r="DP27" i="30" l="1"/>
  <c r="DO29" i="30"/>
  <c r="HL332" i="31"/>
  <c r="HK25" i="30"/>
  <c r="HK26" i="30" s="1"/>
  <c r="HP12" i="17"/>
  <c r="HP9" i="17"/>
  <c r="HP11" i="17"/>
  <c r="HP13" i="17"/>
  <c r="HP59" i="17"/>
  <c r="HP50" i="17"/>
  <c r="HP55" i="17"/>
  <c r="HP46" i="17"/>
  <c r="HP47" i="17"/>
  <c r="HP56" i="17"/>
  <c r="HP57" i="17"/>
  <c r="HP48" i="17"/>
  <c r="HP49" i="17"/>
  <c r="HP58" i="17"/>
  <c r="EL41" i="17"/>
  <c r="EL40" i="17"/>
  <c r="EL39" i="17"/>
  <c r="EL38" i="17"/>
  <c r="EL37" i="17"/>
  <c r="HO331" i="31"/>
  <c r="HM47" i="19"/>
  <c r="HP23" i="31"/>
  <c r="HQ24" i="31"/>
  <c r="HM34" i="19"/>
  <c r="BX47" i="41"/>
  <c r="EM28" i="17"/>
  <c r="EM30" i="17"/>
  <c r="EM32" i="17"/>
  <c r="EM31" i="17"/>
  <c r="EK33" i="17"/>
  <c r="EM29" i="17"/>
  <c r="HO60" i="17"/>
  <c r="HN26" i="19" s="1"/>
  <c r="BX26" i="41" s="1"/>
  <c r="HO51" i="17"/>
  <c r="EK42" i="17"/>
  <c r="HO23" i="17"/>
  <c r="HO24" i="17" s="1"/>
  <c r="HQ1" i="17"/>
  <c r="HQ10" i="17" s="1"/>
  <c r="HP18" i="17"/>
  <c r="HP19" i="17"/>
  <c r="HP20" i="17"/>
  <c r="HP21" i="17"/>
  <c r="HP22" i="17"/>
  <c r="DP29" i="30" l="1"/>
  <c r="DP28" i="30"/>
  <c r="HM332" i="31"/>
  <c r="HL25" i="30"/>
  <c r="HL26" i="30" s="1"/>
  <c r="DQ27" i="30"/>
  <c r="DQ28" i="30" s="1"/>
  <c r="HQ11" i="17"/>
  <c r="HQ13" i="17"/>
  <c r="HQ9" i="17"/>
  <c r="HQ12" i="17"/>
  <c r="HQ50" i="17"/>
  <c r="HQ59" i="17"/>
  <c r="HQ46" i="17"/>
  <c r="HQ55" i="17"/>
  <c r="HQ56" i="17"/>
  <c r="HQ47" i="17"/>
  <c r="HQ48" i="17"/>
  <c r="HQ57" i="17"/>
  <c r="HQ49" i="17"/>
  <c r="HQ58" i="17"/>
  <c r="EM41" i="17"/>
  <c r="EM40" i="17"/>
  <c r="EM39" i="17"/>
  <c r="EM38" i="17"/>
  <c r="EM37" i="17"/>
  <c r="HP331" i="31"/>
  <c r="HN47" i="19"/>
  <c r="HQ23" i="31"/>
  <c r="HR24" i="31"/>
  <c r="HN34" i="19"/>
  <c r="EN28" i="17"/>
  <c r="EN31" i="17"/>
  <c r="EN29" i="17"/>
  <c r="EL33" i="17"/>
  <c r="EN32" i="17"/>
  <c r="EN30" i="17"/>
  <c r="HR1" i="17"/>
  <c r="HR10" i="17" s="1"/>
  <c r="HQ21" i="17"/>
  <c r="HQ19" i="17"/>
  <c r="HQ18" i="17"/>
  <c r="HQ20" i="17"/>
  <c r="HQ22" i="17"/>
  <c r="EL42" i="17"/>
  <c r="HP51" i="17"/>
  <c r="HP60" i="17"/>
  <c r="HO26" i="19" s="1"/>
  <c r="HP23" i="17"/>
  <c r="HP24" i="17" s="1"/>
  <c r="DR27" i="30" l="1"/>
  <c r="DQ29" i="30"/>
  <c r="HN332" i="31"/>
  <c r="HM25" i="30"/>
  <c r="HM26" i="30" s="1"/>
  <c r="HR9" i="17"/>
  <c r="HR11" i="17"/>
  <c r="HR12" i="17"/>
  <c r="HR13" i="17"/>
  <c r="HR50" i="17"/>
  <c r="HR59" i="17"/>
  <c r="HR46" i="17"/>
  <c r="HR55" i="17"/>
  <c r="HR56" i="17"/>
  <c r="HR47" i="17"/>
  <c r="HR57" i="17"/>
  <c r="HR48" i="17"/>
  <c r="HR58" i="17"/>
  <c r="HR49" i="17"/>
  <c r="EN41" i="17"/>
  <c r="EN40" i="17"/>
  <c r="EN39" i="17"/>
  <c r="EN38" i="17"/>
  <c r="EN37" i="17"/>
  <c r="HQ331" i="31"/>
  <c r="HO47" i="19"/>
  <c r="HS24" i="31"/>
  <c r="HR23" i="31"/>
  <c r="HO34" i="19"/>
  <c r="EO28" i="17"/>
  <c r="EM33" i="17"/>
  <c r="EO30" i="17"/>
  <c r="EO29" i="17"/>
  <c r="EO32" i="17"/>
  <c r="EO31" i="17"/>
  <c r="HS1" i="17"/>
  <c r="HS10" i="17" s="1"/>
  <c r="HR18" i="17"/>
  <c r="HR19" i="17"/>
  <c r="HR20" i="17"/>
  <c r="HR21" i="17"/>
  <c r="HR22" i="17"/>
  <c r="EM42" i="17"/>
  <c r="HQ60" i="17"/>
  <c r="HP26" i="19" s="1"/>
  <c r="HQ51" i="17"/>
  <c r="HQ23" i="17"/>
  <c r="HQ24" i="17" s="1"/>
  <c r="DR29" i="30" l="1"/>
  <c r="DR28" i="30"/>
  <c r="DS27" i="30"/>
  <c r="HO332" i="31"/>
  <c r="HN25" i="30"/>
  <c r="HN26" i="30" s="1"/>
  <c r="HS13" i="17"/>
  <c r="HS12" i="17"/>
  <c r="HS11" i="17"/>
  <c r="HS9" i="17"/>
  <c r="HS50" i="17"/>
  <c r="HS59" i="17"/>
  <c r="HS55" i="17"/>
  <c r="HS46" i="17"/>
  <c r="HS56" i="17"/>
  <c r="HS47" i="17"/>
  <c r="HS48" i="17"/>
  <c r="HS57" i="17"/>
  <c r="HS58" i="17"/>
  <c r="HS49" i="17"/>
  <c r="EO41" i="17"/>
  <c r="EO40" i="17"/>
  <c r="EO39" i="17"/>
  <c r="EO38" i="17"/>
  <c r="EO37" i="17"/>
  <c r="HR331" i="31"/>
  <c r="HP47" i="19"/>
  <c r="HT24" i="31"/>
  <c r="HS23" i="31"/>
  <c r="HP34" i="19"/>
  <c r="BY47" i="41"/>
  <c r="EP28" i="17"/>
  <c r="EP31" i="17"/>
  <c r="EN33" i="17"/>
  <c r="EP29" i="17"/>
  <c r="EP32" i="17"/>
  <c r="EP30" i="17"/>
  <c r="HR23" i="17"/>
  <c r="HR24" i="17" s="1"/>
  <c r="EN42" i="17"/>
  <c r="HR60" i="17"/>
  <c r="HQ26" i="19" s="1"/>
  <c r="BY26" i="41" s="1"/>
  <c r="HR51" i="17"/>
  <c r="HT1" i="17"/>
  <c r="HT10" i="17" s="1"/>
  <c r="HS18" i="17"/>
  <c r="HS22" i="17"/>
  <c r="HS20" i="17"/>
  <c r="HS19" i="17"/>
  <c r="HS21" i="17"/>
  <c r="DS29" i="30" l="1"/>
  <c r="DS28" i="30"/>
  <c r="DT27" i="30"/>
  <c r="DT28" i="30" s="1"/>
  <c r="HP332" i="31"/>
  <c r="HO25" i="30"/>
  <c r="HO26" i="30" s="1"/>
  <c r="HT9" i="17"/>
  <c r="HT11" i="17"/>
  <c r="HT13" i="17"/>
  <c r="HT12" i="17"/>
  <c r="HT50" i="17"/>
  <c r="HT59" i="17"/>
  <c r="HT55" i="17"/>
  <c r="HT46" i="17"/>
  <c r="HT56" i="17"/>
  <c r="HT47" i="17"/>
  <c r="HT48" i="17"/>
  <c r="HT57" i="17"/>
  <c r="HT49" i="17"/>
  <c r="HT58" i="17"/>
  <c r="EP41" i="17"/>
  <c r="EP40" i="17"/>
  <c r="EP39" i="17"/>
  <c r="EP38" i="17"/>
  <c r="EP37" i="17"/>
  <c r="HS331" i="31"/>
  <c r="HQ47" i="19"/>
  <c r="HU24" i="31"/>
  <c r="HT23" i="31"/>
  <c r="HQ34" i="19"/>
  <c r="EQ28" i="17"/>
  <c r="EQ32" i="17"/>
  <c r="EQ29" i="17"/>
  <c r="EO33" i="17"/>
  <c r="EQ30" i="17"/>
  <c r="EQ31" i="17"/>
  <c r="HS51" i="17"/>
  <c r="EO42" i="17"/>
  <c r="HU1" i="17"/>
  <c r="HU10" i="17" s="1"/>
  <c r="HT18" i="17"/>
  <c r="HT19" i="17"/>
  <c r="HT20" i="17"/>
  <c r="HT21" i="17"/>
  <c r="HT22" i="17"/>
  <c r="HS60" i="17"/>
  <c r="HR26" i="19" s="1"/>
  <c r="HS23" i="17"/>
  <c r="HS24" i="17" s="1"/>
  <c r="DU27" i="30" l="1"/>
  <c r="DT29" i="30"/>
  <c r="HQ332" i="31"/>
  <c r="HP25" i="30"/>
  <c r="HP26" i="30" s="1"/>
  <c r="HU12" i="17"/>
  <c r="HU13" i="17"/>
  <c r="HU11" i="17"/>
  <c r="HU9" i="17"/>
  <c r="HU50" i="17"/>
  <c r="HU59" i="17"/>
  <c r="HU46" i="17"/>
  <c r="HU55" i="17"/>
  <c r="HU56" i="17"/>
  <c r="HU47" i="17"/>
  <c r="HU57" i="17"/>
  <c r="HU48" i="17"/>
  <c r="HU58" i="17"/>
  <c r="HU49" i="17"/>
  <c r="EQ41" i="17"/>
  <c r="EQ40" i="17"/>
  <c r="EQ39" i="17"/>
  <c r="EQ38" i="17"/>
  <c r="EQ37" i="17"/>
  <c r="HT331" i="31"/>
  <c r="HR47" i="19"/>
  <c r="HV24" i="31"/>
  <c r="HU23" i="31"/>
  <c r="HR34" i="19"/>
  <c r="ER28" i="17"/>
  <c r="ER29" i="17"/>
  <c r="ER31" i="17"/>
  <c r="EP33" i="17"/>
  <c r="ER30" i="17"/>
  <c r="ER32" i="17"/>
  <c r="HT51" i="17"/>
  <c r="HT23" i="17"/>
  <c r="HT24" i="17" s="1"/>
  <c r="HT60" i="17"/>
  <c r="HS26" i="19" s="1"/>
  <c r="EP42" i="17"/>
  <c r="HV1" i="17"/>
  <c r="HV10" i="17" s="1"/>
  <c r="HU19" i="17"/>
  <c r="HU21" i="17"/>
  <c r="HU18" i="17"/>
  <c r="HU20" i="17"/>
  <c r="HU22" i="17"/>
  <c r="DU29" i="30" l="1"/>
  <c r="DU28" i="30"/>
  <c r="HR332" i="31"/>
  <c r="HQ25" i="30"/>
  <c r="HQ26" i="30" s="1"/>
  <c r="DV27" i="30"/>
  <c r="DV28" i="30" s="1"/>
  <c r="HV9" i="17"/>
  <c r="HV11" i="17"/>
  <c r="HV13" i="17"/>
  <c r="HV12" i="17"/>
  <c r="HV50" i="17"/>
  <c r="HV59" i="17"/>
  <c r="HV55" i="17"/>
  <c r="HV46" i="17"/>
  <c r="HV47" i="17"/>
  <c r="HV56" i="17"/>
  <c r="HV57" i="17"/>
  <c r="HV48" i="17"/>
  <c r="HV58" i="17"/>
  <c r="HV49" i="17"/>
  <c r="ER41" i="17"/>
  <c r="ER40" i="17"/>
  <c r="ER39" i="17"/>
  <c r="ER38" i="17"/>
  <c r="ER37" i="17"/>
  <c r="HU331" i="31"/>
  <c r="HS47" i="19"/>
  <c r="HV23" i="31"/>
  <c r="HW24" i="31"/>
  <c r="HS34" i="19"/>
  <c r="BZ47" i="41"/>
  <c r="ES28" i="17"/>
  <c r="ES31" i="17"/>
  <c r="ES32" i="17"/>
  <c r="ES30" i="17"/>
  <c r="ES29" i="17"/>
  <c r="EQ33" i="17"/>
  <c r="HU51" i="17"/>
  <c r="HW1" i="17"/>
  <c r="HW10" i="17" s="1"/>
  <c r="HV18" i="17"/>
  <c r="HV19" i="17"/>
  <c r="HV20" i="17"/>
  <c r="HV21" i="17"/>
  <c r="HV22" i="17"/>
  <c r="HU60" i="17"/>
  <c r="HT26" i="19" s="1"/>
  <c r="EQ42" i="17"/>
  <c r="HU23" i="17"/>
  <c r="HU24" i="17" s="1"/>
  <c r="DW27" i="30" l="1"/>
  <c r="DW28" i="30" s="1"/>
  <c r="DV29" i="30"/>
  <c r="HS332" i="31"/>
  <c r="HR25" i="30"/>
  <c r="HR26" i="30" s="1"/>
  <c r="HW12" i="17"/>
  <c r="HW13" i="17"/>
  <c r="HW11" i="17"/>
  <c r="HW9" i="17"/>
  <c r="HW50" i="17"/>
  <c r="HW59" i="17"/>
  <c r="HW55" i="17"/>
  <c r="HW46" i="17"/>
  <c r="HW56" i="17"/>
  <c r="HW47" i="17"/>
  <c r="HW57" i="17"/>
  <c r="HW48" i="17"/>
  <c r="HW58" i="17"/>
  <c r="HW49" i="17"/>
  <c r="ES41" i="17"/>
  <c r="ES40" i="17"/>
  <c r="ES39" i="17"/>
  <c r="ES38" i="17"/>
  <c r="ES37" i="17"/>
  <c r="HV331" i="31"/>
  <c r="HT47" i="19"/>
  <c r="HW23" i="31"/>
  <c r="HX24" i="31"/>
  <c r="HT34" i="19"/>
  <c r="ET28" i="17"/>
  <c r="ET29" i="17"/>
  <c r="ET30" i="17"/>
  <c r="ET32" i="17"/>
  <c r="ET31" i="17"/>
  <c r="ER33" i="17"/>
  <c r="ER42" i="17"/>
  <c r="HV51" i="17"/>
  <c r="HV23" i="17"/>
  <c r="HV24" i="17" s="1"/>
  <c r="HX1" i="17"/>
  <c r="HX10" i="17" s="1"/>
  <c r="HW20" i="17"/>
  <c r="HW18" i="17"/>
  <c r="HW22" i="17"/>
  <c r="HW19" i="17"/>
  <c r="HW21" i="17"/>
  <c r="HV60" i="17"/>
  <c r="HU26" i="19" s="1"/>
  <c r="DW29" i="30" l="1"/>
  <c r="HT332" i="31"/>
  <c r="HS25" i="30"/>
  <c r="HS26" i="30" s="1"/>
  <c r="DX27" i="30"/>
  <c r="DX28" i="30" s="1"/>
  <c r="HX12" i="17"/>
  <c r="HX9" i="17"/>
  <c r="HX11" i="17"/>
  <c r="HX13" i="17"/>
  <c r="HX59" i="17"/>
  <c r="HX50" i="17"/>
  <c r="HX46" i="17"/>
  <c r="HX55" i="17"/>
  <c r="HX47" i="17"/>
  <c r="HX56" i="17"/>
  <c r="HX48" i="17"/>
  <c r="HX57" i="17"/>
  <c r="HX49" i="17"/>
  <c r="HX58" i="17"/>
  <c r="ET41" i="17"/>
  <c r="ET40" i="17"/>
  <c r="ET39" i="17"/>
  <c r="ET38" i="17"/>
  <c r="ET37" i="17"/>
  <c r="HW331" i="31"/>
  <c r="HU47" i="19"/>
  <c r="HX23" i="31"/>
  <c r="HY24" i="31"/>
  <c r="HU34" i="19"/>
  <c r="EU28" i="17"/>
  <c r="EU31" i="17"/>
  <c r="EU30" i="17"/>
  <c r="EU29" i="17"/>
  <c r="ES33" i="17"/>
  <c r="EU32" i="17"/>
  <c r="HY1" i="17"/>
  <c r="HY10" i="17" s="1"/>
  <c r="HX21" i="17"/>
  <c r="HX22" i="17"/>
  <c r="HX18" i="17"/>
  <c r="HX19" i="17"/>
  <c r="HX20" i="17"/>
  <c r="HW23" i="17"/>
  <c r="HW24" i="17" s="1"/>
  <c r="HW51" i="17"/>
  <c r="HW60" i="17"/>
  <c r="HV26" i="19" s="1"/>
  <c r="ES42" i="17"/>
  <c r="DX29" i="30" l="1"/>
  <c r="DY27" i="30"/>
  <c r="DY28" i="30" s="1"/>
  <c r="HU332" i="31"/>
  <c r="HT25" i="30"/>
  <c r="HT26" i="30" s="1"/>
  <c r="HY13" i="17"/>
  <c r="HY11" i="17"/>
  <c r="HY9" i="17"/>
  <c r="HY12" i="17"/>
  <c r="HY50" i="17"/>
  <c r="HY59" i="17"/>
  <c r="HY46" i="17"/>
  <c r="HY55" i="17"/>
  <c r="HY56" i="17"/>
  <c r="HY47" i="17"/>
  <c r="HY48" i="17"/>
  <c r="HY57" i="17"/>
  <c r="HY58" i="17"/>
  <c r="HY49" i="17"/>
  <c r="EU41" i="17"/>
  <c r="EU40" i="17"/>
  <c r="EU39" i="17"/>
  <c r="EU38" i="17"/>
  <c r="EU37" i="17"/>
  <c r="HX331" i="31"/>
  <c r="HV47" i="19"/>
  <c r="HY23" i="31"/>
  <c r="HZ24" i="31"/>
  <c r="CA47" i="41"/>
  <c r="HV34" i="19"/>
  <c r="P47" i="41"/>
  <c r="EV28" i="17"/>
  <c r="EV30" i="17"/>
  <c r="EV32" i="17"/>
  <c r="ET33" i="17"/>
  <c r="EV31" i="17"/>
  <c r="EV29" i="17"/>
  <c r="HX60" i="17"/>
  <c r="HW26" i="19" s="1"/>
  <c r="HX23" i="17"/>
  <c r="HX24" i="17" s="1"/>
  <c r="HZ1" i="17"/>
  <c r="HZ10" i="17" s="1"/>
  <c r="HY21" i="17"/>
  <c r="HY19" i="17"/>
  <c r="HY20" i="17"/>
  <c r="HY22" i="17"/>
  <c r="HY18" i="17"/>
  <c r="ET42" i="17"/>
  <c r="HX51" i="17"/>
  <c r="HV332" i="31" l="1"/>
  <c r="HU25" i="30"/>
  <c r="HU26" i="30" s="1"/>
  <c r="DY29" i="30"/>
  <c r="DZ27" i="30"/>
  <c r="DZ28" i="30" s="1"/>
  <c r="HZ12" i="17"/>
  <c r="HZ9" i="17"/>
  <c r="HZ11" i="17"/>
  <c r="HZ13" i="17"/>
  <c r="HZ50" i="17"/>
  <c r="HZ59" i="17"/>
  <c r="HZ55" i="17"/>
  <c r="HZ46" i="17"/>
  <c r="HZ47" i="17"/>
  <c r="HZ56" i="17"/>
  <c r="HZ48" i="17"/>
  <c r="HZ57" i="17"/>
  <c r="HZ58" i="17"/>
  <c r="HZ49" i="17"/>
  <c r="EV41" i="17"/>
  <c r="EV40" i="17"/>
  <c r="EV39" i="17"/>
  <c r="EV38" i="17"/>
  <c r="EV37" i="17"/>
  <c r="HY331" i="31"/>
  <c r="HW47" i="19"/>
  <c r="IA24" i="31"/>
  <c r="HZ23" i="31"/>
  <c r="HW34" i="19"/>
  <c r="EW28" i="17"/>
  <c r="EU33" i="17"/>
  <c r="EW32" i="17"/>
  <c r="EW30" i="17"/>
  <c r="EW31" i="17"/>
  <c r="EW29" i="17"/>
  <c r="HY51" i="17"/>
  <c r="HY23" i="17"/>
  <c r="HY24" i="17" s="1"/>
  <c r="IA1" i="17"/>
  <c r="IA10" i="17" s="1"/>
  <c r="HZ18" i="17"/>
  <c r="HZ19" i="17"/>
  <c r="HZ20" i="17"/>
  <c r="HZ21" i="17"/>
  <c r="HZ22" i="17"/>
  <c r="EU42" i="17"/>
  <c r="HY60" i="17"/>
  <c r="HX26" i="19" s="1"/>
  <c r="EA27" i="30" l="1"/>
  <c r="DZ29" i="30"/>
  <c r="HW332" i="31"/>
  <c r="HV25" i="30"/>
  <c r="HV26" i="30" s="1"/>
  <c r="IA13" i="17"/>
  <c r="IA11" i="17"/>
  <c r="IA9" i="17"/>
  <c r="IA12" i="17"/>
  <c r="IA50" i="17"/>
  <c r="IA59" i="17"/>
  <c r="IA46" i="17"/>
  <c r="IA55" i="17"/>
  <c r="IA56" i="17"/>
  <c r="IA47" i="17"/>
  <c r="IA48" i="17"/>
  <c r="IA57" i="17"/>
  <c r="IA58" i="17"/>
  <c r="IA49" i="17"/>
  <c r="EW41" i="17"/>
  <c r="EW40" i="17"/>
  <c r="EW39" i="17"/>
  <c r="EW38" i="17"/>
  <c r="EW37" i="17"/>
  <c r="HZ331" i="31"/>
  <c r="HX47" i="19"/>
  <c r="IB24" i="31"/>
  <c r="IA23" i="31"/>
  <c r="HX34" i="19"/>
  <c r="EV33" i="17"/>
  <c r="EX28" i="17"/>
  <c r="EX29" i="17"/>
  <c r="EX32" i="17"/>
  <c r="EX31" i="17"/>
  <c r="EX30" i="17"/>
  <c r="HZ23" i="17"/>
  <c r="HZ24" i="17" s="1"/>
  <c r="EV42" i="17"/>
  <c r="IB1" i="17"/>
  <c r="IB10" i="17" s="1"/>
  <c r="IA18" i="17"/>
  <c r="IA22" i="17"/>
  <c r="IA20" i="17"/>
  <c r="IA19" i="17"/>
  <c r="IA21" i="17"/>
  <c r="HZ60" i="17"/>
  <c r="HY26" i="19" s="1"/>
  <c r="HZ51" i="17"/>
  <c r="EA29" i="30" l="1"/>
  <c r="EA28" i="30"/>
  <c r="HX332" i="31"/>
  <c r="HW25" i="30"/>
  <c r="HW26" i="30" s="1"/>
  <c r="EB27" i="30"/>
  <c r="EB28" i="30" s="1"/>
  <c r="IB12" i="17"/>
  <c r="IB9" i="17"/>
  <c r="IB13" i="17"/>
  <c r="IB11" i="17"/>
  <c r="IB50" i="17"/>
  <c r="IB59" i="17"/>
  <c r="IB55" i="17"/>
  <c r="IB46" i="17"/>
  <c r="IB56" i="17"/>
  <c r="IB47" i="17"/>
  <c r="IB48" i="17"/>
  <c r="IB57" i="17"/>
  <c r="IB49" i="17"/>
  <c r="IB58" i="17"/>
  <c r="EX41" i="17"/>
  <c r="EX40" i="17"/>
  <c r="EX39" i="17"/>
  <c r="EX38" i="17"/>
  <c r="EX37" i="17"/>
  <c r="IA331" i="31"/>
  <c r="HY47" i="19"/>
  <c r="IC24" i="31"/>
  <c r="IB23" i="31"/>
  <c r="HY34" i="19"/>
  <c r="CB47" i="41"/>
  <c r="Q47" i="41"/>
  <c r="EY28" i="17"/>
  <c r="EW33" i="17"/>
  <c r="EY29" i="17"/>
  <c r="EY31" i="17"/>
  <c r="EY30" i="17"/>
  <c r="EY32" i="17"/>
  <c r="IA60" i="17"/>
  <c r="HZ26" i="19" s="1"/>
  <c r="CB26" i="41" s="1"/>
  <c r="CB27" i="41" s="1"/>
  <c r="IA23" i="17"/>
  <c r="IA24" i="17" s="1"/>
  <c r="IA51" i="17"/>
  <c r="IC1" i="17"/>
  <c r="IC10" i="17" s="1"/>
  <c r="IB18" i="17"/>
  <c r="IB19" i="17"/>
  <c r="IB20" i="17"/>
  <c r="IB21" i="17"/>
  <c r="IB22" i="17"/>
  <c r="EW42" i="17"/>
  <c r="EC27" i="30" l="1"/>
  <c r="EC28" i="30" s="1"/>
  <c r="EB29" i="30"/>
  <c r="HY332" i="31"/>
  <c r="HX25" i="30"/>
  <c r="HX26" i="30" s="1"/>
  <c r="IC11" i="17"/>
  <c r="IC13" i="17"/>
  <c r="IC9" i="17"/>
  <c r="IC12" i="17"/>
  <c r="IC50" i="17"/>
  <c r="IC59" i="17"/>
  <c r="IC55" i="17"/>
  <c r="IC46" i="17"/>
  <c r="IC47" i="17"/>
  <c r="IC56" i="17"/>
  <c r="IC57" i="17"/>
  <c r="IC48" i="17"/>
  <c r="IC58" i="17"/>
  <c r="IC49" i="17"/>
  <c r="EY41" i="17"/>
  <c r="EY40" i="17"/>
  <c r="EY39" i="17"/>
  <c r="EY38" i="17"/>
  <c r="EY37" i="17"/>
  <c r="IB331" i="31"/>
  <c r="HZ47" i="19"/>
  <c r="ID24" i="31"/>
  <c r="IC23" i="31"/>
  <c r="HZ34" i="19"/>
  <c r="EZ28" i="17"/>
  <c r="EX33" i="17"/>
  <c r="EZ32" i="17"/>
  <c r="EZ31" i="17"/>
  <c r="EZ30" i="17"/>
  <c r="EZ29" i="17"/>
  <c r="IB51" i="17"/>
  <c r="IB23" i="17"/>
  <c r="IB24" i="17" s="1"/>
  <c r="IB60" i="17"/>
  <c r="IA26" i="19" s="1"/>
  <c r="EX42" i="17"/>
  <c r="ID1" i="17"/>
  <c r="ID10" i="17" s="1"/>
  <c r="IC19" i="17"/>
  <c r="IC21" i="17"/>
  <c r="IC18" i="17"/>
  <c r="IC20" i="17"/>
  <c r="IC22" i="17"/>
  <c r="ED27" i="30" l="1"/>
  <c r="ED28" i="30" s="1"/>
  <c r="HZ332" i="31"/>
  <c r="HY25" i="30"/>
  <c r="HY26" i="30" s="1"/>
  <c r="EC29" i="30"/>
  <c r="ID12" i="17"/>
  <c r="ID11" i="17"/>
  <c r="ID9" i="17"/>
  <c r="ID13" i="17"/>
  <c r="ID50" i="17"/>
  <c r="ID59" i="17"/>
  <c r="ID55" i="17"/>
  <c r="ID46" i="17"/>
  <c r="ID47" i="17"/>
  <c r="ID56" i="17"/>
  <c r="ID57" i="17"/>
  <c r="ID48" i="17"/>
  <c r="ID58" i="17"/>
  <c r="ID49" i="17"/>
  <c r="EZ41" i="17"/>
  <c r="EZ40" i="17"/>
  <c r="EZ39" i="17"/>
  <c r="EZ38" i="17"/>
  <c r="EZ37" i="17"/>
  <c r="IC331" i="31"/>
  <c r="IA47" i="19"/>
  <c r="ID23" i="31"/>
  <c r="IE24" i="31"/>
  <c r="IA34" i="19"/>
  <c r="FA28" i="17"/>
  <c r="EY33" i="17"/>
  <c r="FA29" i="17"/>
  <c r="FA32" i="17"/>
  <c r="FA31" i="17"/>
  <c r="FA30" i="17"/>
  <c r="IC60" i="17"/>
  <c r="IB26" i="19" s="1"/>
  <c r="IC23" i="17"/>
  <c r="IC24" i="17" s="1"/>
  <c r="IC51" i="17"/>
  <c r="EY42" i="17"/>
  <c r="IE1" i="17"/>
  <c r="IE10" i="17" s="1"/>
  <c r="ID18" i="17"/>
  <c r="ID19" i="17"/>
  <c r="ID20" i="17"/>
  <c r="ID21" i="17"/>
  <c r="ID22" i="17"/>
  <c r="EE27" i="30" l="1"/>
  <c r="IA332" i="31"/>
  <c r="HZ25" i="30"/>
  <c r="HZ26" i="30" s="1"/>
  <c r="ED29" i="30"/>
  <c r="IE13" i="17"/>
  <c r="IE9" i="17"/>
  <c r="IE11" i="17"/>
  <c r="IE12" i="17"/>
  <c r="IE59" i="17"/>
  <c r="IE50" i="17"/>
  <c r="IE55" i="17"/>
  <c r="IE46" i="17"/>
  <c r="IE47" i="17"/>
  <c r="IE56" i="17"/>
  <c r="IE48" i="17"/>
  <c r="IE57" i="17"/>
  <c r="IE49" i="17"/>
  <c r="IE58" i="17"/>
  <c r="FA41" i="17"/>
  <c r="FA40" i="17"/>
  <c r="FA39" i="17"/>
  <c r="FA38" i="17"/>
  <c r="FA37" i="17"/>
  <c r="ID331" i="31"/>
  <c r="IB47" i="19"/>
  <c r="IF24" i="31"/>
  <c r="IE23" i="31"/>
  <c r="IB34" i="19"/>
  <c r="CC47" i="41"/>
  <c r="R47" i="41"/>
  <c r="FB28" i="17"/>
  <c r="FB30" i="17"/>
  <c r="FB29" i="17"/>
  <c r="EZ33" i="17"/>
  <c r="FB32" i="17"/>
  <c r="FB31" i="17"/>
  <c r="ID51" i="17"/>
  <c r="EZ42" i="17"/>
  <c r="ID60" i="17"/>
  <c r="IC26" i="19" s="1"/>
  <c r="ID23" i="17"/>
  <c r="ID24" i="17" s="1"/>
  <c r="IF1" i="17"/>
  <c r="IF10" i="17" s="1"/>
  <c r="IE20" i="17"/>
  <c r="IE18" i="17"/>
  <c r="IE22" i="17"/>
  <c r="IE19" i="17"/>
  <c r="IE21" i="17"/>
  <c r="EE29" i="30" l="1"/>
  <c r="EE28" i="30"/>
  <c r="EF27" i="30"/>
  <c r="EF28" i="30" s="1"/>
  <c r="IB332" i="31"/>
  <c r="IA25" i="30"/>
  <c r="IA26" i="30" s="1"/>
  <c r="IF12" i="17"/>
  <c r="IF11" i="17"/>
  <c r="IF9" i="17"/>
  <c r="IF13" i="17"/>
  <c r="IF50" i="17"/>
  <c r="IF59" i="17"/>
  <c r="IF46" i="17"/>
  <c r="IF55" i="17"/>
  <c r="IF47" i="17"/>
  <c r="IF56" i="17"/>
  <c r="IF57" i="17"/>
  <c r="IF48" i="17"/>
  <c r="IF58" i="17"/>
  <c r="IF49" i="17"/>
  <c r="FB41" i="17"/>
  <c r="FB40" i="17"/>
  <c r="FB39" i="17"/>
  <c r="FB38" i="17"/>
  <c r="FB37" i="17"/>
  <c r="IE331" i="31"/>
  <c r="IC47" i="19"/>
  <c r="IG24" i="31"/>
  <c r="IF23" i="31"/>
  <c r="IC34" i="19"/>
  <c r="FC28" i="17"/>
  <c r="FC32" i="17"/>
  <c r="FC29" i="17"/>
  <c r="FC30" i="17"/>
  <c r="FC31" i="17"/>
  <c r="FA33" i="17"/>
  <c r="IE23" i="17"/>
  <c r="IE24" i="17" s="1"/>
  <c r="IG1" i="17"/>
  <c r="IG10" i="17" s="1"/>
  <c r="IF18" i="17"/>
  <c r="IF19" i="17"/>
  <c r="IF20" i="17"/>
  <c r="IF21" i="17"/>
  <c r="IF22" i="17"/>
  <c r="IE60" i="17"/>
  <c r="ID26" i="19" s="1"/>
  <c r="FA42" i="17"/>
  <c r="IE51" i="17"/>
  <c r="EG27" i="30" l="1"/>
  <c r="IC332" i="31"/>
  <c r="IB25" i="30"/>
  <c r="IB26" i="30" s="1"/>
  <c r="EF29" i="30"/>
  <c r="IG13" i="17"/>
  <c r="IG9" i="17"/>
  <c r="IG11" i="17"/>
  <c r="IG12" i="17"/>
  <c r="IG50" i="17"/>
  <c r="IG59" i="17"/>
  <c r="IG55" i="17"/>
  <c r="IG46" i="17"/>
  <c r="IG56" i="17"/>
  <c r="IG47" i="17"/>
  <c r="IG57" i="17"/>
  <c r="IG48" i="17"/>
  <c r="IG58" i="17"/>
  <c r="IG49" i="17"/>
  <c r="FC41" i="17"/>
  <c r="FC40" i="17"/>
  <c r="FC39" i="17"/>
  <c r="FC38" i="17"/>
  <c r="FC37" i="17"/>
  <c r="IF331" i="31"/>
  <c r="ID47" i="19"/>
  <c r="IG23" i="31"/>
  <c r="IH24" i="31"/>
  <c r="ID34" i="19"/>
  <c r="FD28" i="17"/>
  <c r="FD31" i="17"/>
  <c r="FD30" i="17"/>
  <c r="FD32" i="17"/>
  <c r="FD29" i="17"/>
  <c r="FB33" i="17"/>
  <c r="FB42" i="17"/>
  <c r="IH1" i="17"/>
  <c r="IH10" i="17" s="1"/>
  <c r="IG21" i="17"/>
  <c r="IG19" i="17"/>
  <c r="IG18" i="17"/>
  <c r="IG20" i="17"/>
  <c r="IG22" i="17"/>
  <c r="IF51" i="17"/>
  <c r="IF23" i="17"/>
  <c r="IF24" i="17" s="1"/>
  <c r="IF60" i="17"/>
  <c r="IE26" i="19" s="1"/>
  <c r="EG29" i="30" l="1"/>
  <c r="EG28" i="30"/>
  <c r="EH27" i="30"/>
  <c r="ID332" i="31"/>
  <c r="IC25" i="30"/>
  <c r="IC26" i="30" s="1"/>
  <c r="IH12" i="17"/>
  <c r="IH11" i="17"/>
  <c r="IH9" i="17"/>
  <c r="IH13" i="17"/>
  <c r="IH50" i="17"/>
  <c r="IH59" i="17"/>
  <c r="IH55" i="17"/>
  <c r="IH46" i="17"/>
  <c r="IH56" i="17"/>
  <c r="IH47" i="17"/>
  <c r="IH57" i="17"/>
  <c r="IH48" i="17"/>
  <c r="IH58" i="17"/>
  <c r="IH49" i="17"/>
  <c r="FD41" i="17"/>
  <c r="FD40" i="17"/>
  <c r="FD39" i="17"/>
  <c r="FD38" i="17"/>
  <c r="FD37" i="17"/>
  <c r="IG331" i="31"/>
  <c r="IE47" i="19"/>
  <c r="IH23" i="31"/>
  <c r="II24" i="31"/>
  <c r="CD47" i="41"/>
  <c r="IE34" i="19"/>
  <c r="FE28" i="17"/>
  <c r="FC33" i="17"/>
  <c r="FE29" i="17"/>
  <c r="FE30" i="17"/>
  <c r="FE32" i="17"/>
  <c r="FE31" i="17"/>
  <c r="FC42" i="17"/>
  <c r="IG60" i="17"/>
  <c r="IF26" i="19" s="1"/>
  <c r="CD26" i="41" s="1"/>
  <c r="II1" i="17"/>
  <c r="II10" i="17" s="1"/>
  <c r="IH22" i="17"/>
  <c r="IH18" i="17"/>
  <c r="IH19" i="17"/>
  <c r="IH20" i="17"/>
  <c r="IH21" i="17"/>
  <c r="IG23" i="17"/>
  <c r="IG24" i="17" s="1"/>
  <c r="IG51" i="17"/>
  <c r="EH29" i="30" l="1"/>
  <c r="EH28" i="30"/>
  <c r="EI27" i="30"/>
  <c r="IE332" i="31"/>
  <c r="ID25" i="30"/>
  <c r="ID26" i="30" s="1"/>
  <c r="II13" i="17"/>
  <c r="II9" i="17"/>
  <c r="II11" i="17"/>
  <c r="II12" i="17"/>
  <c r="S47" i="41"/>
  <c r="II50" i="17"/>
  <c r="II59" i="17"/>
  <c r="II55" i="17"/>
  <c r="II46" i="17"/>
  <c r="II47" i="17"/>
  <c r="II56" i="17"/>
  <c r="II48" i="17"/>
  <c r="II57" i="17"/>
  <c r="II58" i="17"/>
  <c r="II49" i="17"/>
  <c r="FE39" i="17"/>
  <c r="FE41" i="17"/>
  <c r="FE40" i="17"/>
  <c r="FE38" i="17"/>
  <c r="FE37" i="17"/>
  <c r="IH331" i="31"/>
  <c r="IF47" i="19"/>
  <c r="II23" i="31"/>
  <c r="IJ24" i="31"/>
  <c r="IF34" i="19"/>
  <c r="CD34" i="41" s="1"/>
  <c r="FF28" i="17"/>
  <c r="FF30" i="17"/>
  <c r="FF31" i="17"/>
  <c r="FF29" i="17"/>
  <c r="FF32" i="17"/>
  <c r="FD33" i="17"/>
  <c r="IH60" i="17"/>
  <c r="IG26" i="19" s="1"/>
  <c r="IH51" i="17"/>
  <c r="IJ1" i="17"/>
  <c r="IJ10" i="17" s="1"/>
  <c r="II18" i="17"/>
  <c r="II22" i="17"/>
  <c r="II20" i="17"/>
  <c r="II21" i="17"/>
  <c r="II19" i="17"/>
  <c r="FD42" i="17"/>
  <c r="IH23" i="17"/>
  <c r="IH24" i="17" s="1"/>
  <c r="EI29" i="30" l="1"/>
  <c r="EI28" i="30"/>
  <c r="EJ27" i="30"/>
  <c r="IF332" i="31"/>
  <c r="IE25" i="30"/>
  <c r="IE26" i="30" s="1"/>
  <c r="IJ12" i="17"/>
  <c r="IJ11" i="17"/>
  <c r="IJ9" i="17"/>
  <c r="IJ13" i="17"/>
  <c r="IJ50" i="17"/>
  <c r="IJ59" i="17"/>
  <c r="IJ55" i="17"/>
  <c r="IJ46" i="17"/>
  <c r="IJ47" i="17"/>
  <c r="IJ56" i="17"/>
  <c r="IJ48" i="17"/>
  <c r="IJ57" i="17"/>
  <c r="IJ49" i="17"/>
  <c r="IJ58" i="17"/>
  <c r="FF41" i="17"/>
  <c r="FF40" i="17"/>
  <c r="FF39" i="17"/>
  <c r="FF38" i="17"/>
  <c r="FF37" i="17"/>
  <c r="II331" i="31"/>
  <c r="AP47" i="19"/>
  <c r="IG47" i="19"/>
  <c r="IK24" i="31"/>
  <c r="IJ23" i="31"/>
  <c r="IG34" i="19"/>
  <c r="AU47" i="19"/>
  <c r="FG28" i="17"/>
  <c r="FG29" i="17"/>
  <c r="FG30" i="17"/>
  <c r="FE33" i="17"/>
  <c r="FG31" i="17"/>
  <c r="FG32" i="17"/>
  <c r="FE42" i="17"/>
  <c r="II23" i="17"/>
  <c r="II24" i="17" s="1"/>
  <c r="II60" i="17"/>
  <c r="IH26" i="19" s="1"/>
  <c r="II51" i="17"/>
  <c r="IK1" i="17"/>
  <c r="IK10" i="17" s="1"/>
  <c r="IJ19" i="17"/>
  <c r="IJ20" i="17"/>
  <c r="IJ21" i="17"/>
  <c r="IJ22" i="17"/>
  <c r="IJ18" i="17"/>
  <c r="EJ29" i="30" l="1"/>
  <c r="EJ28" i="30"/>
  <c r="EK27" i="30"/>
  <c r="EK28" i="30" s="1"/>
  <c r="IG332" i="31"/>
  <c r="IF25" i="30"/>
  <c r="IF26" i="30" s="1"/>
  <c r="IK13" i="17"/>
  <c r="IK9" i="17"/>
  <c r="IK11" i="17"/>
  <c r="IK12" i="17"/>
  <c r="IK50" i="17"/>
  <c r="IK59" i="17"/>
  <c r="IK55" i="17"/>
  <c r="IK46" i="17"/>
  <c r="IK47" i="17"/>
  <c r="IK56" i="17"/>
  <c r="IK57" i="17"/>
  <c r="IK48" i="17"/>
  <c r="IK58" i="17"/>
  <c r="IK49" i="17"/>
  <c r="FG41" i="17"/>
  <c r="FG40" i="17"/>
  <c r="FG39" i="17"/>
  <c r="FG38" i="17"/>
  <c r="FG37" i="17"/>
  <c r="IJ331" i="31"/>
  <c r="IH47" i="19"/>
  <c r="IL24" i="31"/>
  <c r="IK23" i="31"/>
  <c r="AU34" i="19"/>
  <c r="AP34" i="19"/>
  <c r="IH34" i="19"/>
  <c r="CE47" i="41"/>
  <c r="FH28" i="17"/>
  <c r="FH30" i="17"/>
  <c r="FH31" i="17"/>
  <c r="FH29" i="17"/>
  <c r="FF33" i="17"/>
  <c r="FH32" i="17"/>
  <c r="IL1" i="17"/>
  <c r="IL10" i="17" s="1"/>
  <c r="IK19" i="17"/>
  <c r="IK21" i="17"/>
  <c r="IK18" i="17"/>
  <c r="IK20" i="17"/>
  <c r="IK22" i="17"/>
  <c r="IJ51" i="17"/>
  <c r="FF42" i="17"/>
  <c r="IJ23" i="17"/>
  <c r="IJ24" i="17" s="1"/>
  <c r="IJ60" i="17"/>
  <c r="II26" i="19" s="1"/>
  <c r="EK29" i="30" l="1"/>
  <c r="EL27" i="30"/>
  <c r="EL28" i="30" s="1"/>
  <c r="IH332" i="31"/>
  <c r="IG25" i="30"/>
  <c r="IG26" i="30" s="1"/>
  <c r="IL12" i="17"/>
  <c r="IL11" i="17"/>
  <c r="IL9" i="17"/>
  <c r="IL13" i="17"/>
  <c r="IL59" i="17"/>
  <c r="IL50" i="17"/>
  <c r="IL46" i="17"/>
  <c r="IL55" i="17"/>
  <c r="IL47" i="17"/>
  <c r="IL56" i="17"/>
  <c r="IL57" i="17"/>
  <c r="IL48" i="17"/>
  <c r="IL49" i="17"/>
  <c r="IL58" i="17"/>
  <c r="FH41" i="17"/>
  <c r="FH40" i="17"/>
  <c r="FH39" i="17"/>
  <c r="FH38" i="17"/>
  <c r="FH37" i="17"/>
  <c r="IK331" i="31"/>
  <c r="II47" i="19"/>
  <c r="IM24" i="31"/>
  <c r="IL23" i="31"/>
  <c r="II34" i="19"/>
  <c r="FI28" i="17"/>
  <c r="FI32" i="17"/>
  <c r="FI31" i="17"/>
  <c r="FG33" i="17"/>
  <c r="EM27" i="30" s="1"/>
  <c r="EM28" i="30" s="1"/>
  <c r="FI29" i="17"/>
  <c r="FI30" i="17"/>
  <c r="IM1" i="17"/>
  <c r="IM10" i="17" s="1"/>
  <c r="IL18" i="17"/>
  <c r="IL19" i="17"/>
  <c r="IL20" i="17"/>
  <c r="IL21" i="17"/>
  <c r="IL22" i="17"/>
  <c r="IK60" i="17"/>
  <c r="IJ26" i="19" s="1"/>
  <c r="FG42" i="17"/>
  <c r="IK51" i="17"/>
  <c r="IK23" i="17"/>
  <c r="IK24" i="17" s="1"/>
  <c r="EM29" i="30" l="1"/>
  <c r="II332" i="31"/>
  <c r="IH25" i="30"/>
  <c r="IH26" i="30" s="1"/>
  <c r="EL29" i="30"/>
  <c r="IM13" i="17"/>
  <c r="IM9" i="17"/>
  <c r="IM11" i="17"/>
  <c r="IM12" i="17"/>
  <c r="IM50" i="17"/>
  <c r="IM59" i="17"/>
  <c r="IM46" i="17"/>
  <c r="IM55" i="17"/>
  <c r="IM56" i="17"/>
  <c r="IM47" i="17"/>
  <c r="IM48" i="17"/>
  <c r="IM57" i="17"/>
  <c r="IM58" i="17"/>
  <c r="IM49" i="17"/>
  <c r="FI41" i="17"/>
  <c r="FI40" i="17"/>
  <c r="FI39" i="17"/>
  <c r="FI38" i="17"/>
  <c r="FI37" i="17"/>
  <c r="IL331" i="31"/>
  <c r="IJ47" i="19"/>
  <c r="IN24" i="31"/>
  <c r="IM23" i="31"/>
  <c r="IJ34" i="19"/>
  <c r="FJ28" i="17"/>
  <c r="FH33" i="17"/>
  <c r="FJ29" i="17"/>
  <c r="FJ30" i="17"/>
  <c r="FJ31" i="17"/>
  <c r="FJ32" i="17"/>
  <c r="IN1" i="17"/>
  <c r="IN10" i="17" s="1"/>
  <c r="IM20" i="17"/>
  <c r="IM18" i="17"/>
  <c r="IM22" i="17"/>
  <c r="IM19" i="17"/>
  <c r="IM21" i="17"/>
  <c r="IL23" i="17"/>
  <c r="IL24" i="17" s="1"/>
  <c r="IL60" i="17"/>
  <c r="IK26" i="19" s="1"/>
  <c r="IL51" i="17"/>
  <c r="FH42" i="17"/>
  <c r="EN27" i="30" l="1"/>
  <c r="EN28" i="30" s="1"/>
  <c r="IJ332" i="31"/>
  <c r="II25" i="30"/>
  <c r="II26" i="30" s="1"/>
  <c r="IN12" i="17"/>
  <c r="IN11" i="17"/>
  <c r="IN9" i="17"/>
  <c r="IN13" i="17"/>
  <c r="IN50" i="17"/>
  <c r="IN59" i="17"/>
  <c r="IN46" i="17"/>
  <c r="IN55" i="17"/>
  <c r="IN47" i="17"/>
  <c r="IN56" i="17"/>
  <c r="IN57" i="17"/>
  <c r="IN48" i="17"/>
  <c r="IN58" i="17"/>
  <c r="IN49" i="17"/>
  <c r="FJ41" i="17"/>
  <c r="FJ40" i="17"/>
  <c r="FJ39" i="17"/>
  <c r="FJ38" i="17"/>
  <c r="FJ37" i="17"/>
  <c r="IM331" i="31"/>
  <c r="IK47" i="19"/>
  <c r="IN23" i="31"/>
  <c r="IO24" i="31"/>
  <c r="CF47" i="41"/>
  <c r="IK34" i="19"/>
  <c r="FK28" i="17"/>
  <c r="FK31" i="17"/>
  <c r="FK30" i="17"/>
  <c r="FK29" i="17"/>
  <c r="FI33" i="17"/>
  <c r="FK32" i="17"/>
  <c r="IO1" i="17"/>
  <c r="IO10" i="17" s="1"/>
  <c r="IN18" i="17"/>
  <c r="IN19" i="17"/>
  <c r="IN20" i="17"/>
  <c r="IN21" i="17"/>
  <c r="IN22" i="17"/>
  <c r="IM23" i="17"/>
  <c r="IM24" i="17" s="1"/>
  <c r="FI42" i="17"/>
  <c r="IM60" i="17"/>
  <c r="IL26" i="19" s="1"/>
  <c r="CF26" i="41" s="1"/>
  <c r="IM51" i="17"/>
  <c r="EO27" i="30" l="1"/>
  <c r="IK332" i="31"/>
  <c r="IJ25" i="30"/>
  <c r="IJ26" i="30" s="1"/>
  <c r="EN29" i="30"/>
  <c r="IO13" i="17"/>
  <c r="IO9" i="17"/>
  <c r="IO11" i="17"/>
  <c r="IO12" i="17"/>
  <c r="IO50" i="17"/>
  <c r="IO59" i="17"/>
  <c r="IO55" i="17"/>
  <c r="IO46" i="17"/>
  <c r="IO47" i="17"/>
  <c r="IO56" i="17"/>
  <c r="IO57" i="17"/>
  <c r="IO48" i="17"/>
  <c r="IO49" i="17"/>
  <c r="IO58" i="17"/>
  <c r="FK41" i="17"/>
  <c r="FK40" i="17"/>
  <c r="FK39" i="17"/>
  <c r="FK38" i="17"/>
  <c r="FK37" i="17"/>
  <c r="IN331" i="31"/>
  <c r="IL47" i="19"/>
  <c r="IO23" i="31"/>
  <c r="IP24" i="31"/>
  <c r="IL34" i="19"/>
  <c r="FL28" i="17"/>
  <c r="FL32" i="17"/>
  <c r="FL31" i="17"/>
  <c r="FJ33" i="17"/>
  <c r="FL29" i="17"/>
  <c r="FL30" i="17"/>
  <c r="IN60" i="17"/>
  <c r="IM26" i="19" s="1"/>
  <c r="IN23" i="17"/>
  <c r="IN24" i="17" s="1"/>
  <c r="IP1" i="17"/>
  <c r="IP10" i="17" s="1"/>
  <c r="IO21" i="17"/>
  <c r="IO19" i="17"/>
  <c r="IO18" i="17"/>
  <c r="IO20" i="17"/>
  <c r="IO22" i="17"/>
  <c r="FJ42" i="17"/>
  <c r="IN51" i="17"/>
  <c r="EO29" i="30" l="1"/>
  <c r="EO28" i="30"/>
  <c r="IL332" i="31"/>
  <c r="IK25" i="30"/>
  <c r="IK26" i="30" s="1"/>
  <c r="EP27" i="30"/>
  <c r="EP28" i="30" s="1"/>
  <c r="IP12" i="17"/>
  <c r="IP11" i="17"/>
  <c r="IP9" i="17"/>
  <c r="IP13" i="17"/>
  <c r="IP50" i="17"/>
  <c r="IP59" i="17"/>
  <c r="IP55" i="17"/>
  <c r="IP46" i="17"/>
  <c r="IP47" i="17"/>
  <c r="IP56" i="17"/>
  <c r="IP48" i="17"/>
  <c r="IP57" i="17"/>
  <c r="IP49" i="17"/>
  <c r="IP58" i="17"/>
  <c r="FL41" i="17"/>
  <c r="FL40" i="17"/>
  <c r="FL39" i="17"/>
  <c r="FL38" i="17"/>
  <c r="FL37" i="17"/>
  <c r="IO331" i="31"/>
  <c r="IM47" i="19"/>
  <c r="IP23" i="31"/>
  <c r="IQ24" i="31"/>
  <c r="IQ1" i="17"/>
  <c r="IR1" i="17" s="1"/>
  <c r="IM34" i="19"/>
  <c r="FM28" i="17"/>
  <c r="FK33" i="17"/>
  <c r="FM31" i="17"/>
  <c r="FM32" i="17"/>
  <c r="FM30" i="17"/>
  <c r="FM29" i="17"/>
  <c r="IO23" i="17"/>
  <c r="IO24" i="17" s="1"/>
  <c r="IP18" i="17"/>
  <c r="IP19" i="17"/>
  <c r="IP20" i="17"/>
  <c r="IP21" i="17"/>
  <c r="IP22" i="17"/>
  <c r="AL10" i="19"/>
  <c r="EP27" i="19"/>
  <c r="EC27" i="19"/>
  <c r="DW41" i="19"/>
  <c r="AH10" i="19"/>
  <c r="EV41" i="19"/>
  <c r="EA41" i="19"/>
  <c r="V11" i="19"/>
  <c r="BC11" i="19"/>
  <c r="BX11" i="19"/>
  <c r="EA11" i="19"/>
  <c r="CH11" i="19"/>
  <c r="CX10" i="19"/>
  <c r="CF11" i="19"/>
  <c r="BJ41" i="19"/>
  <c r="Y41" i="19"/>
  <c r="AN10" i="19"/>
  <c r="BQ11" i="19"/>
  <c r="CZ10" i="19"/>
  <c r="EA10" i="19"/>
  <c r="CI10" i="19"/>
  <c r="ER10" i="19"/>
  <c r="BU10" i="19"/>
  <c r="DM27" i="19"/>
  <c r="CA10" i="19"/>
  <c r="CZ27" i="19"/>
  <c r="FM27" i="19"/>
  <c r="Z41" i="19"/>
  <c r="W10" i="19"/>
  <c r="BS10" i="19"/>
  <c r="AU11" i="19"/>
  <c r="BF41" i="19"/>
  <c r="BB10" i="19"/>
  <c r="CT27" i="19"/>
  <c r="EQ27" i="19"/>
  <c r="DF10" i="19"/>
  <c r="BG11" i="19"/>
  <c r="DU41" i="19"/>
  <c r="ER11" i="19"/>
  <c r="DS11" i="19"/>
  <c r="EL27" i="19"/>
  <c r="DV10" i="19"/>
  <c r="CN10" i="19"/>
  <c r="EO41" i="19"/>
  <c r="EZ10" i="19"/>
  <c r="BF10" i="19"/>
  <c r="EQ10" i="19"/>
  <c r="V41" i="19"/>
  <c r="BO41" i="19"/>
  <c r="FG27" i="19"/>
  <c r="AS11" i="19"/>
  <c r="Y10" i="19"/>
  <c r="CD11" i="19"/>
  <c r="AB10" i="19"/>
  <c r="EU10" i="19"/>
  <c r="FK27" i="19"/>
  <c r="CR11" i="19"/>
  <c r="DR10" i="19"/>
  <c r="FU27" i="19"/>
  <c r="CY27" i="19"/>
  <c r="EX27" i="19"/>
  <c r="BK10" i="19"/>
  <c r="AF10" i="19"/>
  <c r="EC11" i="19"/>
  <c r="DL27" i="19"/>
  <c r="ET27" i="19"/>
  <c r="BS11" i="19"/>
  <c r="AJ11" i="19"/>
  <c r="P11" i="19"/>
  <c r="BG41" i="19"/>
  <c r="CE10" i="19"/>
  <c r="FO27" i="19"/>
  <c r="AF11" i="19"/>
  <c r="AD41" i="19"/>
  <c r="DO11" i="19"/>
  <c r="T10" i="19"/>
  <c r="BC10" i="19"/>
  <c r="EP11" i="19"/>
  <c r="DU27" i="19"/>
  <c r="AY41" i="19"/>
  <c r="Z10" i="19"/>
  <c r="AW11" i="19"/>
  <c r="R11" i="19"/>
  <c r="DD27" i="19"/>
  <c r="EG10" i="19"/>
  <c r="AK11" i="19"/>
  <c r="EE11" i="19"/>
  <c r="FD10" i="19"/>
  <c r="EK11" i="19"/>
  <c r="DY10" i="19"/>
  <c r="CU10" i="19"/>
  <c r="CB41" i="19"/>
  <c r="EG41" i="19"/>
  <c r="BD11" i="19"/>
  <c r="CV11" i="19"/>
  <c r="BD10" i="19"/>
  <c r="DH11" i="19"/>
  <c r="ED11" i="19"/>
  <c r="DI27" i="19"/>
  <c r="ET10" i="19"/>
  <c r="BM10" i="19"/>
  <c r="BK41" i="19"/>
  <c r="DB10" i="19"/>
  <c r="ED10" i="19"/>
  <c r="CB10" i="19"/>
  <c r="CK10" i="19"/>
  <c r="EM10" i="19"/>
  <c r="EH41" i="19"/>
  <c r="AZ11" i="19"/>
  <c r="BH41" i="19"/>
  <c r="BZ11" i="19"/>
  <c r="FR27" i="19"/>
  <c r="AP10" i="19"/>
  <c r="DA10" i="19"/>
  <c r="DK10" i="19"/>
  <c r="AP11" i="19"/>
  <c r="T11" i="19"/>
  <c r="CB11" i="19"/>
  <c r="DR27" i="19"/>
  <c r="DA11" i="19"/>
  <c r="EJ11" i="19"/>
  <c r="AU10" i="19"/>
  <c r="DL10" i="19"/>
  <c r="BN11" i="19"/>
  <c r="BH10" i="19"/>
  <c r="U11" i="19"/>
  <c r="BV10" i="19"/>
  <c r="AW10" i="19"/>
  <c r="DZ41" i="19"/>
  <c r="DC27" i="19"/>
  <c r="AG11" i="19"/>
  <c r="ET11" i="19"/>
  <c r="R41" i="19"/>
  <c r="AB11" i="19"/>
  <c r="DP10" i="19"/>
  <c r="P10" i="19"/>
  <c r="BN10" i="19"/>
  <c r="DM10" i="19"/>
  <c r="EJ10" i="19"/>
  <c r="EI11" i="19"/>
  <c r="BA11" i="19"/>
  <c r="AA11" i="19"/>
  <c r="BW11" i="19"/>
  <c r="CU11" i="19"/>
  <c r="AE11" i="19"/>
  <c r="Q11" i="19"/>
  <c r="DU10" i="19"/>
  <c r="S10" i="19"/>
  <c r="DG11" i="19"/>
  <c r="AR41" i="19"/>
  <c r="BO11" i="19"/>
  <c r="BP10" i="19"/>
  <c r="AV11" i="19"/>
  <c r="U41" i="19"/>
  <c r="CM10" i="19"/>
  <c r="CQ10" i="19"/>
  <c r="EL11" i="19"/>
  <c r="BO10" i="19"/>
  <c r="DK11" i="19"/>
  <c r="AS10" i="19"/>
  <c r="BE41" i="19"/>
  <c r="DN10" i="19"/>
  <c r="AL11" i="19"/>
  <c r="CJ10" i="19"/>
  <c r="X10" i="19"/>
  <c r="EY27" i="19"/>
  <c r="AC10" i="19"/>
  <c r="BI10" i="19"/>
  <c r="CW10" i="19"/>
  <c r="DE11" i="19"/>
  <c r="DP27" i="19"/>
  <c r="CO10" i="19"/>
  <c r="BJ11" i="19"/>
  <c r="BJ10" i="19"/>
  <c r="DS10" i="19"/>
  <c r="DV41" i="19"/>
  <c r="CY10" i="19"/>
  <c r="CQ11" i="19"/>
  <c r="AY11" i="19"/>
  <c r="BI41" i="19"/>
  <c r="Q41" i="19"/>
  <c r="FD27" i="19"/>
  <c r="DT41" i="19"/>
  <c r="AV41" i="19"/>
  <c r="EN11" i="19"/>
  <c r="DT11" i="19"/>
  <c r="EY10" i="19"/>
  <c r="AI41" i="19"/>
  <c r="CL11" i="19"/>
  <c r="DN41" i="19"/>
  <c r="CK11" i="19"/>
  <c r="BR11" i="19"/>
  <c r="EQ11" i="19"/>
  <c r="AY10" i="19"/>
  <c r="CF10" i="19"/>
  <c r="AT11" i="19"/>
  <c r="DQ10" i="19"/>
  <c r="DA27" i="19"/>
  <c r="FC27" i="19"/>
  <c r="CY11" i="19"/>
  <c r="EE10" i="19"/>
  <c r="DN11" i="19"/>
  <c r="BY11" i="19"/>
  <c r="BV41" i="19"/>
  <c r="BA41" i="19"/>
  <c r="AI11" i="19"/>
  <c r="FP27" i="19"/>
  <c r="DI11" i="19"/>
  <c r="EO11" i="19"/>
  <c r="FI10" i="19"/>
  <c r="EV10" i="19"/>
  <c r="AO11" i="19"/>
  <c r="AI10" i="19"/>
  <c r="CX11" i="19"/>
  <c r="FA27" i="19"/>
  <c r="DZ11" i="19"/>
  <c r="EW10" i="19"/>
  <c r="BN41" i="19"/>
  <c r="AQ10" i="19"/>
  <c r="FG10" i="19"/>
  <c r="CE11" i="19"/>
  <c r="FH27" i="19"/>
  <c r="AE10" i="19"/>
  <c r="EJ27" i="19"/>
  <c r="CR10" i="19"/>
  <c r="CR12" i="19" s="1"/>
  <c r="BF11" i="19"/>
  <c r="CQ27" i="19"/>
  <c r="BG10" i="19"/>
  <c r="DC10" i="19"/>
  <c r="BT11" i="19"/>
  <c r="ED27" i="19"/>
  <c r="AT10" i="19"/>
  <c r="EG11" i="19"/>
  <c r="CH27" i="19"/>
  <c r="EH11" i="19"/>
  <c r="DM41" i="19"/>
  <c r="FF27" i="19"/>
  <c r="CO11" i="19"/>
  <c r="FE27" i="19"/>
  <c r="CG11" i="19"/>
  <c r="CC41" i="19"/>
  <c r="DM11" i="19"/>
  <c r="FH10" i="19"/>
  <c r="DH41" i="19"/>
  <c r="DG41" i="19"/>
  <c r="CA11" i="19"/>
  <c r="CO27" i="19"/>
  <c r="EU11" i="19"/>
  <c r="AQ11" i="19"/>
  <c r="EW11" i="19"/>
  <c r="EN10" i="19"/>
  <c r="CH10" i="19"/>
  <c r="CH12" i="19" s="1"/>
  <c r="EN41" i="19"/>
  <c r="FF10" i="19"/>
  <c r="DJ11" i="19"/>
  <c r="AX41" i="19"/>
  <c r="AZ10" i="19"/>
  <c r="BU41" i="19"/>
  <c r="DO10" i="19"/>
  <c r="DQ41" i="19"/>
  <c r="BW10" i="19"/>
  <c r="FI41" i="19"/>
  <c r="FJ41" i="19"/>
  <c r="DO41" i="19"/>
  <c r="AA41" i="19"/>
  <c r="FC10" i="19"/>
  <c r="Q10" i="19"/>
  <c r="X11" i="19"/>
  <c r="AK10" i="19"/>
  <c r="DG10" i="19"/>
  <c r="FS41" i="19"/>
  <c r="CU27" i="19"/>
  <c r="FE10" i="19"/>
  <c r="EA27" i="19"/>
  <c r="EL10" i="19"/>
  <c r="V10" i="19"/>
  <c r="BZ10" i="19"/>
  <c r="FB27" i="19"/>
  <c r="DZ10" i="19"/>
  <c r="FI27" i="19"/>
  <c r="AW41" i="19"/>
  <c r="AN11" i="19"/>
  <c r="BE10" i="19"/>
  <c r="BX10" i="19"/>
  <c r="EK27" i="19"/>
  <c r="Y11" i="19"/>
  <c r="BV11" i="19"/>
  <c r="CG10" i="19"/>
  <c r="AP41" i="19"/>
  <c r="FA41" i="19"/>
  <c r="EF10" i="19"/>
  <c r="BP11" i="19"/>
  <c r="CI11" i="19"/>
  <c r="CL10" i="19"/>
  <c r="BR10" i="19"/>
  <c r="EY11" i="19"/>
  <c r="FA10" i="19"/>
  <c r="DP11" i="19"/>
  <c r="EE27" i="19"/>
  <c r="CS11" i="19"/>
  <c r="DL41" i="19"/>
  <c r="AE41" i="19"/>
  <c r="DT10" i="19"/>
  <c r="CC11" i="19"/>
  <c r="AJ41" i="19"/>
  <c r="DR11" i="19"/>
  <c r="AN41" i="19"/>
  <c r="EY41" i="19"/>
  <c r="CP10" i="19"/>
  <c r="EF41" i="19"/>
  <c r="FQ41" i="19"/>
  <c r="P41" i="19"/>
  <c r="U10" i="19"/>
  <c r="AL41" i="19"/>
  <c r="FB10" i="19"/>
  <c r="BL10" i="19"/>
  <c r="CW27" i="19"/>
  <c r="EO27" i="19"/>
  <c r="FT27" i="19"/>
  <c r="R10" i="19"/>
  <c r="DC11" i="19"/>
  <c r="DD11" i="19"/>
  <c r="EP10" i="19"/>
  <c r="BB11" i="19"/>
  <c r="DF11" i="19"/>
  <c r="FE41" i="19"/>
  <c r="AT41" i="19"/>
  <c r="CV41" i="19"/>
  <c r="AB41" i="19"/>
  <c r="DN27" i="19"/>
  <c r="DW10" i="19"/>
  <c r="DB11" i="19"/>
  <c r="BY10" i="19"/>
  <c r="CA41" i="19"/>
  <c r="BS41" i="19"/>
  <c r="CM11" i="19"/>
  <c r="EO10" i="19"/>
  <c r="EX11" i="19"/>
  <c r="AK41" i="19"/>
  <c r="CD10" i="19"/>
  <c r="EF11" i="19"/>
  <c r="EB10" i="19"/>
  <c r="CS10" i="19"/>
  <c r="DX10" i="19"/>
  <c r="EM11" i="19"/>
  <c r="BH11" i="19"/>
  <c r="BA10" i="19"/>
  <c r="ES11" i="19"/>
  <c r="BT41" i="19"/>
  <c r="BK11" i="19"/>
  <c r="AR11" i="19"/>
  <c r="DW27" i="19"/>
  <c r="EX41" i="19"/>
  <c r="CT41" i="19"/>
  <c r="BT10" i="19"/>
  <c r="DF27" i="19"/>
  <c r="DL11" i="19"/>
  <c r="AA10" i="19"/>
  <c r="AA12" i="19" s="1"/>
  <c r="DZ27" i="19"/>
  <c r="FL27" i="19"/>
  <c r="ES10" i="19"/>
  <c r="AM10" i="19"/>
  <c r="AO10" i="19"/>
  <c r="DE10" i="19"/>
  <c r="DS41" i="19"/>
  <c r="EB11" i="19"/>
  <c r="EI27" i="19"/>
  <c r="DX11" i="19"/>
  <c r="AD10" i="19"/>
  <c r="DJ27" i="19"/>
  <c r="DO27" i="19"/>
  <c r="EE41" i="19"/>
  <c r="EK41" i="19"/>
  <c r="BD41" i="19"/>
  <c r="CJ41" i="19"/>
  <c r="DI10" i="19"/>
  <c r="AX11" i="19"/>
  <c r="BU11" i="19"/>
  <c r="EX10" i="19"/>
  <c r="AG10" i="19"/>
  <c r="EG27" i="19"/>
  <c r="AC11" i="19"/>
  <c r="AU41" i="19"/>
  <c r="AM11" i="19"/>
  <c r="W11" i="19"/>
  <c r="CI27" i="19"/>
  <c r="BL11" i="19"/>
  <c r="CT10" i="19"/>
  <c r="DV11" i="19"/>
  <c r="S11" i="19"/>
  <c r="CW11" i="19"/>
  <c r="DQ27" i="19"/>
  <c r="BM11" i="19"/>
  <c r="EU27" i="19"/>
  <c r="EH10" i="19"/>
  <c r="AJ10" i="19"/>
  <c r="EU41" i="19"/>
  <c r="CM27" i="19"/>
  <c r="CZ11" i="19"/>
  <c r="EI41" i="19"/>
  <c r="DP41" i="19"/>
  <c r="ET41" i="19"/>
  <c r="AD11" i="19"/>
  <c r="DJ10" i="19"/>
  <c r="S41" i="19"/>
  <c r="BZ41" i="19"/>
  <c r="DY27" i="19"/>
  <c r="ES27" i="19"/>
  <c r="FG41" i="19"/>
  <c r="FC41" i="19"/>
  <c r="BE11" i="19"/>
  <c r="AR10" i="19"/>
  <c r="Z11" i="19"/>
  <c r="CP41" i="19"/>
  <c r="CR41" i="19"/>
  <c r="CE41" i="19"/>
  <c r="W41" i="19"/>
  <c r="DV27" i="19"/>
  <c r="CW41" i="19"/>
  <c r="CJ11" i="19"/>
  <c r="EC10" i="19"/>
  <c r="X41" i="19"/>
  <c r="EM41" i="19"/>
  <c r="CN27" i="19"/>
  <c r="EK10" i="19"/>
  <c r="EK12" i="19" s="1"/>
  <c r="CF41" i="19"/>
  <c r="EV11" i="19"/>
  <c r="BR41" i="19"/>
  <c r="FM41" i="19"/>
  <c r="EB27" i="19"/>
  <c r="BC41" i="19"/>
  <c r="EH27" i="19"/>
  <c r="BQ41" i="19"/>
  <c r="CM41" i="19"/>
  <c r="FO41" i="19"/>
  <c r="EC41" i="19"/>
  <c r="CP11" i="19"/>
  <c r="DC41" i="19"/>
  <c r="AG41" i="19"/>
  <c r="EI10" i="19"/>
  <c r="AC41" i="19"/>
  <c r="DX27" i="19"/>
  <c r="AF41" i="19"/>
  <c r="DY11" i="19"/>
  <c r="FR41" i="19"/>
  <c r="EZ41" i="19"/>
  <c r="DD10" i="19"/>
  <c r="AV10" i="19"/>
  <c r="FP41" i="19"/>
  <c r="CK41" i="19"/>
  <c r="DS27" i="19"/>
  <c r="DJ41" i="19"/>
  <c r="EJ41" i="19"/>
  <c r="CY41" i="19"/>
  <c r="FJ27" i="19"/>
  <c r="CQ41" i="19"/>
  <c r="CX27" i="19"/>
  <c r="EQ41" i="19"/>
  <c r="DE27" i="19"/>
  <c r="CX41" i="19"/>
  <c r="EM27" i="19"/>
  <c r="FN27" i="19"/>
  <c r="DH10" i="19"/>
  <c r="CL41" i="19"/>
  <c r="DQ11" i="19"/>
  <c r="FU41" i="19"/>
  <c r="AS41" i="19"/>
  <c r="DE41" i="19"/>
  <c r="AO41" i="19"/>
  <c r="ED41" i="19"/>
  <c r="AH11" i="19"/>
  <c r="FS27" i="19"/>
  <c r="BP41" i="19"/>
  <c r="FD41" i="19"/>
  <c r="FH41" i="19"/>
  <c r="DF41" i="19"/>
  <c r="CS41" i="19"/>
  <c r="AH41" i="19"/>
  <c r="CD41" i="19"/>
  <c r="EW27" i="19"/>
  <c r="DD41" i="19"/>
  <c r="FF41" i="19"/>
  <c r="FW41" i="19"/>
  <c r="CG41" i="19"/>
  <c r="EB41" i="19"/>
  <c r="DX41" i="19"/>
  <c r="DW11" i="19"/>
  <c r="BW41" i="19"/>
  <c r="FW27" i="19"/>
  <c r="FK41" i="19"/>
  <c r="EW41" i="19"/>
  <c r="FQ27" i="19"/>
  <c r="CK27" i="19"/>
  <c r="BX41" i="19"/>
  <c r="DK27" i="19"/>
  <c r="CH41" i="19"/>
  <c r="EZ27" i="19"/>
  <c r="DI41" i="19"/>
  <c r="DA41" i="19"/>
  <c r="DK41" i="19"/>
  <c r="BB41" i="19"/>
  <c r="AQ41" i="19"/>
  <c r="BI11" i="19"/>
  <c r="CU41" i="19"/>
  <c r="EP41" i="19"/>
  <c r="CT11" i="19"/>
  <c r="BY41" i="19"/>
  <c r="EL41" i="19"/>
  <c r="BM41" i="19"/>
  <c r="FV41" i="19"/>
  <c r="CP27" i="19"/>
  <c r="EV27" i="19"/>
  <c r="BQ10" i="19"/>
  <c r="DG27" i="19"/>
  <c r="FN41" i="19"/>
  <c r="CN41" i="19"/>
  <c r="ES41" i="19"/>
  <c r="DB41" i="19"/>
  <c r="CV10" i="19"/>
  <c r="FT41" i="19"/>
  <c r="DU11" i="19"/>
  <c r="T41" i="19"/>
  <c r="CC10" i="19"/>
  <c r="DB27" i="19"/>
  <c r="CO41" i="19"/>
  <c r="FB41" i="19"/>
  <c r="FL41" i="19"/>
  <c r="ER41" i="19"/>
  <c r="DR41" i="19"/>
  <c r="AX10" i="19"/>
  <c r="FV27" i="19"/>
  <c r="CN11" i="19"/>
  <c r="AZ41" i="19"/>
  <c r="EN27" i="19"/>
  <c r="DY41" i="19"/>
  <c r="BL41" i="19"/>
  <c r="CR27" i="19"/>
  <c r="CZ41" i="19"/>
  <c r="AM41" i="19"/>
  <c r="CI41" i="19"/>
  <c r="IO51" i="17"/>
  <c r="FK42" i="17"/>
  <c r="EZ11" i="19" s="1"/>
  <c r="IO60" i="17"/>
  <c r="IN26" i="19" s="1"/>
  <c r="FJ10" i="19" l="1"/>
  <c r="EQ27" i="30"/>
  <c r="EQ28" i="30" s="1"/>
  <c r="EP29" i="30"/>
  <c r="AG12" i="19"/>
  <c r="IM332" i="31"/>
  <c r="IL25" i="30"/>
  <c r="IL26" i="30" s="1"/>
  <c r="AS12" i="19"/>
  <c r="P7" i="32"/>
  <c r="O7" i="32"/>
  <c r="P22" i="28"/>
  <c r="N7" i="32"/>
  <c r="O22" i="28"/>
  <c r="Q22" i="28"/>
  <c r="N22" i="28"/>
  <c r="R22" i="28"/>
  <c r="N8" i="32"/>
  <c r="Q7" i="32"/>
  <c r="Q8" i="32"/>
  <c r="P8" i="32"/>
  <c r="P9" i="32" s="1"/>
  <c r="O8" i="32"/>
  <c r="DG12" i="19"/>
  <c r="AO41" i="41"/>
  <c r="IQ13" i="17"/>
  <c r="IR13" i="17" s="1"/>
  <c r="IQ9" i="17"/>
  <c r="IR9" i="17" s="1"/>
  <c r="IQ11" i="17"/>
  <c r="IR11" i="17" s="1"/>
  <c r="BQ12" i="19"/>
  <c r="IQ12" i="17"/>
  <c r="IR12" i="17" s="1"/>
  <c r="IQ10" i="17"/>
  <c r="IR10" i="17" s="1"/>
  <c r="BA12" i="19"/>
  <c r="DD12" i="19"/>
  <c r="AH11" i="41"/>
  <c r="AV11" i="41"/>
  <c r="AW11" i="41"/>
  <c r="EN12" i="19"/>
  <c r="EJ12" i="19"/>
  <c r="AX12" i="19"/>
  <c r="AC41" i="41"/>
  <c r="AV41" i="41"/>
  <c r="X41" i="41"/>
  <c r="AE11" i="41"/>
  <c r="AE41" i="41"/>
  <c r="EE12" i="19"/>
  <c r="R41" i="41"/>
  <c r="DS12" i="19"/>
  <c r="BZ12" i="19"/>
  <c r="AU41" i="41"/>
  <c r="AF11" i="41"/>
  <c r="AR12" i="19"/>
  <c r="CC12" i="19"/>
  <c r="I11" i="41"/>
  <c r="BA11" i="41"/>
  <c r="AK11" i="41"/>
  <c r="CW12" i="19"/>
  <c r="Z11" i="41"/>
  <c r="AF12" i="19"/>
  <c r="AM41" i="41"/>
  <c r="BY12" i="19"/>
  <c r="DM12" i="19"/>
  <c r="EA12" i="19"/>
  <c r="O11" i="41"/>
  <c r="CE12" i="19"/>
  <c r="AO12" i="19"/>
  <c r="BW12" i="19"/>
  <c r="BJ12" i="19"/>
  <c r="CU12" i="19"/>
  <c r="N41" i="41"/>
  <c r="AE12" i="19"/>
  <c r="AJ12" i="19"/>
  <c r="CL12" i="19"/>
  <c r="BS12" i="19"/>
  <c r="AX41" i="41"/>
  <c r="AH41" i="41"/>
  <c r="DA12" i="19"/>
  <c r="DJ12" i="19"/>
  <c r="AV12" i="19"/>
  <c r="BG12" i="19"/>
  <c r="AU12" i="19"/>
  <c r="BT12" i="19"/>
  <c r="AL41" i="41"/>
  <c r="AD41" i="41"/>
  <c r="N11" i="41"/>
  <c r="AD12" i="19"/>
  <c r="ES12" i="19"/>
  <c r="BB41" i="41"/>
  <c r="Q12" i="19"/>
  <c r="DO12" i="19"/>
  <c r="CF12" i="19"/>
  <c r="P11" i="41"/>
  <c r="BD41" i="41"/>
  <c r="AI41" i="41"/>
  <c r="R12" i="19"/>
  <c r="EW12" i="19"/>
  <c r="EU12" i="19"/>
  <c r="BA10" i="41"/>
  <c r="EQ12" i="19"/>
  <c r="AZ11" i="41"/>
  <c r="K41" i="41"/>
  <c r="U11" i="41"/>
  <c r="AL12" i="19"/>
  <c r="BR12" i="19"/>
  <c r="Z10" i="41"/>
  <c r="DZ12" i="19"/>
  <c r="AT10" i="41"/>
  <c r="BI41" i="41"/>
  <c r="BF41" i="41"/>
  <c r="AR41" i="41"/>
  <c r="BI12" i="19"/>
  <c r="W10" i="41"/>
  <c r="DU12" i="19"/>
  <c r="BH12" i="19"/>
  <c r="T11" i="41"/>
  <c r="BM12" i="19"/>
  <c r="EG12" i="19"/>
  <c r="BC12" i="19"/>
  <c r="U10" i="41"/>
  <c r="BK12" i="19"/>
  <c r="AB12" i="19"/>
  <c r="BF12" i="19"/>
  <c r="V10" i="41"/>
  <c r="BU12" i="19"/>
  <c r="AA10" i="41"/>
  <c r="J11" i="41"/>
  <c r="AT12" i="19"/>
  <c r="R10" i="41"/>
  <c r="DN12" i="19"/>
  <c r="AP10" i="41"/>
  <c r="S12" i="19"/>
  <c r="I10" i="41"/>
  <c r="Z41" i="41"/>
  <c r="DE12" i="19"/>
  <c r="AM10" i="41"/>
  <c r="CP12" i="19"/>
  <c r="AH10" i="41"/>
  <c r="K11" i="41"/>
  <c r="AC11" i="41"/>
  <c r="AP41" i="41"/>
  <c r="AC12" i="19"/>
  <c r="BP12" i="19"/>
  <c r="ET12" i="19"/>
  <c r="T12" i="19"/>
  <c r="H11" i="41"/>
  <c r="AD11" i="41"/>
  <c r="EZ12" i="19"/>
  <c r="ER12" i="19"/>
  <c r="AZ10" i="41"/>
  <c r="DT12" i="19"/>
  <c r="AR10" i="41"/>
  <c r="CG12" i="19"/>
  <c r="AE10" i="41"/>
  <c r="BA41" i="41"/>
  <c r="AZ41" i="41"/>
  <c r="AQ11" i="41"/>
  <c r="BH41" i="41"/>
  <c r="EH12" i="19"/>
  <c r="X11" i="41"/>
  <c r="EX12" i="19"/>
  <c r="BB10" i="41"/>
  <c r="CD12" i="19"/>
  <c r="AD10" i="41"/>
  <c r="AL11" i="41"/>
  <c r="BL12" i="19"/>
  <c r="X10" i="41"/>
  <c r="AI11" i="41"/>
  <c r="AK12" i="19"/>
  <c r="O10" i="41"/>
  <c r="DC12" i="19"/>
  <c r="AI12" i="19"/>
  <c r="DQ12" i="19"/>
  <c r="AQ10" i="41"/>
  <c r="AO11" i="41"/>
  <c r="Y11" i="41"/>
  <c r="BN12" i="19"/>
  <c r="DL12" i="19"/>
  <c r="DK12" i="19"/>
  <c r="AO10" i="41"/>
  <c r="EM12" i="19"/>
  <c r="Y12" i="19"/>
  <c r="K10" i="41"/>
  <c r="AY41" i="41"/>
  <c r="DF12" i="19"/>
  <c r="W12" i="19"/>
  <c r="CI12" i="19"/>
  <c r="EC12" i="19"/>
  <c r="AU10" i="41"/>
  <c r="AT11" i="41"/>
  <c r="I41" i="41"/>
  <c r="AG41" i="41"/>
  <c r="CT12" i="19"/>
  <c r="CV12" i="19"/>
  <c r="AJ10" i="41"/>
  <c r="W11" i="41"/>
  <c r="EI12" i="19"/>
  <c r="AW10" i="41"/>
  <c r="BE41" i="41"/>
  <c r="AA11" i="41"/>
  <c r="AM12" i="19"/>
  <c r="O41" i="41"/>
  <c r="DW12" i="19"/>
  <c r="AS10" i="41"/>
  <c r="EP12" i="19"/>
  <c r="P41" i="41"/>
  <c r="BX12" i="19"/>
  <c r="AB10" i="41"/>
  <c r="V12" i="19"/>
  <c r="J10" i="41"/>
  <c r="AQ41" i="41"/>
  <c r="AN41" i="41"/>
  <c r="BE10" i="41"/>
  <c r="R11" i="41"/>
  <c r="W41" i="41"/>
  <c r="X12" i="19"/>
  <c r="BO12" i="19"/>
  <c r="Y10" i="41"/>
  <c r="P12" i="19"/>
  <c r="H10" i="41"/>
  <c r="AT41" i="41"/>
  <c r="CK12" i="19"/>
  <c r="DY12" i="19"/>
  <c r="S11" i="41"/>
  <c r="CN12" i="19"/>
  <c r="CX12" i="19"/>
  <c r="AH12" i="19"/>
  <c r="N10" i="41"/>
  <c r="BB11" i="41"/>
  <c r="EF12" i="19"/>
  <c r="AV10" i="41"/>
  <c r="BE12" i="19"/>
  <c r="EL12" i="19"/>
  <c r="AX10" i="41"/>
  <c r="AQ12" i="19"/>
  <c r="Q10" i="41"/>
  <c r="EV12" i="19"/>
  <c r="EY12" i="19"/>
  <c r="CO12" i="19"/>
  <c r="AX11" i="41"/>
  <c r="AW12" i="19"/>
  <c r="S10" i="41"/>
  <c r="AP12" i="19"/>
  <c r="CB12" i="19"/>
  <c r="AN11" i="41"/>
  <c r="Z12" i="19"/>
  <c r="DR12" i="19"/>
  <c r="DV12" i="19"/>
  <c r="CZ12" i="19"/>
  <c r="AS41" i="41"/>
  <c r="DH12" i="19"/>
  <c r="AN10" i="41"/>
  <c r="U41" i="41"/>
  <c r="T41" i="41"/>
  <c r="Q41" i="41"/>
  <c r="AB41" i="41"/>
  <c r="AK41" i="41"/>
  <c r="AW41" i="41"/>
  <c r="DI12" i="19"/>
  <c r="DX12" i="19"/>
  <c r="EO12" i="19"/>
  <c r="AY10" i="41"/>
  <c r="U12" i="19"/>
  <c r="BC41" i="41"/>
  <c r="AA41" i="41"/>
  <c r="V11" i="41"/>
  <c r="AP11" i="41"/>
  <c r="AY12" i="19"/>
  <c r="AR11" i="41"/>
  <c r="CJ12" i="19"/>
  <c r="AF10" i="41"/>
  <c r="CQ12" i="19"/>
  <c r="DP12" i="19"/>
  <c r="BV12" i="19"/>
  <c r="ED12" i="19"/>
  <c r="BD12" i="19"/>
  <c r="BD10" i="41"/>
  <c r="Y41" i="41"/>
  <c r="BB12" i="19"/>
  <c r="BG41" i="41"/>
  <c r="EB12" i="19"/>
  <c r="AS11" i="41"/>
  <c r="AF41" i="41"/>
  <c r="CS12" i="19"/>
  <c r="AI10" i="41"/>
  <c r="AG11" i="41"/>
  <c r="AJ41" i="41"/>
  <c r="H41" i="41"/>
  <c r="BC10" i="41"/>
  <c r="S41" i="41"/>
  <c r="AZ12" i="19"/>
  <c r="T10" i="41"/>
  <c r="Q11" i="41"/>
  <c r="AY11" i="41"/>
  <c r="CY12" i="19"/>
  <c r="AK10" i="41"/>
  <c r="AM11" i="41"/>
  <c r="CM12" i="19"/>
  <c r="AG10" i="41"/>
  <c r="DB12" i="19"/>
  <c r="AL10" i="41"/>
  <c r="AJ11" i="41"/>
  <c r="AU11" i="41"/>
  <c r="J41" i="41"/>
  <c r="V41" i="41"/>
  <c r="CA12" i="19"/>
  <c r="AC10" i="41"/>
  <c r="AN12" i="19"/>
  <c r="P10" i="41"/>
  <c r="AB11" i="41"/>
  <c r="IR50" i="17"/>
  <c r="IR59" i="17"/>
  <c r="IR46" i="17"/>
  <c r="IR55" i="17"/>
  <c r="IR56" i="17"/>
  <c r="IR47" i="17"/>
  <c r="IR57" i="17"/>
  <c r="IR48" i="17"/>
  <c r="IR58" i="17"/>
  <c r="IR49" i="17"/>
  <c r="IQ50" i="17"/>
  <c r="IQ59" i="17"/>
  <c r="IQ55" i="17"/>
  <c r="IQ46" i="17"/>
  <c r="IQ56" i="17"/>
  <c r="IQ47" i="17"/>
  <c r="IQ57" i="17"/>
  <c r="IQ48" i="17"/>
  <c r="IQ58" i="17"/>
  <c r="IQ49" i="17"/>
  <c r="IQ21" i="17"/>
  <c r="FM41" i="17"/>
  <c r="FM40" i="17"/>
  <c r="FM39" i="17"/>
  <c r="FM38" i="17"/>
  <c r="FM37" i="17"/>
  <c r="IP331" i="31"/>
  <c r="IQ22" i="17"/>
  <c r="M7" i="32"/>
  <c r="CS27" i="19"/>
  <c r="M13" i="32"/>
  <c r="M22" i="28"/>
  <c r="M8" i="32"/>
  <c r="L22" i="28"/>
  <c r="I22" i="28"/>
  <c r="H22" i="28"/>
  <c r="J22" i="28"/>
  <c r="G22" i="28"/>
  <c r="K22" i="28"/>
  <c r="IQ19" i="17"/>
  <c r="IQ18" i="17"/>
  <c r="IQ20" i="17"/>
  <c r="IN47" i="19"/>
  <c r="J13" i="32"/>
  <c r="L7" i="32"/>
  <c r="L8" i="32"/>
  <c r="K13" i="32"/>
  <c r="H8" i="32"/>
  <c r="K8" i="32"/>
  <c r="I8" i="32"/>
  <c r="I13" i="32"/>
  <c r="G13" i="32"/>
  <c r="K7" i="32"/>
  <c r="H13" i="32"/>
  <c r="G7" i="32"/>
  <c r="CL27" i="19"/>
  <c r="L13" i="32"/>
  <c r="H7" i="32"/>
  <c r="IQ23" i="31"/>
  <c r="IR24" i="31"/>
  <c r="G8" i="32"/>
  <c r="J7" i="32"/>
  <c r="I7" i="32"/>
  <c r="J8" i="32"/>
  <c r="IN34" i="19"/>
  <c r="CG47" i="41"/>
  <c r="IR19" i="17"/>
  <c r="IR20" i="17"/>
  <c r="IR18" i="17"/>
  <c r="IS1" i="17"/>
  <c r="IR21" i="17"/>
  <c r="IR22" i="17"/>
  <c r="FN28" i="17"/>
  <c r="FL33" i="17"/>
  <c r="FN30" i="17"/>
  <c r="FN29" i="17"/>
  <c r="FN32" i="17"/>
  <c r="FN31" i="17"/>
  <c r="CV14" i="19"/>
  <c r="BQ14" i="19"/>
  <c r="EC14" i="19"/>
  <c r="AJ14" i="19"/>
  <c r="ES14" i="19"/>
  <c r="BA14" i="19"/>
  <c r="EO14" i="19"/>
  <c r="DW14" i="19"/>
  <c r="BR14" i="19"/>
  <c r="BG14" i="19"/>
  <c r="AI14" i="19"/>
  <c r="EE14" i="19"/>
  <c r="CF14" i="19"/>
  <c r="EY14" i="19"/>
  <c r="AC14" i="19"/>
  <c r="DN14" i="19"/>
  <c r="EJ14" i="19"/>
  <c r="ED14" i="19"/>
  <c r="DR14" i="19"/>
  <c r="CN14" i="19"/>
  <c r="BU14" i="19"/>
  <c r="AN14" i="19"/>
  <c r="AH14" i="19"/>
  <c r="IP60" i="17"/>
  <c r="IO26" i="19" s="1"/>
  <c r="CG26" i="41" s="1"/>
  <c r="IP23" i="17"/>
  <c r="EH14" i="19"/>
  <c r="DI14" i="19"/>
  <c r="EB14" i="19"/>
  <c r="CL14" i="19"/>
  <c r="CG14" i="19"/>
  <c r="Q14" i="19"/>
  <c r="AE14" i="19"/>
  <c r="AY14" i="19"/>
  <c r="BJ14" i="19"/>
  <c r="CQ14" i="19"/>
  <c r="DM14" i="19"/>
  <c r="DA14" i="19"/>
  <c r="DB14" i="19"/>
  <c r="DH27" i="19"/>
  <c r="AF14" i="19"/>
  <c r="DV14" i="19"/>
  <c r="W14" i="19"/>
  <c r="ER14" i="19"/>
  <c r="AD14" i="19"/>
  <c r="EP14" i="19"/>
  <c r="DO14" i="19"/>
  <c r="EW14" i="19"/>
  <c r="X14" i="19"/>
  <c r="CM14" i="19"/>
  <c r="BN14" i="19"/>
  <c r="BH14" i="19"/>
  <c r="CU14" i="19"/>
  <c r="EG14" i="19"/>
  <c r="BK14" i="19"/>
  <c r="CI14" i="19"/>
  <c r="CC14" i="19"/>
  <c r="CT14" i="19"/>
  <c r="AA14" i="19"/>
  <c r="DZ14" i="19"/>
  <c r="CH14" i="19"/>
  <c r="EV14" i="19"/>
  <c r="CO14" i="19"/>
  <c r="AS14" i="19"/>
  <c r="P14" i="19"/>
  <c r="BM14" i="19"/>
  <c r="BB14" i="19"/>
  <c r="FL42" i="17"/>
  <c r="FA11" i="19" s="1"/>
  <c r="DH14" i="19"/>
  <c r="EK14" i="19"/>
  <c r="DE14" i="19"/>
  <c r="BL14" i="19"/>
  <c r="DT14" i="19"/>
  <c r="EN14" i="19"/>
  <c r="AT14" i="19"/>
  <c r="CJ27" i="19"/>
  <c r="S14" i="19"/>
  <c r="DL14" i="19"/>
  <c r="AP14" i="19"/>
  <c r="BD14" i="19"/>
  <c r="DY14" i="19"/>
  <c r="EU14" i="19"/>
  <c r="EQ14" i="19"/>
  <c r="AL14" i="19"/>
  <c r="AX14" i="19"/>
  <c r="DT27" i="19"/>
  <c r="AR14" i="19"/>
  <c r="AG14" i="19"/>
  <c r="AO14" i="19"/>
  <c r="DX14" i="19"/>
  <c r="CD14" i="19"/>
  <c r="CP14" i="19"/>
  <c r="EF14" i="19"/>
  <c r="BX14" i="19"/>
  <c r="BZ14" i="19"/>
  <c r="AZ14" i="19"/>
  <c r="DQ14" i="19"/>
  <c r="CY14" i="19"/>
  <c r="ER27" i="19"/>
  <c r="BP14" i="19"/>
  <c r="DP14" i="19"/>
  <c r="AU14" i="19"/>
  <c r="CV27" i="19"/>
  <c r="EM14" i="19"/>
  <c r="ET14" i="19"/>
  <c r="BC14" i="19"/>
  <c r="AB14" i="19"/>
  <c r="BF14" i="19"/>
  <c r="EA14" i="19"/>
  <c r="AV14" i="19"/>
  <c r="EX14" i="19"/>
  <c r="BT14" i="19"/>
  <c r="BY14" i="19"/>
  <c r="R14" i="19"/>
  <c r="V14" i="19"/>
  <c r="DG14" i="19"/>
  <c r="CR14" i="19"/>
  <c r="AQ14" i="19"/>
  <c r="CW14" i="19"/>
  <c r="CJ14" i="19"/>
  <c r="AW14" i="19"/>
  <c r="CK14" i="19"/>
  <c r="T14" i="19"/>
  <c r="CE14" i="19"/>
  <c r="EZ14" i="19"/>
  <c r="CA14" i="19"/>
  <c r="CZ14" i="19"/>
  <c r="IP51" i="17"/>
  <c r="DD14" i="19"/>
  <c r="EI14" i="19"/>
  <c r="EF27" i="19"/>
  <c r="DJ14" i="19"/>
  <c r="AM14" i="19"/>
  <c r="CS14" i="19"/>
  <c r="U14" i="19"/>
  <c r="BE14" i="19"/>
  <c r="EL14" i="19"/>
  <c r="AK14" i="19"/>
  <c r="BW14" i="19"/>
  <c r="DC14" i="19"/>
  <c r="DS14" i="19"/>
  <c r="BI14" i="19"/>
  <c r="BO14" i="19"/>
  <c r="DU14" i="19"/>
  <c r="BV14" i="19"/>
  <c r="DK14" i="19"/>
  <c r="CB14" i="19"/>
  <c r="Z14" i="19"/>
  <c r="Y14" i="19"/>
  <c r="DF14" i="19"/>
  <c r="BS14" i="19"/>
  <c r="CX14" i="19"/>
  <c r="P16" i="42" l="1"/>
  <c r="IN332" i="31"/>
  <c r="IM25" i="30"/>
  <c r="IM26" i="30" s="1"/>
  <c r="I16" i="42"/>
  <c r="FK10" i="19"/>
  <c r="ER27" i="30"/>
  <c r="ER28" i="30" s="1"/>
  <c r="EQ29" i="30"/>
  <c r="M16" i="42"/>
  <c r="N16" i="42"/>
  <c r="G16" i="42"/>
  <c r="F16" i="42"/>
  <c r="O16" i="42"/>
  <c r="H16" i="42"/>
  <c r="K16" i="42"/>
  <c r="J16" i="42"/>
  <c r="L16" i="42"/>
  <c r="O12" i="32"/>
  <c r="IS13" i="17"/>
  <c r="P12" i="32"/>
  <c r="N41" i="42"/>
  <c r="N12" i="32"/>
  <c r="N9" i="32"/>
  <c r="Q9" i="32"/>
  <c r="FA12" i="19"/>
  <c r="Q12" i="32"/>
  <c r="O9" i="32"/>
  <c r="IS10" i="17"/>
  <c r="IS12" i="17"/>
  <c r="IS11" i="17"/>
  <c r="IS9" i="17"/>
  <c r="J12" i="32"/>
  <c r="M12" i="32"/>
  <c r="G12" i="32"/>
  <c r="H12" i="32"/>
  <c r="L12" i="32"/>
  <c r="I12" i="32"/>
  <c r="K12" i="32"/>
  <c r="P12" i="41"/>
  <c r="P14" i="41"/>
  <c r="AN12" i="41"/>
  <c r="AN14" i="41"/>
  <c r="AX12" i="41"/>
  <c r="AX14" i="41"/>
  <c r="N12" i="41"/>
  <c r="N14" i="41"/>
  <c r="H12" i="41"/>
  <c r="H14" i="41"/>
  <c r="AW12" i="41"/>
  <c r="AW14" i="41"/>
  <c r="K12" i="41"/>
  <c r="K14" i="41"/>
  <c r="X12" i="41"/>
  <c r="X14" i="41"/>
  <c r="R12" i="41"/>
  <c r="R14" i="41"/>
  <c r="W12" i="41"/>
  <c r="W14" i="41"/>
  <c r="AL12" i="41"/>
  <c r="AL14" i="41"/>
  <c r="AU12" i="41"/>
  <c r="AU14" i="41"/>
  <c r="AQ12" i="41"/>
  <c r="AQ14" i="41"/>
  <c r="AM12" i="41"/>
  <c r="AM14" i="41"/>
  <c r="U12" i="41"/>
  <c r="U14" i="41"/>
  <c r="AC12" i="41"/>
  <c r="AC14" i="41"/>
  <c r="Y12" i="41"/>
  <c r="Y14" i="41"/>
  <c r="AS12" i="41"/>
  <c r="AS14" i="41"/>
  <c r="AZ12" i="41"/>
  <c r="AZ14" i="41"/>
  <c r="T12" i="41"/>
  <c r="T14" i="41"/>
  <c r="AF12" i="41"/>
  <c r="AF14" i="41"/>
  <c r="AV12" i="41"/>
  <c r="AV14" i="41"/>
  <c r="J12" i="41"/>
  <c r="J14" i="41"/>
  <c r="AJ12" i="41"/>
  <c r="AJ14" i="41"/>
  <c r="AO12" i="41"/>
  <c r="AO14" i="41"/>
  <c r="AD12" i="41"/>
  <c r="AD14" i="41"/>
  <c r="AA12" i="41"/>
  <c r="AA14" i="41"/>
  <c r="AG12" i="41"/>
  <c r="AG14" i="41"/>
  <c r="AI12" i="41"/>
  <c r="AI14" i="41"/>
  <c r="I12" i="41"/>
  <c r="I14" i="41"/>
  <c r="S12" i="41"/>
  <c r="S14" i="41"/>
  <c r="Q12" i="41"/>
  <c r="Q14" i="41"/>
  <c r="AB12" i="41"/>
  <c r="AB14" i="41"/>
  <c r="O12" i="41"/>
  <c r="O14" i="41"/>
  <c r="BB12" i="41"/>
  <c r="BB14" i="41"/>
  <c r="AE12" i="41"/>
  <c r="AE14" i="41"/>
  <c r="V12" i="41"/>
  <c r="V14" i="41"/>
  <c r="AT12" i="41"/>
  <c r="AT14" i="41"/>
  <c r="AY12" i="41"/>
  <c r="AY14" i="41"/>
  <c r="AP12" i="41"/>
  <c r="AP14" i="41"/>
  <c r="BA12" i="41"/>
  <c r="BA14" i="41"/>
  <c r="AK12" i="41"/>
  <c r="AK14" i="41"/>
  <c r="AR12" i="41"/>
  <c r="AR14" i="41"/>
  <c r="AH12" i="41"/>
  <c r="AH14" i="41"/>
  <c r="Z12" i="41"/>
  <c r="Z14" i="41"/>
  <c r="IS59" i="17"/>
  <c r="IS50" i="17"/>
  <c r="IS46" i="17"/>
  <c r="IS55" i="17"/>
  <c r="IS56" i="17"/>
  <c r="IS47" i="17"/>
  <c r="IS48" i="17"/>
  <c r="IS57" i="17"/>
  <c r="IS49" i="17"/>
  <c r="IS58" i="17"/>
  <c r="FN41" i="17"/>
  <c r="FN40" i="17"/>
  <c r="FN39" i="17"/>
  <c r="FN38" i="17"/>
  <c r="FN37" i="17"/>
  <c r="IQ23" i="17"/>
  <c r="IQ24" i="17" s="1"/>
  <c r="IQ331" i="31"/>
  <c r="M9" i="32"/>
  <c r="K41" i="42" s="1"/>
  <c r="IP47" i="19"/>
  <c r="IQ51" i="17"/>
  <c r="IQ60" i="17"/>
  <c r="IP26" i="19" s="1"/>
  <c r="IO47" i="19"/>
  <c r="G9" i="32"/>
  <c r="E41" i="42" s="1"/>
  <c r="K9" i="32"/>
  <c r="I41" i="42" s="1"/>
  <c r="IS24" i="31"/>
  <c r="IR23" i="31"/>
  <c r="I9" i="32"/>
  <c r="H9" i="32"/>
  <c r="F41" i="42" s="1"/>
  <c r="L9" i="32"/>
  <c r="J41" i="42" s="1"/>
  <c r="J9" i="32"/>
  <c r="H41" i="42" s="1"/>
  <c r="IO34" i="19"/>
  <c r="IR60" i="17"/>
  <c r="IQ26" i="19" s="1"/>
  <c r="IR51" i="17"/>
  <c r="IR23" i="17"/>
  <c r="IS20" i="17"/>
  <c r="IT1" i="17"/>
  <c r="IT13" i="17" s="1"/>
  <c r="IS19" i="17"/>
  <c r="IS18" i="17"/>
  <c r="IS22" i="17"/>
  <c r="IS21" i="17"/>
  <c r="IP24" i="17"/>
  <c r="FA14" i="19"/>
  <c r="FO28" i="17"/>
  <c r="FM33" i="17"/>
  <c r="FO29" i="17"/>
  <c r="FO32" i="17"/>
  <c r="FO30" i="17"/>
  <c r="FO31" i="17"/>
  <c r="FM42" i="17"/>
  <c r="FB11" i="19" s="1"/>
  <c r="FB12" i="19" s="1"/>
  <c r="G41" i="42" l="1"/>
  <c r="ER29" i="30"/>
  <c r="FL10" i="19"/>
  <c r="BF10" i="41" s="1"/>
  <c r="ES27" i="30"/>
  <c r="ES28" i="30" s="1"/>
  <c r="IO332" i="31"/>
  <c r="IN25" i="30"/>
  <c r="IN26" i="30" s="1"/>
  <c r="L41" i="42"/>
  <c r="O41" i="42"/>
  <c r="M41" i="42"/>
  <c r="IT9" i="17"/>
  <c r="IT11" i="17"/>
  <c r="IT12" i="17"/>
  <c r="IT10" i="17"/>
  <c r="IP34" i="19"/>
  <c r="IR24" i="17"/>
  <c r="IT50" i="17"/>
  <c r="IT59" i="17"/>
  <c r="IT46" i="17"/>
  <c r="IT55" i="17"/>
  <c r="IT56" i="17"/>
  <c r="IT47" i="17"/>
  <c r="IT57" i="17"/>
  <c r="IT48" i="17"/>
  <c r="IT58" i="17"/>
  <c r="IT49" i="17"/>
  <c r="FO41" i="17"/>
  <c r="FO40" i="17"/>
  <c r="FO39" i="17"/>
  <c r="FO38" i="17"/>
  <c r="FO37" i="17"/>
  <c r="H14" i="32"/>
  <c r="G14" i="32"/>
  <c r="M14" i="32"/>
  <c r="IR331" i="31"/>
  <c r="AY47" i="19"/>
  <c r="IQ47" i="19"/>
  <c r="IS23" i="31"/>
  <c r="IT24" i="31"/>
  <c r="CH47" i="41"/>
  <c r="IQ34" i="19"/>
  <c r="BD47" i="19"/>
  <c r="IS51" i="17"/>
  <c r="IS60" i="17"/>
  <c r="IR26" i="19" s="1"/>
  <c r="IS23" i="17"/>
  <c r="IS24" i="17" s="1"/>
  <c r="IT20" i="17"/>
  <c r="IU1" i="17"/>
  <c r="IU13" i="17" s="1"/>
  <c r="IT22" i="17"/>
  <c r="IT19" i="17"/>
  <c r="IT21" i="17"/>
  <c r="IT18" i="17"/>
  <c r="FP28" i="17"/>
  <c r="FP30" i="17"/>
  <c r="FP31" i="17"/>
  <c r="FP32" i="17"/>
  <c r="FP29" i="17"/>
  <c r="FN33" i="17"/>
  <c r="FN42" i="17"/>
  <c r="FC11" i="19" s="1"/>
  <c r="FB14" i="19"/>
  <c r="R7" i="32" l="1"/>
  <c r="FM10" i="19"/>
  <c r="ET27" i="30"/>
  <c r="ET28" i="30" s="1"/>
  <c r="IP332" i="31"/>
  <c r="IO25" i="30"/>
  <c r="IO26" i="30" s="1"/>
  <c r="ES29" i="30"/>
  <c r="M15" i="32"/>
  <c r="M16" i="32" s="1"/>
  <c r="K44" i="42"/>
  <c r="K46" i="42" s="1"/>
  <c r="G15" i="32"/>
  <c r="G16" i="32" s="1"/>
  <c r="E44" i="42"/>
  <c r="E46" i="42" s="1"/>
  <c r="H15" i="32"/>
  <c r="H16" i="32" s="1"/>
  <c r="F44" i="42"/>
  <c r="F46" i="42" s="1"/>
  <c r="IU10" i="17"/>
  <c r="IU12" i="17"/>
  <c r="IU11" i="17"/>
  <c r="IU9" i="17"/>
  <c r="FC12" i="19"/>
  <c r="BC11" i="41"/>
  <c r="IU50" i="17"/>
  <c r="IU59" i="17"/>
  <c r="IU55" i="17"/>
  <c r="IU46" i="17"/>
  <c r="IU47" i="17"/>
  <c r="IU56" i="17"/>
  <c r="IU48" i="17"/>
  <c r="IU57" i="17"/>
  <c r="IU58" i="17"/>
  <c r="IU49" i="17"/>
  <c r="FP41" i="17"/>
  <c r="FP40" i="17"/>
  <c r="FP39" i="17"/>
  <c r="FP38" i="17"/>
  <c r="FP37" i="17"/>
  <c r="IS331" i="31"/>
  <c r="AY34" i="19"/>
  <c r="IR47" i="19"/>
  <c r="IU24" i="31"/>
  <c r="IT23" i="31"/>
  <c r="IR34" i="19"/>
  <c r="IT60" i="17"/>
  <c r="IS26" i="19" s="1"/>
  <c r="IT23" i="17"/>
  <c r="IT24" i="17" s="1"/>
  <c r="IT51" i="17"/>
  <c r="IV1" i="17"/>
  <c r="IV13" i="17" s="1"/>
  <c r="IU22" i="17"/>
  <c r="IU19" i="17"/>
  <c r="IU18" i="17"/>
  <c r="IU20" i="17"/>
  <c r="IU21" i="17"/>
  <c r="BD34" i="19"/>
  <c r="FO33" i="17"/>
  <c r="FQ28" i="17"/>
  <c r="FQ31" i="17"/>
  <c r="FQ32" i="17"/>
  <c r="FQ30" i="17"/>
  <c r="FQ29" i="17"/>
  <c r="FO42" i="17"/>
  <c r="FD11" i="19" s="1"/>
  <c r="FC14" i="19"/>
  <c r="ET29" i="30" l="1"/>
  <c r="FN10" i="19"/>
  <c r="EU27" i="30"/>
  <c r="EU28" i="30" s="1"/>
  <c r="IQ332" i="31"/>
  <c r="IP25" i="30"/>
  <c r="IP26" i="30" s="1"/>
  <c r="IV9" i="17"/>
  <c r="IV11" i="17"/>
  <c r="IV12" i="17"/>
  <c r="IV10" i="17"/>
  <c r="BC12" i="41"/>
  <c r="BC14" i="41"/>
  <c r="FD12" i="19"/>
  <c r="IV50" i="17"/>
  <c r="IV59" i="17"/>
  <c r="IV46" i="17"/>
  <c r="IV55" i="17"/>
  <c r="IV47" i="17"/>
  <c r="IV56" i="17"/>
  <c r="IV57" i="17"/>
  <c r="IV48" i="17"/>
  <c r="IV58" i="17"/>
  <c r="IV49" i="17"/>
  <c r="FQ41" i="17"/>
  <c r="FQ40" i="17"/>
  <c r="FQ39" i="17"/>
  <c r="FQ38" i="17"/>
  <c r="FQ37" i="17"/>
  <c r="IT331" i="31"/>
  <c r="IS47" i="19"/>
  <c r="IV24" i="31"/>
  <c r="IU23" i="31"/>
  <c r="IS34" i="19"/>
  <c r="IU51" i="17"/>
  <c r="IU60" i="17"/>
  <c r="IT26" i="19" s="1"/>
  <c r="IU23" i="17"/>
  <c r="IU24" i="17" s="1"/>
  <c r="IV22" i="17"/>
  <c r="IW1" i="17"/>
  <c r="IW13" i="17" s="1"/>
  <c r="IV21" i="17"/>
  <c r="IV20" i="17"/>
  <c r="IV19" i="17"/>
  <c r="IV18" i="17"/>
  <c r="FR28" i="17"/>
  <c r="FR30" i="17"/>
  <c r="FR31" i="17"/>
  <c r="FR29" i="17"/>
  <c r="FR32" i="17"/>
  <c r="FP33" i="17"/>
  <c r="FP42" i="17"/>
  <c r="FE11" i="19" s="1"/>
  <c r="FE12" i="19" s="1"/>
  <c r="FD14" i="19"/>
  <c r="IR332" i="31" l="1"/>
  <c r="IQ25" i="30"/>
  <c r="IQ26" i="30" s="1"/>
  <c r="EU29" i="30"/>
  <c r="FO10" i="19"/>
  <c r="BG10" i="41" s="1"/>
  <c r="EV27" i="30"/>
  <c r="EV28" i="30" s="1"/>
  <c r="IW10" i="17"/>
  <c r="IW12" i="17"/>
  <c r="IW11" i="17"/>
  <c r="IW9" i="17"/>
  <c r="IW50" i="17"/>
  <c r="IW59" i="17"/>
  <c r="IW46" i="17"/>
  <c r="IW55" i="17"/>
  <c r="IW47" i="17"/>
  <c r="IW56" i="17"/>
  <c r="IW57" i="17"/>
  <c r="IW48" i="17"/>
  <c r="IW49" i="17"/>
  <c r="IW58" i="17"/>
  <c r="FR41" i="17"/>
  <c r="FR40" i="17"/>
  <c r="FR39" i="17"/>
  <c r="FR38" i="17"/>
  <c r="FR37" i="17"/>
  <c r="IU331" i="31"/>
  <c r="IT47" i="19"/>
  <c r="IV23" i="31"/>
  <c r="IW24" i="31"/>
  <c r="CI47" i="41"/>
  <c r="IT34" i="19"/>
  <c r="BG47" i="19"/>
  <c r="IV23" i="17"/>
  <c r="IV24" i="17" s="1"/>
  <c r="IV60" i="17"/>
  <c r="IU26" i="19" s="1"/>
  <c r="IV51" i="17"/>
  <c r="IW22" i="17"/>
  <c r="IX1" i="17"/>
  <c r="IX13" i="17" s="1"/>
  <c r="IW21" i="17"/>
  <c r="IW20" i="17"/>
  <c r="IW19" i="17"/>
  <c r="IW18" i="17"/>
  <c r="FS28" i="17"/>
  <c r="FS32" i="17"/>
  <c r="FS31" i="17"/>
  <c r="FS30" i="17"/>
  <c r="FS29" i="17"/>
  <c r="FQ33" i="17"/>
  <c r="FE14" i="19"/>
  <c r="FQ42" i="17"/>
  <c r="FF11" i="19" s="1"/>
  <c r="FF12" i="19" s="1"/>
  <c r="EV29" i="30" l="1"/>
  <c r="FP10" i="19"/>
  <c r="EW27" i="30"/>
  <c r="EW28" i="30" s="1"/>
  <c r="IS332" i="31"/>
  <c r="IR25" i="30"/>
  <c r="IR26" i="30" s="1"/>
  <c r="IX9" i="17"/>
  <c r="IX11" i="17"/>
  <c r="IX12" i="17"/>
  <c r="IX10" i="17"/>
  <c r="BD11" i="41"/>
  <c r="IX50" i="17"/>
  <c r="IX59" i="17"/>
  <c r="IX46" i="17"/>
  <c r="IX55" i="17"/>
  <c r="IX47" i="17"/>
  <c r="IX56" i="17"/>
  <c r="IX57" i="17"/>
  <c r="IX48" i="17"/>
  <c r="IX58" i="17"/>
  <c r="IX49" i="17"/>
  <c r="FS41" i="17"/>
  <c r="FS40" i="17"/>
  <c r="FS39" i="17"/>
  <c r="FS38" i="17"/>
  <c r="FS37" i="17"/>
  <c r="IV331" i="31"/>
  <c r="IU47" i="19"/>
  <c r="IX24" i="31"/>
  <c r="IW23" i="31"/>
  <c r="IU34" i="19"/>
  <c r="IW23" i="17"/>
  <c r="IW24" i="17" s="1"/>
  <c r="IW51" i="17"/>
  <c r="IW60" i="17"/>
  <c r="IV26" i="19" s="1"/>
  <c r="IY1" i="17"/>
  <c r="IY13" i="17" s="1"/>
  <c r="IX19" i="17"/>
  <c r="IX20" i="17"/>
  <c r="IX21" i="17"/>
  <c r="IX22" i="17"/>
  <c r="IX18" i="17"/>
  <c r="BG34" i="19"/>
  <c r="FR33" i="17"/>
  <c r="FT28" i="17"/>
  <c r="FT32" i="17"/>
  <c r="FT31" i="17"/>
  <c r="FT29" i="17"/>
  <c r="FT30" i="17"/>
  <c r="FR42" i="17"/>
  <c r="FG11" i="19" s="1"/>
  <c r="FF14" i="19"/>
  <c r="IT332" i="31" l="1"/>
  <c r="IS25" i="30"/>
  <c r="IS26" i="30" s="1"/>
  <c r="EX27" i="30"/>
  <c r="EX28" i="30" s="1"/>
  <c r="EW29" i="30"/>
  <c r="IY10" i="17"/>
  <c r="IY12" i="17"/>
  <c r="IY11" i="17"/>
  <c r="IY9" i="17"/>
  <c r="BD12" i="41"/>
  <c r="BD14" i="41"/>
  <c r="FG12" i="19"/>
  <c r="IY59" i="17"/>
  <c r="IY50" i="17"/>
  <c r="IY55" i="17"/>
  <c r="IY46" i="17"/>
  <c r="IY56" i="17"/>
  <c r="IY47" i="17"/>
  <c r="IY57" i="17"/>
  <c r="IY48" i="17"/>
  <c r="IY58" i="17"/>
  <c r="IY49" i="17"/>
  <c r="FT41" i="17"/>
  <c r="FT40" i="17"/>
  <c r="FT39" i="17"/>
  <c r="FT38" i="17"/>
  <c r="FT37" i="17"/>
  <c r="IW331" i="31"/>
  <c r="FQ10" i="19"/>
  <c r="IV47" i="19"/>
  <c r="IX23" i="31"/>
  <c r="IY24" i="31"/>
  <c r="IV34" i="19"/>
  <c r="IX23" i="17"/>
  <c r="IX24" i="17" s="1"/>
  <c r="IX51" i="17"/>
  <c r="IX60" i="17"/>
  <c r="IW26" i="19" s="1"/>
  <c r="IY18" i="17"/>
  <c r="IY21" i="17"/>
  <c r="IY20" i="17"/>
  <c r="IZ1" i="17"/>
  <c r="IZ13" i="17" s="1"/>
  <c r="IY22" i="17"/>
  <c r="IY19" i="17"/>
  <c r="FU28" i="17"/>
  <c r="FS33" i="17"/>
  <c r="FU31" i="17"/>
  <c r="FU30" i="17"/>
  <c r="FU32" i="17"/>
  <c r="FU29" i="17"/>
  <c r="FS42" i="17"/>
  <c r="FH11" i="19" s="1"/>
  <c r="FH12" i="19" s="1"/>
  <c r="FG14" i="19"/>
  <c r="EY27" i="30" l="1"/>
  <c r="EX29" i="30"/>
  <c r="IU332" i="31"/>
  <c r="IT25" i="30"/>
  <c r="IT26" i="30" s="1"/>
  <c r="IZ11" i="17"/>
  <c r="IZ9" i="17"/>
  <c r="IZ12" i="17"/>
  <c r="IZ10" i="17"/>
  <c r="IZ59" i="17"/>
  <c r="IZ50" i="17"/>
  <c r="IZ46" i="17"/>
  <c r="IZ55" i="17"/>
  <c r="IZ47" i="17"/>
  <c r="IZ56" i="17"/>
  <c r="IZ57" i="17"/>
  <c r="IZ48" i="17"/>
  <c r="IZ49" i="17"/>
  <c r="IZ58" i="17"/>
  <c r="FU41" i="17"/>
  <c r="FU40" i="17"/>
  <c r="FU39" i="17"/>
  <c r="FU38" i="17"/>
  <c r="FU37" i="17"/>
  <c r="IX331" i="31"/>
  <c r="IW47" i="19"/>
  <c r="FR10" i="19"/>
  <c r="IY23" i="31"/>
  <c r="IZ24" i="31"/>
  <c r="IW34" i="19"/>
  <c r="CJ47" i="41"/>
  <c r="IY60" i="17"/>
  <c r="IX26" i="19" s="1"/>
  <c r="IY23" i="17"/>
  <c r="IY24" i="17" s="1"/>
  <c r="IY51" i="17"/>
  <c r="IZ20" i="17"/>
  <c r="IZ19" i="17"/>
  <c r="IZ22" i="17"/>
  <c r="IZ18" i="17"/>
  <c r="JA1" i="17"/>
  <c r="JA13" i="17" s="1"/>
  <c r="IZ21" i="17"/>
  <c r="FV28" i="17"/>
  <c r="FV30" i="17"/>
  <c r="FV29" i="17"/>
  <c r="FV31" i="17"/>
  <c r="FT33" i="17"/>
  <c r="FV32" i="17"/>
  <c r="FT42" i="17"/>
  <c r="FI11" i="19" s="1"/>
  <c r="FH14" i="19"/>
  <c r="EY29" i="30" l="1"/>
  <c r="EY28" i="30"/>
  <c r="EZ27" i="30"/>
  <c r="IV332" i="31"/>
  <c r="IU25" i="30"/>
  <c r="IU26" i="30" s="1"/>
  <c r="JA10" i="17"/>
  <c r="JA12" i="17"/>
  <c r="JA9" i="17"/>
  <c r="JA11" i="17"/>
  <c r="BH10" i="41"/>
  <c r="FI12" i="19"/>
  <c r="BE11" i="41"/>
  <c r="JA50" i="17"/>
  <c r="JA59" i="17"/>
  <c r="JA55" i="17"/>
  <c r="JA46" i="17"/>
  <c r="JA47" i="17"/>
  <c r="JA56" i="17"/>
  <c r="JA48" i="17"/>
  <c r="JA57" i="17"/>
  <c r="JA58" i="17"/>
  <c r="JA49" i="17"/>
  <c r="FV41" i="17"/>
  <c r="FV40" i="17"/>
  <c r="FV39" i="17"/>
  <c r="FV38" i="17"/>
  <c r="FV37" i="17"/>
  <c r="IY331" i="31"/>
  <c r="IX47" i="19"/>
  <c r="FS10" i="19"/>
  <c r="IZ23" i="31"/>
  <c r="JA24" i="31"/>
  <c r="IX34" i="19"/>
  <c r="CJ34" i="41" s="1"/>
  <c r="IZ23" i="17"/>
  <c r="IZ24" i="17" s="1"/>
  <c r="IZ60" i="17"/>
  <c r="IY26" i="19" s="1"/>
  <c r="IZ51" i="17"/>
  <c r="JA21" i="17"/>
  <c r="JA18" i="17"/>
  <c r="JA20" i="17"/>
  <c r="JB1" i="17"/>
  <c r="JB13" i="17" s="1"/>
  <c r="JA22" i="17"/>
  <c r="JA19" i="17"/>
  <c r="FW28" i="17"/>
  <c r="FW32" i="17"/>
  <c r="FW30" i="17"/>
  <c r="FW31" i="17"/>
  <c r="FW29" i="17"/>
  <c r="FU33" i="17"/>
  <c r="FU42" i="17"/>
  <c r="FJ11" i="19" s="1"/>
  <c r="FI14" i="19"/>
  <c r="EZ29" i="30" l="1"/>
  <c r="EZ28" i="30"/>
  <c r="IW332" i="31"/>
  <c r="IV25" i="30"/>
  <c r="IV26" i="30" s="1"/>
  <c r="FA27" i="30"/>
  <c r="FA28" i="30" s="1"/>
  <c r="JB11" i="17"/>
  <c r="JB9" i="17"/>
  <c r="JB10" i="17"/>
  <c r="JB12" i="17"/>
  <c r="BE12" i="41"/>
  <c r="BE14" i="41"/>
  <c r="FJ12" i="19"/>
  <c r="JB50" i="17"/>
  <c r="JB59" i="17"/>
  <c r="JB46" i="17"/>
  <c r="JB55" i="17"/>
  <c r="JB56" i="17"/>
  <c r="JB47" i="17"/>
  <c r="JB57" i="17"/>
  <c r="JB48" i="17"/>
  <c r="JB58" i="17"/>
  <c r="JB49" i="17"/>
  <c r="FW41" i="17"/>
  <c r="FW40" i="17"/>
  <c r="FW39" i="17"/>
  <c r="FW38" i="17"/>
  <c r="FW37" i="17"/>
  <c r="IZ331" i="31"/>
  <c r="FT10" i="19"/>
  <c r="IY47" i="19"/>
  <c r="JA23" i="31"/>
  <c r="JB24" i="31"/>
  <c r="IY34" i="19"/>
  <c r="JA60" i="17"/>
  <c r="IZ26" i="19" s="1"/>
  <c r="JA23" i="17"/>
  <c r="JA24" i="17" s="1"/>
  <c r="JA51" i="17"/>
  <c r="JB20" i="17"/>
  <c r="JB19" i="17"/>
  <c r="JB18" i="17"/>
  <c r="JB21" i="17"/>
  <c r="JC1" i="17"/>
  <c r="JC13" i="17" s="1"/>
  <c r="JB22" i="17"/>
  <c r="FX28" i="17"/>
  <c r="FV33" i="17"/>
  <c r="FX32" i="17"/>
  <c r="FX30" i="17"/>
  <c r="FX31" i="17"/>
  <c r="FX29" i="17"/>
  <c r="FV42" i="17"/>
  <c r="FK11" i="19" s="1"/>
  <c r="FK12" i="19" s="1"/>
  <c r="FJ14" i="19"/>
  <c r="FB27" i="30" l="1"/>
  <c r="FB28" i="30" s="1"/>
  <c r="FA29" i="30"/>
  <c r="IX332" i="31"/>
  <c r="IW25" i="30"/>
  <c r="IW26" i="30" s="1"/>
  <c r="JC12" i="17"/>
  <c r="JC10" i="17"/>
  <c r="JC11" i="17"/>
  <c r="JC9" i="17"/>
  <c r="JC50" i="17"/>
  <c r="JC59" i="17"/>
  <c r="JC46" i="17"/>
  <c r="JC55" i="17"/>
  <c r="JC47" i="17"/>
  <c r="JC56" i="17"/>
  <c r="JC48" i="17"/>
  <c r="JC57" i="17"/>
  <c r="JC49" i="17"/>
  <c r="JC58" i="17"/>
  <c r="FX40" i="17"/>
  <c r="FX41" i="17"/>
  <c r="FX39" i="17"/>
  <c r="FX38" i="17"/>
  <c r="FX37" i="17"/>
  <c r="JA331" i="31"/>
  <c r="IZ47" i="19"/>
  <c r="FU10" i="19"/>
  <c r="BH47" i="19"/>
  <c r="JC24" i="31"/>
  <c r="JB23" i="31"/>
  <c r="IZ34" i="19"/>
  <c r="JB23" i="17"/>
  <c r="JB24" i="17" s="1"/>
  <c r="JB60" i="17"/>
  <c r="JA26" i="19" s="1"/>
  <c r="JB51" i="17"/>
  <c r="JC18" i="17"/>
  <c r="JC20" i="17"/>
  <c r="JC21" i="17"/>
  <c r="JD1" i="17"/>
  <c r="JD13" i="17" s="1"/>
  <c r="JC22" i="17"/>
  <c r="JC19" i="17"/>
  <c r="FY28" i="17"/>
  <c r="FW33" i="17"/>
  <c r="FY31" i="17"/>
  <c r="FY30" i="17"/>
  <c r="FY32" i="17"/>
  <c r="FY29" i="17"/>
  <c r="FK14" i="19"/>
  <c r="FW42" i="17"/>
  <c r="FL11" i="19" s="1"/>
  <c r="IY332" i="31" l="1"/>
  <c r="IX25" i="30"/>
  <c r="IX26" i="30" s="1"/>
  <c r="FV10" i="19"/>
  <c r="FC27" i="30"/>
  <c r="FC28" i="30" s="1"/>
  <c r="FB29" i="30"/>
  <c r="JD9" i="17"/>
  <c r="JD11" i="17"/>
  <c r="JD10" i="17"/>
  <c r="JD12" i="17"/>
  <c r="JA47" i="19"/>
  <c r="CK47" i="41"/>
  <c r="BI10" i="41"/>
  <c r="FL12" i="19"/>
  <c r="BF11" i="41"/>
  <c r="JD50" i="17"/>
  <c r="JD59" i="17"/>
  <c r="JD55" i="17"/>
  <c r="JD46" i="17"/>
  <c r="JD56" i="17"/>
  <c r="JD47" i="17"/>
  <c r="JD57" i="17"/>
  <c r="JD48" i="17"/>
  <c r="JD58" i="17"/>
  <c r="JD49" i="17"/>
  <c r="FY41" i="17"/>
  <c r="FY40" i="17"/>
  <c r="FY39" i="17"/>
  <c r="FY38" i="17"/>
  <c r="FY37" i="17"/>
  <c r="JB331" i="31"/>
  <c r="BH34" i="19"/>
  <c r="JD24" i="31"/>
  <c r="JC23" i="31"/>
  <c r="JB47" i="19"/>
  <c r="JA34" i="19"/>
  <c r="JC51" i="17"/>
  <c r="JC23" i="17"/>
  <c r="JC24" i="17" s="1"/>
  <c r="JC60" i="17"/>
  <c r="JB26" i="19" s="1"/>
  <c r="JE1" i="17"/>
  <c r="JE13" i="17" s="1"/>
  <c r="JD18" i="17"/>
  <c r="JD22" i="17"/>
  <c r="JD19" i="17"/>
  <c r="JD20" i="17"/>
  <c r="JD21" i="17"/>
  <c r="FZ28" i="17"/>
  <c r="FZ29" i="17"/>
  <c r="FX33" i="17"/>
  <c r="FZ32" i="17"/>
  <c r="FZ31" i="17"/>
  <c r="FZ30" i="17"/>
  <c r="FX42" i="17"/>
  <c r="FM11" i="19" s="1"/>
  <c r="FL14" i="19"/>
  <c r="FC29" i="30" l="1"/>
  <c r="FW10" i="19"/>
  <c r="FD27" i="30"/>
  <c r="FD28" i="30" s="1"/>
  <c r="IZ332" i="31"/>
  <c r="IY25" i="30"/>
  <c r="IY26" i="30" s="1"/>
  <c r="JE12" i="17"/>
  <c r="JE10" i="17"/>
  <c r="JE11" i="17"/>
  <c r="JE9" i="17"/>
  <c r="FM12" i="19"/>
  <c r="BF12" i="41"/>
  <c r="BF14" i="41"/>
  <c r="JE50" i="17"/>
  <c r="JE59" i="17"/>
  <c r="JE55" i="17"/>
  <c r="JE46" i="17"/>
  <c r="JE56" i="17"/>
  <c r="JE47" i="17"/>
  <c r="JE57" i="17"/>
  <c r="JE48" i="17"/>
  <c r="JE58" i="17"/>
  <c r="JE49" i="17"/>
  <c r="FZ41" i="17"/>
  <c r="FZ40" i="17"/>
  <c r="FZ39" i="17"/>
  <c r="FZ38" i="17"/>
  <c r="FZ37" i="17"/>
  <c r="JC331" i="31"/>
  <c r="JE24" i="31"/>
  <c r="JD23" i="31"/>
  <c r="JB34" i="19"/>
  <c r="JD60" i="17"/>
  <c r="JC26" i="19" s="1"/>
  <c r="JD51" i="17"/>
  <c r="JD23" i="17"/>
  <c r="JD24" i="17" s="1"/>
  <c r="JE19" i="17"/>
  <c r="JE21" i="17"/>
  <c r="JF1" i="17"/>
  <c r="JF13" i="17" s="1"/>
  <c r="JE22" i="17"/>
  <c r="JE20" i="17"/>
  <c r="JE18" i="17"/>
  <c r="GA28" i="17"/>
  <c r="GA31" i="17"/>
  <c r="GA32" i="17"/>
  <c r="GA30" i="17"/>
  <c r="GA29" i="17"/>
  <c r="FY33" i="17"/>
  <c r="FM14" i="19"/>
  <c r="FY42" i="17"/>
  <c r="FN11" i="19" s="1"/>
  <c r="FN12" i="19" s="1"/>
  <c r="JA332" i="31" l="1"/>
  <c r="IZ25" i="30"/>
  <c r="IZ26" i="30" s="1"/>
  <c r="FD29" i="30"/>
  <c r="FE27" i="30"/>
  <c r="FE28" i="30" s="1"/>
  <c r="JF9" i="17"/>
  <c r="JF11" i="17"/>
  <c r="JF10" i="17"/>
  <c r="JF12" i="17"/>
  <c r="JF50" i="17"/>
  <c r="JF59" i="17"/>
  <c r="JF55" i="17"/>
  <c r="JF46" i="17"/>
  <c r="JF47" i="17"/>
  <c r="JF56" i="17"/>
  <c r="JF57" i="17"/>
  <c r="JF48" i="17"/>
  <c r="JF58" i="17"/>
  <c r="JF49" i="17"/>
  <c r="GA41" i="17"/>
  <c r="GA40" i="17"/>
  <c r="GA39" i="17"/>
  <c r="GA38" i="17"/>
  <c r="GA37" i="17"/>
  <c r="JD331" i="31"/>
  <c r="JC47" i="19"/>
  <c r="JF24" i="31"/>
  <c r="JE23" i="31"/>
  <c r="CL47" i="41"/>
  <c r="JC34" i="19"/>
  <c r="JE60" i="17"/>
  <c r="JD26" i="19" s="1"/>
  <c r="CL26" i="41" s="1"/>
  <c r="JE51" i="17"/>
  <c r="JE23" i="17"/>
  <c r="JE24" i="17" s="1"/>
  <c r="JF20" i="17"/>
  <c r="JF18" i="17"/>
  <c r="JF21" i="17"/>
  <c r="JF19" i="17"/>
  <c r="JF22" i="17"/>
  <c r="JG1" i="17"/>
  <c r="JG13" i="17" s="1"/>
  <c r="FZ33" i="17"/>
  <c r="GB28" i="17"/>
  <c r="GB30" i="17"/>
  <c r="GB32" i="17"/>
  <c r="GB31" i="17"/>
  <c r="GB29" i="17"/>
  <c r="FN14" i="19"/>
  <c r="FZ42" i="17"/>
  <c r="FO11" i="19" s="1"/>
  <c r="FF27" i="30" l="1"/>
  <c r="FE29" i="30"/>
  <c r="JB332" i="31"/>
  <c r="JA25" i="30"/>
  <c r="JA26" i="30" s="1"/>
  <c r="JG12" i="17"/>
  <c r="JG10" i="17"/>
  <c r="JG11" i="17"/>
  <c r="JG9" i="17"/>
  <c r="FO12" i="19"/>
  <c r="BG11" i="41"/>
  <c r="JG59" i="17"/>
  <c r="JG50" i="17"/>
  <c r="JG55" i="17"/>
  <c r="JG46" i="17"/>
  <c r="JG56" i="17"/>
  <c r="JG47" i="17"/>
  <c r="JG57" i="17"/>
  <c r="JG48" i="17"/>
  <c r="JG58" i="17"/>
  <c r="JG49" i="17"/>
  <c r="GB41" i="17"/>
  <c r="GB40" i="17"/>
  <c r="GB39" i="17"/>
  <c r="GB38" i="17"/>
  <c r="GB37" i="17"/>
  <c r="JE331" i="31"/>
  <c r="JD47" i="19"/>
  <c r="JG24" i="31"/>
  <c r="JF23" i="31"/>
  <c r="JF60" i="17"/>
  <c r="JE26" i="19" s="1"/>
  <c r="JD34" i="19"/>
  <c r="JF23" i="17"/>
  <c r="JF24" i="17" s="1"/>
  <c r="JF51" i="17"/>
  <c r="JG20" i="17"/>
  <c r="JG21" i="17"/>
  <c r="JG19" i="17"/>
  <c r="JG18" i="17"/>
  <c r="JG22" i="17"/>
  <c r="JH1" i="17"/>
  <c r="JH13" i="17" s="1"/>
  <c r="GC28" i="17"/>
  <c r="GC32" i="17"/>
  <c r="GC31" i="17"/>
  <c r="GC30" i="17"/>
  <c r="GC29" i="17"/>
  <c r="GA33" i="17"/>
  <c r="FO14" i="19"/>
  <c r="GA42" i="17"/>
  <c r="FP11" i="19" s="1"/>
  <c r="FF29" i="30" l="1"/>
  <c r="FF28" i="30"/>
  <c r="JC332" i="31"/>
  <c r="JB25" i="30"/>
  <c r="JB26" i="30" s="1"/>
  <c r="FG27" i="30"/>
  <c r="FG28" i="30" s="1"/>
  <c r="JH9" i="17"/>
  <c r="JH11" i="17"/>
  <c r="JH10" i="17"/>
  <c r="JH12" i="17"/>
  <c r="W47" i="41"/>
  <c r="AA47" i="41"/>
  <c r="BW47" i="19"/>
  <c r="FP12" i="19"/>
  <c r="BG12" i="41"/>
  <c r="BG14" i="41"/>
  <c r="JH59" i="17"/>
  <c r="JH50" i="17"/>
  <c r="JH46" i="17"/>
  <c r="JH55" i="17"/>
  <c r="JH56" i="17"/>
  <c r="JH47" i="17"/>
  <c r="JH57" i="17"/>
  <c r="JH48" i="17"/>
  <c r="JH49" i="17"/>
  <c r="JH58" i="17"/>
  <c r="GC41" i="17"/>
  <c r="GC40" i="17"/>
  <c r="GC39" i="17"/>
  <c r="GC38" i="17"/>
  <c r="GC37" i="17"/>
  <c r="JF331" i="31"/>
  <c r="JE47" i="19"/>
  <c r="BP47" i="19"/>
  <c r="JG23" i="31"/>
  <c r="JH24" i="31"/>
  <c r="JE34" i="19"/>
  <c r="JG23" i="17"/>
  <c r="JG24" i="17" s="1"/>
  <c r="JG60" i="17"/>
  <c r="JF26" i="19" s="1"/>
  <c r="JG51" i="17"/>
  <c r="JI1" i="17"/>
  <c r="JI13" i="17" s="1"/>
  <c r="JH19" i="17"/>
  <c r="JH18" i="17"/>
  <c r="JH22" i="17"/>
  <c r="JH20" i="17"/>
  <c r="JH21" i="17"/>
  <c r="BT47" i="19"/>
  <c r="GD28" i="17"/>
  <c r="GB33" i="17"/>
  <c r="GD32" i="17"/>
  <c r="GD31" i="17"/>
  <c r="GD29" i="17"/>
  <c r="GD30" i="17"/>
  <c r="GB42" i="17"/>
  <c r="FQ11" i="19" s="1"/>
  <c r="FQ12" i="19" s="1"/>
  <c r="FP14" i="19"/>
  <c r="FG29" i="30" l="1"/>
  <c r="FH27" i="30"/>
  <c r="FH28" i="30" s="1"/>
  <c r="JD332" i="31"/>
  <c r="JC25" i="30"/>
  <c r="JC26" i="30" s="1"/>
  <c r="JI12" i="17"/>
  <c r="JI10" i="17"/>
  <c r="JI11" i="17"/>
  <c r="JI9" i="17"/>
  <c r="BP34" i="19"/>
  <c r="BW34" i="19"/>
  <c r="JI50" i="17"/>
  <c r="JI59" i="17"/>
  <c r="JI55" i="17"/>
  <c r="JI46" i="17"/>
  <c r="JI47" i="17"/>
  <c r="JI56" i="17"/>
  <c r="JI48" i="17"/>
  <c r="JI57" i="17"/>
  <c r="JI58" i="17"/>
  <c r="JI49" i="17"/>
  <c r="GD41" i="17"/>
  <c r="GD40" i="17"/>
  <c r="GD39" i="17"/>
  <c r="GD38" i="17"/>
  <c r="GD37" i="17"/>
  <c r="JG331" i="31"/>
  <c r="JF47" i="19"/>
  <c r="JH23" i="31"/>
  <c r="JI24" i="31"/>
  <c r="CM47" i="41"/>
  <c r="JF34" i="19"/>
  <c r="JH60" i="17"/>
  <c r="JG26" i="19" s="1"/>
  <c r="JH23" i="17"/>
  <c r="JH24" i="17" s="1"/>
  <c r="JH51" i="17"/>
  <c r="JI20" i="17"/>
  <c r="JI19" i="17"/>
  <c r="JI18" i="17"/>
  <c r="JI21" i="17"/>
  <c r="JJ1" i="17"/>
  <c r="JJ13" i="17" s="1"/>
  <c r="JI22" i="17"/>
  <c r="BT34" i="19"/>
  <c r="GE28" i="17"/>
  <c r="GC33" i="17"/>
  <c r="GE30" i="17"/>
  <c r="GE29" i="17"/>
  <c r="GE32" i="17"/>
  <c r="GE31" i="17"/>
  <c r="GC42" i="17"/>
  <c r="FR11" i="19" s="1"/>
  <c r="FR12" i="19" s="1"/>
  <c r="FQ14" i="19"/>
  <c r="JE332" i="31" l="1"/>
  <c r="JD25" i="30"/>
  <c r="JD26" i="30" s="1"/>
  <c r="FI27" i="30"/>
  <c r="FI28" i="30" s="1"/>
  <c r="FH29" i="30"/>
  <c r="JJ9" i="17"/>
  <c r="JJ11" i="17"/>
  <c r="JJ10" i="17"/>
  <c r="JJ12" i="17"/>
  <c r="BH11" i="41"/>
  <c r="JJ50" i="17"/>
  <c r="JJ59" i="17"/>
  <c r="JJ55" i="17"/>
  <c r="JJ46" i="17"/>
  <c r="JJ56" i="17"/>
  <c r="JJ47" i="17"/>
  <c r="JJ48" i="17"/>
  <c r="JJ57" i="17"/>
  <c r="JJ58" i="17"/>
  <c r="JJ49" i="17"/>
  <c r="GE41" i="17"/>
  <c r="GE40" i="17"/>
  <c r="GE39" i="17"/>
  <c r="GE38" i="17"/>
  <c r="GE37" i="17"/>
  <c r="JH331" i="31"/>
  <c r="JJ24" i="31"/>
  <c r="JG47" i="19"/>
  <c r="JI23" i="31"/>
  <c r="JI331" i="31" s="1"/>
  <c r="JG34" i="19"/>
  <c r="JI60" i="17"/>
  <c r="JH26" i="19" s="1"/>
  <c r="JI51" i="17"/>
  <c r="JI23" i="17"/>
  <c r="JI24" i="17" s="1"/>
  <c r="JJ21" i="17"/>
  <c r="JJ18" i="17"/>
  <c r="JJ22" i="17"/>
  <c r="JK1" i="17"/>
  <c r="JK13" i="17" s="1"/>
  <c r="JJ20" i="17"/>
  <c r="JJ19" i="17"/>
  <c r="GF28" i="17"/>
  <c r="GD33" i="17"/>
  <c r="GF29" i="17"/>
  <c r="GF30" i="17"/>
  <c r="GF31" i="17"/>
  <c r="GF32" i="17"/>
  <c r="GD42" i="17"/>
  <c r="FS11" i="19" s="1"/>
  <c r="FR14" i="19"/>
  <c r="FJ27" i="30" l="1"/>
  <c r="FJ28" i="30" s="1"/>
  <c r="FI29" i="30"/>
  <c r="JF332" i="31"/>
  <c r="JE25" i="30"/>
  <c r="JE26" i="30" s="1"/>
  <c r="JK10" i="17"/>
  <c r="JK11" i="17"/>
  <c r="JK12" i="17"/>
  <c r="JK9" i="17"/>
  <c r="FS12" i="19"/>
  <c r="BH12" i="41"/>
  <c r="BH14" i="41"/>
  <c r="JK50" i="17"/>
  <c r="JK59" i="17"/>
  <c r="JK55" i="17"/>
  <c r="JK46" i="17"/>
  <c r="JK56" i="17"/>
  <c r="JK47" i="17"/>
  <c r="JK48" i="17"/>
  <c r="JK57" i="17"/>
  <c r="JK58" i="17"/>
  <c r="JK49" i="17"/>
  <c r="GF41" i="17"/>
  <c r="GF40" i="17"/>
  <c r="GF39" i="17"/>
  <c r="GF38" i="17"/>
  <c r="GF37" i="17"/>
  <c r="JK24" i="31"/>
  <c r="JJ23" i="31"/>
  <c r="JH47" i="19"/>
  <c r="JH34" i="19"/>
  <c r="JJ51" i="17"/>
  <c r="JJ60" i="17"/>
  <c r="JI26" i="19" s="1"/>
  <c r="JJ23" i="17"/>
  <c r="JJ24" i="17" s="1"/>
  <c r="JK19" i="17"/>
  <c r="JL1" i="17"/>
  <c r="JL13" i="17" s="1"/>
  <c r="JK18" i="17"/>
  <c r="JK20" i="17"/>
  <c r="JK21" i="17"/>
  <c r="JK22" i="17"/>
  <c r="GG28" i="17"/>
  <c r="GG31" i="17"/>
  <c r="GG30" i="17"/>
  <c r="GG29" i="17"/>
  <c r="GE33" i="17"/>
  <c r="GG32" i="17"/>
  <c r="FS14" i="19"/>
  <c r="GE42" i="17"/>
  <c r="FT11" i="19" s="1"/>
  <c r="FT12" i="19" s="1"/>
  <c r="FJ29" i="30" l="1"/>
  <c r="FK27" i="30"/>
  <c r="FK28" i="30" s="1"/>
  <c r="JG332" i="31"/>
  <c r="JF25" i="30"/>
  <c r="JF26" i="30" s="1"/>
  <c r="JL9" i="17"/>
  <c r="JL12" i="17"/>
  <c r="JL11" i="17"/>
  <c r="JL10" i="17"/>
  <c r="JL50" i="17"/>
  <c r="JL59" i="17"/>
  <c r="JL55" i="17"/>
  <c r="JL46" i="17"/>
  <c r="JL47" i="17"/>
  <c r="JL56" i="17"/>
  <c r="JL48" i="17"/>
  <c r="JL57" i="17"/>
  <c r="JL58" i="17"/>
  <c r="JL49" i="17"/>
  <c r="GG41" i="17"/>
  <c r="GG40" i="17"/>
  <c r="GG39" i="17"/>
  <c r="GG38" i="17"/>
  <c r="GG37" i="17"/>
  <c r="JL24" i="31"/>
  <c r="JK23" i="31"/>
  <c r="JI47" i="19"/>
  <c r="CN47" i="41"/>
  <c r="JI34" i="19"/>
  <c r="JK51" i="17"/>
  <c r="JK23" i="17"/>
  <c r="JK24" i="17" s="1"/>
  <c r="JK60" i="17"/>
  <c r="JJ26" i="19" s="1"/>
  <c r="CN26" i="41" s="1"/>
  <c r="JL19" i="17"/>
  <c r="JL22" i="17"/>
  <c r="JM1" i="17"/>
  <c r="JM13" i="17" s="1"/>
  <c r="JL21" i="17"/>
  <c r="JL20" i="17"/>
  <c r="JL18" i="17"/>
  <c r="GH28" i="17"/>
  <c r="GH30" i="17"/>
  <c r="GH31" i="17"/>
  <c r="GF33" i="17"/>
  <c r="GH29" i="17"/>
  <c r="GH32" i="17"/>
  <c r="GF42" i="17"/>
  <c r="FU11" i="19" s="1"/>
  <c r="FU12" i="19" s="1"/>
  <c r="FT14" i="19"/>
  <c r="FK29" i="30" l="1"/>
  <c r="JH332" i="31"/>
  <c r="JG25" i="30"/>
  <c r="JG26" i="30" s="1"/>
  <c r="FL27" i="30"/>
  <c r="FL28" i="30" s="1"/>
  <c r="JM10" i="17"/>
  <c r="JM11" i="17"/>
  <c r="JM12" i="17"/>
  <c r="JM9" i="17"/>
  <c r="BI11" i="41"/>
  <c r="JM50" i="17"/>
  <c r="JM59" i="17"/>
  <c r="JM46" i="17"/>
  <c r="JM55" i="17"/>
  <c r="JM47" i="17"/>
  <c r="JM56" i="17"/>
  <c r="JM48" i="17"/>
  <c r="JM57" i="17"/>
  <c r="JM58" i="17"/>
  <c r="JM49" i="17"/>
  <c r="GH41" i="17"/>
  <c r="GH40" i="17"/>
  <c r="GH39" i="17"/>
  <c r="GH38" i="17"/>
  <c r="GH37" i="17"/>
  <c r="JM24" i="31"/>
  <c r="JL23" i="31"/>
  <c r="JJ47" i="19"/>
  <c r="JJ34" i="19"/>
  <c r="JL51" i="17"/>
  <c r="JL60" i="17"/>
  <c r="JK26" i="19" s="1"/>
  <c r="JL23" i="17"/>
  <c r="JL24" i="17" s="1"/>
  <c r="JM22" i="17"/>
  <c r="JM20" i="17"/>
  <c r="JN1" i="17"/>
  <c r="JN13" i="17" s="1"/>
  <c r="JM21" i="17"/>
  <c r="JM18" i="17"/>
  <c r="JM19" i="17"/>
  <c r="GI28" i="17"/>
  <c r="GI31" i="17"/>
  <c r="GI32" i="17"/>
  <c r="GG33" i="17"/>
  <c r="FM27" i="30" s="1"/>
  <c r="FM28" i="30" s="1"/>
  <c r="GI29" i="17"/>
  <c r="GI30" i="17"/>
  <c r="GG42" i="17"/>
  <c r="FV11" i="19" s="1"/>
  <c r="FU14" i="19"/>
  <c r="FM29" i="30" l="1"/>
  <c r="FL29" i="30"/>
  <c r="JI332" i="31"/>
  <c r="JI25" i="30" s="1"/>
  <c r="JI26" i="30" s="1"/>
  <c r="JH25" i="30"/>
  <c r="JH26" i="30" s="1"/>
  <c r="JN9" i="17"/>
  <c r="JN12" i="17"/>
  <c r="JN11" i="17"/>
  <c r="JN10" i="17"/>
  <c r="FV12" i="19"/>
  <c r="BI12" i="41"/>
  <c r="BI14" i="41"/>
  <c r="JN59" i="17"/>
  <c r="JN50" i="17"/>
  <c r="JN46" i="17"/>
  <c r="JN55" i="17"/>
  <c r="JN56" i="17"/>
  <c r="JN47" i="17"/>
  <c r="JN57" i="17"/>
  <c r="JN48" i="17"/>
  <c r="JN49" i="17"/>
  <c r="JN58" i="17"/>
  <c r="GI41" i="17"/>
  <c r="GI40" i="17"/>
  <c r="GI39" i="17"/>
  <c r="GI38" i="17"/>
  <c r="GI37" i="17"/>
  <c r="JN24" i="31"/>
  <c r="JM23" i="31"/>
  <c r="JK47" i="19"/>
  <c r="JK34" i="19"/>
  <c r="JM51" i="17"/>
  <c r="JM60" i="17"/>
  <c r="JL26" i="19" s="1"/>
  <c r="JM23" i="17"/>
  <c r="JM24" i="17" s="1"/>
  <c r="JN21" i="17"/>
  <c r="JN19" i="17"/>
  <c r="JO1" i="17"/>
  <c r="JO13" i="17" s="1"/>
  <c r="JN22" i="17"/>
  <c r="JN20" i="17"/>
  <c r="JN18" i="17"/>
  <c r="GJ28" i="17"/>
  <c r="GJ32" i="17"/>
  <c r="GJ31" i="17"/>
  <c r="GJ29" i="17"/>
  <c r="GH33" i="17"/>
  <c r="GJ30" i="17"/>
  <c r="FV14" i="19"/>
  <c r="GH42" i="17"/>
  <c r="FW11" i="19" s="1"/>
  <c r="FW12" i="19" s="1"/>
  <c r="FN27" i="30" l="1"/>
  <c r="FN28" i="30" s="1"/>
  <c r="JO10" i="17"/>
  <c r="JO11" i="17"/>
  <c r="JO12" i="17"/>
  <c r="JO9" i="17"/>
  <c r="JO59" i="17"/>
  <c r="JO50" i="17"/>
  <c r="JO46" i="17"/>
  <c r="JO55" i="17"/>
  <c r="JO56" i="17"/>
  <c r="JO47" i="17"/>
  <c r="JO57" i="17"/>
  <c r="JO48" i="17"/>
  <c r="JO49" i="17"/>
  <c r="JO58" i="17"/>
  <c r="GJ41" i="17"/>
  <c r="GJ40" i="17"/>
  <c r="GJ39" i="17"/>
  <c r="GJ38" i="17"/>
  <c r="GJ37" i="17"/>
  <c r="JN23" i="31"/>
  <c r="JO24" i="31"/>
  <c r="JL47" i="19"/>
  <c r="CO47" i="41"/>
  <c r="JL34" i="19"/>
  <c r="JN51" i="17"/>
  <c r="JN60" i="17"/>
  <c r="JM26" i="19" s="1"/>
  <c r="CO26" i="41" s="1"/>
  <c r="JN23" i="17"/>
  <c r="JN24" i="17" s="1"/>
  <c r="JO22" i="17"/>
  <c r="JO21" i="17"/>
  <c r="JO19" i="17"/>
  <c r="JP1" i="17"/>
  <c r="JP13" i="17" s="1"/>
  <c r="JO20" i="17"/>
  <c r="JO18" i="17"/>
  <c r="GK28" i="17"/>
  <c r="GI33" i="17"/>
  <c r="GK31" i="17"/>
  <c r="GK32" i="17"/>
  <c r="GK30" i="17"/>
  <c r="GK29" i="17"/>
  <c r="FW14" i="19"/>
  <c r="GI42" i="17"/>
  <c r="FO27" i="30" l="1"/>
  <c r="FN29" i="30"/>
  <c r="JP9" i="17"/>
  <c r="JP12" i="17"/>
  <c r="JP11" i="17"/>
  <c r="JP10" i="17"/>
  <c r="JP50" i="17"/>
  <c r="JP59" i="17"/>
  <c r="JP55" i="17"/>
  <c r="JP46" i="17"/>
  <c r="JP56" i="17"/>
  <c r="JP47" i="17"/>
  <c r="JP57" i="17"/>
  <c r="JP48" i="17"/>
  <c r="JP49" i="17"/>
  <c r="JP58" i="17"/>
  <c r="GK41" i="17"/>
  <c r="GK40" i="17"/>
  <c r="GK39" i="17"/>
  <c r="GK38" i="17"/>
  <c r="GK37" i="17"/>
  <c r="JO23" i="31"/>
  <c r="C39" i="31" s="1"/>
  <c r="C36" i="31" s="1"/>
  <c r="JM47" i="19"/>
  <c r="JM34" i="19"/>
  <c r="JO51" i="17"/>
  <c r="JO23" i="17"/>
  <c r="JO24" i="17" s="1"/>
  <c r="JO60" i="17"/>
  <c r="JN26" i="19" s="1"/>
  <c r="JP19" i="17"/>
  <c r="JP22" i="17"/>
  <c r="JP21" i="17"/>
  <c r="JP20" i="17"/>
  <c r="JP18" i="17"/>
  <c r="JQ1" i="17"/>
  <c r="JQ13" i="17" s="1"/>
  <c r="GL28" i="17"/>
  <c r="GJ33" i="17"/>
  <c r="FP27" i="30" s="1"/>
  <c r="FP28" i="30" s="1"/>
  <c r="GL30" i="17"/>
  <c r="GL31" i="17"/>
  <c r="GL32" i="17"/>
  <c r="GL29" i="17"/>
  <c r="GJ42" i="17"/>
  <c r="FO29" i="30" l="1"/>
  <c r="FO28" i="30"/>
  <c r="FP29" i="30"/>
  <c r="JQ10" i="17"/>
  <c r="JQ11" i="17"/>
  <c r="JQ12" i="17"/>
  <c r="JQ9" i="17"/>
  <c r="JQ50" i="17"/>
  <c r="JQ59" i="17"/>
  <c r="JQ46" i="17"/>
  <c r="JQ55" i="17"/>
  <c r="JQ56" i="17"/>
  <c r="JQ47" i="17"/>
  <c r="JQ48" i="17"/>
  <c r="JQ57" i="17"/>
  <c r="JQ58" i="17"/>
  <c r="JQ49" i="17"/>
  <c r="GL41" i="17"/>
  <c r="GL40" i="17"/>
  <c r="GL39" i="17"/>
  <c r="GL38" i="17"/>
  <c r="GL37" i="17"/>
  <c r="E39" i="31"/>
  <c r="D39" i="31"/>
  <c r="D36" i="31" s="1"/>
  <c r="O39" i="31"/>
  <c r="J39" i="31"/>
  <c r="P39" i="31"/>
  <c r="I39" i="31"/>
  <c r="K39" i="31"/>
  <c r="L39" i="31"/>
  <c r="M39" i="31"/>
  <c r="F39" i="31"/>
  <c r="G39" i="31"/>
  <c r="N39" i="31"/>
  <c r="Q39" i="31"/>
  <c r="H39" i="31"/>
  <c r="JN47" i="19"/>
  <c r="JN34" i="19"/>
  <c r="JP60" i="17"/>
  <c r="JO26" i="19" s="1"/>
  <c r="JP23" i="17"/>
  <c r="JP24" i="17" s="1"/>
  <c r="JP51" i="17"/>
  <c r="JQ21" i="17"/>
  <c r="JQ19" i="17"/>
  <c r="JQ20" i="17"/>
  <c r="JQ22" i="17"/>
  <c r="JR1" i="17"/>
  <c r="JR13" i="17" s="1"/>
  <c r="JQ18" i="17"/>
  <c r="GM28" i="17"/>
  <c r="GK33" i="17"/>
  <c r="GM32" i="17"/>
  <c r="GM30" i="17"/>
  <c r="GM29" i="17"/>
  <c r="GM31" i="17"/>
  <c r="GK42" i="17"/>
  <c r="FQ27" i="30" l="1"/>
  <c r="FQ28" i="30" s="1"/>
  <c r="JR9" i="17"/>
  <c r="JR12" i="17"/>
  <c r="JR11" i="17"/>
  <c r="JR10" i="17"/>
  <c r="JR50" i="17"/>
  <c r="JR59" i="17"/>
  <c r="JR55" i="17"/>
  <c r="JR46" i="17"/>
  <c r="JR56" i="17"/>
  <c r="JR47" i="17"/>
  <c r="JR48" i="17"/>
  <c r="JR57" i="17"/>
  <c r="JR58" i="17"/>
  <c r="JR49" i="17"/>
  <c r="GM41" i="17"/>
  <c r="GM40" i="17"/>
  <c r="GM39" i="17"/>
  <c r="GM38" i="17"/>
  <c r="GM37" i="17"/>
  <c r="E36" i="31"/>
  <c r="F36" i="31" s="1"/>
  <c r="G36" i="31" s="1"/>
  <c r="H36" i="31" s="1"/>
  <c r="I36" i="31" s="1"/>
  <c r="J36" i="31" s="1"/>
  <c r="K36" i="31" s="1"/>
  <c r="L36" i="31" s="1"/>
  <c r="M36" i="31" s="1"/>
  <c r="N36" i="31" s="1"/>
  <c r="O36" i="31" s="1"/>
  <c r="P36" i="31" s="1"/>
  <c r="Q36" i="31" s="1"/>
  <c r="R36" i="31" s="1"/>
  <c r="JO47" i="19"/>
  <c r="JO34" i="19"/>
  <c r="CP47" i="41"/>
  <c r="JQ51" i="17"/>
  <c r="JQ23" i="17"/>
  <c r="JQ24" i="17" s="1"/>
  <c r="JQ60" i="17"/>
  <c r="JP26" i="19" s="1"/>
  <c r="JR20" i="17"/>
  <c r="JS1" i="17"/>
  <c r="JS13" i="17" s="1"/>
  <c r="JR19" i="17"/>
  <c r="JR18" i="17"/>
  <c r="JR21" i="17"/>
  <c r="JR22" i="17"/>
  <c r="GN28" i="17"/>
  <c r="GL33" i="17"/>
  <c r="GN31" i="17"/>
  <c r="GN29" i="17"/>
  <c r="GN30" i="17"/>
  <c r="GN32" i="17"/>
  <c r="GL42" i="17"/>
  <c r="FR27" i="30" l="1"/>
  <c r="FR28" i="30" s="1"/>
  <c r="FQ29" i="30"/>
  <c r="JS10" i="17"/>
  <c r="JS11" i="17"/>
  <c r="JS12" i="17"/>
  <c r="JS9" i="17"/>
  <c r="JS50" i="17"/>
  <c r="JS59" i="17"/>
  <c r="JS46" i="17"/>
  <c r="JS55" i="17"/>
  <c r="JS47" i="17"/>
  <c r="JS56" i="17"/>
  <c r="JS57" i="17"/>
  <c r="JS48" i="17"/>
  <c r="JS58" i="17"/>
  <c r="JS49" i="17"/>
  <c r="GN41" i="17"/>
  <c r="GN40" i="17"/>
  <c r="GN39" i="17"/>
  <c r="GN38" i="17"/>
  <c r="GN37" i="17"/>
  <c r="JP47" i="19"/>
  <c r="JP34" i="19"/>
  <c r="JR23" i="17"/>
  <c r="JR24" i="17" s="1"/>
  <c r="JR60" i="17"/>
  <c r="JQ26" i="19" s="1"/>
  <c r="JR51" i="17"/>
  <c r="JS20" i="17"/>
  <c r="JS19" i="17"/>
  <c r="JT1" i="17"/>
  <c r="JT13" i="17" s="1"/>
  <c r="JS22" i="17"/>
  <c r="JS21" i="17"/>
  <c r="JS18" i="17"/>
  <c r="GO28" i="17"/>
  <c r="GO30" i="17"/>
  <c r="GO32" i="17"/>
  <c r="GO29" i="17"/>
  <c r="GM33" i="17"/>
  <c r="GO31" i="17"/>
  <c r="GM42" i="17"/>
  <c r="FR29" i="30" l="1"/>
  <c r="FS27" i="30"/>
  <c r="JT9" i="17"/>
  <c r="JT12" i="17"/>
  <c r="JT11" i="17"/>
  <c r="JT10" i="17"/>
  <c r="JT50" i="17"/>
  <c r="JT59" i="17"/>
  <c r="JT55" i="17"/>
  <c r="JT46" i="17"/>
  <c r="JT47" i="17"/>
  <c r="JT56" i="17"/>
  <c r="JT48" i="17"/>
  <c r="JT57" i="17"/>
  <c r="JT58" i="17"/>
  <c r="JT49" i="17"/>
  <c r="GO41" i="17"/>
  <c r="GO40" i="17"/>
  <c r="GO39" i="17"/>
  <c r="GO38" i="17"/>
  <c r="GO37" i="17"/>
  <c r="JQ47" i="19"/>
  <c r="JQ34" i="19"/>
  <c r="JS51" i="17"/>
  <c r="JS60" i="17"/>
  <c r="JR26" i="19" s="1"/>
  <c r="JS23" i="17"/>
  <c r="JS24" i="17" s="1"/>
  <c r="JU1" i="17"/>
  <c r="JU13" i="17" s="1"/>
  <c r="JT21" i="17"/>
  <c r="JT22" i="17"/>
  <c r="JT18" i="17"/>
  <c r="JT19" i="17"/>
  <c r="JT20" i="17"/>
  <c r="GP28" i="17"/>
  <c r="GN33" i="17"/>
  <c r="GP29" i="17"/>
  <c r="GP32" i="17"/>
  <c r="GP31" i="17"/>
  <c r="GP30" i="17"/>
  <c r="GN42" i="17"/>
  <c r="FS29" i="30" l="1"/>
  <c r="FS28" i="30"/>
  <c r="FT27" i="30"/>
  <c r="FT28" i="30" s="1"/>
  <c r="JU10" i="17"/>
  <c r="JU11" i="17"/>
  <c r="JU12" i="17"/>
  <c r="JU9" i="17"/>
  <c r="JU59" i="17"/>
  <c r="JU50" i="17"/>
  <c r="JU55" i="17"/>
  <c r="JU46" i="17"/>
  <c r="JU47" i="17"/>
  <c r="JU56" i="17"/>
  <c r="JU48" i="17"/>
  <c r="JU57" i="17"/>
  <c r="JU49" i="17"/>
  <c r="JU58" i="17"/>
  <c r="GP41" i="17"/>
  <c r="GP40" i="17"/>
  <c r="GP39" i="17"/>
  <c r="GP38" i="17"/>
  <c r="GP37" i="17"/>
  <c r="JR47" i="19"/>
  <c r="JR34" i="19"/>
  <c r="CQ47" i="41"/>
  <c r="JT51" i="17"/>
  <c r="JT60" i="17"/>
  <c r="JS26" i="19" s="1"/>
  <c r="JT23" i="17"/>
  <c r="JT24" i="17" s="1"/>
  <c r="JU19" i="17"/>
  <c r="JU18" i="17"/>
  <c r="JV1" i="17"/>
  <c r="JV13" i="17" s="1"/>
  <c r="JU21" i="17"/>
  <c r="JU20" i="17"/>
  <c r="JU22" i="17"/>
  <c r="GO33" i="17"/>
  <c r="GQ28" i="17"/>
  <c r="GQ32" i="17"/>
  <c r="GQ31" i="17"/>
  <c r="GQ29" i="17"/>
  <c r="GQ30" i="17"/>
  <c r="GO42" i="17"/>
  <c r="FU27" i="30" l="1"/>
  <c r="FT29" i="30"/>
  <c r="JV9" i="17"/>
  <c r="JV12" i="17"/>
  <c r="JV11" i="17"/>
  <c r="JV10" i="17"/>
  <c r="JV59" i="17"/>
  <c r="JV50" i="17"/>
  <c r="JV55" i="17"/>
  <c r="JV46" i="17"/>
  <c r="JV56" i="17"/>
  <c r="JV47" i="17"/>
  <c r="JV48" i="17"/>
  <c r="JV57" i="17"/>
  <c r="JV49" i="17"/>
  <c r="JV58" i="17"/>
  <c r="GQ41" i="17"/>
  <c r="GQ40" i="17"/>
  <c r="GQ39" i="17"/>
  <c r="GQ38" i="17"/>
  <c r="GQ37" i="17"/>
  <c r="JS47" i="19"/>
  <c r="JS34" i="19"/>
  <c r="JU60" i="17"/>
  <c r="JT26" i="19" s="1"/>
  <c r="JU23" i="17"/>
  <c r="JU24" i="17" s="1"/>
  <c r="JU51" i="17"/>
  <c r="JV21" i="17"/>
  <c r="JV19" i="17"/>
  <c r="JV20" i="17"/>
  <c r="JW1" i="17"/>
  <c r="JW13" i="17" s="1"/>
  <c r="JV18" i="17"/>
  <c r="JV22" i="17"/>
  <c r="GR28" i="17"/>
  <c r="GR31" i="17"/>
  <c r="GP33" i="17"/>
  <c r="GR32" i="17"/>
  <c r="GR30" i="17"/>
  <c r="GR29" i="17"/>
  <c r="GP42" i="17"/>
  <c r="FU29" i="30" l="1"/>
  <c r="FU28" i="30"/>
  <c r="FV27" i="30"/>
  <c r="FV28" i="30" s="1"/>
  <c r="JW10" i="17"/>
  <c r="JW11" i="17"/>
  <c r="JW12" i="17"/>
  <c r="JW9" i="17"/>
  <c r="T34" i="19"/>
  <c r="JW50" i="17"/>
  <c r="JW59" i="17"/>
  <c r="JW46" i="17"/>
  <c r="JW55" i="17"/>
  <c r="JW47" i="17"/>
  <c r="JW56" i="17"/>
  <c r="JW48" i="17"/>
  <c r="JW57" i="17"/>
  <c r="JW58" i="17"/>
  <c r="JW49" i="17"/>
  <c r="GR41" i="17"/>
  <c r="GR40" i="17"/>
  <c r="GR39" i="17"/>
  <c r="GR38" i="17"/>
  <c r="GR37" i="17"/>
  <c r="S34" i="19"/>
  <c r="S47" i="19"/>
  <c r="JT47" i="19"/>
  <c r="JT34" i="19"/>
  <c r="JU47" i="19"/>
  <c r="JV23" i="17"/>
  <c r="JV24" i="17" s="1"/>
  <c r="JV51" i="17"/>
  <c r="JV60" i="17"/>
  <c r="JU26" i="19" s="1"/>
  <c r="JW22" i="17"/>
  <c r="JW18" i="17"/>
  <c r="JW21" i="17"/>
  <c r="JW19" i="17"/>
  <c r="JW20" i="17"/>
  <c r="JX1" i="17"/>
  <c r="JX13" i="17" s="1"/>
  <c r="GS28" i="17"/>
  <c r="GS32" i="17"/>
  <c r="GS29" i="17"/>
  <c r="GQ33" i="17"/>
  <c r="GS30" i="17"/>
  <c r="GS31" i="17"/>
  <c r="GQ42" i="17"/>
  <c r="FV29" i="30" l="1"/>
  <c r="FW27" i="30"/>
  <c r="FW28" i="30" s="1"/>
  <c r="JX9" i="17"/>
  <c r="JX12" i="17"/>
  <c r="JX11" i="17"/>
  <c r="JX10" i="17"/>
  <c r="T47" i="19"/>
  <c r="I34" i="41"/>
  <c r="CA47" i="19"/>
  <c r="CM47" i="19"/>
  <c r="JX50" i="17"/>
  <c r="JX59" i="17"/>
  <c r="JX55" i="17"/>
  <c r="JX46" i="17"/>
  <c r="JX47" i="17"/>
  <c r="JX56" i="17"/>
  <c r="JX48" i="17"/>
  <c r="JX57" i="17"/>
  <c r="JX49" i="17"/>
  <c r="JX58" i="17"/>
  <c r="GS41" i="17"/>
  <c r="GS40" i="17"/>
  <c r="GS39" i="17"/>
  <c r="GS38" i="17"/>
  <c r="GS37" i="17"/>
  <c r="CC47" i="19"/>
  <c r="CF47" i="19"/>
  <c r="JU34" i="19"/>
  <c r="CR47" i="41"/>
  <c r="CH47" i="19"/>
  <c r="JW51" i="17"/>
  <c r="JW60" i="17"/>
  <c r="JV26" i="19" s="1"/>
  <c r="JW23" i="17"/>
  <c r="JW24" i="17" s="1"/>
  <c r="JY1" i="17"/>
  <c r="JY13" i="17" s="1"/>
  <c r="JX22" i="17"/>
  <c r="JX19" i="17"/>
  <c r="JX18" i="17"/>
  <c r="JX20" i="17"/>
  <c r="JX21" i="17"/>
  <c r="CM34" i="19"/>
  <c r="AG34" i="41" s="1"/>
  <c r="CJ47" i="19"/>
  <c r="GT28" i="17"/>
  <c r="GR33" i="17"/>
  <c r="GT30" i="17"/>
  <c r="GT29" i="17"/>
  <c r="GT31" i="17"/>
  <c r="GT32" i="17"/>
  <c r="GR42" i="17"/>
  <c r="FX27" i="30" l="1"/>
  <c r="FX28" i="30" s="1"/>
  <c r="FW29" i="30"/>
  <c r="JY10" i="17"/>
  <c r="JY9" i="17"/>
  <c r="JY11" i="17"/>
  <c r="JY12" i="17"/>
  <c r="JY50" i="17"/>
  <c r="JY59" i="17"/>
  <c r="JY46" i="17"/>
  <c r="JY55" i="17"/>
  <c r="JY56" i="17"/>
  <c r="JY47" i="17"/>
  <c r="JY48" i="17"/>
  <c r="JY57" i="17"/>
  <c r="JY58" i="17"/>
  <c r="JY49" i="17"/>
  <c r="GT41" i="17"/>
  <c r="GT40" i="17"/>
  <c r="GT39" i="17"/>
  <c r="GT38" i="17"/>
  <c r="GT37" i="17"/>
  <c r="CF34" i="19"/>
  <c r="AD34" i="41" s="1"/>
  <c r="CA34" i="19"/>
  <c r="JV47" i="19"/>
  <c r="CH34" i="19"/>
  <c r="AE34" i="41" s="1"/>
  <c r="CC34" i="19"/>
  <c r="JV34" i="19"/>
  <c r="CR34" i="41" s="1"/>
  <c r="JX51" i="17"/>
  <c r="JX23" i="17"/>
  <c r="JX24" i="17" s="1"/>
  <c r="JX60" i="17"/>
  <c r="JW26" i="19" s="1"/>
  <c r="JY22" i="17"/>
  <c r="JY18" i="17"/>
  <c r="JY21" i="17"/>
  <c r="JY20" i="17"/>
  <c r="JZ1" i="17"/>
  <c r="JZ13" i="17" s="1"/>
  <c r="JY19" i="17"/>
  <c r="CJ34" i="19"/>
  <c r="AF34" i="41" s="1"/>
  <c r="GU28" i="17"/>
  <c r="GU29" i="17"/>
  <c r="GU32" i="17"/>
  <c r="GS33" i="17"/>
  <c r="GU30" i="17"/>
  <c r="GU31" i="17"/>
  <c r="GS42" i="17"/>
  <c r="FY27" i="30" l="1"/>
  <c r="FY28" i="30" s="1"/>
  <c r="FX29" i="30"/>
  <c r="JZ12" i="17"/>
  <c r="JZ9" i="17"/>
  <c r="JZ11" i="17"/>
  <c r="JZ10" i="17"/>
  <c r="AC34" i="41"/>
  <c r="JZ50" i="17"/>
  <c r="JZ59" i="17"/>
  <c r="JZ46" i="17"/>
  <c r="JZ55" i="17"/>
  <c r="JZ56" i="17"/>
  <c r="JZ47" i="17"/>
  <c r="JZ48" i="17"/>
  <c r="JZ57" i="17"/>
  <c r="JZ58" i="17"/>
  <c r="JZ49" i="17"/>
  <c r="GU41" i="17"/>
  <c r="GU40" i="17"/>
  <c r="GU39" i="17"/>
  <c r="GU38" i="17"/>
  <c r="GU37" i="17"/>
  <c r="JY51" i="17"/>
  <c r="JY60" i="17"/>
  <c r="JX26" i="19" s="1"/>
  <c r="JY23" i="17"/>
  <c r="JY24" i="17" s="1"/>
  <c r="JZ20" i="17"/>
  <c r="JZ18" i="17"/>
  <c r="JZ21" i="17"/>
  <c r="JZ19" i="17"/>
  <c r="JZ22" i="17"/>
  <c r="KA1" i="17"/>
  <c r="KA13" i="17" s="1"/>
  <c r="GV28" i="17"/>
  <c r="GT33" i="17"/>
  <c r="GV30" i="17"/>
  <c r="GV32" i="17"/>
  <c r="GV29" i="17"/>
  <c r="GV31" i="17"/>
  <c r="GT42" i="17"/>
  <c r="FZ27" i="30" l="1"/>
  <c r="FZ28" i="30" s="1"/>
  <c r="FY29" i="30"/>
  <c r="KA10" i="17"/>
  <c r="KA9" i="17"/>
  <c r="KA11" i="17"/>
  <c r="KA12" i="17"/>
  <c r="KA50" i="17"/>
  <c r="KA59" i="17"/>
  <c r="KA55" i="17"/>
  <c r="KA46" i="17"/>
  <c r="KA56" i="17"/>
  <c r="KA47" i="17"/>
  <c r="KA57" i="17"/>
  <c r="KA48" i="17"/>
  <c r="KA58" i="17"/>
  <c r="KA49" i="17"/>
  <c r="GV41" i="17"/>
  <c r="GV40" i="17"/>
  <c r="GV39" i="17"/>
  <c r="GV38" i="17"/>
  <c r="GV37" i="17"/>
  <c r="V34" i="19"/>
  <c r="J34" i="41" s="1"/>
  <c r="V47" i="19"/>
  <c r="JW47" i="19"/>
  <c r="JX47" i="19"/>
  <c r="JW34" i="19"/>
  <c r="CS47" i="41"/>
  <c r="JX34" i="19"/>
  <c r="JZ51" i="17"/>
  <c r="JZ23" i="17"/>
  <c r="JZ24" i="17" s="1"/>
  <c r="JZ60" i="17"/>
  <c r="JY26" i="19" s="1"/>
  <c r="KA19" i="17"/>
  <c r="KB1" i="17"/>
  <c r="KB13" i="17" s="1"/>
  <c r="KA20" i="17"/>
  <c r="KA18" i="17"/>
  <c r="KA22" i="17"/>
  <c r="KA21" i="17"/>
  <c r="GW28" i="17"/>
  <c r="GU33" i="17"/>
  <c r="GW30" i="17"/>
  <c r="GW31" i="17"/>
  <c r="GW29" i="17"/>
  <c r="GW32" i="17"/>
  <c r="GU42" i="17"/>
  <c r="FZ29" i="30" l="1"/>
  <c r="GA27" i="30"/>
  <c r="GA28" i="30" s="1"/>
  <c r="KB12" i="17"/>
  <c r="KB11" i="17"/>
  <c r="KB9" i="17"/>
  <c r="KB10" i="17"/>
  <c r="KB59" i="17"/>
  <c r="KB50" i="17"/>
  <c r="KB55" i="17"/>
  <c r="KB46" i="17"/>
  <c r="KB47" i="17"/>
  <c r="KB56" i="17"/>
  <c r="KB48" i="17"/>
  <c r="KB57" i="17"/>
  <c r="KB49" i="17"/>
  <c r="KB58" i="17"/>
  <c r="GW41" i="17"/>
  <c r="GW40" i="17"/>
  <c r="GW39" i="17"/>
  <c r="GW38" i="17"/>
  <c r="GW37" i="17"/>
  <c r="JY47" i="19"/>
  <c r="JY34" i="19"/>
  <c r="CS34" i="41" s="1"/>
  <c r="KA23" i="17"/>
  <c r="KA24" i="17" s="1"/>
  <c r="KA60" i="17"/>
  <c r="JZ26" i="19" s="1"/>
  <c r="KA51" i="17"/>
  <c r="KB21" i="17"/>
  <c r="KC1" i="17"/>
  <c r="KC13" i="17" s="1"/>
  <c r="KB19" i="17"/>
  <c r="KB20" i="17"/>
  <c r="KB22" i="17"/>
  <c r="KB18" i="17"/>
  <c r="GX28" i="17"/>
  <c r="GV33" i="17"/>
  <c r="GX29" i="17"/>
  <c r="GX30" i="17"/>
  <c r="GX32" i="17"/>
  <c r="GX31" i="17"/>
  <c r="GV42" i="17"/>
  <c r="GB27" i="30" l="1"/>
  <c r="GB28" i="30" s="1"/>
  <c r="GA29" i="30"/>
  <c r="KC10" i="17"/>
  <c r="KC9" i="17"/>
  <c r="KC11" i="17"/>
  <c r="KC12" i="17"/>
  <c r="KC50" i="17"/>
  <c r="KC59" i="17"/>
  <c r="KC46" i="17"/>
  <c r="KC55" i="17"/>
  <c r="KC56" i="17"/>
  <c r="KC47" i="17"/>
  <c r="KC48" i="17"/>
  <c r="KC57" i="17"/>
  <c r="KC49" i="17"/>
  <c r="KC58" i="17"/>
  <c r="GX41" i="17"/>
  <c r="GX40" i="17"/>
  <c r="GX39" i="17"/>
  <c r="GX38" i="17"/>
  <c r="GX37" i="17"/>
  <c r="JZ47" i="19"/>
  <c r="JZ34" i="19"/>
  <c r="KB51" i="17"/>
  <c r="KB23" i="17"/>
  <c r="KB24" i="17" s="1"/>
  <c r="KB60" i="17"/>
  <c r="KA26" i="19" s="1"/>
  <c r="KC19" i="17"/>
  <c r="KC21" i="17"/>
  <c r="KC20" i="17"/>
  <c r="KC22" i="17"/>
  <c r="KC18" i="17"/>
  <c r="GY28" i="17"/>
  <c r="GY29" i="17"/>
  <c r="GY32" i="17"/>
  <c r="GY30" i="17"/>
  <c r="GY31" i="17"/>
  <c r="GW33" i="17"/>
  <c r="GW42" i="17"/>
  <c r="GC27" i="30" l="1"/>
  <c r="GB29" i="30"/>
  <c r="GY41" i="17"/>
  <c r="GY40" i="17"/>
  <c r="GY39" i="17"/>
  <c r="GY38" i="17"/>
  <c r="GY37" i="17"/>
  <c r="KA47" i="19"/>
  <c r="CT47" i="41"/>
  <c r="KA34" i="19"/>
  <c r="KC23" i="17"/>
  <c r="KC24" i="17" s="1"/>
  <c r="KC51" i="17"/>
  <c r="KC60" i="17"/>
  <c r="KB26" i="19" s="1"/>
  <c r="CT26" i="41" s="1"/>
  <c r="GZ28" i="17"/>
  <c r="GZ32" i="17"/>
  <c r="GZ30" i="17"/>
  <c r="GZ29" i="17"/>
  <c r="GZ31" i="17"/>
  <c r="GX33" i="17"/>
  <c r="GX42" i="17"/>
  <c r="GC29" i="30" l="1"/>
  <c r="GC28" i="30"/>
  <c r="GD27" i="30"/>
  <c r="GD28" i="30" s="1"/>
  <c r="GZ41" i="17"/>
  <c r="GZ40" i="17"/>
  <c r="GZ39" i="17"/>
  <c r="GZ38" i="17"/>
  <c r="GZ37" i="17"/>
  <c r="KB47" i="19"/>
  <c r="KB34" i="19"/>
  <c r="HA28" i="17"/>
  <c r="HA31" i="17"/>
  <c r="GY33" i="17"/>
  <c r="HA32" i="17"/>
  <c r="HA29" i="17"/>
  <c r="HA30" i="17"/>
  <c r="GY42" i="17"/>
  <c r="GE27" i="30" l="1"/>
  <c r="GE28" i="30" s="1"/>
  <c r="GD29" i="30"/>
  <c r="AA47" i="19"/>
  <c r="O47" i="41"/>
  <c r="HA41" i="17"/>
  <c r="HA40" i="17"/>
  <c r="HA39" i="17"/>
  <c r="HA38" i="17"/>
  <c r="HA37" i="17"/>
  <c r="AA34" i="19"/>
  <c r="HB28" i="17"/>
  <c r="HB31" i="17"/>
  <c r="HB29" i="17"/>
  <c r="HB32" i="17"/>
  <c r="HB30" i="17"/>
  <c r="GZ33" i="17"/>
  <c r="GZ42" i="17"/>
  <c r="GF27" i="30" l="1"/>
  <c r="GE29" i="30"/>
  <c r="AC47" i="19"/>
  <c r="HB41" i="17"/>
  <c r="HB40" i="17"/>
  <c r="HB39" i="17"/>
  <c r="HB38" i="17"/>
  <c r="HB37" i="17"/>
  <c r="AC34" i="19"/>
  <c r="AB47" i="19"/>
  <c r="CU47" i="41"/>
  <c r="AI47" i="19"/>
  <c r="HC28" i="17"/>
  <c r="HC29" i="17"/>
  <c r="HC30" i="17"/>
  <c r="HA33" i="17"/>
  <c r="HC32" i="17"/>
  <c r="HC31" i="17"/>
  <c r="HA42" i="17"/>
  <c r="GF29" i="30" l="1"/>
  <c r="GF28" i="30"/>
  <c r="GG27" i="30"/>
  <c r="GG28" i="30" s="1"/>
  <c r="HC41" i="17"/>
  <c r="HC40" i="17"/>
  <c r="HC39" i="17"/>
  <c r="HC38" i="17"/>
  <c r="HC37" i="17"/>
  <c r="AD47" i="19"/>
  <c r="AG47" i="19"/>
  <c r="AB34" i="19"/>
  <c r="AI34" i="19"/>
  <c r="HD28" i="17"/>
  <c r="HD32" i="17"/>
  <c r="HD30" i="17"/>
  <c r="HD31" i="17"/>
  <c r="HB33" i="17"/>
  <c r="HD29" i="17"/>
  <c r="HB42" i="17"/>
  <c r="GG29" i="30" l="1"/>
  <c r="GH27" i="30"/>
  <c r="GH28" i="30" s="1"/>
  <c r="AR47" i="19"/>
  <c r="F26" i="19"/>
  <c r="E26" i="19"/>
  <c r="G26" i="19"/>
  <c r="D26" i="19"/>
  <c r="H26" i="19"/>
  <c r="I26" i="19"/>
  <c r="L26" i="19"/>
  <c r="J26" i="19"/>
  <c r="K26" i="19"/>
  <c r="M26" i="19"/>
  <c r="O26" i="19"/>
  <c r="N26" i="19"/>
  <c r="M41" i="19"/>
  <c r="N11" i="19"/>
  <c r="O11" i="19"/>
  <c r="L41" i="19"/>
  <c r="N41" i="19"/>
  <c r="M10" i="19"/>
  <c r="K41" i="19"/>
  <c r="K11" i="19"/>
  <c r="L10" i="19"/>
  <c r="L11" i="19"/>
  <c r="N10" i="19"/>
  <c r="O41" i="19"/>
  <c r="K10" i="19"/>
  <c r="M11" i="19"/>
  <c r="O10" i="19"/>
  <c r="HD41" i="17"/>
  <c r="HD40" i="17"/>
  <c r="HD39" i="17"/>
  <c r="HD38" i="17"/>
  <c r="FZ88" i="31" s="1"/>
  <c r="FZ85" i="31" s="1"/>
  <c r="HD37" i="17"/>
  <c r="C26" i="31"/>
  <c r="D216" i="31"/>
  <c r="D213" i="31" s="1"/>
  <c r="D26" i="31"/>
  <c r="E26" i="31"/>
  <c r="F26" i="31"/>
  <c r="C216" i="31"/>
  <c r="C213" i="31" s="1"/>
  <c r="C281" i="31"/>
  <c r="C278" i="31" s="1"/>
  <c r="D152" i="31"/>
  <c r="D149" i="31" s="1"/>
  <c r="C152" i="31"/>
  <c r="C149" i="31" s="1"/>
  <c r="G26" i="31"/>
  <c r="D281" i="31"/>
  <c r="D278" i="31" s="1"/>
  <c r="D88" i="31"/>
  <c r="D85" i="31" s="1"/>
  <c r="C88" i="31"/>
  <c r="C85" i="31" s="1"/>
  <c r="E152" i="31"/>
  <c r="E149" i="31" s="1"/>
  <c r="F152" i="31"/>
  <c r="F149" i="31" s="1"/>
  <c r="H26" i="31"/>
  <c r="E216" i="31"/>
  <c r="E213" i="31" s="1"/>
  <c r="E281" i="31"/>
  <c r="E278" i="31" s="1"/>
  <c r="E88" i="31"/>
  <c r="E85" i="31" s="1"/>
  <c r="F281" i="31"/>
  <c r="F278" i="31" s="1"/>
  <c r="F88" i="31"/>
  <c r="F85" i="31" s="1"/>
  <c r="J26" i="31"/>
  <c r="F216" i="31"/>
  <c r="F213" i="31" s="1"/>
  <c r="I26" i="31"/>
  <c r="L26" i="31"/>
  <c r="K26" i="31"/>
  <c r="G152" i="31"/>
  <c r="G149" i="31" s="1"/>
  <c r="G88" i="31"/>
  <c r="G85" i="31" s="1"/>
  <c r="G216" i="31"/>
  <c r="G213" i="31" s="1"/>
  <c r="M26" i="31"/>
  <c r="H152" i="31"/>
  <c r="H149" i="31" s="1"/>
  <c r="H216" i="31"/>
  <c r="H213" i="31" s="1"/>
  <c r="I88" i="31"/>
  <c r="I85" i="31" s="1"/>
  <c r="H88" i="31"/>
  <c r="H85" i="31" s="1"/>
  <c r="H281" i="31"/>
  <c r="H278" i="31" s="1"/>
  <c r="G281" i="31"/>
  <c r="G278" i="31" s="1"/>
  <c r="I216" i="31"/>
  <c r="I213" i="31" s="1"/>
  <c r="I152" i="31"/>
  <c r="I149" i="31" s="1"/>
  <c r="I281" i="31"/>
  <c r="I278" i="31" s="1"/>
  <c r="J88" i="31"/>
  <c r="J85" i="31" s="1"/>
  <c r="J152" i="31"/>
  <c r="J149" i="31" s="1"/>
  <c r="J281" i="31"/>
  <c r="J278" i="31" s="1"/>
  <c r="N26" i="31"/>
  <c r="J216" i="31"/>
  <c r="J213" i="31" s="1"/>
  <c r="K88" i="31"/>
  <c r="K85" i="31" s="1"/>
  <c r="M216" i="31"/>
  <c r="M213" i="31" s="1"/>
  <c r="L88" i="31"/>
  <c r="L85" i="31" s="1"/>
  <c r="K281" i="31"/>
  <c r="K278" i="31" s="1"/>
  <c r="K216" i="31"/>
  <c r="K213" i="31" s="1"/>
  <c r="O26" i="31"/>
  <c r="K152" i="31"/>
  <c r="K149" i="31" s="1"/>
  <c r="M88" i="31"/>
  <c r="M85" i="31" s="1"/>
  <c r="L152" i="31"/>
  <c r="L149" i="31" s="1"/>
  <c r="P26" i="31"/>
  <c r="L216" i="31"/>
  <c r="L213" i="31" s="1"/>
  <c r="L281" i="31"/>
  <c r="L278" i="31" s="1"/>
  <c r="N281" i="31"/>
  <c r="N278" i="31" s="1"/>
  <c r="Q26" i="31"/>
  <c r="N88" i="31"/>
  <c r="N85" i="31" s="1"/>
  <c r="M281" i="31"/>
  <c r="M278" i="31" s="1"/>
  <c r="M152" i="31"/>
  <c r="M149" i="31" s="1"/>
  <c r="O152" i="31"/>
  <c r="O149" i="31" s="1"/>
  <c r="O88" i="31"/>
  <c r="O85" i="31" s="1"/>
  <c r="N152" i="31"/>
  <c r="N149" i="31" s="1"/>
  <c r="N216" i="31"/>
  <c r="N213" i="31" s="1"/>
  <c r="R26" i="31"/>
  <c r="T26" i="31"/>
  <c r="P152" i="31"/>
  <c r="P149" i="31" s="1"/>
  <c r="O216" i="31"/>
  <c r="O213" i="31" s="1"/>
  <c r="P88" i="31"/>
  <c r="P85" i="31" s="1"/>
  <c r="O281" i="31"/>
  <c r="O278" i="31" s="1"/>
  <c r="S26" i="31"/>
  <c r="P281" i="31"/>
  <c r="P278" i="31" s="1"/>
  <c r="Q152" i="31"/>
  <c r="Q149" i="31" s="1"/>
  <c r="Q88" i="31"/>
  <c r="Q85" i="31" s="1"/>
  <c r="P216" i="31"/>
  <c r="P213" i="31" s="1"/>
  <c r="Q216" i="31"/>
  <c r="Q213" i="31" s="1"/>
  <c r="R152" i="31"/>
  <c r="R149" i="31" s="1"/>
  <c r="Q281" i="31"/>
  <c r="Q278" i="31" s="1"/>
  <c r="U26" i="31"/>
  <c r="R88" i="31"/>
  <c r="R85" i="31" s="1"/>
  <c r="T88" i="31"/>
  <c r="T85" i="31" s="1"/>
  <c r="R216" i="31"/>
  <c r="R213" i="31" s="1"/>
  <c r="V26" i="31"/>
  <c r="R281" i="31"/>
  <c r="R278" i="31" s="1"/>
  <c r="S152" i="31"/>
  <c r="S149" i="31" s="1"/>
  <c r="S88" i="31"/>
  <c r="S85" i="31" s="1"/>
  <c r="S216" i="31"/>
  <c r="S213" i="31" s="1"/>
  <c r="W26" i="31"/>
  <c r="T152" i="31"/>
  <c r="T149" i="31" s="1"/>
  <c r="S281" i="31"/>
  <c r="S278" i="31" s="1"/>
  <c r="U216" i="31"/>
  <c r="U213" i="31" s="1"/>
  <c r="T281" i="31"/>
  <c r="T278" i="31" s="1"/>
  <c r="U152" i="31"/>
  <c r="U149" i="31" s="1"/>
  <c r="U88" i="31"/>
  <c r="U85" i="31" s="1"/>
  <c r="T216" i="31"/>
  <c r="T213" i="31" s="1"/>
  <c r="X26" i="31"/>
  <c r="V88" i="31"/>
  <c r="V85" i="31" s="1"/>
  <c r="Y26" i="31"/>
  <c r="U281" i="31"/>
  <c r="U278" i="31" s="1"/>
  <c r="V216" i="31"/>
  <c r="V213" i="31" s="1"/>
  <c r="V152" i="31"/>
  <c r="V149" i="31" s="1"/>
  <c r="W216" i="31"/>
  <c r="W213" i="31" s="1"/>
  <c r="W88" i="31"/>
  <c r="W85" i="31" s="1"/>
  <c r="Z26" i="31"/>
  <c r="W152" i="31"/>
  <c r="W149" i="31" s="1"/>
  <c r="V281" i="31"/>
  <c r="V278" i="31" s="1"/>
  <c r="X216" i="31"/>
  <c r="X213" i="31" s="1"/>
  <c r="AA26" i="31"/>
  <c r="W281" i="31"/>
  <c r="W278" i="31" s="1"/>
  <c r="X88" i="31"/>
  <c r="X85" i="31" s="1"/>
  <c r="X152" i="31"/>
  <c r="X149" i="31" s="1"/>
  <c r="Z216" i="31"/>
  <c r="Z213" i="31" s="1"/>
  <c r="AB26" i="31"/>
  <c r="Y216" i="31"/>
  <c r="Y213" i="31" s="1"/>
  <c r="X281" i="31"/>
  <c r="X278" i="31" s="1"/>
  <c r="Y152" i="31"/>
  <c r="Y149" i="31" s="1"/>
  <c r="Y88" i="31"/>
  <c r="Y85" i="31" s="1"/>
  <c r="Y281" i="31"/>
  <c r="Y278" i="31" s="1"/>
  <c r="AC26" i="31"/>
  <c r="Z88" i="31"/>
  <c r="Z85" i="31" s="1"/>
  <c r="Z152" i="31"/>
  <c r="Z149" i="31" s="1"/>
  <c r="AC152" i="31"/>
  <c r="AC149" i="31" s="1"/>
  <c r="AA88" i="31"/>
  <c r="AA85" i="31" s="1"/>
  <c r="AA152" i="31"/>
  <c r="AA149" i="31" s="1"/>
  <c r="Z281" i="31"/>
  <c r="Z278" i="31" s="1"/>
  <c r="AD26" i="31"/>
  <c r="AA281" i="31"/>
  <c r="AA278" i="31" s="1"/>
  <c r="AA216" i="31"/>
  <c r="AA213" i="31" s="1"/>
  <c r="AC281" i="31"/>
  <c r="AC278" i="31" s="1"/>
  <c r="AB281" i="31"/>
  <c r="AB278" i="31" s="1"/>
  <c r="AB216" i="31"/>
  <c r="AB213" i="31" s="1"/>
  <c r="AB88" i="31"/>
  <c r="AB85" i="31" s="1"/>
  <c r="AB152" i="31"/>
  <c r="AB149" i="31" s="1"/>
  <c r="AE26" i="31"/>
  <c r="AC216" i="31"/>
  <c r="AC213" i="31" s="1"/>
  <c r="AC88" i="31"/>
  <c r="AC85" i="31" s="1"/>
  <c r="AF26" i="31"/>
  <c r="AH26" i="31"/>
  <c r="AD88" i="31"/>
  <c r="AD85" i="31" s="1"/>
  <c r="AD281" i="31"/>
  <c r="AD278" i="31" s="1"/>
  <c r="AD216" i="31"/>
  <c r="AD213" i="31" s="1"/>
  <c r="AD152" i="31"/>
  <c r="AD149" i="31" s="1"/>
  <c r="AG26" i="31"/>
  <c r="AI26" i="31"/>
  <c r="AE216" i="31"/>
  <c r="AE213" i="31" s="1"/>
  <c r="AE281" i="31"/>
  <c r="AE278" i="31" s="1"/>
  <c r="AE152" i="31"/>
  <c r="AE149" i="31" s="1"/>
  <c r="AE88" i="31"/>
  <c r="AE85" i="31" s="1"/>
  <c r="AF216" i="31"/>
  <c r="AF213" i="31" s="1"/>
  <c r="AF152" i="31"/>
  <c r="AF149" i="31" s="1"/>
  <c r="AF88" i="31"/>
  <c r="AF85" i="31" s="1"/>
  <c r="AF281" i="31"/>
  <c r="AF278" i="31" s="1"/>
  <c r="AG216" i="31"/>
  <c r="AG213" i="31" s="1"/>
  <c r="AG281" i="31"/>
  <c r="AG278" i="31" s="1"/>
  <c r="AG152" i="31"/>
  <c r="AG149" i="31" s="1"/>
  <c r="AJ26" i="31"/>
  <c r="AG88" i="31"/>
  <c r="AG85" i="31" s="1"/>
  <c r="AI88" i="31"/>
  <c r="AI85" i="31" s="1"/>
  <c r="AH281" i="31"/>
  <c r="AH278" i="31" s="1"/>
  <c r="AH152" i="31"/>
  <c r="AH149" i="31" s="1"/>
  <c r="AH88" i="31"/>
  <c r="AH85" i="31" s="1"/>
  <c r="AK26" i="31"/>
  <c r="AH216" i="31"/>
  <c r="AH213" i="31" s="1"/>
  <c r="AI281" i="31"/>
  <c r="AI278" i="31" s="1"/>
  <c r="AL26" i="31"/>
  <c r="AI152" i="31"/>
  <c r="AI149" i="31" s="1"/>
  <c r="AK281" i="31"/>
  <c r="AK278" i="31" s="1"/>
  <c r="AJ152" i="31"/>
  <c r="AJ149" i="31" s="1"/>
  <c r="AI216" i="31"/>
  <c r="AI213" i="31" s="1"/>
  <c r="AM26" i="31"/>
  <c r="AJ88" i="31"/>
  <c r="AJ85" i="31" s="1"/>
  <c r="AL216" i="31"/>
  <c r="AL213" i="31" s="1"/>
  <c r="AJ216" i="31"/>
  <c r="AJ213" i="31" s="1"/>
  <c r="AK216" i="31"/>
  <c r="AK213" i="31" s="1"/>
  <c r="AK152" i="31"/>
  <c r="AK149" i="31" s="1"/>
  <c r="AN26" i="31"/>
  <c r="AL281" i="31"/>
  <c r="AL278" i="31" s="1"/>
  <c r="AJ281" i="31"/>
  <c r="AJ278" i="31" s="1"/>
  <c r="AL88" i="31"/>
  <c r="AL85" i="31" s="1"/>
  <c r="AK88" i="31"/>
  <c r="AK85" i="31" s="1"/>
  <c r="AM216" i="31"/>
  <c r="AM213" i="31" s="1"/>
  <c r="AP26" i="31"/>
  <c r="AO26" i="31"/>
  <c r="AM281" i="31"/>
  <c r="AM278" i="31" s="1"/>
  <c r="AM88" i="31"/>
  <c r="AM85" i="31" s="1"/>
  <c r="AL152" i="31"/>
  <c r="AL149" i="31" s="1"/>
  <c r="AP281" i="31"/>
  <c r="AP278" i="31" s="1"/>
  <c r="AN88" i="31"/>
  <c r="AN85" i="31" s="1"/>
  <c r="AM152" i="31"/>
  <c r="AM149" i="31" s="1"/>
  <c r="AQ26" i="31"/>
  <c r="AO88" i="31"/>
  <c r="AO85" i="31" s="1"/>
  <c r="AO281" i="31"/>
  <c r="AO278" i="31" s="1"/>
  <c r="AN152" i="31"/>
  <c r="AN149" i="31" s="1"/>
  <c r="AN281" i="31"/>
  <c r="AN278" i="31" s="1"/>
  <c r="AN216" i="31"/>
  <c r="AN213" i="31" s="1"/>
  <c r="AO216" i="31"/>
  <c r="AO213" i="31" s="1"/>
  <c r="AQ281" i="31"/>
  <c r="AQ278" i="31" s="1"/>
  <c r="AO152" i="31"/>
  <c r="AO149" i="31" s="1"/>
  <c r="AR26" i="31"/>
  <c r="AS26" i="31"/>
  <c r="AP152" i="31"/>
  <c r="AP149" i="31" s="1"/>
  <c r="AP88" i="31"/>
  <c r="AP85" i="31" s="1"/>
  <c r="AP216" i="31"/>
  <c r="AP213" i="31" s="1"/>
  <c r="AR88" i="31"/>
  <c r="AR85" i="31" s="1"/>
  <c r="AQ216" i="31"/>
  <c r="AQ213" i="31" s="1"/>
  <c r="AT26" i="31"/>
  <c r="AQ88" i="31"/>
  <c r="AQ85" i="31" s="1"/>
  <c r="AQ152" i="31"/>
  <c r="AQ149" i="31" s="1"/>
  <c r="AR152" i="31"/>
  <c r="AR149" i="31" s="1"/>
  <c r="AR281" i="31"/>
  <c r="AR278" i="31" s="1"/>
  <c r="AR216" i="31"/>
  <c r="AR213" i="31" s="1"/>
  <c r="AU26" i="31"/>
  <c r="AS216" i="31"/>
  <c r="AS213" i="31" s="1"/>
  <c r="AV26" i="31"/>
  <c r="AS281" i="31"/>
  <c r="AS278" i="31" s="1"/>
  <c r="AS152" i="31"/>
  <c r="AS149" i="31" s="1"/>
  <c r="AS88" i="31"/>
  <c r="AS85" i="31" s="1"/>
  <c r="AV88" i="31"/>
  <c r="AV85" i="31" s="1"/>
  <c r="AT152" i="31"/>
  <c r="AT149" i="31" s="1"/>
  <c r="AW26" i="31"/>
  <c r="AT216" i="31"/>
  <c r="AT213" i="31" s="1"/>
  <c r="AT88" i="31"/>
  <c r="AT85" i="31" s="1"/>
  <c r="AT281" i="31"/>
  <c r="AT278" i="31" s="1"/>
  <c r="AU216" i="31"/>
  <c r="AU213" i="31" s="1"/>
  <c r="AU281" i="31"/>
  <c r="AU278" i="31" s="1"/>
  <c r="AX26" i="31"/>
  <c r="AU88" i="31"/>
  <c r="AU85" i="31" s="1"/>
  <c r="AU152" i="31"/>
  <c r="AU149" i="31" s="1"/>
  <c r="AX152" i="31"/>
  <c r="AX149" i="31" s="1"/>
  <c r="AV281" i="31"/>
  <c r="AV278" i="31" s="1"/>
  <c r="AV216" i="31"/>
  <c r="AV213" i="31" s="1"/>
  <c r="AV152" i="31"/>
  <c r="AV149" i="31" s="1"/>
  <c r="AY26" i="31"/>
  <c r="AZ26" i="31"/>
  <c r="AW152" i="31"/>
  <c r="AW149" i="31" s="1"/>
  <c r="AW216" i="31"/>
  <c r="AW213" i="31" s="1"/>
  <c r="AW281" i="31"/>
  <c r="AW278" i="31" s="1"/>
  <c r="AW88" i="31"/>
  <c r="AW85" i="31" s="1"/>
  <c r="AZ152" i="31"/>
  <c r="AZ149" i="31" s="1"/>
  <c r="AX88" i="31"/>
  <c r="AX85" i="31" s="1"/>
  <c r="AX281" i="31"/>
  <c r="AX278" i="31" s="1"/>
  <c r="BA26" i="31"/>
  <c r="AX216" i="31"/>
  <c r="AX213" i="31" s="1"/>
  <c r="AY152" i="31"/>
  <c r="AY149" i="31" s="1"/>
  <c r="BB26" i="31"/>
  <c r="AY88" i="31"/>
  <c r="AY85" i="31" s="1"/>
  <c r="AY281" i="31"/>
  <c r="AY278" i="31" s="1"/>
  <c r="AY216" i="31"/>
  <c r="AY213" i="31" s="1"/>
  <c r="BB88" i="31"/>
  <c r="BB85" i="31" s="1"/>
  <c r="BC26" i="31"/>
  <c r="AZ88" i="31"/>
  <c r="AZ85" i="31" s="1"/>
  <c r="AZ216" i="31"/>
  <c r="AZ213" i="31" s="1"/>
  <c r="AZ281" i="31"/>
  <c r="AZ278" i="31" s="1"/>
  <c r="BA281" i="31"/>
  <c r="BA278" i="31" s="1"/>
  <c r="BA152" i="31"/>
  <c r="BA149" i="31" s="1"/>
  <c r="BA88" i="31"/>
  <c r="BA85" i="31" s="1"/>
  <c r="BA216" i="31"/>
  <c r="BA213" i="31" s="1"/>
  <c r="BD26" i="31"/>
  <c r="BD88" i="31"/>
  <c r="BD85" i="31" s="1"/>
  <c r="BE26" i="31"/>
  <c r="BB152" i="31"/>
  <c r="BB149" i="31" s="1"/>
  <c r="BB216" i="31"/>
  <c r="BB213" i="31" s="1"/>
  <c r="BB281" i="31"/>
  <c r="BB278" i="31" s="1"/>
  <c r="BG26" i="31"/>
  <c r="BC281" i="31"/>
  <c r="BC278" i="31" s="1"/>
  <c r="BF26" i="31"/>
  <c r="BC152" i="31"/>
  <c r="BC149" i="31" s="1"/>
  <c r="BC216" i="31"/>
  <c r="BC213" i="31" s="1"/>
  <c r="BC88" i="31"/>
  <c r="BC85" i="31" s="1"/>
  <c r="BD281" i="31"/>
  <c r="BD278" i="31" s="1"/>
  <c r="BD216" i="31"/>
  <c r="BD213" i="31" s="1"/>
  <c r="BD152" i="31"/>
  <c r="BD149" i="31" s="1"/>
  <c r="BG281" i="31"/>
  <c r="BG278" i="31" s="1"/>
  <c r="BH26" i="31"/>
  <c r="BE281" i="31"/>
  <c r="BE278" i="31" s="1"/>
  <c r="BE88" i="31"/>
  <c r="BE85" i="31" s="1"/>
  <c r="BE216" i="31"/>
  <c r="BE213" i="31" s="1"/>
  <c r="BE152" i="31"/>
  <c r="BE149" i="31" s="1"/>
  <c r="BF152" i="31"/>
  <c r="BF149" i="31" s="1"/>
  <c r="BF216" i="31"/>
  <c r="BF213" i="31" s="1"/>
  <c r="BF281" i="31"/>
  <c r="BF278" i="31" s="1"/>
  <c r="BI26" i="31"/>
  <c r="BF88" i="31"/>
  <c r="BF85" i="31" s="1"/>
  <c r="BL26" i="31"/>
  <c r="BG88" i="31"/>
  <c r="BG85" i="31" s="1"/>
  <c r="BG152" i="31"/>
  <c r="BG149" i="31" s="1"/>
  <c r="BH88" i="31"/>
  <c r="BH85" i="31" s="1"/>
  <c r="BH216" i="31"/>
  <c r="BH213" i="31" s="1"/>
  <c r="BK26" i="31"/>
  <c r="BJ26" i="31"/>
  <c r="BG216" i="31"/>
  <c r="BG213" i="31" s="1"/>
  <c r="BN26" i="31"/>
  <c r="BI281" i="31"/>
  <c r="BI278" i="31" s="1"/>
  <c r="BI152" i="31"/>
  <c r="BI149" i="31" s="1"/>
  <c r="BH152" i="31"/>
  <c r="BH149" i="31" s="1"/>
  <c r="BI216" i="31"/>
  <c r="BI213" i="31" s="1"/>
  <c r="BH281" i="31"/>
  <c r="BH278" i="31" s="1"/>
  <c r="BJ216" i="31"/>
  <c r="BJ213" i="31" s="1"/>
  <c r="BJ152" i="31"/>
  <c r="BJ149" i="31" s="1"/>
  <c r="BJ88" i="31"/>
  <c r="BJ85" i="31" s="1"/>
  <c r="BM26" i="31"/>
  <c r="BI88" i="31"/>
  <c r="BI85" i="31" s="1"/>
  <c r="BP26" i="31"/>
  <c r="BK281" i="31"/>
  <c r="BK278" i="31" s="1"/>
  <c r="BK152" i="31"/>
  <c r="BK149" i="31" s="1"/>
  <c r="BK216" i="31"/>
  <c r="BK213" i="31" s="1"/>
  <c r="BK88" i="31"/>
  <c r="BK85" i="31" s="1"/>
  <c r="BJ281" i="31"/>
  <c r="BJ278" i="31" s="1"/>
  <c r="BL281" i="31"/>
  <c r="BL278" i="31" s="1"/>
  <c r="BL88" i="31"/>
  <c r="BL85" i="31" s="1"/>
  <c r="BL216" i="31"/>
  <c r="BL213" i="31" s="1"/>
  <c r="BL152" i="31"/>
  <c r="BL149" i="31" s="1"/>
  <c r="BO26" i="31"/>
  <c r="BQ26" i="31"/>
  <c r="BM88" i="31"/>
  <c r="BM85" i="31" s="1"/>
  <c r="BM281" i="31"/>
  <c r="BM278" i="31" s="1"/>
  <c r="BM216" i="31"/>
  <c r="BM213" i="31" s="1"/>
  <c r="BM152" i="31"/>
  <c r="BM149" i="31" s="1"/>
  <c r="BN216" i="31"/>
  <c r="BN213" i="31" s="1"/>
  <c r="BN281" i="31"/>
  <c r="BN278" i="31" s="1"/>
  <c r="BN152" i="31"/>
  <c r="BN149" i="31" s="1"/>
  <c r="BN88" i="31"/>
  <c r="BN85" i="31" s="1"/>
  <c r="BO281" i="31"/>
  <c r="BO278" i="31" s="1"/>
  <c r="BO152" i="31"/>
  <c r="BO149" i="31" s="1"/>
  <c r="BR26" i="31"/>
  <c r="BO216" i="31"/>
  <c r="BO213" i="31" s="1"/>
  <c r="BO88" i="31"/>
  <c r="BO85" i="31" s="1"/>
  <c r="BQ152" i="31"/>
  <c r="BQ149" i="31" s="1"/>
  <c r="BP216" i="31"/>
  <c r="BP213" i="31" s="1"/>
  <c r="BS26" i="31"/>
  <c r="BP152" i="31"/>
  <c r="BP149" i="31" s="1"/>
  <c r="BP281" i="31"/>
  <c r="BP278" i="31" s="1"/>
  <c r="BP88" i="31"/>
  <c r="BP85" i="31" s="1"/>
  <c r="BQ88" i="31"/>
  <c r="BQ85" i="31" s="1"/>
  <c r="BQ281" i="31"/>
  <c r="BQ278" i="31" s="1"/>
  <c r="BT26" i="31"/>
  <c r="BQ216" i="31"/>
  <c r="BQ213" i="31" s="1"/>
  <c r="BU26" i="31"/>
  <c r="BR281" i="31"/>
  <c r="BR278" i="31" s="1"/>
  <c r="BR88" i="31"/>
  <c r="BR85" i="31" s="1"/>
  <c r="BR152" i="31"/>
  <c r="BR149" i="31" s="1"/>
  <c r="BR216" i="31"/>
  <c r="BR213" i="31" s="1"/>
  <c r="BT152" i="31"/>
  <c r="BT149" i="31" s="1"/>
  <c r="BS88" i="31"/>
  <c r="BS85" i="31" s="1"/>
  <c r="BS216" i="31"/>
  <c r="BS213" i="31" s="1"/>
  <c r="BS281" i="31"/>
  <c r="BS278" i="31" s="1"/>
  <c r="BS152" i="31"/>
  <c r="BS149" i="31" s="1"/>
  <c r="BV26" i="31"/>
  <c r="BW26" i="31"/>
  <c r="BT281" i="31"/>
  <c r="BT278" i="31" s="1"/>
  <c r="BT88" i="31"/>
  <c r="BT85" i="31" s="1"/>
  <c r="BT216" i="31"/>
  <c r="BT213" i="31" s="1"/>
  <c r="BZ26" i="31"/>
  <c r="BU88" i="31"/>
  <c r="BU85" i="31" s="1"/>
  <c r="BU281" i="31"/>
  <c r="BU278" i="31" s="1"/>
  <c r="BU216" i="31"/>
  <c r="BU213" i="31" s="1"/>
  <c r="BX26" i="31"/>
  <c r="BU152" i="31"/>
  <c r="BU149" i="31" s="1"/>
  <c r="BW281" i="31"/>
  <c r="BW278" i="31" s="1"/>
  <c r="BY26" i="31"/>
  <c r="BV281" i="31"/>
  <c r="BV278" i="31" s="1"/>
  <c r="BV152" i="31"/>
  <c r="BV149" i="31" s="1"/>
  <c r="BV216" i="31"/>
  <c r="BV213" i="31" s="1"/>
  <c r="BV88" i="31"/>
  <c r="BV85" i="31" s="1"/>
  <c r="BW152" i="31"/>
  <c r="BW149" i="31" s="1"/>
  <c r="BW216" i="31"/>
  <c r="BW213" i="31" s="1"/>
  <c r="BW88" i="31"/>
  <c r="BW85" i="31" s="1"/>
  <c r="BX216" i="31"/>
  <c r="BX213" i="31" s="1"/>
  <c r="CA26" i="31"/>
  <c r="BX152" i="31"/>
  <c r="BX149" i="31" s="1"/>
  <c r="BX281" i="31"/>
  <c r="BX278" i="31" s="1"/>
  <c r="BX88" i="31"/>
  <c r="BX85" i="31" s="1"/>
  <c r="BZ216" i="31"/>
  <c r="BZ213" i="31" s="1"/>
  <c r="BY216" i="31"/>
  <c r="BY213" i="31" s="1"/>
  <c r="CB26" i="31"/>
  <c r="BY281" i="31"/>
  <c r="BY278" i="31" s="1"/>
  <c r="BY152" i="31"/>
  <c r="BY149" i="31" s="1"/>
  <c r="BY88" i="31"/>
  <c r="BY85" i="31" s="1"/>
  <c r="CA216" i="31"/>
  <c r="CA213" i="31" s="1"/>
  <c r="BZ152" i="31"/>
  <c r="BZ149" i="31" s="1"/>
  <c r="BZ281" i="31"/>
  <c r="BZ278" i="31" s="1"/>
  <c r="CB88" i="31"/>
  <c r="CB85" i="31" s="1"/>
  <c r="CA152" i="31"/>
  <c r="CA149" i="31" s="1"/>
  <c r="CA281" i="31"/>
  <c r="CA278" i="31" s="1"/>
  <c r="BZ88" i="31"/>
  <c r="BZ85" i="31" s="1"/>
  <c r="CC26" i="31"/>
  <c r="CA88" i="31"/>
  <c r="CA85" i="31" s="1"/>
  <c r="CE26" i="31"/>
  <c r="CB216" i="31"/>
  <c r="CB213" i="31" s="1"/>
  <c r="CD26" i="31"/>
  <c r="CE88" i="31"/>
  <c r="CE85" i="31" s="1"/>
  <c r="CB152" i="31"/>
  <c r="CB149" i="31" s="1"/>
  <c r="CC152" i="31"/>
  <c r="CC149" i="31" s="1"/>
  <c r="CC216" i="31"/>
  <c r="CC213" i="31" s="1"/>
  <c r="CC88" i="31"/>
  <c r="CC85" i="31" s="1"/>
  <c r="CB281" i="31"/>
  <c r="CB278" i="31" s="1"/>
  <c r="CC281" i="31"/>
  <c r="CC278" i="31" s="1"/>
  <c r="CD152" i="31"/>
  <c r="CD149" i="31" s="1"/>
  <c r="CD216" i="31"/>
  <c r="CD213" i="31" s="1"/>
  <c r="CD88" i="31"/>
  <c r="CD85" i="31" s="1"/>
  <c r="CF26" i="31"/>
  <c r="CD281" i="31"/>
  <c r="CD278" i="31" s="1"/>
  <c r="CG26" i="31"/>
  <c r="CF152" i="31"/>
  <c r="CF149" i="31" s="1"/>
  <c r="CE216" i="31"/>
  <c r="CE213" i="31" s="1"/>
  <c r="CE152" i="31"/>
  <c r="CE149" i="31" s="1"/>
  <c r="CH26" i="31"/>
  <c r="CE281" i="31"/>
  <c r="CE278" i="31" s="1"/>
  <c r="CI26" i="31"/>
  <c r="CF216" i="31"/>
  <c r="CF213" i="31" s="1"/>
  <c r="CF88" i="31"/>
  <c r="CF85" i="31" s="1"/>
  <c r="CF281" i="31"/>
  <c r="CF278" i="31" s="1"/>
  <c r="CI88" i="31"/>
  <c r="CI85" i="31" s="1"/>
  <c r="CG281" i="31"/>
  <c r="CG278" i="31" s="1"/>
  <c r="CG88" i="31"/>
  <c r="CG85" i="31" s="1"/>
  <c r="CG216" i="31"/>
  <c r="CG213" i="31" s="1"/>
  <c r="CJ26" i="31"/>
  <c r="CG152" i="31"/>
  <c r="CG149" i="31" s="1"/>
  <c r="CH152" i="31"/>
  <c r="CH149" i="31" s="1"/>
  <c r="CH281" i="31"/>
  <c r="CH278" i="31" s="1"/>
  <c r="CH216" i="31"/>
  <c r="CH213" i="31" s="1"/>
  <c r="CH88" i="31"/>
  <c r="CH85" i="31" s="1"/>
  <c r="CK26" i="31"/>
  <c r="CJ281" i="31"/>
  <c r="CJ278" i="31" s="1"/>
  <c r="CI281" i="31"/>
  <c r="CI278" i="31" s="1"/>
  <c r="CL26" i="31"/>
  <c r="CI216" i="31"/>
  <c r="CI213" i="31" s="1"/>
  <c r="CI152" i="31"/>
  <c r="CI149" i="31" s="1"/>
  <c r="CJ216" i="31"/>
  <c r="CJ213" i="31" s="1"/>
  <c r="CJ152" i="31"/>
  <c r="CJ149" i="31" s="1"/>
  <c r="CJ88" i="31"/>
  <c r="CJ85" i="31" s="1"/>
  <c r="CM26" i="31"/>
  <c r="CK88" i="31"/>
  <c r="CK85" i="31" s="1"/>
  <c r="CK281" i="31"/>
  <c r="CK278" i="31" s="1"/>
  <c r="CN26" i="31"/>
  <c r="CK216" i="31"/>
  <c r="CK213" i="31" s="1"/>
  <c r="CK152" i="31"/>
  <c r="CK149" i="31" s="1"/>
  <c r="CL152" i="31"/>
  <c r="CL149" i="31" s="1"/>
  <c r="CL281" i="31"/>
  <c r="CL278" i="31" s="1"/>
  <c r="CO26" i="31"/>
  <c r="CL88" i="31"/>
  <c r="CL85" i="31" s="1"/>
  <c r="CL216" i="31"/>
  <c r="CL213" i="31" s="1"/>
  <c r="CN152" i="31"/>
  <c r="CN149" i="31" s="1"/>
  <c r="CP26" i="31"/>
  <c r="CM281" i="31"/>
  <c r="CM278" i="31" s="1"/>
  <c r="CM216" i="31"/>
  <c r="CM213" i="31" s="1"/>
  <c r="CM88" i="31"/>
  <c r="CM85" i="31" s="1"/>
  <c r="CM152" i="31"/>
  <c r="CM149" i="31" s="1"/>
  <c r="CN281" i="31"/>
  <c r="CN278" i="31" s="1"/>
  <c r="CQ26" i="31"/>
  <c r="CN216" i="31"/>
  <c r="CN213" i="31" s="1"/>
  <c r="CN88" i="31"/>
  <c r="CN85" i="31" s="1"/>
  <c r="CQ216" i="31"/>
  <c r="CQ213" i="31" s="1"/>
  <c r="CO216" i="31"/>
  <c r="CO213" i="31" s="1"/>
  <c r="CO281" i="31"/>
  <c r="CO278" i="31" s="1"/>
  <c r="CR26" i="31"/>
  <c r="CO88" i="31"/>
  <c r="CO85" i="31" s="1"/>
  <c r="CO152" i="31"/>
  <c r="CO149" i="31" s="1"/>
  <c r="CS26" i="31"/>
  <c r="CP152" i="31"/>
  <c r="CP149" i="31" s="1"/>
  <c r="CP216" i="31"/>
  <c r="CP213" i="31" s="1"/>
  <c r="CP281" i="31"/>
  <c r="CP278" i="31" s="1"/>
  <c r="CP88" i="31"/>
  <c r="CP85" i="31" s="1"/>
  <c r="CR88" i="31"/>
  <c r="CR85" i="31" s="1"/>
  <c r="CT26" i="31"/>
  <c r="CQ152" i="31"/>
  <c r="CQ149" i="31" s="1"/>
  <c r="CQ281" i="31"/>
  <c r="CQ278" i="31" s="1"/>
  <c r="CQ88" i="31"/>
  <c r="CQ85" i="31" s="1"/>
  <c r="CR281" i="31"/>
  <c r="CR278" i="31" s="1"/>
  <c r="CU26" i="31"/>
  <c r="CR152" i="31"/>
  <c r="CR149" i="31" s="1"/>
  <c r="CR216" i="31"/>
  <c r="CR213" i="31" s="1"/>
  <c r="CT88" i="31"/>
  <c r="CT85" i="31" s="1"/>
  <c r="CS152" i="31"/>
  <c r="CS149" i="31" s="1"/>
  <c r="CS216" i="31"/>
  <c r="CS213" i="31" s="1"/>
  <c r="CS88" i="31"/>
  <c r="CS85" i="31" s="1"/>
  <c r="CV26" i="31"/>
  <c r="CS281" i="31"/>
  <c r="CS278" i="31" s="1"/>
  <c r="CT216" i="31"/>
  <c r="CT213" i="31" s="1"/>
  <c r="CT281" i="31"/>
  <c r="CT278" i="31" s="1"/>
  <c r="CW26" i="31"/>
  <c r="CT152" i="31"/>
  <c r="CT149" i="31" s="1"/>
  <c r="CU216" i="31"/>
  <c r="CU213" i="31" s="1"/>
  <c r="CU88" i="31"/>
  <c r="CU85" i="31" s="1"/>
  <c r="CU281" i="31"/>
  <c r="CU278" i="31" s="1"/>
  <c r="CU152" i="31"/>
  <c r="CU149" i="31" s="1"/>
  <c r="CX26" i="31"/>
  <c r="CW281" i="31"/>
  <c r="CW278" i="31" s="1"/>
  <c r="CV88" i="31"/>
  <c r="CV85" i="31" s="1"/>
  <c r="CV152" i="31"/>
  <c r="CV149" i="31" s="1"/>
  <c r="CY26" i="31"/>
  <c r="CV216" i="31"/>
  <c r="CV213" i="31" s="1"/>
  <c r="CV281" i="31"/>
  <c r="CV278" i="31" s="1"/>
  <c r="CX88" i="31"/>
  <c r="CX85" i="31" s="1"/>
  <c r="CZ26" i="31"/>
  <c r="CW216" i="31"/>
  <c r="CW213" i="31" s="1"/>
  <c r="CW152" i="31"/>
  <c r="CW149" i="31" s="1"/>
  <c r="CW88" i="31"/>
  <c r="CW85" i="31" s="1"/>
  <c r="CY152" i="31"/>
  <c r="CY149" i="31" s="1"/>
  <c r="CX281" i="31"/>
  <c r="CX278" i="31" s="1"/>
  <c r="CX152" i="31"/>
  <c r="CX149" i="31" s="1"/>
  <c r="DA26" i="31"/>
  <c r="CX216" i="31"/>
  <c r="CX213" i="31" s="1"/>
  <c r="CZ216" i="31"/>
  <c r="CZ213" i="31" s="1"/>
  <c r="DB26" i="31"/>
  <c r="CY216" i="31"/>
  <c r="CY213" i="31" s="1"/>
  <c r="CY281" i="31"/>
  <c r="CY278" i="31" s="1"/>
  <c r="CY88" i="31"/>
  <c r="CY85" i="31" s="1"/>
  <c r="DA281" i="31"/>
  <c r="DA278" i="31" s="1"/>
  <c r="CZ152" i="31"/>
  <c r="CZ149" i="31" s="1"/>
  <c r="CZ88" i="31"/>
  <c r="CZ85" i="31" s="1"/>
  <c r="DC26" i="31"/>
  <c r="CZ281" i="31"/>
  <c r="CZ278" i="31" s="1"/>
  <c r="DB88" i="31"/>
  <c r="DB85" i="31" s="1"/>
  <c r="DD26" i="31"/>
  <c r="DA88" i="31"/>
  <c r="DA85" i="31" s="1"/>
  <c r="DA152" i="31"/>
  <c r="DA149" i="31" s="1"/>
  <c r="DA216" i="31"/>
  <c r="DA213" i="31" s="1"/>
  <c r="DB152" i="31"/>
  <c r="DB149" i="31" s="1"/>
  <c r="DE26" i="31"/>
  <c r="DB216" i="31"/>
  <c r="DB213" i="31" s="1"/>
  <c r="DB281" i="31"/>
  <c r="DB278" i="31" s="1"/>
  <c r="DC88" i="31"/>
  <c r="DC85" i="31" s="1"/>
  <c r="DC281" i="31"/>
  <c r="DC278" i="31" s="1"/>
  <c r="DF26" i="31"/>
  <c r="DC152" i="31"/>
  <c r="DC149" i="31" s="1"/>
  <c r="DC216" i="31"/>
  <c r="DC213" i="31" s="1"/>
  <c r="DD281" i="31"/>
  <c r="DD278" i="31" s="1"/>
  <c r="DG26" i="31"/>
  <c r="DD216" i="31"/>
  <c r="DD213" i="31" s="1"/>
  <c r="DD88" i="31"/>
  <c r="DD85" i="31" s="1"/>
  <c r="DD152" i="31"/>
  <c r="DD149" i="31" s="1"/>
  <c r="DF152" i="31"/>
  <c r="DF149" i="31" s="1"/>
  <c r="DH26" i="31"/>
  <c r="DE281" i="31"/>
  <c r="DE278" i="31" s="1"/>
  <c r="DE88" i="31"/>
  <c r="DE85" i="31" s="1"/>
  <c r="DE152" i="31"/>
  <c r="DE149" i="31" s="1"/>
  <c r="DE216" i="31"/>
  <c r="DE213" i="31" s="1"/>
  <c r="DF88" i="31"/>
  <c r="DF85" i="31" s="1"/>
  <c r="DF216" i="31"/>
  <c r="DF213" i="31" s="1"/>
  <c r="DF281" i="31"/>
  <c r="DF278" i="31" s="1"/>
  <c r="DI26" i="31"/>
  <c r="DH152" i="31"/>
  <c r="DH149" i="31" s="1"/>
  <c r="DG152" i="31"/>
  <c r="DG149" i="31" s="1"/>
  <c r="DG88" i="31"/>
  <c r="DG85" i="31" s="1"/>
  <c r="DG216" i="31"/>
  <c r="DG213" i="31" s="1"/>
  <c r="DG281" i="31"/>
  <c r="DG278" i="31" s="1"/>
  <c r="DJ26" i="31"/>
  <c r="DK26" i="31"/>
  <c r="DH216" i="31"/>
  <c r="DH213" i="31" s="1"/>
  <c r="DH281" i="31"/>
  <c r="DH278" i="31" s="1"/>
  <c r="DH88" i="31"/>
  <c r="DH85" i="31" s="1"/>
  <c r="DK88" i="31"/>
  <c r="DK85" i="31" s="1"/>
  <c r="DI88" i="31"/>
  <c r="DI85" i="31" s="1"/>
  <c r="DI281" i="31"/>
  <c r="DI278" i="31" s="1"/>
  <c r="DI152" i="31"/>
  <c r="DI149" i="31" s="1"/>
  <c r="DL26" i="31"/>
  <c r="DI216" i="31"/>
  <c r="DI213" i="31" s="1"/>
  <c r="DJ281" i="31"/>
  <c r="DJ278" i="31" s="1"/>
  <c r="DJ152" i="31"/>
  <c r="DJ149" i="31" s="1"/>
  <c r="DJ216" i="31"/>
  <c r="DJ213" i="31" s="1"/>
  <c r="DJ88" i="31"/>
  <c r="DJ85" i="31" s="1"/>
  <c r="DM26" i="31"/>
  <c r="DL281" i="31"/>
  <c r="DL278" i="31" s="1"/>
  <c r="DK152" i="31"/>
  <c r="DK149" i="31" s="1"/>
  <c r="DK281" i="31"/>
  <c r="DK278" i="31" s="1"/>
  <c r="DN26" i="31"/>
  <c r="DL216" i="31"/>
  <c r="DL213" i="31" s="1"/>
  <c r="DK216" i="31"/>
  <c r="DK213" i="31" s="1"/>
  <c r="DL152" i="31"/>
  <c r="DL149" i="31" s="1"/>
  <c r="DO26" i="31"/>
  <c r="DL88" i="31"/>
  <c r="DL85" i="31" s="1"/>
  <c r="DM88" i="31"/>
  <c r="DM85" i="31" s="1"/>
  <c r="DM216" i="31"/>
  <c r="DM213" i="31" s="1"/>
  <c r="DM152" i="31"/>
  <c r="DM149" i="31" s="1"/>
  <c r="DP26" i="31"/>
  <c r="DM281" i="31"/>
  <c r="DM278" i="31" s="1"/>
  <c r="DQ26" i="31"/>
  <c r="DN88" i="31"/>
  <c r="DN85" i="31" s="1"/>
  <c r="DN216" i="31"/>
  <c r="DN213" i="31" s="1"/>
  <c r="DN152" i="31"/>
  <c r="DN149" i="31" s="1"/>
  <c r="DN281" i="31"/>
  <c r="DN278" i="31" s="1"/>
  <c r="DQ281" i="31"/>
  <c r="DQ278" i="31" s="1"/>
  <c r="DO281" i="31"/>
  <c r="DO278" i="31" s="1"/>
  <c r="DO88" i="31"/>
  <c r="DO85" i="31" s="1"/>
  <c r="DR26" i="31"/>
  <c r="DO152" i="31"/>
  <c r="DO149" i="31" s="1"/>
  <c r="DP152" i="31"/>
  <c r="DP149" i="31" s="1"/>
  <c r="DP88" i="31"/>
  <c r="DP85" i="31" s="1"/>
  <c r="DP281" i="31"/>
  <c r="DP278" i="31" s="1"/>
  <c r="DP216" i="31"/>
  <c r="DP213" i="31" s="1"/>
  <c r="DO216" i="31"/>
  <c r="DO213" i="31" s="1"/>
  <c r="DS26" i="31"/>
  <c r="DQ152" i="31"/>
  <c r="DQ149" i="31" s="1"/>
  <c r="DQ88" i="31"/>
  <c r="DQ85" i="31" s="1"/>
  <c r="DR152" i="31"/>
  <c r="DR149" i="31" s="1"/>
  <c r="DT26" i="31"/>
  <c r="DR88" i="31"/>
  <c r="DR85" i="31" s="1"/>
  <c r="DQ216" i="31"/>
  <c r="DQ213" i="31" s="1"/>
  <c r="DS152" i="31"/>
  <c r="DS149" i="31" s="1"/>
  <c r="DR216" i="31"/>
  <c r="DR213" i="31" s="1"/>
  <c r="DV26" i="31"/>
  <c r="DU26" i="31"/>
  <c r="DS281" i="31"/>
  <c r="DS278" i="31" s="1"/>
  <c r="DS216" i="31"/>
  <c r="DS213" i="31" s="1"/>
  <c r="DR281" i="31"/>
  <c r="DR278" i="31" s="1"/>
  <c r="DT216" i="31"/>
  <c r="DT213" i="31" s="1"/>
  <c r="DT152" i="31"/>
  <c r="DT149" i="31" s="1"/>
  <c r="DW26" i="31"/>
  <c r="DT281" i="31"/>
  <c r="DT278" i="31" s="1"/>
  <c r="DS88" i="31"/>
  <c r="DS85" i="31" s="1"/>
  <c r="DW152" i="31"/>
  <c r="DW149" i="31" s="1"/>
  <c r="DX26" i="31"/>
  <c r="DU216" i="31"/>
  <c r="DU213" i="31" s="1"/>
  <c r="DU152" i="31"/>
  <c r="DU149" i="31" s="1"/>
  <c r="DU281" i="31"/>
  <c r="DU278" i="31" s="1"/>
  <c r="DU88" i="31"/>
  <c r="DU85" i="31" s="1"/>
  <c r="DT88" i="31"/>
  <c r="DT85" i="31" s="1"/>
  <c r="DV216" i="31"/>
  <c r="DV213" i="31" s="1"/>
  <c r="DY26" i="31"/>
  <c r="DV152" i="31"/>
  <c r="DV149" i="31" s="1"/>
  <c r="DV88" i="31"/>
  <c r="DV85" i="31" s="1"/>
  <c r="DV281" i="31"/>
  <c r="DV278" i="31" s="1"/>
  <c r="EB26" i="31"/>
  <c r="DW216" i="31"/>
  <c r="DW213" i="31" s="1"/>
  <c r="DW281" i="31"/>
  <c r="DW278" i="31" s="1"/>
  <c r="DZ26" i="31"/>
  <c r="DX216" i="31"/>
  <c r="DX213" i="31" s="1"/>
  <c r="DX281" i="31"/>
  <c r="DX278" i="31" s="1"/>
  <c r="DX152" i="31"/>
  <c r="DX149" i="31" s="1"/>
  <c r="DX88" i="31"/>
  <c r="DX85" i="31" s="1"/>
  <c r="DW88" i="31"/>
  <c r="DW85" i="31" s="1"/>
  <c r="EA26" i="31"/>
  <c r="DZ216" i="31"/>
  <c r="DZ213" i="31" s="1"/>
  <c r="DY152" i="31"/>
  <c r="DY149" i="31" s="1"/>
  <c r="DY281" i="31"/>
  <c r="DY278" i="31" s="1"/>
  <c r="DY216" i="31"/>
  <c r="DY213" i="31" s="1"/>
  <c r="DY88" i="31"/>
  <c r="DY85" i="31" s="1"/>
  <c r="EC26" i="31"/>
  <c r="DZ88" i="31"/>
  <c r="DZ85" i="31" s="1"/>
  <c r="DZ281" i="31"/>
  <c r="DZ278" i="31" s="1"/>
  <c r="DZ152" i="31"/>
  <c r="DZ149" i="31" s="1"/>
  <c r="EB216" i="31"/>
  <c r="EB213" i="31" s="1"/>
  <c r="EA152" i="31"/>
  <c r="EA149" i="31" s="1"/>
  <c r="EA88" i="31"/>
  <c r="EA85" i="31" s="1"/>
  <c r="EA281" i="31"/>
  <c r="EA278" i="31" s="1"/>
  <c r="EA216" i="31"/>
  <c r="EA213" i="31" s="1"/>
  <c r="EB281" i="31"/>
  <c r="EB278" i="31" s="1"/>
  <c r="EE26" i="31"/>
  <c r="ED26" i="31"/>
  <c r="EB88" i="31"/>
  <c r="EB85" i="31" s="1"/>
  <c r="EB152" i="31"/>
  <c r="EB149" i="31" s="1"/>
  <c r="ED216" i="31"/>
  <c r="ED213" i="31" s="1"/>
  <c r="EC88" i="31"/>
  <c r="EC85" i="31" s="1"/>
  <c r="EF26" i="31"/>
  <c r="EC281" i="31"/>
  <c r="EC278" i="31" s="1"/>
  <c r="EC152" i="31"/>
  <c r="EC149" i="31" s="1"/>
  <c r="EC216" i="31"/>
  <c r="EC213" i="31" s="1"/>
  <c r="ED88" i="31"/>
  <c r="ED85" i="31" s="1"/>
  <c r="EG26" i="31"/>
  <c r="ED152" i="31"/>
  <c r="ED149" i="31" s="1"/>
  <c r="ED281" i="31"/>
  <c r="ED278" i="31" s="1"/>
  <c r="EF281" i="31"/>
  <c r="EF278" i="31" s="1"/>
  <c r="EE216" i="31"/>
  <c r="EE213" i="31" s="1"/>
  <c r="EH26" i="31"/>
  <c r="EE152" i="31"/>
  <c r="EE149" i="31" s="1"/>
  <c r="EE281" i="31"/>
  <c r="EE278" i="31" s="1"/>
  <c r="EE88" i="31"/>
  <c r="EE85" i="31" s="1"/>
  <c r="EF152" i="31"/>
  <c r="EF149" i="31" s="1"/>
  <c r="EF88" i="31"/>
  <c r="EF85" i="31" s="1"/>
  <c r="EI26" i="31"/>
  <c r="EG216" i="31"/>
  <c r="EG213" i="31" s="1"/>
  <c r="EG88" i="31"/>
  <c r="EG85" i="31" s="1"/>
  <c r="EJ26" i="31"/>
  <c r="EG152" i="31"/>
  <c r="EG149" i="31" s="1"/>
  <c r="EF216" i="31"/>
  <c r="EF213" i="31" s="1"/>
  <c r="EG281" i="31"/>
  <c r="EG278" i="31" s="1"/>
  <c r="EJ216" i="31"/>
  <c r="EJ213" i="31" s="1"/>
  <c r="EH152" i="31"/>
  <c r="EH149" i="31" s="1"/>
  <c r="EH88" i="31"/>
  <c r="EH85" i="31" s="1"/>
  <c r="EK26" i="31"/>
  <c r="EH281" i="31"/>
  <c r="EH278" i="31" s="1"/>
  <c r="EI88" i="31"/>
  <c r="EI85" i="31" s="1"/>
  <c r="EH216" i="31"/>
  <c r="EH213" i="31" s="1"/>
  <c r="EI281" i="31"/>
  <c r="EI278" i="31" s="1"/>
  <c r="EI152" i="31"/>
  <c r="EI149" i="31" s="1"/>
  <c r="EI216" i="31"/>
  <c r="EI213" i="31" s="1"/>
  <c r="EL26" i="31"/>
  <c r="EL281" i="31"/>
  <c r="EL278" i="31" s="1"/>
  <c r="EJ281" i="31"/>
  <c r="EJ278" i="31" s="1"/>
  <c r="EJ88" i="31"/>
  <c r="EJ85" i="31" s="1"/>
  <c r="EM26" i="31"/>
  <c r="EN26" i="31"/>
  <c r="EK88" i="31"/>
  <c r="EK85" i="31" s="1"/>
  <c r="EJ152" i="31"/>
  <c r="EJ149" i="31" s="1"/>
  <c r="EK281" i="31"/>
  <c r="EK278" i="31" s="1"/>
  <c r="EK216" i="31"/>
  <c r="EK213" i="31" s="1"/>
  <c r="EM216" i="31"/>
  <c r="EM213" i="31" s="1"/>
  <c r="EK152" i="31"/>
  <c r="EK149" i="31" s="1"/>
  <c r="EL216" i="31"/>
  <c r="EL213" i="31" s="1"/>
  <c r="EO26" i="31"/>
  <c r="EL88" i="31"/>
  <c r="EL85" i="31" s="1"/>
  <c r="EM88" i="31"/>
  <c r="EM85" i="31" s="1"/>
  <c r="EP26" i="31"/>
  <c r="EM281" i="31"/>
  <c r="EM278" i="31" s="1"/>
  <c r="EL152" i="31"/>
  <c r="EL149" i="31" s="1"/>
  <c r="EN152" i="31"/>
  <c r="EN149" i="31" s="1"/>
  <c r="EO216" i="31"/>
  <c r="EO213" i="31" s="1"/>
  <c r="EN88" i="31"/>
  <c r="EN85" i="31" s="1"/>
  <c r="EM152" i="31"/>
  <c r="EM149" i="31" s="1"/>
  <c r="EN281" i="31"/>
  <c r="EN278" i="31" s="1"/>
  <c r="EQ26" i="31"/>
  <c r="EN216" i="31"/>
  <c r="EN213" i="31" s="1"/>
  <c r="EO281" i="31"/>
  <c r="EO278" i="31" s="1"/>
  <c r="EO88" i="31"/>
  <c r="EO85" i="31" s="1"/>
  <c r="EO152" i="31"/>
  <c r="EO149" i="31" s="1"/>
  <c r="ER281" i="31"/>
  <c r="ER278" i="31" s="1"/>
  <c r="EP88" i="31"/>
  <c r="EP85" i="31" s="1"/>
  <c r="ER26" i="31"/>
  <c r="EP281" i="31"/>
  <c r="EP278" i="31" s="1"/>
  <c r="EQ152" i="31"/>
  <c r="EQ149" i="31" s="1"/>
  <c r="EQ281" i="31"/>
  <c r="EQ278" i="31" s="1"/>
  <c r="EP152" i="31"/>
  <c r="EP149" i="31" s="1"/>
  <c r="ES26" i="31"/>
  <c r="EP216" i="31"/>
  <c r="EP213" i="31" s="1"/>
  <c r="EQ216" i="31"/>
  <c r="EQ213" i="31" s="1"/>
  <c r="EQ88" i="31"/>
  <c r="EQ85" i="31" s="1"/>
  <c r="ER88" i="31"/>
  <c r="ER85" i="31" s="1"/>
  <c r="EU26" i="31"/>
  <c r="ER152" i="31"/>
  <c r="ER149" i="31" s="1"/>
  <c r="ET26" i="31"/>
  <c r="ER216" i="31"/>
  <c r="ER213" i="31" s="1"/>
  <c r="ES152" i="31"/>
  <c r="ES149" i="31" s="1"/>
  <c r="ES88" i="31"/>
  <c r="ES85" i="31" s="1"/>
  <c r="ES216" i="31"/>
  <c r="ES213" i="31" s="1"/>
  <c r="ES281" i="31"/>
  <c r="ES278" i="31" s="1"/>
  <c r="EV26" i="31"/>
  <c r="ET152" i="31"/>
  <c r="ET149" i="31" s="1"/>
  <c r="EW26" i="31"/>
  <c r="ET88" i="31"/>
  <c r="ET85" i="31" s="1"/>
  <c r="ET216" i="31"/>
  <c r="ET213" i="31" s="1"/>
  <c r="EX26" i="31"/>
  <c r="ET281" i="31"/>
  <c r="ET278" i="31" s="1"/>
  <c r="EU152" i="31"/>
  <c r="EU149" i="31" s="1"/>
  <c r="EV88" i="31"/>
  <c r="EV85" i="31" s="1"/>
  <c r="EU88" i="31"/>
  <c r="EU85" i="31" s="1"/>
  <c r="EZ26" i="31"/>
  <c r="EU216" i="31"/>
  <c r="EU213" i="31" s="1"/>
  <c r="EV281" i="31"/>
  <c r="EV278" i="31" s="1"/>
  <c r="EU281" i="31"/>
  <c r="EU278" i="31" s="1"/>
  <c r="EY26" i="31"/>
  <c r="EV216" i="31"/>
  <c r="EV213" i="31" s="1"/>
  <c r="EW216" i="31"/>
  <c r="EW213" i="31" s="1"/>
  <c r="EW88" i="31"/>
  <c r="EW85" i="31" s="1"/>
  <c r="EV152" i="31"/>
  <c r="EV149" i="31" s="1"/>
  <c r="EW281" i="31"/>
  <c r="EW278" i="31" s="1"/>
  <c r="EW152" i="31"/>
  <c r="EW149" i="31" s="1"/>
  <c r="EZ88" i="31"/>
  <c r="EZ85" i="31" s="1"/>
  <c r="EX281" i="31"/>
  <c r="EX278" i="31" s="1"/>
  <c r="FA26" i="31"/>
  <c r="EX216" i="31"/>
  <c r="EX213" i="31" s="1"/>
  <c r="EX152" i="31"/>
  <c r="EX149" i="31" s="1"/>
  <c r="EX88" i="31"/>
  <c r="EX85" i="31" s="1"/>
  <c r="EY216" i="31"/>
  <c r="EY213" i="31" s="1"/>
  <c r="FB26" i="31"/>
  <c r="EY88" i="31"/>
  <c r="EY85" i="31" s="1"/>
  <c r="EY152" i="31"/>
  <c r="EY149" i="31" s="1"/>
  <c r="EY281" i="31"/>
  <c r="EY278" i="31" s="1"/>
  <c r="FA88" i="31"/>
  <c r="FA85" i="31" s="1"/>
  <c r="EZ281" i="31"/>
  <c r="EZ278" i="31" s="1"/>
  <c r="FC26" i="31"/>
  <c r="EZ216" i="31"/>
  <c r="EZ213" i="31" s="1"/>
  <c r="EZ152" i="31"/>
  <c r="EZ149" i="31" s="1"/>
  <c r="FA152" i="31"/>
  <c r="FA149" i="31" s="1"/>
  <c r="FA281" i="31"/>
  <c r="FA278" i="31" s="1"/>
  <c r="FA216" i="31"/>
  <c r="FA213" i="31" s="1"/>
  <c r="FD26" i="31"/>
  <c r="FC152" i="31"/>
  <c r="FC149" i="31" s="1"/>
  <c r="FB216" i="31"/>
  <c r="FB213" i="31" s="1"/>
  <c r="FB88" i="31"/>
  <c r="FB85" i="31" s="1"/>
  <c r="FB152" i="31"/>
  <c r="FB149" i="31" s="1"/>
  <c r="FB281" i="31"/>
  <c r="FB278" i="31" s="1"/>
  <c r="FE26" i="31"/>
  <c r="FF26" i="31"/>
  <c r="FC88" i="31"/>
  <c r="FC85" i="31" s="1"/>
  <c r="FC216" i="31"/>
  <c r="FC213" i="31" s="1"/>
  <c r="FC281" i="31"/>
  <c r="FC278" i="31" s="1"/>
  <c r="FE88" i="31"/>
  <c r="FE85" i="31" s="1"/>
  <c r="FD88" i="31"/>
  <c r="FD85" i="31" s="1"/>
  <c r="FD216" i="31"/>
  <c r="FD213" i="31" s="1"/>
  <c r="FD152" i="31"/>
  <c r="FD149" i="31" s="1"/>
  <c r="FD281" i="31"/>
  <c r="FD278" i="31" s="1"/>
  <c r="FG26" i="31"/>
  <c r="FE281" i="31"/>
  <c r="FE278" i="31" s="1"/>
  <c r="FH26" i="31"/>
  <c r="FE152" i="31"/>
  <c r="FE149" i="31" s="1"/>
  <c r="FE216" i="31"/>
  <c r="FE213" i="31" s="1"/>
  <c r="FJ26" i="31"/>
  <c r="FI26" i="31"/>
  <c r="FF152" i="31"/>
  <c r="FF149" i="31" s="1"/>
  <c r="FF281" i="31"/>
  <c r="FF278" i="31" s="1"/>
  <c r="FF216" i="31"/>
  <c r="FF213" i="31" s="1"/>
  <c r="FF88" i="31"/>
  <c r="FF85" i="31" s="1"/>
  <c r="FH216" i="31"/>
  <c r="FH213" i="31" s="1"/>
  <c r="FG88" i="31"/>
  <c r="FG85" i="31" s="1"/>
  <c r="FG281" i="31"/>
  <c r="FG278" i="31" s="1"/>
  <c r="FG152" i="31"/>
  <c r="FG149" i="31" s="1"/>
  <c r="FG216" i="31"/>
  <c r="FG213" i="31" s="1"/>
  <c r="FI281" i="31"/>
  <c r="FI278" i="31" s="1"/>
  <c r="FH88" i="31"/>
  <c r="FH85" i="31" s="1"/>
  <c r="FK26" i="31"/>
  <c r="FH281" i="31"/>
  <c r="FH278" i="31" s="1"/>
  <c r="FH152" i="31"/>
  <c r="FH149" i="31" s="1"/>
  <c r="FL26" i="31"/>
  <c r="FI216" i="31"/>
  <c r="FI213" i="31" s="1"/>
  <c r="FI152" i="31"/>
  <c r="FI149" i="31" s="1"/>
  <c r="FI88" i="31"/>
  <c r="FI85" i="31" s="1"/>
  <c r="FJ152" i="31"/>
  <c r="FJ149" i="31" s="1"/>
  <c r="FM26" i="31"/>
  <c r="FJ88" i="31"/>
  <c r="FJ85" i="31" s="1"/>
  <c r="FJ281" i="31"/>
  <c r="FJ278" i="31" s="1"/>
  <c r="FJ216" i="31"/>
  <c r="FJ213" i="31" s="1"/>
  <c r="FM88" i="31"/>
  <c r="FM85" i="31" s="1"/>
  <c r="FN26" i="31"/>
  <c r="FK152" i="31"/>
  <c r="FK149" i="31" s="1"/>
  <c r="FK216" i="31"/>
  <c r="FK213" i="31" s="1"/>
  <c r="FK281" i="31"/>
  <c r="FK278" i="31" s="1"/>
  <c r="FK88" i="31"/>
  <c r="FK85" i="31" s="1"/>
  <c r="FL152" i="31"/>
  <c r="FL149" i="31" s="1"/>
  <c r="FL88" i="31"/>
  <c r="FL85" i="31" s="1"/>
  <c r="FO26" i="31"/>
  <c r="FL281" i="31"/>
  <c r="FL278" i="31" s="1"/>
  <c r="FL216" i="31"/>
  <c r="FL213" i="31" s="1"/>
  <c r="FP26" i="31"/>
  <c r="FM216" i="31"/>
  <c r="FM213" i="31" s="1"/>
  <c r="FM152" i="31"/>
  <c r="FM149" i="31" s="1"/>
  <c r="FM281" i="31"/>
  <c r="FM278" i="31" s="1"/>
  <c r="FS26" i="31"/>
  <c r="FN281" i="31"/>
  <c r="FN278" i="31" s="1"/>
  <c r="FN216" i="31"/>
  <c r="FN213" i="31" s="1"/>
  <c r="FQ26" i="31"/>
  <c r="FN152" i="31"/>
  <c r="FN149" i="31" s="1"/>
  <c r="FN88" i="31"/>
  <c r="FN85" i="31" s="1"/>
  <c r="FO152" i="31"/>
  <c r="FO149" i="31" s="1"/>
  <c r="FO88" i="31"/>
  <c r="FO85" i="31" s="1"/>
  <c r="FO216" i="31"/>
  <c r="FO213" i="31" s="1"/>
  <c r="FR26" i="31"/>
  <c r="FO281" i="31"/>
  <c r="FO278" i="31" s="1"/>
  <c r="FP281" i="31"/>
  <c r="FP278" i="31" s="1"/>
  <c r="FP152" i="31"/>
  <c r="FP149" i="31" s="1"/>
  <c r="FP88" i="31"/>
  <c r="FP85" i="31" s="1"/>
  <c r="FP216" i="31"/>
  <c r="FP213" i="31" s="1"/>
  <c r="FS88" i="31"/>
  <c r="FS85" i="31" s="1"/>
  <c r="FT26" i="31"/>
  <c r="FQ216" i="31"/>
  <c r="FQ213" i="31" s="1"/>
  <c r="FQ88" i="31"/>
  <c r="FQ85" i="31" s="1"/>
  <c r="FQ152" i="31"/>
  <c r="FQ149" i="31" s="1"/>
  <c r="FQ281" i="31"/>
  <c r="FQ278" i="31" s="1"/>
  <c r="FU26" i="31"/>
  <c r="FR152" i="31"/>
  <c r="FR149" i="31" s="1"/>
  <c r="FR88" i="31"/>
  <c r="FR85" i="31" s="1"/>
  <c r="FR216" i="31"/>
  <c r="FR213" i="31" s="1"/>
  <c r="FR281" i="31"/>
  <c r="FR278" i="31" s="1"/>
  <c r="FT281" i="31"/>
  <c r="FT278" i="31" s="1"/>
  <c r="FS216" i="31"/>
  <c r="FS213" i="31" s="1"/>
  <c r="FS281" i="31"/>
  <c r="FS278" i="31" s="1"/>
  <c r="FV26" i="31"/>
  <c r="FT88" i="31"/>
  <c r="FT85" i="31" s="1"/>
  <c r="FS152" i="31"/>
  <c r="FS149" i="31" s="1"/>
  <c r="FW26" i="31"/>
  <c r="FT152" i="31"/>
  <c r="FT149" i="31" s="1"/>
  <c r="FT216" i="31"/>
  <c r="FT213" i="31" s="1"/>
  <c r="FU216" i="31"/>
  <c r="FU213" i="31" s="1"/>
  <c r="FU281" i="31"/>
  <c r="FU278" i="31" s="1"/>
  <c r="FU152" i="31"/>
  <c r="FU149" i="31" s="1"/>
  <c r="FU88" i="31"/>
  <c r="FU85" i="31" s="1"/>
  <c r="FX216" i="31"/>
  <c r="FX213" i="31" s="1"/>
  <c r="FV152" i="31"/>
  <c r="FV149" i="31" s="1"/>
  <c r="FV216" i="31"/>
  <c r="FV213" i="31" s="1"/>
  <c r="FY26" i="31"/>
  <c r="FX26" i="31"/>
  <c r="FV88" i="31"/>
  <c r="FV85" i="31" s="1"/>
  <c r="FW281" i="31"/>
  <c r="FW278" i="31" s="1"/>
  <c r="FW152" i="31"/>
  <c r="FW149" i="31" s="1"/>
  <c r="FW88" i="31"/>
  <c r="FW85" i="31" s="1"/>
  <c r="FV281" i="31"/>
  <c r="FV278" i="31" s="1"/>
  <c r="FW216" i="31"/>
  <c r="FW213" i="31" s="1"/>
  <c r="FY216" i="31"/>
  <c r="FY213" i="31" s="1"/>
  <c r="FX281" i="31"/>
  <c r="FX278" i="31" s="1"/>
  <c r="FX152" i="31"/>
  <c r="FX149" i="31" s="1"/>
  <c r="FX88" i="31"/>
  <c r="FX85" i="31" s="1"/>
  <c r="FZ26" i="31"/>
  <c r="FZ152" i="31"/>
  <c r="FZ149" i="31" s="1"/>
  <c r="FY88" i="31"/>
  <c r="FY85" i="31" s="1"/>
  <c r="FY281" i="31"/>
  <c r="FY278" i="31" s="1"/>
  <c r="FY152" i="31"/>
  <c r="FY149" i="31" s="1"/>
  <c r="FZ216" i="31"/>
  <c r="FZ213" i="31" s="1"/>
  <c r="FZ281" i="31"/>
  <c r="FZ278" i="31" s="1"/>
  <c r="AD34" i="19"/>
  <c r="AG34" i="19"/>
  <c r="G10" i="19"/>
  <c r="J41" i="19"/>
  <c r="G41" i="19"/>
  <c r="C26" i="19"/>
  <c r="C26" i="41" s="1"/>
  <c r="I41" i="19"/>
  <c r="J11" i="19"/>
  <c r="F11" i="19"/>
  <c r="I11" i="19"/>
  <c r="J10" i="19"/>
  <c r="I10" i="19"/>
  <c r="F41" i="19"/>
  <c r="H41" i="19"/>
  <c r="F10" i="19"/>
  <c r="D10" i="19"/>
  <c r="H10" i="19"/>
  <c r="E11" i="19"/>
  <c r="H11" i="19"/>
  <c r="E10" i="19"/>
  <c r="E41" i="19"/>
  <c r="D11" i="19"/>
  <c r="D41" i="19"/>
  <c r="G11" i="19"/>
  <c r="C11" i="19"/>
  <c r="C11" i="41" s="1"/>
  <c r="C10" i="19"/>
  <c r="C10" i="41" s="1"/>
  <c r="FX27" i="19"/>
  <c r="HW27" i="19"/>
  <c r="GS11" i="19"/>
  <c r="HQ27" i="19"/>
  <c r="GG27" i="19"/>
  <c r="JL41" i="19"/>
  <c r="IU27" i="19"/>
  <c r="FX41" i="19"/>
  <c r="GL10" i="19"/>
  <c r="GZ10" i="19"/>
  <c r="HL41" i="19"/>
  <c r="IR41" i="19"/>
  <c r="JI27" i="19"/>
  <c r="HA27" i="19"/>
  <c r="IZ41" i="19"/>
  <c r="GM10" i="19"/>
  <c r="GR41" i="19"/>
  <c r="HF27" i="19"/>
  <c r="JO27" i="19"/>
  <c r="IK41" i="19"/>
  <c r="JN27" i="19"/>
  <c r="FY41" i="19"/>
  <c r="GC41" i="19"/>
  <c r="HV27" i="19"/>
  <c r="GZ27" i="19"/>
  <c r="HH27" i="19"/>
  <c r="GX10" i="19"/>
  <c r="JM41" i="19"/>
  <c r="IA27" i="19"/>
  <c r="HY41" i="19"/>
  <c r="JZ27" i="19"/>
  <c r="HC27" i="19"/>
  <c r="HR41" i="19"/>
  <c r="HR27" i="19"/>
  <c r="GC11" i="19"/>
  <c r="IV27" i="19"/>
  <c r="GO10" i="19"/>
  <c r="GB27" i="19"/>
  <c r="HT27" i="19"/>
  <c r="GO11" i="19"/>
  <c r="IV41" i="19"/>
  <c r="GA11" i="19"/>
  <c r="IY27" i="19"/>
  <c r="HE27" i="19"/>
  <c r="GV41" i="19"/>
  <c r="JD41" i="19"/>
  <c r="GW11" i="19"/>
  <c r="JX41" i="19"/>
  <c r="GD41" i="19"/>
  <c r="IB27" i="19"/>
  <c r="GB10" i="19"/>
  <c r="JJ41" i="19"/>
  <c r="GS41" i="19"/>
  <c r="IW27" i="19"/>
  <c r="GP10" i="19"/>
  <c r="JQ41" i="19"/>
  <c r="HP41" i="19"/>
  <c r="IF41" i="19"/>
  <c r="HJ27" i="19"/>
  <c r="GT10" i="19"/>
  <c r="HS41" i="19"/>
  <c r="GR10" i="19"/>
  <c r="GT27" i="19"/>
  <c r="HH41" i="19"/>
  <c r="JF41" i="19"/>
  <c r="IX41" i="19"/>
  <c r="IF27" i="19"/>
  <c r="HB27" i="19"/>
  <c r="JT41" i="19"/>
  <c r="FZ11" i="19"/>
  <c r="GA10" i="19"/>
  <c r="GL11" i="19"/>
  <c r="GU41" i="19"/>
  <c r="GT11" i="19"/>
  <c r="GB11" i="19"/>
  <c r="GR11" i="19"/>
  <c r="HP27" i="19"/>
  <c r="IP27" i="19"/>
  <c r="GG10" i="19"/>
  <c r="GL41" i="19"/>
  <c r="IN41" i="19"/>
  <c r="IJ27" i="19"/>
  <c r="IG27" i="19"/>
  <c r="HG41" i="19"/>
  <c r="GL27" i="19"/>
  <c r="GJ11" i="19"/>
  <c r="IL27" i="19"/>
  <c r="IC41" i="19"/>
  <c r="GM41" i="19"/>
  <c r="JZ41" i="19"/>
  <c r="HK41" i="19"/>
  <c r="HX41" i="19"/>
  <c r="GE10" i="19"/>
  <c r="JQ27" i="19"/>
  <c r="GV11" i="19"/>
  <c r="GH10" i="19"/>
  <c r="JL27" i="19"/>
  <c r="GI41" i="19"/>
  <c r="GD27" i="19"/>
  <c r="GF10" i="19"/>
  <c r="ID41" i="19"/>
  <c r="GJ27" i="19"/>
  <c r="GQ41" i="19"/>
  <c r="JV27" i="19"/>
  <c r="GJ10" i="19"/>
  <c r="GD10" i="19"/>
  <c r="GV27" i="19"/>
  <c r="HD41" i="19"/>
  <c r="JY27" i="19"/>
  <c r="GK41" i="19"/>
  <c r="GN11" i="19"/>
  <c r="JH27" i="19"/>
  <c r="FZ41" i="19"/>
  <c r="GZ41" i="19"/>
  <c r="JE41" i="19"/>
  <c r="JI41" i="19"/>
  <c r="GP11" i="19"/>
  <c r="IM41" i="19"/>
  <c r="IT41" i="19"/>
  <c r="JX27" i="19"/>
  <c r="HA41" i="19"/>
  <c r="HB41" i="19"/>
  <c r="IN27" i="19"/>
  <c r="JG27" i="19"/>
  <c r="GD11" i="19"/>
  <c r="GB41" i="19"/>
  <c r="HN41" i="19"/>
  <c r="JJ27" i="19"/>
  <c r="HO41" i="19"/>
  <c r="IB41" i="19"/>
  <c r="KB41" i="19"/>
  <c r="JR27" i="19"/>
  <c r="GF41" i="19"/>
  <c r="JU41" i="19"/>
  <c r="GN27" i="19"/>
  <c r="GT41" i="19"/>
  <c r="IK27" i="19"/>
  <c r="GW10" i="19"/>
  <c r="IP41" i="19"/>
  <c r="IQ41" i="19"/>
  <c r="FZ10" i="19"/>
  <c r="IW41" i="19"/>
  <c r="HJ41" i="19"/>
  <c r="KB27" i="19"/>
  <c r="JB41" i="19"/>
  <c r="JV41" i="19"/>
  <c r="JB27" i="19"/>
  <c r="IS27" i="19"/>
  <c r="JA27" i="19"/>
  <c r="GP41" i="19"/>
  <c r="IM27" i="19"/>
  <c r="JE27" i="19"/>
  <c r="IH27" i="19"/>
  <c r="JP27" i="19"/>
  <c r="GO27" i="19"/>
  <c r="GF27" i="19"/>
  <c r="GP27" i="19"/>
  <c r="GM27" i="19"/>
  <c r="GU27" i="19"/>
  <c r="IX27" i="19"/>
  <c r="HG27" i="19"/>
  <c r="GQ11" i="19"/>
  <c r="JO41" i="19"/>
  <c r="FX11" i="19"/>
  <c r="BJ11" i="41" s="1"/>
  <c r="IZ27" i="19"/>
  <c r="JF27" i="19"/>
  <c r="HM27" i="19"/>
  <c r="GW41" i="19"/>
  <c r="II41" i="19"/>
  <c r="JA41" i="19"/>
  <c r="II27" i="19"/>
  <c r="HY27" i="19"/>
  <c r="GZ11" i="19"/>
  <c r="HZ27" i="19"/>
  <c r="GA41" i="19"/>
  <c r="IL41" i="19"/>
  <c r="IJ41" i="19"/>
  <c r="GE11" i="19"/>
  <c r="GN41" i="19"/>
  <c r="KA41" i="19"/>
  <c r="HV41" i="19"/>
  <c r="JD27" i="19"/>
  <c r="HM41" i="19"/>
  <c r="JM27" i="19"/>
  <c r="HT41" i="19"/>
  <c r="GQ27" i="19"/>
  <c r="IH41" i="19"/>
  <c r="JP41" i="19"/>
  <c r="GE41" i="19"/>
  <c r="JK41" i="19"/>
  <c r="GX11" i="19"/>
  <c r="ID27" i="19"/>
  <c r="GX41" i="19"/>
  <c r="FY27" i="19"/>
  <c r="HU41" i="19"/>
  <c r="GE27" i="19"/>
  <c r="GG41" i="19"/>
  <c r="GG11" i="19"/>
  <c r="GY10" i="19"/>
  <c r="HQ41" i="19"/>
  <c r="GU10" i="19"/>
  <c r="GI10" i="19"/>
  <c r="IR27" i="19"/>
  <c r="HO27" i="19"/>
  <c r="GX27" i="19"/>
  <c r="GJ41" i="19"/>
  <c r="IO27" i="19"/>
  <c r="IC27" i="19"/>
  <c r="JC41" i="19"/>
  <c r="JR41" i="19"/>
  <c r="GO41" i="19"/>
  <c r="GS10" i="19"/>
  <c r="GH27" i="19"/>
  <c r="JW27" i="19"/>
  <c r="HU27" i="19"/>
  <c r="GF11" i="19"/>
  <c r="GH11" i="19"/>
  <c r="JN41" i="19"/>
  <c r="JS41" i="19"/>
  <c r="HD27" i="19"/>
  <c r="GN10" i="19"/>
  <c r="IE27" i="19"/>
  <c r="JT27" i="19"/>
  <c r="IS41" i="19"/>
  <c r="JY41" i="19"/>
  <c r="GQ10" i="19"/>
  <c r="HA10" i="19"/>
  <c r="JG41" i="19"/>
  <c r="GC10" i="19"/>
  <c r="JH41" i="19"/>
  <c r="IT27" i="19"/>
  <c r="HZ41" i="19"/>
  <c r="IG41" i="19"/>
  <c r="HN27" i="19"/>
  <c r="HS27" i="19"/>
  <c r="HI41" i="19"/>
  <c r="IO41" i="19"/>
  <c r="IA41" i="19"/>
  <c r="GC27" i="19"/>
  <c r="GW27" i="19"/>
  <c r="GK10" i="19"/>
  <c r="HW41" i="19"/>
  <c r="HF41" i="19"/>
  <c r="GA27" i="19"/>
  <c r="GR27" i="19"/>
  <c r="FX10" i="19"/>
  <c r="IY41" i="19"/>
  <c r="FZ27" i="19"/>
  <c r="GY27" i="19"/>
  <c r="FY11" i="19"/>
  <c r="GI11" i="19"/>
  <c r="JU27" i="19"/>
  <c r="GU11" i="19"/>
  <c r="GY11" i="19"/>
  <c r="HI27" i="19"/>
  <c r="GK11" i="19"/>
  <c r="GM11" i="19"/>
  <c r="JK27" i="19"/>
  <c r="GY41" i="19"/>
  <c r="GK27" i="19"/>
  <c r="HL27" i="19"/>
  <c r="GS27" i="19"/>
  <c r="JC27" i="19"/>
  <c r="FY10" i="19"/>
  <c r="HC41" i="19"/>
  <c r="GH41" i="19"/>
  <c r="IQ27" i="19"/>
  <c r="KA27" i="19"/>
  <c r="JW41" i="19"/>
  <c r="IU41" i="19"/>
  <c r="GI27" i="19"/>
  <c r="IE41" i="19"/>
  <c r="HX27" i="19"/>
  <c r="GV10" i="19"/>
  <c r="JS27" i="19"/>
  <c r="HE41" i="19"/>
  <c r="HK27" i="19"/>
  <c r="HA11" i="19"/>
  <c r="HC33" i="17"/>
  <c r="HE28" i="17"/>
  <c r="HE30" i="17"/>
  <c r="HE29" i="17"/>
  <c r="HE31" i="17"/>
  <c r="HE32" i="17"/>
  <c r="HC42" i="17"/>
  <c r="HB10" i="19" l="1"/>
  <c r="GI27" i="30"/>
  <c r="GI28" i="30" s="1"/>
  <c r="GH29" i="30"/>
  <c r="U8" i="32"/>
  <c r="Y22" i="28"/>
  <c r="U22" i="28"/>
  <c r="T7" i="32"/>
  <c r="X22" i="28"/>
  <c r="V22" i="28"/>
  <c r="T22" i="28"/>
  <c r="BJ41" i="41"/>
  <c r="Q16" i="42" s="1"/>
  <c r="S22" i="28"/>
  <c r="W22" i="28"/>
  <c r="T8" i="32"/>
  <c r="U7" i="32"/>
  <c r="AF47" i="19"/>
  <c r="AF34" i="19"/>
  <c r="F41" i="41"/>
  <c r="F11" i="41"/>
  <c r="F13" i="32"/>
  <c r="E26" i="41"/>
  <c r="E27" i="41" s="1"/>
  <c r="K14" i="19"/>
  <c r="K12" i="19"/>
  <c r="N14" i="19"/>
  <c r="N12" i="19"/>
  <c r="F26" i="41"/>
  <c r="F27" i="41" s="1"/>
  <c r="AR34" i="19"/>
  <c r="CW26" i="41"/>
  <c r="L14" i="19"/>
  <c r="L12" i="19"/>
  <c r="F22" i="28"/>
  <c r="G41" i="41"/>
  <c r="D16" i="42" s="1"/>
  <c r="D26" i="41"/>
  <c r="D27" i="41" s="1"/>
  <c r="O12" i="19"/>
  <c r="O14" i="19"/>
  <c r="G26" i="41"/>
  <c r="G27" i="41" s="1"/>
  <c r="C47" i="41"/>
  <c r="CW47" i="41"/>
  <c r="CX47" i="41"/>
  <c r="D47" i="41"/>
  <c r="E47" i="41"/>
  <c r="F47" i="41"/>
  <c r="G47" i="41"/>
  <c r="L34" i="19"/>
  <c r="M34" i="19"/>
  <c r="I34" i="19"/>
  <c r="O47" i="19"/>
  <c r="O34" i="19"/>
  <c r="I47" i="19"/>
  <c r="J34" i="19"/>
  <c r="K34" i="19"/>
  <c r="N34" i="19"/>
  <c r="G11" i="41"/>
  <c r="F8" i="32"/>
  <c r="M12" i="19"/>
  <c r="G10" i="41"/>
  <c r="M14" i="19"/>
  <c r="F7" i="32"/>
  <c r="GC12" i="19"/>
  <c r="GV12" i="19"/>
  <c r="BV41" i="41"/>
  <c r="BQ11" i="41"/>
  <c r="BW41" i="41"/>
  <c r="E12" i="19"/>
  <c r="I12" i="19"/>
  <c r="GD12" i="19"/>
  <c r="CP41" i="41"/>
  <c r="CH41" i="41"/>
  <c r="BK11" i="41"/>
  <c r="HA12" i="19"/>
  <c r="GS12" i="19"/>
  <c r="BY41" i="41"/>
  <c r="GJ12" i="19"/>
  <c r="CS41" i="41"/>
  <c r="CG41" i="41"/>
  <c r="CI41" i="41"/>
  <c r="BL41" i="41"/>
  <c r="BP11" i="41"/>
  <c r="FZ12" i="19"/>
  <c r="CK41" i="41"/>
  <c r="BN41" i="41"/>
  <c r="CO41" i="41"/>
  <c r="BU41" i="41"/>
  <c r="CN41" i="41"/>
  <c r="GA12" i="19"/>
  <c r="E11" i="41"/>
  <c r="BR41" i="41"/>
  <c r="BN11" i="41"/>
  <c r="GI12" i="19"/>
  <c r="BQ41" i="41"/>
  <c r="H12" i="19"/>
  <c r="GY12" i="19"/>
  <c r="CF41" i="41"/>
  <c r="GF12" i="19"/>
  <c r="CB41" i="41"/>
  <c r="CR41" i="41"/>
  <c r="BK41" i="41"/>
  <c r="D11" i="41"/>
  <c r="C27" i="41"/>
  <c r="C68" i="41"/>
  <c r="BS41" i="41"/>
  <c r="GW12" i="19"/>
  <c r="BS10" i="41"/>
  <c r="CM41" i="41"/>
  <c r="GT12" i="19"/>
  <c r="BR10" i="41"/>
  <c r="GO12" i="19"/>
  <c r="E41" i="41"/>
  <c r="CL41" i="41"/>
  <c r="BT41" i="41"/>
  <c r="CT41" i="41"/>
  <c r="BL11" i="41"/>
  <c r="GK12" i="19"/>
  <c r="BO10" i="41"/>
  <c r="FY12" i="19"/>
  <c r="BK10" i="41"/>
  <c r="BO11" i="41"/>
  <c r="CE41" i="41"/>
  <c r="GQ12" i="19"/>
  <c r="BQ10" i="41"/>
  <c r="BM41" i="41"/>
  <c r="BR11" i="41"/>
  <c r="CU41" i="41"/>
  <c r="GB12" i="19"/>
  <c r="BL10" i="41"/>
  <c r="GX12" i="19"/>
  <c r="J12" i="19"/>
  <c r="F10" i="41"/>
  <c r="G12" i="19"/>
  <c r="E10" i="41"/>
  <c r="FX12" i="19"/>
  <c r="BJ10" i="41"/>
  <c r="GN12" i="19"/>
  <c r="BP10" i="41"/>
  <c r="CA41" i="41"/>
  <c r="GH12" i="19"/>
  <c r="BN10" i="41"/>
  <c r="BX41" i="41"/>
  <c r="C12" i="41"/>
  <c r="C14" i="41"/>
  <c r="CJ41" i="41"/>
  <c r="BZ41" i="41"/>
  <c r="GZ12" i="19"/>
  <c r="BT10" i="41"/>
  <c r="CC41" i="41"/>
  <c r="BP41" i="41"/>
  <c r="BO41" i="41"/>
  <c r="GG12" i="19"/>
  <c r="CQ41" i="41"/>
  <c r="GL12" i="19"/>
  <c r="D12" i="19"/>
  <c r="D10" i="41"/>
  <c r="GU12" i="19"/>
  <c r="BM11" i="41"/>
  <c r="CD41" i="41"/>
  <c r="GE12" i="19"/>
  <c r="BM10" i="41"/>
  <c r="GR12" i="19"/>
  <c r="GP12" i="19"/>
  <c r="BS11" i="41"/>
  <c r="GM12" i="19"/>
  <c r="D41" i="41"/>
  <c r="F12" i="19"/>
  <c r="HE41" i="17"/>
  <c r="GA281" i="31" s="1"/>
  <c r="GA278" i="31" s="1"/>
  <c r="HE40" i="17"/>
  <c r="GA216" i="31" s="1"/>
  <c r="GA213" i="31" s="1"/>
  <c r="HE39" i="17"/>
  <c r="GA152" i="31" s="1"/>
  <c r="GA149" i="31" s="1"/>
  <c r="HE38" i="17"/>
  <c r="GA88" i="31" s="1"/>
  <c r="GA85" i="31" s="1"/>
  <c r="HE37" i="17"/>
  <c r="GA26" i="31" s="1"/>
  <c r="AE47" i="19"/>
  <c r="AE34" i="19"/>
  <c r="FW154" i="31"/>
  <c r="FW153" i="31"/>
  <c r="FU89" i="31"/>
  <c r="FU90" i="31"/>
  <c r="FT90" i="31"/>
  <c r="FT89" i="31"/>
  <c r="FR154" i="31"/>
  <c r="FR153" i="31"/>
  <c r="FP217" i="31"/>
  <c r="FP218" i="31"/>
  <c r="FO153" i="31"/>
  <c r="FO154" i="31"/>
  <c r="FM153" i="31"/>
  <c r="FM154" i="31"/>
  <c r="FK90" i="31"/>
  <c r="FK89" i="31"/>
  <c r="FJ90" i="31"/>
  <c r="FJ89" i="31"/>
  <c r="FH282" i="31"/>
  <c r="FH283" i="31"/>
  <c r="FH218" i="31"/>
  <c r="FH217" i="31"/>
  <c r="FE154" i="31"/>
  <c r="FE153" i="31"/>
  <c r="FE89" i="31"/>
  <c r="FE90" i="31"/>
  <c r="FB89" i="31"/>
  <c r="FB90" i="31"/>
  <c r="EZ217" i="31"/>
  <c r="EZ218" i="31"/>
  <c r="EY218" i="31"/>
  <c r="EY217" i="31"/>
  <c r="EW283" i="31"/>
  <c r="EW282" i="31"/>
  <c r="EU218" i="31"/>
  <c r="EU217" i="31"/>
  <c r="ET89" i="31"/>
  <c r="ET90" i="31"/>
  <c r="ER217" i="31"/>
  <c r="ER218" i="31"/>
  <c r="ES334" i="31"/>
  <c r="ES28" i="31"/>
  <c r="EO154" i="31"/>
  <c r="EO153" i="31"/>
  <c r="EO334" i="31"/>
  <c r="EO218" i="31"/>
  <c r="EO217" i="31"/>
  <c r="EL218" i="31"/>
  <c r="EL217" i="31"/>
  <c r="EM334" i="31"/>
  <c r="EM28" i="31"/>
  <c r="EH218" i="31"/>
  <c r="EH217" i="31"/>
  <c r="EF217" i="31"/>
  <c r="EF218" i="31"/>
  <c r="EE89" i="31"/>
  <c r="EE90" i="31"/>
  <c r="EG334" i="31"/>
  <c r="EG28" i="31"/>
  <c r="EB153" i="31"/>
  <c r="EB154" i="31"/>
  <c r="EA153" i="31"/>
  <c r="EA154" i="31"/>
  <c r="DY282" i="31"/>
  <c r="DY283" i="31"/>
  <c r="DX218" i="31"/>
  <c r="DX217" i="31"/>
  <c r="DY334" i="31"/>
  <c r="DY28" i="31"/>
  <c r="DW153" i="31"/>
  <c r="DW154" i="31"/>
  <c r="DS283" i="31"/>
  <c r="DS282" i="31"/>
  <c r="DR154" i="31"/>
  <c r="DR153" i="31"/>
  <c r="DP153" i="31"/>
  <c r="DP154" i="31"/>
  <c r="DN217" i="31"/>
  <c r="DN218" i="31"/>
  <c r="DL90" i="31"/>
  <c r="DL89" i="31"/>
  <c r="DL283" i="31"/>
  <c r="DL282" i="31"/>
  <c r="DI153" i="31"/>
  <c r="DI154" i="31"/>
  <c r="DJ334" i="31"/>
  <c r="DJ28" i="31"/>
  <c r="DF218" i="31"/>
  <c r="DF217" i="31"/>
  <c r="DD154" i="31"/>
  <c r="DD153" i="31"/>
  <c r="DC283" i="31"/>
  <c r="DC282" i="31"/>
  <c r="DA90" i="31"/>
  <c r="DA89" i="31"/>
  <c r="CY89" i="31"/>
  <c r="CY90" i="31"/>
  <c r="CX283" i="31"/>
  <c r="CX282" i="31"/>
  <c r="CV218" i="31"/>
  <c r="CV217" i="31"/>
  <c r="CU90" i="31"/>
  <c r="CU89" i="31"/>
  <c r="CS90" i="31"/>
  <c r="CS89" i="31"/>
  <c r="CQ89" i="31"/>
  <c r="CQ90" i="31"/>
  <c r="CP154" i="31"/>
  <c r="CP153" i="31"/>
  <c r="CN90" i="31"/>
  <c r="CN89" i="31"/>
  <c r="CP334" i="31"/>
  <c r="CP28" i="31"/>
  <c r="CK217" i="31"/>
  <c r="CK218" i="31"/>
  <c r="CI153" i="31"/>
  <c r="CI154" i="31"/>
  <c r="CH282" i="31"/>
  <c r="CH283" i="31"/>
  <c r="CF282" i="31"/>
  <c r="CF283" i="31"/>
  <c r="CF154" i="31"/>
  <c r="CF153" i="31"/>
  <c r="CB283" i="31"/>
  <c r="CB282" i="31"/>
  <c r="CE334" i="31"/>
  <c r="CE28" i="31"/>
  <c r="BZ154" i="31"/>
  <c r="BZ153" i="31"/>
  <c r="BX90" i="31"/>
  <c r="BX89" i="31"/>
  <c r="BV90" i="31"/>
  <c r="BV89" i="31"/>
  <c r="BU217" i="31"/>
  <c r="BU218" i="31"/>
  <c r="BV334" i="31"/>
  <c r="BV28" i="31"/>
  <c r="BR90" i="31"/>
  <c r="BR89" i="31"/>
  <c r="BP283" i="31"/>
  <c r="BP282" i="31"/>
  <c r="BO154" i="31"/>
  <c r="BO153" i="31"/>
  <c r="BM283" i="31"/>
  <c r="BM282" i="31"/>
  <c r="BJ282" i="31"/>
  <c r="BJ283" i="31"/>
  <c r="BJ90" i="31"/>
  <c r="BJ89" i="31"/>
  <c r="BN334" i="31"/>
  <c r="BN28" i="31"/>
  <c r="BL334" i="31"/>
  <c r="BL28" i="31"/>
  <c r="BE89" i="31"/>
  <c r="BE90" i="31"/>
  <c r="BC217" i="31"/>
  <c r="BC218" i="31"/>
  <c r="BE334" i="31"/>
  <c r="BE28" i="31"/>
  <c r="AZ217" i="31"/>
  <c r="AZ218" i="31"/>
  <c r="AY153" i="31"/>
  <c r="AY154" i="31"/>
  <c r="AW218" i="31"/>
  <c r="AW217" i="31"/>
  <c r="AU154" i="31"/>
  <c r="AU153" i="31"/>
  <c r="AW334" i="31"/>
  <c r="AW28" i="31"/>
  <c r="AU334" i="31"/>
  <c r="AU28" i="31"/>
  <c r="AR89" i="31"/>
  <c r="AR90" i="31"/>
  <c r="AO217" i="31"/>
  <c r="AO218" i="31"/>
  <c r="AN89" i="31"/>
  <c r="AN90" i="31"/>
  <c r="AK90" i="31"/>
  <c r="AK89" i="31"/>
  <c r="AL218" i="31"/>
  <c r="AL217" i="31"/>
  <c r="AI282" i="31"/>
  <c r="AI283" i="31"/>
  <c r="AJ28" i="31"/>
  <c r="AE89" i="31"/>
  <c r="AE90" i="31"/>
  <c r="AD282" i="31"/>
  <c r="AD283" i="31"/>
  <c r="AB89" i="31"/>
  <c r="AB90" i="31"/>
  <c r="AA153" i="31"/>
  <c r="AA154" i="31"/>
  <c r="Y154" i="31"/>
  <c r="Y153" i="31"/>
  <c r="AA334" i="31"/>
  <c r="AA28" i="31"/>
  <c r="V217" i="31"/>
  <c r="V218" i="31"/>
  <c r="T282" i="31"/>
  <c r="T283" i="31"/>
  <c r="R283" i="31"/>
  <c r="R282" i="31"/>
  <c r="Q217" i="31"/>
  <c r="Q218" i="31"/>
  <c r="O218" i="31"/>
  <c r="O217" i="31"/>
  <c r="M153" i="31"/>
  <c r="M154" i="31"/>
  <c r="L153" i="31"/>
  <c r="L154" i="31"/>
  <c r="K90" i="31"/>
  <c r="K89" i="31"/>
  <c r="I217" i="31"/>
  <c r="I218" i="31"/>
  <c r="G217" i="31"/>
  <c r="G218" i="31"/>
  <c r="F90" i="31"/>
  <c r="F89" i="31"/>
  <c r="C89" i="31"/>
  <c r="C90" i="31"/>
  <c r="F334" i="31"/>
  <c r="F28" i="31"/>
  <c r="FZ218" i="31"/>
  <c r="FZ217" i="31"/>
  <c r="FX89" i="31"/>
  <c r="FX90" i="31"/>
  <c r="FW282" i="31"/>
  <c r="FW283" i="31"/>
  <c r="FU154" i="31"/>
  <c r="FU153" i="31"/>
  <c r="FV334" i="31"/>
  <c r="FV28" i="31"/>
  <c r="FU334" i="31"/>
  <c r="FU28" i="31"/>
  <c r="FP90" i="31"/>
  <c r="FP89" i="31"/>
  <c r="FN90" i="31"/>
  <c r="FN89" i="31"/>
  <c r="FM217" i="31"/>
  <c r="FM218" i="31"/>
  <c r="FK283" i="31"/>
  <c r="FK282" i="31"/>
  <c r="FM334" i="31"/>
  <c r="FM28" i="31"/>
  <c r="FK334" i="31"/>
  <c r="FK28" i="31"/>
  <c r="FF89" i="31"/>
  <c r="FF90" i="31"/>
  <c r="FH334" i="31"/>
  <c r="FH28" i="31"/>
  <c r="FC283" i="31"/>
  <c r="FC282" i="31"/>
  <c r="FB217" i="31"/>
  <c r="FB218" i="31"/>
  <c r="FC334" i="31"/>
  <c r="FC28" i="31"/>
  <c r="EX90" i="31"/>
  <c r="EX89" i="31"/>
  <c r="EV154" i="31"/>
  <c r="EV153" i="31"/>
  <c r="EZ334" i="31"/>
  <c r="EZ28" i="31"/>
  <c r="EW334" i="31"/>
  <c r="EW28" i="31"/>
  <c r="ET334" i="31"/>
  <c r="ET28" i="31"/>
  <c r="EP153" i="31"/>
  <c r="EP154" i="31"/>
  <c r="EO89" i="31"/>
  <c r="EO90" i="31"/>
  <c r="EN153" i="31"/>
  <c r="EN154" i="31"/>
  <c r="EK154" i="31"/>
  <c r="EK153" i="31"/>
  <c r="EJ89" i="31"/>
  <c r="EJ90" i="31"/>
  <c r="EI90" i="31"/>
  <c r="EI89" i="31"/>
  <c r="EG153" i="31"/>
  <c r="EG154" i="31"/>
  <c r="EE283" i="31"/>
  <c r="EE282" i="31"/>
  <c r="ED89" i="31"/>
  <c r="ED90" i="31"/>
  <c r="EB89" i="31"/>
  <c r="EB90" i="31"/>
  <c r="EB217" i="31"/>
  <c r="EB218" i="31"/>
  <c r="DY154" i="31"/>
  <c r="DY153" i="31"/>
  <c r="DZ334" i="31"/>
  <c r="DZ28" i="31"/>
  <c r="DV218" i="31"/>
  <c r="DV217" i="31"/>
  <c r="DS89" i="31"/>
  <c r="DS90" i="31"/>
  <c r="DU334" i="31"/>
  <c r="DU28" i="31"/>
  <c r="DQ89" i="31"/>
  <c r="DQ90" i="31"/>
  <c r="DO154" i="31"/>
  <c r="DO153" i="31"/>
  <c r="DN90" i="31"/>
  <c r="DN89" i="31"/>
  <c r="DO334" i="31"/>
  <c r="DO28" i="31"/>
  <c r="DM334" i="31"/>
  <c r="DM28" i="31"/>
  <c r="DI282" i="31"/>
  <c r="DI283" i="31"/>
  <c r="DG283" i="31"/>
  <c r="DG282" i="31"/>
  <c r="DF89" i="31"/>
  <c r="DF90" i="31"/>
  <c r="DD89" i="31"/>
  <c r="DD90" i="31"/>
  <c r="DC90" i="31"/>
  <c r="DC89" i="31"/>
  <c r="DD334" i="31"/>
  <c r="DD28" i="31"/>
  <c r="CY282" i="31"/>
  <c r="CY283" i="31"/>
  <c r="CY153" i="31"/>
  <c r="CY154" i="31"/>
  <c r="CY334" i="31"/>
  <c r="CY28" i="31"/>
  <c r="CU217" i="31"/>
  <c r="CU218" i="31"/>
  <c r="CS217" i="31"/>
  <c r="CS218" i="31"/>
  <c r="CQ283" i="31"/>
  <c r="CQ282" i="31"/>
  <c r="CS334" i="31"/>
  <c r="CS28" i="31"/>
  <c r="CN218" i="31"/>
  <c r="CN217" i="31"/>
  <c r="CN153" i="31"/>
  <c r="CN154" i="31"/>
  <c r="CN334" i="31"/>
  <c r="CN28" i="31"/>
  <c r="CI217" i="31"/>
  <c r="CI218" i="31"/>
  <c r="CH154" i="31"/>
  <c r="CH153" i="31"/>
  <c r="CF89" i="31"/>
  <c r="CF90" i="31"/>
  <c r="CG334" i="31"/>
  <c r="CG28" i="31"/>
  <c r="CC89" i="31"/>
  <c r="CC90" i="31"/>
  <c r="CA90" i="31"/>
  <c r="CA89" i="31"/>
  <c r="CA218" i="31"/>
  <c r="CA217" i="31"/>
  <c r="BX282" i="31"/>
  <c r="BX283" i="31"/>
  <c r="BV217" i="31"/>
  <c r="BV218" i="31"/>
  <c r="BU282" i="31"/>
  <c r="BU283" i="31"/>
  <c r="BS154" i="31"/>
  <c r="BS153" i="31"/>
  <c r="BR282" i="31"/>
  <c r="BR283" i="31"/>
  <c r="BP154" i="31"/>
  <c r="BP153" i="31"/>
  <c r="BO282" i="31"/>
  <c r="BO283" i="31"/>
  <c r="BM90" i="31"/>
  <c r="BM89" i="31"/>
  <c r="BK89" i="31"/>
  <c r="BK90" i="31"/>
  <c r="BJ153" i="31"/>
  <c r="BJ154" i="31"/>
  <c r="BG218" i="31"/>
  <c r="BG217" i="31"/>
  <c r="BF90" i="31"/>
  <c r="BF89" i="31"/>
  <c r="BE282" i="31"/>
  <c r="BE283" i="31"/>
  <c r="BC153" i="31"/>
  <c r="BC154" i="31"/>
  <c r="BD89" i="31"/>
  <c r="BD90" i="31"/>
  <c r="AZ90" i="31"/>
  <c r="AZ89" i="31"/>
  <c r="AX217" i="31"/>
  <c r="AX218" i="31"/>
  <c r="AW153" i="31"/>
  <c r="AW154" i="31"/>
  <c r="AU89" i="31"/>
  <c r="AU90" i="31"/>
  <c r="AT154" i="31"/>
  <c r="AT153" i="31"/>
  <c r="AR218" i="31"/>
  <c r="AR217" i="31"/>
  <c r="AP218" i="31"/>
  <c r="AP217" i="31"/>
  <c r="AN218" i="31"/>
  <c r="AN217" i="31"/>
  <c r="AP283" i="31"/>
  <c r="AP282" i="31"/>
  <c r="AL89" i="31"/>
  <c r="AL90" i="31"/>
  <c r="AJ90" i="31"/>
  <c r="AJ89" i="31"/>
  <c r="AH217" i="31"/>
  <c r="AH218" i="31"/>
  <c r="AG154" i="31"/>
  <c r="AG153" i="31"/>
  <c r="AE153" i="31"/>
  <c r="AE154" i="31"/>
  <c r="AD90" i="31"/>
  <c r="AD89" i="31"/>
  <c r="AB218" i="31"/>
  <c r="AB217" i="31"/>
  <c r="AA89" i="31"/>
  <c r="AA90" i="31"/>
  <c r="X334" i="31"/>
  <c r="X283" i="31"/>
  <c r="X282" i="31"/>
  <c r="X218" i="31"/>
  <c r="X217" i="31"/>
  <c r="U282" i="31"/>
  <c r="U283" i="31"/>
  <c r="U334" i="31"/>
  <c r="U218" i="31"/>
  <c r="U217" i="31"/>
  <c r="V28" i="31"/>
  <c r="P218" i="31"/>
  <c r="P217" i="31"/>
  <c r="P153" i="31"/>
  <c r="P154" i="31"/>
  <c r="M282" i="31"/>
  <c r="M283" i="31"/>
  <c r="M89" i="31"/>
  <c r="M90" i="31"/>
  <c r="J217" i="31"/>
  <c r="J218" i="31"/>
  <c r="G334" i="31"/>
  <c r="G283" i="31"/>
  <c r="G282" i="31"/>
  <c r="G90" i="31"/>
  <c r="G89" i="31"/>
  <c r="F283" i="31"/>
  <c r="F282" i="31"/>
  <c r="D90" i="31"/>
  <c r="D89" i="31"/>
  <c r="E334" i="31"/>
  <c r="E28" i="31"/>
  <c r="FY154" i="31"/>
  <c r="FY153" i="31"/>
  <c r="FX154" i="31"/>
  <c r="FX153" i="31"/>
  <c r="FV89" i="31"/>
  <c r="FV90" i="31"/>
  <c r="FU283" i="31"/>
  <c r="FU282" i="31"/>
  <c r="FS283" i="31"/>
  <c r="FS282" i="31"/>
  <c r="FQ282" i="31"/>
  <c r="FQ283" i="31"/>
  <c r="FP154" i="31"/>
  <c r="FP153" i="31"/>
  <c r="FN154" i="31"/>
  <c r="FN153" i="31"/>
  <c r="FP334" i="31"/>
  <c r="FP28" i="31"/>
  <c r="FK218" i="31"/>
  <c r="FK217" i="31"/>
  <c r="FJ153" i="31"/>
  <c r="FJ154" i="31"/>
  <c r="FH89" i="31"/>
  <c r="FH90" i="31"/>
  <c r="FF218" i="31"/>
  <c r="FF217" i="31"/>
  <c r="FE282" i="31"/>
  <c r="FE283" i="31"/>
  <c r="FC218" i="31"/>
  <c r="FC217" i="31"/>
  <c r="FC153" i="31"/>
  <c r="FC154" i="31"/>
  <c r="EZ283" i="31"/>
  <c r="EZ282" i="31"/>
  <c r="EX154" i="31"/>
  <c r="EX153" i="31"/>
  <c r="EW89" i="31"/>
  <c r="EW90" i="31"/>
  <c r="EU90" i="31"/>
  <c r="EU89" i="31"/>
  <c r="ET153" i="31"/>
  <c r="ET154" i="31"/>
  <c r="ER154" i="31"/>
  <c r="ER153" i="31"/>
  <c r="EQ282" i="31"/>
  <c r="EQ283" i="31"/>
  <c r="EO283" i="31"/>
  <c r="EO282" i="31"/>
  <c r="EL153" i="31"/>
  <c r="EL154" i="31"/>
  <c r="EM218" i="31"/>
  <c r="EM217" i="31"/>
  <c r="EJ282" i="31"/>
  <c r="EJ283" i="31"/>
  <c r="EH282" i="31"/>
  <c r="EH283" i="31"/>
  <c r="EJ334" i="31"/>
  <c r="EJ28" i="31"/>
  <c r="EE153" i="31"/>
  <c r="EE154" i="31"/>
  <c r="EC218" i="31"/>
  <c r="EC217" i="31"/>
  <c r="ED334" i="31"/>
  <c r="ED28" i="31"/>
  <c r="DZ154" i="31"/>
  <c r="DZ153" i="31"/>
  <c r="DZ218" i="31"/>
  <c r="DZ217" i="31"/>
  <c r="DW282" i="31"/>
  <c r="DW283" i="31"/>
  <c r="DT89" i="31"/>
  <c r="DT90" i="31"/>
  <c r="DT283" i="31"/>
  <c r="DT282" i="31"/>
  <c r="DV334" i="31"/>
  <c r="DV28" i="31"/>
  <c r="DQ154" i="31"/>
  <c r="DQ153" i="31"/>
  <c r="DR334" i="31"/>
  <c r="DR28" i="31"/>
  <c r="DQ334" i="31"/>
  <c r="DQ28" i="31"/>
  <c r="DL153" i="31"/>
  <c r="DL154" i="31"/>
  <c r="DJ89" i="31"/>
  <c r="DJ90" i="31"/>
  <c r="DI89" i="31"/>
  <c r="DI90" i="31"/>
  <c r="DG218" i="31"/>
  <c r="DG217" i="31"/>
  <c r="DE218" i="31"/>
  <c r="DE217" i="31"/>
  <c r="DD217" i="31"/>
  <c r="DD218" i="31"/>
  <c r="DB283" i="31"/>
  <c r="DB282" i="31"/>
  <c r="DB90" i="31"/>
  <c r="DB89" i="31"/>
  <c r="CY217" i="31"/>
  <c r="CY218" i="31"/>
  <c r="CW90" i="31"/>
  <c r="CW89" i="31"/>
  <c r="CV154" i="31"/>
  <c r="CV153" i="31"/>
  <c r="CT153" i="31"/>
  <c r="CT154" i="31"/>
  <c r="CS153" i="31"/>
  <c r="CS154" i="31"/>
  <c r="CQ153" i="31"/>
  <c r="CQ154" i="31"/>
  <c r="CO154" i="31"/>
  <c r="CO153" i="31"/>
  <c r="CQ334" i="31"/>
  <c r="CQ28" i="31"/>
  <c r="CL217" i="31"/>
  <c r="CL218" i="31"/>
  <c r="CK282" i="31"/>
  <c r="CK283" i="31"/>
  <c r="CL334" i="31"/>
  <c r="CL28" i="31"/>
  <c r="CG153" i="31"/>
  <c r="CG154" i="31"/>
  <c r="CF217" i="31"/>
  <c r="CF218" i="31"/>
  <c r="CD283" i="31"/>
  <c r="CD282" i="31"/>
  <c r="CC218" i="31"/>
  <c r="CC217" i="31"/>
  <c r="CC334" i="31"/>
  <c r="CC28" i="31"/>
  <c r="BY89" i="31"/>
  <c r="BY90" i="31"/>
  <c r="BX154" i="31"/>
  <c r="BX153" i="31"/>
  <c r="BV153" i="31"/>
  <c r="BV154" i="31"/>
  <c r="BU89" i="31"/>
  <c r="BU90" i="31"/>
  <c r="BS283" i="31"/>
  <c r="BS282" i="31"/>
  <c r="BU334" i="31"/>
  <c r="BU28" i="31"/>
  <c r="BS334" i="31"/>
  <c r="BS28" i="31"/>
  <c r="BN90" i="31"/>
  <c r="BN89" i="31"/>
  <c r="BQ334" i="31"/>
  <c r="BQ28" i="31"/>
  <c r="BK218" i="31"/>
  <c r="BK217" i="31"/>
  <c r="BJ218" i="31"/>
  <c r="BJ217" i="31"/>
  <c r="BJ334" i="31"/>
  <c r="BJ28" i="31"/>
  <c r="BI334" i="31"/>
  <c r="BI28" i="31"/>
  <c r="BH334" i="31"/>
  <c r="BH28" i="31"/>
  <c r="BF334" i="31"/>
  <c r="BF28" i="31"/>
  <c r="BD334" i="31"/>
  <c r="BD28" i="31"/>
  <c r="BC334" i="31"/>
  <c r="BC28" i="31"/>
  <c r="BA334" i="31"/>
  <c r="BA28" i="31"/>
  <c r="AZ334" i="31"/>
  <c r="AZ28" i="31"/>
  <c r="AX334" i="31"/>
  <c r="AX28" i="31"/>
  <c r="AV90" i="31"/>
  <c r="AV89" i="31"/>
  <c r="AR283" i="31"/>
  <c r="AR282" i="31"/>
  <c r="AP89" i="31"/>
  <c r="AP90" i="31"/>
  <c r="AN283" i="31"/>
  <c r="AN282" i="31"/>
  <c r="AL154" i="31"/>
  <c r="AL153" i="31"/>
  <c r="AJ334" i="31"/>
  <c r="AJ283" i="31"/>
  <c r="AJ282" i="31"/>
  <c r="AM334" i="31"/>
  <c r="AM28" i="31"/>
  <c r="AK334" i="31"/>
  <c r="AK28" i="31"/>
  <c r="AG283" i="31"/>
  <c r="AG282" i="31"/>
  <c r="AE282" i="31"/>
  <c r="AE283" i="31"/>
  <c r="AH334" i="31"/>
  <c r="AH28" i="31"/>
  <c r="AB282" i="31"/>
  <c r="AB283" i="31"/>
  <c r="AC153" i="31"/>
  <c r="AC154" i="31"/>
  <c r="Y217" i="31"/>
  <c r="Y218" i="31"/>
  <c r="V334" i="31"/>
  <c r="V283" i="31"/>
  <c r="V282" i="31"/>
  <c r="Y28" i="31"/>
  <c r="S283" i="31"/>
  <c r="S282" i="31"/>
  <c r="R218" i="31"/>
  <c r="R217" i="31"/>
  <c r="Q89" i="31"/>
  <c r="Q90" i="31"/>
  <c r="T334" i="31"/>
  <c r="T28" i="31"/>
  <c r="N89" i="31"/>
  <c r="N90" i="31"/>
  <c r="K153" i="31"/>
  <c r="K154" i="31"/>
  <c r="N334" i="31"/>
  <c r="N28" i="31"/>
  <c r="H283" i="31"/>
  <c r="H282" i="31"/>
  <c r="G153" i="31"/>
  <c r="G154" i="31"/>
  <c r="E89" i="31"/>
  <c r="E90" i="31"/>
  <c r="D282" i="31"/>
  <c r="D283" i="31"/>
  <c r="D334" i="31"/>
  <c r="D28" i="31"/>
  <c r="FX283" i="31"/>
  <c r="FX282" i="31"/>
  <c r="FX334" i="31"/>
  <c r="FX28" i="31"/>
  <c r="FU217" i="31"/>
  <c r="FU218" i="31"/>
  <c r="FS217" i="31"/>
  <c r="FS218" i="31"/>
  <c r="FQ153" i="31"/>
  <c r="FQ154" i="31"/>
  <c r="FP283" i="31"/>
  <c r="FP282" i="31"/>
  <c r="FQ334" i="31"/>
  <c r="FQ28" i="31"/>
  <c r="FL217" i="31"/>
  <c r="FL218" i="31"/>
  <c r="FK153" i="31"/>
  <c r="FK154" i="31"/>
  <c r="FI89" i="31"/>
  <c r="FI90" i="31"/>
  <c r="FI283" i="31"/>
  <c r="FI282" i="31"/>
  <c r="FF283" i="31"/>
  <c r="FF282" i="31"/>
  <c r="FG334" i="31"/>
  <c r="FG28" i="31"/>
  <c r="FC90" i="31"/>
  <c r="FC89" i="31"/>
  <c r="FD334" i="31"/>
  <c r="FD28" i="31"/>
  <c r="FA90" i="31"/>
  <c r="FA89" i="31"/>
  <c r="EX217" i="31"/>
  <c r="EX218" i="31"/>
  <c r="EW217" i="31"/>
  <c r="EW218" i="31"/>
  <c r="EV90" i="31"/>
  <c r="EV89" i="31"/>
  <c r="EV334" i="31"/>
  <c r="EV28" i="31"/>
  <c r="EU334" i="31"/>
  <c r="EU28" i="31"/>
  <c r="EQ153" i="31"/>
  <c r="EQ154" i="31"/>
  <c r="EN217" i="31"/>
  <c r="EN218" i="31"/>
  <c r="EM282" i="31"/>
  <c r="EM283" i="31"/>
  <c r="EK218" i="31"/>
  <c r="EK217" i="31"/>
  <c r="EL282" i="31"/>
  <c r="EL283" i="31"/>
  <c r="EK334" i="31"/>
  <c r="EK28" i="31"/>
  <c r="EG90" i="31"/>
  <c r="EG89" i="31"/>
  <c r="EH334" i="31"/>
  <c r="EH28" i="31"/>
  <c r="EC153" i="31"/>
  <c r="EC154" i="31"/>
  <c r="EE334" i="31"/>
  <c r="EE28" i="31"/>
  <c r="DZ282" i="31"/>
  <c r="DZ283" i="31"/>
  <c r="EA334" i="31"/>
  <c r="EA28" i="31"/>
  <c r="DW217" i="31"/>
  <c r="DW218" i="31"/>
  <c r="DU89" i="31"/>
  <c r="DU90" i="31"/>
  <c r="DW334" i="31"/>
  <c r="DW28" i="31"/>
  <c r="DR217" i="31"/>
  <c r="DR218" i="31"/>
  <c r="DS334" i="31"/>
  <c r="DS28" i="31"/>
  <c r="DO90" i="31"/>
  <c r="DO89" i="31"/>
  <c r="DM282" i="31"/>
  <c r="DM283" i="31"/>
  <c r="DK334" i="31"/>
  <c r="DK218" i="31"/>
  <c r="DK217" i="31"/>
  <c r="DJ218" i="31"/>
  <c r="DJ217" i="31"/>
  <c r="DK89" i="31"/>
  <c r="DK90" i="31"/>
  <c r="DG90" i="31"/>
  <c r="DG89" i="31"/>
  <c r="DE153" i="31"/>
  <c r="DE154" i="31"/>
  <c r="DG334" i="31"/>
  <c r="DG28" i="31"/>
  <c r="DB217" i="31"/>
  <c r="DB218" i="31"/>
  <c r="CZ283" i="31"/>
  <c r="CZ282" i="31"/>
  <c r="DB334" i="31"/>
  <c r="DB28" i="31"/>
  <c r="CW153" i="31"/>
  <c r="CW154" i="31"/>
  <c r="CV89" i="31"/>
  <c r="CV90" i="31"/>
  <c r="CW334" i="31"/>
  <c r="CW28" i="31"/>
  <c r="CT89" i="31"/>
  <c r="CT90" i="31"/>
  <c r="CT334" i="31"/>
  <c r="CT28" i="31"/>
  <c r="CO89" i="31"/>
  <c r="CO90" i="31"/>
  <c r="CN283" i="31"/>
  <c r="CN282" i="31"/>
  <c r="CL89" i="31"/>
  <c r="CL90" i="31"/>
  <c r="CK90" i="31"/>
  <c r="CK89" i="31"/>
  <c r="CI282" i="31"/>
  <c r="CI283" i="31"/>
  <c r="CJ334" i="31"/>
  <c r="CJ28" i="31"/>
  <c r="CI334" i="31"/>
  <c r="CI28" i="31"/>
  <c r="CF334" i="31"/>
  <c r="CF28" i="31"/>
  <c r="CC154" i="31"/>
  <c r="CC153" i="31"/>
  <c r="BZ89" i="31"/>
  <c r="BZ90" i="31"/>
  <c r="BY153" i="31"/>
  <c r="BY154" i="31"/>
  <c r="CA334" i="31"/>
  <c r="CA28" i="31"/>
  <c r="BV283" i="31"/>
  <c r="BV282" i="31"/>
  <c r="BZ334" i="31"/>
  <c r="BZ28" i="31"/>
  <c r="BS218" i="31"/>
  <c r="BS217" i="31"/>
  <c r="BQ217" i="31"/>
  <c r="BQ218" i="31"/>
  <c r="BP217" i="31"/>
  <c r="BP218" i="31"/>
  <c r="BN154" i="31"/>
  <c r="BN153" i="31"/>
  <c r="BO334" i="31"/>
  <c r="BO28" i="31"/>
  <c r="BK154" i="31"/>
  <c r="BK153" i="31"/>
  <c r="BH283" i="31"/>
  <c r="BH282" i="31"/>
  <c r="BK334" i="31"/>
  <c r="BK28" i="31"/>
  <c r="BF283" i="31"/>
  <c r="BF282" i="31"/>
  <c r="BG282" i="31"/>
  <c r="BG283" i="31"/>
  <c r="BC283" i="31"/>
  <c r="BC282" i="31"/>
  <c r="BA218" i="31"/>
  <c r="BA217" i="31"/>
  <c r="BB89" i="31"/>
  <c r="BB90" i="31"/>
  <c r="AX282" i="31"/>
  <c r="AX283" i="31"/>
  <c r="AY334" i="31"/>
  <c r="AY28" i="31"/>
  <c r="AU283" i="31"/>
  <c r="AU282" i="31"/>
  <c r="AS90" i="31"/>
  <c r="AS89" i="31"/>
  <c r="AR153" i="31"/>
  <c r="AR154" i="31"/>
  <c r="AP154" i="31"/>
  <c r="AP153" i="31"/>
  <c r="AN153" i="31"/>
  <c r="AN154" i="31"/>
  <c r="AM89" i="31"/>
  <c r="AM90" i="31"/>
  <c r="AL282" i="31"/>
  <c r="AL283" i="31"/>
  <c r="AI334" i="31"/>
  <c r="AI218" i="31"/>
  <c r="AI217" i="31"/>
  <c r="AH90" i="31"/>
  <c r="AH89" i="31"/>
  <c r="AG334" i="31"/>
  <c r="AG218" i="31"/>
  <c r="AG217" i="31"/>
  <c r="AE217" i="31"/>
  <c r="AE218" i="31"/>
  <c r="AF334" i="31"/>
  <c r="AF28" i="31"/>
  <c r="AC282" i="31"/>
  <c r="AC283" i="31"/>
  <c r="Z154" i="31"/>
  <c r="Z153" i="31"/>
  <c r="AB334" i="31"/>
  <c r="AB28" i="31"/>
  <c r="W154" i="31"/>
  <c r="W153" i="31"/>
  <c r="V89" i="31"/>
  <c r="V90" i="31"/>
  <c r="T153" i="31"/>
  <c r="T154" i="31"/>
  <c r="T90" i="31"/>
  <c r="T89" i="31"/>
  <c r="Q154" i="31"/>
  <c r="Q153" i="31"/>
  <c r="R334" i="31"/>
  <c r="R28" i="31"/>
  <c r="Q334" i="31"/>
  <c r="Q28" i="31"/>
  <c r="O334" i="31"/>
  <c r="O28" i="31"/>
  <c r="J283" i="31"/>
  <c r="J282" i="31"/>
  <c r="H89" i="31"/>
  <c r="H90" i="31"/>
  <c r="K334" i="31"/>
  <c r="K28" i="31"/>
  <c r="E283" i="31"/>
  <c r="E282" i="31"/>
  <c r="G28" i="31"/>
  <c r="D218" i="31"/>
  <c r="D217" i="31"/>
  <c r="FY282" i="31"/>
  <c r="FY283" i="31"/>
  <c r="FY218" i="31"/>
  <c r="FY217" i="31"/>
  <c r="FY334" i="31"/>
  <c r="FY28" i="31"/>
  <c r="FT217" i="31"/>
  <c r="FT218" i="31"/>
  <c r="FT282" i="31"/>
  <c r="FT283" i="31"/>
  <c r="FQ89" i="31"/>
  <c r="FQ90" i="31"/>
  <c r="FO283" i="31"/>
  <c r="FO282" i="31"/>
  <c r="FN218" i="31"/>
  <c r="FN217" i="31"/>
  <c r="FL282" i="31"/>
  <c r="FL283" i="31"/>
  <c r="FN334" i="31"/>
  <c r="FN28" i="31"/>
  <c r="FI153" i="31"/>
  <c r="FI154" i="31"/>
  <c r="FG218" i="31"/>
  <c r="FG217" i="31"/>
  <c r="FF154" i="31"/>
  <c r="FF153" i="31"/>
  <c r="FD282" i="31"/>
  <c r="FD283" i="31"/>
  <c r="FF334" i="31"/>
  <c r="FF28" i="31"/>
  <c r="FA218" i="31"/>
  <c r="FA217" i="31"/>
  <c r="EY282" i="31"/>
  <c r="EY283" i="31"/>
  <c r="FA334" i="31"/>
  <c r="FA28" i="31"/>
  <c r="EV217" i="31"/>
  <c r="EV218" i="31"/>
  <c r="EU153" i="31"/>
  <c r="EU154" i="31"/>
  <c r="ES282" i="31"/>
  <c r="ES283" i="31"/>
  <c r="ER89" i="31"/>
  <c r="ER90" i="31"/>
  <c r="EP282" i="31"/>
  <c r="EP283" i="31"/>
  <c r="EQ334" i="31"/>
  <c r="EQ28" i="31"/>
  <c r="EP334" i="31"/>
  <c r="EP28" i="31"/>
  <c r="EK282" i="31"/>
  <c r="EK283" i="31"/>
  <c r="EL334" i="31"/>
  <c r="EL28" i="31"/>
  <c r="EH90" i="31"/>
  <c r="EH89" i="31"/>
  <c r="EG217" i="31"/>
  <c r="EG218" i="31"/>
  <c r="EE217" i="31"/>
  <c r="EE218" i="31"/>
  <c r="EC282" i="31"/>
  <c r="EC283" i="31"/>
  <c r="EB283" i="31"/>
  <c r="EB282" i="31"/>
  <c r="DZ89" i="31"/>
  <c r="DZ90" i="31"/>
  <c r="DW89" i="31"/>
  <c r="DW90" i="31"/>
  <c r="EB334" i="31"/>
  <c r="EB28" i="31"/>
  <c r="DU282" i="31"/>
  <c r="DU283" i="31"/>
  <c r="DT154" i="31"/>
  <c r="DT153" i="31"/>
  <c r="DS153" i="31"/>
  <c r="DS154" i="31"/>
  <c r="DO218" i="31"/>
  <c r="DO217" i="31"/>
  <c r="DO282" i="31"/>
  <c r="DO283" i="31"/>
  <c r="DP334" i="31"/>
  <c r="DP28" i="31"/>
  <c r="DL218" i="31"/>
  <c r="DL217" i="31"/>
  <c r="DJ153" i="31"/>
  <c r="DJ154" i="31"/>
  <c r="DH89" i="31"/>
  <c r="DH90" i="31"/>
  <c r="DG154" i="31"/>
  <c r="DG153" i="31"/>
  <c r="DE89" i="31"/>
  <c r="DE90" i="31"/>
  <c r="DD282" i="31"/>
  <c r="DD283" i="31"/>
  <c r="DE334" i="31"/>
  <c r="DE28" i="31"/>
  <c r="DC334" i="31"/>
  <c r="DC28" i="31"/>
  <c r="CZ217" i="31"/>
  <c r="CZ218" i="31"/>
  <c r="CW218" i="31"/>
  <c r="CW217" i="31"/>
  <c r="CW283" i="31"/>
  <c r="CW282" i="31"/>
  <c r="CT282" i="31"/>
  <c r="CT283" i="31"/>
  <c r="CR218" i="31"/>
  <c r="CR217" i="31"/>
  <c r="CR90" i="31"/>
  <c r="CR89" i="31"/>
  <c r="CR334" i="31"/>
  <c r="CR28" i="31"/>
  <c r="CM154" i="31"/>
  <c r="CM153" i="31"/>
  <c r="CO334" i="31"/>
  <c r="CO28" i="31"/>
  <c r="CM334" i="31"/>
  <c r="CM28" i="31"/>
  <c r="CJ282" i="31"/>
  <c r="CJ283" i="31"/>
  <c r="CG217" i="31"/>
  <c r="CG218" i="31"/>
  <c r="CE282" i="31"/>
  <c r="CE283" i="31"/>
  <c r="CD90" i="31"/>
  <c r="CD89" i="31"/>
  <c r="CB153" i="31"/>
  <c r="CB154" i="31"/>
  <c r="CA283" i="31"/>
  <c r="CA282" i="31"/>
  <c r="BY282" i="31"/>
  <c r="BY283" i="31"/>
  <c r="BX218" i="31"/>
  <c r="BX217" i="31"/>
  <c r="BY334" i="31"/>
  <c r="BY28" i="31"/>
  <c r="BT217" i="31"/>
  <c r="BT218" i="31"/>
  <c r="BS89" i="31"/>
  <c r="BS90" i="31"/>
  <c r="BT334" i="31"/>
  <c r="BT28" i="31"/>
  <c r="BQ153" i="31"/>
  <c r="BQ154" i="31"/>
  <c r="BN282" i="31"/>
  <c r="BN283" i="31"/>
  <c r="BL153" i="31"/>
  <c r="BL154" i="31"/>
  <c r="BK282" i="31"/>
  <c r="BK283" i="31"/>
  <c r="BI217" i="31"/>
  <c r="BI218" i="31"/>
  <c r="BH217" i="31"/>
  <c r="BH218" i="31"/>
  <c r="BF217" i="31"/>
  <c r="BF218" i="31"/>
  <c r="BD154" i="31"/>
  <c r="BD153" i="31"/>
  <c r="BG334" i="31"/>
  <c r="BG28" i="31"/>
  <c r="BA90" i="31"/>
  <c r="BA89" i="31"/>
  <c r="AY217" i="31"/>
  <c r="AY218" i="31"/>
  <c r="AX89" i="31"/>
  <c r="AX90" i="31"/>
  <c r="AV154" i="31"/>
  <c r="AV153" i="31"/>
  <c r="AU218" i="31"/>
  <c r="AU217" i="31"/>
  <c r="AS153" i="31"/>
  <c r="AS154" i="31"/>
  <c r="AQ154" i="31"/>
  <c r="AQ153" i="31"/>
  <c r="AS334" i="31"/>
  <c r="AS28" i="31"/>
  <c r="AO282" i="31"/>
  <c r="AO283" i="31"/>
  <c r="AM283" i="31"/>
  <c r="AM282" i="31"/>
  <c r="AN334" i="31"/>
  <c r="AN28" i="31"/>
  <c r="AJ154" i="31"/>
  <c r="AJ153" i="31"/>
  <c r="AH154" i="31"/>
  <c r="AH153" i="31"/>
  <c r="AF282" i="31"/>
  <c r="AF283" i="31"/>
  <c r="AI28" i="31"/>
  <c r="AC90" i="31"/>
  <c r="AC89" i="31"/>
  <c r="AA217" i="31"/>
  <c r="AA218" i="31"/>
  <c r="Z89" i="31"/>
  <c r="Z90" i="31"/>
  <c r="Z218" i="31"/>
  <c r="Z217" i="31"/>
  <c r="Z28" i="31"/>
  <c r="X28" i="31"/>
  <c r="W334" i="31"/>
  <c r="W28" i="31"/>
  <c r="R89" i="31"/>
  <c r="R90" i="31"/>
  <c r="P282" i="31"/>
  <c r="P283" i="31"/>
  <c r="N217" i="31"/>
  <c r="N218" i="31"/>
  <c r="N282" i="31"/>
  <c r="N283" i="31"/>
  <c r="K217" i="31"/>
  <c r="K218" i="31"/>
  <c r="J153" i="31"/>
  <c r="J154" i="31"/>
  <c r="I90" i="31"/>
  <c r="I89" i="31"/>
  <c r="L334" i="31"/>
  <c r="L28" i="31"/>
  <c r="E218" i="31"/>
  <c r="E217" i="31"/>
  <c r="C154" i="31"/>
  <c r="C153" i="31"/>
  <c r="C334" i="31"/>
  <c r="C28" i="31"/>
  <c r="FY90" i="31"/>
  <c r="FY89" i="31"/>
  <c r="FW218" i="31"/>
  <c r="FW217" i="31"/>
  <c r="FV218" i="31"/>
  <c r="FV217" i="31"/>
  <c r="FT153" i="31"/>
  <c r="FT154" i="31"/>
  <c r="FR283" i="31"/>
  <c r="FR282" i="31"/>
  <c r="FQ217" i="31"/>
  <c r="FQ218" i="31"/>
  <c r="FR334" i="31"/>
  <c r="FR28" i="31"/>
  <c r="FN283" i="31"/>
  <c r="FN282" i="31"/>
  <c r="FO334" i="31"/>
  <c r="FO28" i="31"/>
  <c r="FM90" i="31"/>
  <c r="FM89" i="31"/>
  <c r="FI218" i="31"/>
  <c r="FI217" i="31"/>
  <c r="FG154" i="31"/>
  <c r="FG153" i="31"/>
  <c r="FI334" i="31"/>
  <c r="FI28" i="31"/>
  <c r="FD153" i="31"/>
  <c r="FD154" i="31"/>
  <c r="FE334" i="31"/>
  <c r="FE28" i="31"/>
  <c r="FA282" i="31"/>
  <c r="FA283" i="31"/>
  <c r="EY153" i="31"/>
  <c r="EY154" i="31"/>
  <c r="EX283" i="31"/>
  <c r="EX282" i="31"/>
  <c r="EY334" i="31"/>
  <c r="EY28" i="31"/>
  <c r="ET282" i="31"/>
  <c r="ET283" i="31"/>
  <c r="ES217" i="31"/>
  <c r="ES218" i="31"/>
  <c r="EQ90" i="31"/>
  <c r="EQ89" i="31"/>
  <c r="ER334" i="31"/>
  <c r="ER28" i="31"/>
  <c r="EN282" i="31"/>
  <c r="EN283" i="31"/>
  <c r="EM90" i="31"/>
  <c r="EM89" i="31"/>
  <c r="EJ154" i="31"/>
  <c r="EJ153" i="31"/>
  <c r="EI218" i="31"/>
  <c r="EI217" i="31"/>
  <c r="EH154" i="31"/>
  <c r="EH153" i="31"/>
  <c r="EI334" i="31"/>
  <c r="EI28" i="31"/>
  <c r="EF283" i="31"/>
  <c r="EF282" i="31"/>
  <c r="EF334" i="31"/>
  <c r="EF28" i="31"/>
  <c r="EA217" i="31"/>
  <c r="EA218" i="31"/>
  <c r="EC334" i="31"/>
  <c r="EC28" i="31"/>
  <c r="DX90" i="31"/>
  <c r="DX89" i="31"/>
  <c r="DV282" i="31"/>
  <c r="DV283" i="31"/>
  <c r="DU154" i="31"/>
  <c r="DU153" i="31"/>
  <c r="DT218" i="31"/>
  <c r="DT217" i="31"/>
  <c r="DQ218" i="31"/>
  <c r="DQ217" i="31"/>
  <c r="DP217" i="31"/>
  <c r="DP218" i="31"/>
  <c r="DQ282" i="31"/>
  <c r="DQ283" i="31"/>
  <c r="DM153" i="31"/>
  <c r="DM154" i="31"/>
  <c r="DN334" i="31"/>
  <c r="DN28" i="31"/>
  <c r="DJ283" i="31"/>
  <c r="DJ282" i="31"/>
  <c r="DH282" i="31"/>
  <c r="DH283" i="31"/>
  <c r="DH153" i="31"/>
  <c r="DH154" i="31"/>
  <c r="DE283" i="31"/>
  <c r="DE282" i="31"/>
  <c r="DC217" i="31"/>
  <c r="DC218" i="31"/>
  <c r="DB154" i="31"/>
  <c r="DB153" i="31"/>
  <c r="CZ89" i="31"/>
  <c r="CZ90" i="31"/>
  <c r="CX218" i="31"/>
  <c r="CX217" i="31"/>
  <c r="CZ334" i="31"/>
  <c r="CZ28" i="31"/>
  <c r="CX334" i="31"/>
  <c r="CX28" i="31"/>
  <c r="CT217" i="31"/>
  <c r="CT218" i="31"/>
  <c r="CR153" i="31"/>
  <c r="CR154" i="31"/>
  <c r="CP89" i="31"/>
  <c r="CP90" i="31"/>
  <c r="CO283" i="31"/>
  <c r="CO282" i="31"/>
  <c r="CM89" i="31"/>
  <c r="CM90" i="31"/>
  <c r="CL282" i="31"/>
  <c r="CL283" i="31"/>
  <c r="CJ90" i="31"/>
  <c r="CJ89" i="31"/>
  <c r="CK334" i="31"/>
  <c r="CK28" i="31"/>
  <c r="CG90" i="31"/>
  <c r="CG89" i="31"/>
  <c r="CH334" i="31"/>
  <c r="CH28" i="31"/>
  <c r="CD218" i="31"/>
  <c r="CD217" i="31"/>
  <c r="CE89" i="31"/>
  <c r="CE90" i="31"/>
  <c r="CA153" i="31"/>
  <c r="CA154" i="31"/>
  <c r="CB334" i="31"/>
  <c r="CB28" i="31"/>
  <c r="BW89" i="31"/>
  <c r="BW90" i="31"/>
  <c r="BW283" i="31"/>
  <c r="BW282" i="31"/>
  <c r="BT89" i="31"/>
  <c r="BT90" i="31"/>
  <c r="BT154" i="31"/>
  <c r="BT153" i="31"/>
  <c r="BQ282" i="31"/>
  <c r="BQ283" i="31"/>
  <c r="BO90" i="31"/>
  <c r="BO89" i="31"/>
  <c r="BN217" i="31"/>
  <c r="BN218" i="31"/>
  <c r="BL217" i="31"/>
  <c r="BL218" i="31"/>
  <c r="BP334" i="31"/>
  <c r="BP28" i="31"/>
  <c r="BH154" i="31"/>
  <c r="BH153" i="31"/>
  <c r="BH89" i="31"/>
  <c r="BH90" i="31"/>
  <c r="BF153" i="31"/>
  <c r="BF154" i="31"/>
  <c r="BD217" i="31"/>
  <c r="BD218" i="31"/>
  <c r="BB282" i="31"/>
  <c r="BB283" i="31"/>
  <c r="BA154" i="31"/>
  <c r="BA153" i="31"/>
  <c r="AY283" i="31"/>
  <c r="AY282" i="31"/>
  <c r="AZ154" i="31"/>
  <c r="AZ153" i="31"/>
  <c r="AV217" i="31"/>
  <c r="AV218" i="31"/>
  <c r="AT283" i="31"/>
  <c r="AT282" i="31"/>
  <c r="AS283" i="31"/>
  <c r="AS282" i="31"/>
  <c r="AQ90" i="31"/>
  <c r="AQ89" i="31"/>
  <c r="AR334" i="31"/>
  <c r="AR28" i="31"/>
  <c r="AO90" i="31"/>
  <c r="AO89" i="31"/>
  <c r="AO334" i="31"/>
  <c r="AO28" i="31"/>
  <c r="AK154" i="31"/>
  <c r="AK153" i="31"/>
  <c r="AK283" i="31"/>
  <c r="AK282" i="31"/>
  <c r="AH282" i="31"/>
  <c r="AH283" i="31"/>
  <c r="AF90" i="31"/>
  <c r="AF89" i="31"/>
  <c r="AG28" i="31"/>
  <c r="AC217" i="31"/>
  <c r="AC218" i="31"/>
  <c r="AA283" i="31"/>
  <c r="AA282" i="31"/>
  <c r="AC334" i="31"/>
  <c r="AC28" i="31"/>
  <c r="X153" i="31"/>
  <c r="X154" i="31"/>
  <c r="W90" i="31"/>
  <c r="W89" i="31"/>
  <c r="T217" i="31"/>
  <c r="T218" i="31"/>
  <c r="S334" i="31"/>
  <c r="S218" i="31"/>
  <c r="S217" i="31"/>
  <c r="U28" i="31"/>
  <c r="S28" i="31"/>
  <c r="N154" i="31"/>
  <c r="N153" i="31"/>
  <c r="L283" i="31"/>
  <c r="L282" i="31"/>
  <c r="K282" i="31"/>
  <c r="K283" i="31"/>
  <c r="J90" i="31"/>
  <c r="J89" i="31"/>
  <c r="H218" i="31"/>
  <c r="H217" i="31"/>
  <c r="I334" i="31"/>
  <c r="I28" i="31"/>
  <c r="H334" i="31"/>
  <c r="H28" i="31"/>
  <c r="D154" i="31"/>
  <c r="D153" i="31"/>
  <c r="FZ90" i="31"/>
  <c r="FZ89" i="31"/>
  <c r="FZ153" i="31"/>
  <c r="FZ154" i="31"/>
  <c r="FV282" i="31"/>
  <c r="FV283" i="31"/>
  <c r="FV154" i="31"/>
  <c r="FV153" i="31"/>
  <c r="FW334" i="31"/>
  <c r="FW28" i="31"/>
  <c r="FR218" i="31"/>
  <c r="FR217" i="31"/>
  <c r="FT334" i="31"/>
  <c r="FT28" i="31"/>
  <c r="FO217" i="31"/>
  <c r="FO218" i="31"/>
  <c r="FS334" i="31"/>
  <c r="FS28" i="31"/>
  <c r="FL89" i="31"/>
  <c r="FL90" i="31"/>
  <c r="FJ217" i="31"/>
  <c r="FJ218" i="31"/>
  <c r="FL334" i="31"/>
  <c r="FL28" i="31"/>
  <c r="FG283" i="31"/>
  <c r="FG282" i="31"/>
  <c r="FJ334" i="31"/>
  <c r="FJ28" i="31"/>
  <c r="FD217" i="31"/>
  <c r="FD218" i="31"/>
  <c r="FB283" i="31"/>
  <c r="FB282" i="31"/>
  <c r="FA153" i="31"/>
  <c r="FA154" i="31"/>
  <c r="EY90" i="31"/>
  <c r="EY89" i="31"/>
  <c r="EZ89" i="31"/>
  <c r="EZ90" i="31"/>
  <c r="EU282" i="31"/>
  <c r="EU283" i="31"/>
  <c r="EX334" i="31"/>
  <c r="EX28" i="31"/>
  <c r="ES90" i="31"/>
  <c r="ES89" i="31"/>
  <c r="EQ218" i="31"/>
  <c r="EQ217" i="31"/>
  <c r="EP89" i="31"/>
  <c r="EP90" i="31"/>
  <c r="EM154" i="31"/>
  <c r="EM153" i="31"/>
  <c r="EL90" i="31"/>
  <c r="EL89" i="31"/>
  <c r="EK89" i="31"/>
  <c r="EK90" i="31"/>
  <c r="EI153" i="31"/>
  <c r="EI154" i="31"/>
  <c r="EJ218" i="31"/>
  <c r="EJ217" i="31"/>
  <c r="EF89" i="31"/>
  <c r="EF90" i="31"/>
  <c r="ED282" i="31"/>
  <c r="ED283" i="31"/>
  <c r="EC90" i="31"/>
  <c r="EC89" i="31"/>
  <c r="EA283" i="31"/>
  <c r="EA282" i="31"/>
  <c r="DY90" i="31"/>
  <c r="DY89" i="31"/>
  <c r="DX153" i="31"/>
  <c r="DX154" i="31"/>
  <c r="DV90" i="31"/>
  <c r="DV89" i="31"/>
  <c r="DU217" i="31"/>
  <c r="DU218" i="31"/>
  <c r="DR283" i="31"/>
  <c r="DR282" i="31"/>
  <c r="DR89" i="31"/>
  <c r="DR90" i="31"/>
  <c r="DP282" i="31"/>
  <c r="DP283" i="31"/>
  <c r="DN283" i="31"/>
  <c r="DN282" i="31"/>
  <c r="DM218" i="31"/>
  <c r="DM217" i="31"/>
  <c r="DK283" i="31"/>
  <c r="DK282" i="31"/>
  <c r="DI217" i="31"/>
  <c r="DI218" i="31"/>
  <c r="DH218" i="31"/>
  <c r="DH217" i="31"/>
  <c r="DI334" i="31"/>
  <c r="DI28" i="31"/>
  <c r="DH334" i="31"/>
  <c r="DH28" i="31"/>
  <c r="DC153" i="31"/>
  <c r="DC154" i="31"/>
  <c r="DA217" i="31"/>
  <c r="DA218" i="31"/>
  <c r="CZ154" i="31"/>
  <c r="CZ153" i="31"/>
  <c r="DA334" i="31"/>
  <c r="DA28" i="31"/>
  <c r="CX90" i="31"/>
  <c r="CX89" i="31"/>
  <c r="CU153" i="31"/>
  <c r="CU154" i="31"/>
  <c r="CS283" i="31"/>
  <c r="CS282" i="31"/>
  <c r="CU334" i="31"/>
  <c r="CU28" i="31"/>
  <c r="CP282" i="31"/>
  <c r="CP283" i="31"/>
  <c r="CO218" i="31"/>
  <c r="CO217" i="31"/>
  <c r="CM218" i="31"/>
  <c r="CM217" i="31"/>
  <c r="CL153" i="31"/>
  <c r="CL154" i="31"/>
  <c r="CJ153" i="31"/>
  <c r="CJ154" i="31"/>
  <c r="CH89" i="31"/>
  <c r="CH90" i="31"/>
  <c r="CG282" i="31"/>
  <c r="CG283" i="31"/>
  <c r="CE154" i="31"/>
  <c r="CE153" i="31"/>
  <c r="CD154" i="31"/>
  <c r="CD153" i="31"/>
  <c r="CD334" i="31"/>
  <c r="CD28" i="31"/>
  <c r="CB89" i="31"/>
  <c r="CB90" i="31"/>
  <c r="BY217" i="31"/>
  <c r="BY218" i="31"/>
  <c r="BW218" i="31"/>
  <c r="BW217" i="31"/>
  <c r="BU154" i="31"/>
  <c r="BU153" i="31"/>
  <c r="BT283" i="31"/>
  <c r="BT282" i="31"/>
  <c r="BR218" i="31"/>
  <c r="BR217" i="31"/>
  <c r="BQ90" i="31"/>
  <c r="BQ89" i="31"/>
  <c r="BO218" i="31"/>
  <c r="BO217" i="31"/>
  <c r="BM153" i="31"/>
  <c r="BM154" i="31"/>
  <c r="BL90" i="31"/>
  <c r="BL89" i="31"/>
  <c r="BI90" i="31"/>
  <c r="BI89" i="31"/>
  <c r="BI154" i="31"/>
  <c r="BI153" i="31"/>
  <c r="BG153" i="31"/>
  <c r="BG154" i="31"/>
  <c r="BE153" i="31"/>
  <c r="BE154" i="31"/>
  <c r="BD283" i="31"/>
  <c r="BD282" i="31"/>
  <c r="BB218" i="31"/>
  <c r="BB217" i="31"/>
  <c r="BA283" i="31"/>
  <c r="BA282" i="31"/>
  <c r="AY90" i="31"/>
  <c r="AY89" i="31"/>
  <c r="AW90" i="31"/>
  <c r="AW89" i="31"/>
  <c r="AV282" i="31"/>
  <c r="AV283" i="31"/>
  <c r="AT89" i="31"/>
  <c r="AT90" i="31"/>
  <c r="AV334" i="31"/>
  <c r="AV28" i="31"/>
  <c r="AT334" i="31"/>
  <c r="AT28" i="31"/>
  <c r="AO153" i="31"/>
  <c r="AO154" i="31"/>
  <c r="AQ334" i="31"/>
  <c r="AQ28" i="31"/>
  <c r="AP334" i="31"/>
  <c r="AP28" i="31"/>
  <c r="AK218" i="31"/>
  <c r="AK217" i="31"/>
  <c r="AI154" i="31"/>
  <c r="AI153" i="31"/>
  <c r="AI89" i="31"/>
  <c r="AI90" i="31"/>
  <c r="AF154" i="31"/>
  <c r="AF153" i="31"/>
  <c r="AD153" i="31"/>
  <c r="AD154" i="31"/>
  <c r="AE334" i="31"/>
  <c r="AE28" i="31"/>
  <c r="AD334" i="31"/>
  <c r="AD28" i="31"/>
  <c r="Y334" i="31"/>
  <c r="Y282" i="31"/>
  <c r="Y283" i="31"/>
  <c r="X89" i="31"/>
  <c r="X90" i="31"/>
  <c r="W217" i="31"/>
  <c r="W218" i="31"/>
  <c r="U89" i="31"/>
  <c r="U90" i="31"/>
  <c r="S89" i="31"/>
  <c r="S90" i="31"/>
  <c r="Q283" i="31"/>
  <c r="Q282" i="31"/>
  <c r="O282" i="31"/>
  <c r="O283" i="31"/>
  <c r="O90" i="31"/>
  <c r="O89" i="31"/>
  <c r="L217" i="31"/>
  <c r="L218" i="31"/>
  <c r="L89" i="31"/>
  <c r="L90" i="31"/>
  <c r="I283" i="31"/>
  <c r="I282" i="31"/>
  <c r="H154" i="31"/>
  <c r="H153" i="31"/>
  <c r="F218" i="31"/>
  <c r="F217" i="31"/>
  <c r="F153" i="31"/>
  <c r="F154" i="31"/>
  <c r="C283" i="31"/>
  <c r="C282" i="31"/>
  <c r="FZ282" i="31"/>
  <c r="FZ283" i="31"/>
  <c r="FZ334" i="31"/>
  <c r="FZ28" i="31"/>
  <c r="FW89" i="31"/>
  <c r="FW90" i="31"/>
  <c r="FX217" i="31"/>
  <c r="FX218" i="31"/>
  <c r="FS153" i="31"/>
  <c r="FS154" i="31"/>
  <c r="FR90" i="31"/>
  <c r="FR89" i="31"/>
  <c r="FS89" i="31"/>
  <c r="FS90" i="31"/>
  <c r="FO89" i="31"/>
  <c r="FO90" i="31"/>
  <c r="FM282" i="31"/>
  <c r="FM283" i="31"/>
  <c r="FL153" i="31"/>
  <c r="FL154" i="31"/>
  <c r="FJ283" i="31"/>
  <c r="FJ282" i="31"/>
  <c r="FH154" i="31"/>
  <c r="FH153" i="31"/>
  <c r="FG89" i="31"/>
  <c r="FG90" i="31"/>
  <c r="FE218" i="31"/>
  <c r="FE217" i="31"/>
  <c r="FD89" i="31"/>
  <c r="FD90" i="31"/>
  <c r="FB153" i="31"/>
  <c r="FB154" i="31"/>
  <c r="EZ153" i="31"/>
  <c r="EZ154" i="31"/>
  <c r="FB334" i="31"/>
  <c r="FB28" i="31"/>
  <c r="EW153" i="31"/>
  <c r="EW154" i="31"/>
  <c r="EV283" i="31"/>
  <c r="EV282" i="31"/>
  <c r="ET218" i="31"/>
  <c r="ET217" i="31"/>
  <c r="ES153" i="31"/>
  <c r="ES154" i="31"/>
  <c r="EP218" i="31"/>
  <c r="EP217" i="31"/>
  <c r="ER283" i="31"/>
  <c r="ER282" i="31"/>
  <c r="EN90" i="31"/>
  <c r="EN89" i="31"/>
  <c r="EO28" i="31"/>
  <c r="EN334" i="31"/>
  <c r="EN28" i="31"/>
  <c r="EI283" i="31"/>
  <c r="EI282" i="31"/>
  <c r="EG282" i="31"/>
  <c r="EG283" i="31"/>
  <c r="EF153" i="31"/>
  <c r="EF154" i="31"/>
  <c r="ED153" i="31"/>
  <c r="ED154" i="31"/>
  <c r="ED218" i="31"/>
  <c r="ED217" i="31"/>
  <c r="EA90" i="31"/>
  <c r="EA89" i="31"/>
  <c r="DY217" i="31"/>
  <c r="DY218" i="31"/>
  <c r="DX282" i="31"/>
  <c r="DX283" i="31"/>
  <c r="DV153" i="31"/>
  <c r="DV154" i="31"/>
  <c r="DX334" i="31"/>
  <c r="DX28" i="31"/>
  <c r="DS218" i="31"/>
  <c r="DS217" i="31"/>
  <c r="DT334" i="31"/>
  <c r="DT28" i="31"/>
  <c r="DP90" i="31"/>
  <c r="DP89" i="31"/>
  <c r="DN154" i="31"/>
  <c r="DN153" i="31"/>
  <c r="DM89" i="31"/>
  <c r="DM90" i="31"/>
  <c r="DK154" i="31"/>
  <c r="DK153" i="31"/>
  <c r="DL334" i="31"/>
  <c r="DL28" i="31"/>
  <c r="DK28" i="31"/>
  <c r="DF282" i="31"/>
  <c r="DF283" i="31"/>
  <c r="DF153" i="31"/>
  <c r="DF154" i="31"/>
  <c r="DF334" i="31"/>
  <c r="DF28" i="31"/>
  <c r="DA154" i="31"/>
  <c r="DA153" i="31"/>
  <c r="DA282" i="31"/>
  <c r="DA283" i="31"/>
  <c r="CX153" i="31"/>
  <c r="CX154" i="31"/>
  <c r="CV282" i="31"/>
  <c r="CV283" i="31"/>
  <c r="CU282" i="31"/>
  <c r="CU283" i="31"/>
  <c r="CV334" i="31"/>
  <c r="CV28" i="31"/>
  <c r="CR282" i="31"/>
  <c r="CR283" i="31"/>
  <c r="CP218" i="31"/>
  <c r="CP217" i="31"/>
  <c r="CQ218" i="31"/>
  <c r="CQ217" i="31"/>
  <c r="CM283" i="31"/>
  <c r="CM282" i="31"/>
  <c r="CK153" i="31"/>
  <c r="CK154" i="31"/>
  <c r="CJ217" i="31"/>
  <c r="CJ218" i="31"/>
  <c r="CH217" i="31"/>
  <c r="CH218" i="31"/>
  <c r="CI89" i="31"/>
  <c r="CI90" i="31"/>
  <c r="CE217" i="31"/>
  <c r="CE218" i="31"/>
  <c r="CC283" i="31"/>
  <c r="CC282" i="31"/>
  <c r="CB217" i="31"/>
  <c r="CB218" i="31"/>
  <c r="BZ283" i="31"/>
  <c r="BZ282" i="31"/>
  <c r="BZ218" i="31"/>
  <c r="BZ217" i="31"/>
  <c r="BW154" i="31"/>
  <c r="BW153" i="31"/>
  <c r="BX334" i="31"/>
  <c r="BX28" i="31"/>
  <c r="BW334" i="31"/>
  <c r="BW28" i="31"/>
  <c r="BR154" i="31"/>
  <c r="BR153" i="31"/>
  <c r="BP90" i="31"/>
  <c r="BP89" i="31"/>
  <c r="BR334" i="31"/>
  <c r="BR28" i="31"/>
  <c r="BM217" i="31"/>
  <c r="BM218" i="31"/>
  <c r="BL282" i="31"/>
  <c r="BL283" i="31"/>
  <c r="BM334" i="31"/>
  <c r="BM28" i="31"/>
  <c r="BI282" i="31"/>
  <c r="BI283" i="31"/>
  <c r="BG90" i="31"/>
  <c r="BG89" i="31"/>
  <c r="BE217" i="31"/>
  <c r="BE218" i="31"/>
  <c r="BC89" i="31"/>
  <c r="BC90" i="31"/>
  <c r="BB154" i="31"/>
  <c r="BB153" i="31"/>
  <c r="AZ282" i="31"/>
  <c r="AZ283" i="31"/>
  <c r="BB334" i="31"/>
  <c r="BB28" i="31"/>
  <c r="AW283" i="31"/>
  <c r="AW282" i="31"/>
  <c r="AX154" i="31"/>
  <c r="AX153" i="31"/>
  <c r="AT218" i="31"/>
  <c r="AT217" i="31"/>
  <c r="AS217" i="31"/>
  <c r="AS218" i="31"/>
  <c r="AQ217" i="31"/>
  <c r="AQ218" i="31"/>
  <c r="AQ283" i="31"/>
  <c r="AQ282" i="31"/>
  <c r="AM154" i="31"/>
  <c r="AM153" i="31"/>
  <c r="AM217" i="31"/>
  <c r="AM218" i="31"/>
  <c r="AJ218" i="31"/>
  <c r="AJ217" i="31"/>
  <c r="AL334" i="31"/>
  <c r="AL28" i="31"/>
  <c r="AG89" i="31"/>
  <c r="AG90" i="31"/>
  <c r="AF217" i="31"/>
  <c r="AF218" i="31"/>
  <c r="AD217" i="31"/>
  <c r="AD218" i="31"/>
  <c r="AB153" i="31"/>
  <c r="AB154" i="31"/>
  <c r="Z334" i="31"/>
  <c r="Z282" i="31"/>
  <c r="Z283" i="31"/>
  <c r="Y89" i="31"/>
  <c r="Y90" i="31"/>
  <c r="W283" i="31"/>
  <c r="W282" i="31"/>
  <c r="V154" i="31"/>
  <c r="V153" i="31"/>
  <c r="U153" i="31"/>
  <c r="U154" i="31"/>
  <c r="S154" i="31"/>
  <c r="S153" i="31"/>
  <c r="R153" i="31"/>
  <c r="R154" i="31"/>
  <c r="P90" i="31"/>
  <c r="P89" i="31"/>
  <c r="O154" i="31"/>
  <c r="O153" i="31"/>
  <c r="P334" i="31"/>
  <c r="P28" i="31"/>
  <c r="M218" i="31"/>
  <c r="M217" i="31"/>
  <c r="I154" i="31"/>
  <c r="I153" i="31"/>
  <c r="M334" i="31"/>
  <c r="M28" i="31"/>
  <c r="J334" i="31"/>
  <c r="J28" i="31"/>
  <c r="E154" i="31"/>
  <c r="E153" i="31"/>
  <c r="C217" i="31"/>
  <c r="C218" i="31"/>
  <c r="B26" i="19"/>
  <c r="E22" i="28"/>
  <c r="E17" i="34" s="1"/>
  <c r="HB11" i="19"/>
  <c r="HB12" i="19" s="1"/>
  <c r="D7" i="32"/>
  <c r="D13" i="32"/>
  <c r="D8" i="32"/>
  <c r="E7" i="32"/>
  <c r="E13" i="32"/>
  <c r="E34" i="19"/>
  <c r="D33" i="19"/>
  <c r="F47" i="19"/>
  <c r="D34" i="19"/>
  <c r="D47" i="19"/>
  <c r="C47" i="19"/>
  <c r="C34" i="19"/>
  <c r="C34" i="41" s="1"/>
  <c r="G34" i="19"/>
  <c r="H47" i="19"/>
  <c r="E47" i="19"/>
  <c r="F34" i="19"/>
  <c r="G47" i="19"/>
  <c r="H34" i="19"/>
  <c r="C33" i="19"/>
  <c r="C33" i="41" s="1"/>
  <c r="E33" i="19"/>
  <c r="F33" i="19"/>
  <c r="G33" i="19"/>
  <c r="E8" i="32"/>
  <c r="D14" i="19"/>
  <c r="KC41" i="19"/>
  <c r="G14" i="19"/>
  <c r="F14" i="19"/>
  <c r="E14" i="19"/>
  <c r="I14" i="19"/>
  <c r="C12" i="19"/>
  <c r="C14" i="19"/>
  <c r="KC10" i="19"/>
  <c r="S7" i="32" s="1"/>
  <c r="KC11" i="19"/>
  <c r="J14" i="19"/>
  <c r="C27" i="19"/>
  <c r="C68" i="19"/>
  <c r="KC26" i="19"/>
  <c r="H14" i="19"/>
  <c r="D27" i="19"/>
  <c r="GV14" i="19"/>
  <c r="FY14" i="19"/>
  <c r="FX14" i="19"/>
  <c r="GK14" i="19"/>
  <c r="GC14" i="19"/>
  <c r="HA14" i="19"/>
  <c r="GQ14" i="19"/>
  <c r="GN14" i="19"/>
  <c r="GS14" i="19"/>
  <c r="GI14" i="19"/>
  <c r="GU14" i="19"/>
  <c r="GY14" i="19"/>
  <c r="FZ14" i="19"/>
  <c r="GW14" i="19"/>
  <c r="GD14" i="19"/>
  <c r="GJ14" i="19"/>
  <c r="GF14" i="19"/>
  <c r="GH14" i="19"/>
  <c r="GE14" i="19"/>
  <c r="GG14" i="19"/>
  <c r="GA14" i="19"/>
  <c r="GR14" i="19"/>
  <c r="GT14" i="19"/>
  <c r="GP14" i="19"/>
  <c r="GB14" i="19"/>
  <c r="GO14" i="19"/>
  <c r="GX14" i="19"/>
  <c r="GM14" i="19"/>
  <c r="GZ14" i="19"/>
  <c r="GL14" i="19"/>
  <c r="HF28" i="17"/>
  <c r="HD33" i="17"/>
  <c r="HF32" i="17"/>
  <c r="HF30" i="17"/>
  <c r="HF31" i="17"/>
  <c r="HF29" i="17"/>
  <c r="HD42" i="17"/>
  <c r="HC11" i="19" s="1"/>
  <c r="C16" i="42" l="1"/>
  <c r="T16" i="42"/>
  <c r="HC10" i="19"/>
  <c r="GJ27" i="30"/>
  <c r="GJ28" i="30" s="1"/>
  <c r="GI29" i="30"/>
  <c r="W16" i="42"/>
  <c r="U16" i="42"/>
  <c r="S16" i="42"/>
  <c r="R16" i="42"/>
  <c r="V16" i="42"/>
  <c r="T9" i="32"/>
  <c r="R41" i="42" s="1"/>
  <c r="U9" i="32"/>
  <c r="S41" i="42" s="1"/>
  <c r="U12" i="32"/>
  <c r="N13" i="32"/>
  <c r="N14" i="32" s="1"/>
  <c r="O13" i="32"/>
  <c r="O14" i="32" s="1"/>
  <c r="P13" i="32"/>
  <c r="P14" i="32" s="1"/>
  <c r="Q13" i="32"/>
  <c r="Q14" i="32" s="1"/>
  <c r="R13" i="32"/>
  <c r="S13" i="32"/>
  <c r="T13" i="32"/>
  <c r="U13" i="32"/>
  <c r="V13" i="32"/>
  <c r="W13" i="32"/>
  <c r="X13" i="32"/>
  <c r="Y13" i="32"/>
  <c r="T12" i="32"/>
  <c r="R8" i="32"/>
  <c r="R9" i="32" s="1"/>
  <c r="S8" i="32"/>
  <c r="S9" i="32" s="1"/>
  <c r="FX155" i="31"/>
  <c r="AP284" i="31"/>
  <c r="EK155" i="31"/>
  <c r="EX91" i="31"/>
  <c r="F12" i="32"/>
  <c r="DL284" i="31"/>
  <c r="GA334" i="31"/>
  <c r="GA28" i="31"/>
  <c r="GA89" i="31"/>
  <c r="GA90" i="31"/>
  <c r="GA153" i="31"/>
  <c r="GA154" i="31"/>
  <c r="GA283" i="31"/>
  <c r="GA282" i="31"/>
  <c r="GA218" i="31"/>
  <c r="GA217" i="31"/>
  <c r="F9" i="32"/>
  <c r="F34" i="41"/>
  <c r="G12" i="41"/>
  <c r="G14" i="41"/>
  <c r="G34" i="41"/>
  <c r="C65" i="41"/>
  <c r="E12" i="32"/>
  <c r="AL336" i="31"/>
  <c r="FK284" i="31"/>
  <c r="BM91" i="31"/>
  <c r="AE336" i="31"/>
  <c r="DO219" i="31"/>
  <c r="BG219" i="31"/>
  <c r="BB336" i="31"/>
  <c r="AN335" i="31"/>
  <c r="CV26" i="41"/>
  <c r="G335" i="31"/>
  <c r="EB335" i="31"/>
  <c r="EZ284" i="31"/>
  <c r="V219" i="31"/>
  <c r="AA155" i="31"/>
  <c r="BX335" i="31"/>
  <c r="FB335" i="31"/>
  <c r="DT335" i="31"/>
  <c r="FT335" i="31"/>
  <c r="CF335" i="31"/>
  <c r="BJ335" i="31"/>
  <c r="BM335" i="31"/>
  <c r="DL336" i="31"/>
  <c r="AP335" i="31"/>
  <c r="L155" i="31"/>
  <c r="CB284" i="31"/>
  <c r="DC284" i="31"/>
  <c r="DX219" i="31"/>
  <c r="AB284" i="31"/>
  <c r="DV219" i="31"/>
  <c r="Q219" i="31"/>
  <c r="BZ155" i="31"/>
  <c r="CV47" i="41"/>
  <c r="B47" i="41" s="1"/>
  <c r="D34" i="41"/>
  <c r="M336" i="31"/>
  <c r="P335" i="31"/>
  <c r="BB155" i="31"/>
  <c r="BW336" i="31"/>
  <c r="DF284" i="31"/>
  <c r="EF155" i="31"/>
  <c r="EN336" i="31"/>
  <c r="G336" i="31"/>
  <c r="BV219" i="31"/>
  <c r="DI284" i="31"/>
  <c r="BO284" i="31"/>
  <c r="AD284" i="31"/>
  <c r="BT11" i="41"/>
  <c r="BT14" i="41" s="1"/>
  <c r="F12" i="41"/>
  <c r="F14" i="41"/>
  <c r="BQ12" i="41"/>
  <c r="BQ14" i="41"/>
  <c r="K26" i="41"/>
  <c r="O26" i="41"/>
  <c r="O27" i="41" s="1"/>
  <c r="P26" i="41"/>
  <c r="P27" i="41" s="1"/>
  <c r="S26" i="41"/>
  <c r="S27" i="41" s="1"/>
  <c r="AF26" i="41"/>
  <c r="AM26" i="41"/>
  <c r="AN26" i="41"/>
  <c r="AQ26" i="41"/>
  <c r="AU26" i="41"/>
  <c r="AV26" i="41"/>
  <c r="AY26" i="41"/>
  <c r="BC26" i="41"/>
  <c r="BD26" i="41"/>
  <c r="BG26" i="41"/>
  <c r="BK26" i="41"/>
  <c r="BL26" i="41"/>
  <c r="BO26" i="41"/>
  <c r="BR26" i="41"/>
  <c r="BS26" i="41"/>
  <c r="BT26" i="41"/>
  <c r="BU26" i="41"/>
  <c r="BW26" i="41"/>
  <c r="BW27" i="41" s="1"/>
  <c r="BZ26" i="41"/>
  <c r="CA26" i="41"/>
  <c r="CC26" i="41"/>
  <c r="CE26" i="41"/>
  <c r="CH26" i="41"/>
  <c r="CI26" i="41"/>
  <c r="CJ26" i="41"/>
  <c r="CJ27" i="41" s="1"/>
  <c r="CK26" i="41"/>
  <c r="CM26" i="41"/>
  <c r="CP26" i="41"/>
  <c r="CQ26" i="41"/>
  <c r="CR26" i="41"/>
  <c r="CS26" i="41"/>
  <c r="CU26" i="41"/>
  <c r="CX26" i="41"/>
  <c r="KC12" i="19"/>
  <c r="L10" i="41"/>
  <c r="M10" i="41"/>
  <c r="BS12" i="41"/>
  <c r="BS14" i="41"/>
  <c r="L41" i="41"/>
  <c r="M41" i="41"/>
  <c r="C67" i="41"/>
  <c r="BP12" i="41"/>
  <c r="BP14" i="41"/>
  <c r="BL12" i="41"/>
  <c r="BL14" i="41"/>
  <c r="D12" i="41"/>
  <c r="D14" i="41"/>
  <c r="BJ12" i="41"/>
  <c r="BJ14" i="41"/>
  <c r="BK12" i="41"/>
  <c r="BK14" i="41"/>
  <c r="HC12" i="19"/>
  <c r="D33" i="41"/>
  <c r="BM12" i="41"/>
  <c r="BM14" i="41"/>
  <c r="BN12" i="41"/>
  <c r="BN14" i="41"/>
  <c r="E12" i="41"/>
  <c r="E14" i="41"/>
  <c r="BO12" i="41"/>
  <c r="BO14" i="41"/>
  <c r="BR12" i="41"/>
  <c r="BR14" i="41"/>
  <c r="M11" i="41"/>
  <c r="L11" i="41"/>
  <c r="E34" i="41"/>
  <c r="CD335" i="31"/>
  <c r="FK91" i="31"/>
  <c r="DI335" i="31"/>
  <c r="BR335" i="31"/>
  <c r="BX336" i="31"/>
  <c r="BJ336" i="31"/>
  <c r="AP336" i="31"/>
  <c r="CV336" i="31"/>
  <c r="EO335" i="31"/>
  <c r="J335" i="31"/>
  <c r="AC336" i="31"/>
  <c r="CF336" i="31"/>
  <c r="O219" i="31"/>
  <c r="DF219" i="31"/>
  <c r="FP284" i="31"/>
  <c r="CV335" i="31"/>
  <c r="EF219" i="31"/>
  <c r="EW284" i="31"/>
  <c r="EX335" i="31"/>
  <c r="DW155" i="31"/>
  <c r="AL335" i="31"/>
  <c r="EO336" i="31"/>
  <c r="FZ336" i="31"/>
  <c r="FT336" i="31"/>
  <c r="DI155" i="31"/>
  <c r="DY29" i="31"/>
  <c r="CS91" i="31"/>
  <c r="FT91" i="31"/>
  <c r="BW335" i="31"/>
  <c r="EX336" i="31"/>
  <c r="AR336" i="31"/>
  <c r="DX335" i="31"/>
  <c r="AE335" i="31"/>
  <c r="DX336" i="31"/>
  <c r="FZ335" i="31"/>
  <c r="CJ284" i="31"/>
  <c r="HF41" i="17"/>
  <c r="GB281" i="31" s="1"/>
  <c r="GB278" i="31" s="1"/>
  <c r="CI219" i="31"/>
  <c r="DH336" i="31"/>
  <c r="DG219" i="31"/>
  <c r="HF40" i="17"/>
  <c r="GB216" i="31" s="1"/>
  <c r="GB213" i="31" s="1"/>
  <c r="BR336" i="31"/>
  <c r="DF335" i="31"/>
  <c r="DK336" i="31"/>
  <c r="DR155" i="31"/>
  <c r="EO155" i="31"/>
  <c r="FF335" i="31"/>
  <c r="HF39" i="17"/>
  <c r="GB152" i="31" s="1"/>
  <c r="GB149" i="31" s="1"/>
  <c r="AR335" i="31"/>
  <c r="AN336" i="31"/>
  <c r="DL91" i="31"/>
  <c r="FB91" i="31"/>
  <c r="J336" i="31"/>
  <c r="DL335" i="31"/>
  <c r="DT336" i="31"/>
  <c r="HF38" i="17"/>
  <c r="GB88" i="31" s="1"/>
  <c r="GB85" i="31" s="1"/>
  <c r="M335" i="31"/>
  <c r="BM336" i="31"/>
  <c r="DA155" i="31"/>
  <c r="FJ284" i="31"/>
  <c r="DA336" i="31"/>
  <c r="DI336" i="31"/>
  <c r="FJ335" i="31"/>
  <c r="H335" i="31"/>
  <c r="CH335" i="31"/>
  <c r="EC336" i="31"/>
  <c r="FO335" i="31"/>
  <c r="X335" i="31"/>
  <c r="AI335" i="31"/>
  <c r="BY336" i="31"/>
  <c r="DC335" i="31"/>
  <c r="DP335" i="31"/>
  <c r="EP336" i="31"/>
  <c r="O336" i="31"/>
  <c r="AB335" i="31"/>
  <c r="AF335" i="31"/>
  <c r="CI336" i="31"/>
  <c r="EK336" i="31"/>
  <c r="N335" i="31"/>
  <c r="AM336" i="31"/>
  <c r="BC336" i="31"/>
  <c r="BH335" i="31"/>
  <c r="BQ336" i="31"/>
  <c r="BU335" i="31"/>
  <c r="E336" i="31"/>
  <c r="V335" i="31"/>
  <c r="CG336" i="31"/>
  <c r="DO336" i="31"/>
  <c r="FV335" i="31"/>
  <c r="AJ335" i="31"/>
  <c r="EM336" i="31"/>
  <c r="AT335" i="31"/>
  <c r="DA335" i="31"/>
  <c r="BP335" i="31"/>
  <c r="CH336" i="31"/>
  <c r="CZ335" i="31"/>
  <c r="EY335" i="31"/>
  <c r="Z335" i="31"/>
  <c r="DC336" i="31"/>
  <c r="DP336" i="31"/>
  <c r="EP335" i="31"/>
  <c r="AF336" i="31"/>
  <c r="CA335" i="31"/>
  <c r="CI335" i="31"/>
  <c r="EH336" i="31"/>
  <c r="EU335" i="31"/>
  <c r="FG335" i="31"/>
  <c r="D29" i="31"/>
  <c r="D336" i="31"/>
  <c r="N336" i="31"/>
  <c r="T29" i="31"/>
  <c r="T335" i="31"/>
  <c r="AM335" i="31"/>
  <c r="AR284" i="31"/>
  <c r="AZ29" i="31"/>
  <c r="AZ335" i="31"/>
  <c r="BH336" i="31"/>
  <c r="BU336" i="31"/>
  <c r="CD284" i="31"/>
  <c r="CL29" i="31"/>
  <c r="CL335" i="31"/>
  <c r="E335" i="31"/>
  <c r="CG335" i="31"/>
  <c r="CY29" i="31"/>
  <c r="CY335" i="31"/>
  <c r="EZ29" i="31"/>
  <c r="EZ335" i="31"/>
  <c r="FK29" i="31"/>
  <c r="FK335" i="31"/>
  <c r="BN29" i="31"/>
  <c r="BN335" i="31"/>
  <c r="DJ29" i="31"/>
  <c r="DJ335" i="31"/>
  <c r="EM335" i="31"/>
  <c r="P336" i="31"/>
  <c r="EN335" i="31"/>
  <c r="AT336" i="31"/>
  <c r="FW335" i="31"/>
  <c r="I335" i="31"/>
  <c r="BP336" i="31"/>
  <c r="CZ336" i="31"/>
  <c r="EY336" i="31"/>
  <c r="Z336" i="31"/>
  <c r="CM335" i="31"/>
  <c r="EL335" i="31"/>
  <c r="FY335" i="31"/>
  <c r="Q335" i="31"/>
  <c r="CA336" i="31"/>
  <c r="EH335" i="31"/>
  <c r="EU336" i="31"/>
  <c r="FG336" i="31"/>
  <c r="FX336" i="31"/>
  <c r="D335" i="31"/>
  <c r="T336" i="31"/>
  <c r="AZ336" i="31"/>
  <c r="BD335" i="31"/>
  <c r="CC336" i="31"/>
  <c r="CL336" i="31"/>
  <c r="CQ336" i="31"/>
  <c r="DQ336" i="31"/>
  <c r="FP335" i="31"/>
  <c r="CY336" i="31"/>
  <c r="DD336" i="31"/>
  <c r="EZ336" i="31"/>
  <c r="FC336" i="31"/>
  <c r="FK336" i="31"/>
  <c r="BN336" i="31"/>
  <c r="CP336" i="31"/>
  <c r="DJ336" i="31"/>
  <c r="BB335" i="31"/>
  <c r="DF336" i="31"/>
  <c r="FB336" i="31"/>
  <c r="I284" i="31"/>
  <c r="W219" i="31"/>
  <c r="AD336" i="31"/>
  <c r="AQ335" i="31"/>
  <c r="BI155" i="31"/>
  <c r="FW336" i="31"/>
  <c r="I336" i="31"/>
  <c r="EI335" i="31"/>
  <c r="FI336" i="31"/>
  <c r="C336" i="31"/>
  <c r="AS336" i="31"/>
  <c r="BG335" i="31"/>
  <c r="CM336" i="31"/>
  <c r="CR336" i="31"/>
  <c r="DE336" i="31"/>
  <c r="EB336" i="31"/>
  <c r="EL336" i="31"/>
  <c r="EQ336" i="31"/>
  <c r="FY336" i="31"/>
  <c r="Q336" i="31"/>
  <c r="BK335" i="31"/>
  <c r="BZ336" i="31"/>
  <c r="CJ335" i="31"/>
  <c r="CW336" i="31"/>
  <c r="EE335" i="31"/>
  <c r="FD335" i="31"/>
  <c r="FQ335" i="31"/>
  <c r="FX29" i="31"/>
  <c r="FX335" i="31"/>
  <c r="BD336" i="31"/>
  <c r="BI336" i="31"/>
  <c r="CC29" i="31"/>
  <c r="CC335" i="31"/>
  <c r="CQ335" i="31"/>
  <c r="DQ29" i="31"/>
  <c r="DQ335" i="31"/>
  <c r="DV335" i="31"/>
  <c r="FP336" i="31"/>
  <c r="DD29" i="31"/>
  <c r="DD335" i="31"/>
  <c r="DU336" i="31"/>
  <c r="ET335" i="31"/>
  <c r="FC335" i="31"/>
  <c r="FH336" i="31"/>
  <c r="AU335" i="31"/>
  <c r="CP335" i="31"/>
  <c r="AD335" i="31"/>
  <c r="AQ336" i="31"/>
  <c r="AV336" i="31"/>
  <c r="CU335" i="31"/>
  <c r="S336" i="31"/>
  <c r="AO335" i="31"/>
  <c r="CB335" i="31"/>
  <c r="DN335" i="31"/>
  <c r="EI336" i="31"/>
  <c r="FI335" i="31"/>
  <c r="C335" i="31"/>
  <c r="L336" i="31"/>
  <c r="W335" i="31"/>
  <c r="AS335" i="31"/>
  <c r="BG336" i="31"/>
  <c r="CR335" i="31"/>
  <c r="DE335" i="31"/>
  <c r="EQ335" i="31"/>
  <c r="BK336" i="31"/>
  <c r="BO336" i="31"/>
  <c r="BZ335" i="31"/>
  <c r="CJ336" i="31"/>
  <c r="CW335" i="31"/>
  <c r="DB335" i="31"/>
  <c r="DW336" i="31"/>
  <c r="EE336" i="31"/>
  <c r="EV336" i="31"/>
  <c r="EW219" i="31"/>
  <c r="FD336" i="31"/>
  <c r="FQ336" i="31"/>
  <c r="AH335" i="31"/>
  <c r="BA336" i="31"/>
  <c r="BI335" i="31"/>
  <c r="DV336" i="31"/>
  <c r="CN335" i="31"/>
  <c r="DM336" i="31"/>
  <c r="DU335" i="31"/>
  <c r="DZ336" i="31"/>
  <c r="ET336" i="31"/>
  <c r="FH335" i="31"/>
  <c r="FM336" i="31"/>
  <c r="FU336" i="31"/>
  <c r="AU336" i="31"/>
  <c r="EG335" i="31"/>
  <c r="HF37" i="17"/>
  <c r="GB26" i="31" s="1"/>
  <c r="DK335" i="31"/>
  <c r="AV335" i="31"/>
  <c r="CU336" i="31"/>
  <c r="DH335" i="31"/>
  <c r="FL336" i="31"/>
  <c r="S335" i="31"/>
  <c r="AC335" i="31"/>
  <c r="AO336" i="31"/>
  <c r="CB336" i="31"/>
  <c r="DN336" i="31"/>
  <c r="EF335" i="31"/>
  <c r="ER335" i="31"/>
  <c r="FE335" i="31"/>
  <c r="FR336" i="31"/>
  <c r="L335" i="31"/>
  <c r="W336" i="31"/>
  <c r="CO336" i="31"/>
  <c r="FA335" i="31"/>
  <c r="FN336" i="31"/>
  <c r="R335" i="31"/>
  <c r="BO335" i="31"/>
  <c r="CT335" i="31"/>
  <c r="DB336" i="31"/>
  <c r="DG335" i="31"/>
  <c r="DW335" i="31"/>
  <c r="EA336" i="31"/>
  <c r="EV335" i="31"/>
  <c r="Y335" i="31"/>
  <c r="AH336" i="31"/>
  <c r="AK336" i="31"/>
  <c r="BA335" i="31"/>
  <c r="BF335" i="31"/>
  <c r="BS335" i="31"/>
  <c r="DR336" i="31"/>
  <c r="ED335" i="31"/>
  <c r="CN336" i="31"/>
  <c r="CS335" i="31"/>
  <c r="DM335" i="31"/>
  <c r="DZ335" i="31"/>
  <c r="FM335" i="31"/>
  <c r="FU335" i="31"/>
  <c r="AA336" i="31"/>
  <c r="BE336" i="31"/>
  <c r="CE335" i="31"/>
  <c r="DY335" i="31"/>
  <c r="EG336" i="31"/>
  <c r="ES336" i="31"/>
  <c r="FL335" i="31"/>
  <c r="FS336" i="31"/>
  <c r="U335" i="31"/>
  <c r="AG336" i="31"/>
  <c r="CK335" i="31"/>
  <c r="CX336" i="31"/>
  <c r="EF336" i="31"/>
  <c r="ER336" i="31"/>
  <c r="FE336" i="31"/>
  <c r="FR335" i="31"/>
  <c r="BT336" i="31"/>
  <c r="CO335" i="31"/>
  <c r="FA336" i="31"/>
  <c r="FN335" i="31"/>
  <c r="K335" i="31"/>
  <c r="R336" i="31"/>
  <c r="AY336" i="31"/>
  <c r="CT336" i="31"/>
  <c r="DG336" i="31"/>
  <c r="DS335" i="31"/>
  <c r="EA335" i="31"/>
  <c r="Y336" i="31"/>
  <c r="AK335" i="31"/>
  <c r="AX336" i="31"/>
  <c r="BF336" i="31"/>
  <c r="BS336" i="31"/>
  <c r="DR335" i="31"/>
  <c r="ED336" i="31"/>
  <c r="EJ335" i="31"/>
  <c r="CS336" i="31"/>
  <c r="EW335" i="31"/>
  <c r="F336" i="31"/>
  <c r="AA335" i="31"/>
  <c r="AW336" i="31"/>
  <c r="BE335" i="31"/>
  <c r="BL336" i="31"/>
  <c r="BV335" i="31"/>
  <c r="CE336" i="31"/>
  <c r="DY336" i="31"/>
  <c r="ES335" i="31"/>
  <c r="FH284" i="31"/>
  <c r="CD336" i="31"/>
  <c r="FJ336" i="31"/>
  <c r="FS335" i="31"/>
  <c r="H336" i="31"/>
  <c r="U336" i="31"/>
  <c r="AG335" i="31"/>
  <c r="CK336" i="31"/>
  <c r="CX335" i="31"/>
  <c r="EC335" i="31"/>
  <c r="FO336" i="31"/>
  <c r="X336" i="31"/>
  <c r="AI336" i="31"/>
  <c r="BT335" i="31"/>
  <c r="BY335" i="31"/>
  <c r="FF336" i="31"/>
  <c r="K336" i="31"/>
  <c r="O335" i="31"/>
  <c r="AB336" i="31"/>
  <c r="AY335" i="31"/>
  <c r="DS336" i="31"/>
  <c r="EK335" i="31"/>
  <c r="AX335" i="31"/>
  <c r="BC29" i="31"/>
  <c r="BC335" i="31"/>
  <c r="BQ29" i="31"/>
  <c r="BQ335" i="31"/>
  <c r="EJ336" i="31"/>
  <c r="V336" i="31"/>
  <c r="DO335" i="31"/>
  <c r="EW336" i="31"/>
  <c r="FV336" i="31"/>
  <c r="F335" i="31"/>
  <c r="AJ336" i="31"/>
  <c r="AW335" i="31"/>
  <c r="BL335" i="31"/>
  <c r="BV336" i="31"/>
  <c r="CX284" i="31"/>
  <c r="CL284" i="31"/>
  <c r="EO284" i="31"/>
  <c r="BL29" i="31"/>
  <c r="BO155" i="31"/>
  <c r="BV29" i="31"/>
  <c r="EH219" i="31"/>
  <c r="EE91" i="31"/>
  <c r="CW284" i="31"/>
  <c r="AU155" i="31"/>
  <c r="CU91" i="31"/>
  <c r="CY91" i="31"/>
  <c r="FW29" i="31"/>
  <c r="X155" i="31"/>
  <c r="CW219" i="31"/>
  <c r="FO155" i="31"/>
  <c r="AK284" i="31"/>
  <c r="CD219" i="31"/>
  <c r="CP91" i="31"/>
  <c r="ET284" i="31"/>
  <c r="EG219" i="31"/>
  <c r="BK219" i="31"/>
  <c r="CF219" i="31"/>
  <c r="DW284" i="31"/>
  <c r="AL91" i="31"/>
  <c r="BK91" i="31"/>
  <c r="DF91" i="31"/>
  <c r="DA91" i="31"/>
  <c r="FE91" i="31"/>
  <c r="BX155" i="31"/>
  <c r="CK284" i="31"/>
  <c r="AI91" i="31"/>
  <c r="FO284" i="31"/>
  <c r="EC155" i="31"/>
  <c r="FP91" i="31"/>
  <c r="CA91" i="31"/>
  <c r="DN91" i="31"/>
  <c r="BM284" i="31"/>
  <c r="AP155" i="31"/>
  <c r="BC284" i="31"/>
  <c r="D91" i="31"/>
  <c r="AB219" i="31"/>
  <c r="AG155" i="31"/>
  <c r="AN219" i="31"/>
  <c r="CF91" i="31"/>
  <c r="CN219" i="31"/>
  <c r="CS219" i="31"/>
  <c r="I219" i="31"/>
  <c r="EL219" i="31"/>
  <c r="FW155" i="31"/>
  <c r="AG29" i="31"/>
  <c r="FA29" i="31"/>
  <c r="BG29" i="31"/>
  <c r="EB29" i="31"/>
  <c r="EL29" i="31"/>
  <c r="BY29" i="31"/>
  <c r="CE29" i="31"/>
  <c r="H29" i="31"/>
  <c r="DM29" i="31"/>
  <c r="DZ29" i="31"/>
  <c r="BK29" i="31"/>
  <c r="DU29" i="31"/>
  <c r="CP29" i="31"/>
  <c r="K284" i="31"/>
  <c r="BB284" i="31"/>
  <c r="DZ91" i="31"/>
  <c r="EY284" i="31"/>
  <c r="AN155" i="31"/>
  <c r="W284" i="31"/>
  <c r="FI155" i="31"/>
  <c r="FY284" i="31"/>
  <c r="DM284" i="31"/>
  <c r="EM284" i="31"/>
  <c r="CQ284" i="31"/>
  <c r="DY155" i="31"/>
  <c r="FC284" i="31"/>
  <c r="DY284" i="31"/>
  <c r="DN155" i="31"/>
  <c r="ED155" i="31"/>
  <c r="CG284" i="31"/>
  <c r="AQ91" i="31"/>
  <c r="DT155" i="31"/>
  <c r="CW155" i="31"/>
  <c r="DG91" i="31"/>
  <c r="CF284" i="31"/>
  <c r="DB29" i="31"/>
  <c r="FX91" i="31"/>
  <c r="BC219" i="31"/>
  <c r="BJ284" i="31"/>
  <c r="DS284" i="31"/>
  <c r="K29" i="31"/>
  <c r="FS219" i="31"/>
  <c r="G155" i="31"/>
  <c r="AN284" i="31"/>
  <c r="BA284" i="31"/>
  <c r="CZ155" i="31"/>
  <c r="FG284" i="31"/>
  <c r="N284" i="31"/>
  <c r="BA91" i="31"/>
  <c r="BS91" i="31"/>
  <c r="EC284" i="31"/>
  <c r="FL284" i="31"/>
  <c r="CN284" i="31"/>
  <c r="CZ284" i="31"/>
  <c r="DU91" i="31"/>
  <c r="FF284" i="31"/>
  <c r="K155" i="31"/>
  <c r="AJ284" i="31"/>
  <c r="FQ284" i="31"/>
  <c r="J29" i="31"/>
  <c r="CA29" i="31"/>
  <c r="ES29" i="31"/>
  <c r="BW29" i="31"/>
  <c r="CV29" i="31"/>
  <c r="BD29" i="31"/>
  <c r="AR29" i="31"/>
  <c r="I29" i="31"/>
  <c r="Y29" i="31"/>
  <c r="BA29" i="31"/>
  <c r="AF219" i="31"/>
  <c r="T219" i="31"/>
  <c r="DR219" i="31"/>
  <c r="AZ219" i="31"/>
  <c r="E219" i="31"/>
  <c r="CC219" i="31"/>
  <c r="FF155" i="31"/>
  <c r="FP155" i="31"/>
  <c r="AW155" i="31"/>
  <c r="BJ155" i="31"/>
  <c r="DV155" i="31"/>
  <c r="P155" i="31"/>
  <c r="AI155" i="31"/>
  <c r="FN155" i="31"/>
  <c r="CF155" i="31"/>
  <c r="EQ155" i="31"/>
  <c r="CO155" i="31"/>
  <c r="CI91" i="31"/>
  <c r="FI91" i="31"/>
  <c r="AR91" i="31"/>
  <c r="FO91" i="31"/>
  <c r="EL91" i="31"/>
  <c r="EY91" i="31"/>
  <c r="BN91" i="31"/>
  <c r="G91" i="31"/>
  <c r="BD91" i="31"/>
  <c r="C91" i="31"/>
  <c r="AN91" i="31"/>
  <c r="K91" i="31"/>
  <c r="BJ91" i="31"/>
  <c r="FN91" i="31"/>
  <c r="M29" i="31"/>
  <c r="FA155" i="31"/>
  <c r="AC29" i="31"/>
  <c r="AC91" i="31"/>
  <c r="CG219" i="31"/>
  <c r="FU219" i="31"/>
  <c r="H284" i="31"/>
  <c r="P29" i="31"/>
  <c r="N91" i="31"/>
  <c r="M284" i="31"/>
  <c r="U284" i="31"/>
  <c r="FW284" i="31"/>
  <c r="DN219" i="31"/>
  <c r="AT29" i="31"/>
  <c r="CP284" i="31"/>
  <c r="Z91" i="31"/>
  <c r="DC29" i="31"/>
  <c r="DH91" i="31"/>
  <c r="DP29" i="31"/>
  <c r="EK284" i="31"/>
  <c r="FF29" i="31"/>
  <c r="FT284" i="31"/>
  <c r="CF29" i="31"/>
  <c r="DG29" i="31"/>
  <c r="FA91" i="31"/>
  <c r="FL219" i="31"/>
  <c r="ET155" i="31"/>
  <c r="EX155" i="31"/>
  <c r="FF91" i="31"/>
  <c r="FV29" i="31"/>
  <c r="G219" i="31"/>
  <c r="T284" i="31"/>
  <c r="AB91" i="31"/>
  <c r="AW29" i="31"/>
  <c r="BE91" i="31"/>
  <c r="FB155" i="31"/>
  <c r="DC155" i="31"/>
  <c r="FO219" i="31"/>
  <c r="EP284" i="31"/>
  <c r="AR155" i="31"/>
  <c r="AY29" i="31"/>
  <c r="BQ219" i="31"/>
  <c r="DS29" i="31"/>
  <c r="EG91" i="31"/>
  <c r="EN219" i="31"/>
  <c r="AM29" i="31"/>
  <c r="BH29" i="31"/>
  <c r="BU29" i="31"/>
  <c r="BY91" i="31"/>
  <c r="CL219" i="31"/>
  <c r="DL155" i="31"/>
  <c r="AZ91" i="31"/>
  <c r="BE284" i="31"/>
  <c r="BL284" i="31"/>
  <c r="DX29" i="31"/>
  <c r="EG284" i="31"/>
  <c r="AF155" i="31"/>
  <c r="AQ29" i="31"/>
  <c r="CM219" i="31"/>
  <c r="CO284" i="31"/>
  <c r="DV284" i="31"/>
  <c r="EN284" i="31"/>
  <c r="AN29" i="31"/>
  <c r="DJ155" i="31"/>
  <c r="EP29" i="31"/>
  <c r="CV91" i="31"/>
  <c r="EV29" i="31"/>
  <c r="FQ29" i="31"/>
  <c r="AG284" i="31"/>
  <c r="AE155" i="31"/>
  <c r="AY155" i="31"/>
  <c r="BV91" i="31"/>
  <c r="U155" i="31"/>
  <c r="FJ29" i="31"/>
  <c r="AH155" i="31"/>
  <c r="BR29" i="31"/>
  <c r="DO284" i="31"/>
  <c r="AL284" i="31"/>
  <c r="BF91" i="31"/>
  <c r="EE284" i="31"/>
  <c r="EB155" i="31"/>
  <c r="FU91" i="31"/>
  <c r="DF155" i="31"/>
  <c r="EH29" i="31"/>
  <c r="AK29" i="31"/>
  <c r="CV284" i="31"/>
  <c r="CD29" i="31"/>
  <c r="DN284" i="31"/>
  <c r="EA284" i="31"/>
  <c r="FM91" i="31"/>
  <c r="Z219" i="31"/>
  <c r="CT284" i="31"/>
  <c r="DS155" i="31"/>
  <c r="EB284" i="31"/>
  <c r="EQ29" i="31"/>
  <c r="FY29" i="31"/>
  <c r="Q29" i="31"/>
  <c r="DJ219" i="31"/>
  <c r="EK29" i="31"/>
  <c r="FC91" i="31"/>
  <c r="G284" i="31"/>
  <c r="FU29" i="31"/>
  <c r="R284" i="31"/>
  <c r="AE91" i="31"/>
  <c r="AL219" i="31"/>
  <c r="AU29" i="31"/>
  <c r="BP284" i="31"/>
  <c r="BX91" i="31"/>
  <c r="CN91" i="31"/>
  <c r="AO155" i="31"/>
  <c r="E155" i="31"/>
  <c r="AB155" i="31"/>
  <c r="AJ219" i="31"/>
  <c r="BW155" i="31"/>
  <c r="W91" i="31"/>
  <c r="DC219" i="31"/>
  <c r="BQ155" i="31"/>
  <c r="CB155" i="31"/>
  <c r="ER91" i="31"/>
  <c r="FQ155" i="31"/>
  <c r="R219" i="31"/>
  <c r="AC155" i="31"/>
  <c r="BR91" i="31"/>
  <c r="EJ219" i="31"/>
  <c r="CM91" i="31"/>
  <c r="EM91" i="31"/>
  <c r="AK91" i="31"/>
  <c r="EX219" i="31"/>
  <c r="CV155" i="31"/>
  <c r="DP155" i="31"/>
  <c r="EO219" i="31"/>
  <c r="EY219" i="31"/>
  <c r="CK155" i="31"/>
  <c r="FQ219" i="31"/>
  <c r="CD91" i="31"/>
  <c r="EV219" i="31"/>
  <c r="M219" i="31"/>
  <c r="DM91" i="31"/>
  <c r="DY219" i="31"/>
  <c r="BW91" i="31"/>
  <c r="BI219" i="31"/>
  <c r="DO91" i="31"/>
  <c r="DW219" i="31"/>
  <c r="FK155" i="31"/>
  <c r="FY155" i="31"/>
  <c r="EB219" i="31"/>
  <c r="FE155" i="31"/>
  <c r="BO219" i="31"/>
  <c r="CO219" i="31"/>
  <c r="EM155" i="31"/>
  <c r="FD219" i="31"/>
  <c r="CG91" i="31"/>
  <c r="D219" i="31"/>
  <c r="AG219" i="31"/>
  <c r="CV219" i="31"/>
  <c r="ER219" i="31"/>
  <c r="FJ91" i="31"/>
  <c r="FW219" i="31"/>
  <c r="AF284" i="31"/>
  <c r="AS155" i="31"/>
  <c r="BF219" i="31"/>
  <c r="DW91" i="31"/>
  <c r="FG219" i="31"/>
  <c r="J284" i="31"/>
  <c r="T91" i="31"/>
  <c r="W155" i="31"/>
  <c r="AE219" i="31"/>
  <c r="AI219" i="31"/>
  <c r="AM91" i="31"/>
  <c r="AU284" i="31"/>
  <c r="AH29" i="31"/>
  <c r="DQ155" i="31"/>
  <c r="FC219" i="31"/>
  <c r="FH91" i="31"/>
  <c r="AA91" i="31"/>
  <c r="EI91" i="31"/>
  <c r="AJ29" i="31"/>
  <c r="AO219" i="31"/>
  <c r="FR155" i="31"/>
  <c r="C219" i="31"/>
  <c r="BR155" i="31"/>
  <c r="DA284" i="31"/>
  <c r="DK29" i="31"/>
  <c r="FL155" i="31"/>
  <c r="F219" i="31"/>
  <c r="L91" i="31"/>
  <c r="S91" i="31"/>
  <c r="AV284" i="31"/>
  <c r="BR219" i="31"/>
  <c r="CB91" i="31"/>
  <c r="CH91" i="31"/>
  <c r="CU155" i="31"/>
  <c r="CZ91" i="31"/>
  <c r="FD284" i="31"/>
  <c r="EV91" i="31"/>
  <c r="FX284" i="31"/>
  <c r="BV155" i="31"/>
  <c r="CQ29" i="31"/>
  <c r="DB91" i="31"/>
  <c r="DV29" i="31"/>
  <c r="DT91" i="31"/>
  <c r="DZ155" i="31"/>
  <c r="EH284" i="31"/>
  <c r="FU284" i="31"/>
  <c r="CP155" i="31"/>
  <c r="P91" i="31"/>
  <c r="AM155" i="31"/>
  <c r="AS219" i="31"/>
  <c r="AW284" i="31"/>
  <c r="AZ284" i="31"/>
  <c r="BE219" i="31"/>
  <c r="BM29" i="31"/>
  <c r="BM219" i="31"/>
  <c r="CJ219" i="31"/>
  <c r="DL29" i="31"/>
  <c r="EI284" i="31"/>
  <c r="EN91" i="31"/>
  <c r="EP219" i="31"/>
  <c r="EV284" i="31"/>
  <c r="FD91" i="31"/>
  <c r="H155" i="31"/>
  <c r="X91" i="31"/>
  <c r="AK219" i="31"/>
  <c r="AV29" i="31"/>
  <c r="CJ155" i="31"/>
  <c r="EQ219" i="31"/>
  <c r="D155" i="31"/>
  <c r="N155" i="31"/>
  <c r="AA284" i="31"/>
  <c r="AS284" i="31"/>
  <c r="BN219" i="31"/>
  <c r="BT155" i="31"/>
  <c r="CA155" i="31"/>
  <c r="DM155" i="31"/>
  <c r="DQ219" i="31"/>
  <c r="EQ91" i="31"/>
  <c r="EY155" i="31"/>
  <c r="FT155" i="31"/>
  <c r="I91" i="31"/>
  <c r="P284" i="31"/>
  <c r="AU219" i="31"/>
  <c r="BH219" i="31"/>
  <c r="BK284" i="31"/>
  <c r="BT219" i="31"/>
  <c r="CE284" i="31"/>
  <c r="CM29" i="31"/>
  <c r="FA219" i="31"/>
  <c r="FT219" i="31"/>
  <c r="BG284" i="31"/>
  <c r="CT29" i="31"/>
  <c r="EE29" i="31"/>
  <c r="EL284" i="31"/>
  <c r="FH29" i="31"/>
  <c r="EU219" i="31"/>
  <c r="AQ155" i="31"/>
  <c r="CR29" i="31"/>
  <c r="DE91" i="31"/>
  <c r="FQ91" i="31"/>
  <c r="BV284" i="31"/>
  <c r="N29" i="31"/>
  <c r="V284" i="31"/>
  <c r="BF29" i="31"/>
  <c r="BS29" i="31"/>
  <c r="CS155" i="31"/>
  <c r="CW91" i="31"/>
  <c r="DB284" i="31"/>
  <c r="ED29" i="31"/>
  <c r="EE155" i="31"/>
  <c r="EJ284" i="31"/>
  <c r="P219" i="31"/>
  <c r="EZ155" i="31"/>
  <c r="FZ284" i="31"/>
  <c r="S29" i="31"/>
  <c r="FN219" i="31"/>
  <c r="X284" i="31"/>
  <c r="AD91" i="31"/>
  <c r="CI155" i="31"/>
  <c r="V155" i="31"/>
  <c r="EA91" i="31"/>
  <c r="ES155" i="31"/>
  <c r="L219" i="31"/>
  <c r="Y284" i="31"/>
  <c r="AP29" i="31"/>
  <c r="AT91" i="31"/>
  <c r="BG155" i="31"/>
  <c r="DA219" i="31"/>
  <c r="FR219" i="31"/>
  <c r="H219" i="31"/>
  <c r="L284" i="31"/>
  <c r="AT284" i="31"/>
  <c r="ES219" i="31"/>
  <c r="AI29" i="31"/>
  <c r="AO284" i="31"/>
  <c r="BY284" i="31"/>
  <c r="ES284" i="31"/>
  <c r="BN155" i="31"/>
  <c r="CI284" i="31"/>
  <c r="AE284" i="31"/>
  <c r="AP91" i="31"/>
  <c r="AX29" i="31"/>
  <c r="DZ219" i="31"/>
  <c r="EJ29" i="31"/>
  <c r="FC155" i="31"/>
  <c r="FF219" i="31"/>
  <c r="FK219" i="31"/>
  <c r="FV91" i="31"/>
  <c r="AX219" i="31"/>
  <c r="BX284" i="31"/>
  <c r="CY155" i="31"/>
  <c r="DG284" i="31"/>
  <c r="EJ91" i="31"/>
  <c r="EW29" i="31"/>
  <c r="R155" i="31"/>
  <c r="AG91" i="31"/>
  <c r="AT219" i="31"/>
  <c r="BB29" i="31"/>
  <c r="BG91" i="31"/>
  <c r="DX284" i="31"/>
  <c r="ED219" i="31"/>
  <c r="BL91" i="31"/>
  <c r="BY219" i="31"/>
  <c r="CD155" i="31"/>
  <c r="DA29" i="31"/>
  <c r="J91" i="31"/>
  <c r="DH155" i="31"/>
  <c r="DT219" i="31"/>
  <c r="FI29" i="31"/>
  <c r="FN284" i="31"/>
  <c r="C29" i="31"/>
  <c r="J155" i="31"/>
  <c r="AA219" i="31"/>
  <c r="BN284" i="31"/>
  <c r="CA284" i="31"/>
  <c r="CR91" i="31"/>
  <c r="CZ219" i="31"/>
  <c r="AX284" i="31"/>
  <c r="BK155" i="31"/>
  <c r="EK219" i="31"/>
  <c r="FG29" i="31"/>
  <c r="FI284" i="31"/>
  <c r="F91" i="31"/>
  <c r="AL29" i="31"/>
  <c r="BX29" i="31"/>
  <c r="DF29" i="31"/>
  <c r="FZ29" i="31"/>
  <c r="BQ91" i="31"/>
  <c r="DZ284" i="31"/>
  <c r="EQ284" i="31"/>
  <c r="F284" i="31"/>
  <c r="X219" i="31"/>
  <c r="AH219" i="31"/>
  <c r="DS91" i="31"/>
  <c r="AW219" i="31"/>
  <c r="DD155" i="31"/>
  <c r="FP219" i="31"/>
  <c r="F17" i="34"/>
  <c r="S155" i="31"/>
  <c r="AM219" i="31"/>
  <c r="FD29" i="31"/>
  <c r="DD284" i="31"/>
  <c r="EU29" i="31"/>
  <c r="I155" i="31"/>
  <c r="O155" i="31"/>
  <c r="AQ284" i="31"/>
  <c r="EA29" i="31"/>
  <c r="Y91" i="31"/>
  <c r="Z284" i="31"/>
  <c r="AD219" i="31"/>
  <c r="AQ219" i="31"/>
  <c r="AX155" i="31"/>
  <c r="BC91" i="31"/>
  <c r="BI284" i="31"/>
  <c r="BP91" i="31"/>
  <c r="BZ284" i="31"/>
  <c r="CH219" i="31"/>
  <c r="CM284" i="31"/>
  <c r="CX155" i="31"/>
  <c r="DP91" i="31"/>
  <c r="FE219" i="31"/>
  <c r="FR91" i="31"/>
  <c r="FX219" i="31"/>
  <c r="C284" i="31"/>
  <c r="O284" i="31"/>
  <c r="AE29" i="31"/>
  <c r="BD284" i="31"/>
  <c r="BT284" i="31"/>
  <c r="CX91" i="31"/>
  <c r="DM219" i="31"/>
  <c r="DY91" i="31"/>
  <c r="FL91" i="31"/>
  <c r="FZ155" i="31"/>
  <c r="AO91" i="31"/>
  <c r="BA155" i="31"/>
  <c r="BD219" i="31"/>
  <c r="BH155" i="31"/>
  <c r="BQ284" i="31"/>
  <c r="BW284" i="31"/>
  <c r="CX29" i="31"/>
  <c r="DU155" i="31"/>
  <c r="EC29" i="31"/>
  <c r="EH155" i="31"/>
  <c r="FG155" i="31"/>
  <c r="FR29" i="31"/>
  <c r="C155" i="31"/>
  <c r="K219" i="31"/>
  <c r="AJ155" i="31"/>
  <c r="AY219" i="31"/>
  <c r="G29" i="31"/>
  <c r="Z155" i="31"/>
  <c r="AH91" i="31"/>
  <c r="BA219" i="31"/>
  <c r="CW29" i="31"/>
  <c r="D284" i="31"/>
  <c r="S284" i="31"/>
  <c r="DJ91" i="31"/>
  <c r="DR29" i="31"/>
  <c r="EW91" i="31"/>
  <c r="FJ155" i="31"/>
  <c r="J219" i="31"/>
  <c r="V29" i="31"/>
  <c r="AP219" i="31"/>
  <c r="AU91" i="31"/>
  <c r="BP155" i="31"/>
  <c r="CC91" i="31"/>
  <c r="CH155" i="31"/>
  <c r="CN155" i="31"/>
  <c r="DC91" i="31"/>
  <c r="DO29" i="31"/>
  <c r="EB91" i="31"/>
  <c r="F29" i="31"/>
  <c r="BE29" i="31"/>
  <c r="EZ219" i="31"/>
  <c r="CU284" i="31"/>
  <c r="FM284" i="31"/>
  <c r="U91" i="31"/>
  <c r="H91" i="31"/>
  <c r="V91" i="31"/>
  <c r="BY155" i="31"/>
  <c r="BJ29" i="31"/>
  <c r="AR219" i="31"/>
  <c r="BU284" i="31"/>
  <c r="CU219" i="31"/>
  <c r="EG155" i="31"/>
  <c r="M155" i="31"/>
  <c r="AI284" i="31"/>
  <c r="EA155" i="31"/>
  <c r="F155" i="31"/>
  <c r="BM155" i="31"/>
  <c r="ED284" i="31"/>
  <c r="EU284" i="31"/>
  <c r="FL29" i="31"/>
  <c r="AF91" i="31"/>
  <c r="AK155" i="31"/>
  <c r="BP29" i="31"/>
  <c r="CJ91" i="31"/>
  <c r="CZ29" i="31"/>
  <c r="DE284" i="31"/>
  <c r="DJ284" i="31"/>
  <c r="EI219" i="31"/>
  <c r="EY29" i="31"/>
  <c r="FD155" i="31"/>
  <c r="FI219" i="31"/>
  <c r="FO29" i="31"/>
  <c r="FY91" i="31"/>
  <c r="X29" i="31"/>
  <c r="AV155" i="31"/>
  <c r="BD155" i="31"/>
  <c r="BX219" i="31"/>
  <c r="CO29" i="31"/>
  <c r="DE29" i="31"/>
  <c r="DU284" i="31"/>
  <c r="EU155" i="31"/>
  <c r="FY219" i="31"/>
  <c r="E284" i="31"/>
  <c r="BZ91" i="31"/>
  <c r="DK219" i="31"/>
  <c r="Q91" i="31"/>
  <c r="AL155" i="31"/>
  <c r="BU91" i="31"/>
  <c r="CG155" i="31"/>
  <c r="CT155" i="31"/>
  <c r="CY219" i="31"/>
  <c r="DT284" i="31"/>
  <c r="EM219" i="31"/>
  <c r="AJ91" i="31"/>
  <c r="CA219" i="31"/>
  <c r="CG29" i="31"/>
  <c r="CY284" i="31"/>
  <c r="ED91" i="31"/>
  <c r="EP155" i="31"/>
  <c r="ET91" i="31"/>
  <c r="CE219" i="31"/>
  <c r="CQ219" i="31"/>
  <c r="CR284" i="31"/>
  <c r="DT29" i="31"/>
  <c r="EN29" i="31"/>
  <c r="ER284" i="31"/>
  <c r="ET219" i="31"/>
  <c r="EW155" i="31"/>
  <c r="FG91" i="31"/>
  <c r="FS155" i="31"/>
  <c r="FW91" i="31"/>
  <c r="O91" i="31"/>
  <c r="Q284" i="31"/>
  <c r="AD155" i="31"/>
  <c r="AW91" i="31"/>
  <c r="BE155" i="31"/>
  <c r="CS284" i="31"/>
  <c r="EI155" i="31"/>
  <c r="FV155" i="31"/>
  <c r="U29" i="31"/>
  <c r="AZ155" i="31"/>
  <c r="E91" i="31"/>
  <c r="Y219" i="31"/>
  <c r="EC219" i="31"/>
  <c r="U219" i="31"/>
  <c r="BR284" i="31"/>
  <c r="DD91" i="31"/>
  <c r="DQ91" i="31"/>
  <c r="FU155" i="31"/>
  <c r="AA29" i="31"/>
  <c r="BU219" i="31"/>
  <c r="CQ91" i="31"/>
  <c r="BI91" i="31"/>
  <c r="DK284" i="31"/>
  <c r="DR284" i="31"/>
  <c r="AC219" i="31"/>
  <c r="DB155" i="31"/>
  <c r="DQ284" i="31"/>
  <c r="EA219" i="31"/>
  <c r="EI29" i="31"/>
  <c r="FA284" i="31"/>
  <c r="FV219" i="31"/>
  <c r="R91" i="31"/>
  <c r="Z29" i="31"/>
  <c r="AS29" i="31"/>
  <c r="BL155" i="31"/>
  <c r="R29" i="31"/>
  <c r="AC284" i="31"/>
  <c r="CI29" i="31"/>
  <c r="BJ219" i="31"/>
  <c r="CQ155" i="31"/>
  <c r="DD219" i="31"/>
  <c r="EU91" i="31"/>
  <c r="FS284" i="31"/>
  <c r="M91" i="31"/>
  <c r="ET29" i="31"/>
  <c r="FC29" i="31"/>
  <c r="BZ219" i="31"/>
  <c r="CB219" i="31"/>
  <c r="FB29" i="31"/>
  <c r="FS91" i="31"/>
  <c r="AD29" i="31"/>
  <c r="BB219" i="31"/>
  <c r="BW219" i="31"/>
  <c r="AY284" i="31"/>
  <c r="BH91" i="31"/>
  <c r="AX91" i="31"/>
  <c r="CM155" i="31"/>
  <c r="DG155" i="31"/>
  <c r="EH91" i="31"/>
  <c r="DK91" i="31"/>
  <c r="DW29" i="31"/>
  <c r="BS284" i="31"/>
  <c r="DE219" i="31"/>
  <c r="DI91" i="31"/>
  <c r="CN29" i="31"/>
  <c r="EN155" i="31"/>
  <c r="Y155" i="31"/>
  <c r="EM29" i="31"/>
  <c r="FM155" i="31"/>
  <c r="CC284" i="31"/>
  <c r="CP219" i="31"/>
  <c r="DK155" i="31"/>
  <c r="DS219" i="31"/>
  <c r="EO29" i="31"/>
  <c r="FH155" i="31"/>
  <c r="AY91" i="31"/>
  <c r="DH219" i="31"/>
  <c r="EC91" i="31"/>
  <c r="EK91" i="31"/>
  <c r="EZ91" i="31"/>
  <c r="FJ219" i="31"/>
  <c r="FV284" i="31"/>
  <c r="S219" i="31"/>
  <c r="AH284" i="31"/>
  <c r="BL219" i="31"/>
  <c r="BT91" i="31"/>
  <c r="CT219" i="31"/>
  <c r="DP219" i="31"/>
  <c r="DX91" i="31"/>
  <c r="EF29" i="31"/>
  <c r="EJ155" i="31"/>
  <c r="ER29" i="31"/>
  <c r="EX284" i="31"/>
  <c r="FE29" i="31"/>
  <c r="FR284" i="31"/>
  <c r="L29" i="31"/>
  <c r="N219" i="31"/>
  <c r="W29" i="31"/>
  <c r="AM284" i="31"/>
  <c r="BT29" i="31"/>
  <c r="CR219" i="31"/>
  <c r="DL219" i="31"/>
  <c r="EE219" i="31"/>
  <c r="FN29" i="31"/>
  <c r="O29" i="31"/>
  <c r="Q155" i="31"/>
  <c r="T155" i="31"/>
  <c r="AB29" i="31"/>
  <c r="AF29" i="31"/>
  <c r="BZ29" i="31"/>
  <c r="CC155" i="31"/>
  <c r="CJ29" i="31"/>
  <c r="CK91" i="31"/>
  <c r="AV91" i="31"/>
  <c r="BI29" i="31"/>
  <c r="EL155" i="31"/>
  <c r="ER155" i="31"/>
  <c r="FE284" i="31"/>
  <c r="FP29" i="31"/>
  <c r="E29" i="31"/>
  <c r="AT155" i="31"/>
  <c r="BC155" i="31"/>
  <c r="BS155" i="31"/>
  <c r="CS29" i="31"/>
  <c r="DO155" i="31"/>
  <c r="EO91" i="31"/>
  <c r="EV155" i="31"/>
  <c r="FB219" i="31"/>
  <c r="FM29" i="31"/>
  <c r="FM219" i="31"/>
  <c r="FZ219" i="31"/>
  <c r="CH284" i="31"/>
  <c r="CK219" i="31"/>
  <c r="EG29" i="31"/>
  <c r="FH219" i="31"/>
  <c r="BU155" i="31"/>
  <c r="CU29" i="31"/>
  <c r="DX155" i="31"/>
  <c r="EF91" i="31"/>
  <c r="FB284" i="31"/>
  <c r="BF155" i="31"/>
  <c r="BO91" i="31"/>
  <c r="CR155" i="31"/>
  <c r="DP284" i="31"/>
  <c r="EP91" i="31"/>
  <c r="EX29" i="31"/>
  <c r="AO29" i="31"/>
  <c r="CB29" i="31"/>
  <c r="CE91" i="31"/>
  <c r="CX219" i="31"/>
  <c r="DN29" i="31"/>
  <c r="DU219" i="31"/>
  <c r="CE155" i="31"/>
  <c r="CL155" i="31"/>
  <c r="DH29" i="31"/>
  <c r="DR91" i="31"/>
  <c r="DV91" i="31"/>
  <c r="CK29" i="31"/>
  <c r="DI29" i="31"/>
  <c r="DI219" i="31"/>
  <c r="ES91" i="31"/>
  <c r="FS29" i="31"/>
  <c r="FZ91" i="31"/>
  <c r="AV219" i="31"/>
  <c r="CH29" i="31"/>
  <c r="DH284" i="31"/>
  <c r="EF284" i="31"/>
  <c r="AS91" i="31"/>
  <c r="BS219" i="31"/>
  <c r="CT91" i="31"/>
  <c r="BO29" i="31"/>
  <c r="BP219" i="31"/>
  <c r="CO91" i="31"/>
  <c r="FT29" i="31"/>
  <c r="BF284" i="31"/>
  <c r="BH284" i="31"/>
  <c r="CL91" i="31"/>
  <c r="DE155" i="31"/>
  <c r="BB91" i="31"/>
  <c r="DB219" i="31"/>
  <c r="HC14" i="19"/>
  <c r="CX41" i="41"/>
  <c r="HB14" i="19"/>
  <c r="C65" i="19"/>
  <c r="C67" i="19"/>
  <c r="E9" i="32"/>
  <c r="C41" i="42" s="1"/>
  <c r="D9" i="32"/>
  <c r="CW41" i="41"/>
  <c r="KC14" i="19"/>
  <c r="HG28" i="17"/>
  <c r="HE33" i="17"/>
  <c r="HG32" i="17"/>
  <c r="HG29" i="17"/>
  <c r="HG31" i="17"/>
  <c r="HG30" i="17"/>
  <c r="HE42" i="17"/>
  <c r="HD11" i="19" s="1"/>
  <c r="P41" i="42" l="1"/>
  <c r="CC337" i="31"/>
  <c r="HD10" i="19"/>
  <c r="HD12" i="19" s="1"/>
  <c r="GK27" i="30"/>
  <c r="GK28" i="30" s="1"/>
  <c r="GJ29" i="30"/>
  <c r="E16" i="42"/>
  <c r="DQ337" i="31"/>
  <c r="Q41" i="42"/>
  <c r="N44" i="42"/>
  <c r="N46" i="42" s="1"/>
  <c r="P15" i="32"/>
  <c r="P16" i="32" s="1"/>
  <c r="L44" i="42"/>
  <c r="L46" i="42" s="1"/>
  <c r="N15" i="32"/>
  <c r="N16" i="32" s="1"/>
  <c r="M44" i="42"/>
  <c r="M46" i="42" s="1"/>
  <c r="O15" i="32"/>
  <c r="O16" i="32" s="1"/>
  <c r="U14" i="32"/>
  <c r="D41" i="42"/>
  <c r="R12" i="32"/>
  <c r="R14" i="32" s="1"/>
  <c r="S12" i="32"/>
  <c r="S14" i="32" s="1"/>
  <c r="Q44" i="42" s="1"/>
  <c r="T14" i="32"/>
  <c r="O44" i="42"/>
  <c r="O46" i="42" s="1"/>
  <c r="Q15" i="32"/>
  <c r="Q16" i="32" s="1"/>
  <c r="AE337" i="31"/>
  <c r="GA29" i="31"/>
  <c r="GA219" i="31"/>
  <c r="GA284" i="31"/>
  <c r="CV337" i="31"/>
  <c r="GA91" i="31"/>
  <c r="AA337" i="31"/>
  <c r="AX337" i="31"/>
  <c r="DM337" i="31"/>
  <c r="C337" i="31"/>
  <c r="F14" i="32"/>
  <c r="AL337" i="31"/>
  <c r="GA336" i="31"/>
  <c r="DL337" i="31"/>
  <c r="CV41" i="41"/>
  <c r="B41" i="41" s="1"/>
  <c r="GA335" i="31"/>
  <c r="FI337" i="31"/>
  <c r="GB283" i="31"/>
  <c r="GB282" i="31"/>
  <c r="GB154" i="31"/>
  <c r="GB153" i="31"/>
  <c r="GB90" i="31"/>
  <c r="GB89" i="31"/>
  <c r="GB28" i="31"/>
  <c r="GB334" i="31"/>
  <c r="GA155" i="31"/>
  <c r="GB218" i="31"/>
  <c r="GB217" i="31"/>
  <c r="AP337" i="31"/>
  <c r="BB337" i="31"/>
  <c r="EW337" i="31"/>
  <c r="FP337" i="31"/>
  <c r="BT12" i="41"/>
  <c r="BM337" i="31"/>
  <c r="W337" i="31"/>
  <c r="AO337" i="31"/>
  <c r="CM337" i="31"/>
  <c r="P337" i="31"/>
  <c r="AN337" i="31"/>
  <c r="BX337" i="31"/>
  <c r="AU337" i="31"/>
  <c r="BK337" i="31"/>
  <c r="FD337" i="31"/>
  <c r="BW337" i="31"/>
  <c r="EL337" i="31"/>
  <c r="DY337" i="31"/>
  <c r="FK337" i="31"/>
  <c r="CL337" i="31"/>
  <c r="EY337" i="31"/>
  <c r="EK337" i="31"/>
  <c r="AR337" i="31"/>
  <c r="EE337" i="31"/>
  <c r="EV337" i="31"/>
  <c r="EB337" i="31"/>
  <c r="BP337" i="31"/>
  <c r="DI337" i="31"/>
  <c r="BY337" i="31"/>
  <c r="AG337" i="31"/>
  <c r="CO337" i="31"/>
  <c r="ET337" i="31"/>
  <c r="AH337" i="31"/>
  <c r="EU337" i="31"/>
  <c r="BR337" i="31"/>
  <c r="CN337" i="31"/>
  <c r="V337" i="31"/>
  <c r="EQ337" i="31"/>
  <c r="FJ337" i="31"/>
  <c r="M337" i="31"/>
  <c r="BJ337" i="31"/>
  <c r="G337" i="31"/>
  <c r="ER337" i="31"/>
  <c r="CB337" i="31"/>
  <c r="FW337" i="31"/>
  <c r="E337" i="31"/>
  <c r="BH337" i="31"/>
  <c r="DA337" i="31"/>
  <c r="AJ337" i="31"/>
  <c r="O337" i="31"/>
  <c r="EC337" i="31"/>
  <c r="AF337" i="31"/>
  <c r="FT337" i="31"/>
  <c r="FV337" i="31"/>
  <c r="CJ337" i="31"/>
  <c r="EO337" i="31"/>
  <c r="CD337" i="31"/>
  <c r="FZ337" i="31"/>
  <c r="EN337" i="31"/>
  <c r="DG337" i="31"/>
  <c r="BT337" i="31"/>
  <c r="U337" i="31"/>
  <c r="Y337" i="31"/>
  <c r="R337" i="31"/>
  <c r="FU337" i="31"/>
  <c r="DV337" i="31"/>
  <c r="EH337" i="31"/>
  <c r="DJ337" i="31"/>
  <c r="CY337" i="31"/>
  <c r="D337" i="31"/>
  <c r="EP337" i="31"/>
  <c r="EX337" i="31"/>
  <c r="CF337" i="31"/>
  <c r="F337" i="31"/>
  <c r="BS337" i="31"/>
  <c r="FB337" i="31"/>
  <c r="BZ337" i="31"/>
  <c r="DC337" i="31"/>
  <c r="DT337" i="31"/>
  <c r="M12" i="41"/>
  <c r="M14" i="41"/>
  <c r="L12" i="41"/>
  <c r="L14" i="41"/>
  <c r="K27" i="41"/>
  <c r="B26" i="41"/>
  <c r="BL337" i="31"/>
  <c r="BO337" i="31"/>
  <c r="FY337" i="31"/>
  <c r="CQ337" i="31"/>
  <c r="Z337" i="31"/>
  <c r="N337" i="31"/>
  <c r="CR337" i="31"/>
  <c r="AI337" i="31"/>
  <c r="AC337" i="31"/>
  <c r="FC337" i="31"/>
  <c r="DH337" i="31"/>
  <c r="BC337" i="31"/>
  <c r="AW337" i="31"/>
  <c r="ED337" i="31"/>
  <c r="DW337" i="31"/>
  <c r="DR337" i="31"/>
  <c r="K337" i="31"/>
  <c r="BE337" i="31"/>
  <c r="EF337" i="31"/>
  <c r="FM337" i="31"/>
  <c r="AT337" i="31"/>
  <c r="J337" i="31"/>
  <c r="CE337" i="31"/>
  <c r="ES337" i="31"/>
  <c r="DU337" i="31"/>
  <c r="BF337" i="31"/>
  <c r="FE337" i="31"/>
  <c r="FL337" i="31"/>
  <c r="AV337" i="31"/>
  <c r="EM337" i="31"/>
  <c r="DS337" i="31"/>
  <c r="CS337" i="31"/>
  <c r="DZ337" i="31"/>
  <c r="EJ337" i="31"/>
  <c r="AK337" i="31"/>
  <c r="EG337" i="31"/>
  <c r="FQ337" i="31"/>
  <c r="AS337" i="31"/>
  <c r="CH337" i="31"/>
  <c r="FF337" i="31"/>
  <c r="DX337" i="31"/>
  <c r="CT337" i="31"/>
  <c r="FR337" i="31"/>
  <c r="FS337" i="31"/>
  <c r="CU337" i="31"/>
  <c r="AD337" i="31"/>
  <c r="EZ337" i="31"/>
  <c r="CA337" i="31"/>
  <c r="CK337" i="31"/>
  <c r="AY337" i="31"/>
  <c r="EA337" i="31"/>
  <c r="FA337" i="31"/>
  <c r="DN337" i="31"/>
  <c r="I337" i="31"/>
  <c r="BN337" i="31"/>
  <c r="CG337" i="31"/>
  <c r="FG337" i="31"/>
  <c r="BQ337" i="31"/>
  <c r="AB337" i="31"/>
  <c r="FO337" i="31"/>
  <c r="DF337" i="31"/>
  <c r="BV337" i="31"/>
  <c r="L337" i="31"/>
  <c r="AQ337" i="31"/>
  <c r="BA337" i="31"/>
  <c r="DB337" i="31"/>
  <c r="FH337" i="31"/>
  <c r="Q337" i="31"/>
  <c r="BI337" i="31"/>
  <c r="DE337" i="31"/>
  <c r="DD337" i="31"/>
  <c r="CW337" i="31"/>
  <c r="BD337" i="31"/>
  <c r="AZ337" i="31"/>
  <c r="BG337" i="31"/>
  <c r="CP337" i="31"/>
  <c r="T337" i="31"/>
  <c r="HG38" i="17"/>
  <c r="GC88" i="31" s="1"/>
  <c r="GC85" i="31" s="1"/>
  <c r="S337" i="31"/>
  <c r="EI337" i="31"/>
  <c r="BU337" i="31"/>
  <c r="X337" i="31"/>
  <c r="DK337" i="31"/>
  <c r="HG41" i="17"/>
  <c r="GC281" i="31" s="1"/>
  <c r="GC278" i="31" s="1"/>
  <c r="HG40" i="17"/>
  <c r="GC216" i="31" s="1"/>
  <c r="GC213" i="31" s="1"/>
  <c r="FN337" i="31"/>
  <c r="CX337" i="31"/>
  <c r="FX337" i="31"/>
  <c r="CI337" i="31"/>
  <c r="CZ337" i="31"/>
  <c r="DP337" i="31"/>
  <c r="DO337" i="31"/>
  <c r="AM337" i="31"/>
  <c r="H337" i="31"/>
  <c r="HG39" i="17"/>
  <c r="GC152" i="31" s="1"/>
  <c r="GC149" i="31" s="1"/>
  <c r="HG37" i="17"/>
  <c r="GC26" i="31" s="1"/>
  <c r="N34" i="31"/>
  <c r="N54" i="31" s="1"/>
  <c r="M34" i="31"/>
  <c r="M54" i="31" s="1"/>
  <c r="G34" i="31"/>
  <c r="G54" i="31" s="1"/>
  <c r="O34" i="31"/>
  <c r="O54" i="31" s="1"/>
  <c r="I34" i="31"/>
  <c r="I54" i="31" s="1"/>
  <c r="K34" i="31"/>
  <c r="K54" i="31" s="1"/>
  <c r="D34" i="31"/>
  <c r="D54" i="31" s="1"/>
  <c r="E34" i="31"/>
  <c r="E54" i="31" s="1"/>
  <c r="F34" i="31"/>
  <c r="F54" i="31" s="1"/>
  <c r="H34" i="31"/>
  <c r="H54" i="31" s="1"/>
  <c r="J34" i="31"/>
  <c r="J54" i="31" s="1"/>
  <c r="L34" i="31"/>
  <c r="L54" i="31" s="1"/>
  <c r="G17" i="34"/>
  <c r="E14" i="32"/>
  <c r="CX34" i="41"/>
  <c r="CV34" i="41"/>
  <c r="B41" i="19"/>
  <c r="C34" i="31"/>
  <c r="C54" i="31" s="1"/>
  <c r="D14" i="32"/>
  <c r="D15" i="32" s="1"/>
  <c r="CW34" i="41"/>
  <c r="HF33" i="17"/>
  <c r="HH28" i="17"/>
  <c r="HH30" i="17"/>
  <c r="HH29" i="17"/>
  <c r="HH32" i="17"/>
  <c r="HH31" i="17"/>
  <c r="HF42" i="17"/>
  <c r="HE11" i="19" s="1"/>
  <c r="D50" i="32" l="1"/>
  <c r="D51" i="32"/>
  <c r="F6" i="31"/>
  <c r="L3" i="31" s="1"/>
  <c r="R33" i="26" s="1"/>
  <c r="HD14" i="19"/>
  <c r="HE10" i="19"/>
  <c r="HE12" i="19" s="1"/>
  <c r="GL27" i="30"/>
  <c r="GL28" i="30" s="1"/>
  <c r="GK29" i="30"/>
  <c r="R44" i="42"/>
  <c r="R46" i="42" s="1"/>
  <c r="T15" i="32"/>
  <c r="T16" i="32" s="1"/>
  <c r="U15" i="32"/>
  <c r="U16" i="32" s="1"/>
  <c r="S44" i="42"/>
  <c r="S46" i="42" s="1"/>
  <c r="Q46" i="42"/>
  <c r="S15" i="32"/>
  <c r="S16" i="32" s="1"/>
  <c r="E15" i="32"/>
  <c r="C44" i="42"/>
  <c r="C46" i="42" s="1"/>
  <c r="F15" i="32"/>
  <c r="F16" i="32" s="1"/>
  <c r="D44" i="42"/>
  <c r="D46" i="42" s="1"/>
  <c r="R15" i="32"/>
  <c r="R16" i="32" s="1"/>
  <c r="P44" i="42"/>
  <c r="P46" i="42" s="1"/>
  <c r="GB219" i="31"/>
  <c r="GB284" i="31"/>
  <c r="GA337" i="31"/>
  <c r="GB155" i="31"/>
  <c r="GC89" i="31"/>
  <c r="GC90" i="31"/>
  <c r="GC154" i="31"/>
  <c r="GC153" i="31"/>
  <c r="GC217" i="31"/>
  <c r="GC218" i="31"/>
  <c r="GC283" i="31"/>
  <c r="GC282" i="31"/>
  <c r="GD216" i="31"/>
  <c r="GD213" i="31" s="1"/>
  <c r="GC28" i="31"/>
  <c r="GC334" i="31"/>
  <c r="GB29" i="31"/>
  <c r="GB335" i="31"/>
  <c r="GB336" i="31"/>
  <c r="GB91" i="31"/>
  <c r="FP30" i="30"/>
  <c r="HH41" i="17"/>
  <c r="GD281" i="31" s="1"/>
  <c r="GD278" i="31" s="1"/>
  <c r="GA30" i="30"/>
  <c r="AQ30" i="30"/>
  <c r="HH40" i="17"/>
  <c r="HH39" i="17"/>
  <c r="GD152" i="31" s="1"/>
  <c r="GD149" i="31" s="1"/>
  <c r="E30" i="30"/>
  <c r="FM30" i="30"/>
  <c r="HH38" i="17"/>
  <c r="GD88" i="31" s="1"/>
  <c r="GD85" i="31" s="1"/>
  <c r="AL30" i="30"/>
  <c r="AK30" i="30"/>
  <c r="I30" i="30"/>
  <c r="HH37" i="17"/>
  <c r="GD26" i="31" s="1"/>
  <c r="FI30" i="30"/>
  <c r="BE30" i="30"/>
  <c r="CY30" i="30"/>
  <c r="CZ30" i="30"/>
  <c r="DW30" i="30"/>
  <c r="BR30" i="30"/>
  <c r="CL30" i="30"/>
  <c r="AH30" i="30"/>
  <c r="DB30" i="30"/>
  <c r="EO30" i="30"/>
  <c r="CO30" i="30"/>
  <c r="EG30" i="30"/>
  <c r="D30" i="30"/>
  <c r="DC30" i="30"/>
  <c r="BO30" i="30"/>
  <c r="W30" i="30"/>
  <c r="BT30" i="30"/>
  <c r="CE30" i="30"/>
  <c r="CH30" i="30"/>
  <c r="O30" i="30"/>
  <c r="FH30" i="30"/>
  <c r="DI30" i="30"/>
  <c r="BC30" i="30"/>
  <c r="CF30" i="30"/>
  <c r="AZ30" i="30"/>
  <c r="EE30" i="30"/>
  <c r="ED30" i="30"/>
  <c r="CV30" i="30"/>
  <c r="BJ30" i="30"/>
  <c r="AD30" i="30"/>
  <c r="BL30" i="30"/>
  <c r="FF30" i="30"/>
  <c r="FX30" i="30"/>
  <c r="CC30" i="30"/>
  <c r="FG30" i="30"/>
  <c r="FU30" i="30"/>
  <c r="CJ30" i="30"/>
  <c r="EQ30" i="30"/>
  <c r="P30" i="30"/>
  <c r="EF30" i="30"/>
  <c r="DU30" i="30"/>
  <c r="BN30" i="30"/>
  <c r="BF30" i="30"/>
  <c r="CM30" i="30"/>
  <c r="AO30" i="30"/>
  <c r="EK30" i="30"/>
  <c r="ER30" i="30"/>
  <c r="DR30" i="30"/>
  <c r="T30" i="30"/>
  <c r="L30" i="30"/>
  <c r="BU30" i="30"/>
  <c r="AN30" i="30"/>
  <c r="BM30" i="30"/>
  <c r="CA30" i="30"/>
  <c r="CQ30" i="30"/>
  <c r="BW30" i="30"/>
  <c r="AJ30" i="30"/>
  <c r="FJ30" i="30"/>
  <c r="AR30" i="30"/>
  <c r="AC30" i="30"/>
  <c r="FA30" i="30"/>
  <c r="AE30" i="30"/>
  <c r="EB30" i="30"/>
  <c r="S30" i="30"/>
  <c r="AB30" i="30"/>
  <c r="EP30" i="30"/>
  <c r="FC30" i="30"/>
  <c r="DP30" i="30"/>
  <c r="DX30" i="30"/>
  <c r="Y30" i="30"/>
  <c r="DV30" i="30"/>
  <c r="AG30" i="30"/>
  <c r="CT30" i="30"/>
  <c r="EZ30" i="30"/>
  <c r="FS30" i="30"/>
  <c r="BK30" i="30"/>
  <c r="BB30" i="30"/>
  <c r="FQ30" i="30"/>
  <c r="AU30" i="30"/>
  <c r="AW30" i="30"/>
  <c r="FL30" i="30"/>
  <c r="CW30" i="30"/>
  <c r="CK30" i="30"/>
  <c r="AI30" i="30"/>
  <c r="EA30" i="30"/>
  <c r="EY30" i="30"/>
  <c r="ES30" i="30"/>
  <c r="DH30" i="30"/>
  <c r="EU30" i="30"/>
  <c r="FR30" i="30"/>
  <c r="BQ30" i="30"/>
  <c r="EV30" i="30"/>
  <c r="FD30" i="30"/>
  <c r="FY30" i="30"/>
  <c r="BP30" i="30"/>
  <c r="FV30" i="30"/>
  <c r="DO30" i="30"/>
  <c r="DN30" i="30"/>
  <c r="AY30" i="30"/>
  <c r="V30" i="30"/>
  <c r="AP30" i="30"/>
  <c r="CP30" i="30"/>
  <c r="AM30" i="30"/>
  <c r="AX30" i="30"/>
  <c r="FB30" i="30"/>
  <c r="Z30" i="30"/>
  <c r="EX30" i="30"/>
  <c r="FZ30" i="30"/>
  <c r="CI30" i="30"/>
  <c r="DM30" i="30"/>
  <c r="BH30" i="30"/>
  <c r="FT30" i="30"/>
  <c r="DF30" i="30"/>
  <c r="EC30" i="30"/>
  <c r="CG30" i="30"/>
  <c r="EN30" i="30"/>
  <c r="DK30" i="30"/>
  <c r="BI30" i="30"/>
  <c r="CN30" i="30"/>
  <c r="CU30" i="30"/>
  <c r="AF30" i="30"/>
  <c r="BV30" i="30"/>
  <c r="CR30" i="30"/>
  <c r="ET30" i="30"/>
  <c r="FW30" i="30"/>
  <c r="EL30" i="30"/>
  <c r="DE30" i="30"/>
  <c r="AV30" i="30"/>
  <c r="EW30" i="30"/>
  <c r="DA30" i="30"/>
  <c r="DD30" i="30"/>
  <c r="CD30" i="30"/>
  <c r="FE30" i="30"/>
  <c r="EM30" i="30"/>
  <c r="BD30" i="30"/>
  <c r="AT30" i="30"/>
  <c r="EH30" i="30"/>
  <c r="EI30" i="30"/>
  <c r="FO30" i="30"/>
  <c r="Q30" i="30"/>
  <c r="DG30" i="30"/>
  <c r="G30" i="30"/>
  <c r="FN30" i="30"/>
  <c r="CS30" i="30"/>
  <c r="DS30" i="30"/>
  <c r="DY30" i="30"/>
  <c r="EJ30" i="30"/>
  <c r="BX30" i="30"/>
  <c r="X30" i="30"/>
  <c r="BZ30" i="30"/>
  <c r="FK30" i="30"/>
  <c r="AS30" i="30"/>
  <c r="BG30" i="30"/>
  <c r="DQ30" i="30"/>
  <c r="BA30" i="30"/>
  <c r="DT30" i="30"/>
  <c r="H17" i="34"/>
  <c r="U30" i="30"/>
  <c r="DL30" i="30"/>
  <c r="DJ30" i="30"/>
  <c r="F30" i="30"/>
  <c r="CX30" i="30"/>
  <c r="BY30" i="30"/>
  <c r="CB30" i="30"/>
  <c r="BS30" i="30"/>
  <c r="DZ30" i="30"/>
  <c r="AA30" i="30"/>
  <c r="R30" i="30"/>
  <c r="H41" i="30"/>
  <c r="S41" i="30"/>
  <c r="M41" i="30"/>
  <c r="R41" i="30"/>
  <c r="I41" i="30"/>
  <c r="N41" i="30"/>
  <c r="L41" i="30"/>
  <c r="K41" i="30"/>
  <c r="O41" i="30"/>
  <c r="J41" i="30"/>
  <c r="Q41" i="30"/>
  <c r="P41" i="30"/>
  <c r="M30" i="30"/>
  <c r="H30" i="30"/>
  <c r="K30" i="30"/>
  <c r="J30" i="30"/>
  <c r="GB30" i="30"/>
  <c r="N30" i="30"/>
  <c r="D16" i="32"/>
  <c r="D53" i="32"/>
  <c r="D47" i="32"/>
  <c r="HI28" i="17"/>
  <c r="HG33" i="17"/>
  <c r="HI31" i="17"/>
  <c r="HI29" i="17"/>
  <c r="HI30" i="17"/>
  <c r="HI32" i="17"/>
  <c r="HG42" i="17"/>
  <c r="HF11" i="19" s="1"/>
  <c r="H38" i="30" l="1"/>
  <c r="E16" i="32"/>
  <c r="E51" i="32"/>
  <c r="HE14" i="19"/>
  <c r="BU10" i="41"/>
  <c r="HF10" i="19"/>
  <c r="HF14" i="19" s="1"/>
  <c r="GM27" i="30"/>
  <c r="GM28" i="30" s="1"/>
  <c r="GL29" i="30"/>
  <c r="E47" i="32"/>
  <c r="GC91" i="31"/>
  <c r="AK47" i="19"/>
  <c r="AK34" i="19"/>
  <c r="GC219" i="31"/>
  <c r="GC155" i="31"/>
  <c r="GC284" i="31"/>
  <c r="GC335" i="31"/>
  <c r="GC336" i="31"/>
  <c r="GB337" i="31"/>
  <c r="GD154" i="31"/>
  <c r="GD153" i="31"/>
  <c r="GD334" i="31"/>
  <c r="GD28" i="31"/>
  <c r="GD89" i="31"/>
  <c r="GD90" i="31"/>
  <c r="GE88" i="31"/>
  <c r="GE85" i="31" s="1"/>
  <c r="GC29" i="31"/>
  <c r="GD282" i="31"/>
  <c r="GD283" i="31"/>
  <c r="GE152" i="31"/>
  <c r="GE149" i="31" s="1"/>
  <c r="GD217" i="31"/>
  <c r="GD218" i="31"/>
  <c r="HI41" i="17"/>
  <c r="GE281" i="31" s="1"/>
  <c r="GE278" i="31" s="1"/>
  <c r="HI40" i="17"/>
  <c r="GE216" i="31" s="1"/>
  <c r="GE213" i="31" s="1"/>
  <c r="HI39" i="17"/>
  <c r="HI38" i="17"/>
  <c r="HI37" i="17"/>
  <c r="GE26" i="31" s="1"/>
  <c r="I38" i="30"/>
  <c r="J38" i="30" s="1"/>
  <c r="K38" i="30" s="1"/>
  <c r="L38" i="30" s="1"/>
  <c r="M38" i="30" s="1"/>
  <c r="N38" i="30" s="1"/>
  <c r="O38" i="30" s="1"/>
  <c r="P38" i="30" s="1"/>
  <c r="Q38" i="30" s="1"/>
  <c r="R38" i="30" s="1"/>
  <c r="S38" i="30" s="1"/>
  <c r="T38" i="30" s="1"/>
  <c r="U38" i="30" s="1"/>
  <c r="V38" i="30" s="1"/>
  <c r="C56" i="30"/>
  <c r="I17" i="34"/>
  <c r="AM47" i="19"/>
  <c r="AH47" i="19"/>
  <c r="AJ47" i="19"/>
  <c r="HJ28" i="17"/>
  <c r="HH33" i="17"/>
  <c r="HJ29" i="17"/>
  <c r="HJ32" i="17"/>
  <c r="HJ31" i="17"/>
  <c r="HJ30" i="17"/>
  <c r="HH42" i="17"/>
  <c r="HG11" i="19" s="1"/>
  <c r="HF12" i="19" l="1"/>
  <c r="HG10" i="19"/>
  <c r="HG12" i="19" s="1"/>
  <c r="GN27" i="30"/>
  <c r="GN28" i="30" s="1"/>
  <c r="GM29" i="30"/>
  <c r="GD219" i="31"/>
  <c r="GD91" i="31"/>
  <c r="GC337" i="31"/>
  <c r="GD155" i="31"/>
  <c r="GD284" i="31"/>
  <c r="GD29" i="31"/>
  <c r="GE334" i="31"/>
  <c r="GE28" i="31"/>
  <c r="GE282" i="31"/>
  <c r="GE283" i="31"/>
  <c r="GE89" i="31"/>
  <c r="GE90" i="31"/>
  <c r="GD335" i="31"/>
  <c r="GD336" i="31"/>
  <c r="GE218" i="31"/>
  <c r="GE217" i="31"/>
  <c r="GF281" i="31"/>
  <c r="GF278" i="31" s="1"/>
  <c r="GE153" i="31"/>
  <c r="GE154" i="31"/>
  <c r="GF216" i="31"/>
  <c r="GF213" i="31" s="1"/>
  <c r="HJ41" i="17"/>
  <c r="HJ40" i="17"/>
  <c r="HJ39" i="17"/>
  <c r="GF152" i="31" s="1"/>
  <c r="GF149" i="31" s="1"/>
  <c r="HJ38" i="17"/>
  <c r="GF88" i="31" s="1"/>
  <c r="GF85" i="31" s="1"/>
  <c r="HJ37" i="17"/>
  <c r="GF26" i="31" s="1"/>
  <c r="J17" i="34"/>
  <c r="AM34" i="19"/>
  <c r="AH34" i="19"/>
  <c r="AJ34" i="19"/>
  <c r="HK28" i="17"/>
  <c r="HK29" i="17"/>
  <c r="HK32" i="17"/>
  <c r="HI33" i="17"/>
  <c r="HK30" i="17"/>
  <c r="HK31" i="17"/>
  <c r="HI42" i="17"/>
  <c r="HH11" i="19" s="1"/>
  <c r="HG14" i="19" l="1"/>
  <c r="GN29" i="30"/>
  <c r="HH10" i="19"/>
  <c r="HH12" i="19" s="1"/>
  <c r="GO27" i="30"/>
  <c r="GO28" i="30" s="1"/>
  <c r="GE219" i="31"/>
  <c r="GE284" i="31"/>
  <c r="GE91" i="31"/>
  <c r="GD337" i="31"/>
  <c r="GE29" i="31"/>
  <c r="GE155" i="31"/>
  <c r="GF154" i="31"/>
  <c r="GF153" i="31"/>
  <c r="GF334" i="31"/>
  <c r="GF28" i="31"/>
  <c r="GF283" i="31"/>
  <c r="GF282" i="31"/>
  <c r="GG152" i="31"/>
  <c r="GG149" i="31" s="1"/>
  <c r="GG88" i="31"/>
  <c r="GG85" i="31" s="1"/>
  <c r="GE336" i="31"/>
  <c r="GC30" i="30"/>
  <c r="GE335" i="31"/>
  <c r="GF218" i="31"/>
  <c r="GF217" i="31"/>
  <c r="GF89" i="31"/>
  <c r="GF90" i="31"/>
  <c r="N34" i="41"/>
  <c r="HK41" i="17"/>
  <c r="GG281" i="31" s="1"/>
  <c r="GG278" i="31" s="1"/>
  <c r="HK40" i="17"/>
  <c r="GG216" i="31" s="1"/>
  <c r="GG213" i="31" s="1"/>
  <c r="HK39" i="17"/>
  <c r="HK38" i="17"/>
  <c r="HK37" i="17"/>
  <c r="GG26" i="31" s="1"/>
  <c r="K17" i="34"/>
  <c r="HL28" i="17"/>
  <c r="HL32" i="17"/>
  <c r="HL30" i="17"/>
  <c r="HL29" i="17"/>
  <c r="HL31" i="17"/>
  <c r="HJ33" i="17"/>
  <c r="HJ42" i="17"/>
  <c r="HI11" i="19" s="1"/>
  <c r="BV10" i="41" l="1"/>
  <c r="HH14" i="19"/>
  <c r="HI10" i="19"/>
  <c r="HI12" i="19" s="1"/>
  <c r="GP27" i="30"/>
  <c r="GP28" i="30" s="1"/>
  <c r="GO29" i="30"/>
  <c r="GF155" i="31"/>
  <c r="GF284" i="31"/>
  <c r="GE337" i="31"/>
  <c r="GD30" i="30"/>
  <c r="GF29" i="31"/>
  <c r="GF91" i="31"/>
  <c r="GF219" i="31"/>
  <c r="GG283" i="31"/>
  <c r="GG282" i="31"/>
  <c r="GG28" i="31"/>
  <c r="GG218" i="31"/>
  <c r="GG217" i="31"/>
  <c r="GH152" i="31"/>
  <c r="GH149" i="31" s="1"/>
  <c r="GG334" i="31"/>
  <c r="GG90" i="31"/>
  <c r="GG89" i="31"/>
  <c r="GF335" i="31"/>
  <c r="GF336" i="31"/>
  <c r="GH88" i="31"/>
  <c r="GH85" i="31" s="1"/>
  <c r="AL34" i="19"/>
  <c r="AL47" i="19"/>
  <c r="GG153" i="31"/>
  <c r="GG154" i="31"/>
  <c r="GH281" i="31"/>
  <c r="GH278" i="31" s="1"/>
  <c r="GH216" i="31"/>
  <c r="GH213" i="31" s="1"/>
  <c r="HL41" i="17"/>
  <c r="HL40" i="17"/>
  <c r="HL39" i="17"/>
  <c r="HL38" i="17"/>
  <c r="HL37" i="17"/>
  <c r="GH26" i="31" s="1"/>
  <c r="L17" i="34"/>
  <c r="HM28" i="17"/>
  <c r="HM30" i="17"/>
  <c r="HM31" i="17"/>
  <c r="HK33" i="17"/>
  <c r="HM29" i="17"/>
  <c r="HM32" i="17"/>
  <c r="HK42" i="17"/>
  <c r="HJ11" i="19" s="1"/>
  <c r="HI14" i="19" l="1"/>
  <c r="HJ10" i="19"/>
  <c r="HJ12" i="19" s="1"/>
  <c r="GQ27" i="30"/>
  <c r="GQ28" i="30" s="1"/>
  <c r="GP29" i="30"/>
  <c r="GF337" i="31"/>
  <c r="GG284" i="31"/>
  <c r="GG155" i="31"/>
  <c r="GG91" i="31"/>
  <c r="GG29" i="31"/>
  <c r="GE30" i="30"/>
  <c r="GG219" i="31"/>
  <c r="GH334" i="31"/>
  <c r="GH28" i="31"/>
  <c r="GH283" i="31"/>
  <c r="GH282" i="31"/>
  <c r="GG335" i="31"/>
  <c r="GG336" i="31"/>
  <c r="GH90" i="31"/>
  <c r="GH89" i="31"/>
  <c r="GH154" i="31"/>
  <c r="GH153" i="31"/>
  <c r="GI216" i="31"/>
  <c r="GI213" i="31" s="1"/>
  <c r="GI152" i="31"/>
  <c r="GI149" i="31" s="1"/>
  <c r="GH218" i="31"/>
  <c r="GH217" i="31"/>
  <c r="GI26" i="31"/>
  <c r="HM41" i="17"/>
  <c r="GI281" i="31" s="1"/>
  <c r="GI278" i="31" s="1"/>
  <c r="HM40" i="17"/>
  <c r="HM39" i="17"/>
  <c r="HM38" i="17"/>
  <c r="GI88" i="31" s="1"/>
  <c r="GI85" i="31" s="1"/>
  <c r="HM37" i="17"/>
  <c r="M17" i="34"/>
  <c r="HN28" i="17"/>
  <c r="HN32" i="17"/>
  <c r="HN31" i="17"/>
  <c r="HN29" i="17"/>
  <c r="HL33" i="17"/>
  <c r="HN30" i="17"/>
  <c r="HL42" i="17"/>
  <c r="HK11" i="19" s="1"/>
  <c r="BW11" i="41" s="1"/>
  <c r="HJ14" i="19" l="1"/>
  <c r="HK10" i="19"/>
  <c r="BW10" i="41" s="1"/>
  <c r="BW12" i="41" s="1"/>
  <c r="GR27" i="30"/>
  <c r="GR28" i="30" s="1"/>
  <c r="GQ29" i="30"/>
  <c r="N17" i="34"/>
  <c r="O17" i="34" s="1"/>
  <c r="P17" i="34" s="1"/>
  <c r="Q17" i="34" s="1"/>
  <c r="R17" i="34" s="1"/>
  <c r="S17" i="34" s="1"/>
  <c r="T17" i="34" s="1"/>
  <c r="U17" i="34" s="1"/>
  <c r="V17" i="34" s="1"/>
  <c r="W17" i="34" s="1"/>
  <c r="X17" i="34" s="1"/>
  <c r="Y17" i="34" s="1"/>
  <c r="GH219" i="31"/>
  <c r="GH155" i="31"/>
  <c r="GG337" i="31"/>
  <c r="GH29" i="31"/>
  <c r="GF30" i="30"/>
  <c r="AO34" i="19"/>
  <c r="AO47" i="19"/>
  <c r="GH91" i="31"/>
  <c r="GH284" i="31"/>
  <c r="GI283" i="31"/>
  <c r="GI282" i="31"/>
  <c r="GI217" i="31"/>
  <c r="GI218" i="31"/>
  <c r="GI153" i="31"/>
  <c r="GI154" i="31"/>
  <c r="GI90" i="31"/>
  <c r="GI89" i="31"/>
  <c r="GJ281" i="31"/>
  <c r="GJ278" i="31" s="1"/>
  <c r="GI334" i="31"/>
  <c r="GI28" i="31"/>
  <c r="GH335" i="31"/>
  <c r="GJ26" i="31"/>
  <c r="GH336" i="31"/>
  <c r="GJ152" i="31"/>
  <c r="GJ149" i="31" s="1"/>
  <c r="HN41" i="17"/>
  <c r="HN40" i="17"/>
  <c r="GJ216" i="31" s="1"/>
  <c r="GJ213" i="31" s="1"/>
  <c r="HN39" i="17"/>
  <c r="HN38" i="17"/>
  <c r="GJ88" i="31" s="1"/>
  <c r="GJ85" i="31" s="1"/>
  <c r="HN37" i="17"/>
  <c r="AN47" i="19"/>
  <c r="AN34" i="19"/>
  <c r="HO28" i="17"/>
  <c r="HM33" i="17"/>
  <c r="HO29" i="17"/>
  <c r="HO32" i="17"/>
  <c r="HO31" i="17"/>
  <c r="HO30" i="17"/>
  <c r="HM42" i="17"/>
  <c r="HL11" i="19" s="1"/>
  <c r="HK12" i="19" l="1"/>
  <c r="HK14" i="19"/>
  <c r="BW14" i="41"/>
  <c r="HL10" i="19"/>
  <c r="HL12" i="19" s="1"/>
  <c r="GS27" i="30"/>
  <c r="GS28" i="30" s="1"/>
  <c r="GR29" i="30"/>
  <c r="P34" i="41"/>
  <c r="GI155" i="31"/>
  <c r="GH337" i="31"/>
  <c r="GI219" i="31"/>
  <c r="GG30" i="30"/>
  <c r="GI284" i="31"/>
  <c r="GI91" i="31"/>
  <c r="GI336" i="31"/>
  <c r="GI335" i="31"/>
  <c r="GJ90" i="31"/>
  <c r="GJ89" i="31"/>
  <c r="GJ217" i="31"/>
  <c r="GJ218" i="31"/>
  <c r="GJ153" i="31"/>
  <c r="GJ154" i="31"/>
  <c r="GJ334" i="31"/>
  <c r="GJ28" i="31"/>
  <c r="GJ283" i="31"/>
  <c r="GJ282" i="31"/>
  <c r="GK88" i="31"/>
  <c r="GK85" i="31" s="1"/>
  <c r="GI29" i="31"/>
  <c r="GK216" i="31"/>
  <c r="GK213" i="31" s="1"/>
  <c r="HO41" i="17"/>
  <c r="GK281" i="31" s="1"/>
  <c r="GK278" i="31" s="1"/>
  <c r="HO40" i="17"/>
  <c r="HO39" i="17"/>
  <c r="GK152" i="31" s="1"/>
  <c r="GK149" i="31" s="1"/>
  <c r="HO38" i="17"/>
  <c r="HO37" i="17"/>
  <c r="GK26" i="31" s="1"/>
  <c r="HP28" i="17"/>
  <c r="HP31" i="17"/>
  <c r="HN33" i="17"/>
  <c r="HP32" i="17"/>
  <c r="HP29" i="17"/>
  <c r="HP30" i="17"/>
  <c r="HN42" i="17"/>
  <c r="HM11" i="19" s="1"/>
  <c r="HL14" i="19" l="1"/>
  <c r="HM10" i="19"/>
  <c r="HM14" i="19" s="1"/>
  <c r="GT27" i="30"/>
  <c r="GT28" i="30" s="1"/>
  <c r="GS29" i="30"/>
  <c r="GJ155" i="31"/>
  <c r="GI337" i="31"/>
  <c r="GJ29" i="31"/>
  <c r="GJ219" i="31"/>
  <c r="GJ91" i="31"/>
  <c r="GJ284" i="31"/>
  <c r="GH30" i="30"/>
  <c r="GK153" i="31"/>
  <c r="GK154" i="31"/>
  <c r="GK334" i="31"/>
  <c r="GK28" i="31"/>
  <c r="GK282" i="31"/>
  <c r="GK283" i="31"/>
  <c r="GK90" i="31"/>
  <c r="GK89" i="31"/>
  <c r="GK218" i="31"/>
  <c r="GK217" i="31"/>
  <c r="GL216" i="31"/>
  <c r="GL213" i="31" s="1"/>
  <c r="GJ336" i="31"/>
  <c r="GJ335" i="31"/>
  <c r="HP37" i="17"/>
  <c r="GL26" i="31" s="1"/>
  <c r="HP41" i="17"/>
  <c r="GL281" i="31" s="1"/>
  <c r="GL278" i="31" s="1"/>
  <c r="HP40" i="17"/>
  <c r="HP39" i="17"/>
  <c r="GL152" i="31" s="1"/>
  <c r="GL149" i="31" s="1"/>
  <c r="HP38" i="17"/>
  <c r="GL88" i="31" s="1"/>
  <c r="GL85" i="31" s="1"/>
  <c r="HO33" i="17"/>
  <c r="HQ28" i="17"/>
  <c r="HQ32" i="17"/>
  <c r="HQ30" i="17"/>
  <c r="HQ31" i="17"/>
  <c r="HQ29" i="17"/>
  <c r="HO42" i="17"/>
  <c r="HN11" i="19" s="1"/>
  <c r="BX11" i="41" s="1"/>
  <c r="HM12" i="19" l="1"/>
  <c r="HN10" i="19"/>
  <c r="HN12" i="19" s="1"/>
  <c r="GU27" i="30"/>
  <c r="GU28" i="30" s="1"/>
  <c r="GT29" i="30"/>
  <c r="GK284" i="31"/>
  <c r="GJ337" i="31"/>
  <c r="GK155" i="31"/>
  <c r="GK91" i="31"/>
  <c r="GK219" i="31"/>
  <c r="GK29" i="31"/>
  <c r="GI30" i="30"/>
  <c r="GL282" i="31"/>
  <c r="GL283" i="31"/>
  <c r="GL154" i="31"/>
  <c r="GL153" i="31"/>
  <c r="GK336" i="31"/>
  <c r="GL334" i="31"/>
  <c r="GL28" i="31"/>
  <c r="GK335" i="31"/>
  <c r="GL218" i="31"/>
  <c r="GL217" i="31"/>
  <c r="GM216" i="31"/>
  <c r="GM213" i="31" s="1"/>
  <c r="GL90" i="31"/>
  <c r="GL89" i="31"/>
  <c r="HQ41" i="17"/>
  <c r="GM281" i="31" s="1"/>
  <c r="GM278" i="31" s="1"/>
  <c r="HQ40" i="17"/>
  <c r="HQ39" i="17"/>
  <c r="GM152" i="31" s="1"/>
  <c r="GM149" i="31" s="1"/>
  <c r="HQ38" i="17"/>
  <c r="GM88" i="31" s="1"/>
  <c r="GM85" i="31" s="1"/>
  <c r="HQ37" i="17"/>
  <c r="GM26" i="31" s="1"/>
  <c r="HR28" i="17"/>
  <c r="HP33" i="17"/>
  <c r="HR29" i="17"/>
  <c r="HR31" i="17"/>
  <c r="HR32" i="17"/>
  <c r="HR30" i="17"/>
  <c r="HP42" i="17"/>
  <c r="HO11" i="19" s="1"/>
  <c r="BX10" i="41" l="1"/>
  <c r="BX12" i="41" s="1"/>
  <c r="HN14" i="19"/>
  <c r="GU29" i="30"/>
  <c r="HO10" i="19"/>
  <c r="HO12" i="19" s="1"/>
  <c r="GV27" i="30"/>
  <c r="GV28" i="30" s="1"/>
  <c r="GL284" i="31"/>
  <c r="AT34" i="19"/>
  <c r="AT47" i="19"/>
  <c r="GL29" i="31"/>
  <c r="GL219" i="31"/>
  <c r="GL155" i="31"/>
  <c r="GL91" i="31"/>
  <c r="GK337" i="31"/>
  <c r="GJ30" i="30"/>
  <c r="GM90" i="31"/>
  <c r="GM89" i="31"/>
  <c r="GM334" i="31"/>
  <c r="GM28" i="31"/>
  <c r="GM282" i="31"/>
  <c r="GM283" i="31"/>
  <c r="GN216" i="31"/>
  <c r="GN213" i="31" s="1"/>
  <c r="GL335" i="31"/>
  <c r="GM218" i="31"/>
  <c r="GM217" i="31"/>
  <c r="GL336" i="31"/>
  <c r="GM153" i="31"/>
  <c r="GM154" i="31"/>
  <c r="HR41" i="17"/>
  <c r="GN281" i="31" s="1"/>
  <c r="GN278" i="31" s="1"/>
  <c r="HR40" i="17"/>
  <c r="HR39" i="17"/>
  <c r="GN152" i="31" s="1"/>
  <c r="GN149" i="31" s="1"/>
  <c r="HR38" i="17"/>
  <c r="GN88" i="31" s="1"/>
  <c r="GN85" i="31" s="1"/>
  <c r="HR37" i="17"/>
  <c r="GN26" i="31" s="1"/>
  <c r="AV47" i="19"/>
  <c r="AQ47" i="19"/>
  <c r="AS47" i="19"/>
  <c r="HS28" i="17"/>
  <c r="HS32" i="17"/>
  <c r="HS31" i="17"/>
  <c r="HS30" i="17"/>
  <c r="HS29" i="17"/>
  <c r="HQ33" i="17"/>
  <c r="HQ42" i="17"/>
  <c r="HP11" i="19" s="1"/>
  <c r="HO14" i="19" l="1"/>
  <c r="BX14" i="41"/>
  <c r="HP10" i="19"/>
  <c r="HP12" i="19" s="1"/>
  <c r="GW27" i="30"/>
  <c r="GW28" i="30" s="1"/>
  <c r="GV29" i="30"/>
  <c r="GM219" i="31"/>
  <c r="GM91" i="31"/>
  <c r="GM284" i="31"/>
  <c r="GL337" i="31"/>
  <c r="GK30" i="30"/>
  <c r="GM29" i="31"/>
  <c r="GM155" i="31"/>
  <c r="GN154" i="31"/>
  <c r="GN153" i="31"/>
  <c r="GN90" i="31"/>
  <c r="GN89" i="31"/>
  <c r="GM335" i="31"/>
  <c r="GN282" i="31"/>
  <c r="GN283" i="31"/>
  <c r="GM336" i="31"/>
  <c r="GN217" i="31"/>
  <c r="GN218" i="31"/>
  <c r="GN334" i="31"/>
  <c r="GN28" i="31"/>
  <c r="GO26" i="31"/>
  <c r="HS41" i="17"/>
  <c r="GO281" i="31" s="1"/>
  <c r="GO278" i="31" s="1"/>
  <c r="HS40" i="17"/>
  <c r="GO216" i="31" s="1"/>
  <c r="GO213" i="31" s="1"/>
  <c r="HS39" i="17"/>
  <c r="GO152" i="31" s="1"/>
  <c r="GO149" i="31" s="1"/>
  <c r="HS38" i="17"/>
  <c r="GO88" i="31" s="1"/>
  <c r="GO85" i="31" s="1"/>
  <c r="HS37" i="17"/>
  <c r="AV34" i="19"/>
  <c r="R34" i="41" s="1"/>
  <c r="AQ34" i="19"/>
  <c r="AS34" i="19"/>
  <c r="HT28" i="17"/>
  <c r="HR33" i="17"/>
  <c r="HT29" i="17"/>
  <c r="HT31" i="17"/>
  <c r="HT30" i="17"/>
  <c r="HT32" i="17"/>
  <c r="HR42" i="17"/>
  <c r="HQ11" i="19" s="1"/>
  <c r="BY11" i="41" s="1"/>
  <c r="HP14" i="19" l="1"/>
  <c r="F67" i="31"/>
  <c r="L4" i="31" s="1"/>
  <c r="R34" i="26" s="1"/>
  <c r="HQ10" i="19"/>
  <c r="HQ12" i="19" s="1"/>
  <c r="GX27" i="30"/>
  <c r="GX28" i="30" s="1"/>
  <c r="GW29" i="30"/>
  <c r="GM337" i="31"/>
  <c r="GN219" i="31"/>
  <c r="GN155" i="31"/>
  <c r="GN91" i="31"/>
  <c r="GN29" i="31"/>
  <c r="GL30" i="30"/>
  <c r="GN284" i="31"/>
  <c r="GO218" i="31"/>
  <c r="GO217" i="31"/>
  <c r="GO282" i="31"/>
  <c r="GO283" i="31"/>
  <c r="GO334" i="31"/>
  <c r="GO154" i="31"/>
  <c r="GO153" i="31"/>
  <c r="GO90" i="31"/>
  <c r="GO89" i="31"/>
  <c r="GP216" i="31"/>
  <c r="GP213" i="31" s="1"/>
  <c r="GN335" i="31"/>
  <c r="GN336" i="31"/>
  <c r="GP88" i="31"/>
  <c r="GP85" i="31" s="1"/>
  <c r="GO28" i="31"/>
  <c r="GP281" i="31"/>
  <c r="GP278" i="31" s="1"/>
  <c r="Q34" i="41"/>
  <c r="HT41" i="17"/>
  <c r="HT40" i="17"/>
  <c r="HT39" i="17"/>
  <c r="GP152" i="31" s="1"/>
  <c r="GP149" i="31" s="1"/>
  <c r="HT38" i="17"/>
  <c r="HT37" i="17"/>
  <c r="GP26" i="31" s="1"/>
  <c r="HU28" i="17"/>
  <c r="HU30" i="17"/>
  <c r="HS33" i="17"/>
  <c r="HU29" i="17"/>
  <c r="HU32" i="17"/>
  <c r="HU31" i="17"/>
  <c r="HS42" i="17"/>
  <c r="HR11" i="19" s="1"/>
  <c r="BY10" i="41" l="1"/>
  <c r="BY12" i="41" s="1"/>
  <c r="HQ14" i="19"/>
  <c r="HR10" i="19"/>
  <c r="HR14" i="19" s="1"/>
  <c r="GY27" i="30"/>
  <c r="GY28" i="30" s="1"/>
  <c r="GX29" i="30"/>
  <c r="GN337" i="31"/>
  <c r="GO29" i="31"/>
  <c r="GO284" i="31"/>
  <c r="GM30" i="30"/>
  <c r="GO155" i="31"/>
  <c r="GO91" i="31"/>
  <c r="GO219" i="31"/>
  <c r="GO335" i="31"/>
  <c r="GP218" i="31"/>
  <c r="GP217" i="31"/>
  <c r="GP334" i="31"/>
  <c r="GP28" i="31"/>
  <c r="GP154" i="31"/>
  <c r="GP153" i="31"/>
  <c r="GP282" i="31"/>
  <c r="GP283" i="31"/>
  <c r="GO336" i="31"/>
  <c r="GP89" i="31"/>
  <c r="GP90" i="31"/>
  <c r="GQ152" i="31"/>
  <c r="GQ149" i="31" s="1"/>
  <c r="HU41" i="17"/>
  <c r="GQ281" i="31" s="1"/>
  <c r="GQ278" i="31" s="1"/>
  <c r="HU40" i="17"/>
  <c r="GQ216" i="31" s="1"/>
  <c r="GQ213" i="31" s="1"/>
  <c r="HU39" i="17"/>
  <c r="HU38" i="17"/>
  <c r="GQ88" i="31" s="1"/>
  <c r="GQ85" i="31" s="1"/>
  <c r="HU37" i="17"/>
  <c r="GQ26" i="31" s="1"/>
  <c r="HV28" i="17"/>
  <c r="HV31" i="17"/>
  <c r="HV29" i="17"/>
  <c r="HT33" i="17"/>
  <c r="HV30" i="17"/>
  <c r="HV32" i="17"/>
  <c r="HT42" i="17"/>
  <c r="HS11" i="19" s="1"/>
  <c r="BY14" i="41" l="1"/>
  <c r="HR12" i="19"/>
  <c r="GY29" i="30"/>
  <c r="HS10" i="19"/>
  <c r="HS14" i="19" s="1"/>
  <c r="GZ27" i="30"/>
  <c r="GZ28" i="30" s="1"/>
  <c r="GP284" i="31"/>
  <c r="GP155" i="31"/>
  <c r="GN30" i="30"/>
  <c r="GP91" i="31"/>
  <c r="GP219" i="31"/>
  <c r="GO337" i="31"/>
  <c r="GP335" i="31"/>
  <c r="GQ334" i="31"/>
  <c r="GQ28" i="31"/>
  <c r="GQ90" i="31"/>
  <c r="GQ89" i="31"/>
  <c r="GQ283" i="31"/>
  <c r="GQ282" i="31"/>
  <c r="GP29" i="31"/>
  <c r="GQ153" i="31"/>
  <c r="GQ154" i="31"/>
  <c r="GP336" i="31"/>
  <c r="GQ217" i="31"/>
  <c r="GQ218" i="31"/>
  <c r="GR281" i="31"/>
  <c r="GR278" i="31" s="1"/>
  <c r="GR152" i="31"/>
  <c r="GR149" i="31" s="1"/>
  <c r="HV41" i="17"/>
  <c r="HV40" i="17"/>
  <c r="GR216" i="31" s="1"/>
  <c r="GR213" i="31" s="1"/>
  <c r="HV39" i="17"/>
  <c r="HV38" i="17"/>
  <c r="GR88" i="31" s="1"/>
  <c r="GR85" i="31" s="1"/>
  <c r="HV37" i="17"/>
  <c r="GR26" i="31" s="1"/>
  <c r="HW28" i="17"/>
  <c r="HW30" i="17"/>
  <c r="HW29" i="17"/>
  <c r="HW32" i="17"/>
  <c r="HU33" i="17"/>
  <c r="HW31" i="17"/>
  <c r="HU42" i="17"/>
  <c r="HT11" i="19" s="1"/>
  <c r="BZ11" i="41" s="1"/>
  <c r="HS12" i="19" l="1"/>
  <c r="HT10" i="19"/>
  <c r="HT14" i="19" s="1"/>
  <c r="HA27" i="30"/>
  <c r="HA28" i="30" s="1"/>
  <c r="GZ29" i="30"/>
  <c r="GQ155" i="31"/>
  <c r="GQ284" i="31"/>
  <c r="GP337" i="31"/>
  <c r="GO30" i="30"/>
  <c r="GQ91" i="31"/>
  <c r="GQ219" i="31"/>
  <c r="GQ29" i="31"/>
  <c r="GR90" i="31"/>
  <c r="GR89" i="31"/>
  <c r="GR218" i="31"/>
  <c r="GR217" i="31"/>
  <c r="GR334" i="31"/>
  <c r="GR28" i="31"/>
  <c r="GS88" i="31"/>
  <c r="GS85" i="31" s="1"/>
  <c r="AX34" i="19"/>
  <c r="GR154" i="31"/>
  <c r="GR153" i="31"/>
  <c r="GQ336" i="31"/>
  <c r="GR282" i="31"/>
  <c r="GR283" i="31"/>
  <c r="GQ335" i="31"/>
  <c r="HW41" i="17"/>
  <c r="GS281" i="31" s="1"/>
  <c r="GS278" i="31" s="1"/>
  <c r="HW40" i="17"/>
  <c r="GS216" i="31" s="1"/>
  <c r="GS213" i="31" s="1"/>
  <c r="HW39" i="17"/>
  <c r="GS152" i="31" s="1"/>
  <c r="GS149" i="31" s="1"/>
  <c r="HW38" i="17"/>
  <c r="HW37" i="17"/>
  <c r="GS26" i="31" s="1"/>
  <c r="HX28" i="17"/>
  <c r="HV33" i="17"/>
  <c r="HX32" i="17"/>
  <c r="HX30" i="17"/>
  <c r="HX31" i="17"/>
  <c r="HX29" i="17"/>
  <c r="HV42" i="17"/>
  <c r="HU11" i="19" s="1"/>
  <c r="BZ10" i="41" l="1"/>
  <c r="BZ12" i="41" s="1"/>
  <c r="HT12" i="19"/>
  <c r="HU10" i="19"/>
  <c r="HU12" i="19" s="1"/>
  <c r="HB27" i="30"/>
  <c r="HB28" i="30" s="1"/>
  <c r="HA29" i="30"/>
  <c r="AX47" i="19"/>
  <c r="GR155" i="31"/>
  <c r="GR91" i="31"/>
  <c r="GQ337" i="31"/>
  <c r="GR284" i="31"/>
  <c r="GR29" i="31"/>
  <c r="GR219" i="31"/>
  <c r="GP30" i="30"/>
  <c r="GS283" i="31"/>
  <c r="GS282" i="31"/>
  <c r="GS217" i="31"/>
  <c r="GS218" i="31"/>
  <c r="GS334" i="31"/>
  <c r="GS28" i="31"/>
  <c r="GS154" i="31"/>
  <c r="GS153" i="31"/>
  <c r="GS90" i="31"/>
  <c r="GS89" i="31"/>
  <c r="GR336" i="31"/>
  <c r="GT26" i="31"/>
  <c r="GR335" i="31"/>
  <c r="HX41" i="17"/>
  <c r="GT281" i="31" s="1"/>
  <c r="GT278" i="31" s="1"/>
  <c r="HX40" i="17"/>
  <c r="GT216" i="31" s="1"/>
  <c r="GT213" i="31" s="1"/>
  <c r="HX39" i="17"/>
  <c r="GT152" i="31" s="1"/>
  <c r="GT149" i="31" s="1"/>
  <c r="HX38" i="17"/>
  <c r="GT88" i="31" s="1"/>
  <c r="GT85" i="31" s="1"/>
  <c r="HX37" i="17"/>
  <c r="AW34" i="19"/>
  <c r="S34" i="41" s="1"/>
  <c r="AW47" i="19"/>
  <c r="HY28" i="17"/>
  <c r="HW33" i="17"/>
  <c r="HY32" i="17"/>
  <c r="HY29" i="17"/>
  <c r="HY31" i="17"/>
  <c r="HY30" i="17"/>
  <c r="HW42" i="17"/>
  <c r="HV11" i="19" s="1"/>
  <c r="BZ14" i="41" l="1"/>
  <c r="HU14" i="19"/>
  <c r="HV10" i="19"/>
  <c r="HV12" i="19" s="1"/>
  <c r="HC27" i="30"/>
  <c r="HC28" i="30" s="1"/>
  <c r="HB29" i="30"/>
  <c r="GS219" i="31"/>
  <c r="GR337" i="31"/>
  <c r="GQ30" i="30"/>
  <c r="GS155" i="31"/>
  <c r="GS91" i="31"/>
  <c r="BM47" i="19"/>
  <c r="GS284" i="31"/>
  <c r="GS29" i="31"/>
  <c r="GT90" i="31"/>
  <c r="GT89" i="31"/>
  <c r="GT283" i="31"/>
  <c r="GT282" i="31"/>
  <c r="GT153" i="31"/>
  <c r="GT154" i="31"/>
  <c r="GU216" i="31"/>
  <c r="GU213" i="31" s="1"/>
  <c r="GT218" i="31"/>
  <c r="GT217" i="31"/>
  <c r="GS335" i="31"/>
  <c r="GT334" i="31"/>
  <c r="GT28" i="31"/>
  <c r="GS336" i="31"/>
  <c r="HY41" i="17"/>
  <c r="GU281" i="31" s="1"/>
  <c r="GU278" i="31" s="1"/>
  <c r="HY40" i="17"/>
  <c r="HY39" i="17"/>
  <c r="GU152" i="31" s="1"/>
  <c r="GU149" i="31" s="1"/>
  <c r="HY38" i="17"/>
  <c r="GU88" i="31" s="1"/>
  <c r="GU85" i="31" s="1"/>
  <c r="HY37" i="17"/>
  <c r="GU26" i="31" s="1"/>
  <c r="HZ28" i="17"/>
  <c r="HZ30" i="17"/>
  <c r="HZ29" i="17"/>
  <c r="HX33" i="17"/>
  <c r="HZ32" i="17"/>
  <c r="HZ31" i="17"/>
  <c r="HX42" i="17"/>
  <c r="HW11" i="19" s="1"/>
  <c r="CA11" i="41" s="1"/>
  <c r="HV14" i="19" l="1"/>
  <c r="HW10" i="19"/>
  <c r="HW14" i="19" s="1"/>
  <c r="HD27" i="30"/>
  <c r="HD28" i="30" s="1"/>
  <c r="HC29" i="30"/>
  <c r="GT155" i="31"/>
  <c r="GT284" i="31"/>
  <c r="GR30" i="30"/>
  <c r="GT29" i="31"/>
  <c r="GT91" i="31"/>
  <c r="BA47" i="19"/>
  <c r="GS337" i="31"/>
  <c r="GT219" i="31"/>
  <c r="GU334" i="31"/>
  <c r="GU28" i="31"/>
  <c r="GU282" i="31"/>
  <c r="GU283" i="31"/>
  <c r="GU153" i="31"/>
  <c r="GU154" i="31"/>
  <c r="GU89" i="31"/>
  <c r="GU90" i="31"/>
  <c r="GV216" i="31"/>
  <c r="GV213" i="31" s="1"/>
  <c r="GU217" i="31"/>
  <c r="GU218" i="31"/>
  <c r="GV152" i="31"/>
  <c r="GV149" i="31" s="1"/>
  <c r="GT335" i="31"/>
  <c r="GT336" i="31"/>
  <c r="HZ41" i="17"/>
  <c r="GV281" i="31" s="1"/>
  <c r="GV278" i="31" s="1"/>
  <c r="HZ40" i="17"/>
  <c r="HZ39" i="17"/>
  <c r="HZ38" i="17"/>
  <c r="GV88" i="31" s="1"/>
  <c r="GV85" i="31" s="1"/>
  <c r="HZ37" i="17"/>
  <c r="GV26" i="31" s="1"/>
  <c r="BB47" i="19"/>
  <c r="IA28" i="17"/>
  <c r="IA30" i="17"/>
  <c r="IA29" i="17"/>
  <c r="IA32" i="17"/>
  <c r="HY33" i="17"/>
  <c r="IA31" i="17"/>
  <c r="HY42" i="17"/>
  <c r="HX11" i="19" s="1"/>
  <c r="CA10" i="41" l="1"/>
  <c r="CA14" i="41" s="1"/>
  <c r="HW12" i="19"/>
  <c r="HX10" i="19"/>
  <c r="HX12" i="19" s="1"/>
  <c r="HE27" i="30"/>
  <c r="HE28" i="30" s="1"/>
  <c r="HD29" i="30"/>
  <c r="GS30" i="30"/>
  <c r="BA34" i="19"/>
  <c r="BM34" i="19"/>
  <c r="GU219" i="31"/>
  <c r="GU91" i="31"/>
  <c r="GU29" i="31"/>
  <c r="GU155" i="31"/>
  <c r="GU284" i="31"/>
  <c r="GT337" i="31"/>
  <c r="GV334" i="31"/>
  <c r="GV28" i="31"/>
  <c r="GV154" i="31"/>
  <c r="GV153" i="31"/>
  <c r="GV90" i="31"/>
  <c r="GV89" i="31"/>
  <c r="GU336" i="31"/>
  <c r="GW26" i="31"/>
  <c r="GU335" i="31"/>
  <c r="GV282" i="31"/>
  <c r="GV283" i="31"/>
  <c r="GV218" i="31"/>
  <c r="GV217" i="31"/>
  <c r="IA41" i="17"/>
  <c r="GW281" i="31" s="1"/>
  <c r="GW278" i="31" s="1"/>
  <c r="IA40" i="17"/>
  <c r="GW216" i="31" s="1"/>
  <c r="GW213" i="31" s="1"/>
  <c r="IA39" i="17"/>
  <c r="GW152" i="31" s="1"/>
  <c r="GW149" i="31" s="1"/>
  <c r="IA38" i="17"/>
  <c r="GW88" i="31" s="1"/>
  <c r="GW85" i="31" s="1"/>
  <c r="IA37" i="17"/>
  <c r="AZ34" i="19"/>
  <c r="BE34" i="19"/>
  <c r="BE47" i="19"/>
  <c r="AZ47" i="19"/>
  <c r="BB34" i="19"/>
  <c r="IB28" i="17"/>
  <c r="HZ33" i="17"/>
  <c r="IB29" i="17"/>
  <c r="IB31" i="17"/>
  <c r="IB30" i="17"/>
  <c r="IB32" i="17"/>
  <c r="HZ42" i="17"/>
  <c r="HY11" i="19" s="1"/>
  <c r="CA12" i="41" l="1"/>
  <c r="HX14" i="19"/>
  <c r="HY10" i="19"/>
  <c r="HY12" i="19" s="1"/>
  <c r="HF27" i="30"/>
  <c r="HF28" i="30" s="1"/>
  <c r="HE29" i="30"/>
  <c r="GV155" i="31"/>
  <c r="GV284" i="31"/>
  <c r="GV29" i="31"/>
  <c r="GV91" i="31"/>
  <c r="GT30" i="30"/>
  <c r="GV219" i="31"/>
  <c r="GU337" i="31"/>
  <c r="GW154" i="31"/>
  <c r="GW153" i="31"/>
  <c r="GW283" i="31"/>
  <c r="GW282" i="31"/>
  <c r="GW218" i="31"/>
  <c r="GW217" i="31"/>
  <c r="GX26" i="31"/>
  <c r="GW334" i="31"/>
  <c r="GW28" i="31"/>
  <c r="GX216" i="31"/>
  <c r="GX213" i="31" s="1"/>
  <c r="GV336" i="31"/>
  <c r="GV335" i="31"/>
  <c r="GW89" i="31"/>
  <c r="GW90" i="31"/>
  <c r="T34" i="41"/>
  <c r="IB41" i="17"/>
  <c r="GX281" i="31" s="1"/>
  <c r="GX278" i="31" s="1"/>
  <c r="IB40" i="17"/>
  <c r="IB39" i="17"/>
  <c r="GX152" i="31" s="1"/>
  <c r="GX149" i="31" s="1"/>
  <c r="IB38" i="17"/>
  <c r="GX88" i="31" s="1"/>
  <c r="GX85" i="31" s="1"/>
  <c r="IB37" i="17"/>
  <c r="IC28" i="17"/>
  <c r="IC32" i="17"/>
  <c r="IC31" i="17"/>
  <c r="IA33" i="17"/>
  <c r="IC29" i="17"/>
  <c r="IC30" i="17"/>
  <c r="IA42" i="17"/>
  <c r="HZ11" i="19" s="1"/>
  <c r="CB11" i="41" s="1"/>
  <c r="F131" i="31" l="1"/>
  <c r="C141" i="31" s="1"/>
  <c r="HY14" i="19"/>
  <c r="HZ10" i="19"/>
  <c r="CB10" i="41" s="1"/>
  <c r="CB12" i="41" s="1"/>
  <c r="HG27" i="30"/>
  <c r="HG28" i="30" s="1"/>
  <c r="HF29" i="30"/>
  <c r="GW29" i="31"/>
  <c r="GU30" i="30"/>
  <c r="GW155" i="31"/>
  <c r="GV337" i="31"/>
  <c r="GW219" i="31"/>
  <c r="GW284" i="31"/>
  <c r="GW91" i="31"/>
  <c r="GX154" i="31"/>
  <c r="GX153" i="31"/>
  <c r="GX89" i="31"/>
  <c r="GX90" i="31"/>
  <c r="GX282" i="31"/>
  <c r="GX283" i="31"/>
  <c r="GX334" i="31"/>
  <c r="GX218" i="31"/>
  <c r="GX217" i="31"/>
  <c r="GX28" i="31"/>
  <c r="GY281" i="31"/>
  <c r="GY278" i="31" s="1"/>
  <c r="GW335" i="31"/>
  <c r="GW336" i="31"/>
  <c r="GY88" i="31"/>
  <c r="GY85" i="31" s="1"/>
  <c r="IC41" i="17"/>
  <c r="IC40" i="17"/>
  <c r="GY216" i="31" s="1"/>
  <c r="GY213" i="31" s="1"/>
  <c r="IC39" i="17"/>
  <c r="GY152" i="31" s="1"/>
  <c r="GY149" i="31" s="1"/>
  <c r="IC38" i="17"/>
  <c r="IC37" i="17"/>
  <c r="GY26" i="31" s="1"/>
  <c r="BO47" i="19"/>
  <c r="ID28" i="17"/>
  <c r="ID30" i="17"/>
  <c r="ID31" i="17"/>
  <c r="ID29" i="17"/>
  <c r="IB33" i="17"/>
  <c r="ID32" i="17"/>
  <c r="IB42" i="17"/>
  <c r="IA11" i="19" s="1"/>
  <c r="L5" i="31" l="1"/>
  <c r="S35" i="26"/>
  <c r="U167" i="31"/>
  <c r="D167" i="31"/>
  <c r="D168" i="31" s="1"/>
  <c r="E174" i="31"/>
  <c r="V167" i="31"/>
  <c r="V175" i="31" s="1"/>
  <c r="HZ14" i="19"/>
  <c r="HZ12" i="19"/>
  <c r="CB14" i="41"/>
  <c r="IA10" i="19"/>
  <c r="IA12" i="19" s="1"/>
  <c r="HH27" i="30"/>
  <c r="HH28" i="30" s="1"/>
  <c r="HG29" i="30"/>
  <c r="R35" i="26"/>
  <c r="GW337" i="31"/>
  <c r="GV30" i="30"/>
  <c r="GX91" i="31"/>
  <c r="GX155" i="31"/>
  <c r="GX29" i="31"/>
  <c r="GX284" i="31"/>
  <c r="GX336" i="31"/>
  <c r="GX219" i="31"/>
  <c r="GY334" i="31"/>
  <c r="GY28" i="31"/>
  <c r="GY218" i="31"/>
  <c r="GY217" i="31"/>
  <c r="GY153" i="31"/>
  <c r="GY154" i="31"/>
  <c r="GY90" i="31"/>
  <c r="GY89" i="31"/>
  <c r="U168" i="31"/>
  <c r="U175" i="31"/>
  <c r="GY283" i="31"/>
  <c r="GY282" i="31"/>
  <c r="GX335" i="31"/>
  <c r="ID41" i="17"/>
  <c r="GZ281" i="31" s="1"/>
  <c r="GZ278" i="31" s="1"/>
  <c r="ID40" i="17"/>
  <c r="GZ216" i="31" s="1"/>
  <c r="GZ213" i="31" s="1"/>
  <c r="ID39" i="17"/>
  <c r="GZ152" i="31" s="1"/>
  <c r="GZ149" i="31" s="1"/>
  <c r="ID38" i="17"/>
  <c r="GZ88" i="31" s="1"/>
  <c r="GZ85" i="31" s="1"/>
  <c r="ID37" i="17"/>
  <c r="GZ26" i="31" s="1"/>
  <c r="BC47" i="19"/>
  <c r="IE28" i="17"/>
  <c r="IE29" i="17"/>
  <c r="IC33" i="17"/>
  <c r="IE32" i="17"/>
  <c r="IE31" i="17"/>
  <c r="IE30" i="17"/>
  <c r="IC42" i="17"/>
  <c r="IB11" i="19" s="1"/>
  <c r="V168" i="31" l="1"/>
  <c r="IA14" i="19"/>
  <c r="HH29" i="30"/>
  <c r="IB10" i="19"/>
  <c r="IB14" i="19" s="1"/>
  <c r="HI27" i="30"/>
  <c r="HI28" i="30" s="1"/>
  <c r="GY29" i="31"/>
  <c r="GY91" i="31"/>
  <c r="GX337" i="31"/>
  <c r="GY219" i="31"/>
  <c r="GW30" i="30"/>
  <c r="GY155" i="31"/>
  <c r="GY284" i="31"/>
  <c r="GZ334" i="31"/>
  <c r="GZ28" i="31"/>
  <c r="GZ217" i="31"/>
  <c r="GZ218" i="31"/>
  <c r="GZ283" i="31"/>
  <c r="GZ282" i="31"/>
  <c r="HA26" i="31"/>
  <c r="GZ154" i="31"/>
  <c r="GZ153" i="31"/>
  <c r="GZ90" i="31"/>
  <c r="GZ89" i="31"/>
  <c r="GY336" i="31"/>
  <c r="GY335" i="31"/>
  <c r="HA216" i="31"/>
  <c r="HA213" i="31" s="1"/>
  <c r="BC34" i="19"/>
  <c r="B34" i="19" s="1"/>
  <c r="BO34" i="19"/>
  <c r="Y34" i="41" s="1"/>
  <c r="IE41" i="17"/>
  <c r="HA281" i="31" s="1"/>
  <c r="HA278" i="31" s="1"/>
  <c r="IE40" i="17"/>
  <c r="IE39" i="17"/>
  <c r="HA152" i="31" s="1"/>
  <c r="HA149" i="31" s="1"/>
  <c r="IE38" i="17"/>
  <c r="HA88" i="31" s="1"/>
  <c r="HA85" i="31" s="1"/>
  <c r="IE37" i="17"/>
  <c r="IF28" i="17"/>
  <c r="IF30" i="17"/>
  <c r="IF32" i="17"/>
  <c r="ID33" i="17"/>
  <c r="IF31" i="17"/>
  <c r="IF29" i="17"/>
  <c r="ID42" i="17"/>
  <c r="IC11" i="19" s="1"/>
  <c r="CC11" i="41" s="1"/>
  <c r="IB12" i="19" l="1"/>
  <c r="HI29" i="30"/>
  <c r="IC10" i="19"/>
  <c r="CC10" i="41" s="1"/>
  <c r="CC12" i="41" s="1"/>
  <c r="HJ27" i="30"/>
  <c r="HJ28" i="30" s="1"/>
  <c r="GZ155" i="31"/>
  <c r="GZ284" i="31"/>
  <c r="GX30" i="30"/>
  <c r="GZ219" i="31"/>
  <c r="GZ29" i="31"/>
  <c r="GY337" i="31"/>
  <c r="GZ91" i="31"/>
  <c r="U34" i="41"/>
  <c r="HA153" i="31"/>
  <c r="HA154" i="31"/>
  <c r="HA283" i="31"/>
  <c r="HA282" i="31"/>
  <c r="HA89" i="31"/>
  <c r="HA90" i="31"/>
  <c r="HB281" i="31"/>
  <c r="HB278" i="31" s="1"/>
  <c r="HA334" i="31"/>
  <c r="HA28" i="31"/>
  <c r="HB152" i="31"/>
  <c r="HB149" i="31" s="1"/>
  <c r="HB88" i="31"/>
  <c r="HB85" i="31" s="1"/>
  <c r="GZ336" i="31"/>
  <c r="HB216" i="31"/>
  <c r="HB213" i="31" s="1"/>
  <c r="GZ335" i="31"/>
  <c r="HA218" i="31"/>
  <c r="HA217" i="31"/>
  <c r="IF41" i="17"/>
  <c r="IF40" i="17"/>
  <c r="IF39" i="17"/>
  <c r="IF38" i="17"/>
  <c r="IF37" i="17"/>
  <c r="HB26" i="31" s="1"/>
  <c r="BR47" i="19"/>
  <c r="IG28" i="17"/>
  <c r="IG31" i="17"/>
  <c r="IG30" i="17"/>
  <c r="IE33" i="17"/>
  <c r="IG29" i="17"/>
  <c r="IG32" i="17"/>
  <c r="IE42" i="17"/>
  <c r="ID11" i="19" s="1"/>
  <c r="IC12" i="19" l="1"/>
  <c r="IC14" i="19"/>
  <c r="CC14" i="41"/>
  <c r="HJ29" i="30"/>
  <c r="ID10" i="19"/>
  <c r="ID12" i="19" s="1"/>
  <c r="HK27" i="30"/>
  <c r="HK28" i="30" s="1"/>
  <c r="HA29" i="31"/>
  <c r="HA284" i="31"/>
  <c r="HA219" i="31"/>
  <c r="HA155" i="31"/>
  <c r="GY30" i="30"/>
  <c r="HA91" i="31"/>
  <c r="GZ337" i="31"/>
  <c r="HB334" i="31"/>
  <c r="HB28" i="31"/>
  <c r="HB217" i="31"/>
  <c r="HB218" i="31"/>
  <c r="HB90" i="31"/>
  <c r="HB89" i="31"/>
  <c r="HB282" i="31"/>
  <c r="HB283" i="31"/>
  <c r="HB154" i="31"/>
  <c r="HB153" i="31"/>
  <c r="HC26" i="31"/>
  <c r="HA336" i="31"/>
  <c r="HA335" i="31"/>
  <c r="IG41" i="17"/>
  <c r="HC281" i="31" s="1"/>
  <c r="HC278" i="31" s="1"/>
  <c r="IG40" i="17"/>
  <c r="HC216" i="31" s="1"/>
  <c r="HC213" i="31" s="1"/>
  <c r="IG39" i="17"/>
  <c r="HC152" i="31" s="1"/>
  <c r="HC149" i="31" s="1"/>
  <c r="IG38" i="17"/>
  <c r="HC88" i="31" s="1"/>
  <c r="HC85" i="31" s="1"/>
  <c r="IG37" i="17"/>
  <c r="BF47" i="19"/>
  <c r="IH28" i="17"/>
  <c r="IF33" i="17"/>
  <c r="IH29" i="17"/>
  <c r="IH30" i="17"/>
  <c r="IH31" i="17"/>
  <c r="IH32" i="17"/>
  <c r="IF42" i="17"/>
  <c r="IE11" i="19" s="1"/>
  <c r="ID14" i="19" l="1"/>
  <c r="HK29" i="30"/>
  <c r="IE10" i="19"/>
  <c r="IE14" i="19" s="1"/>
  <c r="HL27" i="30"/>
  <c r="HL28" i="30" s="1"/>
  <c r="HB155" i="31"/>
  <c r="HB284" i="31"/>
  <c r="HB219" i="31"/>
  <c r="HB29" i="31"/>
  <c r="HB91" i="31"/>
  <c r="HA337" i="31"/>
  <c r="GZ30" i="30"/>
  <c r="HC89" i="31"/>
  <c r="HC90" i="31"/>
  <c r="HC154" i="31"/>
  <c r="HC153" i="31"/>
  <c r="HC218" i="31"/>
  <c r="HC217" i="31"/>
  <c r="HD152" i="31"/>
  <c r="HD149" i="31" s="1"/>
  <c r="HC282" i="31"/>
  <c r="HC283" i="31"/>
  <c r="HC334" i="31"/>
  <c r="HC28" i="31"/>
  <c r="HB335" i="31"/>
  <c r="HB336" i="31"/>
  <c r="BF34" i="19"/>
  <c r="V34" i="41" s="1"/>
  <c r="BR34" i="19"/>
  <c r="Z34" i="41" s="1"/>
  <c r="IH41" i="17"/>
  <c r="HD281" i="31" s="1"/>
  <c r="HD278" i="31" s="1"/>
  <c r="IH40" i="17"/>
  <c r="HD216" i="31" s="1"/>
  <c r="HD213" i="31" s="1"/>
  <c r="IH39" i="17"/>
  <c r="IH38" i="17"/>
  <c r="HD88" i="31" s="1"/>
  <c r="HD85" i="31" s="1"/>
  <c r="IH37" i="17"/>
  <c r="HD26" i="31" s="1"/>
  <c r="II28" i="17"/>
  <c r="IG33" i="17"/>
  <c r="II32" i="17"/>
  <c r="II29" i="17"/>
  <c r="II31" i="17"/>
  <c r="II30" i="17"/>
  <c r="IG42" i="17"/>
  <c r="IF11" i="19" s="1"/>
  <c r="CD11" i="41" s="1"/>
  <c r="IE12" i="19" l="1"/>
  <c r="HL29" i="30"/>
  <c r="IF10" i="19"/>
  <c r="IF12" i="19" s="1"/>
  <c r="HM27" i="30"/>
  <c r="HM28" i="30" s="1"/>
  <c r="HC29" i="31"/>
  <c r="HC219" i="31"/>
  <c r="HC155" i="31"/>
  <c r="HC91" i="31"/>
  <c r="HC284" i="31"/>
  <c r="HB337" i="31"/>
  <c r="AD338" i="31" s="1"/>
  <c r="HA30" i="30"/>
  <c r="BV47" i="19"/>
  <c r="HC336" i="31"/>
  <c r="HD28" i="31"/>
  <c r="HD282" i="31"/>
  <c r="HD283" i="31"/>
  <c r="HD334" i="31"/>
  <c r="HD218" i="31"/>
  <c r="HD217" i="31"/>
  <c r="HD90" i="31"/>
  <c r="HD89" i="31"/>
  <c r="HD154" i="31"/>
  <c r="HD153" i="31"/>
  <c r="HC335" i="31"/>
  <c r="HE26" i="31"/>
  <c r="HE281" i="31"/>
  <c r="HE278" i="31" s="1"/>
  <c r="II41" i="17"/>
  <c r="II40" i="17"/>
  <c r="HE216" i="31" s="1"/>
  <c r="HE213" i="31" s="1"/>
  <c r="II39" i="17"/>
  <c r="HE152" i="31" s="1"/>
  <c r="HE149" i="31" s="1"/>
  <c r="II38" i="17"/>
  <c r="HE88" i="31" s="1"/>
  <c r="HE85" i="31" s="1"/>
  <c r="II37" i="17"/>
  <c r="IJ28" i="17"/>
  <c r="IJ29" i="17"/>
  <c r="IJ31" i="17"/>
  <c r="IJ32" i="17"/>
  <c r="IH33" i="17"/>
  <c r="IJ30" i="17"/>
  <c r="IH42" i="17"/>
  <c r="IG11" i="19" s="1"/>
  <c r="HC337" i="31" l="1"/>
  <c r="CD10" i="41"/>
  <c r="CD12" i="41" s="1"/>
  <c r="IF14" i="19"/>
  <c r="HM29" i="30"/>
  <c r="IG10" i="19"/>
  <c r="IG14" i="19" s="1"/>
  <c r="HN27" i="30"/>
  <c r="HN28" i="30" s="1"/>
  <c r="BJ47" i="19"/>
  <c r="HD91" i="31"/>
  <c r="HB30" i="30"/>
  <c r="BJ34" i="19"/>
  <c r="HD219" i="31"/>
  <c r="HD29" i="31"/>
  <c r="HD155" i="31"/>
  <c r="HD284" i="31"/>
  <c r="HE217" i="31"/>
  <c r="HE218" i="31"/>
  <c r="HE89" i="31"/>
  <c r="HE90" i="31"/>
  <c r="HE154" i="31"/>
  <c r="HE153" i="31"/>
  <c r="HF88" i="31"/>
  <c r="HF85" i="31" s="1"/>
  <c r="HE334" i="31"/>
  <c r="HE28" i="31"/>
  <c r="HF216" i="31"/>
  <c r="HF213" i="31" s="1"/>
  <c r="HD336" i="31"/>
  <c r="HE282" i="31"/>
  <c r="HE283" i="31"/>
  <c r="HD335" i="31"/>
  <c r="BI47" i="19"/>
  <c r="BU47" i="19"/>
  <c r="BV34" i="19"/>
  <c r="IJ41" i="17"/>
  <c r="HF281" i="31" s="1"/>
  <c r="HF278" i="31" s="1"/>
  <c r="IJ40" i="17"/>
  <c r="IJ39" i="17"/>
  <c r="HF152" i="31" s="1"/>
  <c r="HF149" i="31" s="1"/>
  <c r="IJ38" i="17"/>
  <c r="IJ37" i="17"/>
  <c r="HF26" i="31" s="1"/>
  <c r="BU34" i="19"/>
  <c r="BN47" i="19"/>
  <c r="BK47" i="19"/>
  <c r="IK28" i="17"/>
  <c r="IK31" i="17"/>
  <c r="IK32" i="17"/>
  <c r="IK29" i="17"/>
  <c r="II33" i="17"/>
  <c r="IK30" i="17"/>
  <c r="II42" i="17"/>
  <c r="IH11" i="19" s="1"/>
  <c r="CD14" i="41" l="1"/>
  <c r="IG12" i="19"/>
  <c r="HN29" i="30"/>
  <c r="IH10" i="19"/>
  <c r="IH14" i="19" s="1"/>
  <c r="HO27" i="30"/>
  <c r="HO28" i="30" s="1"/>
  <c r="HE29" i="31"/>
  <c r="AA34" i="41"/>
  <c r="HE155" i="31"/>
  <c r="HE91" i="31"/>
  <c r="HE219" i="31"/>
  <c r="HC30" i="30"/>
  <c r="HD337" i="31"/>
  <c r="HE336" i="31"/>
  <c r="HE284" i="31"/>
  <c r="HF153" i="31"/>
  <c r="HF154" i="31"/>
  <c r="HF334" i="31"/>
  <c r="HF28" i="31"/>
  <c r="HF282" i="31"/>
  <c r="HF283" i="31"/>
  <c r="HG152" i="31"/>
  <c r="HG149" i="31" s="1"/>
  <c r="HG26" i="31"/>
  <c r="HE335" i="31"/>
  <c r="HF89" i="31"/>
  <c r="HF90" i="31"/>
  <c r="HF217" i="31"/>
  <c r="HF218" i="31"/>
  <c r="HG88" i="31"/>
  <c r="HG85" i="31" s="1"/>
  <c r="IK41" i="17"/>
  <c r="HG281" i="31" s="1"/>
  <c r="HG278" i="31" s="1"/>
  <c r="IK40" i="17"/>
  <c r="HG216" i="31" s="1"/>
  <c r="HG213" i="31" s="1"/>
  <c r="IK39" i="17"/>
  <c r="IK38" i="17"/>
  <c r="IK37" i="17"/>
  <c r="BX47" i="19"/>
  <c r="BN34" i="19"/>
  <c r="BI34" i="19"/>
  <c r="BK34" i="19"/>
  <c r="IL28" i="17"/>
  <c r="IJ33" i="17"/>
  <c r="IL29" i="17"/>
  <c r="IL30" i="17"/>
  <c r="IL32" i="17"/>
  <c r="IL31" i="17"/>
  <c r="IJ42" i="17"/>
  <c r="II11" i="19" s="1"/>
  <c r="CE11" i="41" s="1"/>
  <c r="F195" i="31" l="1"/>
  <c r="L6" i="31" s="1"/>
  <c r="R36" i="26" s="1"/>
  <c r="IH12" i="19"/>
  <c r="HO29" i="30"/>
  <c r="II10" i="19"/>
  <c r="II12" i="19" s="1"/>
  <c r="HP27" i="30"/>
  <c r="HP28" i="30" s="1"/>
  <c r="HF219" i="31"/>
  <c r="HF91" i="31"/>
  <c r="HF284" i="31"/>
  <c r="HF155" i="31"/>
  <c r="HE337" i="31"/>
  <c r="HF335" i="31"/>
  <c r="HD30" i="30"/>
  <c r="HF29" i="31"/>
  <c r="HF336" i="31"/>
  <c r="HG218" i="31"/>
  <c r="HG217" i="31"/>
  <c r="HG334" i="31"/>
  <c r="HG283" i="31"/>
  <c r="HG282" i="31"/>
  <c r="HH152" i="31"/>
  <c r="HH149" i="31" s="1"/>
  <c r="HG28" i="31"/>
  <c r="HG153" i="31"/>
  <c r="HG154" i="31"/>
  <c r="HH216" i="31"/>
  <c r="HH213" i="31" s="1"/>
  <c r="HG89" i="31"/>
  <c r="HG90" i="31"/>
  <c r="HH88" i="31"/>
  <c r="HH85" i="31" s="1"/>
  <c r="HH26" i="31"/>
  <c r="W34" i="41"/>
  <c r="CE10" i="41"/>
  <c r="IL41" i="17"/>
  <c r="HH281" i="31" s="1"/>
  <c r="HH278" i="31" s="1"/>
  <c r="IL40" i="17"/>
  <c r="IL39" i="17"/>
  <c r="IL38" i="17"/>
  <c r="IL37" i="17"/>
  <c r="BX34" i="19"/>
  <c r="AB34" i="41" s="1"/>
  <c r="BL47" i="19"/>
  <c r="IM28" i="17"/>
  <c r="IM31" i="17"/>
  <c r="IM32" i="17"/>
  <c r="IM30" i="17"/>
  <c r="IK33" i="17"/>
  <c r="IM29" i="17"/>
  <c r="IK42" i="17"/>
  <c r="IJ11" i="19" s="1"/>
  <c r="II14" i="19" l="1"/>
  <c r="IJ10" i="19"/>
  <c r="IJ12" i="19" s="1"/>
  <c r="HQ27" i="30"/>
  <c r="HQ28" i="30" s="1"/>
  <c r="HP29" i="30"/>
  <c r="HG155" i="31"/>
  <c r="HF337" i="31"/>
  <c r="HG219" i="31"/>
  <c r="HE30" i="30"/>
  <c r="HG91" i="31"/>
  <c r="HG284" i="31"/>
  <c r="HG336" i="31"/>
  <c r="HH283" i="31"/>
  <c r="HH282" i="31"/>
  <c r="HI216" i="31"/>
  <c r="HI213" i="31" s="1"/>
  <c r="HH90" i="31"/>
  <c r="HH89" i="31"/>
  <c r="HH153" i="31"/>
  <c r="HH154" i="31"/>
  <c r="HH334" i="31"/>
  <c r="HH28" i="31"/>
  <c r="HG29" i="31"/>
  <c r="HH217" i="31"/>
  <c r="HH218" i="31"/>
  <c r="HG335" i="31"/>
  <c r="CE12" i="41"/>
  <c r="CE14" i="41"/>
  <c r="IM41" i="17"/>
  <c r="HI281" i="31" s="1"/>
  <c r="HI278" i="31" s="1"/>
  <c r="IM40" i="17"/>
  <c r="IM39" i="17"/>
  <c r="HI152" i="31" s="1"/>
  <c r="HI149" i="31" s="1"/>
  <c r="IM38" i="17"/>
  <c r="HI88" i="31" s="1"/>
  <c r="HI85" i="31" s="1"/>
  <c r="IM37" i="17"/>
  <c r="HI26" i="31" s="1"/>
  <c r="B47" i="19"/>
  <c r="KC47" i="19"/>
  <c r="BL34" i="19"/>
  <c r="X34" i="41" s="1"/>
  <c r="IN28" i="17"/>
  <c r="IN32" i="17"/>
  <c r="IN29" i="17"/>
  <c r="IL33" i="17"/>
  <c r="IN30" i="17"/>
  <c r="IN31" i="17"/>
  <c r="IL42" i="17"/>
  <c r="IK11" i="19" s="1"/>
  <c r="IJ14" i="19" l="1"/>
  <c r="IK10" i="19"/>
  <c r="IK14" i="19" s="1"/>
  <c r="HR27" i="30"/>
  <c r="HR28" i="30" s="1"/>
  <c r="HQ29" i="30"/>
  <c r="HH155" i="31"/>
  <c r="HH284" i="31"/>
  <c r="HG337" i="31"/>
  <c r="HH29" i="31"/>
  <c r="HH219" i="31"/>
  <c r="HH91" i="31"/>
  <c r="HF30" i="30"/>
  <c r="HI90" i="31"/>
  <c r="HI89" i="31"/>
  <c r="HI154" i="31"/>
  <c r="HI153" i="31"/>
  <c r="HI334" i="31"/>
  <c r="HI28" i="31"/>
  <c r="HI218" i="31"/>
  <c r="HI217" i="31"/>
  <c r="HH335" i="31"/>
  <c r="HJ88" i="31"/>
  <c r="HJ85" i="31" s="1"/>
  <c r="HH336" i="31"/>
  <c r="HI283" i="31"/>
  <c r="HI282" i="31"/>
  <c r="IN41" i="17"/>
  <c r="HJ281" i="31" s="1"/>
  <c r="HJ278" i="31" s="1"/>
  <c r="IN40" i="17"/>
  <c r="HJ216" i="31" s="1"/>
  <c r="HJ213" i="31" s="1"/>
  <c r="IN39" i="17"/>
  <c r="HJ152" i="31" s="1"/>
  <c r="HJ149" i="31" s="1"/>
  <c r="IN38" i="17"/>
  <c r="IN37" i="17"/>
  <c r="HJ26" i="31" s="1"/>
  <c r="KC34" i="19"/>
  <c r="IO28" i="17"/>
  <c r="IO31" i="17"/>
  <c r="IO29" i="17"/>
  <c r="IO30" i="17"/>
  <c r="IM33" i="17"/>
  <c r="IO32" i="17"/>
  <c r="IM42" i="17"/>
  <c r="IL11" i="19" s="1"/>
  <c r="IK12" i="19" l="1"/>
  <c r="HR29" i="30"/>
  <c r="IL10" i="19"/>
  <c r="CF10" i="41" s="1"/>
  <c r="HS27" i="30"/>
  <c r="HS28" i="30" s="1"/>
  <c r="HI219" i="31"/>
  <c r="HI284" i="31"/>
  <c r="HI29" i="31"/>
  <c r="HG30" i="30"/>
  <c r="HI91" i="31"/>
  <c r="HI155" i="31"/>
  <c r="HH337" i="31"/>
  <c r="HJ334" i="31"/>
  <c r="HJ28" i="31"/>
  <c r="HJ218" i="31"/>
  <c r="HJ217" i="31"/>
  <c r="HJ283" i="31"/>
  <c r="HJ282" i="31"/>
  <c r="HJ153" i="31"/>
  <c r="HJ154" i="31"/>
  <c r="HJ90" i="31"/>
  <c r="HJ89" i="31"/>
  <c r="HI336" i="31"/>
  <c r="HI335" i="31"/>
  <c r="L34" i="41"/>
  <c r="M34" i="41"/>
  <c r="BK34" i="41"/>
  <c r="BL34" i="41"/>
  <c r="BM34" i="41"/>
  <c r="BN34" i="41"/>
  <c r="BO34" i="41"/>
  <c r="BP34" i="41"/>
  <c r="K34" i="41"/>
  <c r="H34" i="41"/>
  <c r="BR34" i="41"/>
  <c r="BS34" i="41"/>
  <c r="BT34" i="41"/>
  <c r="BU34" i="41"/>
  <c r="BV34" i="41"/>
  <c r="BW34" i="41"/>
  <c r="BX34" i="41"/>
  <c r="BY34" i="41"/>
  <c r="BZ34" i="41"/>
  <c r="CA34" i="41"/>
  <c r="CB34" i="41"/>
  <c r="CC34" i="41"/>
  <c r="O34" i="41"/>
  <c r="CE34" i="41"/>
  <c r="CF34" i="41"/>
  <c r="CG34" i="41"/>
  <c r="CH34" i="41"/>
  <c r="CI34" i="41"/>
  <c r="CK34" i="41"/>
  <c r="CL34" i="41"/>
  <c r="CM34" i="41"/>
  <c r="CN34" i="41"/>
  <c r="CO34" i="41"/>
  <c r="CP34" i="41"/>
  <c r="CQ34" i="41"/>
  <c r="CT34" i="41"/>
  <c r="CU34" i="41"/>
  <c r="IO41" i="17"/>
  <c r="HK281" i="31" s="1"/>
  <c r="HK278" i="31" s="1"/>
  <c r="IO40" i="17"/>
  <c r="HK216" i="31" s="1"/>
  <c r="HK213" i="31" s="1"/>
  <c r="IO39" i="17"/>
  <c r="HK152" i="31" s="1"/>
  <c r="HK149" i="31" s="1"/>
  <c r="IO38" i="17"/>
  <c r="HK88" i="31" s="1"/>
  <c r="HK85" i="31" s="1"/>
  <c r="IO37" i="17"/>
  <c r="HK26" i="31" s="1"/>
  <c r="IP28" i="17"/>
  <c r="IP30" i="17"/>
  <c r="IN33" i="17"/>
  <c r="IP32" i="17"/>
  <c r="IP29" i="17"/>
  <c r="IP31" i="17"/>
  <c r="IN42" i="17"/>
  <c r="IM11" i="19" s="1"/>
  <c r="IL12" i="19" l="1"/>
  <c r="IL14" i="19"/>
  <c r="HS29" i="30"/>
  <c r="IM10" i="19"/>
  <c r="IM12" i="19" s="1"/>
  <c r="HT27" i="30"/>
  <c r="HT28" i="30" s="1"/>
  <c r="HJ91" i="31"/>
  <c r="HJ284" i="31"/>
  <c r="HI337" i="31"/>
  <c r="HH30" i="30"/>
  <c r="HJ29" i="31"/>
  <c r="HJ219" i="31"/>
  <c r="HJ155" i="31"/>
  <c r="HK89" i="31"/>
  <c r="HK90" i="31"/>
  <c r="HK218" i="31"/>
  <c r="HK217" i="31"/>
  <c r="HK282" i="31"/>
  <c r="HK283" i="31"/>
  <c r="HL216" i="31"/>
  <c r="HL213" i="31" s="1"/>
  <c r="HL152" i="31"/>
  <c r="HL149" i="31" s="1"/>
  <c r="HJ336" i="31"/>
  <c r="HK334" i="31"/>
  <c r="HK28" i="31"/>
  <c r="HJ335" i="31"/>
  <c r="HK153" i="31"/>
  <c r="HK154" i="31"/>
  <c r="B34" i="41"/>
  <c r="IP41" i="17"/>
  <c r="HL281" i="31" s="1"/>
  <c r="HL278" i="31" s="1"/>
  <c r="IP40" i="17"/>
  <c r="IP39" i="17"/>
  <c r="IP38" i="17"/>
  <c r="HL88" i="31" s="1"/>
  <c r="HL85" i="31" s="1"/>
  <c r="IP37" i="17"/>
  <c r="HL26" i="31" s="1"/>
  <c r="IQ30" i="17"/>
  <c r="IQ32" i="17"/>
  <c r="IQ31" i="17"/>
  <c r="IQ28" i="17"/>
  <c r="IQ29" i="17"/>
  <c r="IO33" i="17"/>
  <c r="IO42" i="17"/>
  <c r="IN11" i="19" s="1"/>
  <c r="IM14" i="19" l="1"/>
  <c r="HT29" i="30"/>
  <c r="IN10" i="19"/>
  <c r="IN14" i="19" s="1"/>
  <c r="HU27" i="30"/>
  <c r="HU28" i="30" s="1"/>
  <c r="HJ337" i="31"/>
  <c r="HK29" i="31"/>
  <c r="HI30" i="30"/>
  <c r="HK284" i="31"/>
  <c r="HK219" i="31"/>
  <c r="HK155" i="31"/>
  <c r="HK91" i="31"/>
  <c r="HL89" i="31"/>
  <c r="HL90" i="31"/>
  <c r="HL283" i="31"/>
  <c r="HL282" i="31"/>
  <c r="HL217" i="31"/>
  <c r="HL218" i="31"/>
  <c r="HM26" i="31"/>
  <c r="HK336" i="31"/>
  <c r="HK335" i="31"/>
  <c r="HL334" i="31"/>
  <c r="HL28" i="31"/>
  <c r="HM216" i="31"/>
  <c r="HM213" i="31" s="1"/>
  <c r="HM88" i="31"/>
  <c r="HM85" i="31" s="1"/>
  <c r="HL153" i="31"/>
  <c r="HL154" i="31"/>
  <c r="HM152" i="31"/>
  <c r="HM149" i="31" s="1"/>
  <c r="IQ41" i="17"/>
  <c r="HM281" i="31" s="1"/>
  <c r="HM278" i="31" s="1"/>
  <c r="IQ40" i="17"/>
  <c r="IQ39" i="17"/>
  <c r="IQ38" i="17"/>
  <c r="IQ37" i="17"/>
  <c r="H33" i="19"/>
  <c r="IP33" i="17"/>
  <c r="IR29" i="17"/>
  <c r="IR31" i="17"/>
  <c r="IR28" i="17"/>
  <c r="IR30" i="17"/>
  <c r="IR32" i="17"/>
  <c r="IP42" i="17"/>
  <c r="IO11" i="19" s="1"/>
  <c r="CG11" i="41" s="1"/>
  <c r="IN12" i="19" l="1"/>
  <c r="HU29" i="30"/>
  <c r="IO10" i="19"/>
  <c r="IO12" i="19" s="1"/>
  <c r="HV27" i="30"/>
  <c r="HV28" i="30" s="1"/>
  <c r="HL91" i="31"/>
  <c r="HL284" i="31"/>
  <c r="HK337" i="31"/>
  <c r="HL155" i="31"/>
  <c r="HL219" i="31"/>
  <c r="HL29" i="31"/>
  <c r="HJ30" i="30"/>
  <c r="HM334" i="31"/>
  <c r="HM282" i="31"/>
  <c r="HM283" i="31"/>
  <c r="HM154" i="31"/>
  <c r="HM153" i="31"/>
  <c r="HM218" i="31"/>
  <c r="HM217" i="31"/>
  <c r="HM28" i="31"/>
  <c r="HL336" i="31"/>
  <c r="HL335" i="31"/>
  <c r="HN281" i="31"/>
  <c r="HN278" i="31" s="1"/>
  <c r="HM90" i="31"/>
  <c r="HM89" i="31"/>
  <c r="IR41" i="17"/>
  <c r="IR40" i="17"/>
  <c r="HN216" i="31" s="1"/>
  <c r="HN213" i="31" s="1"/>
  <c r="IR39" i="17"/>
  <c r="HN152" i="31" s="1"/>
  <c r="HN149" i="31" s="1"/>
  <c r="IR38" i="17"/>
  <c r="HN88" i="31" s="1"/>
  <c r="HN85" i="31" s="1"/>
  <c r="IR37" i="17"/>
  <c r="HN26" i="31" s="1"/>
  <c r="IQ33" i="17"/>
  <c r="IS28" i="17"/>
  <c r="IS32" i="17"/>
  <c r="IS31" i="17"/>
  <c r="IQ42" i="17"/>
  <c r="IP11" i="19" s="1"/>
  <c r="IS30" i="17"/>
  <c r="IS29" i="17"/>
  <c r="CG10" i="41" l="1"/>
  <c r="CG12" i="41" s="1"/>
  <c r="IO14" i="19"/>
  <c r="HV29" i="30"/>
  <c r="IP10" i="19"/>
  <c r="IP12" i="19" s="1"/>
  <c r="HW27" i="30"/>
  <c r="HW28" i="30" s="1"/>
  <c r="HK30" i="30"/>
  <c r="HM284" i="31"/>
  <c r="HM29" i="31"/>
  <c r="HM91" i="31"/>
  <c r="HL337" i="31"/>
  <c r="HM219" i="31"/>
  <c r="HM155" i="31"/>
  <c r="HN218" i="31"/>
  <c r="HN217" i="31"/>
  <c r="HO152" i="31"/>
  <c r="HO149" i="31" s="1"/>
  <c r="HN154" i="31"/>
  <c r="HN153" i="31"/>
  <c r="HN334" i="31"/>
  <c r="HN28" i="31"/>
  <c r="HO88" i="31"/>
  <c r="HO85" i="31" s="1"/>
  <c r="HO216" i="31"/>
  <c r="HO213" i="31" s="1"/>
  <c r="HN283" i="31"/>
  <c r="HN282" i="31"/>
  <c r="HM336" i="31"/>
  <c r="HN89" i="31"/>
  <c r="HN90" i="31"/>
  <c r="HM335" i="31"/>
  <c r="IS41" i="17"/>
  <c r="HO281" i="31" s="1"/>
  <c r="HO278" i="31" s="1"/>
  <c r="IS40" i="17"/>
  <c r="IS39" i="17"/>
  <c r="IS38" i="17"/>
  <c r="IS37" i="17"/>
  <c r="HO26" i="31" s="1"/>
  <c r="I33" i="19"/>
  <c r="IR33" i="17"/>
  <c r="IT32" i="17"/>
  <c r="IT30" i="17"/>
  <c r="IT31" i="17"/>
  <c r="IT28" i="17"/>
  <c r="IT29" i="17"/>
  <c r="IR42" i="17"/>
  <c r="IQ11" i="19" s="1"/>
  <c r="CG14" i="41" l="1"/>
  <c r="IP14" i="19"/>
  <c r="IQ10" i="19"/>
  <c r="IQ12" i="19" s="1"/>
  <c r="HX27" i="30"/>
  <c r="HX28" i="30" s="1"/>
  <c r="HW29" i="30"/>
  <c r="HL30" i="30"/>
  <c r="HN219" i="31"/>
  <c r="HM337" i="31"/>
  <c r="HN29" i="31"/>
  <c r="HN155" i="31"/>
  <c r="HN91" i="31"/>
  <c r="HN284" i="31"/>
  <c r="F260" i="31" s="1"/>
  <c r="L7" i="31" s="1"/>
  <c r="HO334" i="31"/>
  <c r="HO28" i="31"/>
  <c r="HO217" i="31"/>
  <c r="HO218" i="31"/>
  <c r="HO154" i="31"/>
  <c r="HO153" i="31"/>
  <c r="HO90" i="31"/>
  <c r="HO89" i="31"/>
  <c r="HN335" i="31"/>
  <c r="HN336" i="31"/>
  <c r="HO282" i="31"/>
  <c r="HO283" i="31"/>
  <c r="IT41" i="17"/>
  <c r="HP281" i="31" s="1"/>
  <c r="HP278" i="31" s="1"/>
  <c r="IT40" i="17"/>
  <c r="HP216" i="31" s="1"/>
  <c r="HP213" i="31" s="1"/>
  <c r="IT39" i="17"/>
  <c r="HP152" i="31" s="1"/>
  <c r="HP149" i="31" s="1"/>
  <c r="IT38" i="17"/>
  <c r="HP88" i="31" s="1"/>
  <c r="HP85" i="31" s="1"/>
  <c r="IT37" i="17"/>
  <c r="HP26" i="31" s="1"/>
  <c r="IS42" i="17"/>
  <c r="IR11" i="19" s="1"/>
  <c r="CH11" i="41" s="1"/>
  <c r="IS33" i="17"/>
  <c r="IU31" i="17"/>
  <c r="IU29" i="17"/>
  <c r="IU32" i="17"/>
  <c r="IU30" i="17"/>
  <c r="IU28" i="17"/>
  <c r="IQ14" i="19" l="1"/>
  <c r="IR10" i="19"/>
  <c r="IR12" i="19" s="1"/>
  <c r="HY27" i="30"/>
  <c r="HY28" i="30" s="1"/>
  <c r="HX29" i="30"/>
  <c r="R37" i="26"/>
  <c r="R38" i="26" s="1"/>
  <c r="L8" i="31"/>
  <c r="HO29" i="31"/>
  <c r="HO155" i="31"/>
  <c r="HO284" i="31"/>
  <c r="HO219" i="31"/>
  <c r="HM30" i="30"/>
  <c r="HN337" i="31"/>
  <c r="HO91" i="31"/>
  <c r="HP334" i="31"/>
  <c r="HP28" i="31"/>
  <c r="HP89" i="31"/>
  <c r="HP90" i="31"/>
  <c r="HP218" i="31"/>
  <c r="HP217" i="31"/>
  <c r="HP154" i="31"/>
  <c r="HP153" i="31"/>
  <c r="HP283" i="31"/>
  <c r="HP282" i="31"/>
  <c r="HO335" i="31"/>
  <c r="HO336" i="31"/>
  <c r="IU41" i="17"/>
  <c r="HQ281" i="31" s="1"/>
  <c r="HQ278" i="31" s="1"/>
  <c r="IU40" i="17"/>
  <c r="HQ216" i="31" s="1"/>
  <c r="HQ213" i="31" s="1"/>
  <c r="IU39" i="17"/>
  <c r="HQ152" i="31" s="1"/>
  <c r="HQ149" i="31" s="1"/>
  <c r="IU38" i="17"/>
  <c r="HQ88" i="31" s="1"/>
  <c r="HQ85" i="31" s="1"/>
  <c r="IU37" i="17"/>
  <c r="HQ26" i="31" s="1"/>
  <c r="J33" i="19"/>
  <c r="IV30" i="17"/>
  <c r="IT42" i="17"/>
  <c r="IS11" i="19" s="1"/>
  <c r="IT33" i="17"/>
  <c r="IV32" i="17"/>
  <c r="IV28" i="17"/>
  <c r="IV31" i="17"/>
  <c r="IV29" i="17"/>
  <c r="IR14" i="19" l="1"/>
  <c r="CH10" i="41"/>
  <c r="CH14" i="41" s="1"/>
  <c r="HY29" i="30"/>
  <c r="IS10" i="19"/>
  <c r="IS12" i="19" s="1"/>
  <c r="HZ27" i="30"/>
  <c r="HZ28" i="30" s="1"/>
  <c r="HP219" i="31"/>
  <c r="HP155" i="31"/>
  <c r="HP284" i="31"/>
  <c r="HP91" i="31"/>
  <c r="HP29" i="31"/>
  <c r="HN30" i="30"/>
  <c r="HO337" i="31"/>
  <c r="HQ90" i="31"/>
  <c r="HQ89" i="31"/>
  <c r="HQ334" i="31"/>
  <c r="HQ28" i="31"/>
  <c r="HQ218" i="31"/>
  <c r="HQ217" i="31"/>
  <c r="HQ283" i="31"/>
  <c r="HQ282" i="31"/>
  <c r="HQ153" i="31"/>
  <c r="HQ154" i="31"/>
  <c r="HR26" i="31"/>
  <c r="HP335" i="31"/>
  <c r="HP336" i="31"/>
  <c r="IV41" i="17"/>
  <c r="HR281" i="31" s="1"/>
  <c r="HR278" i="31" s="1"/>
  <c r="IV40" i="17"/>
  <c r="HR216" i="31" s="1"/>
  <c r="HR213" i="31" s="1"/>
  <c r="IV39" i="17"/>
  <c r="HR152" i="31" s="1"/>
  <c r="HR149" i="31" s="1"/>
  <c r="IV38" i="17"/>
  <c r="HR88" i="31" s="1"/>
  <c r="HR85" i="31" s="1"/>
  <c r="IV37" i="17"/>
  <c r="IU33" i="17"/>
  <c r="IU42" i="17"/>
  <c r="IT11" i="19" s="1"/>
  <c r="IW28" i="17"/>
  <c r="IW31" i="17"/>
  <c r="IW32" i="17"/>
  <c r="IW30" i="17"/>
  <c r="IW29" i="17"/>
  <c r="CH12" i="41" l="1"/>
  <c r="IS14" i="19"/>
  <c r="IT10" i="19"/>
  <c r="IT12" i="19" s="1"/>
  <c r="IA27" i="30"/>
  <c r="IA28" i="30" s="1"/>
  <c r="HZ29" i="30"/>
  <c r="HQ284" i="31"/>
  <c r="HQ29" i="31"/>
  <c r="HP337" i="31"/>
  <c r="HO30" i="30"/>
  <c r="HQ219" i="31"/>
  <c r="HQ155" i="31"/>
  <c r="HQ91" i="31"/>
  <c r="HR283" i="31"/>
  <c r="HR282" i="31"/>
  <c r="HR153" i="31"/>
  <c r="HR154" i="31"/>
  <c r="HQ335" i="31"/>
  <c r="HS26" i="31"/>
  <c r="HR334" i="31"/>
  <c r="HR28" i="31"/>
  <c r="HQ336" i="31"/>
  <c r="HR89" i="31"/>
  <c r="HR90" i="31"/>
  <c r="HS88" i="31"/>
  <c r="HS85" i="31" s="1"/>
  <c r="HS216" i="31"/>
  <c r="HS213" i="31" s="1"/>
  <c r="HR218" i="31"/>
  <c r="HR217" i="31"/>
  <c r="IW41" i="17"/>
  <c r="HS281" i="31" s="1"/>
  <c r="HS278" i="31" s="1"/>
  <c r="IW40" i="17"/>
  <c r="IW39" i="17"/>
  <c r="HS152" i="31" s="1"/>
  <c r="HS149" i="31" s="1"/>
  <c r="IW38" i="17"/>
  <c r="IW37" i="17"/>
  <c r="K33" i="19"/>
  <c r="IV42" i="17"/>
  <c r="IU11" i="19" s="1"/>
  <c r="CI11" i="41" s="1"/>
  <c r="IX29" i="17"/>
  <c r="IX28" i="17"/>
  <c r="IX31" i="17"/>
  <c r="IX30" i="17"/>
  <c r="IV33" i="17"/>
  <c r="IX32" i="17"/>
  <c r="IT14" i="19" l="1"/>
  <c r="IU10" i="19"/>
  <c r="IU12" i="19" s="1"/>
  <c r="IB27" i="30"/>
  <c r="IB28" i="30" s="1"/>
  <c r="IA29" i="30"/>
  <c r="HR284" i="31"/>
  <c r="HQ337" i="31"/>
  <c r="HR336" i="31"/>
  <c r="HR155" i="31"/>
  <c r="HR91" i="31"/>
  <c r="HR219" i="31"/>
  <c r="HP30" i="30"/>
  <c r="HS282" i="31"/>
  <c r="HS283" i="31"/>
  <c r="HS153" i="31"/>
  <c r="HS154" i="31"/>
  <c r="HT281" i="31"/>
  <c r="HT278" i="31" s="1"/>
  <c r="HR335" i="31"/>
  <c r="HT216" i="31"/>
  <c r="HT213" i="31" s="1"/>
  <c r="HS334" i="31"/>
  <c r="HS28" i="31"/>
  <c r="HT26" i="31"/>
  <c r="HS217" i="31"/>
  <c r="HS218" i="31"/>
  <c r="HS89" i="31"/>
  <c r="HS90" i="31"/>
  <c r="HR29" i="31"/>
  <c r="IX41" i="17"/>
  <c r="IX40" i="17"/>
  <c r="IX39" i="17"/>
  <c r="HT152" i="31" s="1"/>
  <c r="HT149" i="31" s="1"/>
  <c r="IX38" i="17"/>
  <c r="HT88" i="31" s="1"/>
  <c r="HT85" i="31" s="1"/>
  <c r="IX37" i="17"/>
  <c r="IY28" i="17"/>
  <c r="IY29" i="17"/>
  <c r="IY31" i="17"/>
  <c r="IW42" i="17"/>
  <c r="IV11" i="19" s="1"/>
  <c r="IW33" i="17"/>
  <c r="IY32" i="17"/>
  <c r="IY30" i="17"/>
  <c r="IU14" i="19" l="1"/>
  <c r="CI10" i="41"/>
  <c r="CI12" i="41" s="1"/>
  <c r="IV10" i="19"/>
  <c r="IV12" i="19" s="1"/>
  <c r="IC27" i="30"/>
  <c r="IC28" i="30" s="1"/>
  <c r="IB29" i="30"/>
  <c r="HQ30" i="30"/>
  <c r="HR337" i="31"/>
  <c r="HS284" i="31"/>
  <c r="HS91" i="31"/>
  <c r="HS155" i="31"/>
  <c r="HS219" i="31"/>
  <c r="HS29" i="31"/>
  <c r="HS335" i="31"/>
  <c r="HT154" i="31"/>
  <c r="HT153" i="31"/>
  <c r="HU152" i="31"/>
  <c r="HU149" i="31" s="1"/>
  <c r="HU26" i="31"/>
  <c r="HT217" i="31"/>
  <c r="HT218" i="31"/>
  <c r="HU281" i="31"/>
  <c r="HU278" i="31" s="1"/>
  <c r="HT334" i="31"/>
  <c r="HT28" i="31"/>
  <c r="HT90" i="31"/>
  <c r="HT89" i="31"/>
  <c r="HU216" i="31"/>
  <c r="HU213" i="31" s="1"/>
  <c r="HS336" i="31"/>
  <c r="HT282" i="31"/>
  <c r="HT283" i="31"/>
  <c r="IY41" i="17"/>
  <c r="IY40" i="17"/>
  <c r="IY39" i="17"/>
  <c r="IY38" i="17"/>
  <c r="HU88" i="31" s="1"/>
  <c r="HU85" i="31" s="1"/>
  <c r="IY37" i="17"/>
  <c r="L33" i="19"/>
  <c r="IX42" i="17"/>
  <c r="IW11" i="19" s="1"/>
  <c r="IZ30" i="17"/>
  <c r="IX33" i="17"/>
  <c r="IZ28" i="17"/>
  <c r="IZ31" i="17"/>
  <c r="IZ32" i="17"/>
  <c r="IZ29" i="17"/>
  <c r="IV14" i="19" l="1"/>
  <c r="K6" i="30"/>
  <c r="K5" i="30"/>
  <c r="CI14" i="41"/>
  <c r="IW10" i="19"/>
  <c r="IW14" i="19" s="1"/>
  <c r="ID27" i="30"/>
  <c r="ID28" i="30" s="1"/>
  <c r="IC29" i="30"/>
  <c r="HT219" i="31"/>
  <c r="HT91" i="31"/>
  <c r="HS337" i="31"/>
  <c r="HT155" i="31"/>
  <c r="HR30" i="30"/>
  <c r="HT284" i="31"/>
  <c r="HT29" i="31"/>
  <c r="HU89" i="31"/>
  <c r="HU90" i="31"/>
  <c r="HU218" i="31"/>
  <c r="HU217" i="31"/>
  <c r="HU282" i="31"/>
  <c r="HU283" i="31"/>
  <c r="HU334" i="31"/>
  <c r="HU28" i="31"/>
  <c r="HT336" i="31"/>
  <c r="HU153" i="31"/>
  <c r="HU154" i="31"/>
  <c r="HV152" i="31"/>
  <c r="HV149" i="31" s="1"/>
  <c r="HT335" i="31"/>
  <c r="IZ41" i="17"/>
  <c r="HV281" i="31" s="1"/>
  <c r="HV278" i="31" s="1"/>
  <c r="IZ40" i="17"/>
  <c r="HV216" i="31" s="1"/>
  <c r="HV213" i="31" s="1"/>
  <c r="IZ39" i="17"/>
  <c r="IZ38" i="17"/>
  <c r="HV88" i="31" s="1"/>
  <c r="HV85" i="31" s="1"/>
  <c r="IZ37" i="17"/>
  <c r="HV26" i="31" s="1"/>
  <c r="JA31" i="17"/>
  <c r="JA32" i="17"/>
  <c r="JA30" i="17"/>
  <c r="IY42" i="17"/>
  <c r="IX11" i="19" s="1"/>
  <c r="CJ11" i="41" s="1"/>
  <c r="IY33" i="17"/>
  <c r="JA28" i="17"/>
  <c r="JA29" i="17"/>
  <c r="IW12" i="19" l="1"/>
  <c r="ID29" i="30"/>
  <c r="IX10" i="19"/>
  <c r="CJ10" i="41" s="1"/>
  <c r="CJ12" i="41" s="1"/>
  <c r="IE27" i="30"/>
  <c r="IE28" i="30" s="1"/>
  <c r="HT337" i="31"/>
  <c r="HU91" i="31"/>
  <c r="HU155" i="31"/>
  <c r="HU219" i="31"/>
  <c r="HS30" i="30"/>
  <c r="HU284" i="31"/>
  <c r="HU335" i="31"/>
  <c r="HV217" i="31"/>
  <c r="HV218" i="31"/>
  <c r="HV334" i="31"/>
  <c r="HV28" i="31"/>
  <c r="HV90" i="31"/>
  <c r="HV89" i="31"/>
  <c r="HW26" i="31"/>
  <c r="HW281" i="31"/>
  <c r="HW278" i="31" s="1"/>
  <c r="HV283" i="31"/>
  <c r="HV282" i="31"/>
  <c r="HU29" i="31"/>
  <c r="HW88" i="31"/>
  <c r="HW85" i="31" s="1"/>
  <c r="HV154" i="31"/>
  <c r="HV153" i="31"/>
  <c r="HU336" i="31"/>
  <c r="JA41" i="17"/>
  <c r="JA40" i="17"/>
  <c r="HW216" i="31" s="1"/>
  <c r="HW213" i="31" s="1"/>
  <c r="JA39" i="17"/>
  <c r="HW152" i="31" s="1"/>
  <c r="HW149" i="31" s="1"/>
  <c r="JA38" i="17"/>
  <c r="JA37" i="17"/>
  <c r="M33" i="19"/>
  <c r="C35" i="19"/>
  <c r="C35" i="41" s="1"/>
  <c r="IZ42" i="17"/>
  <c r="IY11" i="19" s="1"/>
  <c r="JB31" i="17"/>
  <c r="JB30" i="17"/>
  <c r="JB28" i="17"/>
  <c r="IZ33" i="17"/>
  <c r="JB32" i="17"/>
  <c r="JB29" i="17"/>
  <c r="IX14" i="19" l="1"/>
  <c r="CJ14" i="41"/>
  <c r="IX12" i="19"/>
  <c r="IE29" i="30"/>
  <c r="IY10" i="19"/>
  <c r="IY12" i="19" s="1"/>
  <c r="IF27" i="30"/>
  <c r="IF28" i="30" s="1"/>
  <c r="HV219" i="31"/>
  <c r="HV284" i="31"/>
  <c r="HU337" i="31"/>
  <c r="HV91" i="31"/>
  <c r="HV29" i="31"/>
  <c r="HT30" i="30"/>
  <c r="HV155" i="31"/>
  <c r="HW218" i="31"/>
  <c r="HW217" i="31"/>
  <c r="HW282" i="31"/>
  <c r="HW283" i="31"/>
  <c r="HW334" i="31"/>
  <c r="HW28" i="31"/>
  <c r="HV336" i="31"/>
  <c r="HV335" i="31"/>
  <c r="HW153" i="31"/>
  <c r="HW154" i="31"/>
  <c r="HW89" i="31"/>
  <c r="HW90" i="31"/>
  <c r="HX88" i="31"/>
  <c r="HX85" i="31" s="1"/>
  <c r="JB41" i="17"/>
  <c r="HX281" i="31" s="1"/>
  <c r="HX278" i="31" s="1"/>
  <c r="JB40" i="17"/>
  <c r="HX216" i="31" s="1"/>
  <c r="HX213" i="31" s="1"/>
  <c r="JB39" i="17"/>
  <c r="HX152" i="31" s="1"/>
  <c r="HX149" i="31" s="1"/>
  <c r="JB38" i="17"/>
  <c r="JB37" i="17"/>
  <c r="HX26" i="31" s="1"/>
  <c r="JA33" i="17"/>
  <c r="JC29" i="17"/>
  <c r="JC28" i="17"/>
  <c r="JC31" i="17"/>
  <c r="JC30" i="17"/>
  <c r="JC32" i="17"/>
  <c r="JA42" i="17"/>
  <c r="IZ11" i="19" s="1"/>
  <c r="IY14" i="19" l="1"/>
  <c r="IZ10" i="19"/>
  <c r="IZ12" i="19" s="1"/>
  <c r="IG27" i="30"/>
  <c r="IG28" i="30" s="1"/>
  <c r="IF29" i="30"/>
  <c r="HV337" i="31"/>
  <c r="HW219" i="31"/>
  <c r="HW155" i="31"/>
  <c r="HW29" i="31"/>
  <c r="HW91" i="31"/>
  <c r="HW284" i="31"/>
  <c r="HU30" i="30"/>
  <c r="HX334" i="31"/>
  <c r="HX28" i="31"/>
  <c r="HX283" i="31"/>
  <c r="HX282" i="31"/>
  <c r="HX89" i="31"/>
  <c r="HX90" i="31"/>
  <c r="HX218" i="31"/>
  <c r="HX217" i="31"/>
  <c r="HX153" i="31"/>
  <c r="HX154" i="31"/>
  <c r="HY88" i="31"/>
  <c r="HY85" i="31" s="1"/>
  <c r="HW336" i="31"/>
  <c r="HY152" i="31"/>
  <c r="HY149" i="31" s="1"/>
  <c r="HW335" i="31"/>
  <c r="HY216" i="31"/>
  <c r="HY213" i="31" s="1"/>
  <c r="JC41" i="17"/>
  <c r="HY281" i="31" s="1"/>
  <c r="HY278" i="31" s="1"/>
  <c r="JC40" i="17"/>
  <c r="JC39" i="17"/>
  <c r="JC38" i="17"/>
  <c r="JC37" i="17"/>
  <c r="HY26" i="31" s="1"/>
  <c r="N33" i="19"/>
  <c r="D35" i="19"/>
  <c r="JB42" i="17"/>
  <c r="JA11" i="19" s="1"/>
  <c r="CK11" i="41" s="1"/>
  <c r="JD28" i="17"/>
  <c r="JD32" i="17"/>
  <c r="JB33" i="17"/>
  <c r="JD31" i="17"/>
  <c r="JD29" i="17"/>
  <c r="JD30" i="17"/>
  <c r="IZ14" i="19" l="1"/>
  <c r="JA10" i="19"/>
  <c r="JA14" i="19" s="1"/>
  <c r="IH27" i="30"/>
  <c r="IH28" i="30" s="1"/>
  <c r="IG29" i="30"/>
  <c r="HX155" i="31"/>
  <c r="HW337" i="31"/>
  <c r="HX219" i="31"/>
  <c r="HX29" i="31"/>
  <c r="HX91" i="31"/>
  <c r="HX284" i="31"/>
  <c r="HV30" i="30"/>
  <c r="HY334" i="31"/>
  <c r="HY28" i="31"/>
  <c r="HY282" i="31"/>
  <c r="HY283" i="31"/>
  <c r="HY217" i="31"/>
  <c r="HY218" i="31"/>
  <c r="HY90" i="31"/>
  <c r="HY89" i="31"/>
  <c r="HY153" i="31"/>
  <c r="HY154" i="31"/>
  <c r="HX335" i="31"/>
  <c r="HX336" i="31"/>
  <c r="HZ281" i="31"/>
  <c r="HZ278" i="31" s="1"/>
  <c r="JD41" i="17"/>
  <c r="JD40" i="17"/>
  <c r="HZ216" i="31" s="1"/>
  <c r="HZ213" i="31" s="1"/>
  <c r="JD39" i="17"/>
  <c r="HZ152" i="31" s="1"/>
  <c r="HZ149" i="31" s="1"/>
  <c r="JD38" i="17"/>
  <c r="HZ88" i="31" s="1"/>
  <c r="HZ85" i="31" s="1"/>
  <c r="JD37" i="17"/>
  <c r="HZ26" i="31" s="1"/>
  <c r="JE28" i="17"/>
  <c r="JE29" i="17"/>
  <c r="JC42" i="17"/>
  <c r="JB11" i="19" s="1"/>
  <c r="JC33" i="17"/>
  <c r="JE31" i="17"/>
  <c r="JE30" i="17"/>
  <c r="JE32" i="17"/>
  <c r="CK10" i="41" l="1"/>
  <c r="CK12" i="41" s="1"/>
  <c r="JA12" i="19"/>
  <c r="JB10" i="19"/>
  <c r="JB12" i="19" s="1"/>
  <c r="II27" i="30"/>
  <c r="II28" i="30" s="1"/>
  <c r="IH29" i="30"/>
  <c r="HY155" i="31"/>
  <c r="HY219" i="31"/>
  <c r="HW30" i="30"/>
  <c r="HY29" i="31"/>
  <c r="HY91" i="31"/>
  <c r="HY284" i="31"/>
  <c r="HX337" i="31"/>
  <c r="HZ90" i="31"/>
  <c r="HZ89" i="31"/>
  <c r="HZ217" i="31"/>
  <c r="HZ218" i="31"/>
  <c r="HZ334" i="31"/>
  <c r="HZ28" i="31"/>
  <c r="HZ154" i="31"/>
  <c r="HZ153" i="31"/>
  <c r="IA88" i="31"/>
  <c r="IA85" i="31" s="1"/>
  <c r="IA26" i="31"/>
  <c r="HZ283" i="31"/>
  <c r="HZ282" i="31"/>
  <c r="HY335" i="31"/>
  <c r="IA216" i="31"/>
  <c r="IA213" i="31" s="1"/>
  <c r="HY336" i="31"/>
  <c r="IA281" i="31"/>
  <c r="IA278" i="31" s="1"/>
  <c r="JE41" i="17"/>
  <c r="JE40" i="17"/>
  <c r="JE39" i="17"/>
  <c r="IA152" i="31" s="1"/>
  <c r="IA149" i="31" s="1"/>
  <c r="JE38" i="17"/>
  <c r="JE37" i="17"/>
  <c r="O33" i="19"/>
  <c r="E35" i="19"/>
  <c r="JF29" i="17"/>
  <c r="JF31" i="17"/>
  <c r="JF28" i="17"/>
  <c r="JF30" i="17"/>
  <c r="JD33" i="17"/>
  <c r="JF32" i="17"/>
  <c r="JD42" i="17"/>
  <c r="JC11" i="19" s="1"/>
  <c r="CK14" i="41" l="1"/>
  <c r="JB14" i="19"/>
  <c r="JC10" i="19"/>
  <c r="JC12" i="19" s="1"/>
  <c r="IJ27" i="30"/>
  <c r="IJ28" i="30" s="1"/>
  <c r="II29" i="30"/>
  <c r="HZ91" i="31"/>
  <c r="HZ155" i="31"/>
  <c r="HZ29" i="31"/>
  <c r="HZ219" i="31"/>
  <c r="HY337" i="31"/>
  <c r="HX30" i="30"/>
  <c r="HZ284" i="31"/>
  <c r="IA154" i="31"/>
  <c r="IA153" i="31"/>
  <c r="IA283" i="31"/>
  <c r="IA282" i="31"/>
  <c r="IA218" i="31"/>
  <c r="IA217" i="31"/>
  <c r="IA334" i="31"/>
  <c r="IA28" i="31"/>
  <c r="HZ336" i="31"/>
  <c r="IA89" i="31"/>
  <c r="IA90" i="31"/>
  <c r="HZ335" i="31"/>
  <c r="IB26" i="31"/>
  <c r="JF41" i="17"/>
  <c r="IB281" i="31" s="1"/>
  <c r="IB278" i="31" s="1"/>
  <c r="JF40" i="17"/>
  <c r="IB216" i="31" s="1"/>
  <c r="IB213" i="31" s="1"/>
  <c r="JF39" i="17"/>
  <c r="IB152" i="31" s="1"/>
  <c r="IB149" i="31" s="1"/>
  <c r="JF38" i="17"/>
  <c r="IB88" i="31" s="1"/>
  <c r="IB85" i="31" s="1"/>
  <c r="JF37" i="17"/>
  <c r="JG30" i="17"/>
  <c r="JE42" i="17"/>
  <c r="JD11" i="19" s="1"/>
  <c r="CL11" i="41" s="1"/>
  <c r="JG32" i="17"/>
  <c r="JE33" i="17"/>
  <c r="JG28" i="17"/>
  <c r="JG29" i="17"/>
  <c r="JG31" i="17"/>
  <c r="JC14" i="19" l="1"/>
  <c r="JD10" i="19"/>
  <c r="CL10" i="41" s="1"/>
  <c r="IK27" i="30"/>
  <c r="IK28" i="30" s="1"/>
  <c r="IJ29" i="30"/>
  <c r="IA29" i="31"/>
  <c r="IA155" i="31"/>
  <c r="IA284" i="31"/>
  <c r="IA91" i="31"/>
  <c r="HY30" i="30"/>
  <c r="HZ337" i="31"/>
  <c r="IA219" i="31"/>
  <c r="IA336" i="31"/>
  <c r="IB89" i="31"/>
  <c r="IB90" i="31"/>
  <c r="IC216" i="31"/>
  <c r="IC213" i="31" s="1"/>
  <c r="IC88" i="31"/>
  <c r="IC85" i="31" s="1"/>
  <c r="IB154" i="31"/>
  <c r="IB153" i="31"/>
  <c r="IB217" i="31"/>
  <c r="IB218" i="31"/>
  <c r="IB283" i="31"/>
  <c r="IB282" i="31"/>
  <c r="IA335" i="31"/>
  <c r="IB334" i="31"/>
  <c r="IB28" i="31"/>
  <c r="JG41" i="17"/>
  <c r="IC281" i="31" s="1"/>
  <c r="IC278" i="31" s="1"/>
  <c r="JG40" i="17"/>
  <c r="JG39" i="17"/>
  <c r="IC152" i="31" s="1"/>
  <c r="IC149" i="31" s="1"/>
  <c r="JG38" i="17"/>
  <c r="JG37" i="17"/>
  <c r="IC26" i="31" s="1"/>
  <c r="P33" i="19"/>
  <c r="F35" i="19"/>
  <c r="D35" i="41" s="1"/>
  <c r="JF42" i="17"/>
  <c r="JE11" i="19" s="1"/>
  <c r="JF33" i="17"/>
  <c r="JH29" i="17"/>
  <c r="JH28" i="17"/>
  <c r="JH32" i="17"/>
  <c r="JH31" i="17"/>
  <c r="JH30" i="17"/>
  <c r="JD12" i="19" l="1"/>
  <c r="JD14" i="19"/>
  <c r="IK29" i="30"/>
  <c r="JE10" i="19"/>
  <c r="JE12" i="19" s="1"/>
  <c r="IL27" i="30"/>
  <c r="IL28" i="30" s="1"/>
  <c r="IA337" i="31"/>
  <c r="IB284" i="31"/>
  <c r="IB91" i="31"/>
  <c r="IB155" i="31"/>
  <c r="IB29" i="31"/>
  <c r="IB219" i="31"/>
  <c r="HZ30" i="30"/>
  <c r="IC334" i="31"/>
  <c r="IC28" i="31"/>
  <c r="IC282" i="31"/>
  <c r="IC283" i="31"/>
  <c r="IC154" i="31"/>
  <c r="IC153" i="31"/>
  <c r="IC89" i="31"/>
  <c r="IC90" i="31"/>
  <c r="IC217" i="31"/>
  <c r="IC218" i="31"/>
  <c r="IB336" i="31"/>
  <c r="IB335" i="31"/>
  <c r="CL12" i="41"/>
  <c r="CL14" i="41"/>
  <c r="JH41" i="17"/>
  <c r="ID281" i="31" s="1"/>
  <c r="ID278" i="31" s="1"/>
  <c r="JH40" i="17"/>
  <c r="ID216" i="31" s="1"/>
  <c r="ID213" i="31" s="1"/>
  <c r="JH39" i="17"/>
  <c r="ID152" i="31" s="1"/>
  <c r="ID149" i="31" s="1"/>
  <c r="JH38" i="17"/>
  <c r="ID88" i="31" s="1"/>
  <c r="ID85" i="31" s="1"/>
  <c r="JH37" i="17"/>
  <c r="ID26" i="31" s="1"/>
  <c r="JG33" i="17"/>
  <c r="JI31" i="17"/>
  <c r="JG42" i="17"/>
  <c r="JF11" i="19" s="1"/>
  <c r="JI28" i="17"/>
  <c r="JI30" i="17"/>
  <c r="JI29" i="17"/>
  <c r="JI32" i="17"/>
  <c r="JE14" i="19" l="1"/>
  <c r="JF10" i="19"/>
  <c r="JF12" i="19" s="1"/>
  <c r="IM27" i="30"/>
  <c r="IM28" i="30" s="1"/>
  <c r="IL29" i="30"/>
  <c r="IC29" i="31"/>
  <c r="IB337" i="31"/>
  <c r="IC219" i="31"/>
  <c r="IA30" i="30"/>
  <c r="IC91" i="31"/>
  <c r="IC155" i="31"/>
  <c r="IC284" i="31"/>
  <c r="ID334" i="31"/>
  <c r="ID28" i="31"/>
  <c r="ID90" i="31"/>
  <c r="ID89" i="31"/>
  <c r="ID218" i="31"/>
  <c r="ID217" i="31"/>
  <c r="ID282" i="31"/>
  <c r="ID283" i="31"/>
  <c r="ID154" i="31"/>
  <c r="ID153" i="31"/>
  <c r="IE26" i="31"/>
  <c r="IC336" i="31"/>
  <c r="IE88" i="31"/>
  <c r="IE85" i="31" s="1"/>
  <c r="IC335" i="31"/>
  <c r="JI41" i="17"/>
  <c r="IE281" i="31" s="1"/>
  <c r="IE278" i="31" s="1"/>
  <c r="JI40" i="17"/>
  <c r="IE216" i="31" s="1"/>
  <c r="IE213" i="31" s="1"/>
  <c r="JI39" i="17"/>
  <c r="IE152" i="31" s="1"/>
  <c r="IE149" i="31" s="1"/>
  <c r="JI38" i="17"/>
  <c r="JI37" i="17"/>
  <c r="Q33" i="19"/>
  <c r="G35" i="19"/>
  <c r="JH42" i="17"/>
  <c r="JG11" i="19" s="1"/>
  <c r="CM11" i="41" s="1"/>
  <c r="JJ30" i="17"/>
  <c r="JJ32" i="17"/>
  <c r="JH33" i="17"/>
  <c r="JJ29" i="17"/>
  <c r="JJ28" i="17"/>
  <c r="JJ31" i="17"/>
  <c r="JF14" i="19" l="1"/>
  <c r="JG10" i="19"/>
  <c r="JG12" i="19" s="1"/>
  <c r="IN27" i="30"/>
  <c r="IN28" i="30" s="1"/>
  <c r="IM29" i="30"/>
  <c r="ID91" i="31"/>
  <c r="ID29" i="31"/>
  <c r="IC337" i="31"/>
  <c r="ID155" i="31"/>
  <c r="ID219" i="31"/>
  <c r="IB30" i="30"/>
  <c r="ID284" i="31"/>
  <c r="IE218" i="31"/>
  <c r="IE217" i="31"/>
  <c r="IE154" i="31"/>
  <c r="IE153" i="31"/>
  <c r="IE282" i="31"/>
  <c r="IE283" i="31"/>
  <c r="IF281" i="31"/>
  <c r="IF278" i="31" s="1"/>
  <c r="IE90" i="31"/>
  <c r="IE89" i="31"/>
  <c r="IE334" i="31"/>
  <c r="IE28" i="31"/>
  <c r="ID336" i="31"/>
  <c r="ID335" i="31"/>
  <c r="IF152" i="31"/>
  <c r="IF149" i="31" s="1"/>
  <c r="JJ41" i="17"/>
  <c r="JJ40" i="17"/>
  <c r="IF216" i="31" s="1"/>
  <c r="IF213" i="31" s="1"/>
  <c r="JJ39" i="17"/>
  <c r="JJ38" i="17"/>
  <c r="IF88" i="31" s="1"/>
  <c r="IF85" i="31" s="1"/>
  <c r="JJ37" i="17"/>
  <c r="IF26" i="31" s="1"/>
  <c r="JK32" i="17"/>
  <c r="JK31" i="17"/>
  <c r="JK28" i="17"/>
  <c r="JK30" i="17"/>
  <c r="JI42" i="17"/>
  <c r="JH11" i="19" s="1"/>
  <c r="JI33" i="17"/>
  <c r="JK29" i="17"/>
  <c r="CM10" i="41" l="1"/>
  <c r="CM12" i="41" s="1"/>
  <c r="JG14" i="19"/>
  <c r="JH10" i="19"/>
  <c r="JH12" i="19" s="1"/>
  <c r="IO27" i="30"/>
  <c r="IO28" i="30" s="1"/>
  <c r="IN29" i="30"/>
  <c r="IE155" i="31"/>
  <c r="IE219" i="31"/>
  <c r="IE284" i="31"/>
  <c r="IC30" i="30"/>
  <c r="IE91" i="31"/>
  <c r="ID337" i="31"/>
  <c r="IE336" i="31"/>
  <c r="IF90" i="31"/>
  <c r="IF89" i="31"/>
  <c r="IF218" i="31"/>
  <c r="IF217" i="31"/>
  <c r="IF334" i="31"/>
  <c r="IF28" i="31"/>
  <c r="IG26" i="31"/>
  <c r="IE29" i="31"/>
  <c r="IF282" i="31"/>
  <c r="IF283" i="31"/>
  <c r="IE335" i="31"/>
  <c r="IG281" i="31"/>
  <c r="IG278" i="31" s="1"/>
  <c r="IF154" i="31"/>
  <c r="IF153" i="31"/>
  <c r="JK41" i="17"/>
  <c r="JK40" i="17"/>
  <c r="IG216" i="31" s="1"/>
  <c r="IG213" i="31" s="1"/>
  <c r="JK39" i="17"/>
  <c r="IG152" i="31" s="1"/>
  <c r="IG149" i="31" s="1"/>
  <c r="JK38" i="17"/>
  <c r="IG88" i="31" s="1"/>
  <c r="IG85" i="31" s="1"/>
  <c r="JK37" i="17"/>
  <c r="R33" i="19"/>
  <c r="H35" i="19"/>
  <c r="JL31" i="17"/>
  <c r="JL29" i="17"/>
  <c r="JL32" i="17"/>
  <c r="JL28" i="17"/>
  <c r="JJ33" i="17"/>
  <c r="JJ42" i="17"/>
  <c r="JI11" i="19" s="1"/>
  <c r="JL30" i="17"/>
  <c r="CM14" i="41" l="1"/>
  <c r="JH14" i="19"/>
  <c r="IO29" i="30"/>
  <c r="JI10" i="19"/>
  <c r="JI12" i="19" s="1"/>
  <c r="IP27" i="30"/>
  <c r="IP28" i="30" s="1"/>
  <c r="IF284" i="31"/>
  <c r="IF155" i="31"/>
  <c r="IF91" i="31"/>
  <c r="IE337" i="31"/>
  <c r="IF29" i="31"/>
  <c r="IF219" i="31"/>
  <c r="ID30" i="30"/>
  <c r="IG153" i="31"/>
  <c r="IG154" i="31"/>
  <c r="IG218" i="31"/>
  <c r="IG217" i="31"/>
  <c r="IG334" i="31"/>
  <c r="IG28" i="31"/>
  <c r="IG90" i="31"/>
  <c r="IG89" i="31"/>
  <c r="IH88" i="31"/>
  <c r="IH85" i="31" s="1"/>
  <c r="IF336" i="31"/>
  <c r="IG282" i="31"/>
  <c r="IG283" i="31"/>
  <c r="IF335" i="31"/>
  <c r="IH152" i="31"/>
  <c r="IH149" i="31" s="1"/>
  <c r="IH281" i="31"/>
  <c r="IH278" i="31" s="1"/>
  <c r="JL41" i="17"/>
  <c r="JL40" i="17"/>
  <c r="IH216" i="31" s="1"/>
  <c r="IH213" i="31" s="1"/>
  <c r="JL39" i="17"/>
  <c r="JL38" i="17"/>
  <c r="JL37" i="17"/>
  <c r="IH26" i="31" s="1"/>
  <c r="JK42" i="17"/>
  <c r="JJ11" i="19" s="1"/>
  <c r="CN11" i="41" s="1"/>
  <c r="JM32" i="17"/>
  <c r="JM30" i="17"/>
  <c r="JM28" i="17"/>
  <c r="JM29" i="17"/>
  <c r="JK33" i="17"/>
  <c r="JM31" i="17"/>
  <c r="JI14" i="19" l="1"/>
  <c r="IP29" i="30"/>
  <c r="JJ10" i="19"/>
  <c r="CN10" i="41" s="1"/>
  <c r="CN12" i="41" s="1"/>
  <c r="IQ27" i="30"/>
  <c r="IQ28" i="30" s="1"/>
  <c r="IG29" i="31"/>
  <c r="IG91" i="31"/>
  <c r="IG155" i="31"/>
  <c r="IG284" i="31"/>
  <c r="IE30" i="30"/>
  <c r="IG219" i="31"/>
  <c r="IF337" i="31"/>
  <c r="IH334" i="31"/>
  <c r="IH28" i="31"/>
  <c r="IH153" i="31"/>
  <c r="IH154" i="31"/>
  <c r="IH217" i="31"/>
  <c r="IH218" i="31"/>
  <c r="IH90" i="31"/>
  <c r="IH89" i="31"/>
  <c r="II281" i="31"/>
  <c r="II278" i="31" s="1"/>
  <c r="IH283" i="31"/>
  <c r="IH282" i="31"/>
  <c r="IG336" i="31"/>
  <c r="II88" i="31"/>
  <c r="II85" i="31" s="1"/>
  <c r="IG335" i="31"/>
  <c r="JM41" i="17"/>
  <c r="JM40" i="17"/>
  <c r="II216" i="31" s="1"/>
  <c r="II213" i="31" s="1"/>
  <c r="JM39" i="17"/>
  <c r="II152" i="31" s="1"/>
  <c r="II149" i="31" s="1"/>
  <c r="JM38" i="17"/>
  <c r="JM37" i="17"/>
  <c r="II26" i="31" s="1"/>
  <c r="S33" i="19"/>
  <c r="I35" i="19"/>
  <c r="JN29" i="17"/>
  <c r="JL42" i="17"/>
  <c r="JK11" i="19" s="1"/>
  <c r="JN28" i="17"/>
  <c r="JN32" i="17"/>
  <c r="JL33" i="17"/>
  <c r="JN31" i="17"/>
  <c r="JN30" i="17"/>
  <c r="JJ14" i="19" l="1"/>
  <c r="JJ12" i="19"/>
  <c r="IQ29" i="30"/>
  <c r="JK10" i="19"/>
  <c r="JK12" i="19" s="1"/>
  <c r="IR27" i="30"/>
  <c r="IR28" i="30" s="1"/>
  <c r="CN14" i="41"/>
  <c r="IH29" i="31"/>
  <c r="IH219" i="31"/>
  <c r="IH284" i="31"/>
  <c r="IH155" i="31"/>
  <c r="IH91" i="31"/>
  <c r="IF30" i="30"/>
  <c r="IG337" i="31"/>
  <c r="II154" i="31"/>
  <c r="II153" i="31"/>
  <c r="II218" i="31"/>
  <c r="II217" i="31"/>
  <c r="II334" i="31"/>
  <c r="II28" i="31"/>
  <c r="IJ281" i="31"/>
  <c r="IJ278" i="31" s="1"/>
  <c r="IJ216" i="31"/>
  <c r="IJ213" i="31" s="1"/>
  <c r="II282" i="31"/>
  <c r="II283" i="31"/>
  <c r="II89" i="31"/>
  <c r="II90" i="31"/>
  <c r="IH336" i="31"/>
  <c r="IH335" i="31"/>
  <c r="JN41" i="17"/>
  <c r="JN40" i="17"/>
  <c r="JN39" i="17"/>
  <c r="IJ152" i="31" s="1"/>
  <c r="IJ149" i="31" s="1"/>
  <c r="JN38" i="17"/>
  <c r="IJ88" i="31" s="1"/>
  <c r="IJ85" i="31" s="1"/>
  <c r="JN37" i="17"/>
  <c r="IJ26" i="31" s="1"/>
  <c r="JM42" i="17"/>
  <c r="JL11" i="19" s="1"/>
  <c r="JM33" i="17"/>
  <c r="JO28" i="17"/>
  <c r="JO31" i="17"/>
  <c r="JO32" i="17"/>
  <c r="JO29" i="17"/>
  <c r="JO30" i="17"/>
  <c r="JK14" i="19" l="1"/>
  <c r="IR29" i="30"/>
  <c r="JL10" i="19"/>
  <c r="JL12" i="19" s="1"/>
  <c r="IS27" i="30"/>
  <c r="IS28" i="30" s="1"/>
  <c r="II91" i="31"/>
  <c r="IG30" i="30"/>
  <c r="II219" i="31"/>
  <c r="II155" i="31"/>
  <c r="II29" i="31"/>
  <c r="IH337" i="31"/>
  <c r="II284" i="31"/>
  <c r="IJ334" i="31"/>
  <c r="IJ28" i="31"/>
  <c r="IK216" i="31"/>
  <c r="IK213" i="31" s="1"/>
  <c r="IJ218" i="31"/>
  <c r="IJ217" i="31"/>
  <c r="IJ283" i="31"/>
  <c r="IJ282" i="31"/>
  <c r="IJ89" i="31"/>
  <c r="IJ90" i="31"/>
  <c r="IK26" i="31"/>
  <c r="IJ153" i="31"/>
  <c r="IJ154" i="31"/>
  <c r="II336" i="31"/>
  <c r="II335" i="31"/>
  <c r="IK281" i="31"/>
  <c r="IK278" i="31" s="1"/>
  <c r="JO41" i="17"/>
  <c r="JO40" i="17"/>
  <c r="JO39" i="17"/>
  <c r="IK152" i="31" s="1"/>
  <c r="IK149" i="31" s="1"/>
  <c r="JO38" i="17"/>
  <c r="IK88" i="31" s="1"/>
  <c r="IK85" i="31" s="1"/>
  <c r="JO37" i="17"/>
  <c r="T33" i="19"/>
  <c r="J35" i="19"/>
  <c r="JN33" i="17"/>
  <c r="JP32" i="17"/>
  <c r="JN42" i="17"/>
  <c r="JM11" i="19" s="1"/>
  <c r="CO11" i="41" s="1"/>
  <c r="JP28" i="17"/>
  <c r="JP30" i="17"/>
  <c r="JP31" i="17"/>
  <c r="JP29" i="17"/>
  <c r="JL14" i="19" l="1"/>
  <c r="IS29" i="30"/>
  <c r="JM10" i="19"/>
  <c r="JM12" i="19" s="1"/>
  <c r="IT27" i="30"/>
  <c r="IT28" i="30" s="1"/>
  <c r="IJ91" i="31"/>
  <c r="IJ29" i="31"/>
  <c r="II337" i="31"/>
  <c r="IH30" i="30"/>
  <c r="IJ284" i="31"/>
  <c r="IJ155" i="31"/>
  <c r="IJ219" i="31"/>
  <c r="IK154" i="31"/>
  <c r="IK153" i="31"/>
  <c r="IK89" i="31"/>
  <c r="IK90" i="31"/>
  <c r="IK283" i="31"/>
  <c r="IK282" i="31"/>
  <c r="IK218" i="31"/>
  <c r="IK217" i="31"/>
  <c r="IL216" i="31"/>
  <c r="IL213" i="31" s="1"/>
  <c r="IJ336" i="31"/>
  <c r="IK334" i="31"/>
  <c r="IK28" i="31"/>
  <c r="IJ335" i="31"/>
  <c r="IL152" i="31"/>
  <c r="IL149" i="31" s="1"/>
  <c r="JP41" i="17"/>
  <c r="IL281" i="31" s="1"/>
  <c r="IL278" i="31" s="1"/>
  <c r="JP40" i="17"/>
  <c r="JP39" i="17"/>
  <c r="JP38" i="17"/>
  <c r="IL88" i="31" s="1"/>
  <c r="IL85" i="31" s="1"/>
  <c r="JP37" i="17"/>
  <c r="IL26" i="31" s="1"/>
  <c r="JO42" i="17"/>
  <c r="JN11" i="19" s="1"/>
  <c r="JQ29" i="17"/>
  <c r="JQ31" i="17"/>
  <c r="JO33" i="17"/>
  <c r="JQ28" i="17"/>
  <c r="JQ30" i="17"/>
  <c r="JQ32" i="17"/>
  <c r="CO10" i="41" l="1"/>
  <c r="CO12" i="41" s="1"/>
  <c r="JM14" i="19"/>
  <c r="IT29" i="30"/>
  <c r="JN10" i="19"/>
  <c r="JN14" i="19" s="1"/>
  <c r="IU27" i="30"/>
  <c r="IU28" i="30" s="1"/>
  <c r="IK284" i="31"/>
  <c r="IK91" i="31"/>
  <c r="IJ337" i="31"/>
  <c r="IK155" i="31"/>
  <c r="II30" i="30"/>
  <c r="IK219" i="31"/>
  <c r="IK335" i="31"/>
  <c r="IL90" i="31"/>
  <c r="IL89" i="31"/>
  <c r="IL283" i="31"/>
  <c r="IL282" i="31"/>
  <c r="IL334" i="31"/>
  <c r="IL28" i="31"/>
  <c r="IM281" i="31"/>
  <c r="IM278" i="31" s="1"/>
  <c r="IK336" i="31"/>
  <c r="IM216" i="31"/>
  <c r="IM213" i="31" s="1"/>
  <c r="IL153" i="31"/>
  <c r="IL154" i="31"/>
  <c r="IM88" i="31"/>
  <c r="IM85" i="31" s="1"/>
  <c r="IL217" i="31"/>
  <c r="IL218" i="31"/>
  <c r="IK29" i="31"/>
  <c r="JQ41" i="17"/>
  <c r="JQ40" i="17"/>
  <c r="JQ39" i="17"/>
  <c r="IM152" i="31" s="1"/>
  <c r="IM149" i="31" s="1"/>
  <c r="JQ38" i="17"/>
  <c r="JQ37" i="17"/>
  <c r="IM26" i="31" s="1"/>
  <c r="U33" i="19"/>
  <c r="K35" i="19"/>
  <c r="JP42" i="17"/>
  <c r="JO11" i="19" s="1"/>
  <c r="JR32" i="17"/>
  <c r="JR28" i="17"/>
  <c r="JP33" i="17"/>
  <c r="JR31" i="17"/>
  <c r="JR30" i="17"/>
  <c r="JR29" i="17"/>
  <c r="CO14" i="41" l="1"/>
  <c r="JN12" i="19"/>
  <c r="IU29" i="30"/>
  <c r="JO10" i="19"/>
  <c r="JO12" i="19" s="1"/>
  <c r="IV27" i="30"/>
  <c r="IV28" i="30" s="1"/>
  <c r="IL29" i="31"/>
  <c r="IL91" i="31"/>
  <c r="IJ30" i="30"/>
  <c r="IL155" i="31"/>
  <c r="IK337" i="31"/>
  <c r="IL284" i="31"/>
  <c r="IL219" i="31"/>
  <c r="IM334" i="31"/>
  <c r="IM28" i="31"/>
  <c r="IM153" i="31"/>
  <c r="IM154" i="31"/>
  <c r="IM217" i="31"/>
  <c r="IM218" i="31"/>
  <c r="IN26" i="31"/>
  <c r="IM282" i="31"/>
  <c r="IM283" i="31"/>
  <c r="IN152" i="31"/>
  <c r="IN149" i="31" s="1"/>
  <c r="IN281" i="31"/>
  <c r="IN278" i="31" s="1"/>
  <c r="IL336" i="31"/>
  <c r="IL335" i="31"/>
  <c r="IM90" i="31"/>
  <c r="IM89" i="31"/>
  <c r="JR41" i="17"/>
  <c r="JR40" i="17"/>
  <c r="IN216" i="31" s="1"/>
  <c r="IN213" i="31" s="1"/>
  <c r="JR39" i="17"/>
  <c r="JR38" i="17"/>
  <c r="IN88" i="31" s="1"/>
  <c r="IN85" i="31" s="1"/>
  <c r="JR37" i="17"/>
  <c r="JQ42" i="17"/>
  <c r="JP11" i="19" s="1"/>
  <c r="CP11" i="41" s="1"/>
  <c r="JS29" i="17"/>
  <c r="JS28" i="17"/>
  <c r="JS30" i="17"/>
  <c r="JQ33" i="17"/>
  <c r="JS31" i="17"/>
  <c r="JS32" i="17"/>
  <c r="JO14" i="19" l="1"/>
  <c r="IV29" i="30"/>
  <c r="JP10" i="19"/>
  <c r="JP14" i="19" s="1"/>
  <c r="IW27" i="30"/>
  <c r="IW28" i="30" s="1"/>
  <c r="IK30" i="30"/>
  <c r="IM219" i="31"/>
  <c r="IM91" i="31"/>
  <c r="IM29" i="31"/>
  <c r="IM155" i="31"/>
  <c r="IL337" i="31"/>
  <c r="IM284" i="31"/>
  <c r="IN282" i="31"/>
  <c r="IN283" i="31"/>
  <c r="IN334" i="31"/>
  <c r="IN28" i="31"/>
  <c r="IM336" i="31"/>
  <c r="IO26" i="31"/>
  <c r="IN153" i="31"/>
  <c r="IN154" i="31"/>
  <c r="IM335" i="31"/>
  <c r="IN218" i="31"/>
  <c r="IN217" i="31"/>
  <c r="IN90" i="31"/>
  <c r="IN89" i="31"/>
  <c r="JS41" i="17"/>
  <c r="IO281" i="31" s="1"/>
  <c r="IO278" i="31" s="1"/>
  <c r="JS40" i="17"/>
  <c r="IO216" i="31" s="1"/>
  <c r="IO213" i="31" s="1"/>
  <c r="JS39" i="17"/>
  <c r="IO152" i="31" s="1"/>
  <c r="IO149" i="31" s="1"/>
  <c r="JS38" i="17"/>
  <c r="IO88" i="31" s="1"/>
  <c r="IO85" i="31" s="1"/>
  <c r="JS37" i="17"/>
  <c r="V33" i="19"/>
  <c r="L35" i="19"/>
  <c r="JR42" i="17"/>
  <c r="JQ11" i="19" s="1"/>
  <c r="JR33" i="17"/>
  <c r="JT32" i="17"/>
  <c r="JT31" i="17"/>
  <c r="JT30" i="17"/>
  <c r="JT28" i="17"/>
  <c r="JT29" i="17"/>
  <c r="JP12" i="19" l="1"/>
  <c r="CP10" i="41"/>
  <c r="CP12" i="41" s="1"/>
  <c r="IW29" i="30"/>
  <c r="JQ10" i="19"/>
  <c r="JQ14" i="19" s="1"/>
  <c r="IX27" i="30"/>
  <c r="IX28" i="30" s="1"/>
  <c r="IN284" i="31"/>
  <c r="IL30" i="30"/>
  <c r="IN155" i="31"/>
  <c r="IN91" i="31"/>
  <c r="IM337" i="31"/>
  <c r="IN335" i="31"/>
  <c r="IN219" i="31"/>
  <c r="IO217" i="31"/>
  <c r="IO218" i="31"/>
  <c r="IO154" i="31"/>
  <c r="IO153" i="31"/>
  <c r="IO282" i="31"/>
  <c r="IO283" i="31"/>
  <c r="IO334" i="31"/>
  <c r="IO28" i="31"/>
  <c r="IN336" i="31"/>
  <c r="IP281" i="31"/>
  <c r="IP278" i="31" s="1"/>
  <c r="IO89" i="31"/>
  <c r="IO90" i="31"/>
  <c r="IP26" i="31"/>
  <c r="IN29" i="31"/>
  <c r="JT41" i="17"/>
  <c r="JT40" i="17"/>
  <c r="IP216" i="31" s="1"/>
  <c r="IP213" i="31" s="1"/>
  <c r="JT39" i="17"/>
  <c r="IP152" i="31" s="1"/>
  <c r="IP149" i="31" s="1"/>
  <c r="JT38" i="17"/>
  <c r="IP88" i="31" s="1"/>
  <c r="IP85" i="31" s="1"/>
  <c r="JT37" i="17"/>
  <c r="JU30" i="17"/>
  <c r="JS42" i="17"/>
  <c r="JR11" i="19" s="1"/>
  <c r="JU28" i="17"/>
  <c r="JU29" i="17"/>
  <c r="JU31" i="17"/>
  <c r="JU32" i="17"/>
  <c r="JS33" i="17"/>
  <c r="CP14" i="41" l="1"/>
  <c r="IX29" i="30"/>
  <c r="JQ12" i="19"/>
  <c r="JR10" i="19"/>
  <c r="JR14" i="19" s="1"/>
  <c r="IY27" i="30"/>
  <c r="IY28" i="30" s="1"/>
  <c r="IO91" i="31"/>
  <c r="IO284" i="31"/>
  <c r="IN337" i="31"/>
  <c r="IO155" i="31"/>
  <c r="IM30" i="30"/>
  <c r="IO335" i="31"/>
  <c r="IO219" i="31"/>
  <c r="IO336" i="31"/>
  <c r="IO29" i="31"/>
  <c r="IP90" i="31"/>
  <c r="IP89" i="31"/>
  <c r="IP154" i="31"/>
  <c r="IP153" i="31"/>
  <c r="IP283" i="31"/>
  <c r="IP282" i="31"/>
  <c r="IP217" i="31"/>
  <c r="IP218" i="31"/>
  <c r="IQ88" i="31"/>
  <c r="IQ85" i="31" s="1"/>
  <c r="IP334" i="31"/>
  <c r="IP28" i="31"/>
  <c r="IQ152" i="31"/>
  <c r="IQ149" i="31" s="1"/>
  <c r="JU41" i="17"/>
  <c r="IQ281" i="31" s="1"/>
  <c r="IQ278" i="31" s="1"/>
  <c r="JU40" i="17"/>
  <c r="IQ216" i="31" s="1"/>
  <c r="IQ213" i="31" s="1"/>
  <c r="JU39" i="17"/>
  <c r="JU38" i="17"/>
  <c r="JU37" i="17"/>
  <c r="IQ26" i="31" s="1"/>
  <c r="W33" i="19"/>
  <c r="M35" i="19"/>
  <c r="JT42" i="17"/>
  <c r="JS11" i="19" s="1"/>
  <c r="CQ11" i="41" s="1"/>
  <c r="JV28" i="17"/>
  <c r="JT33" i="17"/>
  <c r="JV32" i="17"/>
  <c r="JV31" i="17"/>
  <c r="JV29" i="17"/>
  <c r="JV30" i="17"/>
  <c r="JR12" i="19" l="1"/>
  <c r="JS10" i="19"/>
  <c r="JS12" i="19" s="1"/>
  <c r="IZ27" i="30"/>
  <c r="IZ28" i="30" s="1"/>
  <c r="IY29" i="30"/>
  <c r="IO337" i="31"/>
  <c r="IP284" i="31"/>
  <c r="IP91" i="31"/>
  <c r="IP219" i="31"/>
  <c r="IP29" i="31"/>
  <c r="IP155" i="31"/>
  <c r="IN30" i="30"/>
  <c r="IQ334" i="31"/>
  <c r="IQ28" i="31"/>
  <c r="IQ282" i="31"/>
  <c r="IQ283" i="31"/>
  <c r="IQ153" i="31"/>
  <c r="IQ154" i="31"/>
  <c r="IR216" i="31"/>
  <c r="IR213" i="31" s="1"/>
  <c r="IQ218" i="31"/>
  <c r="IQ217" i="31"/>
  <c r="IP335" i="31"/>
  <c r="IR281" i="31"/>
  <c r="IR278" i="31" s="1"/>
  <c r="IP336" i="31"/>
  <c r="IR88" i="31"/>
  <c r="IR85" i="31" s="1"/>
  <c r="IR152" i="31"/>
  <c r="IR149" i="31" s="1"/>
  <c r="IQ90" i="31"/>
  <c r="IQ89" i="31"/>
  <c r="JV41" i="17"/>
  <c r="JV40" i="17"/>
  <c r="JV39" i="17"/>
  <c r="JV38" i="17"/>
  <c r="JV37" i="17"/>
  <c r="IR26" i="31" s="1"/>
  <c r="JW32" i="17"/>
  <c r="JW30" i="17"/>
  <c r="JW31" i="17"/>
  <c r="JW29" i="17"/>
  <c r="JU42" i="17"/>
  <c r="JT11" i="19" s="1"/>
  <c r="JU33" i="17"/>
  <c r="JW28" i="17"/>
  <c r="JS14" i="19" l="1"/>
  <c r="CQ10" i="41"/>
  <c r="CQ12" i="41" s="1"/>
  <c r="JT10" i="19"/>
  <c r="JT12" i="19" s="1"/>
  <c r="JA27" i="30"/>
  <c r="JA28" i="30" s="1"/>
  <c r="IZ29" i="30"/>
  <c r="IQ155" i="31"/>
  <c r="IO30" i="30"/>
  <c r="IQ29" i="31"/>
  <c r="IQ284" i="31"/>
  <c r="IP337" i="31"/>
  <c r="IQ91" i="31"/>
  <c r="IQ219" i="31"/>
  <c r="IR334" i="31"/>
  <c r="IR28" i="31"/>
  <c r="IR218" i="31"/>
  <c r="IR217" i="31"/>
  <c r="IR154" i="31"/>
  <c r="IR153" i="31"/>
  <c r="IR282" i="31"/>
  <c r="IR283" i="31"/>
  <c r="IS216" i="31"/>
  <c r="IS213" i="31" s="1"/>
  <c r="IQ336" i="31"/>
  <c r="IQ335" i="31"/>
  <c r="IR89" i="31"/>
  <c r="IR90" i="31"/>
  <c r="IS152" i="31"/>
  <c r="IS149" i="31" s="1"/>
  <c r="JW41" i="17"/>
  <c r="IS281" i="31" s="1"/>
  <c r="IS278" i="31" s="1"/>
  <c r="JW40" i="17"/>
  <c r="JW39" i="17"/>
  <c r="JW38" i="17"/>
  <c r="IS88" i="31" s="1"/>
  <c r="IS85" i="31" s="1"/>
  <c r="JW37" i="17"/>
  <c r="IS26" i="31" s="1"/>
  <c r="X33" i="19"/>
  <c r="N35" i="19"/>
  <c r="JV33" i="17"/>
  <c r="JV42" i="17"/>
  <c r="JU11" i="19" s="1"/>
  <c r="JX31" i="17"/>
  <c r="JX32" i="17"/>
  <c r="JX29" i="17"/>
  <c r="JX28" i="17"/>
  <c r="JX30" i="17"/>
  <c r="CQ14" i="41" l="1"/>
  <c r="JT14" i="19"/>
  <c r="JU10" i="19"/>
  <c r="JU12" i="19" s="1"/>
  <c r="JB27" i="30"/>
  <c r="JB28" i="30" s="1"/>
  <c r="JA29" i="30"/>
  <c r="IR155" i="31"/>
  <c r="IR91" i="31"/>
  <c r="IR219" i="31"/>
  <c r="IQ337" i="31"/>
  <c r="IR29" i="31"/>
  <c r="IP30" i="30"/>
  <c r="IR284" i="31"/>
  <c r="IS334" i="31"/>
  <c r="IS28" i="31"/>
  <c r="IT281" i="31"/>
  <c r="IT278" i="31" s="1"/>
  <c r="IS90" i="31"/>
  <c r="IS89" i="31"/>
  <c r="IT152" i="31"/>
  <c r="IT149" i="31" s="1"/>
  <c r="IS218" i="31"/>
  <c r="IS217" i="31"/>
  <c r="IS153" i="31"/>
  <c r="IS154" i="31"/>
  <c r="IR335" i="31"/>
  <c r="IS282" i="31"/>
  <c r="IS283" i="31"/>
  <c r="IR336" i="31"/>
  <c r="JX41" i="17"/>
  <c r="JX40" i="17"/>
  <c r="IT216" i="31" s="1"/>
  <c r="IT213" i="31" s="1"/>
  <c r="JX39" i="17"/>
  <c r="JX38" i="17"/>
  <c r="IT88" i="31" s="1"/>
  <c r="IT85" i="31" s="1"/>
  <c r="JX37" i="17"/>
  <c r="IT26" i="31" s="1"/>
  <c r="JW42" i="17"/>
  <c r="JV11" i="19" s="1"/>
  <c r="CR11" i="41" s="1"/>
  <c r="JY28" i="17"/>
  <c r="JW33" i="17"/>
  <c r="JY31" i="17"/>
  <c r="JY32" i="17"/>
  <c r="JY29" i="17"/>
  <c r="JY30" i="17"/>
  <c r="JU14" i="19" l="1"/>
  <c r="JB29" i="30"/>
  <c r="JV10" i="19"/>
  <c r="JV12" i="19" s="1"/>
  <c r="JC27" i="30"/>
  <c r="JC28" i="30" s="1"/>
  <c r="IR337" i="31"/>
  <c r="IS155" i="31"/>
  <c r="IS29" i="31"/>
  <c r="IS284" i="31"/>
  <c r="IS219" i="31"/>
  <c r="IQ30" i="30"/>
  <c r="IS91" i="31"/>
  <c r="IT334" i="31"/>
  <c r="IT28" i="31"/>
  <c r="IT217" i="31"/>
  <c r="IT218" i="31"/>
  <c r="IT283" i="31"/>
  <c r="IT282" i="31"/>
  <c r="IT154" i="31"/>
  <c r="IT153" i="31"/>
  <c r="IT89" i="31"/>
  <c r="IT90" i="31"/>
  <c r="IS335" i="31"/>
  <c r="IU88" i="31"/>
  <c r="IU85" i="31" s="1"/>
  <c r="IS336" i="31"/>
  <c r="IU152" i="31"/>
  <c r="IU149" i="31" s="1"/>
  <c r="JY41" i="17"/>
  <c r="IU281" i="31" s="1"/>
  <c r="IU278" i="31" s="1"/>
  <c r="JY40" i="17"/>
  <c r="IU216" i="31" s="1"/>
  <c r="IU213" i="31" s="1"/>
  <c r="JY39" i="17"/>
  <c r="JY38" i="17"/>
  <c r="JY37" i="17"/>
  <c r="IU26" i="31" s="1"/>
  <c r="Y33" i="19"/>
  <c r="O35" i="19"/>
  <c r="JZ30" i="17"/>
  <c r="JX42" i="17"/>
  <c r="JW11" i="19" s="1"/>
  <c r="JZ28" i="17"/>
  <c r="JZ32" i="17"/>
  <c r="JX33" i="17"/>
  <c r="JZ31" i="17"/>
  <c r="JZ29" i="17"/>
  <c r="CR10" i="41" l="1"/>
  <c r="CR14" i="41" s="1"/>
  <c r="JV14" i="19"/>
  <c r="JC29" i="30"/>
  <c r="JW10" i="19"/>
  <c r="JW14" i="19" s="1"/>
  <c r="JD27" i="30"/>
  <c r="JD28" i="30" s="1"/>
  <c r="IT284" i="31"/>
  <c r="IT91" i="31"/>
  <c r="IT29" i="31"/>
  <c r="IR30" i="30"/>
  <c r="IT219" i="31"/>
  <c r="IT155" i="31"/>
  <c r="IS337" i="31"/>
  <c r="IU283" i="31"/>
  <c r="IU282" i="31"/>
  <c r="IU218" i="31"/>
  <c r="IU217" i="31"/>
  <c r="IU334" i="31"/>
  <c r="IU28" i="31"/>
  <c r="IV281" i="31"/>
  <c r="IV278" i="31" s="1"/>
  <c r="IV88" i="31"/>
  <c r="IV85" i="31" s="1"/>
  <c r="IU153" i="31"/>
  <c r="IU154" i="31"/>
  <c r="IV26" i="31"/>
  <c r="IT335" i="31"/>
  <c r="IV152" i="31"/>
  <c r="IV149" i="31" s="1"/>
  <c r="IT336" i="31"/>
  <c r="IU89" i="31"/>
  <c r="IU90" i="31"/>
  <c r="JZ41" i="17"/>
  <c r="JZ40" i="17"/>
  <c r="IV216" i="31" s="1"/>
  <c r="IV213" i="31" s="1"/>
  <c r="JZ39" i="17"/>
  <c r="JZ38" i="17"/>
  <c r="JZ37" i="17"/>
  <c r="JF26" i="31" s="1"/>
  <c r="KA29" i="17"/>
  <c r="KA31" i="17"/>
  <c r="JY33" i="17"/>
  <c r="KA28" i="17"/>
  <c r="KA32" i="17"/>
  <c r="JY42" i="17"/>
  <c r="JX11" i="19" s="1"/>
  <c r="KA30" i="17"/>
  <c r="JW12" i="19" l="1"/>
  <c r="CR12" i="41"/>
  <c r="JD29" i="30"/>
  <c r="JX10" i="19"/>
  <c r="JX12" i="19" s="1"/>
  <c r="JE27" i="30"/>
  <c r="JE28" i="30" s="1"/>
  <c r="IU284" i="31"/>
  <c r="IU155" i="31"/>
  <c r="IS30" i="30"/>
  <c r="IU29" i="31"/>
  <c r="IU219" i="31"/>
  <c r="IT337" i="31"/>
  <c r="IU91" i="31"/>
  <c r="IV218" i="31"/>
  <c r="IV217" i="31"/>
  <c r="IV154" i="31"/>
  <c r="IV153" i="31"/>
  <c r="IV90" i="31"/>
  <c r="IV89" i="31"/>
  <c r="IV282" i="31"/>
  <c r="IV283" i="31"/>
  <c r="IV334" i="31"/>
  <c r="IV28" i="31"/>
  <c r="IU336" i="31"/>
  <c r="IW281" i="31"/>
  <c r="IW278" i="31" s="1"/>
  <c r="IU335" i="31"/>
  <c r="IW152" i="31"/>
  <c r="IW149" i="31" s="1"/>
  <c r="KA41" i="17"/>
  <c r="KA40" i="17"/>
  <c r="IW216" i="31" s="1"/>
  <c r="IW213" i="31" s="1"/>
  <c r="KA39" i="17"/>
  <c r="KA38" i="17"/>
  <c r="IW88" i="31" s="1"/>
  <c r="IW85" i="31" s="1"/>
  <c r="KA37" i="17"/>
  <c r="IW26" i="31" s="1"/>
  <c r="Z33" i="19"/>
  <c r="P35" i="19"/>
  <c r="JZ42" i="17"/>
  <c r="JY11" i="19" s="1"/>
  <c r="CS11" i="41" s="1"/>
  <c r="JZ33" i="17"/>
  <c r="KB32" i="17"/>
  <c r="KB28" i="17"/>
  <c r="KB31" i="17"/>
  <c r="KB30" i="17"/>
  <c r="KB29" i="17"/>
  <c r="JX14" i="19" l="1"/>
  <c r="JE29" i="30"/>
  <c r="JY10" i="19"/>
  <c r="JY12" i="19" s="1"/>
  <c r="JF27" i="30"/>
  <c r="JF28" i="30" s="1"/>
  <c r="IV29" i="31"/>
  <c r="IT30" i="30"/>
  <c r="JG26" i="31"/>
  <c r="IV219" i="31"/>
  <c r="IV91" i="31"/>
  <c r="IV284" i="31"/>
  <c r="IU337" i="31"/>
  <c r="IV155" i="31"/>
  <c r="IW334" i="31"/>
  <c r="IW28" i="31"/>
  <c r="IW218" i="31"/>
  <c r="IW217" i="31"/>
  <c r="IW89" i="31"/>
  <c r="IW90" i="31"/>
  <c r="IX152" i="31"/>
  <c r="IX149" i="31" s="1"/>
  <c r="IV335" i="31"/>
  <c r="IV336" i="31"/>
  <c r="IW153" i="31"/>
  <c r="IW154" i="31"/>
  <c r="IW283" i="31"/>
  <c r="IW282" i="31"/>
  <c r="KB41" i="17"/>
  <c r="IX281" i="31" s="1"/>
  <c r="IX278" i="31" s="1"/>
  <c r="KB40" i="17"/>
  <c r="IX216" i="31" s="1"/>
  <c r="IX213" i="31" s="1"/>
  <c r="KB39" i="17"/>
  <c r="KB38" i="17"/>
  <c r="IX88" i="31" s="1"/>
  <c r="IX85" i="31" s="1"/>
  <c r="KB37" i="17"/>
  <c r="IX26" i="31" s="1"/>
  <c r="KA42" i="17"/>
  <c r="JZ11" i="19" s="1"/>
  <c r="KC32" i="17"/>
  <c r="KC30" i="17"/>
  <c r="KC31" i="17"/>
  <c r="KC28" i="17"/>
  <c r="KC29" i="17"/>
  <c r="KA33" i="17"/>
  <c r="JY14" i="19" l="1"/>
  <c r="IW29" i="31"/>
  <c r="CS10" i="41"/>
  <c r="CS12" i="41" s="1"/>
  <c r="JF29" i="30"/>
  <c r="JZ10" i="19"/>
  <c r="JZ12" i="19" s="1"/>
  <c r="JG27" i="30"/>
  <c r="JG28" i="30" s="1"/>
  <c r="JH26" i="31"/>
  <c r="IW155" i="31"/>
  <c r="IU30" i="30"/>
  <c r="IW284" i="31"/>
  <c r="IW91" i="31"/>
  <c r="IW219" i="31"/>
  <c r="IV337" i="31"/>
  <c r="IX218" i="31"/>
  <c r="IX217" i="31"/>
  <c r="IX283" i="31"/>
  <c r="IX282" i="31"/>
  <c r="IX334" i="31"/>
  <c r="IX28" i="31"/>
  <c r="IY152" i="31"/>
  <c r="IY149" i="31" s="1"/>
  <c r="IX153" i="31"/>
  <c r="IX154" i="31"/>
  <c r="IY26" i="31"/>
  <c r="IW335" i="31"/>
  <c r="IW336" i="31"/>
  <c r="IX89" i="31"/>
  <c r="IX90" i="31"/>
  <c r="KC41" i="17"/>
  <c r="KC40" i="17"/>
  <c r="KC39" i="17"/>
  <c r="C39" i="17" s="1"/>
  <c r="KC38" i="17"/>
  <c r="KC37" i="17"/>
  <c r="AA33" i="19"/>
  <c r="Q35" i="19"/>
  <c r="JF216" i="31"/>
  <c r="JF213" i="31" s="1"/>
  <c r="KB33" i="17"/>
  <c r="JF88" i="31"/>
  <c r="JF85" i="31" s="1"/>
  <c r="JF152" i="31"/>
  <c r="JF149" i="31" s="1"/>
  <c r="JF281" i="31"/>
  <c r="JF278" i="31" s="1"/>
  <c r="KB42" i="17"/>
  <c r="KA11" i="19" s="1"/>
  <c r="JI26" i="31" l="1"/>
  <c r="C37" i="17"/>
  <c r="IY88" i="31"/>
  <c r="IY85" i="31" s="1"/>
  <c r="C38" i="17"/>
  <c r="IY216" i="31"/>
  <c r="C40" i="17"/>
  <c r="IY281" i="31"/>
  <c r="IY278" i="31" s="1"/>
  <c r="C41" i="17"/>
  <c r="JZ14" i="19"/>
  <c r="CS14" i="41"/>
  <c r="JG29" i="30"/>
  <c r="KA10" i="19"/>
  <c r="KA14" i="19" s="1"/>
  <c r="JH27" i="30"/>
  <c r="JH28" i="30" s="1"/>
  <c r="IX91" i="31"/>
  <c r="IX155" i="31"/>
  <c r="IX29" i="31"/>
  <c r="IX219" i="31"/>
  <c r="IX284" i="31"/>
  <c r="IV30" i="30"/>
  <c r="IW337" i="31"/>
  <c r="IZ152" i="31"/>
  <c r="IZ149" i="31" s="1"/>
  <c r="IY28" i="31"/>
  <c r="IX335" i="31"/>
  <c r="IZ216" i="31"/>
  <c r="IZ213" i="31" s="1"/>
  <c r="IX336" i="31"/>
  <c r="IY153" i="31"/>
  <c r="IY154" i="31"/>
  <c r="IZ281" i="31"/>
  <c r="IZ278" i="31" s="1"/>
  <c r="IZ88" i="31"/>
  <c r="IZ85" i="31" s="1"/>
  <c r="IZ26" i="31"/>
  <c r="JF334" i="31"/>
  <c r="KC42" i="17"/>
  <c r="JG281" i="31"/>
  <c r="JG278" i="31" s="1"/>
  <c r="KC33" i="17"/>
  <c r="JG88" i="31"/>
  <c r="JG85" i="31" s="1"/>
  <c r="JJ26" i="31"/>
  <c r="JG152" i="31"/>
  <c r="JG149" i="31" s="1"/>
  <c r="JG216" i="31"/>
  <c r="JG213" i="31" s="1"/>
  <c r="IY218" i="31" l="1"/>
  <c r="IY213" i="31"/>
  <c r="JI28" i="31"/>
  <c r="IY283" i="31"/>
  <c r="IY217" i="31"/>
  <c r="IY219" i="31" s="1"/>
  <c r="IY334" i="31"/>
  <c r="KB11" i="19"/>
  <c r="CT11" i="41" s="1"/>
  <c r="C42" i="17"/>
  <c r="IY90" i="31"/>
  <c r="IY89" i="31"/>
  <c r="IY282" i="31"/>
  <c r="KA12" i="19"/>
  <c r="JH29" i="30"/>
  <c r="KB10" i="19"/>
  <c r="JI27" i="30"/>
  <c r="JI28" i="30" s="1"/>
  <c r="JJ28" i="30" s="1"/>
  <c r="IW30" i="30"/>
  <c r="IY155" i="31"/>
  <c r="IX337" i="31"/>
  <c r="IZ89" i="31"/>
  <c r="IZ90" i="31"/>
  <c r="JA216" i="31"/>
  <c r="JA213" i="31" s="1"/>
  <c r="IZ154" i="31"/>
  <c r="IZ153" i="31"/>
  <c r="IZ218" i="31"/>
  <c r="IZ217" i="31"/>
  <c r="JA281" i="31"/>
  <c r="JA278" i="31" s="1"/>
  <c r="IZ283" i="31"/>
  <c r="IZ282" i="31"/>
  <c r="IZ334" i="31"/>
  <c r="IZ28" i="31"/>
  <c r="IY29" i="31"/>
  <c r="JA152" i="31"/>
  <c r="JA149" i="31" s="1"/>
  <c r="JA88" i="31"/>
  <c r="JA85" i="31" s="1"/>
  <c r="JA26" i="31"/>
  <c r="JG334" i="31"/>
  <c r="JJ28" i="31"/>
  <c r="AB33" i="19"/>
  <c r="R35" i="19"/>
  <c r="JH216" i="31"/>
  <c r="JH213" i="31" s="1"/>
  <c r="JH88" i="31"/>
  <c r="JH85" i="31" s="1"/>
  <c r="JH152" i="31"/>
  <c r="JH149" i="31" s="1"/>
  <c r="JH281" i="31"/>
  <c r="JH278" i="31" s="1"/>
  <c r="IY284" i="31" l="1"/>
  <c r="IY335" i="31"/>
  <c r="KB12" i="19"/>
  <c r="IY91" i="31"/>
  <c r="IY336" i="31"/>
  <c r="IY337" i="31" s="1"/>
  <c r="KB14" i="19"/>
  <c r="CT10" i="41"/>
  <c r="CT14" i="41" s="1"/>
  <c r="JI29" i="30"/>
  <c r="JK26" i="31"/>
  <c r="IZ219" i="31"/>
  <c r="IZ91" i="31"/>
  <c r="IZ284" i="31"/>
  <c r="IZ155" i="31"/>
  <c r="IX30" i="30"/>
  <c r="IZ29" i="31"/>
  <c r="JA334" i="31"/>
  <c r="JA28" i="31"/>
  <c r="JA89" i="31"/>
  <c r="JA90" i="31"/>
  <c r="JA218" i="31"/>
  <c r="JA217" i="31"/>
  <c r="JB26" i="31"/>
  <c r="IZ336" i="31"/>
  <c r="JA282" i="31"/>
  <c r="JA283" i="31"/>
  <c r="JB216" i="31"/>
  <c r="JB213" i="31" s="1"/>
  <c r="JB152" i="31"/>
  <c r="JB149" i="31" s="1"/>
  <c r="IZ335" i="31"/>
  <c r="JA153" i="31"/>
  <c r="JA154" i="31"/>
  <c r="JB281" i="31"/>
  <c r="JB278" i="31" s="1"/>
  <c r="JB88" i="31"/>
  <c r="JB85" i="31" s="1"/>
  <c r="JL26" i="31"/>
  <c r="JH334" i="31"/>
  <c r="JJ29" i="31"/>
  <c r="JI152" i="31"/>
  <c r="JI149" i="31" s="1"/>
  <c r="JI88" i="31"/>
  <c r="JI85" i="31" s="1"/>
  <c r="JI216" i="31"/>
  <c r="JI213" i="31" s="1"/>
  <c r="JI281" i="31"/>
  <c r="JI278" i="31" s="1"/>
  <c r="CT12" i="41" l="1"/>
  <c r="JK28" i="31"/>
  <c r="JK29" i="31" s="1"/>
  <c r="JA29" i="31"/>
  <c r="JA155" i="31"/>
  <c r="JA219" i="31"/>
  <c r="JA284" i="31"/>
  <c r="JA91" i="31"/>
  <c r="IZ337" i="31"/>
  <c r="IY30" i="30"/>
  <c r="JB90" i="31"/>
  <c r="JB89" i="31"/>
  <c r="JC152" i="31"/>
  <c r="JC149" i="31" s="1"/>
  <c r="JB334" i="31"/>
  <c r="JB28" i="31"/>
  <c r="JB153" i="31"/>
  <c r="JB154" i="31"/>
  <c r="JB283" i="31"/>
  <c r="JB282" i="31"/>
  <c r="JB218" i="31"/>
  <c r="JB217" i="31"/>
  <c r="JA335" i="31"/>
  <c r="JA336" i="31"/>
  <c r="JC281" i="31"/>
  <c r="JC278" i="31" s="1"/>
  <c r="JC216" i="31"/>
  <c r="JC213" i="31" s="1"/>
  <c r="JC88" i="31"/>
  <c r="JC85" i="31" s="1"/>
  <c r="JC26" i="31"/>
  <c r="JI334" i="31"/>
  <c r="JL28" i="31"/>
  <c r="AC33" i="19"/>
  <c r="S35" i="19"/>
  <c r="CU11" i="41"/>
  <c r="JM26" i="31"/>
  <c r="JB155" i="31" l="1"/>
  <c r="JB91" i="31"/>
  <c r="JB284" i="31"/>
  <c r="IZ30" i="30"/>
  <c r="JB219" i="31"/>
  <c r="JB336" i="31"/>
  <c r="JA337" i="31"/>
  <c r="JC334" i="31"/>
  <c r="JC28" i="31"/>
  <c r="JC89" i="31"/>
  <c r="JC90" i="31"/>
  <c r="JC283" i="31"/>
  <c r="JC282" i="31"/>
  <c r="JB335" i="31"/>
  <c r="JC217" i="31"/>
  <c r="JC218" i="31"/>
  <c r="JC153" i="31"/>
  <c r="JC154" i="31"/>
  <c r="JD281" i="31"/>
  <c r="JD278" i="31" s="1"/>
  <c r="JB29" i="31"/>
  <c r="CU10" i="41"/>
  <c r="JD216" i="31"/>
  <c r="JD213" i="31" s="1"/>
  <c r="JD152" i="31"/>
  <c r="JD149" i="31" s="1"/>
  <c r="JD88" i="31"/>
  <c r="JD85" i="31" s="1"/>
  <c r="JD26" i="31"/>
  <c r="JJ216" i="31"/>
  <c r="JM216" i="31"/>
  <c r="JM213" i="31" s="1"/>
  <c r="JL29" i="31"/>
  <c r="JM28" i="31"/>
  <c r="JF28" i="31"/>
  <c r="JF154" i="31"/>
  <c r="JF153" i="31"/>
  <c r="JF218" i="31"/>
  <c r="JF217" i="31"/>
  <c r="JF283" i="31"/>
  <c r="JF282" i="31"/>
  <c r="JF90" i="31"/>
  <c r="JF89" i="31"/>
  <c r="C29" i="17"/>
  <c r="C28" i="17"/>
  <c r="C31" i="17"/>
  <c r="C32" i="17"/>
  <c r="C30" i="17"/>
  <c r="JJ218" i="31" l="1"/>
  <c r="JJ213" i="31"/>
  <c r="JN26" i="31"/>
  <c r="JN28" i="31" s="1"/>
  <c r="JB337" i="31"/>
  <c r="JC91" i="31"/>
  <c r="JC29" i="31"/>
  <c r="JC155" i="31"/>
  <c r="JC284" i="31"/>
  <c r="JC219" i="31"/>
  <c r="JA30" i="30"/>
  <c r="JD153" i="31"/>
  <c r="JD154" i="31"/>
  <c r="JD334" i="31"/>
  <c r="JD28" i="31"/>
  <c r="JD90" i="31"/>
  <c r="JD89" i="31"/>
  <c r="JE216" i="31"/>
  <c r="JE213" i="31" s="1"/>
  <c r="JD218" i="31"/>
  <c r="JD217" i="31"/>
  <c r="JD283" i="31"/>
  <c r="JD282" i="31"/>
  <c r="JC336" i="31"/>
  <c r="JE281" i="31"/>
  <c r="JE278" i="31" s="1"/>
  <c r="JC335" i="31"/>
  <c r="JE152" i="31"/>
  <c r="JE149" i="31" s="1"/>
  <c r="CU12" i="41"/>
  <c r="CU14" i="41"/>
  <c r="KD41" i="17"/>
  <c r="KD40" i="17"/>
  <c r="KD39" i="17"/>
  <c r="JE88" i="31"/>
  <c r="JE85" i="31" s="1"/>
  <c r="JF335" i="31"/>
  <c r="JF336" i="31"/>
  <c r="KD37" i="17"/>
  <c r="JJ217" i="31"/>
  <c r="JJ219" i="31" s="1"/>
  <c r="JK216" i="31"/>
  <c r="JN216" i="31"/>
  <c r="JN213" i="31" s="1"/>
  <c r="JM217" i="31"/>
  <c r="JM218" i="31"/>
  <c r="JM29" i="31"/>
  <c r="JF284" i="31"/>
  <c r="JF219" i="31"/>
  <c r="AD33" i="19"/>
  <c r="T35" i="19"/>
  <c r="JF155" i="31"/>
  <c r="JF91" i="31"/>
  <c r="JG28" i="31"/>
  <c r="JF29" i="31"/>
  <c r="JG154" i="31"/>
  <c r="JG153" i="31"/>
  <c r="JG282" i="31"/>
  <c r="JG283" i="31"/>
  <c r="JG218" i="31"/>
  <c r="JG217" i="31"/>
  <c r="JG89" i="31"/>
  <c r="JG90" i="31"/>
  <c r="KD29" i="17"/>
  <c r="JK218" i="31" l="1"/>
  <c r="JK213" i="31"/>
  <c r="JO216" i="31"/>
  <c r="JD284" i="31"/>
  <c r="JD91" i="31"/>
  <c r="JD155" i="31"/>
  <c r="JD219" i="31"/>
  <c r="JD29" i="31"/>
  <c r="JB30" i="30"/>
  <c r="JC337" i="31"/>
  <c r="JE89" i="31"/>
  <c r="JE90" i="31"/>
  <c r="JE153" i="31"/>
  <c r="JE154" i="31"/>
  <c r="KD38" i="17"/>
  <c r="KD42" i="17" s="1"/>
  <c r="JD335" i="31"/>
  <c r="JD336" i="31"/>
  <c r="JE217" i="31"/>
  <c r="JE218" i="31"/>
  <c r="JE282" i="31"/>
  <c r="JE283" i="31"/>
  <c r="JE26" i="31"/>
  <c r="JG335" i="31"/>
  <c r="JG336" i="31"/>
  <c r="JF337" i="31"/>
  <c r="JM219" i="31"/>
  <c r="JK217" i="31"/>
  <c r="JK219" i="31" s="1"/>
  <c r="JN218" i="31"/>
  <c r="JN217" i="31"/>
  <c r="JN29" i="31"/>
  <c r="KD30" i="17"/>
  <c r="KF30" i="17" s="1"/>
  <c r="KD32" i="17"/>
  <c r="KF32" i="17" s="1"/>
  <c r="JL216" i="31"/>
  <c r="JL213" i="31" s="1"/>
  <c r="KD31" i="17"/>
  <c r="KF31" i="17" s="1"/>
  <c r="KD28" i="17"/>
  <c r="JO26" i="31"/>
  <c r="JG29" i="31"/>
  <c r="JF30" i="30"/>
  <c r="JG284" i="31"/>
  <c r="JG219" i="31"/>
  <c r="JH28" i="31"/>
  <c r="JG155" i="31"/>
  <c r="JH217" i="31"/>
  <c r="JH218" i="31"/>
  <c r="JH154" i="31"/>
  <c r="JH153" i="31"/>
  <c r="JH283" i="31"/>
  <c r="JH282" i="31"/>
  <c r="JG91" i="31"/>
  <c r="JH90" i="31"/>
  <c r="JH89" i="31"/>
  <c r="C33" i="17"/>
  <c r="JO217" i="31" l="1"/>
  <c r="JO213" i="31"/>
  <c r="KF28" i="17"/>
  <c r="KD33" i="17"/>
  <c r="JO218" i="31"/>
  <c r="JO219" i="31" s="1"/>
  <c r="KF29" i="17"/>
  <c r="JE91" i="31"/>
  <c r="JE155" i="31"/>
  <c r="JD337" i="31"/>
  <c r="JC30" i="30"/>
  <c r="JE284" i="31"/>
  <c r="JE219" i="31"/>
  <c r="JE334" i="31"/>
  <c r="JE28" i="31"/>
  <c r="JE336" i="31" s="1"/>
  <c r="JE335" i="31"/>
  <c r="JH335" i="31"/>
  <c r="JH336" i="31"/>
  <c r="JG337" i="31"/>
  <c r="JN219" i="31"/>
  <c r="JL217" i="31"/>
  <c r="JL218" i="31"/>
  <c r="JO28" i="31"/>
  <c r="JP26" i="31"/>
  <c r="JH91" i="31"/>
  <c r="AE33" i="19"/>
  <c r="U35" i="19"/>
  <c r="CX10" i="41"/>
  <c r="CX11" i="41"/>
  <c r="CV11" i="41"/>
  <c r="JH219" i="31"/>
  <c r="JH29" i="31"/>
  <c r="JG30" i="30"/>
  <c r="JH155" i="31"/>
  <c r="JJ281" i="31"/>
  <c r="JI282" i="31"/>
  <c r="JJ282" i="31" s="1"/>
  <c r="JI283" i="31"/>
  <c r="JJ283" i="31" s="1"/>
  <c r="JI153" i="31"/>
  <c r="JJ153" i="31" s="1"/>
  <c r="JI154" i="31"/>
  <c r="JJ154" i="31" s="1"/>
  <c r="JJ152" i="31"/>
  <c r="JH284" i="31"/>
  <c r="JI218" i="31"/>
  <c r="JP218" i="31" s="1"/>
  <c r="JI217" i="31"/>
  <c r="JP217" i="31" s="1"/>
  <c r="JP216" i="31"/>
  <c r="JI89" i="31"/>
  <c r="JI90" i="31"/>
  <c r="C96" i="31"/>
  <c r="JJ88" i="31"/>
  <c r="CW11" i="41"/>
  <c r="KF33" i="17" l="1"/>
  <c r="JP28" i="31"/>
  <c r="V7" i="32"/>
  <c r="W7" i="32"/>
  <c r="X7" i="32"/>
  <c r="Y7" i="32"/>
  <c r="V8" i="32"/>
  <c r="W8" i="32"/>
  <c r="X8" i="32"/>
  <c r="Y8" i="32"/>
  <c r="JD30" i="30"/>
  <c r="JE29" i="31"/>
  <c r="JE337" i="31"/>
  <c r="CW10" i="41"/>
  <c r="CV10" i="41"/>
  <c r="CX12" i="41"/>
  <c r="CX14" i="41"/>
  <c r="BU11" i="41"/>
  <c r="BV11" i="41"/>
  <c r="CF11" i="41"/>
  <c r="JI335" i="31"/>
  <c r="JI336" i="31"/>
  <c r="JH337" i="31"/>
  <c r="C118" i="31"/>
  <c r="JL219" i="31"/>
  <c r="JO29" i="31"/>
  <c r="JH30" i="30"/>
  <c r="JI29" i="31"/>
  <c r="P34" i="31"/>
  <c r="Q34" i="31"/>
  <c r="R34" i="31"/>
  <c r="S34" i="31"/>
  <c r="T34" i="31"/>
  <c r="U34" i="31"/>
  <c r="V34" i="31"/>
  <c r="W34" i="31"/>
  <c r="X34" i="31"/>
  <c r="JI91" i="31"/>
  <c r="JJ91" i="31" s="1"/>
  <c r="JI155" i="31"/>
  <c r="JJ155" i="31" s="1"/>
  <c r="B10" i="19"/>
  <c r="JI219" i="31"/>
  <c r="JP219" i="31" s="1"/>
  <c r="JI284" i="31"/>
  <c r="JJ284" i="31" s="1"/>
  <c r="D224" i="31"/>
  <c r="D246" i="31" s="1"/>
  <c r="U224" i="31"/>
  <c r="U246" i="31" s="1"/>
  <c r="I224" i="31"/>
  <c r="I246" i="31" s="1"/>
  <c r="Q224" i="31"/>
  <c r="Q246" i="31" s="1"/>
  <c r="C224" i="31"/>
  <c r="C246" i="31" s="1"/>
  <c r="L224" i="31"/>
  <c r="L246" i="31" s="1"/>
  <c r="R224" i="31"/>
  <c r="R246" i="31" s="1"/>
  <c r="M224" i="31"/>
  <c r="M246" i="31" s="1"/>
  <c r="G224" i="31"/>
  <c r="G246" i="31" s="1"/>
  <c r="F224" i="31"/>
  <c r="F246" i="31" s="1"/>
  <c r="W224" i="31"/>
  <c r="V224" i="31"/>
  <c r="C230" i="31"/>
  <c r="C227" i="31" s="1"/>
  <c r="H224" i="31"/>
  <c r="H246" i="31" s="1"/>
  <c r="X224" i="31"/>
  <c r="O224" i="31"/>
  <c r="O246" i="31" s="1"/>
  <c r="T224" i="31"/>
  <c r="T246" i="31" s="1"/>
  <c r="J224" i="31"/>
  <c r="J246" i="31" s="1"/>
  <c r="S224" i="31"/>
  <c r="S246" i="31" s="1"/>
  <c r="P224" i="31"/>
  <c r="P246" i="31" s="1"/>
  <c r="N224" i="31"/>
  <c r="N246" i="31" s="1"/>
  <c r="K224" i="31"/>
  <c r="K246" i="31" s="1"/>
  <c r="E224" i="31"/>
  <c r="E246" i="31" s="1"/>
  <c r="P160" i="31"/>
  <c r="P182" i="31" s="1"/>
  <c r="H160" i="31"/>
  <c r="H182" i="31" s="1"/>
  <c r="N160" i="31"/>
  <c r="N182" i="31" s="1"/>
  <c r="T160" i="31"/>
  <c r="T182" i="31" s="1"/>
  <c r="D160" i="31"/>
  <c r="D182" i="31" s="1"/>
  <c r="F160" i="31"/>
  <c r="F182" i="31" s="1"/>
  <c r="X160" i="31"/>
  <c r="J160" i="31"/>
  <c r="J182" i="31" s="1"/>
  <c r="Q160" i="31"/>
  <c r="Q182" i="31" s="1"/>
  <c r="L160" i="31"/>
  <c r="L182" i="31" s="1"/>
  <c r="R160" i="31"/>
  <c r="R182" i="31" s="1"/>
  <c r="C165" i="31"/>
  <c r="C162" i="31" s="1"/>
  <c r="I160" i="31"/>
  <c r="I182" i="31" s="1"/>
  <c r="V160" i="31"/>
  <c r="V182" i="31" s="1"/>
  <c r="G160" i="31"/>
  <c r="G182" i="31" s="1"/>
  <c r="C160" i="31"/>
  <c r="C182" i="31" s="1"/>
  <c r="S160" i="31"/>
  <c r="S182" i="31" s="1"/>
  <c r="U160" i="31"/>
  <c r="U182" i="31" s="1"/>
  <c r="K160" i="31"/>
  <c r="K182" i="31" s="1"/>
  <c r="O160" i="31"/>
  <c r="O182" i="31" s="1"/>
  <c r="W160" i="31"/>
  <c r="M160" i="31"/>
  <c r="M182" i="31" s="1"/>
  <c r="E160" i="31"/>
  <c r="E182" i="31" s="1"/>
  <c r="T289" i="31"/>
  <c r="T310" i="31" s="1"/>
  <c r="O289" i="31"/>
  <c r="O310" i="31" s="1"/>
  <c r="N289" i="31"/>
  <c r="N310" i="31" s="1"/>
  <c r="K289" i="31"/>
  <c r="K310" i="31" s="1"/>
  <c r="E289" i="31"/>
  <c r="E310" i="31" s="1"/>
  <c r="D289" i="31"/>
  <c r="D310" i="31" s="1"/>
  <c r="C294" i="31"/>
  <c r="F289" i="31"/>
  <c r="F310" i="31" s="1"/>
  <c r="I289" i="31"/>
  <c r="I310" i="31" s="1"/>
  <c r="R289" i="31"/>
  <c r="R310" i="31" s="1"/>
  <c r="G289" i="31"/>
  <c r="G310" i="31" s="1"/>
  <c r="S289" i="31"/>
  <c r="S310" i="31" s="1"/>
  <c r="C289" i="31"/>
  <c r="C310" i="31" s="1"/>
  <c r="J289" i="31"/>
  <c r="J310" i="31" s="1"/>
  <c r="V289" i="31"/>
  <c r="V310" i="31" s="1"/>
  <c r="M289" i="31"/>
  <c r="M310" i="31" s="1"/>
  <c r="H289" i="31"/>
  <c r="H310" i="31" s="1"/>
  <c r="P289" i="31"/>
  <c r="P310" i="31" s="1"/>
  <c r="U289" i="31"/>
  <c r="U310" i="31" s="1"/>
  <c r="Q289" i="31"/>
  <c r="Q310" i="31" s="1"/>
  <c r="L289" i="31"/>
  <c r="L310" i="31" s="1"/>
  <c r="W289" i="31"/>
  <c r="E96" i="31"/>
  <c r="S96" i="31"/>
  <c r="S118" i="31" s="1"/>
  <c r="I96" i="31"/>
  <c r="P96" i="31"/>
  <c r="P118" i="31" s="1"/>
  <c r="T96" i="31"/>
  <c r="N96" i="31"/>
  <c r="F96" i="31"/>
  <c r="M96" i="31"/>
  <c r="W96" i="31"/>
  <c r="J96" i="31"/>
  <c r="Q96" i="31"/>
  <c r="Q118" i="31" s="1"/>
  <c r="H96" i="31"/>
  <c r="V96" i="31"/>
  <c r="O96" i="31"/>
  <c r="L96" i="31"/>
  <c r="G96" i="31"/>
  <c r="D96" i="31"/>
  <c r="K96" i="31"/>
  <c r="U96" i="31"/>
  <c r="R96" i="31"/>
  <c r="R118" i="31" s="1"/>
  <c r="X96" i="31"/>
  <c r="C101" i="31"/>
  <c r="C98" i="31" s="1"/>
  <c r="JJ90" i="31"/>
  <c r="JJ89" i="31"/>
  <c r="B11" i="19"/>
  <c r="JJ27" i="30" l="1"/>
  <c r="R34" i="30" s="1"/>
  <c r="V12" i="32"/>
  <c r="V14" i="32" s="1"/>
  <c r="T44" i="42" s="1"/>
  <c r="W12" i="32"/>
  <c r="W14" i="32" s="1"/>
  <c r="X12" i="32"/>
  <c r="X14" i="32" s="1"/>
  <c r="V44" i="42" s="1"/>
  <c r="Y12" i="32"/>
  <c r="Y14" i="32" s="1"/>
  <c r="W44" i="42" s="1"/>
  <c r="Y9" i="32"/>
  <c r="X9" i="32"/>
  <c r="W9" i="32"/>
  <c r="U41" i="42" s="1"/>
  <c r="V9" i="32"/>
  <c r="JJ29" i="30"/>
  <c r="B10" i="41"/>
  <c r="JI337" i="31"/>
  <c r="Y224" i="31"/>
  <c r="BV12" i="41"/>
  <c r="BV14" i="41"/>
  <c r="B11" i="41"/>
  <c r="BU14" i="41"/>
  <c r="BU12" i="41"/>
  <c r="CV12" i="41"/>
  <c r="CV14" i="41"/>
  <c r="CF12" i="41"/>
  <c r="CF14" i="41"/>
  <c r="CW12" i="41"/>
  <c r="CW14" i="41"/>
  <c r="Y289" i="31"/>
  <c r="B12" i="19"/>
  <c r="T351" i="31"/>
  <c r="U351" i="31"/>
  <c r="S351" i="31"/>
  <c r="C351" i="31"/>
  <c r="C80" i="30" s="1"/>
  <c r="V351" i="31"/>
  <c r="H118" i="31"/>
  <c r="H351" i="31" s="1"/>
  <c r="I118" i="31"/>
  <c r="I351" i="31" s="1"/>
  <c r="R54" i="31"/>
  <c r="R351" i="31" s="1"/>
  <c r="K118" i="31"/>
  <c r="K351" i="31" s="1"/>
  <c r="J118" i="31"/>
  <c r="J351" i="31" s="1"/>
  <c r="Q54" i="31"/>
  <c r="Q351" i="31" s="1"/>
  <c r="D118" i="31"/>
  <c r="D351" i="31" s="1"/>
  <c r="E118" i="31"/>
  <c r="E351" i="31" s="1"/>
  <c r="P54" i="31"/>
  <c r="P351" i="31" s="1"/>
  <c r="G118" i="31"/>
  <c r="G351" i="31" s="1"/>
  <c r="M118" i="31"/>
  <c r="M351" i="31" s="1"/>
  <c r="L118" i="31"/>
  <c r="L351" i="31" s="1"/>
  <c r="F118" i="31"/>
  <c r="F351" i="31" s="1"/>
  <c r="O118" i="31"/>
  <c r="O351" i="31" s="1"/>
  <c r="N118" i="31"/>
  <c r="N351" i="31" s="1"/>
  <c r="Y160" i="31"/>
  <c r="X289" i="31"/>
  <c r="Y96" i="31"/>
  <c r="JP29" i="31"/>
  <c r="C291" i="31"/>
  <c r="Y34" i="31"/>
  <c r="AF33" i="19"/>
  <c r="V35" i="19"/>
  <c r="JI30" i="30"/>
  <c r="D165" i="31"/>
  <c r="C163" i="31"/>
  <c r="D294" i="31"/>
  <c r="C292" i="31"/>
  <c r="C228" i="31"/>
  <c r="D230" i="31"/>
  <c r="D228" i="31" s="1"/>
  <c r="E228" i="31" s="1"/>
  <c r="F228" i="31" s="1"/>
  <c r="G228" i="31" s="1"/>
  <c r="H228" i="31" s="1"/>
  <c r="I228" i="31" s="1"/>
  <c r="J228" i="31" s="1"/>
  <c r="K228" i="31" s="1"/>
  <c r="L228" i="31" s="1"/>
  <c r="M228" i="31" s="1"/>
  <c r="N228" i="31" s="1"/>
  <c r="O228" i="31" s="1"/>
  <c r="P228" i="31" s="1"/>
  <c r="Q228" i="31" s="1"/>
  <c r="R228" i="31" s="1"/>
  <c r="S228" i="31" s="1"/>
  <c r="T228" i="31" s="1"/>
  <c r="U228" i="31" s="1"/>
  <c r="V228" i="31" s="1"/>
  <c r="D101" i="31"/>
  <c r="E101" i="31" s="1"/>
  <c r="B14" i="19"/>
  <c r="D96" i="42" l="1" a="1"/>
  <c r="D113" i="42" s="1"/>
  <c r="D35" i="30"/>
  <c r="E35" i="30"/>
  <c r="F35" i="30"/>
  <c r="G35" i="30"/>
  <c r="H35" i="30"/>
  <c r="I35" i="30"/>
  <c r="J35" i="30"/>
  <c r="K35" i="30"/>
  <c r="L35" i="30"/>
  <c r="M35" i="30"/>
  <c r="N35" i="30"/>
  <c r="O35" i="30"/>
  <c r="P35" i="30"/>
  <c r="Q35" i="30"/>
  <c r="R35" i="30"/>
  <c r="S35" i="30"/>
  <c r="T35" i="30"/>
  <c r="U35" i="30"/>
  <c r="V35" i="30"/>
  <c r="W35" i="30"/>
  <c r="X35" i="30"/>
  <c r="Y35" i="30"/>
  <c r="D34" i="30"/>
  <c r="E34" i="30"/>
  <c r="F34" i="30"/>
  <c r="G34" i="30"/>
  <c r="H34" i="30"/>
  <c r="I34" i="30"/>
  <c r="J34" i="30"/>
  <c r="K34" i="30"/>
  <c r="L34" i="30"/>
  <c r="M34" i="30"/>
  <c r="N34" i="30"/>
  <c r="O34" i="30"/>
  <c r="P34" i="30"/>
  <c r="Q34" i="30"/>
  <c r="S34" i="30"/>
  <c r="T34" i="30"/>
  <c r="U34" i="30"/>
  <c r="V34" i="30"/>
  <c r="W34" i="30"/>
  <c r="X34" i="30"/>
  <c r="Y34" i="30"/>
  <c r="V41" i="42"/>
  <c r="V46" i="42" s="1"/>
  <c r="X15" i="32"/>
  <c r="X16" i="32" s="1"/>
  <c r="W41" i="42"/>
  <c r="W46" i="42" s="1"/>
  <c r="Y15" i="32"/>
  <c r="Y16" i="32" s="1"/>
  <c r="V15" i="32"/>
  <c r="V16" i="32" s="1"/>
  <c r="T41" i="42"/>
  <c r="T46" i="42" s="1"/>
  <c r="W15" i="32"/>
  <c r="W16" i="32" s="1"/>
  <c r="U44" i="42"/>
  <c r="U46" i="42" s="1"/>
  <c r="JE30" i="30"/>
  <c r="JJ30" i="30" s="1"/>
  <c r="B12" i="41"/>
  <c r="B14" i="41"/>
  <c r="E165" i="31"/>
  <c r="E163" i="31" s="1"/>
  <c r="F163" i="31" s="1"/>
  <c r="G163" i="31" s="1"/>
  <c r="H163" i="31" s="1"/>
  <c r="I163" i="31" s="1"/>
  <c r="J163" i="31" s="1"/>
  <c r="K163" i="31" s="1"/>
  <c r="L163" i="31" s="1"/>
  <c r="M163" i="31" s="1"/>
  <c r="N163" i="31" s="1"/>
  <c r="O163" i="31" s="1"/>
  <c r="P163" i="31" s="1"/>
  <c r="Q163" i="31" s="1"/>
  <c r="R163" i="31" s="1"/>
  <c r="S163" i="31" s="1"/>
  <c r="T163" i="31" s="1"/>
  <c r="U163" i="31" s="1"/>
  <c r="V163" i="31" s="1"/>
  <c r="D163" i="31"/>
  <c r="D291" i="31"/>
  <c r="D227" i="31"/>
  <c r="D162" i="31"/>
  <c r="D98" i="31"/>
  <c r="E98" i="31" s="1"/>
  <c r="E294" i="31"/>
  <c r="D292" i="31"/>
  <c r="E292" i="31" s="1"/>
  <c r="F292" i="31" s="1"/>
  <c r="G292" i="31" s="1"/>
  <c r="H292" i="31" s="1"/>
  <c r="I292" i="31" s="1"/>
  <c r="J292" i="31" s="1"/>
  <c r="K292" i="31" s="1"/>
  <c r="L292" i="31" s="1"/>
  <c r="M292" i="31" s="1"/>
  <c r="N292" i="31" s="1"/>
  <c r="O292" i="31" s="1"/>
  <c r="P292" i="31" s="1"/>
  <c r="Q292" i="31" s="1"/>
  <c r="R292" i="31" s="1"/>
  <c r="S292" i="31" s="1"/>
  <c r="T292" i="31" s="1"/>
  <c r="U292" i="31" s="1"/>
  <c r="V292" i="31" s="1"/>
  <c r="E230" i="31"/>
  <c r="E233" i="31" s="1"/>
  <c r="F101" i="31"/>
  <c r="G101" i="31" s="1"/>
  <c r="D96" i="42" l="1"/>
  <c r="E106" i="42"/>
  <c r="E98" i="42"/>
  <c r="E111" i="42"/>
  <c r="E103" i="42"/>
  <c r="E109" i="42"/>
  <c r="E108" i="42"/>
  <c r="E105" i="42"/>
  <c r="E97" i="42"/>
  <c r="E100" i="42"/>
  <c r="E107" i="42"/>
  <c r="E112" i="42"/>
  <c r="E104" i="42"/>
  <c r="E110" i="42"/>
  <c r="E102" i="42"/>
  <c r="E101" i="42"/>
  <c r="E99" i="42"/>
  <c r="S36" i="30"/>
  <c r="K36" i="30"/>
  <c r="V36" i="30"/>
  <c r="N36" i="30"/>
  <c r="U36" i="30"/>
  <c r="M36" i="30"/>
  <c r="R36" i="30"/>
  <c r="R56" i="30" s="1"/>
  <c r="J36" i="30"/>
  <c r="Y36" i="30"/>
  <c r="Q36" i="30"/>
  <c r="I36" i="30"/>
  <c r="E67" i="42" s="1"/>
  <c r="E72" i="42" s="1"/>
  <c r="X36" i="30"/>
  <c r="P36" i="30"/>
  <c r="H36" i="30"/>
  <c r="W36" i="30"/>
  <c r="O36" i="30"/>
  <c r="G36" i="30"/>
  <c r="F36" i="30"/>
  <c r="F56" i="30" s="1"/>
  <c r="F80" i="30" s="1"/>
  <c r="E36" i="30"/>
  <c r="E56" i="30" s="1"/>
  <c r="E80" i="30" s="1"/>
  <c r="T36" i="30"/>
  <c r="L36" i="30"/>
  <c r="D36" i="30"/>
  <c r="D56" i="30" s="1"/>
  <c r="D80" i="30" s="1"/>
  <c r="F165" i="31"/>
  <c r="G165" i="31" s="1"/>
  <c r="H165" i="31" s="1"/>
  <c r="I165" i="31" s="1"/>
  <c r="J165" i="31" s="1"/>
  <c r="I294" i="31"/>
  <c r="E162" i="31"/>
  <c r="E227" i="31"/>
  <c r="E291" i="31"/>
  <c r="F98" i="31"/>
  <c r="G98" i="31" s="1"/>
  <c r="AG33" i="19"/>
  <c r="W35" i="19"/>
  <c r="F230" i="31"/>
  <c r="H101" i="31"/>
  <c r="R80" i="30" l="1"/>
  <c r="R73" i="30"/>
  <c r="E96" i="42"/>
  <c r="I56" i="30"/>
  <c r="H56" i="30"/>
  <c r="D67" i="42"/>
  <c r="D72" i="42" s="1"/>
  <c r="N67" i="42"/>
  <c r="N72" i="42" s="1"/>
  <c r="J56" i="30"/>
  <c r="F67" i="42"/>
  <c r="F72" i="42" s="1"/>
  <c r="Q56" i="30"/>
  <c r="M67" i="42"/>
  <c r="M72" i="42" s="1"/>
  <c r="O56" i="30"/>
  <c r="K67" i="42"/>
  <c r="K72" i="42" s="1"/>
  <c r="G56" i="30"/>
  <c r="C72" i="42"/>
  <c r="V56" i="30"/>
  <c r="R67" i="42"/>
  <c r="N56" i="30"/>
  <c r="J67" i="42"/>
  <c r="J72" i="42" s="1"/>
  <c r="P56" i="30"/>
  <c r="L67" i="42"/>
  <c r="L72" i="42" s="1"/>
  <c r="U56" i="30"/>
  <c r="Q67" i="42"/>
  <c r="Q72" i="42" s="1"/>
  <c r="L56" i="30"/>
  <c r="H67" i="42"/>
  <c r="H72" i="42" s="1"/>
  <c r="M56" i="30"/>
  <c r="I67" i="42"/>
  <c r="I72" i="42" s="1"/>
  <c r="T56" i="30"/>
  <c r="P67" i="42"/>
  <c r="P72" i="42" s="1"/>
  <c r="F162" i="31"/>
  <c r="G162" i="31" s="1"/>
  <c r="H162" i="31" s="1"/>
  <c r="I162" i="31" s="1"/>
  <c r="J162" i="31" s="1"/>
  <c r="S56" i="30"/>
  <c r="O67" i="42"/>
  <c r="O72" i="42" s="1"/>
  <c r="K56" i="30"/>
  <c r="G67" i="42"/>
  <c r="G72" i="42" s="1"/>
  <c r="J294" i="31"/>
  <c r="F227" i="31"/>
  <c r="F291" i="31"/>
  <c r="H98" i="31"/>
  <c r="K165" i="31"/>
  <c r="G230" i="31"/>
  <c r="H230" i="31" s="1"/>
  <c r="I101" i="31"/>
  <c r="J101" i="31" s="1"/>
  <c r="R72" i="42" l="1"/>
  <c r="J80" i="30"/>
  <c r="J73" i="30"/>
  <c r="V80" i="30"/>
  <c r="V73" i="30"/>
  <c r="S80" i="30"/>
  <c r="S73" i="30"/>
  <c r="H80" i="30"/>
  <c r="H73" i="30"/>
  <c r="U80" i="30"/>
  <c r="U73" i="30"/>
  <c r="T80" i="30"/>
  <c r="T73" i="30"/>
  <c r="L80" i="30"/>
  <c r="L73" i="30"/>
  <c r="G80" i="30"/>
  <c r="G73" i="30"/>
  <c r="P80" i="30"/>
  <c r="P73" i="30"/>
  <c r="O80" i="30"/>
  <c r="O73" i="30"/>
  <c r="I80" i="30"/>
  <c r="I73" i="30"/>
  <c r="M80" i="30"/>
  <c r="M73" i="30"/>
  <c r="N80" i="30"/>
  <c r="N73" i="30"/>
  <c r="Q80" i="30"/>
  <c r="Q73" i="30"/>
  <c r="K80" i="30"/>
  <c r="K73" i="30"/>
  <c r="C76" i="42"/>
  <c r="K294" i="31"/>
  <c r="L294" i="31" s="1"/>
  <c r="M294" i="31" s="1"/>
  <c r="N294" i="31" s="1"/>
  <c r="O294" i="31" s="1"/>
  <c r="P294" i="31" s="1"/>
  <c r="Q294" i="31" s="1"/>
  <c r="R294" i="31" s="1"/>
  <c r="S294" i="31" s="1"/>
  <c r="T294" i="31" s="1"/>
  <c r="U294" i="31" s="1"/>
  <c r="G291" i="31"/>
  <c r="K162" i="31"/>
  <c r="G227" i="31"/>
  <c r="H227" i="31" s="1"/>
  <c r="I98" i="31"/>
  <c r="J98" i="31" s="1"/>
  <c r="AH33" i="19"/>
  <c r="X35" i="19"/>
  <c r="L165" i="31"/>
  <c r="M165" i="31" s="1"/>
  <c r="N165" i="31" s="1"/>
  <c r="O165" i="31" s="1"/>
  <c r="I230" i="31"/>
  <c r="J230" i="31" s="1"/>
  <c r="K230" i="31" s="1"/>
  <c r="L230" i="31" s="1"/>
  <c r="K101" i="31"/>
  <c r="L101" i="31" s="1"/>
  <c r="M101" i="31" s="1"/>
  <c r="N101" i="31" s="1"/>
  <c r="O101" i="31" s="1"/>
  <c r="P101" i="31" s="1"/>
  <c r="Q101" i="31" s="1"/>
  <c r="I227" i="31" l="1"/>
  <c r="J227" i="31" s="1"/>
  <c r="K227" i="31" s="1"/>
  <c r="L227" i="31" s="1"/>
  <c r="L162" i="31"/>
  <c r="M162" i="31" s="1"/>
  <c r="N162" i="31" s="1"/>
  <c r="O162" i="31" s="1"/>
  <c r="H291" i="31"/>
  <c r="K98" i="31"/>
  <c r="L98" i="31" s="1"/>
  <c r="M98" i="31" s="1"/>
  <c r="N98" i="31" s="1"/>
  <c r="O98" i="31" s="1"/>
  <c r="P98" i="31" s="1"/>
  <c r="Q98" i="31" s="1"/>
  <c r="R98" i="31" s="1"/>
  <c r="S98" i="31" s="1"/>
  <c r="T98" i="31" s="1"/>
  <c r="U98" i="31" s="1"/>
  <c r="V98" i="31" s="1"/>
  <c r="P165" i="31"/>
  <c r="Q165" i="31" s="1"/>
  <c r="R165" i="31" s="1"/>
  <c r="M230" i="31"/>
  <c r="N230" i="31" s="1"/>
  <c r="O230" i="31" s="1"/>
  <c r="P230" i="31" s="1"/>
  <c r="Q230" i="31" s="1"/>
  <c r="R230" i="31" s="1"/>
  <c r="S230" i="31" s="1"/>
  <c r="I291" i="31" l="1"/>
  <c r="J291" i="31" s="1"/>
  <c r="K291" i="31" s="1"/>
  <c r="L291" i="31" s="1"/>
  <c r="M291" i="31" s="1"/>
  <c r="N291" i="31" s="1"/>
  <c r="O291" i="31" s="1"/>
  <c r="P291" i="31" s="1"/>
  <c r="Q291" i="31" s="1"/>
  <c r="R291" i="31" s="1"/>
  <c r="S291" i="31" s="1"/>
  <c r="T291" i="31" s="1"/>
  <c r="U291" i="31" s="1"/>
  <c r="V291" i="31" s="1"/>
  <c r="P162" i="31"/>
  <c r="Q162" i="31" s="1"/>
  <c r="R162" i="31" s="1"/>
  <c r="S162" i="31" s="1"/>
  <c r="T162" i="31" s="1"/>
  <c r="U162" i="31" s="1"/>
  <c r="V162" i="31" s="1"/>
  <c r="M227" i="31"/>
  <c r="N227" i="31" s="1"/>
  <c r="O227" i="31" s="1"/>
  <c r="P227" i="31" s="1"/>
  <c r="Q227" i="31" s="1"/>
  <c r="R227" i="31" s="1"/>
  <c r="S227" i="31" s="1"/>
  <c r="T227" i="31" s="1"/>
  <c r="U227" i="31" s="1"/>
  <c r="V227" i="31" s="1"/>
  <c r="AI33" i="19"/>
  <c r="Y35" i="19"/>
  <c r="AJ33" i="19" l="1"/>
  <c r="Z35" i="19"/>
  <c r="AK33" i="19" l="1"/>
  <c r="AA35" i="19"/>
  <c r="AL33" i="19" l="1"/>
  <c r="AB35" i="19"/>
  <c r="AM33" i="19" l="1"/>
  <c r="AC35" i="19"/>
  <c r="AN33" i="19" l="1"/>
  <c r="AD35" i="19"/>
  <c r="AO33" i="19" l="1"/>
  <c r="AE35" i="19"/>
  <c r="AP33" i="19" l="1"/>
  <c r="AF35" i="19"/>
  <c r="AQ33" i="19" l="1"/>
  <c r="AG35" i="19"/>
  <c r="AR33" i="19" l="1"/>
  <c r="AH35" i="19"/>
  <c r="AS33" i="19" l="1"/>
  <c r="AI35" i="19"/>
  <c r="AT33" i="19" l="1"/>
  <c r="AJ35" i="19"/>
  <c r="AU33" i="19" l="1"/>
  <c r="AK35" i="19"/>
  <c r="AV33" i="19" l="1"/>
  <c r="AL35" i="19"/>
  <c r="AW33" i="19" l="1"/>
  <c r="AM35" i="19"/>
  <c r="AX33" i="19" l="1"/>
  <c r="AN35" i="19"/>
  <c r="AY33" i="19" l="1"/>
  <c r="AO35" i="19"/>
  <c r="AZ33" i="19" l="1"/>
  <c r="AP35" i="19"/>
  <c r="BA33" i="19" l="1"/>
  <c r="AQ35" i="19"/>
  <c r="BB33" i="19" l="1"/>
  <c r="AR35" i="19"/>
  <c r="BC33" i="19" l="1"/>
  <c r="AS35" i="19"/>
  <c r="BD33" i="19" l="1"/>
  <c r="AT35" i="19"/>
  <c r="BE33" i="19" l="1"/>
  <c r="B33" i="19" s="1"/>
  <c r="AU35" i="19"/>
  <c r="BF33" i="19" l="1"/>
  <c r="AV35" i="19"/>
  <c r="BG33" i="19" l="1"/>
  <c r="AW35" i="19"/>
  <c r="BH33" i="19" l="1"/>
  <c r="AX35" i="19"/>
  <c r="BI33" i="19" l="1"/>
  <c r="AY35" i="19"/>
  <c r="BJ33" i="19" l="1"/>
  <c r="AZ35" i="19"/>
  <c r="BK33" i="19" l="1"/>
  <c r="BA35" i="19"/>
  <c r="BL33" i="19" l="1"/>
  <c r="BB35" i="19"/>
  <c r="BM33" i="19" l="1"/>
  <c r="BC35" i="19"/>
  <c r="BN33" i="19" l="1"/>
  <c r="BD35" i="19"/>
  <c r="BO33" i="19" l="1"/>
  <c r="BE35" i="19"/>
  <c r="BP33" i="19" l="1"/>
  <c r="BF35" i="19"/>
  <c r="BQ33" i="19" l="1"/>
  <c r="BG35" i="19"/>
  <c r="BR33" i="19" l="1"/>
  <c r="BH35" i="19"/>
  <c r="BS33" i="19" l="1"/>
  <c r="BI35" i="19"/>
  <c r="BT33" i="19" l="1"/>
  <c r="BJ35" i="19"/>
  <c r="BU33" i="19" l="1"/>
  <c r="BK35" i="19"/>
  <c r="BV33" i="19" l="1"/>
  <c r="BL35" i="19"/>
  <c r="BW33" i="19" l="1"/>
  <c r="BM35" i="19"/>
  <c r="BX33" i="19" l="1"/>
  <c r="BN35" i="19"/>
  <c r="BY33" i="19" l="1"/>
  <c r="BO35" i="19"/>
  <c r="BZ33" i="19" l="1"/>
  <c r="BP35" i="19"/>
  <c r="CA33" i="19" l="1"/>
  <c r="BQ35" i="19"/>
  <c r="BR35" i="19" l="1"/>
  <c r="CB33" i="19"/>
  <c r="CC33" i="19" l="1"/>
  <c r="BS35" i="19" l="1"/>
  <c r="CD33" i="19" l="1"/>
  <c r="CE33" i="19" l="1"/>
  <c r="BT35" i="19"/>
  <c r="CF33" i="19" l="1"/>
  <c r="CG33" i="19" l="1"/>
  <c r="BU35" i="19"/>
  <c r="CH33" i="19" l="1"/>
  <c r="CI33" i="19" l="1"/>
  <c r="AE33" i="41" s="1"/>
  <c r="BV35" i="19" l="1"/>
  <c r="CJ33" i="19" l="1"/>
  <c r="BW35" i="19"/>
  <c r="CK33" i="19" l="1"/>
  <c r="BX35" i="19" l="1"/>
  <c r="CL33" i="19" l="1"/>
  <c r="BY35" i="19" l="1"/>
  <c r="CM33" i="19" l="1"/>
  <c r="BZ35" i="19" l="1"/>
  <c r="CN33" i="19" l="1"/>
  <c r="CA35" i="19" l="1"/>
  <c r="CO33" i="19" l="1"/>
  <c r="CB35" i="19" l="1"/>
  <c r="CP33" i="19" l="1"/>
  <c r="CC35" i="19" l="1"/>
  <c r="B51" i="20" l="1"/>
  <c r="B50" i="20"/>
  <c r="B47" i="20"/>
  <c r="B45" i="20"/>
  <c r="B46" i="20"/>
  <c r="B43" i="20"/>
  <c r="B44" i="20"/>
  <c r="B49" i="20"/>
  <c r="B48" i="20"/>
  <c r="B42" i="20"/>
  <c r="B52" i="20" l="1"/>
  <c r="CQ33" i="19" l="1"/>
  <c r="CD35" i="19" l="1"/>
  <c r="CR33" i="19" l="1"/>
  <c r="CE35" i="19" l="1"/>
  <c r="CS33" i="19" l="1"/>
  <c r="CF35" i="19" l="1"/>
  <c r="CT33" i="19" l="1"/>
  <c r="CG35" i="19" l="1"/>
  <c r="CU33" i="19" l="1"/>
  <c r="CH35" i="19" l="1"/>
  <c r="CV33" i="19" l="1"/>
  <c r="CI35" i="19" l="1"/>
  <c r="CW33" i="19" l="1"/>
  <c r="CJ35" i="19" l="1"/>
  <c r="CX33" i="19" l="1"/>
  <c r="CK35" i="19" l="1"/>
  <c r="CY33" i="19" l="1"/>
  <c r="CL35" i="19" l="1"/>
  <c r="CZ33" i="19" l="1"/>
  <c r="CM35" i="19" l="1"/>
  <c r="DA33" i="19" l="1"/>
  <c r="CN35" i="19" l="1"/>
  <c r="DB33" i="19" l="1"/>
  <c r="CO35" i="19" l="1"/>
  <c r="DC33" i="19" l="1"/>
  <c r="CP35" i="19" l="1"/>
  <c r="DD33" i="19" l="1"/>
  <c r="CQ35" i="19" l="1"/>
  <c r="DE33" i="19" l="1"/>
  <c r="CR35" i="19" l="1"/>
  <c r="DF33" i="19" l="1"/>
  <c r="CS35" i="19" l="1"/>
  <c r="DG33" i="19" l="1"/>
  <c r="CT35" i="19" l="1"/>
  <c r="DH33" i="19" l="1"/>
  <c r="CU35" i="19" l="1"/>
  <c r="DI33" i="19" l="1"/>
  <c r="CV35" i="19" l="1"/>
  <c r="DJ33" i="19" l="1"/>
  <c r="CW35" i="19" l="1"/>
  <c r="DK33" i="19" l="1"/>
  <c r="CX35" i="19" l="1"/>
  <c r="DL33" i="19" l="1"/>
  <c r="CY35" i="19" l="1"/>
  <c r="DM33" i="19" l="1"/>
  <c r="CZ35" i="19" l="1"/>
  <c r="DN33" i="19" l="1"/>
  <c r="DA35" i="19" l="1"/>
  <c r="DO33" i="19" l="1"/>
  <c r="DB35" i="19" l="1"/>
  <c r="DP33" i="19" l="1"/>
  <c r="DC35" i="19" l="1"/>
  <c r="DQ33" i="19" l="1"/>
  <c r="DD35" i="19" l="1"/>
  <c r="DR33" i="19" l="1"/>
  <c r="DE35" i="19" l="1"/>
  <c r="DS33" i="19" l="1"/>
  <c r="DF35" i="19" l="1"/>
  <c r="DT33" i="19" l="1"/>
  <c r="DG35" i="19" l="1"/>
  <c r="DU33" i="19" l="1"/>
  <c r="DH35" i="19" l="1"/>
  <c r="DV33" i="19" l="1"/>
  <c r="DI35" i="19" l="1"/>
  <c r="DW33" i="19" l="1"/>
  <c r="DJ35" i="19" l="1"/>
  <c r="DX33" i="19" l="1"/>
  <c r="DK35" i="19" l="1"/>
  <c r="DY33" i="19" l="1"/>
  <c r="DL35" i="19" l="1"/>
  <c r="DZ33" i="19" l="1"/>
  <c r="DM35" i="19" l="1"/>
  <c r="EA33" i="19" l="1"/>
  <c r="DN35" i="19" l="1"/>
  <c r="EB33" i="19" l="1"/>
  <c r="DO35" i="19" l="1"/>
  <c r="EC33" i="19" l="1"/>
  <c r="DP35" i="19" l="1"/>
  <c r="ED33" i="19" l="1"/>
  <c r="DQ35" i="19" l="1"/>
  <c r="EE33" i="19" l="1"/>
  <c r="DR35" i="19" l="1"/>
  <c r="EF33" i="19" l="1"/>
  <c r="DS35" i="19" l="1"/>
  <c r="EG33" i="19" l="1"/>
  <c r="DT35" i="19" l="1"/>
  <c r="EH33" i="19" l="1"/>
  <c r="DU35" i="19" l="1"/>
  <c r="EI33" i="19" l="1"/>
  <c r="DV35" i="19" l="1"/>
  <c r="EJ33" i="19" l="1"/>
  <c r="DW35" i="19" l="1"/>
  <c r="EK33" i="19" l="1"/>
  <c r="DX35" i="19" l="1"/>
  <c r="EL33" i="19" l="1"/>
  <c r="DY35" i="19" l="1"/>
  <c r="EM33" i="19" l="1"/>
  <c r="DZ35" i="19" l="1"/>
  <c r="EN33" i="19" l="1"/>
  <c r="EA35" i="19" l="1"/>
  <c r="EO33" i="19" l="1"/>
  <c r="EB35" i="19" l="1"/>
  <c r="EP33" i="19" l="1"/>
  <c r="EC35" i="19" l="1"/>
  <c r="EC36" i="19" l="1"/>
  <c r="EC37" i="19"/>
  <c r="EQ33" i="19" l="1"/>
  <c r="ED35" i="19" l="1"/>
  <c r="ED36" i="19" l="1"/>
  <c r="ED37" i="19"/>
  <c r="ER33" i="19" l="1"/>
  <c r="EE35" i="19" l="1"/>
  <c r="EE36" i="19" l="1"/>
  <c r="EE37" i="19"/>
  <c r="ES33" i="19" l="1"/>
  <c r="EF35" i="19" l="1"/>
  <c r="EF37" i="19" l="1"/>
  <c r="EF36" i="19"/>
  <c r="ET33" i="19" l="1"/>
  <c r="EG35" i="19" l="1"/>
  <c r="EG37" i="19" l="1"/>
  <c r="EG36" i="19"/>
  <c r="EU33" i="19" l="1"/>
  <c r="EH35" i="19" l="1"/>
  <c r="EH37" i="19" l="1"/>
  <c r="EH36" i="19"/>
  <c r="EV33" i="19" l="1"/>
  <c r="EI35" i="19" l="1"/>
  <c r="EI37" i="19" l="1"/>
  <c r="EI36" i="19"/>
  <c r="EW33" i="19" l="1"/>
  <c r="EJ35" i="19" l="1"/>
  <c r="EJ37" i="19" l="1"/>
  <c r="EJ36" i="19"/>
  <c r="EX33" i="19" l="1"/>
  <c r="EK35" i="19" l="1"/>
  <c r="EK36" i="19" l="1"/>
  <c r="EK37" i="19"/>
  <c r="EY33" i="19" l="1"/>
  <c r="EL35" i="19" l="1"/>
  <c r="EL36" i="19" l="1"/>
  <c r="EL37" i="19"/>
  <c r="EZ33" i="19" l="1"/>
  <c r="EM35" i="19" l="1"/>
  <c r="EM36" i="19" l="1"/>
  <c r="EM37" i="19"/>
  <c r="FA33" i="19" l="1"/>
  <c r="EN35" i="19" l="1"/>
  <c r="EN36" i="19" l="1"/>
  <c r="EN37" i="19"/>
  <c r="FB33" i="19" l="1"/>
  <c r="EO35" i="19" l="1"/>
  <c r="EO36" i="19" l="1"/>
  <c r="EO37" i="19"/>
  <c r="FC33" i="19" l="1"/>
  <c r="EP35" i="19" l="1"/>
  <c r="EP37" i="19" l="1"/>
  <c r="EP36" i="19"/>
  <c r="FD33" i="19" l="1"/>
  <c r="EQ35" i="19" l="1"/>
  <c r="EQ36" i="19" l="1"/>
  <c r="EQ37" i="19"/>
  <c r="FE33" i="19" l="1"/>
  <c r="ER35" i="19" l="1"/>
  <c r="ER36" i="19" l="1"/>
  <c r="ER37" i="19"/>
  <c r="FF33" i="19" l="1"/>
  <c r="ES35" i="19" l="1"/>
  <c r="ES37" i="19" l="1"/>
  <c r="ES36" i="19"/>
  <c r="FG33" i="19" l="1"/>
  <c r="ET35" i="19" l="1"/>
  <c r="ET36" i="19" l="1"/>
  <c r="ET37" i="19"/>
  <c r="FH33" i="19" l="1"/>
  <c r="EU35" i="19" l="1"/>
  <c r="EU36" i="19" l="1"/>
  <c r="EU37" i="19"/>
  <c r="FI33" i="19" l="1"/>
  <c r="EV35" i="19" l="1"/>
  <c r="EV37" i="19" l="1"/>
  <c r="EV36" i="19"/>
  <c r="FJ33" i="19" l="1"/>
  <c r="FG35" i="19" l="1"/>
  <c r="EW35" i="19"/>
  <c r="FG36" i="19" l="1"/>
  <c r="FG37" i="19"/>
  <c r="EW37" i="19"/>
  <c r="EW36" i="19"/>
  <c r="FK33" i="19" l="1"/>
  <c r="FH35" i="19" l="1"/>
  <c r="EX35" i="19"/>
  <c r="FH36" i="19" l="1"/>
  <c r="FH37" i="19"/>
  <c r="EX37" i="19"/>
  <c r="EX36" i="19"/>
  <c r="FL33" i="19" l="1"/>
  <c r="FI35" i="19" l="1"/>
  <c r="EY35" i="19"/>
  <c r="FI37" i="19" l="1"/>
  <c r="FI36" i="19"/>
  <c r="EY36" i="19"/>
  <c r="EY37" i="19"/>
  <c r="FM33" i="19" l="1"/>
  <c r="FJ35" i="19" l="1"/>
  <c r="EZ35" i="19"/>
  <c r="FJ37" i="19" l="1"/>
  <c r="FJ36" i="19"/>
  <c r="EZ36" i="19"/>
  <c r="EZ37" i="19"/>
  <c r="FN33" i="19" l="1"/>
  <c r="FK35" i="19" l="1"/>
  <c r="FA35" i="19"/>
  <c r="FK36" i="19" l="1"/>
  <c r="FK37" i="19"/>
  <c r="FA37" i="19"/>
  <c r="FA36" i="19"/>
  <c r="FO33" i="19" l="1"/>
  <c r="FL35" i="19" l="1"/>
  <c r="FB35" i="19"/>
  <c r="FL37" i="19" l="1"/>
  <c r="FL36" i="19"/>
  <c r="FB36" i="19"/>
  <c r="FB37" i="19"/>
  <c r="FP33" i="19" l="1"/>
  <c r="FM35" i="19" l="1"/>
  <c r="FC35" i="19"/>
  <c r="FM36" i="19" l="1"/>
  <c r="FM37" i="19"/>
  <c r="FC37" i="19"/>
  <c r="FC36" i="19"/>
  <c r="FQ33" i="19" l="1"/>
  <c r="FN35" i="19" l="1"/>
  <c r="FD35" i="19"/>
  <c r="FN36" i="19" l="1"/>
  <c r="FN37" i="19"/>
  <c r="FD37" i="19"/>
  <c r="FD36" i="19"/>
  <c r="FR33" i="19" l="1"/>
  <c r="FO35" i="19" l="1"/>
  <c r="FE35" i="19"/>
  <c r="FO37" i="19" l="1"/>
  <c r="FO36" i="19"/>
  <c r="FE36" i="19"/>
  <c r="FE37" i="19"/>
  <c r="FS33" i="19" l="1"/>
  <c r="FP35" i="19" l="1"/>
  <c r="FF35" i="19"/>
  <c r="FP36" i="19" l="1"/>
  <c r="FP37" i="19"/>
  <c r="FF37" i="19"/>
  <c r="FF36" i="19"/>
  <c r="FT33" i="19" l="1"/>
  <c r="FQ35" i="19" l="1"/>
  <c r="FQ37" i="19" l="1"/>
  <c r="FQ36" i="19"/>
  <c r="FU33" i="19" l="1"/>
  <c r="FR35" i="19" l="1"/>
  <c r="FR36" i="19" l="1"/>
  <c r="FR37" i="19"/>
  <c r="KC33" i="19" l="1"/>
  <c r="L33" i="41" l="1"/>
  <c r="M33" i="41"/>
  <c r="E33" i="41"/>
  <c r="F33" i="41"/>
  <c r="G33" i="41"/>
  <c r="H33" i="41"/>
  <c r="I33" i="41"/>
  <c r="J33" i="41"/>
  <c r="K33" i="41"/>
  <c r="N33" i="41"/>
  <c r="O33" i="41"/>
  <c r="P33" i="41"/>
  <c r="Q33" i="41"/>
  <c r="R33" i="41"/>
  <c r="S33" i="41"/>
  <c r="T33" i="41"/>
  <c r="U33" i="41"/>
  <c r="V33" i="41"/>
  <c r="W33" i="41"/>
  <c r="X33" i="41"/>
  <c r="Y33" i="41"/>
  <c r="Z33" i="41"/>
  <c r="AA33" i="41"/>
  <c r="AB33" i="41"/>
  <c r="AC33" i="41"/>
  <c r="AD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FV33" i="19"/>
  <c r="B33" i="41" l="1"/>
  <c r="FS35" i="19"/>
  <c r="FS36" i="19" l="1"/>
  <c r="FS37" i="19"/>
  <c r="KC35" i="19"/>
  <c r="M35" i="41" l="1"/>
  <c r="L35" i="41"/>
  <c r="E35" i="41"/>
  <c r="F35" i="41"/>
  <c r="G35" i="41"/>
  <c r="H35" i="41"/>
  <c r="I35" i="41"/>
  <c r="J35" i="41"/>
  <c r="K35" i="41"/>
  <c r="N35" i="41"/>
  <c r="O35" i="41"/>
  <c r="P35"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E35" i="41"/>
  <c r="BB35" i="41"/>
  <c r="BF35" i="41"/>
  <c r="BC35" i="41"/>
  <c r="BG35" i="41"/>
  <c r="BD35" i="41"/>
  <c r="BH35" i="41"/>
  <c r="B35" i="41" l="1"/>
  <c r="FW33" i="19"/>
  <c r="B72" i="19"/>
  <c r="FT35" i="19" l="1"/>
  <c r="B71" i="19"/>
  <c r="B74" i="19"/>
  <c r="E20" i="26"/>
  <c r="D6" i="22"/>
  <c r="F27" i="19"/>
  <c r="G27" i="19"/>
  <c r="I27" i="19"/>
  <c r="J27" i="19"/>
  <c r="K27" i="19"/>
  <c r="L27" i="19"/>
  <c r="M27" i="19"/>
  <c r="N27" i="19"/>
  <c r="O27" i="19"/>
  <c r="Q27" i="19"/>
  <c r="R27" i="19"/>
  <c r="S27" i="19"/>
  <c r="T27" i="19"/>
  <c r="U27" i="19"/>
  <c r="V27" i="19"/>
  <c r="W27" i="19"/>
  <c r="Y27" i="19"/>
  <c r="Z27" i="19"/>
  <c r="AA27" i="19"/>
  <c r="AB27" i="19"/>
  <c r="AC27" i="19"/>
  <c r="AD27" i="19"/>
  <c r="AE27" i="19"/>
  <c r="AG27" i="19"/>
  <c r="AH27" i="19"/>
  <c r="AI27" i="19"/>
  <c r="AJ27" i="19"/>
  <c r="AK27" i="19"/>
  <c r="AL27" i="19"/>
  <c r="AM27" i="19"/>
  <c r="AO27" i="19"/>
  <c r="AP27" i="19"/>
  <c r="AQ27" i="19"/>
  <c r="AR27" i="19"/>
  <c r="AS27" i="19"/>
  <c r="AT27" i="19"/>
  <c r="AU27" i="19"/>
  <c r="AX27" i="19"/>
  <c r="AY27" i="19"/>
  <c r="AZ27" i="19"/>
  <c r="BA27" i="19"/>
  <c r="BB27" i="19"/>
  <c r="BC27" i="19"/>
  <c r="BE27" i="19"/>
  <c r="BF27" i="19"/>
  <c r="BG27" i="19"/>
  <c r="BH27" i="19"/>
  <c r="BJ27" i="19"/>
  <c r="BK27" i="19"/>
  <c r="BM27" i="19"/>
  <c r="BN27" i="19"/>
  <c r="BO27" i="19"/>
  <c r="BP27" i="19"/>
  <c r="BQ27" i="19"/>
  <c r="BR27" i="19"/>
  <c r="BS27" i="19"/>
  <c r="BV27" i="19"/>
  <c r="BW27" i="19"/>
  <c r="BX27" i="19"/>
  <c r="BY27" i="19"/>
  <c r="BZ27" i="19"/>
  <c r="CA27" i="19"/>
  <c r="CC27" i="19"/>
  <c r="CD27" i="19"/>
  <c r="CE27" i="19"/>
  <c r="CF27" i="19"/>
  <c r="FT36" i="19" l="1"/>
  <c r="FT37" i="19"/>
  <c r="BU27" i="19"/>
  <c r="AW27" i="19"/>
  <c r="CG27" i="19"/>
  <c r="BI27" i="19"/>
  <c r="BU24" i="19"/>
  <c r="J6" i="22"/>
  <c r="G6" i="22"/>
  <c r="F6" i="22"/>
  <c r="E6" i="22"/>
  <c r="BT24" i="19"/>
  <c r="I6" i="22"/>
  <c r="CG24" i="19"/>
  <c r="CD24" i="19"/>
  <c r="BR24" i="19"/>
  <c r="CB24" i="19"/>
  <c r="K6" i="22"/>
  <c r="H6" i="22"/>
  <c r="CA24" i="19"/>
  <c r="D7" i="22"/>
  <c r="BY24" i="19"/>
  <c r="CC24" i="19"/>
  <c r="CB27" i="19"/>
  <c r="BT27" i="19"/>
  <c r="BL27" i="19"/>
  <c r="BD27" i="19"/>
  <c r="AV27" i="19"/>
  <c r="AN27" i="19"/>
  <c r="AF27" i="19"/>
  <c r="X27" i="19"/>
  <c r="P27" i="19"/>
  <c r="H27" i="19"/>
  <c r="KC18" i="19"/>
  <c r="KC20" i="19"/>
  <c r="BV24" i="19"/>
  <c r="E27" i="19"/>
  <c r="KC19" i="19"/>
  <c r="L19" i="41" l="1"/>
  <c r="M19" i="41"/>
  <c r="V19" i="41"/>
  <c r="W19" i="41"/>
  <c r="X19" i="41"/>
  <c r="Z19" i="41"/>
  <c r="AA19" i="41"/>
  <c r="AC19" i="41"/>
  <c r="AD19" i="41"/>
  <c r="AE19" i="41"/>
  <c r="AF19" i="41"/>
  <c r="AG19" i="41"/>
  <c r="AH19" i="41"/>
  <c r="AI19" i="41"/>
  <c r="AJ19" i="41"/>
  <c r="AK19" i="41"/>
  <c r="AL19" i="41"/>
  <c r="AM19" i="41"/>
  <c r="AN19" i="41"/>
  <c r="AP19" i="41"/>
  <c r="AQ19" i="41"/>
  <c r="AR19" i="41"/>
  <c r="AT19" i="41"/>
  <c r="AU19" i="41"/>
  <c r="AV19" i="41"/>
  <c r="AW19" i="41"/>
  <c r="AX19" i="41"/>
  <c r="AZ19" i="41"/>
  <c r="BA19" i="41"/>
  <c r="BB19" i="41"/>
  <c r="BC19" i="41"/>
  <c r="BD19" i="41"/>
  <c r="BE19" i="41"/>
  <c r="BF19" i="41"/>
  <c r="BG19" i="41"/>
  <c r="BH19" i="41"/>
  <c r="BI19" i="41"/>
  <c r="BL19" i="41"/>
  <c r="BO19" i="41"/>
  <c r="BP19" i="41"/>
  <c r="BQ19" i="41"/>
  <c r="BS19" i="41"/>
  <c r="BT19" i="41"/>
  <c r="BU19" i="41"/>
  <c r="BV19" i="41"/>
  <c r="BW19" i="41"/>
  <c r="BX19" i="41"/>
  <c r="BY19" i="41"/>
  <c r="CC19" i="41"/>
  <c r="CE19" i="41"/>
  <c r="CF19" i="41"/>
  <c r="CG19" i="41"/>
  <c r="CI19" i="41"/>
  <c r="CJ19" i="41"/>
  <c r="CL19" i="41"/>
  <c r="CM19" i="41"/>
  <c r="CO19" i="41"/>
  <c r="CR19" i="41"/>
  <c r="CT19" i="41"/>
  <c r="CU19" i="41"/>
  <c r="CV19" i="41"/>
  <c r="CW19" i="41"/>
  <c r="CX19" i="41"/>
  <c r="L20" i="41"/>
  <c r="M20" i="41"/>
  <c r="V20" i="41"/>
  <c r="W20" i="41"/>
  <c r="X20" i="41"/>
  <c r="Y20" i="41"/>
  <c r="Z20" i="41"/>
  <c r="AA20" i="41"/>
  <c r="AD20" i="41"/>
  <c r="AE20" i="41"/>
  <c r="AF20" i="41"/>
  <c r="AH20" i="41"/>
  <c r="AI20" i="41"/>
  <c r="AJ20" i="41"/>
  <c r="AK20" i="41"/>
  <c r="AM20" i="41"/>
  <c r="AN20" i="41"/>
  <c r="AP20" i="41"/>
  <c r="AQ20" i="41"/>
  <c r="AR20" i="41"/>
  <c r="AS20" i="41"/>
  <c r="AV20" i="41"/>
  <c r="AW20" i="41"/>
  <c r="AX20" i="41"/>
  <c r="AY20" i="41"/>
  <c r="AZ20" i="41"/>
  <c r="BA20" i="41"/>
  <c r="BB20" i="41"/>
  <c r="BC20" i="41"/>
  <c r="BD20" i="41"/>
  <c r="BE20" i="41"/>
  <c r="BF20" i="41"/>
  <c r="BG20" i="41"/>
  <c r="BH20" i="41"/>
  <c r="BL20" i="41"/>
  <c r="BP20" i="41"/>
  <c r="BQ20" i="41"/>
  <c r="BT20" i="41"/>
  <c r="BU20" i="41"/>
  <c r="BY20" i="41"/>
  <c r="CC20" i="41"/>
  <c r="CD20" i="41"/>
  <c r="CE20" i="41"/>
  <c r="CJ20" i="41"/>
  <c r="CK20" i="41"/>
  <c r="CP20" i="41"/>
  <c r="CS20" i="41"/>
  <c r="CU20" i="41"/>
  <c r="L18" i="41"/>
  <c r="V18" i="41"/>
  <c r="W18" i="41"/>
  <c r="X18" i="41"/>
  <c r="Y18" i="41"/>
  <c r="Z18" i="41"/>
  <c r="AA18" i="41"/>
  <c r="AB18" i="41"/>
  <c r="AC18" i="41"/>
  <c r="AD18" i="41"/>
  <c r="AE18" i="41"/>
  <c r="AF18" i="41"/>
  <c r="AG18" i="41"/>
  <c r="AH18" i="41"/>
  <c r="AI18" i="41"/>
  <c r="AJ18" i="41"/>
  <c r="AK18" i="41"/>
  <c r="AM18" i="41"/>
  <c r="AN18" i="41"/>
  <c r="AO18" i="41"/>
  <c r="AP18" i="41"/>
  <c r="AQ18" i="41"/>
  <c r="AR18" i="41"/>
  <c r="AS18" i="41"/>
  <c r="AT18" i="41"/>
  <c r="AV18" i="41"/>
  <c r="AW18" i="41"/>
  <c r="AX18" i="41"/>
  <c r="AY18" i="41"/>
  <c r="AZ18" i="41"/>
  <c r="BA18" i="41"/>
  <c r="BC18" i="41"/>
  <c r="BD18" i="41"/>
  <c r="BF18" i="41"/>
  <c r="BH18" i="41"/>
  <c r="BI18" i="41"/>
  <c r="BJ18" i="41"/>
  <c r="BK18" i="41"/>
  <c r="BL18" i="41"/>
  <c r="BO18" i="41"/>
  <c r="BP18" i="41"/>
  <c r="BQ18" i="41"/>
  <c r="BR18" i="41"/>
  <c r="BT18" i="41"/>
  <c r="BU18" i="41"/>
  <c r="BV18" i="41"/>
  <c r="BX18" i="41"/>
  <c r="BY18" i="41"/>
  <c r="CC18" i="41"/>
  <c r="CF18" i="41"/>
  <c r="CG18" i="41"/>
  <c r="CK18" i="41"/>
  <c r="CM18" i="41"/>
  <c r="CN18" i="41"/>
  <c r="CO18" i="41"/>
  <c r="CQ18" i="41"/>
  <c r="CV18" i="41"/>
  <c r="CW18" i="41"/>
  <c r="CX18" i="41"/>
  <c r="L14" i="32"/>
  <c r="B27" i="19"/>
  <c r="C8" i="26"/>
  <c r="BZ24" i="19"/>
  <c r="E24" i="19"/>
  <c r="BW24" i="19"/>
  <c r="C6" i="22"/>
  <c r="BS24" i="19"/>
  <c r="KC22" i="19"/>
  <c r="E5" i="26"/>
  <c r="KC25" i="19"/>
  <c r="B18" i="41" l="1"/>
  <c r="L117" i="41"/>
  <c r="L15" i="32"/>
  <c r="L16" i="32" s="1"/>
  <c r="J44" i="42"/>
  <c r="J46" i="42" s="1"/>
  <c r="B19" i="41"/>
  <c r="L25" i="41"/>
  <c r="L27" i="41" s="1"/>
  <c r="M25" i="41"/>
  <c r="M27" i="41" s="1"/>
  <c r="V25" i="41"/>
  <c r="V27" i="41" s="1"/>
  <c r="W25" i="41"/>
  <c r="W27" i="41" s="1"/>
  <c r="X25" i="41"/>
  <c r="X27" i="41" s="1"/>
  <c r="Y25" i="41"/>
  <c r="Y27" i="41" s="1"/>
  <c r="Z25" i="41"/>
  <c r="Z27" i="41" s="1"/>
  <c r="AA25" i="41"/>
  <c r="AA27" i="41" s="1"/>
  <c r="AB25" i="41"/>
  <c r="AB27" i="41" s="1"/>
  <c r="AC25" i="41"/>
  <c r="AC27" i="41" s="1"/>
  <c r="AD25" i="41"/>
  <c r="AD27" i="41" s="1"/>
  <c r="AE25" i="41"/>
  <c r="AE27" i="41" s="1"/>
  <c r="AF25" i="41"/>
  <c r="AF27" i="41" s="1"/>
  <c r="AG25" i="41"/>
  <c r="AG27" i="41" s="1"/>
  <c r="AH25" i="41"/>
  <c r="AH27" i="41" s="1"/>
  <c r="AI25" i="41"/>
  <c r="AI27" i="41" s="1"/>
  <c r="AJ25" i="41"/>
  <c r="AJ27" i="41" s="1"/>
  <c r="AK25" i="41"/>
  <c r="AK27" i="41" s="1"/>
  <c r="AL25" i="41"/>
  <c r="AL27" i="41" s="1"/>
  <c r="AM25" i="41"/>
  <c r="AM27" i="41" s="1"/>
  <c r="AN25" i="41"/>
  <c r="AN27" i="41" s="1"/>
  <c r="AO25" i="41"/>
  <c r="AO27" i="41" s="1"/>
  <c r="AP25" i="41"/>
  <c r="AP27" i="41" s="1"/>
  <c r="AQ25" i="41"/>
  <c r="AQ27" i="41" s="1"/>
  <c r="AR25" i="41"/>
  <c r="AR27" i="41" s="1"/>
  <c r="AS25" i="41"/>
  <c r="AS27" i="41" s="1"/>
  <c r="AT25" i="41"/>
  <c r="AT27" i="41" s="1"/>
  <c r="AU25" i="41"/>
  <c r="AU27" i="41" s="1"/>
  <c r="AV25" i="41"/>
  <c r="AV27" i="41" s="1"/>
  <c r="AW25" i="41"/>
  <c r="AW27" i="41" s="1"/>
  <c r="AX25" i="41"/>
  <c r="AX27" i="41" s="1"/>
  <c r="AY25" i="41"/>
  <c r="AY27" i="41" s="1"/>
  <c r="AZ25" i="41"/>
  <c r="AZ27" i="41" s="1"/>
  <c r="BA25" i="41"/>
  <c r="BA27" i="41" s="1"/>
  <c r="BB25" i="41"/>
  <c r="BB27" i="41" s="1"/>
  <c r="BC25" i="41"/>
  <c r="BC27" i="41" s="1"/>
  <c r="BD25" i="41"/>
  <c r="BD27" i="41" s="1"/>
  <c r="BE25" i="41"/>
  <c r="BE27" i="41" s="1"/>
  <c r="BF25" i="41"/>
  <c r="BF27" i="41" s="1"/>
  <c r="BG25" i="41"/>
  <c r="BG27" i="41" s="1"/>
  <c r="BH25" i="41"/>
  <c r="BH27" i="41" s="1"/>
  <c r="BI25" i="41"/>
  <c r="BI27" i="41" s="1"/>
  <c r="BJ25" i="41"/>
  <c r="BJ27" i="41" s="1"/>
  <c r="BK25" i="41"/>
  <c r="BK27" i="41" s="1"/>
  <c r="BL25" i="41"/>
  <c r="BL27" i="41" s="1"/>
  <c r="BM25" i="41"/>
  <c r="BM27" i="41" s="1"/>
  <c r="BN25" i="41"/>
  <c r="BN27" i="41" s="1"/>
  <c r="BO25" i="41"/>
  <c r="BO27" i="41" s="1"/>
  <c r="BP25" i="41"/>
  <c r="BP27" i="41" s="1"/>
  <c r="BQ25" i="41"/>
  <c r="BQ27" i="41" s="1"/>
  <c r="BR25" i="41"/>
  <c r="BR27" i="41" s="1"/>
  <c r="BS25" i="41"/>
  <c r="BS27" i="41" s="1"/>
  <c r="BT25" i="41"/>
  <c r="BT27" i="41" s="1"/>
  <c r="BU25" i="41"/>
  <c r="BU27" i="41" s="1"/>
  <c r="BV25" i="41"/>
  <c r="BV27" i="41" s="1"/>
  <c r="BX25" i="41"/>
  <c r="BX27" i="41" s="1"/>
  <c r="BY25" i="41"/>
  <c r="BY27" i="41" s="1"/>
  <c r="BZ25" i="41"/>
  <c r="BZ27" i="41" s="1"/>
  <c r="CA25" i="41"/>
  <c r="CA27" i="41" s="1"/>
  <c r="CC25" i="41"/>
  <c r="CC27" i="41" s="1"/>
  <c r="CD25" i="41"/>
  <c r="CD27" i="41" s="1"/>
  <c r="CE25" i="41"/>
  <c r="CE27" i="41" s="1"/>
  <c r="CF25" i="41"/>
  <c r="CF27" i="41" s="1"/>
  <c r="CG25" i="41"/>
  <c r="CG27" i="41" s="1"/>
  <c r="CH25" i="41"/>
  <c r="CH27" i="41" s="1"/>
  <c r="CI25" i="41"/>
  <c r="CI27" i="41" s="1"/>
  <c r="CK25" i="41"/>
  <c r="CK27" i="41" s="1"/>
  <c r="CL25" i="41"/>
  <c r="CL27" i="41" s="1"/>
  <c r="CM25" i="41"/>
  <c r="CM27" i="41" s="1"/>
  <c r="CN25" i="41"/>
  <c r="CN27" i="41" s="1"/>
  <c r="CO25" i="41"/>
  <c r="CO27" i="41" s="1"/>
  <c r="CP25" i="41"/>
  <c r="CP27" i="41" s="1"/>
  <c r="CQ25" i="41"/>
  <c r="CQ27" i="41" s="1"/>
  <c r="CR25" i="41"/>
  <c r="CR27" i="41" s="1"/>
  <c r="CS25" i="41"/>
  <c r="CS27" i="41" s="1"/>
  <c r="CT25" i="41"/>
  <c r="CT27" i="41" s="1"/>
  <c r="CU25" i="41"/>
  <c r="CU27" i="41" s="1"/>
  <c r="CV25" i="41"/>
  <c r="CV27" i="41" s="1"/>
  <c r="CW25" i="41"/>
  <c r="CW27" i="41" s="1"/>
  <c r="CX25" i="41"/>
  <c r="CX27" i="41" s="1"/>
  <c r="I25" i="41"/>
  <c r="B20" i="41"/>
  <c r="L22" i="41"/>
  <c r="L118" i="41" s="1"/>
  <c r="M22" i="41"/>
  <c r="M118" i="41" s="1"/>
  <c r="M119" i="41" s="1"/>
  <c r="V22" i="41"/>
  <c r="W22" i="41"/>
  <c r="Y22" i="41"/>
  <c r="Z22" i="41"/>
  <c r="AA22" i="41"/>
  <c r="AB22" i="41"/>
  <c r="AC22" i="41"/>
  <c r="AD22" i="41"/>
  <c r="AE22" i="41"/>
  <c r="AF22" i="41"/>
  <c r="AG22" i="41"/>
  <c r="AG24" i="41" s="1"/>
  <c r="AH22" i="41"/>
  <c r="AI22" i="41"/>
  <c r="AJ22" i="41"/>
  <c r="AL22" i="41"/>
  <c r="AM22" i="41"/>
  <c r="AN22" i="41"/>
  <c r="AO22" i="41"/>
  <c r="AP22" i="41"/>
  <c r="AQ22" i="41"/>
  <c r="AR22" i="41"/>
  <c r="AS22" i="41"/>
  <c r="AT22" i="41"/>
  <c r="AU22" i="41"/>
  <c r="AW22" i="41"/>
  <c r="AX22" i="41"/>
  <c r="AY22" i="41"/>
  <c r="AZ22" i="41"/>
  <c r="BA22" i="41"/>
  <c r="BB22" i="41"/>
  <c r="BC22" i="41"/>
  <c r="BD22" i="41"/>
  <c r="BE22" i="41"/>
  <c r="BF22" i="41"/>
  <c r="BG22" i="41"/>
  <c r="BH22" i="41"/>
  <c r="BI22" i="41"/>
  <c r="BJ22" i="41"/>
  <c r="BK22" i="41"/>
  <c r="BN22" i="41"/>
  <c r="BO22" i="41"/>
  <c r="BP22" i="41"/>
  <c r="BR22" i="41"/>
  <c r="BS22" i="41"/>
  <c r="BU22" i="41"/>
  <c r="BW22" i="41"/>
  <c r="BX22" i="41"/>
  <c r="BY22" i="41"/>
  <c r="BZ22" i="41"/>
  <c r="CA22" i="41"/>
  <c r="CC22" i="41"/>
  <c r="CE22" i="41"/>
  <c r="CF22" i="41"/>
  <c r="CG22" i="41"/>
  <c r="CH22" i="41"/>
  <c r="CI22" i="41"/>
  <c r="CI24" i="41" s="1"/>
  <c r="CJ22" i="41"/>
  <c r="CK22" i="41"/>
  <c r="CN22" i="41"/>
  <c r="CO22" i="41"/>
  <c r="CP22" i="41"/>
  <c r="CQ22" i="41"/>
  <c r="CR22" i="41"/>
  <c r="CS22" i="41"/>
  <c r="CT22" i="41"/>
  <c r="CU22" i="41"/>
  <c r="CV22" i="41"/>
  <c r="CW22" i="41"/>
  <c r="CX22" i="41"/>
  <c r="J14" i="32"/>
  <c r="K14" i="32"/>
  <c r="FX33" i="19"/>
  <c r="I14" i="32"/>
  <c r="E7" i="26"/>
  <c r="E8" i="26" s="1"/>
  <c r="CF24" i="19"/>
  <c r="BX24" i="19"/>
  <c r="CE24" i="19"/>
  <c r="KC27" i="19"/>
  <c r="L119" i="41" l="1"/>
  <c r="F96" i="42" a="1"/>
  <c r="I15" i="32"/>
  <c r="I16" i="32" s="1"/>
  <c r="G44" i="42"/>
  <c r="G46" i="42" s="1"/>
  <c r="K15" i="32"/>
  <c r="K16" i="32" s="1"/>
  <c r="I44" i="42"/>
  <c r="I46" i="42" s="1"/>
  <c r="J15" i="32"/>
  <c r="J16" i="32" s="1"/>
  <c r="H44" i="42"/>
  <c r="H46" i="42" s="1"/>
  <c r="B22" i="41"/>
  <c r="I27" i="41"/>
  <c r="B25" i="41"/>
  <c r="FU35" i="19"/>
  <c r="F96" i="42" l="1"/>
  <c r="G96" i="42" s="1"/>
  <c r="H96" i="42" s="1"/>
  <c r="G100" i="42"/>
  <c r="H100" i="42" s="1"/>
  <c r="G105" i="42"/>
  <c r="H105" i="42" s="1"/>
  <c r="G98" i="42"/>
  <c r="H98" i="42" s="1"/>
  <c r="G97" i="42"/>
  <c r="H97" i="42" s="1"/>
  <c r="G106" i="42"/>
  <c r="H106" i="42" s="1"/>
  <c r="G112" i="42"/>
  <c r="H112" i="42" s="1"/>
  <c r="G111" i="42"/>
  <c r="H111" i="42" s="1"/>
  <c r="G99" i="42"/>
  <c r="H99" i="42" s="1"/>
  <c r="G104" i="42"/>
  <c r="H104" i="42" s="1"/>
  <c r="G103" i="42"/>
  <c r="H103" i="42" s="1"/>
  <c r="G109" i="42"/>
  <c r="H109" i="42" s="1"/>
  <c r="G107" i="42"/>
  <c r="H107" i="42" s="1"/>
  <c r="G101" i="42"/>
  <c r="H101" i="42" s="1"/>
  <c r="G102" i="42"/>
  <c r="H102" i="42" s="1"/>
  <c r="G110" i="42"/>
  <c r="H110" i="42" s="1"/>
  <c r="G108" i="42"/>
  <c r="H108" i="42" s="1"/>
  <c r="B27" i="41"/>
  <c r="FU36" i="19"/>
  <c r="FU37" i="19"/>
  <c r="H114" i="42" l="1"/>
  <c r="I114" i="42"/>
  <c r="FY33" i="19"/>
  <c r="F35" i="20"/>
  <c r="G35" i="20"/>
  <c r="H35" i="20"/>
  <c r="I35" i="20"/>
  <c r="J35" i="20"/>
  <c r="I115" i="42" l="1"/>
  <c r="FV35" i="19"/>
  <c r="F49" i="19"/>
  <c r="I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FV36" i="19" l="1"/>
  <c r="FV37" i="19"/>
  <c r="E30" i="28"/>
  <c r="H30" i="28"/>
  <c r="G30" i="28"/>
  <c r="F30" i="28"/>
  <c r="FZ33" i="19" l="1"/>
  <c r="FW35" i="19" l="1"/>
  <c r="FW36" i="19" l="1"/>
  <c r="FW37" i="19"/>
  <c r="GA33" i="19" l="1"/>
  <c r="FX35" i="19" l="1"/>
  <c r="FX36" i="19" l="1"/>
  <c r="FX37" i="19"/>
  <c r="GB33" i="19" l="1"/>
  <c r="FY35" i="19" l="1"/>
  <c r="FY36" i="19" l="1"/>
  <c r="FY37" i="19"/>
  <c r="GC33" i="19" l="1"/>
  <c r="FZ35" i="19" l="1"/>
  <c r="FZ37" i="19" l="1"/>
  <c r="FZ36" i="19"/>
  <c r="GD33" i="19" l="1"/>
  <c r="GA35" i="19" l="1"/>
  <c r="GA36" i="19" l="1"/>
  <c r="GA37" i="19"/>
  <c r="GE33" i="19" l="1"/>
  <c r="GB35" i="19" l="1"/>
  <c r="GB36" i="19" l="1"/>
  <c r="GB37" i="19"/>
  <c r="GF33" i="19" l="1"/>
  <c r="GC35" i="19" l="1"/>
  <c r="GC36" i="19" l="1"/>
  <c r="GC37" i="19"/>
  <c r="GG33" i="19" l="1"/>
  <c r="GD35" i="19" l="1"/>
  <c r="GD36" i="19" l="1"/>
  <c r="GD37" i="19"/>
  <c r="GH33" i="19" l="1"/>
  <c r="GE35" i="19" l="1"/>
  <c r="GE37" i="19" l="1"/>
  <c r="GE36" i="19"/>
  <c r="GI33" i="19" l="1"/>
  <c r="GF35" i="19" l="1"/>
  <c r="GF37" i="19" l="1"/>
  <c r="GF36" i="19"/>
  <c r="GJ33" i="19" l="1"/>
  <c r="GG35" i="19" l="1"/>
  <c r="GG36" i="19" l="1"/>
  <c r="GG37" i="19"/>
  <c r="GK33" i="19" l="1"/>
  <c r="GH35" i="19" l="1"/>
  <c r="GH37" i="19" l="1"/>
  <c r="GH36" i="19"/>
  <c r="GL33" i="19" l="1"/>
  <c r="GI35" i="19" l="1"/>
  <c r="GI37" i="19" l="1"/>
  <c r="GI36" i="19"/>
  <c r="GM33" i="19" l="1"/>
  <c r="GJ35" i="19" l="1"/>
  <c r="GJ36" i="19" l="1"/>
  <c r="GJ37" i="19"/>
  <c r="GN33" i="19" l="1"/>
  <c r="GK35" i="19" l="1"/>
  <c r="GK36" i="19" l="1"/>
  <c r="GK37" i="19"/>
  <c r="GO33" i="19" l="1"/>
  <c r="GL35" i="19" l="1"/>
  <c r="GL36" i="19" l="1"/>
  <c r="GL37" i="19"/>
  <c r="GP33" i="19" l="1"/>
  <c r="GM35" i="19" l="1"/>
  <c r="GM37" i="19" l="1"/>
  <c r="GM36" i="19"/>
  <c r="GQ33" i="19" l="1"/>
  <c r="GN35" i="19" l="1"/>
  <c r="GN36" i="19" l="1"/>
  <c r="GN37" i="19"/>
  <c r="GR33" i="19" l="1"/>
  <c r="GO35" i="19" l="1"/>
  <c r="GO36" i="19" l="1"/>
  <c r="GO37" i="19"/>
  <c r="GS33" i="19" l="1"/>
  <c r="GP35" i="19" l="1"/>
  <c r="GP36" i="19" l="1"/>
  <c r="GP37" i="19"/>
  <c r="GT33" i="19" l="1"/>
  <c r="GQ35" i="19" l="1"/>
  <c r="GQ37" i="19" l="1"/>
  <c r="GQ36" i="19"/>
  <c r="GU33" i="19" l="1"/>
  <c r="GR35" i="19" l="1"/>
  <c r="GR36" i="19" l="1"/>
  <c r="GR37" i="19"/>
  <c r="GV33" i="19" l="1"/>
  <c r="GS35" i="19" l="1"/>
  <c r="GS37" i="19" l="1"/>
  <c r="GS36" i="19"/>
  <c r="GW33" i="19" l="1"/>
  <c r="GT35" i="19" l="1"/>
  <c r="GT36" i="19" l="1"/>
  <c r="GT37" i="19"/>
  <c r="GX33" i="19" l="1"/>
  <c r="GU35" i="19" l="1"/>
  <c r="GU37" i="19" l="1"/>
  <c r="GU36" i="19"/>
  <c r="GY33" i="19" l="1"/>
  <c r="GV35" i="19" l="1"/>
  <c r="GV36" i="19" l="1"/>
  <c r="GV37" i="19"/>
  <c r="GZ33" i="19" l="1"/>
  <c r="GW35" i="19" l="1"/>
  <c r="GW36" i="19" l="1"/>
  <c r="GW37" i="19"/>
  <c r="HA33" i="19" l="1"/>
  <c r="GX35" i="19" l="1"/>
  <c r="GX37" i="19" l="1"/>
  <c r="GX36" i="19"/>
  <c r="HB33" i="19" l="1"/>
  <c r="GY35" i="19" l="1"/>
  <c r="GY36" i="19" l="1"/>
  <c r="GY37" i="19"/>
  <c r="HC33" i="19" l="1"/>
  <c r="GZ35" i="19" l="1"/>
  <c r="GZ36" i="19" l="1"/>
  <c r="GZ37" i="19"/>
  <c r="HD33" i="19" l="1"/>
  <c r="HA35" i="19" l="1"/>
  <c r="HA36" i="19" l="1"/>
  <c r="HA37" i="19"/>
  <c r="HE33" i="19" l="1"/>
  <c r="HB35" i="19" l="1"/>
  <c r="HB36" i="19" l="1"/>
  <c r="HB37" i="19"/>
  <c r="HF33" i="19" l="1"/>
  <c r="HC35" i="19" l="1"/>
  <c r="HC37" i="19" l="1"/>
  <c r="HC36" i="19"/>
  <c r="HG33" i="19" l="1"/>
  <c r="HD35" i="19" l="1"/>
  <c r="HD36" i="19" l="1"/>
  <c r="HD37" i="19"/>
  <c r="HH33" i="19" l="1"/>
  <c r="HE35" i="19" l="1"/>
  <c r="HE36" i="19" l="1"/>
  <c r="HE37" i="19"/>
  <c r="HI33" i="19" l="1"/>
  <c r="HF35" i="19" l="1"/>
  <c r="HF36" i="19" l="1"/>
  <c r="HF37" i="19"/>
  <c r="HJ33" i="19" l="1"/>
  <c r="HG35" i="19" l="1"/>
  <c r="HG36" i="19" l="1"/>
  <c r="HG37" i="19"/>
  <c r="HK33" i="19" l="1"/>
  <c r="HH35" i="19" l="1"/>
  <c r="HH36" i="19" l="1"/>
  <c r="HH37" i="19"/>
  <c r="HL33" i="19" l="1"/>
  <c r="HI35" i="19" l="1"/>
  <c r="HI36" i="19" l="1"/>
  <c r="HI37" i="19"/>
  <c r="HM33" i="19" l="1"/>
  <c r="HJ35" i="19" l="1"/>
  <c r="HJ36" i="19" l="1"/>
  <c r="HJ37" i="19"/>
  <c r="HN33" i="19" l="1"/>
  <c r="HK35" i="19" l="1"/>
  <c r="HK37" i="19" l="1"/>
  <c r="HK36" i="19"/>
  <c r="HO33" i="19" l="1"/>
  <c r="HL35" i="19" l="1"/>
  <c r="HL36" i="19" l="1"/>
  <c r="HL37" i="19"/>
  <c r="HP33" i="19" l="1"/>
  <c r="HM35" i="19" l="1"/>
  <c r="HM37" i="19" l="1"/>
  <c r="HM36" i="19"/>
  <c r="HQ33" i="19" l="1"/>
  <c r="HN35" i="19" l="1"/>
  <c r="HN37" i="19" l="1"/>
  <c r="HN36" i="19"/>
  <c r="HR33" i="19" l="1"/>
  <c r="HO35" i="19" l="1"/>
  <c r="HO37" i="19" l="1"/>
  <c r="HO36" i="19"/>
  <c r="HS33" i="19" l="1"/>
  <c r="HP35" i="19" l="1"/>
  <c r="HP36" i="19" l="1"/>
  <c r="HP37" i="19"/>
  <c r="HT33" i="19" l="1"/>
  <c r="HQ35" i="19" l="1"/>
  <c r="HQ37" i="19" l="1"/>
  <c r="HQ36" i="19"/>
  <c r="HU33" i="19" l="1"/>
  <c r="HR35" i="19" l="1"/>
  <c r="HR37" i="19" l="1"/>
  <c r="HR36" i="19"/>
  <c r="HV33" i="19" l="1"/>
  <c r="HS35" i="19" l="1"/>
  <c r="HS37" i="19" l="1"/>
  <c r="HS36" i="19"/>
  <c r="HW33" i="19" l="1"/>
  <c r="HT35" i="19" l="1"/>
  <c r="HT36" i="19" l="1"/>
  <c r="HT37" i="19"/>
  <c r="HX33" i="19" l="1"/>
  <c r="HU35" i="19" l="1"/>
  <c r="HU37" i="19" l="1"/>
  <c r="HU36" i="19"/>
  <c r="HY33" i="19" l="1"/>
  <c r="HV35" i="19" l="1"/>
  <c r="HV36" i="19" l="1"/>
  <c r="HV37" i="19"/>
  <c r="HZ33" i="19" l="1"/>
  <c r="HW35" i="19" l="1"/>
  <c r="HW36" i="19" l="1"/>
  <c r="HW37" i="19"/>
  <c r="IA33" i="19" l="1"/>
  <c r="HX35" i="19" l="1"/>
  <c r="HX37" i="19" l="1"/>
  <c r="HX36" i="19"/>
  <c r="IB33" i="19" l="1"/>
  <c r="HY35" i="19" l="1"/>
  <c r="HY36" i="19" l="1"/>
  <c r="HY37" i="19"/>
  <c r="IC33" i="19" l="1"/>
  <c r="HZ35" i="19" l="1"/>
  <c r="HZ37" i="19" l="1"/>
  <c r="HZ36" i="19"/>
  <c r="ID33" i="19" l="1"/>
  <c r="IA35" i="19" l="1"/>
  <c r="IA36" i="19" l="1"/>
  <c r="IA37" i="19"/>
  <c r="IE33" i="19" l="1"/>
  <c r="IB35" i="19" l="1"/>
  <c r="IB36" i="19" l="1"/>
  <c r="IB37" i="19"/>
  <c r="IF33" i="19" l="1"/>
  <c r="IC35" i="19" l="1"/>
  <c r="IC36" i="19" l="1"/>
  <c r="IC37" i="19"/>
  <c r="IG33" i="19" l="1"/>
  <c r="ID35" i="19" l="1"/>
  <c r="ID36" i="19" l="1"/>
  <c r="ID37" i="19"/>
  <c r="IH33" i="19" l="1"/>
  <c r="IE35" i="19" l="1"/>
  <c r="IE36" i="19" l="1"/>
  <c r="IE37" i="19"/>
  <c r="II33" i="19" l="1"/>
  <c r="IF35" i="19" l="1"/>
  <c r="IF36" i="19" l="1"/>
  <c r="IF37" i="19"/>
  <c r="IJ33" i="19" l="1"/>
  <c r="IG35" i="19" l="1"/>
  <c r="IG36" i="19" l="1"/>
  <c r="IG37" i="19"/>
  <c r="IK33" i="19" l="1"/>
  <c r="IH35" i="19" l="1"/>
  <c r="IH37" i="19" l="1"/>
  <c r="IH36" i="19"/>
  <c r="IL33" i="19" l="1"/>
  <c r="II35" i="19" l="1"/>
  <c r="II37" i="19" l="1"/>
  <c r="II36" i="19"/>
  <c r="IM33" i="19" l="1"/>
  <c r="IJ35" i="19" l="1"/>
  <c r="IJ36" i="19" l="1"/>
  <c r="IJ37" i="19"/>
  <c r="IN33" i="19" l="1"/>
  <c r="IK35" i="19" l="1"/>
  <c r="IK37" i="19" l="1"/>
  <c r="IK36" i="19"/>
  <c r="IO33" i="19" l="1"/>
  <c r="IL35" i="19" l="1"/>
  <c r="IL37" i="19" l="1"/>
  <c r="IL36" i="19"/>
  <c r="IP33" i="19" l="1"/>
  <c r="IM35" i="19" l="1"/>
  <c r="IM36" i="19" l="1"/>
  <c r="IM37" i="19"/>
  <c r="IQ33" i="19" l="1"/>
  <c r="IN35" i="19" l="1"/>
  <c r="IN36" i="19" l="1"/>
  <c r="IN37" i="19"/>
  <c r="IR33" i="19" l="1"/>
  <c r="IO35" i="19" l="1"/>
  <c r="IO37" i="19" l="1"/>
  <c r="IO36" i="19"/>
  <c r="IS33" i="19" l="1"/>
  <c r="IP35" i="19" l="1"/>
  <c r="IP36" i="19" l="1"/>
  <c r="IP37" i="19"/>
  <c r="IT33" i="19" l="1"/>
  <c r="IQ35" i="19" l="1"/>
  <c r="IQ37" i="19" l="1"/>
  <c r="IQ36" i="19"/>
  <c r="IU33" i="19" l="1"/>
  <c r="IR35" i="19" l="1"/>
  <c r="IR36" i="19" l="1"/>
  <c r="IR37" i="19"/>
  <c r="IV33" i="19" l="1"/>
  <c r="IS35" i="19" l="1"/>
  <c r="IS37" i="19" l="1"/>
  <c r="IS36" i="19"/>
  <c r="IW33" i="19" l="1"/>
  <c r="IT35" i="19" l="1"/>
  <c r="IT36" i="19" l="1"/>
  <c r="IT37" i="19"/>
  <c r="IX33" i="19" l="1"/>
  <c r="IU35" i="19" l="1"/>
  <c r="IU36" i="19" l="1"/>
  <c r="IU37" i="19"/>
  <c r="IY33" i="19" l="1"/>
  <c r="IV35" i="19" l="1"/>
  <c r="IV37" i="19" l="1"/>
  <c r="IV36" i="19"/>
  <c r="IZ33" i="19" l="1"/>
  <c r="IW35" i="19" l="1"/>
  <c r="IW36" i="19" l="1"/>
  <c r="IW37" i="19"/>
  <c r="JA33" i="19" l="1"/>
  <c r="IX35" i="19" l="1"/>
  <c r="IX36" i="19" l="1"/>
  <c r="IX37" i="19"/>
  <c r="JB33" i="19" l="1"/>
  <c r="IY35" i="19" l="1"/>
  <c r="IY37" i="19" l="1"/>
  <c r="IY36" i="19"/>
  <c r="JC33" i="19" l="1"/>
  <c r="IZ35" i="19" l="1"/>
  <c r="IZ36" i="19" l="1"/>
  <c r="IZ37" i="19"/>
  <c r="JD33" i="19" l="1"/>
  <c r="JA35" i="19" l="1"/>
  <c r="JA37" i="19" l="1"/>
  <c r="JA36" i="19"/>
  <c r="JE33" i="19" l="1"/>
  <c r="JB35" i="19" l="1"/>
  <c r="JB36" i="19" l="1"/>
  <c r="JB37" i="19"/>
  <c r="JF33" i="19" l="1"/>
  <c r="JC35" i="19" l="1"/>
  <c r="JC36" i="19" l="1"/>
  <c r="JC37" i="19"/>
  <c r="JG33" i="19" l="1"/>
  <c r="JD35" i="19" l="1"/>
  <c r="JD37" i="19" l="1"/>
  <c r="JD36" i="19"/>
  <c r="JH33" i="19" l="1"/>
  <c r="JE35" i="19" l="1"/>
  <c r="JE36" i="19" l="1"/>
  <c r="JE37" i="19"/>
  <c r="JI33" i="19" l="1"/>
  <c r="JF35" i="19" l="1"/>
  <c r="JF37" i="19" l="1"/>
  <c r="JF36" i="19"/>
  <c r="JJ33" i="19" l="1"/>
  <c r="JG35" i="19" l="1"/>
  <c r="JG37" i="19" l="1"/>
  <c r="JG36" i="19"/>
  <c r="JK33" i="19" l="1"/>
  <c r="JH35" i="19" l="1"/>
  <c r="JH36" i="19" l="1"/>
  <c r="JH37" i="19"/>
  <c r="JL33" i="19" l="1"/>
  <c r="JI35" i="19" l="1"/>
  <c r="JI36" i="19" l="1"/>
  <c r="JI37" i="19"/>
  <c r="JM33" i="19" l="1"/>
  <c r="JJ35" i="19" l="1"/>
  <c r="JJ37" i="19" l="1"/>
  <c r="JJ36" i="19"/>
  <c r="JN33" i="19" l="1"/>
  <c r="JK35" i="19" l="1"/>
  <c r="JK36" i="19" l="1"/>
  <c r="JK37" i="19"/>
  <c r="JO33" i="19" l="1"/>
  <c r="JL35" i="19" l="1"/>
  <c r="JL37" i="19" l="1"/>
  <c r="JL36" i="19"/>
  <c r="JP33" i="19" l="1"/>
  <c r="JM35" i="19" l="1"/>
  <c r="JM37" i="19" l="1"/>
  <c r="JM36" i="19"/>
  <c r="JQ33" i="19" l="1"/>
  <c r="JN35" i="19" l="1"/>
  <c r="JN36" i="19" l="1"/>
  <c r="JN37" i="19"/>
  <c r="JR33" i="19" l="1"/>
  <c r="JO35" i="19" l="1"/>
  <c r="JO37" i="19" l="1"/>
  <c r="JO36" i="19"/>
  <c r="JS33" i="19" l="1"/>
  <c r="JP35" i="19" l="1"/>
  <c r="JP36" i="19" l="1"/>
  <c r="JP37" i="19"/>
  <c r="JT33" i="19" l="1"/>
  <c r="JQ35" i="19" l="1"/>
  <c r="JQ37" i="19" l="1"/>
  <c r="JQ36" i="19"/>
  <c r="JU33" i="19" l="1"/>
  <c r="JR35" i="19" l="1"/>
  <c r="JR37" i="19" l="1"/>
  <c r="JR36" i="19"/>
  <c r="JV33" i="19" l="1"/>
  <c r="JS35" i="19" l="1"/>
  <c r="JS37" i="19" l="1"/>
  <c r="JS36" i="19"/>
  <c r="JW33" i="19" l="1"/>
  <c r="JT35" i="19" l="1"/>
  <c r="JT36" i="19" l="1"/>
  <c r="JT37" i="19"/>
  <c r="JX33" i="19" l="1"/>
  <c r="JU35" i="19" l="1"/>
  <c r="JU36" i="19" l="1"/>
  <c r="JU37" i="19"/>
  <c r="JY33" i="19" l="1"/>
  <c r="JV35" i="19" l="1"/>
  <c r="JV37" i="19" l="1"/>
  <c r="JV36" i="19"/>
  <c r="JZ33" i="19" l="1"/>
  <c r="JW35" i="19" l="1"/>
  <c r="JW37" i="19" l="1"/>
  <c r="JW36" i="19"/>
  <c r="KA33" i="19" l="1"/>
  <c r="JX35" i="19" l="1"/>
  <c r="JX36" i="19" l="1"/>
  <c r="JX37" i="19"/>
  <c r="KB33" i="19" l="1"/>
  <c r="JY35" i="19" l="1"/>
  <c r="JY36" i="19" l="1"/>
  <c r="JY37" i="19"/>
  <c r="JZ35" i="19" l="1"/>
  <c r="JZ36" i="19" l="1"/>
  <c r="JZ37" i="19"/>
  <c r="KA35" i="19" l="1"/>
  <c r="KA37" i="19" l="1"/>
  <c r="KA36" i="19"/>
  <c r="KB35" i="19" l="1"/>
  <c r="KB36" i="19" l="1"/>
  <c r="KB37" i="19"/>
  <c r="CW33" i="41" l="1"/>
  <c r="CX33" i="41"/>
  <c r="BJ33" i="41" l="1"/>
  <c r="BK33" i="41"/>
  <c r="BL33" i="41"/>
  <c r="BM33" i="41"/>
  <c r="BN33" i="41"/>
  <c r="BO33" i="41"/>
  <c r="BP33" i="41"/>
  <c r="BQ33" i="41"/>
  <c r="BR33" i="41"/>
  <c r="BS33" i="41"/>
  <c r="BT33" i="41"/>
  <c r="BU33" i="41"/>
  <c r="BV33" i="41"/>
  <c r="BW33" i="41"/>
  <c r="BX33" i="41"/>
  <c r="BY33" i="41"/>
  <c r="BZ33" i="41"/>
  <c r="CA33" i="41"/>
  <c r="CB33" i="41"/>
  <c r="CC33" i="41"/>
  <c r="CD33" i="41"/>
  <c r="CE33" i="41"/>
  <c r="CF33" i="41"/>
  <c r="CG33" i="41"/>
  <c r="CH33" i="41"/>
  <c r="CI33" i="41"/>
  <c r="CJ33" i="41"/>
  <c r="CK33" i="41"/>
  <c r="CL33" i="41"/>
  <c r="CM33" i="41"/>
  <c r="CN33" i="41"/>
  <c r="CO33" i="41"/>
  <c r="CP33" i="41"/>
  <c r="CQ33" i="41"/>
  <c r="CR33" i="41"/>
  <c r="CS33" i="41"/>
  <c r="CT33" i="41"/>
  <c r="CU33" i="41"/>
  <c r="CV33" i="41"/>
  <c r="CV35" i="41" l="1"/>
  <c r="CX35" i="41" l="1"/>
  <c r="CW35" i="41"/>
  <c r="BI35" i="41"/>
  <c r="BJ35" i="41"/>
  <c r="BK35" i="41"/>
  <c r="BL35" i="41"/>
  <c r="BM35" i="41"/>
  <c r="BN35" i="41"/>
  <c r="BO35" i="41"/>
  <c r="BP35" i="41"/>
  <c r="BQ35" i="41"/>
  <c r="BR35" i="41"/>
  <c r="BS35" i="41"/>
  <c r="BT35" i="41"/>
  <c r="BU35" i="41"/>
  <c r="BV35" i="41"/>
  <c r="BW35" i="41"/>
  <c r="BX35" i="41"/>
  <c r="BY35" i="41"/>
  <c r="BZ35" i="41"/>
  <c r="CA35" i="41"/>
  <c r="CB35" i="41"/>
  <c r="CC35" i="41"/>
  <c r="CD35" i="41"/>
  <c r="CE35" i="41"/>
  <c r="CF35" i="41"/>
  <c r="CG35" i="41"/>
  <c r="CH35" i="41"/>
  <c r="CI35" i="41"/>
  <c r="CJ35" i="41"/>
  <c r="CK35" i="41"/>
  <c r="CL35" i="41"/>
  <c r="CM35" i="41"/>
  <c r="CN35" i="41"/>
  <c r="CO35" i="41"/>
  <c r="CP35" i="41"/>
  <c r="CQ35" i="41"/>
  <c r="CR35" i="41"/>
  <c r="CS35" i="41"/>
  <c r="CT35" i="41"/>
  <c r="CU35" i="41"/>
  <c r="K30" i="19" l="1"/>
  <c r="K98" i="19" s="1"/>
  <c r="L30" i="19"/>
  <c r="L98" i="19" s="1"/>
  <c r="M30" i="19"/>
  <c r="M98" i="19" s="1"/>
  <c r="N30" i="19"/>
  <c r="N98" i="19" s="1"/>
  <c r="O30" i="19"/>
  <c r="O98" i="19" s="1"/>
  <c r="P30" i="19"/>
  <c r="P98" i="19" s="1"/>
  <c r="Q30" i="19"/>
  <c r="Q98" i="19" s="1"/>
  <c r="R30" i="19"/>
  <c r="R98" i="19" s="1"/>
  <c r="S30" i="19"/>
  <c r="S98" i="19" s="1"/>
  <c r="T30" i="19"/>
  <c r="T98" i="19" s="1"/>
  <c r="U30" i="19"/>
  <c r="U98" i="19" s="1"/>
  <c r="V30" i="19"/>
  <c r="V98" i="19" s="1"/>
  <c r="W30" i="19"/>
  <c r="W98" i="19" s="1"/>
  <c r="X30" i="19"/>
  <c r="X98" i="19" s="1"/>
  <c r="Y30" i="19"/>
  <c r="Y98" i="19" s="1"/>
  <c r="Z30" i="19"/>
  <c r="Z98" i="19" s="1"/>
  <c r="AA30" i="19"/>
  <c r="AA98" i="19" s="1"/>
  <c r="AB30" i="19"/>
  <c r="AB98" i="19" s="1"/>
  <c r="AC30" i="19"/>
  <c r="AC98" i="19" s="1"/>
  <c r="AD30" i="19"/>
  <c r="AD98" i="19" s="1"/>
  <c r="AE30" i="19"/>
  <c r="AE98" i="19" s="1"/>
  <c r="AF30" i="19"/>
  <c r="AF98" i="19" s="1"/>
  <c r="AG30" i="19"/>
  <c r="AG98" i="19" s="1"/>
  <c r="AH30" i="19"/>
  <c r="AH98" i="19" s="1"/>
  <c r="AI30" i="19"/>
  <c r="AI98" i="19" s="1"/>
  <c r="AJ30" i="19"/>
  <c r="AJ98" i="19" s="1"/>
  <c r="AK30" i="19"/>
  <c r="AK98" i="19" s="1"/>
  <c r="AL30" i="19"/>
  <c r="AL98" i="19" s="1"/>
  <c r="AM30" i="19"/>
  <c r="AM98" i="19" s="1"/>
  <c r="AN30" i="19"/>
  <c r="AN98" i="19" s="1"/>
  <c r="AO30" i="19"/>
  <c r="AO98" i="19" s="1"/>
  <c r="AP30" i="19"/>
  <c r="AP98" i="19" s="1"/>
  <c r="AQ30" i="19"/>
  <c r="AQ98" i="19" s="1"/>
  <c r="AR30" i="19"/>
  <c r="AR98" i="19" s="1"/>
  <c r="AS30" i="19"/>
  <c r="AS98" i="19" s="1"/>
  <c r="AT30" i="19"/>
  <c r="AT98" i="19" s="1"/>
  <c r="AU30" i="19"/>
  <c r="AU98" i="19" s="1"/>
  <c r="AV30" i="19"/>
  <c r="AV98" i="19" s="1"/>
  <c r="AW30" i="19"/>
  <c r="AW98" i="19" s="1"/>
  <c r="AX30" i="19"/>
  <c r="AX98" i="19" s="1"/>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E19" i="28" l="1"/>
  <c r="E27" i="34" s="1"/>
  <c r="Q30" i="41"/>
  <c r="I30" i="41"/>
  <c r="F30" i="41"/>
  <c r="O30" i="41"/>
  <c r="R30" i="41"/>
  <c r="N30" i="41"/>
  <c r="K30" i="41"/>
  <c r="H30" i="41"/>
  <c r="P30" i="41"/>
  <c r="J30" i="41"/>
  <c r="G30" i="41"/>
  <c r="G19" i="28"/>
  <c r="G27" i="34" s="1"/>
  <c r="F19" i="28"/>
  <c r="F27" i="34" l="1"/>
  <c r="H19" i="28" l="1"/>
  <c r="I20" i="28" s="1"/>
  <c r="H27" i="34" l="1"/>
  <c r="D35" i="28" l="1"/>
  <c r="J36" i="33" l="1"/>
  <c r="J41" i="33" s="1"/>
  <c r="BL108" i="33" l="1"/>
  <c r="BL116" i="33"/>
  <c r="AT108" i="33"/>
  <c r="AT116" i="33"/>
  <c r="AJ116" i="33"/>
  <c r="AJ108" i="33"/>
  <c r="AA116" i="33"/>
  <c r="AA108" i="33"/>
  <c r="R108" i="33"/>
  <c r="K21" i="19" s="1"/>
  <c r="K24" i="19" s="1"/>
  <c r="R116" i="33"/>
  <c r="BK116" i="33"/>
  <c r="BK108" i="33"/>
  <c r="BB116" i="33"/>
  <c r="BB108" i="33"/>
  <c r="AR116" i="33"/>
  <c r="AR108" i="33"/>
  <c r="AK21" i="19" s="1"/>
  <c r="Z108" i="33"/>
  <c r="S21" i="19" s="1"/>
  <c r="Z116" i="33"/>
  <c r="P108" i="33"/>
  <c r="I21" i="19" s="1"/>
  <c r="I24" i="19" s="1"/>
  <c r="P116" i="33"/>
  <c r="BJ108" i="33"/>
  <c r="BJ116" i="33"/>
  <c r="BA108" i="33"/>
  <c r="BA116" i="33"/>
  <c r="AQ116" i="33"/>
  <c r="AQ108" i="33"/>
  <c r="AH108" i="33"/>
  <c r="AH116" i="33"/>
  <c r="N108" i="33"/>
  <c r="G21" i="19" s="1"/>
  <c r="N116" i="33"/>
  <c r="BI116" i="33"/>
  <c r="BI108" i="33"/>
  <c r="AY116" i="33"/>
  <c r="AY108" i="33"/>
  <c r="AP108" i="33"/>
  <c r="AP116" i="33"/>
  <c r="AG108" i="33"/>
  <c r="Z21" i="19" s="1"/>
  <c r="Z24" i="19" s="1"/>
  <c r="AG116" i="33"/>
  <c r="W108" i="33"/>
  <c r="P21" i="19" s="1"/>
  <c r="W116" i="33"/>
  <c r="AO108" i="33"/>
  <c r="AH21" i="19" s="1"/>
  <c r="AO116" i="33"/>
  <c r="AF108" i="33"/>
  <c r="AF116" i="33"/>
  <c r="V116" i="33"/>
  <c r="V108" i="33"/>
  <c r="O21" i="19" s="1"/>
  <c r="O24" i="19" s="1"/>
  <c r="BF108" i="33"/>
  <c r="BF116" i="33"/>
  <c r="AW108" i="33"/>
  <c r="AW116" i="33"/>
  <c r="U116" i="33"/>
  <c r="U108" i="33"/>
  <c r="N21" i="19" s="1"/>
  <c r="N24" i="19" s="1"/>
  <c r="BE108" i="33"/>
  <c r="BE116" i="33"/>
  <c r="AV108" i="33"/>
  <c r="AO21" i="19" s="1"/>
  <c r="AO24" i="19" s="1"/>
  <c r="AV116" i="33"/>
  <c r="AM108" i="33"/>
  <c r="AF21" i="19" s="1"/>
  <c r="AF24" i="19" s="1"/>
  <c r="AM116" i="33"/>
  <c r="AC116" i="33"/>
  <c r="AC108" i="33"/>
  <c r="BD108" i="33"/>
  <c r="BD116" i="33"/>
  <c r="AU116" i="33"/>
  <c r="AU108" i="33"/>
  <c r="AK108" i="33"/>
  <c r="AK116" i="33"/>
  <c r="AB116" i="33"/>
  <c r="AB108" i="33"/>
  <c r="U21" i="19" s="1"/>
  <c r="U24" i="19" s="1"/>
  <c r="S116" i="33"/>
  <c r="S108" i="33"/>
  <c r="L21" i="19" s="1"/>
  <c r="L24" i="19" s="1"/>
  <c r="J20" i="33"/>
  <c r="J25" i="33" s="1"/>
  <c r="AA21" i="19" l="1"/>
  <c r="AA24" i="19" s="1"/>
  <c r="AP21" i="19"/>
  <c r="AP24" i="19" s="1"/>
  <c r="BB21" i="19"/>
  <c r="BB24" i="19" s="1"/>
  <c r="BN21" i="19"/>
  <c r="AY21" i="19"/>
  <c r="AY24" i="19" s="1"/>
  <c r="BK21" i="19"/>
  <c r="AT21" i="19"/>
  <c r="AT24" i="19" s="1"/>
  <c r="BF21" i="19"/>
  <c r="BF24" i="19" s="1"/>
  <c r="AU21" i="19"/>
  <c r="AU24" i="19" s="1"/>
  <c r="BG21" i="19"/>
  <c r="BG24" i="19" s="1"/>
  <c r="BO21" i="19"/>
  <c r="BO24" i="19" s="1"/>
  <c r="AW21" i="19"/>
  <c r="AW24" i="19" s="1"/>
  <c r="BI21" i="19"/>
  <c r="BI24" i="19" s="1"/>
  <c r="BJ21" i="19"/>
  <c r="BJ24" i="19" s="1"/>
  <c r="BD21" i="19"/>
  <c r="BD24" i="19" s="1"/>
  <c r="BP21" i="19"/>
  <c r="BP24" i="19" s="1"/>
  <c r="AM21" i="19"/>
  <c r="AM24" i="19" s="1"/>
  <c r="AR21" i="19"/>
  <c r="AR24" i="19" s="1"/>
  <c r="BQ21" i="19"/>
  <c r="AK24" i="19"/>
  <c r="P24" i="19"/>
  <c r="G24" i="19"/>
  <c r="AH24" i="19"/>
  <c r="S24" i="19"/>
  <c r="AE116" i="33"/>
  <c r="AE108" i="33"/>
  <c r="X21" i="19" s="1"/>
  <c r="X24" i="19" s="1"/>
  <c r="X108" i="33"/>
  <c r="Q21" i="19" s="1"/>
  <c r="Q24" i="19" s="1"/>
  <c r="X116" i="33"/>
  <c r="M108" i="33"/>
  <c r="F21" i="19" s="1"/>
  <c r="D21" i="41" s="1"/>
  <c r="Q108" i="33"/>
  <c r="J21" i="19" s="1"/>
  <c r="Q116" i="33"/>
  <c r="J113" i="33"/>
  <c r="G35" i="26" s="1"/>
  <c r="J114" i="33"/>
  <c r="G36" i="26" s="1"/>
  <c r="BG116" i="33"/>
  <c r="BG108" i="33"/>
  <c r="J115" i="33"/>
  <c r="G37" i="26" s="1"/>
  <c r="AZ116" i="33"/>
  <c r="AZ108" i="33"/>
  <c r="AL116" i="33"/>
  <c r="AL108" i="33"/>
  <c r="AE21" i="19" s="1"/>
  <c r="J103" i="33"/>
  <c r="K34" i="26" s="1"/>
  <c r="J104" i="33"/>
  <c r="K35" i="26" s="1"/>
  <c r="J105" i="33"/>
  <c r="K36" i="26" s="1"/>
  <c r="J106" i="33"/>
  <c r="K37" i="26" s="1"/>
  <c r="D8" i="22"/>
  <c r="D9" i="22" s="1"/>
  <c r="D18" i="28" s="1"/>
  <c r="D24" i="28" s="1"/>
  <c r="M9" i="22"/>
  <c r="AZ21" i="19" l="1"/>
  <c r="AZ24" i="19" s="1"/>
  <c r="BL21" i="19"/>
  <c r="BL24" i="19" s="1"/>
  <c r="W21" i="41"/>
  <c r="BK24" i="19"/>
  <c r="Y21" i="41"/>
  <c r="Y24" i="41" s="1"/>
  <c r="BQ24" i="19"/>
  <c r="BE21" i="19"/>
  <c r="BE24" i="19" s="1"/>
  <c r="V21" i="19"/>
  <c r="V24" i="19" s="1"/>
  <c r="BN24" i="19"/>
  <c r="AJ21" i="19"/>
  <c r="AJ24" i="19" s="1"/>
  <c r="AC21" i="19"/>
  <c r="AC24" i="19" s="1"/>
  <c r="AE24" i="19"/>
  <c r="D24" i="41"/>
  <c r="J24" i="19"/>
  <c r="F21" i="41"/>
  <c r="F24" i="41" s="1"/>
  <c r="M10" i="22"/>
  <c r="M18" i="28"/>
  <c r="F24" i="19"/>
  <c r="D10" i="22"/>
  <c r="D11" i="22" s="1"/>
  <c r="M116" i="33"/>
  <c r="J112" i="33"/>
  <c r="G34" i="26" s="1"/>
  <c r="J93" i="33"/>
  <c r="O98" i="33"/>
  <c r="T98" i="33"/>
  <c r="Y98" i="33"/>
  <c r="AD98" i="33"/>
  <c r="AI98" i="33"/>
  <c r="AN98" i="33"/>
  <c r="AS98" i="33"/>
  <c r="AX98" i="33"/>
  <c r="BC98" i="33"/>
  <c r="BH98" i="33"/>
  <c r="O116" i="33"/>
  <c r="T108" i="33"/>
  <c r="Y116" i="33"/>
  <c r="AN116" i="33"/>
  <c r="AS108" i="33"/>
  <c r="AX108" i="33"/>
  <c r="BC108" i="33"/>
  <c r="BH108" i="33"/>
  <c r="AD108" i="33"/>
  <c r="AI108" i="33"/>
  <c r="T116" i="33"/>
  <c r="AI116" i="33"/>
  <c r="BC116" i="33"/>
  <c r="BH116" i="33"/>
  <c r="J98" i="33" l="1"/>
  <c r="J33" i="26"/>
  <c r="J38" i="26" s="1"/>
  <c r="BA21" i="19"/>
  <c r="T21" i="41" s="1"/>
  <c r="BM21" i="19"/>
  <c r="M23" i="19"/>
  <c r="G23" i="41" s="1"/>
  <c r="Y23" i="19"/>
  <c r="AV21" i="19"/>
  <c r="R21" i="41" s="1"/>
  <c r="BH21" i="19"/>
  <c r="AV23" i="19"/>
  <c r="R23" i="41" s="1"/>
  <c r="BH23" i="19"/>
  <c r="H23" i="19"/>
  <c r="E23" i="41" s="1"/>
  <c r="T23" i="19"/>
  <c r="I23" i="41" s="1"/>
  <c r="AL21" i="19"/>
  <c r="O21" i="41" s="1"/>
  <c r="AX21" i="19"/>
  <c r="AL23" i="19"/>
  <c r="O23" i="41" s="1"/>
  <c r="AX23" i="19"/>
  <c r="S23" i="41" s="1"/>
  <c r="BA23" i="19"/>
  <c r="T23" i="41" s="1"/>
  <c r="BM23" i="19"/>
  <c r="J7" i="22" s="1"/>
  <c r="AQ21" i="19"/>
  <c r="BC21" i="19"/>
  <c r="AG23" i="19"/>
  <c r="M23" i="41" s="1"/>
  <c r="AS23" i="19"/>
  <c r="AB23" i="19"/>
  <c r="AN23" i="19"/>
  <c r="P23" i="41" s="1"/>
  <c r="AQ23" i="19"/>
  <c r="BC23" i="19"/>
  <c r="U23" i="41" s="1"/>
  <c r="AB21" i="19"/>
  <c r="AN21" i="19"/>
  <c r="M21" i="19"/>
  <c r="G21" i="41" s="1"/>
  <c r="Y21" i="19"/>
  <c r="W23" i="19"/>
  <c r="AI23" i="19"/>
  <c r="N23" i="41" s="1"/>
  <c r="W21" i="19"/>
  <c r="J21" i="41" s="1"/>
  <c r="AI21" i="19"/>
  <c r="R23" i="19"/>
  <c r="AD23" i="19"/>
  <c r="O108" i="33"/>
  <c r="AX116" i="33"/>
  <c r="Y108" i="33"/>
  <c r="AD116" i="33"/>
  <c r="AN108" i="33"/>
  <c r="J102" i="33"/>
  <c r="AS116" i="33"/>
  <c r="G24" i="41" l="1"/>
  <c r="Q23" i="41"/>
  <c r="AL24" i="19"/>
  <c r="J108" i="33"/>
  <c r="K33" i="26"/>
  <c r="K38" i="26" s="1"/>
  <c r="T24" i="41"/>
  <c r="AV24" i="19"/>
  <c r="AB24" i="19"/>
  <c r="M24" i="19"/>
  <c r="W24" i="19"/>
  <c r="AQ24" i="19"/>
  <c r="B23" i="19"/>
  <c r="C14" i="26" s="1"/>
  <c r="KC23" i="19"/>
  <c r="AG21" i="19"/>
  <c r="AG24" i="19" s="1"/>
  <c r="AS21" i="19"/>
  <c r="Q21" i="41" s="1"/>
  <c r="R21" i="19"/>
  <c r="H21" i="41" s="1"/>
  <c r="AD21" i="19"/>
  <c r="AD24" i="19" s="1"/>
  <c r="Y24" i="19"/>
  <c r="K21" i="41"/>
  <c r="V21" i="41"/>
  <c r="BH24" i="19"/>
  <c r="AX24" i="19"/>
  <c r="S21" i="41"/>
  <c r="S24" i="41" s="1"/>
  <c r="R24" i="41"/>
  <c r="H21" i="19"/>
  <c r="H24" i="19" s="1"/>
  <c r="T21" i="19"/>
  <c r="AN24" i="19"/>
  <c r="P21" i="41"/>
  <c r="P24" i="41" s="1"/>
  <c r="O24" i="41"/>
  <c r="BA24" i="19"/>
  <c r="I7" i="22"/>
  <c r="AI24" i="19"/>
  <c r="N21" i="41"/>
  <c r="N24" i="41" s="1"/>
  <c r="BC24" i="19"/>
  <c r="U21" i="41"/>
  <c r="U24" i="41" s="1"/>
  <c r="BM24" i="19"/>
  <c r="X21" i="41"/>
  <c r="L23" i="41"/>
  <c r="V23" i="41"/>
  <c r="W23" i="41"/>
  <c r="W24" i="41" s="1"/>
  <c r="X23" i="41"/>
  <c r="Z23" i="41"/>
  <c r="Z24" i="41" s="1"/>
  <c r="AA23" i="41"/>
  <c r="AA24" i="41" s="1"/>
  <c r="AB23" i="41"/>
  <c r="AB24" i="41" s="1"/>
  <c r="AC23" i="41"/>
  <c r="AC24" i="41" s="1"/>
  <c r="AD23" i="41"/>
  <c r="AD24" i="41" s="1"/>
  <c r="AE23" i="41"/>
  <c r="AE24" i="41" s="1"/>
  <c r="AF23" i="41"/>
  <c r="AF24" i="41" s="1"/>
  <c r="AH23" i="41"/>
  <c r="AH24" i="41" s="1"/>
  <c r="AI23" i="41"/>
  <c r="AI24" i="41" s="1"/>
  <c r="AJ23" i="41"/>
  <c r="AJ24" i="41" s="1"/>
  <c r="AK23" i="41"/>
  <c r="AK24" i="41" s="1"/>
  <c r="AL23" i="41"/>
  <c r="AL24" i="41" s="1"/>
  <c r="AM23" i="41"/>
  <c r="AM24" i="41" s="1"/>
  <c r="AN23" i="41"/>
  <c r="AN24" i="41" s="1"/>
  <c r="AO23" i="41"/>
  <c r="AO24" i="41" s="1"/>
  <c r="AP23" i="41"/>
  <c r="AP24" i="41" s="1"/>
  <c r="AQ23" i="41"/>
  <c r="AQ24" i="41" s="1"/>
  <c r="AR23" i="41"/>
  <c r="AR24" i="41" s="1"/>
  <c r="AS23" i="41"/>
  <c r="AS24" i="41" s="1"/>
  <c r="AT23" i="41"/>
  <c r="AT24" i="41" s="1"/>
  <c r="AU23" i="41"/>
  <c r="AU24" i="41" s="1"/>
  <c r="AV23" i="41"/>
  <c r="AV24" i="41" s="1"/>
  <c r="AW23" i="41"/>
  <c r="AW24" i="41" s="1"/>
  <c r="AX23" i="41"/>
  <c r="AX24" i="41" s="1"/>
  <c r="AY23" i="41"/>
  <c r="AY24" i="41" s="1"/>
  <c r="AZ23" i="41"/>
  <c r="AZ24" i="41" s="1"/>
  <c r="BA23" i="41"/>
  <c r="BA24" i="41" s="1"/>
  <c r="BB23" i="41"/>
  <c r="BB24" i="41" s="1"/>
  <c r="BC23" i="41"/>
  <c r="BC24" i="41" s="1"/>
  <c r="BD23" i="41"/>
  <c r="BD24" i="41" s="1"/>
  <c r="BE23" i="41"/>
  <c r="BE24" i="41" s="1"/>
  <c r="BF23" i="41"/>
  <c r="BF24" i="41" s="1"/>
  <c r="BG23" i="41"/>
  <c r="BG24" i="41" s="1"/>
  <c r="BH23" i="41"/>
  <c r="BH24" i="41" s="1"/>
  <c r="BI23" i="41"/>
  <c r="BI24" i="41" s="1"/>
  <c r="BJ23" i="41"/>
  <c r="BJ24" i="41" s="1"/>
  <c r="BK23" i="41"/>
  <c r="BK24" i="41" s="1"/>
  <c r="BL23" i="41"/>
  <c r="BL24" i="41" s="1"/>
  <c r="BN23" i="41"/>
  <c r="BN24" i="41" s="1"/>
  <c r="BO23" i="41"/>
  <c r="BO24" i="41" s="1"/>
  <c r="BP23" i="41"/>
  <c r="BP24" i="41" s="1"/>
  <c r="BQ23" i="41"/>
  <c r="BQ24" i="41" s="1"/>
  <c r="BR23" i="41"/>
  <c r="BR24" i="41" s="1"/>
  <c r="BS23" i="41"/>
  <c r="BS24" i="41" s="1"/>
  <c r="BT23" i="41"/>
  <c r="BT24" i="41" s="1"/>
  <c r="BU23" i="41"/>
  <c r="BU24" i="41" s="1"/>
  <c r="BV23" i="41"/>
  <c r="BV24" i="41" s="1"/>
  <c r="BW23" i="41"/>
  <c r="BW24" i="41" s="1"/>
  <c r="BX23" i="41"/>
  <c r="BX24" i="41" s="1"/>
  <c r="BY23" i="41"/>
  <c r="BY24" i="41" s="1"/>
  <c r="BZ23" i="41"/>
  <c r="BZ24" i="41" s="1"/>
  <c r="CA23" i="41"/>
  <c r="CA24" i="41" s="1"/>
  <c r="CC23" i="41"/>
  <c r="CC24" i="41" s="1"/>
  <c r="CD23" i="41"/>
  <c r="CD24" i="41" s="1"/>
  <c r="CE23" i="41"/>
  <c r="CE24" i="41" s="1"/>
  <c r="CF23" i="41"/>
  <c r="CF24" i="41" s="1"/>
  <c r="CG23" i="41"/>
  <c r="CG24" i="41" s="1"/>
  <c r="CH23" i="41"/>
  <c r="CH24" i="41" s="1"/>
  <c r="CJ23" i="41"/>
  <c r="CJ24" i="41" s="1"/>
  <c r="CK23" i="41"/>
  <c r="CK24" i="41" s="1"/>
  <c r="CL23" i="41"/>
  <c r="CL24" i="41" s="1"/>
  <c r="CM23" i="41"/>
  <c r="CM24" i="41" s="1"/>
  <c r="CN23" i="41"/>
  <c r="CN24" i="41" s="1"/>
  <c r="CO23" i="41"/>
  <c r="CO24" i="41" s="1"/>
  <c r="CP23" i="41"/>
  <c r="CP24" i="41" s="1"/>
  <c r="CQ23" i="41"/>
  <c r="CQ24" i="41" s="1"/>
  <c r="CR23" i="41"/>
  <c r="CR24" i="41" s="1"/>
  <c r="CS23" i="41"/>
  <c r="CS24" i="41" s="1"/>
  <c r="CT23" i="41"/>
  <c r="CT24" i="41" s="1"/>
  <c r="CU23" i="41"/>
  <c r="CU24" i="41" s="1"/>
  <c r="CV23" i="41"/>
  <c r="CV24" i="41" s="1"/>
  <c r="CW23" i="41"/>
  <c r="CW24" i="41" s="1"/>
  <c r="CX23" i="41"/>
  <c r="CX24" i="41" s="1"/>
  <c r="K23" i="41"/>
  <c r="H23" i="41"/>
  <c r="J23" i="41"/>
  <c r="J24" i="41" s="1"/>
  <c r="J111" i="33"/>
  <c r="G33" i="26" s="1"/>
  <c r="G38" i="26" s="1"/>
  <c r="E14" i="26" l="1"/>
  <c r="Q24" i="41"/>
  <c r="R24" i="19"/>
  <c r="E21" i="41"/>
  <c r="E24" i="41" s="1"/>
  <c r="G7" i="22"/>
  <c r="M21" i="41"/>
  <c r="M24" i="41" s="1"/>
  <c r="L21" i="41"/>
  <c r="L24" i="41" s="1"/>
  <c r="V24" i="41"/>
  <c r="F7" i="22"/>
  <c r="B21" i="19"/>
  <c r="C13" i="26" s="1"/>
  <c r="KC21" i="19"/>
  <c r="KC28" i="19" s="1"/>
  <c r="X24" i="41"/>
  <c r="T24" i="19"/>
  <c r="I21" i="41"/>
  <c r="I24" i="41" s="1"/>
  <c r="AS24" i="19"/>
  <c r="H7" i="22"/>
  <c r="K24" i="41"/>
  <c r="H24" i="41"/>
  <c r="B23" i="41"/>
  <c r="J116" i="33"/>
  <c r="E31" i="19"/>
  <c r="E98" i="19" s="1"/>
  <c r="E13" i="26" l="1"/>
  <c r="B24" i="19"/>
  <c r="KC24" i="19"/>
  <c r="B21" i="41"/>
  <c r="B24" i="41"/>
  <c r="E35" i="20" l="1"/>
  <c r="D58" i="20" l="1"/>
  <c r="E58" i="20"/>
  <c r="F58" i="20"/>
  <c r="G58" i="20"/>
  <c r="H58" i="20"/>
  <c r="I58" i="20"/>
  <c r="J58" i="20"/>
  <c r="K58" i="20"/>
  <c r="D61" i="20"/>
  <c r="E61" i="20"/>
  <c r="F61" i="20"/>
  <c r="G61" i="20"/>
  <c r="H61" i="20"/>
  <c r="I61" i="20"/>
  <c r="J61" i="20"/>
  <c r="K61" i="20"/>
  <c r="D62" i="20"/>
  <c r="E62" i="20"/>
  <c r="F62" i="20"/>
  <c r="G62" i="20"/>
  <c r="H62" i="20"/>
  <c r="J62" i="20"/>
  <c r="K62" i="20"/>
  <c r="B62" i="20" l="1"/>
  <c r="B58" i="20"/>
  <c r="C167" i="31"/>
  <c r="E167" i="31"/>
  <c r="E168" i="31" s="1"/>
  <c r="F167" i="31"/>
  <c r="F168" i="31" s="1"/>
  <c r="G167" i="31"/>
  <c r="H167" i="31"/>
  <c r="H168" i="31" s="1"/>
  <c r="I167" i="31"/>
  <c r="I168" i="31" s="1"/>
  <c r="J167" i="31"/>
  <c r="J168" i="31" s="1"/>
  <c r="K167" i="31"/>
  <c r="K168" i="31" s="1"/>
  <c r="L167" i="31"/>
  <c r="L168" i="31" s="1"/>
  <c r="M167" i="31"/>
  <c r="M168" i="31" s="1"/>
  <c r="N167" i="31"/>
  <c r="N168" i="31" s="1"/>
  <c r="O167" i="31"/>
  <c r="P167" i="31"/>
  <c r="P168" i="31" s="1"/>
  <c r="Q167" i="31"/>
  <c r="Q168" i="31" s="1"/>
  <c r="R167" i="31"/>
  <c r="R168" i="31" s="1"/>
  <c r="S167" i="31"/>
  <c r="S168" i="31" s="1"/>
  <c r="T167" i="31"/>
  <c r="T168" i="31" s="1"/>
  <c r="Q175" i="31" l="1"/>
  <c r="C175" i="31"/>
  <c r="C176" i="31" s="1"/>
  <c r="C168" i="31"/>
  <c r="N175" i="31"/>
  <c r="O168" i="31"/>
  <c r="F175" i="31"/>
  <c r="G168" i="31"/>
  <c r="E175" i="31"/>
  <c r="E176" i="31" s="1"/>
  <c r="I175" i="31"/>
  <c r="T175" i="31"/>
  <c r="K175" i="31"/>
  <c r="D175" i="31"/>
  <c r="D176" i="31" s="1"/>
  <c r="S175" i="31"/>
  <c r="G175" i="31"/>
  <c r="L175" i="31"/>
  <c r="O175" i="31"/>
  <c r="M175" i="31"/>
  <c r="P175" i="31"/>
  <c r="H175" i="31"/>
  <c r="R175" i="31"/>
  <c r="J175" i="31"/>
  <c r="D173" i="31" l="1"/>
  <c r="D177" i="31" s="1"/>
  <c r="D183" i="31" s="1"/>
  <c r="C177" i="31"/>
  <c r="C183" i="31" s="1"/>
  <c r="C191" i="31" s="1"/>
  <c r="E173" i="31"/>
  <c r="C184" i="31" l="1"/>
  <c r="D191" i="31"/>
  <c r="D184" i="31"/>
  <c r="F173" i="31"/>
  <c r="F176" i="31" s="1"/>
  <c r="E177" i="31"/>
  <c r="E183" i="31" s="1"/>
  <c r="E191" i="31" l="1"/>
  <c r="E184" i="31"/>
  <c r="F177" i="31"/>
  <c r="F183" i="31" s="1"/>
  <c r="F184" i="31" s="1"/>
  <c r="G173" i="31"/>
  <c r="G176" i="31" s="1"/>
  <c r="F191" i="31" l="1"/>
  <c r="G177" i="31"/>
  <c r="G183" i="31" s="1"/>
  <c r="G184" i="31" s="1"/>
  <c r="H173" i="31"/>
  <c r="H176" i="31" s="1"/>
  <c r="G191" i="31" l="1"/>
  <c r="C192" i="31" s="1"/>
  <c r="U35" i="26" s="1"/>
  <c r="I173" i="31"/>
  <c r="I176" i="31" s="1"/>
  <c r="H177" i="31"/>
  <c r="H183" i="31" s="1"/>
  <c r="H191" i="31" l="1"/>
  <c r="H184" i="31"/>
  <c r="J173" i="31"/>
  <c r="J176" i="31" s="1"/>
  <c r="I177" i="31"/>
  <c r="I183" i="31" s="1"/>
  <c r="I184" i="31" s="1"/>
  <c r="I191" i="31" l="1"/>
  <c r="K173" i="31"/>
  <c r="K176" i="31" s="1"/>
  <c r="J177" i="31"/>
  <c r="J183" i="31" s="1"/>
  <c r="J184" i="31" s="1"/>
  <c r="J191" i="31" l="1"/>
  <c r="L173" i="31"/>
  <c r="L176" i="31" s="1"/>
  <c r="K177" i="31"/>
  <c r="K183" i="31" s="1"/>
  <c r="K184" i="31" s="1"/>
  <c r="K191" i="31" l="1"/>
  <c r="M173" i="31"/>
  <c r="M176" i="31" s="1"/>
  <c r="L177" i="31"/>
  <c r="L183" i="31" s="1"/>
  <c r="L184" i="31" s="1"/>
  <c r="L191" i="31" l="1"/>
  <c r="N173" i="31"/>
  <c r="N176" i="31" s="1"/>
  <c r="M177" i="31"/>
  <c r="M183" i="31" s="1"/>
  <c r="M184" i="31" s="1"/>
  <c r="M191" i="31" l="1"/>
  <c r="N177" i="31"/>
  <c r="N183" i="31" s="1"/>
  <c r="N184" i="31" s="1"/>
  <c r="O173" i="31"/>
  <c r="O176" i="31" s="1"/>
  <c r="N191" i="31" l="1"/>
  <c r="O177" i="31"/>
  <c r="O183" i="31" s="1"/>
  <c r="O184" i="31" s="1"/>
  <c r="P173" i="31"/>
  <c r="P176" i="31" s="1"/>
  <c r="O191" i="31" l="1"/>
  <c r="Q173" i="31"/>
  <c r="Q176" i="31" s="1"/>
  <c r="P177" i="31"/>
  <c r="P183" i="31" s="1"/>
  <c r="P184" i="31" s="1"/>
  <c r="P191" i="31" l="1"/>
  <c r="R173" i="31"/>
  <c r="R176" i="31" s="1"/>
  <c r="Q177" i="31"/>
  <c r="Q183" i="31" s="1"/>
  <c r="Q191" i="31" l="1"/>
  <c r="Q184" i="31"/>
  <c r="S173" i="31"/>
  <c r="S176" i="31" s="1"/>
  <c r="R177" i="31"/>
  <c r="R183" i="31" s="1"/>
  <c r="R184" i="31" s="1"/>
  <c r="S177" i="31" l="1"/>
  <c r="S183" i="31" s="1"/>
  <c r="T173" i="31"/>
  <c r="T176" i="31" s="1"/>
  <c r="R191" i="31"/>
  <c r="S191" i="31" l="1"/>
  <c r="S184" i="31"/>
  <c r="T177" i="31"/>
  <c r="T183" i="31" s="1"/>
  <c r="U173" i="31"/>
  <c r="U176" i="31" s="1"/>
  <c r="C111" i="31"/>
  <c r="C112" i="31" s="1"/>
  <c r="D109" i="31" s="1"/>
  <c r="T184" i="31" l="1"/>
  <c r="C186" i="31" s="1"/>
  <c r="C187" i="31"/>
  <c r="U177" i="31"/>
  <c r="U183" i="31" s="1"/>
  <c r="U184" i="31" s="1"/>
  <c r="V173" i="31"/>
  <c r="V176" i="31" s="1"/>
  <c r="V177" i="31" s="1"/>
  <c r="V183" i="31" s="1"/>
  <c r="V184" i="31" s="1"/>
  <c r="T191" i="31"/>
  <c r="C113" i="31"/>
  <c r="C119" i="31" s="1"/>
  <c r="C120" i="31" s="1"/>
  <c r="V191" i="31" l="1"/>
  <c r="U191" i="31"/>
  <c r="C127" i="31"/>
  <c r="E240" i="31"/>
  <c r="H29" i="28"/>
  <c r="D48" i="30"/>
  <c r="G29" i="28" s="1"/>
  <c r="F304" i="31"/>
  <c r="I29" i="28"/>
  <c r="BL49" i="19"/>
  <c r="I343" i="31"/>
  <c r="J343" i="31"/>
  <c r="K343" i="31"/>
  <c r="L343" i="31"/>
  <c r="M343" i="31"/>
  <c r="N343" i="31"/>
  <c r="O343" i="31"/>
  <c r="P343" i="31"/>
  <c r="Q343" i="31"/>
  <c r="R343" i="31"/>
  <c r="S343" i="31"/>
  <c r="T343" i="31"/>
  <c r="U343" i="31"/>
  <c r="V343" i="31"/>
  <c r="E343" i="31"/>
  <c r="H343" i="31"/>
  <c r="D19" i="34"/>
  <c r="BD38" i="41" l="1"/>
  <c r="BD43" i="41" s="1"/>
  <c r="BE38" i="41"/>
  <c r="BE43" i="41" s="1"/>
  <c r="CB36" i="41"/>
  <c r="CB37" i="41"/>
  <c r="Z38" i="41"/>
  <c r="Z43" i="41" s="1"/>
  <c r="AA38" i="41"/>
  <c r="AA43" i="41" s="1"/>
  <c r="AB38" i="41"/>
  <c r="AB43" i="41" s="1"/>
  <c r="AC38" i="41"/>
  <c r="AC43" i="41" s="1"/>
  <c r="AD38" i="41"/>
  <c r="AD43" i="41" s="1"/>
  <c r="AE38" i="41"/>
  <c r="AE43" i="41" s="1"/>
  <c r="AF38" i="41"/>
  <c r="AF43" i="41" s="1"/>
  <c r="AG38" i="41"/>
  <c r="AG43" i="41" s="1"/>
  <c r="AH38" i="41"/>
  <c r="AH43" i="41" s="1"/>
  <c r="AI38" i="41"/>
  <c r="AI43" i="41" s="1"/>
  <c r="AJ38" i="41"/>
  <c r="AJ43" i="41" s="1"/>
  <c r="AK38" i="41"/>
  <c r="AK43" i="41" s="1"/>
  <c r="AL38" i="41"/>
  <c r="AL43" i="41" s="1"/>
  <c r="AM38" i="41"/>
  <c r="AM43" i="41" s="1"/>
  <c r="AN38" i="41"/>
  <c r="AN43" i="41" s="1"/>
  <c r="AO38" i="41"/>
  <c r="AO43" i="41" s="1"/>
  <c r="AP38" i="41"/>
  <c r="AP43" i="41" s="1"/>
  <c r="AQ38" i="41"/>
  <c r="AQ43" i="41" s="1"/>
  <c r="AR38" i="41"/>
  <c r="AR43" i="41" s="1"/>
  <c r="AS38" i="41"/>
  <c r="AS43" i="41" s="1"/>
  <c r="AT38" i="41"/>
  <c r="AT43" i="41" s="1"/>
  <c r="AU38" i="41"/>
  <c r="AU43" i="41" s="1"/>
  <c r="AV38" i="41"/>
  <c r="AV43" i="41" s="1"/>
  <c r="AW38" i="41"/>
  <c r="AW43" i="41" s="1"/>
  <c r="AX38" i="41"/>
  <c r="AX43" i="41" s="1"/>
  <c r="AY38" i="41"/>
  <c r="AY43" i="41" s="1"/>
  <c r="AZ38" i="41"/>
  <c r="AZ43" i="41" s="1"/>
  <c r="BA38" i="41"/>
  <c r="BA43" i="41" s="1"/>
  <c r="BB38" i="41"/>
  <c r="BB43" i="41" s="1"/>
  <c r="BC38" i="41"/>
  <c r="BC43" i="41" s="1"/>
  <c r="M31" i="41" l="1"/>
  <c r="M98" i="41" s="1"/>
  <c r="L31" i="41"/>
  <c r="L98" i="41" s="1"/>
  <c r="G31" i="41"/>
  <c r="G98" i="41" s="1"/>
  <c r="H31" i="41"/>
  <c r="H98" i="41" s="1"/>
  <c r="I31" i="41"/>
  <c r="I98" i="41" s="1"/>
  <c r="J31" i="41"/>
  <c r="J98" i="41" s="1"/>
  <c r="K31" i="41"/>
  <c r="K98" i="41" s="1"/>
  <c r="N31" i="41"/>
  <c r="N98" i="41" s="1"/>
  <c r="O31" i="41"/>
  <c r="O98" i="41" s="1"/>
  <c r="P31" i="41"/>
  <c r="P98" i="41" s="1"/>
  <c r="Q31" i="41"/>
  <c r="Q98" i="41" s="1"/>
  <c r="R31" i="41"/>
  <c r="R98" i="41" s="1"/>
  <c r="S31" i="41"/>
  <c r="S98" i="41" s="1"/>
  <c r="T31" i="41"/>
  <c r="T98" i="41" s="1"/>
  <c r="U31" i="41"/>
  <c r="U98" i="41" s="1"/>
  <c r="V31" i="41"/>
  <c r="W31" i="41"/>
  <c r="X31" i="41"/>
  <c r="X98" i="41" s="1"/>
  <c r="Y31" i="41"/>
  <c r="Y98" i="41" s="1"/>
  <c r="Z31" i="41"/>
  <c r="Z98" i="41" s="1"/>
  <c r="AA31" i="41"/>
  <c r="AA98" i="41" s="1"/>
  <c r="AB31" i="41"/>
  <c r="AB98" i="41" s="1"/>
  <c r="AC31" i="41"/>
  <c r="AC98" i="41" s="1"/>
  <c r="AD31" i="41"/>
  <c r="AD98" i="41" s="1"/>
  <c r="AE31" i="41"/>
  <c r="AE98" i="41" s="1"/>
  <c r="AF31" i="41"/>
  <c r="AF98" i="41" s="1"/>
  <c r="AG31" i="41"/>
  <c r="AG98" i="41" s="1"/>
  <c r="AH31" i="41"/>
  <c r="AH98" i="41" s="1"/>
  <c r="AI31" i="41"/>
  <c r="AI98" i="41" s="1"/>
  <c r="AJ31" i="41"/>
  <c r="AJ98" i="41" s="1"/>
  <c r="AK31" i="41"/>
  <c r="AK98" i="41" s="1"/>
  <c r="AL31" i="41"/>
  <c r="AL98" i="41" s="1"/>
  <c r="AM31" i="41"/>
  <c r="AM98" i="41" s="1"/>
  <c r="AN31" i="41"/>
  <c r="AN98" i="41" s="1"/>
  <c r="AO31" i="41"/>
  <c r="AO98" i="41" s="1"/>
  <c r="AP31" i="41"/>
  <c r="AP98" i="41" s="1"/>
  <c r="AQ31" i="41"/>
  <c r="AQ98" i="41" s="1"/>
  <c r="AR31" i="41"/>
  <c r="AR98" i="41" s="1"/>
  <c r="AS31" i="41"/>
  <c r="AS98" i="41" s="1"/>
  <c r="AT31" i="41"/>
  <c r="AT98" i="41" s="1"/>
  <c r="AU31" i="41"/>
  <c r="AU98" i="41" s="1"/>
  <c r="AW31" i="41"/>
  <c r="AW98" i="41" s="1"/>
  <c r="AX31" i="41"/>
  <c r="AX98" i="41" s="1"/>
  <c r="AY31" i="41"/>
  <c r="AY98" i="41" s="1"/>
  <c r="AZ31" i="41"/>
  <c r="AZ98" i="41" s="1"/>
  <c r="BA31" i="41"/>
  <c r="BA98" i="41" s="1"/>
  <c r="BB31" i="41"/>
  <c r="BB98" i="41" s="1"/>
  <c r="BC31" i="41"/>
  <c r="BC98" i="41" s="1"/>
  <c r="BD31" i="41"/>
  <c r="BD98" i="41" s="1"/>
  <c r="BE31" i="41"/>
  <c r="BE98" i="41" s="1"/>
  <c r="BF31" i="41"/>
  <c r="BF98" i="41" s="1"/>
  <c r="BH31" i="41"/>
  <c r="BH98" i="41" s="1"/>
  <c r="BI31" i="41"/>
  <c r="BI98" i="41" s="1"/>
  <c r="BJ31" i="41"/>
  <c r="BJ98" i="41" s="1"/>
  <c r="BK31" i="41"/>
  <c r="BK98" i="41" s="1"/>
  <c r="BL31" i="41"/>
  <c r="BL98" i="41" s="1"/>
  <c r="BM31" i="41"/>
  <c r="BM98" i="41" s="1"/>
  <c r="BN31" i="41"/>
  <c r="BN98" i="41" s="1"/>
  <c r="BO31" i="41"/>
  <c r="BO98" i="41" s="1"/>
  <c r="BP31" i="41"/>
  <c r="BP98" i="41" s="1"/>
  <c r="BR31" i="41"/>
  <c r="BR98" i="41" s="1"/>
  <c r="BS31" i="41"/>
  <c r="BS98" i="41" s="1"/>
  <c r="BU31" i="41"/>
  <c r="BU98" i="41" s="1"/>
  <c r="BV31" i="41"/>
  <c r="BV98" i="41" s="1"/>
  <c r="BW31" i="41"/>
  <c r="BW98" i="41" s="1"/>
  <c r="BX31" i="41"/>
  <c r="BX98" i="41" s="1"/>
  <c r="BY31" i="41"/>
  <c r="BY98" i="41" s="1"/>
  <c r="BZ31" i="41"/>
  <c r="BZ98" i="41" s="1"/>
  <c r="CA31" i="41"/>
  <c r="CA98" i="41" s="1"/>
  <c r="CC31" i="41"/>
  <c r="CC98" i="41" s="1"/>
  <c r="CE31" i="41"/>
  <c r="CE98" i="41" s="1"/>
  <c r="CG31" i="41"/>
  <c r="CG98" i="41" s="1"/>
  <c r="CH31" i="41"/>
  <c r="CH98" i="41" s="1"/>
  <c r="CI31" i="41"/>
  <c r="CI98" i="41" s="1"/>
  <c r="CJ31" i="41"/>
  <c r="CJ98" i="41" s="1"/>
  <c r="CK31" i="41"/>
  <c r="CK98" i="41" s="1"/>
  <c r="CN31" i="41"/>
  <c r="CN98" i="41" s="1"/>
  <c r="CO31" i="41"/>
  <c r="CO98" i="41" s="1"/>
  <c r="CP31" i="41"/>
  <c r="CP98" i="41" s="1"/>
  <c r="CQ31" i="41"/>
  <c r="CQ98" i="41" s="1"/>
  <c r="CR31" i="41"/>
  <c r="CR98" i="41" s="1"/>
  <c r="CS31" i="41"/>
  <c r="CS98" i="41" s="1"/>
  <c r="CT31" i="41"/>
  <c r="CT98" i="41" s="1"/>
  <c r="CU31" i="41"/>
  <c r="CU98" i="41" s="1"/>
  <c r="CW31" i="41"/>
  <c r="CW98" i="41" s="1"/>
  <c r="BV37" i="41" l="1"/>
  <c r="BV36" i="41"/>
  <c r="BL36" i="41"/>
  <c r="BL37" i="41"/>
  <c r="L30" i="41" l="1"/>
  <c r="M30" i="41"/>
  <c r="E30" i="41"/>
  <c r="BF30" i="41"/>
  <c r="BF36" i="41" s="1"/>
  <c r="BN30" i="41"/>
  <c r="BN36" i="41" s="1"/>
  <c r="CD30" i="41"/>
  <c r="CD36" i="41" s="1"/>
  <c r="CL30" i="41"/>
  <c r="CL36" i="41" s="1"/>
  <c r="CT30" i="41"/>
  <c r="CT37" i="41" s="1"/>
  <c r="BM30" i="41"/>
  <c r="BM36" i="41" s="1"/>
  <c r="CQ30" i="41"/>
  <c r="CQ37" i="41" s="1"/>
  <c r="BK30" i="41"/>
  <c r="BK37" i="41" s="1"/>
  <c r="BD30" i="41"/>
  <c r="BD37" i="41" s="1"/>
  <c r="BE30" i="41"/>
  <c r="BE36" i="41" s="1"/>
  <c r="CU30" i="41"/>
  <c r="CU36" i="41" s="1"/>
  <c r="BP30" i="41"/>
  <c r="BP36" i="41" s="1"/>
  <c r="BB30" i="41"/>
  <c r="BB37" i="41" s="1"/>
  <c r="CI30" i="41"/>
  <c r="CI36" i="41" s="1"/>
  <c r="BC30" i="41"/>
  <c r="BC36" i="41" s="1"/>
  <c r="CS30" i="41"/>
  <c r="CS36" i="41" s="1"/>
  <c r="CG30" i="41"/>
  <c r="CG36" i="41" s="1"/>
  <c r="BT30" i="41"/>
  <c r="BT36" i="41" s="1"/>
  <c r="CN30" i="41"/>
  <c r="CN37" i="41" s="1"/>
  <c r="BZ30" i="41"/>
  <c r="BZ37" i="41" s="1"/>
  <c r="BO30" i="41"/>
  <c r="BO36" i="41" s="1"/>
  <c r="BA30" i="41"/>
  <c r="BA37" i="41" s="1"/>
  <c r="CC30" i="41"/>
  <c r="CC36" i="41" s="1"/>
  <c r="AX30" i="41"/>
  <c r="AX36" i="41" s="1"/>
  <c r="CO30" i="41"/>
  <c r="CO36" i="41" s="1"/>
  <c r="CR30" i="41"/>
  <c r="CR36" i="41" s="1"/>
  <c r="CF30" i="41"/>
  <c r="CF36" i="41" s="1"/>
  <c r="BR30" i="41"/>
  <c r="BR37" i="41" s="1"/>
  <c r="BH30" i="41"/>
  <c r="BH36" i="41" s="1"/>
  <c r="CX30" i="41"/>
  <c r="CX37" i="41" s="1"/>
  <c r="CM30" i="41"/>
  <c r="CM36" i="41" s="1"/>
  <c r="BY30" i="41"/>
  <c r="BY37" i="41" s="1"/>
  <c r="AZ30" i="41"/>
  <c r="AZ37" i="41" s="1"/>
  <c r="CA30" i="41"/>
  <c r="CA36" i="41" s="1"/>
  <c r="AW30" i="41"/>
  <c r="AW37" i="41" s="1"/>
  <c r="CP30" i="41"/>
  <c r="CP37" i="41" s="1"/>
  <c r="CE30" i="41"/>
  <c r="CE37" i="41" s="1"/>
  <c r="BQ30" i="41"/>
  <c r="BQ36" i="41" s="1"/>
  <c r="BG30" i="41"/>
  <c r="BG37" i="41" s="1"/>
  <c r="CW30" i="41"/>
  <c r="CW37" i="41" s="1"/>
  <c r="CJ30" i="41"/>
  <c r="CJ37" i="41" s="1"/>
  <c r="BX30" i="41"/>
  <c r="BX37" i="41" s="1"/>
  <c r="BJ30" i="41"/>
  <c r="BJ37" i="41" s="1"/>
  <c r="AY30" i="41"/>
  <c r="AY37" i="41" s="1"/>
  <c r="BU30" i="41"/>
  <c r="BU37" i="41" s="1"/>
  <c r="AU30" i="41"/>
  <c r="AU37" i="41" s="1"/>
  <c r="CV30" i="41"/>
  <c r="CV36" i="41" s="1"/>
  <c r="CH30" i="41"/>
  <c r="CH37" i="41" s="1"/>
  <c r="BW30" i="41"/>
  <c r="BW37" i="41" s="1"/>
  <c r="BI30" i="41"/>
  <c r="BI37" i="41" s="1"/>
  <c r="AV30" i="41"/>
  <c r="AV37" i="41" s="1"/>
  <c r="BS30" i="41"/>
  <c r="BS37" i="41" s="1"/>
  <c r="CK30" i="41"/>
  <c r="CK36" i="41" s="1"/>
  <c r="CW36" i="41" l="1"/>
  <c r="CQ36" i="41"/>
  <c r="CE36" i="41"/>
  <c r="CJ36" i="41"/>
  <c r="BZ36" i="41"/>
  <c r="BR36" i="41"/>
  <c r="BO37" i="41"/>
  <c r="BG36" i="41"/>
  <c r="BY36" i="41"/>
  <c r="BP37" i="41"/>
  <c r="CL37" i="41"/>
  <c r="CV37" i="41"/>
  <c r="CP36" i="41"/>
  <c r="BF37" i="41"/>
  <c r="BU36" i="41"/>
  <c r="CM37" i="41"/>
  <c r="BC37" i="41"/>
  <c r="CT36" i="41"/>
  <c r="BW36" i="41"/>
  <c r="AX37" i="41"/>
  <c r="BD36" i="41"/>
  <c r="CK37" i="41"/>
  <c r="CH36" i="41"/>
  <c r="AY36" i="41"/>
  <c r="BB36" i="41"/>
  <c r="CC37" i="41"/>
  <c r="BS36" i="41"/>
  <c r="CG37" i="41"/>
  <c r="BH37" i="41"/>
  <c r="CO37" i="41"/>
  <c r="BK36" i="41"/>
  <c r="AZ36" i="41"/>
  <c r="CS37" i="41"/>
  <c r="AU36" i="41"/>
  <c r="BQ37" i="41"/>
  <c r="CX36" i="41"/>
  <c r="BA36" i="41"/>
  <c r="CI37" i="41"/>
  <c r="BM37" i="41"/>
  <c r="AV36" i="41"/>
  <c r="BJ36" i="41"/>
  <c r="AW36" i="41"/>
  <c r="CF37" i="41"/>
  <c r="CN36" i="41"/>
  <c r="CU37" i="41"/>
  <c r="CD37" i="41"/>
  <c r="BI36" i="41"/>
  <c r="BX36" i="41"/>
  <c r="CA37" i="41"/>
  <c r="CR37" i="41"/>
  <c r="BT37" i="41"/>
  <c r="BE37" i="41"/>
  <c r="BN37" i="41"/>
  <c r="B54" i="20" l="1"/>
  <c r="C78" i="19"/>
  <c r="B78" i="19" s="1"/>
  <c r="C78" i="41"/>
  <c r="B78" i="41" s="1"/>
  <c r="C110" i="31" l="1"/>
  <c r="F28" i="34" l="1"/>
  <c r="G28" i="34" l="1"/>
  <c r="J9" i="22"/>
  <c r="J18" i="28" s="1"/>
  <c r="V81" i="20"/>
  <c r="W81" i="20"/>
  <c r="X81" i="20"/>
  <c r="Y81" i="20"/>
  <c r="Y82" i="20"/>
  <c r="Z82" i="20"/>
  <c r="AA82" i="20"/>
  <c r="K19" i="32" s="1"/>
  <c r="I50" i="42" s="1"/>
  <c r="BF38" i="19"/>
  <c r="BF90" i="19" s="1"/>
  <c r="BG38" i="19"/>
  <c r="BG90" i="19" s="1"/>
  <c r="BH38" i="19"/>
  <c r="BH90" i="19" s="1"/>
  <c r="BI38" i="19"/>
  <c r="BI90" i="19" s="1"/>
  <c r="BJ38" i="19"/>
  <c r="BJ90" i="19" s="1"/>
  <c r="BK38" i="19"/>
  <c r="BK90" i="19" s="1"/>
  <c r="BL38" i="19"/>
  <c r="BL90" i="19" s="1"/>
  <c r="BM38" i="19"/>
  <c r="BM90" i="19" s="1"/>
  <c r="BN38" i="19"/>
  <c r="BN90" i="19" s="1"/>
  <c r="BO38" i="19"/>
  <c r="BO90" i="19" s="1"/>
  <c r="BP38" i="19"/>
  <c r="BP90" i="19" s="1"/>
  <c r="BQ38" i="19"/>
  <c r="BQ90" i="19" s="1"/>
  <c r="V38" i="41"/>
  <c r="V43" i="41" s="1"/>
  <c r="W38" i="41"/>
  <c r="W43" i="41" s="1"/>
  <c r="X38" i="41"/>
  <c r="X43" i="41" s="1"/>
  <c r="Y38" i="41"/>
  <c r="Y43" i="41" s="1"/>
  <c r="X11" i="35"/>
  <c r="Y11" i="35"/>
  <c r="Z11" i="35"/>
  <c r="AA11" i="35"/>
  <c r="H28" i="34" l="1"/>
  <c r="BL43" i="19"/>
  <c r="BI43" i="19"/>
  <c r="BM43" i="19"/>
  <c r="BH43" i="19"/>
  <c r="BQ43" i="19"/>
  <c r="BP43" i="19"/>
  <c r="BO43" i="19"/>
  <c r="BG43" i="19"/>
  <c r="BK43" i="19"/>
  <c r="BJ43" i="19"/>
  <c r="BN43" i="19"/>
  <c r="BF43" i="19"/>
  <c r="J10" i="22"/>
  <c r="J13" i="28"/>
  <c r="K32" i="28"/>
  <c r="K35" i="32"/>
  <c r="C36" i="19" l="1"/>
  <c r="C37" i="19"/>
  <c r="C38" i="19"/>
  <c r="C90" i="19" s="1"/>
  <c r="B83" i="19"/>
  <c r="C31" i="41"/>
  <c r="C36" i="41" s="1"/>
  <c r="C92" i="19" l="1"/>
  <c r="B82" i="19"/>
  <c r="C90" i="41"/>
  <c r="C43" i="19"/>
  <c r="C39" i="19"/>
  <c r="C38" i="41"/>
  <c r="C39" i="41" s="1"/>
  <c r="C98" i="41"/>
  <c r="C37" i="41"/>
  <c r="C54" i="41" s="1"/>
  <c r="C91" i="19"/>
  <c r="C59" i="19"/>
  <c r="C93" i="19" l="1"/>
  <c r="C92" i="41"/>
  <c r="C93" i="41" s="1"/>
  <c r="B54" i="41"/>
  <c r="C55" i="41"/>
  <c r="B55" i="41" s="1"/>
  <c r="C58" i="41"/>
  <c r="B58" i="41" s="1"/>
  <c r="C91" i="41"/>
  <c r="D21" i="26" l="1"/>
  <c r="D23" i="26" s="1"/>
  <c r="D16" i="26" l="1"/>
  <c r="AU90" i="41" l="1"/>
  <c r="AV90" i="41"/>
  <c r="AW90" i="41"/>
  <c r="AX90" i="41"/>
  <c r="AY90" i="41"/>
  <c r="AZ90" i="41"/>
  <c r="BA90" i="41"/>
  <c r="BB90" i="41"/>
  <c r="BC90" i="41"/>
  <c r="BD90" i="41"/>
  <c r="BE90" i="41"/>
  <c r="BF90" i="41"/>
  <c r="BG90" i="41"/>
  <c r="BH90" i="41"/>
  <c r="BI90" i="41"/>
  <c r="BJ90" i="41"/>
  <c r="BK90" i="41"/>
  <c r="BL90" i="41"/>
  <c r="BM90" i="41"/>
  <c r="BN90" i="41"/>
  <c r="BO90" i="41"/>
  <c r="BP90" i="41"/>
  <c r="BQ90" i="41"/>
  <c r="BR90" i="41"/>
  <c r="BS90" i="41"/>
  <c r="BT90" i="41"/>
  <c r="BU90" i="41"/>
  <c r="BV90" i="41"/>
  <c r="BW90" i="41"/>
  <c r="BX90" i="41"/>
  <c r="BY90" i="41"/>
  <c r="BZ90" i="41"/>
  <c r="CA90" i="41"/>
  <c r="CB90" i="41"/>
  <c r="CC90" i="41"/>
  <c r="CD90" i="41"/>
  <c r="CE90" i="41"/>
  <c r="CF90" i="41"/>
  <c r="CG90" i="41"/>
  <c r="CH90" i="41"/>
  <c r="CI90" i="41"/>
  <c r="CJ90" i="41"/>
  <c r="CK90" i="41"/>
  <c r="CL90" i="41"/>
  <c r="CM90" i="41"/>
  <c r="CN90" i="41"/>
  <c r="CO90" i="41"/>
  <c r="CP90" i="41"/>
  <c r="CQ90" i="41"/>
  <c r="CR90" i="41"/>
  <c r="CS90" i="41"/>
  <c r="CT90" i="41"/>
  <c r="CU90" i="41"/>
  <c r="CV90" i="41"/>
  <c r="CW90" i="41"/>
  <c r="CX90" i="41"/>
  <c r="AU92" i="41" l="1"/>
  <c r="AV92" i="41"/>
  <c r="AW92" i="41"/>
  <c r="AX92" i="41"/>
  <c r="AY92" i="41"/>
  <c r="AZ92" i="41"/>
  <c r="BA92" i="41"/>
  <c r="BB92" i="41"/>
  <c r="BC92" i="41"/>
  <c r="BD92" i="41"/>
  <c r="BE92" i="41"/>
  <c r="BF92" i="41"/>
  <c r="BG92" i="41"/>
  <c r="BH92" i="41"/>
  <c r="BI92" i="41"/>
  <c r="BJ92" i="41"/>
  <c r="BK92" i="41"/>
  <c r="BL92" i="41"/>
  <c r="BM92" i="41"/>
  <c r="BN92" i="41"/>
  <c r="BO92" i="41"/>
  <c r="BP92" i="41"/>
  <c r="BQ92" i="41"/>
  <c r="BR92" i="41"/>
  <c r="BS92" i="41"/>
  <c r="BT92" i="41"/>
  <c r="BU92" i="41"/>
  <c r="BV92" i="41"/>
  <c r="BW92" i="41"/>
  <c r="BX92" i="41"/>
  <c r="BY92" i="41"/>
  <c r="BZ92" i="41"/>
  <c r="CA92" i="41"/>
  <c r="CB92" i="41"/>
  <c r="CC92" i="41"/>
  <c r="CD92" i="41"/>
  <c r="CE92" i="41"/>
  <c r="CF92" i="41"/>
  <c r="CG92" i="41"/>
  <c r="CH92" i="41"/>
  <c r="CI92" i="41"/>
  <c r="CJ92" i="41"/>
  <c r="CK92" i="41"/>
  <c r="CL92" i="41"/>
  <c r="CM92" i="41"/>
  <c r="CN92" i="41"/>
  <c r="CO92" i="41"/>
  <c r="CP92" i="41"/>
  <c r="CQ92" i="41"/>
  <c r="CR92" i="41"/>
  <c r="CS92" i="41"/>
  <c r="CT92" i="41"/>
  <c r="CU92" i="41"/>
  <c r="CV92" i="41"/>
  <c r="CW92" i="41"/>
  <c r="CX92" i="41"/>
  <c r="C59" i="41" l="1"/>
  <c r="B82" i="41"/>
  <c r="BF92" i="19" l="1"/>
  <c r="BG92" i="19"/>
  <c r="BH92" i="19"/>
  <c r="BI92" i="19"/>
  <c r="BJ92" i="19"/>
  <c r="BK92" i="19"/>
  <c r="BL92" i="19"/>
  <c r="BM92" i="19"/>
  <c r="BN92" i="19"/>
  <c r="BO92" i="19"/>
  <c r="BP92" i="19"/>
  <c r="BQ92" i="19"/>
  <c r="BR92" i="19"/>
  <c r="BS92" i="19"/>
  <c r="BT92" i="19"/>
  <c r="BU92" i="19"/>
  <c r="AA92" i="41" s="1"/>
  <c r="BV92" i="19"/>
  <c r="BW92" i="19"/>
  <c r="BX92" i="19"/>
  <c r="BY92" i="19"/>
  <c r="BZ92" i="19"/>
  <c r="CA92" i="19"/>
  <c r="CB92" i="19"/>
  <c r="CC92" i="19"/>
  <c r="CD92" i="19"/>
  <c r="CE92" i="19"/>
  <c r="CF92" i="19"/>
  <c r="CG92" i="19"/>
  <c r="CH92" i="19"/>
  <c r="CI92" i="19"/>
  <c r="CJ92" i="19"/>
  <c r="CK92" i="19"/>
  <c r="CL92" i="19"/>
  <c r="CM92" i="19"/>
  <c r="CN92" i="19"/>
  <c r="CO92" i="19"/>
  <c r="CP92" i="19"/>
  <c r="CQ92" i="19"/>
  <c r="CR92" i="19"/>
  <c r="CS92" i="19"/>
  <c r="AI92" i="41" s="1"/>
  <c r="CT92" i="19"/>
  <c r="CU92" i="19"/>
  <c r="CV92" i="19"/>
  <c r="CW92" i="19"/>
  <c r="CX92" i="19"/>
  <c r="CY92" i="19"/>
  <c r="CZ92" i="19"/>
  <c r="DA92" i="19"/>
  <c r="DB92" i="19"/>
  <c r="DC92" i="19"/>
  <c r="DD92" i="19"/>
  <c r="DE92" i="19"/>
  <c r="DF92" i="19"/>
  <c r="DG92" i="19"/>
  <c r="DH92" i="19"/>
  <c r="DI92" i="19"/>
  <c r="DJ92" i="19"/>
  <c r="DK92" i="19"/>
  <c r="DL92" i="19"/>
  <c r="DM92" i="19"/>
  <c r="DN92" i="19"/>
  <c r="DO92" i="19"/>
  <c r="DP92" i="19"/>
  <c r="DQ92" i="19"/>
  <c r="AQ92" i="41" s="1"/>
  <c r="DR92" i="19"/>
  <c r="DS92" i="19"/>
  <c r="DT92" i="19"/>
  <c r="DU92" i="19"/>
  <c r="DV92" i="19"/>
  <c r="DW92" i="19"/>
  <c r="DX92" i="19"/>
  <c r="DY92" i="19"/>
  <c r="DZ92" i="19"/>
  <c r="EA92" i="19"/>
  <c r="EB92" i="19"/>
  <c r="V90" i="41"/>
  <c r="W90" i="41"/>
  <c r="X90" i="41"/>
  <c r="Y90" i="41"/>
  <c r="Z90" i="41"/>
  <c r="AA90" i="41"/>
  <c r="AB90" i="41"/>
  <c r="AC90" i="41"/>
  <c r="AD90" i="41"/>
  <c r="AE90" i="41"/>
  <c r="AF90" i="41"/>
  <c r="AG90" i="41"/>
  <c r="AH90" i="41"/>
  <c r="AI90" i="41"/>
  <c r="AJ90" i="41"/>
  <c r="AK90" i="41"/>
  <c r="AL90" i="41"/>
  <c r="AM90" i="41"/>
  <c r="AN90" i="41"/>
  <c r="AO90" i="41"/>
  <c r="AP90" i="41"/>
  <c r="AQ90" i="41"/>
  <c r="AR90" i="41"/>
  <c r="AS90" i="41"/>
  <c r="AT90" i="41"/>
  <c r="V92" i="41"/>
  <c r="AD92" i="41"/>
  <c r="AL92" i="41"/>
  <c r="AT92" i="41"/>
  <c r="AO92" i="41" l="1"/>
  <c r="AG92" i="41"/>
  <c r="Y92" i="41"/>
  <c r="AN92" i="41"/>
  <c r="Z92" i="41"/>
  <c r="AJ92" i="41"/>
  <c r="AB92" i="41"/>
  <c r="AR92" i="41"/>
  <c r="AH92" i="41"/>
  <c r="AS92" i="41"/>
  <c r="AP92" i="41"/>
  <c r="AK92" i="41"/>
  <c r="AF92" i="41"/>
  <c r="AC92" i="41"/>
  <c r="X92" i="41"/>
  <c r="AE92" i="41"/>
  <c r="AM92" i="41"/>
  <c r="W92" i="41"/>
  <c r="X82" i="20" l="1"/>
  <c r="H8" i="42" l="1"/>
  <c r="K8" i="42"/>
  <c r="L8" i="42"/>
  <c r="M8" i="42"/>
  <c r="N8" i="42"/>
  <c r="O8" i="42"/>
  <c r="P8" i="42"/>
  <c r="Q8" i="42"/>
  <c r="R8" i="42"/>
  <c r="BB27" i="20" l="1"/>
  <c r="BC27" i="20"/>
  <c r="BD27" i="20"/>
  <c r="BE27" i="20"/>
  <c r="BF27" i="20"/>
  <c r="BF49" i="19" s="1"/>
  <c r="BG27" i="20"/>
  <c r="BG49" i="19" s="1"/>
  <c r="T78" i="20"/>
  <c r="T88" i="20" s="1"/>
  <c r="U78" i="20"/>
  <c r="U88" i="20" s="1"/>
  <c r="BB49" i="19"/>
  <c r="BC49" i="19"/>
  <c r="BD49" i="19"/>
  <c r="BE49" i="19"/>
  <c r="T49" i="41"/>
  <c r="U49" i="41"/>
  <c r="AY34" i="20"/>
  <c r="AY35" i="20" s="1"/>
  <c r="AZ34" i="20"/>
  <c r="AZ30" i="19" s="1"/>
  <c r="BA34" i="20"/>
  <c r="BA30" i="19" s="1"/>
  <c r="T82" i="20"/>
  <c r="V12" i="35"/>
  <c r="AY30" i="19" l="1"/>
  <c r="AY98" i="19" s="1"/>
  <c r="AZ35" i="20"/>
  <c r="BA35" i="20"/>
  <c r="S30" i="41"/>
  <c r="BA98" i="19"/>
  <c r="AZ98" i="19"/>
  <c r="BH27" i="20"/>
  <c r="V49" i="41" s="1"/>
  <c r="BI27" i="20"/>
  <c r="BI49" i="19" s="1"/>
  <c r="BB34" i="20"/>
  <c r="BB35" i="20" s="1"/>
  <c r="BC34" i="20"/>
  <c r="BD34" i="20"/>
  <c r="BD30" i="19" s="1"/>
  <c r="V78" i="20"/>
  <c r="V88" i="20" s="1"/>
  <c r="U82" i="20"/>
  <c r="BH49" i="19"/>
  <c r="W12" i="35"/>
  <c r="BC35" i="20" l="1"/>
  <c r="BB30" i="19"/>
  <c r="BB98" i="19" s="1"/>
  <c r="BC30" i="19"/>
  <c r="BC98" i="19" s="1"/>
  <c r="BD35" i="20"/>
  <c r="T30" i="41"/>
  <c r="KC49" i="19"/>
  <c r="I30" i="28"/>
  <c r="BD98" i="19"/>
  <c r="CU99" i="41"/>
  <c r="CV99" i="41"/>
  <c r="CW99" i="41"/>
  <c r="CW100" i="41" s="1"/>
  <c r="CX99" i="41"/>
  <c r="CX100" i="41" s="1"/>
  <c r="CV100" i="41"/>
  <c r="CU104" i="41"/>
  <c r="CV104" i="41"/>
  <c r="CW104" i="41"/>
  <c r="CX104" i="41"/>
  <c r="CU105" i="41"/>
  <c r="CV105" i="41"/>
  <c r="CW105" i="41"/>
  <c r="CW106" i="41" s="1"/>
  <c r="CW110" i="41" s="1"/>
  <c r="CW46" i="41" s="1"/>
  <c r="CX105" i="41"/>
  <c r="CX106" i="41" s="1"/>
  <c r="CX110" i="41" s="1"/>
  <c r="CX46" i="41" s="1"/>
  <c r="CX109" i="41" l="1"/>
  <c r="CX111" i="41" s="1"/>
  <c r="CX101" i="41"/>
  <c r="CW109" i="41"/>
  <c r="CW111" i="41" s="1"/>
  <c r="CW101" i="41"/>
  <c r="CV106" i="41"/>
  <c r="CV110" i="41" s="1"/>
  <c r="CV46" i="41" s="1"/>
  <c r="CV109" i="41"/>
  <c r="CV111" i="41" s="1"/>
  <c r="CV101" i="41"/>
  <c r="K7" i="30"/>
  <c r="BJ27" i="20" l="1"/>
  <c r="BJ49" i="19"/>
  <c r="C75" i="42" l="1"/>
  <c r="C79" i="42" l="1"/>
  <c r="E5" i="34" l="1"/>
  <c r="F5" i="34"/>
  <c r="G5" i="34"/>
  <c r="H5" i="34"/>
  <c r="I5" i="34"/>
  <c r="J5" i="34"/>
  <c r="K5" i="34"/>
  <c r="L5" i="34"/>
  <c r="M5" i="34"/>
  <c r="N5" i="34"/>
  <c r="O5" i="34"/>
  <c r="P5" i="34"/>
  <c r="Q5" i="34"/>
  <c r="R5" i="34"/>
  <c r="S5" i="34"/>
  <c r="T5" i="34"/>
  <c r="U5" i="34"/>
  <c r="V5" i="34"/>
  <c r="W5" i="34"/>
  <c r="X5" i="34"/>
  <c r="Y5" i="34"/>
  <c r="E7" i="34"/>
  <c r="F7" i="34"/>
  <c r="G7" i="34"/>
  <c r="H7" i="34"/>
  <c r="I7" i="34"/>
  <c r="J7" i="34"/>
  <c r="K7" i="34"/>
  <c r="L7" i="34"/>
  <c r="M7" i="34"/>
  <c r="N7" i="34"/>
  <c r="O7" i="34"/>
  <c r="P7" i="34"/>
  <c r="Q7" i="34"/>
  <c r="R7" i="34"/>
  <c r="S7" i="34"/>
  <c r="T7" i="34"/>
  <c r="U7" i="34"/>
  <c r="V7" i="34"/>
  <c r="W7" i="34"/>
  <c r="X7" i="34"/>
  <c r="Y7" i="34"/>
  <c r="D9" i="34"/>
  <c r="E9" i="34"/>
  <c r="F9" i="34"/>
  <c r="G9" i="34"/>
  <c r="H9" i="34"/>
  <c r="I9" i="34"/>
  <c r="J9" i="34"/>
  <c r="K9" i="34"/>
  <c r="L9" i="34"/>
  <c r="M9" i="34"/>
  <c r="N9" i="34"/>
  <c r="O9" i="34"/>
  <c r="P9" i="34"/>
  <c r="Q9" i="34"/>
  <c r="R9" i="34"/>
  <c r="S9" i="34"/>
  <c r="T9" i="34"/>
  <c r="U9" i="34"/>
  <c r="V9" i="34"/>
  <c r="W9" i="34"/>
  <c r="X9" i="34"/>
  <c r="Y9" i="34"/>
  <c r="E11" i="34"/>
  <c r="F11" i="34"/>
  <c r="G11" i="34"/>
  <c r="H11" i="34"/>
  <c r="I11" i="34"/>
  <c r="J11" i="34"/>
  <c r="K11" i="34"/>
  <c r="L11" i="34"/>
  <c r="M11" i="34"/>
  <c r="N11" i="34"/>
  <c r="O11" i="34"/>
  <c r="E12" i="34"/>
  <c r="F12" i="34"/>
  <c r="G12" i="34"/>
  <c r="H12" i="34"/>
  <c r="I12" i="34"/>
  <c r="J12" i="34"/>
  <c r="K12" i="34"/>
  <c r="L12" i="34"/>
  <c r="M12" i="34"/>
  <c r="N12" i="34"/>
  <c r="O12" i="34"/>
  <c r="E13" i="34"/>
  <c r="F13" i="34"/>
  <c r="G13" i="34"/>
  <c r="H13" i="34"/>
  <c r="I13" i="34"/>
  <c r="J13" i="34"/>
  <c r="K13" i="34"/>
  <c r="L13" i="34"/>
  <c r="M13" i="34"/>
  <c r="N13" i="34"/>
  <c r="O13" i="34"/>
  <c r="F14" i="34"/>
  <c r="G14" i="34"/>
  <c r="H14" i="34"/>
  <c r="I14" i="34"/>
  <c r="J14" i="34"/>
  <c r="K14" i="34"/>
  <c r="L14" i="34"/>
  <c r="M14" i="34"/>
  <c r="N14" i="34"/>
  <c r="O14" i="34"/>
  <c r="P14" i="34"/>
  <c r="Q14" i="34"/>
  <c r="R14" i="34"/>
  <c r="S14" i="34"/>
  <c r="T14" i="34"/>
  <c r="U14" i="34"/>
  <c r="V14" i="34"/>
  <c r="W14" i="34"/>
  <c r="X14" i="34"/>
  <c r="Y14" i="34"/>
  <c r="J15" i="34"/>
  <c r="K15" i="34"/>
  <c r="L15" i="34"/>
  <c r="M15" i="34"/>
  <c r="N15" i="34"/>
  <c r="O15" i="34"/>
  <c r="P15" i="34"/>
  <c r="Q15" i="34"/>
  <c r="R15" i="34"/>
  <c r="S15" i="34"/>
  <c r="T15" i="34"/>
  <c r="U15" i="34"/>
  <c r="V15" i="34"/>
  <c r="W15" i="34"/>
  <c r="X15" i="34"/>
  <c r="J16" i="34"/>
  <c r="K16" i="34"/>
  <c r="L16" i="34"/>
  <c r="M16" i="34"/>
  <c r="N16" i="34"/>
  <c r="O16" i="34"/>
  <c r="P16" i="34"/>
  <c r="Q16" i="34"/>
  <c r="R16" i="34"/>
  <c r="S16" i="34"/>
  <c r="T16" i="34"/>
  <c r="U16" i="34"/>
  <c r="V16" i="34"/>
  <c r="W16" i="34"/>
  <c r="X16" i="34"/>
  <c r="Y16" i="34"/>
  <c r="E18" i="34"/>
  <c r="F18" i="34"/>
  <c r="G18" i="34"/>
  <c r="H18" i="34"/>
  <c r="I18" i="34"/>
  <c r="J18" i="34"/>
  <c r="K18" i="34"/>
  <c r="L18" i="34"/>
  <c r="M18" i="34"/>
  <c r="N18" i="34"/>
  <c r="O18" i="34"/>
  <c r="P18" i="34"/>
  <c r="Q18" i="34"/>
  <c r="R18" i="34"/>
  <c r="S18" i="34"/>
  <c r="T18" i="34"/>
  <c r="U18" i="34"/>
  <c r="V18" i="34"/>
  <c r="W18" i="34"/>
  <c r="X18" i="34"/>
  <c r="Y18" i="34"/>
  <c r="E19" i="34"/>
  <c r="F19" i="34"/>
  <c r="G19" i="34"/>
  <c r="H19" i="34"/>
  <c r="I19" i="34"/>
  <c r="J19" i="34"/>
  <c r="K19" i="34"/>
  <c r="L19" i="34"/>
  <c r="M19" i="34"/>
  <c r="N19" i="34"/>
  <c r="O19" i="34"/>
  <c r="P19" i="34"/>
  <c r="Q19" i="34"/>
  <c r="R19" i="34"/>
  <c r="S19" i="34"/>
  <c r="T19" i="34"/>
  <c r="U19" i="34"/>
  <c r="V19" i="34"/>
  <c r="W19" i="34"/>
  <c r="X19" i="34"/>
  <c r="Y19" i="34"/>
  <c r="D24" i="34"/>
  <c r="E24" i="34"/>
  <c r="F24" i="34"/>
  <c r="G24" i="34"/>
  <c r="H24" i="34"/>
  <c r="I24" i="34"/>
  <c r="J24" i="34"/>
  <c r="K24" i="34"/>
  <c r="L24" i="34"/>
  <c r="M24" i="34"/>
  <c r="N24" i="34"/>
  <c r="O24" i="34"/>
  <c r="P24" i="34"/>
  <c r="Q24" i="34"/>
  <c r="R24" i="34"/>
  <c r="S24" i="34"/>
  <c r="T24" i="34"/>
  <c r="U24" i="34"/>
  <c r="V24" i="34"/>
  <c r="W24" i="34"/>
  <c r="X24" i="34"/>
  <c r="Y24" i="34"/>
  <c r="D25" i="34"/>
  <c r="E25" i="34"/>
  <c r="F25" i="34"/>
  <c r="G25" i="34"/>
  <c r="H25" i="34"/>
  <c r="I25" i="34"/>
  <c r="J25" i="34"/>
  <c r="K25" i="34"/>
  <c r="L25" i="34"/>
  <c r="M25" i="34"/>
  <c r="N25" i="34"/>
  <c r="O25" i="34"/>
  <c r="P25" i="34"/>
  <c r="Q25" i="34"/>
  <c r="R25" i="34"/>
  <c r="S25" i="34"/>
  <c r="T25" i="34"/>
  <c r="U25" i="34"/>
  <c r="V25" i="34"/>
  <c r="W25" i="34"/>
  <c r="X25" i="34"/>
  <c r="Y25" i="34"/>
  <c r="E26" i="34"/>
  <c r="F26" i="34"/>
  <c r="G26" i="34"/>
  <c r="H26" i="34"/>
  <c r="I26" i="34"/>
  <c r="J26" i="34"/>
  <c r="K26" i="34"/>
  <c r="L26" i="34"/>
  <c r="M26" i="34"/>
  <c r="N26" i="34"/>
  <c r="O26" i="34"/>
  <c r="P26" i="34"/>
  <c r="Q26" i="34"/>
  <c r="R26" i="34"/>
  <c r="S26" i="34"/>
  <c r="T26" i="34"/>
  <c r="U26" i="34"/>
  <c r="V26" i="34"/>
  <c r="W26" i="34"/>
  <c r="X26" i="34"/>
  <c r="Y26" i="34"/>
  <c r="I27" i="34"/>
  <c r="J27" i="34"/>
  <c r="K27" i="34"/>
  <c r="I28" i="34"/>
  <c r="J28" i="34"/>
  <c r="K28" i="34"/>
  <c r="L28" i="34"/>
  <c r="M28" i="34"/>
  <c r="N28" i="34"/>
  <c r="O28" i="34"/>
  <c r="P28" i="34"/>
  <c r="Q28" i="34"/>
  <c r="R28" i="34"/>
  <c r="S28" i="34"/>
  <c r="T28" i="34"/>
  <c r="U28" i="34"/>
  <c r="V28" i="34"/>
  <c r="W28" i="34"/>
  <c r="X28" i="34"/>
  <c r="Y28" i="34"/>
  <c r="D29" i="34"/>
  <c r="E29" i="34"/>
  <c r="F29" i="34"/>
  <c r="G29" i="34"/>
  <c r="H29" i="34"/>
  <c r="I29" i="34"/>
  <c r="J29" i="34"/>
  <c r="K29" i="34"/>
  <c r="L29" i="34"/>
  <c r="M29" i="34"/>
  <c r="N29" i="34"/>
  <c r="O29" i="34"/>
  <c r="P29" i="34"/>
  <c r="Q29" i="34"/>
  <c r="R29" i="34"/>
  <c r="S29" i="34"/>
  <c r="T29" i="34"/>
  <c r="U29" i="34"/>
  <c r="V29" i="34"/>
  <c r="W29" i="34"/>
  <c r="X29" i="34"/>
  <c r="Y29" i="34"/>
  <c r="D30" i="34"/>
  <c r="E30" i="34"/>
  <c r="F30" i="34"/>
  <c r="G30" i="34"/>
  <c r="H30" i="34"/>
  <c r="I30" i="34"/>
  <c r="J30" i="34"/>
  <c r="K30" i="34"/>
  <c r="L30" i="34"/>
  <c r="M30" i="34"/>
  <c r="N30" i="34"/>
  <c r="O30" i="34"/>
  <c r="P30" i="34"/>
  <c r="Q30" i="34"/>
  <c r="R30" i="34"/>
  <c r="S30" i="34"/>
  <c r="T30" i="34"/>
  <c r="U30" i="34"/>
  <c r="V30" i="34"/>
  <c r="W30" i="34"/>
  <c r="X30" i="34"/>
  <c r="Y30" i="34"/>
  <c r="D33" i="34"/>
  <c r="E33" i="34"/>
  <c r="F33" i="34"/>
  <c r="G33" i="34"/>
  <c r="H33" i="34"/>
  <c r="I33" i="34"/>
  <c r="J33" i="34"/>
  <c r="K33" i="34"/>
  <c r="L33" i="34"/>
  <c r="M33" i="34"/>
  <c r="N33" i="34"/>
  <c r="O33" i="34"/>
  <c r="P33" i="34"/>
  <c r="Q33" i="34"/>
  <c r="R33" i="34"/>
  <c r="S33" i="34"/>
  <c r="T33" i="34"/>
  <c r="U33" i="34"/>
  <c r="V33" i="34"/>
  <c r="W33" i="34"/>
  <c r="X33" i="34"/>
  <c r="Y33" i="34"/>
  <c r="D36" i="34"/>
  <c r="E36" i="34"/>
  <c r="F36" i="34"/>
  <c r="G36" i="34"/>
  <c r="H36" i="34"/>
  <c r="I36" i="34"/>
  <c r="J36" i="34"/>
  <c r="K36" i="34"/>
  <c r="L36" i="34"/>
  <c r="M36" i="34"/>
  <c r="E37" i="34"/>
  <c r="F37" i="34"/>
  <c r="G37" i="34"/>
  <c r="H37" i="34"/>
  <c r="I37" i="34"/>
  <c r="J37" i="34"/>
  <c r="K37" i="34"/>
  <c r="L37" i="34"/>
  <c r="M37" i="34"/>
  <c r="D38" i="34"/>
  <c r="E38" i="34"/>
  <c r="F38" i="34"/>
  <c r="G38" i="34"/>
  <c r="H38" i="34"/>
  <c r="I38" i="34"/>
  <c r="J38" i="34"/>
  <c r="K38" i="34"/>
  <c r="L38" i="34"/>
  <c r="M38" i="34"/>
  <c r="D39" i="34"/>
  <c r="E39" i="34"/>
  <c r="F39" i="34"/>
  <c r="G39" i="34"/>
  <c r="H39" i="34"/>
  <c r="I39" i="34"/>
  <c r="J39" i="34"/>
  <c r="K39" i="34"/>
  <c r="L39" i="34"/>
  <c r="M39" i="34"/>
  <c r="E40" i="34"/>
  <c r="F40" i="34"/>
  <c r="G40" i="34"/>
  <c r="H40" i="34"/>
  <c r="I40" i="34"/>
  <c r="J40" i="34"/>
  <c r="K40" i="34"/>
  <c r="L40" i="34"/>
  <c r="M40" i="34"/>
  <c r="D45" i="34"/>
  <c r="E45" i="34"/>
  <c r="F45" i="34"/>
  <c r="G45" i="34"/>
  <c r="H45" i="34"/>
  <c r="I45" i="34"/>
  <c r="J45" i="34"/>
  <c r="K45" i="34"/>
  <c r="L45" i="34"/>
  <c r="M45" i="34"/>
  <c r="E46" i="34"/>
  <c r="F46" i="34"/>
  <c r="G46" i="34"/>
  <c r="H46" i="34"/>
  <c r="I46" i="34"/>
  <c r="J46" i="34"/>
  <c r="K46" i="34"/>
  <c r="L46" i="34"/>
  <c r="M46" i="34"/>
  <c r="D47" i="34"/>
  <c r="E47" i="34"/>
  <c r="F47" i="34"/>
  <c r="G47" i="34"/>
  <c r="H47" i="34"/>
  <c r="I47" i="34"/>
  <c r="J47" i="34"/>
  <c r="K47" i="34"/>
  <c r="L47" i="34"/>
  <c r="M47" i="34"/>
  <c r="D48" i="34"/>
  <c r="E48" i="34"/>
  <c r="F48" i="34"/>
  <c r="G48" i="34"/>
  <c r="H48" i="34"/>
  <c r="I48" i="34"/>
  <c r="J48" i="34"/>
  <c r="K48" i="34"/>
  <c r="L48" i="34"/>
  <c r="M48" i="34"/>
  <c r="D7" i="28"/>
  <c r="E7" i="28"/>
  <c r="F7" i="28"/>
  <c r="G7" i="28"/>
  <c r="H7" i="28"/>
  <c r="I7" i="28"/>
  <c r="J7" i="28"/>
  <c r="K7" i="28"/>
  <c r="L7" i="28"/>
  <c r="M7" i="28"/>
  <c r="N7" i="28"/>
  <c r="O7" i="28"/>
  <c r="P7" i="28"/>
  <c r="Q7" i="28"/>
  <c r="R7" i="28"/>
  <c r="S7" i="28"/>
  <c r="T7" i="28"/>
  <c r="U7" i="28"/>
  <c r="V7" i="28"/>
  <c r="W7" i="28"/>
  <c r="X7" i="28"/>
  <c r="Y7" i="28"/>
  <c r="D9" i="28"/>
  <c r="E9" i="28"/>
  <c r="F9" i="28"/>
  <c r="G9" i="28"/>
  <c r="H9" i="28"/>
  <c r="I9" i="28"/>
  <c r="J9" i="28"/>
  <c r="K9" i="28"/>
  <c r="L9" i="28"/>
  <c r="M9" i="28"/>
  <c r="N9" i="28"/>
  <c r="O9" i="28"/>
  <c r="P9" i="28"/>
  <c r="Q9" i="28"/>
  <c r="R9" i="28"/>
  <c r="S9" i="28"/>
  <c r="T9" i="28"/>
  <c r="U9" i="28"/>
  <c r="V9" i="28"/>
  <c r="W9" i="28"/>
  <c r="X9" i="28"/>
  <c r="Y9" i="28"/>
  <c r="F10" i="28"/>
  <c r="G10" i="28"/>
  <c r="H10" i="28"/>
  <c r="I10" i="28"/>
  <c r="J10" i="28"/>
  <c r="K10" i="28"/>
  <c r="L10" i="28"/>
  <c r="M10" i="28"/>
  <c r="N10" i="28"/>
  <c r="O10" i="28"/>
  <c r="P10" i="28"/>
  <c r="Q10" i="28"/>
  <c r="R10" i="28"/>
  <c r="S10" i="28"/>
  <c r="T10" i="28"/>
  <c r="U10" i="28"/>
  <c r="V10" i="28"/>
  <c r="W10" i="28"/>
  <c r="X10" i="28"/>
  <c r="Y10" i="28"/>
  <c r="E12" i="28"/>
  <c r="F12" i="28"/>
  <c r="G12" i="28"/>
  <c r="H12" i="28"/>
  <c r="I12" i="28"/>
  <c r="J12" i="28"/>
  <c r="K12" i="28"/>
  <c r="L12" i="28"/>
  <c r="M12" i="28"/>
  <c r="N12" i="28"/>
  <c r="O12" i="28"/>
  <c r="P12" i="28"/>
  <c r="Q12" i="28"/>
  <c r="R12" i="28"/>
  <c r="S12" i="28"/>
  <c r="T12" i="28"/>
  <c r="U12" i="28"/>
  <c r="V12" i="28"/>
  <c r="W12" i="28"/>
  <c r="X12" i="28"/>
  <c r="Y12" i="28"/>
  <c r="E13" i="28"/>
  <c r="F13" i="28"/>
  <c r="G13" i="28"/>
  <c r="H13" i="28"/>
  <c r="I13" i="28"/>
  <c r="D15" i="28"/>
  <c r="E15" i="28"/>
  <c r="F15" i="28"/>
  <c r="G15" i="28"/>
  <c r="H15" i="28"/>
  <c r="I15" i="28"/>
  <c r="J15" i="28"/>
  <c r="K15" i="28"/>
  <c r="L15" i="28"/>
  <c r="M15" i="28"/>
  <c r="N15" i="28"/>
  <c r="O15" i="28"/>
  <c r="P15" i="28"/>
  <c r="Q15" i="28"/>
  <c r="R15" i="28"/>
  <c r="S15" i="28"/>
  <c r="T15" i="28"/>
  <c r="U15" i="28"/>
  <c r="V15" i="28"/>
  <c r="W15" i="28"/>
  <c r="X15" i="28"/>
  <c r="Y15" i="28"/>
  <c r="E18" i="28"/>
  <c r="F18" i="28"/>
  <c r="G18" i="28"/>
  <c r="H18" i="28"/>
  <c r="I18" i="28"/>
  <c r="K18" i="28"/>
  <c r="L18" i="28"/>
  <c r="I19" i="28"/>
  <c r="J19" i="28"/>
  <c r="K19" i="28"/>
  <c r="L19" i="28"/>
  <c r="M19" i="28"/>
  <c r="N19" i="28"/>
  <c r="J20" i="28"/>
  <c r="K20" i="28"/>
  <c r="L20" i="28"/>
  <c r="M20" i="28"/>
  <c r="N20" i="28"/>
  <c r="O20" i="28"/>
  <c r="I21" i="28"/>
  <c r="J21" i="28"/>
  <c r="K21" i="28"/>
  <c r="L21" i="28"/>
  <c r="M21" i="28"/>
  <c r="N21" i="28"/>
  <c r="O21" i="28"/>
  <c r="P21" i="28"/>
  <c r="Q21" i="28"/>
  <c r="R21" i="28"/>
  <c r="S21" i="28"/>
  <c r="T21" i="28"/>
  <c r="U21" i="28"/>
  <c r="V21" i="28"/>
  <c r="W21" i="28"/>
  <c r="X21" i="28"/>
  <c r="Y21" i="28"/>
  <c r="E24" i="28"/>
  <c r="F24" i="28"/>
  <c r="G24" i="28"/>
  <c r="H24" i="28"/>
  <c r="I24" i="28"/>
  <c r="J24" i="28"/>
  <c r="K24" i="28"/>
  <c r="L24" i="28"/>
  <c r="M24" i="28"/>
  <c r="N24" i="28"/>
  <c r="O24" i="28"/>
  <c r="P24" i="28"/>
  <c r="Q24" i="28"/>
  <c r="R24" i="28"/>
  <c r="S24" i="28"/>
  <c r="T24" i="28"/>
  <c r="U24" i="28"/>
  <c r="V24" i="28"/>
  <c r="W24" i="28"/>
  <c r="X24" i="28"/>
  <c r="Y24" i="28"/>
  <c r="E27" i="28"/>
  <c r="F27" i="28"/>
  <c r="G27" i="28"/>
  <c r="H27" i="28"/>
  <c r="I27" i="28"/>
  <c r="J27" i="28"/>
  <c r="K27" i="28"/>
  <c r="L27" i="28"/>
  <c r="M27" i="28"/>
  <c r="N27" i="28"/>
  <c r="O27" i="28"/>
  <c r="P27" i="28"/>
  <c r="Q27" i="28"/>
  <c r="R27" i="28"/>
  <c r="S27" i="28"/>
  <c r="T27" i="28"/>
  <c r="U27" i="28"/>
  <c r="V27" i="28"/>
  <c r="W27" i="28"/>
  <c r="X27" i="28"/>
  <c r="Y27" i="28"/>
  <c r="E28" i="28"/>
  <c r="F28" i="28"/>
  <c r="G28" i="28"/>
  <c r="H28" i="28"/>
  <c r="I28" i="28"/>
  <c r="J28" i="28"/>
  <c r="K28" i="28"/>
  <c r="L28" i="28"/>
  <c r="M28" i="28"/>
  <c r="N28" i="28"/>
  <c r="O28" i="28"/>
  <c r="P28" i="28"/>
  <c r="Q28" i="28"/>
  <c r="R28" i="28"/>
  <c r="S28" i="28"/>
  <c r="T28" i="28"/>
  <c r="U28" i="28"/>
  <c r="V28" i="28"/>
  <c r="W28" i="28"/>
  <c r="X28" i="28"/>
  <c r="Y28" i="28"/>
  <c r="J29" i="28"/>
  <c r="J30" i="28"/>
  <c r="K30" i="28"/>
  <c r="L30" i="28"/>
  <c r="M30" i="28"/>
  <c r="F31" i="28"/>
  <c r="G31" i="28"/>
  <c r="H31" i="28"/>
  <c r="I31" i="28"/>
  <c r="J31" i="28"/>
  <c r="K31" i="28"/>
  <c r="L31" i="28"/>
  <c r="M31" i="28"/>
  <c r="N31" i="28"/>
  <c r="O31" i="28"/>
  <c r="P31" i="28"/>
  <c r="Q31" i="28"/>
  <c r="R31" i="28"/>
  <c r="S31" i="28"/>
  <c r="T31" i="28"/>
  <c r="U31" i="28"/>
  <c r="V31" i="28"/>
  <c r="W31" i="28"/>
  <c r="X31" i="28"/>
  <c r="Y31" i="28"/>
  <c r="I32" i="28"/>
  <c r="J32" i="28"/>
  <c r="F33" i="28"/>
  <c r="G33" i="28"/>
  <c r="H33" i="28"/>
  <c r="I33" i="28"/>
  <c r="J33" i="28"/>
  <c r="K33" i="28"/>
  <c r="L33" i="28"/>
  <c r="M33" i="28"/>
  <c r="N33" i="28"/>
  <c r="O33" i="28"/>
  <c r="P33" i="28"/>
  <c r="Q33" i="28"/>
  <c r="R33" i="28"/>
  <c r="S33" i="28"/>
  <c r="T33" i="28"/>
  <c r="U33" i="28"/>
  <c r="V33" i="28"/>
  <c r="W33" i="28"/>
  <c r="X33" i="28"/>
  <c r="Y33" i="28"/>
  <c r="E35" i="28"/>
  <c r="F35" i="28"/>
  <c r="G35" i="28"/>
  <c r="H35" i="28"/>
  <c r="I35" i="28"/>
  <c r="J35" i="28"/>
  <c r="K35" i="28"/>
  <c r="L35" i="28"/>
  <c r="M35" i="28"/>
  <c r="N35" i="28"/>
  <c r="O35" i="28"/>
  <c r="P35" i="28"/>
  <c r="Q35" i="28"/>
  <c r="R35" i="28"/>
  <c r="S35" i="28"/>
  <c r="T35" i="28"/>
  <c r="U35" i="28"/>
  <c r="V35" i="28"/>
  <c r="W35" i="28"/>
  <c r="X35" i="28"/>
  <c r="Y35" i="28"/>
  <c r="E37" i="28"/>
  <c r="F37" i="28"/>
  <c r="G37" i="28"/>
  <c r="H37" i="28"/>
  <c r="I37" i="28"/>
  <c r="J37" i="28"/>
  <c r="K37" i="28"/>
  <c r="L37" i="28"/>
  <c r="M37" i="28"/>
  <c r="N37" i="28"/>
  <c r="O37" i="28"/>
  <c r="P37" i="28"/>
  <c r="Q37" i="28"/>
  <c r="R37" i="28"/>
  <c r="S37" i="28"/>
  <c r="T37" i="28"/>
  <c r="U37" i="28"/>
  <c r="V37" i="28"/>
  <c r="W37" i="28"/>
  <c r="X37" i="28"/>
  <c r="Y37" i="28"/>
  <c r="D38" i="28"/>
  <c r="E38" i="28"/>
  <c r="F38" i="28"/>
  <c r="G38" i="28"/>
  <c r="H38" i="28"/>
  <c r="I38" i="28"/>
  <c r="J38" i="28"/>
  <c r="K38" i="28"/>
  <c r="L38" i="28"/>
  <c r="M38" i="28"/>
  <c r="N38" i="28"/>
  <c r="O38" i="28"/>
  <c r="P38" i="28"/>
  <c r="Q38" i="28"/>
  <c r="R38" i="28"/>
  <c r="S38" i="28"/>
  <c r="T38" i="28"/>
  <c r="U38" i="28"/>
  <c r="V38" i="28"/>
  <c r="W38" i="28"/>
  <c r="X38" i="28"/>
  <c r="Y38" i="28"/>
  <c r="D39" i="28"/>
  <c r="E39" i="28"/>
  <c r="F39" i="28"/>
  <c r="G39" i="28"/>
  <c r="H39" i="28"/>
  <c r="I39" i="28"/>
  <c r="J39" i="28"/>
  <c r="K39" i="28"/>
  <c r="L39" i="28"/>
  <c r="M39" i="28"/>
  <c r="N39" i="28"/>
  <c r="O39" i="28"/>
  <c r="P39" i="28"/>
  <c r="Q39" i="28"/>
  <c r="R39" i="28"/>
  <c r="S39" i="28"/>
  <c r="T39" i="28"/>
  <c r="U39" i="28"/>
  <c r="V39" i="28"/>
  <c r="W39" i="28"/>
  <c r="X39" i="28"/>
  <c r="Y39" i="28"/>
  <c r="C11" i="20"/>
  <c r="B20" i="20"/>
  <c r="D20"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B21"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B24" i="20"/>
  <c r="D24"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B25" i="20"/>
  <c r="D25"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B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B27" i="20"/>
  <c r="BK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D28"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B32" i="20"/>
  <c r="D32"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CI32" i="20"/>
  <c r="CJ32" i="20"/>
  <c r="CK32" i="20"/>
  <c r="CL32" i="20"/>
  <c r="CM32" i="20"/>
  <c r="CN32" i="20"/>
  <c r="CO32" i="20"/>
  <c r="CP32" i="20"/>
  <c r="CQ32" i="20"/>
  <c r="CR32" i="20"/>
  <c r="CS32" i="20"/>
  <c r="CT32" i="20"/>
  <c r="CU32" i="20"/>
  <c r="CV32" i="20"/>
  <c r="CW32" i="20"/>
  <c r="CX32"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B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B53"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E76" i="20"/>
  <c r="AF76" i="20"/>
  <c r="AG76" i="20"/>
  <c r="AH76"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E77" i="20"/>
  <c r="AF77" i="20"/>
  <c r="AG77" i="20"/>
  <c r="AH77" i="20"/>
  <c r="W78" i="20"/>
  <c r="X78" i="20"/>
  <c r="Y78" i="20"/>
  <c r="Z78" i="20"/>
  <c r="AA78" i="20"/>
  <c r="AB78" i="20"/>
  <c r="AC78" i="20"/>
  <c r="AD78" i="20"/>
  <c r="AE78" i="20"/>
  <c r="AF78" i="20"/>
  <c r="AG78" i="20"/>
  <c r="AH78"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E79" i="20"/>
  <c r="AF79" i="20"/>
  <c r="AG79" i="20"/>
  <c r="AH79" i="20"/>
  <c r="C81" i="20"/>
  <c r="D81" i="20"/>
  <c r="E81" i="20"/>
  <c r="F81" i="20"/>
  <c r="G81" i="20"/>
  <c r="H81" i="20"/>
  <c r="I81" i="20"/>
  <c r="J81" i="20"/>
  <c r="K81" i="20"/>
  <c r="L81" i="20"/>
  <c r="M81" i="20"/>
  <c r="N81" i="20"/>
  <c r="O81" i="20"/>
  <c r="P81" i="20"/>
  <c r="Q81" i="20"/>
  <c r="R81" i="20"/>
  <c r="S81" i="20"/>
  <c r="T81" i="20"/>
  <c r="U81" i="20"/>
  <c r="C82" i="20"/>
  <c r="V82" i="20"/>
  <c r="W82"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E87" i="20"/>
  <c r="AF87" i="20"/>
  <c r="AG87" i="20"/>
  <c r="AH87" i="20"/>
  <c r="W88" i="20"/>
  <c r="X88" i="20"/>
  <c r="Y88" i="20"/>
  <c r="Z88" i="20"/>
  <c r="AA88" i="20"/>
  <c r="AB88" i="20"/>
  <c r="AC88" i="20"/>
  <c r="AD88" i="20"/>
  <c r="AE88" i="20"/>
  <c r="AF88" i="20"/>
  <c r="AG88" i="20"/>
  <c r="AH88"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Q89" i="20"/>
  <c r="AR89" i="20"/>
  <c r="AS89" i="20"/>
  <c r="AT89" i="20"/>
  <c r="AU89" i="20"/>
  <c r="AV89" i="20"/>
  <c r="AW89" i="20"/>
  <c r="AX89" i="20"/>
  <c r="AY89" i="20"/>
  <c r="AZ89" i="20"/>
  <c r="BA89" i="20"/>
  <c r="BB89" i="20"/>
  <c r="BC89" i="20"/>
  <c r="BD89" i="20"/>
  <c r="BE89" i="20"/>
  <c r="BF89" i="20"/>
  <c r="BG89" i="20"/>
  <c r="BH89" i="20"/>
  <c r="BI89"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R91" i="20"/>
  <c r="AS91" i="20"/>
  <c r="AT91" i="20"/>
  <c r="AU91" i="20"/>
  <c r="AV91" i="20"/>
  <c r="AW91" i="20"/>
  <c r="AX91" i="20"/>
  <c r="AY91" i="20"/>
  <c r="AZ91" i="20"/>
  <c r="BA91" i="20"/>
  <c r="BB91" i="20"/>
  <c r="BC91" i="20"/>
  <c r="BD91" i="20"/>
  <c r="BE91" i="20"/>
  <c r="BF91" i="20"/>
  <c r="BG91" i="20"/>
  <c r="BH91" i="20"/>
  <c r="BI91" i="20"/>
  <c r="B93" i="20"/>
  <c r="B94" i="20"/>
  <c r="B95" i="20"/>
  <c r="B96" i="20"/>
  <c r="F4" i="26"/>
  <c r="F5" i="26"/>
  <c r="F6" i="26"/>
  <c r="F7" i="26"/>
  <c r="F8" i="26"/>
  <c r="C10" i="26"/>
  <c r="E10" i="26"/>
  <c r="F10" i="26"/>
  <c r="C11" i="26"/>
  <c r="E11" i="26"/>
  <c r="F11" i="26"/>
  <c r="C12" i="26"/>
  <c r="E12" i="26"/>
  <c r="F12" i="26"/>
  <c r="F13" i="26"/>
  <c r="F14" i="26"/>
  <c r="C15" i="26"/>
  <c r="E15" i="26"/>
  <c r="F15" i="26"/>
  <c r="C16" i="26"/>
  <c r="E16" i="26"/>
  <c r="F16" i="26"/>
  <c r="C19" i="26"/>
  <c r="E19" i="26"/>
  <c r="F20" i="26"/>
  <c r="H20" i="26"/>
  <c r="C21" i="26"/>
  <c r="E21" i="26"/>
  <c r="C22" i="26"/>
  <c r="E22" i="26"/>
  <c r="F22" i="26"/>
  <c r="C23" i="26"/>
  <c r="E23" i="26"/>
  <c r="F23" i="26"/>
  <c r="F24" i="26"/>
  <c r="C27" i="26"/>
  <c r="D33" i="26"/>
  <c r="E33" i="26"/>
  <c r="I33" i="26"/>
  <c r="L33" i="26"/>
  <c r="M33" i="26"/>
  <c r="N33" i="26"/>
  <c r="S33" i="26"/>
  <c r="T33" i="26"/>
  <c r="U33" i="26"/>
  <c r="D34" i="26"/>
  <c r="E34" i="26"/>
  <c r="I34" i="26"/>
  <c r="L34" i="26"/>
  <c r="M34" i="26"/>
  <c r="N34" i="26"/>
  <c r="S34" i="26"/>
  <c r="T34" i="26"/>
  <c r="U34" i="26"/>
  <c r="D35" i="26"/>
  <c r="E35" i="26"/>
  <c r="I35" i="26"/>
  <c r="L35" i="26"/>
  <c r="M35" i="26"/>
  <c r="N35" i="26"/>
  <c r="T35" i="26"/>
  <c r="D36" i="26"/>
  <c r="E36" i="26"/>
  <c r="I36" i="26"/>
  <c r="L36" i="26"/>
  <c r="M36" i="26"/>
  <c r="N36" i="26"/>
  <c r="S36" i="26"/>
  <c r="T36" i="26"/>
  <c r="U36" i="26"/>
  <c r="D37" i="26"/>
  <c r="E37" i="26"/>
  <c r="I37" i="26"/>
  <c r="L37" i="26"/>
  <c r="M37" i="26"/>
  <c r="N37" i="26"/>
  <c r="S37" i="26"/>
  <c r="T37" i="26"/>
  <c r="U37" i="26"/>
  <c r="D38" i="26"/>
  <c r="E38" i="26"/>
  <c r="I38" i="26"/>
  <c r="L38" i="26"/>
  <c r="M38" i="26"/>
  <c r="N38" i="26"/>
  <c r="S38" i="26"/>
  <c r="T38" i="26"/>
  <c r="U38" i="26"/>
  <c r="C7" i="22"/>
  <c r="E7" i="22"/>
  <c r="C8" i="22"/>
  <c r="E8" i="22"/>
  <c r="F8" i="22"/>
  <c r="G8" i="22"/>
  <c r="H8" i="22"/>
  <c r="I8" i="22"/>
  <c r="K8" i="22"/>
  <c r="L8" i="22"/>
  <c r="C9" i="22"/>
  <c r="E9" i="22"/>
  <c r="F9" i="22"/>
  <c r="G9" i="22"/>
  <c r="H9" i="22"/>
  <c r="I9" i="22"/>
  <c r="K9" i="22"/>
  <c r="L9" i="22"/>
  <c r="C10" i="22"/>
  <c r="E10" i="22"/>
  <c r="F10" i="22"/>
  <c r="G10" i="22"/>
  <c r="H10" i="22"/>
  <c r="I10" i="22"/>
  <c r="K10" i="22"/>
  <c r="L10" i="22"/>
  <c r="E11" i="22"/>
  <c r="F11" i="22"/>
  <c r="G11" i="22"/>
  <c r="H11" i="22"/>
  <c r="I11" i="22"/>
  <c r="J11" i="22"/>
  <c r="K11" i="22"/>
  <c r="L11" i="22"/>
  <c r="M11" i="22"/>
  <c r="N11" i="22"/>
  <c r="O11" i="22"/>
  <c r="P11" i="22"/>
  <c r="Q11" i="22"/>
  <c r="R11" i="22"/>
  <c r="S11" i="22"/>
  <c r="T11" i="22"/>
  <c r="U11" i="22"/>
  <c r="V11" i="22"/>
  <c r="W11" i="22"/>
  <c r="X11" i="22"/>
  <c r="Y11" i="22"/>
  <c r="Z11" i="22"/>
  <c r="C17" i="22"/>
  <c r="D17" i="22"/>
  <c r="E17" i="22"/>
  <c r="F17" i="22"/>
  <c r="G17" i="22"/>
  <c r="H17" i="22"/>
  <c r="I17" i="22"/>
  <c r="J17" i="22"/>
  <c r="K17" i="22"/>
  <c r="L17" i="22"/>
  <c r="M17" i="22"/>
  <c r="N17" i="22"/>
  <c r="O17" i="22"/>
  <c r="P17" i="22"/>
  <c r="Q17" i="22"/>
  <c r="R17" i="22"/>
  <c r="S17" i="22"/>
  <c r="T17" i="22"/>
  <c r="U17" i="22"/>
  <c r="V17" i="22"/>
  <c r="W17" i="22"/>
  <c r="X17" i="22"/>
  <c r="Y17" i="22"/>
  <c r="Z17" i="22"/>
  <c r="D18" i="22"/>
  <c r="E18" i="22"/>
  <c r="F18" i="22"/>
  <c r="G18" i="22"/>
  <c r="H18" i="22"/>
  <c r="I18" i="22"/>
  <c r="J18" i="22"/>
  <c r="K18" i="22"/>
  <c r="L18" i="22"/>
  <c r="M18" i="22"/>
  <c r="N18" i="22"/>
  <c r="O18" i="22"/>
  <c r="P18" i="22"/>
  <c r="Q18" i="22"/>
  <c r="R18" i="22"/>
  <c r="S18" i="22"/>
  <c r="T18" i="22"/>
  <c r="U18" i="22"/>
  <c r="V18" i="22"/>
  <c r="W18" i="22"/>
  <c r="X18" i="22"/>
  <c r="Y18" i="22"/>
  <c r="Z18" i="22"/>
  <c r="D19" i="22"/>
  <c r="E19" i="22"/>
  <c r="F19" i="22"/>
  <c r="G19" i="22"/>
  <c r="H19" i="22"/>
  <c r="I19" i="22"/>
  <c r="J19" i="22"/>
  <c r="K19" i="22"/>
  <c r="L19" i="22"/>
  <c r="M19" i="22"/>
  <c r="N19" i="22"/>
  <c r="O19" i="22"/>
  <c r="P19" i="22"/>
  <c r="Q19" i="22"/>
  <c r="R19" i="22"/>
  <c r="S19" i="22"/>
  <c r="T19" i="22"/>
  <c r="U19" i="22"/>
  <c r="V19" i="22"/>
  <c r="W19" i="22"/>
  <c r="X19" i="22"/>
  <c r="Y19" i="22"/>
  <c r="Z19" i="22"/>
  <c r="C24" i="22"/>
  <c r="E27" i="22"/>
  <c r="F27" i="22"/>
  <c r="G27" i="22"/>
  <c r="H27" i="22"/>
  <c r="I27" i="22"/>
  <c r="J27" i="22"/>
  <c r="K27" i="22"/>
  <c r="L27" i="22"/>
  <c r="M27" i="22"/>
  <c r="N27" i="22"/>
  <c r="O27" i="22"/>
  <c r="P27" i="22"/>
  <c r="Q27" i="22"/>
  <c r="R27" i="22"/>
  <c r="S27" i="22"/>
  <c r="T27" i="22"/>
  <c r="U27" i="22"/>
  <c r="V27" i="22"/>
  <c r="W27" i="22"/>
  <c r="X27" i="22"/>
  <c r="Y27" i="22"/>
  <c r="Z27" i="22"/>
  <c r="D28" i="22"/>
  <c r="E28" i="22"/>
  <c r="F28" i="22"/>
  <c r="G28" i="22"/>
  <c r="H28" i="22"/>
  <c r="I28" i="22"/>
  <c r="J28" i="22"/>
  <c r="K28" i="22"/>
  <c r="L28" i="22"/>
  <c r="M28" i="22"/>
  <c r="N28" i="22"/>
  <c r="O28" i="22"/>
  <c r="P28" i="22"/>
  <c r="Q28" i="22"/>
  <c r="R28" i="22"/>
  <c r="S28" i="22"/>
  <c r="T28" i="22"/>
  <c r="U28" i="22"/>
  <c r="V28" i="22"/>
  <c r="W28" i="22"/>
  <c r="X28" i="22"/>
  <c r="Y28" i="22"/>
  <c r="Z28" i="22"/>
  <c r="D30" i="22"/>
  <c r="E30" i="22"/>
  <c r="F30" i="22"/>
  <c r="G30" i="22"/>
  <c r="H30" i="22"/>
  <c r="I30" i="22"/>
  <c r="J30" i="22"/>
  <c r="K30" i="22"/>
  <c r="L30" i="22"/>
  <c r="M30" i="22"/>
  <c r="N30" i="22"/>
  <c r="O30" i="22"/>
  <c r="P30" i="22"/>
  <c r="Q30" i="22"/>
  <c r="R30" i="22"/>
  <c r="S30" i="22"/>
  <c r="T30" i="22"/>
  <c r="U30" i="22"/>
  <c r="V30" i="22"/>
  <c r="W30" i="22"/>
  <c r="X30" i="22"/>
  <c r="Y30" i="22"/>
  <c r="Z30" i="22"/>
  <c r="D32" i="22"/>
  <c r="E32" i="22"/>
  <c r="F32" i="22"/>
  <c r="G32" i="22"/>
  <c r="H32" i="22"/>
  <c r="I32" i="22"/>
  <c r="J32" i="22"/>
  <c r="K32" i="22"/>
  <c r="L32" i="22"/>
  <c r="M32" i="22"/>
  <c r="N32" i="22"/>
  <c r="O32" i="22"/>
  <c r="P32" i="22"/>
  <c r="Q32" i="22"/>
  <c r="R32" i="22"/>
  <c r="S32" i="22"/>
  <c r="T32" i="22"/>
  <c r="U32" i="22"/>
  <c r="V32" i="22"/>
  <c r="W32" i="22"/>
  <c r="X32" i="22"/>
  <c r="Y32" i="22"/>
  <c r="Z32" i="22"/>
  <c r="D34" i="22"/>
  <c r="E34" i="22"/>
  <c r="F34" i="22"/>
  <c r="G34" i="22"/>
  <c r="H34" i="22"/>
  <c r="I34" i="22"/>
  <c r="J34" i="22"/>
  <c r="K34" i="22"/>
  <c r="L34" i="22"/>
  <c r="M34" i="22"/>
  <c r="N34" i="22"/>
  <c r="O34" i="22"/>
  <c r="P34" i="22"/>
  <c r="Q34" i="22"/>
  <c r="R34" i="22"/>
  <c r="S34" i="22"/>
  <c r="T34" i="22"/>
  <c r="U34" i="22"/>
  <c r="V34" i="22"/>
  <c r="W34" i="22"/>
  <c r="X34" i="22"/>
  <c r="Y34" i="22"/>
  <c r="Z34" i="22"/>
  <c r="D35" i="22"/>
  <c r="E35" i="22"/>
  <c r="F35" i="22"/>
  <c r="G35" i="22"/>
  <c r="H35" i="22"/>
  <c r="I35" i="22"/>
  <c r="J35" i="22"/>
  <c r="K35" i="22"/>
  <c r="L35" i="22"/>
  <c r="M35" i="22"/>
  <c r="N35" i="22"/>
  <c r="O35" i="22"/>
  <c r="P35" i="22"/>
  <c r="Q35" i="22"/>
  <c r="R35" i="22"/>
  <c r="S35" i="22"/>
  <c r="T35" i="22"/>
  <c r="U35" i="22"/>
  <c r="V35" i="22"/>
  <c r="W35" i="22"/>
  <c r="X35" i="22"/>
  <c r="Y35" i="22"/>
  <c r="Z35" i="22"/>
  <c r="D36" i="22"/>
  <c r="E36" i="22"/>
  <c r="F36" i="22"/>
  <c r="G36" i="22"/>
  <c r="H36" i="22"/>
  <c r="I36" i="22"/>
  <c r="J36" i="22"/>
  <c r="K36" i="22"/>
  <c r="L36" i="22"/>
  <c r="M36" i="22"/>
  <c r="N36" i="22"/>
  <c r="O36" i="22"/>
  <c r="P36" i="22"/>
  <c r="Q36" i="22"/>
  <c r="R36" i="22"/>
  <c r="S36" i="22"/>
  <c r="T36" i="22"/>
  <c r="U36" i="22"/>
  <c r="V36" i="22"/>
  <c r="W36" i="22"/>
  <c r="X36" i="22"/>
  <c r="Y36" i="22"/>
  <c r="Z36" i="22"/>
  <c r="D37" i="22"/>
  <c r="E37" i="22"/>
  <c r="F37" i="22"/>
  <c r="G37" i="22"/>
  <c r="H37" i="22"/>
  <c r="I37" i="22"/>
  <c r="J37" i="22"/>
  <c r="K37" i="22"/>
  <c r="L37" i="22"/>
  <c r="M37" i="22"/>
  <c r="N37" i="22"/>
  <c r="O37" i="22"/>
  <c r="P37" i="22"/>
  <c r="Q37" i="22"/>
  <c r="R37" i="22"/>
  <c r="S37" i="22"/>
  <c r="T37" i="22"/>
  <c r="U37" i="22"/>
  <c r="V37" i="22"/>
  <c r="W37" i="22"/>
  <c r="X37" i="22"/>
  <c r="Y37" i="22"/>
  <c r="Z37" i="22"/>
  <c r="E44" i="22"/>
  <c r="F44" i="22"/>
  <c r="G44" i="22"/>
  <c r="H44" i="22"/>
  <c r="I44" i="22"/>
  <c r="J44" i="22"/>
  <c r="K44" i="22"/>
  <c r="L44" i="22"/>
  <c r="M44" i="22"/>
  <c r="N44" i="22"/>
  <c r="O44" i="22"/>
  <c r="P44" i="22"/>
  <c r="Q44" i="22"/>
  <c r="R44" i="22"/>
  <c r="S44" i="22"/>
  <c r="T44" i="22"/>
  <c r="U44" i="22"/>
  <c r="V44" i="22"/>
  <c r="W44" i="22"/>
  <c r="X44" i="22"/>
  <c r="Y44" i="22"/>
  <c r="Z44" i="22"/>
  <c r="D45" i="22"/>
  <c r="E45" i="22"/>
  <c r="F45" i="22"/>
  <c r="G45" i="22"/>
  <c r="H45" i="22"/>
  <c r="I45" i="22"/>
  <c r="J45" i="22"/>
  <c r="K45" i="22"/>
  <c r="L45" i="22"/>
  <c r="M45" i="22"/>
  <c r="N45" i="22"/>
  <c r="O45" i="22"/>
  <c r="P45" i="22"/>
  <c r="Q45" i="22"/>
  <c r="R45" i="22"/>
  <c r="S45" i="22"/>
  <c r="T45" i="22"/>
  <c r="U45" i="22"/>
  <c r="V45" i="22"/>
  <c r="W45" i="22"/>
  <c r="X45" i="22"/>
  <c r="Y45" i="22"/>
  <c r="Z45" i="22"/>
  <c r="D47" i="22"/>
  <c r="E47" i="22"/>
  <c r="F47" i="22"/>
  <c r="G47" i="22"/>
  <c r="H47" i="22"/>
  <c r="I47" i="22"/>
  <c r="J47" i="22"/>
  <c r="K47" i="22"/>
  <c r="L47" i="22"/>
  <c r="M47" i="22"/>
  <c r="N47" i="22"/>
  <c r="O47" i="22"/>
  <c r="P47" i="22"/>
  <c r="Q47" i="22"/>
  <c r="R47" i="22"/>
  <c r="S47" i="22"/>
  <c r="T47" i="22"/>
  <c r="U47" i="22"/>
  <c r="V47" i="22"/>
  <c r="W47" i="22"/>
  <c r="X47" i="22"/>
  <c r="Y47" i="22"/>
  <c r="Z47" i="22"/>
  <c r="D48" i="22"/>
  <c r="E48" i="22"/>
  <c r="F48" i="22"/>
  <c r="G48" i="22"/>
  <c r="H48" i="22"/>
  <c r="I48" i="22"/>
  <c r="J48" i="22"/>
  <c r="K48" i="22"/>
  <c r="L48" i="22"/>
  <c r="M48" i="22"/>
  <c r="N48" i="22"/>
  <c r="O48" i="22"/>
  <c r="P48" i="22"/>
  <c r="Q48" i="22"/>
  <c r="R48" i="22"/>
  <c r="S48" i="22"/>
  <c r="T48" i="22"/>
  <c r="U48" i="22"/>
  <c r="V48" i="22"/>
  <c r="W48" i="22"/>
  <c r="X48" i="22"/>
  <c r="Y48" i="22"/>
  <c r="Z48" i="22"/>
  <c r="E50" i="22"/>
  <c r="F50" i="22"/>
  <c r="G50" i="22"/>
  <c r="H50" i="22"/>
  <c r="I50" i="22"/>
  <c r="J50" i="22"/>
  <c r="K50" i="22"/>
  <c r="L50" i="22"/>
  <c r="M50" i="22"/>
  <c r="N50" i="22"/>
  <c r="O50" i="22"/>
  <c r="P50" i="22"/>
  <c r="Q50" i="22"/>
  <c r="R50" i="22"/>
  <c r="S50" i="22"/>
  <c r="T50" i="22"/>
  <c r="U50" i="22"/>
  <c r="V50" i="22"/>
  <c r="W50" i="22"/>
  <c r="X50" i="22"/>
  <c r="Y50" i="22"/>
  <c r="Z50" i="22"/>
  <c r="C51" i="22"/>
  <c r="C52" i="22"/>
  <c r="D56" i="22"/>
  <c r="E56" i="22"/>
  <c r="F56" i="22"/>
  <c r="G56" i="22"/>
  <c r="H56" i="22"/>
  <c r="I56" i="22"/>
  <c r="J56" i="22"/>
  <c r="K56" i="22"/>
  <c r="L56" i="22"/>
  <c r="M56" i="22"/>
  <c r="N56" i="22"/>
  <c r="O56" i="22"/>
  <c r="P56" i="22"/>
  <c r="Q56" i="22"/>
  <c r="R56" i="22"/>
  <c r="S56" i="22"/>
  <c r="T56" i="22"/>
  <c r="U56" i="22"/>
  <c r="V56" i="22"/>
  <c r="W56" i="22"/>
  <c r="X56" i="22"/>
  <c r="Y56" i="22"/>
  <c r="D57" i="22"/>
  <c r="E57" i="22"/>
  <c r="F57" i="22"/>
  <c r="G57" i="22"/>
  <c r="H57" i="22"/>
  <c r="I57" i="22"/>
  <c r="J57" i="22"/>
  <c r="K57" i="22"/>
  <c r="L57" i="22"/>
  <c r="M57" i="22"/>
  <c r="N57" i="22"/>
  <c r="O57" i="22"/>
  <c r="P57" i="22"/>
  <c r="Q57" i="22"/>
  <c r="R57" i="22"/>
  <c r="S57" i="22"/>
  <c r="T57" i="22"/>
  <c r="U57" i="22"/>
  <c r="V57" i="22"/>
  <c r="W57" i="22"/>
  <c r="X57" i="22"/>
  <c r="Y57" i="22"/>
  <c r="Z57" i="22"/>
  <c r="D58" i="22"/>
  <c r="E58" i="22"/>
  <c r="F58" i="22"/>
  <c r="G58" i="22"/>
  <c r="H58" i="22"/>
  <c r="I58" i="22"/>
  <c r="J58" i="22"/>
  <c r="K58" i="22"/>
  <c r="L58" i="22"/>
  <c r="M58" i="22"/>
  <c r="N58" i="22"/>
  <c r="O58" i="22"/>
  <c r="P58" i="22"/>
  <c r="Q58" i="22"/>
  <c r="R58" i="22"/>
  <c r="S58" i="22"/>
  <c r="T58" i="22"/>
  <c r="U58" i="22"/>
  <c r="V58" i="22"/>
  <c r="W58" i="22"/>
  <c r="X58" i="22"/>
  <c r="Y58" i="22"/>
  <c r="Z58" i="22"/>
  <c r="D59" i="22"/>
  <c r="E59" i="22"/>
  <c r="F59" i="22"/>
  <c r="G59" i="22"/>
  <c r="H59" i="22"/>
  <c r="I59" i="22"/>
  <c r="J59" i="22"/>
  <c r="K59" i="22"/>
  <c r="L59" i="22"/>
  <c r="M59" i="22"/>
  <c r="N59" i="22"/>
  <c r="O59" i="22"/>
  <c r="P59" i="22"/>
  <c r="Q59" i="22"/>
  <c r="R59" i="22"/>
  <c r="S59" i="22"/>
  <c r="T59" i="22"/>
  <c r="U59" i="22"/>
  <c r="V59" i="22"/>
  <c r="W59" i="22"/>
  <c r="X59" i="22"/>
  <c r="Y59" i="22"/>
  <c r="Z59" i="22"/>
  <c r="D60" i="22"/>
  <c r="E60" i="22"/>
  <c r="F60" i="22"/>
  <c r="G60" i="22"/>
  <c r="H60" i="22"/>
  <c r="I60" i="22"/>
  <c r="J60" i="22"/>
  <c r="K60" i="22"/>
  <c r="L60" i="22"/>
  <c r="M60" i="22"/>
  <c r="N60" i="22"/>
  <c r="O60" i="22"/>
  <c r="P60" i="22"/>
  <c r="Q60" i="22"/>
  <c r="R60" i="22"/>
  <c r="S60" i="22"/>
  <c r="T60" i="22"/>
  <c r="U60" i="22"/>
  <c r="V60" i="22"/>
  <c r="W60" i="22"/>
  <c r="X60" i="22"/>
  <c r="Y60" i="22"/>
  <c r="Z60" i="22"/>
  <c r="D61" i="22"/>
  <c r="E61" i="22"/>
  <c r="F61" i="22"/>
  <c r="G61" i="22"/>
  <c r="H61" i="22"/>
  <c r="I61" i="22"/>
  <c r="J61" i="22"/>
  <c r="K61" i="22"/>
  <c r="L61" i="22"/>
  <c r="M61" i="22"/>
  <c r="N61" i="22"/>
  <c r="O61" i="22"/>
  <c r="P61" i="22"/>
  <c r="Q61" i="22"/>
  <c r="R61" i="22"/>
  <c r="S61" i="22"/>
  <c r="T61" i="22"/>
  <c r="U61" i="22"/>
  <c r="V61" i="22"/>
  <c r="W61" i="22"/>
  <c r="X61" i="22"/>
  <c r="Y61" i="22"/>
  <c r="Z61" i="22"/>
  <c r="C7" i="30"/>
  <c r="C16" i="30"/>
  <c r="D47" i="30"/>
  <c r="E47" i="30"/>
  <c r="F47" i="30"/>
  <c r="G47" i="30"/>
  <c r="H47" i="30"/>
  <c r="I47" i="30"/>
  <c r="J47" i="30"/>
  <c r="K47" i="30"/>
  <c r="L47" i="30"/>
  <c r="M47" i="30"/>
  <c r="N47" i="30"/>
  <c r="O47" i="30"/>
  <c r="P47" i="30"/>
  <c r="Q47" i="30"/>
  <c r="R47" i="30"/>
  <c r="S47" i="30"/>
  <c r="T47" i="30"/>
  <c r="U47" i="30"/>
  <c r="V47" i="30"/>
  <c r="G48" i="30"/>
  <c r="C49" i="30"/>
  <c r="D49" i="30"/>
  <c r="E49" i="30"/>
  <c r="F49" i="30"/>
  <c r="G49" i="30"/>
  <c r="H49" i="30"/>
  <c r="I49" i="30"/>
  <c r="J49" i="30"/>
  <c r="K49" i="30"/>
  <c r="L49" i="30"/>
  <c r="M49" i="30"/>
  <c r="N49" i="30"/>
  <c r="O49" i="30"/>
  <c r="P49" i="30"/>
  <c r="Q49" i="30"/>
  <c r="R49" i="30"/>
  <c r="S49" i="30"/>
  <c r="T49" i="30"/>
  <c r="U49" i="30"/>
  <c r="V49" i="30"/>
  <c r="C50" i="30"/>
  <c r="D50" i="30"/>
  <c r="E50" i="30"/>
  <c r="F50" i="30"/>
  <c r="G50" i="30"/>
  <c r="H50" i="30"/>
  <c r="I50" i="30"/>
  <c r="J50" i="30"/>
  <c r="K50" i="30"/>
  <c r="L50" i="30"/>
  <c r="M50" i="30"/>
  <c r="N50" i="30"/>
  <c r="O50" i="30"/>
  <c r="P50" i="30"/>
  <c r="Q50" i="30"/>
  <c r="R50" i="30"/>
  <c r="S50" i="30"/>
  <c r="T50" i="30"/>
  <c r="U50" i="30"/>
  <c r="V50" i="30"/>
  <c r="C51" i="30"/>
  <c r="D51" i="30"/>
  <c r="E51" i="30"/>
  <c r="F51" i="30"/>
  <c r="G51" i="30"/>
  <c r="H51" i="30"/>
  <c r="I51" i="30"/>
  <c r="J51" i="30"/>
  <c r="K51" i="30"/>
  <c r="L51" i="30"/>
  <c r="M51" i="30"/>
  <c r="N51" i="30"/>
  <c r="O51" i="30"/>
  <c r="P51" i="30"/>
  <c r="Q51" i="30"/>
  <c r="R51" i="30"/>
  <c r="S51" i="30"/>
  <c r="T51" i="30"/>
  <c r="U51" i="30"/>
  <c r="V51" i="30"/>
  <c r="C57" i="30"/>
  <c r="D57" i="30"/>
  <c r="E57" i="30"/>
  <c r="F57" i="30"/>
  <c r="G57" i="30"/>
  <c r="H57" i="30"/>
  <c r="I57" i="30"/>
  <c r="J57" i="30"/>
  <c r="K57" i="30"/>
  <c r="L57" i="30"/>
  <c r="M57" i="30"/>
  <c r="N57" i="30"/>
  <c r="O57" i="30"/>
  <c r="P57" i="30"/>
  <c r="Q57" i="30"/>
  <c r="R57" i="30"/>
  <c r="S57" i="30"/>
  <c r="T57" i="30"/>
  <c r="U57" i="30"/>
  <c r="V57" i="30"/>
  <c r="C58" i="30"/>
  <c r="D58" i="30"/>
  <c r="E58" i="30"/>
  <c r="F58" i="30"/>
  <c r="G58" i="30"/>
  <c r="H58" i="30"/>
  <c r="I58" i="30"/>
  <c r="J58" i="30"/>
  <c r="K58" i="30"/>
  <c r="L58" i="30"/>
  <c r="M58" i="30"/>
  <c r="N58" i="30"/>
  <c r="O58" i="30"/>
  <c r="P58" i="30"/>
  <c r="Q58" i="30"/>
  <c r="R58" i="30"/>
  <c r="S58" i="30"/>
  <c r="T58" i="30"/>
  <c r="U58" i="30"/>
  <c r="V58" i="30"/>
  <c r="C61" i="30"/>
  <c r="C62" i="30"/>
  <c r="C63" i="30"/>
  <c r="D67" i="30"/>
  <c r="E67" i="30"/>
  <c r="F67" i="30"/>
  <c r="G67" i="30"/>
  <c r="H67" i="30"/>
  <c r="I67" i="30"/>
  <c r="J67" i="30"/>
  <c r="K67" i="30"/>
  <c r="L67" i="30"/>
  <c r="M67" i="30"/>
  <c r="N67" i="30"/>
  <c r="O67" i="30"/>
  <c r="P67" i="30"/>
  <c r="Q67" i="30"/>
  <c r="R67" i="30"/>
  <c r="S67" i="30"/>
  <c r="T67" i="30"/>
  <c r="U67" i="30"/>
  <c r="V67" i="30"/>
  <c r="C68" i="30"/>
  <c r="D68" i="30"/>
  <c r="E68" i="30"/>
  <c r="F68" i="30"/>
  <c r="G68" i="30"/>
  <c r="H68" i="30"/>
  <c r="I68" i="30"/>
  <c r="J68" i="30"/>
  <c r="K68" i="30"/>
  <c r="L68" i="30"/>
  <c r="M68" i="30"/>
  <c r="N68" i="30"/>
  <c r="O68" i="30"/>
  <c r="P68" i="30"/>
  <c r="Q68" i="30"/>
  <c r="R68" i="30"/>
  <c r="S68" i="30"/>
  <c r="T68" i="30"/>
  <c r="U68" i="30"/>
  <c r="V68" i="30"/>
  <c r="C69" i="30"/>
  <c r="D69" i="30"/>
  <c r="E69" i="30"/>
  <c r="F69" i="30"/>
  <c r="G69" i="30"/>
  <c r="H69" i="30"/>
  <c r="I69" i="30"/>
  <c r="J69" i="30"/>
  <c r="K69" i="30"/>
  <c r="L69" i="30"/>
  <c r="M69" i="30"/>
  <c r="N69" i="30"/>
  <c r="O69" i="30"/>
  <c r="P69" i="30"/>
  <c r="Q69" i="30"/>
  <c r="R69" i="30"/>
  <c r="S69" i="30"/>
  <c r="T69" i="30"/>
  <c r="U69" i="30"/>
  <c r="V69" i="30"/>
  <c r="C16" i="31"/>
  <c r="C41" i="31"/>
  <c r="D41" i="31"/>
  <c r="E41" i="31"/>
  <c r="F41" i="31"/>
  <c r="G41" i="31"/>
  <c r="H41" i="31"/>
  <c r="I41" i="31"/>
  <c r="J41" i="31"/>
  <c r="K41" i="31"/>
  <c r="L41" i="31"/>
  <c r="M41" i="31"/>
  <c r="N41" i="31"/>
  <c r="O41" i="31"/>
  <c r="P41" i="31"/>
  <c r="Q41" i="31"/>
  <c r="R41" i="31"/>
  <c r="S41" i="31"/>
  <c r="T41" i="31"/>
  <c r="U41" i="31"/>
  <c r="V41" i="31"/>
  <c r="C42" i="31"/>
  <c r="D42" i="31"/>
  <c r="E42" i="31"/>
  <c r="F42" i="31"/>
  <c r="G42" i="31"/>
  <c r="H42" i="31"/>
  <c r="I42" i="31"/>
  <c r="J42" i="31"/>
  <c r="K42" i="31"/>
  <c r="L42" i="31"/>
  <c r="M42" i="31"/>
  <c r="N42" i="31"/>
  <c r="O42" i="31"/>
  <c r="P42" i="31"/>
  <c r="Q42" i="31"/>
  <c r="R42" i="31"/>
  <c r="S42" i="31"/>
  <c r="T42" i="31"/>
  <c r="U42" i="31"/>
  <c r="V42" i="31"/>
  <c r="D46" i="31"/>
  <c r="E46" i="31"/>
  <c r="F46" i="31"/>
  <c r="G46" i="31"/>
  <c r="H46" i="31"/>
  <c r="I46" i="31"/>
  <c r="J46" i="31"/>
  <c r="K46" i="31"/>
  <c r="L46" i="31"/>
  <c r="M46" i="31"/>
  <c r="N46" i="31"/>
  <c r="O46" i="31"/>
  <c r="P46" i="31"/>
  <c r="Q46" i="31"/>
  <c r="R46" i="31"/>
  <c r="S46" i="31"/>
  <c r="T46" i="31"/>
  <c r="U46" i="31"/>
  <c r="V46" i="31"/>
  <c r="C47" i="31"/>
  <c r="C48" i="31"/>
  <c r="D48" i="31"/>
  <c r="E48" i="31"/>
  <c r="F48" i="31"/>
  <c r="G48" i="31"/>
  <c r="H48" i="31"/>
  <c r="I48" i="31"/>
  <c r="J48" i="31"/>
  <c r="K48" i="31"/>
  <c r="L48" i="31"/>
  <c r="M48" i="31"/>
  <c r="N48" i="31"/>
  <c r="O48" i="31"/>
  <c r="P48" i="31"/>
  <c r="Q48" i="31"/>
  <c r="R48" i="31"/>
  <c r="S48" i="31"/>
  <c r="T48" i="31"/>
  <c r="U48" i="31"/>
  <c r="V48" i="31"/>
  <c r="C49" i="31"/>
  <c r="D49" i="31"/>
  <c r="E49" i="31"/>
  <c r="F49" i="31"/>
  <c r="G49" i="31"/>
  <c r="H49" i="31"/>
  <c r="I49" i="31"/>
  <c r="J49" i="31"/>
  <c r="K49" i="31"/>
  <c r="L49" i="31"/>
  <c r="M49" i="31"/>
  <c r="N49" i="31"/>
  <c r="O49" i="31"/>
  <c r="P49" i="31"/>
  <c r="Q49" i="31"/>
  <c r="R49" i="31"/>
  <c r="S49" i="31"/>
  <c r="T49" i="31"/>
  <c r="U49" i="31"/>
  <c r="V49" i="31"/>
  <c r="C50" i="31"/>
  <c r="D50" i="31"/>
  <c r="E50" i="31"/>
  <c r="F50" i="31"/>
  <c r="G50" i="31"/>
  <c r="H50" i="31"/>
  <c r="I50" i="31"/>
  <c r="J50" i="31"/>
  <c r="K50" i="31"/>
  <c r="L50" i="31"/>
  <c r="M50" i="31"/>
  <c r="N50" i="31"/>
  <c r="O50" i="31"/>
  <c r="P50" i="31"/>
  <c r="Q50" i="31"/>
  <c r="R50" i="31"/>
  <c r="S50" i="31"/>
  <c r="T50" i="31"/>
  <c r="U50" i="31"/>
  <c r="V50" i="31"/>
  <c r="C55" i="31"/>
  <c r="D55" i="31"/>
  <c r="E55" i="31"/>
  <c r="F55" i="31"/>
  <c r="G55" i="31"/>
  <c r="H55" i="31"/>
  <c r="I55" i="31"/>
  <c r="J55" i="31"/>
  <c r="K55" i="31"/>
  <c r="L55" i="31"/>
  <c r="M55" i="31"/>
  <c r="N55" i="31"/>
  <c r="O55" i="31"/>
  <c r="P55" i="31"/>
  <c r="Q55" i="31"/>
  <c r="R55" i="31"/>
  <c r="C56" i="31"/>
  <c r="D56" i="31"/>
  <c r="E56" i="31"/>
  <c r="F56" i="31"/>
  <c r="G56" i="31"/>
  <c r="H56" i="31"/>
  <c r="I56" i="31"/>
  <c r="J56" i="31"/>
  <c r="K56" i="31"/>
  <c r="L56" i="31"/>
  <c r="M56" i="31"/>
  <c r="N56" i="31"/>
  <c r="O56" i="31"/>
  <c r="P56" i="31"/>
  <c r="Q56" i="31"/>
  <c r="R56" i="31"/>
  <c r="C58" i="31"/>
  <c r="C59" i="31"/>
  <c r="C63" i="31"/>
  <c r="D63" i="31"/>
  <c r="E63" i="31"/>
  <c r="F63" i="31"/>
  <c r="G63" i="31"/>
  <c r="H63" i="31"/>
  <c r="I63" i="31"/>
  <c r="J63" i="31"/>
  <c r="K63" i="31"/>
  <c r="L63" i="31"/>
  <c r="M63" i="31"/>
  <c r="N63" i="31"/>
  <c r="O63" i="31"/>
  <c r="P63" i="31"/>
  <c r="Q63" i="31"/>
  <c r="R63" i="31"/>
  <c r="C64" i="31"/>
  <c r="C77" i="31"/>
  <c r="D103" i="31"/>
  <c r="E103" i="31"/>
  <c r="F103" i="31"/>
  <c r="G103" i="31"/>
  <c r="H103" i="31"/>
  <c r="I103" i="31"/>
  <c r="J103" i="31"/>
  <c r="K103" i="31"/>
  <c r="L103" i="31"/>
  <c r="M103" i="31"/>
  <c r="N103" i="31"/>
  <c r="O103" i="31"/>
  <c r="P103" i="31"/>
  <c r="Q103" i="31"/>
  <c r="R103" i="31"/>
  <c r="S103" i="31"/>
  <c r="T103" i="31"/>
  <c r="U103" i="31"/>
  <c r="V103" i="31"/>
  <c r="D104" i="31"/>
  <c r="E104" i="31"/>
  <c r="F104" i="31"/>
  <c r="G104" i="31"/>
  <c r="H104" i="31"/>
  <c r="I104" i="31"/>
  <c r="J104" i="31"/>
  <c r="K104" i="31"/>
  <c r="L104" i="31"/>
  <c r="M104" i="31"/>
  <c r="N104" i="31"/>
  <c r="O104" i="31"/>
  <c r="P104" i="31"/>
  <c r="Q104" i="31"/>
  <c r="R104" i="31"/>
  <c r="S104" i="31"/>
  <c r="T104" i="31"/>
  <c r="U104" i="31"/>
  <c r="V104" i="31"/>
  <c r="E109" i="31"/>
  <c r="F109" i="31"/>
  <c r="G109" i="31"/>
  <c r="H109" i="31"/>
  <c r="I109" i="31"/>
  <c r="J109" i="31"/>
  <c r="K109" i="31"/>
  <c r="L109" i="31"/>
  <c r="M109" i="31"/>
  <c r="N109" i="31"/>
  <c r="O109" i="31"/>
  <c r="P109" i="31"/>
  <c r="Q109" i="31"/>
  <c r="R109" i="31"/>
  <c r="S109" i="31"/>
  <c r="T109" i="31"/>
  <c r="U109" i="31"/>
  <c r="V109" i="31"/>
  <c r="D110" i="31"/>
  <c r="D111" i="31"/>
  <c r="E111" i="31"/>
  <c r="F111" i="31"/>
  <c r="G111" i="31"/>
  <c r="H111" i="31"/>
  <c r="I111" i="31"/>
  <c r="J111" i="31"/>
  <c r="K111" i="31"/>
  <c r="L111" i="31"/>
  <c r="M111" i="31"/>
  <c r="N111" i="31"/>
  <c r="O111" i="31"/>
  <c r="P111" i="31"/>
  <c r="Q111" i="31"/>
  <c r="R111" i="31"/>
  <c r="S111" i="31"/>
  <c r="T111" i="31"/>
  <c r="U111" i="31"/>
  <c r="V111" i="31"/>
  <c r="D112" i="31"/>
  <c r="E112" i="31"/>
  <c r="F112" i="31"/>
  <c r="G112" i="31"/>
  <c r="H112" i="31"/>
  <c r="I112" i="31"/>
  <c r="J112" i="31"/>
  <c r="K112" i="31"/>
  <c r="L112" i="31"/>
  <c r="M112" i="31"/>
  <c r="N112" i="31"/>
  <c r="O112" i="31"/>
  <c r="P112" i="31"/>
  <c r="Q112" i="31"/>
  <c r="R112" i="31"/>
  <c r="S112" i="31"/>
  <c r="T112" i="31"/>
  <c r="U112" i="31"/>
  <c r="V112" i="31"/>
  <c r="D113" i="31"/>
  <c r="E113" i="31"/>
  <c r="F113" i="31"/>
  <c r="G113" i="31"/>
  <c r="H113" i="31"/>
  <c r="I113" i="31"/>
  <c r="J113" i="31"/>
  <c r="K113" i="31"/>
  <c r="L113" i="31"/>
  <c r="M113" i="31"/>
  <c r="N113" i="31"/>
  <c r="O113" i="31"/>
  <c r="P113" i="31"/>
  <c r="Q113" i="31"/>
  <c r="R113" i="31"/>
  <c r="S113" i="31"/>
  <c r="T113" i="31"/>
  <c r="U113" i="31"/>
  <c r="V113" i="31"/>
  <c r="D119" i="31"/>
  <c r="E119" i="31"/>
  <c r="F119" i="31"/>
  <c r="G119" i="31"/>
  <c r="H119" i="31"/>
  <c r="I119" i="31"/>
  <c r="J119" i="31"/>
  <c r="K119" i="31"/>
  <c r="L119" i="31"/>
  <c r="M119" i="31"/>
  <c r="N119" i="31"/>
  <c r="O119" i="31"/>
  <c r="P119" i="31"/>
  <c r="Q119" i="31"/>
  <c r="R119" i="31"/>
  <c r="S119" i="31"/>
  <c r="T119" i="31"/>
  <c r="U119" i="31"/>
  <c r="V119" i="31"/>
  <c r="D120" i="31"/>
  <c r="E120" i="31"/>
  <c r="F120" i="31"/>
  <c r="G120" i="31"/>
  <c r="H120" i="31"/>
  <c r="I120" i="31"/>
  <c r="J120" i="31"/>
  <c r="K120" i="31"/>
  <c r="L120" i="31"/>
  <c r="M120" i="31"/>
  <c r="N120" i="31"/>
  <c r="O120" i="31"/>
  <c r="P120" i="31"/>
  <c r="Q120" i="31"/>
  <c r="R120" i="31"/>
  <c r="S120" i="31"/>
  <c r="T120" i="31"/>
  <c r="U120" i="31"/>
  <c r="V120" i="31"/>
  <c r="C122" i="31"/>
  <c r="C123" i="31"/>
  <c r="D127" i="31"/>
  <c r="E127" i="31"/>
  <c r="F127" i="31"/>
  <c r="G127" i="31"/>
  <c r="H127" i="31"/>
  <c r="I127" i="31"/>
  <c r="J127" i="31"/>
  <c r="K127" i="31"/>
  <c r="L127" i="31"/>
  <c r="M127" i="31"/>
  <c r="N127" i="31"/>
  <c r="O127" i="31"/>
  <c r="P127" i="31"/>
  <c r="Q127" i="31"/>
  <c r="R127" i="31"/>
  <c r="S127" i="31"/>
  <c r="T127" i="31"/>
  <c r="U127" i="31"/>
  <c r="V127" i="31"/>
  <c r="C128" i="31"/>
  <c r="C205" i="31"/>
  <c r="C232" i="31"/>
  <c r="D232" i="31"/>
  <c r="F232" i="31"/>
  <c r="G232" i="31"/>
  <c r="H232" i="31"/>
  <c r="I232" i="31"/>
  <c r="J232" i="31"/>
  <c r="K232" i="31"/>
  <c r="L232" i="31"/>
  <c r="M232" i="31"/>
  <c r="N232" i="31"/>
  <c r="O232" i="31"/>
  <c r="P232" i="31"/>
  <c r="Q232" i="31"/>
  <c r="R232" i="31"/>
  <c r="S232" i="31"/>
  <c r="T232" i="31"/>
  <c r="U232" i="31"/>
  <c r="V232" i="31"/>
  <c r="C233" i="31"/>
  <c r="D233" i="31"/>
  <c r="F233" i="31"/>
  <c r="G233" i="31"/>
  <c r="H233" i="31"/>
  <c r="I233" i="31"/>
  <c r="J233" i="31"/>
  <c r="K233" i="31"/>
  <c r="L233" i="31"/>
  <c r="M233" i="31"/>
  <c r="N233" i="31"/>
  <c r="O233" i="31"/>
  <c r="P233" i="31"/>
  <c r="Q233" i="31"/>
  <c r="R233" i="31"/>
  <c r="S233" i="31"/>
  <c r="T233" i="31"/>
  <c r="U233" i="31"/>
  <c r="V233" i="31"/>
  <c r="D238" i="31"/>
  <c r="E238" i="31"/>
  <c r="F238" i="31"/>
  <c r="G238" i="31"/>
  <c r="H238" i="31"/>
  <c r="I238" i="31"/>
  <c r="J238" i="31"/>
  <c r="K238" i="31"/>
  <c r="L238" i="31"/>
  <c r="M238" i="31"/>
  <c r="N238" i="31"/>
  <c r="O238" i="31"/>
  <c r="P238" i="31"/>
  <c r="Q238" i="31"/>
  <c r="R238" i="31"/>
  <c r="S238" i="31"/>
  <c r="T238" i="31"/>
  <c r="U238" i="31"/>
  <c r="V238" i="31"/>
  <c r="F239" i="31"/>
  <c r="C240" i="31"/>
  <c r="D240" i="31"/>
  <c r="F240" i="31"/>
  <c r="G240" i="31"/>
  <c r="H240" i="31"/>
  <c r="I240" i="31"/>
  <c r="J240" i="31"/>
  <c r="K240" i="31"/>
  <c r="L240" i="31"/>
  <c r="M240" i="31"/>
  <c r="N240" i="31"/>
  <c r="O240" i="31"/>
  <c r="P240" i="31"/>
  <c r="Q240" i="31"/>
  <c r="R240" i="31"/>
  <c r="S240" i="31"/>
  <c r="T240" i="31"/>
  <c r="U240" i="31"/>
  <c r="V240" i="31"/>
  <c r="C241" i="31"/>
  <c r="D241" i="31"/>
  <c r="E241" i="31"/>
  <c r="F241" i="31"/>
  <c r="G241" i="31"/>
  <c r="H241" i="31"/>
  <c r="I241" i="31"/>
  <c r="J241" i="31"/>
  <c r="K241" i="31"/>
  <c r="L241" i="31"/>
  <c r="M241" i="31"/>
  <c r="N241" i="31"/>
  <c r="O241" i="31"/>
  <c r="P241" i="31"/>
  <c r="Q241" i="31"/>
  <c r="R241" i="31"/>
  <c r="S241" i="31"/>
  <c r="T241" i="31"/>
  <c r="U241" i="31"/>
  <c r="V241" i="31"/>
  <c r="C242" i="31"/>
  <c r="D242" i="31"/>
  <c r="E242" i="31"/>
  <c r="F242" i="31"/>
  <c r="G242" i="31"/>
  <c r="H242" i="31"/>
  <c r="I242" i="31"/>
  <c r="J242" i="31"/>
  <c r="K242" i="31"/>
  <c r="L242" i="31"/>
  <c r="M242" i="31"/>
  <c r="N242" i="31"/>
  <c r="O242" i="31"/>
  <c r="P242" i="31"/>
  <c r="Q242" i="31"/>
  <c r="R242" i="31"/>
  <c r="S242" i="31"/>
  <c r="T242" i="31"/>
  <c r="U242" i="31"/>
  <c r="V242" i="31"/>
  <c r="C247" i="31"/>
  <c r="D247" i="31"/>
  <c r="E247" i="31"/>
  <c r="F247" i="31"/>
  <c r="G247" i="31"/>
  <c r="H247" i="31"/>
  <c r="I247" i="31"/>
  <c r="J247" i="31"/>
  <c r="K247" i="31"/>
  <c r="L247" i="31"/>
  <c r="M247" i="31"/>
  <c r="N247" i="31"/>
  <c r="O247" i="31"/>
  <c r="P247" i="31"/>
  <c r="Q247" i="31"/>
  <c r="R247" i="31"/>
  <c r="S247" i="31"/>
  <c r="T247" i="31"/>
  <c r="U247" i="31"/>
  <c r="V247" i="31"/>
  <c r="C248" i="31"/>
  <c r="D248" i="31"/>
  <c r="E248" i="31"/>
  <c r="F248" i="31"/>
  <c r="G248" i="31"/>
  <c r="H248" i="31"/>
  <c r="I248" i="31"/>
  <c r="J248" i="31"/>
  <c r="K248" i="31"/>
  <c r="L248" i="31"/>
  <c r="M248" i="31"/>
  <c r="N248" i="31"/>
  <c r="O248" i="31"/>
  <c r="P248" i="31"/>
  <c r="Q248" i="31"/>
  <c r="R248" i="31"/>
  <c r="S248" i="31"/>
  <c r="T248" i="31"/>
  <c r="U248" i="31"/>
  <c r="V248" i="31"/>
  <c r="C250" i="31"/>
  <c r="C251" i="31"/>
  <c r="C255" i="31"/>
  <c r="D255" i="31"/>
  <c r="E255" i="31"/>
  <c r="F255" i="31"/>
  <c r="G255" i="31"/>
  <c r="H255" i="31"/>
  <c r="I255" i="31"/>
  <c r="J255" i="31"/>
  <c r="K255" i="31"/>
  <c r="L255" i="31"/>
  <c r="M255" i="31"/>
  <c r="N255" i="31"/>
  <c r="O255" i="31"/>
  <c r="P255" i="31"/>
  <c r="Q255" i="31"/>
  <c r="R255" i="31"/>
  <c r="S255" i="31"/>
  <c r="T255" i="31"/>
  <c r="U255" i="31"/>
  <c r="C256" i="31"/>
  <c r="C270" i="31"/>
  <c r="C296" i="31"/>
  <c r="D296" i="31"/>
  <c r="E296" i="31"/>
  <c r="G296" i="31"/>
  <c r="H296" i="31"/>
  <c r="I296" i="31"/>
  <c r="J296" i="31"/>
  <c r="K296" i="31"/>
  <c r="L296" i="31"/>
  <c r="M296" i="31"/>
  <c r="N296" i="31"/>
  <c r="O296" i="31"/>
  <c r="P296" i="31"/>
  <c r="Q296" i="31"/>
  <c r="R296" i="31"/>
  <c r="S296" i="31"/>
  <c r="T296" i="31"/>
  <c r="U296" i="31"/>
  <c r="V296" i="31"/>
  <c r="C297" i="31"/>
  <c r="D297" i="31"/>
  <c r="E297" i="31"/>
  <c r="G297" i="31"/>
  <c r="H297" i="31"/>
  <c r="I297" i="31"/>
  <c r="J297" i="31"/>
  <c r="K297" i="31"/>
  <c r="L297" i="31"/>
  <c r="M297" i="31"/>
  <c r="N297" i="31"/>
  <c r="O297" i="31"/>
  <c r="P297" i="31"/>
  <c r="Q297" i="31"/>
  <c r="R297" i="31"/>
  <c r="S297" i="31"/>
  <c r="T297" i="31"/>
  <c r="U297" i="31"/>
  <c r="V297" i="31"/>
  <c r="D302" i="31"/>
  <c r="E302" i="31"/>
  <c r="F302" i="31"/>
  <c r="G302" i="31"/>
  <c r="H302" i="31"/>
  <c r="I302" i="31"/>
  <c r="J302" i="31"/>
  <c r="K302" i="31"/>
  <c r="L302" i="31"/>
  <c r="M302" i="31"/>
  <c r="N302" i="31"/>
  <c r="O302" i="31"/>
  <c r="P302" i="31"/>
  <c r="Q302" i="31"/>
  <c r="R302" i="31"/>
  <c r="S302" i="31"/>
  <c r="T302" i="31"/>
  <c r="U302" i="31"/>
  <c r="V302" i="31"/>
  <c r="G303" i="31"/>
  <c r="C304" i="31"/>
  <c r="D304" i="31"/>
  <c r="E304" i="31"/>
  <c r="G304" i="31"/>
  <c r="H304" i="31"/>
  <c r="I304" i="31"/>
  <c r="J304" i="31"/>
  <c r="K304" i="31"/>
  <c r="L304" i="31"/>
  <c r="M304" i="31"/>
  <c r="N304" i="31"/>
  <c r="O304" i="31"/>
  <c r="P304" i="31"/>
  <c r="Q304" i="31"/>
  <c r="R304" i="31"/>
  <c r="S304" i="31"/>
  <c r="T304" i="31"/>
  <c r="U304" i="31"/>
  <c r="V304" i="31"/>
  <c r="C305" i="31"/>
  <c r="D305" i="31"/>
  <c r="E305" i="31"/>
  <c r="F305" i="31"/>
  <c r="G305" i="31"/>
  <c r="H305" i="31"/>
  <c r="I305" i="31"/>
  <c r="J305" i="31"/>
  <c r="K305" i="31"/>
  <c r="L305" i="31"/>
  <c r="M305" i="31"/>
  <c r="N305" i="31"/>
  <c r="O305" i="31"/>
  <c r="P305" i="31"/>
  <c r="Q305" i="31"/>
  <c r="R305" i="31"/>
  <c r="S305" i="31"/>
  <c r="T305" i="31"/>
  <c r="U305" i="31"/>
  <c r="V305" i="31"/>
  <c r="C306" i="31"/>
  <c r="D306" i="31"/>
  <c r="E306" i="31"/>
  <c r="F306" i="31"/>
  <c r="G306" i="31"/>
  <c r="H306" i="31"/>
  <c r="I306" i="31"/>
  <c r="J306" i="31"/>
  <c r="K306" i="31"/>
  <c r="L306" i="31"/>
  <c r="M306" i="31"/>
  <c r="N306" i="31"/>
  <c r="O306" i="31"/>
  <c r="P306" i="31"/>
  <c r="Q306" i="31"/>
  <c r="R306" i="31"/>
  <c r="S306" i="31"/>
  <c r="T306" i="31"/>
  <c r="U306" i="31"/>
  <c r="V306" i="31"/>
  <c r="C311" i="31"/>
  <c r="D311" i="31"/>
  <c r="E311" i="31"/>
  <c r="F311" i="31"/>
  <c r="G311" i="31"/>
  <c r="H311" i="31"/>
  <c r="I311" i="31"/>
  <c r="J311" i="31"/>
  <c r="K311" i="31"/>
  <c r="L311" i="31"/>
  <c r="M311" i="31"/>
  <c r="N311" i="31"/>
  <c r="O311" i="31"/>
  <c r="P311" i="31"/>
  <c r="Q311" i="31"/>
  <c r="R311" i="31"/>
  <c r="S311" i="31"/>
  <c r="T311" i="31"/>
  <c r="U311" i="31"/>
  <c r="V311" i="31"/>
  <c r="C312" i="31"/>
  <c r="D312" i="31"/>
  <c r="E312" i="31"/>
  <c r="F312" i="31"/>
  <c r="G312" i="31"/>
  <c r="H312" i="31"/>
  <c r="I312" i="31"/>
  <c r="J312" i="31"/>
  <c r="K312" i="31"/>
  <c r="L312" i="31"/>
  <c r="M312" i="31"/>
  <c r="N312" i="31"/>
  <c r="O312" i="31"/>
  <c r="P312" i="31"/>
  <c r="Q312" i="31"/>
  <c r="R312" i="31"/>
  <c r="S312" i="31"/>
  <c r="T312" i="31"/>
  <c r="U312" i="31"/>
  <c r="V312" i="31"/>
  <c r="C314" i="31"/>
  <c r="C315" i="31"/>
  <c r="C320" i="31"/>
  <c r="D320" i="31"/>
  <c r="E320" i="31"/>
  <c r="F320" i="31"/>
  <c r="G320" i="31"/>
  <c r="H320" i="31"/>
  <c r="I320" i="31"/>
  <c r="J320" i="31"/>
  <c r="K320" i="31"/>
  <c r="L320" i="31"/>
  <c r="M320" i="31"/>
  <c r="N320" i="31"/>
  <c r="O320" i="31"/>
  <c r="P320" i="31"/>
  <c r="Q320" i="31"/>
  <c r="R320" i="31"/>
  <c r="S320" i="31"/>
  <c r="T320" i="31"/>
  <c r="U320" i="31"/>
  <c r="V320" i="31"/>
  <c r="C321" i="31"/>
  <c r="C324" i="31"/>
  <c r="D342" i="31"/>
  <c r="E342" i="31"/>
  <c r="F342" i="31"/>
  <c r="G342" i="31"/>
  <c r="H342" i="31"/>
  <c r="I342" i="31"/>
  <c r="J342" i="31"/>
  <c r="K342" i="31"/>
  <c r="L342" i="31"/>
  <c r="M342" i="31"/>
  <c r="N342" i="31"/>
  <c r="O342" i="31"/>
  <c r="P342" i="31"/>
  <c r="Q342" i="31"/>
  <c r="R342" i="31"/>
  <c r="S342" i="31"/>
  <c r="T342" i="31"/>
  <c r="U342" i="31"/>
  <c r="V342" i="31"/>
  <c r="C343" i="31"/>
  <c r="D343" i="31"/>
  <c r="F343" i="31"/>
  <c r="G343" i="31"/>
  <c r="C344" i="31"/>
  <c r="D344" i="31"/>
  <c r="E344" i="31"/>
  <c r="F344" i="31"/>
  <c r="G344" i="31"/>
  <c r="H344" i="31"/>
  <c r="I344" i="31"/>
  <c r="J344" i="31"/>
  <c r="K344" i="31"/>
  <c r="L344" i="31"/>
  <c r="M344" i="31"/>
  <c r="N344" i="31"/>
  <c r="O344" i="31"/>
  <c r="P344" i="31"/>
  <c r="Q344" i="31"/>
  <c r="R344" i="31"/>
  <c r="S344" i="31"/>
  <c r="T344" i="31"/>
  <c r="U344" i="31"/>
  <c r="V344" i="31"/>
  <c r="C345" i="31"/>
  <c r="D345" i="31"/>
  <c r="E345" i="31"/>
  <c r="F345" i="31"/>
  <c r="G345" i="31"/>
  <c r="H345" i="31"/>
  <c r="I345" i="31"/>
  <c r="J345" i="31"/>
  <c r="K345" i="31"/>
  <c r="L345" i="31"/>
  <c r="M345" i="31"/>
  <c r="N345" i="31"/>
  <c r="O345" i="31"/>
  <c r="P345" i="31"/>
  <c r="Q345" i="31"/>
  <c r="R345" i="31"/>
  <c r="S345" i="31"/>
  <c r="T345" i="31"/>
  <c r="U345" i="31"/>
  <c r="V345" i="31"/>
  <c r="C346" i="31"/>
  <c r="D346" i="31"/>
  <c r="E346" i="31"/>
  <c r="F346" i="31"/>
  <c r="G346" i="31"/>
  <c r="H346" i="31"/>
  <c r="I346" i="31"/>
  <c r="J346" i="31"/>
  <c r="K346" i="31"/>
  <c r="L346" i="31"/>
  <c r="M346" i="31"/>
  <c r="N346" i="31"/>
  <c r="O346" i="31"/>
  <c r="P346" i="31"/>
  <c r="Q346" i="31"/>
  <c r="R346" i="31"/>
  <c r="S346" i="31"/>
  <c r="T346" i="31"/>
  <c r="U346" i="31"/>
  <c r="V346" i="31"/>
  <c r="C352" i="31"/>
  <c r="D352" i="31"/>
  <c r="E352" i="31"/>
  <c r="F352" i="31"/>
  <c r="G352" i="31"/>
  <c r="H352" i="31"/>
  <c r="I352" i="31"/>
  <c r="J352" i="31"/>
  <c r="K352" i="31"/>
  <c r="L352" i="31"/>
  <c r="M352" i="31"/>
  <c r="N352" i="31"/>
  <c r="O352" i="31"/>
  <c r="P352" i="31"/>
  <c r="Q352" i="31"/>
  <c r="R352" i="31"/>
  <c r="S352" i="31"/>
  <c r="T352" i="31"/>
  <c r="U352" i="31"/>
  <c r="V352" i="31"/>
  <c r="C353" i="31"/>
  <c r="D353" i="31"/>
  <c r="E353" i="31"/>
  <c r="F353" i="31"/>
  <c r="G353" i="31"/>
  <c r="H353" i="31"/>
  <c r="I353" i="31"/>
  <c r="J353" i="31"/>
  <c r="K353" i="31"/>
  <c r="L353" i="31"/>
  <c r="M353" i="31"/>
  <c r="N353" i="31"/>
  <c r="O353" i="31"/>
  <c r="P353" i="31"/>
  <c r="Q353" i="31"/>
  <c r="R353" i="31"/>
  <c r="S353" i="31"/>
  <c r="T353" i="31"/>
  <c r="U353" i="31"/>
  <c r="V353" i="31"/>
  <c r="C355" i="31"/>
  <c r="C356" i="31"/>
  <c r="C361" i="31"/>
  <c r="D361" i="31"/>
  <c r="E361" i="31"/>
  <c r="F361" i="31"/>
  <c r="G361" i="31"/>
  <c r="H361" i="31"/>
  <c r="I361" i="31"/>
  <c r="J361" i="31"/>
  <c r="K361" i="31"/>
  <c r="L361" i="31"/>
  <c r="M361" i="31"/>
  <c r="N361" i="31"/>
  <c r="O361" i="31"/>
  <c r="P361" i="31"/>
  <c r="Q361" i="31"/>
  <c r="R361" i="31"/>
  <c r="S361" i="31"/>
  <c r="T361" i="31"/>
  <c r="U361" i="31"/>
  <c r="V361" i="31"/>
  <c r="C362" i="31"/>
  <c r="B30" i="19"/>
  <c r="BE30" i="19"/>
  <c r="BF30" i="19"/>
  <c r="BG30" i="19"/>
  <c r="BH30" i="19"/>
  <c r="BI30" i="19"/>
  <c r="BJ30" i="19"/>
  <c r="BK30" i="19"/>
  <c r="BL30" i="19"/>
  <c r="BM30" i="19"/>
  <c r="BN30" i="19"/>
  <c r="BO30" i="19"/>
  <c r="BP30" i="19"/>
  <c r="BQ30" i="19"/>
  <c r="BR30" i="19"/>
  <c r="BS30" i="19"/>
  <c r="BT30" i="19"/>
  <c r="BU30" i="19"/>
  <c r="BV30" i="19"/>
  <c r="BW30" i="19"/>
  <c r="BX30" i="19"/>
  <c r="BY30" i="19"/>
  <c r="BZ30" i="19"/>
  <c r="CA30" i="19"/>
  <c r="CB30" i="19"/>
  <c r="CC30" i="19"/>
  <c r="CD30" i="19"/>
  <c r="CE30" i="19"/>
  <c r="CF30" i="19"/>
  <c r="CG30" i="19"/>
  <c r="CH30" i="19"/>
  <c r="CI30" i="19"/>
  <c r="CJ30" i="19"/>
  <c r="CK30" i="19"/>
  <c r="CL30" i="19"/>
  <c r="CM30" i="19"/>
  <c r="CN30" i="19"/>
  <c r="CO30" i="19"/>
  <c r="CP30" i="19"/>
  <c r="CQ30" i="19"/>
  <c r="CR30" i="19"/>
  <c r="CS30" i="19"/>
  <c r="CT30" i="19"/>
  <c r="CU30" i="19"/>
  <c r="CV30" i="19"/>
  <c r="CW30" i="19"/>
  <c r="CX30" i="19"/>
  <c r="CY30" i="19"/>
  <c r="CZ30" i="19"/>
  <c r="DA30" i="19"/>
  <c r="DB30" i="19"/>
  <c r="DC30" i="19"/>
  <c r="DD30" i="19"/>
  <c r="DE30" i="19"/>
  <c r="DF30" i="19"/>
  <c r="DG30" i="19"/>
  <c r="DH30" i="19"/>
  <c r="DI30" i="19"/>
  <c r="DJ30" i="19"/>
  <c r="DK30" i="19"/>
  <c r="DL30" i="19"/>
  <c r="DM30" i="19"/>
  <c r="DN30" i="19"/>
  <c r="DO30" i="19"/>
  <c r="DP30" i="19"/>
  <c r="DQ30" i="19"/>
  <c r="DR30" i="19"/>
  <c r="DS30" i="19"/>
  <c r="DT30" i="19"/>
  <c r="DU30" i="19"/>
  <c r="DV30" i="19"/>
  <c r="DW30" i="19"/>
  <c r="DX30" i="19"/>
  <c r="DY30" i="19"/>
  <c r="DZ30" i="19"/>
  <c r="EA30" i="19"/>
  <c r="KC30" i="19"/>
  <c r="B31" i="19"/>
  <c r="D31" i="19"/>
  <c r="KC31" i="19"/>
  <c r="B32"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BY32" i="19"/>
  <c r="BZ32" i="19"/>
  <c r="CA32" i="19"/>
  <c r="CB32" i="19"/>
  <c r="CC32" i="19"/>
  <c r="CD32" i="19"/>
  <c r="CE32" i="19"/>
  <c r="CF32" i="19"/>
  <c r="CG32" i="19"/>
  <c r="CH32" i="19"/>
  <c r="CI32" i="19"/>
  <c r="CJ32" i="19"/>
  <c r="CK32" i="19"/>
  <c r="CL32" i="19"/>
  <c r="CM32" i="19"/>
  <c r="CN32" i="19"/>
  <c r="CO32" i="19"/>
  <c r="CP32" i="19"/>
  <c r="CQ32" i="19"/>
  <c r="CR32" i="19"/>
  <c r="CS32" i="19"/>
  <c r="CT32" i="19"/>
  <c r="CU32" i="19"/>
  <c r="CV32" i="19"/>
  <c r="CW32" i="19"/>
  <c r="CX32" i="19"/>
  <c r="CY32" i="19"/>
  <c r="CZ32" i="19"/>
  <c r="DA32" i="19"/>
  <c r="DB32" i="19"/>
  <c r="DC32" i="19"/>
  <c r="DD32" i="19"/>
  <c r="DE32" i="19"/>
  <c r="DF32" i="19"/>
  <c r="DG32" i="19"/>
  <c r="DH32" i="19"/>
  <c r="DI32" i="19"/>
  <c r="DJ32" i="19"/>
  <c r="DK32" i="19"/>
  <c r="DL32" i="19"/>
  <c r="DM32" i="19"/>
  <c r="DN32" i="19"/>
  <c r="DO32" i="19"/>
  <c r="DP32" i="19"/>
  <c r="DQ32" i="19"/>
  <c r="DR32" i="19"/>
  <c r="DS32" i="19"/>
  <c r="DT32" i="19"/>
  <c r="DU32" i="19"/>
  <c r="DV32" i="19"/>
  <c r="DW32" i="19"/>
  <c r="DX32" i="19"/>
  <c r="DY32" i="19"/>
  <c r="DZ32" i="19"/>
  <c r="EA32" i="19"/>
  <c r="EB32" i="19"/>
  <c r="KC32"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BY36" i="19"/>
  <c r="BZ36" i="19"/>
  <c r="CA36" i="19"/>
  <c r="CB36" i="19"/>
  <c r="CC36" i="19"/>
  <c r="CD36" i="19"/>
  <c r="CE36" i="19"/>
  <c r="CF36" i="19"/>
  <c r="CG36" i="19"/>
  <c r="CH36" i="19"/>
  <c r="CI36" i="19"/>
  <c r="CJ36" i="19"/>
  <c r="CK36" i="19"/>
  <c r="CL36" i="19"/>
  <c r="CM36" i="19"/>
  <c r="CN36" i="19"/>
  <c r="CO36" i="19"/>
  <c r="CP36" i="19"/>
  <c r="CQ36" i="19"/>
  <c r="CR36" i="19"/>
  <c r="CS36" i="19"/>
  <c r="CT36" i="19"/>
  <c r="CU36" i="19"/>
  <c r="CV36" i="19"/>
  <c r="CW36" i="19"/>
  <c r="CX36" i="19"/>
  <c r="CY36" i="19"/>
  <c r="CZ36" i="19"/>
  <c r="DA36" i="19"/>
  <c r="DB36" i="19"/>
  <c r="DC36" i="19"/>
  <c r="DD36" i="19"/>
  <c r="DE36" i="19"/>
  <c r="DF36" i="19"/>
  <c r="DG36" i="19"/>
  <c r="DH36" i="19"/>
  <c r="DI36" i="19"/>
  <c r="DJ36" i="19"/>
  <c r="DK36" i="19"/>
  <c r="DL36" i="19"/>
  <c r="DM36" i="19"/>
  <c r="DN36" i="19"/>
  <c r="DO36" i="19"/>
  <c r="DP36" i="19"/>
  <c r="DQ36" i="19"/>
  <c r="DR36" i="19"/>
  <c r="DS36" i="19"/>
  <c r="DT36" i="19"/>
  <c r="DU36" i="19"/>
  <c r="DV36" i="19"/>
  <c r="DW36" i="19"/>
  <c r="DX36" i="19"/>
  <c r="DY36" i="19"/>
  <c r="DZ36" i="19"/>
  <c r="EA36" i="19"/>
  <c r="EB36" i="19"/>
  <c r="KC36" i="19"/>
  <c r="B37"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BY37" i="19"/>
  <c r="BZ37" i="19"/>
  <c r="CA37" i="19"/>
  <c r="CB37" i="19"/>
  <c r="CC37" i="19"/>
  <c r="CD37" i="19"/>
  <c r="CE37" i="19"/>
  <c r="CF37" i="19"/>
  <c r="CG37" i="19"/>
  <c r="CH37" i="19"/>
  <c r="CI37" i="19"/>
  <c r="CJ37" i="19"/>
  <c r="CK37" i="19"/>
  <c r="CL37" i="19"/>
  <c r="CM37" i="19"/>
  <c r="CN37" i="19"/>
  <c r="CO37" i="19"/>
  <c r="CP37" i="19"/>
  <c r="CQ37" i="19"/>
  <c r="CR37" i="19"/>
  <c r="CS37" i="19"/>
  <c r="CT37" i="19"/>
  <c r="CU37" i="19"/>
  <c r="CV37" i="19"/>
  <c r="CW37" i="19"/>
  <c r="CX37" i="19"/>
  <c r="CY37" i="19"/>
  <c r="CZ37" i="19"/>
  <c r="DA37" i="19"/>
  <c r="DB37" i="19"/>
  <c r="DC37" i="19"/>
  <c r="DD37" i="19"/>
  <c r="DE37" i="19"/>
  <c r="DF37" i="19"/>
  <c r="DG37" i="19"/>
  <c r="DH37" i="19"/>
  <c r="DI37" i="19"/>
  <c r="DJ37" i="19"/>
  <c r="DK37" i="19"/>
  <c r="DL37" i="19"/>
  <c r="DM37" i="19"/>
  <c r="DN37" i="19"/>
  <c r="DO37" i="19"/>
  <c r="DP37" i="19"/>
  <c r="DQ37" i="19"/>
  <c r="DR37" i="19"/>
  <c r="DS37" i="19"/>
  <c r="DT37" i="19"/>
  <c r="DU37" i="19"/>
  <c r="DV37" i="19"/>
  <c r="DW37" i="19"/>
  <c r="DX37" i="19"/>
  <c r="DY37" i="19"/>
  <c r="DZ37" i="19"/>
  <c r="EA37" i="19"/>
  <c r="EB37" i="19"/>
  <c r="KC37" i="19"/>
  <c r="B38"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KC38"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CA39" i="19"/>
  <c r="CB39" i="19"/>
  <c r="CC39" i="19"/>
  <c r="CD39" i="19"/>
  <c r="CE39" i="19"/>
  <c r="CF39" i="19"/>
  <c r="CG39" i="19"/>
  <c r="CH39" i="19"/>
  <c r="CI39" i="19"/>
  <c r="CJ39" i="19"/>
  <c r="CK39" i="19"/>
  <c r="CL39" i="19"/>
  <c r="CM39" i="19"/>
  <c r="CN39" i="19"/>
  <c r="CO39" i="19"/>
  <c r="CP39" i="19"/>
  <c r="CQ39" i="19"/>
  <c r="CR39" i="19"/>
  <c r="CS39" i="19"/>
  <c r="CT39" i="19"/>
  <c r="CU39" i="19"/>
  <c r="CV39" i="19"/>
  <c r="CW39" i="19"/>
  <c r="CX39" i="19"/>
  <c r="CY39" i="19"/>
  <c r="CZ39" i="19"/>
  <c r="DA39" i="19"/>
  <c r="DB39" i="19"/>
  <c r="DC39" i="19"/>
  <c r="DD39" i="19"/>
  <c r="DE39" i="19"/>
  <c r="DF39" i="19"/>
  <c r="DG39" i="19"/>
  <c r="DH39" i="19"/>
  <c r="DI39" i="19"/>
  <c r="DJ39" i="19"/>
  <c r="DK39" i="19"/>
  <c r="DL39" i="19"/>
  <c r="DM39" i="19"/>
  <c r="DN39" i="19"/>
  <c r="DO39" i="19"/>
  <c r="DP39" i="19"/>
  <c r="DQ39" i="19"/>
  <c r="DR39" i="19"/>
  <c r="DS39" i="19"/>
  <c r="DT39" i="19"/>
  <c r="DU39" i="19"/>
  <c r="DV39" i="19"/>
  <c r="DW39" i="19"/>
  <c r="DX39" i="19"/>
  <c r="DY39" i="19"/>
  <c r="DZ39" i="19"/>
  <c r="EA39" i="19"/>
  <c r="EB39" i="19"/>
  <c r="EC39" i="19"/>
  <c r="ED39"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FF39" i="19"/>
  <c r="FG39" i="19"/>
  <c r="FH39" i="19"/>
  <c r="FI39" i="19"/>
  <c r="FJ39" i="19"/>
  <c r="FK39" i="19"/>
  <c r="FL39" i="19"/>
  <c r="FM39" i="19"/>
  <c r="FN39" i="19"/>
  <c r="FO39" i="19"/>
  <c r="FP39" i="19"/>
  <c r="FQ39" i="19"/>
  <c r="FR39" i="19"/>
  <c r="FS39" i="19"/>
  <c r="FT39" i="19"/>
  <c r="FU39" i="19"/>
  <c r="FV39" i="19"/>
  <c r="FW39" i="19"/>
  <c r="FX39" i="19"/>
  <c r="FY39" i="19"/>
  <c r="FZ39" i="19"/>
  <c r="GA39" i="19"/>
  <c r="GB39" i="19"/>
  <c r="GC39" i="19"/>
  <c r="GD39" i="19"/>
  <c r="GE39" i="19"/>
  <c r="GF39" i="19"/>
  <c r="GG39" i="19"/>
  <c r="GH39" i="19"/>
  <c r="GI39" i="19"/>
  <c r="GJ39" i="19"/>
  <c r="GK39" i="19"/>
  <c r="GL39" i="19"/>
  <c r="GM39" i="19"/>
  <c r="GN39" i="19"/>
  <c r="GO39" i="19"/>
  <c r="GP39" i="19"/>
  <c r="GQ39" i="19"/>
  <c r="GR39" i="19"/>
  <c r="GS39" i="19"/>
  <c r="GT39" i="19"/>
  <c r="GU39" i="19"/>
  <c r="GV39" i="19"/>
  <c r="GW39" i="19"/>
  <c r="GX39" i="19"/>
  <c r="GY39" i="19"/>
  <c r="GZ39" i="19"/>
  <c r="HA39" i="19"/>
  <c r="HB39" i="19"/>
  <c r="HC39" i="19"/>
  <c r="HD39" i="19"/>
  <c r="HE39" i="19"/>
  <c r="HF39" i="19"/>
  <c r="HG39" i="19"/>
  <c r="HH39" i="19"/>
  <c r="HI39" i="19"/>
  <c r="HJ39" i="19"/>
  <c r="HK39" i="19"/>
  <c r="HL39" i="19"/>
  <c r="HM39" i="19"/>
  <c r="HN39" i="19"/>
  <c r="HO39" i="19"/>
  <c r="HP39" i="19"/>
  <c r="HQ39" i="19"/>
  <c r="HR39" i="19"/>
  <c r="HS39" i="19"/>
  <c r="HT39" i="19"/>
  <c r="HU39" i="19"/>
  <c r="HV39" i="19"/>
  <c r="HW39" i="19"/>
  <c r="HX39" i="19"/>
  <c r="HY39" i="19"/>
  <c r="HZ39" i="19"/>
  <c r="IA39" i="19"/>
  <c r="IB39" i="19"/>
  <c r="IC39" i="19"/>
  <c r="ID39" i="19"/>
  <c r="IE39" i="19"/>
  <c r="IF39" i="19"/>
  <c r="IG39" i="19"/>
  <c r="IH39" i="19"/>
  <c r="II39" i="19"/>
  <c r="IJ39" i="19"/>
  <c r="IK39" i="19"/>
  <c r="IL39" i="19"/>
  <c r="IM39" i="19"/>
  <c r="IN39" i="19"/>
  <c r="IO39" i="19"/>
  <c r="IP39" i="19"/>
  <c r="IQ39" i="19"/>
  <c r="IR39" i="19"/>
  <c r="IS39" i="19"/>
  <c r="IT39" i="19"/>
  <c r="IU39" i="19"/>
  <c r="IV39" i="19"/>
  <c r="IW39" i="19"/>
  <c r="IX39" i="19"/>
  <c r="IY39" i="19"/>
  <c r="IZ39" i="19"/>
  <c r="JA39" i="19"/>
  <c r="JB39" i="19"/>
  <c r="JC39" i="19"/>
  <c r="JD39" i="19"/>
  <c r="JE39" i="19"/>
  <c r="JF39" i="19"/>
  <c r="JG39" i="19"/>
  <c r="JH39" i="19"/>
  <c r="JI39" i="19"/>
  <c r="JJ39" i="19"/>
  <c r="JK39" i="19"/>
  <c r="JL39" i="19"/>
  <c r="JM39" i="19"/>
  <c r="JN39" i="19"/>
  <c r="JO39" i="19"/>
  <c r="JP39" i="19"/>
  <c r="JQ39" i="19"/>
  <c r="JR39" i="19"/>
  <c r="JS39" i="19"/>
  <c r="JT39" i="19"/>
  <c r="JU39" i="19"/>
  <c r="JV39" i="19"/>
  <c r="JW39" i="19"/>
  <c r="JX39" i="19"/>
  <c r="JY39" i="19"/>
  <c r="JZ39" i="19"/>
  <c r="KA39" i="19"/>
  <c r="KB39"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E43" i="19"/>
  <c r="KC43" i="19"/>
  <c r="B46" i="19"/>
  <c r="C46"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CA46" i="19"/>
  <c r="CB46" i="19"/>
  <c r="CC46" i="19"/>
  <c r="CD46" i="19"/>
  <c r="CE46" i="19"/>
  <c r="CF46" i="19"/>
  <c r="CG46" i="19"/>
  <c r="CH46" i="19"/>
  <c r="CI46" i="19"/>
  <c r="CJ46" i="19"/>
  <c r="CK46" i="19"/>
  <c r="CL46" i="19"/>
  <c r="CM46" i="19"/>
  <c r="CN46" i="19"/>
  <c r="CO46" i="19"/>
  <c r="CP46" i="19"/>
  <c r="CQ46" i="19"/>
  <c r="CR46" i="19"/>
  <c r="CS46" i="19"/>
  <c r="CT46" i="19"/>
  <c r="CU46" i="19"/>
  <c r="CV46" i="19"/>
  <c r="CW46" i="19"/>
  <c r="CX46" i="19"/>
  <c r="CY46" i="19"/>
  <c r="CZ46" i="19"/>
  <c r="DA46" i="19"/>
  <c r="DB46" i="19"/>
  <c r="DC46" i="19"/>
  <c r="DD46" i="19"/>
  <c r="DE46" i="19"/>
  <c r="DF46" i="19"/>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FG46" i="19"/>
  <c r="FH46" i="19"/>
  <c r="FI46" i="19"/>
  <c r="FJ46" i="19"/>
  <c r="FK46" i="19"/>
  <c r="FL46" i="19"/>
  <c r="FM46" i="19"/>
  <c r="FN46" i="19"/>
  <c r="FO46" i="19"/>
  <c r="FP46" i="19"/>
  <c r="FQ46" i="19"/>
  <c r="FR46" i="19"/>
  <c r="FS46" i="19"/>
  <c r="FT46" i="19"/>
  <c r="FU46" i="19"/>
  <c r="FV46" i="19"/>
  <c r="FW46" i="19"/>
  <c r="FX46" i="19"/>
  <c r="FY46" i="19"/>
  <c r="FZ46" i="19"/>
  <c r="GA46" i="19"/>
  <c r="GB46" i="19"/>
  <c r="GC46" i="19"/>
  <c r="GD46" i="19"/>
  <c r="GE46" i="19"/>
  <c r="GF46" i="19"/>
  <c r="GG46" i="19"/>
  <c r="GH46" i="19"/>
  <c r="GI46" i="19"/>
  <c r="GJ46" i="19"/>
  <c r="GK46" i="19"/>
  <c r="GL46" i="19"/>
  <c r="GM46" i="19"/>
  <c r="GN46" i="19"/>
  <c r="GO46" i="19"/>
  <c r="GP46" i="19"/>
  <c r="GQ46" i="19"/>
  <c r="GR46" i="19"/>
  <c r="GS46" i="19"/>
  <c r="GT46" i="19"/>
  <c r="GU46" i="19"/>
  <c r="GV46" i="19"/>
  <c r="GW46" i="19"/>
  <c r="GX46" i="19"/>
  <c r="GY46" i="19"/>
  <c r="GZ46" i="19"/>
  <c r="HA46" i="19"/>
  <c r="HB46" i="19"/>
  <c r="HC46" i="19"/>
  <c r="HD46" i="19"/>
  <c r="HE46" i="19"/>
  <c r="HF46" i="19"/>
  <c r="HG46" i="19"/>
  <c r="HH46" i="19"/>
  <c r="HI46" i="19"/>
  <c r="HJ46" i="19"/>
  <c r="HK46" i="19"/>
  <c r="HL46" i="19"/>
  <c r="HM46" i="19"/>
  <c r="HN46" i="19"/>
  <c r="HO46" i="19"/>
  <c r="HP46" i="19"/>
  <c r="HQ46" i="19"/>
  <c r="HR46" i="19"/>
  <c r="HS46" i="19"/>
  <c r="HT46" i="19"/>
  <c r="HU46" i="19"/>
  <c r="HV46" i="19"/>
  <c r="HW46" i="19"/>
  <c r="HX46" i="19"/>
  <c r="HY46" i="19"/>
  <c r="HZ46" i="19"/>
  <c r="IA46" i="19"/>
  <c r="IB46" i="19"/>
  <c r="IC46" i="19"/>
  <c r="ID46" i="19"/>
  <c r="IE46" i="19"/>
  <c r="IF46" i="19"/>
  <c r="IG46" i="19"/>
  <c r="IH46" i="19"/>
  <c r="II46" i="19"/>
  <c r="IJ46" i="19"/>
  <c r="IK46" i="19"/>
  <c r="IL46" i="19"/>
  <c r="IM46" i="19"/>
  <c r="IN46" i="19"/>
  <c r="IO46" i="19"/>
  <c r="IP46" i="19"/>
  <c r="IQ46" i="19"/>
  <c r="IR46" i="19"/>
  <c r="IS46" i="19"/>
  <c r="IT46" i="19"/>
  <c r="IU46" i="19"/>
  <c r="IV46" i="19"/>
  <c r="IW46" i="19"/>
  <c r="IX46" i="19"/>
  <c r="IY46" i="19"/>
  <c r="IZ46" i="19"/>
  <c r="JA46" i="19"/>
  <c r="JB46" i="19"/>
  <c r="JC46" i="19"/>
  <c r="JD46" i="19"/>
  <c r="JE46" i="19"/>
  <c r="JF46" i="19"/>
  <c r="JG46" i="19"/>
  <c r="JH46" i="19"/>
  <c r="JI46" i="19"/>
  <c r="JJ46" i="19"/>
  <c r="JK46" i="19"/>
  <c r="JL46" i="19"/>
  <c r="JM46" i="19"/>
  <c r="JN46" i="19"/>
  <c r="JO46" i="19"/>
  <c r="JP46" i="19"/>
  <c r="JQ46" i="19"/>
  <c r="JR46" i="19"/>
  <c r="JS46" i="19"/>
  <c r="JT46" i="19"/>
  <c r="JU46" i="19"/>
  <c r="JV46" i="19"/>
  <c r="JW46" i="19"/>
  <c r="JX46" i="19"/>
  <c r="JY46" i="19"/>
  <c r="JZ46" i="19"/>
  <c r="KA46" i="19"/>
  <c r="KB46" i="19"/>
  <c r="KC46" i="19"/>
  <c r="B49" i="19"/>
  <c r="BK49" i="19"/>
  <c r="BM49" i="19"/>
  <c r="BN49" i="19"/>
  <c r="BO49" i="19"/>
  <c r="BP49" i="19"/>
  <c r="BQ49" i="19"/>
  <c r="BR49" i="19"/>
  <c r="BS49" i="19"/>
  <c r="BT49" i="19"/>
  <c r="BU49" i="19"/>
  <c r="BV49" i="19"/>
  <c r="BW49" i="19"/>
  <c r="BX49" i="19"/>
  <c r="BY49" i="19"/>
  <c r="BZ49" i="19"/>
  <c r="CA49" i="19"/>
  <c r="CB49" i="19"/>
  <c r="CC49" i="19"/>
  <c r="CD49" i="19"/>
  <c r="CE49" i="19"/>
  <c r="CF49" i="19"/>
  <c r="CG49" i="19"/>
  <c r="CH49" i="19"/>
  <c r="CI49" i="19"/>
  <c r="CJ49" i="19"/>
  <c r="CK49" i="19"/>
  <c r="CL49" i="19"/>
  <c r="CM49" i="19"/>
  <c r="CN49" i="19"/>
  <c r="CO49" i="19"/>
  <c r="CP49" i="19"/>
  <c r="CQ49" i="19"/>
  <c r="CR49" i="19"/>
  <c r="CS49" i="19"/>
  <c r="CT49" i="19"/>
  <c r="CU49" i="19"/>
  <c r="CV49" i="19"/>
  <c r="CW49" i="19"/>
  <c r="CX49" i="19"/>
  <c r="CY49" i="19"/>
  <c r="CZ49" i="19"/>
  <c r="DA49" i="19"/>
  <c r="DB49" i="19"/>
  <c r="DC49" i="19"/>
  <c r="DD49" i="19"/>
  <c r="DE49" i="19"/>
  <c r="DF49" i="19"/>
  <c r="DG49" i="19"/>
  <c r="DH49" i="19"/>
  <c r="DI49" i="19"/>
  <c r="DJ49" i="19"/>
  <c r="DK49" i="19"/>
  <c r="DL49" i="19"/>
  <c r="DM49" i="19"/>
  <c r="DN49" i="19"/>
  <c r="DO49" i="19"/>
  <c r="DP49" i="19"/>
  <c r="DQ49" i="19"/>
  <c r="DR49" i="19"/>
  <c r="DS49" i="19"/>
  <c r="DT49" i="19"/>
  <c r="DU49" i="19"/>
  <c r="DV49" i="19"/>
  <c r="DW49" i="19"/>
  <c r="DX49" i="19"/>
  <c r="DY49" i="19"/>
  <c r="DZ49" i="19"/>
  <c r="EA49" i="19"/>
  <c r="EB49" i="19"/>
  <c r="B54" i="19"/>
  <c r="C54" i="19"/>
  <c r="B55" i="19"/>
  <c r="C55" i="19"/>
  <c r="B58" i="19"/>
  <c r="C58"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X59" i="19"/>
  <c r="CY59" i="19"/>
  <c r="CZ59" i="19"/>
  <c r="DA59" i="19"/>
  <c r="DB59" i="19"/>
  <c r="DC59" i="19"/>
  <c r="DD59" i="19"/>
  <c r="DE59" i="19"/>
  <c r="DF59" i="19"/>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FG59" i="19"/>
  <c r="FH59" i="19"/>
  <c r="FI59" i="19"/>
  <c r="FJ59" i="19"/>
  <c r="FK59" i="19"/>
  <c r="FL59" i="19"/>
  <c r="FM59" i="19"/>
  <c r="FN59" i="19"/>
  <c r="FO59" i="19"/>
  <c r="FP59" i="19"/>
  <c r="FQ59" i="19"/>
  <c r="FR59" i="19"/>
  <c r="FS59" i="19"/>
  <c r="FT59" i="19"/>
  <c r="FU59" i="19"/>
  <c r="FV59" i="19"/>
  <c r="FW59" i="19"/>
  <c r="FX59" i="19"/>
  <c r="FY59" i="19"/>
  <c r="FZ59" i="19"/>
  <c r="GA59" i="19"/>
  <c r="GB59" i="19"/>
  <c r="GC59" i="19"/>
  <c r="GD59" i="19"/>
  <c r="GE59" i="19"/>
  <c r="GF59" i="19"/>
  <c r="GG59" i="19"/>
  <c r="GH59" i="19"/>
  <c r="GI59" i="19"/>
  <c r="GJ59" i="19"/>
  <c r="GK59" i="19"/>
  <c r="GL59" i="19"/>
  <c r="GM59" i="19"/>
  <c r="GN59" i="19"/>
  <c r="GO59" i="19"/>
  <c r="GP59" i="19"/>
  <c r="GQ59" i="19"/>
  <c r="GR59" i="19"/>
  <c r="GS59" i="19"/>
  <c r="GT59" i="19"/>
  <c r="GU59" i="19"/>
  <c r="GV59" i="19"/>
  <c r="GW59" i="19"/>
  <c r="GX59" i="19"/>
  <c r="GY59" i="19"/>
  <c r="GZ59" i="19"/>
  <c r="HA59" i="19"/>
  <c r="HB59" i="19"/>
  <c r="HC59" i="19"/>
  <c r="HD59" i="19"/>
  <c r="HE59" i="19"/>
  <c r="HF59" i="19"/>
  <c r="HG59" i="19"/>
  <c r="HH59" i="19"/>
  <c r="HI59" i="19"/>
  <c r="HJ59" i="19"/>
  <c r="HK59" i="19"/>
  <c r="HL59" i="19"/>
  <c r="HM59" i="19"/>
  <c r="HN59" i="19"/>
  <c r="HO59" i="19"/>
  <c r="HP59" i="19"/>
  <c r="HQ59" i="19"/>
  <c r="HR59" i="19"/>
  <c r="HS59" i="19"/>
  <c r="HT59" i="19"/>
  <c r="HU59" i="19"/>
  <c r="HV59" i="19"/>
  <c r="HW59" i="19"/>
  <c r="HX59" i="19"/>
  <c r="HY59" i="19"/>
  <c r="HZ59" i="19"/>
  <c r="IA59" i="19"/>
  <c r="IB59" i="19"/>
  <c r="IC59" i="19"/>
  <c r="ID59" i="19"/>
  <c r="IE59" i="19"/>
  <c r="IF59" i="19"/>
  <c r="IG59" i="19"/>
  <c r="IH59" i="19"/>
  <c r="II59" i="19"/>
  <c r="IJ59" i="19"/>
  <c r="IK59" i="19"/>
  <c r="IL59" i="19"/>
  <c r="IM59" i="19"/>
  <c r="IN59" i="19"/>
  <c r="IO59" i="19"/>
  <c r="IP59" i="19"/>
  <c r="IQ59" i="19"/>
  <c r="IR59" i="19"/>
  <c r="IS59" i="19"/>
  <c r="IT59" i="19"/>
  <c r="IU59" i="19"/>
  <c r="IV59" i="19"/>
  <c r="IW59" i="19"/>
  <c r="IX59" i="19"/>
  <c r="IY59" i="19"/>
  <c r="IZ59" i="19"/>
  <c r="JA59" i="19"/>
  <c r="JB59" i="19"/>
  <c r="JC59" i="19"/>
  <c r="JD59" i="19"/>
  <c r="JE59" i="19"/>
  <c r="JF59" i="19"/>
  <c r="JG59" i="19"/>
  <c r="JH59" i="19"/>
  <c r="JI59" i="19"/>
  <c r="JJ59" i="19"/>
  <c r="JK59" i="19"/>
  <c r="JL59" i="19"/>
  <c r="JM59" i="19"/>
  <c r="JN59" i="19"/>
  <c r="JO59" i="19"/>
  <c r="JP59" i="19"/>
  <c r="JQ59" i="19"/>
  <c r="JR59" i="19"/>
  <c r="JS59" i="19"/>
  <c r="JT59" i="19"/>
  <c r="JU59" i="19"/>
  <c r="JV59" i="19"/>
  <c r="JW59" i="19"/>
  <c r="JX59" i="19"/>
  <c r="JY59" i="19"/>
  <c r="JZ59" i="19"/>
  <c r="KA59" i="19"/>
  <c r="KB59"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CA60" i="19"/>
  <c r="CB60" i="19"/>
  <c r="CC60" i="19"/>
  <c r="CD60" i="19"/>
  <c r="CE60" i="19"/>
  <c r="CF60" i="19"/>
  <c r="CG60" i="19"/>
  <c r="CH60" i="19"/>
  <c r="CI60" i="19"/>
  <c r="CJ60" i="19"/>
  <c r="CK60" i="19"/>
  <c r="CL60" i="19"/>
  <c r="CM60" i="19"/>
  <c r="CN60" i="19"/>
  <c r="CO60" i="19"/>
  <c r="CP60" i="19"/>
  <c r="CQ60" i="19"/>
  <c r="CR60" i="19"/>
  <c r="CS60" i="19"/>
  <c r="CT60" i="19"/>
  <c r="CU60" i="19"/>
  <c r="CV60" i="19"/>
  <c r="CW60" i="19"/>
  <c r="CX60" i="19"/>
  <c r="CY60" i="19"/>
  <c r="CZ60" i="19"/>
  <c r="DA60" i="19"/>
  <c r="DB60" i="19"/>
  <c r="DC60" i="19"/>
  <c r="DD60" i="19"/>
  <c r="DE60" i="19"/>
  <c r="DF60" i="19"/>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FF60" i="19"/>
  <c r="FG60" i="19"/>
  <c r="FH60" i="19"/>
  <c r="FI60" i="19"/>
  <c r="FJ60" i="19"/>
  <c r="FK60" i="19"/>
  <c r="FL60" i="19"/>
  <c r="FM60" i="19"/>
  <c r="FN60" i="19"/>
  <c r="FO60" i="19"/>
  <c r="FP60" i="19"/>
  <c r="FQ60" i="19"/>
  <c r="FR60" i="19"/>
  <c r="FS60" i="19"/>
  <c r="FT60" i="19"/>
  <c r="FU60" i="19"/>
  <c r="FV60" i="19"/>
  <c r="FW60" i="19"/>
  <c r="FX60" i="19"/>
  <c r="FY60" i="19"/>
  <c r="FZ60" i="19"/>
  <c r="GA60" i="19"/>
  <c r="GB60" i="19"/>
  <c r="GC60" i="19"/>
  <c r="GD60" i="19"/>
  <c r="GE60" i="19"/>
  <c r="GF60" i="19"/>
  <c r="GG60" i="19"/>
  <c r="GH60" i="19"/>
  <c r="GI60" i="19"/>
  <c r="GJ60" i="19"/>
  <c r="GK60" i="19"/>
  <c r="GL60" i="19"/>
  <c r="GM60" i="19"/>
  <c r="GN60" i="19"/>
  <c r="GO60" i="19"/>
  <c r="GP60" i="19"/>
  <c r="GQ60" i="19"/>
  <c r="GR60" i="19"/>
  <c r="GS60" i="19"/>
  <c r="GT60" i="19"/>
  <c r="GU60" i="19"/>
  <c r="GV60" i="19"/>
  <c r="GW60" i="19"/>
  <c r="GX60" i="19"/>
  <c r="GY60" i="19"/>
  <c r="GZ60" i="19"/>
  <c r="HA60" i="19"/>
  <c r="HB60" i="19"/>
  <c r="HC60" i="19"/>
  <c r="HD60" i="19"/>
  <c r="HE60" i="19"/>
  <c r="HF60" i="19"/>
  <c r="HG60" i="19"/>
  <c r="HH60" i="19"/>
  <c r="HI60" i="19"/>
  <c r="HJ60" i="19"/>
  <c r="HK60" i="19"/>
  <c r="HL60" i="19"/>
  <c r="HM60" i="19"/>
  <c r="HN60" i="19"/>
  <c r="HO60" i="19"/>
  <c r="HP60" i="19"/>
  <c r="HQ60" i="19"/>
  <c r="HR60" i="19"/>
  <c r="HS60" i="19"/>
  <c r="HT60" i="19"/>
  <c r="HU60" i="19"/>
  <c r="HV60" i="19"/>
  <c r="HW60" i="19"/>
  <c r="HX60" i="19"/>
  <c r="HY60" i="19"/>
  <c r="HZ60" i="19"/>
  <c r="IA60" i="19"/>
  <c r="IB60" i="19"/>
  <c r="IC60" i="19"/>
  <c r="ID60" i="19"/>
  <c r="IE60" i="19"/>
  <c r="IF60" i="19"/>
  <c r="IG60" i="19"/>
  <c r="IH60" i="19"/>
  <c r="II60" i="19"/>
  <c r="IJ60" i="19"/>
  <c r="IK60" i="19"/>
  <c r="IL60" i="19"/>
  <c r="IM60" i="19"/>
  <c r="IN60" i="19"/>
  <c r="IO60" i="19"/>
  <c r="IP60" i="19"/>
  <c r="IQ60" i="19"/>
  <c r="IR60" i="19"/>
  <c r="IS60" i="19"/>
  <c r="IT60" i="19"/>
  <c r="IU60" i="19"/>
  <c r="IV60" i="19"/>
  <c r="IW60" i="19"/>
  <c r="IX60" i="19"/>
  <c r="IY60" i="19"/>
  <c r="IZ60" i="19"/>
  <c r="JA60" i="19"/>
  <c r="JB60" i="19"/>
  <c r="JC60" i="19"/>
  <c r="JD60" i="19"/>
  <c r="JE60" i="19"/>
  <c r="JF60" i="19"/>
  <c r="JG60" i="19"/>
  <c r="JH60" i="19"/>
  <c r="JI60" i="19"/>
  <c r="JJ60" i="19"/>
  <c r="JK60" i="19"/>
  <c r="JL60" i="19"/>
  <c r="JM60" i="19"/>
  <c r="JN60" i="19"/>
  <c r="JO60" i="19"/>
  <c r="JP60" i="19"/>
  <c r="JQ60" i="19"/>
  <c r="JR60" i="19"/>
  <c r="JS60" i="19"/>
  <c r="JT60" i="19"/>
  <c r="JU60" i="19"/>
  <c r="JV60" i="19"/>
  <c r="JW60" i="19"/>
  <c r="JX60" i="19"/>
  <c r="JY60" i="19"/>
  <c r="JZ60" i="19"/>
  <c r="KA60" i="19"/>
  <c r="KB60" i="19"/>
  <c r="N61" i="19"/>
  <c r="C64" i="19"/>
  <c r="B76" i="19"/>
  <c r="B77"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E86" i="19"/>
  <c r="BF86" i="19"/>
  <c r="BG86" i="19"/>
  <c r="BH86" i="19"/>
  <c r="BI86" i="19"/>
  <c r="BJ86" i="19"/>
  <c r="BK86" i="19"/>
  <c r="BL86" i="19"/>
  <c r="BM86" i="19"/>
  <c r="BN86" i="19"/>
  <c r="BO86" i="19"/>
  <c r="BP86" i="19"/>
  <c r="BQ86" i="19"/>
  <c r="BR86" i="19"/>
  <c r="BS86" i="19"/>
  <c r="BT86" i="19"/>
  <c r="BU86" i="19"/>
  <c r="BV86" i="19"/>
  <c r="BW86" i="19"/>
  <c r="BX86" i="19"/>
  <c r="BY86" i="19"/>
  <c r="BZ86" i="19"/>
  <c r="CA86" i="19"/>
  <c r="CB86" i="19"/>
  <c r="CC86" i="19"/>
  <c r="CD86" i="19"/>
  <c r="CE86" i="19"/>
  <c r="CF86" i="19"/>
  <c r="CG86" i="19"/>
  <c r="CH86" i="19"/>
  <c r="CI86" i="19"/>
  <c r="CJ86" i="19"/>
  <c r="CK86" i="19"/>
  <c r="CL86" i="19"/>
  <c r="CM86" i="19"/>
  <c r="CN86" i="19"/>
  <c r="CO86" i="19"/>
  <c r="CP86" i="19"/>
  <c r="CQ86" i="19"/>
  <c r="CR86" i="19"/>
  <c r="CS86" i="19"/>
  <c r="CT86" i="19"/>
  <c r="CU86" i="19"/>
  <c r="CV86" i="19"/>
  <c r="CW86" i="19"/>
  <c r="CX86" i="19"/>
  <c r="CY86" i="19"/>
  <c r="CZ86" i="19"/>
  <c r="DA86" i="19"/>
  <c r="DB86" i="19"/>
  <c r="DC86" i="19"/>
  <c r="DD86" i="19"/>
  <c r="DE86" i="19"/>
  <c r="DF86" i="19"/>
  <c r="DG86" i="19"/>
  <c r="DH86" i="19"/>
  <c r="DI86" i="19"/>
  <c r="DJ86" i="19"/>
  <c r="DK86" i="19"/>
  <c r="DL86" i="19"/>
  <c r="DM86" i="19"/>
  <c r="DN86" i="19"/>
  <c r="DO86" i="19"/>
  <c r="DP86" i="19"/>
  <c r="DQ86" i="19"/>
  <c r="DR86" i="19"/>
  <c r="DS86" i="19"/>
  <c r="DT86" i="19"/>
  <c r="DU86" i="19"/>
  <c r="DV86" i="19"/>
  <c r="DW86" i="19"/>
  <c r="DX86" i="19"/>
  <c r="DY86" i="19"/>
  <c r="DZ86" i="19"/>
  <c r="EA86" i="19"/>
  <c r="EB86" i="19"/>
  <c r="EC86" i="19"/>
  <c r="ED86"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FF86" i="19"/>
  <c r="FG86" i="19"/>
  <c r="FH86" i="19"/>
  <c r="FI86" i="19"/>
  <c r="FJ86" i="19"/>
  <c r="FK86" i="19"/>
  <c r="FL86" i="19"/>
  <c r="FM86" i="19"/>
  <c r="FN86" i="19"/>
  <c r="FO86" i="19"/>
  <c r="FP86" i="19"/>
  <c r="FQ86" i="19"/>
  <c r="FR86" i="19"/>
  <c r="FS86" i="19"/>
  <c r="FT86" i="19"/>
  <c r="FU86" i="19"/>
  <c r="FV86" i="19"/>
  <c r="FW86" i="19"/>
  <c r="FX86" i="19"/>
  <c r="FY86" i="19"/>
  <c r="FZ86" i="19"/>
  <c r="GA86" i="19"/>
  <c r="GB86" i="19"/>
  <c r="GC86" i="19"/>
  <c r="GD86" i="19"/>
  <c r="GE86" i="19"/>
  <c r="GF86" i="19"/>
  <c r="GG86" i="19"/>
  <c r="GH86" i="19"/>
  <c r="GI86" i="19"/>
  <c r="GJ86" i="19"/>
  <c r="GK86" i="19"/>
  <c r="GL86" i="19"/>
  <c r="GM86" i="19"/>
  <c r="GN86" i="19"/>
  <c r="GO86" i="19"/>
  <c r="GP86" i="19"/>
  <c r="GQ86" i="19"/>
  <c r="GR86" i="19"/>
  <c r="GS86" i="19"/>
  <c r="GT86" i="19"/>
  <c r="GU86" i="19"/>
  <c r="GV86" i="19"/>
  <c r="GW86" i="19"/>
  <c r="GX86" i="19"/>
  <c r="GY86" i="19"/>
  <c r="GZ86" i="19"/>
  <c r="HA86" i="19"/>
  <c r="HB86" i="19"/>
  <c r="HC86" i="19"/>
  <c r="HD86" i="19"/>
  <c r="HE86" i="19"/>
  <c r="HF86" i="19"/>
  <c r="HG86" i="19"/>
  <c r="HH86" i="19"/>
  <c r="HI86" i="19"/>
  <c r="HJ86" i="19"/>
  <c r="HK86" i="19"/>
  <c r="HL86" i="19"/>
  <c r="HM86" i="19"/>
  <c r="HN86" i="19"/>
  <c r="HO86" i="19"/>
  <c r="HP86" i="19"/>
  <c r="HQ86" i="19"/>
  <c r="HR86" i="19"/>
  <c r="HS86" i="19"/>
  <c r="HT86" i="19"/>
  <c r="HU86" i="19"/>
  <c r="HV86" i="19"/>
  <c r="HW86" i="19"/>
  <c r="HX86" i="19"/>
  <c r="HY86" i="19"/>
  <c r="HZ86" i="19"/>
  <c r="IA86" i="19"/>
  <c r="IB86" i="19"/>
  <c r="IC86" i="19"/>
  <c r="ID86" i="19"/>
  <c r="IE86" i="19"/>
  <c r="IF86" i="19"/>
  <c r="IG86" i="19"/>
  <c r="IH86" i="19"/>
  <c r="II86" i="19"/>
  <c r="IJ86" i="19"/>
  <c r="IK86" i="19"/>
  <c r="IL86" i="19"/>
  <c r="IM86" i="19"/>
  <c r="IN86" i="19"/>
  <c r="IO86" i="19"/>
  <c r="IP86" i="19"/>
  <c r="IQ86" i="19"/>
  <c r="IR86" i="19"/>
  <c r="IS86" i="19"/>
  <c r="IT86" i="19"/>
  <c r="IU86" i="19"/>
  <c r="IV86" i="19"/>
  <c r="IW86" i="19"/>
  <c r="IX86" i="19"/>
  <c r="IY86" i="19"/>
  <c r="IZ86" i="19"/>
  <c r="JA86" i="19"/>
  <c r="JB86" i="19"/>
  <c r="JC86" i="19"/>
  <c r="JD86" i="19"/>
  <c r="JE86" i="19"/>
  <c r="JF86" i="19"/>
  <c r="JG86" i="19"/>
  <c r="JH86" i="19"/>
  <c r="JI86" i="19"/>
  <c r="JJ86" i="19"/>
  <c r="JK86" i="19"/>
  <c r="JL86" i="19"/>
  <c r="JM86" i="19"/>
  <c r="JN86" i="19"/>
  <c r="JO86" i="19"/>
  <c r="JP86" i="19"/>
  <c r="JQ86" i="19"/>
  <c r="JR86" i="19"/>
  <c r="JS86" i="19"/>
  <c r="JT86" i="19"/>
  <c r="JU86" i="19"/>
  <c r="JV86" i="19"/>
  <c r="JW86" i="19"/>
  <c r="JX86" i="19"/>
  <c r="JY86" i="19"/>
  <c r="JZ86" i="19"/>
  <c r="KA86" i="19"/>
  <c r="KB86" i="19"/>
  <c r="B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CA87" i="19"/>
  <c r="CB87" i="19"/>
  <c r="CC87" i="19"/>
  <c r="CD87" i="19"/>
  <c r="CE87" i="19"/>
  <c r="CF87" i="19"/>
  <c r="CG87" i="19"/>
  <c r="CH87" i="19"/>
  <c r="CI87" i="19"/>
  <c r="CJ87" i="19"/>
  <c r="CK87" i="19"/>
  <c r="CL87" i="19"/>
  <c r="CM87" i="19"/>
  <c r="CN87" i="19"/>
  <c r="CO87" i="19"/>
  <c r="CP87" i="19"/>
  <c r="CQ87" i="19"/>
  <c r="CR87" i="19"/>
  <c r="CS87" i="19"/>
  <c r="CT87" i="19"/>
  <c r="CU87" i="19"/>
  <c r="CV87" i="19"/>
  <c r="CW87" i="19"/>
  <c r="CX87" i="19"/>
  <c r="CY87" i="19"/>
  <c r="CZ87" i="19"/>
  <c r="DA87" i="19"/>
  <c r="DB87" i="19"/>
  <c r="DC87" i="19"/>
  <c r="DD87" i="19"/>
  <c r="DE87" i="19"/>
  <c r="DF87" i="19"/>
  <c r="DG87" i="19"/>
  <c r="DH87" i="19"/>
  <c r="DI87" i="19"/>
  <c r="DJ87" i="19"/>
  <c r="DK87" i="19"/>
  <c r="DL87" i="19"/>
  <c r="DM87" i="19"/>
  <c r="DN87" i="19"/>
  <c r="DO87" i="19"/>
  <c r="DP87" i="19"/>
  <c r="DQ87" i="19"/>
  <c r="DR87" i="19"/>
  <c r="DS87" i="19"/>
  <c r="DT87" i="19"/>
  <c r="DU87" i="19"/>
  <c r="DV87" i="19"/>
  <c r="DW87" i="19"/>
  <c r="DX87" i="19"/>
  <c r="DY87" i="19"/>
  <c r="DZ87" i="19"/>
  <c r="EA87" i="19"/>
  <c r="EB87" i="19"/>
  <c r="EC87" i="19"/>
  <c r="ED87"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FF87" i="19"/>
  <c r="FG87" i="19"/>
  <c r="FH87" i="19"/>
  <c r="FI87" i="19"/>
  <c r="FJ87" i="19"/>
  <c r="FK87" i="19"/>
  <c r="FL87" i="19"/>
  <c r="FM87" i="19"/>
  <c r="FN87" i="19"/>
  <c r="FO87" i="19"/>
  <c r="FP87" i="19"/>
  <c r="FQ87" i="19"/>
  <c r="FR87" i="19"/>
  <c r="FS87" i="19"/>
  <c r="FT87" i="19"/>
  <c r="FU87" i="19"/>
  <c r="FV87" i="19"/>
  <c r="FW87" i="19"/>
  <c r="FX87" i="19"/>
  <c r="FY87" i="19"/>
  <c r="FZ87" i="19"/>
  <c r="GA87" i="19"/>
  <c r="GB87" i="19"/>
  <c r="GC87" i="19"/>
  <c r="GD87" i="19"/>
  <c r="GE87" i="19"/>
  <c r="GF87" i="19"/>
  <c r="GG87" i="19"/>
  <c r="GH87" i="19"/>
  <c r="GI87" i="19"/>
  <c r="GJ87" i="19"/>
  <c r="GK87" i="19"/>
  <c r="GL87" i="19"/>
  <c r="GM87" i="19"/>
  <c r="GN87" i="19"/>
  <c r="GO87" i="19"/>
  <c r="GP87" i="19"/>
  <c r="GQ87" i="19"/>
  <c r="GR87" i="19"/>
  <c r="GS87" i="19"/>
  <c r="GT87" i="19"/>
  <c r="GU87" i="19"/>
  <c r="GV87" i="19"/>
  <c r="GW87" i="19"/>
  <c r="GX87" i="19"/>
  <c r="GY87" i="19"/>
  <c r="GZ87" i="19"/>
  <c r="HA87" i="19"/>
  <c r="HB87" i="19"/>
  <c r="HC87" i="19"/>
  <c r="HD87" i="19"/>
  <c r="HE87" i="19"/>
  <c r="HF87" i="19"/>
  <c r="HG87" i="19"/>
  <c r="HH87" i="19"/>
  <c r="HI87" i="19"/>
  <c r="HJ87" i="19"/>
  <c r="HK87" i="19"/>
  <c r="HL87" i="19"/>
  <c r="HM87" i="19"/>
  <c r="HN87" i="19"/>
  <c r="HO87" i="19"/>
  <c r="HP87" i="19"/>
  <c r="HQ87" i="19"/>
  <c r="HR87" i="19"/>
  <c r="HS87" i="19"/>
  <c r="HT87" i="19"/>
  <c r="HU87" i="19"/>
  <c r="HV87" i="19"/>
  <c r="HW87" i="19"/>
  <c r="HX87" i="19"/>
  <c r="HY87" i="19"/>
  <c r="HZ87" i="19"/>
  <c r="IA87" i="19"/>
  <c r="IB87" i="19"/>
  <c r="IC87" i="19"/>
  <c r="ID87" i="19"/>
  <c r="IE87" i="19"/>
  <c r="IF87" i="19"/>
  <c r="IG87" i="19"/>
  <c r="IH87" i="19"/>
  <c r="II87" i="19"/>
  <c r="IJ87" i="19"/>
  <c r="IK87" i="19"/>
  <c r="IL87" i="19"/>
  <c r="IM87" i="19"/>
  <c r="IN87" i="19"/>
  <c r="IO87" i="19"/>
  <c r="IP87" i="19"/>
  <c r="IQ87" i="19"/>
  <c r="IR87" i="19"/>
  <c r="IS87" i="19"/>
  <c r="IT87" i="19"/>
  <c r="IU87" i="19"/>
  <c r="IV87" i="19"/>
  <c r="IW87" i="19"/>
  <c r="IX87" i="19"/>
  <c r="IY87" i="19"/>
  <c r="IZ87" i="19"/>
  <c r="JA87" i="19"/>
  <c r="JB87" i="19"/>
  <c r="JC87" i="19"/>
  <c r="JD87" i="19"/>
  <c r="JE87" i="19"/>
  <c r="JF87" i="19"/>
  <c r="JG87" i="19"/>
  <c r="JH87" i="19"/>
  <c r="JI87" i="19"/>
  <c r="JJ87" i="19"/>
  <c r="JK87" i="19"/>
  <c r="JL87" i="19"/>
  <c r="JM87" i="19"/>
  <c r="JN87" i="19"/>
  <c r="JO87" i="19"/>
  <c r="JP87" i="19"/>
  <c r="JQ87" i="19"/>
  <c r="JR87" i="19"/>
  <c r="JS87" i="19"/>
  <c r="JT87" i="19"/>
  <c r="JU87" i="19"/>
  <c r="JV87" i="19"/>
  <c r="JW87" i="19"/>
  <c r="JX87" i="19"/>
  <c r="JY87" i="19"/>
  <c r="JZ87" i="19"/>
  <c r="KA87" i="19"/>
  <c r="KB87" i="19"/>
  <c r="B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CA91" i="19"/>
  <c r="CB91" i="19"/>
  <c r="CC91" i="19"/>
  <c r="CD91" i="19"/>
  <c r="CE91" i="19"/>
  <c r="CF91" i="19"/>
  <c r="CG91" i="19"/>
  <c r="CH91" i="19"/>
  <c r="CI91" i="19"/>
  <c r="CJ91" i="19"/>
  <c r="CK91" i="19"/>
  <c r="CL91" i="19"/>
  <c r="CM91" i="19"/>
  <c r="CN91" i="19"/>
  <c r="CO91" i="19"/>
  <c r="CP91" i="19"/>
  <c r="CQ91" i="19"/>
  <c r="CR91" i="19"/>
  <c r="CS91" i="19"/>
  <c r="CT91" i="19"/>
  <c r="CU91" i="19"/>
  <c r="CV91" i="19"/>
  <c r="CW91" i="19"/>
  <c r="CX91" i="19"/>
  <c r="CY91" i="19"/>
  <c r="CZ91" i="19"/>
  <c r="DA91" i="19"/>
  <c r="DB91" i="19"/>
  <c r="DC91" i="19"/>
  <c r="DD91" i="19"/>
  <c r="DE91" i="19"/>
  <c r="DF91" i="19"/>
  <c r="DG91" i="19"/>
  <c r="DH91" i="19"/>
  <c r="DI91" i="19"/>
  <c r="DJ91" i="19"/>
  <c r="DK91" i="19"/>
  <c r="DL91" i="19"/>
  <c r="DM91" i="19"/>
  <c r="DN91" i="19"/>
  <c r="DO91" i="19"/>
  <c r="DP91" i="19"/>
  <c r="DQ91" i="19"/>
  <c r="DR91" i="19"/>
  <c r="DS91" i="19"/>
  <c r="DT91" i="19"/>
  <c r="DU91" i="19"/>
  <c r="DV91" i="19"/>
  <c r="DW91" i="19"/>
  <c r="DX91" i="19"/>
  <c r="DY91" i="19"/>
  <c r="DZ91" i="19"/>
  <c r="EA91" i="19"/>
  <c r="EB91" i="19"/>
  <c r="EC91" i="19"/>
  <c r="ED91"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FF91" i="19"/>
  <c r="FG91" i="19"/>
  <c r="FH91" i="19"/>
  <c r="FI91" i="19"/>
  <c r="FJ91" i="19"/>
  <c r="FK91" i="19"/>
  <c r="FL91" i="19"/>
  <c r="FM91" i="19"/>
  <c r="FN91" i="19"/>
  <c r="FO91" i="19"/>
  <c r="FP91" i="19"/>
  <c r="FQ91" i="19"/>
  <c r="FR91" i="19"/>
  <c r="FS91" i="19"/>
  <c r="FT91" i="19"/>
  <c r="FU91" i="19"/>
  <c r="FV91" i="19"/>
  <c r="FW91" i="19"/>
  <c r="FX91" i="19"/>
  <c r="FY91" i="19"/>
  <c r="FZ91" i="19"/>
  <c r="GA91" i="19"/>
  <c r="GB91" i="19"/>
  <c r="GC91" i="19"/>
  <c r="GD91" i="19"/>
  <c r="GE91" i="19"/>
  <c r="GF91" i="19"/>
  <c r="GG91" i="19"/>
  <c r="GH91" i="19"/>
  <c r="GI91" i="19"/>
  <c r="GJ91" i="19"/>
  <c r="GK91" i="19"/>
  <c r="GL91" i="19"/>
  <c r="GM91" i="19"/>
  <c r="GN91" i="19"/>
  <c r="GO91" i="19"/>
  <c r="GP91" i="19"/>
  <c r="GQ91" i="19"/>
  <c r="GR91" i="19"/>
  <c r="GS91" i="19"/>
  <c r="GT91" i="19"/>
  <c r="GU91" i="19"/>
  <c r="GV91" i="19"/>
  <c r="GW91" i="19"/>
  <c r="GX91" i="19"/>
  <c r="GY91" i="19"/>
  <c r="GZ91" i="19"/>
  <c r="HA91" i="19"/>
  <c r="HB91" i="19"/>
  <c r="HC91" i="19"/>
  <c r="HD91" i="19"/>
  <c r="HE91" i="19"/>
  <c r="HF91" i="19"/>
  <c r="HG91" i="19"/>
  <c r="HH91" i="19"/>
  <c r="HI91" i="19"/>
  <c r="HJ91" i="19"/>
  <c r="HK91" i="19"/>
  <c r="HL91" i="19"/>
  <c r="HM91" i="19"/>
  <c r="HN91" i="19"/>
  <c r="HO91" i="19"/>
  <c r="HP91" i="19"/>
  <c r="HQ91" i="19"/>
  <c r="HR91" i="19"/>
  <c r="HS91" i="19"/>
  <c r="HT91" i="19"/>
  <c r="HU91" i="19"/>
  <c r="HV91" i="19"/>
  <c r="HW91" i="19"/>
  <c r="HX91" i="19"/>
  <c r="HY91" i="19"/>
  <c r="HZ91" i="19"/>
  <c r="IA91" i="19"/>
  <c r="IB91" i="19"/>
  <c r="IC91" i="19"/>
  <c r="ID91" i="19"/>
  <c r="IE91" i="19"/>
  <c r="IF91" i="19"/>
  <c r="IG91" i="19"/>
  <c r="IH91" i="19"/>
  <c r="II91" i="19"/>
  <c r="IJ91" i="19"/>
  <c r="IK91" i="19"/>
  <c r="IL91" i="19"/>
  <c r="IM91" i="19"/>
  <c r="IN91" i="19"/>
  <c r="IO91" i="19"/>
  <c r="IP91" i="19"/>
  <c r="IQ91" i="19"/>
  <c r="IR91" i="19"/>
  <c r="IS91" i="19"/>
  <c r="IT91" i="19"/>
  <c r="IU91" i="19"/>
  <c r="IV91" i="19"/>
  <c r="IW91" i="19"/>
  <c r="IX91" i="19"/>
  <c r="IY91" i="19"/>
  <c r="IZ91" i="19"/>
  <c r="JA91" i="19"/>
  <c r="JB91" i="19"/>
  <c r="JC91" i="19"/>
  <c r="JD91" i="19"/>
  <c r="JE91" i="19"/>
  <c r="JF91" i="19"/>
  <c r="JG91" i="19"/>
  <c r="JH91" i="19"/>
  <c r="JI91" i="19"/>
  <c r="JJ91" i="19"/>
  <c r="JK91" i="19"/>
  <c r="JL91" i="19"/>
  <c r="JM91" i="19"/>
  <c r="JN91" i="19"/>
  <c r="JO91" i="19"/>
  <c r="JP91" i="19"/>
  <c r="JQ91" i="19"/>
  <c r="JR91" i="19"/>
  <c r="JS91" i="19"/>
  <c r="JT91" i="19"/>
  <c r="JU91" i="19"/>
  <c r="JV91" i="19"/>
  <c r="JW91" i="19"/>
  <c r="JX91" i="19"/>
  <c r="JY91" i="19"/>
  <c r="JZ91" i="19"/>
  <c r="KA91" i="19"/>
  <c r="KB91" i="19"/>
  <c r="B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E92"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E93" i="19"/>
  <c r="BF93" i="19"/>
  <c r="BG93" i="19"/>
  <c r="BH93" i="19"/>
  <c r="BI93" i="19"/>
  <c r="BJ93" i="19"/>
  <c r="BK93" i="19"/>
  <c r="BL93" i="19"/>
  <c r="BM93" i="19"/>
  <c r="BN93" i="19"/>
  <c r="BO93" i="19"/>
  <c r="BP93" i="19"/>
  <c r="BQ93" i="19"/>
  <c r="BR93" i="19"/>
  <c r="BS93" i="19"/>
  <c r="BT93" i="19"/>
  <c r="BU93" i="19"/>
  <c r="BV93" i="19"/>
  <c r="BW93" i="19"/>
  <c r="BX93" i="19"/>
  <c r="BY93" i="19"/>
  <c r="BZ93" i="19"/>
  <c r="CA93" i="19"/>
  <c r="CB93" i="19"/>
  <c r="CC93" i="19"/>
  <c r="CD93" i="19"/>
  <c r="CE93" i="19"/>
  <c r="CF93" i="19"/>
  <c r="CG93" i="19"/>
  <c r="CH93" i="19"/>
  <c r="CI93" i="19"/>
  <c r="CJ93" i="19"/>
  <c r="CK93" i="19"/>
  <c r="CL93" i="19"/>
  <c r="CM93" i="19"/>
  <c r="CN93" i="19"/>
  <c r="CO93" i="19"/>
  <c r="CP93" i="19"/>
  <c r="CQ93" i="19"/>
  <c r="CR93" i="19"/>
  <c r="CS93" i="19"/>
  <c r="CT93" i="19"/>
  <c r="CU93" i="19"/>
  <c r="CV93" i="19"/>
  <c r="CW93" i="19"/>
  <c r="CX93" i="19"/>
  <c r="CY93" i="19"/>
  <c r="CZ93" i="19"/>
  <c r="DA93" i="19"/>
  <c r="DB93" i="19"/>
  <c r="DC93" i="19"/>
  <c r="DD93" i="19"/>
  <c r="DE93" i="19"/>
  <c r="DF93" i="19"/>
  <c r="DG93" i="19"/>
  <c r="DH93" i="19"/>
  <c r="DI93" i="19"/>
  <c r="DJ93" i="19"/>
  <c r="DK93" i="19"/>
  <c r="DL93" i="19"/>
  <c r="DM93" i="19"/>
  <c r="DN93" i="19"/>
  <c r="DO93" i="19"/>
  <c r="DP93" i="19"/>
  <c r="DQ93" i="19"/>
  <c r="DR93" i="19"/>
  <c r="DS93" i="19"/>
  <c r="DT93" i="19"/>
  <c r="DU93" i="19"/>
  <c r="DV93" i="19"/>
  <c r="DW93" i="19"/>
  <c r="DX93" i="19"/>
  <c r="DY93" i="19"/>
  <c r="DZ93" i="19"/>
  <c r="EA93" i="19"/>
  <c r="EB93" i="19"/>
  <c r="EC93" i="19"/>
  <c r="ED93"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FF93" i="19"/>
  <c r="FG93" i="19"/>
  <c r="FH93" i="19"/>
  <c r="FI93" i="19"/>
  <c r="FJ93" i="19"/>
  <c r="FK93" i="19"/>
  <c r="FL93" i="19"/>
  <c r="FM93" i="19"/>
  <c r="FN93" i="19"/>
  <c r="FO93" i="19"/>
  <c r="FP93" i="19"/>
  <c r="FQ93" i="19"/>
  <c r="FR93" i="19"/>
  <c r="FS93" i="19"/>
  <c r="FT93" i="19"/>
  <c r="FU93" i="19"/>
  <c r="FV93" i="19"/>
  <c r="FW93" i="19"/>
  <c r="FX93" i="19"/>
  <c r="FY93" i="19"/>
  <c r="FZ93" i="19"/>
  <c r="GA93" i="19"/>
  <c r="GB93" i="19"/>
  <c r="GC93" i="19"/>
  <c r="GD93" i="19"/>
  <c r="GE93" i="19"/>
  <c r="GF93" i="19"/>
  <c r="GG93" i="19"/>
  <c r="GH93" i="19"/>
  <c r="GI93" i="19"/>
  <c r="GJ93" i="19"/>
  <c r="GK93" i="19"/>
  <c r="GL93" i="19"/>
  <c r="GM93" i="19"/>
  <c r="GN93" i="19"/>
  <c r="GO93" i="19"/>
  <c r="GP93" i="19"/>
  <c r="GQ93" i="19"/>
  <c r="GR93" i="19"/>
  <c r="GS93" i="19"/>
  <c r="GT93" i="19"/>
  <c r="GU93" i="19"/>
  <c r="GV93" i="19"/>
  <c r="GW93" i="19"/>
  <c r="GX93" i="19"/>
  <c r="GY93" i="19"/>
  <c r="GZ93" i="19"/>
  <c r="HA93" i="19"/>
  <c r="HB93" i="19"/>
  <c r="HC93" i="19"/>
  <c r="HD93" i="19"/>
  <c r="HE93" i="19"/>
  <c r="HF93" i="19"/>
  <c r="HG93" i="19"/>
  <c r="HH93" i="19"/>
  <c r="HI93" i="19"/>
  <c r="HJ93" i="19"/>
  <c r="HK93" i="19"/>
  <c r="HL93" i="19"/>
  <c r="HM93" i="19"/>
  <c r="HN93" i="19"/>
  <c r="HO93" i="19"/>
  <c r="HP93" i="19"/>
  <c r="HQ93" i="19"/>
  <c r="HR93" i="19"/>
  <c r="HS93" i="19"/>
  <c r="HT93" i="19"/>
  <c r="HU93" i="19"/>
  <c r="HV93" i="19"/>
  <c r="HW93" i="19"/>
  <c r="HX93" i="19"/>
  <c r="HY93" i="19"/>
  <c r="HZ93" i="19"/>
  <c r="IA93" i="19"/>
  <c r="IB93" i="19"/>
  <c r="IC93" i="19"/>
  <c r="ID93" i="19"/>
  <c r="IE93" i="19"/>
  <c r="IF93" i="19"/>
  <c r="IG93" i="19"/>
  <c r="IH93" i="19"/>
  <c r="II93" i="19"/>
  <c r="IJ93" i="19"/>
  <c r="IK93" i="19"/>
  <c r="IL93" i="19"/>
  <c r="IM93" i="19"/>
  <c r="IN93" i="19"/>
  <c r="IO93" i="19"/>
  <c r="IP93" i="19"/>
  <c r="IQ93" i="19"/>
  <c r="IR93" i="19"/>
  <c r="IS93" i="19"/>
  <c r="IT93" i="19"/>
  <c r="IU93" i="19"/>
  <c r="IV93" i="19"/>
  <c r="IW93" i="19"/>
  <c r="IX93" i="19"/>
  <c r="IY93" i="19"/>
  <c r="IZ93" i="19"/>
  <c r="JA93" i="19"/>
  <c r="JB93" i="19"/>
  <c r="JC93" i="19"/>
  <c r="JD93" i="19"/>
  <c r="JE93" i="19"/>
  <c r="JF93" i="19"/>
  <c r="JG93" i="19"/>
  <c r="JH93" i="19"/>
  <c r="JI93" i="19"/>
  <c r="JJ93" i="19"/>
  <c r="JK93" i="19"/>
  <c r="JL93" i="19"/>
  <c r="JM93" i="19"/>
  <c r="JN93" i="19"/>
  <c r="JO93" i="19"/>
  <c r="JP93" i="19"/>
  <c r="JQ93" i="19"/>
  <c r="JR93" i="19"/>
  <c r="JS93" i="19"/>
  <c r="JT93" i="19"/>
  <c r="JU93" i="19"/>
  <c r="JV93" i="19"/>
  <c r="JW93" i="19"/>
  <c r="JX93" i="19"/>
  <c r="JY93" i="19"/>
  <c r="JZ93" i="19"/>
  <c r="KA93" i="19"/>
  <c r="KB93" i="19"/>
  <c r="B95"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DU95" i="19"/>
  <c r="DV95" i="19"/>
  <c r="DW95" i="19"/>
  <c r="DX95" i="19"/>
  <c r="DY95" i="19"/>
  <c r="DZ95" i="19"/>
  <c r="EA95" i="19"/>
  <c r="EB95" i="19"/>
  <c r="EC95" i="19"/>
  <c r="ED95"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FF95" i="19"/>
  <c r="FG95" i="19"/>
  <c r="FH95" i="19"/>
  <c r="FI95" i="19"/>
  <c r="FJ95" i="19"/>
  <c r="FK95" i="19"/>
  <c r="FL95" i="19"/>
  <c r="FM95" i="19"/>
  <c r="FN95" i="19"/>
  <c r="FO95" i="19"/>
  <c r="FP95" i="19"/>
  <c r="FQ95" i="19"/>
  <c r="FR95" i="19"/>
  <c r="FS95" i="19"/>
  <c r="FT95" i="19"/>
  <c r="FU95" i="19"/>
  <c r="FV95" i="19"/>
  <c r="FW95" i="19"/>
  <c r="FX95" i="19"/>
  <c r="FY95" i="19"/>
  <c r="FZ95" i="19"/>
  <c r="GA95" i="19"/>
  <c r="GB95" i="19"/>
  <c r="GC95" i="19"/>
  <c r="GD95" i="19"/>
  <c r="GE95" i="19"/>
  <c r="GF95" i="19"/>
  <c r="GG95" i="19"/>
  <c r="GH95" i="19"/>
  <c r="GI95" i="19"/>
  <c r="GJ95" i="19"/>
  <c r="GK95" i="19"/>
  <c r="GL95" i="19"/>
  <c r="GM95" i="19"/>
  <c r="GN95" i="19"/>
  <c r="GO95" i="19"/>
  <c r="GP95" i="19"/>
  <c r="GQ95" i="19"/>
  <c r="GR95" i="19"/>
  <c r="GS95" i="19"/>
  <c r="GT95" i="19"/>
  <c r="GU95" i="19"/>
  <c r="GV95" i="19"/>
  <c r="GW95" i="19"/>
  <c r="GX95" i="19"/>
  <c r="GY95" i="19"/>
  <c r="GZ95" i="19"/>
  <c r="HA95" i="19"/>
  <c r="HB95" i="19"/>
  <c r="HC95" i="19"/>
  <c r="HD95" i="19"/>
  <c r="HE95" i="19"/>
  <c r="HF95" i="19"/>
  <c r="HG95" i="19"/>
  <c r="HH95" i="19"/>
  <c r="HI95" i="19"/>
  <c r="HJ95" i="19"/>
  <c r="HK95" i="19"/>
  <c r="HL95" i="19"/>
  <c r="HM95" i="19"/>
  <c r="HN95" i="19"/>
  <c r="HO95" i="19"/>
  <c r="HP95" i="19"/>
  <c r="HQ95" i="19"/>
  <c r="HR95" i="19"/>
  <c r="HS95" i="19"/>
  <c r="HT95" i="19"/>
  <c r="HU95" i="19"/>
  <c r="HV95" i="19"/>
  <c r="HW95" i="19"/>
  <c r="HX95" i="19"/>
  <c r="HY95" i="19"/>
  <c r="HZ95" i="19"/>
  <c r="IA95" i="19"/>
  <c r="IB95" i="19"/>
  <c r="IC95" i="19"/>
  <c r="ID95" i="19"/>
  <c r="IE95" i="19"/>
  <c r="IF95" i="19"/>
  <c r="IG95" i="19"/>
  <c r="IH95" i="19"/>
  <c r="II95" i="19"/>
  <c r="IJ95" i="19"/>
  <c r="IK95" i="19"/>
  <c r="IL95" i="19"/>
  <c r="IM95" i="19"/>
  <c r="IN95" i="19"/>
  <c r="IO95" i="19"/>
  <c r="IP95" i="19"/>
  <c r="IQ95" i="19"/>
  <c r="IR95" i="19"/>
  <c r="IS95" i="19"/>
  <c r="IT95" i="19"/>
  <c r="IU95" i="19"/>
  <c r="IV95" i="19"/>
  <c r="IW95" i="19"/>
  <c r="IX95" i="19"/>
  <c r="IY95" i="19"/>
  <c r="IZ95" i="19"/>
  <c r="JA95" i="19"/>
  <c r="JB95" i="19"/>
  <c r="JC95" i="19"/>
  <c r="JD95" i="19"/>
  <c r="JE95" i="19"/>
  <c r="JF95" i="19"/>
  <c r="JG95" i="19"/>
  <c r="JH95" i="19"/>
  <c r="JI95" i="19"/>
  <c r="JJ95" i="19"/>
  <c r="JK95" i="19"/>
  <c r="JL95" i="19"/>
  <c r="JM95" i="19"/>
  <c r="JN95" i="19"/>
  <c r="JO95" i="19"/>
  <c r="JP95" i="19"/>
  <c r="JQ95" i="19"/>
  <c r="JR95" i="19"/>
  <c r="JS95" i="19"/>
  <c r="JT95" i="19"/>
  <c r="JU95" i="19"/>
  <c r="JV95" i="19"/>
  <c r="JW95" i="19"/>
  <c r="JX95" i="19"/>
  <c r="JY95" i="19"/>
  <c r="JZ95" i="19"/>
  <c r="KA95" i="19"/>
  <c r="KB95"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CA96" i="19"/>
  <c r="CB96" i="19"/>
  <c r="CC96" i="19"/>
  <c r="CD96" i="19"/>
  <c r="CE96" i="19"/>
  <c r="CF96" i="19"/>
  <c r="CG96" i="19"/>
  <c r="CH96" i="19"/>
  <c r="CI96" i="19"/>
  <c r="CJ96" i="19"/>
  <c r="CK96" i="19"/>
  <c r="CL96" i="19"/>
  <c r="CM96" i="19"/>
  <c r="CN96" i="19"/>
  <c r="CO96" i="19"/>
  <c r="CP96" i="19"/>
  <c r="CQ96" i="19"/>
  <c r="CR96" i="19"/>
  <c r="CS96" i="19"/>
  <c r="CT96" i="19"/>
  <c r="CU96" i="19"/>
  <c r="CV96" i="19"/>
  <c r="CW96" i="19"/>
  <c r="CX96" i="19"/>
  <c r="CY96" i="19"/>
  <c r="CZ96" i="19"/>
  <c r="DA96" i="19"/>
  <c r="DB96" i="19"/>
  <c r="DC96" i="19"/>
  <c r="DD96" i="19"/>
  <c r="DE96" i="19"/>
  <c r="DF96" i="19"/>
  <c r="DG96" i="19"/>
  <c r="DH96" i="19"/>
  <c r="DI96" i="19"/>
  <c r="DJ96" i="19"/>
  <c r="DK96" i="19"/>
  <c r="DL96" i="19"/>
  <c r="DM96" i="19"/>
  <c r="DN96" i="19"/>
  <c r="DO96" i="19"/>
  <c r="DP96" i="19"/>
  <c r="DQ96" i="19"/>
  <c r="DR96" i="19"/>
  <c r="DS96" i="19"/>
  <c r="DT96" i="19"/>
  <c r="DU96" i="19"/>
  <c r="DV96" i="19"/>
  <c r="DW96" i="19"/>
  <c r="DX96" i="19"/>
  <c r="DY96" i="19"/>
  <c r="DZ96" i="19"/>
  <c r="EA96" i="19"/>
  <c r="EB96" i="19"/>
  <c r="EC96" i="19"/>
  <c r="ED96"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FF96" i="19"/>
  <c r="FG96" i="19"/>
  <c r="FH96" i="19"/>
  <c r="FI96" i="19"/>
  <c r="FJ96" i="19"/>
  <c r="FK96" i="19"/>
  <c r="FL96" i="19"/>
  <c r="FM96" i="19"/>
  <c r="FN96" i="19"/>
  <c r="FO96" i="19"/>
  <c r="FP96" i="19"/>
  <c r="FQ96" i="19"/>
  <c r="FR96" i="19"/>
  <c r="FS96" i="19"/>
  <c r="FT96" i="19"/>
  <c r="FU96" i="19"/>
  <c r="FV96" i="19"/>
  <c r="FW96" i="19"/>
  <c r="FX96" i="19"/>
  <c r="FY96" i="19"/>
  <c r="FZ96" i="19"/>
  <c r="GA96" i="19"/>
  <c r="GB96" i="19"/>
  <c r="GC96" i="19"/>
  <c r="GD96" i="19"/>
  <c r="GE96" i="19"/>
  <c r="GF96" i="19"/>
  <c r="GG96" i="19"/>
  <c r="GH96" i="19"/>
  <c r="GI96" i="19"/>
  <c r="GJ96" i="19"/>
  <c r="GK96" i="19"/>
  <c r="GL96" i="19"/>
  <c r="GM96" i="19"/>
  <c r="GN96" i="19"/>
  <c r="GO96" i="19"/>
  <c r="GP96" i="19"/>
  <c r="GQ96" i="19"/>
  <c r="GR96" i="19"/>
  <c r="GS96" i="19"/>
  <c r="GT96" i="19"/>
  <c r="GU96" i="19"/>
  <c r="GV96" i="19"/>
  <c r="GW96" i="19"/>
  <c r="GX96" i="19"/>
  <c r="GY96" i="19"/>
  <c r="GZ96" i="19"/>
  <c r="HA96" i="19"/>
  <c r="HB96" i="19"/>
  <c r="HC96" i="19"/>
  <c r="HD96" i="19"/>
  <c r="HE96" i="19"/>
  <c r="HF96" i="19"/>
  <c r="HG96" i="19"/>
  <c r="HH96" i="19"/>
  <c r="HI96" i="19"/>
  <c r="HJ96" i="19"/>
  <c r="HK96" i="19"/>
  <c r="HL96" i="19"/>
  <c r="HM96" i="19"/>
  <c r="HN96" i="19"/>
  <c r="HO96" i="19"/>
  <c r="HP96" i="19"/>
  <c r="HQ96" i="19"/>
  <c r="HR96" i="19"/>
  <c r="HS96" i="19"/>
  <c r="HT96" i="19"/>
  <c r="HU96" i="19"/>
  <c r="HV96" i="19"/>
  <c r="HW96" i="19"/>
  <c r="HX96" i="19"/>
  <c r="HY96" i="19"/>
  <c r="HZ96" i="19"/>
  <c r="IA96" i="19"/>
  <c r="IB96" i="19"/>
  <c r="IC96" i="19"/>
  <c r="ID96" i="19"/>
  <c r="IE96" i="19"/>
  <c r="IF96" i="19"/>
  <c r="IG96" i="19"/>
  <c r="IH96" i="19"/>
  <c r="II96" i="19"/>
  <c r="IJ96" i="19"/>
  <c r="IK96" i="19"/>
  <c r="IL96" i="19"/>
  <c r="IM96" i="19"/>
  <c r="IN96" i="19"/>
  <c r="IO96" i="19"/>
  <c r="IP96" i="19"/>
  <c r="IQ96" i="19"/>
  <c r="IR96" i="19"/>
  <c r="IS96" i="19"/>
  <c r="IT96" i="19"/>
  <c r="IU96" i="19"/>
  <c r="IV96" i="19"/>
  <c r="IW96" i="19"/>
  <c r="IX96" i="19"/>
  <c r="IY96" i="19"/>
  <c r="IZ96" i="19"/>
  <c r="JA96" i="19"/>
  <c r="JB96" i="19"/>
  <c r="JC96" i="19"/>
  <c r="JD96" i="19"/>
  <c r="JE96" i="19"/>
  <c r="JF96" i="19"/>
  <c r="JG96" i="19"/>
  <c r="JH96" i="19"/>
  <c r="JI96" i="19"/>
  <c r="JJ96" i="19"/>
  <c r="JK96" i="19"/>
  <c r="JL96" i="19"/>
  <c r="JM96" i="19"/>
  <c r="JN96" i="19"/>
  <c r="JO96" i="19"/>
  <c r="JP96" i="19"/>
  <c r="JQ96" i="19"/>
  <c r="JR96" i="19"/>
  <c r="JS96" i="19"/>
  <c r="JT96" i="19"/>
  <c r="JU96" i="19"/>
  <c r="JV96" i="19"/>
  <c r="JW96" i="19"/>
  <c r="JX96" i="19"/>
  <c r="JY96" i="19"/>
  <c r="JZ96" i="19"/>
  <c r="KA96" i="19"/>
  <c r="KB96" i="19"/>
  <c r="B98" i="19"/>
  <c r="D98" i="19"/>
  <c r="BE98"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E99" i="19"/>
  <c r="BF99" i="19"/>
  <c r="BG99" i="19"/>
  <c r="BH99" i="19"/>
  <c r="BI99" i="19"/>
  <c r="BJ99" i="19"/>
  <c r="BK99" i="19"/>
  <c r="BL99" i="19"/>
  <c r="BM99" i="19"/>
  <c r="BN99" i="19"/>
  <c r="BO99" i="19"/>
  <c r="BP99" i="19"/>
  <c r="BQ99" i="19"/>
  <c r="BR99" i="19"/>
  <c r="BS99" i="19"/>
  <c r="BT99" i="19"/>
  <c r="BU99" i="19"/>
  <c r="BV99" i="19"/>
  <c r="BW99" i="19"/>
  <c r="BX99" i="19"/>
  <c r="BY99" i="19"/>
  <c r="BZ99" i="19"/>
  <c r="CA99" i="19"/>
  <c r="CB99" i="19"/>
  <c r="CC99" i="19"/>
  <c r="CD99" i="19"/>
  <c r="CE99" i="19"/>
  <c r="CF99" i="19"/>
  <c r="CG99" i="19"/>
  <c r="CH99" i="19"/>
  <c r="CI99" i="19"/>
  <c r="CJ99" i="19"/>
  <c r="CK99" i="19"/>
  <c r="CL99" i="19"/>
  <c r="CM99" i="19"/>
  <c r="CN99" i="19"/>
  <c r="CO99" i="19"/>
  <c r="CP99" i="19"/>
  <c r="CQ99" i="19"/>
  <c r="CR99" i="19"/>
  <c r="CS99" i="19"/>
  <c r="CT99" i="19"/>
  <c r="CU99" i="19"/>
  <c r="CV99" i="19"/>
  <c r="CW99" i="19"/>
  <c r="CX99" i="19"/>
  <c r="CY99" i="19"/>
  <c r="CZ99" i="19"/>
  <c r="DA99" i="19"/>
  <c r="DB99" i="19"/>
  <c r="DC99" i="19"/>
  <c r="DD99" i="19"/>
  <c r="DE99" i="19"/>
  <c r="DF99" i="19"/>
  <c r="DG99" i="19"/>
  <c r="DH99" i="19"/>
  <c r="DI99" i="19"/>
  <c r="DJ99" i="19"/>
  <c r="DK99" i="19"/>
  <c r="DL99" i="19"/>
  <c r="DM99" i="19"/>
  <c r="DN99" i="19"/>
  <c r="DO99" i="19"/>
  <c r="DP99" i="19"/>
  <c r="DQ99" i="19"/>
  <c r="DR99" i="19"/>
  <c r="DS99" i="19"/>
  <c r="DT99" i="19"/>
  <c r="DU99" i="19"/>
  <c r="DV99" i="19"/>
  <c r="DW99" i="19"/>
  <c r="DX99" i="19"/>
  <c r="DY99" i="19"/>
  <c r="DZ99" i="19"/>
  <c r="EA99" i="19"/>
  <c r="EB99" i="19"/>
  <c r="EC99" i="19"/>
  <c r="ED99"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FF99" i="19"/>
  <c r="FG99" i="19"/>
  <c r="FH99" i="19"/>
  <c r="FI99" i="19"/>
  <c r="FJ99" i="19"/>
  <c r="FK99" i="19"/>
  <c r="FL99" i="19"/>
  <c r="FM99" i="19"/>
  <c r="FN99" i="19"/>
  <c r="FO99" i="19"/>
  <c r="FP99" i="19"/>
  <c r="FQ99" i="19"/>
  <c r="FR99" i="19"/>
  <c r="FS99" i="19"/>
  <c r="FT99" i="19"/>
  <c r="FU99" i="19"/>
  <c r="FV99" i="19"/>
  <c r="FW99" i="19"/>
  <c r="FX99" i="19"/>
  <c r="FY99" i="19"/>
  <c r="FZ99" i="19"/>
  <c r="GA99" i="19"/>
  <c r="GB99" i="19"/>
  <c r="GC99" i="19"/>
  <c r="GD99" i="19"/>
  <c r="GE99" i="19"/>
  <c r="GF99" i="19"/>
  <c r="GG99" i="19"/>
  <c r="GH99" i="19"/>
  <c r="GI99" i="19"/>
  <c r="GJ99" i="19"/>
  <c r="GK99" i="19"/>
  <c r="GL99" i="19"/>
  <c r="GM99" i="19"/>
  <c r="GN99" i="19"/>
  <c r="GO99" i="19"/>
  <c r="GP99" i="19"/>
  <c r="GQ99" i="19"/>
  <c r="GR99" i="19"/>
  <c r="GS99" i="19"/>
  <c r="GT99" i="19"/>
  <c r="GU99" i="19"/>
  <c r="GV99" i="19"/>
  <c r="GW99" i="19"/>
  <c r="GX99" i="19"/>
  <c r="GY99" i="19"/>
  <c r="GZ99" i="19"/>
  <c r="HA99" i="19"/>
  <c r="HB99" i="19"/>
  <c r="HC99" i="19"/>
  <c r="HD99" i="19"/>
  <c r="HE99" i="19"/>
  <c r="HF99" i="19"/>
  <c r="HG99" i="19"/>
  <c r="HH99" i="19"/>
  <c r="HI99" i="19"/>
  <c r="HJ99" i="19"/>
  <c r="HK99" i="19"/>
  <c r="HL99" i="19"/>
  <c r="HM99" i="19"/>
  <c r="HN99" i="19"/>
  <c r="HO99" i="19"/>
  <c r="HP99" i="19"/>
  <c r="HQ99" i="19"/>
  <c r="HR99" i="19"/>
  <c r="HS99" i="19"/>
  <c r="HT99" i="19"/>
  <c r="HU99" i="19"/>
  <c r="HV99" i="19"/>
  <c r="HW99" i="19"/>
  <c r="HX99" i="19"/>
  <c r="HY99" i="19"/>
  <c r="HZ99" i="19"/>
  <c r="IA99" i="19"/>
  <c r="IB99" i="19"/>
  <c r="IC99" i="19"/>
  <c r="ID99" i="19"/>
  <c r="IE99" i="19"/>
  <c r="IF99" i="19"/>
  <c r="IG99" i="19"/>
  <c r="IH99" i="19"/>
  <c r="II99" i="19"/>
  <c r="IJ99" i="19"/>
  <c r="IK99" i="19"/>
  <c r="IL99" i="19"/>
  <c r="IM99" i="19"/>
  <c r="IN99" i="19"/>
  <c r="IO99" i="19"/>
  <c r="IP99" i="19"/>
  <c r="IQ99" i="19"/>
  <c r="IR99" i="19"/>
  <c r="IS99" i="19"/>
  <c r="IT99" i="19"/>
  <c r="IU99" i="19"/>
  <c r="IV99" i="19"/>
  <c r="IW99" i="19"/>
  <c r="IX99" i="19"/>
  <c r="IY99" i="19"/>
  <c r="IZ99" i="19"/>
  <c r="JA99" i="19"/>
  <c r="JB99" i="19"/>
  <c r="JC99" i="19"/>
  <c r="JD99" i="19"/>
  <c r="JE99" i="19"/>
  <c r="JF99" i="19"/>
  <c r="JG99" i="19"/>
  <c r="JH99" i="19"/>
  <c r="JI99" i="19"/>
  <c r="JJ99" i="19"/>
  <c r="JK99" i="19"/>
  <c r="JL99" i="19"/>
  <c r="JM99" i="19"/>
  <c r="JN99" i="19"/>
  <c r="JO99" i="19"/>
  <c r="JP99" i="19"/>
  <c r="JQ99" i="19"/>
  <c r="JR99" i="19"/>
  <c r="JS99" i="19"/>
  <c r="JT99" i="19"/>
  <c r="JU99" i="19"/>
  <c r="JV99" i="19"/>
  <c r="JW99" i="19"/>
  <c r="JX99" i="19"/>
  <c r="JY99" i="19"/>
  <c r="JZ99" i="19"/>
  <c r="KA99" i="19"/>
  <c r="KB99"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E100" i="19"/>
  <c r="BF100" i="19"/>
  <c r="BG100" i="19"/>
  <c r="BH100" i="19"/>
  <c r="BI100" i="19"/>
  <c r="BJ100" i="19"/>
  <c r="BK100" i="19"/>
  <c r="BL100" i="19"/>
  <c r="BM100" i="19"/>
  <c r="BN100" i="19"/>
  <c r="BO100" i="19"/>
  <c r="BP100" i="19"/>
  <c r="BQ100" i="19"/>
  <c r="BR100" i="19"/>
  <c r="BS100" i="19"/>
  <c r="BT100" i="19"/>
  <c r="BU100" i="19"/>
  <c r="BV100" i="19"/>
  <c r="BW100" i="19"/>
  <c r="BX100" i="19"/>
  <c r="BY100" i="19"/>
  <c r="BZ100" i="19"/>
  <c r="CA100" i="19"/>
  <c r="CB100" i="19"/>
  <c r="CC100" i="19"/>
  <c r="CD100" i="19"/>
  <c r="CE100" i="19"/>
  <c r="CF100" i="19"/>
  <c r="CG100" i="19"/>
  <c r="CH100" i="19"/>
  <c r="CI100" i="19"/>
  <c r="CJ100" i="19"/>
  <c r="CK100" i="19"/>
  <c r="CL100" i="19"/>
  <c r="CM100" i="19"/>
  <c r="CN100" i="19"/>
  <c r="CO100" i="19"/>
  <c r="CP100" i="19"/>
  <c r="CQ100" i="19"/>
  <c r="CR100" i="19"/>
  <c r="CS100" i="19"/>
  <c r="CT100" i="19"/>
  <c r="CU100" i="19"/>
  <c r="CV100" i="19"/>
  <c r="CW100" i="19"/>
  <c r="CX100" i="19"/>
  <c r="CY100" i="19"/>
  <c r="CZ100" i="19"/>
  <c r="DA100" i="19"/>
  <c r="DB100" i="19"/>
  <c r="DC100" i="19"/>
  <c r="DD100" i="19"/>
  <c r="DE100" i="19"/>
  <c r="DF100" i="19"/>
  <c r="DG100" i="19"/>
  <c r="DH100" i="19"/>
  <c r="DI100" i="19"/>
  <c r="DJ100" i="19"/>
  <c r="DK100" i="19"/>
  <c r="DL100" i="19"/>
  <c r="DM100" i="19"/>
  <c r="DN100" i="19"/>
  <c r="DO100" i="19"/>
  <c r="DP100" i="19"/>
  <c r="DQ100" i="19"/>
  <c r="DR100" i="19"/>
  <c r="DS100" i="19"/>
  <c r="DT100" i="19"/>
  <c r="DU100" i="19"/>
  <c r="DV100" i="19"/>
  <c r="DW100" i="19"/>
  <c r="DX100" i="19"/>
  <c r="DY100" i="19"/>
  <c r="DZ100" i="19"/>
  <c r="EA100" i="19"/>
  <c r="EB100" i="19"/>
  <c r="EC100" i="19"/>
  <c r="ED100"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FF100" i="19"/>
  <c r="FG100" i="19"/>
  <c r="FH100" i="19"/>
  <c r="FI100" i="19"/>
  <c r="FJ100" i="19"/>
  <c r="FK100" i="19"/>
  <c r="FL100" i="19"/>
  <c r="FM100" i="19"/>
  <c r="FN100" i="19"/>
  <c r="FO100" i="19"/>
  <c r="FP100" i="19"/>
  <c r="FQ100" i="19"/>
  <c r="FR100" i="19"/>
  <c r="FS100" i="19"/>
  <c r="FT100" i="19"/>
  <c r="FU100" i="19"/>
  <c r="FV100" i="19"/>
  <c r="FW100" i="19"/>
  <c r="FX100" i="19"/>
  <c r="FY100" i="19"/>
  <c r="FZ100" i="19"/>
  <c r="GA100" i="19"/>
  <c r="GB100" i="19"/>
  <c r="GC100" i="19"/>
  <c r="GD100" i="19"/>
  <c r="GE100" i="19"/>
  <c r="GF100" i="19"/>
  <c r="GG100" i="19"/>
  <c r="GH100" i="19"/>
  <c r="GI100" i="19"/>
  <c r="GJ100" i="19"/>
  <c r="GK100" i="19"/>
  <c r="GL100" i="19"/>
  <c r="GM100" i="19"/>
  <c r="GN100" i="19"/>
  <c r="GO100" i="19"/>
  <c r="GP100" i="19"/>
  <c r="GQ100" i="19"/>
  <c r="GR100" i="19"/>
  <c r="GS100" i="19"/>
  <c r="GT100" i="19"/>
  <c r="GU100" i="19"/>
  <c r="GV100" i="19"/>
  <c r="GW100" i="19"/>
  <c r="GX100" i="19"/>
  <c r="GY100" i="19"/>
  <c r="GZ100" i="19"/>
  <c r="HA100" i="19"/>
  <c r="HB100" i="19"/>
  <c r="HC100" i="19"/>
  <c r="HD100" i="19"/>
  <c r="HE100" i="19"/>
  <c r="HF100" i="19"/>
  <c r="HG100" i="19"/>
  <c r="HH100" i="19"/>
  <c r="HI100" i="19"/>
  <c r="HJ100" i="19"/>
  <c r="HK100" i="19"/>
  <c r="HL100" i="19"/>
  <c r="HM100" i="19"/>
  <c r="HN100" i="19"/>
  <c r="HO100" i="19"/>
  <c r="HP100" i="19"/>
  <c r="HQ100" i="19"/>
  <c r="HR100" i="19"/>
  <c r="HS100" i="19"/>
  <c r="HT100" i="19"/>
  <c r="HU100" i="19"/>
  <c r="HV100" i="19"/>
  <c r="HW100" i="19"/>
  <c r="HX100" i="19"/>
  <c r="HY100" i="19"/>
  <c r="HZ100" i="19"/>
  <c r="IA100" i="19"/>
  <c r="IB100" i="19"/>
  <c r="IC100" i="19"/>
  <c r="ID100" i="19"/>
  <c r="IE100" i="19"/>
  <c r="IF100" i="19"/>
  <c r="IG100" i="19"/>
  <c r="IH100" i="19"/>
  <c r="II100" i="19"/>
  <c r="IJ100" i="19"/>
  <c r="IK100" i="19"/>
  <c r="IL100" i="19"/>
  <c r="IM100" i="19"/>
  <c r="IN100" i="19"/>
  <c r="IO100" i="19"/>
  <c r="IP100" i="19"/>
  <c r="IQ100" i="19"/>
  <c r="IR100" i="19"/>
  <c r="IS100" i="19"/>
  <c r="IT100" i="19"/>
  <c r="IU100" i="19"/>
  <c r="IV100" i="19"/>
  <c r="IW100" i="19"/>
  <c r="IX100" i="19"/>
  <c r="IY100" i="19"/>
  <c r="IZ100" i="19"/>
  <c r="JA100" i="19"/>
  <c r="JB100" i="19"/>
  <c r="JC100" i="19"/>
  <c r="JD100" i="19"/>
  <c r="JE100" i="19"/>
  <c r="JF100" i="19"/>
  <c r="JG100" i="19"/>
  <c r="JH100" i="19"/>
  <c r="JI100" i="19"/>
  <c r="JJ100" i="19"/>
  <c r="JK100" i="19"/>
  <c r="JL100" i="19"/>
  <c r="JM100" i="19"/>
  <c r="JN100" i="19"/>
  <c r="JO100" i="19"/>
  <c r="JP100" i="19"/>
  <c r="JQ100" i="19"/>
  <c r="JR100" i="19"/>
  <c r="JS100" i="19"/>
  <c r="JT100" i="19"/>
  <c r="JU100" i="19"/>
  <c r="JV100" i="19"/>
  <c r="JW100" i="19"/>
  <c r="JX100" i="19"/>
  <c r="JY100" i="19"/>
  <c r="JZ100" i="19"/>
  <c r="KA100" i="19"/>
  <c r="KB100"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CA103" i="19"/>
  <c r="CB103" i="19"/>
  <c r="CC103" i="19"/>
  <c r="CD103" i="19"/>
  <c r="CE103" i="19"/>
  <c r="CF103" i="19"/>
  <c r="CG103" i="19"/>
  <c r="CH103" i="19"/>
  <c r="CI103" i="19"/>
  <c r="CJ103" i="19"/>
  <c r="CK103" i="19"/>
  <c r="CL103" i="19"/>
  <c r="CM103" i="19"/>
  <c r="CN103" i="19"/>
  <c r="CO103" i="19"/>
  <c r="CP103" i="19"/>
  <c r="CQ103" i="19"/>
  <c r="CR103" i="19"/>
  <c r="CS103" i="19"/>
  <c r="CT103" i="19"/>
  <c r="CU103" i="19"/>
  <c r="CV103" i="19"/>
  <c r="CW103" i="19"/>
  <c r="CX103" i="19"/>
  <c r="CY103" i="19"/>
  <c r="CZ103" i="19"/>
  <c r="DA103" i="19"/>
  <c r="DB103" i="19"/>
  <c r="DC103" i="19"/>
  <c r="DD103" i="19"/>
  <c r="DE103" i="19"/>
  <c r="DF103" i="19"/>
  <c r="DG103" i="19"/>
  <c r="DH103" i="19"/>
  <c r="DI103" i="19"/>
  <c r="DJ103" i="19"/>
  <c r="DK103" i="19"/>
  <c r="DL103" i="19"/>
  <c r="DM103" i="19"/>
  <c r="DN103" i="19"/>
  <c r="DO103" i="19"/>
  <c r="DP103" i="19"/>
  <c r="DQ103" i="19"/>
  <c r="DR103" i="19"/>
  <c r="DS103" i="19"/>
  <c r="DT103" i="19"/>
  <c r="DU103" i="19"/>
  <c r="DV103" i="19"/>
  <c r="DW103" i="19"/>
  <c r="DX103" i="19"/>
  <c r="DY103" i="19"/>
  <c r="DZ103" i="19"/>
  <c r="EA103" i="19"/>
  <c r="EB103" i="19"/>
  <c r="EC103" i="19"/>
  <c r="ED103"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FF103" i="19"/>
  <c r="FG103" i="19"/>
  <c r="FH103" i="19"/>
  <c r="FI103" i="19"/>
  <c r="FJ103" i="19"/>
  <c r="FK103" i="19"/>
  <c r="FL103" i="19"/>
  <c r="FM103" i="19"/>
  <c r="FN103" i="19"/>
  <c r="FO103" i="19"/>
  <c r="FP103" i="19"/>
  <c r="FQ103" i="19"/>
  <c r="FR103" i="19"/>
  <c r="FS103" i="19"/>
  <c r="FT103" i="19"/>
  <c r="FU103" i="19"/>
  <c r="FV103" i="19"/>
  <c r="FW103" i="19"/>
  <c r="FX103" i="19"/>
  <c r="FY103" i="19"/>
  <c r="FZ103" i="19"/>
  <c r="GA103" i="19"/>
  <c r="GB103" i="19"/>
  <c r="GC103" i="19"/>
  <c r="GD103" i="19"/>
  <c r="GE103" i="19"/>
  <c r="GF103" i="19"/>
  <c r="GG103" i="19"/>
  <c r="GH103" i="19"/>
  <c r="GI103" i="19"/>
  <c r="GJ103" i="19"/>
  <c r="GK103" i="19"/>
  <c r="GL103" i="19"/>
  <c r="GM103" i="19"/>
  <c r="GN103" i="19"/>
  <c r="GO103" i="19"/>
  <c r="GP103" i="19"/>
  <c r="GQ103" i="19"/>
  <c r="GR103" i="19"/>
  <c r="GS103" i="19"/>
  <c r="GT103" i="19"/>
  <c r="GU103" i="19"/>
  <c r="GV103" i="19"/>
  <c r="GW103" i="19"/>
  <c r="GX103" i="19"/>
  <c r="GY103" i="19"/>
  <c r="GZ103" i="19"/>
  <c r="HA103" i="19"/>
  <c r="HB103" i="19"/>
  <c r="HC103" i="19"/>
  <c r="HD103" i="19"/>
  <c r="HE103" i="19"/>
  <c r="HF103" i="19"/>
  <c r="HG103" i="19"/>
  <c r="HH103" i="19"/>
  <c r="HI103" i="19"/>
  <c r="HJ103" i="19"/>
  <c r="HK103" i="19"/>
  <c r="HL103" i="19"/>
  <c r="HM103" i="19"/>
  <c r="HN103" i="19"/>
  <c r="HO103" i="19"/>
  <c r="HP103" i="19"/>
  <c r="HQ103" i="19"/>
  <c r="HR103" i="19"/>
  <c r="HS103" i="19"/>
  <c r="HT103" i="19"/>
  <c r="HU103" i="19"/>
  <c r="HV103" i="19"/>
  <c r="HW103" i="19"/>
  <c r="HX103" i="19"/>
  <c r="HY103" i="19"/>
  <c r="HZ103" i="19"/>
  <c r="IA103" i="19"/>
  <c r="IB103" i="19"/>
  <c r="IC103" i="19"/>
  <c r="ID103" i="19"/>
  <c r="IE103" i="19"/>
  <c r="IF103" i="19"/>
  <c r="IG103" i="19"/>
  <c r="IH103" i="19"/>
  <c r="II103" i="19"/>
  <c r="IJ103" i="19"/>
  <c r="IK103" i="19"/>
  <c r="IL103" i="19"/>
  <c r="IM103" i="19"/>
  <c r="IN103" i="19"/>
  <c r="IO103" i="19"/>
  <c r="IP103" i="19"/>
  <c r="IQ103" i="19"/>
  <c r="IR103" i="19"/>
  <c r="IS103" i="19"/>
  <c r="IT103" i="19"/>
  <c r="IU103" i="19"/>
  <c r="IV103" i="19"/>
  <c r="IW103" i="19"/>
  <c r="IX103" i="19"/>
  <c r="IY103" i="19"/>
  <c r="IZ103" i="19"/>
  <c r="JA103" i="19"/>
  <c r="JB103" i="19"/>
  <c r="JC103" i="19"/>
  <c r="JD103" i="19"/>
  <c r="JE103" i="19"/>
  <c r="JF103" i="19"/>
  <c r="JG103" i="19"/>
  <c r="JH103" i="19"/>
  <c r="JI103" i="19"/>
  <c r="JJ103" i="19"/>
  <c r="JK103" i="19"/>
  <c r="JL103" i="19"/>
  <c r="JM103" i="19"/>
  <c r="JN103" i="19"/>
  <c r="JO103" i="19"/>
  <c r="JP103" i="19"/>
  <c r="JQ103" i="19"/>
  <c r="JR103" i="19"/>
  <c r="JS103" i="19"/>
  <c r="JT103" i="19"/>
  <c r="JU103" i="19"/>
  <c r="JV103" i="19"/>
  <c r="JW103" i="19"/>
  <c r="JX103" i="19"/>
  <c r="JY103" i="19"/>
  <c r="JZ103" i="19"/>
  <c r="KA103" i="19"/>
  <c r="KB103" i="19"/>
  <c r="B104"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CA104" i="19"/>
  <c r="CB104" i="19"/>
  <c r="CC104" i="19"/>
  <c r="CD104" i="19"/>
  <c r="CE104" i="19"/>
  <c r="CF104" i="19"/>
  <c r="CG104" i="19"/>
  <c r="CH104" i="19"/>
  <c r="CI104" i="19"/>
  <c r="CJ104" i="19"/>
  <c r="CK104" i="19"/>
  <c r="CL104" i="19"/>
  <c r="CM104" i="19"/>
  <c r="CN104" i="19"/>
  <c r="CO104" i="19"/>
  <c r="CP104" i="19"/>
  <c r="CQ104" i="19"/>
  <c r="CR104" i="19"/>
  <c r="CS104" i="19"/>
  <c r="CT104" i="19"/>
  <c r="CU104" i="19"/>
  <c r="CV104" i="19"/>
  <c r="CW104" i="19"/>
  <c r="CX104" i="19"/>
  <c r="CY104" i="19"/>
  <c r="CZ104" i="19"/>
  <c r="DA104" i="19"/>
  <c r="DB104" i="19"/>
  <c r="DC104" i="19"/>
  <c r="DD104" i="19"/>
  <c r="DE104" i="19"/>
  <c r="DF104" i="19"/>
  <c r="DG104" i="19"/>
  <c r="DH104" i="19"/>
  <c r="DI104" i="19"/>
  <c r="DJ104" i="19"/>
  <c r="DK104" i="19"/>
  <c r="DL104" i="19"/>
  <c r="DM104" i="19"/>
  <c r="DN104" i="19"/>
  <c r="DO104" i="19"/>
  <c r="DP104" i="19"/>
  <c r="DQ104" i="19"/>
  <c r="DR104" i="19"/>
  <c r="DS104" i="19"/>
  <c r="DT104" i="19"/>
  <c r="DU104" i="19"/>
  <c r="DV104" i="19"/>
  <c r="DW104" i="19"/>
  <c r="DX104" i="19"/>
  <c r="DY104" i="19"/>
  <c r="DZ104" i="19"/>
  <c r="EA104" i="19"/>
  <c r="EB104" i="19"/>
  <c r="EC104" i="19"/>
  <c r="ED104"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FF104" i="19"/>
  <c r="FG104" i="19"/>
  <c r="FH104" i="19"/>
  <c r="FI104" i="19"/>
  <c r="FJ104" i="19"/>
  <c r="FK104" i="19"/>
  <c r="FL104" i="19"/>
  <c r="FM104" i="19"/>
  <c r="FN104" i="19"/>
  <c r="FO104" i="19"/>
  <c r="FP104" i="19"/>
  <c r="FQ104" i="19"/>
  <c r="FR104" i="19"/>
  <c r="FS104" i="19"/>
  <c r="FT104" i="19"/>
  <c r="FU104" i="19"/>
  <c r="FV104" i="19"/>
  <c r="FW104" i="19"/>
  <c r="FX104" i="19"/>
  <c r="FY104" i="19"/>
  <c r="FZ104" i="19"/>
  <c r="GA104" i="19"/>
  <c r="GB104" i="19"/>
  <c r="GC104" i="19"/>
  <c r="GD104" i="19"/>
  <c r="GE104" i="19"/>
  <c r="GF104" i="19"/>
  <c r="GG104" i="19"/>
  <c r="GH104" i="19"/>
  <c r="GI104" i="19"/>
  <c r="GJ104" i="19"/>
  <c r="GK104" i="19"/>
  <c r="GL104" i="19"/>
  <c r="GM104" i="19"/>
  <c r="GN104" i="19"/>
  <c r="GO104" i="19"/>
  <c r="GP104" i="19"/>
  <c r="GQ104" i="19"/>
  <c r="GR104" i="19"/>
  <c r="GS104" i="19"/>
  <c r="GT104" i="19"/>
  <c r="GU104" i="19"/>
  <c r="GV104" i="19"/>
  <c r="GW104" i="19"/>
  <c r="GX104" i="19"/>
  <c r="GY104" i="19"/>
  <c r="GZ104" i="19"/>
  <c r="HA104" i="19"/>
  <c r="HB104" i="19"/>
  <c r="HC104" i="19"/>
  <c r="HD104" i="19"/>
  <c r="HE104" i="19"/>
  <c r="HF104" i="19"/>
  <c r="HG104" i="19"/>
  <c r="HH104" i="19"/>
  <c r="HI104" i="19"/>
  <c r="HJ104" i="19"/>
  <c r="HK104" i="19"/>
  <c r="HL104" i="19"/>
  <c r="HM104" i="19"/>
  <c r="HN104" i="19"/>
  <c r="HO104" i="19"/>
  <c r="HP104" i="19"/>
  <c r="HQ104" i="19"/>
  <c r="HR104" i="19"/>
  <c r="HS104" i="19"/>
  <c r="HT104" i="19"/>
  <c r="HU104" i="19"/>
  <c r="HV104" i="19"/>
  <c r="HW104" i="19"/>
  <c r="HX104" i="19"/>
  <c r="HY104" i="19"/>
  <c r="HZ104" i="19"/>
  <c r="IA104" i="19"/>
  <c r="IB104" i="19"/>
  <c r="IC104" i="19"/>
  <c r="ID104" i="19"/>
  <c r="IE104" i="19"/>
  <c r="IF104" i="19"/>
  <c r="IG104" i="19"/>
  <c r="IH104" i="19"/>
  <c r="II104" i="19"/>
  <c r="IJ104" i="19"/>
  <c r="IK104" i="19"/>
  <c r="IL104" i="19"/>
  <c r="IM104" i="19"/>
  <c r="IN104" i="19"/>
  <c r="IO104" i="19"/>
  <c r="IP104" i="19"/>
  <c r="IQ104" i="19"/>
  <c r="IR104" i="19"/>
  <c r="IS104" i="19"/>
  <c r="IT104" i="19"/>
  <c r="IU104" i="19"/>
  <c r="IV104" i="19"/>
  <c r="IW104" i="19"/>
  <c r="IX104" i="19"/>
  <c r="IY104" i="19"/>
  <c r="IZ104" i="19"/>
  <c r="JA104" i="19"/>
  <c r="JB104" i="19"/>
  <c r="JC104" i="19"/>
  <c r="JD104" i="19"/>
  <c r="JE104" i="19"/>
  <c r="JF104" i="19"/>
  <c r="JG104" i="19"/>
  <c r="JH104" i="19"/>
  <c r="JI104" i="19"/>
  <c r="JJ104" i="19"/>
  <c r="JK104" i="19"/>
  <c r="JL104" i="19"/>
  <c r="JM104" i="19"/>
  <c r="JN104" i="19"/>
  <c r="JO104" i="19"/>
  <c r="JP104" i="19"/>
  <c r="JQ104" i="19"/>
  <c r="JR104" i="19"/>
  <c r="JS104" i="19"/>
  <c r="JT104" i="19"/>
  <c r="JU104" i="19"/>
  <c r="JV104" i="19"/>
  <c r="JW104" i="19"/>
  <c r="JX104" i="19"/>
  <c r="JY104" i="19"/>
  <c r="JZ104" i="19"/>
  <c r="KA104" i="19"/>
  <c r="KB104"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CA105" i="19"/>
  <c r="CB105" i="19"/>
  <c r="CC105" i="19"/>
  <c r="CD105" i="19"/>
  <c r="CE105" i="19"/>
  <c r="CF105" i="19"/>
  <c r="CG105" i="19"/>
  <c r="CH105" i="19"/>
  <c r="CI105" i="19"/>
  <c r="CJ105" i="19"/>
  <c r="CK105" i="19"/>
  <c r="CL105" i="19"/>
  <c r="CM105" i="19"/>
  <c r="CN105" i="19"/>
  <c r="CO105" i="19"/>
  <c r="CP105" i="19"/>
  <c r="CQ105" i="19"/>
  <c r="CR105" i="19"/>
  <c r="CS105" i="19"/>
  <c r="CT105" i="19"/>
  <c r="CU105" i="19"/>
  <c r="CV105" i="19"/>
  <c r="CW105" i="19"/>
  <c r="CX105" i="19"/>
  <c r="CY105" i="19"/>
  <c r="CZ105" i="19"/>
  <c r="DA105" i="19"/>
  <c r="DB105" i="19"/>
  <c r="DC105" i="19"/>
  <c r="DD105" i="19"/>
  <c r="DE105" i="19"/>
  <c r="DF105" i="19"/>
  <c r="DG105" i="19"/>
  <c r="DH105" i="19"/>
  <c r="DI105" i="19"/>
  <c r="DJ105" i="19"/>
  <c r="DK105" i="19"/>
  <c r="DL105" i="19"/>
  <c r="DM105" i="19"/>
  <c r="DN105" i="19"/>
  <c r="DO105" i="19"/>
  <c r="DP105" i="19"/>
  <c r="DQ105" i="19"/>
  <c r="DR105" i="19"/>
  <c r="DS105" i="19"/>
  <c r="DT105" i="19"/>
  <c r="DU105" i="19"/>
  <c r="DV105" i="19"/>
  <c r="DW105" i="19"/>
  <c r="DX105" i="19"/>
  <c r="DY105" i="19"/>
  <c r="DZ105" i="19"/>
  <c r="EA105" i="19"/>
  <c r="EB105" i="19"/>
  <c r="EC105" i="19"/>
  <c r="ED105"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FF105" i="19"/>
  <c r="FG105" i="19"/>
  <c r="FH105" i="19"/>
  <c r="FI105" i="19"/>
  <c r="FJ105" i="19"/>
  <c r="FK105" i="19"/>
  <c r="FL105" i="19"/>
  <c r="FM105" i="19"/>
  <c r="FN105" i="19"/>
  <c r="FO105" i="19"/>
  <c r="FP105" i="19"/>
  <c r="FQ105" i="19"/>
  <c r="FR105" i="19"/>
  <c r="FS105" i="19"/>
  <c r="FT105" i="19"/>
  <c r="FU105" i="19"/>
  <c r="FV105" i="19"/>
  <c r="FW105" i="19"/>
  <c r="FX105" i="19"/>
  <c r="FY105" i="19"/>
  <c r="FZ105" i="19"/>
  <c r="GA105" i="19"/>
  <c r="GB105" i="19"/>
  <c r="GC105" i="19"/>
  <c r="GD105" i="19"/>
  <c r="GE105" i="19"/>
  <c r="GF105" i="19"/>
  <c r="GG105" i="19"/>
  <c r="GH105" i="19"/>
  <c r="GI105" i="19"/>
  <c r="GJ105" i="19"/>
  <c r="GK105" i="19"/>
  <c r="GL105" i="19"/>
  <c r="GM105" i="19"/>
  <c r="GN105" i="19"/>
  <c r="GO105" i="19"/>
  <c r="GP105" i="19"/>
  <c r="GQ105" i="19"/>
  <c r="GR105" i="19"/>
  <c r="GS105" i="19"/>
  <c r="GT105" i="19"/>
  <c r="GU105" i="19"/>
  <c r="GV105" i="19"/>
  <c r="GW105" i="19"/>
  <c r="GX105" i="19"/>
  <c r="GY105" i="19"/>
  <c r="GZ105" i="19"/>
  <c r="HA105" i="19"/>
  <c r="HB105" i="19"/>
  <c r="HC105" i="19"/>
  <c r="HD105" i="19"/>
  <c r="HE105" i="19"/>
  <c r="HF105" i="19"/>
  <c r="HG105" i="19"/>
  <c r="HH105" i="19"/>
  <c r="HI105" i="19"/>
  <c r="HJ105" i="19"/>
  <c r="HK105" i="19"/>
  <c r="HL105" i="19"/>
  <c r="HM105" i="19"/>
  <c r="HN105" i="19"/>
  <c r="HO105" i="19"/>
  <c r="HP105" i="19"/>
  <c r="HQ105" i="19"/>
  <c r="HR105" i="19"/>
  <c r="HS105" i="19"/>
  <c r="HT105" i="19"/>
  <c r="HU105" i="19"/>
  <c r="HV105" i="19"/>
  <c r="HW105" i="19"/>
  <c r="HX105" i="19"/>
  <c r="HY105" i="19"/>
  <c r="HZ105" i="19"/>
  <c r="IA105" i="19"/>
  <c r="IB105" i="19"/>
  <c r="IC105" i="19"/>
  <c r="ID105" i="19"/>
  <c r="IE105" i="19"/>
  <c r="IF105" i="19"/>
  <c r="IG105" i="19"/>
  <c r="IH105" i="19"/>
  <c r="II105" i="19"/>
  <c r="IJ105" i="19"/>
  <c r="IK105" i="19"/>
  <c r="IL105" i="19"/>
  <c r="IM105" i="19"/>
  <c r="IN105" i="19"/>
  <c r="IO105" i="19"/>
  <c r="IP105" i="19"/>
  <c r="IQ105" i="19"/>
  <c r="IR105" i="19"/>
  <c r="IS105" i="19"/>
  <c r="IT105" i="19"/>
  <c r="IU105" i="19"/>
  <c r="IV105" i="19"/>
  <c r="IW105" i="19"/>
  <c r="IX105" i="19"/>
  <c r="IY105" i="19"/>
  <c r="IZ105" i="19"/>
  <c r="JA105" i="19"/>
  <c r="JB105" i="19"/>
  <c r="JC105" i="19"/>
  <c r="JD105" i="19"/>
  <c r="JE105" i="19"/>
  <c r="JF105" i="19"/>
  <c r="JG105" i="19"/>
  <c r="JH105" i="19"/>
  <c r="JI105" i="19"/>
  <c r="JJ105" i="19"/>
  <c r="JK105" i="19"/>
  <c r="JL105" i="19"/>
  <c r="JM105" i="19"/>
  <c r="JN105" i="19"/>
  <c r="JO105" i="19"/>
  <c r="JP105" i="19"/>
  <c r="JQ105" i="19"/>
  <c r="JR105" i="19"/>
  <c r="JS105" i="19"/>
  <c r="JT105" i="19"/>
  <c r="JU105" i="19"/>
  <c r="JV105" i="19"/>
  <c r="JW105" i="19"/>
  <c r="JX105" i="19"/>
  <c r="JY105" i="19"/>
  <c r="JZ105" i="19"/>
  <c r="KA105" i="19"/>
  <c r="KB105"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E106" i="19"/>
  <c r="BF106" i="19"/>
  <c r="BG106" i="19"/>
  <c r="BH106" i="19"/>
  <c r="BI106" i="19"/>
  <c r="BJ106" i="19"/>
  <c r="BK106" i="19"/>
  <c r="BL106" i="19"/>
  <c r="BM106" i="19"/>
  <c r="BN106" i="19"/>
  <c r="BO106" i="19"/>
  <c r="BP106" i="19"/>
  <c r="BQ106" i="19"/>
  <c r="BR106" i="19"/>
  <c r="BS106" i="19"/>
  <c r="BT106" i="19"/>
  <c r="BU106" i="19"/>
  <c r="BV106" i="19"/>
  <c r="BW106" i="19"/>
  <c r="BX106" i="19"/>
  <c r="BY106" i="19"/>
  <c r="BZ106" i="19"/>
  <c r="CA106" i="19"/>
  <c r="CB106" i="19"/>
  <c r="CC106" i="19"/>
  <c r="CD106" i="19"/>
  <c r="CE106" i="19"/>
  <c r="CF106" i="19"/>
  <c r="CG106" i="19"/>
  <c r="CH106" i="19"/>
  <c r="CI106" i="19"/>
  <c r="CJ106" i="19"/>
  <c r="CK106" i="19"/>
  <c r="CL106" i="19"/>
  <c r="CM106" i="19"/>
  <c r="CN106" i="19"/>
  <c r="CO106" i="19"/>
  <c r="CP106" i="19"/>
  <c r="CQ106" i="19"/>
  <c r="CR106" i="19"/>
  <c r="CS106" i="19"/>
  <c r="CT106" i="19"/>
  <c r="CU106" i="19"/>
  <c r="CV106" i="19"/>
  <c r="CW106" i="19"/>
  <c r="CX106" i="19"/>
  <c r="CY106" i="19"/>
  <c r="CZ106" i="19"/>
  <c r="DA106" i="19"/>
  <c r="DB106" i="19"/>
  <c r="DC106" i="19"/>
  <c r="DD106" i="19"/>
  <c r="DE106" i="19"/>
  <c r="DF106" i="19"/>
  <c r="DG106" i="19"/>
  <c r="DH106" i="19"/>
  <c r="DI106" i="19"/>
  <c r="DJ106" i="19"/>
  <c r="DK106" i="19"/>
  <c r="DL106" i="19"/>
  <c r="DM106" i="19"/>
  <c r="DN106" i="19"/>
  <c r="DO106" i="19"/>
  <c r="DP106" i="19"/>
  <c r="DQ106" i="19"/>
  <c r="DR106" i="19"/>
  <c r="DS106" i="19"/>
  <c r="DT106" i="19"/>
  <c r="DU106" i="19"/>
  <c r="DV106" i="19"/>
  <c r="DW106" i="19"/>
  <c r="DX106" i="19"/>
  <c r="DY106" i="19"/>
  <c r="DZ106" i="19"/>
  <c r="EA106" i="19"/>
  <c r="EB106" i="19"/>
  <c r="EC106" i="19"/>
  <c r="ED106"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FF106" i="19"/>
  <c r="FG106" i="19"/>
  <c r="FH106" i="19"/>
  <c r="FI106" i="19"/>
  <c r="FJ106" i="19"/>
  <c r="FK106" i="19"/>
  <c r="FL106" i="19"/>
  <c r="FM106" i="19"/>
  <c r="FN106" i="19"/>
  <c r="FO106" i="19"/>
  <c r="FP106" i="19"/>
  <c r="FQ106" i="19"/>
  <c r="FR106" i="19"/>
  <c r="FS106" i="19"/>
  <c r="FT106" i="19"/>
  <c r="FU106" i="19"/>
  <c r="FV106" i="19"/>
  <c r="FW106" i="19"/>
  <c r="FX106" i="19"/>
  <c r="FY106" i="19"/>
  <c r="FZ106" i="19"/>
  <c r="GA106" i="19"/>
  <c r="GB106" i="19"/>
  <c r="GC106" i="19"/>
  <c r="GD106" i="19"/>
  <c r="GE106" i="19"/>
  <c r="GF106" i="19"/>
  <c r="GG106" i="19"/>
  <c r="GH106" i="19"/>
  <c r="GI106" i="19"/>
  <c r="GJ106" i="19"/>
  <c r="GK106" i="19"/>
  <c r="GL106" i="19"/>
  <c r="GM106" i="19"/>
  <c r="GN106" i="19"/>
  <c r="GO106" i="19"/>
  <c r="GP106" i="19"/>
  <c r="GQ106" i="19"/>
  <c r="GR106" i="19"/>
  <c r="GS106" i="19"/>
  <c r="GT106" i="19"/>
  <c r="GU106" i="19"/>
  <c r="GV106" i="19"/>
  <c r="GW106" i="19"/>
  <c r="GX106" i="19"/>
  <c r="GY106" i="19"/>
  <c r="GZ106" i="19"/>
  <c r="HA106" i="19"/>
  <c r="HB106" i="19"/>
  <c r="HC106" i="19"/>
  <c r="HD106" i="19"/>
  <c r="HE106" i="19"/>
  <c r="HF106" i="19"/>
  <c r="HG106" i="19"/>
  <c r="HH106" i="19"/>
  <c r="HI106" i="19"/>
  <c r="HJ106" i="19"/>
  <c r="HK106" i="19"/>
  <c r="HL106" i="19"/>
  <c r="HM106" i="19"/>
  <c r="HN106" i="19"/>
  <c r="HO106" i="19"/>
  <c r="HP106" i="19"/>
  <c r="HQ106" i="19"/>
  <c r="HR106" i="19"/>
  <c r="HS106" i="19"/>
  <c r="HT106" i="19"/>
  <c r="HU106" i="19"/>
  <c r="HV106" i="19"/>
  <c r="HW106" i="19"/>
  <c r="HX106" i="19"/>
  <c r="HY106" i="19"/>
  <c r="HZ106" i="19"/>
  <c r="IA106" i="19"/>
  <c r="IB106" i="19"/>
  <c r="IC106" i="19"/>
  <c r="ID106" i="19"/>
  <c r="IE106" i="19"/>
  <c r="IF106" i="19"/>
  <c r="IG106" i="19"/>
  <c r="IH106" i="19"/>
  <c r="II106" i="19"/>
  <c r="IJ106" i="19"/>
  <c r="IK106" i="19"/>
  <c r="IL106" i="19"/>
  <c r="IM106" i="19"/>
  <c r="IN106" i="19"/>
  <c r="IO106" i="19"/>
  <c r="IP106" i="19"/>
  <c r="IQ106" i="19"/>
  <c r="IR106" i="19"/>
  <c r="IS106" i="19"/>
  <c r="IT106" i="19"/>
  <c r="IU106" i="19"/>
  <c r="IV106" i="19"/>
  <c r="IW106" i="19"/>
  <c r="IX106" i="19"/>
  <c r="IY106" i="19"/>
  <c r="IZ106" i="19"/>
  <c r="JA106" i="19"/>
  <c r="JB106" i="19"/>
  <c r="JC106" i="19"/>
  <c r="JD106" i="19"/>
  <c r="JE106" i="19"/>
  <c r="JF106" i="19"/>
  <c r="JG106" i="19"/>
  <c r="JH106" i="19"/>
  <c r="JI106" i="19"/>
  <c r="JJ106" i="19"/>
  <c r="JK106" i="19"/>
  <c r="JL106" i="19"/>
  <c r="JM106" i="19"/>
  <c r="JN106" i="19"/>
  <c r="JO106" i="19"/>
  <c r="JP106" i="19"/>
  <c r="JQ106" i="19"/>
  <c r="JR106" i="19"/>
  <c r="JS106" i="19"/>
  <c r="JT106" i="19"/>
  <c r="JU106" i="19"/>
  <c r="JV106" i="19"/>
  <c r="JW106" i="19"/>
  <c r="JX106" i="19"/>
  <c r="JY106" i="19"/>
  <c r="JZ106" i="19"/>
  <c r="KA106" i="19"/>
  <c r="KB106" i="19"/>
  <c r="B109"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CA109" i="19"/>
  <c r="CB109" i="19"/>
  <c r="CC109" i="19"/>
  <c r="CD109" i="19"/>
  <c r="CE109" i="19"/>
  <c r="CF109" i="19"/>
  <c r="CG109" i="19"/>
  <c r="CH109" i="19"/>
  <c r="CI109" i="19"/>
  <c r="CJ109" i="19"/>
  <c r="CK109" i="19"/>
  <c r="CL109" i="19"/>
  <c r="CM109" i="19"/>
  <c r="CN109" i="19"/>
  <c r="CO109" i="19"/>
  <c r="CP109" i="19"/>
  <c r="CQ109" i="19"/>
  <c r="CR109" i="19"/>
  <c r="CS109" i="19"/>
  <c r="CT109" i="19"/>
  <c r="CU109" i="19"/>
  <c r="CV109" i="19"/>
  <c r="CW109" i="19"/>
  <c r="CX109" i="19"/>
  <c r="CY109" i="19"/>
  <c r="CZ109" i="19"/>
  <c r="DA109" i="19"/>
  <c r="DB109" i="19"/>
  <c r="DC109" i="19"/>
  <c r="DD109" i="19"/>
  <c r="DE109" i="19"/>
  <c r="DF109" i="19"/>
  <c r="DG109" i="19"/>
  <c r="DH109" i="19"/>
  <c r="DI109" i="19"/>
  <c r="DJ109" i="19"/>
  <c r="DK109" i="19"/>
  <c r="DL109" i="19"/>
  <c r="DM109" i="19"/>
  <c r="DN109" i="19"/>
  <c r="DO109" i="19"/>
  <c r="DP109" i="19"/>
  <c r="DQ109" i="19"/>
  <c r="DR109" i="19"/>
  <c r="DS109" i="19"/>
  <c r="DT109" i="19"/>
  <c r="DU109" i="19"/>
  <c r="DV109" i="19"/>
  <c r="DW109" i="19"/>
  <c r="DX109" i="19"/>
  <c r="DY109" i="19"/>
  <c r="DZ109" i="19"/>
  <c r="EA109" i="19"/>
  <c r="EB109" i="19"/>
  <c r="EC109" i="19"/>
  <c r="ED109" i="19"/>
  <c r="EE109" i="19"/>
  <c r="EF109" i="19"/>
  <c r="EG109" i="19"/>
  <c r="EH109" i="19"/>
  <c r="EI109" i="19"/>
  <c r="EJ109" i="19"/>
  <c r="EK109" i="19"/>
  <c r="EL109" i="19"/>
  <c r="EM109" i="19"/>
  <c r="EN109" i="19"/>
  <c r="EO109" i="19"/>
  <c r="EP109" i="19"/>
  <c r="EQ109" i="19"/>
  <c r="ER109" i="19"/>
  <c r="ES109" i="19"/>
  <c r="ET109" i="19"/>
  <c r="EU109" i="19"/>
  <c r="EV109" i="19"/>
  <c r="EW109" i="19"/>
  <c r="EX109" i="19"/>
  <c r="EY109" i="19"/>
  <c r="EZ109" i="19"/>
  <c r="FA109" i="19"/>
  <c r="FB109" i="19"/>
  <c r="FC109" i="19"/>
  <c r="FD109" i="19"/>
  <c r="FE109" i="19"/>
  <c r="FF109" i="19"/>
  <c r="FG109" i="19"/>
  <c r="FH109" i="19"/>
  <c r="FI109" i="19"/>
  <c r="FJ109" i="19"/>
  <c r="FK109" i="19"/>
  <c r="FL109" i="19"/>
  <c r="FM109" i="19"/>
  <c r="FN109" i="19"/>
  <c r="FO109" i="19"/>
  <c r="FP109" i="19"/>
  <c r="FQ109" i="19"/>
  <c r="FR109" i="19"/>
  <c r="FS109" i="19"/>
  <c r="FT109" i="19"/>
  <c r="FU109" i="19"/>
  <c r="FV109" i="19"/>
  <c r="FW109" i="19"/>
  <c r="FX109" i="19"/>
  <c r="FY109" i="19"/>
  <c r="FZ109" i="19"/>
  <c r="GA109" i="19"/>
  <c r="GB109" i="19"/>
  <c r="GC109" i="19"/>
  <c r="GD109" i="19"/>
  <c r="GE109" i="19"/>
  <c r="GF109" i="19"/>
  <c r="GG109" i="19"/>
  <c r="GH109" i="19"/>
  <c r="GI109" i="19"/>
  <c r="GJ109" i="19"/>
  <c r="GK109" i="19"/>
  <c r="GL109" i="19"/>
  <c r="GM109" i="19"/>
  <c r="GN109" i="19"/>
  <c r="GO109" i="19"/>
  <c r="GP109" i="19"/>
  <c r="GQ109" i="19"/>
  <c r="GR109" i="19"/>
  <c r="GS109" i="19"/>
  <c r="GT109" i="19"/>
  <c r="GU109" i="19"/>
  <c r="GV109" i="19"/>
  <c r="GW109" i="19"/>
  <c r="GX109" i="19"/>
  <c r="GY109" i="19"/>
  <c r="GZ109" i="19"/>
  <c r="HA109" i="19"/>
  <c r="HB109" i="19"/>
  <c r="HC109" i="19"/>
  <c r="HD109" i="19"/>
  <c r="HE109" i="19"/>
  <c r="HF109" i="19"/>
  <c r="HG109" i="19"/>
  <c r="HH109" i="19"/>
  <c r="HI109" i="19"/>
  <c r="HJ109" i="19"/>
  <c r="HK109" i="19"/>
  <c r="HL109" i="19"/>
  <c r="HM109" i="19"/>
  <c r="HN109" i="19"/>
  <c r="HO109" i="19"/>
  <c r="HP109" i="19"/>
  <c r="HQ109" i="19"/>
  <c r="HR109" i="19"/>
  <c r="HS109" i="19"/>
  <c r="HT109" i="19"/>
  <c r="HU109" i="19"/>
  <c r="HV109" i="19"/>
  <c r="HW109" i="19"/>
  <c r="HX109" i="19"/>
  <c r="HY109" i="19"/>
  <c r="HZ109" i="19"/>
  <c r="IA109" i="19"/>
  <c r="IB109" i="19"/>
  <c r="IC109" i="19"/>
  <c r="ID109" i="19"/>
  <c r="IE109" i="19"/>
  <c r="IF109" i="19"/>
  <c r="IG109" i="19"/>
  <c r="IH109" i="19"/>
  <c r="II109" i="19"/>
  <c r="IJ109" i="19"/>
  <c r="IK109" i="19"/>
  <c r="IL109" i="19"/>
  <c r="IM109" i="19"/>
  <c r="IN109" i="19"/>
  <c r="IO109" i="19"/>
  <c r="IP109" i="19"/>
  <c r="IQ109" i="19"/>
  <c r="IR109" i="19"/>
  <c r="IS109" i="19"/>
  <c r="IT109" i="19"/>
  <c r="IU109" i="19"/>
  <c r="IV109" i="19"/>
  <c r="IW109" i="19"/>
  <c r="IX109" i="19"/>
  <c r="IY109" i="19"/>
  <c r="IZ109" i="19"/>
  <c r="JA109" i="19"/>
  <c r="JB109" i="19"/>
  <c r="JC109" i="19"/>
  <c r="JD109" i="19"/>
  <c r="JE109" i="19"/>
  <c r="JF109" i="19"/>
  <c r="JG109" i="19"/>
  <c r="JH109" i="19"/>
  <c r="JI109" i="19"/>
  <c r="JJ109" i="19"/>
  <c r="JK109" i="19"/>
  <c r="JL109" i="19"/>
  <c r="JM109" i="19"/>
  <c r="JN109" i="19"/>
  <c r="JO109" i="19"/>
  <c r="JP109" i="19"/>
  <c r="JQ109" i="19"/>
  <c r="JR109" i="19"/>
  <c r="JS109" i="19"/>
  <c r="JT109" i="19"/>
  <c r="JU109" i="19"/>
  <c r="JV109" i="19"/>
  <c r="JW109" i="19"/>
  <c r="JX109" i="19"/>
  <c r="JY109" i="19"/>
  <c r="JZ109" i="19"/>
  <c r="KA109" i="19"/>
  <c r="KB109" i="19"/>
  <c r="B110"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CA110" i="19"/>
  <c r="CB110" i="19"/>
  <c r="CC110" i="19"/>
  <c r="CD110" i="19"/>
  <c r="CE110" i="19"/>
  <c r="CF110" i="19"/>
  <c r="CG110" i="19"/>
  <c r="CH110" i="19"/>
  <c r="CI110" i="19"/>
  <c r="CJ110" i="19"/>
  <c r="CK110" i="19"/>
  <c r="CL110" i="19"/>
  <c r="CM110" i="19"/>
  <c r="CN110" i="19"/>
  <c r="CO110" i="19"/>
  <c r="CP110" i="19"/>
  <c r="CQ110" i="19"/>
  <c r="CR110" i="19"/>
  <c r="CS110" i="19"/>
  <c r="CT110" i="19"/>
  <c r="CU110" i="19"/>
  <c r="CV110" i="19"/>
  <c r="CW110" i="19"/>
  <c r="CX110" i="19"/>
  <c r="CY110" i="19"/>
  <c r="CZ110" i="19"/>
  <c r="DA110" i="19"/>
  <c r="DB110" i="19"/>
  <c r="DC110" i="19"/>
  <c r="DD110" i="19"/>
  <c r="DE110" i="19"/>
  <c r="DF110" i="19"/>
  <c r="DG110" i="19"/>
  <c r="DH110" i="19"/>
  <c r="DI110" i="19"/>
  <c r="DJ110" i="19"/>
  <c r="DK110" i="19"/>
  <c r="DL110" i="19"/>
  <c r="DM110" i="19"/>
  <c r="DN110" i="19"/>
  <c r="DO110" i="19"/>
  <c r="DP110" i="19"/>
  <c r="DQ110" i="19"/>
  <c r="DR110" i="19"/>
  <c r="DS110" i="19"/>
  <c r="DT110" i="19"/>
  <c r="DU110" i="19"/>
  <c r="DV110" i="19"/>
  <c r="DW110" i="19"/>
  <c r="DX110" i="19"/>
  <c r="DY110" i="19"/>
  <c r="DZ110" i="19"/>
  <c r="EA110" i="19"/>
  <c r="EB110" i="19"/>
  <c r="EC110" i="19"/>
  <c r="ED110" i="19"/>
  <c r="EE110" i="19"/>
  <c r="EF110" i="19"/>
  <c r="EG110" i="19"/>
  <c r="EH110" i="19"/>
  <c r="EI110" i="19"/>
  <c r="EJ110" i="19"/>
  <c r="EK110" i="19"/>
  <c r="EL110" i="19"/>
  <c r="EM110" i="19"/>
  <c r="EN110" i="19"/>
  <c r="EO110" i="19"/>
  <c r="EP110" i="19"/>
  <c r="EQ110" i="19"/>
  <c r="ER110" i="19"/>
  <c r="ES110" i="19"/>
  <c r="ET110" i="19"/>
  <c r="EU110" i="19"/>
  <c r="EV110" i="19"/>
  <c r="EW110" i="19"/>
  <c r="EX110" i="19"/>
  <c r="EY110" i="19"/>
  <c r="EZ110" i="19"/>
  <c r="FA110" i="19"/>
  <c r="FB110" i="19"/>
  <c r="FC110" i="19"/>
  <c r="FD110" i="19"/>
  <c r="FE110" i="19"/>
  <c r="FF110" i="19"/>
  <c r="FG110" i="19"/>
  <c r="FH110" i="19"/>
  <c r="FI110" i="19"/>
  <c r="FJ110" i="19"/>
  <c r="FK110" i="19"/>
  <c r="FL110" i="19"/>
  <c r="FM110" i="19"/>
  <c r="FN110" i="19"/>
  <c r="FO110" i="19"/>
  <c r="FP110" i="19"/>
  <c r="FQ110" i="19"/>
  <c r="FR110" i="19"/>
  <c r="FS110" i="19"/>
  <c r="FT110" i="19"/>
  <c r="FU110" i="19"/>
  <c r="FV110" i="19"/>
  <c r="FW110" i="19"/>
  <c r="FX110" i="19"/>
  <c r="FY110" i="19"/>
  <c r="FZ110" i="19"/>
  <c r="GA110" i="19"/>
  <c r="GB110" i="19"/>
  <c r="GC110" i="19"/>
  <c r="GD110" i="19"/>
  <c r="GE110" i="19"/>
  <c r="GF110" i="19"/>
  <c r="GG110" i="19"/>
  <c r="GH110" i="19"/>
  <c r="GI110" i="19"/>
  <c r="GJ110" i="19"/>
  <c r="GK110" i="19"/>
  <c r="GL110" i="19"/>
  <c r="GM110" i="19"/>
  <c r="GN110" i="19"/>
  <c r="GO110" i="19"/>
  <c r="GP110" i="19"/>
  <c r="GQ110" i="19"/>
  <c r="GR110" i="19"/>
  <c r="GS110" i="19"/>
  <c r="GT110" i="19"/>
  <c r="GU110" i="19"/>
  <c r="GV110" i="19"/>
  <c r="GW110" i="19"/>
  <c r="GX110" i="19"/>
  <c r="GY110" i="19"/>
  <c r="GZ110" i="19"/>
  <c r="HA110" i="19"/>
  <c r="HB110" i="19"/>
  <c r="HC110" i="19"/>
  <c r="HD110" i="19"/>
  <c r="HE110" i="19"/>
  <c r="HF110" i="19"/>
  <c r="HG110" i="19"/>
  <c r="HH110" i="19"/>
  <c r="HI110" i="19"/>
  <c r="HJ110" i="19"/>
  <c r="HK110" i="19"/>
  <c r="HL110" i="19"/>
  <c r="HM110" i="19"/>
  <c r="HN110" i="19"/>
  <c r="HO110" i="19"/>
  <c r="HP110" i="19"/>
  <c r="HQ110" i="19"/>
  <c r="HR110" i="19"/>
  <c r="HS110" i="19"/>
  <c r="HT110" i="19"/>
  <c r="HU110" i="19"/>
  <c r="HV110" i="19"/>
  <c r="HW110" i="19"/>
  <c r="HX110" i="19"/>
  <c r="HY110" i="19"/>
  <c r="HZ110" i="19"/>
  <c r="IA110" i="19"/>
  <c r="IB110" i="19"/>
  <c r="IC110" i="19"/>
  <c r="ID110" i="19"/>
  <c r="IE110" i="19"/>
  <c r="IF110" i="19"/>
  <c r="IG110" i="19"/>
  <c r="IH110" i="19"/>
  <c r="II110" i="19"/>
  <c r="IJ110" i="19"/>
  <c r="IK110" i="19"/>
  <c r="IL110" i="19"/>
  <c r="IM110" i="19"/>
  <c r="IN110" i="19"/>
  <c r="IO110" i="19"/>
  <c r="IP110" i="19"/>
  <c r="IQ110" i="19"/>
  <c r="IR110" i="19"/>
  <c r="IS110" i="19"/>
  <c r="IT110" i="19"/>
  <c r="IU110" i="19"/>
  <c r="IV110" i="19"/>
  <c r="IW110" i="19"/>
  <c r="IX110" i="19"/>
  <c r="IY110" i="19"/>
  <c r="IZ110" i="19"/>
  <c r="JA110" i="19"/>
  <c r="JB110" i="19"/>
  <c r="JC110" i="19"/>
  <c r="JD110" i="19"/>
  <c r="JE110" i="19"/>
  <c r="JF110" i="19"/>
  <c r="JG110" i="19"/>
  <c r="JH110" i="19"/>
  <c r="JI110" i="19"/>
  <c r="JJ110" i="19"/>
  <c r="JK110" i="19"/>
  <c r="JL110" i="19"/>
  <c r="JM110" i="19"/>
  <c r="JN110" i="19"/>
  <c r="JO110" i="19"/>
  <c r="JP110" i="19"/>
  <c r="JQ110" i="19"/>
  <c r="JR110" i="19"/>
  <c r="JS110" i="19"/>
  <c r="JT110" i="19"/>
  <c r="JU110" i="19"/>
  <c r="JV110" i="19"/>
  <c r="JW110" i="19"/>
  <c r="JX110" i="19"/>
  <c r="JY110" i="19"/>
  <c r="JZ110" i="19"/>
  <c r="KA110" i="19"/>
  <c r="KB110" i="19"/>
  <c r="B111" i="19"/>
  <c r="C111"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CA111" i="19"/>
  <c r="CB111" i="19"/>
  <c r="CC111" i="19"/>
  <c r="CD111" i="19"/>
  <c r="CE111" i="19"/>
  <c r="CF111" i="19"/>
  <c r="CG111" i="19"/>
  <c r="CH111" i="19"/>
  <c r="CI111" i="19"/>
  <c r="CJ111" i="19"/>
  <c r="CK111" i="19"/>
  <c r="CL111" i="19"/>
  <c r="CM111" i="19"/>
  <c r="CN111" i="19"/>
  <c r="CO111" i="19"/>
  <c r="CP111" i="19"/>
  <c r="CQ111" i="19"/>
  <c r="CR111" i="19"/>
  <c r="CS111" i="19"/>
  <c r="CT111" i="19"/>
  <c r="CU111" i="19"/>
  <c r="CV111" i="19"/>
  <c r="CW111" i="19"/>
  <c r="CX111" i="19"/>
  <c r="CY111" i="19"/>
  <c r="CZ111" i="19"/>
  <c r="DA111" i="19"/>
  <c r="DB111" i="19"/>
  <c r="DC111" i="19"/>
  <c r="DD111" i="19"/>
  <c r="DE111" i="19"/>
  <c r="DF111" i="19"/>
  <c r="DG111" i="19"/>
  <c r="DH111" i="19"/>
  <c r="DI111" i="19"/>
  <c r="DJ111" i="19"/>
  <c r="DK111" i="19"/>
  <c r="DL111" i="19"/>
  <c r="DM111" i="19"/>
  <c r="DN111" i="19"/>
  <c r="DO111" i="19"/>
  <c r="DP111" i="19"/>
  <c r="DQ111" i="19"/>
  <c r="DR111" i="19"/>
  <c r="DS111" i="19"/>
  <c r="DT111" i="19"/>
  <c r="DU111" i="19"/>
  <c r="DV111" i="19"/>
  <c r="DW111" i="19"/>
  <c r="DX111" i="19"/>
  <c r="DY111" i="19"/>
  <c r="DZ111" i="19"/>
  <c r="EA111" i="19"/>
  <c r="EB111" i="19"/>
  <c r="EC111" i="19"/>
  <c r="ED111" i="19"/>
  <c r="EE111" i="19"/>
  <c r="EF111" i="19"/>
  <c r="EG111" i="19"/>
  <c r="EH111" i="19"/>
  <c r="EI111" i="19"/>
  <c r="EJ111" i="19"/>
  <c r="EK111" i="19"/>
  <c r="EL111" i="19"/>
  <c r="EM111" i="19"/>
  <c r="EN111" i="19"/>
  <c r="EO111" i="19"/>
  <c r="EP111" i="19"/>
  <c r="EQ111" i="19"/>
  <c r="ER111" i="19"/>
  <c r="ES111" i="19"/>
  <c r="ET111" i="19"/>
  <c r="EU111" i="19"/>
  <c r="EV111" i="19"/>
  <c r="EW111" i="19"/>
  <c r="EX111" i="19"/>
  <c r="EY111" i="19"/>
  <c r="EZ111" i="19"/>
  <c r="FA111" i="19"/>
  <c r="FB111" i="19"/>
  <c r="FC111" i="19"/>
  <c r="FD111" i="19"/>
  <c r="FE111" i="19"/>
  <c r="FF111" i="19"/>
  <c r="FG111" i="19"/>
  <c r="FH111" i="19"/>
  <c r="FI111" i="19"/>
  <c r="FJ111" i="19"/>
  <c r="FK111" i="19"/>
  <c r="FL111" i="19"/>
  <c r="FM111" i="19"/>
  <c r="FN111" i="19"/>
  <c r="FO111" i="19"/>
  <c r="FP111" i="19"/>
  <c r="FQ111" i="19"/>
  <c r="FR111" i="19"/>
  <c r="FS111" i="19"/>
  <c r="FT111" i="19"/>
  <c r="FU111" i="19"/>
  <c r="FV111" i="19"/>
  <c r="FW111" i="19"/>
  <c r="FX111" i="19"/>
  <c r="FY111" i="19"/>
  <c r="FZ111" i="19"/>
  <c r="GA111" i="19"/>
  <c r="GB111" i="19"/>
  <c r="GC111" i="19"/>
  <c r="GD111" i="19"/>
  <c r="GE111" i="19"/>
  <c r="GF111" i="19"/>
  <c r="GG111" i="19"/>
  <c r="GH111" i="19"/>
  <c r="GI111" i="19"/>
  <c r="GJ111" i="19"/>
  <c r="GK111" i="19"/>
  <c r="GL111" i="19"/>
  <c r="GM111" i="19"/>
  <c r="GN111" i="19"/>
  <c r="GO111" i="19"/>
  <c r="GP111" i="19"/>
  <c r="GQ111" i="19"/>
  <c r="GR111" i="19"/>
  <c r="GS111" i="19"/>
  <c r="GT111" i="19"/>
  <c r="GU111" i="19"/>
  <c r="GV111" i="19"/>
  <c r="GW111" i="19"/>
  <c r="GX111" i="19"/>
  <c r="GY111" i="19"/>
  <c r="GZ111" i="19"/>
  <c r="HA111" i="19"/>
  <c r="HB111" i="19"/>
  <c r="HC111" i="19"/>
  <c r="HD111" i="19"/>
  <c r="HE111" i="19"/>
  <c r="HF111" i="19"/>
  <c r="HG111" i="19"/>
  <c r="HH111" i="19"/>
  <c r="HI111" i="19"/>
  <c r="HJ111" i="19"/>
  <c r="HK111" i="19"/>
  <c r="HL111" i="19"/>
  <c r="HM111" i="19"/>
  <c r="HN111" i="19"/>
  <c r="HO111" i="19"/>
  <c r="HP111" i="19"/>
  <c r="HQ111" i="19"/>
  <c r="HR111" i="19"/>
  <c r="HS111" i="19"/>
  <c r="HT111" i="19"/>
  <c r="HU111" i="19"/>
  <c r="HV111" i="19"/>
  <c r="HW111" i="19"/>
  <c r="HX111" i="19"/>
  <c r="HY111" i="19"/>
  <c r="HZ111" i="19"/>
  <c r="IA111" i="19"/>
  <c r="IB111" i="19"/>
  <c r="IC111" i="19"/>
  <c r="ID111" i="19"/>
  <c r="IE111" i="19"/>
  <c r="IF111" i="19"/>
  <c r="IG111" i="19"/>
  <c r="IH111" i="19"/>
  <c r="II111" i="19"/>
  <c r="IJ111" i="19"/>
  <c r="IK111" i="19"/>
  <c r="IL111" i="19"/>
  <c r="IM111" i="19"/>
  <c r="IN111" i="19"/>
  <c r="IO111" i="19"/>
  <c r="IP111" i="19"/>
  <c r="IQ111" i="19"/>
  <c r="IR111" i="19"/>
  <c r="IS111" i="19"/>
  <c r="IT111" i="19"/>
  <c r="IU111" i="19"/>
  <c r="IV111" i="19"/>
  <c r="IW111" i="19"/>
  <c r="IX111" i="19"/>
  <c r="IY111" i="19"/>
  <c r="IZ111" i="19"/>
  <c r="JA111" i="19"/>
  <c r="JB111" i="19"/>
  <c r="JC111" i="19"/>
  <c r="JD111" i="19"/>
  <c r="JE111" i="19"/>
  <c r="JF111" i="19"/>
  <c r="JG111" i="19"/>
  <c r="JH111" i="19"/>
  <c r="JI111" i="19"/>
  <c r="JJ111" i="19"/>
  <c r="JK111" i="19"/>
  <c r="JL111" i="19"/>
  <c r="JM111" i="19"/>
  <c r="JN111" i="19"/>
  <c r="JO111" i="19"/>
  <c r="JP111" i="19"/>
  <c r="JQ111" i="19"/>
  <c r="JR111" i="19"/>
  <c r="JS111" i="19"/>
  <c r="JT111" i="19"/>
  <c r="JU111" i="19"/>
  <c r="JV111" i="19"/>
  <c r="JW111" i="19"/>
  <c r="JX111" i="19"/>
  <c r="JY111" i="19"/>
  <c r="JZ111" i="19"/>
  <c r="KA111" i="19"/>
  <c r="KB111" i="19"/>
  <c r="C113"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E113" i="19"/>
  <c r="BF113" i="19"/>
  <c r="BG113" i="19"/>
  <c r="BH113" i="19"/>
  <c r="BI113" i="19"/>
  <c r="BJ113" i="19"/>
  <c r="BK113" i="19"/>
  <c r="BL113" i="19"/>
  <c r="BM113" i="19"/>
  <c r="BN113" i="19"/>
  <c r="BO113" i="19"/>
  <c r="BP113" i="19"/>
  <c r="BQ113" i="19"/>
  <c r="BR113" i="19"/>
  <c r="BS113" i="19"/>
  <c r="BT113" i="19"/>
  <c r="BU113" i="19"/>
  <c r="BV113" i="19"/>
  <c r="BW113" i="19"/>
  <c r="BX113" i="19"/>
  <c r="BY113" i="19"/>
  <c r="BZ113" i="19"/>
  <c r="CA113" i="19"/>
  <c r="CB113" i="19"/>
  <c r="CC113" i="19"/>
  <c r="CD113" i="19"/>
  <c r="CE113" i="19"/>
  <c r="CF113" i="19"/>
  <c r="CG113" i="19"/>
  <c r="CH113" i="19"/>
  <c r="CI113" i="19"/>
  <c r="CJ113" i="19"/>
  <c r="CK113" i="19"/>
  <c r="CL113" i="19"/>
  <c r="CM113" i="19"/>
  <c r="CN113" i="19"/>
  <c r="CO113" i="19"/>
  <c r="CP113" i="19"/>
  <c r="CQ113" i="19"/>
  <c r="CR113" i="19"/>
  <c r="CS113" i="19"/>
  <c r="CT113" i="19"/>
  <c r="CU113" i="19"/>
  <c r="CV113" i="19"/>
  <c r="CW113" i="19"/>
  <c r="CX113" i="19"/>
  <c r="CY113" i="19"/>
  <c r="CZ113" i="19"/>
  <c r="DA113" i="19"/>
  <c r="DB113" i="19"/>
  <c r="DC113" i="19"/>
  <c r="DD113" i="19"/>
  <c r="DE113" i="19"/>
  <c r="DF113" i="19"/>
  <c r="DG113" i="19"/>
  <c r="DH113" i="19"/>
  <c r="DI113" i="19"/>
  <c r="DJ113" i="19"/>
  <c r="DK113" i="19"/>
  <c r="DL113" i="19"/>
  <c r="DM113" i="19"/>
  <c r="DN113" i="19"/>
  <c r="DO113" i="19"/>
  <c r="DP113" i="19"/>
  <c r="DQ113" i="19"/>
  <c r="DR113" i="19"/>
  <c r="DS113" i="19"/>
  <c r="DT113" i="19"/>
  <c r="DU113" i="19"/>
  <c r="DV113" i="19"/>
  <c r="DW113" i="19"/>
  <c r="DX113" i="19"/>
  <c r="DY113" i="19"/>
  <c r="DZ113" i="19"/>
  <c r="EA113" i="19"/>
  <c r="EB113" i="19"/>
  <c r="EC113" i="19"/>
  <c r="ED113" i="19"/>
  <c r="EE113" i="19"/>
  <c r="EF113" i="19"/>
  <c r="EG113" i="19"/>
  <c r="EH113" i="19"/>
  <c r="EI113" i="19"/>
  <c r="EJ113" i="19"/>
  <c r="EK113" i="19"/>
  <c r="EL113" i="19"/>
  <c r="EM113" i="19"/>
  <c r="EN113" i="19"/>
  <c r="EO113" i="19"/>
  <c r="EP113" i="19"/>
  <c r="EQ113" i="19"/>
  <c r="ER113" i="19"/>
  <c r="ES113" i="19"/>
  <c r="ET113" i="19"/>
  <c r="EU113" i="19"/>
  <c r="EV113" i="19"/>
  <c r="EW113" i="19"/>
  <c r="EX113" i="19"/>
  <c r="EY113" i="19"/>
  <c r="EZ113" i="19"/>
  <c r="FA113" i="19"/>
  <c r="FB113" i="19"/>
  <c r="FC113" i="19"/>
  <c r="FD113" i="19"/>
  <c r="FE113" i="19"/>
  <c r="FF113" i="19"/>
  <c r="FG113" i="19"/>
  <c r="FH113" i="19"/>
  <c r="FI113" i="19"/>
  <c r="FJ113" i="19"/>
  <c r="FK113" i="19"/>
  <c r="FL113" i="19"/>
  <c r="FM113" i="19"/>
  <c r="FN113" i="19"/>
  <c r="FO113" i="19"/>
  <c r="FP113" i="19"/>
  <c r="FQ113" i="19"/>
  <c r="FR113" i="19"/>
  <c r="FS113" i="19"/>
  <c r="FT113" i="19"/>
  <c r="FU113" i="19"/>
  <c r="FV113" i="19"/>
  <c r="FW113" i="19"/>
  <c r="FX113" i="19"/>
  <c r="FY113" i="19"/>
  <c r="FZ113" i="19"/>
  <c r="GA113" i="19"/>
  <c r="GB113" i="19"/>
  <c r="GC113" i="19"/>
  <c r="GD113" i="19"/>
  <c r="GE113" i="19"/>
  <c r="GF113" i="19"/>
  <c r="GG113" i="19"/>
  <c r="GH113" i="19"/>
  <c r="GI113" i="19"/>
  <c r="GJ113" i="19"/>
  <c r="GK113" i="19"/>
  <c r="GL113" i="19"/>
  <c r="GM113" i="19"/>
  <c r="GN113" i="19"/>
  <c r="GO113" i="19"/>
  <c r="GP113" i="19"/>
  <c r="GQ113" i="19"/>
  <c r="GR113" i="19"/>
  <c r="GS113" i="19"/>
  <c r="GT113" i="19"/>
  <c r="GU113" i="19"/>
  <c r="GV113" i="19"/>
  <c r="GW113" i="19"/>
  <c r="GX113" i="19"/>
  <c r="GY113" i="19"/>
  <c r="GZ113" i="19"/>
  <c r="HA113" i="19"/>
  <c r="HB113" i="19"/>
  <c r="HC113" i="19"/>
  <c r="HD113" i="19"/>
  <c r="HE113" i="19"/>
  <c r="HF113" i="19"/>
  <c r="HG113" i="19"/>
  <c r="HH113" i="19"/>
  <c r="HI113" i="19"/>
  <c r="HJ113" i="19"/>
  <c r="HK113" i="19"/>
  <c r="HL113" i="19"/>
  <c r="HM113" i="19"/>
  <c r="HN113" i="19"/>
  <c r="HO113" i="19"/>
  <c r="HP113" i="19"/>
  <c r="HQ113" i="19"/>
  <c r="HR113" i="19"/>
  <c r="HS113" i="19"/>
  <c r="HT113" i="19"/>
  <c r="HU113" i="19"/>
  <c r="HV113" i="19"/>
  <c r="HW113" i="19"/>
  <c r="HX113" i="19"/>
  <c r="HY113" i="19"/>
  <c r="HZ113" i="19"/>
  <c r="IA113" i="19"/>
  <c r="IB113" i="19"/>
  <c r="IC113" i="19"/>
  <c r="ID113" i="19"/>
  <c r="IE113" i="19"/>
  <c r="IF113" i="19"/>
  <c r="IG113" i="19"/>
  <c r="IH113" i="19"/>
  <c r="II113" i="19"/>
  <c r="IJ113" i="19"/>
  <c r="IK113" i="19"/>
  <c r="IL113" i="19"/>
  <c r="IM113" i="19"/>
  <c r="IN113" i="19"/>
  <c r="IO113" i="19"/>
  <c r="IP113" i="19"/>
  <c r="IQ113" i="19"/>
  <c r="IR113" i="19"/>
  <c r="IS113" i="19"/>
  <c r="IT113" i="19"/>
  <c r="IU113" i="19"/>
  <c r="IV113" i="19"/>
  <c r="IW113" i="19"/>
  <c r="IX113" i="19"/>
  <c r="IY113" i="19"/>
  <c r="IZ113" i="19"/>
  <c r="JA113" i="19"/>
  <c r="JB113" i="19"/>
  <c r="JC113" i="19"/>
  <c r="JD113" i="19"/>
  <c r="JE113" i="19"/>
  <c r="JF113" i="19"/>
  <c r="JG113" i="19"/>
  <c r="JH113" i="19"/>
  <c r="JI113" i="19"/>
  <c r="JJ113" i="19"/>
  <c r="JK113" i="19"/>
  <c r="JL113" i="19"/>
  <c r="JM113" i="19"/>
  <c r="JN113" i="19"/>
  <c r="JO113" i="19"/>
  <c r="JP113" i="19"/>
  <c r="JQ113" i="19"/>
  <c r="JR113" i="19"/>
  <c r="JS113" i="19"/>
  <c r="JT113" i="19"/>
  <c r="JU113" i="19"/>
  <c r="JV113" i="19"/>
  <c r="JW113" i="19"/>
  <c r="JX113" i="19"/>
  <c r="JY113" i="19"/>
  <c r="JZ113" i="19"/>
  <c r="KA113" i="19"/>
  <c r="KB113" i="19"/>
  <c r="D18" i="32"/>
  <c r="E18" i="32"/>
  <c r="F18" i="32"/>
  <c r="G18" i="32"/>
  <c r="H18" i="32"/>
  <c r="I18" i="32"/>
  <c r="J18" i="32"/>
  <c r="K18" i="32"/>
  <c r="L18" i="32"/>
  <c r="M18" i="32"/>
  <c r="N18" i="32"/>
  <c r="O18" i="32"/>
  <c r="P18" i="32"/>
  <c r="Q18" i="32"/>
  <c r="R18" i="32"/>
  <c r="S18" i="32"/>
  <c r="T18" i="32"/>
  <c r="U18" i="32"/>
  <c r="V18" i="32"/>
  <c r="W18" i="32"/>
  <c r="X18" i="32"/>
  <c r="Y18" i="32"/>
  <c r="I19" i="32"/>
  <c r="J19" i="32"/>
  <c r="J20" i="32"/>
  <c r="F21" i="32"/>
  <c r="G21" i="32"/>
  <c r="H21" i="32"/>
  <c r="I21" i="32"/>
  <c r="J21" i="32"/>
  <c r="K21" i="32"/>
  <c r="L21" i="32"/>
  <c r="M21" i="32"/>
  <c r="N21" i="32"/>
  <c r="O21" i="32"/>
  <c r="P21" i="32"/>
  <c r="Q21" i="32"/>
  <c r="R21" i="32"/>
  <c r="S21" i="32"/>
  <c r="T21" i="32"/>
  <c r="U21" i="32"/>
  <c r="V21" i="32"/>
  <c r="W21" i="32"/>
  <c r="X21" i="32"/>
  <c r="Y21" i="32"/>
  <c r="I22" i="32"/>
  <c r="J22" i="32"/>
  <c r="K22" i="32"/>
  <c r="L22" i="32"/>
  <c r="M22" i="32"/>
  <c r="N22" i="32"/>
  <c r="O22" i="32"/>
  <c r="P22" i="32"/>
  <c r="Q22" i="32"/>
  <c r="R22" i="32"/>
  <c r="S22" i="32"/>
  <c r="T22" i="32"/>
  <c r="U22" i="32"/>
  <c r="V22" i="32"/>
  <c r="W22" i="32"/>
  <c r="X22" i="32"/>
  <c r="Y22" i="32"/>
  <c r="D23" i="32"/>
  <c r="E23" i="32"/>
  <c r="F23" i="32"/>
  <c r="G23" i="32"/>
  <c r="H23" i="32"/>
  <c r="I23" i="32"/>
  <c r="J23" i="32"/>
  <c r="K23" i="32"/>
  <c r="L23" i="32"/>
  <c r="M23" i="32"/>
  <c r="N23" i="32"/>
  <c r="O23" i="32"/>
  <c r="P23" i="32"/>
  <c r="Q23" i="32"/>
  <c r="R23" i="32"/>
  <c r="S23" i="32"/>
  <c r="T23" i="32"/>
  <c r="U23" i="32"/>
  <c r="V23" i="32"/>
  <c r="W23" i="32"/>
  <c r="X23" i="32"/>
  <c r="Y23" i="32"/>
  <c r="D25" i="32"/>
  <c r="E25" i="32"/>
  <c r="F25" i="32"/>
  <c r="G25" i="32"/>
  <c r="H25" i="32"/>
  <c r="I25" i="32"/>
  <c r="J25" i="32"/>
  <c r="K25" i="32"/>
  <c r="L25" i="32"/>
  <c r="M25" i="32"/>
  <c r="N25" i="32"/>
  <c r="O25" i="32"/>
  <c r="P25" i="32"/>
  <c r="Q25" i="32"/>
  <c r="R25" i="32"/>
  <c r="S25" i="32"/>
  <c r="T25" i="32"/>
  <c r="U25" i="32"/>
  <c r="V25" i="32"/>
  <c r="W25" i="32"/>
  <c r="X25" i="32"/>
  <c r="Y25" i="32"/>
  <c r="D26" i="32"/>
  <c r="E26" i="32"/>
  <c r="F26" i="32"/>
  <c r="G26" i="32"/>
  <c r="H26" i="32"/>
  <c r="I26" i="32"/>
  <c r="J26" i="32"/>
  <c r="K26" i="32"/>
  <c r="L26" i="32"/>
  <c r="M26" i="32"/>
  <c r="N26" i="32"/>
  <c r="O26" i="32"/>
  <c r="P26" i="32"/>
  <c r="Q26" i="32"/>
  <c r="R26" i="32"/>
  <c r="S26" i="32"/>
  <c r="T26" i="32"/>
  <c r="U26" i="32"/>
  <c r="V26" i="32"/>
  <c r="W26" i="32"/>
  <c r="X26" i="32"/>
  <c r="Y26" i="32"/>
  <c r="D30" i="32"/>
  <c r="E30" i="32"/>
  <c r="F30" i="32"/>
  <c r="G30" i="32"/>
  <c r="H30" i="32"/>
  <c r="I30" i="32"/>
  <c r="J30" i="32"/>
  <c r="K30" i="32"/>
  <c r="L30" i="32"/>
  <c r="M30" i="32"/>
  <c r="N30" i="32"/>
  <c r="O30" i="32"/>
  <c r="P30" i="32"/>
  <c r="Q30" i="32"/>
  <c r="R30" i="32"/>
  <c r="S30" i="32"/>
  <c r="T30" i="32"/>
  <c r="U30" i="32"/>
  <c r="V30" i="32"/>
  <c r="W30" i="32"/>
  <c r="X30" i="32"/>
  <c r="Y30" i="32"/>
  <c r="D31" i="32"/>
  <c r="E31" i="32"/>
  <c r="F31" i="32"/>
  <c r="G31" i="32"/>
  <c r="H31" i="32"/>
  <c r="I31" i="32"/>
  <c r="J31" i="32"/>
  <c r="K31" i="32"/>
  <c r="L31" i="32"/>
  <c r="M31" i="32"/>
  <c r="N31" i="32"/>
  <c r="O31" i="32"/>
  <c r="P31" i="32"/>
  <c r="Q31" i="32"/>
  <c r="R31" i="32"/>
  <c r="S31" i="32"/>
  <c r="T31" i="32"/>
  <c r="U31" i="32"/>
  <c r="V31" i="32"/>
  <c r="W31" i="32"/>
  <c r="X31" i="32"/>
  <c r="Y31" i="32"/>
  <c r="F32" i="32"/>
  <c r="G32" i="32"/>
  <c r="H32" i="32"/>
  <c r="I32" i="32"/>
  <c r="J32" i="32"/>
  <c r="K32" i="32"/>
  <c r="L32" i="32"/>
  <c r="M32" i="32"/>
  <c r="N32" i="32"/>
  <c r="O32" i="32"/>
  <c r="P32" i="32"/>
  <c r="Q32" i="32"/>
  <c r="R32" i="32"/>
  <c r="S32" i="32"/>
  <c r="T32" i="32"/>
  <c r="U32" i="32"/>
  <c r="V32" i="32"/>
  <c r="W32" i="32"/>
  <c r="X32" i="32"/>
  <c r="Y32" i="32"/>
  <c r="I33" i="32"/>
  <c r="J33" i="32"/>
  <c r="K33" i="32"/>
  <c r="L33" i="32"/>
  <c r="M33" i="32"/>
  <c r="N33" i="32"/>
  <c r="O33" i="32"/>
  <c r="P33" i="32"/>
  <c r="Q33" i="32"/>
  <c r="R33" i="32"/>
  <c r="S33" i="32"/>
  <c r="T33" i="32"/>
  <c r="U33" i="32"/>
  <c r="V33" i="32"/>
  <c r="W33" i="32"/>
  <c r="X33" i="32"/>
  <c r="Y33" i="32"/>
  <c r="D34" i="32"/>
  <c r="E34" i="32"/>
  <c r="F34" i="32"/>
  <c r="G34" i="32"/>
  <c r="H34" i="32"/>
  <c r="I34" i="32"/>
  <c r="J34" i="32"/>
  <c r="K34" i="32"/>
  <c r="L34" i="32"/>
  <c r="M34" i="32"/>
  <c r="N34" i="32"/>
  <c r="O34" i="32"/>
  <c r="P34" i="32"/>
  <c r="Q34" i="32"/>
  <c r="R34" i="32"/>
  <c r="S34" i="32"/>
  <c r="T34" i="32"/>
  <c r="U34" i="32"/>
  <c r="V34" i="32"/>
  <c r="W34" i="32"/>
  <c r="X34" i="32"/>
  <c r="Y34" i="32"/>
  <c r="I35" i="32"/>
  <c r="J35" i="32"/>
  <c r="F36" i="32"/>
  <c r="G36" i="32"/>
  <c r="H36" i="32"/>
  <c r="I36" i="32"/>
  <c r="J36" i="32"/>
  <c r="K36" i="32"/>
  <c r="L36" i="32"/>
  <c r="M36" i="32"/>
  <c r="N36" i="32"/>
  <c r="O36" i="32"/>
  <c r="P36" i="32"/>
  <c r="Q36" i="32"/>
  <c r="R36" i="32"/>
  <c r="S36" i="32"/>
  <c r="T36" i="32"/>
  <c r="U36" i="32"/>
  <c r="V36" i="32"/>
  <c r="W36" i="32"/>
  <c r="X36" i="32"/>
  <c r="Y36" i="32"/>
  <c r="F37" i="32"/>
  <c r="G37" i="32"/>
  <c r="H37" i="32"/>
  <c r="I37" i="32"/>
  <c r="J37" i="32"/>
  <c r="K37" i="32"/>
  <c r="L37" i="32"/>
  <c r="M37" i="32"/>
  <c r="N37" i="32"/>
  <c r="O37" i="32"/>
  <c r="P37" i="32"/>
  <c r="Q37" i="32"/>
  <c r="R37" i="32"/>
  <c r="S37" i="32"/>
  <c r="T37" i="32"/>
  <c r="U37" i="32"/>
  <c r="V37" i="32"/>
  <c r="W37" i="32"/>
  <c r="X37" i="32"/>
  <c r="Y37" i="32"/>
  <c r="F38" i="32"/>
  <c r="G38" i="32"/>
  <c r="H38" i="32"/>
  <c r="I38" i="32"/>
  <c r="J38" i="32"/>
  <c r="K38" i="32"/>
  <c r="L38" i="32"/>
  <c r="M38" i="32"/>
  <c r="N38" i="32"/>
  <c r="O38" i="32"/>
  <c r="P38" i="32"/>
  <c r="Q38" i="32"/>
  <c r="R38" i="32"/>
  <c r="S38" i="32"/>
  <c r="T38" i="32"/>
  <c r="U38" i="32"/>
  <c r="V38" i="32"/>
  <c r="W38" i="32"/>
  <c r="X38" i="32"/>
  <c r="Y38" i="32"/>
  <c r="F40" i="32"/>
  <c r="G40" i="32"/>
  <c r="H40" i="32"/>
  <c r="I40" i="32"/>
  <c r="J40" i="32"/>
  <c r="K40" i="32"/>
  <c r="L40" i="32"/>
  <c r="M40" i="32"/>
  <c r="N40" i="32"/>
  <c r="O40" i="32"/>
  <c r="P40" i="32"/>
  <c r="Q40" i="32"/>
  <c r="R40" i="32"/>
  <c r="S40" i="32"/>
  <c r="T40" i="32"/>
  <c r="U40" i="32"/>
  <c r="V40" i="32"/>
  <c r="W40" i="32"/>
  <c r="X40" i="32"/>
  <c r="Y40" i="32"/>
  <c r="D46" i="32"/>
  <c r="E46" i="32"/>
  <c r="F46" i="32"/>
  <c r="G46" i="32"/>
  <c r="H46" i="32"/>
  <c r="I46" i="32"/>
  <c r="J46" i="32"/>
  <c r="K46" i="32"/>
  <c r="L46" i="32"/>
  <c r="M46" i="32"/>
  <c r="N46" i="32"/>
  <c r="O46" i="32"/>
  <c r="P46" i="32"/>
  <c r="Q46" i="32"/>
  <c r="R46" i="32"/>
  <c r="S46" i="32"/>
  <c r="T46" i="32"/>
  <c r="U46" i="32"/>
  <c r="V46" i="32"/>
  <c r="W46" i="32"/>
  <c r="X46" i="32"/>
  <c r="Y46" i="32"/>
  <c r="F47" i="32"/>
  <c r="G47" i="32"/>
  <c r="H47" i="32"/>
  <c r="I47" i="32"/>
  <c r="J47" i="32"/>
  <c r="K47" i="32"/>
  <c r="L47" i="32"/>
  <c r="M47" i="32"/>
  <c r="N47" i="32"/>
  <c r="O47" i="32"/>
  <c r="P47" i="32"/>
  <c r="Q47" i="32"/>
  <c r="R47" i="32"/>
  <c r="S47" i="32"/>
  <c r="T47" i="32"/>
  <c r="U47" i="32"/>
  <c r="V47" i="32"/>
  <c r="W47" i="32"/>
  <c r="X47" i="32"/>
  <c r="Y47" i="32"/>
  <c r="D48" i="32"/>
  <c r="E48" i="32"/>
  <c r="F48" i="32"/>
  <c r="G48" i="32"/>
  <c r="H48" i="32"/>
  <c r="I48" i="32"/>
  <c r="J48" i="32"/>
  <c r="K48" i="32"/>
  <c r="L48" i="32"/>
  <c r="M48" i="32"/>
  <c r="N48" i="32"/>
  <c r="O48" i="32"/>
  <c r="P48" i="32"/>
  <c r="Q48" i="32"/>
  <c r="R48" i="32"/>
  <c r="S48" i="32"/>
  <c r="T48" i="32"/>
  <c r="U48" i="32"/>
  <c r="V48" i="32"/>
  <c r="W48" i="32"/>
  <c r="X48" i="32"/>
  <c r="Y48" i="32"/>
  <c r="D49" i="32"/>
  <c r="E49" i="32"/>
  <c r="F49" i="32"/>
  <c r="G49" i="32"/>
  <c r="H49" i="32"/>
  <c r="I49" i="32"/>
  <c r="J49" i="32"/>
  <c r="K49" i="32"/>
  <c r="L49" i="32"/>
  <c r="M49" i="32"/>
  <c r="N49" i="32"/>
  <c r="O49" i="32"/>
  <c r="P49" i="32"/>
  <c r="Q49" i="32"/>
  <c r="R49" i="32"/>
  <c r="S49" i="32"/>
  <c r="T49" i="32"/>
  <c r="U49" i="32"/>
  <c r="V49" i="32"/>
  <c r="W49" i="32"/>
  <c r="X49" i="32"/>
  <c r="Y49" i="32"/>
  <c r="E50" i="32"/>
  <c r="F50" i="32"/>
  <c r="G50" i="32"/>
  <c r="H50" i="32"/>
  <c r="I50" i="32"/>
  <c r="J50" i="32"/>
  <c r="K50" i="32"/>
  <c r="L50" i="32"/>
  <c r="M50" i="32"/>
  <c r="N50" i="32"/>
  <c r="O50" i="32"/>
  <c r="P50" i="32"/>
  <c r="Q50" i="32"/>
  <c r="R50" i="32"/>
  <c r="S50" i="32"/>
  <c r="T50" i="32"/>
  <c r="U50" i="32"/>
  <c r="V50" i="32"/>
  <c r="W50" i="32"/>
  <c r="X50" i="32"/>
  <c r="Y50" i="32"/>
  <c r="F51" i="32"/>
  <c r="G51" i="32"/>
  <c r="H51" i="32"/>
  <c r="I51" i="32"/>
  <c r="J51" i="32"/>
  <c r="K51" i="32"/>
  <c r="L51" i="32"/>
  <c r="M51" i="32"/>
  <c r="D52" i="32"/>
  <c r="E52" i="32"/>
  <c r="F52" i="32"/>
  <c r="G52" i="32"/>
  <c r="H52" i="32"/>
  <c r="I52" i="32"/>
  <c r="J52" i="32"/>
  <c r="K52" i="32"/>
  <c r="L52" i="32"/>
  <c r="M52" i="32"/>
  <c r="N52" i="32"/>
  <c r="O52" i="32"/>
  <c r="P52" i="32"/>
  <c r="Q52" i="32"/>
  <c r="R52" i="32"/>
  <c r="S52" i="32"/>
  <c r="T52" i="32"/>
  <c r="U52" i="32"/>
  <c r="V52" i="32"/>
  <c r="W52" i="32"/>
  <c r="X52" i="32"/>
  <c r="E53" i="32"/>
  <c r="F53" i="32"/>
  <c r="G53" i="32"/>
  <c r="H53" i="32"/>
  <c r="I53" i="32"/>
  <c r="J53" i="32"/>
  <c r="K53" i="32"/>
  <c r="L53" i="32"/>
  <c r="M53" i="32"/>
  <c r="N53" i="32"/>
  <c r="O53" i="32"/>
  <c r="P53" i="32"/>
  <c r="Q53" i="32"/>
  <c r="R53" i="32"/>
  <c r="S53" i="32"/>
  <c r="T53" i="32"/>
  <c r="U53" i="32"/>
  <c r="V53" i="32"/>
  <c r="W53" i="32"/>
  <c r="X53" i="32"/>
  <c r="Y53" i="32"/>
  <c r="E54" i="32"/>
  <c r="F54" i="32"/>
  <c r="G54" i="32"/>
  <c r="H54" i="32"/>
  <c r="I54" i="32"/>
  <c r="J54" i="32"/>
  <c r="K54" i="32"/>
  <c r="L54" i="32"/>
  <c r="M54" i="32"/>
  <c r="N54" i="32"/>
  <c r="O54" i="32"/>
  <c r="P54" i="32"/>
  <c r="Q54" i="32"/>
  <c r="R54" i="32"/>
  <c r="S54" i="32"/>
  <c r="T54" i="32"/>
  <c r="U54" i="32"/>
  <c r="V54" i="32"/>
  <c r="W54" i="32"/>
  <c r="X54" i="32"/>
  <c r="Y54" i="32"/>
  <c r="F55" i="32"/>
  <c r="G55" i="32"/>
  <c r="H55" i="32"/>
  <c r="I55" i="32"/>
  <c r="J55" i="32"/>
  <c r="K55" i="32"/>
  <c r="L55" i="32"/>
  <c r="M55" i="32"/>
  <c r="N55" i="32"/>
  <c r="O55" i="32"/>
  <c r="P55" i="32"/>
  <c r="Q55" i="32"/>
  <c r="R55" i="32"/>
  <c r="S55" i="32"/>
  <c r="T55" i="32"/>
  <c r="U55" i="32"/>
  <c r="V55" i="32"/>
  <c r="W55" i="32"/>
  <c r="X55" i="32"/>
  <c r="Y55" i="32"/>
  <c r="J56" i="32"/>
  <c r="K56" i="32"/>
  <c r="L56" i="32"/>
  <c r="M56" i="32"/>
  <c r="N56" i="32"/>
  <c r="O56" i="32"/>
  <c r="P56" i="32"/>
  <c r="Q56" i="32"/>
  <c r="R56" i="32"/>
  <c r="S56" i="32"/>
  <c r="T56" i="32"/>
  <c r="U56" i="32"/>
  <c r="V56" i="32"/>
  <c r="W56" i="32"/>
  <c r="X56" i="32"/>
  <c r="Y56" i="32"/>
  <c r="E59" i="32"/>
  <c r="F59" i="32"/>
  <c r="G59" i="32"/>
  <c r="H59" i="32"/>
  <c r="I59" i="32"/>
  <c r="J59" i="32"/>
  <c r="K59" i="32"/>
  <c r="L59" i="32"/>
  <c r="M59" i="32"/>
  <c r="N59" i="32"/>
  <c r="O59" i="32"/>
  <c r="P59" i="32"/>
  <c r="Q59" i="32"/>
  <c r="R59" i="32"/>
  <c r="S59" i="32"/>
  <c r="T59" i="32"/>
  <c r="U59" i="32"/>
  <c r="V59" i="32"/>
  <c r="W59" i="32"/>
  <c r="X59" i="32"/>
  <c r="Y59" i="32"/>
  <c r="D60" i="32"/>
  <c r="E60" i="32"/>
  <c r="F60" i="32"/>
  <c r="G60" i="32"/>
  <c r="H60" i="32"/>
  <c r="I60" i="32"/>
  <c r="J60" i="32"/>
  <c r="K60" i="32"/>
  <c r="L60" i="32"/>
  <c r="M60" i="32"/>
  <c r="N60" i="32"/>
  <c r="O60" i="32"/>
  <c r="P60" i="32"/>
  <c r="Q60" i="32"/>
  <c r="R60" i="32"/>
  <c r="S60" i="32"/>
  <c r="T60" i="32"/>
  <c r="U60" i="32"/>
  <c r="V60" i="32"/>
  <c r="W60" i="32"/>
  <c r="X60" i="32"/>
  <c r="Y60" i="32"/>
  <c r="D61" i="32"/>
  <c r="E61" i="32"/>
  <c r="F61" i="32"/>
  <c r="G61" i="32"/>
  <c r="H61" i="32"/>
  <c r="I61" i="32"/>
  <c r="J61" i="32"/>
  <c r="K61" i="32"/>
  <c r="L61" i="32"/>
  <c r="M61" i="32"/>
  <c r="N61" i="32"/>
  <c r="O61" i="32"/>
  <c r="P61" i="32"/>
  <c r="Q61" i="32"/>
  <c r="R61" i="32"/>
  <c r="S61" i="32"/>
  <c r="T61" i="32"/>
  <c r="U61" i="32"/>
  <c r="V61" i="32"/>
  <c r="W61" i="32"/>
  <c r="X61" i="32"/>
  <c r="Y61" i="32"/>
  <c r="D62" i="32"/>
  <c r="E62" i="32"/>
  <c r="F62" i="32"/>
  <c r="G62" i="32"/>
  <c r="H62" i="32"/>
  <c r="I62" i="32"/>
  <c r="J62" i="32"/>
  <c r="K62" i="32"/>
  <c r="L62" i="32"/>
  <c r="M62" i="32"/>
  <c r="N62" i="32"/>
  <c r="O62" i="32"/>
  <c r="P62" i="32"/>
  <c r="Q62" i="32"/>
  <c r="R62" i="32"/>
  <c r="S62" i="32"/>
  <c r="T62" i="32"/>
  <c r="U62" i="32"/>
  <c r="V62" i="32"/>
  <c r="W62" i="32"/>
  <c r="X62" i="32"/>
  <c r="Y62" i="32"/>
  <c r="D63" i="32"/>
  <c r="E63" i="32"/>
  <c r="F63" i="32"/>
  <c r="G63" i="32"/>
  <c r="H63" i="32"/>
  <c r="I63" i="32"/>
  <c r="J63" i="32"/>
  <c r="K63" i="32"/>
  <c r="L63" i="32"/>
  <c r="M63" i="32"/>
  <c r="N63" i="32"/>
  <c r="O63" i="32"/>
  <c r="P63" i="32"/>
  <c r="Q63" i="32"/>
  <c r="R63" i="32"/>
  <c r="S63" i="32"/>
  <c r="T63" i="32"/>
  <c r="U63" i="32"/>
  <c r="V63" i="32"/>
  <c r="W63" i="32"/>
  <c r="X63" i="32"/>
  <c r="Y63" i="32"/>
  <c r="D64" i="32"/>
  <c r="E64" i="32"/>
  <c r="F64" i="32"/>
  <c r="G64" i="32"/>
  <c r="H64" i="32"/>
  <c r="I64" i="32"/>
  <c r="J64" i="32"/>
  <c r="K64" i="32"/>
  <c r="L64" i="32"/>
  <c r="M64" i="32"/>
  <c r="N64" i="32"/>
  <c r="O64" i="32"/>
  <c r="P64" i="32"/>
  <c r="Q64" i="32"/>
  <c r="R64" i="32"/>
  <c r="S64" i="32"/>
  <c r="T64" i="32"/>
  <c r="U64" i="32"/>
  <c r="V64" i="32"/>
  <c r="W64" i="32"/>
  <c r="X64" i="32"/>
  <c r="Y64" i="32"/>
  <c r="E66" i="32"/>
  <c r="F66" i="32"/>
  <c r="G66" i="32"/>
  <c r="H66" i="32"/>
  <c r="I66" i="32"/>
  <c r="J66" i="32"/>
  <c r="K66" i="32"/>
  <c r="L66" i="32"/>
  <c r="M66" i="32"/>
  <c r="N66" i="32"/>
  <c r="O66" i="32"/>
  <c r="P66" i="32"/>
  <c r="Q66" i="32"/>
  <c r="R66" i="32"/>
  <c r="S66" i="32"/>
  <c r="T66" i="32"/>
  <c r="U66" i="32"/>
  <c r="V66" i="32"/>
  <c r="W66" i="32"/>
  <c r="X66" i="32"/>
  <c r="E67" i="32"/>
  <c r="F67" i="32"/>
  <c r="G67" i="32"/>
  <c r="H67" i="32"/>
  <c r="I67" i="32"/>
  <c r="J67" i="32"/>
  <c r="K67" i="32"/>
  <c r="L67" i="32"/>
  <c r="M67" i="32"/>
  <c r="N67" i="32"/>
  <c r="O67" i="32"/>
  <c r="P67" i="32"/>
  <c r="Q67" i="32"/>
  <c r="R67" i="32"/>
  <c r="S67" i="32"/>
  <c r="T67" i="32"/>
  <c r="U67" i="32"/>
  <c r="V67" i="32"/>
  <c r="W67" i="32"/>
  <c r="X67" i="32"/>
  <c r="Y67" i="32"/>
  <c r="J71" i="32"/>
  <c r="J72" i="32"/>
  <c r="J73" i="32"/>
  <c r="J74" i="32"/>
  <c r="B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B31" i="41"/>
  <c r="D31" i="41"/>
  <c r="B32" i="41"/>
  <c r="D32" i="41"/>
  <c r="E32" i="41"/>
  <c r="F32" i="4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D36" i="41"/>
  <c r="E36" i="41"/>
  <c r="F36" i="4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B37" i="41"/>
  <c r="D37" i="41"/>
  <c r="E37" i="41"/>
  <c r="F37" i="4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B38" i="41"/>
  <c r="D38" i="41"/>
  <c r="E38" i="41"/>
  <c r="F38" i="41"/>
  <c r="G38" i="41"/>
  <c r="H38" i="41"/>
  <c r="I38" i="41"/>
  <c r="J38" i="41"/>
  <c r="K38" i="41"/>
  <c r="L38" i="41"/>
  <c r="M38" i="41"/>
  <c r="N38" i="41"/>
  <c r="O38" i="41"/>
  <c r="P38" i="41"/>
  <c r="Q38" i="41"/>
  <c r="R38" i="41"/>
  <c r="S38" i="41"/>
  <c r="T38" i="41"/>
  <c r="U38" i="41"/>
  <c r="D39" i="41"/>
  <c r="E39" i="41"/>
  <c r="F39" i="41"/>
  <c r="G39" i="41"/>
  <c r="H39" i="41"/>
  <c r="I39" i="41"/>
  <c r="J39"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AI39" i="41"/>
  <c r="AJ39" i="41"/>
  <c r="AK39" i="41"/>
  <c r="AL39" i="41"/>
  <c r="AM39" i="41"/>
  <c r="AN39" i="41"/>
  <c r="AO39" i="41"/>
  <c r="AP39" i="41"/>
  <c r="AQ39" i="41"/>
  <c r="AR39" i="41"/>
  <c r="AS39" i="41"/>
  <c r="AT39" i="41"/>
  <c r="AU39" i="41"/>
  <c r="AV39" i="41"/>
  <c r="AW39" i="41"/>
  <c r="AX39" i="41"/>
  <c r="AY39" i="41"/>
  <c r="AZ39" i="41"/>
  <c r="BA39" i="41"/>
  <c r="BB39" i="41"/>
  <c r="BC39" i="41"/>
  <c r="BD39" i="41"/>
  <c r="BE39" i="41"/>
  <c r="BF39" i="41"/>
  <c r="BG39" i="41"/>
  <c r="BH39" i="41"/>
  <c r="BI39" i="41"/>
  <c r="BJ39" i="41"/>
  <c r="BK39" i="41"/>
  <c r="BL39" i="41"/>
  <c r="BM39" i="41"/>
  <c r="BN39" i="41"/>
  <c r="BO39" i="41"/>
  <c r="BP39" i="41"/>
  <c r="BQ39" i="41"/>
  <c r="BR39" i="41"/>
  <c r="BS39" i="41"/>
  <c r="BT39" i="41"/>
  <c r="BU39" i="41"/>
  <c r="BV39" i="41"/>
  <c r="BW39" i="41"/>
  <c r="BX39" i="41"/>
  <c r="BY39" i="41"/>
  <c r="BZ39" i="41"/>
  <c r="CA39" i="41"/>
  <c r="CB39" i="41"/>
  <c r="CC39" i="41"/>
  <c r="CD39" i="41"/>
  <c r="CE39" i="41"/>
  <c r="CF39" i="41"/>
  <c r="CG39" i="41"/>
  <c r="CH39" i="41"/>
  <c r="CI39" i="41"/>
  <c r="CJ39" i="41"/>
  <c r="CK39" i="41"/>
  <c r="CL39" i="41"/>
  <c r="CM39" i="41"/>
  <c r="CN39" i="41"/>
  <c r="CO39" i="41"/>
  <c r="CP39" i="41"/>
  <c r="CQ39" i="41"/>
  <c r="CR39" i="41"/>
  <c r="CS39" i="41"/>
  <c r="CT39" i="41"/>
  <c r="CU39" i="41"/>
  <c r="CV39" i="41"/>
  <c r="CW39" i="41"/>
  <c r="CX39" i="41"/>
  <c r="D43" i="41"/>
  <c r="E43" i="41"/>
  <c r="F43" i="41"/>
  <c r="G43" i="41"/>
  <c r="H43" i="41"/>
  <c r="I43" i="41"/>
  <c r="J43" i="41"/>
  <c r="K43" i="41"/>
  <c r="L43" i="41"/>
  <c r="M43" i="41"/>
  <c r="N43" i="41"/>
  <c r="O43" i="41"/>
  <c r="P43" i="41"/>
  <c r="Q43" i="41"/>
  <c r="R43" i="41"/>
  <c r="S43" i="41"/>
  <c r="T43" i="41"/>
  <c r="U43" i="41"/>
  <c r="B46" i="41"/>
  <c r="D46" i="41"/>
  <c r="E46" i="41"/>
  <c r="F46" i="4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BQ46" i="41"/>
  <c r="BR46" i="41"/>
  <c r="BS46" i="41"/>
  <c r="BT46" i="41"/>
  <c r="BU46" i="41"/>
  <c r="BV46" i="41"/>
  <c r="BW46" i="41"/>
  <c r="BX46" i="41"/>
  <c r="BY46" i="41"/>
  <c r="BZ46" i="41"/>
  <c r="CA46" i="41"/>
  <c r="CB46" i="41"/>
  <c r="CC46" i="41"/>
  <c r="CD46" i="41"/>
  <c r="CE46" i="41"/>
  <c r="CF46" i="41"/>
  <c r="CG46" i="41"/>
  <c r="CH46" i="41"/>
  <c r="CI46" i="41"/>
  <c r="CJ46" i="41"/>
  <c r="CK46" i="41"/>
  <c r="CL46" i="41"/>
  <c r="CM46" i="41"/>
  <c r="CN46" i="41"/>
  <c r="CO46" i="41"/>
  <c r="CP46" i="41"/>
  <c r="CQ46" i="41"/>
  <c r="CR46" i="41"/>
  <c r="CS46" i="41"/>
  <c r="CT46" i="41"/>
  <c r="CU46" i="41"/>
  <c r="B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D59" i="41"/>
  <c r="E59" i="41"/>
  <c r="F59" i="4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AJ59" i="41"/>
  <c r="AK59" i="41"/>
  <c r="AL59" i="41"/>
  <c r="AM59" i="41"/>
  <c r="AN59" i="41"/>
  <c r="AO59" i="41"/>
  <c r="AP59" i="41"/>
  <c r="AQ59" i="41"/>
  <c r="AR59" i="41"/>
  <c r="AS59" i="41"/>
  <c r="AT59" i="41"/>
  <c r="AU59" i="41"/>
  <c r="AV59" i="41"/>
  <c r="AW59" i="41"/>
  <c r="AX59" i="41"/>
  <c r="AY59" i="41"/>
  <c r="AZ59" i="41"/>
  <c r="BA59" i="41"/>
  <c r="BB59" i="41"/>
  <c r="BC59" i="41"/>
  <c r="BD59" i="41"/>
  <c r="BE59" i="41"/>
  <c r="BF59" i="41"/>
  <c r="BG59" i="41"/>
  <c r="BH59" i="41"/>
  <c r="BI59" i="41"/>
  <c r="BJ59" i="41"/>
  <c r="BK59" i="41"/>
  <c r="BL59" i="41"/>
  <c r="BM59" i="41"/>
  <c r="BN59" i="41"/>
  <c r="BO59" i="41"/>
  <c r="BP59" i="41"/>
  <c r="BQ59" i="41"/>
  <c r="BR59" i="41"/>
  <c r="BS59" i="41"/>
  <c r="BT59" i="41"/>
  <c r="BU59" i="41"/>
  <c r="BV59" i="41"/>
  <c r="BW59" i="41"/>
  <c r="BX59" i="41"/>
  <c r="BY59" i="41"/>
  <c r="BZ59" i="41"/>
  <c r="CA59" i="41"/>
  <c r="CB59" i="41"/>
  <c r="CC59" i="41"/>
  <c r="CD59" i="41"/>
  <c r="CE59" i="41"/>
  <c r="CF59" i="41"/>
  <c r="CG59" i="41"/>
  <c r="CH59" i="41"/>
  <c r="CI59" i="41"/>
  <c r="CJ59" i="41"/>
  <c r="CK59" i="41"/>
  <c r="CL59" i="41"/>
  <c r="CM59" i="41"/>
  <c r="CN59" i="41"/>
  <c r="CO59" i="41"/>
  <c r="CP59" i="41"/>
  <c r="CQ59" i="41"/>
  <c r="CR59" i="41"/>
  <c r="CS59" i="41"/>
  <c r="CT59" i="41"/>
  <c r="CU59" i="41"/>
  <c r="CV59" i="41"/>
  <c r="CW59" i="41"/>
  <c r="CX59" i="41"/>
  <c r="D60" i="41"/>
  <c r="E60" i="41"/>
  <c r="F60" i="4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AJ60" i="41"/>
  <c r="AK60" i="41"/>
  <c r="AL60" i="41"/>
  <c r="AM60" i="41"/>
  <c r="AN60" i="41"/>
  <c r="AO60" i="41"/>
  <c r="AP60" i="41"/>
  <c r="AQ60" i="41"/>
  <c r="AR60" i="41"/>
  <c r="AS60" i="41"/>
  <c r="AT60" i="41"/>
  <c r="AU60" i="41"/>
  <c r="AV60" i="41"/>
  <c r="AW60" i="41"/>
  <c r="AX60" i="41"/>
  <c r="AY60" i="41"/>
  <c r="AZ60" i="41"/>
  <c r="BA60" i="41"/>
  <c r="BB60" i="41"/>
  <c r="BC60" i="41"/>
  <c r="BD60" i="41"/>
  <c r="BE60" i="41"/>
  <c r="BF60" i="41"/>
  <c r="BG60" i="41"/>
  <c r="BH60" i="41"/>
  <c r="BI60" i="41"/>
  <c r="BJ60" i="41"/>
  <c r="BK60" i="41"/>
  <c r="BL60" i="41"/>
  <c r="BM60" i="41"/>
  <c r="BN60" i="41"/>
  <c r="BO60" i="41"/>
  <c r="BP60" i="41"/>
  <c r="BQ60" i="41"/>
  <c r="BR60" i="41"/>
  <c r="BS60" i="41"/>
  <c r="BT60" i="41"/>
  <c r="BU60" i="41"/>
  <c r="BV60" i="41"/>
  <c r="BW60" i="41"/>
  <c r="BX60" i="41"/>
  <c r="BY60" i="41"/>
  <c r="BZ60" i="41"/>
  <c r="CA60" i="41"/>
  <c r="CB60" i="41"/>
  <c r="CC60" i="41"/>
  <c r="CD60" i="41"/>
  <c r="CE60" i="41"/>
  <c r="CF60" i="41"/>
  <c r="CG60" i="41"/>
  <c r="CH60" i="41"/>
  <c r="CI60" i="41"/>
  <c r="CJ60" i="41"/>
  <c r="CK60" i="41"/>
  <c r="CL60" i="41"/>
  <c r="CM60" i="41"/>
  <c r="CN60" i="41"/>
  <c r="CO60" i="41"/>
  <c r="CP60" i="41"/>
  <c r="CQ60" i="41"/>
  <c r="CR60" i="41"/>
  <c r="CS60" i="41"/>
  <c r="CT60" i="41"/>
  <c r="CU60" i="41"/>
  <c r="CV60" i="41"/>
  <c r="CW60" i="41"/>
  <c r="CX60" i="41"/>
  <c r="N61" i="41"/>
  <c r="B76" i="41"/>
  <c r="B77" i="41"/>
  <c r="E86" i="41"/>
  <c r="F86" i="41"/>
  <c r="G86" i="41"/>
  <c r="H86" i="41"/>
  <c r="I86" i="41"/>
  <c r="J86" i="41"/>
  <c r="K86" i="41"/>
  <c r="L86" i="41"/>
  <c r="M86" i="41"/>
  <c r="N86" i="41"/>
  <c r="O86" i="41"/>
  <c r="P86" i="41"/>
  <c r="Q86" i="41"/>
  <c r="R86" i="41"/>
  <c r="S86" i="41"/>
  <c r="T86" i="41"/>
  <c r="U86" i="41"/>
  <c r="V86" i="41"/>
  <c r="W86" i="41"/>
  <c r="X86" i="41"/>
  <c r="Y86" i="41"/>
  <c r="Z86" i="41"/>
  <c r="AA86" i="41"/>
  <c r="AB86" i="41"/>
  <c r="AC86" i="41"/>
  <c r="AD86" i="41"/>
  <c r="AE86" i="41"/>
  <c r="AF86" i="41"/>
  <c r="AG86" i="41"/>
  <c r="AH86" i="41"/>
  <c r="AI86" i="41"/>
  <c r="AJ86" i="41"/>
  <c r="AK86" i="41"/>
  <c r="AL86" i="41"/>
  <c r="AM86" i="41"/>
  <c r="AN86" i="41"/>
  <c r="AO86" i="41"/>
  <c r="AP86" i="41"/>
  <c r="AQ86" i="41"/>
  <c r="AR86" i="41"/>
  <c r="AS86" i="41"/>
  <c r="AT86" i="41"/>
  <c r="AU86" i="41"/>
  <c r="AV86" i="41"/>
  <c r="AW86" i="41"/>
  <c r="AX86" i="41"/>
  <c r="AY86" i="41"/>
  <c r="AZ86" i="41"/>
  <c r="BA86" i="41"/>
  <c r="BB86" i="41"/>
  <c r="BC86" i="41"/>
  <c r="BD86" i="41"/>
  <c r="BE86" i="41"/>
  <c r="BF86" i="41"/>
  <c r="BG86" i="41"/>
  <c r="BH86" i="41"/>
  <c r="BI86" i="41"/>
  <c r="BJ86" i="41"/>
  <c r="BK86" i="41"/>
  <c r="BL86" i="41"/>
  <c r="BM86" i="41"/>
  <c r="BN86" i="41"/>
  <c r="BO86" i="41"/>
  <c r="BP86" i="41"/>
  <c r="BQ86" i="41"/>
  <c r="BR86" i="41"/>
  <c r="BS86" i="41"/>
  <c r="BT86" i="41"/>
  <c r="BU86" i="41"/>
  <c r="BV86" i="41"/>
  <c r="BW86" i="41"/>
  <c r="BX86" i="41"/>
  <c r="BY86" i="41"/>
  <c r="BZ86" i="41"/>
  <c r="CA86" i="41"/>
  <c r="CB86" i="41"/>
  <c r="CC86" i="41"/>
  <c r="CD86" i="41"/>
  <c r="CE86" i="41"/>
  <c r="CF86" i="41"/>
  <c r="CG86" i="41"/>
  <c r="CH86" i="41"/>
  <c r="CI86" i="41"/>
  <c r="CJ86" i="41"/>
  <c r="CK86" i="41"/>
  <c r="CL86" i="41"/>
  <c r="CM86" i="41"/>
  <c r="CN86" i="41"/>
  <c r="CO86" i="41"/>
  <c r="CP86" i="41"/>
  <c r="CQ86" i="41"/>
  <c r="CR86" i="41"/>
  <c r="CS86" i="41"/>
  <c r="CT86" i="41"/>
  <c r="CU86" i="41"/>
  <c r="CV86" i="41"/>
  <c r="CW86" i="41"/>
  <c r="CX86" i="41"/>
  <c r="B87" i="41"/>
  <c r="E87" i="41"/>
  <c r="F87" i="41"/>
  <c r="G87" i="41"/>
  <c r="H87" i="41"/>
  <c r="I87" i="41"/>
  <c r="J87" i="41"/>
  <c r="K87" i="41"/>
  <c r="L87" i="41"/>
  <c r="M87" i="41"/>
  <c r="N87" i="41"/>
  <c r="O87" i="41"/>
  <c r="P87" i="41"/>
  <c r="Q87" i="41"/>
  <c r="R87" i="41"/>
  <c r="S87" i="41"/>
  <c r="T87" i="41"/>
  <c r="U87" i="41"/>
  <c r="V87" i="41"/>
  <c r="W87" i="41"/>
  <c r="X87" i="41"/>
  <c r="Y87" i="41"/>
  <c r="Z87" i="41"/>
  <c r="AA87" i="41"/>
  <c r="AB87" i="41"/>
  <c r="AC87" i="41"/>
  <c r="AD87" i="41"/>
  <c r="AE87" i="41"/>
  <c r="AF87" i="41"/>
  <c r="AG87" i="41"/>
  <c r="AH87" i="41"/>
  <c r="AI87" i="41"/>
  <c r="AJ87" i="41"/>
  <c r="AK87" i="41"/>
  <c r="AL87" i="41"/>
  <c r="AM87" i="41"/>
  <c r="AN87" i="41"/>
  <c r="AO87" i="41"/>
  <c r="AP87" i="41"/>
  <c r="AQ87" i="41"/>
  <c r="AR87" i="41"/>
  <c r="AS87" i="41"/>
  <c r="AT87" i="41"/>
  <c r="AU87" i="41"/>
  <c r="AV87" i="41"/>
  <c r="AW87" i="41"/>
  <c r="AX87" i="41"/>
  <c r="AY87" i="41"/>
  <c r="AZ87" i="41"/>
  <c r="BA87" i="41"/>
  <c r="BB87" i="41"/>
  <c r="BC87" i="41"/>
  <c r="BD87" i="41"/>
  <c r="BE87" i="41"/>
  <c r="BF87" i="41"/>
  <c r="BG87" i="41"/>
  <c r="BH87" i="41"/>
  <c r="BI87" i="41"/>
  <c r="BJ87" i="41"/>
  <c r="BK87" i="41"/>
  <c r="BL87" i="41"/>
  <c r="BM87" i="41"/>
  <c r="BN87" i="41"/>
  <c r="BO87" i="41"/>
  <c r="BP87" i="41"/>
  <c r="BQ87" i="41"/>
  <c r="BR87" i="41"/>
  <c r="BS87" i="41"/>
  <c r="BT87" i="41"/>
  <c r="BU87" i="41"/>
  <c r="BV87" i="41"/>
  <c r="BW87" i="41"/>
  <c r="BX87" i="41"/>
  <c r="BY87" i="41"/>
  <c r="BZ87" i="41"/>
  <c r="CA87" i="41"/>
  <c r="CB87" i="41"/>
  <c r="CC87" i="41"/>
  <c r="CD87" i="41"/>
  <c r="CE87" i="41"/>
  <c r="CF87" i="41"/>
  <c r="CG87" i="41"/>
  <c r="CH87" i="41"/>
  <c r="CI87" i="41"/>
  <c r="CJ87" i="41"/>
  <c r="CK87" i="41"/>
  <c r="CL87" i="41"/>
  <c r="CM87" i="41"/>
  <c r="CN87" i="41"/>
  <c r="CO87" i="41"/>
  <c r="CP87" i="41"/>
  <c r="CQ87" i="41"/>
  <c r="CR87" i="41"/>
  <c r="CS87" i="41"/>
  <c r="CT87" i="41"/>
  <c r="CU87" i="41"/>
  <c r="CV87" i="41"/>
  <c r="CW87" i="41"/>
  <c r="CX87" i="41"/>
  <c r="B90" i="41"/>
  <c r="D90" i="41"/>
  <c r="E90" i="41"/>
  <c r="F90" i="41"/>
  <c r="G90" i="41"/>
  <c r="H90" i="41"/>
  <c r="I90" i="41"/>
  <c r="J90" i="41"/>
  <c r="K90" i="41"/>
  <c r="L90" i="41"/>
  <c r="M90" i="41"/>
  <c r="N90" i="41"/>
  <c r="O90" i="41"/>
  <c r="P90" i="41"/>
  <c r="Q90" i="41"/>
  <c r="R90" i="41"/>
  <c r="S90" i="41"/>
  <c r="T90" i="41"/>
  <c r="U90" i="41"/>
  <c r="D91" i="41"/>
  <c r="E91" i="41"/>
  <c r="F91" i="41"/>
  <c r="G91" i="41"/>
  <c r="H91" i="41"/>
  <c r="I91" i="41"/>
  <c r="J91" i="41"/>
  <c r="K91" i="41"/>
  <c r="L91" i="41"/>
  <c r="M91" i="41"/>
  <c r="N91" i="41"/>
  <c r="O91" i="41"/>
  <c r="P91" i="41"/>
  <c r="Q91" i="41"/>
  <c r="R91" i="41"/>
  <c r="S91" i="41"/>
  <c r="T91" i="41"/>
  <c r="U91" i="41"/>
  <c r="V91" i="41"/>
  <c r="W91" i="41"/>
  <c r="X91" i="41"/>
  <c r="Y91" i="41"/>
  <c r="Z91" i="41"/>
  <c r="AA91" i="41"/>
  <c r="AB91" i="41"/>
  <c r="AC91" i="41"/>
  <c r="AD91" i="41"/>
  <c r="AE91" i="41"/>
  <c r="AF91" i="41"/>
  <c r="AG91" i="41"/>
  <c r="AH91" i="41"/>
  <c r="AI91" i="41"/>
  <c r="AJ91" i="41"/>
  <c r="AK91" i="41"/>
  <c r="AL91" i="41"/>
  <c r="AM91" i="41"/>
  <c r="AN91" i="41"/>
  <c r="AO91" i="41"/>
  <c r="AP91" i="41"/>
  <c r="AQ91" i="41"/>
  <c r="AR91" i="41"/>
  <c r="AS91" i="41"/>
  <c r="AT91" i="41"/>
  <c r="AU91" i="41"/>
  <c r="AV91" i="41"/>
  <c r="AW91" i="41"/>
  <c r="AX91" i="41"/>
  <c r="AY91" i="41"/>
  <c r="AZ91" i="41"/>
  <c r="BA91" i="41"/>
  <c r="BB91" i="41"/>
  <c r="BC91" i="41"/>
  <c r="BD91" i="41"/>
  <c r="BE91" i="41"/>
  <c r="BF91" i="41"/>
  <c r="BG91" i="41"/>
  <c r="BH91" i="41"/>
  <c r="BI91" i="41"/>
  <c r="BJ91" i="41"/>
  <c r="BK91" i="41"/>
  <c r="BL91" i="41"/>
  <c r="BM91" i="41"/>
  <c r="BN91" i="41"/>
  <c r="BO91" i="41"/>
  <c r="BP91" i="41"/>
  <c r="BQ91" i="41"/>
  <c r="BR91" i="41"/>
  <c r="BS91" i="41"/>
  <c r="BT91" i="41"/>
  <c r="BU91" i="41"/>
  <c r="BV91" i="41"/>
  <c r="BW91" i="41"/>
  <c r="BX91" i="41"/>
  <c r="BY91" i="41"/>
  <c r="BZ91" i="41"/>
  <c r="CA91" i="41"/>
  <c r="CB91" i="41"/>
  <c r="CC91" i="41"/>
  <c r="CD91" i="41"/>
  <c r="CE91" i="41"/>
  <c r="CF91" i="41"/>
  <c r="CG91" i="41"/>
  <c r="CH91" i="41"/>
  <c r="CI91" i="41"/>
  <c r="CJ91" i="41"/>
  <c r="CK91" i="41"/>
  <c r="CL91" i="41"/>
  <c r="CM91" i="41"/>
  <c r="CN91" i="41"/>
  <c r="CO91" i="41"/>
  <c r="CP91" i="41"/>
  <c r="CQ91" i="41"/>
  <c r="CR91" i="41"/>
  <c r="CS91" i="41"/>
  <c r="CT91" i="41"/>
  <c r="CU91" i="41"/>
  <c r="CV91" i="41"/>
  <c r="CW91" i="41"/>
  <c r="CX91" i="41"/>
  <c r="B92" i="41"/>
  <c r="D92" i="41"/>
  <c r="E92" i="41"/>
  <c r="F92" i="41"/>
  <c r="G92" i="41"/>
  <c r="H92" i="41"/>
  <c r="I92" i="41"/>
  <c r="J92" i="41"/>
  <c r="K92" i="41"/>
  <c r="L92" i="41"/>
  <c r="M92" i="41"/>
  <c r="N92" i="41"/>
  <c r="O92" i="41"/>
  <c r="P92" i="41"/>
  <c r="Q92" i="41"/>
  <c r="R92" i="41"/>
  <c r="S92" i="41"/>
  <c r="T92" i="41"/>
  <c r="U92" i="41"/>
  <c r="D93" i="41"/>
  <c r="E93" i="41"/>
  <c r="F93" i="41"/>
  <c r="G93" i="41"/>
  <c r="H93" i="41"/>
  <c r="I93" i="41"/>
  <c r="J93" i="41"/>
  <c r="K93" i="41"/>
  <c r="L93" i="41"/>
  <c r="M93" i="41"/>
  <c r="N93" i="41"/>
  <c r="O93" i="41"/>
  <c r="P93" i="41"/>
  <c r="Q93" i="41"/>
  <c r="R93" i="41"/>
  <c r="S93" i="41"/>
  <c r="T93" i="41"/>
  <c r="U93" i="41"/>
  <c r="V93" i="41"/>
  <c r="W93" i="41"/>
  <c r="X93" i="41"/>
  <c r="Y93" i="41"/>
  <c r="Z93" i="41"/>
  <c r="AA93" i="41"/>
  <c r="AB93" i="41"/>
  <c r="AC93" i="41"/>
  <c r="AD93" i="41"/>
  <c r="AE93" i="41"/>
  <c r="AF93" i="41"/>
  <c r="AG93" i="41"/>
  <c r="AH93" i="41"/>
  <c r="AI93" i="41"/>
  <c r="AJ93" i="41"/>
  <c r="AK93" i="41"/>
  <c r="AL93" i="41"/>
  <c r="AM93" i="41"/>
  <c r="AN93" i="41"/>
  <c r="AO93" i="41"/>
  <c r="AP93" i="41"/>
  <c r="AQ93" i="41"/>
  <c r="AR93" i="41"/>
  <c r="AS93" i="41"/>
  <c r="AT93" i="41"/>
  <c r="AU93" i="41"/>
  <c r="AV93" i="41"/>
  <c r="AW93" i="41"/>
  <c r="AX93" i="41"/>
  <c r="AY93" i="41"/>
  <c r="AZ93" i="41"/>
  <c r="BA93" i="41"/>
  <c r="BB93" i="41"/>
  <c r="BC93" i="41"/>
  <c r="BD93" i="41"/>
  <c r="BE93" i="41"/>
  <c r="BF93" i="41"/>
  <c r="BG93" i="41"/>
  <c r="BH93" i="41"/>
  <c r="BI93" i="41"/>
  <c r="BJ93" i="41"/>
  <c r="BK93" i="41"/>
  <c r="BL93" i="41"/>
  <c r="BM93" i="41"/>
  <c r="BN93" i="41"/>
  <c r="BO93" i="41"/>
  <c r="BP93" i="41"/>
  <c r="BQ93" i="41"/>
  <c r="BR93" i="41"/>
  <c r="BS93" i="41"/>
  <c r="BT93" i="41"/>
  <c r="BU93" i="41"/>
  <c r="BV93" i="41"/>
  <c r="BW93" i="41"/>
  <c r="BX93" i="41"/>
  <c r="BY93" i="41"/>
  <c r="BZ93" i="41"/>
  <c r="CA93" i="41"/>
  <c r="CB93" i="41"/>
  <c r="CC93" i="41"/>
  <c r="CD93" i="41"/>
  <c r="CE93" i="41"/>
  <c r="CF93" i="41"/>
  <c r="CG93" i="41"/>
  <c r="CH93" i="41"/>
  <c r="CI93" i="41"/>
  <c r="CJ93" i="41"/>
  <c r="CK93" i="41"/>
  <c r="CL93" i="41"/>
  <c r="CM93" i="41"/>
  <c r="CN93" i="41"/>
  <c r="CO93" i="41"/>
  <c r="CP93" i="41"/>
  <c r="CQ93" i="41"/>
  <c r="CR93" i="41"/>
  <c r="CS93" i="41"/>
  <c r="CT93" i="41"/>
  <c r="CU93" i="41"/>
  <c r="CV93" i="41"/>
  <c r="CW93" i="41"/>
  <c r="CX93" i="41"/>
  <c r="B95" i="41"/>
  <c r="C95" i="41"/>
  <c r="D95" i="41"/>
  <c r="E95" i="41"/>
  <c r="F95" i="41"/>
  <c r="G95" i="41"/>
  <c r="H95" i="41"/>
  <c r="I95" i="41"/>
  <c r="J95" i="41"/>
  <c r="K95" i="41"/>
  <c r="L95" i="41"/>
  <c r="M95" i="41"/>
  <c r="N95" i="41"/>
  <c r="O95" i="41"/>
  <c r="P95" i="41"/>
  <c r="Q95" i="41"/>
  <c r="R95" i="41"/>
  <c r="S95" i="41"/>
  <c r="T95" i="41"/>
  <c r="U95" i="41"/>
  <c r="V95" i="41"/>
  <c r="W95" i="41"/>
  <c r="X95" i="41"/>
  <c r="Y95" i="41"/>
  <c r="Z95" i="41"/>
  <c r="AA95" i="41"/>
  <c r="AB95" i="41"/>
  <c r="AC95" i="41"/>
  <c r="AD95" i="41"/>
  <c r="AE95" i="41"/>
  <c r="AF95" i="41"/>
  <c r="AG95" i="41"/>
  <c r="AH95" i="41"/>
  <c r="AI95" i="41"/>
  <c r="AJ95" i="41"/>
  <c r="AK95" i="41"/>
  <c r="AL95" i="41"/>
  <c r="AM95" i="41"/>
  <c r="AN95" i="41"/>
  <c r="AO95" i="41"/>
  <c r="AP95" i="41"/>
  <c r="AQ95" i="41"/>
  <c r="AR95" i="41"/>
  <c r="AS95" i="41"/>
  <c r="AT95" i="41"/>
  <c r="AU95" i="41"/>
  <c r="AV95" i="41"/>
  <c r="AW95" i="41"/>
  <c r="AX95" i="41"/>
  <c r="AY95" i="41"/>
  <c r="AZ95" i="41"/>
  <c r="BA95" i="41"/>
  <c r="BB95" i="41"/>
  <c r="BC95" i="41"/>
  <c r="BD95" i="41"/>
  <c r="BE95" i="41"/>
  <c r="BF95" i="41"/>
  <c r="BG95" i="41"/>
  <c r="BH95" i="41"/>
  <c r="BI95" i="41"/>
  <c r="BJ95" i="41"/>
  <c r="BK95" i="41"/>
  <c r="BL95" i="41"/>
  <c r="BM95" i="41"/>
  <c r="BN95" i="41"/>
  <c r="BO95" i="41"/>
  <c r="BP95" i="41"/>
  <c r="BQ95" i="41"/>
  <c r="BR95" i="41"/>
  <c r="BS95" i="41"/>
  <c r="BT95" i="41"/>
  <c r="BU95" i="41"/>
  <c r="BV95" i="41"/>
  <c r="BW95" i="41"/>
  <c r="BX95" i="41"/>
  <c r="BY95" i="41"/>
  <c r="BZ95" i="41"/>
  <c r="CA95" i="41"/>
  <c r="CB95" i="41"/>
  <c r="CC95" i="41"/>
  <c r="CD95" i="41"/>
  <c r="CE95" i="41"/>
  <c r="CF95" i="41"/>
  <c r="CG95" i="41"/>
  <c r="CH95" i="41"/>
  <c r="CI95" i="41"/>
  <c r="CJ95" i="41"/>
  <c r="CK95" i="41"/>
  <c r="CL95" i="41"/>
  <c r="CM95" i="41"/>
  <c r="CN95" i="41"/>
  <c r="CO95" i="41"/>
  <c r="CP95" i="41"/>
  <c r="CQ95" i="41"/>
  <c r="CR95" i="41"/>
  <c r="CS95" i="41"/>
  <c r="CT95" i="41"/>
  <c r="CU95" i="41"/>
  <c r="CV95" i="41"/>
  <c r="CW95" i="41"/>
  <c r="CX95" i="41"/>
  <c r="C96" i="41"/>
  <c r="D96" i="41"/>
  <c r="E96" i="41"/>
  <c r="F96" i="41"/>
  <c r="G96" i="41"/>
  <c r="H96" i="41"/>
  <c r="I96" i="41"/>
  <c r="J96" i="41"/>
  <c r="K96" i="41"/>
  <c r="L96" i="41"/>
  <c r="M96" i="41"/>
  <c r="N96" i="41"/>
  <c r="O96" i="41"/>
  <c r="P96" i="41"/>
  <c r="Q96" i="41"/>
  <c r="R96" i="41"/>
  <c r="S96" i="41"/>
  <c r="T96" i="41"/>
  <c r="U96" i="41"/>
  <c r="V96" i="41"/>
  <c r="W96" i="41"/>
  <c r="X96" i="41"/>
  <c r="Y96" i="41"/>
  <c r="Z96" i="41"/>
  <c r="AA96" i="41"/>
  <c r="AB96" i="41"/>
  <c r="AC96" i="41"/>
  <c r="AD96" i="41"/>
  <c r="AE96" i="41"/>
  <c r="AF96" i="41"/>
  <c r="AG96" i="41"/>
  <c r="AH96" i="41"/>
  <c r="AI96" i="41"/>
  <c r="AJ96" i="41"/>
  <c r="AK96" i="41"/>
  <c r="AL96" i="41"/>
  <c r="AM96" i="41"/>
  <c r="AN96" i="41"/>
  <c r="AO96" i="41"/>
  <c r="AP96" i="41"/>
  <c r="AQ96" i="41"/>
  <c r="AR96" i="41"/>
  <c r="AS96" i="41"/>
  <c r="AT96" i="41"/>
  <c r="AU96" i="41"/>
  <c r="AV96" i="41"/>
  <c r="AW96" i="41"/>
  <c r="AX96" i="41"/>
  <c r="AY96" i="41"/>
  <c r="AZ96" i="41"/>
  <c r="BA96" i="41"/>
  <c r="BB96" i="41"/>
  <c r="BC96" i="41"/>
  <c r="BD96" i="41"/>
  <c r="BE96" i="41"/>
  <c r="BF96" i="41"/>
  <c r="BG96" i="41"/>
  <c r="BH96" i="41"/>
  <c r="BI96" i="41"/>
  <c r="BJ96" i="41"/>
  <c r="BK96" i="41"/>
  <c r="BL96" i="41"/>
  <c r="BM96" i="41"/>
  <c r="BN96" i="41"/>
  <c r="BO96" i="41"/>
  <c r="BP96" i="41"/>
  <c r="BQ96" i="41"/>
  <c r="BR96" i="41"/>
  <c r="BS96" i="41"/>
  <c r="BT96" i="41"/>
  <c r="BU96" i="41"/>
  <c r="BV96" i="41"/>
  <c r="BW96" i="41"/>
  <c r="BX96" i="41"/>
  <c r="BY96" i="41"/>
  <c r="BZ96" i="41"/>
  <c r="CA96" i="41"/>
  <c r="CB96" i="41"/>
  <c r="CC96" i="41"/>
  <c r="CD96" i="41"/>
  <c r="CE96" i="41"/>
  <c r="CF96" i="41"/>
  <c r="CG96" i="41"/>
  <c r="CH96" i="41"/>
  <c r="CI96" i="41"/>
  <c r="CJ96" i="41"/>
  <c r="CK96" i="41"/>
  <c r="CL96" i="41"/>
  <c r="CM96" i="41"/>
  <c r="CN96" i="41"/>
  <c r="CO96" i="41"/>
  <c r="CP96" i="41"/>
  <c r="CQ96" i="41"/>
  <c r="CR96" i="41"/>
  <c r="CS96" i="41"/>
  <c r="CT96" i="41"/>
  <c r="CU96" i="41"/>
  <c r="CV96" i="41"/>
  <c r="CW96" i="41"/>
  <c r="CX96" i="41"/>
  <c r="B98" i="41"/>
  <c r="D98" i="41"/>
  <c r="C99" i="41"/>
  <c r="D99" i="41"/>
  <c r="E99" i="41"/>
  <c r="F99" i="41"/>
  <c r="G99" i="41"/>
  <c r="H99" i="41"/>
  <c r="I99" i="41"/>
  <c r="J99" i="41"/>
  <c r="K99" i="41"/>
  <c r="L99" i="41"/>
  <c r="M99" i="41"/>
  <c r="N99" i="41"/>
  <c r="O99" i="41"/>
  <c r="P99" i="41"/>
  <c r="Q99" i="41"/>
  <c r="R99" i="41"/>
  <c r="S99" i="41"/>
  <c r="T99" i="41"/>
  <c r="U99" i="41"/>
  <c r="V99" i="41"/>
  <c r="W99" i="41"/>
  <c r="X99" i="41"/>
  <c r="Y99" i="41"/>
  <c r="Z99" i="41"/>
  <c r="AA99" i="41"/>
  <c r="AB99" i="41"/>
  <c r="AC99" i="41"/>
  <c r="AD99" i="41"/>
  <c r="AE99" i="41"/>
  <c r="AF99" i="41"/>
  <c r="AG99" i="41"/>
  <c r="AH99" i="41"/>
  <c r="AI99" i="41"/>
  <c r="AJ99" i="41"/>
  <c r="AK99" i="41"/>
  <c r="AL99" i="41"/>
  <c r="AM99" i="41"/>
  <c r="AN99" i="41"/>
  <c r="AO99" i="41"/>
  <c r="AP99" i="41"/>
  <c r="AQ99" i="41"/>
  <c r="AR99" i="41"/>
  <c r="AS99" i="41"/>
  <c r="AT99" i="41"/>
  <c r="AU99" i="41"/>
  <c r="AV99" i="41"/>
  <c r="AW99" i="41"/>
  <c r="AX99" i="41"/>
  <c r="AY99" i="41"/>
  <c r="AZ99" i="41"/>
  <c r="BA99" i="41"/>
  <c r="BB99" i="41"/>
  <c r="BC99" i="41"/>
  <c r="BD99" i="41"/>
  <c r="BE99" i="41"/>
  <c r="BF99" i="41"/>
  <c r="BG99" i="41"/>
  <c r="BH99" i="41"/>
  <c r="BI99" i="41"/>
  <c r="BJ99" i="41"/>
  <c r="BK99" i="41"/>
  <c r="BL99" i="41"/>
  <c r="BM99" i="41"/>
  <c r="BN99" i="41"/>
  <c r="BO99" i="41"/>
  <c r="BP99" i="41"/>
  <c r="BQ99" i="41"/>
  <c r="BR99" i="41"/>
  <c r="BS99" i="41"/>
  <c r="BT99" i="41"/>
  <c r="BU99" i="41"/>
  <c r="BV99" i="41"/>
  <c r="BW99" i="41"/>
  <c r="BX99" i="41"/>
  <c r="BY99" i="41"/>
  <c r="BZ99" i="41"/>
  <c r="CA99" i="41"/>
  <c r="CB99" i="41"/>
  <c r="CC99" i="41"/>
  <c r="CD99" i="41"/>
  <c r="CE99" i="41"/>
  <c r="CF99" i="41"/>
  <c r="CG99" i="41"/>
  <c r="CH99" i="41"/>
  <c r="CI99" i="41"/>
  <c r="CJ99" i="41"/>
  <c r="CK99" i="41"/>
  <c r="CL99" i="41"/>
  <c r="CM99" i="41"/>
  <c r="CN99" i="41"/>
  <c r="CO99" i="41"/>
  <c r="CP99" i="41"/>
  <c r="CQ99" i="41"/>
  <c r="CR99" i="41"/>
  <c r="CS99" i="41"/>
  <c r="CT99" i="41"/>
  <c r="C100" i="41"/>
  <c r="D100" i="41"/>
  <c r="E100" i="41"/>
  <c r="F100" i="41"/>
  <c r="G100" i="41"/>
  <c r="H100" i="41"/>
  <c r="I100" i="41"/>
  <c r="J100" i="41"/>
  <c r="K100" i="41"/>
  <c r="L100" i="41"/>
  <c r="M100" i="41"/>
  <c r="N100" i="41"/>
  <c r="O100" i="41"/>
  <c r="P100" i="41"/>
  <c r="Q100" i="41"/>
  <c r="R100" i="41"/>
  <c r="S100" i="41"/>
  <c r="T100" i="41"/>
  <c r="U100" i="41"/>
  <c r="V100" i="41"/>
  <c r="W100" i="41"/>
  <c r="X100" i="41"/>
  <c r="Y100" i="41"/>
  <c r="Z100" i="41"/>
  <c r="AA100" i="41"/>
  <c r="AB100" i="41"/>
  <c r="AC100" i="41"/>
  <c r="AD100" i="41"/>
  <c r="AE100" i="41"/>
  <c r="AF100" i="41"/>
  <c r="AG100" i="41"/>
  <c r="AH100" i="41"/>
  <c r="AI100" i="41"/>
  <c r="AJ100" i="41"/>
  <c r="AK100" i="41"/>
  <c r="AL100" i="41"/>
  <c r="AM100" i="41"/>
  <c r="AN100" i="41"/>
  <c r="AO100" i="41"/>
  <c r="AP100" i="41"/>
  <c r="AQ100" i="41"/>
  <c r="AR100" i="41"/>
  <c r="AS100" i="41"/>
  <c r="AT100" i="41"/>
  <c r="AU100" i="41"/>
  <c r="AV100" i="41"/>
  <c r="AW100" i="41"/>
  <c r="AX100" i="41"/>
  <c r="AY100" i="41"/>
  <c r="AZ100" i="41"/>
  <c r="BA100" i="41"/>
  <c r="BB100" i="41"/>
  <c r="BC100" i="41"/>
  <c r="BD100" i="41"/>
  <c r="BE100" i="41"/>
  <c r="BF100" i="41"/>
  <c r="BG100" i="41"/>
  <c r="BH100" i="41"/>
  <c r="BI100" i="41"/>
  <c r="BJ100" i="41"/>
  <c r="BK100" i="41"/>
  <c r="BL100" i="41"/>
  <c r="BM100" i="41"/>
  <c r="BN100" i="41"/>
  <c r="BO100" i="41"/>
  <c r="BP100" i="41"/>
  <c r="BQ100" i="41"/>
  <c r="BR100" i="41"/>
  <c r="BS100" i="41"/>
  <c r="BT100" i="41"/>
  <c r="BU100" i="41"/>
  <c r="BV100" i="41"/>
  <c r="BW100" i="41"/>
  <c r="BX100" i="41"/>
  <c r="BY100" i="41"/>
  <c r="BZ100" i="41"/>
  <c r="CA100" i="41"/>
  <c r="CB100" i="41"/>
  <c r="CC100" i="41"/>
  <c r="CD100" i="41"/>
  <c r="CE100" i="41"/>
  <c r="CF100" i="41"/>
  <c r="CG100" i="41"/>
  <c r="CH100" i="41"/>
  <c r="CI100" i="41"/>
  <c r="CJ100" i="41"/>
  <c r="CK100" i="41"/>
  <c r="CL100" i="41"/>
  <c r="CM100" i="41"/>
  <c r="CN100" i="41"/>
  <c r="CO100" i="41"/>
  <c r="CP100" i="41"/>
  <c r="CQ100" i="41"/>
  <c r="CR100" i="41"/>
  <c r="CS100" i="41"/>
  <c r="CT100" i="41"/>
  <c r="CU100" i="41"/>
  <c r="C101" i="41"/>
  <c r="D101" i="41"/>
  <c r="E101" i="41"/>
  <c r="F101" i="41"/>
  <c r="G101" i="41"/>
  <c r="H101" i="41"/>
  <c r="I101" i="41"/>
  <c r="J101" i="41"/>
  <c r="K101" i="41"/>
  <c r="L101" i="41"/>
  <c r="M101" i="41"/>
  <c r="N101" i="41"/>
  <c r="O101" i="41"/>
  <c r="P101" i="41"/>
  <c r="Q101" i="41"/>
  <c r="R101" i="41"/>
  <c r="S101" i="41"/>
  <c r="T101" i="41"/>
  <c r="U101" i="41"/>
  <c r="V101" i="41"/>
  <c r="W101" i="41"/>
  <c r="X101" i="41"/>
  <c r="Y101" i="41"/>
  <c r="Z101" i="41"/>
  <c r="AA101" i="41"/>
  <c r="AB101" i="41"/>
  <c r="AC101" i="41"/>
  <c r="AD101" i="41"/>
  <c r="AE101" i="41"/>
  <c r="AF101" i="41"/>
  <c r="AG101" i="41"/>
  <c r="AH101" i="41"/>
  <c r="AI101" i="41"/>
  <c r="AJ101" i="41"/>
  <c r="AK101" i="41"/>
  <c r="AL101" i="41"/>
  <c r="AM101" i="41"/>
  <c r="AN101" i="41"/>
  <c r="AO101" i="41"/>
  <c r="AP101" i="41"/>
  <c r="AQ101" i="41"/>
  <c r="AR101" i="41"/>
  <c r="AS101" i="41"/>
  <c r="AT101" i="41"/>
  <c r="AU101" i="41"/>
  <c r="AV101" i="41"/>
  <c r="AW101" i="41"/>
  <c r="AX101" i="41"/>
  <c r="AY101" i="41"/>
  <c r="AZ101" i="41"/>
  <c r="BA101" i="41"/>
  <c r="BB101" i="41"/>
  <c r="BC101" i="41"/>
  <c r="BD101" i="41"/>
  <c r="BE101" i="41"/>
  <c r="BF101" i="41"/>
  <c r="BG101" i="41"/>
  <c r="BH101" i="41"/>
  <c r="BI101" i="41"/>
  <c r="BJ101" i="41"/>
  <c r="BK101" i="41"/>
  <c r="BL101" i="41"/>
  <c r="BM101" i="41"/>
  <c r="BN101" i="41"/>
  <c r="BO101" i="41"/>
  <c r="BP101" i="41"/>
  <c r="BQ101" i="41"/>
  <c r="BR101" i="41"/>
  <c r="BS101" i="41"/>
  <c r="BT101" i="41"/>
  <c r="BU101" i="41"/>
  <c r="BV101" i="41"/>
  <c r="BW101" i="41"/>
  <c r="BX101" i="41"/>
  <c r="BY101" i="41"/>
  <c r="BZ101" i="41"/>
  <c r="CA101" i="41"/>
  <c r="CB101" i="41"/>
  <c r="CC101" i="41"/>
  <c r="CD101" i="41"/>
  <c r="CE101" i="41"/>
  <c r="CF101" i="41"/>
  <c r="CG101" i="41"/>
  <c r="CH101" i="41"/>
  <c r="CI101" i="41"/>
  <c r="CJ101" i="41"/>
  <c r="CK101" i="41"/>
  <c r="CL101" i="41"/>
  <c r="CM101" i="41"/>
  <c r="CN101" i="41"/>
  <c r="CO101" i="41"/>
  <c r="CP101" i="41"/>
  <c r="CQ101" i="41"/>
  <c r="CR101" i="41"/>
  <c r="CS101" i="41"/>
  <c r="CT101" i="41"/>
  <c r="CU101" i="41"/>
  <c r="C103" i="41"/>
  <c r="D103" i="41"/>
  <c r="E103" i="41"/>
  <c r="F103" i="41"/>
  <c r="G103" i="41"/>
  <c r="H103" i="41"/>
  <c r="I103" i="41"/>
  <c r="J103" i="41"/>
  <c r="K103" i="41"/>
  <c r="L103" i="41"/>
  <c r="M103" i="41"/>
  <c r="N103" i="41"/>
  <c r="O103" i="41"/>
  <c r="P103" i="41"/>
  <c r="Q103" i="41"/>
  <c r="R103" i="41"/>
  <c r="S103" i="41"/>
  <c r="T103" i="41"/>
  <c r="U103" i="41"/>
  <c r="V103" i="41"/>
  <c r="W103" i="41"/>
  <c r="X103" i="41"/>
  <c r="Y103" i="41"/>
  <c r="Z103" i="41"/>
  <c r="AA103" i="41"/>
  <c r="AB103" i="41"/>
  <c r="AC103" i="41"/>
  <c r="AD103" i="41"/>
  <c r="AE103" i="41"/>
  <c r="AF103" i="41"/>
  <c r="AG103" i="41"/>
  <c r="AH103" i="41"/>
  <c r="AI103" i="41"/>
  <c r="AJ103" i="41"/>
  <c r="AK103" i="41"/>
  <c r="AL103" i="41"/>
  <c r="AM103" i="41"/>
  <c r="AN103" i="41"/>
  <c r="AO103" i="41"/>
  <c r="AP103" i="41"/>
  <c r="AQ103" i="41"/>
  <c r="AR103" i="41"/>
  <c r="AS103" i="41"/>
  <c r="AT103" i="41"/>
  <c r="AU103" i="41"/>
  <c r="AV103" i="41"/>
  <c r="AW103" i="41"/>
  <c r="AX103" i="41"/>
  <c r="AY103" i="41"/>
  <c r="AZ103" i="41"/>
  <c r="BA103" i="41"/>
  <c r="BB103" i="41"/>
  <c r="BC103" i="41"/>
  <c r="BD103" i="41"/>
  <c r="BE103" i="41"/>
  <c r="BF103" i="41"/>
  <c r="BG103" i="41"/>
  <c r="BH103" i="41"/>
  <c r="BI103" i="41"/>
  <c r="BJ103" i="41"/>
  <c r="BK103" i="41"/>
  <c r="BL103" i="41"/>
  <c r="BM103" i="41"/>
  <c r="BN103" i="41"/>
  <c r="BO103" i="41"/>
  <c r="BP103" i="41"/>
  <c r="BQ103" i="41"/>
  <c r="BR103" i="41"/>
  <c r="BS103" i="41"/>
  <c r="BT103" i="41"/>
  <c r="BU103" i="41"/>
  <c r="BV103" i="41"/>
  <c r="BW103" i="41"/>
  <c r="BX103" i="41"/>
  <c r="BY103" i="41"/>
  <c r="BZ103" i="41"/>
  <c r="CA103" i="41"/>
  <c r="CB103" i="41"/>
  <c r="CC103" i="41"/>
  <c r="CD103" i="41"/>
  <c r="CE103" i="41"/>
  <c r="CF103" i="41"/>
  <c r="CG103" i="41"/>
  <c r="CH103" i="41"/>
  <c r="CI103" i="41"/>
  <c r="CJ103" i="41"/>
  <c r="CK103" i="41"/>
  <c r="CL103" i="41"/>
  <c r="CM103" i="41"/>
  <c r="CN103" i="41"/>
  <c r="CO103" i="41"/>
  <c r="CP103" i="41"/>
  <c r="CQ103" i="41"/>
  <c r="CR103" i="41"/>
  <c r="CS103" i="41"/>
  <c r="CT103" i="41"/>
  <c r="CU103" i="41"/>
  <c r="CV103" i="41"/>
  <c r="CW103" i="41"/>
  <c r="CX103" i="41"/>
  <c r="B104" i="41"/>
  <c r="C104" i="41"/>
  <c r="D104" i="41"/>
  <c r="E104" i="41"/>
  <c r="F104" i="41"/>
  <c r="G104" i="41"/>
  <c r="H104" i="41"/>
  <c r="I104" i="41"/>
  <c r="J104" i="41"/>
  <c r="K104" i="41"/>
  <c r="L104" i="41"/>
  <c r="M104" i="41"/>
  <c r="N104" i="41"/>
  <c r="O104" i="41"/>
  <c r="P104" i="41"/>
  <c r="Q104" i="41"/>
  <c r="R104" i="41"/>
  <c r="S104" i="41"/>
  <c r="T104" i="41"/>
  <c r="U104" i="41"/>
  <c r="V104" i="41"/>
  <c r="W104" i="41"/>
  <c r="X104" i="41"/>
  <c r="Y104" i="41"/>
  <c r="Z104" i="41"/>
  <c r="AA104" i="41"/>
  <c r="AB104" i="41"/>
  <c r="AC104" i="41"/>
  <c r="AD104" i="41"/>
  <c r="AE104" i="41"/>
  <c r="AF104" i="41"/>
  <c r="AG104" i="41"/>
  <c r="AH104" i="41"/>
  <c r="AI104" i="41"/>
  <c r="AJ104" i="41"/>
  <c r="AK104" i="41"/>
  <c r="AL104" i="41"/>
  <c r="AM104" i="41"/>
  <c r="AN104" i="41"/>
  <c r="AO104" i="41"/>
  <c r="AP104" i="41"/>
  <c r="AQ104" i="41"/>
  <c r="AR104" i="41"/>
  <c r="AS104" i="41"/>
  <c r="AT104" i="41"/>
  <c r="AU104" i="41"/>
  <c r="AV104" i="41"/>
  <c r="AW104" i="41"/>
  <c r="AX104" i="41"/>
  <c r="AY104" i="41"/>
  <c r="AZ104" i="41"/>
  <c r="BA104" i="41"/>
  <c r="BB104" i="41"/>
  <c r="BC104" i="41"/>
  <c r="BD104" i="41"/>
  <c r="BE104" i="41"/>
  <c r="BF104" i="41"/>
  <c r="BG104" i="41"/>
  <c r="BH104" i="41"/>
  <c r="BI104" i="41"/>
  <c r="BJ104" i="41"/>
  <c r="BK104" i="41"/>
  <c r="BL104" i="41"/>
  <c r="BM104" i="41"/>
  <c r="BN104" i="41"/>
  <c r="BO104" i="41"/>
  <c r="BP104" i="41"/>
  <c r="BQ104" i="41"/>
  <c r="BR104" i="41"/>
  <c r="BS104" i="41"/>
  <c r="BT104" i="41"/>
  <c r="BU104" i="41"/>
  <c r="BV104" i="41"/>
  <c r="BW104" i="41"/>
  <c r="BX104" i="41"/>
  <c r="BY104" i="41"/>
  <c r="BZ104" i="41"/>
  <c r="CA104" i="41"/>
  <c r="CB104" i="41"/>
  <c r="CC104" i="41"/>
  <c r="CD104" i="41"/>
  <c r="CE104" i="41"/>
  <c r="CF104" i="41"/>
  <c r="CG104" i="41"/>
  <c r="CH104" i="41"/>
  <c r="CI104" i="41"/>
  <c r="CJ104" i="41"/>
  <c r="CK104" i="41"/>
  <c r="CL104" i="41"/>
  <c r="CM104" i="41"/>
  <c r="CN104" i="41"/>
  <c r="CO104" i="41"/>
  <c r="CP104" i="41"/>
  <c r="CQ104" i="41"/>
  <c r="CR104" i="41"/>
  <c r="CS104" i="41"/>
  <c r="CT104" i="41"/>
  <c r="C105" i="41"/>
  <c r="D105" i="41"/>
  <c r="E105" i="41"/>
  <c r="F105" i="41"/>
  <c r="G105" i="41"/>
  <c r="H105" i="41"/>
  <c r="I105" i="41"/>
  <c r="J105" i="41"/>
  <c r="K105" i="41"/>
  <c r="L105" i="41"/>
  <c r="M105" i="41"/>
  <c r="N105" i="41"/>
  <c r="O105" i="41"/>
  <c r="P105" i="41"/>
  <c r="Q105" i="41"/>
  <c r="R105" i="41"/>
  <c r="S105" i="41"/>
  <c r="T105" i="41"/>
  <c r="U105" i="41"/>
  <c r="V105" i="41"/>
  <c r="W105" i="41"/>
  <c r="X105" i="41"/>
  <c r="Y105" i="41"/>
  <c r="Z105" i="41"/>
  <c r="AA105" i="41"/>
  <c r="AB105" i="41"/>
  <c r="AC105" i="41"/>
  <c r="AD105" i="41"/>
  <c r="AE105" i="41"/>
  <c r="AF105" i="41"/>
  <c r="AG105" i="41"/>
  <c r="AH105" i="41"/>
  <c r="AI105" i="41"/>
  <c r="AJ105" i="41"/>
  <c r="AK105" i="41"/>
  <c r="AL105" i="41"/>
  <c r="AM105" i="41"/>
  <c r="AN105" i="41"/>
  <c r="AO105" i="41"/>
  <c r="AP105" i="41"/>
  <c r="AQ105" i="41"/>
  <c r="AR105" i="41"/>
  <c r="AS105" i="41"/>
  <c r="AT105" i="41"/>
  <c r="AU105" i="41"/>
  <c r="AV105" i="41"/>
  <c r="AW105" i="41"/>
  <c r="AX105" i="41"/>
  <c r="AY105" i="41"/>
  <c r="AZ105" i="41"/>
  <c r="BA105" i="41"/>
  <c r="BB105" i="41"/>
  <c r="BC105" i="41"/>
  <c r="BD105" i="41"/>
  <c r="BE105" i="41"/>
  <c r="BF105" i="41"/>
  <c r="BG105" i="41"/>
  <c r="BH105" i="41"/>
  <c r="BI105" i="41"/>
  <c r="BJ105" i="41"/>
  <c r="BK105" i="41"/>
  <c r="BL105" i="41"/>
  <c r="BM105" i="41"/>
  <c r="BN105" i="41"/>
  <c r="BO105" i="41"/>
  <c r="BP105" i="41"/>
  <c r="BQ105" i="41"/>
  <c r="BR105" i="41"/>
  <c r="BS105" i="41"/>
  <c r="BT105" i="41"/>
  <c r="BU105" i="41"/>
  <c r="BV105" i="41"/>
  <c r="BW105" i="41"/>
  <c r="BX105" i="41"/>
  <c r="BY105" i="41"/>
  <c r="BZ105" i="41"/>
  <c r="CA105" i="41"/>
  <c r="CB105" i="41"/>
  <c r="CC105" i="41"/>
  <c r="CD105" i="41"/>
  <c r="CE105" i="41"/>
  <c r="CF105" i="41"/>
  <c r="CG105" i="41"/>
  <c r="CH105" i="41"/>
  <c r="CI105" i="41"/>
  <c r="CJ105" i="41"/>
  <c r="CK105" i="41"/>
  <c r="CL105" i="41"/>
  <c r="CM105" i="41"/>
  <c r="CN105" i="41"/>
  <c r="CO105" i="41"/>
  <c r="CP105" i="41"/>
  <c r="CQ105" i="41"/>
  <c r="CR105" i="41"/>
  <c r="CS105" i="41"/>
  <c r="CT105" i="41"/>
  <c r="D106" i="41"/>
  <c r="E106" i="41"/>
  <c r="F106" i="41"/>
  <c r="G106" i="41"/>
  <c r="H106" i="41"/>
  <c r="I106" i="41"/>
  <c r="J106" i="41"/>
  <c r="K106" i="41"/>
  <c r="L106" i="41"/>
  <c r="M106" i="41"/>
  <c r="N106" i="41"/>
  <c r="O106" i="41"/>
  <c r="P106" i="41"/>
  <c r="Q106" i="41"/>
  <c r="R106" i="41"/>
  <c r="S106" i="41"/>
  <c r="T106" i="41"/>
  <c r="U106" i="41"/>
  <c r="V106" i="41"/>
  <c r="W106" i="41"/>
  <c r="X106" i="41"/>
  <c r="Y106" i="41"/>
  <c r="Z106" i="41"/>
  <c r="AA106" i="41"/>
  <c r="AB106" i="41"/>
  <c r="AC106" i="41"/>
  <c r="AD106" i="41"/>
  <c r="AE106" i="41"/>
  <c r="AF106" i="41"/>
  <c r="AG106" i="41"/>
  <c r="AH106" i="41"/>
  <c r="AI106" i="41"/>
  <c r="AJ106" i="41"/>
  <c r="AK106" i="41"/>
  <c r="AL106" i="41"/>
  <c r="AM106" i="41"/>
  <c r="AN106" i="41"/>
  <c r="AO106" i="41"/>
  <c r="AP106" i="41"/>
  <c r="AQ106" i="41"/>
  <c r="AR106" i="41"/>
  <c r="AS106" i="41"/>
  <c r="AT106" i="41"/>
  <c r="AU106" i="41"/>
  <c r="AV106" i="41"/>
  <c r="AW106" i="41"/>
  <c r="AX106" i="41"/>
  <c r="AY106" i="41"/>
  <c r="AZ106" i="41"/>
  <c r="BA106" i="41"/>
  <c r="BB106" i="41"/>
  <c r="BC106" i="41"/>
  <c r="BD106" i="41"/>
  <c r="BE106" i="41"/>
  <c r="BF106" i="41"/>
  <c r="BG106" i="41"/>
  <c r="BH106" i="41"/>
  <c r="BI106" i="41"/>
  <c r="BJ106" i="41"/>
  <c r="BK106" i="41"/>
  <c r="BL106" i="41"/>
  <c r="BM106" i="41"/>
  <c r="BN106" i="41"/>
  <c r="BO106" i="41"/>
  <c r="BP106" i="41"/>
  <c r="BQ106" i="41"/>
  <c r="BR106" i="41"/>
  <c r="BS106" i="41"/>
  <c r="BT106" i="41"/>
  <c r="BU106" i="41"/>
  <c r="BV106" i="41"/>
  <c r="BW106" i="41"/>
  <c r="BX106" i="41"/>
  <c r="BY106" i="41"/>
  <c r="BZ106" i="41"/>
  <c r="CA106" i="41"/>
  <c r="CB106" i="41"/>
  <c r="CC106" i="41"/>
  <c r="CD106" i="41"/>
  <c r="CE106" i="41"/>
  <c r="CF106" i="41"/>
  <c r="CG106" i="41"/>
  <c r="CH106" i="41"/>
  <c r="CI106" i="41"/>
  <c r="CJ106" i="41"/>
  <c r="CK106" i="41"/>
  <c r="CL106" i="41"/>
  <c r="CM106" i="41"/>
  <c r="CN106" i="41"/>
  <c r="CO106" i="41"/>
  <c r="CP106" i="41"/>
  <c r="CQ106" i="41"/>
  <c r="CR106" i="41"/>
  <c r="CS106" i="41"/>
  <c r="CT106" i="41"/>
  <c r="CU106" i="41"/>
  <c r="B109" i="41"/>
  <c r="C109" i="41"/>
  <c r="D109" i="41"/>
  <c r="E109" i="41"/>
  <c r="F109" i="41"/>
  <c r="G109" i="41"/>
  <c r="H109" i="41"/>
  <c r="I109" i="41"/>
  <c r="J109" i="41"/>
  <c r="K109" i="41"/>
  <c r="L109" i="41"/>
  <c r="M109" i="41"/>
  <c r="N109" i="41"/>
  <c r="O109" i="41"/>
  <c r="P109" i="41"/>
  <c r="Q109" i="41"/>
  <c r="R109" i="41"/>
  <c r="S109" i="41"/>
  <c r="T109" i="41"/>
  <c r="U109" i="41"/>
  <c r="V109" i="41"/>
  <c r="W109" i="41"/>
  <c r="X109" i="41"/>
  <c r="Y109" i="41"/>
  <c r="Z109" i="41"/>
  <c r="AA109" i="41"/>
  <c r="AB109" i="41"/>
  <c r="AC109" i="41"/>
  <c r="AD109" i="41"/>
  <c r="AE109" i="41"/>
  <c r="AF109" i="41"/>
  <c r="AG109" i="41"/>
  <c r="AH109" i="41"/>
  <c r="AI109" i="41"/>
  <c r="AJ109" i="41"/>
  <c r="AK109" i="41"/>
  <c r="AL109" i="41"/>
  <c r="AM109" i="41"/>
  <c r="AN109" i="41"/>
  <c r="AO109" i="41"/>
  <c r="AP109" i="41"/>
  <c r="AQ109" i="41"/>
  <c r="AR109" i="41"/>
  <c r="AS109" i="41"/>
  <c r="AT109" i="41"/>
  <c r="AU109" i="41"/>
  <c r="AV109" i="41"/>
  <c r="AW109" i="41"/>
  <c r="AX109" i="41"/>
  <c r="AY109" i="41"/>
  <c r="AZ109" i="41"/>
  <c r="BA109" i="41"/>
  <c r="BB109" i="41"/>
  <c r="BC109" i="41"/>
  <c r="BD109" i="41"/>
  <c r="BE109" i="41"/>
  <c r="BF109" i="41"/>
  <c r="BG109" i="41"/>
  <c r="BH109" i="41"/>
  <c r="BI109" i="41"/>
  <c r="BJ109" i="41"/>
  <c r="BK109" i="41"/>
  <c r="BL109" i="41"/>
  <c r="BM109" i="41"/>
  <c r="BN109" i="41"/>
  <c r="BO109" i="41"/>
  <c r="BP109" i="41"/>
  <c r="BQ109" i="41"/>
  <c r="BR109" i="41"/>
  <c r="BS109" i="41"/>
  <c r="BT109" i="41"/>
  <c r="BU109" i="41"/>
  <c r="BV109" i="41"/>
  <c r="BW109" i="41"/>
  <c r="BX109" i="41"/>
  <c r="BY109" i="41"/>
  <c r="BZ109" i="41"/>
  <c r="CA109" i="41"/>
  <c r="CB109" i="41"/>
  <c r="CC109" i="41"/>
  <c r="CD109" i="41"/>
  <c r="CE109" i="41"/>
  <c r="CF109" i="41"/>
  <c r="CG109" i="41"/>
  <c r="CH109" i="41"/>
  <c r="CI109" i="41"/>
  <c r="CJ109" i="41"/>
  <c r="CK109" i="41"/>
  <c r="CL109" i="41"/>
  <c r="CM109" i="41"/>
  <c r="CN109" i="41"/>
  <c r="CO109" i="41"/>
  <c r="CP109" i="41"/>
  <c r="CQ109" i="41"/>
  <c r="CR109" i="41"/>
  <c r="CS109" i="41"/>
  <c r="CT109" i="41"/>
  <c r="CU109" i="41"/>
  <c r="B110" i="41"/>
  <c r="D110" i="41"/>
  <c r="E110" i="41"/>
  <c r="F110" i="41"/>
  <c r="G110" i="41"/>
  <c r="H110" i="41"/>
  <c r="I110" i="41"/>
  <c r="J110" i="41"/>
  <c r="K110" i="41"/>
  <c r="L110" i="41"/>
  <c r="M110" i="41"/>
  <c r="N110" i="41"/>
  <c r="O110" i="41"/>
  <c r="P110" i="41"/>
  <c r="Q110" i="41"/>
  <c r="R110" i="41"/>
  <c r="S110" i="41"/>
  <c r="T110" i="41"/>
  <c r="U110" i="41"/>
  <c r="V110" i="41"/>
  <c r="W110" i="41"/>
  <c r="X110" i="41"/>
  <c r="Y110" i="41"/>
  <c r="Z110" i="41"/>
  <c r="AA110" i="41"/>
  <c r="AB110" i="41"/>
  <c r="AC110" i="41"/>
  <c r="AD110" i="41"/>
  <c r="AE110" i="41"/>
  <c r="AF110" i="41"/>
  <c r="AG110" i="41"/>
  <c r="AH110" i="41"/>
  <c r="AI110" i="41"/>
  <c r="AJ110" i="41"/>
  <c r="AK110" i="41"/>
  <c r="AL110" i="41"/>
  <c r="AM110" i="41"/>
  <c r="AN110" i="41"/>
  <c r="AO110" i="41"/>
  <c r="AP110" i="41"/>
  <c r="AQ110" i="41"/>
  <c r="AR110" i="41"/>
  <c r="AS110" i="41"/>
  <c r="AT110" i="41"/>
  <c r="AU110" i="41"/>
  <c r="AV110" i="41"/>
  <c r="AW110" i="41"/>
  <c r="AX110" i="41"/>
  <c r="AY110" i="41"/>
  <c r="AZ110" i="41"/>
  <c r="BA110" i="41"/>
  <c r="BB110" i="41"/>
  <c r="BC110" i="41"/>
  <c r="BD110" i="41"/>
  <c r="BE110" i="41"/>
  <c r="BF110" i="41"/>
  <c r="BG110" i="41"/>
  <c r="BH110" i="41"/>
  <c r="BI110" i="41"/>
  <c r="BJ110" i="41"/>
  <c r="BK110" i="41"/>
  <c r="BL110" i="41"/>
  <c r="BM110" i="41"/>
  <c r="BN110" i="41"/>
  <c r="BO110" i="41"/>
  <c r="BP110" i="41"/>
  <c r="BQ110" i="41"/>
  <c r="BR110" i="41"/>
  <c r="BS110" i="41"/>
  <c r="BT110" i="41"/>
  <c r="BU110" i="41"/>
  <c r="BV110" i="41"/>
  <c r="BW110" i="41"/>
  <c r="BX110" i="41"/>
  <c r="BY110" i="41"/>
  <c r="BZ110" i="41"/>
  <c r="CA110" i="41"/>
  <c r="CB110" i="41"/>
  <c r="CC110" i="41"/>
  <c r="CD110" i="41"/>
  <c r="CE110" i="41"/>
  <c r="CF110" i="41"/>
  <c r="CG110" i="41"/>
  <c r="CH110" i="41"/>
  <c r="CI110" i="41"/>
  <c r="CJ110" i="41"/>
  <c r="CK110" i="41"/>
  <c r="CL110" i="41"/>
  <c r="CM110" i="41"/>
  <c r="CN110" i="41"/>
  <c r="CO110" i="41"/>
  <c r="CP110" i="41"/>
  <c r="CQ110" i="41"/>
  <c r="CR110" i="41"/>
  <c r="CS110" i="41"/>
  <c r="CT110" i="41"/>
  <c r="CU110" i="41"/>
  <c r="B111" i="41"/>
  <c r="C111" i="41"/>
  <c r="D111" i="41"/>
  <c r="E111" i="41"/>
  <c r="F111" i="41"/>
  <c r="G111" i="41"/>
  <c r="H111" i="41"/>
  <c r="I111" i="41"/>
  <c r="J111" i="41"/>
  <c r="K111" i="41"/>
  <c r="L111" i="41"/>
  <c r="M111" i="41"/>
  <c r="N111" i="41"/>
  <c r="O111" i="41"/>
  <c r="P111" i="41"/>
  <c r="Q111" i="41"/>
  <c r="R111" i="41"/>
  <c r="S111" i="41"/>
  <c r="T111" i="41"/>
  <c r="U111" i="41"/>
  <c r="V111" i="41"/>
  <c r="W111" i="41"/>
  <c r="X111" i="41"/>
  <c r="Y111" i="41"/>
  <c r="Z111" i="41"/>
  <c r="AA111" i="41"/>
  <c r="AB111" i="41"/>
  <c r="AC111" i="41"/>
  <c r="AD111" i="41"/>
  <c r="AE111" i="41"/>
  <c r="AF111" i="41"/>
  <c r="AG111" i="41"/>
  <c r="AH111" i="41"/>
  <c r="AI111" i="41"/>
  <c r="AJ111" i="41"/>
  <c r="AK111" i="41"/>
  <c r="AL111" i="41"/>
  <c r="AM111" i="41"/>
  <c r="AN111" i="41"/>
  <c r="AO111" i="41"/>
  <c r="AP111" i="41"/>
  <c r="AQ111" i="41"/>
  <c r="AR111" i="41"/>
  <c r="AS111" i="41"/>
  <c r="AT111" i="41"/>
  <c r="AU111" i="41"/>
  <c r="AV111" i="41"/>
  <c r="AW111" i="41"/>
  <c r="AX111" i="41"/>
  <c r="AY111" i="41"/>
  <c r="AZ111" i="41"/>
  <c r="BA111" i="41"/>
  <c r="BB111" i="41"/>
  <c r="BC111" i="41"/>
  <c r="BD111" i="41"/>
  <c r="BE111" i="41"/>
  <c r="BF111" i="41"/>
  <c r="BG111" i="41"/>
  <c r="BH111" i="41"/>
  <c r="BI111" i="41"/>
  <c r="BJ111" i="41"/>
  <c r="BK111" i="41"/>
  <c r="BL111" i="41"/>
  <c r="BM111" i="41"/>
  <c r="BN111" i="41"/>
  <c r="BO111" i="41"/>
  <c r="BP111" i="41"/>
  <c r="BQ111" i="41"/>
  <c r="BR111" i="41"/>
  <c r="BS111" i="41"/>
  <c r="BT111" i="41"/>
  <c r="BU111" i="41"/>
  <c r="BV111" i="41"/>
  <c r="BW111" i="41"/>
  <c r="BX111" i="41"/>
  <c r="BY111" i="41"/>
  <c r="BZ111" i="41"/>
  <c r="CA111" i="41"/>
  <c r="CB111" i="41"/>
  <c r="CC111" i="41"/>
  <c r="CD111" i="41"/>
  <c r="CE111" i="41"/>
  <c r="CF111" i="41"/>
  <c r="CG111" i="41"/>
  <c r="CH111" i="41"/>
  <c r="CI111" i="41"/>
  <c r="CJ111" i="41"/>
  <c r="CK111" i="41"/>
  <c r="CL111" i="41"/>
  <c r="CM111" i="41"/>
  <c r="CN111" i="41"/>
  <c r="CO111" i="41"/>
  <c r="CP111" i="41"/>
  <c r="CQ111" i="41"/>
  <c r="CR111" i="41"/>
  <c r="CS111" i="41"/>
  <c r="CT111" i="41"/>
  <c r="CU111" i="41"/>
  <c r="C113" i="41"/>
  <c r="D113" i="41"/>
  <c r="E113" i="41"/>
  <c r="F113" i="41"/>
  <c r="G113" i="41"/>
  <c r="H113" i="41"/>
  <c r="I113" i="41"/>
  <c r="J113" i="41"/>
  <c r="K113" i="41"/>
  <c r="L113" i="41"/>
  <c r="M113" i="41"/>
  <c r="N113" i="41"/>
  <c r="O113" i="41"/>
  <c r="P113" i="41"/>
  <c r="Q113" i="41"/>
  <c r="R113" i="41"/>
  <c r="S113" i="41"/>
  <c r="T113" i="41"/>
  <c r="U113" i="41"/>
  <c r="V113" i="41"/>
  <c r="W113" i="41"/>
  <c r="X113" i="41"/>
  <c r="Y113" i="41"/>
  <c r="Z113" i="41"/>
  <c r="AA113" i="41"/>
  <c r="AB113" i="41"/>
  <c r="AC113" i="41"/>
  <c r="AD113" i="41"/>
  <c r="AE113" i="41"/>
  <c r="AF113" i="41"/>
  <c r="AG113" i="41"/>
  <c r="AH113" i="41"/>
  <c r="AI113" i="41"/>
  <c r="AJ113" i="41"/>
  <c r="AK113" i="41"/>
  <c r="AL113" i="41"/>
  <c r="AM113" i="41"/>
  <c r="AN113" i="41"/>
  <c r="AO113" i="41"/>
  <c r="AP113" i="41"/>
  <c r="AQ113" i="41"/>
  <c r="AR113" i="41"/>
  <c r="AS113" i="41"/>
  <c r="AT113" i="41"/>
  <c r="AU113" i="41"/>
  <c r="AV113" i="41"/>
  <c r="AW113" i="41"/>
  <c r="AX113" i="41"/>
  <c r="AY113" i="41"/>
  <c r="AZ113" i="41"/>
  <c r="BA113" i="41"/>
  <c r="BB113" i="41"/>
  <c r="BC113" i="41"/>
  <c r="BD113" i="41"/>
  <c r="BE113" i="41"/>
  <c r="BF113" i="41"/>
  <c r="BG113" i="41"/>
  <c r="BH113" i="41"/>
  <c r="BI113" i="41"/>
  <c r="BJ113" i="41"/>
  <c r="BK113" i="41"/>
  <c r="BL113" i="41"/>
  <c r="BM113" i="41"/>
  <c r="BN113" i="41"/>
  <c r="BO113" i="41"/>
  <c r="BP113" i="41"/>
  <c r="BQ113" i="41"/>
  <c r="BR113" i="41"/>
  <c r="BS113" i="41"/>
  <c r="BT113" i="41"/>
  <c r="BU113" i="41"/>
  <c r="BV113" i="41"/>
  <c r="BW113" i="41"/>
  <c r="BX113" i="41"/>
  <c r="BY113" i="41"/>
  <c r="BZ113" i="41"/>
  <c r="CA113" i="41"/>
  <c r="CB113" i="41"/>
  <c r="CC113" i="41"/>
  <c r="CD113" i="41"/>
  <c r="CE113" i="41"/>
  <c r="CF113" i="41"/>
  <c r="CG113" i="41"/>
  <c r="CH113" i="41"/>
  <c r="CI113" i="41"/>
  <c r="CJ113" i="41"/>
  <c r="CK113" i="41"/>
  <c r="CL113" i="41"/>
  <c r="CM113" i="41"/>
  <c r="CN113" i="41"/>
  <c r="CO113" i="41"/>
  <c r="CP113" i="41"/>
  <c r="CQ113" i="41"/>
  <c r="CR113" i="41"/>
  <c r="CS113" i="41"/>
  <c r="CT113" i="41"/>
  <c r="CU113" i="41"/>
  <c r="CV113" i="41"/>
  <c r="CW113" i="41"/>
  <c r="CX113" i="41"/>
  <c r="F4" i="35"/>
  <c r="G4" i="35"/>
  <c r="H4" i="35"/>
  <c r="I4" i="35"/>
  <c r="J4" i="35"/>
  <c r="K4" i="35"/>
  <c r="L4" i="35"/>
  <c r="M4" i="35"/>
  <c r="N4" i="35"/>
  <c r="O4" i="35"/>
  <c r="P4" i="35"/>
  <c r="Q4" i="35"/>
  <c r="R4" i="35"/>
  <c r="S4" i="35"/>
  <c r="T4" i="35"/>
  <c r="U4" i="35"/>
  <c r="V4" i="35"/>
  <c r="W4" i="35"/>
  <c r="X4" i="35"/>
  <c r="Y4" i="35"/>
  <c r="Z4" i="35"/>
  <c r="AA4" i="35"/>
  <c r="AB4" i="35"/>
  <c r="AC4" i="35"/>
  <c r="AD4" i="35"/>
  <c r="AE4" i="35"/>
  <c r="AF4" i="35"/>
  <c r="AG4" i="35"/>
  <c r="AH4" i="35"/>
  <c r="AI4" i="35"/>
  <c r="AJ4" i="35"/>
  <c r="AK4" i="35"/>
  <c r="AL4" i="35"/>
  <c r="AM4" i="35"/>
  <c r="AN4" i="35"/>
  <c r="E5" i="35"/>
  <c r="F5" i="35"/>
  <c r="G5" i="35"/>
  <c r="H5" i="35"/>
  <c r="I5" i="35"/>
  <c r="J5" i="35"/>
  <c r="K5" i="35"/>
  <c r="L5" i="35"/>
  <c r="M5" i="35"/>
  <c r="N5" i="35"/>
  <c r="O5" i="35"/>
  <c r="P5" i="35"/>
  <c r="Q5" i="35"/>
  <c r="R5" i="35"/>
  <c r="S5" i="35"/>
  <c r="T5" i="35"/>
  <c r="U5" i="35"/>
  <c r="V5" i="35"/>
  <c r="W5" i="35"/>
  <c r="X5" i="35"/>
  <c r="Y5" i="35"/>
  <c r="Z5" i="35"/>
  <c r="AA5" i="35"/>
  <c r="AB5" i="35"/>
  <c r="AC5" i="35"/>
  <c r="AD5" i="35"/>
  <c r="AE5" i="35"/>
  <c r="AF5" i="35"/>
  <c r="AG5" i="35"/>
  <c r="AH5" i="35"/>
  <c r="AI5" i="35"/>
  <c r="AJ5" i="35"/>
  <c r="AK5" i="35"/>
  <c r="AL5" i="35"/>
  <c r="AM5" i="35"/>
  <c r="AN5" i="35"/>
  <c r="E7" i="35"/>
  <c r="F7" i="35"/>
  <c r="G7" i="35"/>
  <c r="H7" i="35"/>
  <c r="I7" i="35"/>
  <c r="J7" i="35"/>
  <c r="K7" i="35"/>
  <c r="L7" i="35"/>
  <c r="M7" i="35"/>
  <c r="N7" i="35"/>
  <c r="O7" i="35"/>
  <c r="P7" i="35"/>
  <c r="Q7" i="35"/>
  <c r="R7" i="35"/>
  <c r="S7" i="35"/>
  <c r="T7" i="35"/>
  <c r="U7" i="35"/>
  <c r="V7" i="35"/>
  <c r="W7" i="35"/>
  <c r="X7" i="35"/>
  <c r="Y7" i="35"/>
  <c r="Z7" i="35"/>
  <c r="AA7" i="35"/>
  <c r="AB7" i="35"/>
  <c r="AC7" i="35"/>
  <c r="AD7" i="35"/>
  <c r="AE7" i="35"/>
  <c r="AF7" i="35"/>
  <c r="AG7" i="35"/>
  <c r="AH7" i="35"/>
  <c r="AI7" i="35"/>
  <c r="AJ7" i="35"/>
  <c r="AK7" i="35"/>
  <c r="AL7" i="35"/>
  <c r="AM7" i="35"/>
  <c r="AN7" i="35"/>
  <c r="C9" i="35"/>
  <c r="E9" i="35"/>
  <c r="F9" i="35"/>
  <c r="G9" i="35"/>
  <c r="H9" i="35"/>
  <c r="I9" i="35"/>
  <c r="J9" i="35"/>
  <c r="K9" i="35"/>
  <c r="L9" i="35"/>
  <c r="M9" i="35"/>
  <c r="N9" i="35"/>
  <c r="O9" i="35"/>
  <c r="P9" i="35"/>
  <c r="Q9" i="35"/>
  <c r="R9" i="35"/>
  <c r="S9" i="35"/>
  <c r="T9" i="35"/>
  <c r="U9" i="35"/>
  <c r="V9" i="35"/>
  <c r="W9" i="35"/>
  <c r="X9" i="35"/>
  <c r="Y9" i="35"/>
  <c r="Z9" i="35"/>
  <c r="AA9" i="35"/>
  <c r="AB9" i="35"/>
  <c r="AC9" i="35"/>
  <c r="AD9" i="35"/>
  <c r="AE9" i="35"/>
  <c r="AF9" i="35"/>
  <c r="AG9" i="35"/>
  <c r="AH9" i="35"/>
  <c r="AI9" i="35"/>
  <c r="AJ9" i="35"/>
  <c r="AK9" i="35"/>
  <c r="AL9" i="35"/>
  <c r="AM9" i="35"/>
  <c r="AN9" i="35"/>
  <c r="E10" i="35"/>
  <c r="F10" i="35"/>
  <c r="G10" i="35"/>
  <c r="H10" i="35"/>
  <c r="I10" i="35"/>
  <c r="J10" i="35"/>
  <c r="K10" i="35"/>
  <c r="L10" i="35"/>
  <c r="M10" i="35"/>
  <c r="N10" i="35"/>
  <c r="O10" i="35"/>
  <c r="P10" i="35"/>
  <c r="Q10" i="35"/>
  <c r="R10" i="35"/>
  <c r="S10" i="35"/>
  <c r="T10" i="35"/>
  <c r="U10" i="35"/>
  <c r="V10" i="35"/>
  <c r="W10" i="35"/>
  <c r="X10" i="35"/>
  <c r="Y10" i="35"/>
  <c r="Z10" i="35"/>
  <c r="AA10" i="35"/>
  <c r="AB10" i="35"/>
  <c r="AC10" i="35"/>
  <c r="AD10" i="35"/>
  <c r="AE10" i="35"/>
  <c r="AF10" i="35"/>
  <c r="AG10" i="35"/>
  <c r="AH10" i="35"/>
  <c r="AI10" i="35"/>
  <c r="AJ10" i="35"/>
  <c r="AK10" i="35"/>
  <c r="AL10" i="35"/>
  <c r="AM10" i="35"/>
  <c r="AN10" i="35"/>
  <c r="C11" i="35"/>
  <c r="E11" i="35"/>
  <c r="F11" i="35"/>
  <c r="G11" i="35"/>
  <c r="H11" i="35"/>
  <c r="I11" i="35"/>
  <c r="J11" i="35"/>
  <c r="K11" i="35"/>
  <c r="L11" i="35"/>
  <c r="M11" i="35"/>
  <c r="N11" i="35"/>
  <c r="O11" i="35"/>
  <c r="P11" i="35"/>
  <c r="Q11" i="35"/>
  <c r="R11" i="35"/>
  <c r="S11" i="35"/>
  <c r="T11" i="35"/>
  <c r="U11" i="35"/>
  <c r="V11" i="35"/>
  <c r="W11" i="35"/>
  <c r="C12" i="35"/>
  <c r="X12" i="35"/>
  <c r="Y12" i="35"/>
  <c r="Z12" i="35"/>
  <c r="AA12" i="35"/>
  <c r="AB12" i="35"/>
  <c r="AC12" i="35"/>
  <c r="AD12" i="35"/>
  <c r="AE12" i="35"/>
  <c r="AF12" i="35"/>
  <c r="AG12" i="35"/>
  <c r="AH12" i="35"/>
  <c r="AI12" i="35"/>
  <c r="AJ12" i="35"/>
  <c r="AK12" i="35"/>
  <c r="AL12" i="35"/>
  <c r="AM12" i="35"/>
  <c r="AN12" i="35"/>
  <c r="C6" i="42"/>
  <c r="D6" i="42"/>
  <c r="E6" i="42"/>
  <c r="F6" i="42"/>
  <c r="G6" i="42"/>
  <c r="I6" i="42"/>
  <c r="J6" i="42"/>
  <c r="C8" i="42"/>
  <c r="D8" i="42"/>
  <c r="E8" i="42"/>
  <c r="F8" i="42"/>
  <c r="G8" i="42"/>
  <c r="I8" i="42"/>
  <c r="J8" i="42"/>
  <c r="C12" i="42"/>
  <c r="D12" i="42"/>
  <c r="E12" i="42"/>
  <c r="F12" i="42"/>
  <c r="G12" i="42"/>
  <c r="H12" i="42"/>
  <c r="I12" i="42"/>
  <c r="J12" i="42"/>
  <c r="K12" i="42"/>
  <c r="L12" i="42"/>
  <c r="M12" i="42"/>
  <c r="N12" i="42"/>
  <c r="O12" i="42"/>
  <c r="P12" i="42"/>
  <c r="Q12" i="42"/>
  <c r="R12" i="42"/>
  <c r="S12" i="42"/>
  <c r="T12" i="42"/>
  <c r="U12" i="42"/>
  <c r="V12" i="42"/>
  <c r="W12" i="42"/>
  <c r="C13" i="42"/>
  <c r="D13" i="42"/>
  <c r="E13" i="42"/>
  <c r="F13" i="42"/>
  <c r="G13" i="42"/>
  <c r="H13" i="42"/>
  <c r="I13" i="42"/>
  <c r="J13" i="42"/>
  <c r="K13" i="42"/>
  <c r="L13" i="42"/>
  <c r="M13" i="42"/>
  <c r="N13" i="42"/>
  <c r="O13" i="42"/>
  <c r="P13" i="42"/>
  <c r="Q13" i="42"/>
  <c r="R13" i="42"/>
  <c r="S13" i="42"/>
  <c r="T13" i="42"/>
  <c r="U13" i="42"/>
  <c r="V13" i="42"/>
  <c r="W13" i="42"/>
  <c r="E14" i="42"/>
  <c r="F14" i="42"/>
  <c r="G14" i="42"/>
  <c r="H14" i="42"/>
  <c r="I14" i="42"/>
  <c r="J14" i="42"/>
  <c r="K14" i="42"/>
  <c r="L14" i="42"/>
  <c r="M14" i="42"/>
  <c r="N14" i="42"/>
  <c r="O14" i="42"/>
  <c r="P14" i="42"/>
  <c r="Q14" i="42"/>
  <c r="R14" i="42"/>
  <c r="S14" i="42"/>
  <c r="T14" i="42"/>
  <c r="U14" i="42"/>
  <c r="V14" i="42"/>
  <c r="W14" i="42"/>
  <c r="G15" i="42"/>
  <c r="H15" i="42"/>
  <c r="I15" i="42"/>
  <c r="J15" i="42"/>
  <c r="K15" i="42"/>
  <c r="L15" i="42"/>
  <c r="M15" i="42"/>
  <c r="N15" i="42"/>
  <c r="O15" i="42"/>
  <c r="P15" i="42"/>
  <c r="Q15" i="42"/>
  <c r="R15" i="42"/>
  <c r="S15" i="42"/>
  <c r="T15" i="42"/>
  <c r="U15" i="42"/>
  <c r="V15" i="42"/>
  <c r="W15" i="42"/>
  <c r="W17" i="42"/>
  <c r="C19" i="42"/>
  <c r="D19" i="42"/>
  <c r="E19" i="42"/>
  <c r="F19" i="42"/>
  <c r="G19" i="42"/>
  <c r="H19" i="42"/>
  <c r="I19" i="42"/>
  <c r="J19" i="42"/>
  <c r="K19" i="42"/>
  <c r="L19" i="42"/>
  <c r="M19" i="42"/>
  <c r="N19" i="42"/>
  <c r="O19" i="42"/>
  <c r="P19" i="42"/>
  <c r="Q19" i="42"/>
  <c r="R19" i="42"/>
  <c r="S19" i="42"/>
  <c r="T19" i="42"/>
  <c r="U19" i="42"/>
  <c r="V19" i="42"/>
  <c r="W19" i="42"/>
  <c r="C21" i="42"/>
  <c r="D21" i="42"/>
  <c r="E21" i="42"/>
  <c r="F21" i="42"/>
  <c r="G21" i="42"/>
  <c r="H21" i="42"/>
  <c r="I21" i="42"/>
  <c r="J21" i="42"/>
  <c r="K21" i="42"/>
  <c r="L21" i="42"/>
  <c r="M21" i="42"/>
  <c r="N21" i="42"/>
  <c r="O21" i="42"/>
  <c r="P21" i="42"/>
  <c r="Q21" i="42"/>
  <c r="R21" i="42"/>
  <c r="S21" i="42"/>
  <c r="T21" i="42"/>
  <c r="U21" i="42"/>
  <c r="V21" i="42"/>
  <c r="W21" i="42"/>
  <c r="C23" i="42"/>
  <c r="C30" i="42"/>
  <c r="D30" i="42"/>
  <c r="E30" i="42"/>
  <c r="F30" i="42"/>
  <c r="G30" i="42"/>
  <c r="H30" i="42"/>
  <c r="I30" i="42"/>
  <c r="J30" i="42"/>
  <c r="K30" i="42"/>
  <c r="L30" i="42"/>
  <c r="M30" i="42"/>
  <c r="N30" i="42"/>
  <c r="O30" i="42"/>
  <c r="P30" i="42"/>
  <c r="Q30" i="42"/>
  <c r="R30" i="42"/>
  <c r="S30" i="42"/>
  <c r="T30" i="42"/>
  <c r="U30" i="42"/>
  <c r="V30" i="42"/>
  <c r="W30" i="42"/>
  <c r="C31" i="42"/>
  <c r="D31" i="42"/>
  <c r="E31" i="42"/>
  <c r="F31" i="42"/>
  <c r="G31" i="42"/>
  <c r="H31" i="42"/>
  <c r="I31" i="42"/>
  <c r="J31" i="42"/>
  <c r="K31" i="42"/>
  <c r="L31" i="42"/>
  <c r="M31" i="42"/>
  <c r="N31" i="42"/>
  <c r="O31" i="42"/>
  <c r="P31" i="42"/>
  <c r="Q31" i="42"/>
  <c r="R31" i="42"/>
  <c r="S31" i="42"/>
  <c r="T31" i="42"/>
  <c r="U31" i="42"/>
  <c r="V31" i="42"/>
  <c r="W31" i="42"/>
  <c r="C32" i="42"/>
  <c r="D32" i="42"/>
  <c r="E32" i="42"/>
  <c r="F32" i="42"/>
  <c r="G32" i="42"/>
  <c r="H32" i="42"/>
  <c r="I32" i="42"/>
  <c r="J32" i="42"/>
  <c r="K32" i="42"/>
  <c r="L32" i="42"/>
  <c r="M32" i="42"/>
  <c r="N32" i="42"/>
  <c r="O32" i="42"/>
  <c r="P32" i="42"/>
  <c r="Q32" i="42"/>
  <c r="R32" i="42"/>
  <c r="S32" i="42"/>
  <c r="T32" i="42"/>
  <c r="U32" i="42"/>
  <c r="V32" i="42"/>
  <c r="W32" i="42"/>
  <c r="C34" i="42"/>
  <c r="H49" i="42"/>
  <c r="G50" i="42"/>
  <c r="H50" i="42"/>
  <c r="D51" i="42"/>
  <c r="E51" i="42"/>
  <c r="F51" i="42"/>
  <c r="G51" i="42"/>
  <c r="H51" i="42"/>
  <c r="I51" i="42"/>
  <c r="J51" i="42"/>
  <c r="K51" i="42"/>
  <c r="L51" i="42"/>
  <c r="M51" i="42"/>
  <c r="N51" i="42"/>
  <c r="O51" i="42"/>
  <c r="P51" i="42"/>
  <c r="Q51" i="42"/>
  <c r="R51" i="42"/>
  <c r="S51" i="42"/>
  <c r="T51" i="42"/>
  <c r="U51" i="42"/>
  <c r="V51" i="42"/>
  <c r="W51" i="42"/>
  <c r="C52" i="42"/>
  <c r="D52" i="42"/>
  <c r="E52" i="42"/>
  <c r="F52" i="42"/>
  <c r="G52" i="42"/>
  <c r="H52" i="42"/>
  <c r="I52" i="42"/>
  <c r="J52" i="42"/>
  <c r="K52" i="42"/>
  <c r="L52" i="42"/>
  <c r="M52" i="42"/>
  <c r="N52" i="42"/>
  <c r="O52" i="42"/>
  <c r="P52" i="42"/>
  <c r="Q52" i="42"/>
  <c r="R52" i="42"/>
  <c r="S52" i="42"/>
  <c r="T52" i="42"/>
  <c r="U52" i="42"/>
  <c r="V52" i="42"/>
  <c r="W52" i="42"/>
  <c r="C54" i="42"/>
  <c r="D54" i="42"/>
  <c r="E54" i="42"/>
  <c r="F54" i="42"/>
  <c r="G54" i="42"/>
  <c r="H54" i="42"/>
  <c r="I54" i="42"/>
  <c r="J54" i="42"/>
  <c r="K54" i="42"/>
  <c r="L54" i="42"/>
  <c r="M54" i="42"/>
  <c r="N54" i="42"/>
  <c r="O54" i="42"/>
  <c r="P54" i="42"/>
  <c r="Q54" i="42"/>
  <c r="R54" i="42"/>
  <c r="S54" i="42"/>
  <c r="T54" i="42"/>
  <c r="U54" i="42"/>
  <c r="V54" i="42"/>
  <c r="W54" i="42"/>
  <c r="C56" i="42"/>
  <c r="D56" i="42"/>
  <c r="E56" i="42"/>
  <c r="F56" i="42"/>
  <c r="G56" i="42"/>
  <c r="H56" i="42"/>
  <c r="I56" i="42"/>
  <c r="J56" i="42"/>
  <c r="K56" i="42"/>
  <c r="L56" i="42"/>
  <c r="M56" i="42"/>
  <c r="N56" i="42"/>
  <c r="O56" i="42"/>
  <c r="P56" i="42"/>
  <c r="Q56" i="42"/>
  <c r="R56" i="42"/>
  <c r="S56" i="42"/>
  <c r="T56" i="42"/>
  <c r="U56" i="42"/>
  <c r="V56" i="42"/>
  <c r="W56" i="42"/>
  <c r="D58" i="42"/>
  <c r="E58" i="42"/>
  <c r="F58" i="42"/>
  <c r="G58" i="42"/>
  <c r="H58" i="42"/>
  <c r="I58" i="42"/>
  <c r="J58" i="42"/>
  <c r="K58" i="42"/>
  <c r="L58" i="42"/>
  <c r="M58" i="42"/>
  <c r="N58" i="42"/>
  <c r="O58" i="42"/>
  <c r="P58" i="42"/>
  <c r="Q58" i="42"/>
  <c r="R58" i="42"/>
  <c r="S58" i="42"/>
  <c r="T58" i="42"/>
  <c r="U58" i="42"/>
  <c r="V58" i="42"/>
  <c r="W58" i="42"/>
  <c r="D60" i="42"/>
  <c r="E60" i="42"/>
  <c r="F60" i="42"/>
  <c r="G60" i="42"/>
  <c r="H60" i="42"/>
  <c r="I60" i="42"/>
  <c r="J60" i="42"/>
  <c r="K60" i="42"/>
  <c r="L60" i="42"/>
  <c r="M60" i="42"/>
  <c r="N60" i="42"/>
  <c r="O60" i="42"/>
  <c r="P60" i="42"/>
  <c r="Q60" i="42"/>
  <c r="R60" i="42"/>
  <c r="S60" i="42"/>
  <c r="T60" i="42"/>
  <c r="U60" i="42"/>
  <c r="V60" i="42"/>
  <c r="W60"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tc={B4525665-F041-479B-9924-A191B486AB44}</author>
    <author>Kunal Bhandari</author>
    <author>tc={DCDB38A0-FD32-4EE6-8265-4E6F4736DB25}</author>
  </authors>
  <commentList>
    <comment ref="X26" authorId="0" shapeId="0" xr:uid="{00000000-0006-0000-0500-000001000000}">
      <text>
        <t>[Threaded comment]
Your version of Excel allows you to read this threaded comment; however, any edits to it will get removed if the file is opened in a newer version of Excel. Learn more: https://go.microsoft.com/fwlink/?linkid=870924
Comment:
    Assumed till LRD tenor, renewals will happen as and when original tenors end at then prevailing rentals, without break for the purpose of service of LRD servicing</t>
      </text>
    </comment>
    <comment ref="B41" authorId="1" shapeId="0" xr:uid="{00000000-0006-0000-0500-000002000000}">
      <text>
        <r>
          <rPr>
            <b/>
            <sz val="9"/>
            <color indexed="81"/>
            <rFont val="Tahoma"/>
            <family val="2"/>
          </rPr>
          <t>Kunal Bhandari:</t>
        </r>
        <r>
          <rPr>
            <sz val="9"/>
            <color indexed="81"/>
            <rFont val="Tahoma"/>
            <family val="2"/>
          </rPr>
          <t xml:space="preserve">
Including DD and Brokerage cost for Land acquisition, incentive</t>
        </r>
      </text>
    </comment>
    <comment ref="B50" authorId="2" shapeId="0" xr:uid="{DCDB38A0-FD32-4EE6-8265-4E6F4736DB25}">
      <text>
        <t>[Threaded comment]
Your version of Excel allows you to read this threaded comment; however, any edits to it will get removed if the file is opened in a newer version of Excel. Learn more: https://go.microsoft.com/fwlink/?linkid=870924
Comment:
    Considered 5% escalation over the project numbers.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tc={10C7E7CA-3B41-448C-B19C-D750F1FB81AC}</author>
    <author>tc={982B59E3-2CCF-49FA-8A81-BCC05EE89838}</author>
  </authors>
  <commentList>
    <comment ref="A42" authorId="0" shapeId="0" xr:uid="{10C7E7CA-3B41-448C-B19C-D750F1FB81AC}">
      <text>
        <t>[Threaded comment]
Your version of Excel allows you to read this threaded comment; however, any edits to it will get removed if the file is opened in a newer version of Excel. Learn more: https://go.microsoft.com/fwlink/?linkid=870924
Comment:
    Manually enter in whichever month there closing cash balance falls below zero</t>
      </text>
    </comment>
    <comment ref="C42" authorId="1" shapeId="0" xr:uid="{982B59E3-2CCF-49FA-8A81-BCC05EE89838}">
      <text>
        <t>[Threaded comment]
Your version of Excel allows you to read this threaded comment; however, any edits to it will get removed if the file is opened in a newer version of Excel. Learn more: https://go.microsoft.com/fwlink/?linkid=870924
Comment:
    Actualised</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tc={DAC43BD2-8C45-4F60-83A7-08C1477390A4}</author>
  </authors>
  <commentList>
    <comment ref="C42" authorId="0" shapeId="0" xr:uid="{DAC43BD2-8C45-4F60-83A7-08C1477390A4}">
      <text>
        <t>[Threaded comment]
Your version of Excel allows you to read this threaded comment; however, any edits to it will get removed if the file is opened in a newer version of Excel. Learn more: https://go.microsoft.com/fwlink/?linkid=870924
Comment:
    Blended Rate 10% for buildings and 15% for Machinery</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<sst xmlns="http://schemas.openxmlformats.org/spreadsheetml/2006/main" count="1279" uniqueCount="607">
  <si>
    <t>Name of Investor</t>
  </si>
  <si>
    <t>Project Name</t>
  </si>
  <si>
    <t>Location</t>
  </si>
  <si>
    <t>Project Type</t>
  </si>
  <si>
    <t>Ownership</t>
  </si>
  <si>
    <t>Project Start Date</t>
  </si>
  <si>
    <t>Area Statement</t>
  </si>
  <si>
    <t>Project Details</t>
  </si>
  <si>
    <t>Base FSI</t>
  </si>
  <si>
    <t>Premium FSI</t>
  </si>
  <si>
    <t>Total FSI</t>
  </si>
  <si>
    <t>Phase I + II (Area)</t>
  </si>
  <si>
    <t>Check</t>
  </si>
  <si>
    <t>Phasing</t>
  </si>
  <si>
    <t>Area</t>
  </si>
  <si>
    <t>Security Deposit 
(No. of mth)</t>
  </si>
  <si>
    <t>Brokerage (Months)</t>
  </si>
  <si>
    <t>Construction Cost</t>
  </si>
  <si>
    <t>Rs/Sq. Ft.</t>
  </si>
  <si>
    <t>Total Infra &amp; Landscaping Costs</t>
  </si>
  <si>
    <t>Approvals</t>
  </si>
  <si>
    <t>Total</t>
  </si>
  <si>
    <t>OPEX</t>
  </si>
  <si>
    <t>CAM</t>
  </si>
  <si>
    <t>Cost Escalation  p.a</t>
  </si>
  <si>
    <t>Approval Cost</t>
  </si>
  <si>
    <t>TOTAL</t>
  </si>
  <si>
    <t>Quarter</t>
  </si>
  <si>
    <t>Year</t>
  </si>
  <si>
    <t>Revenue</t>
  </si>
  <si>
    <t>Security Deposit</t>
  </si>
  <si>
    <t>Other inflows</t>
  </si>
  <si>
    <t>Bank Loan</t>
  </si>
  <si>
    <t>Costs</t>
  </si>
  <si>
    <t>Land Cost</t>
  </si>
  <si>
    <t>GST recoverable</t>
  </si>
  <si>
    <t>Marketing cost</t>
  </si>
  <si>
    <t>Other Finance Costs</t>
  </si>
  <si>
    <t>Interest Cost on CF</t>
  </si>
  <si>
    <t>Interest Cost on LRD</t>
  </si>
  <si>
    <t>Processing Fees on LRD</t>
  </si>
  <si>
    <t>Operating Cashflows</t>
  </si>
  <si>
    <t>LRD</t>
  </si>
  <si>
    <t>Net Cashflows</t>
  </si>
  <si>
    <t>Brokerage</t>
  </si>
  <si>
    <t>Opening Balance</t>
  </si>
  <si>
    <t>Loan facilities</t>
  </si>
  <si>
    <t xml:space="preserve">Repayment of Bank Loan </t>
  </si>
  <si>
    <t>Inflow</t>
  </si>
  <si>
    <t>Outflow</t>
  </si>
  <si>
    <t>Net Cashflow</t>
  </si>
  <si>
    <t>Interest</t>
  </si>
  <si>
    <t>Financing Assumptions</t>
  </si>
  <si>
    <t>Construction Finance</t>
  </si>
  <si>
    <t>Interest Rate on CF</t>
  </si>
  <si>
    <t>%</t>
  </si>
  <si>
    <t>Interest Rate on LRD</t>
  </si>
  <si>
    <t>Upfront Fees</t>
  </si>
  <si>
    <t>DSRA</t>
  </si>
  <si>
    <t>Months</t>
  </si>
  <si>
    <t>EMI</t>
  </si>
  <si>
    <t>Annual Interest Rate</t>
  </si>
  <si>
    <t>Loan Tenure (All Phases)</t>
  </si>
  <si>
    <t>Addition</t>
  </si>
  <si>
    <t>Repayment - Interest</t>
  </si>
  <si>
    <t>Repayment - Principal</t>
  </si>
  <si>
    <t>Closing Balance</t>
  </si>
  <si>
    <t>Equity</t>
  </si>
  <si>
    <t>DSRA for CF</t>
  </si>
  <si>
    <t>LRD Eligibility</t>
  </si>
  <si>
    <t>Loading</t>
  </si>
  <si>
    <t>GLA</t>
  </si>
  <si>
    <t>TI Cost</t>
  </si>
  <si>
    <t>TI Rent</t>
  </si>
  <si>
    <t>Base Cost</t>
  </si>
  <si>
    <t>Base Cost (Incl GST)</t>
  </si>
  <si>
    <t>TI Cost (Incl GST)</t>
  </si>
  <si>
    <t>Const Cost psf (Incl GST)</t>
  </si>
  <si>
    <t>Total Const Cost (Excl GST)</t>
  </si>
  <si>
    <t>Total Const Cost (Incl GST)</t>
  </si>
  <si>
    <t>Base Rental</t>
  </si>
  <si>
    <t>TI Rental</t>
  </si>
  <si>
    <t>Total Rental Amount</t>
  </si>
  <si>
    <t xml:space="preserve"> Yield*</t>
  </si>
  <si>
    <t>Amazon</t>
  </si>
  <si>
    <t>Total Land Cost</t>
  </si>
  <si>
    <t>Land Cost Allocation</t>
  </si>
  <si>
    <t>* Assumed leakage of 10% from total revenue to NPI level</t>
  </si>
  <si>
    <t>Finance and Marketing Cost</t>
  </si>
  <si>
    <t xml:space="preserve"> Yield* (@18%)</t>
  </si>
  <si>
    <t xml:space="preserve"> Yield* (@13%)</t>
  </si>
  <si>
    <t>Construction Start Date</t>
  </si>
  <si>
    <t>Construction End Date</t>
  </si>
  <si>
    <t>Lease Start Date</t>
  </si>
  <si>
    <t>Construction Expense Start Date</t>
  </si>
  <si>
    <t>Construction Expense End Date</t>
  </si>
  <si>
    <t>Rent free months</t>
  </si>
  <si>
    <t>Lease rate 
(Exc CAM) pm (psf) with loading impact</t>
  </si>
  <si>
    <t>Cost escalation period</t>
  </si>
  <si>
    <t>months</t>
  </si>
  <si>
    <t xml:space="preserve">Rent Escalation </t>
  </si>
  <si>
    <t>Rent Escalation  months</t>
  </si>
  <si>
    <t>Month</t>
  </si>
  <si>
    <t>BuA</t>
  </si>
  <si>
    <t>Avg. Land cost</t>
  </si>
  <si>
    <t>All phases (Area share in %)</t>
  </si>
  <si>
    <t>Rent Start Date</t>
  </si>
  <si>
    <t>Rent Start month</t>
  </si>
  <si>
    <t>GST Tax rate</t>
  </si>
  <si>
    <t>Phase</t>
  </si>
  <si>
    <t>Development Management Cost</t>
  </si>
  <si>
    <t>TI</t>
  </si>
  <si>
    <t>Base cons. cost</t>
  </si>
  <si>
    <t>Total Base cons. cost</t>
  </si>
  <si>
    <t>DM Fee</t>
  </si>
  <si>
    <t>Rent psf</t>
  </si>
  <si>
    <t>INR per sf</t>
  </si>
  <si>
    <t>Land / pre revenue - construction related costs (Ex. GST)</t>
  </si>
  <si>
    <t>First Escalation Month</t>
  </si>
  <si>
    <t>Lease Start month number</t>
  </si>
  <si>
    <t>Area Leased</t>
  </si>
  <si>
    <t>Lease end month</t>
  </si>
  <si>
    <t>Lease term months</t>
  </si>
  <si>
    <t>Rent (INR mn)</t>
  </si>
  <si>
    <t>CAM (INR mn)</t>
  </si>
  <si>
    <t>LRD Facility</t>
  </si>
  <si>
    <t>Total opex (% of Rent + CAM)</t>
  </si>
  <si>
    <t>INR mn</t>
  </si>
  <si>
    <t>Total Base cost</t>
  </si>
  <si>
    <t>DSRA for LRD</t>
  </si>
  <si>
    <t>Monthly Interest Rate (Weighted Average)</t>
  </si>
  <si>
    <t>CF Drawdown</t>
  </si>
  <si>
    <t>CF Drawdown Fees</t>
  </si>
  <si>
    <t>DSRA Calculations - Funded by Equity</t>
  </si>
  <si>
    <t>Interest - Construction Loan</t>
  </si>
  <si>
    <t>DSRA Amount - CF Loan</t>
  </si>
  <si>
    <t>DSRA Amount Increase / Decrease - CF Loan</t>
  </si>
  <si>
    <t xml:space="preserve">Total </t>
  </si>
  <si>
    <t>const end</t>
  </si>
  <si>
    <t>Check for CF repayment</t>
  </si>
  <si>
    <t xml:space="preserve">Add GST </t>
  </si>
  <si>
    <t>Security Deposit Less brokerage</t>
  </si>
  <si>
    <t>Net D/E</t>
  </si>
  <si>
    <t>Max</t>
  </si>
  <si>
    <t>Outstanding Balances:</t>
  </si>
  <si>
    <t>Debt/(Debt+Equity) %</t>
  </si>
  <si>
    <t>Processing Fees for CF</t>
  </si>
  <si>
    <t>Equity/(Debt+Equity) %</t>
  </si>
  <si>
    <t>Min</t>
  </si>
  <si>
    <t>Construction Finance repayment</t>
  </si>
  <si>
    <t>Construction Finance / LRD Facility</t>
  </si>
  <si>
    <t>Leasing Assumptions</t>
  </si>
  <si>
    <t>Costing Assumptions</t>
  </si>
  <si>
    <t>Total Rent</t>
  </si>
  <si>
    <t>Upfront Fees for LRD</t>
  </si>
  <si>
    <t>Operating reserves</t>
  </si>
  <si>
    <t>Projected Cashflow and Ratios</t>
  </si>
  <si>
    <t>Total Cost</t>
  </si>
  <si>
    <t>Interest on CF</t>
  </si>
  <si>
    <t>Approx Cash balance (before SPV expenses)</t>
  </si>
  <si>
    <t>Financial Year</t>
  </si>
  <si>
    <t>Depreciation Schedule</t>
  </si>
  <si>
    <t>Building and site infra</t>
  </si>
  <si>
    <t>Depreciation rate</t>
  </si>
  <si>
    <t xml:space="preserve">Opening </t>
  </si>
  <si>
    <t>Additions</t>
  </si>
  <si>
    <t>Disposals</t>
  </si>
  <si>
    <t>Closing</t>
  </si>
  <si>
    <t>WIP</t>
  </si>
  <si>
    <t>Fixed Asset capitalisation</t>
  </si>
  <si>
    <t>Cash Outflows</t>
  </si>
  <si>
    <t>Construction cost</t>
  </si>
  <si>
    <t>Other Capex cost</t>
  </si>
  <si>
    <t>IDC</t>
  </si>
  <si>
    <t>Land &amp; Construction related cost</t>
  </si>
  <si>
    <t>Total Cost (ex. Land)</t>
  </si>
  <si>
    <t>Cummulative Cost (ex. Land)</t>
  </si>
  <si>
    <t>Area leased out (sf)</t>
  </si>
  <si>
    <t>% area leased out</t>
  </si>
  <si>
    <t>% cummulative area leased out</t>
  </si>
  <si>
    <t>% of Capitalisation</t>
  </si>
  <si>
    <t>Transfer of cost incurred on leased out area to Fixed asset (ex. Land)</t>
  </si>
  <si>
    <t>Cummulative capitalised value</t>
  </si>
  <si>
    <t>Gross Fixed Assets</t>
  </si>
  <si>
    <t>Depreciation</t>
  </si>
  <si>
    <t>Accumulated depreciation</t>
  </si>
  <si>
    <t>Net Fixed Assets</t>
  </si>
  <si>
    <t>Opening FA</t>
  </si>
  <si>
    <t>Closing FA</t>
  </si>
  <si>
    <t>EBITDA</t>
  </si>
  <si>
    <t>DSCR</t>
  </si>
  <si>
    <t>Cashflows till stabilisation</t>
  </si>
  <si>
    <t>Balance Sheet</t>
  </si>
  <si>
    <t xml:space="preserve">Equity + Promoter infusion </t>
  </si>
  <si>
    <t>Debt</t>
  </si>
  <si>
    <t>CF Facility</t>
  </si>
  <si>
    <t>Security Deposits</t>
  </si>
  <si>
    <t>Total Liablities</t>
  </si>
  <si>
    <t>Land</t>
  </si>
  <si>
    <t>Total Assets</t>
  </si>
  <si>
    <t xml:space="preserve">Surplus/ (Deficit) Reserves </t>
  </si>
  <si>
    <t xml:space="preserve">Rental </t>
  </si>
  <si>
    <t xml:space="preserve">CAM </t>
  </si>
  <si>
    <t>Lease %</t>
  </si>
  <si>
    <t>Contingency</t>
  </si>
  <si>
    <t>Incl. GST</t>
  </si>
  <si>
    <t>LRD Schedule</t>
  </si>
  <si>
    <t>Soft Cost</t>
  </si>
  <si>
    <t>Particulars</t>
  </si>
  <si>
    <t>LRD Bump up considered</t>
  </si>
  <si>
    <t>FACR</t>
  </si>
  <si>
    <t>Average FACR</t>
  </si>
  <si>
    <t>Land Cost (incl. GST)</t>
  </si>
  <si>
    <t>RCD</t>
  </si>
  <si>
    <t>Closing Cash</t>
  </si>
  <si>
    <t>Leasing and Construction Summary</t>
  </si>
  <si>
    <t>Construction start</t>
  </si>
  <si>
    <t>Construction end</t>
  </si>
  <si>
    <t>LCD</t>
  </si>
  <si>
    <t>Base Rent (INR psf)</t>
  </si>
  <si>
    <t>GLA (sf)</t>
  </si>
  <si>
    <t>TI Rent (INR psf)</t>
  </si>
  <si>
    <t>Total Rent (INR psf)</t>
  </si>
  <si>
    <t>Current business plan</t>
  </si>
  <si>
    <t>BuA (sf)</t>
  </si>
  <si>
    <t>Upfront cost for CF</t>
  </si>
  <si>
    <t>Processing fees for CF</t>
  </si>
  <si>
    <t>Total fees+ cost for CF</t>
  </si>
  <si>
    <t>% of Construction cost financed</t>
  </si>
  <si>
    <t>For corporate tax computation</t>
  </si>
  <si>
    <t>Phase 1</t>
  </si>
  <si>
    <t>Phase 2</t>
  </si>
  <si>
    <t>Phase 3</t>
  </si>
  <si>
    <t>ESR India</t>
  </si>
  <si>
    <t>Phase 4</t>
  </si>
  <si>
    <t>Land Improvement Costs</t>
  </si>
  <si>
    <t>.</t>
  </si>
  <si>
    <t>Total Land Area (Sq. Ft.)</t>
  </si>
  <si>
    <t>Remaining Construction Tenor (in months)</t>
  </si>
  <si>
    <t>Particulars (INR mn)</t>
  </si>
  <si>
    <t>Project Cost</t>
  </si>
  <si>
    <t>Cost Incurred</t>
  </si>
  <si>
    <t>Pending Cost</t>
  </si>
  <si>
    <t>Infra + Land development</t>
  </si>
  <si>
    <t>Total Hard Cost</t>
  </si>
  <si>
    <t>DSRA CF</t>
  </si>
  <si>
    <t>Total Soft Cost</t>
  </si>
  <si>
    <t>Total Project Cost</t>
  </si>
  <si>
    <t>Means of Finance</t>
  </si>
  <si>
    <t>Total Sources</t>
  </si>
  <si>
    <t>Infused</t>
  </si>
  <si>
    <t>To be infused</t>
  </si>
  <si>
    <t>Total Means of Finance</t>
  </si>
  <si>
    <t xml:space="preserve">Equity Infusion </t>
  </si>
  <si>
    <t>Promoter Infusion &amp; LRD Top Ups</t>
  </si>
  <si>
    <t>ESR Nagpur 2 Logistics Park</t>
  </si>
  <si>
    <t>Kalmeshwar, Nagpur</t>
  </si>
  <si>
    <t>Freehold</t>
  </si>
  <si>
    <t>Basic Infra development Costs</t>
  </si>
  <si>
    <t>Phase 5</t>
  </si>
  <si>
    <t>Building 1</t>
  </si>
  <si>
    <t>Building 2</t>
  </si>
  <si>
    <t>Contingency &amp; Escalation</t>
  </si>
  <si>
    <t>Project Soft Cost</t>
  </si>
  <si>
    <t>Project Soft Costs</t>
  </si>
  <si>
    <t>Opex and DM Fees</t>
  </si>
  <si>
    <t>Equity Ratio</t>
  </si>
  <si>
    <t>Upfront Required</t>
  </si>
  <si>
    <t>Total Equity Needed</t>
  </si>
  <si>
    <t>Cumulative Equity for D/E</t>
  </si>
  <si>
    <t>Total Debt Needed</t>
  </si>
  <si>
    <t>Cumulative Debt for D/E</t>
  </si>
  <si>
    <t>Cumulative Upfront Equity</t>
  </si>
  <si>
    <t>Upfront Equity</t>
  </si>
  <si>
    <t>Project Cost to be funded by only Equity</t>
  </si>
  <si>
    <t>Cumulative Equity</t>
  </si>
  <si>
    <t>Equity Addition</t>
  </si>
  <si>
    <t>Cumulative Upfront Debt</t>
  </si>
  <si>
    <t>Upfront Debt</t>
  </si>
  <si>
    <t>Cumulative Debt</t>
  </si>
  <si>
    <t>Debt Addition</t>
  </si>
  <si>
    <t>Cash Budget</t>
  </si>
  <si>
    <t>Promoter's Equity</t>
  </si>
  <si>
    <t>Total MOF</t>
  </si>
  <si>
    <t>DE Ratio</t>
  </si>
  <si>
    <t>Stablization months</t>
  </si>
  <si>
    <t>Repayment Date</t>
  </si>
  <si>
    <t>Repayment as per Policy (60 months)</t>
  </si>
  <si>
    <t>Construction Period</t>
  </si>
  <si>
    <t>Cumulative Cashflows</t>
  </si>
  <si>
    <t>Operating Cashflows (excl. Rent, LRD)</t>
  </si>
  <si>
    <t>Construction End Date SCOD</t>
  </si>
  <si>
    <t>Total Opex Cost</t>
  </si>
  <si>
    <t>Total Hard (excl. Land)</t>
  </si>
  <si>
    <t>Debt Equity Ratio workings</t>
  </si>
  <si>
    <t>All figures in Rs. Crore</t>
  </si>
  <si>
    <t>Repayment</t>
  </si>
  <si>
    <t>TDS</t>
  </si>
  <si>
    <t>Margin</t>
  </si>
  <si>
    <t>Net Rent</t>
  </si>
  <si>
    <t>Debt Obligation</t>
  </si>
  <si>
    <t>Upfront brought till date</t>
  </si>
  <si>
    <t>Proportionate Debt for upfront equity</t>
  </si>
  <si>
    <t>Debt Ratio</t>
  </si>
  <si>
    <t>Month Count in which Upfront Debt is Proportionate</t>
  </si>
  <si>
    <t>Operating Cashflows in Crores</t>
  </si>
  <si>
    <t>CFO</t>
  </si>
  <si>
    <t>CFI</t>
  </si>
  <si>
    <t>CFF</t>
  </si>
  <si>
    <t>Add: Equity/ Quasi Equity</t>
  </si>
  <si>
    <t>Opening Cash</t>
  </si>
  <si>
    <t>Total Cash Flow</t>
  </si>
  <si>
    <t>PBT as per Books</t>
  </si>
  <si>
    <t>Add: Increase in TL - CF</t>
  </si>
  <si>
    <t>Add: Increase in TL - LRD</t>
  </si>
  <si>
    <t>FY</t>
  </si>
  <si>
    <t>Less: Repayment of TL - LRD</t>
  </si>
  <si>
    <t>Less: Repayment of TL - CF</t>
  </si>
  <si>
    <t>Less: Interest Payment on TL - LRD</t>
  </si>
  <si>
    <t>Less: Interest Payment on TL - CF</t>
  </si>
  <si>
    <t>DSCR - 1.15 in all years</t>
  </si>
  <si>
    <t>50% must be repaid in 2/3rd period of the tenor</t>
  </si>
  <si>
    <t>Rate</t>
  </si>
  <si>
    <t>Escalation frequency</t>
  </si>
  <si>
    <t>12 Months</t>
  </si>
  <si>
    <t>Escalation %</t>
  </si>
  <si>
    <t>Less: TDS</t>
  </si>
  <si>
    <t>Less: Margin</t>
  </si>
  <si>
    <t>Yearly Net Rent</t>
  </si>
  <si>
    <t>Month end</t>
  </si>
  <si>
    <t>Year End</t>
  </si>
  <si>
    <t>Monthly Net Rent</t>
  </si>
  <si>
    <t>No. of months in year</t>
  </si>
  <si>
    <t>Repayment %</t>
  </si>
  <si>
    <t>Yearly Repayment Amount</t>
  </si>
  <si>
    <t>Monthly Repayment Amount</t>
  </si>
  <si>
    <t>LRD Debt</t>
  </si>
  <si>
    <t>Rate of Interest</t>
  </si>
  <si>
    <t>Monthly</t>
  </si>
  <si>
    <t>Tenor in years</t>
  </si>
  <si>
    <t>Repayment Schedule</t>
  </si>
  <si>
    <t>Opening Debt</t>
  </si>
  <si>
    <t>Repayments made</t>
  </si>
  <si>
    <t>Closing Debt</t>
  </si>
  <si>
    <t>DSCR Schedule</t>
  </si>
  <si>
    <t>Cash Available</t>
  </si>
  <si>
    <t>Min DSCR</t>
  </si>
  <si>
    <t>Average DSCR</t>
  </si>
  <si>
    <t>Total LRD Facility</t>
  </si>
  <si>
    <t>Gross Rent + CAM</t>
  </si>
  <si>
    <t>All Phases</t>
  </si>
  <si>
    <t>Total Area</t>
  </si>
  <si>
    <t>-</t>
  </si>
  <si>
    <t>LRD Debt to be raised in</t>
  </si>
  <si>
    <t>LRD Debt to be raised</t>
  </si>
  <si>
    <t>No. of Months</t>
  </si>
  <si>
    <t>Cash Flow from Operations</t>
  </si>
  <si>
    <t>Cash Flow from Investing</t>
  </si>
  <si>
    <t>Cash Flow from Financing</t>
  </si>
  <si>
    <t>Rental Income</t>
  </si>
  <si>
    <t>Total Revenue</t>
  </si>
  <si>
    <t>Expenses</t>
  </si>
  <si>
    <t>Operating costs</t>
  </si>
  <si>
    <t>Marketing Costs</t>
  </si>
  <si>
    <t>DCCO</t>
  </si>
  <si>
    <t>Total Expenses</t>
  </si>
  <si>
    <t>EBITDA %</t>
  </si>
  <si>
    <t>Interest on LRD</t>
  </si>
  <si>
    <t>Construction Cost Assumptions / Cost PSFT</t>
  </si>
  <si>
    <t>Phases</t>
  </si>
  <si>
    <t>Basic Infra Development Costs</t>
  </si>
  <si>
    <t>Built up Area</t>
  </si>
  <si>
    <t>Gross Leasable Area</t>
  </si>
  <si>
    <t xml:space="preserve">Const Start Date </t>
  </si>
  <si>
    <t>Const End Date</t>
  </si>
  <si>
    <t>Const Months</t>
  </si>
  <si>
    <t>Construction Cost
(incl GST)</t>
  </si>
  <si>
    <t>TI Rent
(incl GST)</t>
  </si>
  <si>
    <t>Basic Infra Development Costs (incl GST)</t>
  </si>
  <si>
    <t>Project Soft Cost
(incl GST)</t>
  </si>
  <si>
    <t>Land Improvement Costs (incl GST)</t>
  </si>
  <si>
    <t>DM Cost</t>
  </si>
  <si>
    <t>Development Manager Costs</t>
  </si>
  <si>
    <t>Total 
(in Million)</t>
  </si>
  <si>
    <t>Rate per sq.ft.</t>
  </si>
  <si>
    <t>Loan Disbursement Date</t>
  </si>
  <si>
    <t>Bullet Repyament Date</t>
  </si>
  <si>
    <t>Contingencies &amp; Escalation</t>
  </si>
  <si>
    <t>Rate (%)</t>
  </si>
  <si>
    <t>Total Hard Costs</t>
  </si>
  <si>
    <t>Base Construction Costs</t>
  </si>
  <si>
    <t>Cash Flow Statement</t>
  </si>
  <si>
    <t>Profit Before Taxes</t>
  </si>
  <si>
    <t>Proft After Taxes</t>
  </si>
  <si>
    <t>Processing Fee</t>
  </si>
  <si>
    <t>Assets</t>
  </si>
  <si>
    <t>Fixed Assets</t>
  </si>
  <si>
    <t>Processing Fee on LRD</t>
  </si>
  <si>
    <t>Add: Inflow of DSRA release</t>
  </si>
  <si>
    <t>Contngencies &amp; Escalations</t>
  </si>
  <si>
    <t>Contingency &amp; Escalations</t>
  </si>
  <si>
    <t>NPV</t>
  </si>
  <si>
    <t>Proportionate Costing</t>
  </si>
  <si>
    <t>NPV:</t>
  </si>
  <si>
    <t>Surplus</t>
  </si>
  <si>
    <t xml:space="preserve">Current </t>
  </si>
  <si>
    <t>Non-current</t>
  </si>
  <si>
    <t>Warehousing</t>
  </si>
  <si>
    <t>Hard Costs</t>
  </si>
  <si>
    <t xml:space="preserve">CF Debt </t>
  </si>
  <si>
    <t>Quarterly Debt Schedule</t>
  </si>
  <si>
    <t>Cumulative Months</t>
  </si>
  <si>
    <t>Yearly Repayment %</t>
  </si>
  <si>
    <t>Top-up</t>
  </si>
  <si>
    <t>LRD Surplus</t>
  </si>
  <si>
    <t>Surplus till 31-Dec-28</t>
  </si>
  <si>
    <t>PAT</t>
  </si>
  <si>
    <t>Add: Depreciation + Taxes</t>
  </si>
  <si>
    <t>CF Interest</t>
  </si>
  <si>
    <t>LRD Interest</t>
  </si>
  <si>
    <t>LRD repayments</t>
  </si>
  <si>
    <t>TOL</t>
  </si>
  <si>
    <t>TNW</t>
  </si>
  <si>
    <t>TOL / TNW</t>
  </si>
  <si>
    <t>Min FACR</t>
  </si>
  <si>
    <t>LRD NPV</t>
  </si>
  <si>
    <t>Repayment assumptions</t>
  </si>
  <si>
    <t>DSCR Workings</t>
  </si>
  <si>
    <t>LRD Surplus workings</t>
  </si>
  <si>
    <t>Yearly Calculations</t>
  </si>
  <si>
    <t>LRD NPV of All phases</t>
  </si>
  <si>
    <t>Repayment date</t>
  </si>
  <si>
    <t>Repayment Assumptions</t>
  </si>
  <si>
    <t>Quarter Schedule</t>
  </si>
  <si>
    <t>Interest During construction</t>
  </si>
  <si>
    <t>Interest during moratorium</t>
  </si>
  <si>
    <t>Long term loans by EBITDA (times)</t>
  </si>
  <si>
    <t>TOL / ATNW (times)</t>
  </si>
  <si>
    <t>ROA (%)</t>
  </si>
  <si>
    <t>PAT / Net Sales (%)</t>
  </si>
  <si>
    <t>DSCR (times)</t>
  </si>
  <si>
    <t>EBITDA / Interest times</t>
  </si>
  <si>
    <t>Operating cash flows / Current Liabilities (times)</t>
  </si>
  <si>
    <t>Ratio Analysis</t>
  </si>
  <si>
    <t>Parameters</t>
  </si>
  <si>
    <t>Workings</t>
  </si>
  <si>
    <t>LRD Start Year</t>
  </si>
  <si>
    <t>LRD Star Quarter</t>
  </si>
  <si>
    <t>LRD Quarter date</t>
  </si>
  <si>
    <t xml:space="preserve">LRD Year </t>
  </si>
  <si>
    <t>Cash Balance</t>
  </si>
  <si>
    <t>Tax Rate</t>
  </si>
  <si>
    <t>Taxes</t>
  </si>
  <si>
    <t>Opening</t>
  </si>
  <si>
    <t>Accrued Interest</t>
  </si>
  <si>
    <t>Quasi Equity Interest</t>
  </si>
  <si>
    <t>Interest on Quasi Equity</t>
  </si>
  <si>
    <t>Quasi Equity Schedule (Quarterly)</t>
  </si>
  <si>
    <t>Interest to be capitalized before COD</t>
  </si>
  <si>
    <t>Add: Interest on CF + LRD</t>
  </si>
  <si>
    <t>Add: Interest on Quasi Equity</t>
  </si>
  <si>
    <t>Other WIP (Accumulated Interest)</t>
  </si>
  <si>
    <t>Interest to be routed through P&amp;L post COD (but accrued)</t>
  </si>
  <si>
    <t>Adjustments for :</t>
  </si>
  <si>
    <t>Increase / (decrease) Accumulated Accrued Interest</t>
  </si>
  <si>
    <t xml:space="preserve">Decrease / (Increase) in Other WIP </t>
  </si>
  <si>
    <t>Increase / (Decrease) in Security Deposits</t>
  </si>
  <si>
    <t>Less: Capex investments</t>
  </si>
  <si>
    <t>Adjustments for:</t>
  </si>
  <si>
    <t>Less: Depreciation</t>
  </si>
  <si>
    <t>Add: Interest (CF + LRD)</t>
  </si>
  <si>
    <t xml:space="preserve">Tax Schedule </t>
  </si>
  <si>
    <t>Profit Before Tax</t>
  </si>
  <si>
    <t xml:space="preserve"> + book depreciation </t>
  </si>
  <si>
    <t xml:space="preserve"> - tax depreciation </t>
  </si>
  <si>
    <t>Taxable Profit</t>
  </si>
  <si>
    <t>Cumulative Taxable Profit</t>
  </si>
  <si>
    <t>Cumulative Tax</t>
  </si>
  <si>
    <t>Tax for the Period</t>
  </si>
  <si>
    <t>Debt / Equity</t>
  </si>
  <si>
    <t>Date of Drawal (a)</t>
  </si>
  <si>
    <t>Drawal Amount (b)</t>
  </si>
  <si>
    <t>Repayment (c)</t>
  </si>
  <si>
    <t>Balance (d)</t>
  </si>
  <si>
    <t>No. of  Days**  balance 
with the  borrower (e)</t>
  </si>
  <si>
    <t>Product (f)</t>
  </si>
  <si>
    <t>Average Maturity in Days</t>
  </si>
  <si>
    <t>Average Maturity in Months</t>
  </si>
  <si>
    <t>Average Maturity in Quarters</t>
  </si>
  <si>
    <t>Average Maturity Calculation</t>
  </si>
  <si>
    <t>Average Maturity in Years</t>
  </si>
  <si>
    <t>Paid-up share capital</t>
  </si>
  <si>
    <t>Quasi Equity</t>
  </si>
  <si>
    <t>Adjusted TOL (excl. accrued interest)</t>
  </si>
  <si>
    <t>Adjusted TOL / TNW</t>
  </si>
  <si>
    <t>Current Maturities</t>
  </si>
  <si>
    <t>Non-current Maturities</t>
  </si>
  <si>
    <t>DSRA Workings</t>
  </si>
  <si>
    <t>Additions / Deductions</t>
  </si>
  <si>
    <t>Less: DSRA Investment - CF</t>
  </si>
  <si>
    <t>Less: DSRA Investment - LRD</t>
  </si>
  <si>
    <t>DSRA Investment - CF</t>
  </si>
  <si>
    <t>DSRA Investment - LRD</t>
  </si>
  <si>
    <t>Fee in Rs Crore</t>
  </si>
  <si>
    <t>Total 
(Rs. in crore)</t>
  </si>
  <si>
    <t>DM Fees</t>
  </si>
  <si>
    <t>Soft Costs</t>
  </si>
  <si>
    <t>Contingencies &amp; Escalations</t>
  </si>
  <si>
    <t xml:space="preserve">Building 5 &amp; 6 </t>
  </si>
  <si>
    <t>Buliding 3</t>
  </si>
  <si>
    <t>Building 4</t>
  </si>
  <si>
    <t>Land Area (Acres)</t>
  </si>
  <si>
    <t>Total Built-Up Area (Sq. Ft.)</t>
  </si>
  <si>
    <t>Sensitivity</t>
  </si>
  <si>
    <t>Decline in rentals</t>
  </si>
  <si>
    <t>Loan restricted to (INR Cr)</t>
  </si>
  <si>
    <t>Total Equity Needed (incl. DSRA)</t>
  </si>
  <si>
    <t>Land costs calculation</t>
  </si>
  <si>
    <t>Acres</t>
  </si>
  <si>
    <t>Amount (Rs. cr)</t>
  </si>
  <si>
    <t>Land area (incl. stamp duty)</t>
  </si>
  <si>
    <t>DD &amp; Documentation costs</t>
  </si>
  <si>
    <t>LRD requirements</t>
  </si>
  <si>
    <t>Internal Rate of Return (15 years)</t>
  </si>
  <si>
    <t>Cash outflow project</t>
  </si>
  <si>
    <t>Unsecured loans - future years</t>
  </si>
  <si>
    <t>Cash Out Flow</t>
  </si>
  <si>
    <t>Cash In Flow :</t>
  </si>
  <si>
    <t>Profit After Tax</t>
  </si>
  <si>
    <t xml:space="preserve">Depreciation </t>
  </si>
  <si>
    <t>Interest on construction loans and LRD loans</t>
  </si>
  <si>
    <t>Sub total</t>
  </si>
  <si>
    <t>Net Cash Flow</t>
  </si>
  <si>
    <t>Project IRR</t>
  </si>
  <si>
    <t>Adjusted TNW</t>
  </si>
  <si>
    <t>Payback Period</t>
  </si>
  <si>
    <t>Cash Inflow</t>
  </si>
  <si>
    <t>Accumulated Cash Flow</t>
  </si>
  <si>
    <t>Year Payback</t>
  </si>
  <si>
    <t>Payback period</t>
  </si>
  <si>
    <t>Total Income</t>
  </si>
  <si>
    <t>Variable Cost :</t>
  </si>
  <si>
    <t>Contribution</t>
  </si>
  <si>
    <t>Fixed Costs</t>
  </si>
  <si>
    <t>LRD processing fee</t>
  </si>
  <si>
    <t>Interest on construction loans</t>
  </si>
  <si>
    <t>Interest on LRD loans</t>
  </si>
  <si>
    <t>Total Fixed Cost</t>
  </si>
  <si>
    <t xml:space="preserve">Break Even Point </t>
  </si>
  <si>
    <t>Break Even revenue</t>
  </si>
  <si>
    <t>Cash Break Even revenue</t>
  </si>
  <si>
    <t>BEP</t>
  </si>
  <si>
    <t>Operating Expenses</t>
  </si>
  <si>
    <t>Max DSCR</t>
  </si>
  <si>
    <t>Less: Tax</t>
  </si>
  <si>
    <t>FCFE</t>
  </si>
  <si>
    <t>WACC</t>
  </si>
  <si>
    <t>PV of FCFE</t>
  </si>
  <si>
    <t>Growth rate</t>
  </si>
  <si>
    <t>Terminal Value of FCFF</t>
  </si>
  <si>
    <t>PV of Terminal Value</t>
  </si>
  <si>
    <t>Add: PV of FCFE</t>
  </si>
  <si>
    <t>Value of Firm</t>
  </si>
  <si>
    <t>Cover</t>
  </si>
  <si>
    <t>LRD eligbility</t>
  </si>
  <si>
    <t>Tenant Improvement Costs</t>
  </si>
  <si>
    <t>70% of valuation</t>
  </si>
  <si>
    <t>95% of NPV</t>
  </si>
  <si>
    <t>Terminal Value of residual assets</t>
  </si>
  <si>
    <t>Increase in interest rates</t>
  </si>
  <si>
    <t>Year Count</t>
  </si>
  <si>
    <t>Quarter end</t>
  </si>
  <si>
    <t>Gross rent + CAM</t>
  </si>
  <si>
    <t>Less: Operating expenses</t>
  </si>
  <si>
    <t>Sensitivity Results</t>
  </si>
  <si>
    <t xml:space="preserve">Base Case </t>
  </si>
  <si>
    <t>Increase in Interest rate by 1%</t>
  </si>
  <si>
    <t>Increase in interest rate by 2%</t>
  </si>
  <si>
    <t>Decrease in Lease rentals by 5%</t>
  </si>
  <si>
    <t>Decrease in Lease rentals by 10%</t>
  </si>
  <si>
    <t>Avg DSCR</t>
  </si>
  <si>
    <t>IRR</t>
  </si>
  <si>
    <t>ROCE (%)</t>
  </si>
  <si>
    <t>FACR (Net Block / Term Liabilities)</t>
  </si>
  <si>
    <t>Period (Years)</t>
  </si>
  <si>
    <t>Discounting Factor</t>
  </si>
  <si>
    <t>RP</t>
  </si>
  <si>
    <t>Increase in Lease rentals by 5%</t>
  </si>
  <si>
    <t>Increase in Lease rentals by 10%</t>
  </si>
  <si>
    <t>Debt Amount (Rs. crore)</t>
  </si>
  <si>
    <t>70% of net rentals</t>
  </si>
  <si>
    <t>PBDIT / Interest (times)</t>
  </si>
  <si>
    <t>CL</t>
  </si>
  <si>
    <t>Net Block</t>
  </si>
  <si>
    <t>Project Soft Costs (incl. Processing fees)</t>
  </si>
  <si>
    <t>Sr. No.</t>
  </si>
  <si>
    <t xml:space="preserve">Cash Inflows </t>
  </si>
  <si>
    <t xml:space="preserve">Cash Outflows </t>
  </si>
  <si>
    <t>Discounted Cash Flows</t>
  </si>
  <si>
    <t xml:space="preserve"> </t>
  </si>
  <si>
    <t>Valuation Date</t>
  </si>
  <si>
    <t>Tax</t>
  </si>
  <si>
    <t>Current Assets</t>
  </si>
  <si>
    <t>Current Liabilities</t>
  </si>
  <si>
    <t>Current Ratio</t>
  </si>
  <si>
    <t>NWC</t>
  </si>
  <si>
    <t>Adjusted EBITDA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</si>
</sst>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64" formatCode="_(* #,##0_);_(* \(#,##0\);_(* &quot;-&quot;_);_(@_)"/>
    <numFmt numFmtId="165" formatCode="_(* #,##0.00_);_(* \(#,##0.00\);_(* &quot;-&quot;??_);_(@_)"/>
    <numFmt numFmtId="166" formatCode="_(* #,##0_);_(* \(#,##0\);_(* &quot;-&quot;??_);_(@_)"/>
    <numFmt numFmtId="167" formatCode="[$-409]mmmm\-yy;@"/>
    <numFmt numFmtId="168" formatCode="0.0"/>
    <numFmt numFmtId="169" formatCode="[$-409]mmm/yy;@"/>
    <numFmt numFmtId="170" formatCode="_(* #,##0.0_);_(* \(#,##0.0\);_(* &quot;-&quot;?_);_(@_)"/>
    <numFmt numFmtId="171" formatCode="_ * #,##0_ ;_ * \-#,##0_ ;_ * &quot;-&quot;??_ ;_ @_ "/>
    <numFmt numFmtId="172" formatCode="0.0000"/>
    <numFmt numFmtId="173" formatCode="&quot; &quot;#,##0.00&quot; &quot;;&quot; (&quot;#,##0.00&quot;)&quot;;&quot; -&quot;00&quot; &quot;;&quot; &quot;@&quot; &quot;"/>
    <numFmt numFmtId="174" formatCode="&quot;Building &quot;#,##0"/>
    <numFmt numFmtId="175" formatCode="&quot; &quot;#,##0&quot; &quot;;&quot; (&quot;#,##0&quot;)&quot;;&quot; -&quot;00&quot; &quot;;&quot; &quot;@&quot; &quot;"/>
    <numFmt numFmtId="176" formatCode="[$-409]d/mmm/yy;@"/>
    <numFmt numFmtId="177" formatCode="_ * #,##0.0_ ;_ * \-#,##0.0_ ;_ * &quot;-&quot;??_ ;_ @_ "/>
    <numFmt numFmtId="178" formatCode="0.0%"/>
    <numFmt numFmtId="179" formatCode="_ * #,##0.00000000_ ;_ * \-#,##0.00000000_ ;_ * &quot;-&quot;??_ ;_ @_ "/>
    <numFmt numFmtId="180" formatCode="#,##0.0"/>
    <numFmt numFmtId="181" formatCode="[$-409]mmm\-yy;@"/>
    <numFmt numFmtId="182" formatCode="&quot;Phase &quot;\ 0"/>
    <numFmt numFmtId="183" formatCode="_ * #,##0.0000_ ;_ * \-#,##0.0000_ ;_ * &quot;-&quot;??_ ;_ @_ "/>
    <numFmt numFmtId="184" formatCode="_(* #,##0.00_);_(* \(#,##0.00\);_(* &quot;-&quot;?_);_(@_)"/>
    <numFmt numFmtId="185" formatCode="_ * #,##0.000000_ ;_ * \-#,##0.000000_ ;_ * &quot;-&quot;??_ ;_ @_ "/>
    <numFmt numFmtId="186" formatCode="_ * #,##0.000_ ;_ * \-#,##0.000_ ;_ * &quot;-&quot;??_ ;_ @_ "/>
  </numFmts>
  <fonts count="47" x14ac:knownFonts="1">
    <font>
      <sz val="11"/>
      <color theme="1"/>
      <name val="Calibri"/>
      <family val="2"/>
      <scheme val="minor"/>
    </font>
    <font>
      <sz val="11"/>
      <color theme="1"/>
      <name val="Calibri"/>
      <family val="2"/>
      <scheme val="minor"/>
    </font>
    <font>
      <sz val="10"/>
      <name val="Verdana"/>
      <family val="2"/>
    </font>
    <font>
      <b/>
      <sz val="10"/>
      <color theme="0"/>
      <name val="Calibri"/>
      <family val="2"/>
      <scheme val="minor"/>
    </font>
    <font>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b/>
      <sz val="11"/>
      <color rgb="FF000000"/>
      <name val="Calibri"/>
      <family val="2"/>
    </font>
    <font>
      <sz val="11"/>
      <color rgb="FF000000"/>
      <name val="Calibri"/>
      <family val="2"/>
    </font>
    <font>
      <b/>
      <i/>
      <sz val="11"/>
      <color rgb="FF000000"/>
      <name val="Calibri"/>
      <family val="2"/>
    </font>
    <font>
      <sz val="9"/>
      <color indexed="81"/>
      <name val="Tahoma"/>
      <family val="2"/>
    </font>
    <font>
      <b/>
      <sz val="9"/>
      <color indexed="81"/>
      <name val="Tahoma"/>
      <family val="2"/>
    </font>
    <font>
      <b/>
      <u/>
      <sz val="10"/>
      <color theme="1"/>
      <name val="Calibri"/>
      <family val="2"/>
      <scheme val="minor"/>
    </font>
    <font>
      <b/>
      <u/>
      <sz val="10"/>
      <color theme="0"/>
      <name val="Calibri"/>
      <family val="2"/>
      <scheme val="minor"/>
    </font>
    <font>
      <u/>
      <sz val="10"/>
      <color theme="1"/>
      <name val="Calibri"/>
      <family val="2"/>
      <scheme val="minor"/>
    </font>
    <font>
      <sz val="10"/>
      <color rgb="FFFF0000"/>
      <name val="Calibri"/>
      <family val="2"/>
      <scheme val="minor"/>
    </font>
    <font>
      <b/>
      <sz val="10"/>
      <color rgb="FF0000D8"/>
      <name val="Calibri"/>
      <family val="2"/>
      <scheme val="minor"/>
    </font>
    <font>
      <b/>
      <sz val="10"/>
      <name val="Calibri"/>
      <family val="2"/>
      <scheme val="minor"/>
    </font>
    <font>
      <b/>
      <sz val="10"/>
      <color rgb="FF0000CC"/>
      <name val="Calibri"/>
      <family val="2"/>
      <scheme val="minor"/>
    </font>
    <font>
      <b/>
      <sz val="10"/>
      <color rgb="FF0000FF"/>
      <name val="Calibri"/>
      <family val="2"/>
      <scheme val="minor"/>
    </font>
    <font>
      <b/>
      <sz val="10"/>
      <color theme="4" tint="-0.249977111117893"/>
      <name val="Calibri"/>
      <family val="2"/>
      <scheme val="minor"/>
    </font>
    <font>
      <sz val="10"/>
      <color rgb="FF00B050"/>
      <name val="Calibri"/>
      <family val="2"/>
      <scheme val="minor"/>
    </font>
    <font>
      <b/>
      <sz val="10"/>
      <color rgb="FF002060"/>
      <name val="Calibri"/>
      <family val="2"/>
      <scheme val="minor"/>
    </font>
    <font>
      <sz val="11"/>
      <color indexed="8"/>
      <name val="Calibri"/>
      <family val="2"/>
    </font>
    <font>
      <sz val="8"/>
      <name val="Calibri"/>
      <family val="2"/>
      <scheme val="minor"/>
    </font>
    <font>
      <sz val="10"/>
      <name val="Calibri"/>
      <family val="2"/>
      <scheme val="minor"/>
    </font>
    <font>
      <sz val="10"/>
      <color theme="1"/>
      <name val="Cambria"/>
      <family val="1"/>
    </font>
    <font>
      <sz val="10"/>
      <color theme="0"/>
      <name val="Calibri"/>
      <family val="2"/>
      <scheme val="minor"/>
    </font>
    <font>
      <i/>
      <u/>
      <sz val="10"/>
      <color theme="1"/>
      <name val="Calibri"/>
      <family val="2"/>
      <scheme val="minor"/>
    </font>
    <font>
      <b/>
      <i/>
      <sz val="10"/>
      <name val="Calibri"/>
      <family val="2"/>
      <scheme val="minor"/>
    </font>
    <font>
      <b/>
      <u/>
      <sz val="10"/>
      <color rgb="FFFF0000"/>
      <name val="Calibri"/>
      <family val="2"/>
      <scheme val="minor"/>
    </font>
    <font>
      <b/>
      <sz val="10"/>
      <color theme="0" tint="-0.14999847407452621"/>
      <name val="Calibri"/>
      <family val="2"/>
      <scheme val="minor"/>
    </font>
    <font>
      <i/>
      <u val="singleAccounting"/>
      <sz val="10"/>
      <color theme="1"/>
      <name val="Calibri"/>
      <family val="2"/>
      <scheme val="minor"/>
    </font>
    <font>
      <b/>
      <u val="singleAccounting"/>
      <sz val="10"/>
      <color theme="1"/>
      <name val="Calibri"/>
      <family val="2"/>
      <scheme val="minor"/>
    </font>
    <font>
      <i/>
      <sz val="10"/>
      <name val="Calibri"/>
      <family val="2"/>
      <scheme val="minor"/>
    </font>
    <font>
      <sz val="10"/>
      <color rgb="FF0000FF"/>
      <name val="Calibri"/>
      <family val="2"/>
      <scheme val="minor"/>
    </font>
    <font>
      <i/>
      <sz val="10"/>
      <color rgb="FFFF0000"/>
      <name val="Calibri"/>
      <family val="2"/>
      <scheme val="minor"/>
    </font>
    <font>
      <sz val="10"/>
      <color rgb="FF0070C0"/>
      <name val="Calibri"/>
      <family val="2"/>
      <scheme val="minor"/>
    </font>
    <font>
      <i/>
      <sz val="10"/>
      <color rgb="FF0070C0"/>
      <name val="Calibri"/>
      <family val="2"/>
      <scheme val="minor"/>
    </font>
    <font>
      <b/>
      <sz val="10"/>
      <color rgb="FFFF0000"/>
      <name val="Calibri"/>
      <family val="2"/>
      <scheme val="minor"/>
    </font>
    <font>
      <i/>
      <sz val="10"/>
      <color theme="4" tint="-0.249977111117893"/>
      <name val="Calibri"/>
      <family val="2"/>
      <scheme val="minor"/>
    </font>
    <font>
      <i/>
      <sz val="10"/>
      <color theme="8" tint="-0.249977111117893"/>
      <name val="Calibri"/>
      <family val="2"/>
      <scheme val="minor"/>
    </font>
    <font>
      <b/>
      <i/>
      <sz val="10"/>
      <color theme="0"/>
      <name val="Calibri"/>
      <family val="2"/>
      <scheme val="minor"/>
    </font>
    <font>
      <sz val="10"/>
      <name val="Arial"/>
      <family val="2"/>
    </font>
    <font>
      <sz val="10"/>
      <color rgb="FF0000D8"/>
      <name val="Calibri"/>
      <family val="2"/>
      <scheme val="minor"/>
    </font>
    <font>
      <b/>
      <sz val="11"/>
      <color theme="1"/>
      <name val="Calibri"/>
      <family val="2"/>
      <scheme val="minor"/>
    </font>
  </fonts>
  <fills count="19">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2060"/>
        <bgColor indexed="64"/>
      </patternFill>
    </fill>
    <fill>
      <patternFill patternType="solid">
        <fgColor rgb="FFD9E1F2"/>
        <bgColor rgb="FFD9E1F2"/>
      </patternFill>
    </fill>
    <fill>
      <patternFill patternType="solid">
        <fgColor rgb="FFEDEDED"/>
        <bgColor rgb="FFEDEDED"/>
      </patternFill>
    </fill>
    <fill>
      <patternFill patternType="solid">
        <fgColor rgb="FF92D05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79998168889431442"/>
        <bgColor indexed="64"/>
      </patternFill>
    </fill>
  </fills>
  <borders count="65">
    <border>
      <left/>
      <right/>
      <top/>
      <bottom/>
      <diagonal/>
    </border>
    <border>
      <left style="dashed">
        <color indexed="64"/>
      </left>
      <right style="dashed">
        <color indexed="64"/>
      </right>
      <top style="dashed">
        <color indexed="64"/>
      </top>
      <bottom style="dashed">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dashed">
        <color indexed="64"/>
      </left>
      <right style="dashed">
        <color indexed="64"/>
      </right>
      <top style="dashed">
        <color indexed="64"/>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thin">
        <color theme="0" tint="-0.34998626667073579"/>
      </bottom>
      <diagonal/>
    </border>
    <border>
      <left/>
      <right style="dashed">
        <color indexed="64"/>
      </right>
      <top style="dashed">
        <color indexed="64"/>
      </top>
      <bottom style="thin">
        <color theme="0" tint="-0.34998626667073579"/>
      </bottom>
      <diagonal/>
    </border>
    <border>
      <left style="dotted">
        <color indexed="64"/>
      </left>
      <right style="dotted">
        <color indexed="64"/>
      </right>
      <top style="dotted">
        <color indexed="64"/>
      </top>
      <bottom style="dott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thin">
        <color theme="0" tint="-0.34998626667073579"/>
      </left>
      <right/>
      <top style="thin">
        <color theme="0" tint="-0.34998626667073579"/>
      </top>
      <bottom style="dashed">
        <color indexed="64"/>
      </bottom>
      <diagonal/>
    </border>
    <border>
      <left/>
      <right/>
      <top style="thin">
        <color theme="0" tint="-0.34998626667073579"/>
      </top>
      <bottom style="dashed">
        <color indexed="64"/>
      </bottom>
      <diagonal/>
    </border>
    <border>
      <left/>
      <right/>
      <top style="thin">
        <color theme="0" tint="-0.34998626667073579"/>
      </top>
      <bottom style="thin">
        <color theme="0" tint="-0.34998626667073579"/>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ashed">
        <color indexed="64"/>
      </left>
      <right/>
      <top/>
      <bottom style="dashed">
        <color indexed="64"/>
      </bottom>
      <diagonal/>
    </border>
    <border>
      <left/>
      <right/>
      <top/>
      <bottom style="dashed">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medium">
        <color indexed="64"/>
      </bottom>
      <diagonal/>
    </border>
    <border>
      <left style="dashed">
        <color indexed="64"/>
      </left>
      <right style="dashed">
        <color indexed="64"/>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theme="0" tint="-0.34998626667073579"/>
      </top>
      <bottom style="thin">
        <color theme="0" tint="-0.34998626667073579"/>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s>
  <cellStyleXfs count="15">
    <xf numFmtId="0" fontId="0"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9" fillId="0" borderId="0"/>
    <xf numFmtId="17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cellStyleXfs>
  <cellXfs count="658">
    <xf numFmtId="0" fontId="0" fillId="0" borderId="0" xfId="0"/>
    <xf numFmtId="0" fontId="4" fillId="0" borderId="0" xfId="0" applyFont="1"/>
    <xf numFmtId="0" fontId="9" fillId="5" borderId="15" xfId="6" applyFill="1" applyBorder="1"/>
    <xf numFmtId="0" fontId="8" fillId="5" borderId="15" xfId="6" applyFont="1" applyFill="1" applyBorder="1" applyAlignment="1">
      <alignment horizontal="center" vertical="center" wrapText="1"/>
    </xf>
    <xf numFmtId="0" fontId="9" fillId="0" borderId="0" xfId="6"/>
    <xf numFmtId="0" fontId="9" fillId="0" borderId="0" xfId="6" applyAlignment="1">
      <alignment horizontal="center" vertical="center"/>
    </xf>
    <xf numFmtId="3" fontId="9" fillId="0" borderId="0" xfId="7" applyNumberFormat="1" applyAlignment="1">
      <alignment horizontal="center" vertical="center"/>
    </xf>
    <xf numFmtId="3" fontId="9" fillId="0" borderId="0" xfId="6" applyNumberFormat="1" applyAlignment="1">
      <alignment horizontal="center"/>
    </xf>
    <xf numFmtId="10" fontId="9" fillId="0" borderId="0" xfId="8" applyNumberFormat="1" applyAlignment="1">
      <alignment horizontal="center" vertical="center"/>
    </xf>
    <xf numFmtId="174" fontId="9" fillId="0" borderId="0" xfId="6" applyNumberFormat="1" applyAlignment="1">
      <alignment horizontal="center"/>
    </xf>
    <xf numFmtId="174" fontId="8" fillId="6" borderId="15" xfId="6" applyNumberFormat="1" applyFont="1" applyFill="1" applyBorder="1"/>
    <xf numFmtId="3" fontId="8" fillId="6" borderId="15" xfId="7" applyNumberFormat="1" applyFont="1" applyFill="1" applyBorder="1" applyAlignment="1">
      <alignment horizontal="center" vertical="center"/>
    </xf>
    <xf numFmtId="10" fontId="8" fillId="6" borderId="15" xfId="8" applyNumberFormat="1" applyFont="1" applyFill="1" applyBorder="1" applyAlignment="1">
      <alignment horizontal="center" vertical="center"/>
    </xf>
    <xf numFmtId="174" fontId="9" fillId="0" borderId="0" xfId="6" applyNumberFormat="1"/>
    <xf numFmtId="175" fontId="9" fillId="0" borderId="0" xfId="7" applyNumberFormat="1" applyAlignment="1">
      <alignment horizontal="center" vertical="center"/>
    </xf>
    <xf numFmtId="174" fontId="9" fillId="5" borderId="15" xfId="6" applyNumberFormat="1" applyFill="1" applyBorder="1"/>
    <xf numFmtId="175" fontId="9" fillId="5" borderId="15" xfId="7" applyNumberFormat="1" applyFill="1" applyBorder="1" applyAlignment="1">
      <alignment horizontal="center" vertical="center"/>
    </xf>
    <xf numFmtId="0" fontId="9" fillId="0" borderId="16" xfId="6" applyBorder="1" applyAlignment="1">
      <alignment horizontal="center" vertical="center"/>
    </xf>
    <xf numFmtId="3" fontId="9" fillId="0" borderId="16" xfId="7" applyNumberFormat="1" applyBorder="1" applyAlignment="1">
      <alignment horizontal="center" vertical="center"/>
    </xf>
    <xf numFmtId="174" fontId="9" fillId="0" borderId="16" xfId="6" applyNumberFormat="1" applyBorder="1" applyAlignment="1">
      <alignment horizontal="center"/>
    </xf>
    <xf numFmtId="0" fontId="10" fillId="0" borderId="0" xfId="6" applyFont="1"/>
    <xf numFmtId="3" fontId="9" fillId="0" borderId="0" xfId="6" applyNumberFormat="1"/>
    <xf numFmtId="10" fontId="9" fillId="0" borderId="0" xfId="1" applyNumberFormat="1" applyFont="1"/>
    <xf numFmtId="0" fontId="4" fillId="0" borderId="0" xfId="0" applyFont="1" applyAlignment="1">
      <alignment horizontal="center" vertical="center"/>
    </xf>
    <xf numFmtId="0" fontId="5" fillId="0" borderId="0" xfId="0" applyFont="1" applyAlignment="1">
      <alignment horizontal="center" vertical="center" wrapText="1"/>
    </xf>
    <xf numFmtId="0" fontId="4" fillId="0" borderId="0" xfId="0" applyFont="1" applyAlignment="1">
      <alignment horizontal="left" vertical="center"/>
    </xf>
    <xf numFmtId="171" fontId="4" fillId="0" borderId="0" xfId="9" applyNumberFormat="1" applyFont="1" applyAlignment="1">
      <alignment horizontal="left" vertical="center"/>
    </xf>
    <xf numFmtId="9" fontId="4" fillId="0" borderId="0" xfId="0" applyNumberFormat="1" applyFont="1" applyAlignment="1">
      <alignment horizontal="center" vertical="center"/>
    </xf>
    <xf numFmtId="171" fontId="5" fillId="0" borderId="0" xfId="9" applyNumberFormat="1" applyFont="1" applyAlignment="1">
      <alignment horizontal="center" vertical="center"/>
    </xf>
    <xf numFmtId="0" fontId="5" fillId="0" borderId="0" xfId="0" applyFont="1" applyAlignment="1">
      <alignment horizontal="left" vertical="center"/>
    </xf>
    <xf numFmtId="43" fontId="4" fillId="0" borderId="0" xfId="0" applyNumberFormat="1" applyFont="1" applyAlignment="1">
      <alignment horizontal="left" vertical="center"/>
    </xf>
    <xf numFmtId="0" fontId="13" fillId="0" borderId="0" xfId="0" applyFont="1" applyAlignment="1">
      <alignment horizontal="left" vertical="center"/>
    </xf>
    <xf numFmtId="15" fontId="5" fillId="0" borderId="0" xfId="0" applyNumberFormat="1" applyFont="1" applyAlignment="1">
      <alignment horizontal="left" vertical="center"/>
    </xf>
    <xf numFmtId="43" fontId="4" fillId="0" borderId="0" xfId="9" applyFont="1"/>
    <xf numFmtId="0" fontId="5" fillId="0" borderId="20" xfId="0" applyFont="1" applyBorder="1" applyAlignment="1">
      <alignment horizontal="left" vertical="center"/>
    </xf>
    <xf numFmtId="0" fontId="4" fillId="0" borderId="19" xfId="0" applyFont="1" applyBorder="1" applyAlignment="1">
      <alignment horizontal="left" vertical="center"/>
    </xf>
    <xf numFmtId="0" fontId="5" fillId="0" borderId="19" xfId="0" applyFont="1" applyBorder="1" applyAlignment="1">
      <alignment horizontal="left" vertical="center"/>
    </xf>
    <xf numFmtId="43" fontId="4" fillId="0" borderId="0" xfId="0" applyNumberFormat="1" applyFont="1" applyAlignment="1">
      <alignment horizontal="center" vertical="center"/>
    </xf>
    <xf numFmtId="0" fontId="4" fillId="0" borderId="24" xfId="0" applyFont="1" applyBorder="1" applyAlignment="1">
      <alignment horizontal="left" vertical="center"/>
    </xf>
    <xf numFmtId="0" fontId="5" fillId="0" borderId="0" xfId="0" applyFont="1"/>
    <xf numFmtId="9" fontId="4" fillId="0" borderId="0" xfId="1" applyFont="1" applyAlignment="1">
      <alignment horizontal="left" vertical="center"/>
    </xf>
    <xf numFmtId="0" fontId="5" fillId="0" borderId="0" xfId="0" applyFont="1" applyAlignment="1">
      <alignment horizontal="center" vertical="center"/>
    </xf>
    <xf numFmtId="1" fontId="4" fillId="0" borderId="0" xfId="0" applyNumberFormat="1" applyFont="1" applyAlignment="1">
      <alignment horizontal="left" vertical="center"/>
    </xf>
    <xf numFmtId="3" fontId="4" fillId="0" borderId="0" xfId="0" applyNumberFormat="1" applyFont="1" applyAlignment="1">
      <alignment horizontal="left" vertical="center"/>
    </xf>
    <xf numFmtId="2" fontId="4" fillId="0" borderId="0" xfId="0" applyNumberFormat="1" applyFont="1"/>
    <xf numFmtId="171" fontId="4" fillId="0" borderId="0" xfId="9" applyNumberFormat="1" applyFont="1"/>
    <xf numFmtId="171" fontId="4" fillId="0" borderId="0" xfId="0" applyNumberFormat="1" applyFont="1"/>
    <xf numFmtId="3" fontId="4" fillId="0" borderId="45" xfId="0" applyNumberFormat="1" applyFont="1" applyBorder="1" applyAlignment="1">
      <alignment horizontal="center"/>
    </xf>
    <xf numFmtId="3" fontId="5" fillId="0" borderId="46" xfId="0" applyNumberFormat="1" applyFont="1" applyBorder="1" applyAlignment="1">
      <alignment horizontal="center"/>
    </xf>
    <xf numFmtId="0" fontId="5" fillId="15" borderId="44" xfId="0" applyFont="1" applyFill="1" applyBorder="1" applyAlignment="1">
      <alignment horizontal="center"/>
    </xf>
    <xf numFmtId="9" fontId="4" fillId="0" borderId="0" xfId="0" applyNumberFormat="1" applyFont="1"/>
    <xf numFmtId="10" fontId="4" fillId="0" borderId="0" xfId="0" applyNumberFormat="1" applyFont="1"/>
    <xf numFmtId="43" fontId="4" fillId="0" borderId="0" xfId="0" applyNumberFormat="1" applyFont="1"/>
    <xf numFmtId="10" fontId="4" fillId="0" borderId="0" xfId="1" applyNumberFormat="1" applyFont="1"/>
    <xf numFmtId="43" fontId="5" fillId="0" borderId="0" xfId="0" applyNumberFormat="1" applyFont="1"/>
    <xf numFmtId="171" fontId="5" fillId="0" borderId="0" xfId="0" applyNumberFormat="1" applyFont="1"/>
    <xf numFmtId="0" fontId="13" fillId="0" borderId="0" xfId="0" applyFont="1"/>
    <xf numFmtId="10" fontId="4" fillId="0" borderId="0" xfId="1" applyNumberFormat="1" applyFont="1" applyBorder="1"/>
    <xf numFmtId="17" fontId="4" fillId="0" borderId="0" xfId="0" applyNumberFormat="1" applyFont="1"/>
    <xf numFmtId="0" fontId="14" fillId="2" borderId="7" xfId="0" applyFont="1" applyFill="1" applyBorder="1" applyAlignment="1">
      <alignment horizontal="center" wrapText="1"/>
    </xf>
    <xf numFmtId="0" fontId="14" fillId="2" borderId="5" xfId="0" applyFont="1" applyFill="1" applyBorder="1" applyAlignment="1">
      <alignment wrapText="1"/>
    </xf>
    <xf numFmtId="0" fontId="14" fillId="2" borderId="6" xfId="0" applyFont="1" applyFill="1" applyBorder="1" applyAlignment="1">
      <alignment wrapText="1"/>
    </xf>
    <xf numFmtId="0" fontId="5" fillId="0" borderId="1" xfId="0" applyFont="1" applyBorder="1" applyAlignment="1">
      <alignment wrapText="1"/>
    </xf>
    <xf numFmtId="165" fontId="19" fillId="0" borderId="1" xfId="3" applyFont="1" applyFill="1" applyBorder="1" applyAlignment="1">
      <alignment horizontal="right" vertical="center"/>
    </xf>
    <xf numFmtId="166" fontId="19" fillId="0" borderId="1" xfId="3" applyNumberFormat="1" applyFont="1" applyFill="1" applyBorder="1" applyAlignment="1">
      <alignment horizontal="right" vertical="center"/>
    </xf>
    <xf numFmtId="0" fontId="5" fillId="0" borderId="1" xfId="0" applyFont="1" applyBorder="1" applyAlignment="1">
      <alignment vertical="center" wrapText="1"/>
    </xf>
    <xf numFmtId="166" fontId="19" fillId="0" borderId="1" xfId="3" applyNumberFormat="1" applyFont="1" applyFill="1" applyBorder="1" applyAlignment="1">
      <alignment horizontal="right"/>
    </xf>
    <xf numFmtId="0" fontId="16" fillId="0" borderId="0" xfId="0" applyFont="1"/>
    <xf numFmtId="43" fontId="16" fillId="0" borderId="0" xfId="0" applyNumberFormat="1" applyFont="1" applyAlignment="1">
      <alignment vertical="center"/>
    </xf>
    <xf numFmtId="0" fontId="16" fillId="0" borderId="0" xfId="0" applyFont="1" applyAlignment="1">
      <alignment vertical="center"/>
    </xf>
    <xf numFmtId="0" fontId="4" fillId="0" borderId="0" xfId="0" applyFont="1" applyAlignment="1">
      <alignment vertical="center"/>
    </xf>
    <xf numFmtId="166" fontId="4" fillId="0" borderId="0" xfId="0" applyNumberFormat="1" applyFont="1"/>
    <xf numFmtId="166" fontId="19" fillId="0" borderId="0" xfId="3" applyNumberFormat="1" applyFont="1" applyFill="1" applyBorder="1" applyAlignment="1">
      <alignment horizontal="right"/>
    </xf>
    <xf numFmtId="17" fontId="20" fillId="0" borderId="0" xfId="0" applyNumberFormat="1" applyFont="1" applyAlignment="1">
      <alignment horizontal="right" vertical="top"/>
    </xf>
    <xf numFmtId="177" fontId="4" fillId="0" borderId="0" xfId="9" applyNumberFormat="1" applyFont="1"/>
    <xf numFmtId="166" fontId="19" fillId="3" borderId="0" xfId="3" applyNumberFormat="1" applyFont="1" applyFill="1" applyBorder="1" applyAlignment="1">
      <alignment horizontal="right"/>
    </xf>
    <xf numFmtId="43" fontId="20" fillId="0" borderId="0" xfId="9" applyFont="1" applyBorder="1" applyAlignment="1">
      <alignment horizontal="right" vertical="top"/>
    </xf>
    <xf numFmtId="15" fontId="4" fillId="0" borderId="0" xfId="0" applyNumberFormat="1" applyFont="1"/>
    <xf numFmtId="172" fontId="4" fillId="0" borderId="0" xfId="0" applyNumberFormat="1" applyFont="1"/>
    <xf numFmtId="0" fontId="14" fillId="2" borderId="17" xfId="0" applyFont="1" applyFill="1" applyBorder="1" applyAlignment="1">
      <alignment wrapText="1"/>
    </xf>
    <xf numFmtId="0" fontId="14" fillId="2" borderId="18" xfId="0" applyFont="1" applyFill="1" applyBorder="1" applyAlignment="1">
      <alignment wrapText="1"/>
    </xf>
    <xf numFmtId="0" fontId="5" fillId="0" borderId="1" xfId="0" applyFont="1" applyBorder="1" applyAlignment="1">
      <alignment horizontal="center" vertical="center" wrapText="1"/>
    </xf>
    <xf numFmtId="4" fontId="5" fillId="0" borderId="1" xfId="0" applyNumberFormat="1" applyFont="1" applyBorder="1" applyAlignment="1">
      <alignment horizontal="center" vertical="center" wrapText="1"/>
    </xf>
    <xf numFmtId="9" fontId="19" fillId="3" borderId="1" xfId="3" applyNumberFormat="1" applyFont="1" applyFill="1" applyBorder="1" applyAlignment="1">
      <alignment horizontal="center"/>
    </xf>
    <xf numFmtId="166" fontId="4" fillId="0" borderId="1" xfId="0" applyNumberFormat="1" applyFont="1" applyBorder="1" applyAlignment="1">
      <alignment horizontal="center"/>
    </xf>
    <xf numFmtId="176" fontId="21" fillId="0" borderId="1" xfId="0" applyNumberFormat="1" applyFont="1" applyBorder="1" applyAlignment="1">
      <alignment horizontal="center"/>
    </xf>
    <xf numFmtId="176" fontId="4" fillId="0" borderId="1" xfId="0" applyNumberFormat="1" applyFont="1" applyBorder="1" applyAlignment="1">
      <alignment horizontal="center"/>
    </xf>
    <xf numFmtId="3" fontId="19" fillId="3" borderId="1" xfId="3" applyNumberFormat="1" applyFont="1" applyFill="1" applyBorder="1" applyAlignment="1">
      <alignment horizontal="center"/>
    </xf>
    <xf numFmtId="166" fontId="19" fillId="3" borderId="1" xfId="3" applyNumberFormat="1" applyFont="1" applyFill="1" applyBorder="1" applyAlignment="1">
      <alignment horizontal="center"/>
    </xf>
    <xf numFmtId="2" fontId="21" fillId="0" borderId="1" xfId="9" applyNumberFormat="1" applyFont="1" applyBorder="1" applyAlignment="1">
      <alignment horizontal="center"/>
    </xf>
    <xf numFmtId="0" fontId="21" fillId="0" borderId="1" xfId="0" applyFont="1" applyBorder="1" applyAlignment="1">
      <alignment horizontal="center"/>
    </xf>
    <xf numFmtId="9" fontId="21" fillId="0" borderId="1" xfId="0" applyNumberFormat="1" applyFont="1" applyBorder="1" applyAlignment="1">
      <alignment horizontal="center"/>
    </xf>
    <xf numFmtId="4" fontId="21" fillId="0" borderId="1" xfId="9" applyNumberFormat="1" applyFont="1" applyBorder="1" applyAlignment="1">
      <alignment horizontal="center"/>
    </xf>
    <xf numFmtId="2" fontId="21" fillId="0" borderId="1" xfId="0" applyNumberFormat="1" applyFont="1" applyBorder="1" applyAlignment="1">
      <alignment horizontal="center"/>
    </xf>
    <xf numFmtId="15" fontId="21" fillId="0" borderId="1" xfId="0" applyNumberFormat="1" applyFont="1" applyBorder="1" applyAlignment="1">
      <alignment horizontal="center"/>
    </xf>
    <xf numFmtId="9" fontId="21" fillId="0" borderId="1" xfId="1" applyFont="1" applyBorder="1" applyAlignment="1">
      <alignment horizontal="center"/>
    </xf>
    <xf numFmtId="171" fontId="4" fillId="0" borderId="1" xfId="9" applyNumberFormat="1" applyFont="1" applyBorder="1" applyAlignment="1">
      <alignment horizontal="center"/>
    </xf>
    <xf numFmtId="168" fontId="21" fillId="0" borderId="1" xfId="0" applyNumberFormat="1" applyFont="1" applyBorder="1" applyAlignment="1">
      <alignment horizontal="center"/>
    </xf>
    <xf numFmtId="3" fontId="4" fillId="0" borderId="1" xfId="9" applyNumberFormat="1" applyFont="1" applyBorder="1" applyAlignment="1">
      <alignment horizontal="center"/>
    </xf>
    <xf numFmtId="0" fontId="5" fillId="0" borderId="1" xfId="0" applyFont="1" applyBorder="1" applyAlignment="1">
      <alignment horizontal="left" wrapText="1"/>
    </xf>
    <xf numFmtId="166" fontId="5" fillId="0" borderId="0" xfId="0" applyNumberFormat="1" applyFont="1"/>
    <xf numFmtId="177" fontId="4" fillId="0" borderId="0" xfId="9" applyNumberFormat="1" applyFont="1" applyBorder="1"/>
    <xf numFmtId="14" fontId="4" fillId="0" borderId="0" xfId="0" applyNumberFormat="1" applyFont="1"/>
    <xf numFmtId="176" fontId="4" fillId="0" borderId="0" xfId="0" applyNumberFormat="1" applyFont="1"/>
    <xf numFmtId="0" fontId="21" fillId="0" borderId="0" xfId="0" applyFont="1"/>
    <xf numFmtId="9" fontId="21" fillId="0" borderId="0" xfId="0" applyNumberFormat="1" applyFont="1"/>
    <xf numFmtId="0" fontId="21" fillId="0" borderId="0" xfId="0" applyFont="1" applyAlignment="1">
      <alignment horizontal="center"/>
    </xf>
    <xf numFmtId="167" fontId="21" fillId="0" borderId="0" xfId="0" applyNumberFormat="1" applyFont="1"/>
    <xf numFmtId="0" fontId="5" fillId="0" borderId="0" xfId="0" applyFont="1" applyAlignment="1">
      <alignment wrapText="1"/>
    </xf>
    <xf numFmtId="9" fontId="19" fillId="3" borderId="0" xfId="3" applyNumberFormat="1" applyFont="1" applyFill="1" applyBorder="1" applyAlignment="1">
      <alignment horizontal="right"/>
    </xf>
    <xf numFmtId="14" fontId="21" fillId="0" borderId="0" xfId="0" applyNumberFormat="1" applyFont="1"/>
    <xf numFmtId="43" fontId="19" fillId="3" borderId="1" xfId="9" applyFont="1" applyFill="1" applyBorder="1" applyAlignment="1">
      <alignment horizontal="center"/>
    </xf>
    <xf numFmtId="43" fontId="21" fillId="0" borderId="0" xfId="0" applyNumberFormat="1" applyFont="1" applyAlignment="1">
      <alignment horizontal="center"/>
    </xf>
    <xf numFmtId="0" fontId="18" fillId="0" borderId="1" xfId="2" applyFont="1" applyBorder="1" applyAlignment="1">
      <alignment vertical="center"/>
    </xf>
    <xf numFmtId="166" fontId="17" fillId="0" borderId="1" xfId="1" applyNumberFormat="1" applyFont="1" applyFill="1" applyBorder="1" applyAlignment="1">
      <alignment vertical="center"/>
    </xf>
    <xf numFmtId="0" fontId="4" fillId="0" borderId="1" xfId="0" applyFont="1" applyBorder="1" applyAlignment="1">
      <alignment horizontal="center" vertical="center"/>
    </xf>
    <xf numFmtId="0" fontId="4" fillId="0" borderId="1" xfId="0" applyFont="1" applyBorder="1"/>
    <xf numFmtId="9" fontId="4" fillId="0" borderId="1" xfId="0" applyNumberFormat="1" applyFont="1" applyBorder="1"/>
    <xf numFmtId="0" fontId="4" fillId="0" borderId="1" xfId="0" applyFont="1" applyBorder="1" applyAlignment="1">
      <alignment horizontal="center"/>
    </xf>
    <xf numFmtId="10" fontId="21" fillId="0" borderId="1" xfId="0" applyNumberFormat="1" applyFont="1" applyBorder="1"/>
    <xf numFmtId="1" fontId="4" fillId="0" borderId="0" xfId="0" applyNumberFormat="1" applyFont="1"/>
    <xf numFmtId="0" fontId="4" fillId="0" borderId="5" xfId="0" applyFont="1" applyBorder="1" applyAlignment="1">
      <alignment horizontal="center" vertical="center"/>
    </xf>
    <xf numFmtId="0" fontId="5" fillId="0" borderId="5" xfId="0" applyFont="1" applyBorder="1" applyAlignment="1">
      <alignment wrapText="1"/>
    </xf>
    <xf numFmtId="0" fontId="4" fillId="0" borderId="6" xfId="0" applyFont="1" applyBorder="1" applyAlignment="1">
      <alignment horizontal="center" vertical="center"/>
    </xf>
    <xf numFmtId="0" fontId="13" fillId="0" borderId="1" xfId="0" applyFont="1" applyBorder="1"/>
    <xf numFmtId="9" fontId="21" fillId="0" borderId="1" xfId="0" applyNumberFormat="1" applyFont="1" applyBorder="1"/>
    <xf numFmtId="1" fontId="5" fillId="0" borderId="0" xfId="0" applyNumberFormat="1" applyFont="1" applyAlignment="1">
      <alignment horizontal="center"/>
    </xf>
    <xf numFmtId="0" fontId="4" fillId="0" borderId="4" xfId="0" applyFont="1" applyBorder="1" applyAlignment="1">
      <alignment horizontal="center" vertical="center"/>
    </xf>
    <xf numFmtId="0" fontId="5" fillId="0" borderId="9" xfId="0" applyFont="1" applyBorder="1" applyAlignment="1">
      <alignment wrapText="1"/>
    </xf>
    <xf numFmtId="166" fontId="4" fillId="0" borderId="1" xfId="0" applyNumberFormat="1" applyFont="1" applyBorder="1"/>
    <xf numFmtId="0" fontId="4" fillId="0" borderId="0" xfId="0" applyFont="1" applyAlignment="1">
      <alignment horizontal="center"/>
    </xf>
    <xf numFmtId="9" fontId="5" fillId="0" borderId="36" xfId="0" applyNumberFormat="1" applyFont="1" applyBorder="1" applyAlignment="1">
      <alignment horizontal="center" vertical="center"/>
    </xf>
    <xf numFmtId="0" fontId="14" fillId="2" borderId="0" xfId="0" applyFont="1" applyFill="1" applyAlignment="1">
      <alignment wrapText="1"/>
    </xf>
    <xf numFmtId="0" fontId="5" fillId="0" borderId="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6" xfId="0" applyFont="1" applyBorder="1" applyAlignment="1">
      <alignment horizontal="center" vertical="center" wrapText="1"/>
    </xf>
    <xf numFmtId="0" fontId="7" fillId="9" borderId="6" xfId="0" applyFont="1" applyFill="1" applyBorder="1" applyAlignment="1">
      <alignment horizontal="center" vertical="center" wrapText="1"/>
    </xf>
    <xf numFmtId="3" fontId="4" fillId="0" borderId="5" xfId="9" applyNumberFormat="1" applyFont="1" applyBorder="1" applyAlignment="1">
      <alignment horizontal="center" vertical="center"/>
    </xf>
    <xf numFmtId="3" fontId="4" fillId="0" borderId="31" xfId="9" applyNumberFormat="1" applyFont="1" applyBorder="1" applyAlignment="1">
      <alignment horizontal="center" vertical="center"/>
    </xf>
    <xf numFmtId="3" fontId="4" fillId="0" borderId="1" xfId="9" applyNumberFormat="1" applyFont="1" applyBorder="1" applyAlignment="1">
      <alignment horizontal="center" vertical="center"/>
    </xf>
    <xf numFmtId="3" fontId="4" fillId="0" borderId="32" xfId="9" applyNumberFormat="1" applyFont="1" applyBorder="1" applyAlignment="1">
      <alignment horizontal="center" vertical="center"/>
    </xf>
    <xf numFmtId="3" fontId="22" fillId="0" borderId="6" xfId="9" applyNumberFormat="1" applyFont="1" applyBorder="1" applyAlignment="1">
      <alignment horizontal="center" vertical="center"/>
    </xf>
    <xf numFmtId="3" fontId="23" fillId="0" borderId="1" xfId="9" applyNumberFormat="1" applyFont="1" applyBorder="1" applyAlignment="1">
      <alignment horizontal="center" vertical="center"/>
    </xf>
    <xf numFmtId="3" fontId="4" fillId="0" borderId="33" xfId="9" applyNumberFormat="1" applyFont="1" applyBorder="1" applyAlignment="1">
      <alignment horizontal="center" vertical="center"/>
    </xf>
    <xf numFmtId="3" fontId="4" fillId="0" borderId="34" xfId="9" applyNumberFormat="1" applyFont="1" applyFill="1" applyBorder="1" applyAlignment="1">
      <alignment horizontal="center" vertical="center"/>
    </xf>
    <xf numFmtId="3" fontId="23" fillId="0" borderId="34" xfId="9" applyNumberFormat="1" applyFont="1" applyBorder="1" applyAlignment="1">
      <alignment horizontal="center" vertical="center"/>
    </xf>
    <xf numFmtId="3" fontId="4" fillId="0" borderId="34" xfId="9" applyNumberFormat="1" applyFont="1" applyBorder="1" applyAlignment="1">
      <alignment horizontal="center" vertical="center"/>
    </xf>
    <xf numFmtId="3" fontId="4" fillId="0" borderId="35" xfId="9" applyNumberFormat="1" applyFont="1" applyBorder="1" applyAlignment="1">
      <alignment horizontal="center" vertical="center"/>
    </xf>
    <xf numFmtId="0" fontId="4" fillId="0" borderId="45" xfId="0" applyFont="1" applyBorder="1" applyAlignment="1">
      <alignment horizontal="center"/>
    </xf>
    <xf numFmtId="169" fontId="4" fillId="0" borderId="45" xfId="0" applyNumberFormat="1" applyFont="1" applyBorder="1" applyAlignment="1">
      <alignment horizontal="center"/>
    </xf>
    <xf numFmtId="180" fontId="4" fillId="0" borderId="45" xfId="0" applyNumberFormat="1" applyFont="1" applyBorder="1" applyAlignment="1">
      <alignment horizontal="center"/>
    </xf>
    <xf numFmtId="0" fontId="4" fillId="0" borderId="46" xfId="0" applyFont="1" applyBorder="1"/>
    <xf numFmtId="10" fontId="4" fillId="0" borderId="0" xfId="9" applyNumberFormat="1" applyFont="1"/>
    <xf numFmtId="0" fontId="4" fillId="0" borderId="3" xfId="0" applyFont="1" applyBorder="1"/>
    <xf numFmtId="3" fontId="5" fillId="0" borderId="44" xfId="0" applyNumberFormat="1" applyFont="1" applyBorder="1" applyAlignment="1">
      <alignment horizontal="center"/>
    </xf>
    <xf numFmtId="10" fontId="4" fillId="0" borderId="0" xfId="1" applyNumberFormat="1" applyFont="1" applyAlignment="1">
      <alignment horizontal="center" vertical="center"/>
    </xf>
    <xf numFmtId="10" fontId="4" fillId="0" borderId="0" xfId="1" applyNumberFormat="1" applyFont="1" applyAlignment="1">
      <alignment horizontal="left" vertical="center"/>
    </xf>
    <xf numFmtId="10" fontId="5" fillId="0" borderId="0" xfId="0" applyNumberFormat="1" applyFont="1"/>
    <xf numFmtId="43" fontId="4" fillId="0" borderId="21" xfId="0" applyNumberFormat="1" applyFont="1" applyBorder="1"/>
    <xf numFmtId="0" fontId="5" fillId="0" borderId="0" xfId="0" applyFont="1" applyAlignment="1">
      <alignment horizontal="left"/>
    </xf>
    <xf numFmtId="182" fontId="4" fillId="0" borderId="0" xfId="0" applyNumberFormat="1" applyFont="1"/>
    <xf numFmtId="0" fontId="5" fillId="0" borderId="38" xfId="0" applyFont="1" applyBorder="1"/>
    <xf numFmtId="171" fontId="5" fillId="0" borderId="0" xfId="9" applyNumberFormat="1" applyFont="1" applyBorder="1" applyAlignment="1">
      <alignment horizontal="center"/>
    </xf>
    <xf numFmtId="10" fontId="19" fillId="0" borderId="1" xfId="1" applyNumberFormat="1" applyFont="1" applyFill="1" applyBorder="1" applyAlignment="1">
      <alignment horizontal="right"/>
    </xf>
    <xf numFmtId="176" fontId="19" fillId="3" borderId="1" xfId="3" applyNumberFormat="1" applyFont="1" applyFill="1" applyBorder="1" applyAlignment="1">
      <alignment horizontal="center"/>
    </xf>
    <xf numFmtId="0" fontId="4" fillId="0" borderId="19" xfId="0" applyFont="1" applyBorder="1" applyAlignment="1">
      <alignment vertical="center"/>
    </xf>
    <xf numFmtId="0" fontId="4" fillId="0" borderId="23" xfId="0" applyFont="1" applyBorder="1" applyAlignment="1">
      <alignment vertical="center"/>
    </xf>
    <xf numFmtId="0" fontId="4" fillId="0" borderId="19" xfId="0" applyFont="1" applyBorder="1"/>
    <xf numFmtId="0" fontId="4" fillId="0" borderId="59" xfId="0" applyFont="1" applyBorder="1" applyAlignment="1">
      <alignment vertical="center"/>
    </xf>
    <xf numFmtId="0" fontId="18" fillId="0" borderId="59" xfId="2" applyFont="1" applyBorder="1" applyAlignment="1">
      <alignment vertical="center" wrapText="1"/>
    </xf>
    <xf numFmtId="9" fontId="19" fillId="0" borderId="59" xfId="1" applyFont="1" applyBorder="1" applyAlignment="1">
      <alignment horizontal="left" vertical="center"/>
    </xf>
    <xf numFmtId="0" fontId="5" fillId="0" borderId="59" xfId="0" applyFont="1" applyBorder="1" applyAlignment="1">
      <alignment vertical="center" wrapText="1"/>
    </xf>
    <xf numFmtId="0" fontId="4" fillId="0" borderId="59" xfId="0" applyFont="1" applyBorder="1"/>
    <xf numFmtId="171" fontId="20" fillId="0" borderId="59" xfId="9" applyNumberFormat="1" applyFont="1" applyBorder="1" applyAlignment="1">
      <alignment horizontal="left" vertical="center"/>
    </xf>
    <xf numFmtId="176" fontId="20" fillId="0" borderId="59" xfId="0" applyNumberFormat="1" applyFont="1" applyBorder="1" applyAlignment="1">
      <alignment horizontal="center" vertical="center"/>
    </xf>
    <xf numFmtId="17" fontId="20" fillId="0" borderId="0" xfId="0" applyNumberFormat="1" applyFont="1" applyAlignment="1">
      <alignment horizontal="center" vertical="center"/>
    </xf>
    <xf numFmtId="0" fontId="5" fillId="0" borderId="38" xfId="0" applyFont="1" applyBorder="1" applyAlignment="1">
      <alignment wrapText="1"/>
    </xf>
    <xf numFmtId="10" fontId="19" fillId="0" borderId="59" xfId="1" applyNumberFormat="1" applyFont="1" applyFill="1" applyBorder="1" applyAlignment="1">
      <alignment horizontal="right"/>
    </xf>
    <xf numFmtId="0" fontId="4" fillId="0" borderId="58" xfId="0" applyFont="1" applyBorder="1" applyAlignment="1">
      <alignment horizontal="centerContinuous"/>
    </xf>
    <xf numFmtId="0" fontId="4" fillId="0" borderId="0" xfId="0" applyFont="1" applyAlignment="1">
      <alignment horizontal="center" vertical="center" wrapText="1"/>
    </xf>
    <xf numFmtId="0" fontId="5" fillId="0" borderId="25" xfId="0" applyFont="1" applyBorder="1" applyAlignment="1">
      <alignment horizontal="center" vertical="center" wrapText="1"/>
    </xf>
    <xf numFmtId="43" fontId="26" fillId="0" borderId="0" xfId="9" applyFont="1" applyFill="1" applyBorder="1" applyAlignment="1">
      <alignment horizontal="center" vertical="center"/>
    </xf>
    <xf numFmtId="0" fontId="18" fillId="0" borderId="0" xfId="0" applyFont="1" applyAlignment="1">
      <alignment horizontal="center" vertical="center"/>
    </xf>
    <xf numFmtId="181" fontId="18" fillId="0" borderId="0" xfId="0" applyNumberFormat="1" applyFont="1" applyAlignment="1">
      <alignment horizontal="center" vertical="center"/>
    </xf>
    <xf numFmtId="43" fontId="4" fillId="0" borderId="0" xfId="9" applyFont="1" applyAlignment="1">
      <alignment horizontal="center" vertical="center"/>
    </xf>
    <xf numFmtId="0" fontId="18" fillId="0" borderId="0" xfId="0" applyFont="1" applyAlignment="1">
      <alignment horizontal="center" vertical="center" wrapText="1"/>
    </xf>
    <xf numFmtId="15" fontId="4" fillId="0" borderId="0" xfId="9" applyNumberFormat="1" applyFont="1"/>
    <xf numFmtId="43" fontId="5" fillId="0" borderId="39" xfId="9" applyFont="1" applyBorder="1" applyAlignment="1">
      <alignment horizontal="center" vertical="center"/>
    </xf>
    <xf numFmtId="43" fontId="5" fillId="0" borderId="39" xfId="0" applyNumberFormat="1" applyFont="1" applyBorder="1"/>
    <xf numFmtId="9" fontId="4" fillId="0" borderId="0" xfId="9" applyNumberFormat="1" applyFont="1"/>
    <xf numFmtId="4" fontId="4" fillId="0" borderId="0" xfId="9" applyNumberFormat="1" applyFont="1"/>
    <xf numFmtId="4" fontId="4" fillId="0" borderId="0" xfId="0" applyNumberFormat="1" applyFont="1"/>
    <xf numFmtId="4" fontId="5" fillId="0" borderId="39" xfId="0" applyNumberFormat="1" applyFont="1" applyBorder="1"/>
    <xf numFmtId="3" fontId="27" fillId="0" borderId="0" xfId="0" applyNumberFormat="1" applyFont="1" applyAlignment="1">
      <alignment horizontal="center" vertical="center"/>
    </xf>
    <xf numFmtId="0" fontId="27" fillId="0" borderId="0" xfId="0" applyFont="1" applyAlignment="1">
      <alignment horizontal="center" vertical="center" wrapText="1"/>
    </xf>
    <xf numFmtId="0" fontId="27" fillId="0" borderId="0" xfId="0" applyFont="1" applyAlignment="1">
      <alignment horizontal="center" vertical="center"/>
    </xf>
    <xf numFmtId="3" fontId="27" fillId="0" borderId="0" xfId="0" applyNumberFormat="1" applyFont="1" applyAlignment="1">
      <alignment vertical="center"/>
    </xf>
    <xf numFmtId="0" fontId="3" fillId="4" borderId="47" xfId="0" applyFont="1" applyFill="1" applyBorder="1" applyAlignment="1">
      <alignment horizontal="left" vertical="center"/>
    </xf>
    <xf numFmtId="171" fontId="28" fillId="4" borderId="48" xfId="9" applyNumberFormat="1" applyFont="1" applyFill="1" applyBorder="1" applyAlignment="1">
      <alignment horizontal="left" vertical="center"/>
    </xf>
    <xf numFmtId="0" fontId="28" fillId="4" borderId="48" xfId="0" applyFont="1" applyFill="1" applyBorder="1" applyAlignment="1">
      <alignment horizontal="left" vertical="center"/>
    </xf>
    <xf numFmtId="0" fontId="28" fillId="4" borderId="49" xfId="0" applyFont="1" applyFill="1" applyBorder="1" applyAlignment="1">
      <alignment horizontal="center" vertical="center"/>
    </xf>
    <xf numFmtId="0" fontId="5" fillId="15" borderId="50" xfId="0" applyFont="1" applyFill="1" applyBorder="1" applyAlignment="1">
      <alignment horizontal="left" vertical="center"/>
    </xf>
    <xf numFmtId="171" fontId="5" fillId="15" borderId="0" xfId="9" applyNumberFormat="1" applyFont="1" applyFill="1" applyBorder="1" applyAlignment="1">
      <alignment horizontal="left" vertical="center"/>
    </xf>
    <xf numFmtId="0" fontId="5" fillId="15" borderId="0" xfId="0" applyFont="1" applyFill="1" applyAlignment="1">
      <alignment horizontal="left" vertical="center"/>
    </xf>
    <xf numFmtId="0" fontId="5" fillId="15" borderId="51" xfId="0" applyFont="1" applyFill="1" applyBorder="1" applyAlignment="1">
      <alignment horizontal="center" vertical="center"/>
    </xf>
    <xf numFmtId="0" fontId="4" fillId="0" borderId="50" xfId="0" applyFont="1" applyBorder="1" applyAlignment="1">
      <alignment horizontal="left" vertical="center"/>
    </xf>
    <xf numFmtId="43" fontId="4" fillId="0" borderId="0" xfId="9" applyFont="1" applyFill="1" applyBorder="1" applyAlignment="1">
      <alignment horizontal="center" vertical="center"/>
    </xf>
    <xf numFmtId="43" fontId="4" fillId="0" borderId="0" xfId="9" applyFont="1" applyBorder="1" applyAlignment="1">
      <alignment horizontal="center" vertical="center"/>
    </xf>
    <xf numFmtId="43" fontId="4" fillId="0" borderId="51" xfId="9" applyFont="1" applyBorder="1" applyAlignment="1">
      <alignment horizontal="center" vertical="center"/>
    </xf>
    <xf numFmtId="1" fontId="5" fillId="0" borderId="0" xfId="0" applyNumberFormat="1" applyFont="1" applyAlignment="1">
      <alignment horizontal="right" vertical="center"/>
    </xf>
    <xf numFmtId="1" fontId="4" fillId="0" borderId="0" xfId="0" applyNumberFormat="1" applyFont="1" applyAlignment="1">
      <alignment horizontal="right" vertical="center"/>
    </xf>
    <xf numFmtId="9" fontId="4" fillId="0" borderId="0" xfId="0" applyNumberFormat="1" applyFont="1" applyAlignment="1">
      <alignment horizontal="right" vertical="center"/>
    </xf>
    <xf numFmtId="0" fontId="13" fillId="9" borderId="50" xfId="0" applyFont="1" applyFill="1" applyBorder="1" applyAlignment="1">
      <alignment horizontal="left" vertical="center"/>
    </xf>
    <xf numFmtId="43" fontId="5" fillId="9" borderId="0" xfId="9" applyFont="1" applyFill="1" applyBorder="1" applyAlignment="1">
      <alignment horizontal="center" vertical="center"/>
    </xf>
    <xf numFmtId="43" fontId="5" fillId="9" borderId="51" xfId="9" applyFont="1" applyFill="1" applyBorder="1" applyAlignment="1">
      <alignment horizontal="center" vertical="center"/>
    </xf>
    <xf numFmtId="0" fontId="7" fillId="0" borderId="50" xfId="0" applyFont="1" applyBorder="1" applyAlignment="1">
      <alignment horizontal="left" vertical="center"/>
    </xf>
    <xf numFmtId="43" fontId="4" fillId="0" borderId="0" xfId="9" applyFont="1" applyAlignment="1">
      <alignment horizontal="left" vertical="center"/>
    </xf>
    <xf numFmtId="180" fontId="4" fillId="0" borderId="0" xfId="0" applyNumberFormat="1" applyFont="1"/>
    <xf numFmtId="0" fontId="3" fillId="4" borderId="55" xfId="0" applyFont="1" applyFill="1" applyBorder="1" applyAlignment="1">
      <alignment horizontal="left" vertical="center"/>
    </xf>
    <xf numFmtId="43" fontId="3" fillId="4" borderId="56" xfId="9" applyFont="1" applyFill="1" applyBorder="1" applyAlignment="1">
      <alignment horizontal="right" vertical="center"/>
    </xf>
    <xf numFmtId="43" fontId="3" fillId="4" borderId="56" xfId="9" applyFont="1" applyFill="1" applyBorder="1" applyAlignment="1">
      <alignment horizontal="center" vertical="center"/>
    </xf>
    <xf numFmtId="43" fontId="3" fillId="4" borderId="57" xfId="9" applyFont="1" applyFill="1" applyBorder="1" applyAlignment="1">
      <alignment horizontal="center" vertical="center"/>
    </xf>
    <xf numFmtId="171" fontId="4" fillId="0" borderId="0" xfId="9" applyNumberFormat="1" applyFont="1" applyBorder="1" applyAlignment="1">
      <alignment horizontal="left" vertical="center"/>
    </xf>
    <xf numFmtId="0" fontId="4" fillId="0" borderId="51" xfId="0" applyFont="1" applyBorder="1" applyAlignment="1">
      <alignment horizontal="center" vertical="center"/>
    </xf>
    <xf numFmtId="0" fontId="3" fillId="4" borderId="50" xfId="0" applyFont="1" applyFill="1" applyBorder="1" applyAlignment="1">
      <alignment horizontal="left" vertical="center"/>
    </xf>
    <xf numFmtId="0" fontId="3" fillId="4" borderId="51" xfId="0" applyFont="1" applyFill="1" applyBorder="1" applyAlignment="1">
      <alignment horizontal="center" vertical="center"/>
    </xf>
    <xf numFmtId="0" fontId="15" fillId="0" borderId="50" xfId="0" applyFont="1" applyBorder="1" applyAlignment="1">
      <alignment horizontal="left" vertical="center"/>
    </xf>
    <xf numFmtId="4" fontId="4" fillId="0" borderId="0" xfId="1" applyNumberFormat="1" applyFont="1" applyAlignment="1">
      <alignment horizontal="left" vertical="center"/>
    </xf>
    <xf numFmtId="0" fontId="5" fillId="0" borderId="52" xfId="0" applyFont="1" applyBorder="1" applyAlignment="1">
      <alignment horizontal="left" vertical="center"/>
    </xf>
    <xf numFmtId="43" fontId="5" fillId="0" borderId="53" xfId="9" applyFont="1" applyBorder="1" applyAlignment="1">
      <alignment horizontal="center" vertical="center"/>
    </xf>
    <xf numFmtId="43" fontId="5" fillId="0" borderId="54" xfId="9" applyFont="1" applyBorder="1" applyAlignment="1">
      <alignment horizontal="center" vertical="center"/>
    </xf>
    <xf numFmtId="179" fontId="4" fillId="0" borderId="0" xfId="9" applyNumberFormat="1" applyFont="1" applyAlignment="1">
      <alignment horizontal="left" vertical="center"/>
    </xf>
    <xf numFmtId="0" fontId="5" fillId="0" borderId="0" xfId="0" applyFont="1" applyAlignment="1">
      <alignment horizontal="centerContinuous"/>
    </xf>
    <xf numFmtId="0" fontId="4" fillId="0" borderId="0" xfId="0" applyFont="1" applyAlignment="1">
      <alignment horizontal="centerContinuous"/>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40" xfId="0" applyFont="1" applyFill="1" applyBorder="1" applyAlignment="1">
      <alignment horizontal="center" vertical="center" wrapText="1"/>
    </xf>
    <xf numFmtId="171" fontId="4" fillId="0" borderId="0" xfId="9" applyNumberFormat="1" applyFont="1" applyBorder="1"/>
    <xf numFmtId="43" fontId="4" fillId="0" borderId="19" xfId="9" applyFont="1" applyBorder="1"/>
    <xf numFmtId="43" fontId="4" fillId="0" borderId="23" xfId="0" applyNumberFormat="1" applyFont="1" applyBorder="1"/>
    <xf numFmtId="43" fontId="4" fillId="0" borderId="19" xfId="0" applyNumberFormat="1" applyFont="1" applyBorder="1"/>
    <xf numFmtId="43" fontId="4" fillId="0" borderId="23" xfId="9" applyFont="1" applyBorder="1"/>
    <xf numFmtId="171" fontId="5" fillId="0" borderId="39" xfId="0" applyNumberFormat="1" applyFont="1" applyBorder="1"/>
    <xf numFmtId="43" fontId="5" fillId="0" borderId="38" xfId="0" applyNumberFormat="1" applyFont="1" applyBorder="1"/>
    <xf numFmtId="43" fontId="5" fillId="0" borderId="40" xfId="0" applyNumberFormat="1" applyFont="1" applyBorder="1"/>
    <xf numFmtId="43" fontId="5" fillId="0" borderId="59" xfId="0" applyNumberFormat="1" applyFont="1" applyBorder="1"/>
    <xf numFmtId="0" fontId="7" fillId="0" borderId="0" xfId="0" applyFont="1"/>
    <xf numFmtId="169" fontId="5" fillId="0" borderId="0" xfId="0" applyNumberFormat="1" applyFont="1"/>
    <xf numFmtId="0" fontId="3" fillId="2" borderId="0" xfId="0" applyFont="1" applyFill="1" applyAlignment="1">
      <alignment horizontal="center" vertical="center"/>
    </xf>
    <xf numFmtId="17" fontId="3" fillId="2" borderId="0" xfId="0" applyNumberFormat="1" applyFont="1" applyFill="1" applyAlignment="1">
      <alignment horizontal="center" vertical="center"/>
    </xf>
    <xf numFmtId="17" fontId="3" fillId="2" borderId="0" xfId="0" applyNumberFormat="1" applyFont="1" applyFill="1" applyAlignment="1">
      <alignment horizontal="center" vertical="center" wrapText="1"/>
    </xf>
    <xf numFmtId="15" fontId="3" fillId="2" borderId="0" xfId="0" applyNumberFormat="1" applyFont="1" applyFill="1" applyAlignment="1">
      <alignment horizontal="center" vertical="center"/>
    </xf>
    <xf numFmtId="43" fontId="5" fillId="0" borderId="0" xfId="9" applyFont="1" applyFill="1" applyBorder="1"/>
    <xf numFmtId="43" fontId="4" fillId="0" borderId="0" xfId="9" applyFont="1" applyBorder="1"/>
    <xf numFmtId="43" fontId="5" fillId="0" borderId="0" xfId="9" applyFont="1" applyBorder="1"/>
    <xf numFmtId="43" fontId="5" fillId="14" borderId="0" xfId="9" applyFont="1" applyFill="1" applyBorder="1"/>
    <xf numFmtId="43" fontId="4" fillId="14" borderId="0" xfId="9" applyFont="1" applyFill="1" applyBorder="1"/>
    <xf numFmtId="0" fontId="29" fillId="0" borderId="0" xfId="0" applyFont="1"/>
    <xf numFmtId="43" fontId="4" fillId="0" borderId="0" xfId="9" applyFont="1" applyBorder="1" applyAlignment="1"/>
    <xf numFmtId="43" fontId="4" fillId="0" borderId="0" xfId="9" applyFont="1" applyFill="1" applyBorder="1" applyAlignment="1"/>
    <xf numFmtId="43" fontId="4" fillId="17" borderId="0" xfId="9" applyFont="1" applyFill="1" applyBorder="1"/>
    <xf numFmtId="0" fontId="5" fillId="10" borderId="0" xfId="0" applyFont="1" applyFill="1"/>
    <xf numFmtId="43" fontId="5" fillId="10" borderId="0" xfId="9" applyFont="1" applyFill="1" applyBorder="1"/>
    <xf numFmtId="43" fontId="4" fillId="10" borderId="0" xfId="9" applyFont="1" applyFill="1" applyBorder="1"/>
    <xf numFmtId="171" fontId="5" fillId="0" borderId="0" xfId="9" applyNumberFormat="1" applyFont="1" applyBorder="1"/>
    <xf numFmtId="43" fontId="4" fillId="0" borderId="0" xfId="9" applyFont="1" applyFill="1" applyBorder="1"/>
    <xf numFmtId="43" fontId="5" fillId="7" borderId="0" xfId="9" applyFont="1" applyFill="1" applyBorder="1"/>
    <xf numFmtId="43" fontId="5" fillId="0" borderId="0" xfId="9" applyFont="1"/>
    <xf numFmtId="177" fontId="4" fillId="0" borderId="0" xfId="0" applyNumberFormat="1" applyFont="1"/>
    <xf numFmtId="1" fontId="5" fillId="0" borderId="0" xfId="0" applyNumberFormat="1" applyFont="1"/>
    <xf numFmtId="43" fontId="5" fillId="12" borderId="0" xfId="9" applyFont="1" applyFill="1" applyBorder="1"/>
    <xf numFmtId="0" fontId="26" fillId="0" borderId="0" xfId="0" applyFont="1"/>
    <xf numFmtId="10" fontId="17" fillId="0" borderId="0" xfId="1" applyNumberFormat="1" applyFont="1" applyFill="1" applyBorder="1" applyAlignment="1">
      <alignment vertical="center"/>
    </xf>
    <xf numFmtId="171" fontId="4" fillId="0" borderId="0" xfId="9" applyNumberFormat="1" applyFont="1" applyFill="1" applyBorder="1"/>
    <xf numFmtId="171" fontId="26" fillId="0" borderId="0" xfId="9" applyNumberFormat="1" applyFont="1" applyBorder="1"/>
    <xf numFmtId="0" fontId="7" fillId="0" borderId="0" xfId="0" applyFont="1" applyAlignment="1">
      <alignment horizontal="right"/>
    </xf>
    <xf numFmtId="43" fontId="4" fillId="12" borderId="0" xfId="0" applyNumberFormat="1" applyFont="1" applyFill="1"/>
    <xf numFmtId="43" fontId="26" fillId="0" borderId="0" xfId="9" applyFont="1" applyBorder="1"/>
    <xf numFmtId="9" fontId="4" fillId="12" borderId="0" xfId="1" applyFont="1" applyFill="1" applyBorder="1"/>
    <xf numFmtId="9" fontId="26" fillId="0" borderId="0" xfId="1" applyFont="1" applyBorder="1"/>
    <xf numFmtId="0" fontId="5" fillId="0" borderId="0" xfId="0" applyFont="1" applyAlignment="1">
      <alignment horizontal="right"/>
    </xf>
    <xf numFmtId="171" fontId="5" fillId="0" borderId="0" xfId="9" applyNumberFormat="1" applyFont="1" applyFill="1" applyBorder="1"/>
    <xf numFmtId="0" fontId="30" fillId="0" borderId="0" xfId="0" applyFont="1" applyAlignment="1">
      <alignment horizontal="left"/>
    </xf>
    <xf numFmtId="0" fontId="3" fillId="2" borderId="20" xfId="0" applyFont="1" applyFill="1" applyBorder="1" applyAlignment="1">
      <alignment horizontal="center" vertical="center"/>
    </xf>
    <xf numFmtId="17" fontId="3" fillId="2" borderId="21" xfId="0" applyNumberFormat="1" applyFont="1" applyFill="1" applyBorder="1" applyAlignment="1">
      <alignment horizontal="center" vertical="center" wrapText="1"/>
    </xf>
    <xf numFmtId="0" fontId="5" fillId="0" borderId="19" xfId="0" applyFont="1" applyBorder="1"/>
    <xf numFmtId="0" fontId="5" fillId="10" borderId="19" xfId="0" applyFont="1" applyFill="1" applyBorder="1"/>
    <xf numFmtId="0" fontId="5" fillId="0" borderId="24" xfId="0" applyFont="1" applyBorder="1"/>
    <xf numFmtId="0" fontId="5" fillId="0" borderId="25" xfId="0" applyFont="1" applyBorder="1"/>
    <xf numFmtId="0" fontId="4" fillId="0" borderId="25" xfId="0" applyFont="1" applyBorder="1"/>
    <xf numFmtId="183" fontId="4" fillId="0" borderId="25" xfId="0" applyNumberFormat="1" applyFont="1" applyBorder="1"/>
    <xf numFmtId="0" fontId="5" fillId="9" borderId="19" xfId="0" applyFont="1" applyFill="1" applyBorder="1"/>
    <xf numFmtId="43" fontId="5" fillId="9" borderId="0" xfId="9" applyFont="1" applyFill="1" applyBorder="1"/>
    <xf numFmtId="43" fontId="5" fillId="9" borderId="0" xfId="0" applyNumberFormat="1" applyFont="1" applyFill="1"/>
    <xf numFmtId="0" fontId="5" fillId="9" borderId="24" xfId="0" applyFont="1" applyFill="1" applyBorder="1"/>
    <xf numFmtId="0" fontId="4" fillId="9" borderId="25" xfId="0" applyFont="1" applyFill="1" applyBorder="1"/>
    <xf numFmtId="10" fontId="6" fillId="9" borderId="25" xfId="1" applyNumberFormat="1" applyFont="1" applyFill="1" applyBorder="1"/>
    <xf numFmtId="0" fontId="4" fillId="7" borderId="0" xfId="0" applyFont="1" applyFill="1"/>
    <xf numFmtId="0" fontId="4" fillId="10" borderId="19" xfId="0" applyFont="1" applyFill="1" applyBorder="1"/>
    <xf numFmtId="0" fontId="3" fillId="4" borderId="14" xfId="2" applyFont="1" applyFill="1" applyBorder="1" applyAlignment="1">
      <alignment vertical="center"/>
    </xf>
    <xf numFmtId="0" fontId="4" fillId="4" borderId="14" xfId="0" applyFont="1" applyFill="1" applyBorder="1" applyAlignment="1">
      <alignment vertical="center"/>
    </xf>
    <xf numFmtId="0" fontId="4" fillId="0" borderId="14" xfId="0" applyFont="1" applyBorder="1" applyAlignment="1">
      <alignment vertical="center"/>
    </xf>
    <xf numFmtId="0" fontId="4" fillId="0" borderId="14" xfId="0" applyFont="1" applyBorder="1" applyAlignment="1">
      <alignment horizontal="center" vertical="center"/>
    </xf>
    <xf numFmtId="10" fontId="4" fillId="0" borderId="14" xfId="0" applyNumberFormat="1" applyFont="1" applyBorder="1" applyAlignment="1">
      <alignment vertical="center"/>
    </xf>
    <xf numFmtId="15" fontId="4" fillId="0" borderId="14" xfId="0" applyNumberFormat="1" applyFont="1" applyBorder="1" applyAlignment="1">
      <alignment vertical="center"/>
    </xf>
    <xf numFmtId="10" fontId="5" fillId="3" borderId="14" xfId="1" applyNumberFormat="1" applyFont="1" applyFill="1" applyBorder="1" applyAlignment="1">
      <alignment vertical="center"/>
    </xf>
    <xf numFmtId="164" fontId="4" fillId="0" borderId="0" xfId="0" applyNumberFormat="1" applyFont="1" applyAlignment="1">
      <alignment vertical="center"/>
    </xf>
    <xf numFmtId="0" fontId="5" fillId="0" borderId="14" xfId="0" applyFont="1" applyBorder="1" applyAlignment="1">
      <alignment vertical="center"/>
    </xf>
    <xf numFmtId="43" fontId="4" fillId="0" borderId="0" xfId="0" applyNumberFormat="1" applyFont="1" applyAlignment="1">
      <alignment vertical="center"/>
    </xf>
    <xf numFmtId="43" fontId="5" fillId="0" borderId="14" xfId="9" applyFont="1" applyFill="1" applyBorder="1" applyAlignment="1">
      <alignment vertical="center"/>
    </xf>
    <xf numFmtId="169" fontId="3" fillId="4" borderId="14" xfId="0" applyNumberFormat="1" applyFont="1" applyFill="1" applyBorder="1" applyAlignment="1">
      <alignment horizontal="right" vertical="center"/>
    </xf>
    <xf numFmtId="15" fontId="3" fillId="4" borderId="14" xfId="0" applyNumberFormat="1" applyFont="1" applyFill="1" applyBorder="1" applyAlignment="1">
      <alignment horizontal="right" vertical="center"/>
    </xf>
    <xf numFmtId="0" fontId="3" fillId="4" borderId="14" xfId="0" applyFont="1" applyFill="1" applyBorder="1" applyAlignment="1">
      <alignment horizontal="right" vertical="center"/>
    </xf>
    <xf numFmtId="0" fontId="5" fillId="0" borderId="14" xfId="0" applyFont="1" applyBorder="1" applyAlignment="1">
      <alignment horizontal="center" vertical="center"/>
    </xf>
    <xf numFmtId="170" fontId="4" fillId="0" borderId="14" xfId="0" applyNumberFormat="1" applyFont="1" applyBorder="1" applyAlignment="1">
      <alignment vertical="center"/>
    </xf>
    <xf numFmtId="43" fontId="5" fillId="3" borderId="14" xfId="9" applyFont="1" applyFill="1" applyBorder="1" applyAlignment="1">
      <alignment vertical="center"/>
    </xf>
    <xf numFmtId="0" fontId="5" fillId="3" borderId="14" xfId="0" applyFont="1" applyFill="1" applyBorder="1" applyAlignment="1">
      <alignment vertical="center"/>
    </xf>
    <xf numFmtId="43" fontId="4" fillId="0" borderId="14" xfId="9" applyFont="1" applyBorder="1" applyAlignment="1">
      <alignment vertical="center"/>
    </xf>
    <xf numFmtId="0" fontId="4" fillId="0" borderId="14" xfId="3" applyNumberFormat="1" applyFont="1" applyBorder="1" applyAlignment="1">
      <alignment vertical="center"/>
    </xf>
    <xf numFmtId="43" fontId="5" fillId="0" borderId="14" xfId="9" applyFont="1" applyBorder="1" applyAlignment="1">
      <alignment vertical="center"/>
    </xf>
    <xf numFmtId="165" fontId="4" fillId="0" borderId="14" xfId="3" applyFont="1" applyBorder="1" applyAlignment="1">
      <alignment vertical="center"/>
    </xf>
    <xf numFmtId="170" fontId="5" fillId="0" borderId="14" xfId="0" applyNumberFormat="1" applyFont="1" applyBorder="1" applyAlignment="1">
      <alignment vertical="center"/>
    </xf>
    <xf numFmtId="0" fontId="7" fillId="0" borderId="14" xfId="0" applyFont="1" applyBorder="1" applyAlignment="1">
      <alignment vertical="center"/>
    </xf>
    <xf numFmtId="43" fontId="7" fillId="0" borderId="14" xfId="9" applyFont="1" applyBorder="1" applyAlignment="1">
      <alignment vertical="center"/>
    </xf>
    <xf numFmtId="170" fontId="7" fillId="0" borderId="14" xfId="0" applyNumberFormat="1" applyFont="1" applyBorder="1" applyAlignment="1">
      <alignment vertical="center"/>
    </xf>
    <xf numFmtId="0" fontId="6" fillId="0" borderId="14" xfId="0" applyFont="1" applyBorder="1" applyAlignment="1">
      <alignment vertical="center"/>
    </xf>
    <xf numFmtId="43" fontId="6" fillId="0" borderId="14" xfId="9" applyFont="1" applyBorder="1" applyAlignment="1">
      <alignment vertical="center"/>
    </xf>
    <xf numFmtId="165" fontId="6" fillId="0" borderId="14" xfId="9" applyNumberFormat="1" applyFont="1" applyBorder="1" applyAlignment="1">
      <alignment vertical="center"/>
    </xf>
    <xf numFmtId="0" fontId="3" fillId="4" borderId="14" xfId="0" applyFont="1" applyFill="1" applyBorder="1" applyAlignment="1">
      <alignment horizontal="left" vertical="center"/>
    </xf>
    <xf numFmtId="184" fontId="6" fillId="0" borderId="14" xfId="0" applyNumberFormat="1" applyFont="1" applyBorder="1" applyAlignment="1">
      <alignment vertical="center"/>
    </xf>
    <xf numFmtId="170" fontId="6" fillId="0" borderId="14" xfId="0" applyNumberFormat="1" applyFont="1" applyBorder="1" applyAlignment="1">
      <alignment vertical="center"/>
    </xf>
    <xf numFmtId="10" fontId="4" fillId="0" borderId="0" xfId="0" applyNumberFormat="1" applyFont="1" applyAlignment="1">
      <alignment vertical="center"/>
    </xf>
    <xf numFmtId="0" fontId="13" fillId="0" borderId="0" xfId="0" applyFont="1" applyAlignment="1">
      <alignment vertical="center"/>
    </xf>
    <xf numFmtId="0" fontId="5" fillId="11" borderId="0" xfId="0" applyFont="1" applyFill="1" applyAlignment="1">
      <alignment horizontal="center" vertical="center"/>
    </xf>
    <xf numFmtId="0" fontId="31" fillId="0" borderId="0" xfId="0" applyFont="1" applyAlignment="1">
      <alignment vertical="center"/>
    </xf>
    <xf numFmtId="165" fontId="5" fillId="0" borderId="0" xfId="3" applyFont="1" applyAlignment="1">
      <alignment vertical="center"/>
    </xf>
    <xf numFmtId="176" fontId="26" fillId="0" borderId="14" xfId="3" applyNumberFormat="1" applyFont="1" applyFill="1" applyBorder="1" applyAlignment="1">
      <alignment horizontal="center" vertical="center"/>
    </xf>
    <xf numFmtId="166" fontId="5" fillId="0" borderId="0" xfId="3" applyNumberFormat="1" applyFont="1" applyAlignment="1">
      <alignment vertical="center"/>
    </xf>
    <xf numFmtId="166" fontId="5" fillId="12" borderId="0" xfId="3" applyNumberFormat="1" applyFont="1" applyFill="1" applyAlignment="1">
      <alignment vertical="center"/>
    </xf>
    <xf numFmtId="165" fontId="5" fillId="0" borderId="0" xfId="3" applyFont="1" applyFill="1" applyAlignment="1">
      <alignment vertical="center"/>
    </xf>
    <xf numFmtId="165" fontId="5" fillId="13" borderId="0" xfId="3" applyFont="1" applyFill="1" applyAlignment="1">
      <alignment vertical="center"/>
    </xf>
    <xf numFmtId="177" fontId="4" fillId="0" borderId="0" xfId="9" applyNumberFormat="1" applyFont="1" applyAlignment="1">
      <alignment vertical="center"/>
    </xf>
    <xf numFmtId="171" fontId="4" fillId="0" borderId="0" xfId="0" applyNumberFormat="1" applyFont="1" applyAlignment="1">
      <alignment vertical="center"/>
    </xf>
    <xf numFmtId="0" fontId="5" fillId="0" borderId="0" xfId="0" applyFont="1" applyAlignment="1">
      <alignment vertical="center"/>
    </xf>
    <xf numFmtId="171" fontId="5" fillId="0" borderId="0" xfId="0" applyNumberFormat="1" applyFont="1" applyAlignment="1">
      <alignment vertical="center"/>
    </xf>
    <xf numFmtId="171" fontId="4" fillId="0" borderId="0" xfId="9" applyNumberFormat="1" applyFont="1" applyAlignment="1">
      <alignment vertical="center"/>
    </xf>
    <xf numFmtId="0" fontId="5" fillId="0" borderId="27" xfId="0" applyFont="1" applyBorder="1" applyAlignment="1">
      <alignment vertical="center"/>
    </xf>
    <xf numFmtId="0" fontId="5" fillId="0" borderId="20" xfId="0" applyFont="1" applyBorder="1" applyAlignment="1">
      <alignment vertical="center"/>
    </xf>
    <xf numFmtId="0" fontId="4" fillId="0" borderId="21" xfId="0" applyFont="1" applyBorder="1" applyAlignment="1">
      <alignment vertical="center"/>
    </xf>
    <xf numFmtId="15" fontId="5" fillId="0" borderId="21" xfId="0" applyNumberFormat="1" applyFont="1" applyBorder="1" applyAlignment="1">
      <alignment vertical="center"/>
    </xf>
    <xf numFmtId="15" fontId="5" fillId="0" borderId="22" xfId="0" applyNumberFormat="1" applyFont="1" applyBorder="1" applyAlignment="1">
      <alignment vertical="center"/>
    </xf>
    <xf numFmtId="0" fontId="5" fillId="0" borderId="19" xfId="0" applyFont="1" applyBorder="1" applyAlignment="1">
      <alignment vertical="center"/>
    </xf>
    <xf numFmtId="15" fontId="5" fillId="0" borderId="0" xfId="0" applyNumberFormat="1" applyFont="1" applyAlignment="1">
      <alignment vertical="center"/>
    </xf>
    <xf numFmtId="15" fontId="5" fillId="0" borderId="23" xfId="0" applyNumberFormat="1" applyFont="1" applyBorder="1" applyAlignment="1">
      <alignment vertical="center"/>
    </xf>
    <xf numFmtId="0" fontId="7" fillId="0" borderId="61" xfId="0" applyFont="1" applyBorder="1" applyAlignment="1">
      <alignment vertical="center"/>
    </xf>
    <xf numFmtId="43" fontId="4" fillId="0" borderId="0" xfId="9" applyFont="1" applyBorder="1" applyAlignment="1">
      <alignment vertical="center"/>
    </xf>
    <xf numFmtId="43" fontId="4" fillId="0" borderId="23" xfId="0" applyNumberFormat="1" applyFont="1" applyBorder="1" applyAlignment="1">
      <alignment vertical="center"/>
    </xf>
    <xf numFmtId="0" fontId="6" fillId="0" borderId="61" xfId="0" applyFont="1" applyBorder="1" applyAlignment="1">
      <alignment vertical="center"/>
    </xf>
    <xf numFmtId="43" fontId="5" fillId="0" borderId="0" xfId="0" applyNumberFormat="1" applyFont="1" applyAlignment="1">
      <alignment vertical="center"/>
    </xf>
    <xf numFmtId="43" fontId="4" fillId="0" borderId="23" xfId="9" applyFont="1" applyBorder="1" applyAlignment="1">
      <alignment vertical="center"/>
    </xf>
    <xf numFmtId="0" fontId="5" fillId="0" borderId="24" xfId="0" applyFont="1" applyBorder="1" applyAlignment="1">
      <alignment vertical="center"/>
    </xf>
    <xf numFmtId="0" fontId="4" fillId="0" borderId="25" xfId="0" applyFont="1" applyBorder="1" applyAlignment="1">
      <alignment vertical="center"/>
    </xf>
    <xf numFmtId="43" fontId="5" fillId="0" borderId="25" xfId="0" applyNumberFormat="1" applyFont="1" applyBorder="1" applyAlignment="1">
      <alignment vertical="center"/>
    </xf>
    <xf numFmtId="43" fontId="4" fillId="0" borderId="25" xfId="9" applyFont="1" applyBorder="1" applyAlignment="1">
      <alignment vertical="center"/>
    </xf>
    <xf numFmtId="43" fontId="4" fillId="0" borderId="26" xfId="9" applyFont="1" applyBorder="1" applyAlignment="1">
      <alignment vertical="center"/>
    </xf>
    <xf numFmtId="0" fontId="3" fillId="4" borderId="20" xfId="2" applyFont="1" applyFill="1" applyBorder="1" applyAlignment="1">
      <alignment vertical="center"/>
    </xf>
    <xf numFmtId="0" fontId="4" fillId="0" borderId="22" xfId="0" applyFont="1" applyBorder="1" applyAlignment="1">
      <alignment vertical="center"/>
    </xf>
    <xf numFmtId="15" fontId="18" fillId="0" borderId="39" xfId="0" applyNumberFormat="1" applyFont="1" applyBorder="1"/>
    <xf numFmtId="15" fontId="18" fillId="0" borderId="40" xfId="0" applyNumberFormat="1" applyFont="1" applyBorder="1"/>
    <xf numFmtId="0" fontId="4" fillId="0" borderId="19" xfId="0" applyFont="1" applyBorder="1" applyAlignment="1">
      <alignment wrapText="1"/>
    </xf>
    <xf numFmtId="0" fontId="4" fillId="0" borderId="0" xfId="0" applyFont="1" applyAlignment="1">
      <alignment wrapText="1"/>
    </xf>
    <xf numFmtId="2" fontId="4" fillId="0" borderId="23" xfId="0" applyNumberFormat="1" applyFont="1" applyBorder="1"/>
    <xf numFmtId="0" fontId="4" fillId="0" borderId="23" xfId="0" applyFont="1" applyBorder="1"/>
    <xf numFmtId="0" fontId="5" fillId="0" borderId="25" xfId="0" applyFont="1" applyBorder="1" applyAlignment="1">
      <alignment vertical="center"/>
    </xf>
    <xf numFmtId="43" fontId="5" fillId="9" borderId="25" xfId="0" applyNumberFormat="1" applyFont="1" applyFill="1" applyBorder="1" applyAlignment="1">
      <alignment vertical="center"/>
    </xf>
    <xf numFmtId="43" fontId="4" fillId="0" borderId="25" xfId="0" applyNumberFormat="1" applyFont="1" applyBorder="1"/>
    <xf numFmtId="0" fontId="4" fillId="0" borderId="26" xfId="0" applyFont="1" applyBorder="1"/>
    <xf numFmtId="0" fontId="5" fillId="0" borderId="38" xfId="0" applyFont="1" applyBorder="1" applyAlignment="1">
      <alignment horizontal="left" vertical="center"/>
    </xf>
    <xf numFmtId="0" fontId="4" fillId="0" borderId="39" xfId="0" applyFont="1" applyBorder="1" applyAlignment="1">
      <alignment horizontal="center" vertical="center"/>
    </xf>
    <xf numFmtId="15" fontId="5" fillId="0" borderId="39" xfId="0" applyNumberFormat="1" applyFont="1" applyBorder="1" applyAlignment="1">
      <alignment horizontal="center" vertical="center"/>
    </xf>
    <xf numFmtId="15" fontId="5" fillId="0" borderId="40" xfId="0" applyNumberFormat="1" applyFont="1" applyBorder="1" applyAlignment="1">
      <alignment horizontal="center" vertical="center"/>
    </xf>
    <xf numFmtId="15" fontId="32" fillId="0" borderId="0" xfId="0" applyNumberFormat="1" applyFont="1" applyAlignment="1">
      <alignment horizontal="center" vertical="center"/>
    </xf>
    <xf numFmtId="15" fontId="5" fillId="0" borderId="0" xfId="0" applyNumberFormat="1" applyFont="1" applyAlignment="1">
      <alignment horizontal="center" vertical="center"/>
    </xf>
    <xf numFmtId="15" fontId="5" fillId="0" borderId="23" xfId="0" applyNumberFormat="1" applyFont="1" applyBorder="1" applyAlignment="1">
      <alignment horizontal="center" vertical="center"/>
    </xf>
    <xf numFmtId="43" fontId="4" fillId="0" borderId="23" xfId="0" applyNumberFormat="1" applyFont="1" applyBorder="1" applyAlignment="1">
      <alignment horizontal="center" vertical="center"/>
    </xf>
    <xf numFmtId="0" fontId="4" fillId="0" borderId="23" xfId="0" applyFont="1" applyBorder="1" applyAlignment="1">
      <alignment horizontal="center" vertical="center"/>
    </xf>
    <xf numFmtId="0" fontId="5" fillId="0" borderId="24" xfId="0" applyFont="1" applyBorder="1" applyAlignment="1">
      <alignment horizontal="left" vertical="center"/>
    </xf>
    <xf numFmtId="0" fontId="5" fillId="0" borderId="25" xfId="0" applyFont="1" applyBorder="1" applyAlignment="1">
      <alignment horizontal="center" vertical="center"/>
    </xf>
    <xf numFmtId="43" fontId="5" fillId="0" borderId="25" xfId="0" applyNumberFormat="1" applyFont="1" applyBorder="1" applyAlignment="1">
      <alignment horizontal="center" vertical="center"/>
    </xf>
    <xf numFmtId="43" fontId="5" fillId="0" borderId="26" xfId="0" applyNumberFormat="1" applyFont="1" applyBorder="1" applyAlignment="1">
      <alignment horizontal="center" vertical="center"/>
    </xf>
    <xf numFmtId="43" fontId="5" fillId="0" borderId="0" xfId="0" applyNumberFormat="1" applyFont="1" applyAlignment="1">
      <alignment horizontal="center" vertical="center"/>
    </xf>
    <xf numFmtId="0" fontId="4" fillId="0" borderId="20" xfId="0" applyFont="1" applyBorder="1" applyAlignment="1">
      <alignment horizontal="left" vertical="center"/>
    </xf>
    <xf numFmtId="43" fontId="33" fillId="0" borderId="21" xfId="9" applyFont="1" applyBorder="1" applyAlignment="1">
      <alignment horizontal="center" vertical="center"/>
    </xf>
    <xf numFmtId="43" fontId="4" fillId="0" borderId="21" xfId="9" applyFont="1" applyBorder="1" applyAlignment="1">
      <alignment horizontal="center" vertical="center"/>
    </xf>
    <xf numFmtId="43" fontId="4" fillId="0" borderId="22" xfId="9" applyFont="1" applyBorder="1" applyAlignment="1">
      <alignment horizontal="center" vertical="center"/>
    </xf>
    <xf numFmtId="43" fontId="33" fillId="0" borderId="0" xfId="9" applyFont="1" applyBorder="1" applyAlignment="1">
      <alignment horizontal="center" vertical="center"/>
    </xf>
    <xf numFmtId="43" fontId="4" fillId="0" borderId="23" xfId="9" applyFont="1" applyBorder="1" applyAlignment="1">
      <alignment horizontal="center" vertical="center"/>
    </xf>
    <xf numFmtId="43" fontId="5" fillId="0" borderId="0" xfId="9" applyFont="1" applyBorder="1" applyAlignment="1">
      <alignment horizontal="center" vertical="center"/>
    </xf>
    <xf numFmtId="43" fontId="4" fillId="0" borderId="25" xfId="9" applyFont="1" applyBorder="1" applyAlignment="1">
      <alignment horizontal="center" vertical="center"/>
    </xf>
    <xf numFmtId="43" fontId="4" fillId="0" borderId="26" xfId="9" applyFont="1" applyBorder="1" applyAlignment="1">
      <alignment horizontal="center" vertical="center"/>
    </xf>
    <xf numFmtId="0" fontId="4" fillId="0" borderId="21" xfId="0" applyFont="1" applyBorder="1" applyAlignment="1">
      <alignment horizontal="center" vertical="center"/>
    </xf>
    <xf numFmtId="171" fontId="4" fillId="0" borderId="21" xfId="9" applyNumberFormat="1" applyFont="1" applyBorder="1" applyAlignment="1">
      <alignment horizontal="center" vertical="center"/>
    </xf>
    <xf numFmtId="171" fontId="4" fillId="0" borderId="22" xfId="9" applyNumberFormat="1" applyFont="1" applyBorder="1" applyAlignment="1">
      <alignment horizontal="center" vertical="center"/>
    </xf>
    <xf numFmtId="9" fontId="4" fillId="0" borderId="0" xfId="1" applyFont="1" applyBorder="1" applyAlignment="1">
      <alignment horizontal="center" vertical="center"/>
    </xf>
    <xf numFmtId="9" fontId="4" fillId="0" borderId="23" xfId="1" applyFont="1" applyBorder="1" applyAlignment="1">
      <alignment horizontal="center" vertical="center"/>
    </xf>
    <xf numFmtId="10" fontId="4" fillId="0" borderId="23" xfId="0" applyNumberFormat="1" applyFont="1" applyBorder="1" applyAlignment="1">
      <alignment horizontal="center" vertical="center"/>
    </xf>
    <xf numFmtId="0" fontId="4" fillId="0" borderId="19" xfId="0" applyFont="1" applyBorder="1" applyAlignment="1">
      <alignment horizontal="left" vertical="center" wrapText="1"/>
    </xf>
    <xf numFmtId="43" fontId="5" fillId="0" borderId="0" xfId="9" applyFont="1" applyAlignment="1">
      <alignment horizontal="center" vertical="center"/>
    </xf>
    <xf numFmtId="10" fontId="5" fillId="0" borderId="0" xfId="0" applyNumberFormat="1" applyFont="1" applyAlignment="1">
      <alignment horizontal="right" vertical="center"/>
    </xf>
    <xf numFmtId="0" fontId="4" fillId="0" borderId="20" xfId="0" applyFont="1" applyBorder="1" applyAlignment="1">
      <alignment horizontal="center" vertical="center"/>
    </xf>
    <xf numFmtId="0" fontId="4" fillId="0" borderId="19" xfId="0" applyFont="1" applyBorder="1" applyAlignment="1">
      <alignment horizontal="center" vertical="center"/>
    </xf>
    <xf numFmtId="0" fontId="5" fillId="0" borderId="39" xfId="0" applyFont="1" applyBorder="1" applyAlignment="1">
      <alignment horizontal="center" vertical="center"/>
    </xf>
    <xf numFmtId="43" fontId="5" fillId="0" borderId="40" xfId="9" applyFont="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0" borderId="22" xfId="0" applyFont="1" applyBorder="1" applyAlignment="1">
      <alignment horizontal="center" vertical="center"/>
    </xf>
    <xf numFmtId="43" fontId="7" fillId="0" borderId="0" xfId="0" applyNumberFormat="1" applyFont="1" applyAlignment="1">
      <alignment horizontal="center" vertical="center"/>
    </xf>
    <xf numFmtId="0" fontId="4" fillId="0" borderId="58" xfId="0" applyFont="1" applyBorder="1"/>
    <xf numFmtId="0" fontId="5" fillId="0" borderId="0" xfId="0" applyFont="1" applyAlignment="1">
      <alignment horizontal="center"/>
    </xf>
    <xf numFmtId="15" fontId="3" fillId="4" borderId="20" xfId="0" applyNumberFormat="1" applyFont="1" applyFill="1" applyBorder="1" applyAlignment="1">
      <alignment horizontal="left" vertical="center"/>
    </xf>
    <xf numFmtId="15" fontId="3" fillId="4" borderId="21" xfId="0" applyNumberFormat="1" applyFont="1" applyFill="1" applyBorder="1" applyAlignment="1">
      <alignment horizontal="right" vertical="center"/>
    </xf>
    <xf numFmtId="15" fontId="3" fillId="4" borderId="22" xfId="0" applyNumberFormat="1" applyFont="1" applyFill="1" applyBorder="1" applyAlignment="1">
      <alignment horizontal="right" vertical="center"/>
    </xf>
    <xf numFmtId="0" fontId="7" fillId="0" borderId="38" xfId="0" applyFont="1" applyBorder="1"/>
    <xf numFmtId="0" fontId="4" fillId="0" borderId="39" xfId="0" applyFont="1" applyBorder="1"/>
    <xf numFmtId="0" fontId="4" fillId="0" borderId="38" xfId="0" applyFont="1" applyBorder="1"/>
    <xf numFmtId="0" fontId="4" fillId="0" borderId="40" xfId="0" applyFont="1" applyBorder="1"/>
    <xf numFmtId="0" fontId="35" fillId="0" borderId="19" xfId="6" applyFont="1" applyBorder="1" applyAlignment="1">
      <alignment horizontal="left" indent="1"/>
    </xf>
    <xf numFmtId="0" fontId="5" fillId="9" borderId="38" xfId="0" applyFont="1" applyFill="1" applyBorder="1"/>
    <xf numFmtId="0" fontId="4" fillId="9" borderId="39" xfId="0" applyFont="1" applyFill="1" applyBorder="1"/>
    <xf numFmtId="43" fontId="5" fillId="9" borderId="39" xfId="0" applyNumberFormat="1" applyFont="1" applyFill="1" applyBorder="1"/>
    <xf numFmtId="43" fontId="5" fillId="9" borderId="40" xfId="0" applyNumberFormat="1" applyFont="1" applyFill="1" applyBorder="1"/>
    <xf numFmtId="0" fontId="7" fillId="0" borderId="24" xfId="0" applyFont="1" applyBorder="1"/>
    <xf numFmtId="0" fontId="4" fillId="0" borderId="24" xfId="0" applyFont="1" applyBorder="1"/>
    <xf numFmtId="43" fontId="5" fillId="9" borderId="38" xfId="0" applyNumberFormat="1" applyFont="1" applyFill="1" applyBorder="1"/>
    <xf numFmtId="0" fontId="5" fillId="9" borderId="39" xfId="0" applyFont="1" applyFill="1" applyBorder="1"/>
    <xf numFmtId="43" fontId="5" fillId="9" borderId="38" xfId="9" applyFont="1" applyFill="1" applyBorder="1"/>
    <xf numFmtId="43" fontId="5" fillId="9" borderId="39" xfId="9" applyFont="1" applyFill="1" applyBorder="1"/>
    <xf numFmtId="43" fontId="5" fillId="9" borderId="40" xfId="9" applyFont="1" applyFill="1" applyBorder="1"/>
    <xf numFmtId="15" fontId="5" fillId="0" borderId="0" xfId="0" applyNumberFormat="1" applyFont="1"/>
    <xf numFmtId="15" fontId="3" fillId="4" borderId="62" xfId="0" applyNumberFormat="1" applyFont="1" applyFill="1" applyBorder="1" applyAlignment="1">
      <alignment horizontal="left" vertical="center"/>
    </xf>
    <xf numFmtId="15" fontId="3" fillId="4" borderId="63" xfId="0" applyNumberFormat="1" applyFont="1" applyFill="1" applyBorder="1" applyAlignment="1">
      <alignment horizontal="right" vertical="center"/>
    </xf>
    <xf numFmtId="15" fontId="3" fillId="4" borderId="64" xfId="0" applyNumberFormat="1" applyFont="1" applyFill="1" applyBorder="1" applyAlignment="1">
      <alignment horizontal="right" vertical="center"/>
    </xf>
    <xf numFmtId="17" fontId="4" fillId="0" borderId="23" xfId="0" applyNumberFormat="1" applyFont="1" applyBorder="1"/>
    <xf numFmtId="0" fontId="4" fillId="0" borderId="19" xfId="0" applyFont="1" applyBorder="1" applyAlignment="1">
      <alignment horizontal="left" indent="1"/>
    </xf>
    <xf numFmtId="0" fontId="3" fillId="4" borderId="38" xfId="0" applyFont="1" applyFill="1" applyBorder="1"/>
    <xf numFmtId="43" fontId="3" fillId="4" borderId="39" xfId="9" applyFont="1" applyFill="1" applyBorder="1"/>
    <xf numFmtId="43" fontId="3" fillId="4" borderId="40" xfId="9" applyFont="1" applyFill="1" applyBorder="1"/>
    <xf numFmtId="43" fontId="5" fillId="0" borderId="23" xfId="9" applyFont="1" applyBorder="1"/>
    <xf numFmtId="0" fontId="5" fillId="9" borderId="38" xfId="0" applyFont="1" applyFill="1" applyBorder="1" applyAlignment="1">
      <alignment horizontal="left"/>
    </xf>
    <xf numFmtId="0" fontId="6" fillId="0" borderId="19" xfId="0" applyFont="1" applyBorder="1" applyAlignment="1">
      <alignment horizontal="left"/>
    </xf>
    <xf numFmtId="10" fontId="6" fillId="0" borderId="0" xfId="1" applyNumberFormat="1" applyFont="1" applyBorder="1"/>
    <xf numFmtId="10" fontId="6" fillId="0" borderId="23" xfId="1" applyNumberFormat="1" applyFont="1" applyBorder="1"/>
    <xf numFmtId="171" fontId="4" fillId="0" borderId="23" xfId="0" applyNumberFormat="1" applyFont="1" applyBorder="1"/>
    <xf numFmtId="171" fontId="4" fillId="0" borderId="21" xfId="0" applyNumberFormat="1" applyFont="1" applyBorder="1"/>
    <xf numFmtId="171" fontId="4" fillId="0" borderId="22" xfId="0" applyNumberFormat="1" applyFont="1" applyBorder="1"/>
    <xf numFmtId="43" fontId="5" fillId="0" borderId="39" xfId="9" applyFont="1" applyBorder="1"/>
    <xf numFmtId="43" fontId="5" fillId="0" borderId="40" xfId="9" applyFont="1" applyBorder="1"/>
    <xf numFmtId="43" fontId="4" fillId="0" borderId="39" xfId="9" applyFont="1" applyBorder="1"/>
    <xf numFmtId="0" fontId="7" fillId="9" borderId="38" xfId="0" applyFont="1" applyFill="1" applyBorder="1"/>
    <xf numFmtId="43" fontId="7" fillId="9" borderId="39" xfId="9" applyFont="1" applyFill="1" applyBorder="1"/>
    <xf numFmtId="43" fontId="7" fillId="9" borderId="40" xfId="9" applyFont="1" applyFill="1" applyBorder="1"/>
    <xf numFmtId="43" fontId="6" fillId="0" borderId="0" xfId="9" applyFont="1" applyBorder="1"/>
    <xf numFmtId="43" fontId="6" fillId="0" borderId="23" xfId="9" applyFont="1" applyBorder="1"/>
    <xf numFmtId="10" fontId="6" fillId="0" borderId="25" xfId="1" applyNumberFormat="1" applyFont="1" applyBorder="1"/>
    <xf numFmtId="10" fontId="6" fillId="0" borderId="26" xfId="1" applyNumberFormat="1" applyFont="1" applyBorder="1"/>
    <xf numFmtId="0" fontId="4" fillId="0" borderId="20" xfId="0" applyFont="1" applyBorder="1"/>
    <xf numFmtId="0" fontId="4" fillId="0" borderId="21" xfId="0" applyFont="1" applyBorder="1"/>
    <xf numFmtId="43" fontId="4" fillId="0" borderId="21" xfId="9" applyFont="1" applyBorder="1"/>
    <xf numFmtId="43" fontId="4" fillId="0" borderId="22" xfId="9" applyFont="1" applyBorder="1"/>
    <xf numFmtId="43" fontId="4" fillId="0" borderId="25" xfId="9" applyFont="1" applyBorder="1"/>
    <xf numFmtId="43" fontId="4" fillId="0" borderId="26" xfId="9" applyFont="1" applyBorder="1"/>
    <xf numFmtId="17" fontId="5" fillId="0" borderId="0" xfId="0" applyNumberFormat="1" applyFont="1"/>
    <xf numFmtId="43" fontId="36" fillId="0" borderId="0" xfId="9" applyFont="1" applyBorder="1"/>
    <xf numFmtId="43" fontId="26" fillId="0" borderId="23" xfId="9" applyFont="1" applyBorder="1"/>
    <xf numFmtId="0" fontId="4" fillId="0" borderId="19" xfId="0" applyFont="1" applyBorder="1" applyAlignment="1">
      <alignment horizontal="left"/>
    </xf>
    <xf numFmtId="0" fontId="5" fillId="0" borderId="19" xfId="0" applyFont="1" applyBorder="1" applyAlignment="1">
      <alignment horizontal="left" indent="1"/>
    </xf>
    <xf numFmtId="171" fontId="5" fillId="0" borderId="39" xfId="9" applyNumberFormat="1" applyFont="1" applyBorder="1"/>
    <xf numFmtId="171" fontId="4" fillId="0" borderId="23" xfId="9" applyNumberFormat="1" applyFont="1" applyBorder="1"/>
    <xf numFmtId="0" fontId="37" fillId="0" borderId="0" xfId="0" applyFont="1"/>
    <xf numFmtId="43" fontId="37" fillId="0" borderId="0" xfId="9" applyFont="1"/>
    <xf numFmtId="9" fontId="5" fillId="0" borderId="0" xfId="1" applyFont="1"/>
    <xf numFmtId="43" fontId="4" fillId="0" borderId="39" xfId="0" applyNumberFormat="1" applyFont="1" applyBorder="1"/>
    <xf numFmtId="171" fontId="6" fillId="0" borderId="0" xfId="0" applyNumberFormat="1" applyFont="1"/>
    <xf numFmtId="0" fontId="5" fillId="18" borderId="38" xfId="0" applyFont="1" applyFill="1" applyBorder="1" applyAlignment="1">
      <alignment horizontal="centerContinuous"/>
    </xf>
    <xf numFmtId="0" fontId="4" fillId="18" borderId="40" xfId="0" applyFont="1" applyFill="1" applyBorder="1" applyAlignment="1">
      <alignment horizontal="centerContinuous"/>
    </xf>
    <xf numFmtId="43" fontId="38" fillId="0" borderId="23" xfId="9" applyFont="1" applyBorder="1"/>
    <xf numFmtId="10" fontId="4" fillId="0" borderId="23" xfId="0" applyNumberFormat="1" applyFont="1" applyBorder="1"/>
    <xf numFmtId="0" fontId="4" fillId="0" borderId="23" xfId="0" applyFont="1" applyBorder="1" applyAlignment="1">
      <alignment horizontal="right"/>
    </xf>
    <xf numFmtId="9" fontId="38" fillId="0" borderId="23" xfId="0" applyNumberFormat="1" applyFont="1" applyBorder="1"/>
    <xf numFmtId="0" fontId="34" fillId="0" borderId="19" xfId="0" applyFont="1" applyBorder="1"/>
    <xf numFmtId="15" fontId="4" fillId="0" borderId="23" xfId="0" applyNumberFormat="1" applyFont="1" applyBorder="1"/>
    <xf numFmtId="10" fontId="4" fillId="0" borderId="23" xfId="0" applyNumberFormat="1" applyFont="1" applyBorder="1" applyAlignment="1">
      <alignment horizontal="right"/>
    </xf>
    <xf numFmtId="171" fontId="38" fillId="0" borderId="23" xfId="9" applyNumberFormat="1" applyFont="1" applyBorder="1"/>
    <xf numFmtId="15" fontId="4" fillId="0" borderId="26" xfId="0" applyNumberFormat="1" applyFont="1" applyBorder="1"/>
    <xf numFmtId="0" fontId="5" fillId="18" borderId="60" xfId="0" applyFont="1" applyFill="1" applyBorder="1"/>
    <xf numFmtId="0" fontId="4" fillId="0" borderId="22" xfId="0" applyFont="1" applyBorder="1"/>
    <xf numFmtId="169" fontId="4" fillId="0" borderId="0" xfId="0" applyNumberFormat="1" applyFont="1"/>
    <xf numFmtId="43" fontId="5" fillId="0" borderId="23" xfId="9" applyFont="1" applyBorder="1" applyAlignment="1">
      <alignment horizontal="right"/>
    </xf>
    <xf numFmtId="169" fontId="5" fillId="0" borderId="25" xfId="0" applyNumberFormat="1" applyFont="1" applyBorder="1"/>
    <xf numFmtId="169" fontId="5" fillId="0" borderId="26" xfId="0" applyNumberFormat="1" applyFont="1" applyBorder="1"/>
    <xf numFmtId="17" fontId="5" fillId="0" borderId="23" xfId="0" applyNumberFormat="1" applyFont="1" applyBorder="1"/>
    <xf numFmtId="43" fontId="4" fillId="0" borderId="40" xfId="9" applyFont="1" applyBorder="1"/>
    <xf numFmtId="0" fontId="39" fillId="0" borderId="21" xfId="0" applyFont="1" applyBorder="1"/>
    <xf numFmtId="0" fontId="39" fillId="0" borderId="22" xfId="0" applyFont="1" applyBorder="1"/>
    <xf numFmtId="10" fontId="40" fillId="17" borderId="0" xfId="0" applyNumberFormat="1" applyFont="1" applyFill="1"/>
    <xf numFmtId="10" fontId="4" fillId="0" borderId="25" xfId="0" applyNumberFormat="1" applyFont="1" applyBorder="1"/>
    <xf numFmtId="10" fontId="39" fillId="0" borderId="25" xfId="0" applyNumberFormat="1" applyFont="1" applyBorder="1"/>
    <xf numFmtId="10" fontId="39" fillId="0" borderId="26" xfId="0" applyNumberFormat="1" applyFont="1" applyBorder="1"/>
    <xf numFmtId="17" fontId="5" fillId="0" borderId="39" xfId="0" applyNumberFormat="1" applyFont="1" applyBorder="1"/>
    <xf numFmtId="17" fontId="5" fillId="0" borderId="40" xfId="0" applyNumberFormat="1" applyFont="1" applyBorder="1"/>
    <xf numFmtId="43" fontId="7" fillId="0" borderId="25" xfId="9" applyFont="1" applyBorder="1"/>
    <xf numFmtId="43" fontId="7" fillId="0" borderId="26" xfId="9" applyFont="1" applyBorder="1"/>
    <xf numFmtId="43" fontId="7" fillId="9" borderId="39" xfId="9" applyFont="1" applyFill="1" applyBorder="1" applyAlignment="1">
      <alignment horizontal="right"/>
    </xf>
    <xf numFmtId="43" fontId="7" fillId="9" borderId="40" xfId="9" applyFont="1" applyFill="1" applyBorder="1" applyAlignment="1">
      <alignment horizontal="right"/>
    </xf>
    <xf numFmtId="0" fontId="5" fillId="9" borderId="20" xfId="0" applyFont="1" applyFill="1" applyBorder="1"/>
    <xf numFmtId="43" fontId="7" fillId="9" borderId="22" xfId="0" applyNumberFormat="1" applyFont="1" applyFill="1" applyBorder="1"/>
    <xf numFmtId="43" fontId="7" fillId="9" borderId="26" xfId="9" applyFont="1" applyFill="1" applyBorder="1"/>
    <xf numFmtId="17" fontId="5" fillId="0" borderId="21" xfId="0" applyNumberFormat="1" applyFont="1" applyBorder="1"/>
    <xf numFmtId="17" fontId="5" fillId="0" borderId="22" xfId="0" applyNumberFormat="1" applyFont="1" applyBorder="1"/>
    <xf numFmtId="0" fontId="4" fillId="0" borderId="0" xfId="0" applyFont="1" applyAlignment="1">
      <alignment horizontal="left"/>
    </xf>
    <xf numFmtId="0" fontId="15" fillId="0" borderId="0" xfId="0" applyFont="1"/>
    <xf numFmtId="0" fontId="5" fillId="0" borderId="38" xfId="0" applyFont="1" applyBorder="1" applyAlignment="1">
      <alignment horizontal="centerContinuous"/>
    </xf>
    <xf numFmtId="0" fontId="5" fillId="0" borderId="40" xfId="0" applyFont="1" applyBorder="1" applyAlignment="1">
      <alignment horizontal="centerContinuous"/>
    </xf>
    <xf numFmtId="0" fontId="4" fillId="0" borderId="0" xfId="0" applyFont="1" applyAlignment="1">
      <alignment horizontal="left" indent="1"/>
    </xf>
    <xf numFmtId="0" fontId="5" fillId="11" borderId="38" xfId="0" applyFont="1" applyFill="1" applyBorder="1" applyAlignment="1">
      <alignment horizontal="centerContinuous"/>
    </xf>
    <xf numFmtId="0" fontId="4" fillId="11" borderId="40" xfId="0" applyFont="1" applyFill="1" applyBorder="1" applyAlignment="1">
      <alignment horizontal="centerContinuous"/>
    </xf>
    <xf numFmtId="171" fontId="4" fillId="0" borderId="23" xfId="9" applyNumberFormat="1" applyFont="1" applyBorder="1" applyAlignment="1">
      <alignment horizontal="right"/>
    </xf>
    <xf numFmtId="43" fontId="4" fillId="0" borderId="23" xfId="9" applyFont="1" applyBorder="1" applyAlignment="1">
      <alignment horizontal="right"/>
    </xf>
    <xf numFmtId="43" fontId="34" fillId="0" borderId="23" xfId="9" applyFont="1" applyFill="1" applyBorder="1"/>
    <xf numFmtId="0" fontId="38" fillId="0" borderId="23" xfId="0" applyFont="1" applyBorder="1"/>
    <xf numFmtId="0" fontId="5" fillId="11" borderId="38" xfId="0" applyFont="1" applyFill="1" applyBorder="1"/>
    <xf numFmtId="0" fontId="4" fillId="0" borderId="42" xfId="0" applyFont="1" applyBorder="1"/>
    <xf numFmtId="15" fontId="5" fillId="0" borderId="42" xfId="0" applyNumberFormat="1" applyFont="1" applyBorder="1" applyAlignment="1">
      <alignment horizontal="right"/>
    </xf>
    <xf numFmtId="15" fontId="5" fillId="0" borderId="43" xfId="0" applyNumberFormat="1" applyFont="1" applyBorder="1" applyAlignment="1">
      <alignment horizontal="right"/>
    </xf>
    <xf numFmtId="43" fontId="5" fillId="0" borderId="42" xfId="0" applyNumberFormat="1" applyFont="1" applyBorder="1"/>
    <xf numFmtId="0" fontId="5" fillId="11" borderId="60" xfId="0" applyFont="1" applyFill="1" applyBorder="1"/>
    <xf numFmtId="17" fontId="5" fillId="0" borderId="25" xfId="0" applyNumberFormat="1" applyFont="1" applyBorder="1"/>
    <xf numFmtId="17" fontId="5" fillId="0" borderId="26" xfId="0" applyNumberFormat="1" applyFont="1" applyBorder="1"/>
    <xf numFmtId="0" fontId="41" fillId="0" borderId="0" xfId="0" applyFont="1"/>
    <xf numFmtId="10" fontId="6" fillId="10" borderId="0" xfId="1" applyNumberFormat="1" applyFont="1" applyFill="1" applyAlignment="1">
      <alignment horizontal="right"/>
    </xf>
    <xf numFmtId="10" fontId="42" fillId="0" borderId="0" xfId="0" applyNumberFormat="1" applyFont="1"/>
    <xf numFmtId="10" fontId="42" fillId="0" borderId="23" xfId="0" applyNumberFormat="1" applyFont="1" applyBorder="1"/>
    <xf numFmtId="43" fontId="4" fillId="0" borderId="26" xfId="0" applyNumberFormat="1" applyFont="1" applyBorder="1"/>
    <xf numFmtId="43" fontId="7" fillId="0" borderId="25" xfId="0" applyNumberFormat="1" applyFont="1" applyBorder="1"/>
    <xf numFmtId="43" fontId="7" fillId="0" borderId="26" xfId="0" applyNumberFormat="1" applyFont="1" applyBorder="1"/>
    <xf numFmtId="43" fontId="5" fillId="16" borderId="25" xfId="9" applyFont="1" applyFill="1" applyBorder="1"/>
    <xf numFmtId="0" fontId="4" fillId="0" borderId="41" xfId="0" applyFont="1" applyBorder="1"/>
    <xf numFmtId="169" fontId="4" fillId="0" borderId="23" xfId="0" applyNumberFormat="1" applyFont="1" applyBorder="1"/>
    <xf numFmtId="169" fontId="4" fillId="0" borderId="42" xfId="0" applyNumberFormat="1" applyFont="1" applyBorder="1"/>
    <xf numFmtId="15" fontId="5" fillId="0" borderId="0" xfId="0" applyNumberFormat="1" applyFont="1" applyAlignment="1">
      <alignment horizontal="right"/>
    </xf>
    <xf numFmtId="10" fontId="6" fillId="10" borderId="0" xfId="0" applyNumberFormat="1" applyFont="1" applyFill="1" applyAlignment="1">
      <alignment horizontal="right"/>
    </xf>
    <xf numFmtId="17" fontId="5" fillId="0" borderId="39" xfId="9" applyNumberFormat="1" applyFont="1" applyBorder="1"/>
    <xf numFmtId="17" fontId="5" fillId="0" borderId="40" xfId="9" applyNumberFormat="1" applyFont="1" applyBorder="1"/>
    <xf numFmtId="43" fontId="5" fillId="0" borderId="43" xfId="0" applyNumberFormat="1" applyFont="1" applyBorder="1"/>
    <xf numFmtId="15" fontId="5" fillId="0" borderId="25" xfId="0" applyNumberFormat="1" applyFont="1" applyBorder="1" applyAlignment="1">
      <alignment horizontal="right"/>
    </xf>
    <xf numFmtId="0" fontId="39" fillId="0" borderId="0" xfId="0" applyFont="1"/>
    <xf numFmtId="43" fontId="7" fillId="0" borderId="0" xfId="0" applyNumberFormat="1" applyFont="1"/>
    <xf numFmtId="43" fontId="4" fillId="0" borderId="38" xfId="9" applyFont="1" applyBorder="1"/>
    <xf numFmtId="17" fontId="5" fillId="0" borderId="25" xfId="9" applyNumberFormat="1" applyFont="1" applyBorder="1"/>
    <xf numFmtId="17" fontId="5" fillId="0" borderId="26" xfId="9" applyNumberFormat="1" applyFont="1" applyBorder="1"/>
    <xf numFmtId="43" fontId="5" fillId="0" borderId="23" xfId="0" applyNumberFormat="1" applyFont="1" applyBorder="1"/>
    <xf numFmtId="10" fontId="42" fillId="0" borderId="21" xfId="0" applyNumberFormat="1" applyFont="1" applyBorder="1"/>
    <xf numFmtId="10" fontId="42" fillId="0" borderId="22" xfId="0" applyNumberFormat="1" applyFont="1" applyBorder="1"/>
    <xf numFmtId="0" fontId="4" fillId="11" borderId="58" xfId="0" applyFont="1" applyFill="1" applyBorder="1" applyAlignment="1">
      <alignment horizontal="center"/>
    </xf>
    <xf numFmtId="0" fontId="5" fillId="18" borderId="20" xfId="0" applyFont="1" applyFill="1" applyBorder="1"/>
    <xf numFmtId="10" fontId="26" fillId="0" borderId="14" xfId="0" applyNumberFormat="1" applyFont="1" applyBorder="1" applyAlignment="1">
      <alignment vertical="center"/>
    </xf>
    <xf numFmtId="164" fontId="20" fillId="0" borderId="14" xfId="0" applyNumberFormat="1" applyFont="1" applyBorder="1" applyAlignment="1">
      <alignment vertical="center"/>
    </xf>
    <xf numFmtId="164" fontId="26" fillId="0" borderId="14" xfId="0" applyNumberFormat="1" applyFont="1" applyBorder="1" applyAlignment="1">
      <alignment vertical="center"/>
    </xf>
    <xf numFmtId="10" fontId="20" fillId="0" borderId="14" xfId="0" applyNumberFormat="1" applyFont="1" applyBorder="1" applyAlignment="1">
      <alignment vertical="center"/>
    </xf>
    <xf numFmtId="43" fontId="4" fillId="10" borderId="0" xfId="0" applyNumberFormat="1" applyFont="1" applyFill="1"/>
    <xf numFmtId="0" fontId="36" fillId="0" borderId="0" xfId="0" applyFont="1"/>
    <xf numFmtId="171" fontId="19" fillId="0" borderId="1" xfId="9" applyNumberFormat="1" applyFont="1" applyFill="1" applyBorder="1" applyAlignment="1">
      <alignment horizontal="right"/>
    </xf>
    <xf numFmtId="171" fontId="3" fillId="4" borderId="0" xfId="9" applyNumberFormat="1" applyFont="1" applyFill="1" applyBorder="1" applyAlignment="1">
      <alignment horizontal="center" vertical="center"/>
    </xf>
    <xf numFmtId="0" fontId="3" fillId="4" borderId="0" xfId="0" applyFont="1" applyFill="1" applyAlignment="1">
      <alignment horizontal="center" vertical="center"/>
    </xf>
    <xf numFmtId="43" fontId="4" fillId="0" borderId="22" xfId="0" applyNumberFormat="1" applyFont="1" applyBorder="1"/>
    <xf numFmtId="43" fontId="3" fillId="4" borderId="0" xfId="9" applyFont="1" applyFill="1" applyBorder="1"/>
    <xf numFmtId="15" fontId="3" fillId="4" borderId="20" xfId="0" applyNumberFormat="1" applyFont="1" applyFill="1" applyBorder="1" applyAlignment="1">
      <alignment horizontal="right" vertical="center"/>
    </xf>
    <xf numFmtId="17" fontId="4" fillId="0" borderId="19" xfId="0" applyNumberFormat="1" applyFont="1" applyBorder="1"/>
    <xf numFmtId="43" fontId="3" fillId="4" borderId="19" xfId="9" applyFont="1" applyFill="1" applyBorder="1"/>
    <xf numFmtId="43" fontId="3" fillId="4" borderId="23" xfId="9" applyFont="1" applyFill="1" applyBorder="1"/>
    <xf numFmtId="43" fontId="5" fillId="0" borderId="19" xfId="9" applyFont="1" applyBorder="1"/>
    <xf numFmtId="10" fontId="6" fillId="0" borderId="19" xfId="1" applyNumberFormat="1" applyFont="1" applyBorder="1"/>
    <xf numFmtId="171" fontId="4" fillId="0" borderId="19" xfId="0" applyNumberFormat="1" applyFont="1" applyBorder="1"/>
    <xf numFmtId="43" fontId="5" fillId="0" borderId="38" xfId="9" applyFont="1" applyBorder="1"/>
    <xf numFmtId="43" fontId="7" fillId="9" borderId="38" xfId="9" applyFont="1" applyFill="1" applyBorder="1"/>
    <xf numFmtId="10" fontId="4" fillId="0" borderId="0" xfId="0" applyNumberFormat="1" applyFont="1" applyAlignment="1">
      <alignment horizontal="center" vertical="center"/>
    </xf>
    <xf numFmtId="43" fontId="4" fillId="0" borderId="0" xfId="9" applyFont="1" applyBorder="1" applyAlignment="1">
      <alignment horizontal="center" vertical="center" wrapText="1"/>
    </xf>
    <xf numFmtId="171" fontId="34" fillId="0" borderId="0" xfId="0" applyNumberFormat="1" applyFont="1" applyAlignment="1">
      <alignment horizontal="center" vertical="center"/>
    </xf>
    <xf numFmtId="43" fontId="5" fillId="0" borderId="23" xfId="9" applyFont="1" applyBorder="1" applyAlignment="1">
      <alignment horizontal="center" vertical="center"/>
    </xf>
    <xf numFmtId="0" fontId="4" fillId="0" borderId="26" xfId="0" applyFont="1" applyBorder="1" applyAlignment="1">
      <alignment horizontal="center" vertical="center"/>
    </xf>
    <xf numFmtId="43" fontId="4" fillId="0" borderId="20" xfId="0" applyNumberFormat="1" applyFont="1" applyBorder="1"/>
    <xf numFmtId="43" fontId="4" fillId="0" borderId="24" xfId="9" applyFont="1" applyBorder="1"/>
    <xf numFmtId="171" fontId="4" fillId="0" borderId="20" xfId="0" applyNumberFormat="1" applyFont="1" applyBorder="1"/>
    <xf numFmtId="10" fontId="43" fillId="4" borderId="40" xfId="1" applyNumberFormat="1" applyFont="1" applyFill="1" applyBorder="1"/>
    <xf numFmtId="43" fontId="43" fillId="4" borderId="40" xfId="9" applyFont="1" applyFill="1" applyBorder="1"/>
    <xf numFmtId="9" fontId="4" fillId="0" borderId="0" xfId="1" applyFont="1" applyBorder="1"/>
    <xf numFmtId="9" fontId="4" fillId="0" borderId="23" xfId="1" applyFont="1" applyBorder="1"/>
    <xf numFmtId="43" fontId="5" fillId="0" borderId="25" xfId="0" applyNumberFormat="1" applyFont="1" applyBorder="1"/>
    <xf numFmtId="43" fontId="5" fillId="0" borderId="26" xfId="0" applyNumberFormat="1" applyFont="1" applyBorder="1"/>
    <xf numFmtId="10" fontId="36" fillId="0" borderId="23" xfId="0" applyNumberFormat="1" applyFont="1" applyBorder="1"/>
    <xf numFmtId="10" fontId="38" fillId="0" borderId="23" xfId="0" applyNumberFormat="1" applyFont="1" applyBorder="1"/>
    <xf numFmtId="0" fontId="36" fillId="0" borderId="0" xfId="0" applyFont="1" applyAlignment="1">
      <alignment horizontal="center"/>
    </xf>
    <xf numFmtId="43" fontId="7" fillId="9" borderId="23" xfId="0" applyNumberFormat="1" applyFont="1" applyFill="1" applyBorder="1"/>
    <xf numFmtId="9" fontId="4" fillId="0" borderId="0" xfId="1" applyFont="1"/>
    <xf numFmtId="0" fontId="18" fillId="0" borderId="0" xfId="0" applyFont="1"/>
    <xf numFmtId="178" fontId="6" fillId="0" borderId="0" xfId="1" applyNumberFormat="1" applyFont="1" applyAlignment="1">
      <alignment horizontal="right" vertical="center"/>
    </xf>
    <xf numFmtId="178" fontId="7" fillId="0" borderId="0" xfId="1" applyNumberFormat="1" applyFont="1" applyAlignment="1">
      <alignment horizontal="right" vertical="center"/>
    </xf>
    <xf numFmtId="178" fontId="6" fillId="0" borderId="0" xfId="0" applyNumberFormat="1" applyFont="1" applyAlignment="1">
      <alignment horizontal="right" vertical="center"/>
    </xf>
    <xf numFmtId="178" fontId="6" fillId="0" borderId="0" xfId="0" applyNumberFormat="1" applyFont="1" applyAlignment="1">
      <alignment horizontal="left" vertical="center"/>
    </xf>
    <xf numFmtId="171" fontId="45" fillId="0" borderId="1" xfId="9" applyNumberFormat="1" applyFont="1" applyFill="1" applyBorder="1" applyAlignment="1">
      <alignment horizontal="center" vertical="center"/>
    </xf>
    <xf numFmtId="166" fontId="45" fillId="0" borderId="1" xfId="1" applyNumberFormat="1" applyFont="1" applyFill="1" applyBorder="1" applyAlignment="1">
      <alignment vertical="center"/>
    </xf>
    <xf numFmtId="171" fontId="45" fillId="0" borderId="1" xfId="9" applyNumberFormat="1" applyFont="1" applyFill="1" applyBorder="1" applyAlignment="1">
      <alignment vertical="center"/>
    </xf>
    <xf numFmtId="9" fontId="45" fillId="0" borderId="37" xfId="1" applyFont="1" applyFill="1" applyBorder="1" applyAlignment="1">
      <alignment vertical="center"/>
    </xf>
    <xf numFmtId="9" fontId="45" fillId="0" borderId="1" xfId="1" applyFont="1" applyBorder="1" applyAlignment="1">
      <alignment vertical="center"/>
    </xf>
    <xf numFmtId="9" fontId="45" fillId="0" borderId="9" xfId="1" applyFont="1" applyFill="1" applyBorder="1" applyAlignment="1">
      <alignment vertical="center"/>
    </xf>
    <xf numFmtId="176" fontId="45" fillId="0" borderId="0" xfId="1" applyNumberFormat="1" applyFont="1" applyBorder="1" applyAlignment="1">
      <alignment vertical="center"/>
    </xf>
    <xf numFmtId="10" fontId="45" fillId="0" borderId="1" xfId="1" applyNumberFormat="1" applyFont="1" applyFill="1" applyBorder="1" applyAlignment="1">
      <alignment vertical="center"/>
    </xf>
    <xf numFmtId="1" fontId="45" fillId="0" borderId="1" xfId="1" applyNumberFormat="1" applyFont="1" applyFill="1" applyBorder="1" applyAlignment="1">
      <alignment vertical="center"/>
    </xf>
    <xf numFmtId="171" fontId="5" fillId="0" borderId="1" xfId="9" applyNumberFormat="1" applyFont="1" applyFill="1" applyBorder="1" applyAlignment="1">
      <alignment horizontal="center" vertical="center"/>
    </xf>
    <xf numFmtId="0" fontId="5" fillId="0" borderId="39" xfId="0" applyFont="1" applyBorder="1"/>
    <xf numFmtId="0" fontId="5" fillId="0" borderId="40" xfId="0" applyFont="1" applyBorder="1"/>
    <xf numFmtId="43" fontId="36" fillId="0" borderId="23" xfId="9" applyFont="1" applyBorder="1"/>
    <xf numFmtId="4" fontId="5" fillId="0" borderId="25" xfId="0" applyNumberFormat="1" applyFont="1" applyBorder="1"/>
    <xf numFmtId="43" fontId="5" fillId="0" borderId="26" xfId="9" applyFont="1" applyBorder="1"/>
    <xf numFmtId="171" fontId="4" fillId="0" borderId="0" xfId="9" applyNumberFormat="1" applyFont="1" applyAlignment="1">
      <alignment horizontal="center" vertical="center"/>
    </xf>
    <xf numFmtId="185" fontId="4" fillId="0" borderId="0" xfId="0" applyNumberFormat="1" applyFont="1"/>
    <xf numFmtId="9" fontId="3" fillId="4" borderId="38" xfId="1" applyFont="1" applyFill="1" applyBorder="1" applyAlignment="1">
      <alignment horizontal="center"/>
    </xf>
    <xf numFmtId="10" fontId="6" fillId="0" borderId="0" xfId="1" applyNumberFormat="1" applyFont="1"/>
    <xf numFmtId="10" fontId="5" fillId="0" borderId="1" xfId="1" applyNumberFormat="1" applyFont="1" applyFill="1" applyBorder="1" applyAlignment="1">
      <alignment horizontal="right"/>
    </xf>
    <xf numFmtId="10" fontId="5" fillId="0" borderId="0" xfId="1" applyNumberFormat="1" applyFont="1"/>
    <xf numFmtId="171" fontId="45" fillId="0" borderId="1" xfId="9" applyNumberFormat="1" applyFont="1" applyBorder="1" applyAlignment="1">
      <alignment vertical="center"/>
    </xf>
    <xf numFmtId="10" fontId="45" fillId="0" borderId="1" xfId="1" applyNumberFormat="1" applyFont="1" applyFill="1" applyBorder="1" applyAlignment="1">
      <alignment horizontal="right" vertical="center"/>
    </xf>
    <xf numFmtId="43" fontId="4" fillId="16" borderId="25" xfId="9" applyFont="1" applyFill="1" applyBorder="1"/>
    <xf numFmtId="186" fontId="4" fillId="0" borderId="0" xfId="0" applyNumberFormat="1" applyFont="1"/>
    <xf numFmtId="43" fontId="4" fillId="0" borderId="0" xfId="9" applyFont="1" applyAlignment="1">
      <alignment horizontal="right" vertical="center"/>
    </xf>
    <xf numFmtId="0" fontId="46" fillId="15" borderId="59" xfId="0" applyFont="1" applyFill="1" applyBorder="1" applyAlignment="1">
      <alignment horizontal="center"/>
    </xf>
    <xf numFmtId="43" fontId="4" fillId="0" borderId="0" xfId="9" applyFont="1" applyAlignment="1">
      <alignment horizontal="left"/>
    </xf>
    <xf numFmtId="43" fontId="6" fillId="0" borderId="0" xfId="1" applyNumberFormat="1" applyFont="1"/>
    <xf numFmtId="176" fontId="20" fillId="0" borderId="0" xfId="0" applyNumberFormat="1" applyFont="1" applyAlignment="1">
      <alignment horizontal="center" vertical="center"/>
    </xf>
    <xf numFmtId="178" fontId="4" fillId="0" borderId="0" xfId="1" applyNumberFormat="1" applyFont="1" applyAlignment="1">
      <alignment horizontal="right" vertical="center"/>
    </xf>
    <xf numFmtId="0" fontId="14" fillId="2" borderId="59" xfId="0" applyFont="1" applyFill="1" applyBorder="1" applyAlignment="1">
      <alignment horizontal="center" wrapText="1"/>
    </xf>
    <xf numFmtId="0" fontId="7" fillId="8" borderId="3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3" fillId="2" borderId="2" xfId="2" applyFont="1" applyFill="1" applyBorder="1" applyAlignment="1">
      <alignment horizontal="left" vertical="center"/>
    </xf>
    <xf numFmtId="0" fontId="3" fillId="2" borderId="27" xfId="2" applyFont="1" applyFill="1" applyBorder="1" applyAlignment="1">
      <alignment horizontal="left" vertical="center"/>
    </xf>
    <xf numFmtId="0" fontId="3" fillId="2" borderId="12" xfId="2" applyFont="1" applyFill="1" applyBorder="1" applyAlignment="1">
      <alignment horizontal="left" vertical="center"/>
    </xf>
    <xf numFmtId="0" fontId="3" fillId="2" borderId="13" xfId="2" applyFont="1" applyFill="1" applyBorder="1" applyAlignment="1">
      <alignment horizontal="left" vertical="center"/>
    </xf>
    <xf numFmtId="0" fontId="14" fillId="2" borderId="7" xfId="0" applyFont="1" applyFill="1" applyBorder="1" applyAlignment="1">
      <alignment horizontal="center" wrapText="1"/>
    </xf>
    <xf numFmtId="0" fontId="14" fillId="2" borderId="8" xfId="0" applyFont="1" applyFill="1" applyBorder="1" applyAlignment="1">
      <alignment horizontal="center" wrapText="1"/>
    </xf>
    <xf numFmtId="0" fontId="14" fillId="2" borderId="10" xfId="0" applyFont="1" applyFill="1" applyBorder="1" applyAlignment="1">
      <alignment horizontal="center" wrapText="1"/>
    </xf>
    <xf numFmtId="0" fontId="14" fillId="2" borderId="11" xfId="0" applyFont="1" applyFill="1" applyBorder="1" applyAlignment="1">
      <alignment horizontal="center" wrapText="1"/>
    </xf>
    <xf numFmtId="0" fontId="3" fillId="2" borderId="0" xfId="0" applyFont="1" applyFill="1" applyAlignment="1">
      <alignment horizontal="center" vertical="center"/>
    </xf>
  </cellXfs>
  <cellStyles count="15">
    <cellStyle name="Comma" xfId="9" builtinId="3"/>
    <cellStyle name="Comma 13" xfId="3" xr:uid="{00000000-0005-0000-0000-000001000000}"/>
    <cellStyle name="Comma 13 2" xfId="11" xr:uid="{A3C76AC2-D529-4EFF-9C71-15DAD99B05AB}"/>
    <cellStyle name="Comma 2" xfId="5" xr:uid="{00000000-0005-0000-0000-000002000000}"/>
    <cellStyle name="Comma 2 3" xfId="4" xr:uid="{00000000-0005-0000-0000-000003000000}"/>
    <cellStyle name="Comma 2 3 2" xfId="12" xr:uid="{DEF0A867-0486-4603-9E26-D0F5043B8A3B}"/>
    <cellStyle name="Comma 3" xfId="7" xr:uid="{00000000-0005-0000-0000-000004000000}"/>
    <cellStyle name="Comma 4" xfId="13" xr:uid="{5E456446-5C32-46B0-8ACE-A84E695B4856}"/>
    <cellStyle name="Excel Built-in Normal" xfId="10" xr:uid="{36C6FA15-806B-4761-87AF-8EF9D946DFDA}"/>
    <cellStyle name="Normal" xfId="0" builtinId="0"/>
    <cellStyle name="Normal 2" xfId="6" xr:uid="{00000000-0005-0000-0000-000006000000}"/>
    <cellStyle name="Normal 25" xfId="14" xr:uid="{E0D5B6B0-C7FD-485A-90D3-AB3FC705BD9B}"/>
    <cellStyle name="Normal_Workbook3" xfId="2" xr:uid="{00000000-0005-0000-0000-000007000000}"/>
    <cellStyle name="Percent" xfId="1" builtinId="5"/>
    <cellStyle name="Percent 2" xfId="8" xr:uid="{00000000-0005-0000-0000-000009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0.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12" Type="http://schemas.openxmlformats.org/officeDocument/2006/relationships/externalLink" Target="externalLinks/externalLink95.xml"/><Relationship Id="rId16" Type="http://schemas.openxmlformats.org/officeDocument/2006/relationships/worksheet" Target="worksheets/sheet16.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123" Type="http://schemas.openxmlformats.org/officeDocument/2006/relationships/styles" Target="styles.xml"/><Relationship Id="rId128"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externalLink" Target="externalLinks/externalLink78.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113" Type="http://schemas.openxmlformats.org/officeDocument/2006/relationships/externalLink" Target="externalLinks/externalLink96.xml"/><Relationship Id="rId118" Type="http://schemas.openxmlformats.org/officeDocument/2006/relationships/externalLink" Target="externalLinks/externalLink101.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59" Type="http://schemas.openxmlformats.org/officeDocument/2006/relationships/externalLink" Target="externalLinks/externalLink42.xml"/><Relationship Id="rId103" Type="http://schemas.openxmlformats.org/officeDocument/2006/relationships/externalLink" Target="externalLinks/externalLink86.xml"/><Relationship Id="rId108" Type="http://schemas.openxmlformats.org/officeDocument/2006/relationships/externalLink" Target="externalLinks/externalLink91.xml"/><Relationship Id="rId124" Type="http://schemas.openxmlformats.org/officeDocument/2006/relationships/sharedStrings" Target="sharedStrings.xml"/><Relationship Id="rId129" Type="http://schemas.openxmlformats.org/officeDocument/2006/relationships/customXml" Target="../customXml/item2.xml"/><Relationship Id="rId54" Type="http://schemas.openxmlformats.org/officeDocument/2006/relationships/externalLink" Target="externalLinks/externalLink37.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91" Type="http://schemas.openxmlformats.org/officeDocument/2006/relationships/externalLink" Target="externalLinks/externalLink74.xml"/><Relationship Id="rId96" Type="http://schemas.openxmlformats.org/officeDocument/2006/relationships/externalLink" Target="externalLinks/externalLink7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49" Type="http://schemas.openxmlformats.org/officeDocument/2006/relationships/externalLink" Target="externalLinks/externalLink32.xml"/><Relationship Id="rId114" Type="http://schemas.openxmlformats.org/officeDocument/2006/relationships/externalLink" Target="externalLinks/externalLink97.xml"/><Relationship Id="rId119" Type="http://schemas.openxmlformats.org/officeDocument/2006/relationships/externalLink" Target="externalLinks/externalLink102.xml"/><Relationship Id="rId44" Type="http://schemas.openxmlformats.org/officeDocument/2006/relationships/externalLink" Target="externalLinks/externalLink27.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130"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externalLink" Target="externalLinks/externalLink9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120" Type="http://schemas.openxmlformats.org/officeDocument/2006/relationships/externalLink" Target="externalLinks/externalLink103.xml"/><Relationship Id="rId125"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externalLink" Target="externalLinks/externalLink93.xml"/><Relationship Id="rId115" Type="http://schemas.openxmlformats.org/officeDocument/2006/relationships/externalLink" Target="externalLinks/externalLink98.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12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121" Type="http://schemas.openxmlformats.org/officeDocument/2006/relationships/externalLink" Target="externalLinks/externalLink104.xml"/><Relationship Id="rId3" Type="http://schemas.openxmlformats.org/officeDocument/2006/relationships/worksheet" Target="worksheets/sheet3.xml"/><Relationship Id="rId25" Type="http://schemas.openxmlformats.org/officeDocument/2006/relationships/externalLink" Target="externalLinks/externalLink8.xml"/><Relationship Id="rId46" Type="http://schemas.openxmlformats.org/officeDocument/2006/relationships/externalLink" Target="externalLinks/externalLink29.xml"/><Relationship Id="rId67" Type="http://schemas.openxmlformats.org/officeDocument/2006/relationships/externalLink" Target="externalLinks/externalLink50.xml"/><Relationship Id="rId116" Type="http://schemas.openxmlformats.org/officeDocument/2006/relationships/externalLink" Target="externalLinks/externalLink99.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62" Type="http://schemas.openxmlformats.org/officeDocument/2006/relationships/externalLink" Target="externalLinks/externalLink45.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111" Type="http://schemas.openxmlformats.org/officeDocument/2006/relationships/externalLink" Target="externalLinks/externalLink94.xml"/><Relationship Id="rId15" Type="http://schemas.openxmlformats.org/officeDocument/2006/relationships/worksheet" Target="worksheets/sheet15.xml"/><Relationship Id="rId36" Type="http://schemas.openxmlformats.org/officeDocument/2006/relationships/externalLink" Target="externalLinks/externalLink19.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14.xml"/><Relationship Id="rId52" Type="http://schemas.openxmlformats.org/officeDocument/2006/relationships/externalLink" Target="externalLinks/externalLink35.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gestnt\ammnstrzn\LOTUS123\USUARIOS\JAVIER\TARRAGON\MAYO98.WK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Q:\VP-FIN-KT\Bud00ph%20(Rs)%20Mid%20review.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I:\Documents%20and%20Settings\iny0010821d\Local%20Settings\Temporary%20Internet%20Files\OLK1400\Documents%20and%20Settings\iny0007652q\Local%20Settings\Temporary%20Internet%20Files\OLK70\gcib_track.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rselfsr01\Assurance%203\WORK\&#45824;&#50689;&#54252;&#51109;\work\&#54620;&#49436;&#51228;&#50557;\A&#51312;&#49436;-&#54620;&#4943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rselfsr01\Assurance%203\WORK\&#51064;&#49440;ENT\work\&#54620;&#49436;&#51228;&#50557;\A&#51312;&#49436;-&#54620;&#4943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rselfsr01\Assurance%203\WORK\&#44592;&#53440;\&#44396;&#44144;&#47000;&#52376;\&#53580;&#53356;&#46972;&#54532;\&#51473;&#44036;&#44048;&#49324;-&#46300;&#47548;&#46972;&#5106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OSHI\MY%20DOCUMENTS\WINDOWS\Desktop\Manoj%20Gandhi\FINDRD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rwgp-my.sharepoint.com/1%20-%20Deposits%20&amp;%20Payments%20Services/2007%20Plan/Templates/P&amp;L%20Templates/Waterfall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rwgp-my.sharepoint.com/Documents%20and%20Settings/nbk73qq/My%20Documents/P&amp;L%20Templates/Waterfall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GENERAL\India\Utilities\NTPC\NTPC_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Documents%20and%20Settings\tayals\Local%20Settings\Temporary%20Internet%20Files\OLK3\MTNL_A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BERNARD\OILS\COS\India\Utilities\Reliance%20Infra\Reliance%20Infrastructure_wi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GENERAL\India\Utilities\Suzlon\Suzlon(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nmumfsr10\Mumbai%20BookKeeping%20Client\FIRMENICH_DATA\COMPTA\AR\Reco\Fircol\Fircol%20Nov%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Anamika\F.Y.2003-04\Statutory%20Audit\Financial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ntract-aruna\public_aruna\Public_Aruna\contracts(ak)\Hyderabad\Mes\MES-SE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pcltfnp01\users$\NBKM643\My%20Documents\FTE%20A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nmumfsr10\Mumbai%20BookKeeping%20Client\Documents%20and%20Settings\mss506640\Local%20Settings\Temporary%20Internet%20Files\OLK3\GHT\closing\Monthly%20Accounts\DEC_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ujeeb\c\Documents%20and%20Settings\dfritz\Local%20Settings\Temporary%20Internet%20Files\OLK10\Cost%20Code%20Breakdow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rwgp-my.sharepoint.com/EVERYONE/COST/KEVINC/2003/2003%20gps%20%2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rwgp-my.sharepoint.com/Documents%20and%20Settings/NBK4WHH/Local%20Settings/Temporary%20Internet%20Files/OLK235/INSIGHT/04_03fkmHW.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ys1\e\DOCUME~1\sdomingo\LOCALS~1\Temp\Finance%202\FY'03\1.%20Operating%20Plans\IDC\IDC%20People%20Model%20v3.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nmumfsr10\Mumbai%20BookKeeping%20Client\WINDOWS\Temp\Winzip\wz6937\Ranbaxy%20(New)\Jayesh%20-%20March%2023\Schedule_A2_RLL%20Toansa_P&amp;M.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jays\c$\unzipped\consol\ajay\WL\consolidation\UK%20Consol\CP%20Pharma%20Mgt%20Accounts%20Pack%20-%20June%202005%20(Di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ujeeb\c\Documents%20and%20Settings\edsmith9\My%20Documents\General\Executive%20Planning%20and%20Summary2.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nmumfsr10\Mumbai%20BookKeeping%20Client\RES\NARAYAN\FMCG\ITC\IT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rwgp-my.sharepoint.com/FREDERES/Bands%201-3%20Comp%20Targets/H2%20Comp%20Target/H2%20job%20codes%203-15-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uresh\c%20on%20suresh\WINDOWS\TEMP\cidcoanalysi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90F8715B\UMI%20Secound%20floor.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nmumsrv62\Mumbai_BookingKeeping_Client\Documents%20and%20Settings\mss506640\Local%20Settings\Temporary%20Internet%20Files\OLK3\GHT\closing\Monthly%20Accounts\DEC_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HAKUR\Finbudget\oil%20r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rwgp-my.sharepoint.com/Documents%20and%20Settings/NBK4WHH/Local%20Settings/Temporary%20Internet%20Files/OLK235/2007%20Plan%20Summary%20Template%20(Total%20FT)%20v1.8%207+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rwgp-my.sharepoint.com/Documents%20and%20Settings/vipul.gupta/My%20Documents/Unzipped/02/site%20pic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amp;F\MARCH%2005%20STATUTORY\BS%20NOTES\Mar05_Final_Resul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mb://Vijay/d/Offers/GRUNDFOSS/Grundfoss%20Offer%204A12/Final%20Offer%20-%204C16/IO%20List%204C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tup-c09\D\JOBS\7078-MADURAVOYAL\ALAPAKKAM%20MAIN%20ROAD%20-%20APR05\ANNEX-2\ANN2-MADURAVOYAL%20DATA-APRI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ADHA\RADHA\radha\mis9899\consoli\sept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ADHA\RADHA\mis9798\MAR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hil\gohil\DCG\Gohil\080%20Invoic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mb://Vijay/d/Documents%20and%20Settings/Srinivasa%20Ramanujam/Local%20Settings/Temporary%20Internet%20Files/OLK38/Offe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rwgp-my.sharepoint.com/TEMP/Card%20Collections%20Plan%2004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LTD025\SYS\EVERYONE\COST\LYNDA\2001ProdMod\toral%20jan2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rwgp-my.sharepoint.com/Documents%20and%20Settings/browcur/Desktop/Logitech%20-phase%201%20&amp;%202/CMS%20-MASTER/AP%20Mumbai%20-%20Logitech%20Phase%204%20-%20CMS%20-%202007.01.24_Exchange%20Rate%20Correcte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nmumfsr10\Mumbai%20BookKeeping%20Client\Documents%20and%20Settings\mss506640\Local%20Settings\Temporary%20Internet%20Files\OLK3\WINDOWS\TEMP\WINDOWS\TEMP\AREP2002%20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jays\c$\unzipped\consol\ajay\WL\consolidation\UK%20Consol\Mgt%20Accounts%20Pack%20-walsep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eh\as\TEMP\ie5\Temporary%20Internet%20Files\OLK3E\Turbo_Charger_11-20-01(NOLs-3-no%20synergi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rwgp-my.sharepoint.com/WINDOWS/TEMP/roe_pts_0101.xls"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file:///\\Fin-001\PGB%20SHARE\DOCUME~1\gaurav\LOCALS~1\Temp\backup\my%20doucument\SAB%20REPORTING\Current_ecbl\Flash%20-03%20-%2004\backup\my%20doucument\SAB%20REPORTING\Current_ecbl\Balance%20Sheet(Original)\31.12.2002\ConsolSkol31122002-ECBDL.xls?9BC1F979" TargetMode="External"/><Relationship Id="rId1" Type="http://schemas.openxmlformats.org/officeDocument/2006/relationships/externalLinkPath" Target="file:///\\9BC1F979\ConsolSkol31122002-ECBDL.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1612.01%20REFINERY%202" TargetMode="External"/></Relationships>
</file>

<file path=xl/externalLinks/_rels/externalLink54.xml.rels><?xml version="1.0" encoding="UTF-8" standalone="yes"?>
<Relationships xmlns="http://schemas.openxmlformats.org/package/2006/relationships"><Relationship Id="rId2" Type="http://schemas.openxmlformats.org/officeDocument/2006/relationships/externalLinkPath" Target="file:///C:\Users\karan.ved\AppData\Local\Microsoft\Windows\INetCache\Content.Outlook\CYBWLCP3\Draft%20Financial%20Model%20Neogen%20Ionics%2007022024.xlsm" TargetMode="External"/><Relationship Id="rId1" Type="http://schemas.openxmlformats.org/officeDocument/2006/relationships/externalLinkPath" Target="file:///C:\Users\karan.ved\AppData\Local\Microsoft\Windows\INetCache\Content.Outlook\CYBWLCP3\Draft%20Financial%20Model%20Neogen%20Ionics%2007022024.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Mis_2002\Fte_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Documents%20and%20Settings\ntoshniwal\Local%20Settings\Temp\Documents%20and%20Settings\N.Srinivasu\Desktop\backup\Flash%202003-04\Balance%20Sheet(Original)\31.12.2002\ConsolSkol31122002-ECBD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ujeeb\c\users\JuOliver\Service%20Initiative\Status%20Report\Service%20First%20-%20Scorecard%20DRAFT%20ver%201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rwgp-my.sharepoint.com/Documents%20and%20Settings/NBK4WHH/Local%20Settings/Temporary%20Internet%20Files/OLK235/Documents%20and%20Settings/nbk1dl4/Desktop/Monica's%20Documents/2004%20Plan/summary%20headcou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est\G\Kiran\Consulting\Maker%20Report\Mid%20Market%20hotel%20Maker%20Development,%20Mumbai\Rn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mumsrv62\Mumbai_BookingKeeping_Client\J\FINANSES\Roberts\Darbs\TV3%20Latvia\Reporting\Monthly\Budget\2003\BU%202003%20London%20format%202002-12-1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OSHI\MY%20DOCUMENTS\WINDOWS\Desktop\Manoj%20Gandhi\WINDOWS\DEPR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INGHVI_DEV_UNNI\VOL1\USERS\AUDITS\TAX\44AB\ELITE_AG\1998-99\EAW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rwgp-my.sharepoint.com/INSIGHT/WORK/Collections/2001%20Expense%20Plan/Card%20Collections%20Plan%2004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eport%2005-06\Hard%20Close%20-%20Jan%2006\Documents%20and%20Settings\N.Srinivasu\Desktop\backup\Flash%202003-04\Balance%20Sheet(Original)\31.12.2002\ConsolSkol31122002-ECBD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TD026\SYS\SERVICES\CLOSE\JUL97\MEPK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ls_india\c\DLSI\CostplanInfo\Template-Design%20Devt%20Estimat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GENERAL\India\Utilities\LANCO\Company_docs\New%20Microsoft%20Excel%20Workshe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ujeeb\c\Documents%20and%20Settings\chplumley\My%20Documents\Master%20Versions\COSR\Pilot%20Status%20Reports\Cincinnati-RE%20Status%20Re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S1\OFFSHORE\USERS\NARESH\FIN\HALFYEAR\CONB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1ns000\shares\GROUPS\269_FINANCE\PLANRPT\ACT99\Flash99\FLSH129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rwgp-my.sharepoint.com/Deloitte/BLOCK%20D/Dashboard/Dashboard%20as%20on%2004th%20October,%202006%2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ys1\e\DOCUME~1\sdomingo\LOCALS~1\Temp\Finance%202\FY'03\10.%20Global%20DC\Capital\Reporting\DCN%20Capital%20Summary%20Reports\0503%20DCN%20Capital%20v3.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B:\WINDOWS\DEPR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LTD026\SYS\SERVICES\CLOSE\ROLLTRND.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ujeeb\c\Documents%20and%20Settings\edsmith9\My%20Documents\Block%20D\AV%20gear\av%20for%20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Y:\Gohil-Mumbai\BS-2001-02\JISL\CMA-March%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GENERAL\India\Utilities\LANCO\Company_docs\TEMP\MTNL%20-%2031%20March%20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GPOLbudgetf2002wrk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LTD026\SYS\SERVICES\CLOSE\JUL97\MONTHEN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rwgp-my.sharepoint.com/JOYCE/97LRP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SHARE\IB\PROJECTS\G%20---%20L\JISCO\Jindal%20Files\misc%20files\Model\merged-projection310304%20July%205_DCFv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ys1\e\DOCUME~1\sdomingo\LOCALS~1\Temp\DOCUME~1\ganesh\LOCALS~1\Temp\2002-05%20GEDM%20Staffing%20v2-%20MN%20Upd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inmumfsr10\Mumbai%20BookKeeping%20Client\CJS_SNR\Audit04\Sales_Apr_Mar04.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Stakeholder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Lookup%20Table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WINDOWS\Desktop\New%20BS%2031.12.05\BS%2031.12.2005%20F\New%20Folder\RAKESHB\Bank%20&amp;%20Finance\int.income%20MDD%20&amp;%20HO%2001-02.xlw"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Documents%20and%20Settings\Prasanna.kumar\Local%20Settings\Temporary%20Internet%20Files\OLK51\Documents%20and%20Settings\N.Srinivasu\Desktop\backup\Flash%202003-04\Balance%20Sheet(Original)\31.12.2002\ConsolSkol31122002-ECBD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rwgp-my.sharepoint.com/Documents%20and%20Settings/arzalou/My%20Documents/To%20Frankfurt/RCP%20US%20Sep%20Draft%201026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ys1\e\DOCUME~1\jbellare\LOCALS~1\Temp\Bangalore%201%20Model%20v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rselfsr01\Assurance%203\WORK\&#51064;&#49440;ENT\My%20Documents\work-&#49436;&#51068;\&#51068;&#49340;\&#51068;&#49340;&#54788;&#44552;&#55120;&#47492;&#5436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Y:\CCC\Miscellaneous\Stock%20Take%20310306\Stock%20Reports\K%20M%20Enterprise%20PBPL.xls"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New)"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520%20Loans%20&amp;%20Advances%20Substantive%20Testing"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CCC%20Audit-05\AIL\Accounts\Liability\Creditors\6120%20Creditors%20Analysis%20workbook.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ina\rina\WINDOWS\TEMP\dhsint1004\1611A%20INTEREST%20ACCRUED%20ON%20LOANS%20AS%20ON%2030%20SEP%202004.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Worksheet%20in%205320%20Debtors%20Analysis%20workbook"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8440VA%20Operating%20Expenses%20Substantive%20Testing"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5602%20Fixed%20asset%20Schedule%20and%20Dep%20analyti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O98"/>
      <sheetName val="Actual"/>
      <sheetName val="FeeBasisData"/>
      <sheetName val="Definitions"/>
      <sheetName val="Net turnover 2012 - 2017"/>
      <sheetName val="Receipts 2012 - 2017"/>
      <sheetName val="Scadenze 092017"/>
      <sheetName val="Composition of the overdraft"/>
      <sheetName val="Cash"/>
      <sheetName val="CPI"/>
      <sheetName val="Accounts"/>
      <sheetName val="WP Index - Mont Vlg Gr LP"/>
      <sheetName val="Net_turnover_2012_-_2017"/>
      <sheetName val="Receipts_2012_-_2017"/>
      <sheetName val="Scadenze_092017"/>
      <sheetName val="Composition_of_the_overdraft"/>
      <sheetName val="WP_Index_-_Mont_Vlg_Gr_LP"/>
    </sheetNames>
    <sheetDataSet>
      <sheetData sheetId="0" refreshError="1">
        <row r="266">
          <cell r="AF266" t="str">
            <v>A.ANTERIOR</v>
          </cell>
          <cell r="AS266">
            <v>2.1935859002248929E-2</v>
          </cell>
          <cell r="AT266">
            <v>1.4631836415345668E-2</v>
          </cell>
          <cell r="AU266">
            <v>7.3040281586225922E-3</v>
          </cell>
          <cell r="AV266">
            <v>0</v>
          </cell>
        </row>
        <row r="267">
          <cell r="AF267" t="str">
            <v>I</v>
          </cell>
          <cell r="AS267">
            <v>1.7854305472226908E-2</v>
          </cell>
          <cell r="AT267">
            <v>8.2622433132842118E-3</v>
          </cell>
          <cell r="AU267">
            <v>9.5920624212913422E-3</v>
          </cell>
          <cell r="AV267">
            <v>0</v>
          </cell>
        </row>
        <row r="268">
          <cell r="AF268" t="str">
            <v>II</v>
          </cell>
          <cell r="AS268">
            <v>2.1768498322482427E-2</v>
          </cell>
          <cell r="AT268">
            <v>1.1669673139027914E-2</v>
          </cell>
          <cell r="AU268">
            <v>1.0098827105997084E-2</v>
          </cell>
          <cell r="AV268">
            <v>0</v>
          </cell>
        </row>
        <row r="269">
          <cell r="AF269" t="str">
            <v>III</v>
          </cell>
          <cell r="AS269">
            <v>1.744276296796822E-2</v>
          </cell>
          <cell r="AT269">
            <v>9.8046786450105509E-3</v>
          </cell>
          <cell r="AU269">
            <v>1.8967764228363759E-3</v>
          </cell>
          <cell r="AV269">
            <v>5.7413103259223736E-3</v>
          </cell>
        </row>
        <row r="270">
          <cell r="AF270" t="str">
            <v>IV</v>
          </cell>
          <cell r="AS270">
            <v>1.4039781645026195E-2</v>
          </cell>
          <cell r="AT270">
            <v>5.5442056938716112E-3</v>
          </cell>
          <cell r="AU270">
            <v>3.9232819882024242E-3</v>
          </cell>
          <cell r="AV270">
            <v>4.5722959883731764E-3</v>
          </cell>
        </row>
        <row r="271">
          <cell r="AF271" t="str">
            <v>V</v>
          </cell>
          <cell r="AS271">
            <v>1.4569908265740672E-2</v>
          </cell>
          <cell r="AT271">
            <v>6.069381243101136E-3</v>
          </cell>
          <cell r="AU271">
            <v>4.2884658360237632E-3</v>
          </cell>
          <cell r="AV271">
            <v>4.2120644296352065E-3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CF"/>
      <sheetName val="1201"/>
      <sheetName val="P&amp;L Summary Page"/>
      <sheetName val="Mines"/>
      <sheetName val="1) COMMON FACILITIES"/>
      <sheetName val="tngst1"/>
      <sheetName val="BS MAR03"/>
      <sheetName val="Pole Service Cost 349 Clusters"/>
      <sheetName val="HYD Capex Slide -MIS"/>
      <sheetName val="F"/>
      <sheetName val="vb 9&amp;10"/>
      <sheetName val="CASHFLOWS"/>
      <sheetName val="SUMMARY"/>
      <sheetName val="Schedules PL"/>
      <sheetName val="Schedules BS"/>
      <sheetName val="Rate Analysis"/>
      <sheetName val="2005 Demand"/>
      <sheetName val="2006 Ex-F"/>
      <sheetName val="2005 P&amp;L"/>
      <sheetName val="Sheet1"/>
      <sheetName val="A"/>
      <sheetName val="B_S"/>
      <sheetName val="TargIS"/>
      <sheetName val="TargBSCF"/>
      <sheetName val="kpmg_format"/>
      <sheetName val="PL_sched"/>
      <sheetName val="bs_scd"/>
      <sheetName val="Input"/>
      <sheetName val="6 TRS"/>
      <sheetName val="Annex - 8"/>
      <sheetName val="sheet6"/>
      <sheetName val="Annexure"/>
      <sheetName val="kpmg_format1"/>
      <sheetName val="PL_sched1"/>
      <sheetName val="bs_scd1"/>
      <sheetName val="kpmg_format2"/>
      <sheetName val="PL_sched2"/>
      <sheetName val="bs_scd2"/>
      <sheetName val="kpmg_format3"/>
      <sheetName val="PL_sched3"/>
      <sheetName val="bs_scd3"/>
      <sheetName val="SAFETY"/>
      <sheetName val="DET0900"/>
      <sheetName val="entitlements"/>
      <sheetName val="Assmp"/>
      <sheetName val="BS-R"/>
      <sheetName val="Billing"/>
      <sheetName val="MNP"/>
      <sheetName val="ITT-R"/>
      <sheetName val="Customize Your Purchase Order"/>
      <sheetName val="D.D"/>
      <sheetName val="Joiners TOC"/>
      <sheetName val="Leave"/>
      <sheetName val="Proforma"/>
      <sheetName val="#REF"/>
      <sheetName val="P&amp;L_Summary_Page"/>
      <sheetName val="1)_COMMON_FACILITIES"/>
      <sheetName val="BS_MAR03"/>
      <sheetName val="Pole_Service_Cost_349_Clusters"/>
      <sheetName val="HYD_Capex_Slide_-MIS"/>
      <sheetName val="vb_9&amp;10"/>
      <sheetName val="EAW Final Accounts - 99"/>
      <sheetName val="Accounts"/>
      <sheetName val="DIVBUD99"/>
      <sheetName val="HCO3CD"/>
      <sheetName val="FA Register"/>
      <sheetName val="Location &amp; Dept Master"/>
      <sheetName val="ADD092001_Final"/>
      <sheetName val="gen ledger data"/>
      <sheetName val="Combi"/>
      <sheetName val="master"/>
      <sheetName val="2.Fixed Assets Schedule"/>
      <sheetName val="TYRE1"/>
      <sheetName val="Bal Sheet"/>
      <sheetName val="tbsummary"/>
      <sheetName val="adjsummary"/>
      <sheetName val="additional"/>
      <sheetName val="AS2003"/>
      <sheetName val="KPMG-Schedule-CBL-Final1"/>
      <sheetName val="Revised BS"/>
      <sheetName val="Sender position Oct Mantime"/>
      <sheetName val="CAUSTIC"/>
      <sheetName val="TRIAL BALANCE"/>
      <sheetName val="Sheet2"/>
      <sheetName val="Old"/>
      <sheetName val="Introduction"/>
      <sheetName val="Sheet3"/>
      <sheetName val="Operating Statistics"/>
      <sheetName val="Financials"/>
      <sheetName val="BAL"/>
      <sheetName val="pacific forms"/>
      <sheetName val="pactbformat"/>
      <sheetName val="pe ratio"/>
      <sheetName val="kpmg_format4"/>
      <sheetName val="PL_sched4"/>
      <sheetName val="bs_scd4"/>
      <sheetName val="P&amp;L_Summary_Page1"/>
      <sheetName val="1)_COMMON_FACILITIES1"/>
      <sheetName val="BS_MAR031"/>
      <sheetName val="Pole_Service_Cost_349_Clusters1"/>
      <sheetName val="HYD_Capex_Slide_-MIS1"/>
      <sheetName val="vb_9&amp;101"/>
      <sheetName val="Schedules_PL"/>
      <sheetName val="Schedules_BS"/>
      <sheetName val="Rate_Analysis"/>
      <sheetName val="2005_Demand"/>
      <sheetName val="2006_Ex-F"/>
      <sheetName val="2005_P&amp;L"/>
      <sheetName val="Customize_Your_Purchase_Order"/>
      <sheetName val="6_TRS"/>
      <sheetName val="D_D"/>
      <sheetName val="Annex_-_8"/>
      <sheetName val="EAW_Final_Accounts_-_99"/>
      <sheetName val="Location_&amp;_Dept_Master"/>
      <sheetName val="gen_ledger_data"/>
      <sheetName val="2_Fixed_Assets_Schedule"/>
      <sheetName val="FA_Register"/>
      <sheetName val="Bal_Sheet"/>
      <sheetName val="Revised_BS"/>
      <sheetName val="Sender_position_Oct_Mantime"/>
      <sheetName val="Joiners_TOC"/>
      <sheetName val="TRIAL_BALANCE"/>
      <sheetName val="Operating_Statistics"/>
      <sheetName val="pe_ratio"/>
      <sheetName val="pacific_forms"/>
      <sheetName val="10356"/>
      <sheetName val="IIb"/>
      <sheetName val="FINAL"/>
      <sheetName val="K1-PER"/>
      <sheetName val="FAB별"/>
      <sheetName val="Stock"/>
      <sheetName val="To Day's AR"/>
    </sheetNames>
    <sheetDataSet>
      <sheetData sheetId="0" refreshError="1"/>
      <sheetData sheetId="1" refreshError="1">
        <row r="2">
          <cell r="A2" t="str">
            <v>F05-Jan</v>
          </cell>
        </row>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VARBUD YTD MAY"/>
      <sheetName val="GPVARBUD2000 "/>
      <sheetName val="FINSUM"/>
      <sheetName val="EXP"/>
      <sheetName val="OH"/>
      <sheetName val="OI MT"/>
      <sheetName val="OIRSLACS"/>
      <sheetName val="SHIP MT"/>
      <sheetName val="SHIP RS LACS"/>
      <sheetName val="BL MT"/>
      <sheetName val="BL RS LACS"/>
      <sheetName val="MPOWER"/>
      <sheetName val="BSHEET"/>
      <sheetName val="CSFLOW"/>
      <sheetName val="INV"/>
      <sheetName val="VSE"/>
      <sheetName val="19-PERF"/>
      <sheetName val="SHRS LACS"/>
      <sheetName val="SH RS LACS -MT"/>
      <sheetName val="GPGM"/>
      <sheetName val="OHR"/>
      <sheetName val="OPM%"/>
      <sheetName val="FC"/>
      <sheetName val="NPRS LACS"/>
      <sheetName val="WC"/>
      <sheetName val="INV (2)"/>
      <sheetName val="MC%S"/>
      <sheetName val="ROCE"/>
      <sheetName val="OPM"/>
      <sheetName val="SAL%"/>
      <sheetName val="ADVRS LACS"/>
      <sheetName val="OIEMP"/>
      <sheetName val="SPEMP"/>
      <sheetName val="OPEMP"/>
      <sheetName val="OTP%LC"/>
      <sheetName val="19_PERF"/>
      <sheetName val="Annexures (2)"/>
      <sheetName val="Workings"/>
      <sheetName val="Nov 02 &amp; Dec 02 sal"/>
      <sheetName val="YAAS"/>
      <sheetName val="Page1"/>
      <sheetName val="Assumptions"/>
      <sheetName val="Fcst vs Budgets"/>
      <sheetName val="accumdeprn"/>
      <sheetName val="Financial statements"/>
      <sheetName val="5-F-PAR"/>
      <sheetName val="GRP"/>
      <sheetName val="Settings"/>
      <sheetName val="Sheet1"/>
      <sheetName val="EXP LINE"/>
      <sheetName val="DTCT"/>
      <sheetName val="Exhibit-1"/>
      <sheetName val="POV"/>
      <sheetName val="OUVC"/>
      <sheetName val="120RECV"/>
      <sheetName val="GPVARBUD_YTD_MAY"/>
      <sheetName val="GPVARBUD2000_"/>
      <sheetName val="OI_MT"/>
      <sheetName val="SHIP_MT"/>
      <sheetName val="SHIP_RS_LACS"/>
      <sheetName val="BL_MT"/>
      <sheetName val="BL_RS_LACS"/>
      <sheetName val="SHRS_LACS"/>
      <sheetName val="SH_RS_LACS_-MT"/>
      <sheetName val="NPRS_LACS"/>
      <sheetName val="INV_(2)"/>
      <sheetName val="ADVRS_LACS"/>
      <sheetName val="gl asset &amp; liabilities"/>
      <sheetName val="Lists"/>
      <sheetName val="Sheet3 (2)"/>
      <sheetName val="Sep WorkSheet"/>
      <sheetName val="PL6-Revenue Bridge"/>
      <sheetName val="Fixed asset register"/>
      <sheetName val="XREF"/>
      <sheetName val="lookup"/>
      <sheetName val="TRIAL BALANCE"/>
      <sheetName val="UNIT-II"/>
      <sheetName val="FixCosts"/>
      <sheetName val=""/>
      <sheetName val="Rates"/>
      <sheetName val="MASTER-DOC"/>
      <sheetName val="factor"/>
      <sheetName val="Part A General"/>
      <sheetName val="S2-0 S2-1"/>
      <sheetName val="ICICI"/>
      <sheetName val="HDFC"/>
      <sheetName val="Annexures_(2)"/>
      <sheetName val="Nov_02_&amp;_Dec_02_sal"/>
      <sheetName val="Fcst_vs_Budgets"/>
      <sheetName val="Balance Sheet"/>
      <sheetName val="Inventory Count Sheet "/>
      <sheetName val="lead"/>
      <sheetName val="Section conclusion"/>
      <sheetName val="Working Capital"/>
      <sheetName val="P&amp;L-PTA"/>
      <sheetName val="Inventory-PTA"/>
      <sheetName val="P&amp;L-DMT"/>
      <sheetName val="Raw Material Cost"/>
      <sheetName val="Sales"/>
      <sheetName val="Inventory-DMT"/>
      <sheetName val="Profit and Loss Total"/>
      <sheetName val="EXPENSES"/>
      <sheetName val="P&amp;L"/>
      <sheetName val="Schedules BS"/>
      <sheetName val="Adj. Entry"/>
      <sheetName val="GRATUITY CALCULATOR"/>
      <sheetName val="A3"/>
      <sheetName val="Schedule-Fixed assets "/>
      <sheetName val="Schedule"/>
      <sheetName val="P&amp;L Feb 2001 cumulative"/>
      <sheetName val="Control Panel"/>
      <sheetName val="Ctrl"/>
      <sheetName val="9G"/>
      <sheetName val="Pl-bgt"/>
      <sheetName val="EXP_LINE"/>
      <sheetName val="AC2339"/>
      <sheetName val="BasisDVD"/>
      <sheetName val="Ann I"/>
      <sheetName val="conbs"/>
      <sheetName val="Sub Lead"/>
      <sheetName val="Lead Sheet"/>
      <sheetName val="Check"/>
      <sheetName val="ZF20 clsng"/>
      <sheetName val="Financials Curr Mo"/>
      <sheetName val="Front Sheet"/>
      <sheetName val="DETAILS"/>
      <sheetName val="Summary"/>
      <sheetName val="Additions"/>
      <sheetName val="Original"/>
      <sheetName val="Balance Sheets"/>
      <sheetName val="5"/>
      <sheetName val="List_Info"/>
      <sheetName val="A-100전제"/>
      <sheetName val="Last yr "/>
      <sheetName val="New Grades"/>
      <sheetName val="Grouping"/>
      <sheetName val="TB-SAP"/>
      <sheetName val="Eq. Mobilization"/>
      <sheetName val="Summ"/>
      <sheetName val="Tickmarks"/>
      <sheetName val="Accrued Income"/>
      <sheetName val="var_"/>
      <sheetName val="rej_overs"/>
      <sheetName val="fuel pmt"/>
      <sheetName val="PTEB"/>
      <sheetName val="Control"/>
      <sheetName val="comp."/>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KIRBY INDIA</v>
          </cell>
        </row>
        <row r="2">
          <cell r="B2" t="str">
            <v>BUSINESS PLAN 2000</v>
          </cell>
        </row>
        <row r="3">
          <cell r="B3" t="str">
            <v>MEASUREMENT</v>
          </cell>
          <cell r="G3" t="str">
            <v>BUD 2000</v>
          </cell>
          <cell r="P3" t="str">
            <v>BUD 2000</v>
          </cell>
        </row>
        <row r="4">
          <cell r="B4" t="str">
            <v>CRITERIA</v>
          </cell>
          <cell r="C4" t="str">
            <v>JAN-MAY 00</v>
          </cell>
          <cell r="E4" t="str">
            <v>2000 F</v>
          </cell>
          <cell r="F4" t="str">
            <v>2000B</v>
          </cell>
          <cell r="G4" t="str">
            <v>Q1 2000</v>
          </cell>
          <cell r="I4" t="str">
            <v>Q2 2000</v>
          </cell>
          <cell r="K4" t="str">
            <v>Q3 2000</v>
          </cell>
          <cell r="M4" t="str">
            <v>Q4 2000</v>
          </cell>
          <cell r="P4" t="str">
            <v>JAN</v>
          </cell>
          <cell r="R4" t="str">
            <v>FEB</v>
          </cell>
          <cell r="T4" t="str">
            <v>MAR</v>
          </cell>
          <cell r="V4" t="str">
            <v>APR</v>
          </cell>
          <cell r="X4" t="str">
            <v>MAY</v>
          </cell>
          <cell r="Z4" t="str">
            <v>JUN</v>
          </cell>
          <cell r="AB4" t="str">
            <v>JUL</v>
          </cell>
          <cell r="AD4" t="str">
            <v>AUG</v>
          </cell>
          <cell r="AF4" t="str">
            <v>SEP</v>
          </cell>
          <cell r="AH4" t="str">
            <v>OCT</v>
          </cell>
          <cell r="AJ4" t="str">
            <v>NOV</v>
          </cell>
          <cell r="AL4" t="str">
            <v>DEC</v>
          </cell>
        </row>
        <row r="6">
          <cell r="B6" t="str">
            <v>FINANCIAL</v>
          </cell>
        </row>
        <row r="7">
          <cell r="B7" t="str">
            <v>MATERIAL COST % OF SALES</v>
          </cell>
        </row>
        <row r="8">
          <cell r="B8" t="str">
            <v>MATERIAL COST % OF SALES</v>
          </cell>
        </row>
        <row r="9">
          <cell r="B9" t="str">
            <v xml:space="preserve">    INCL. PROD. SUPPL.</v>
          </cell>
        </row>
        <row r="10">
          <cell r="B10" t="str">
            <v>RETURN ON SALES</v>
          </cell>
        </row>
        <row r="11">
          <cell r="B11" t="str">
            <v>RETURN ON CAPITAL  EMPLOYED</v>
          </cell>
        </row>
        <row r="12">
          <cell r="B12" t="str">
            <v>ASSET UTILISATION</v>
          </cell>
        </row>
        <row r="13">
          <cell r="B13" t="str">
            <v>GROSS MARGIN % ON SHIPMENTS</v>
          </cell>
        </row>
        <row r="14">
          <cell r="B14" t="str">
            <v>OPERATING MARGIN %</v>
          </cell>
        </row>
        <row r="15">
          <cell r="B15" t="str">
            <v>OVER HEAD AS % OF SALES</v>
          </cell>
        </row>
        <row r="16">
          <cell r="B16" t="str">
            <v>SALARY AND RELATED COST AS</v>
          </cell>
        </row>
        <row r="17">
          <cell r="B17" t="str">
            <v xml:space="preserve">   % OF SALES</v>
          </cell>
        </row>
        <row r="18">
          <cell r="B18" t="str">
            <v>ADVT. EXPENSES AS % OF SALES</v>
          </cell>
        </row>
        <row r="19">
          <cell r="B19" t="str">
            <v>ADVT. EXPENSES RS LACS</v>
          </cell>
        </row>
        <row r="20">
          <cell r="B20" t="str">
            <v>SALES/EMP /MTH RS LACS</v>
          </cell>
        </row>
        <row r="21">
          <cell r="B21" t="str">
            <v>SALES/EMP/MTH DIRECT RS LACS</v>
          </cell>
        </row>
        <row r="22">
          <cell r="B22" t="str">
            <v>SALES/EMP/MTH INDIRECT RS LAC</v>
          </cell>
        </row>
        <row r="23">
          <cell r="B23" t="str">
            <v>ORDER INTAKE/EMP/MTH RS LACS</v>
          </cell>
        </row>
        <row r="24">
          <cell r="B24" t="str">
            <v>OPERATING PROFIT / EMP RS LACS</v>
          </cell>
        </row>
        <row r="25">
          <cell r="B25" t="str">
            <v>ACCOUNT RECV. - DAYS</v>
          </cell>
        </row>
        <row r="26">
          <cell r="B26" t="str">
            <v>OT PREMIUM AS % OF NET SALES</v>
          </cell>
        </row>
        <row r="27">
          <cell r="B27" t="str">
            <v>OT PREMIUM AS % OF LABOR</v>
          </cell>
        </row>
        <row r="29">
          <cell r="B29" t="str">
            <v>NON FINANCIAL</v>
          </cell>
        </row>
        <row r="31">
          <cell r="B31" t="str">
            <v>QUOT.TRN.ARND CYCLES-DAYS</v>
          </cell>
        </row>
        <row r="32">
          <cell r="B32" t="str">
            <v>CYCLE TIME FOR APP DRAWINGS,</v>
          </cell>
        </row>
        <row r="33">
          <cell r="B33" t="str">
            <v>DELIVERY,ANCHOR BOLTS ETC</v>
          </cell>
        </row>
        <row r="34">
          <cell r="B34" t="str">
            <v>MACHINE UPTIME %</v>
          </cell>
        </row>
        <row r="35">
          <cell r="B35" t="str">
            <v>MANUFACTURE MH/MT ( GROSS )</v>
          </cell>
        </row>
        <row r="36">
          <cell r="B36" t="str">
            <v>MANUFACTURING MH/MT ( NET )</v>
          </cell>
        </row>
        <row r="37">
          <cell r="B37" t="str">
            <v>ENGN. +DRAFT.  MH/MT</v>
          </cell>
        </row>
        <row r="38">
          <cell r="B38" t="str">
            <v xml:space="preserve">     GROSS</v>
          </cell>
        </row>
        <row r="39">
          <cell r="B39" t="str">
            <v xml:space="preserve">     NET</v>
          </cell>
        </row>
        <row r="40">
          <cell r="B40" t="str">
            <v>TRADE PAYABLE DAYS</v>
          </cell>
        </row>
        <row r="41">
          <cell r="B41" t="str">
            <v>INVENTORY COVER</v>
          </cell>
        </row>
        <row r="42">
          <cell r="B42" t="str">
            <v xml:space="preserve">DIRECT TO INDIRECT </v>
          </cell>
        </row>
        <row r="43">
          <cell r="B43" t="str">
            <v xml:space="preserve">    MANPOWER RATIO</v>
          </cell>
        </row>
        <row r="44">
          <cell r="B44" t="str">
            <v>CLAIMS AS % OF SALES</v>
          </cell>
        </row>
        <row r="45">
          <cell r="B45" t="str">
            <v>CLAIMS  RS LACS</v>
          </cell>
        </row>
        <row r="46">
          <cell r="B46" t="str">
            <v>QUALITY INDEX</v>
          </cell>
        </row>
        <row r="65536">
          <cell r="B65536" t="str">
            <v>KIRBY INDIA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GTI"/>
      <sheetName val="Modems"/>
      <sheetName val="Devices"/>
      <sheetName val="RDC_servers"/>
      <sheetName val="Applications"/>
      <sheetName val="General"/>
      <sheetName val="ISAN-Tech"/>
      <sheetName val="ISAN-CGTI"/>
      <sheetName val="Entrust"/>
      <sheetName val="Entrust Summary"/>
      <sheetName val="Project"/>
      <sheetName val="Snapshot"/>
      <sheetName val="Issues"/>
      <sheetName val="Sheet2"/>
      <sheetName val="19-PER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D4" t="str">
            <v>Phone No.</v>
          </cell>
          <cell r="F4" t="str">
            <v>Phone No.</v>
          </cell>
          <cell r="K4" t="str">
            <v>Phone No.</v>
          </cell>
          <cell r="N4" t="str">
            <v>Discussion of Infosec Issues</v>
          </cell>
        </row>
        <row r="5">
          <cell r="D5" t="str">
            <v>6535717/6535678</v>
          </cell>
          <cell r="F5" t="str">
            <v>6535715/6535634</v>
          </cell>
          <cell r="N5" t="str">
            <v>Refer Issue sheet</v>
          </cell>
        </row>
        <row r="6">
          <cell r="D6" t="str">
            <v>6535716/6535600</v>
          </cell>
          <cell r="F6">
            <v>6535144</v>
          </cell>
          <cell r="N6" t="str">
            <v>Refer Issue sheet</v>
          </cell>
        </row>
        <row r="8">
          <cell r="D8" t="str">
            <v>6535717/6535678</v>
          </cell>
          <cell r="F8">
            <v>6535658</v>
          </cell>
          <cell r="N8" t="str">
            <v>Refer Issue sheet</v>
          </cell>
        </row>
        <row r="10">
          <cell r="D10" t="str">
            <v>6535717/6535678</v>
          </cell>
          <cell r="F10">
            <v>4973720</v>
          </cell>
          <cell r="N10" t="str">
            <v>Refer Issue sheet</v>
          </cell>
        </row>
        <row r="11">
          <cell r="D11" t="str">
            <v>6535716/6535600</v>
          </cell>
          <cell r="F11">
            <v>4954704</v>
          </cell>
          <cell r="N11" t="str">
            <v>Refer Issue sheet</v>
          </cell>
        </row>
        <row r="12">
          <cell r="D12" t="str">
            <v>6535711/6535601</v>
          </cell>
        </row>
        <row r="13">
          <cell r="D13" t="str">
            <v>6535711/6535601</v>
          </cell>
        </row>
        <row r="14">
          <cell r="D14" t="str">
            <v>6535711/6535601</v>
          </cell>
        </row>
        <row r="15">
          <cell r="D15" t="str">
            <v>Pawan Kaushal</v>
          </cell>
        </row>
        <row r="18">
          <cell r="D18">
            <v>6535400</v>
          </cell>
          <cell r="F18" t="str">
            <v>6535420/6535444</v>
          </cell>
          <cell r="N18" t="str">
            <v>Refer Issue sheet</v>
          </cell>
        </row>
        <row r="19">
          <cell r="D19" t="str">
            <v>6535716/6535600</v>
          </cell>
          <cell r="F19">
            <v>6535450</v>
          </cell>
          <cell r="N19" t="str">
            <v>Refer Issue sheet</v>
          </cell>
        </row>
        <row r="20">
          <cell r="D20" t="str">
            <v>011-3347773</v>
          </cell>
          <cell r="F20" t="str">
            <v>011-3347773</v>
          </cell>
          <cell r="N20" t="str">
            <v>Refer Issue sheet</v>
          </cell>
        </row>
        <row r="21">
          <cell r="D21" t="str">
            <v>6535714/6535615</v>
          </cell>
          <cell r="F21" t="str">
            <v>6535714/6535615</v>
          </cell>
          <cell r="N21" t="str">
            <v>Refer Issue sheet</v>
          </cell>
        </row>
        <row r="22">
          <cell r="D22">
            <v>6535677</v>
          </cell>
          <cell r="F22">
            <v>6535677</v>
          </cell>
          <cell r="N22" t="str">
            <v>Refer Issue sheet</v>
          </cell>
        </row>
        <row r="23">
          <cell r="D23" t="str">
            <v>6535716/6535600</v>
          </cell>
          <cell r="F23">
            <v>6535450</v>
          </cell>
          <cell r="N23" t="str">
            <v>Refer Issue sheet</v>
          </cell>
        </row>
        <row r="24">
          <cell r="D24" t="str">
            <v>6535716/6535600</v>
          </cell>
          <cell r="F24" t="str">
            <v>044-8586154</v>
          </cell>
          <cell r="N24" t="str">
            <v>Refer Issue sheet</v>
          </cell>
        </row>
        <row r="25">
          <cell r="D25" t="str">
            <v>6535716/6535600</v>
          </cell>
          <cell r="F25" t="str">
            <v>044-8525086</v>
          </cell>
          <cell r="N25" t="str">
            <v>Refer Issue sheet</v>
          </cell>
        </row>
        <row r="26">
          <cell r="N26" t="str">
            <v>Refer Issue sheet</v>
          </cell>
        </row>
        <row r="27">
          <cell r="D27" t="str">
            <v>6535716/6535600</v>
          </cell>
          <cell r="F27" t="str">
            <v>6535731/6535170</v>
          </cell>
          <cell r="N27" t="str">
            <v>Refer Issue sheet</v>
          </cell>
        </row>
        <row r="28">
          <cell r="D28" t="str">
            <v>6535716/6535600</v>
          </cell>
          <cell r="F28" t="str">
            <v>6535731/6535170</v>
          </cell>
          <cell r="N28" t="str">
            <v>Refer Issue sheet</v>
          </cell>
        </row>
        <row r="29">
          <cell r="D29" t="str">
            <v>6535716/6535600</v>
          </cell>
          <cell r="F29" t="str">
            <v>6535731/6535170</v>
          </cell>
          <cell r="N29" t="str">
            <v>Refer Issue sheet</v>
          </cell>
        </row>
        <row r="30">
          <cell r="D30" t="str">
            <v>6535716/6535600</v>
          </cell>
          <cell r="F30" t="str">
            <v>6535731/6535170</v>
          </cell>
          <cell r="N30" t="str">
            <v>Refer Issue sheet</v>
          </cell>
        </row>
        <row r="31">
          <cell r="D31" t="str">
            <v>6535716/6535600</v>
          </cell>
          <cell r="F31" t="str">
            <v>6535731/6535170</v>
          </cell>
          <cell r="N31" t="str">
            <v>Refer Issue sheet</v>
          </cell>
        </row>
        <row r="32">
          <cell r="D32" t="str">
            <v>6535716/6535600</v>
          </cell>
          <cell r="F32" t="str">
            <v>6535731/6535170</v>
          </cell>
          <cell r="N32" t="str">
            <v>Refer Issue sheet</v>
          </cell>
        </row>
        <row r="33">
          <cell r="D33" t="str">
            <v>6535716/6535600</v>
          </cell>
          <cell r="F33" t="str">
            <v>6535731/6535170</v>
          </cell>
          <cell r="N33" t="str">
            <v>Refer Issue sheet</v>
          </cell>
        </row>
        <row r="34">
          <cell r="D34" t="str">
            <v>6535716/6535600</v>
          </cell>
          <cell r="F34">
            <v>6535161</v>
          </cell>
          <cell r="N34" t="str">
            <v>Refer Issue sheet</v>
          </cell>
        </row>
        <row r="35">
          <cell r="D35" t="str">
            <v>6535716/6535600</v>
          </cell>
          <cell r="F35" t="str">
            <v>011-3710396</v>
          </cell>
          <cell r="N35" t="str">
            <v>Refer Issue sheet</v>
          </cell>
        </row>
        <row r="36">
          <cell r="D36" t="str">
            <v>6535726/6535052</v>
          </cell>
          <cell r="F36" t="str">
            <v>6535726/6535052</v>
          </cell>
          <cell r="N36" t="str">
            <v>Refer Issue sheet</v>
          </cell>
        </row>
        <row r="37">
          <cell r="D37">
            <v>6535500</v>
          </cell>
          <cell r="F37">
            <v>6535500</v>
          </cell>
          <cell r="N37" t="str">
            <v>Refer Issue sheet</v>
          </cell>
        </row>
        <row r="38">
          <cell r="D38" t="str">
            <v>6535725/6535525</v>
          </cell>
          <cell r="F38" t="str">
            <v>6535725/6535525</v>
          </cell>
          <cell r="N38" t="str">
            <v>Refer Issue sheet</v>
          </cell>
        </row>
        <row r="39">
          <cell r="F39">
            <v>4146045</v>
          </cell>
          <cell r="N39" t="str">
            <v>Refer Issue sheet</v>
          </cell>
        </row>
        <row r="40">
          <cell r="F40">
            <v>4146045</v>
          </cell>
          <cell r="N40" t="str">
            <v>Refer Issue sheet</v>
          </cell>
        </row>
        <row r="41">
          <cell r="D41" t="str">
            <v>6535726/6535052</v>
          </cell>
          <cell r="F41">
            <v>6535054</v>
          </cell>
          <cell r="N41" t="str">
            <v>Refer Issue sheet</v>
          </cell>
        </row>
        <row r="42">
          <cell r="D42" t="str">
            <v>6535726/6535052</v>
          </cell>
          <cell r="F42">
            <v>6535437</v>
          </cell>
          <cell r="N42" t="str">
            <v>Refer Issue sheet</v>
          </cell>
        </row>
        <row r="43">
          <cell r="D43" t="str">
            <v>6535709/6535050</v>
          </cell>
          <cell r="F43" t="str">
            <v>6535709/6535050</v>
          </cell>
          <cell r="N43" t="str">
            <v>Refer Issue sheet</v>
          </cell>
        </row>
        <row r="44">
          <cell r="D44" t="str">
            <v>6535825/6535250</v>
          </cell>
          <cell r="F44" t="str">
            <v>6535825/6535250</v>
          </cell>
          <cell r="N44" t="str">
            <v>Refer Issue sheet</v>
          </cell>
        </row>
        <row r="45">
          <cell r="D45">
            <v>6535479</v>
          </cell>
          <cell r="F45">
            <v>6535479</v>
          </cell>
          <cell r="N45" t="str">
            <v>Refer Issue sheet</v>
          </cell>
        </row>
        <row r="46">
          <cell r="D46" t="str">
            <v>6535888/6535015</v>
          </cell>
          <cell r="N46" t="str">
            <v>Refer Issue sheet</v>
          </cell>
        </row>
        <row r="47">
          <cell r="D47" t="str">
            <v>6535701/6535002</v>
          </cell>
          <cell r="F47" t="str">
            <v>6535701/6535002</v>
          </cell>
          <cell r="N47" t="str">
            <v>Refer Issue sheet</v>
          </cell>
        </row>
        <row r="48">
          <cell r="D48">
            <v>4150700</v>
          </cell>
          <cell r="F48" t="str">
            <v>6535810/6535201</v>
          </cell>
          <cell r="N48" t="str">
            <v>Refer Issue sheet</v>
          </cell>
        </row>
        <row r="49">
          <cell r="D49">
            <v>4150700</v>
          </cell>
          <cell r="F49">
            <v>6535268</v>
          </cell>
          <cell r="K49" t="str">
            <v>044 8523233</v>
          </cell>
          <cell r="N49" t="str">
            <v>Refer Issue sheet</v>
          </cell>
        </row>
        <row r="50">
          <cell r="D50" t="str">
            <v>6535711/6535601</v>
          </cell>
          <cell r="F50">
            <v>6535713</v>
          </cell>
          <cell r="N50" t="str">
            <v>Refer Issue sheet</v>
          </cell>
        </row>
        <row r="51">
          <cell r="N51" t="str">
            <v>Refer Issue sheet</v>
          </cell>
        </row>
        <row r="52">
          <cell r="F52" t="str">
            <v>6535716/6535600</v>
          </cell>
          <cell r="K52">
            <v>2691611</v>
          </cell>
          <cell r="N52" t="str">
            <v>Refer Issue sheet</v>
          </cell>
        </row>
      </sheetData>
      <sheetData sheetId="12" refreshError="1"/>
      <sheetData sheetId="13" refreshError="1"/>
      <sheetData sheetId="1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BS"/>
      <sheetName val="금융"/>
      <sheetName val="은행"/>
      <sheetName val="리스"/>
      <sheetName val="보험"/>
      <sheetName val="제조부문배부"/>
      <sheetName val="Sheet11"/>
      <sheetName val="95WBS"/>
      <sheetName val="현금흐름표"/>
      <sheetName val="10한빛"/>
      <sheetName val="Master"/>
      <sheetName val="WELDING"/>
      <sheetName val="PL"/>
      <sheetName val="TEMP1"/>
      <sheetName val="TEMP2"/>
      <sheetName val="_x0000_ "/>
      <sheetName val=""/>
      <sheetName val="Fruit Pending Order"/>
      <sheetName val="B0_111350"/>
      <sheetName val="5"/>
      <sheetName val="LDP 50"/>
      <sheetName val="XREF"/>
      <sheetName val="SALE"/>
      <sheetName val="9910"/>
      <sheetName val="222"/>
      <sheetName val="to_do"/>
      <sheetName val="업무분장_"/>
      <sheetName val="A9-1~5_"/>
      <sheetName val="A9-부2_"/>
      <sheetName val="외상매출금현황-수정분 A2"/>
      <sheetName val="보조부문비배부"/>
      <sheetName val="목표대비(변경전)"/>
      <sheetName val="Tax FY 09-10"/>
      <sheetName val="COND"/>
      <sheetName val="정비손익"/>
      <sheetName val="Sch 7-13"/>
      <sheetName val="_"/>
      <sheetName val="LDP_50"/>
      <sheetName val="? "/>
      <sheetName val="MAR A"/>
      <sheetName val="BND"/>
      <sheetName val="PRDMAR96"/>
      <sheetName val="#REF"/>
      <sheetName val="FDY_PWR"/>
      <sheetName val="Dforgings"/>
      <sheetName val="MISforgeforging"/>
      <sheetName val="IND9899"/>
      <sheetName val="1st"/>
      <sheetName val="Tdep(old)"/>
      <sheetName val="to_do1"/>
      <sheetName val="업무분장_1"/>
      <sheetName val="A9-1~5_1"/>
      <sheetName val="A9-부2_1"/>
      <sheetName val="LDP_501"/>
      <sheetName val="외상매출금현황-수정분_A2"/>
      <sheetName val="Tax_FY_09-10"/>
      <sheetName val="Sch_7-13"/>
      <sheetName val="?_"/>
      <sheetName val="MAR_A"/>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_鉘K_"/>
      <sheetName val="(법인,토지)등기_銨7_"/>
      <sheetName val="(법인,토지)등기_鑀0_"/>
      <sheetName val="(법인,토지)등기_釘6_"/>
      <sheetName val="(법인,토지)등기_x005f_x0002__x005f_x0000_鉘K_"/>
      <sheetName val="(법인,토지)등기_x005f_x0002__x005f_x0000_銨7_"/>
      <sheetName val="(법인,토지)등기_x005f_x0002__x005f_x0000_鑀0_1"/>
      <sheetName val="(법인,토지)등기부등본요_x005f_x0002_"/>
      <sheetName val="(법인,토지)등기_x005f_x0002__x005f_x0000_釘6_1"/>
      <sheetName val="(법인,토지)등기"/>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_1"/>
      <sheetName val="(법인,토지)등기_x005f_x0002__釘6_1"/>
      <sheetName val="(법인,토지)등기_x005f_x005f_x005f_x0002__x005f_x005f_x0"/>
      <sheetName val="(법인,토지)등기부등본요_x005f_x005f_x005f_x0002_"/>
      <sheetName val="(법인,토지)등기_x005f_x0002_"/>
      <sheetName val="(법인,토지)등기_x005f_x0002__x005f_x0000_鑀0_"/>
      <sheetName val="(법인,토지)등기_x005f_x0002__x005f_x0000_釘6_"/>
      <sheetName val="(법인,토지)등기_x005f_x0002__鑀0_"/>
      <sheetName val="(법인,토지)등기_x005f_x0002__釘6_"/>
      <sheetName val="YOEMAGUM"/>
      <sheetName val="Sheet1"/>
      <sheetName val="sch_list_(2)"/>
      <sheetName val="(법인,토지)등기?鉘K_x000a_"/>
      <sheetName val="(법인,토지)등기?銨7_x000a_"/>
      <sheetName val="(법인,토지)등기?鑀0_"/>
      <sheetName val="(법인,토지)등기?釘6_"/>
      <sheetName val="CVBUH2MONTHLY"/>
      <sheetName val="spares_timing"/>
      <sheetName val="PROC_CHARGE"/>
      <sheetName val="부서코드표"/>
      <sheetName val="After_Apr_05_List_rso_dom"/>
      <sheetName val="재고선1"/>
      <sheetName val="oth_exp_final"/>
      <sheetName val="w_o_exp_final_(2)"/>
      <sheetName val="P111-115"/>
      <sheetName val="P248"/>
      <sheetName val="피벗"/>
      <sheetName val="매출"/>
      <sheetName val="W-현원가"/>
      <sheetName val="Reference"/>
      <sheetName val="(법인,토지)등기?鈰_"/>
      <sheetName val="(법인,토지)등기?鈰__"/>
      <sheetName val="finalised"/>
      <sheetName val="Transportation"/>
      <sheetName val="change_fdy"/>
      <sheetName val="501frgmar"/>
      <sheetName val="(법인,토지)등기_x0002__x0000_鉘K_x000a_"/>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법인,토지)등기_x0002__鉘K_"/>
      <sheetName val="(법인,토지)등기_x0002__銨7_"/>
      <sheetName val="(법인,토지)등기_x0002__鑀0."/>
      <sheetName val="(법인,토지)등기_x0002__釘6."/>
      <sheetName val="(법인,토지)등기_x005f_x0002__x005f_x0000_鑀0."/>
      <sheetName val="(법인,토지)등기_x005f_x0002__x005f_x0000_釘6."/>
      <sheetName val="(법인,토지)등기_x0002_"/>
      <sheetName val="(법인,토지)등기_x005f_x0002__鑀0."/>
      <sheetName val="(법인,토지)등기_x005f_x0002__釘6."/>
      <sheetName val="sch_list (2)"/>
      <sheetName val="(법인,토지)등기_x0002_?鉘K_x000a_"/>
      <sheetName val="(법인,토지)등기_x0002_?銨7_x000a_"/>
      <sheetName val="(법인,토지)등기_x0002_?鑀0."/>
      <sheetName val="(법인,토지)등기_x0002_?釘6."/>
      <sheetName val="spares timing"/>
      <sheetName val="PROC CHARGE"/>
      <sheetName val="After Apr 05 List rso dom"/>
      <sheetName val="oth exp final"/>
      <sheetName val="w.o.exp final (2)"/>
      <sheetName val="(법인,토지)등기_x0002_?鈰_x000f_."/>
      <sheetName val="(법인,토지)등기_x0002_?鈰 ."/>
      <sheetName val="change fdy"/>
      <sheetName val="June"/>
      <sheetName val="Ratios"/>
      <sheetName val="_x005f_x0000_ "/>
      <sheetName val="_ "/>
      <sheetName val="현금"/>
      <sheetName val="시산표"/>
      <sheetName val="전문직"/>
      <sheetName val="인턴사원"/>
      <sheetName val="주주명부&lt;끝&gt;"/>
      <sheetName val="DATA"/>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Data validation"/>
      <sheetName val="WEIGHT"/>
      <sheetName val="Cash flow details"/>
      <sheetName val="Assumptions Teesta"/>
      <sheetName val="Equity Requirement Analysis"/>
      <sheetName val="Notes"/>
      <sheetName val="Sheet3 (2)"/>
      <sheetName val="A조서-한서"/>
      <sheetName val="Clause 9"/>
      <sheetName val="Eq. Mobilization"/>
      <sheetName val="Jindal"/>
      <sheetName val="DCF_MREPL"/>
      <sheetName val="LDP_502"/>
      <sheetName val="Tax_FY_09-101"/>
      <sheetName val="외상매출금현황-수정분_A21"/>
      <sheetName val="Sch_7-131"/>
      <sheetName val="?_1"/>
      <sheetName val="MAR_A1"/>
      <sheetName val="Fruit_Pending_Order"/>
      <sheetName val="__"/>
      <sheetName val="_x005f_x005f_x005f_x0000_ "/>
      <sheetName val="(법인,토지)등기_x005f_x005f_x005f_x0002_?鉘K_x005f"/>
      <sheetName val="(법인,토지)등기_x005f_x005f_x005f_x0002_?銨7_x005f"/>
      <sheetName val="(법인,토지)등기_x005f_x005f_x005f_x0002_?鑀0."/>
      <sheetName val="(법인,토지)등기_x005f_x005f_x005f_x0002_?釘6."/>
      <sheetName val="_x005f_x005f_x005f_x005f_x005f_x005f_x005f_x0000_ "/>
      <sheetName val="(법인,토지)등기_x005f_x0002__x005f_x0000_鈰_x005f_x000f_"/>
      <sheetName val="(법인,토지)등기_x005f_x0002__x005f_x0000_鈰 ."/>
      <sheetName val="(법인,토지)등기_x005f_x0002_?鉘K_x005f_x000a_"/>
      <sheetName val="(법인,토지)등기_x005f_x0002_?銨7_x005f_x000a_"/>
      <sheetName val="(법인,토지)등기_x005f_x0002_?鑀0."/>
      <sheetName val="(법인,토지)등기_x005f_x0002_?釘6."/>
      <sheetName val="COUNT STATUS"/>
      <sheetName val="차체"/>
      <sheetName val="BRAKE"/>
      <sheetName val="TOTAL LIST"/>
      <sheetName val="MBLB"/>
      <sheetName val="YM"/>
      <sheetName val="MB51"/>
      <sheetName val="Vendor"/>
      <sheetName val="Daten"/>
      <sheetName val="Drop-Down Lists"/>
      <sheetName val="Wkz_PBD"/>
      <sheetName val="Snapshot"/>
      <sheetName val="Page1"/>
      <sheetName val="(법인,토지)등기_x005f_x0002__鉘K_x005f_x000a_"/>
      <sheetName val="(법인,토지)등기_x005f_x0002__銨7_x005f_x000a_"/>
      <sheetName val="(법인,토지)등기_x005f_x0002__鈰_x005f_x000f_."/>
      <sheetName val="(법인,토지)등기_x005f_x0002__鈰 ."/>
      <sheetName val="(법인,토지)등기鉘K_x005f_x000a_"/>
      <sheetName val="(법인,토지)등기銨7_x005f_x000a_"/>
      <sheetName val="(법인,토지)등기_鉘K_x005f_x000a_"/>
      <sheetName val="(법인,토지)등기_銨7_x005f_x000a_"/>
      <sheetName val="Section"/>
      <sheetName val="실행철강하도"/>
      <sheetName val="현장"/>
      <sheetName val="대손설정"/>
      <sheetName val="크라운"/>
      <sheetName val="97부과내역 "/>
      <sheetName val="승용"/>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x0002__鈰_x000f_."/>
      <sheetName val="(법인,토지)등기_x0002__鈰 ."/>
      <sheetName val="(법인,토지)등기_鉘K_x000a_"/>
      <sheetName val="(법인,토지)등기_銨7_x000a_"/>
      <sheetName val="(법인,토지)등기_x005f_x0002__x0"/>
      <sheetName val="(법인,토지)등기_x005f_x0002_?鉘K_x005f"/>
      <sheetName val="(법인,토지)등기_x005f_x0002_?銨7_x005f"/>
      <sheetName val="切替情報"/>
      <sheetName val="97지급이자"/>
      <sheetName val="(법인,토지)등기_x0002__x0"/>
      <sheetName val="(법인,토지)등기_x0002_?鉘K_x005f"/>
      <sheetName val="(법인,토지)등기_x0002_?銨7_x005f"/>
      <sheetName val="(법인,토지)등기鉘K_"/>
      <sheetName val="(법인,토지)등기銨7_"/>
      <sheetName val="__1"/>
      <sheetName val="(법인,토지)등기_x005f_x005f_x005f_x0002__鉘K_x005f"/>
      <sheetName val="(법인,토지)등기_x005f_x005f_x005f_x0002__銨7_x005f"/>
      <sheetName val="(법인,토지)등기_x005f_x005f_x005f_x0002__鑀0."/>
      <sheetName val="(법인,토지)등기_x005f_x005f_x005f_x0002__釘6."/>
      <sheetName val="(법인,토지)등기_x005f_x0002__鉘K_x005f"/>
      <sheetName val="(법인,토지)등기_x005f_x0002__銨7_x005f"/>
      <sheetName val="(법인,토지)등기_x0002__鉘K_x005f"/>
      <sheetName val="(법인,토지)등기_x0002__銨7_x005f"/>
      <sheetName val="LEDGER"/>
      <sheetName val="SO416"/>
      <sheetName val="Munka1"/>
      <sheetName val="'94자산"/>
      <sheetName val="ST"/>
      <sheetName val="상품입고집계"/>
      <sheetName val="수정시산표"/>
      <sheetName val="과장"/>
      <sheetName val="f_BS"/>
      <sheetName val="Ctrl"/>
      <sheetName val="108.수선비"/>
      <sheetName val="compare2"/>
      <sheetName val="Code"/>
      <sheetName val="시산표12월(수정후)"/>
      <sheetName val="97 사업추정(WEKI)"/>
      <sheetName val="Krw"/>
      <sheetName val="Menu_Link"/>
      <sheetName val="영업외손익등"/>
      <sheetName val="회사정보"/>
      <sheetName val="당좌차월"/>
      <sheetName val="표준 Table_2004년"/>
      <sheetName val="US$ I (SEG.)"/>
      <sheetName val="상품입력"/>
      <sheetName val="원재료입력"/>
      <sheetName val="원97"/>
      <sheetName val="EE118C"/>
      <sheetName val="EE118"/>
      <sheetName val="계정code"/>
      <sheetName val="주메뉴"/>
      <sheetName val="매입유형"/>
      <sheetName val="매입처등록"/>
      <sheetName val="9609Aß"/>
      <sheetName val="⑧미수이자"/>
      <sheetName val="기본사항"/>
      <sheetName val="1공장 재공품생산현황"/>
      <sheetName val="24.보증금(전신전화가입권)"/>
      <sheetName val="금액집계(리포트)"/>
      <sheetName val="배서어음명세서"/>
      <sheetName val="작업일지"/>
      <sheetName val="CAUDIT"/>
      <sheetName val="매  출"/>
      <sheetName val="1-6(반품내역)"/>
      <sheetName val="특판제외"/>
      <sheetName val="24_보증금(전신전화가입권)"/>
      <sheetName val="5-4.생산필요공수및인원"/>
      <sheetName val="PI"/>
      <sheetName val="2.대외공문"/>
      <sheetName val="HP1AMLIST"/>
      <sheetName val="RD제품개발투자비(매가)"/>
      <sheetName val="Variables"/>
      <sheetName val="sheet2"/>
      <sheetName val="Surg.order-sizemix"/>
      <sheetName val="OLD P.S"/>
      <sheetName val="Yr_1997"/>
      <sheetName val="Sep WorkSheet"/>
      <sheetName val="4j_a_"/>
      <sheetName val="to_do3"/>
      <sheetName val="업무분장_3"/>
      <sheetName val="A9-1~5_3"/>
      <sheetName val="A9-부2_3"/>
      <sheetName val="sch_list_(2)3"/>
      <sheetName val="spares_timing3"/>
      <sheetName val="PROC_CHARGE3"/>
      <sheetName val="After_Apr_05_List_rso_dom3"/>
      <sheetName val="Data_validation"/>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96시장예측"/>
      <sheetName val="Sch5TO10"/>
      <sheetName val="PE CHARGES"/>
      <sheetName val="HBI NCD"/>
      <sheetName val="inv07_08"/>
      <sheetName val="Gratuity"/>
      <sheetName val="ROYAL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
          <cell r="A1" t="str">
            <v>감 사 업 무 분 담 표</v>
          </cell>
        </row>
        <row r="45">
          <cell r="F45" t="str">
            <v>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45">
          <cell r="F45" t="str">
            <v>V</v>
          </cell>
        </row>
      </sheetData>
      <sheetData sheetId="105">
        <row r="45">
          <cell r="F45" t="str">
            <v>V</v>
          </cell>
        </row>
      </sheetData>
      <sheetData sheetId="106">
        <row r="45">
          <cell r="F45" t="str">
            <v>V</v>
          </cell>
        </row>
      </sheetData>
      <sheetData sheetId="107">
        <row r="45">
          <cell r="F45" t="str">
            <v>V</v>
          </cell>
        </row>
      </sheetData>
      <sheetData sheetId="108">
        <row r="45">
          <cell r="F45" t="str">
            <v>V</v>
          </cell>
        </row>
      </sheetData>
      <sheetData sheetId="109">
        <row r="45">
          <cell r="F45" t="str">
            <v>V</v>
          </cell>
        </row>
      </sheetData>
      <sheetData sheetId="110">
        <row r="45">
          <cell r="F45" t="str">
            <v>V</v>
          </cell>
        </row>
      </sheetData>
      <sheetData sheetId="111">
        <row r="45">
          <cell r="F45" t="str">
            <v>V</v>
          </cell>
        </row>
      </sheetData>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refreshError="1"/>
      <sheetData sheetId="177" refreshError="1"/>
      <sheetData sheetId="178" refreshError="1"/>
      <sheetData sheetId="179"/>
      <sheetData sheetId="180"/>
      <sheetData sheetId="181"/>
      <sheetData sheetId="182" refreshError="1"/>
      <sheetData sheetId="183" refreshError="1"/>
      <sheetData sheetId="184"/>
      <sheetData sheetId="185" refreshError="1"/>
      <sheetData sheetId="186" refreshError="1"/>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row r="1">
          <cell r="A1" t="str">
            <v>감 사 업 무 분 담 표</v>
          </cell>
        </row>
      </sheetData>
      <sheetData sheetId="368"/>
      <sheetData sheetId="369"/>
      <sheetData sheetId="370"/>
      <sheetData sheetId="371"/>
      <sheetData sheetId="372"/>
      <sheetData sheetId="373"/>
      <sheetData sheetId="374"/>
      <sheetData sheetId="375" refreshError="1"/>
      <sheetData sheetId="376"/>
      <sheetData sheetId="377"/>
      <sheetData sheetId="378"/>
      <sheetData sheetId="379"/>
      <sheetData sheetId="380"/>
      <sheetData sheetId="381"/>
      <sheetData sheetId="382">
        <row r="1">
          <cell r="A1" t="str">
            <v>감 사 업 무 분 담 표</v>
          </cell>
        </row>
      </sheetData>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법인,토지)등기_x0002__x0000_鉘K_x000a_"/>
      <sheetName val=""/>
      <sheetName val="(법인,토지)등기_x0002__x0000_銨7_x000a_"/>
      <sheetName val="(법인,토지)등기_x0002__x0000_鑀0."/>
      <sheetName val="(법인,토지)등기부등본요_x0002_"/>
      <sheetName val="(법인,토지)등기_x0002__x0000_釘6."/>
      <sheetName val="(법인,토지)등기_x0002__x0000_鈰_x000f_."/>
      <sheetName val="(법인,토지)등기_x0002__x0000_鈰 ."/>
      <sheetName val="YOEMAGUM"/>
      <sheetName val="95WBS"/>
      <sheetName val="현금흐름표"/>
      <sheetName val="Sheet1"/>
      <sheetName val="sch_list (2)"/>
      <sheetName val="(법인,토지)등기_x0002_?鉘K_x000a_"/>
      <sheetName val="(법인,토지)등기_x0002_?銨7_x000a_"/>
      <sheetName val="(법인,토지)등기_x0002_?鑀0."/>
      <sheetName val="(법인,토지)등기_x0002_?釘6."/>
      <sheetName val="보조부문비배부"/>
      <sheetName val="(법인,토지)등기_x0002_"/>
      <sheetName val="MISforgeforging"/>
      <sheetName val="CVBUH2MONTHLY"/>
      <sheetName val="spares timing"/>
      <sheetName val="PROC CHARGE"/>
      <sheetName val="222"/>
      <sheetName val="부서코드표"/>
      <sheetName val="After Apr 05 List rso dom"/>
      <sheetName val="재고선1"/>
      <sheetName val="oth exp final"/>
      <sheetName val="w.o.exp final (2)"/>
      <sheetName val="P111-115"/>
      <sheetName val="P248"/>
      <sheetName val="피벗"/>
      <sheetName val="10한빛"/>
      <sheetName val="BS"/>
      <sheetName val="금융"/>
      <sheetName val="은행"/>
      <sheetName val="리스"/>
      <sheetName val="보험"/>
      <sheetName val="제조부문배부"/>
      <sheetName val="Sheet11"/>
      <sheetName val="Master"/>
      <sheetName val="WELDING"/>
      <sheetName val="PL"/>
      <sheetName val="TEMP1"/>
      <sheetName val="TEMP2"/>
      <sheetName val="_x0000_ "/>
      <sheetName val="매출"/>
      <sheetName val="W-현원가"/>
      <sheetName val="(법인,토지)등기_x0002__鉘K_"/>
      <sheetName val="(법인,토지)등기_x0002__銨7_"/>
      <sheetName val="(법인,토지)등기_x0002__鑀0."/>
      <sheetName val="(법인,토지)등기_x0002__釘6."/>
      <sheetName val="Reference"/>
      <sheetName val="(법인,토지)등기_x0002_?鈰_x000f_."/>
      <sheetName val="(법인,토지)등기_x0002_?鈰 ."/>
      <sheetName val="BND"/>
      <sheetName val="PRDMAR96"/>
      <sheetName val="#REF"/>
      <sheetName val="FDY_PWR"/>
      <sheetName val="Dforgings"/>
      <sheetName val="IND9899"/>
      <sheetName val="1st"/>
      <sheetName val="Tdep(old)"/>
      <sheetName val="finalised"/>
      <sheetName val="Transportation"/>
      <sheetName val="change fdy"/>
      <sheetName val="501frgmar"/>
      <sheetName val="DATA"/>
      <sheetName val="to_do"/>
      <sheetName val="업무분장_"/>
      <sheetName val="A9-1~5_"/>
      <sheetName val="A9-부2_"/>
      <sheetName val="(법인,토지)등기鉘K_x000a_"/>
      <sheetName val="(법인,토지)등기銨7_x000a_"/>
      <sheetName val="(법인,토지)등기鑀0_"/>
      <sheetName val="(법인,토지)등기부등본요"/>
      <sheetName val="(법인,토지)등기釘6_"/>
      <sheetName val="(법인,토지)등기鈰_"/>
      <sheetName val="(법인,토지)등기鈰__"/>
      <sheetName val="(법인,토지)등기?鉘K_x000a_"/>
      <sheetName val="(법인,토지)등기?銨7_x000a_"/>
      <sheetName val="(법인,토지)등기?鑀0_"/>
      <sheetName val="(법인,토지)등기?釘6_"/>
      <sheetName val="sch_list_(2)"/>
      <sheetName val="spares_timing"/>
      <sheetName val="PROC_CHARGE"/>
      <sheetName val="After_Apr_05_List_rso_dom"/>
      <sheetName val="to_do1"/>
      <sheetName val="업무분장_1"/>
      <sheetName val="A9-1~5_1"/>
      <sheetName val="A9-부2_1"/>
      <sheetName val="sch_list_(2)1"/>
      <sheetName val="spares_timing1"/>
      <sheetName val="PROC_CHARGE1"/>
      <sheetName val="After_Apr_05_List_rso_dom1"/>
      <sheetName val="to_do2"/>
      <sheetName val="업무분장_2"/>
      <sheetName val="A9-1~5_2"/>
      <sheetName val="A9-부2_2"/>
      <sheetName val="sch_list_(2)2"/>
      <sheetName val="spares_timing2"/>
      <sheetName val="PROC_CHARGE2"/>
      <sheetName val="After_Apr_05_List_rso_dom2"/>
      <sheetName val="B0_111350"/>
      <sheetName val="5"/>
      <sheetName val="LDP 50"/>
      <sheetName val="XREF"/>
      <sheetName val="Ratios"/>
      <sheetName val="9910"/>
      <sheetName val="SALE"/>
      <sheetName val="? "/>
      <sheetName val="(법인,토지)등기_x005f_x0002__x005f_x0000_鉘K_"/>
      <sheetName val="(법인,토지)등기_x005f_x0002__x005f_x0000_銨7_"/>
      <sheetName val="(법인,토지)등기_x005f_x0002__x005f_x0000_鑀0."/>
      <sheetName val="(법인,토지)등기부등본요_x005f_x0002_"/>
      <sheetName val="(법인,토지)등기_x005f_x0002__x005f_x0000_釘6."/>
      <sheetName val="(법인,토지)등기_x005f_x0002__x005f_x0000_鉘K_x000a"/>
      <sheetName val="(법인,토지)등기_x005f_x0002__x005f_x0000_銨7_x000a"/>
      <sheetName val="(법인,토지)등기_x005f_x0002__鉘K_"/>
      <sheetName val="(법인,토지)등기_x005f_x0002__銨7_"/>
      <sheetName val="(법인,토지)등기_x005f_x0002__鑀0."/>
      <sheetName val="(법인,토지)등기_x005f_x0002__釘6."/>
      <sheetName val="(법인,토지)등기_x005f_x005f_x005f_x0002__x005f_x005f_x0"/>
      <sheetName val="(법인,토지)등기부등본요_x005f_x005f_x005f_x0002_"/>
      <sheetName val="(법인,토지)등기_x005f_x0002_"/>
      <sheetName val="(법인,토지)등기_鉘K_"/>
      <sheetName val="(법인,토지)등기_銨7_"/>
      <sheetName val="(법인,토지)등기_鑀0_"/>
      <sheetName val="(법인,토지)등기_釘6_"/>
      <sheetName val="(법인,토지)등기_x005f_x0002__x005f_x0000_鑀0_"/>
      <sheetName val="(법인,토지)등기_x005f_x0002__x005f_x0000_釘6_"/>
      <sheetName val="(법인,토지)등기"/>
      <sheetName val="(법인,토지)등기_x005f_x0002__鑀0_"/>
      <sheetName val="(법인,토지)등기_x005f_x0002__釘6_"/>
      <sheetName val="(법인,토지)등기_x005f_x0002__x005f_x0000_鑀0_1"/>
      <sheetName val="(법인,토지)등기_x005f_x0002__x005f_x0000_釘6_1"/>
      <sheetName val="(법인,토지)등기_x005f_x0002__鑀0_1"/>
      <sheetName val="(법인,토지)등기_x005f_x0002__釘6_1"/>
      <sheetName val="oth_exp_final"/>
      <sheetName val="w_o_exp_final_(2)"/>
      <sheetName val="_"/>
      <sheetName val="(법인,토지)등기?鈰_"/>
      <sheetName val="(법인,토지)등기?鈰__"/>
      <sheetName val="change_fdy"/>
      <sheetName val="LDP_50"/>
      <sheetName val="Tax_FY_09-10"/>
      <sheetName val="외상매출금현황-수정분_A2"/>
      <sheetName val="목표대비(변경전)"/>
      <sheetName val="4j_a_"/>
      <sheetName val="Tax FY 09-10"/>
      <sheetName val="외상매출금현황-수정분 A2"/>
      <sheetName val="Data validation"/>
      <sheetName val="to_do3"/>
      <sheetName val="업무분장_3"/>
      <sheetName val="A9-1~5_3"/>
      <sheetName val="A9-부2_3"/>
      <sheetName val="sch_list_(2)3"/>
      <sheetName val="spares_timing3"/>
      <sheetName val="PROC_CHARGE3"/>
      <sheetName val="After_Apr_05_List_rso_dom3"/>
      <sheetName val="Data_validation"/>
      <sheetName val="total"/>
      <sheetName val="to_do4"/>
      <sheetName val="업무분장_4"/>
      <sheetName val="A9-1~5_4"/>
      <sheetName val="A9-부2_4"/>
      <sheetName val="sch_list_(2)4"/>
      <sheetName val="spares_timing4"/>
      <sheetName val="PROC_CHARGE4"/>
      <sheetName val="After_Apr_05_List_rso_dom4"/>
      <sheetName val="oth_exp_final1"/>
      <sheetName val="w_o_exp_final_(2)1"/>
      <sheetName val="change_fdy1"/>
      <sheetName val="(법인,토지)등기_x005f_x0002__x005f_x0000_鈰_x005f_x000f_"/>
      <sheetName val="(법인,토지)등기_x005f_x0002__x005f_x0000_鈰 ."/>
      <sheetName val="(법인,토지)등기_x005f_x0002__鉘K_x005f_x000a_"/>
      <sheetName val="(법인,토지)등기_x005f_x0002__銨7_x005f_x000a_"/>
      <sheetName val="(법인,토지)등기鉘K_x005f_x000a_"/>
      <sheetName val="(법인,토지)등기銨7_x005f_x000a_"/>
      <sheetName val="(법인,토지)등기_鉘K_x005f_x000a_"/>
      <sheetName val="(법인,토지)등기_銨7_x005f_x000a_"/>
      <sheetName val="_x005f_x0000_ "/>
      <sheetName val="(법인,토지)등기_x005f_x0002__鈰_x005f_x000f_."/>
      <sheetName val="(법인,토지)등기_x005f_x0002__鈰 ."/>
      <sheetName val="WEIGHT"/>
      <sheetName val="96시장예측"/>
      <sheetName val="Sch5TO10"/>
      <sheetName val="PE CHARGES"/>
      <sheetName val="Sheet3 (2)"/>
      <sheetName val="주주명부&lt;끝&gt;"/>
      <sheetName val="COND"/>
      <sheetName val="Sch 7-13"/>
      <sheetName val="정비손익"/>
      <sheetName val="MAR A"/>
      <sheetName val="TAX"/>
      <sheetName val="NAV"/>
      <sheetName val="Jindal"/>
      <sheetName val="Fruit Pending Order"/>
      <sheetName val="LDP_501"/>
      <sheetName val="?_"/>
      <sheetName val="Data_validation1"/>
      <sheetName val="(법인,토지)등기_x0002__鈰_x000f_."/>
      <sheetName val="(법인,토지)등기_x0002__鈰 ."/>
      <sheetName val="(법인,토지)등기鉘K_"/>
      <sheetName val="(법인,토지)등기銨7_"/>
      <sheetName val="(법인,토지)등기_鈰_"/>
      <sheetName val="(법인,토지)등기_鈰__"/>
      <sheetName val="_ "/>
      <sheetName val="MPFCons"/>
      <sheetName val="MPF2"/>
      <sheetName val="CSM with CKD"/>
      <sheetName val="A조서-한서"/>
      <sheetName val="(법인,토지)등기_x005f_x005f_x005f_x0002_?鉘K_x005f"/>
      <sheetName val="(법인,토지)등기_x005f_x005f_x005f_x0002_?銨7_x005f"/>
      <sheetName val="(법인,토지)등기_x005f_x005f_x005f_x0002_?鑀0."/>
      <sheetName val="(법인,토지)등기_x005f_x005f_x005f_x0002_?釘6."/>
      <sheetName val="(법인,토지)등기_x005f_x005f_x005f_x0002_"/>
      <sheetName val="(법인,토지)등기_x005f_x005f_x005f_x0002__鉘K_"/>
      <sheetName val="(법인,토지)등기_x005f_x005f_x005f_x0002__銨7_"/>
      <sheetName val="(법인,토지)등기_x005f_x005f_x005f_x0002__鑀0."/>
      <sheetName val="(법인,토지)등기_x005f_x005f_x005f_x0002__釘6."/>
      <sheetName val="_x005f_x005f_x005f_x0000_ "/>
      <sheetName val="(법인,토지)등기_x005f_x005f_x005f_x0002_?鈰_x005f_x005f_"/>
      <sheetName val="(법인,토지)등기_x005f_x005f_x005f_x0002_?鈰 ."/>
      <sheetName val="(법인,토지)등기鉘K_x005f_x005f_x005f_x000a_"/>
      <sheetName val="(법인,토지)등기銨7_x005f_x005f_x005f_x000a_"/>
      <sheetName val="(법인,토지)등기?鉘K_x005f_x005f_x005f_x000a_"/>
      <sheetName val="(법인,토지)등기?銨7_x005f_x005f_x005f_x000a_"/>
      <sheetName val="(법인,토지)등기_x005f_x005f_x005f_x005f_x005f_x005f_x00"/>
      <sheetName val="(법인,토지)등기부등본요_x005f_x005f_x005f_x005f_x005f"/>
      <sheetName val="(법인,토지)등기鉘K_x005f_x005f_x005f_x005f_x005f_x005f_x"/>
      <sheetName val="(법인,토지)등기銨7_x005f_x005f_x005f_x005f_x005f_x005f_x"/>
      <sheetName val="(법인,토지)등기_鉘K_x005f_x005f_x005f_x005f_x005f_x005f_"/>
      <sheetName val="(법인,토지)등기_銨7_x005f_x005f_x005f_x005f_x005f_x005f_"/>
      <sheetName val="_x005f_x005f_x005f_x005f_x005f_x005f_x005f_x0000_ "/>
      <sheetName val="(법인,토지)등기_x005f_x0002_?鉘K_x005f_x000a_"/>
      <sheetName val="(법인,토지)등기_x005f_x0002_?銨7_x005f_x000a_"/>
      <sheetName val="(법인,토지)등기_x005f_x0002_?鑀0."/>
      <sheetName val="(법인,토지)등기_x005f_x0002_?釘6."/>
      <sheetName val="(법인,토지)등기_x005f_x0002_?鈰_x005f_x000f_."/>
      <sheetName val="(법인,토지)등기_x005f_x0002_?鈰 ."/>
      <sheetName val="(법인,토지)등기?鉘K_x005f_x000a_"/>
      <sheetName val="(법인,토지)등기?銨7_x005f_x000a_"/>
      <sheetName val="(법인,토지)등기_x005f_x005f_x005f_x0002__鉘K_x005f"/>
      <sheetName val="(법인,토지)등기_x005f_x005f_x005f_x0002__銨7_x005f"/>
      <sheetName val="(법인,토지)등기_鉘K_x005f_x005f_x005f_x000a_"/>
      <sheetName val="(법인,토지)등기_銨7_x005f_x005f_x005f_x000a_"/>
      <sheetName val="(법인,토지)등기_x005f_x005f_x005f_x0002__鈰_x005f_x005f_"/>
      <sheetName val="(법인,토지)등기_x005f_x005f_x005f_x0002__鈰 ."/>
      <sheetName val="A-100전제"/>
      <sheetName val="시설투자"/>
      <sheetName val="Analysis"/>
      <sheetName val="CASH FLO"/>
      <sheetName val="SPC-OC"/>
      <sheetName val="B"/>
      <sheetName val="Sheet2"/>
      <sheetName val="Pg 1,2"/>
      <sheetName val="Schedules PL"/>
      <sheetName val="Schedules BS"/>
      <sheetName val="PTP-Normal"/>
      <sheetName val="56"/>
      <sheetName val="Lists"/>
      <sheetName val="to_do5"/>
      <sheetName val="업무분장_5"/>
      <sheetName val="A9-1~5_5"/>
      <sheetName val="A9-부2_5"/>
      <sheetName val="Pg_1,2"/>
      <sheetName val="sch_list_(2)5"/>
      <sheetName val="spares_timing5"/>
      <sheetName val="PROC_CHARGE5"/>
      <sheetName val="After_Apr_05_List_rso_dom5"/>
      <sheetName val="oth_exp_final2"/>
      <sheetName val="w_o_exp_final_(2)2"/>
      <sheetName val="Schedules_PL"/>
      <sheetName val="Schedules_BS"/>
      <sheetName val="change_fdy2"/>
      <sheetName val="집계표"/>
      <sheetName val="수정시산표"/>
      <sheetName val="크라운"/>
      <sheetName val="(법인,토지)등기_x0002__x0000_鉘K_x000a"/>
      <sheetName val="(법인,토지)등기_x0002__x0000_銨7_x000a"/>
      <sheetName val="(법인,토지)등기_x0002__x0000_鈰_x000f_"/>
      <sheetName val="(법인,토지)등기_x0002__鉘K_x000a_"/>
      <sheetName val="(법인,토지)등기_x0002__銨7_x000a_"/>
      <sheetName val="(법인,토지)등기_鉘K_x000a_"/>
      <sheetName val="(법인,토지)등기_銨7_x000a_"/>
      <sheetName val="(법인,토지)등기_x0002__x0000_鉘K_"/>
      <sheetName val="(법인,토지)등기_x0002__x0000_銨7_"/>
      <sheetName val="(법인,토지)등기_x005f_x0002__鉘K_x005f"/>
      <sheetName val="(법인,토지)등기_x005f_x0002__銨7_x005f"/>
      <sheetName val="(법인,토지)등기부등본요_x005f_x005f_x005f"/>
      <sheetName val="(법인,토지)등기_x005f_x0002_?鉘K_x005f"/>
      <sheetName val="(법인,토지)등기_x005f_x0002_?銨7_x005f"/>
      <sheetName val="(법인,토지)등기_x005f_x0002__x0"/>
      <sheetName val="(법인,토지)등기_x005f_x0002__鈰_"/>
      <sheetName val="(법인,토지)등기_x005f_x005f_x00"/>
      <sheetName val="(법인,토지)등기_x005f_x0002_?鈰_"/>
      <sheetName val="(법인,토지)등기鉘K_x005f_x005f_x"/>
      <sheetName val="(법인,토지)등기銨7_x005f_x005f_x"/>
      <sheetName val="(법인,토지)등기_鉘K_x005f_x005f_"/>
      <sheetName val="(법인,토지)등기_銨7_x005f_x005f_"/>
      <sheetName val="Yr_1997"/>
      <sheetName val="HBI NCD"/>
      <sheetName val="GRATUITY CALCULATOR"/>
      <sheetName val="Customize Your Invoice"/>
      <sheetName val="(법인,토지)등기_x0002__鉘K_x005f"/>
      <sheetName val="(법인,토지)등기_x0002__銨7_x005f"/>
      <sheetName val="(법인,토지)등기_x0002_?鉘K_x005f"/>
      <sheetName val="(법인,토지)등기_x0002_?銨7_x005f"/>
      <sheetName val="(법인,토지)등기_x0002__x0"/>
      <sheetName val="(법인,토지)등기_x0002__鈰_"/>
      <sheetName val="(법인,토지)등기_x0002_?鈰_"/>
      <sheetName val="(법인,토지)등기부등본요_x005f"/>
      <sheetName val="(법인,토지)등기_x00"/>
      <sheetName val="(법인,토지)등기鉘K_x"/>
      <sheetName val="(법인,토지)등기銨7_x"/>
      <sheetName val="M.I.S."/>
      <sheetName val="Stock &amp;D"/>
      <sheetName val="__"/>
      <sheetName val="Sch_7-13"/>
      <sheetName val="MAR_A"/>
      <sheetName val="현금"/>
      <sheetName val="시산표"/>
      <sheetName val="전문직"/>
      <sheetName val="인턴사원"/>
      <sheetName val="Notes"/>
      <sheetName val="June"/>
      <sheetName val="Cash flow details"/>
      <sheetName val="Assumptions Teesta"/>
      <sheetName val="Equity Requirement Analysis"/>
      <sheetName val="Clause 9"/>
      <sheetName val="Eq. Mobilization"/>
      <sheetName val="standards trend (4)"/>
      <sheetName val="Sales Initiation (5)"/>
      <sheetName val="Timing-1 (6)"/>
      <sheetName val="dashboard (1)"/>
      <sheetName val="Range"/>
      <sheetName val="TOC"/>
      <sheetName val="00년거래처별실적"/>
      <sheetName val="대외공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row r="1">
          <cell r="A1" t="str">
            <v>감 사 업 무 분 담 표</v>
          </cell>
        </row>
      </sheetData>
      <sheetData sheetId="129"/>
      <sheetData sheetId="130">
        <row r="1">
          <cell r="A1" t="str">
            <v>감 사 업 무 분 담 표</v>
          </cell>
        </row>
      </sheetData>
      <sheetData sheetId="131"/>
      <sheetData sheetId="132"/>
      <sheetData sheetId="133"/>
      <sheetData sheetId="134">
        <row r="1">
          <cell r="A1" t="str">
            <v>감 사 업 무 분 담 표</v>
          </cell>
        </row>
      </sheetData>
      <sheetData sheetId="135">
        <row r="1">
          <cell r="A1" t="str">
            <v>감 사 업 무 분 담 표</v>
          </cell>
        </row>
      </sheetData>
      <sheetData sheetId="136">
        <row r="1">
          <cell r="A1" t="str">
            <v>감 사 업 무 분 담 표</v>
          </cell>
        </row>
      </sheetData>
      <sheetData sheetId="137">
        <row r="1">
          <cell r="A1" t="str">
            <v>감 사 업 무 분 담 표</v>
          </cell>
        </row>
      </sheetData>
      <sheetData sheetId="138"/>
      <sheetData sheetId="139"/>
      <sheetData sheetId="140">
        <row r="1">
          <cell r="A1" t="str">
            <v>감 사 업 무 분 담 표</v>
          </cell>
        </row>
      </sheetData>
      <sheetData sheetId="141">
        <row r="1">
          <cell r="A1" t="str">
            <v>감 사 업 무 분 담 표</v>
          </cell>
        </row>
      </sheetData>
      <sheetData sheetId="142">
        <row r="1">
          <cell r="A1" t="str">
            <v>감 사 업 무 분 담 표</v>
          </cell>
        </row>
      </sheetData>
      <sheetData sheetId="143">
        <row r="1">
          <cell r="A1" t="str">
            <v>감 사 업 무 분 담 표</v>
          </cell>
        </row>
      </sheetData>
      <sheetData sheetId="144">
        <row r="1">
          <cell r="A1" t="str">
            <v>감 사 업 무 분 담 표</v>
          </cell>
        </row>
      </sheetData>
      <sheetData sheetId="145">
        <row r="1">
          <cell r="A1" t="str">
            <v>감 사 업 무 분 담 표</v>
          </cell>
        </row>
      </sheetData>
      <sheetData sheetId="146">
        <row r="1">
          <cell r="A1" t="str">
            <v>감 사 업 무 분 담 표</v>
          </cell>
        </row>
      </sheetData>
      <sheetData sheetId="147">
        <row r="1">
          <cell r="A1" t="str">
            <v>감 사 업 무 분 담 표</v>
          </cell>
        </row>
      </sheetData>
      <sheetData sheetId="148"/>
      <sheetData sheetId="149"/>
      <sheetData sheetId="150">
        <row r="1">
          <cell r="A1" t="str">
            <v>감 사 업 무 분 담 표</v>
          </cell>
        </row>
      </sheetData>
      <sheetData sheetId="151">
        <row r="1">
          <cell r="A1" t="str">
            <v>감 사 업 무 분 담 표</v>
          </cell>
        </row>
      </sheetData>
      <sheetData sheetId="152">
        <row r="1">
          <cell r="A1" t="str">
            <v>감 사 업 무 분 담 표</v>
          </cell>
        </row>
      </sheetData>
      <sheetData sheetId="153">
        <row r="1">
          <cell r="A1" t="str">
            <v>감 사 업 무 분 담 표</v>
          </cell>
        </row>
      </sheetData>
      <sheetData sheetId="154">
        <row r="1">
          <cell r="A1" t="str">
            <v>감 사 업 무 분 담 표</v>
          </cell>
        </row>
      </sheetData>
      <sheetData sheetId="155"/>
      <sheetData sheetId="156">
        <row r="1">
          <cell r="A1" t="str">
            <v>감 사 업 무 분 담 표</v>
          </cell>
        </row>
      </sheetData>
      <sheetData sheetId="157">
        <row r="1">
          <cell r="A1" t="str">
            <v>감 사 업 무 분 담 표</v>
          </cell>
        </row>
      </sheetData>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1">
          <cell r="A1" t="str">
            <v>감 사 업 무 분 담 표</v>
          </cell>
        </row>
      </sheetData>
      <sheetData sheetId="181">
        <row r="1">
          <cell r="A1" t="str">
            <v>감 사 업 무 분 담 표</v>
          </cell>
        </row>
      </sheetData>
      <sheetData sheetId="182">
        <row r="1">
          <cell r="A1" t="str">
            <v>감 사 업 무 분 담 표</v>
          </cell>
        </row>
      </sheetData>
      <sheetData sheetId="183">
        <row r="1">
          <cell r="A1" t="str">
            <v>감 사 업 무 분 담 표</v>
          </cell>
        </row>
      </sheetData>
      <sheetData sheetId="184">
        <row r="1">
          <cell r="A1" t="str">
            <v>감 사 업 무 분 담 표</v>
          </cell>
        </row>
      </sheetData>
      <sheetData sheetId="185">
        <row r="1">
          <cell r="A1" t="str">
            <v>감 사 업 무 분 담 표</v>
          </cell>
        </row>
      </sheetData>
      <sheetData sheetId="186">
        <row r="1">
          <cell r="A1" t="str">
            <v>감 사 업 무 분 담 표</v>
          </cell>
        </row>
      </sheetData>
      <sheetData sheetId="187">
        <row r="1">
          <cell r="A1" t="str">
            <v>감 사 업 무 분 담 표</v>
          </cell>
        </row>
      </sheetData>
      <sheetData sheetId="188">
        <row r="1">
          <cell r="A1" t="str">
            <v>감 사 업 무 분 담 표</v>
          </cell>
        </row>
      </sheetData>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ow r="1">
          <cell r="A1" t="str">
            <v>감 사 업 무 분 담 표</v>
          </cell>
        </row>
      </sheetData>
      <sheetData sheetId="208">
        <row r="1">
          <cell r="A1" t="str">
            <v>감 사 업 무 분 담 표</v>
          </cell>
        </row>
      </sheetData>
      <sheetData sheetId="209">
        <row r="1">
          <cell r="A1" t="str">
            <v>감 사 업 무 분 담 표</v>
          </cell>
        </row>
      </sheetData>
      <sheetData sheetId="210">
        <row r="1">
          <cell r="A1" t="str">
            <v>감 사 업 무 분 담 표</v>
          </cell>
        </row>
      </sheetData>
      <sheetData sheetId="211">
        <row r="1">
          <cell r="A1" t="str">
            <v>감 사 업 무 분 담 표</v>
          </cell>
        </row>
      </sheetData>
      <sheetData sheetId="212">
        <row r="1">
          <cell r="A1" t="str">
            <v>감 사 업 무 분 담 표</v>
          </cell>
        </row>
      </sheetData>
      <sheetData sheetId="213">
        <row r="1">
          <cell r="A1" t="str">
            <v>감 사 업 무 분 담 표</v>
          </cell>
        </row>
      </sheetData>
      <sheetData sheetId="214">
        <row r="1">
          <cell r="A1" t="str">
            <v>감 사 업 무 분 담 표</v>
          </cell>
        </row>
      </sheetData>
      <sheetData sheetId="215">
        <row r="1">
          <cell r="A1" t="str">
            <v>감 사 업 무 분 담 표</v>
          </cell>
        </row>
      </sheetData>
      <sheetData sheetId="216" refreshError="1"/>
      <sheetData sheetId="217">
        <row r="1">
          <cell r="A1" t="str">
            <v>감 사 업 무 분 담 표</v>
          </cell>
        </row>
      </sheetData>
      <sheetData sheetId="218">
        <row r="1">
          <cell r="A1" t="str">
            <v>감 사 업 무 분 담 표</v>
          </cell>
        </row>
      </sheetData>
      <sheetData sheetId="219">
        <row r="1">
          <cell r="A1" t="str">
            <v>감 사 업 무 분 담 표</v>
          </cell>
        </row>
      </sheetData>
      <sheetData sheetId="220">
        <row r="1">
          <cell r="A1" t="str">
            <v>감 사 업 무 분 담 표</v>
          </cell>
        </row>
      </sheetData>
      <sheetData sheetId="221">
        <row r="1">
          <cell r="A1" t="str">
            <v>감 사 업 무 분 담 표</v>
          </cell>
        </row>
      </sheetData>
      <sheetData sheetId="222">
        <row r="1">
          <cell r="A1" t="str">
            <v>감 사 업 무 분 담 표</v>
          </cell>
        </row>
      </sheetData>
      <sheetData sheetId="223">
        <row r="1">
          <cell r="A1" t="str">
            <v>감 사 업 무 분 담 표</v>
          </cell>
        </row>
      </sheetData>
      <sheetData sheetId="224">
        <row r="1">
          <cell r="A1" t="str">
            <v>감 사 업 무 분 담 표</v>
          </cell>
        </row>
      </sheetData>
      <sheetData sheetId="225">
        <row r="1">
          <cell r="A1" t="str">
            <v>감 사 업 무 분 담 표</v>
          </cell>
        </row>
      </sheetData>
      <sheetData sheetId="226">
        <row r="1">
          <cell r="A1" t="str">
            <v>감 사 업 무 분 담 표</v>
          </cell>
        </row>
      </sheetData>
      <sheetData sheetId="227">
        <row r="1">
          <cell r="A1" t="str">
            <v>감 사 업 무 분 담 표</v>
          </cell>
        </row>
      </sheetData>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row r="1">
          <cell r="A1" t="str">
            <v>감 사 업 무 분 담 표</v>
          </cell>
        </row>
      </sheetData>
      <sheetData sheetId="319"/>
      <sheetData sheetId="320"/>
      <sheetData sheetId="321"/>
      <sheetData sheetId="322"/>
      <sheetData sheetId="323"/>
      <sheetData sheetId="324"/>
      <sheetData sheetId="325"/>
      <sheetData sheetId="326"/>
      <sheetData sheetId="327"/>
      <sheetData sheetId="328"/>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BS"/>
      <sheetName val="J150 승인진도관리 LIST"/>
      <sheetName val="보조부문비배부"/>
      <sheetName val="Sheet1"/>
      <sheetName val="total"/>
      <sheetName val="5"/>
      <sheetName val="Sheet11"/>
      <sheetName val="WELDING"/>
      <sheetName val="FUEL FILLER"/>
      <sheetName val="Errors_130303"/>
      <sheetName val="XREF"/>
      <sheetName val="원본1"/>
      <sheetName val="MH_생산"/>
      <sheetName val="금융"/>
      <sheetName val="은행"/>
      <sheetName val="리스"/>
      <sheetName val="보험"/>
      <sheetName val="제조부문배부"/>
      <sheetName val="PL"/>
      <sheetName val="TEMP1"/>
      <sheetName val="TEMP2"/>
      <sheetName val="TABLE DB"/>
      <sheetName val="쌍용 data base"/>
      <sheetName val="Menu_Link"/>
      <sheetName val="산출기준(파견전산실)"/>
      <sheetName val="부서코드표"/>
      <sheetName val="TMFL Receipt"/>
      <sheetName val="BCR원본"/>
      <sheetName val="업무분장_"/>
      <sheetName val="J150_승인진도관리_LIST"/>
      <sheetName val="FUEL_FILLER"/>
      <sheetName val="업무분장_1"/>
      <sheetName val="J150_승인진도관리_LIST1"/>
      <sheetName val="FUEL_FILLER1"/>
      <sheetName val="TABLE_DB"/>
      <sheetName val="쌍용_data_base"/>
      <sheetName val="TMFL_Receipt"/>
      <sheetName val="data"/>
      <sheetName val="업무분장_2"/>
      <sheetName val="J150_승인진도관리_LIST2"/>
      <sheetName val="FUEL_FILLER2"/>
      <sheetName val="업무분장_3"/>
      <sheetName val="J150_승인진도관리_LIST3"/>
      <sheetName val="TABLE_DB1"/>
      <sheetName val="쌍용_data_base1"/>
      <sheetName val="FUEL_FILLER3"/>
      <sheetName val="TMFL_Receipt1"/>
      <sheetName val="외화금융(97-03)"/>
      <sheetName val="환산표"/>
      <sheetName val="99사업d"/>
      <sheetName val="reference"/>
      <sheetName val="Formula"/>
      <sheetName val="Jindal"/>
      <sheetName val="차체"/>
      <sheetName val="COUNT STATUS"/>
      <sheetName val="CS-Prod"/>
      <sheetName val="Daten"/>
      <sheetName val="Vorjahr"/>
      <sheetName val="TKBN_TKBNA"/>
      <sheetName val="KTP_Apr10"/>
      <sheetName val="Wkz_PBD"/>
      <sheetName val="Sheet2"/>
      <sheetName val="Lead COC"/>
      <sheetName val="업무분장_4"/>
      <sheetName val="J150_승인진도관리_LIST4"/>
      <sheetName val="FUEL_FILLER4"/>
      <sheetName val="TABLE_DB2"/>
      <sheetName val="쌍용_data_base2"/>
      <sheetName val="TMFL_Receipt2"/>
      <sheetName val="실행철강하도"/>
      <sheetName val="외주현황.wq1"/>
      <sheetName val="카스코"/>
      <sheetName val="수정시산표"/>
      <sheetName val="8월"/>
      <sheetName val="주주명부&lt;끝&gt;"/>
      <sheetName val="Eq. Mobilization"/>
      <sheetName val="손익계산서"/>
      <sheetName val="LEDGER"/>
      <sheetName val="경도"/>
      <sheetName val="이자율"/>
      <sheetName val="현장"/>
      <sheetName val="업체명"/>
      <sheetName val="현금"/>
      <sheetName val="재고자산"/>
      <sheetName val="FRDS9805"/>
      <sheetName val="출자한도"/>
      <sheetName val="현금및현금등가물1"/>
      <sheetName val="기안지"/>
      <sheetName val="Variables"/>
      <sheetName val="CU열교환기 평균생산"/>
      <sheetName val="CAUDIT"/>
      <sheetName val="절차서"/>
      <sheetName val="CU열교환기_평균생산"/>
      <sheetName val="PL6-Revenue Brid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C"/>
      <sheetName val="Partic"/>
      <sheetName val="DKPL9811"/>
      <sheetName val="summ"/>
      <sheetName val="sheet1"/>
      <sheetName val="sheet2"/>
      <sheetName val="sheet4"/>
      <sheetName val="Sheet4a"/>
      <sheetName val="sheet5"/>
      <sheetName val="sheet7"/>
      <sheetName val="sheet8"/>
      <sheetName val="sheet9"/>
      <sheetName val="sheet10"/>
      <sheetName val="sheet11"/>
      <sheetName val="sheet12"/>
      <sheetName val="sheet13"/>
      <sheetName val="Sheet14"/>
      <sheetName val="Sheet15"/>
      <sheetName val="Sheet16"/>
      <sheetName val="Sheet3 (2)"/>
      <sheetName val="02"/>
      <sheetName val="03"/>
      <sheetName val="04"/>
      <sheetName val="01"/>
      <sheetName val="girder"/>
      <sheetName val="Rocker"/>
      <sheetName val="FitOutConfCentre"/>
      <sheetName val="FINDRDEC"/>
      <sheetName val="CASHFLOWS"/>
      <sheetName val="SUMMARY"/>
      <sheetName val="Estimate for approval"/>
      <sheetName val="LBO"/>
      <sheetName val="Main"/>
      <sheetName val="Lab"/>
      <sheetName val="Rate Analysis"/>
      <sheetName val="Grand"/>
      <sheetName val="#REF"/>
      <sheetName val="extra"/>
      <sheetName val="Monthly"/>
      <sheetName val="Earnings model"/>
      <sheetName val="BLK2"/>
      <sheetName val="BLK3"/>
      <sheetName val="E &amp; R"/>
      <sheetName val="radar"/>
      <sheetName val="UG"/>
      <sheetName val="A-D"/>
      <sheetName val="H"/>
      <sheetName val="BWR"/>
      <sheetName val="pldt"/>
      <sheetName val="results"/>
      <sheetName val="P&amp;LDEC99"/>
      <sheetName val="Sheet18"/>
      <sheetName val="Sheet17"/>
      <sheetName val="SUMM1"/>
      <sheetName val="Sheet3"/>
      <sheetName val="Sheet31"/>
      <sheetName val="Sheet30"/>
      <sheetName val="Sheet29"/>
      <sheetName val="Sheet28"/>
      <sheetName val="Sheet27"/>
      <sheetName val="Sheet26"/>
      <sheetName val="Sheet25"/>
      <sheetName val="Sheet24"/>
      <sheetName val="Sheet23"/>
      <sheetName val="Sheet22"/>
      <sheetName val="Sheet21"/>
      <sheetName val="Sheet20"/>
      <sheetName val="Sheet19"/>
      <sheetName val="Hot"/>
      <sheetName val="INI"/>
      <sheetName val="Assumptions"/>
      <sheetName val="Output"/>
      <sheetName val="CRITERIA3"/>
      <sheetName val="CRITERIA1"/>
      <sheetName val="Material List "/>
      <sheetName val="STAFFSCHED "/>
      <sheetName val="SPT vs PHI"/>
      <sheetName val="upa"/>
      <sheetName val="KG-DWN"/>
      <sheetName val="98Price"/>
      <sheetName val="office"/>
      <sheetName val="concrete"/>
      <sheetName val="beam-reinft-IIInd floor"/>
      <sheetName val="Materials Cost"/>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Design"/>
      <sheetName val="Sheet3_(2)"/>
      <sheetName val="Estimate_for_approval"/>
      <sheetName val="Sheet3_(2)1"/>
      <sheetName val="Estimate_for_approval1"/>
      <sheetName val="Sheet3_(2)2"/>
      <sheetName val="Estimate_for_approval2"/>
      <sheetName val="Sheet3_(2)3"/>
      <sheetName val="Estimate_for_approval3"/>
      <sheetName val="Sheet3_(2)4"/>
      <sheetName val="Estimate_for_approval4"/>
      <sheetName val="% Collection Schedule"/>
      <sheetName val="Materials Cost(PCC)"/>
      <sheetName val="Excess Calc"/>
      <sheetName val="11-hsd"/>
      <sheetName val="13-septic"/>
      <sheetName val="7-ug"/>
      <sheetName val="2-utility"/>
      <sheetName val="Bin"/>
      <sheetName val="Main School Building"/>
      <sheetName val="Code"/>
      <sheetName val="Legend"/>
      <sheetName val="BHANDUP"/>
      <sheetName val="Set"/>
      <sheetName val="Key assumption"/>
      <sheetName val="BKCSTOCKVAL"/>
      <sheetName val="Grouping Master"/>
      <sheetName val="Stacking Plan &amp; LEP"/>
      <sheetName val="Occ"/>
      <sheetName val="Demand"/>
      <sheetName val="beam-reinft-machine rm"/>
      <sheetName val="jobhist"/>
      <sheetName val="R20_R30_work"/>
      <sheetName val="Commission and Volume MOM(Chart"/>
      <sheetName val="Apartments - 1st Mar"/>
      <sheetName val="A5.201 Consol Profit &amp; Loss "/>
      <sheetName val="Consolidated Monthly"/>
      <sheetName val="Balance Sheet"/>
      <sheetName val="A5.202 Consol Balance Sheet "/>
      <sheetName val="BS"/>
      <sheetName val="Consolidated"/>
      <sheetName val="PB"/>
      <sheetName val="Fixed Assets"/>
      <sheetName val="Receivables"/>
      <sheetName val="Sheet 2"/>
      <sheetName val="MN T.B."/>
      <sheetName val="INDIGINEOUS ITEMS "/>
      <sheetName val="1 Market"/>
      <sheetName val="Earnings_model"/>
      <sheetName val="Rate_Analysis"/>
      <sheetName val="E_&amp;_R"/>
      <sheetName val="TB"/>
      <sheetName val="Fee Rate Summary"/>
      <sheetName val="Costcal"/>
      <sheetName val="FOIL"/>
      <sheetName val="Accounts"/>
      <sheetName val="sdrs_mar"/>
      <sheetName val="Summary Chart"/>
      <sheetName val="Chembur 1"/>
      <sheetName val="CGOI"/>
      <sheetName val="vb 9&amp;10"/>
      <sheetName val="Schedules"/>
      <sheetName val="B S-31-3-2006"/>
      <sheetName val="132417"/>
      <sheetName val="35 D Annex2"/>
      <sheetName val="CMA_Calculations"/>
      <sheetName val="H.O"/>
      <sheetName val="営業収益"/>
      <sheetName val="TRIAL BALANCE"/>
      <sheetName val="Keyratios"/>
      <sheetName val="Card nos."/>
      <sheetName val="YE-SW2"/>
      <sheetName val="Statistics {pbc}"/>
      <sheetName val="関係会社貸付金データ"/>
      <sheetName val="末残計画(四半期ベース)"/>
      <sheetName val="MISBS"/>
      <sheetName val="BOD PL NEW"/>
      <sheetName val="AFFI内訳"/>
      <sheetName val="Assumptions (2)"/>
      <sheetName val="Cntrl Sheet"/>
      <sheetName val="B S"/>
      <sheetName val="Project Cost"/>
      <sheetName val="CAS P"/>
      <sheetName val="194C"/>
      <sheetName val="ﾏﾁｭﾘﾃｨﾗﾀﾞｰ（月次ベース）"/>
      <sheetName val="ﾏﾁｭﾘﾃｨﾗﾀﾞｰ（四半期ベース）"/>
      <sheetName val="EXPENDITURE CYCLE"/>
      <sheetName val="Inputs"/>
      <sheetName val="海外WORK"/>
      <sheetName val="Facility"/>
      <sheetName val="Lrnet_Inftch"/>
      <sheetName val="Input"/>
      <sheetName val="deb"/>
      <sheetName val="FIN_EXPENSE"/>
      <sheetName val="43B"/>
      <sheetName val="DTPL"/>
      <sheetName val="Fixed Assets Top Sheet- Consol"/>
      <sheetName val="VIR CG"/>
      <sheetName val="業種小分類"/>
      <sheetName val="業種大分類"/>
      <sheetName val="Weighted Avg"/>
      <sheetName val="Interest"/>
      <sheetName val="Links"/>
      <sheetName val="m3&amp;4"/>
      <sheetName val="Assumptions (W)"/>
      <sheetName val="Misc"/>
      <sheetName val="PAP"/>
      <sheetName val="Masters"/>
      <sheetName val="P L"/>
      <sheetName val="総括（1～3Q）"/>
      <sheetName val="NKEL O&amp;M"/>
      <sheetName val="Data"/>
      <sheetName val="192"/>
      <sheetName val="GLED"/>
      <sheetName val="IRR"/>
      <sheetName val="CAPEX"/>
      <sheetName val="国内work"/>
      <sheetName val="その他"/>
      <sheetName val="SPR"/>
      <sheetName val="COMPUTATION"/>
      <sheetName val="ASSUMPTIONS 2"/>
      <sheetName val=" TARIFFS POST PCOD"/>
      <sheetName val="Valuation"/>
      <sheetName val="Workings"/>
      <sheetName val="TAX"/>
      <sheetName val="DCF Valuation - FCFF"/>
      <sheetName val="FAR"/>
      <sheetName val="FA Leadsheet &amp; Movement"/>
      <sheetName val="Profit &amp; Loss"/>
      <sheetName val="Summary - USD"/>
      <sheetName val="Yield-COB"/>
      <sheetName val="全体"/>
      <sheetName val="NFF"/>
      <sheetName val="1"/>
      <sheetName val="再ﾘｰｽ収益"/>
      <sheetName val="利息連結"/>
      <sheetName val="受取手数料"/>
      <sheetName val="有価証券残高（仮提出）"/>
      <sheetName val="発生連結"/>
      <sheetName val="関連会社明細"/>
      <sheetName val="売却可能公債"/>
      <sheetName val="3部提出用累計"/>
      <sheetName val="繰入連結"/>
      <sheetName val="諸原価連結"/>
      <sheetName val="四半期毎MICﾃﾞｰﾀ転記"/>
      <sheetName val="単体SGA"/>
      <sheetName val="販管連結"/>
      <sheetName val="平残連結"/>
      <sheetName val="Roster"/>
      <sheetName val="For_Trav-01"/>
      <sheetName val="Rent -01"/>
      <sheetName val="AV"/>
      <sheetName val="Sukuki CDR"/>
      <sheetName val="BOQ-1"/>
      <sheetName val="JCF"/>
      <sheetName val="Multiple output"/>
      <sheetName val="유통망계획"/>
      <sheetName val="EXPENSES"/>
      <sheetName val="DPR"/>
      <sheetName val="hist&amp;proj"/>
      <sheetName val="priority analysis"/>
      <sheetName val="standards trend"/>
      <sheetName val="service timing"/>
      <sheetName val="Product Problems"/>
      <sheetName val="Parts"/>
      <sheetName val="score trends"/>
      <sheetName val="Fix it First Time"/>
      <sheetName val="dashboard"/>
      <sheetName val="TOC"/>
      <sheetName val="Range"/>
      <sheetName val="Sample India"/>
      <sheetName val="Sample Indo"/>
      <sheetName val="Sample MY"/>
      <sheetName val="Sample PH"/>
      <sheetName val="Sample TH"/>
      <sheetName val="Settings"/>
      <sheetName val="Currency"/>
      <sheetName val="Pur"/>
      <sheetName val="SC"/>
      <sheetName val="Sheet3_(2)5"/>
      <sheetName val="Earnings_model1"/>
      <sheetName val="Excess_Calc"/>
      <sheetName val="Materials_Cost(PCC)"/>
      <sheetName val="Grouping_Master"/>
      <sheetName val="Rate_Analysis1"/>
      <sheetName val="Estimate_for_approval5"/>
      <sheetName val="E_&amp;_R1"/>
      <sheetName val="Stacking_Plan_&amp;_LEP"/>
      <sheetName val="Commission_and_Volume_MOM(Chart"/>
      <sheetName val="%_Collection_Schedule"/>
      <sheetName val="beam-reinft-IIInd_floor"/>
      <sheetName val="SPT_vs_PHI"/>
      <sheetName val="Materials_Cost"/>
      <sheetName val="beam-reinft-machine_rm"/>
      <sheetName val="Key_assumption"/>
      <sheetName val="A5_201_Consol_Profit_&amp;_Loss_"/>
      <sheetName val="Consolidated_Monthly"/>
      <sheetName val="Balance_Sheet"/>
      <sheetName val="A5_202_Consol_Balance_Sheet_"/>
      <sheetName val="Fixed_Assets"/>
      <sheetName val="Sheet_2"/>
      <sheetName val="B_S-31-3-2006"/>
      <sheetName val="35_D_Annex2"/>
      <sheetName val="H_O"/>
      <sheetName val="TRIAL_BALANCE"/>
      <sheetName val="Card_nos_"/>
      <sheetName val="Statistics_{pbc}"/>
      <sheetName val="BOD_PL_NEW"/>
      <sheetName val="Assumptions_(2)"/>
      <sheetName val="Cntrl_Sheet"/>
      <sheetName val="B_S"/>
      <sheetName val="Project_Cost"/>
      <sheetName val="CAS_P"/>
      <sheetName val="EXPENDITURE_CYCLE"/>
      <sheetName val="Fixed_Assets_Top_Sheet-_Consol"/>
      <sheetName val="VIR_CG"/>
      <sheetName val="Weighted_Avg"/>
      <sheetName val="Assumptions_(W)"/>
      <sheetName val="P_L"/>
      <sheetName val="NKEL_O&amp;M"/>
      <sheetName val="ASSUMPTIONS_2"/>
      <sheetName val="_TARIFFS_POST_PCOD"/>
      <sheetName val="DCF_Valuation_-_FCFF"/>
      <sheetName val="FA_Leadsheet_&amp;_Movement"/>
      <sheetName val="Profit_&amp;_Loss"/>
      <sheetName val="Summary_-_USD"/>
      <sheetName val="Material_List_"/>
      <sheetName val="STAFFSCHED_"/>
      <sheetName val="1_Market"/>
      <sheetName val="MN_T_B_"/>
      <sheetName val="INDIGINEOUS_ITEMS_"/>
      <sheetName val="Apartments_-_1st_Mar"/>
      <sheetName val="Main_School_Building"/>
      <sheetName val="Rent_-01"/>
      <sheetName val="TRX ADDITION"/>
      <sheetName val="BQMPALOC"/>
      <sheetName val="JE10310X"/>
      <sheetName val="MAHSTOCKVAL"/>
      <sheetName val="SCHE-MARCH'04"/>
      <sheetName val="tngst1"/>
      <sheetName val="Index"/>
      <sheetName val="Labour Rate "/>
      <sheetName val="(M+L)"/>
      <sheetName val="NPV"/>
      <sheetName val="입찰내역 발주처 양식"/>
      <sheetName val="ESCON"/>
      <sheetName val="VARIABLE"/>
      <sheetName val="Customize Your Purchase Order"/>
      <sheetName val="2007-01"/>
      <sheetName val="BS SCH A-D"/>
      <sheetName val="Felix Street Summary"/>
      <sheetName val="Newspapers"/>
      <sheetName val="AccDil"/>
      <sheetName val="Summary_Local"/>
      <sheetName val="segment_topsheet"/>
      <sheetName val="FY16-17 Cashflow"/>
      <sheetName val="List"/>
      <sheetName val="RR"/>
      <sheetName val="Ten"/>
      <sheetName val="ES"/>
      <sheetName val="RA 1"/>
      <sheetName val="MFG"/>
      <sheetName val="Current Bill MB ref"/>
      <sheetName val="Ins &amp; Bonds"/>
      <sheetName val="Source Ref."/>
      <sheetName val="Mix Design"/>
      <sheetName val="std-rates"/>
      <sheetName val="COLUMN"/>
      <sheetName val="dyes"/>
      <sheetName val="Costing"/>
      <sheetName val=" Vivante MAIN  INFRA  MAR 18"/>
      <sheetName val="col-reinft1"/>
      <sheetName val="FINAL"/>
      <sheetName val="Mar-06"/>
      <sheetName val="Jul-05"/>
      <sheetName val="Bs_dft"/>
      <sheetName val="P&amp;l_dft"/>
      <sheetName val="Sch_dft"/>
      <sheetName val="B-SHEET"/>
      <sheetName val="GrossMgn 98"/>
      <sheetName val="Wall"/>
      <sheetName val="Outline Cost - Five star Hotel"/>
      <sheetName val="Form 6"/>
      <sheetName val="M-Book for Conc"/>
      <sheetName val="M-Book for FW"/>
      <sheetName val="COMPLEXALL"/>
      <sheetName val="CC APR04"/>
      <sheetName val="CC MAY04"/>
      <sheetName val="CC JUNE04"/>
      <sheetName val="Income Statements"/>
      <sheetName val="Rates"/>
      <sheetName val="Kontensalden"/>
      <sheetName val="CTbe tong"/>
      <sheetName val="CTDZ 0.4+cto"/>
      <sheetName val=" "/>
      <sheetName val="450 x 350"/>
      <sheetName val="Fill this out first..."/>
      <sheetName val="Approved MTD Proj #'s"/>
      <sheetName val="C1C2"/>
      <sheetName val="LIFE &amp; REP PROVN"/>
      <sheetName val="O&amp;M CREW"/>
      <sheetName val="A"/>
      <sheetName val="Intro"/>
      <sheetName val="Exp"/>
      <sheetName val="18-misc"/>
      <sheetName val="5-pipe"/>
      <sheetName val="Direct cost shed A-2 "/>
      <sheetName val="RATE ANALYSIS."/>
      <sheetName val="Raw DCF"/>
      <sheetName val="DCF_PPS"/>
      <sheetName val="DCF"/>
      <sheetName val="Sch 1,2,3"/>
      <sheetName val="Sch 14,15,16"/>
      <sheetName val="profit &amp; loss account"/>
      <sheetName val="Movement of Mutual Funds"/>
      <sheetName val="References"/>
      <sheetName val="TDS Certificate-Format"/>
      <sheetName val="Fee_Rate_Summary"/>
      <sheetName val="Dep - SAP"/>
      <sheetName val="Schedules PL"/>
      <sheetName val="Schedules BS"/>
      <sheetName val="Reconciliation of GL &amp; FAR"/>
      <sheetName val="Instructions"/>
      <sheetName val="Note 9-13"/>
      <sheetName val="RA-markate"/>
      <sheetName val="opstat"/>
      <sheetName val="costs"/>
      <sheetName val="Basic Rate"/>
      <sheetName val="INFLUENCES ON GM"/>
      <sheetName val="WBS"/>
      <sheetName val="PROCTOR"/>
      <sheetName val="ANAL"/>
      <sheetName val="ADD092001_Final"/>
      <sheetName val="TBEAM"/>
      <sheetName val="Database"/>
      <sheetName val="SCHEDULE"/>
      <sheetName val="schedule nos"/>
      <sheetName val="Config"/>
      <sheetName val="Div"/>
      <sheetName val="ER10_Old"/>
      <sheetName val="gen ledger data"/>
      <sheetName val="Elect."/>
      <sheetName val="Ins_&amp;_Bonds"/>
      <sheetName val="Labour_Rate_"/>
      <sheetName val="Source_Ref_"/>
      <sheetName val="vb_9&amp;10"/>
      <sheetName val="입찰내역_발주처_양식"/>
      <sheetName val="Direct_cost_shed_A-2_"/>
      <sheetName val="glsrpt129909e"/>
      <sheetName val="RF Vol"/>
      <sheetName val="ASP"/>
      <sheetName val="2nd "/>
      <sheetName val="final abstract"/>
      <sheetName val="Product Details"/>
      <sheetName val="SP Break Up"/>
      <sheetName val="Names&amp;Cases"/>
      <sheetName val="Preside"/>
      <sheetName val="Control"/>
      <sheetName val="Blore"/>
      <sheetName val="factors"/>
      <sheetName val="VCH-SLC"/>
      <sheetName val="Supplier"/>
      <sheetName val="Sheet3_(2)7"/>
      <sheetName val="%_Collection_Schedule2"/>
      <sheetName val="Rate_Analysis3"/>
      <sheetName val="Estimate_for_approval7"/>
      <sheetName val="E_&amp;_R3"/>
      <sheetName val="Earnings_model3"/>
      <sheetName val="Stacking_Plan_&amp;_LEP2"/>
      <sheetName val="Materials_Cost(PCC)2"/>
      <sheetName val="Excess_Calc2"/>
      <sheetName val="beam-reinft-IIInd_floor2"/>
      <sheetName val="SPT_vs_PHI2"/>
      <sheetName val="Materials_Cost2"/>
      <sheetName val="beam-reinft-machine_rm2"/>
      <sheetName val="Grouping_Master2"/>
      <sheetName val="Commission_and_Volume_MOM(Char2"/>
      <sheetName val="A5_201_Consol_Profit_&amp;_Loss_2"/>
      <sheetName val="Consolidated_Monthly2"/>
      <sheetName val="Balance_Sheet2"/>
      <sheetName val="A5_202_Consol_Balance_Sheet_2"/>
      <sheetName val="Fixed_Assets2"/>
      <sheetName val="Sheet_22"/>
      <sheetName val="Key_assumption2"/>
      <sheetName val="MN_T_B_2"/>
      <sheetName val="INDIGINEOUS_ITEMS_2"/>
      <sheetName val="Apartments_-_1st_Mar2"/>
      <sheetName val="1_Market2"/>
      <sheetName val="Material_List_2"/>
      <sheetName val="STAFFSCHED_2"/>
      <sheetName val="Fee_Rate_Summary2"/>
      <sheetName val="Main_School_Building2"/>
      <sheetName val="Sheet3_(2)6"/>
      <sheetName val="%_Collection_Schedule1"/>
      <sheetName val="Rate_Analysis2"/>
      <sheetName val="Estimate_for_approval6"/>
      <sheetName val="E_&amp;_R2"/>
      <sheetName val="Earnings_model2"/>
      <sheetName val="Stacking_Plan_&amp;_LEP1"/>
      <sheetName val="Materials_Cost(PCC)1"/>
      <sheetName val="Excess_Calc1"/>
      <sheetName val="beam-reinft-IIInd_floor1"/>
      <sheetName val="SPT_vs_PHI1"/>
      <sheetName val="Materials_Cost1"/>
      <sheetName val="beam-reinft-machine_rm1"/>
      <sheetName val="Grouping_Master1"/>
      <sheetName val="Commission_and_Volume_MOM(Char1"/>
      <sheetName val="A5_201_Consol_Profit_&amp;_Loss_1"/>
      <sheetName val="Consolidated_Monthly1"/>
      <sheetName val="Balance_Sheet1"/>
      <sheetName val="A5_202_Consol_Balance_Sheet_1"/>
      <sheetName val="Fixed_Assets1"/>
      <sheetName val="Sheet_21"/>
      <sheetName val="Key_assumption1"/>
      <sheetName val="MN_T_B_1"/>
      <sheetName val="INDIGINEOUS_ITEMS_1"/>
      <sheetName val="Apartments_-_1st_Mar1"/>
      <sheetName val="1_Market1"/>
      <sheetName val="Material_List_1"/>
      <sheetName val="STAFFSCHED_1"/>
      <sheetName val="Fee_Rate_Summary1"/>
      <sheetName val="Main_School_Building1"/>
      <sheetName val="Sheet3_(2)8"/>
      <sheetName val="%_Collection_Schedule3"/>
      <sheetName val="Rate_Analysis4"/>
      <sheetName val="Estimate_for_approval8"/>
      <sheetName val="E_&amp;_R4"/>
      <sheetName val="Earnings_model4"/>
      <sheetName val="Stacking_Plan_&amp;_LEP3"/>
      <sheetName val="Materials_Cost(PCC)3"/>
      <sheetName val="Excess_Calc3"/>
      <sheetName val="beam-reinft-IIInd_floor3"/>
      <sheetName val="SPT_vs_PHI3"/>
      <sheetName val="Materials_Cost3"/>
      <sheetName val="beam-reinft-machine_rm3"/>
      <sheetName val="Grouping_Master3"/>
      <sheetName val="Commission_and_Volume_MOM(Char3"/>
      <sheetName val="A5_201_Consol_Profit_&amp;_Loss_3"/>
      <sheetName val="Consolidated_Monthly3"/>
      <sheetName val="Balance_Sheet3"/>
      <sheetName val="A5_202_Consol_Balance_Sheet_3"/>
      <sheetName val="Fixed_Assets3"/>
      <sheetName val="Sheet_23"/>
      <sheetName val="Key_assumption3"/>
      <sheetName val="MN_T_B_3"/>
      <sheetName val="INDIGINEOUS_ITEMS_3"/>
      <sheetName val="Apartments_-_1st_Mar3"/>
      <sheetName val="1_Market3"/>
      <sheetName val="Material_List_3"/>
      <sheetName val="STAFFSCHED_3"/>
      <sheetName val="Fee_Rate_Summary3"/>
      <sheetName val="Main_School_Building3"/>
      <sheetName val="Cash2"/>
      <sheetName val="Z"/>
      <sheetName val="costing_ESDV"/>
      <sheetName val="costing_FE"/>
      <sheetName val="costing_Misc"/>
      <sheetName val="costing_MOV"/>
      <sheetName val="costing_Press"/>
      <sheetName val="Price Comparison"/>
      <sheetName val="Cover"/>
      <sheetName val="Leg 1-1"/>
      <sheetName val="Annex - 8"/>
      <sheetName val="pcQueryData"/>
      <sheetName val="_pcSlicerSheet1"/>
      <sheetName val="6 TRS"/>
      <sheetName val="DF"/>
      <sheetName val="PM"/>
      <sheetName val="Headings"/>
      <sheetName val="Item Master"/>
      <sheetName val="validation"/>
      <sheetName val="Boq"/>
      <sheetName val="TBAL9697 -group wise  sdpl"/>
      <sheetName val="csd1"/>
      <sheetName val="csd2"/>
      <sheetName val="SAP EMP"/>
      <sheetName val="Sukuki_CDR"/>
      <sheetName val="Multiple_output"/>
      <sheetName val="priority_analysis"/>
      <sheetName val="standards_trend"/>
      <sheetName val="service_timing"/>
      <sheetName val="Product_Problems"/>
      <sheetName val="score_trends"/>
      <sheetName val="Fix_it_First_Time"/>
      <sheetName val="Sample_India"/>
      <sheetName val="Sample_Indo"/>
      <sheetName val="Sample_MY"/>
      <sheetName val="Sample_PH"/>
      <sheetName val="Sample_TH"/>
      <sheetName val="DIVBUD99"/>
      <sheetName val="Rate analysis civil"/>
      <sheetName val="April'00"/>
      <sheetName val="BUDLDD"/>
      <sheetName val="ICB"/>
      <sheetName val="Data Summary"/>
      <sheetName val="P&amp;L"/>
      <sheetName val="BALANCE-SHEET"/>
      <sheetName val="A.O.R."/>
      <sheetName val="Chembur_1"/>
      <sheetName val="Felix_Street_Summary"/>
      <sheetName val="FY16-17_Cashflow"/>
      <sheetName val="GrossMgn_98"/>
      <sheetName val="TRX_ADDITION"/>
      <sheetName val="TDS_Certificate-Format"/>
      <sheetName val="Income_Statements"/>
      <sheetName val="CTbe_tong"/>
      <sheetName val="CTDZ_0_4+cto"/>
      <sheetName val="_"/>
      <sheetName val="450_x_350"/>
      <sheetName val="Fill_this_out_first___"/>
      <sheetName val="Approved_MTD_Proj_#'s"/>
      <sheetName val="Customize_Your_Purchase_Order"/>
      <sheetName val="RATE_ANALYSIS_"/>
      <sheetName val="Raw_DCF"/>
      <sheetName val="Sch_1,2,3"/>
      <sheetName val="Sch_14,15,16"/>
      <sheetName val="profit_&amp;_loss_account"/>
      <sheetName val="Movement_of_Mutual_Funds"/>
      <sheetName val="Mix_Design"/>
      <sheetName val="_Vivante_MAIN__INFRA__MAR_18"/>
      <sheetName val="Current_Bill_MB_ref"/>
      <sheetName val="Form_6"/>
      <sheetName val="M-Book_for_Conc"/>
      <sheetName val="M-Book_for_FW"/>
      <sheetName val="Schedules_PL"/>
      <sheetName val="Schedules_BS"/>
      <sheetName val="RA_1"/>
      <sheetName val="Outline_Cost_-_Five_star_Hotel"/>
      <sheetName val="CC_APR04"/>
      <sheetName val="CC_MAY04"/>
      <sheetName val="CC_JUNE04"/>
      <sheetName val="LIFE_&amp;_REP_PROVN"/>
      <sheetName val="O&amp;M_CREW"/>
      <sheetName val="All Components Report"/>
      <sheetName val="Severity"/>
      <sheetName val="fixd1"/>
      <sheetName val="fixd2"/>
      <sheetName val="check"/>
      <sheetName val="main1"/>
      <sheetName val="Project Budget Worksheet"/>
      <sheetName val="Builtup Area"/>
      <sheetName val="RF_Vol"/>
      <sheetName val="Oct'19-Feb'20 base file"/>
      <sheetName val="Mar'20-base file"/>
      <sheetName val="April'20-Dec'20 Base File"/>
      <sheetName val="Assum"/>
      <sheetName val="wacc"/>
      <sheetName val="wdr bldg"/>
      <sheetName val="Admin "/>
      <sheetName val="TB WORLI"/>
      <sheetName val="TB APJ"/>
      <sheetName val="H.O."/>
      <sheetName val="B"/>
      <sheetName val="Labor abs-NMR"/>
      <sheetName val="_REF"/>
      <sheetName val="MASTER_RATE ANALYSIS"/>
      <sheetName val="D.D"/>
      <sheetName val="Assmp"/>
      <sheetName val="BS-R"/>
      <sheetName val="Billing"/>
      <sheetName val="MNP"/>
      <sheetName val="ITT-R"/>
      <sheetName val="BSSchedules"/>
      <sheetName val="Recovered_Sheet4"/>
      <sheetName val="Recovered_Sheet36"/>
      <sheetName val="Recovered_Sheet37"/>
      <sheetName val="Recovered_Sheet30"/>
      <sheetName val="Recovered_Sheet10"/>
      <sheetName val="Recovered_Sheet13"/>
      <sheetName val="Recovered_Sheet19"/>
      <sheetName val="Recovered_Sheet28"/>
      <sheetName val="Recovered_Sheet20"/>
      <sheetName val="Recovered_Sheet21"/>
      <sheetName val="Recovered_Sheet22"/>
      <sheetName val="Recovered_Sheet17"/>
      <sheetName val="Recovered_Sheet39"/>
      <sheetName val="Recovered_Sheet35"/>
      <sheetName val="Recovered_Sheet40"/>
      <sheetName val="Recovered_Sheet1"/>
      <sheetName val="Recovered_Sheet31"/>
      <sheetName val="Recovered_Sheet14"/>
      <sheetName val="Recovered_Sheet38"/>
      <sheetName val="Recovered_Sheet27"/>
      <sheetName val="Recovered_Sheet32"/>
      <sheetName val="Recovered_Sheet6"/>
      <sheetName val="Recovered_Sheet5"/>
      <sheetName val="Recovered_Sheet3"/>
      <sheetName val="Recovered_Sheet18"/>
      <sheetName val="rent paid details"/>
      <sheetName val="DGP-2002"/>
      <sheetName val="bank-int"/>
      <sheetName val="RA_markate"/>
      <sheetName val="A1-Continuous"/>
      <sheetName val="depit"/>
      <sheetName val="Changes to be made"/>
      <sheetName val="CAM- Airoli"/>
      <sheetName val="AMC- Airoli"/>
      <sheetName val="CAM - Poch"/>
      <sheetName val="AMC - Poch"/>
      <sheetName val="Complex - Poch"/>
      <sheetName val="CAM - Trion"/>
      <sheetName val="AMC - Trion"/>
      <sheetName val="Complex - Trion"/>
      <sheetName val="Internal Finishes (Unit types)"/>
      <sheetName val="pri-com"/>
      <sheetName val="10. &amp; 11. Rate Code &amp; BQ"/>
      <sheetName val="sept-plan"/>
      <sheetName val="Cap"/>
      <sheetName val="C_flow 95"/>
      <sheetName val="1201"/>
      <sheetName val="Capital leases"/>
      <sheetName val="FA TB 28-2-2006"/>
      <sheetName val="data 3A|6A"/>
      <sheetName val="Stacking Plan"/>
      <sheetName val="Detail In Door Stad"/>
      <sheetName val="200205C"/>
      <sheetName val="Data sheet"/>
      <sheetName val="Per Unit"/>
      <sheetName val="CFForecast detail"/>
      <sheetName val="WORK TABLE"/>
      <sheetName val="Door"/>
      <sheetName val="ABB"/>
      <sheetName val="GE"/>
      <sheetName val="FORM-16"/>
      <sheetName val="OCT 06"/>
      <sheetName val="Assumption Inputs"/>
      <sheetName val="BP"/>
      <sheetName val="Insts"/>
      <sheetName val="XREF"/>
      <sheetName val="Budget Vs Actuals (2)"/>
      <sheetName val="Old"/>
      <sheetName val="Introduction"/>
      <sheetName val="stryker div "/>
      <sheetName val="LTM"/>
      <sheetName val="DropZone"/>
      <sheetName val="analysis"/>
      <sheetName val="Original"/>
      <sheetName val="balance"/>
      <sheetName val="Area Statement"/>
      <sheetName val="Risk Analysis"/>
      <sheetName val="Detailed Summary (5)"/>
      <sheetName val="Cost_Any."/>
      <sheetName val="Mat_Cost"/>
      <sheetName val="KP1590_E"/>
      <sheetName val="Cost summary"/>
      <sheetName val="Sump"/>
      <sheetName val="conc-foot-gradeslab"/>
      <sheetName val="Provision base"/>
      <sheetName val="Groupings-final"/>
      <sheetName val="Sched"/>
      <sheetName val="Trial"/>
      <sheetName val="FA_Final"/>
      <sheetName val="BFS"/>
      <sheetName val="SOA"/>
      <sheetName val="Podium Areas"/>
      <sheetName val="Q&amp;pl-V"/>
      <sheetName val="Sheet3_(2)9"/>
      <sheetName val="Estimate_for_approval9"/>
      <sheetName val="E_&amp;_R5"/>
      <sheetName val="Rate_Analysis5"/>
      <sheetName val="beam-reinft-IIInd_floor4"/>
      <sheetName val="SPT_vs_PHI4"/>
      <sheetName val="Materials_Cost4"/>
      <sheetName val="Earnings_model5"/>
      <sheetName val="%_Collection_Schedule4"/>
      <sheetName val="Materials_Cost(PCC)4"/>
      <sheetName val="beam-reinft-machine_rm4"/>
      <sheetName val="vb_9&amp;101"/>
      <sheetName val="Material_List_4"/>
      <sheetName val="STAFFSCHED_4"/>
      <sheetName val="MN_T_B_4"/>
      <sheetName val="INDIGINEOUS_ITEMS_4"/>
      <sheetName val="Fee_Rate_Summary4"/>
      <sheetName val="Main_School_Building4"/>
      <sheetName val="Excess_Calc4"/>
      <sheetName val="Stacking_Plan_&amp;_LEP4"/>
      <sheetName val="Grouping_Master4"/>
      <sheetName val="Commission_and_Volume_MOM(Char4"/>
      <sheetName val="A5_201_Consol_Profit_&amp;_Loss_4"/>
      <sheetName val="Consolidated_Monthly4"/>
      <sheetName val="Balance_Sheet4"/>
      <sheetName val="A5_202_Consol_Balance_Sheet_4"/>
      <sheetName val="Fixed_Assets4"/>
      <sheetName val="Sheet_24"/>
      <sheetName val="Key_assumption4"/>
      <sheetName val="Apartments_-_1st_Mar4"/>
      <sheetName val="1_Market4"/>
      <sheetName val="Labour_Rate_1"/>
      <sheetName val="입찰내역_발주처_양식1"/>
      <sheetName val="Ins_&amp;_Bonds1"/>
      <sheetName val="B_S-31-3-20061"/>
      <sheetName val="35_D_Annex21"/>
      <sheetName val="H_O1"/>
      <sheetName val="TRIAL_BALANCE1"/>
      <sheetName val="Card_nos_1"/>
      <sheetName val="Statistics_{pbc}1"/>
      <sheetName val="BOD_PL_NEW1"/>
      <sheetName val="Assumptions_(2)1"/>
      <sheetName val="Cntrl_Sheet1"/>
      <sheetName val="B_S1"/>
      <sheetName val="Project_Cost1"/>
      <sheetName val="CAS_P1"/>
      <sheetName val="EXPENDITURE_CYCLE1"/>
      <sheetName val="Fixed_Assets_Top_Sheet-_Consol1"/>
      <sheetName val="VIR_CG1"/>
      <sheetName val="Weighted_Avg1"/>
      <sheetName val="Assumptions_(W)1"/>
      <sheetName val="P_L1"/>
      <sheetName val="NKEL_O&amp;M1"/>
      <sheetName val="ASSUMPTIONS_21"/>
      <sheetName val="_TARIFFS_POST_PCOD1"/>
      <sheetName val="DCF_Valuation_-_FCFF1"/>
      <sheetName val="FA_Leadsheet_&amp;_Movement1"/>
      <sheetName val="Profit_&amp;_Loss1"/>
      <sheetName val="Summary_-_USD1"/>
      <sheetName val="Source_Ref_1"/>
      <sheetName val="Direct_cost_shed_A-2_1"/>
      <sheetName val="Elect_"/>
      <sheetName val="RF_Vol1"/>
      <sheetName val="Rent_-011"/>
      <sheetName val="BS_SCH_A-D"/>
      <sheetName val="2nd_"/>
      <sheetName val="final_abstract"/>
      <sheetName val="Product_Details"/>
      <sheetName val="SP_Break_Up"/>
      <sheetName val="A_O_R_"/>
      <sheetName val="Basic_Rate"/>
      <sheetName val="INFLUENCES_ON_GM"/>
      <sheetName val="Project_Budget_Worksheet"/>
      <sheetName val="Builtup_Area"/>
      <sheetName val="TBAL9697_-group_wise__sdpl"/>
      <sheetName val="Labor_abs-NMR"/>
      <sheetName val="schedule_nos"/>
      <sheetName val="MASTER_RATE_ANALYSIS"/>
      <sheetName val="SAP_EMP"/>
      <sheetName val="Reconciliation_of_GL_&amp;_FAR"/>
      <sheetName val="Note_9-13"/>
      <sheetName val="Dep_-_SAP"/>
      <sheetName val="Price_Comparison"/>
      <sheetName val="Leg_1-1"/>
      <sheetName val="Rate_analysis_civil"/>
      <sheetName val="gen_ledger_data"/>
      <sheetName val="Annex_-_8"/>
      <sheetName val="6_TRS"/>
      <sheetName val="Detail_In_Door_Stad"/>
      <sheetName val="Data_sheet"/>
      <sheetName val="Per_Unit"/>
      <sheetName val="CFForecast_detail"/>
      <sheetName val="WORK_TABLE"/>
      <sheetName val="10__&amp;_11__Rate_Code_&amp;_BQ"/>
      <sheetName val="Internal_Finishes_(Unit_types)"/>
      <sheetName val="Material "/>
      <sheetName val="Labour &amp; Plant"/>
      <sheetName val="Steel-Circular"/>
      <sheetName val="U1 P&amp;L"/>
      <sheetName val="Master - Inventory"/>
      <sheetName val="Groupings "/>
      <sheetName val="adp-budget"/>
      <sheetName val="Customize_Your_Purchase_Order1"/>
      <sheetName val="Multiple_output1"/>
      <sheetName val="Chembur_11"/>
      <sheetName val="Felix_Street_Summary1"/>
      <sheetName val="FY16-17_Cashflow1"/>
      <sheetName val="GrossMgn_981"/>
      <sheetName val="Sukuki_CDR1"/>
      <sheetName val="TRX_ADDITION1"/>
      <sheetName val="TDS_Certificate-Format1"/>
      <sheetName val="priority_analysis1"/>
      <sheetName val="standards_trend1"/>
      <sheetName val="service_timing1"/>
      <sheetName val="Product_Problems1"/>
      <sheetName val="score_trends1"/>
      <sheetName val="Fix_it_First_Time1"/>
      <sheetName val="Sample_India1"/>
      <sheetName val="Sample_Indo1"/>
      <sheetName val="Sample_MY1"/>
      <sheetName val="Sample_PH1"/>
      <sheetName val="Sample_TH1"/>
      <sheetName val="Income_Statements1"/>
      <sheetName val="CTbe_tong1"/>
      <sheetName val="CTDZ_0_4+cto1"/>
      <sheetName val="_1"/>
      <sheetName val="450_x_3501"/>
      <sheetName val="Fill_this_out_first___1"/>
      <sheetName val="Approved_MTD_Proj_#'s1"/>
      <sheetName val="RATE_ANALYSIS_1"/>
      <sheetName val="Raw_DCF1"/>
      <sheetName val="Sch_1,2,31"/>
      <sheetName val="Sch_14,15,161"/>
      <sheetName val="profit_&amp;_loss_account1"/>
      <sheetName val="Movement_of_Mutual_Funds1"/>
      <sheetName val="Mix_Design1"/>
      <sheetName val="_Vivante_MAIN__INFRA__MAR_181"/>
      <sheetName val="Current_Bill_MB_ref1"/>
      <sheetName val="Form_61"/>
      <sheetName val="M-Book_for_Conc1"/>
      <sheetName val="M-Book_for_FW1"/>
      <sheetName val="Schedules_PL1"/>
      <sheetName val="Schedules_BS1"/>
      <sheetName val="RA_11"/>
      <sheetName val="Outline_Cost_-_Five_star_Hotel1"/>
      <sheetName val="CC_APR041"/>
      <sheetName val="CC_MAY041"/>
      <sheetName val="CC_JUNE041"/>
      <sheetName val="LIFE_&amp;_REP_PROVN1"/>
      <sheetName val="O&amp;M_CREW1"/>
      <sheetName val="All_Components_Report"/>
      <sheetName val="Manual JV"/>
      <sheetName val="Mkt PMS"/>
      <sheetName val="Charts"/>
      <sheetName val="Infinite Studios"/>
      <sheetName val="Neuros &amp; Immunos"/>
      <sheetName val="Nucleos"/>
      <sheetName val="Monthly Checklist"/>
      <sheetName val="Corp Svc fee"/>
      <sheetName val="PL"/>
      <sheetName val="BANK"/>
      <sheetName val="GL"/>
      <sheetName val="GJ"/>
      <sheetName val="AR SUM (SGD) "/>
      <sheetName val="AR SUM (RM)"/>
      <sheetName val="AR DETAIL (RM)"/>
      <sheetName val="AR DETAIL (SGD) "/>
      <sheetName val="AP SUM (SGD)"/>
      <sheetName val="AP DETAIL (SGD) "/>
      <sheetName val="Revenue Schedule "/>
      <sheetName val="Sch"/>
      <sheetName val="FA"/>
      <sheetName val="Under paid GST Working"/>
      <sheetName val="Bonus com"/>
      <sheetName val="Exchange Rates_2019"/>
      <sheetName val="CCS"/>
      <sheetName val="ERL"/>
      <sheetName val="SSR"/>
      <sheetName val="Emp Details"/>
      <sheetName val="theatre mgmt cont"/>
      <sheetName val="Item_Master"/>
      <sheetName val="HistData(1)"/>
      <sheetName val="Update"/>
      <sheetName val="Operating Statistics"/>
      <sheetName val="Financials"/>
      <sheetName val="BS_ABRIDGED"/>
      <sheetName val="Hyp-mstr"/>
      <sheetName val="PCost"/>
      <sheetName val="INCOME "/>
      <sheetName val="M_Maincomp"/>
      <sheetName val="IO"/>
      <sheetName val="SCH4"/>
      <sheetName val="ECP II Cashflow INR"/>
      <sheetName val="ECP II Cashflow USD"/>
      <sheetName val="31 July 2005"/>
      <sheetName val="M-0003"/>
      <sheetName val="Adjusted data"/>
      <sheetName val="JetFuel"/>
      <sheetName val="Block A"/>
      <sheetName val="model by field"/>
      <sheetName val="IEA_02-99"/>
      <sheetName val="cs1997"/>
      <sheetName val="Crude oil"/>
      <sheetName val="Book1"/>
      <sheetName val="Corridor"/>
      <sheetName val="Summary model"/>
      <sheetName val="Valuation (F)"/>
      <sheetName val="PRECAST lightconc-II"/>
      <sheetName val="소상 &quot;1&quot;"/>
      <sheetName val="Publicbuilding"/>
      <sheetName val="Dep"/>
      <sheetName val="starter"/>
      <sheetName val="Civil Works"/>
      <sheetName val="gen"/>
      <sheetName val="ins spares"/>
      <sheetName val="K2-03-100"/>
      <sheetName val="Occupancy 2004"/>
      <sheetName val="CFS3"/>
      <sheetName val="SALE"/>
      <sheetName val="#REF!"/>
      <sheetName val="Marketing cost breakdown"/>
      <sheetName val="vb_9&amp;102"/>
      <sheetName val="Ins_&amp;_Bonds2"/>
      <sheetName val="Labour_Rate_2"/>
      <sheetName val="Source_Ref_2"/>
      <sheetName val="입찰내역_발주처_양식2"/>
      <sheetName val="BS_SCH_A-D1"/>
      <sheetName val="Direct_cost_shed_A-2_2"/>
      <sheetName val="Elect_1"/>
      <sheetName val="Instruction"/>
      <sheetName val="IGAAP Entity BS PL"/>
      <sheetName val="IGAAP Trial Balance New"/>
      <sheetName val="SAP TB With Grouping"/>
      <sheetName val="SAP Download TB"/>
      <sheetName val="wdr_bldg"/>
      <sheetName val="Admin_"/>
      <sheetName val="Itemised"/>
      <sheetName val="P.O VS Actual"/>
      <sheetName val="IBP I Hotel March 08 Vendorwise"/>
      <sheetName val="Inv_Data"/>
      <sheetName val="Summary 30-09-09"/>
      <sheetName val="PL Notes2"/>
      <sheetName val="7 Jan 02"/>
      <sheetName val="ECR.ECNOI Slide"/>
      <sheetName val="Intaccrual"/>
      <sheetName val="SBU"/>
      <sheetName val="공사비 내역 (가)"/>
      <sheetName val="FORM7"/>
      <sheetName val="Internet"/>
      <sheetName val="Riser-1"/>
      <sheetName val="Estimate"/>
      <sheetName val="precast RC element"/>
      <sheetName val="Appendix-1-PS-PT"/>
      <sheetName val="dBase"/>
      <sheetName val="dummy"/>
      <sheetName val="PointNo.5"/>
      <sheetName val="Detail 1A"/>
      <sheetName val="Rate"/>
      <sheetName val="Cash Flow Working"/>
      <sheetName val="JAN91"/>
      <sheetName val="2.Fixed Assets Schedule"/>
      <sheetName val="Stacking_Plan"/>
      <sheetName val="Podium_Areas"/>
      <sheetName val="Prospect 2007"/>
      <sheetName val="Summary T-1"/>
      <sheetName val="Break up Sheet"/>
      <sheetName val="Sheet3_(2)10"/>
      <sheetName val="Earnings_model6"/>
      <sheetName val="Materials_Cost(PCC)5"/>
      <sheetName val="Commission_and_Volume_MOM(Char5"/>
      <sheetName val="Excess_Calc5"/>
      <sheetName val="Grouping_Master5"/>
      <sheetName val="Rate_Analysis6"/>
      <sheetName val="Estimate_for_approval10"/>
      <sheetName val="E_&amp;_R6"/>
      <sheetName val="%_Collection_Schedule5"/>
      <sheetName val="Stacking_Plan_&amp;_LEP5"/>
      <sheetName val="beam-reinft-IIInd_floor5"/>
      <sheetName val="SPT_vs_PHI5"/>
      <sheetName val="Materials_Cost5"/>
      <sheetName val="beam-reinft-machine_rm5"/>
      <sheetName val="A5_201_Consol_Profit_&amp;_Loss_5"/>
      <sheetName val="Consolidated_Monthly5"/>
      <sheetName val="Balance_Sheet5"/>
      <sheetName val="A5_202_Consol_Balance_Sheet_5"/>
      <sheetName val="Fixed_Assets5"/>
      <sheetName val="MN_T_B_5"/>
      <sheetName val="INDIGINEOUS_ITEMS_5"/>
      <sheetName val="1_Market5"/>
      <sheetName val="Sheet_25"/>
      <sheetName val="B_S-31-3-20062"/>
      <sheetName val="35_D_Annex22"/>
      <sheetName val="H_O2"/>
      <sheetName val="TRIAL_BALANCE2"/>
      <sheetName val="Card_nos_2"/>
      <sheetName val="Statistics_{pbc}2"/>
      <sheetName val="BOD_PL_NEW2"/>
      <sheetName val="Assumptions_(2)2"/>
      <sheetName val="Cntrl_Sheet2"/>
      <sheetName val="B_S2"/>
      <sheetName val="Project_Cost2"/>
      <sheetName val="CAS_P2"/>
      <sheetName val="EXPENDITURE_CYCLE2"/>
      <sheetName val="Fixed_Assets_Top_Sheet-_Consol2"/>
      <sheetName val="VIR_CG2"/>
      <sheetName val="Weighted_Avg2"/>
      <sheetName val="Assumptions_(W)2"/>
      <sheetName val="P_L2"/>
      <sheetName val="NKEL_O&amp;M2"/>
      <sheetName val="ASSUMPTIONS_22"/>
      <sheetName val="_TARIFFS_POST_PCOD2"/>
      <sheetName val="DCF_Valuation_-_FCFF2"/>
      <sheetName val="FA_Leadsheet_&amp;_Movement2"/>
      <sheetName val="Profit_&amp;_Loss2"/>
      <sheetName val="Summary_-_USD2"/>
      <sheetName val="Key_assumption5"/>
      <sheetName val="Material_List_5"/>
      <sheetName val="STAFFSCHED_5"/>
      <sheetName val="Apartments_-_1st_Mar5"/>
      <sheetName val="Multiple_output2"/>
      <sheetName val="Chembur_12"/>
      <sheetName val="Felix_Street_Summary2"/>
      <sheetName val="Fee_Rate_Summary5"/>
      <sheetName val="Main_School_Building5"/>
      <sheetName val="FY16-17_Cashflow2"/>
      <sheetName val="Sukuki_CDR2"/>
      <sheetName val="Rent_-012"/>
      <sheetName val="priority_analysis2"/>
      <sheetName val="standards_trend2"/>
      <sheetName val="service_timing2"/>
      <sheetName val="Product_Problems2"/>
      <sheetName val="score_trends2"/>
      <sheetName val="Fix_it_First_Time2"/>
      <sheetName val="Sample_India2"/>
      <sheetName val="Sample_Indo2"/>
      <sheetName val="Sample_MY2"/>
      <sheetName val="Sample_PH2"/>
      <sheetName val="Sample_TH2"/>
      <sheetName val="Customize_Your_Purchase_Order2"/>
      <sheetName val="TRX_ADDITION2"/>
      <sheetName val="GrossMgn_982"/>
      <sheetName val="Income_Statements2"/>
      <sheetName val="CTbe_tong2"/>
      <sheetName val="CTDZ_0_4+cto2"/>
      <sheetName val="_2"/>
      <sheetName val="450_x_3502"/>
      <sheetName val="Fill_this_out_first___2"/>
      <sheetName val="Approved_MTD_Proj_#'s2"/>
      <sheetName val="RATE_ANALYSIS_2"/>
      <sheetName val="Mix_Design2"/>
      <sheetName val="_Vivante_MAIN__INFRA__MAR_182"/>
      <sheetName val="Current_Bill_MB_ref2"/>
      <sheetName val="Form_62"/>
      <sheetName val="M-Book_for_Conc2"/>
      <sheetName val="M-Book_for_FW2"/>
      <sheetName val="Schedules_PL2"/>
      <sheetName val="Schedules_BS2"/>
      <sheetName val="TDS_Certificate-Format2"/>
      <sheetName val="RA_12"/>
      <sheetName val="CC_APR042"/>
      <sheetName val="CC_MAY042"/>
      <sheetName val="CC_JUNE042"/>
      <sheetName val="Outline_Cost_-_Five_star_Hotel2"/>
      <sheetName val="LIFE_&amp;_REP_PROVN2"/>
      <sheetName val="O&amp;M_CREW2"/>
      <sheetName val="RF_Vol2"/>
      <sheetName val="Price_Comparison1"/>
      <sheetName val="final_abstract1"/>
      <sheetName val="Product_Details1"/>
      <sheetName val="SP_Break_Up1"/>
      <sheetName val="Leg_1-11"/>
      <sheetName val="Note_9-131"/>
      <sheetName val="Rate_analysis_civil1"/>
      <sheetName val="gen_ledger_data1"/>
      <sheetName val="Raw_DCF2"/>
      <sheetName val="Sch_1,2,32"/>
      <sheetName val="Sch_14,15,162"/>
      <sheetName val="profit_&amp;_loss_account2"/>
      <sheetName val="Movement_of_Mutual_Funds2"/>
      <sheetName val="Annex_-_81"/>
      <sheetName val="6_TRS1"/>
      <sheetName val="schedule_nos1"/>
      <sheetName val="Basic_Rate1"/>
      <sheetName val="INFLUENCES_ON_GM1"/>
      <sheetName val="Item_Master1"/>
      <sheetName val="Reconciliation_of_GL_&amp;_FAR1"/>
      <sheetName val="All_Components_Report1"/>
      <sheetName val="A_O_R_1"/>
      <sheetName val="2nd_1"/>
      <sheetName val="TBAL9697_-group_wise__sdpl1"/>
      <sheetName val="SAP_EMP1"/>
      <sheetName val="Labor_abs-NMR1"/>
      <sheetName val="Dep_-_SAP1"/>
      <sheetName val="Project_Budget_Worksheet1"/>
      <sheetName val="Builtup_Area1"/>
      <sheetName val="MASTER_RATE_ANALYSIS1"/>
      <sheetName val="CAM-_Airoli"/>
      <sheetName val="AMC-_Airoli"/>
      <sheetName val="CAM_-_Poch"/>
      <sheetName val="AMC_-_Poch"/>
      <sheetName val="Complex_-_Poch"/>
      <sheetName val="CAM_-_Trion"/>
      <sheetName val="AMC_-_Trion"/>
      <sheetName val="Complex_-_Trion"/>
      <sheetName val="Oct'19-Feb'20_base_file"/>
      <sheetName val="Mar'20-base_file"/>
      <sheetName val="April'20-Dec'20_Base_File"/>
      <sheetName val="TB_WORLI"/>
      <sheetName val="TB_APJ"/>
      <sheetName val="H_O_"/>
      <sheetName val="D_D"/>
      <sheetName val="C_flow_95"/>
      <sheetName val="Capital_leases"/>
      <sheetName val="FA_TB_28-2-2006"/>
      <sheetName val="data_3A|6A"/>
      <sheetName val="Provision_base"/>
      <sheetName val="stryker_div_"/>
      <sheetName val="rent_paid_details"/>
      <sheetName val="Data_Summary"/>
      <sheetName val="Operating_Statistics"/>
      <sheetName val="INCOME_"/>
      <sheetName val="소상_&quot;1&quot;"/>
      <sheetName val="Master_-_Inventory"/>
      <sheetName val="Mkt_PMS"/>
      <sheetName val="Manual_JV"/>
      <sheetName val="Infinite_Studios"/>
      <sheetName val="Neuros_&amp;_Immunos"/>
      <sheetName val="Monthly_Checklist"/>
      <sheetName val="Corp_Svc_fee"/>
      <sheetName val="AR_SUM_(SGD)_"/>
      <sheetName val="AR_SUM_(RM)"/>
      <sheetName val="AR_DETAIL_(RM)"/>
      <sheetName val="AR_DETAIL_(SGD)_"/>
      <sheetName val="AP_SUM_(SGD)"/>
      <sheetName val="AP_DETAIL_(SGD)_"/>
      <sheetName val="Revenue_Schedule_"/>
      <sheetName val="Under_paid_GST_Working"/>
      <sheetName val="Bonus_com"/>
      <sheetName val="Exchange_Rates_2019"/>
      <sheetName val="Emp_Details"/>
      <sheetName val="Assumption_Inputs"/>
      <sheetName val="Budget_Vs_Actuals_(2)"/>
      <sheetName val="theatre_mgmt_cont"/>
      <sheetName val="Civil_Works"/>
      <sheetName val="ins_spares"/>
      <sheetName val="Groupings_"/>
      <sheetName val="PRECAST_lightconc-II"/>
      <sheetName val="Material_"/>
      <sheetName val="Labour_&amp;_Plant"/>
      <sheetName val="Area_Statement"/>
      <sheetName val="Risk_Analysis"/>
      <sheetName val="Detailed_Summary_(5)"/>
      <sheetName val="Cost_Any_"/>
      <sheetName val="OCT_06"/>
      <sheetName val="Summary_30-09-09"/>
      <sheetName val="Fin Sum"/>
      <sheetName val="LINER"/>
      <sheetName val="BORING "/>
      <sheetName val="EXPANSION JOINT"/>
      <sheetName val="CIS MAIN BERTH-1"/>
      <sheetName val="steam outlet"/>
      <sheetName val="BOQ LT"/>
      <sheetName val="GR.slab-reinft"/>
      <sheetName val="Summary year Plan"/>
      <sheetName val="Budget - Format (T3sub)"/>
      <sheetName val="Micro"/>
      <sheetName val="GM &amp; TA"/>
      <sheetName val="Macro"/>
      <sheetName val="Scaff-Rose"/>
      <sheetName val="細目"/>
      <sheetName val="Electrical-Line Items"/>
      <sheetName val="P&amp;L-BDMC"/>
      <sheetName val="Concessions Lodz SC"/>
      <sheetName val="Concessions_Lodz_SC"/>
      <sheetName val="Figures_Dec"/>
      <sheetName val="Concessions_Lodz_SC1"/>
      <sheetName val="Concessions_Lodz_SC2"/>
      <sheetName val="Concessions_Lodz_SC3"/>
      <sheetName val="LTG-STG"/>
      <sheetName val="beam-reinft"/>
      <sheetName val="S1BOQ"/>
      <sheetName val="방배동내역(리라)"/>
      <sheetName val="부대공사총괄"/>
      <sheetName val="현장경비"/>
      <sheetName val="건축공사집계표"/>
      <sheetName val="방배동내역 (총괄)"/>
      <sheetName val="合成単価作成表-BLDG"/>
      <sheetName val="Abstract"/>
      <sheetName val="BOQ 17-01"/>
      <sheetName val="Summary of Esc."/>
      <sheetName val="Comp Statement"/>
      <sheetName val="Concrete Esc.-RA23"/>
      <sheetName val="Material Adv."/>
      <sheetName val="Mile stone details"/>
      <sheetName val="Proforma-invoice"/>
      <sheetName val="Steel Abs."/>
      <sheetName val="Steel Esc. 23"/>
      <sheetName val="Screening"/>
      <sheetName val="Screening (2)"/>
      <sheetName val="2009-04"/>
      <sheetName val="2009-08"/>
      <sheetName val="2009-12"/>
      <sheetName val="2010-02"/>
      <sheetName val="2010-01"/>
      <sheetName val="2009-07"/>
      <sheetName val="2010-03"/>
      <sheetName val="2009-05"/>
      <sheetName val="2009-11"/>
      <sheetName val="2009-10"/>
      <sheetName val="2009-06"/>
      <sheetName val="2009-09"/>
      <sheetName val="Dept Spend Dtl (20)"/>
      <sheetName val="foot-slab reinft"/>
      <sheetName val="BORDGC"/>
      <sheetName val="Name List"/>
      <sheetName val="Cal(6.3.2) GSB-T"/>
      <sheetName val="Cal(6.3.1) GSB-1(Jn.) DDA"/>
      <sheetName val="Cal(6.2.2) (b)EMB-T"/>
      <sheetName val="Cal(6.3.3) WMM-T"/>
      <sheetName val="Cal(6.2.4) SG-T"/>
      <sheetName val="NOTE 2"/>
      <sheetName val="Certificate"/>
      <sheetName val="Comparative"/>
      <sheetName val="Annexure VI A-1 Done"/>
      <sheetName val="????(?????)"/>
      <sheetName val="PL_Notes2"/>
      <sheetName val="Changes_to_be_made"/>
      <sheetName val="F"/>
      <sheetName val="Cost_summary"/>
      <sheetName val="Detail_In_Door_Stad1"/>
      <sheetName val="Data_sheet1"/>
      <sheetName val="Per_Unit1"/>
      <sheetName val="CFForecast_detail1"/>
      <sheetName val="WORK_TABLE1"/>
      <sheetName val="10__&amp;_11__Rate_Code_&amp;_BQ1"/>
      <sheetName val="Internal_Finishes_(Unit_types)1"/>
      <sheetName val="Admin_1"/>
      <sheetName val="Data_Summary1"/>
      <sheetName val="Assumption_Inputs1"/>
      <sheetName val="Cost_summary1"/>
      <sheetName val="rent_paid_details1"/>
      <sheetName val="Oct'19-Feb'20_base_file1"/>
      <sheetName val="Mar'20-base_file1"/>
      <sheetName val="April'20-Dec'20_Base_File1"/>
      <sheetName val="TB_WORLI1"/>
      <sheetName val="TB_APJ1"/>
      <sheetName val="H_O_1"/>
      <sheetName val="D_D1"/>
      <sheetName val="wdr_bldg1"/>
      <sheetName val="OCT_061"/>
      <sheetName val="Budget_Vs_Actuals_(2)1"/>
      <sheetName val="stryker_div_1"/>
      <sheetName val="PCC"/>
      <sheetName val="site fab&amp;ernstr"/>
      <sheetName val="Detail"/>
      <sheetName val="Bank Guarantee"/>
      <sheetName val="INPUT SHEET"/>
      <sheetName val="RES-PLANNING"/>
      <sheetName val="FINCAL"/>
      <sheetName val="Makro1"/>
      <sheetName val="Mat.Cost"/>
      <sheetName val="3"/>
      <sheetName val="OT Rentroll"/>
      <sheetName val="EXIM Interest"/>
      <sheetName val="mapping"/>
      <sheetName val="Q-Mtr"/>
      <sheetName val="Ra  stair"/>
      <sheetName val="8. Cover"/>
      <sheetName val="QTY"/>
      <sheetName val="Day work"/>
      <sheetName val="RA_Civil"/>
      <sheetName val="ct BBS"/>
      <sheetName val="PA3-CB BBS"/>
      <sheetName val="tower BBS"/>
      <sheetName val="MB MANHOLES"/>
      <sheetName val="Attributes"/>
      <sheetName val="120RECV"/>
      <sheetName val="PPL Interco"/>
      <sheetName val="Cost @ 31 Jan 2002"/>
      <sheetName val="ACK-NEW"/>
      <sheetName val="maingirder"/>
      <sheetName val="Key Ratios"/>
      <sheetName val="Material&amp;equipment"/>
      <sheetName val="SC Cost FEB 03"/>
      <sheetName val="Insurance &amp; Taxes(B1-2)"/>
      <sheetName val="BOQ (2)"/>
      <sheetName val="Material"/>
      <sheetName val="2gii"/>
      <sheetName val="Meas.-Hotel Part"/>
      <sheetName val="SILICATE"/>
      <sheetName val="BASIC RATES"/>
      <sheetName val=""/>
      <sheetName val="Ins Erection"/>
      <sheetName val="Combi"/>
      <sheetName val="master"/>
      <sheetName val="Ass"/>
      <sheetName val="MERGER"/>
      <sheetName val="HONOTES"/>
      <sheetName val="A-Monitoring"/>
      <sheetName val="Dadar_CF"/>
      <sheetName val="Nisarg_Mulund_CF"/>
      <sheetName val="Actions"/>
      <sheetName val="Nisarg CF"/>
      <sheetName val="Com CF"/>
      <sheetName val="Marketing_cost_breakdown"/>
      <sheetName val="Prospect_2007"/>
      <sheetName val="31_July_2005"/>
      <sheetName val="Dept_Spend_Dtl_(20)"/>
      <sheetName val="Wing D GF"/>
      <sheetName val="Building A to K"/>
      <sheetName val="Stub Col"/>
      <sheetName val="F.Slab"/>
      <sheetName val="Plinth Beam1"/>
      <sheetName val="p&amp;m"/>
      <sheetName val="Groupings"/>
      <sheetName val="Reference Table"/>
      <sheetName val="Manvi - Kavita Solar customers"/>
      <sheetName val="Debit note tracker"/>
      <sheetName val="BREAKUP OF OIL"/>
      <sheetName val="boq revised"/>
      <sheetName val="io list"/>
      <sheetName val="Detailed"/>
      <sheetName val="TBdownload1000"/>
      <sheetName val="CAUSTIC"/>
      <sheetName val="Mixed"/>
      <sheetName val="COM"/>
      <sheetName val="HK-I"/>
      <sheetName val="INT-I"/>
      <sheetName val="RSCH"/>
      <sheetName val="TR"/>
      <sheetName val="DC (Junior)"/>
      <sheetName val="Utility Cost Trend"/>
      <sheetName val="PopCache"/>
      <sheetName val="Annex"/>
      <sheetName val="Corp cost"/>
      <sheetName val="TPH"/>
      <sheetName val="Internal Data"/>
      <sheetName val="Eq. Mobilization"/>
      <sheetName val="Chevron Sign"/>
      <sheetName val="Delineators"/>
      <sheetName val="Sheet3_(2)11"/>
      <sheetName val="Stacking_Plan_&amp;_LEP6"/>
      <sheetName val="Estimate_for_approval11"/>
      <sheetName val="Earnings_model7"/>
      <sheetName val="Rate_Analysis7"/>
      <sheetName val="Excess_Calc6"/>
      <sheetName val="Grouping_Master6"/>
      <sheetName val="%_Collection_Schedule6"/>
      <sheetName val="E_&amp;_R7"/>
      <sheetName val="1_Market6"/>
      <sheetName val="Materials_Cost(PCC)6"/>
      <sheetName val="beam-reinft-IIInd_floor6"/>
      <sheetName val="SPT_vs_PHI6"/>
      <sheetName val="Materials_Cost6"/>
      <sheetName val="beam-reinft-machine_rm6"/>
      <sheetName val="Commission_and_Volume_MOM(Char6"/>
      <sheetName val="A5_201_Consol_Profit_&amp;_Loss_6"/>
      <sheetName val="Consolidated_Monthly6"/>
      <sheetName val="Balance_Sheet6"/>
      <sheetName val="A5_202_Consol_Balance_Sheet_6"/>
      <sheetName val="Fixed_Assets6"/>
      <sheetName val="Sheet_26"/>
      <sheetName val="Key_assumption6"/>
      <sheetName val="MN_T_B_6"/>
      <sheetName val="INDIGINEOUS_ITEMS_6"/>
      <sheetName val="Apartments_-_1st_Mar6"/>
      <sheetName val="Multiple_output3"/>
      <sheetName val="Chembur_13"/>
      <sheetName val="Material_List_6"/>
      <sheetName val="STAFFSCHED_6"/>
      <sheetName val="vb_9&amp;103"/>
      <sheetName val="Felix_Street_Summary3"/>
      <sheetName val="Fee_Rate_Summary6"/>
      <sheetName val="Main_School_Building6"/>
      <sheetName val="B_S-31-3-20063"/>
      <sheetName val="35_D_Annex23"/>
      <sheetName val="H_O3"/>
      <sheetName val="TRIAL_BALANCE3"/>
      <sheetName val="Card_nos_3"/>
      <sheetName val="Statistics_{pbc}3"/>
      <sheetName val="BOD_PL_NEW3"/>
      <sheetName val="Assumptions_(2)3"/>
      <sheetName val="Cntrl_Sheet3"/>
      <sheetName val="B_S3"/>
      <sheetName val="Project_Cost3"/>
      <sheetName val="CAS_P3"/>
      <sheetName val="EXPENDITURE_CYCLE3"/>
      <sheetName val="Fixed_Assets_Top_Sheet-_Consol3"/>
      <sheetName val="VIR_CG3"/>
      <sheetName val="Weighted_Avg3"/>
      <sheetName val="Assumptions_(W)3"/>
      <sheetName val="P_L3"/>
      <sheetName val="NKEL_O&amp;M3"/>
      <sheetName val="ASSUMPTIONS_23"/>
      <sheetName val="_TARIFFS_POST_PCOD3"/>
      <sheetName val="DCF_Valuation_-_FCFF3"/>
      <sheetName val="FA_Leadsheet_&amp;_Movement3"/>
      <sheetName val="Profit_&amp;_Loss3"/>
      <sheetName val="Summary_-_USD3"/>
      <sheetName val="FY16-17_Cashflow3"/>
      <sheetName val="GrossMgn_983"/>
      <sheetName val="Rent_-013"/>
      <sheetName val="Sukuki_CDR3"/>
      <sheetName val="TRX_ADDITION3"/>
      <sheetName val="Labour_Rate_3"/>
      <sheetName val="입찰내역_발주처_양식3"/>
      <sheetName val="Customize_Your_Purchase_Order3"/>
      <sheetName val="RATE_ANALYSIS_3"/>
      <sheetName val="priority_analysis3"/>
      <sheetName val="standards_trend3"/>
      <sheetName val="service_timing3"/>
      <sheetName val="Product_Problems3"/>
      <sheetName val="score_trends3"/>
      <sheetName val="Fix_it_First_Time3"/>
      <sheetName val="Sample_India3"/>
      <sheetName val="Sample_Indo3"/>
      <sheetName val="Sample_MY3"/>
      <sheetName val="Sample_PH3"/>
      <sheetName val="Sample_TH3"/>
      <sheetName val="Income_Statements3"/>
      <sheetName val="CTbe_tong3"/>
      <sheetName val="CTDZ_0_4+cto3"/>
      <sheetName val="_3"/>
      <sheetName val="450_x_3503"/>
      <sheetName val="Fill_this_out_first___3"/>
      <sheetName val="Approved_MTD_Proj_#'s3"/>
      <sheetName val="Raw_DCF3"/>
      <sheetName val="Sch_1,2,33"/>
      <sheetName val="Sch_14,15,163"/>
      <sheetName val="profit_&amp;_loss_account3"/>
      <sheetName val="Movement_of_Mutual_Funds3"/>
      <sheetName val="TDS_Certificate-Format3"/>
      <sheetName val="Current_Bill_MB_ref3"/>
      <sheetName val="Mix_Design3"/>
      <sheetName val="Ins_&amp;_Bonds3"/>
      <sheetName val="_Vivante_MAIN__INFRA__MAR_183"/>
      <sheetName val="Form_63"/>
      <sheetName val="Source_Ref_3"/>
      <sheetName val="M-Book_for_Conc3"/>
      <sheetName val="M-Book_for_FW3"/>
      <sheetName val="Schedules_PL3"/>
      <sheetName val="Schedules_BS3"/>
      <sheetName val="Annex_-_82"/>
      <sheetName val="6_TRS2"/>
      <sheetName val="BS_SCH_A-D2"/>
      <sheetName val="RA_13"/>
      <sheetName val="SP_Break_Up2"/>
      <sheetName val="CC_APR043"/>
      <sheetName val="CC_MAY043"/>
      <sheetName val="CC_JUNE043"/>
      <sheetName val="Outline_Cost_-_Five_star_Hotel3"/>
      <sheetName val="Reconciliation_of_GL_&amp;_FAR2"/>
      <sheetName val="final_abstract2"/>
      <sheetName val="Product_Details2"/>
      <sheetName val="Price_Comparison2"/>
      <sheetName val="Leg_1-12"/>
      <sheetName val="schedule_nos2"/>
      <sheetName val="LIFE_&amp;_REP_PROVN3"/>
      <sheetName val="O&amp;M_CREW3"/>
      <sheetName val="Direct_cost_shed_A-2_3"/>
      <sheetName val="Elect_2"/>
      <sheetName val="RF_Vol3"/>
      <sheetName val="Basic_Rate2"/>
      <sheetName val="INFLUENCES_ON_GM2"/>
      <sheetName val="2nd_2"/>
      <sheetName val="A_O_R_2"/>
      <sheetName val="SAP_EMP2"/>
      <sheetName val="TBAL9697_-group_wise__sdpl2"/>
      <sheetName val="gen_ledger_data2"/>
      <sheetName val="Note_9-132"/>
      <sheetName val="Dep_-_SAP2"/>
      <sheetName val="Rate_analysis_civil2"/>
      <sheetName val="Item_Master2"/>
      <sheetName val="All_Components_Report2"/>
      <sheetName val="Labor_abs-NMR2"/>
      <sheetName val="Podium_Areas1"/>
      <sheetName val="Stacking_Plan1"/>
      <sheetName val="Builtup_Area2"/>
      <sheetName val="Project_Budget_Worksheet2"/>
      <sheetName val="MASTER_RATE_ANALYSIS2"/>
      <sheetName val="C_flow_951"/>
      <sheetName val="Capital_leases1"/>
      <sheetName val="FA_TB_28-2-20061"/>
      <sheetName val="data_3A|6A1"/>
      <sheetName val="Mkt_PMS1"/>
      <sheetName val="Civil_Works1"/>
      <sheetName val="ins_spares1"/>
      <sheetName val="Summary_30-09-091"/>
      <sheetName val="Provision_base1"/>
      <sheetName val="CAM-_Airoli1"/>
      <sheetName val="AMC-_Airoli1"/>
      <sheetName val="CAM_-_Poch1"/>
      <sheetName val="AMC_-_Poch1"/>
      <sheetName val="Complex_-_Poch1"/>
      <sheetName val="CAM_-_Trion1"/>
      <sheetName val="AMC_-_Trion1"/>
      <sheetName val="Complex_-_Trion1"/>
      <sheetName val="Manual_JV1"/>
      <sheetName val="Infinite_Studios1"/>
      <sheetName val="Neuros_&amp;_Immunos1"/>
      <sheetName val="Monthly_Checklist1"/>
      <sheetName val="Corp_Svc_fee1"/>
      <sheetName val="AR_SUM_(SGD)_1"/>
      <sheetName val="AR_SUM_(RM)1"/>
      <sheetName val="AR_DETAIL_(RM)1"/>
      <sheetName val="AR_DETAIL_(SGD)_1"/>
      <sheetName val="AP_SUM_(SGD)1"/>
      <sheetName val="AP_DETAIL_(SGD)_1"/>
      <sheetName val="Revenue_Schedule_1"/>
      <sheetName val="Under_paid_GST_Working1"/>
      <sheetName val="Bonus_com1"/>
      <sheetName val="Exchange_Rates_20191"/>
      <sheetName val="Emp_Details1"/>
      <sheetName val="Operating_Statistics1"/>
      <sheetName val="INCOME_1"/>
      <sheetName val="theatre_mgmt_cont1"/>
      <sheetName val="Material_1"/>
      <sheetName val="Labour_&amp;_Plant1"/>
      <sheetName val="Groupings_1"/>
      <sheetName val="Changes_to_be_made1"/>
      <sheetName val="PRECAST_lightconc-II1"/>
      <sheetName val="Master_-_Inventory1"/>
      <sheetName val="IGAAP_Entity_BS_PL"/>
      <sheetName val="IGAAP_Trial_Balance_New"/>
      <sheetName val="SAP_TB_With_Grouping"/>
      <sheetName val="SAP_Download_TB"/>
      <sheetName val="Area_Statement1"/>
      <sheetName val="Risk_Analysis1"/>
      <sheetName val="Detailed_Summary_(5)1"/>
      <sheetName val="Cost_Any_1"/>
      <sheetName val="P_O_VS_Actual"/>
      <sheetName val="IBP_I_Hotel_March_08_Vendorwise"/>
      <sheetName val="PL_Notes21"/>
      <sheetName val="7_Jan_02"/>
      <sheetName val="ECR_ECNOI_Slide"/>
      <sheetName val="소상_&quot;1&quot;1"/>
      <sheetName val="Cash_Flow_Working"/>
      <sheetName val="Adjusted_data"/>
      <sheetName val="Block_A"/>
      <sheetName val="model_by_field"/>
      <sheetName val="Crude_oil"/>
      <sheetName val="Summary_model"/>
      <sheetName val="Valuation_(F)"/>
      <sheetName val="2_Fixed_Assets_Schedule"/>
      <sheetName val="Cal(6_3_2)_GSB-T"/>
      <sheetName val="Cal(6_3_1)_GSB-1(Jn_)_DDA"/>
      <sheetName val="Cal(6_2_2)_(b)EMB-T"/>
      <sheetName val="Cal(6_3_3)_WMM-T"/>
      <sheetName val="Cal(6_2_4)_SG-T"/>
      <sheetName val="Concessions_Lodz_SC4"/>
      <sheetName val="foot-slab_reinft"/>
      <sheetName val="Fin_Sum"/>
      <sheetName val="Detail_1A"/>
      <sheetName val="BOQ_17-01"/>
      <sheetName val="Summary_of_Esc_"/>
      <sheetName val="Comp_Statement"/>
      <sheetName val="Concrete_Esc_-RA23"/>
      <sheetName val="Material_Adv_"/>
      <sheetName val="Mile_stone_details"/>
      <sheetName val="Steel_Abs_"/>
      <sheetName val="Steel_Esc__23"/>
      <sheetName val="NOTE_2"/>
      <sheetName val="Annexure_VI_A-1_Done"/>
      <sheetName val="공사비_내역_(가)"/>
      <sheetName val="PointNo_5"/>
      <sheetName val="precast_RC_element"/>
      <sheetName val="Summary_T-1"/>
      <sheetName val="Break_up_Sheet"/>
      <sheetName val="Name_List"/>
      <sheetName val="ECP_II_Cashflow_INR"/>
      <sheetName val="ECP_II_Cashflow_USD"/>
      <sheetName val="BORING_"/>
      <sheetName val="EXPANSION_JOINT"/>
      <sheetName val="CIS_MAIN_BERTH-1"/>
      <sheetName val="steam_outlet"/>
      <sheetName val="BOQ_LT"/>
      <sheetName val="GR_slab-reinft"/>
      <sheetName val="Summary_year_Plan"/>
      <sheetName val="Budget_-_Format_(T3sub)"/>
      <sheetName val="GM_&amp;_TA"/>
      <sheetName val="Electrical-Line_Items"/>
      <sheetName val="Screening_(2)"/>
      <sheetName val="Occupancy_2004"/>
      <sheetName val="8__Cover"/>
      <sheetName val="방배동내역_(총괄)"/>
      <sheetName val="Detail_In_Door_Stad2"/>
      <sheetName val="CFForecast_detail2"/>
      <sheetName val="Data_sheet2"/>
      <sheetName val="Per_Unit2"/>
      <sheetName val="WORK_TABLE2"/>
      <sheetName val="10__&amp;_11__Rate_Code_&amp;_BQ2"/>
      <sheetName val="Internal_Finishes_(Unit_types)2"/>
      <sheetName val="Oct'19-Feb'20_base_file2"/>
      <sheetName val="Mar'20-base_file2"/>
      <sheetName val="April'20-Dec'20_Base_File2"/>
      <sheetName val="TB_WORLI2"/>
      <sheetName val="TB_APJ2"/>
      <sheetName val="H_O_2"/>
      <sheetName val="D_D2"/>
      <sheetName val="wdr_bldg2"/>
      <sheetName val="Admin_2"/>
      <sheetName val="stryker_div_2"/>
      <sheetName val="rent_paid_details2"/>
      <sheetName val="Data_Summary2"/>
      <sheetName val="Assumption_Inputs2"/>
      <sheetName val="Budget_Vs_Actuals_(2)2"/>
      <sheetName val="OCT_062"/>
      <sheetName val="Cost_summary2"/>
      <sheetName val="EXIM_Interest"/>
      <sheetName val="ct_BBS"/>
      <sheetName val="PA3-CB_BBS"/>
      <sheetName val="tower_BBS"/>
      <sheetName val="MB_MANHOLES"/>
      <sheetName val="Ra__stair"/>
      <sheetName val="SC_Cost_FEB_03"/>
      <sheetName val="U1_P&amp;L"/>
      <sheetName val="Summary_Chart"/>
      <sheetName val="PPL_Interco"/>
      <sheetName val="Cost_@_31_Jan_2002"/>
      <sheetName val="OT_Rentroll"/>
      <sheetName val="BASIC_RATES"/>
      <sheetName val="Nisarg_CF"/>
      <sheetName val="Com_CF"/>
      <sheetName val="Ring Details"/>
      <sheetName val="BOQ - Plaster"/>
      <sheetName val="BOQ - Gypsum"/>
      <sheetName val="BOQ - Waterproofing"/>
      <sheetName val="Parameter"/>
      <sheetName val="1_Project_Profile"/>
      <sheetName val="BTB"/>
      <sheetName val="cf"/>
      <sheetName val="orders"/>
      <sheetName val="Build-up"/>
      <sheetName val="QS - Flooring -T7"/>
      <sheetName val="QS - Flooring -T1"/>
      <sheetName val="QS - Flooring - T2"/>
      <sheetName val="QS - Flooring -T3"/>
      <sheetName val="QS - Flooring -T5"/>
      <sheetName val="Pipe Bedding"/>
      <sheetName val="storm water1"/>
      <sheetName val="Flooring1"/>
      <sheetName val="acevsSp (ABC)"/>
      <sheetName val="31_July_20051"/>
      <sheetName val="Marketing_cost_breakdown1"/>
      <sheetName val="Prospect_20071"/>
      <sheetName val="Dept_Spend_Dtl_(20)1"/>
      <sheetName val="Manvi_-_Kavita_Solar_customers"/>
      <sheetName val="Debit_note_tracker"/>
      <sheetName val="BREAKUP_OF_OIL"/>
      <sheetName val="boq_revised"/>
      <sheetName val="io_list"/>
      <sheetName val="Wing_D_GF"/>
      <sheetName val="site_fab&amp;ernstr"/>
      <sheetName val="Bank_Guarantee"/>
      <sheetName val="INPUT_SHEET"/>
      <sheetName val="Mat_Cost1"/>
      <sheetName val="Reference_Table"/>
      <sheetName val="Ins_Erection"/>
      <sheetName val="DC_(Junior)"/>
      <sheetName val="Utility_Cost_Trend"/>
      <sheetName val="Meas_-Hotel_Part"/>
      <sheetName val="Building_A_to_K"/>
      <sheetName val="Stub_Col"/>
      <sheetName val="F_Slab"/>
      <sheetName val="Plinth_Beam1"/>
      <sheetName val="Day_work"/>
      <sheetName val="Key_Ratios"/>
      <sheetName val="Corp_cost"/>
      <sheetName val="Internal_Data"/>
      <sheetName val="Eq__Mobilization"/>
      <sheetName val="Chevron_Sign"/>
      <sheetName val="Assmpns"/>
      <sheetName val="Ave.wtd.rates"/>
      <sheetName val="Operating Result(Prov.)"/>
      <sheetName val="AR aging-CD"/>
      <sheetName val="CA"/>
      <sheetName val="PNL"/>
      <sheetName val="Contribution"/>
      <sheetName val="Rx"/>
      <sheetName val="Balance Sheet "/>
      <sheetName val="선수금"/>
      <sheetName val="HBI NCD"/>
      <sheetName val="x-rate"/>
      <sheetName val="Info"/>
      <sheetName val="Units Performance"/>
      <sheetName val="Tenancy"/>
      <sheetName val="Operation"/>
      <sheetName val="Summary(BaseBP)"/>
      <sheetName val="LA"/>
      <sheetName val="GLA_Total"/>
      <sheetName val="GLA_Occup"/>
      <sheetName val="MGR"/>
      <sheetName val="% Discounts Cont MGR"/>
      <sheetName val="Discounts Cont MGR"/>
      <sheetName val="% Discounts Adit MGR"/>
      <sheetName val="Discounts Adit MGR"/>
      <sheetName val="RFP"/>
      <sheetName val="NET MGR"/>
      <sheetName val="Sales"/>
      <sheetName val="% TOR"/>
      <sheetName val="TOR"/>
      <sheetName val="SC_Gross"/>
      <sheetName val="% SC Discounts"/>
      <sheetName val="SC Discounts"/>
      <sheetName val="SC Net"/>
      <sheetName val="OCR"/>
      <sheetName val="Letting Fees"/>
      <sheetName val="FOC"/>
      <sheetName val="Delivery Works"/>
      <sheetName val="Other Costs"/>
      <sheetName val="Indemnities"/>
      <sheetName val="Key Money"/>
      <sheetName val="CABLE DATA"/>
      <sheetName val="FINOLEX"/>
      <sheetName val="CPIPE"/>
      <sheetName val="PRI-LS"/>
      <sheetName val="page 1"/>
      <sheetName val="경비공통"/>
      <sheetName val="대치판정"/>
      <sheetName val="basic-data"/>
      <sheetName val="mem-property"/>
      <sheetName val="Break up-by DT"/>
      <sheetName val="PriceCalculation"/>
      <sheetName val="Detailed Summary (3)"/>
      <sheetName val="B2.B_Site "/>
      <sheetName val="Dropdowns"/>
      <sheetName val="Bill 1"/>
      <sheetName val="Bill 2"/>
      <sheetName val="Bill 3"/>
      <sheetName val="Bill 4"/>
      <sheetName val="Bill 5"/>
      <sheetName val="Bill 6"/>
      <sheetName val="Bill 7"/>
      <sheetName val="CW"/>
      <sheetName val="Cost"/>
      <sheetName val="PRICE COMP"/>
      <sheetName val="BLOCK_A _MEA_SHEET_"/>
      <sheetName val="M+L"/>
      <sheetName val="Labour List"/>
      <sheetName val="Material List"/>
      <sheetName val="Deduction of assets"/>
      <sheetName val="Table"/>
      <sheetName val="Deckblatt"/>
      <sheetName val="Z1_DATA"/>
      <sheetName val="MHNO_LEV"/>
      <sheetName val="zone-8"/>
      <sheetName val="WORDS"/>
      <sheetName val="fco"/>
      <sheetName val="shuttering"/>
      <sheetName val="MTTR-Headend"/>
      <sheetName val="PM_Action "/>
      <sheetName val="PE Status"/>
      <sheetName val="Inventory"/>
      <sheetName val="RIP"/>
      <sheetName val="Fault Statistics"/>
      <sheetName val="Ageing_Pending_ CLeared"/>
      <sheetName val="Fault Cleared After 24Hrs"/>
      <sheetName val="Basic_Rate3"/>
      <sheetName val="INFLUENCES_ON_GM3"/>
      <sheetName val="TBAL9697_-group_wise__sdpl3"/>
      <sheetName val="BS_SCH_A-D3"/>
      <sheetName val="Elect_3"/>
      <sheetName val="Ins_&amp;_Bonds5"/>
      <sheetName val="Basic_Rate5"/>
      <sheetName val="INFLUENCES_ON_GM5"/>
      <sheetName val="Labour_Rate_5"/>
      <sheetName val="Source_Ref_5"/>
      <sheetName val="TBAL9697_-group_wise__sdpl5"/>
      <sheetName val="입찰내역_발주처_양식5"/>
      <sheetName val="Customize_Your_Purchase_Order5"/>
      <sheetName val="Mix_Design5"/>
      <sheetName val="B_S-31-3-20065"/>
      <sheetName val="35_D_Annex25"/>
      <sheetName val="H_O5"/>
      <sheetName val="TRIAL_BALANCE5"/>
      <sheetName val="Card_nos_5"/>
      <sheetName val="Statistics_{pbc}5"/>
      <sheetName val="BOD_PL_NEW5"/>
      <sheetName val="Assumptions_(2)5"/>
      <sheetName val="Cntrl_Sheet5"/>
      <sheetName val="B_S5"/>
      <sheetName val="Project_Cost5"/>
      <sheetName val="CAS_P5"/>
      <sheetName val="EXPENDITURE_CYCLE5"/>
      <sheetName val="Fixed_Assets_Top_Sheet-_Consol5"/>
      <sheetName val="VIR_CG5"/>
      <sheetName val="Weighted_Avg5"/>
      <sheetName val="Assumptions_(W)5"/>
      <sheetName val="P_L5"/>
      <sheetName val="NKEL_O&amp;M5"/>
      <sheetName val="ASSUMPTIONS_25"/>
      <sheetName val="_TARIFFS_POST_PCOD5"/>
      <sheetName val="DCF_Valuation_-_FCFF5"/>
      <sheetName val="FA_Leadsheet_&amp;_Movement5"/>
      <sheetName val="Profit_&amp;_Loss5"/>
      <sheetName val="Summary_-_USD5"/>
      <sheetName val="Multiple_output5"/>
      <sheetName val="Chembur_15"/>
      <sheetName val="vb_9&amp;105"/>
      <sheetName val="Felix_Street_Summary5"/>
      <sheetName val="FY16-17_Cashflow5"/>
      <sheetName val="Sukuki_CDR5"/>
      <sheetName val="Rent_-015"/>
      <sheetName val="priority_analysis5"/>
      <sheetName val="standards_trend5"/>
      <sheetName val="service_timing5"/>
      <sheetName val="Product_Problems5"/>
      <sheetName val="score_trends5"/>
      <sheetName val="Fix_it_First_Time5"/>
      <sheetName val="Sample_India5"/>
      <sheetName val="Sample_Indo5"/>
      <sheetName val="Sample_MY5"/>
      <sheetName val="Sample_PH5"/>
      <sheetName val="Sample_TH5"/>
      <sheetName val="Current_Bill_MB_ref5"/>
      <sheetName val="_Vivante_MAIN__INFRA__MAR_185"/>
      <sheetName val="Form_65"/>
      <sheetName val="M-Book_for_Conc5"/>
      <sheetName val="M-Book_for_FW5"/>
      <sheetName val="BS_SCH_A-D5"/>
      <sheetName val="Direct_cost_shed_A-2_5"/>
      <sheetName val="Elect_5"/>
      <sheetName val="Ins_&amp;_Bonds4"/>
      <sheetName val="Basic_Rate4"/>
      <sheetName val="INFLUENCES_ON_GM4"/>
      <sheetName val="Labour_Rate_4"/>
      <sheetName val="Source_Ref_4"/>
      <sheetName val="TBAL9697_-group_wise__sdpl4"/>
      <sheetName val="입찰내역_발주처_양식4"/>
      <sheetName val="Customize_Your_Purchase_Order4"/>
      <sheetName val="Mix_Design4"/>
      <sheetName val="B_S-31-3-20064"/>
      <sheetName val="35_D_Annex24"/>
      <sheetName val="H_O4"/>
      <sheetName val="TRIAL_BALANCE4"/>
      <sheetName val="Card_nos_4"/>
      <sheetName val="Statistics_{pbc}4"/>
      <sheetName val="BOD_PL_NEW4"/>
      <sheetName val="Assumptions_(2)4"/>
      <sheetName val="Cntrl_Sheet4"/>
      <sheetName val="B_S4"/>
      <sheetName val="Project_Cost4"/>
      <sheetName val="CAS_P4"/>
      <sheetName val="EXPENDITURE_CYCLE4"/>
      <sheetName val="Fixed_Assets_Top_Sheet-_Consol4"/>
      <sheetName val="VIR_CG4"/>
      <sheetName val="Weighted_Avg4"/>
      <sheetName val="Assumptions_(W)4"/>
      <sheetName val="P_L4"/>
      <sheetName val="NKEL_O&amp;M4"/>
      <sheetName val="ASSUMPTIONS_24"/>
      <sheetName val="_TARIFFS_POST_PCOD4"/>
      <sheetName val="DCF_Valuation_-_FCFF4"/>
      <sheetName val="FA_Leadsheet_&amp;_Movement4"/>
      <sheetName val="Profit_&amp;_Loss4"/>
      <sheetName val="Summary_-_USD4"/>
      <sheetName val="Multiple_output4"/>
      <sheetName val="Chembur_14"/>
      <sheetName val="vb_9&amp;104"/>
      <sheetName val="Felix_Street_Summary4"/>
      <sheetName val="FY16-17_Cashflow4"/>
      <sheetName val="Sukuki_CDR4"/>
      <sheetName val="Rent_-014"/>
      <sheetName val="priority_analysis4"/>
      <sheetName val="standards_trend4"/>
      <sheetName val="service_timing4"/>
      <sheetName val="Product_Problems4"/>
      <sheetName val="score_trends4"/>
      <sheetName val="Fix_it_First_Time4"/>
      <sheetName val="Sample_India4"/>
      <sheetName val="Sample_Indo4"/>
      <sheetName val="Sample_MY4"/>
      <sheetName val="Sample_PH4"/>
      <sheetName val="Sample_TH4"/>
      <sheetName val="Current_Bill_MB_ref4"/>
      <sheetName val="_Vivante_MAIN__INFRA__MAR_184"/>
      <sheetName val="Form_64"/>
      <sheetName val="M-Book_for_Conc4"/>
      <sheetName val="M-Book_for_FW4"/>
      <sheetName val="BS_SCH_A-D4"/>
      <sheetName val="Direct_cost_shed_A-2_4"/>
      <sheetName val="Elect_4"/>
      <sheetName val="Sheet3_(2)12"/>
      <sheetName val="Estimate_for_approval12"/>
      <sheetName val="Rate_Analysis8"/>
      <sheetName val="Earnings_model8"/>
      <sheetName val="E_&amp;_R8"/>
      <sheetName val="Material_List_7"/>
      <sheetName val="STAFFSCHED_7"/>
      <sheetName val="SPT_vs_PHI7"/>
      <sheetName val="beam-reinft-IIInd_floor7"/>
      <sheetName val="Materials_Cost7"/>
      <sheetName val="%_Collection_Schedule7"/>
      <sheetName val="Materials_Cost(PCC)7"/>
      <sheetName val="Stacking_Plan_&amp;_LEP7"/>
      <sheetName val="Main_School_Building7"/>
      <sheetName val="Excess_Calc7"/>
      <sheetName val="Grouping_Master7"/>
      <sheetName val="Commission_and_Volume_MOM(Char7"/>
      <sheetName val="beam-reinft-machine_rm7"/>
      <sheetName val="Ins_&amp;_Bonds6"/>
      <sheetName val="Basic_Rate6"/>
      <sheetName val="INFLUENCES_ON_GM6"/>
      <sheetName val="MN_T_B_7"/>
      <sheetName val="INDIGINEOUS_ITEMS_7"/>
      <sheetName val="Labour_Rate_6"/>
      <sheetName val="Fee_Rate_Summary7"/>
      <sheetName val="Source_Ref_6"/>
      <sheetName val="TBAL9697_-group_wise__sdpl6"/>
      <sheetName val="입찰내역_발주처_양식6"/>
      <sheetName val="Customize_Your_Purchase_Order6"/>
      <sheetName val="Mix_Design6"/>
      <sheetName val="B_S-31-3-20066"/>
      <sheetName val="35_D_Annex26"/>
      <sheetName val="H_O6"/>
      <sheetName val="TRIAL_BALANCE6"/>
      <sheetName val="Card_nos_6"/>
      <sheetName val="Statistics_{pbc}6"/>
      <sheetName val="BOD_PL_NEW6"/>
      <sheetName val="Assumptions_(2)6"/>
      <sheetName val="Cntrl_Sheet6"/>
      <sheetName val="B_S6"/>
      <sheetName val="Project_Cost6"/>
      <sheetName val="CAS_P6"/>
      <sheetName val="EXPENDITURE_CYCLE6"/>
      <sheetName val="Fixed_Assets_Top_Sheet-_Consol6"/>
      <sheetName val="VIR_CG6"/>
      <sheetName val="Weighted_Avg6"/>
      <sheetName val="Assumptions_(W)6"/>
      <sheetName val="P_L6"/>
      <sheetName val="NKEL_O&amp;M6"/>
      <sheetName val="ASSUMPTIONS_26"/>
      <sheetName val="_TARIFFS_POST_PCOD6"/>
      <sheetName val="DCF_Valuation_-_FCFF6"/>
      <sheetName val="FA_Leadsheet_&amp;_Movement6"/>
      <sheetName val="Profit_&amp;_Loss6"/>
      <sheetName val="Summary_-_USD6"/>
      <sheetName val="Multiple_output6"/>
      <sheetName val="Chembur_16"/>
      <sheetName val="vb_9&amp;106"/>
      <sheetName val="Felix_Street_Summary6"/>
      <sheetName val="FY16-17_Cashflow6"/>
      <sheetName val="Sukuki_CDR6"/>
      <sheetName val="Rent_-016"/>
      <sheetName val="priority_analysis6"/>
      <sheetName val="standards_trend6"/>
      <sheetName val="service_timing6"/>
      <sheetName val="Product_Problems6"/>
      <sheetName val="score_trends6"/>
      <sheetName val="Fix_it_First_Time6"/>
      <sheetName val="Sample_India6"/>
      <sheetName val="Sample_Indo6"/>
      <sheetName val="Sample_MY6"/>
      <sheetName val="Sample_PH6"/>
      <sheetName val="Sample_TH6"/>
      <sheetName val="Current_Bill_MB_ref6"/>
      <sheetName val="_Vivante_MAIN__INFRA__MAR_186"/>
      <sheetName val="Form_66"/>
      <sheetName val="M-Book_for_Conc6"/>
      <sheetName val="M-Book_for_FW6"/>
      <sheetName val="BS_SCH_A-D6"/>
      <sheetName val="Direct_cost_shed_A-2_6"/>
      <sheetName val="Elect_6"/>
      <sheetName val="Sheet3_(2)13"/>
      <sheetName val="Estimate_for_approval13"/>
      <sheetName val="Rate_Analysis9"/>
      <sheetName val="Earnings_model9"/>
      <sheetName val="E_&amp;_R9"/>
      <sheetName val="Material_List_8"/>
      <sheetName val="STAFFSCHED_8"/>
      <sheetName val="SPT_vs_PHI8"/>
      <sheetName val="beam-reinft-IIInd_floor8"/>
      <sheetName val="Materials_Cost8"/>
      <sheetName val="%_Collection_Schedule8"/>
      <sheetName val="Materials_Cost(PCC)8"/>
      <sheetName val="Key_assumption7"/>
      <sheetName val="A5_201_Consol_Profit_&amp;_Loss_7"/>
      <sheetName val="Consolidated_Monthly7"/>
      <sheetName val="Balance_Sheet7"/>
      <sheetName val="A5_202_Consol_Balance_Sheet_7"/>
      <sheetName val="Fixed_Assets7"/>
      <sheetName val="Stacking_Plan_&amp;_LEP8"/>
      <sheetName val="Main_School_Building8"/>
      <sheetName val="Excess_Calc8"/>
      <sheetName val="Grouping_Master8"/>
      <sheetName val="Commission_and_Volume_MOM(Char8"/>
      <sheetName val="beam-reinft-machine_rm8"/>
      <sheetName val="Ins_&amp;_Bonds7"/>
      <sheetName val="Basic_Rate7"/>
      <sheetName val="INFLUENCES_ON_GM7"/>
      <sheetName val="MN_T_B_8"/>
      <sheetName val="INDIGINEOUS_ITEMS_8"/>
      <sheetName val="1_Market7"/>
      <sheetName val="Labour_Rate_7"/>
      <sheetName val="Fee_Rate_Summary8"/>
      <sheetName val="Source_Ref_7"/>
      <sheetName val="TBAL9697_-group_wise__sdpl7"/>
      <sheetName val="입찰내역_발주처_양식7"/>
      <sheetName val="Sheet_27"/>
      <sheetName val="Apartments_-_1st_Mar7"/>
      <sheetName val="Customize_Your_Purchase_Order7"/>
      <sheetName val="Mix_Design7"/>
      <sheetName val="B_S-31-3-20067"/>
      <sheetName val="35_D_Annex27"/>
      <sheetName val="H_O7"/>
      <sheetName val="TRIAL_BALANCE7"/>
      <sheetName val="Card_nos_7"/>
      <sheetName val="Statistics_{pbc}7"/>
      <sheetName val="BOD_PL_NEW7"/>
      <sheetName val="Assumptions_(2)7"/>
      <sheetName val="Cntrl_Sheet7"/>
      <sheetName val="B_S7"/>
      <sheetName val="Project_Cost7"/>
      <sheetName val="CAS_P7"/>
      <sheetName val="EXPENDITURE_CYCLE7"/>
      <sheetName val="Fixed_Assets_Top_Sheet-_Consol7"/>
      <sheetName val="VIR_CG7"/>
      <sheetName val="Weighted_Avg7"/>
      <sheetName val="Assumptions_(W)7"/>
      <sheetName val="P_L7"/>
      <sheetName val="NKEL_O&amp;M7"/>
      <sheetName val="ASSUMPTIONS_27"/>
      <sheetName val="_TARIFFS_POST_PCOD7"/>
      <sheetName val="DCF_Valuation_-_FCFF7"/>
      <sheetName val="FA_Leadsheet_&amp;_Movement7"/>
      <sheetName val="Profit_&amp;_Loss7"/>
      <sheetName val="Summary_-_USD7"/>
      <sheetName val="Multiple_output7"/>
      <sheetName val="Chembur_17"/>
      <sheetName val="vb_9&amp;107"/>
      <sheetName val="Felix_Street_Summary7"/>
      <sheetName val="FY16-17_Cashflow7"/>
      <sheetName val="Sukuki_CDR7"/>
      <sheetName val="Rent_-017"/>
      <sheetName val="priority_analysis7"/>
      <sheetName val="standards_trend7"/>
      <sheetName val="service_timing7"/>
      <sheetName val="Product_Problems7"/>
      <sheetName val="score_trends7"/>
      <sheetName val="Fix_it_First_Time7"/>
      <sheetName val="Sample_India7"/>
      <sheetName val="Sample_Indo7"/>
      <sheetName val="Sample_MY7"/>
      <sheetName val="Sample_PH7"/>
      <sheetName val="Sample_TH7"/>
      <sheetName val="Current_Bill_MB_ref7"/>
      <sheetName val="_Vivante_MAIN__INFRA__MAR_187"/>
      <sheetName val="Form_67"/>
      <sheetName val="M-Book_for_Conc7"/>
      <sheetName val="M-Book_for_FW7"/>
      <sheetName val="BS_SCH_A-D7"/>
      <sheetName val="Direct_cost_shed_A-2_7"/>
      <sheetName val="Elect_7"/>
      <sheetName val="Sheet3_(2)14"/>
      <sheetName val="Estimate_for_approval14"/>
      <sheetName val="Rate_Analysis10"/>
      <sheetName val="Earnings_model10"/>
      <sheetName val="E_&amp;_R10"/>
      <sheetName val="Material_List_9"/>
      <sheetName val="STAFFSCHED_9"/>
      <sheetName val="SPT_vs_PHI9"/>
      <sheetName val="beam-reinft-IIInd_floor9"/>
      <sheetName val="Materials_Cost9"/>
      <sheetName val="%_Collection_Schedule9"/>
      <sheetName val="Materials_Cost(PCC)9"/>
      <sheetName val="Key_assumption8"/>
      <sheetName val="A5_201_Consol_Profit_&amp;_Loss_8"/>
      <sheetName val="Consolidated_Monthly8"/>
      <sheetName val="Balance_Sheet8"/>
      <sheetName val="A5_202_Consol_Balance_Sheet_8"/>
      <sheetName val="Fixed_Assets8"/>
      <sheetName val="Stacking_Plan_&amp;_LEP9"/>
      <sheetName val="Main_School_Building9"/>
      <sheetName val="Excess_Calc9"/>
      <sheetName val="Grouping_Master9"/>
      <sheetName val="Commission_and_Volume_MOM(Char9"/>
      <sheetName val="beam-reinft-machine_rm9"/>
      <sheetName val="Ins_&amp;_Bonds8"/>
      <sheetName val="Basic_Rate8"/>
      <sheetName val="INFLUENCES_ON_GM8"/>
      <sheetName val="MN_T_B_9"/>
      <sheetName val="INDIGINEOUS_ITEMS_9"/>
      <sheetName val="1_Market8"/>
      <sheetName val="Labour_Rate_8"/>
      <sheetName val="Fee_Rate_Summary9"/>
      <sheetName val="Source_Ref_8"/>
      <sheetName val="TBAL9697_-group_wise__sdpl8"/>
      <sheetName val="입찰내역_발주처_양식8"/>
      <sheetName val="Sheet_28"/>
      <sheetName val="Apartments_-_1st_Mar8"/>
      <sheetName val="Customize_Your_Purchase_Order8"/>
      <sheetName val="Mix_Design8"/>
      <sheetName val="B_S-31-3-20068"/>
      <sheetName val="35_D_Annex28"/>
      <sheetName val="H_O8"/>
      <sheetName val="TRIAL_BALANCE8"/>
      <sheetName val="Card_nos_8"/>
      <sheetName val="Statistics_{pbc}8"/>
      <sheetName val="BOD_PL_NEW8"/>
      <sheetName val="Assumptions_(2)8"/>
      <sheetName val="Cntrl_Sheet8"/>
      <sheetName val="B_S8"/>
      <sheetName val="Project_Cost8"/>
      <sheetName val="CAS_P8"/>
      <sheetName val="EXPENDITURE_CYCLE8"/>
      <sheetName val="Fixed_Assets_Top_Sheet-_Consol8"/>
      <sheetName val="VIR_CG8"/>
      <sheetName val="Weighted_Avg8"/>
      <sheetName val="Assumptions_(W)8"/>
      <sheetName val="P_L8"/>
      <sheetName val="NKEL_O&amp;M8"/>
      <sheetName val="ASSUMPTIONS_28"/>
      <sheetName val="_TARIFFS_POST_PCOD8"/>
      <sheetName val="DCF_Valuation_-_FCFF8"/>
      <sheetName val="FA_Leadsheet_&amp;_Movement8"/>
      <sheetName val="Profit_&amp;_Loss8"/>
      <sheetName val="Summary_-_USD8"/>
      <sheetName val="Multiple_output8"/>
      <sheetName val="Chembur_18"/>
      <sheetName val="vb_9&amp;108"/>
      <sheetName val="Felix_Street_Summary8"/>
      <sheetName val="FY16-17_Cashflow8"/>
      <sheetName val="Sukuki_CDR8"/>
      <sheetName val="Rent_-018"/>
      <sheetName val="priority_analysis8"/>
      <sheetName val="standards_trend8"/>
      <sheetName val="service_timing8"/>
      <sheetName val="Product_Problems8"/>
      <sheetName val="score_trends8"/>
      <sheetName val="Fix_it_First_Time8"/>
      <sheetName val="Sample_India8"/>
      <sheetName val="Sample_Indo8"/>
      <sheetName val="Sample_MY8"/>
      <sheetName val="Sample_PH8"/>
      <sheetName val="Sample_TH8"/>
      <sheetName val="Current_Bill_MB_ref8"/>
      <sheetName val="_Vivante_MAIN__INFRA__MAR_188"/>
      <sheetName val="Form_68"/>
      <sheetName val="M-Book_for_Conc8"/>
      <sheetName val="M-Book_for_FW8"/>
      <sheetName val="BS_SCH_A-D8"/>
      <sheetName val="Direct_cost_shed_A-2_8"/>
      <sheetName val="Elect_8"/>
      <sheetName val="Sheet3_(2)15"/>
      <sheetName val="Estimate_for_approval15"/>
      <sheetName val="Rate_Analysis11"/>
      <sheetName val="Earnings_model11"/>
      <sheetName val="E_&amp;_R11"/>
      <sheetName val="Material_List_10"/>
      <sheetName val="STAFFSCHED_10"/>
      <sheetName val="SPT_vs_PHI10"/>
      <sheetName val="beam-reinft-IIInd_floor10"/>
      <sheetName val="Materials_Cost10"/>
      <sheetName val="%_Collection_Schedule10"/>
      <sheetName val="Materials_Cost(PCC)10"/>
      <sheetName val="Key_assumption9"/>
      <sheetName val="A5_201_Consol_Profit_&amp;_Loss_9"/>
      <sheetName val="Consolidated_Monthly9"/>
      <sheetName val="Balance_Sheet9"/>
      <sheetName val="A5_202_Consol_Balance_Sheet_9"/>
      <sheetName val="Fixed_Assets9"/>
      <sheetName val="Stacking_Plan_&amp;_LEP10"/>
      <sheetName val="Main_School_Building10"/>
      <sheetName val="Excess_Calc10"/>
      <sheetName val="Grouping_Master10"/>
      <sheetName val="Commission_and_Volume_MOM(Cha10"/>
      <sheetName val="beam-reinft-machine_rm10"/>
      <sheetName val="Ins_&amp;_Bonds9"/>
      <sheetName val="Basic_Rate9"/>
      <sheetName val="INFLUENCES_ON_GM9"/>
      <sheetName val="MN_T_B_10"/>
      <sheetName val="INDIGINEOUS_ITEMS_10"/>
      <sheetName val="1_Market9"/>
      <sheetName val="Labour_Rate_9"/>
      <sheetName val="Fee_Rate_Summary10"/>
      <sheetName val="Source_Ref_9"/>
      <sheetName val="TBAL9697_-group_wise__sdpl9"/>
      <sheetName val="입찰내역_발주처_양식9"/>
      <sheetName val="Sheet_29"/>
      <sheetName val="Apartments_-_1st_Mar9"/>
      <sheetName val="Customize_Your_Purchase_Order9"/>
      <sheetName val="Mix_Design9"/>
      <sheetName val="B_S-31-3-20069"/>
      <sheetName val="35_D_Annex29"/>
      <sheetName val="H_O9"/>
      <sheetName val="TRIAL_BALANCE9"/>
      <sheetName val="Card_nos_9"/>
      <sheetName val="Statistics_{pbc}9"/>
      <sheetName val="BOD_PL_NEW9"/>
      <sheetName val="Assumptions_(2)9"/>
      <sheetName val="Cntrl_Sheet9"/>
      <sheetName val="B_S9"/>
      <sheetName val="Project_Cost9"/>
      <sheetName val="CAS_P9"/>
      <sheetName val="EXPENDITURE_CYCLE9"/>
      <sheetName val="Fixed_Assets_Top_Sheet-_Consol9"/>
      <sheetName val="VIR_CG9"/>
      <sheetName val="Weighted_Avg9"/>
      <sheetName val="Assumptions_(W)9"/>
      <sheetName val="P_L9"/>
      <sheetName val="NKEL_O&amp;M9"/>
      <sheetName val="ASSUMPTIONS_29"/>
      <sheetName val="_TARIFFS_POST_PCOD9"/>
      <sheetName val="DCF_Valuation_-_FCFF9"/>
      <sheetName val="FA_Leadsheet_&amp;_Movement9"/>
      <sheetName val="Profit_&amp;_Loss9"/>
      <sheetName val="Summary_-_USD9"/>
      <sheetName val="Multiple_output9"/>
      <sheetName val="Chembur_19"/>
      <sheetName val="vb_9&amp;109"/>
      <sheetName val="Felix_Street_Summary9"/>
      <sheetName val="FY16-17_Cashflow9"/>
      <sheetName val="Sukuki_CDR9"/>
      <sheetName val="Rent_-019"/>
      <sheetName val="priority_analysis9"/>
      <sheetName val="standards_trend9"/>
      <sheetName val="service_timing9"/>
      <sheetName val="Product_Problems9"/>
      <sheetName val="score_trends9"/>
      <sheetName val="Fix_it_First_Time9"/>
      <sheetName val="Sample_India9"/>
      <sheetName val="Sample_Indo9"/>
      <sheetName val="Sample_MY9"/>
      <sheetName val="Sample_PH9"/>
      <sheetName val="Sample_TH9"/>
      <sheetName val="Current_Bill_MB_ref9"/>
      <sheetName val="_Vivante_MAIN__INFRA__MAR_189"/>
      <sheetName val="Form_69"/>
      <sheetName val="M-Book_for_Conc9"/>
      <sheetName val="M-Book_for_FW9"/>
      <sheetName val="BS_SCH_A-D9"/>
      <sheetName val="Direct_cost_shed_A-2_9"/>
      <sheetName val="Elect_9"/>
      <sheetName val="Sheet3_(2)16"/>
      <sheetName val="Estimate_for_approval16"/>
      <sheetName val="Rate_Analysis12"/>
      <sheetName val="Earnings_model12"/>
      <sheetName val="E_&amp;_R12"/>
      <sheetName val="Material_List_11"/>
      <sheetName val="STAFFSCHED_11"/>
      <sheetName val="SPT_vs_PHI11"/>
      <sheetName val="beam-reinft-IIInd_floor11"/>
      <sheetName val="Materials_Cost11"/>
      <sheetName val="%_Collection_Schedule11"/>
      <sheetName val="Materials_Cost(PCC)11"/>
      <sheetName val="Key_assumption10"/>
      <sheetName val="A5_201_Consol_Profit_&amp;_Loss_10"/>
      <sheetName val="Consolidated_Monthly10"/>
      <sheetName val="Balance_Sheet10"/>
      <sheetName val="A5_202_Consol_Balance_Sheet_10"/>
      <sheetName val="Fixed_Assets10"/>
      <sheetName val="Stacking_Plan_&amp;_LEP11"/>
      <sheetName val="Main_School_Building11"/>
      <sheetName val="Excess_Calc11"/>
      <sheetName val="Grouping_Master11"/>
      <sheetName val="Commission_and_Volume_MOM(Cha11"/>
      <sheetName val="beam-reinft-machine_rm11"/>
      <sheetName val="Ins_&amp;_Bonds10"/>
      <sheetName val="Basic_Rate10"/>
      <sheetName val="INFLUENCES_ON_GM10"/>
      <sheetName val="MN_T_B_11"/>
      <sheetName val="INDIGINEOUS_ITEMS_11"/>
      <sheetName val="1_Market10"/>
      <sheetName val="Labour_Rate_10"/>
      <sheetName val="Fee_Rate_Summary11"/>
      <sheetName val="Source_Ref_10"/>
      <sheetName val="TBAL9697_-group_wise__sdpl10"/>
      <sheetName val="입찰내역_발주처_양식10"/>
      <sheetName val="Sheet_210"/>
      <sheetName val="Apartments_-_1st_Mar10"/>
      <sheetName val="Customize_Your_Purchase_Order10"/>
      <sheetName val="Mix_Design10"/>
      <sheetName val="B_S-31-3-200610"/>
      <sheetName val="35_D_Annex210"/>
      <sheetName val="H_O10"/>
      <sheetName val="TRIAL_BALANCE10"/>
      <sheetName val="Card_nos_10"/>
      <sheetName val="Statistics_{pbc}10"/>
      <sheetName val="BOD_PL_NEW10"/>
      <sheetName val="Assumptions_(2)10"/>
      <sheetName val="Cntrl_Sheet10"/>
      <sheetName val="B_S10"/>
      <sheetName val="Project_Cost10"/>
      <sheetName val="CAS_P10"/>
      <sheetName val="EXPENDITURE_CYCLE10"/>
      <sheetName val="Fixed_Assets_Top_Sheet-_Conso10"/>
      <sheetName val="VIR_CG10"/>
      <sheetName val="Weighted_Avg10"/>
      <sheetName val="Assumptions_(W)10"/>
      <sheetName val="P_L10"/>
      <sheetName val="NKEL_O&amp;M10"/>
      <sheetName val="ASSUMPTIONS_210"/>
      <sheetName val="_TARIFFS_POST_PCOD10"/>
      <sheetName val="DCF_Valuation_-_FCFF10"/>
      <sheetName val="FA_Leadsheet_&amp;_Movement10"/>
      <sheetName val="Profit_&amp;_Loss10"/>
      <sheetName val="Summary_-_USD10"/>
      <sheetName val="Multiple_output10"/>
      <sheetName val="Chembur_110"/>
      <sheetName val="vb_9&amp;1010"/>
      <sheetName val="Felix_Street_Summary10"/>
      <sheetName val="FY16-17_Cashflow10"/>
      <sheetName val="Sukuki_CDR10"/>
      <sheetName val="Rent_-0110"/>
      <sheetName val="priority_analysis10"/>
      <sheetName val="standards_trend10"/>
      <sheetName val="service_timing10"/>
      <sheetName val="Product_Problems10"/>
      <sheetName val="score_trends10"/>
      <sheetName val="Fix_it_First_Time10"/>
      <sheetName val="Sample_India10"/>
      <sheetName val="Sample_Indo10"/>
      <sheetName val="Sample_MY10"/>
      <sheetName val="Sample_PH10"/>
      <sheetName val="Sample_TH10"/>
      <sheetName val="Current_Bill_MB_ref10"/>
      <sheetName val="_Vivante_MAIN__INFRA__MAR_1810"/>
      <sheetName val="Form_610"/>
      <sheetName val="M-Book_for_Conc10"/>
      <sheetName val="M-Book_for_FW10"/>
      <sheetName val="BS_SCH_A-D10"/>
      <sheetName val="Direct_cost_shed_A-2_10"/>
      <sheetName val="Elect_10"/>
      <sheetName val="Sheet3_(2)17"/>
      <sheetName val="Estimate_for_approval17"/>
      <sheetName val="Rate_Analysis13"/>
      <sheetName val="Earnings_model13"/>
      <sheetName val="E_&amp;_R13"/>
      <sheetName val="Material_List_12"/>
      <sheetName val="STAFFSCHED_12"/>
      <sheetName val="SPT_vs_PHI12"/>
      <sheetName val="beam-reinft-IIInd_floor12"/>
      <sheetName val="Materials_Cost12"/>
      <sheetName val="%_Collection_Schedule12"/>
      <sheetName val="Materials_Cost(PCC)12"/>
      <sheetName val="Key_assumption11"/>
      <sheetName val="A5_201_Consol_Profit_&amp;_Loss_11"/>
      <sheetName val="Consolidated_Monthly11"/>
      <sheetName val="Balance_Sheet11"/>
      <sheetName val="A5_202_Consol_Balance_Sheet_11"/>
      <sheetName val="Fixed_Assets11"/>
      <sheetName val="Stacking_Plan_&amp;_LEP12"/>
      <sheetName val="Main_School_Building12"/>
      <sheetName val="Excess_Calc12"/>
      <sheetName val="Grouping_Master12"/>
      <sheetName val="Commission_and_Volume_MOM(Cha12"/>
      <sheetName val="beam-reinft-machine_rm12"/>
      <sheetName val="Ins_&amp;_Bonds11"/>
      <sheetName val="Basic_Rate11"/>
      <sheetName val="INFLUENCES_ON_GM11"/>
      <sheetName val="MN_T_B_12"/>
      <sheetName val="INDIGINEOUS_ITEMS_12"/>
      <sheetName val="1_Market11"/>
      <sheetName val="Labour_Rate_11"/>
      <sheetName val="Fee_Rate_Summary12"/>
      <sheetName val="Source_Ref_11"/>
      <sheetName val="TBAL9697_-group_wise__sdpl11"/>
      <sheetName val="입찰내역_발주처_양식11"/>
      <sheetName val="Sheet_211"/>
      <sheetName val="Apartments_-_1st_Mar11"/>
      <sheetName val="Customize_Your_Purchase_Order11"/>
      <sheetName val="Mix_Design11"/>
      <sheetName val="B_S-31-3-200611"/>
      <sheetName val="35_D_Annex211"/>
      <sheetName val="H_O11"/>
      <sheetName val="TRIAL_BALANCE11"/>
      <sheetName val="Card_nos_11"/>
      <sheetName val="Statistics_{pbc}11"/>
      <sheetName val="BOD_PL_NEW11"/>
      <sheetName val="Assumptions_(2)11"/>
      <sheetName val="Cntrl_Sheet11"/>
      <sheetName val="B_S11"/>
      <sheetName val="Project_Cost11"/>
      <sheetName val="CAS_P11"/>
      <sheetName val="EXPENDITURE_CYCLE11"/>
      <sheetName val="Fixed_Assets_Top_Sheet-_Conso11"/>
      <sheetName val="VIR_CG11"/>
      <sheetName val="Weighted_Avg11"/>
      <sheetName val="Assumptions_(W)11"/>
      <sheetName val="P_L11"/>
      <sheetName val="NKEL_O&amp;M11"/>
      <sheetName val="ASSUMPTIONS_211"/>
      <sheetName val="_TARIFFS_POST_PCOD11"/>
      <sheetName val="DCF_Valuation_-_FCFF11"/>
      <sheetName val="FA_Leadsheet_&amp;_Movement11"/>
      <sheetName val="Profit_&amp;_Loss11"/>
      <sheetName val="Summary_-_USD11"/>
      <sheetName val="Multiple_output11"/>
      <sheetName val="Chembur_111"/>
      <sheetName val="vb_9&amp;1011"/>
      <sheetName val="Felix_Street_Summary11"/>
      <sheetName val="FY16-17_Cashflow11"/>
      <sheetName val="Sukuki_CDR11"/>
      <sheetName val="Rent_-0111"/>
      <sheetName val="priority_analysis11"/>
      <sheetName val="standards_trend11"/>
      <sheetName val="service_timing11"/>
      <sheetName val="Product_Problems11"/>
      <sheetName val="score_trends11"/>
      <sheetName val="Fix_it_First_Time11"/>
      <sheetName val="Sample_India11"/>
      <sheetName val="Sample_Indo11"/>
      <sheetName val="Sample_MY11"/>
      <sheetName val="Sample_PH11"/>
      <sheetName val="Sample_TH11"/>
      <sheetName val="Current_Bill_MB_ref11"/>
      <sheetName val="_Vivante_MAIN__INFRA__MAR_1811"/>
      <sheetName val="Form_611"/>
      <sheetName val="M-Book_for_Conc11"/>
      <sheetName val="M-Book_for_FW11"/>
      <sheetName val="BS_SCH_A-D11"/>
      <sheetName val="Direct_cost_shed_A-2_11"/>
      <sheetName val="Elect_11"/>
      <sheetName val="Lead"/>
      <sheetName val="RCC,Ret. Wall"/>
      <sheetName val="Variation Statement"/>
      <sheetName val="EAW Final Accounts - 99"/>
      <sheetName val="Site Dev BO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refreshError="1"/>
      <sheetData sheetId="913" refreshError="1"/>
      <sheetData sheetId="914" refreshError="1"/>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refreshError="1"/>
      <sheetData sheetId="940" refreshError="1"/>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sheetData sheetId="1013"/>
      <sheetData sheetId="1014" refreshError="1"/>
      <sheetData sheetId="1015" refreshError="1"/>
      <sheetData sheetId="1016" refreshError="1"/>
      <sheetData sheetId="1017"/>
      <sheetData sheetId="1018"/>
      <sheetData sheetId="1019" refreshError="1"/>
      <sheetData sheetId="1020" refreshError="1"/>
      <sheetData sheetId="1021" refreshError="1"/>
      <sheetData sheetId="1022"/>
      <sheetData sheetId="1023"/>
      <sheetData sheetId="1024" refreshError="1"/>
      <sheetData sheetId="1025" refreshError="1"/>
      <sheetData sheetId="1026" refreshError="1"/>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refreshError="1"/>
      <sheetData sheetId="1236"/>
      <sheetData sheetId="1237"/>
      <sheetData sheetId="1238"/>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sheetData sheetId="1274"/>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sheetData sheetId="1287"/>
      <sheetData sheetId="1288" refreshError="1"/>
      <sheetData sheetId="1289" refreshError="1"/>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refreshError="1"/>
      <sheetData sheetId="1310"/>
      <sheetData sheetId="1311"/>
      <sheetData sheetId="1312"/>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refreshError="1"/>
      <sheetData sheetId="1733"/>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refreshError="1"/>
      <sheetData sheetId="2475" refreshError="1"/>
      <sheetData sheetId="2476" refreshError="1"/>
      <sheetData sheetId="2477" refreshError="1"/>
      <sheetData sheetId="247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fall2"/>
      <sheetName val="IS"/>
      <sheetName val="triggers"/>
      <sheetName val="simulations"/>
      <sheetName val="#REF"/>
      <sheetName val="iD"/>
      <sheetName val="Vol"/>
      <sheetName val="KW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fall2"/>
      <sheetName val="IS"/>
      <sheetName val="triggers"/>
      <sheetName val="simulations"/>
      <sheetName val="#REF"/>
      <sheetName val="iD"/>
      <sheetName val="Vol"/>
      <sheetName val="KW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Val'n summary"/>
      <sheetName val="Val Calcs"/>
      <sheetName val="D&amp;A"/>
      <sheetName val="R&amp;D"/>
      <sheetName val="EBIT"/>
      <sheetName val="Financials"/>
      <sheetName val="Sales-All"/>
      <sheetName val="Capacity"/>
      <sheetName val="P&amp;L"/>
      <sheetName val="BS"/>
      <sheetName val="Qtrly"/>
      <sheetName val="Quarterly"/>
      <sheetName val="Tables"/>
      <sheetName val="Cons BS"/>
      <sheetName val="Cons P&amp;L"/>
      <sheetName val="Factsheet"/>
      <sheetName val="Report Data"/>
      <sheetName val="_QP_NTPC.BO"/>
      <sheetName val="QP_NTPC.BO"/>
      <sheetName val="Datastream"/>
      <sheetName val="NTPC_Final"/>
      <sheetName val="Valuations"/>
      <sheetName val="Sheet1"/>
      <sheetName val="Stats"/>
      <sheetName val="Detailed A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NTPC</v>
          </cell>
        </row>
        <row r="3">
          <cell r="A3" t="str">
            <v>Share</v>
          </cell>
          <cell r="G3" t="str">
            <v>Year</v>
          </cell>
          <cell r="H3" t="str">
            <v>Net Inc</v>
          </cell>
          <cell r="I3" t="str">
            <v>EPS (O)</v>
          </cell>
          <cell r="J3" t="str">
            <v>EPS (N)</v>
          </cell>
          <cell r="L3" t="str">
            <v>EV/EBITDA</v>
          </cell>
          <cell r="N3" t="str">
            <v>Div</v>
          </cell>
          <cell r="O3" t="str">
            <v>Yield</v>
          </cell>
          <cell r="P3" t="str">
            <v>CEPS</v>
          </cell>
          <cell r="Q3" t="str">
            <v>CAGR</v>
          </cell>
        </row>
        <row r="4">
          <cell r="A4" t="str">
            <v>Price</v>
          </cell>
          <cell r="G4" t="str">
            <v>Ending</v>
          </cell>
          <cell r="H4" t="str">
            <v>(Rs Mil)</v>
          </cell>
          <cell r="I4" t="str">
            <v>(Rs)</v>
          </cell>
          <cell r="J4" t="str">
            <v>(Rs)</v>
          </cell>
          <cell r="K4" t="str">
            <v>P/E</v>
          </cell>
          <cell r="M4" t="str">
            <v>P/CE</v>
          </cell>
          <cell r="N4" t="str">
            <v>(Rs)</v>
          </cell>
          <cell r="O4" t="str">
            <v>(%)</v>
          </cell>
          <cell r="P4" t="str">
            <v>(Rs)</v>
          </cell>
          <cell r="Q4" t="str">
            <v>F2006 - base</v>
          </cell>
        </row>
        <row r="5">
          <cell r="F5" t="e">
            <v>#DIV/0!</v>
          </cell>
          <cell r="G5" t="str">
            <v>Mar05</v>
          </cell>
          <cell r="H5">
            <v>48437.113882399397</v>
          </cell>
          <cell r="J5">
            <v>5.8743948833736273</v>
          </cell>
          <cell r="K5">
            <v>21.278787429457466</v>
          </cell>
          <cell r="L5">
            <v>16.880843757107119</v>
          </cell>
          <cell r="M5">
            <v>15.152398882822345</v>
          </cell>
          <cell r="N5">
            <v>2.4001073850976784</v>
          </cell>
          <cell r="O5">
            <v>1.9200859080781427E-2</v>
          </cell>
          <cell r="P5">
            <v>8.2495188363677112</v>
          </cell>
        </row>
        <row r="6">
          <cell r="A6">
            <v>125</v>
          </cell>
          <cell r="F6" t="e">
            <v>#DIV/0!</v>
          </cell>
          <cell r="G6" t="str">
            <v>Mar06E</v>
          </cell>
          <cell r="H6">
            <v>59343</v>
          </cell>
          <cell r="J6">
            <v>7.1970476277843121</v>
          </cell>
          <cell r="K6">
            <v>17.36823298451376</v>
          </cell>
          <cell r="L6">
            <v>14.631701820464533</v>
          </cell>
          <cell r="M6">
            <v>12.875008431913859</v>
          </cell>
          <cell r="N6">
            <v>2.8117276208238797</v>
          </cell>
          <cell r="O6">
            <v>2.2493820966591038E-2</v>
          </cell>
          <cell r="P6">
            <v>9.7087315057718264</v>
          </cell>
        </row>
        <row r="7">
          <cell r="F7" t="e">
            <v>#DIV/0!</v>
          </cell>
          <cell r="G7" t="str">
            <v>Mar07E</v>
          </cell>
          <cell r="H7">
            <v>68833</v>
          </cell>
          <cell r="J7">
            <v>8.3479834077022996</v>
          </cell>
          <cell r="K7">
            <v>14.97367614371014</v>
          </cell>
          <cell r="L7">
            <v>11.452325444078138</v>
          </cell>
          <cell r="M7">
            <v>11.473578720040967</v>
          </cell>
          <cell r="N7">
            <v>3.2097646313287092</v>
          </cell>
          <cell r="O7">
            <v>2.5678117050629674E-2</v>
          </cell>
          <cell r="P7">
            <v>10.894595579116197</v>
          </cell>
          <cell r="Q7">
            <v>0.15991776620662934</v>
          </cell>
        </row>
        <row r="8">
          <cell r="A8" t="str">
            <v>DCF - F2015</v>
          </cell>
          <cell r="E8">
            <v>0</v>
          </cell>
          <cell r="F8" t="e">
            <v>#DIV/0!</v>
          </cell>
          <cell r="G8" t="str">
            <v>Mar08E</v>
          </cell>
          <cell r="H8">
            <v>74699</v>
          </cell>
          <cell r="J8">
            <v>9.0594048286716262</v>
          </cell>
          <cell r="K8">
            <v>13.797815901149949</v>
          </cell>
          <cell r="L8">
            <v>9.0307020003329512</v>
          </cell>
          <cell r="M8">
            <v>10.652063890697507</v>
          </cell>
          <cell r="N8">
            <v>3.25</v>
          </cell>
          <cell r="O8">
            <v>2.5999999999999999E-2</v>
          </cell>
          <cell r="P8">
            <v>11.734815082095315</v>
          </cell>
          <cell r="Q8">
            <v>0.12194778404486462</v>
          </cell>
        </row>
        <row r="9">
          <cell r="A9" t="str">
            <v>Target Price</v>
          </cell>
          <cell r="F9">
            <v>-1</v>
          </cell>
          <cell r="G9" t="str">
            <v>Mar09E</v>
          </cell>
          <cell r="H9" t="e">
            <v>#REF!</v>
          </cell>
          <cell r="I9">
            <v>4.9487922794909185</v>
          </cell>
          <cell r="J9">
            <v>0</v>
          </cell>
          <cell r="K9" t="e">
            <v>#DIV/0!</v>
          </cell>
          <cell r="L9">
            <v>0</v>
          </cell>
          <cell r="M9" t="e">
            <v>#DIV/0!</v>
          </cell>
          <cell r="N9">
            <v>0</v>
          </cell>
          <cell r="O9">
            <v>0</v>
          </cell>
          <cell r="P9">
            <v>0</v>
          </cell>
          <cell r="Q9" t="e">
            <v>#REF!</v>
          </cell>
        </row>
        <row r="10">
          <cell r="A10">
            <v>143</v>
          </cell>
          <cell r="F10">
            <v>-1</v>
          </cell>
          <cell r="G10" t="str">
            <v>Mar10E</v>
          </cell>
          <cell r="H10" t="e">
            <v>#REF!</v>
          </cell>
          <cell r="I10">
            <v>6.0296218793171459</v>
          </cell>
          <cell r="J10">
            <v>0</v>
          </cell>
          <cell r="K10" t="e">
            <v>#DIV/0!</v>
          </cell>
          <cell r="L10">
            <v>0</v>
          </cell>
          <cell r="M10" t="e">
            <v>#DIV/0!</v>
          </cell>
          <cell r="N10">
            <v>0</v>
          </cell>
          <cell r="O10">
            <v>0</v>
          </cell>
          <cell r="P10">
            <v>0</v>
          </cell>
          <cell r="Q10" t="e">
            <v>#REF!</v>
          </cell>
        </row>
        <row r="11">
          <cell r="A11" t="str">
            <v>Upside/Downside</v>
          </cell>
          <cell r="F11" t="e">
            <v>#REF!</v>
          </cell>
          <cell r="G11" t="str">
            <v>Mar11E</v>
          </cell>
          <cell r="H11" t="e">
            <v>#REF!</v>
          </cell>
          <cell r="I11">
            <v>6.2584682574816766</v>
          </cell>
          <cell r="J11">
            <v>0</v>
          </cell>
          <cell r="K11" t="e">
            <v>#DIV/0!</v>
          </cell>
          <cell r="L11">
            <v>0</v>
          </cell>
          <cell r="M11" t="e">
            <v>#DIV/0!</v>
          </cell>
          <cell r="N11">
            <v>0</v>
          </cell>
          <cell r="O11">
            <v>0</v>
          </cell>
          <cell r="P11">
            <v>0</v>
          </cell>
          <cell r="Q11" t="e">
            <v>#REF!</v>
          </cell>
        </row>
        <row r="12">
          <cell r="A12">
            <v>0.14399999999999991</v>
          </cell>
          <cell r="F12" t="e">
            <v>#REF!</v>
          </cell>
          <cell r="G12" t="str">
            <v>Mar12E</v>
          </cell>
          <cell r="H12" t="e">
            <v>#REF!</v>
          </cell>
          <cell r="I12">
            <v>7.2997604792609811</v>
          </cell>
          <cell r="J12">
            <v>0</v>
          </cell>
          <cell r="K12" t="e">
            <v>#DIV/0!</v>
          </cell>
          <cell r="L12">
            <v>0</v>
          </cell>
          <cell r="M12" t="e">
            <v>#DIV/0!</v>
          </cell>
          <cell r="N12">
            <v>0</v>
          </cell>
          <cell r="O12">
            <v>0</v>
          </cell>
          <cell r="P12">
            <v>0</v>
          </cell>
          <cell r="Q12" t="e">
            <v>#REF!</v>
          </cell>
        </row>
        <row r="13">
          <cell r="A13">
            <v>67.82476399401834</v>
          </cell>
          <cell r="F13">
            <v>-1</v>
          </cell>
          <cell r="G13" t="str">
            <v>Mar13E</v>
          </cell>
          <cell r="H13" t="e">
            <v>#REF!</v>
          </cell>
          <cell r="I13">
            <v>9.9936411220210601</v>
          </cell>
          <cell r="J13">
            <v>0</v>
          </cell>
          <cell r="K13" t="e">
            <v>#DIV/0!</v>
          </cell>
          <cell r="L13">
            <v>0</v>
          </cell>
          <cell r="M13" t="e">
            <v>#DIV/0!</v>
          </cell>
          <cell r="N13">
            <v>0</v>
          </cell>
          <cell r="O13">
            <v>0</v>
          </cell>
          <cell r="P13">
            <v>0</v>
          </cell>
          <cell r="Q13" t="e">
            <v>#REF!</v>
          </cell>
        </row>
        <row r="14">
          <cell r="A14" t="str">
            <v xml:space="preserve">Share Data - F2001 </v>
          </cell>
          <cell r="I14">
            <v>37322</v>
          </cell>
        </row>
        <row r="15">
          <cell r="A15" t="str">
            <v>Shares Outstanding (Mil)</v>
          </cell>
          <cell r="F15">
            <v>912000</v>
          </cell>
          <cell r="G15">
            <v>8245.5</v>
          </cell>
          <cell r="I15" t="str">
            <v>BSE Sensex</v>
          </cell>
          <cell r="K15">
            <v>10079</v>
          </cell>
          <cell r="M15" t="str">
            <v>MSCI Weight</v>
          </cell>
          <cell r="O15">
            <v>4.4999999999999998E-2</v>
          </cell>
        </row>
        <row r="16">
          <cell r="A16" t="str">
            <v>Market Capitalization (Rs Mil)</v>
          </cell>
          <cell r="F16">
            <v>20266.666666666668</v>
          </cell>
          <cell r="G16">
            <v>1030687.5</v>
          </cell>
          <cell r="I16" t="str">
            <v>Sensex P/E</v>
          </cell>
          <cell r="J16" t="str">
            <v>F1998</v>
          </cell>
          <cell r="K16">
            <v>18.463803250099016</v>
          </cell>
          <cell r="M16" t="str">
            <v>Exchange Rate (US$)</v>
          </cell>
          <cell r="O16">
            <v>44.5</v>
          </cell>
        </row>
        <row r="17">
          <cell r="A17" t="str">
            <v xml:space="preserve">                                    (US$ Mil)</v>
          </cell>
          <cell r="F17">
            <v>25705.200000000001</v>
          </cell>
          <cell r="G17">
            <v>23161.516853932586</v>
          </cell>
          <cell r="H17">
            <v>403.40019569471622</v>
          </cell>
          <cell r="J17" t="str">
            <v>F1999</v>
          </cell>
          <cell r="K17">
            <v>19.637583973083832</v>
          </cell>
          <cell r="S17" t="str">
            <v>BSE Sensex</v>
          </cell>
        </row>
        <row r="18">
          <cell r="A18" t="str">
            <v>Major Shareholders - December 31, 2001</v>
          </cell>
          <cell r="J18" t="str">
            <v>F2000</v>
          </cell>
          <cell r="K18">
            <v>15.032885594906219</v>
          </cell>
          <cell r="M18" t="str">
            <v>EPS Growth</v>
          </cell>
          <cell r="Q18" t="str">
            <v>F05-F08</v>
          </cell>
          <cell r="R18" t="str">
            <v>F06-F08</v>
          </cell>
          <cell r="S18" t="str">
            <v>F05-F08</v>
          </cell>
          <cell r="T18" t="str">
            <v>F06-F08</v>
          </cell>
        </row>
        <row r="19">
          <cell r="A19" t="str">
            <v>Government of India</v>
          </cell>
          <cell r="G19">
            <v>0.84109999999999996</v>
          </cell>
          <cell r="J19" t="str">
            <v>F2001</v>
          </cell>
          <cell r="K19">
            <v>15.038265300319395</v>
          </cell>
          <cell r="M19" t="str">
            <v>3-Year Estimated EPS Growth (05-08)</v>
          </cell>
          <cell r="Q19">
            <v>0.15534629688948431</v>
          </cell>
          <cell r="R19">
            <v>0.12194778404486462</v>
          </cell>
          <cell r="S19">
            <v>0.16298363533848614</v>
          </cell>
          <cell r="T19">
            <v>0.16011774494507125</v>
          </cell>
        </row>
        <row r="20">
          <cell r="A20" t="str">
            <v>FIs, Banks</v>
          </cell>
          <cell r="G20">
            <v>2.2599999999999999E-2</v>
          </cell>
          <cell r="J20" t="str">
            <v>F2002E</v>
          </cell>
          <cell r="K20">
            <v>14.444623111653772</v>
          </cell>
          <cell r="M20" t="str">
            <v>5-Year Estimated EPS Growth (00-05)</v>
          </cell>
        </row>
        <row r="21">
          <cell r="A21" t="str">
            <v>FIIs / NRIs / OCBs</v>
          </cell>
          <cell r="G21">
            <v>2.0999999999999999E-3</v>
          </cell>
          <cell r="J21" t="str">
            <v>F2003E</v>
          </cell>
          <cell r="K21">
            <v>11.149838878386838</v>
          </cell>
          <cell r="M21" t="str">
            <v>EV to 3-yr EBITDA Growth (03-05)</v>
          </cell>
          <cell r="Q21">
            <v>0.74257252139843599</v>
          </cell>
        </row>
        <row r="22">
          <cell r="A22" t="str">
            <v>GAIL</v>
          </cell>
          <cell r="G22">
            <v>2.4E-2</v>
          </cell>
          <cell r="J22" t="str">
            <v>F2004E</v>
          </cell>
          <cell r="K22">
            <v>8.7157188965339021</v>
          </cell>
          <cell r="M22" t="str">
            <v>P/E to 3-yr EPS Growth (03-05)</v>
          </cell>
          <cell r="Q22">
            <v>1.1180332799866983</v>
          </cell>
        </row>
        <row r="23">
          <cell r="A23" t="str">
            <v>IOCL</v>
          </cell>
          <cell r="G23">
            <v>9.6000000000000002E-2</v>
          </cell>
          <cell r="M23" t="str">
            <v>3Y EBITDA Growth (05-08)</v>
          </cell>
          <cell r="Q23">
            <v>0.19704071183390481</v>
          </cell>
        </row>
        <row r="24">
          <cell r="A24" t="str">
            <v>Public</v>
          </cell>
          <cell r="G24">
            <v>1.4200000000000046E-2</v>
          </cell>
          <cell r="M24" t="str">
            <v>3YThroughput Growth (05-08)</v>
          </cell>
          <cell r="Q24" t="e">
            <v>#DIV/0!</v>
          </cell>
        </row>
        <row r="25">
          <cell r="G25">
            <v>19680</v>
          </cell>
          <cell r="H25">
            <v>4320</v>
          </cell>
          <cell r="J25">
            <v>17493.333333333332</v>
          </cell>
          <cell r="K25">
            <v>2880</v>
          </cell>
        </row>
        <row r="26">
          <cell r="A26" t="str">
            <v>NTPC</v>
          </cell>
        </row>
        <row r="27">
          <cell r="A27" t="str">
            <v>Revenue Model</v>
          </cell>
        </row>
        <row r="28">
          <cell r="A28" t="str">
            <v>Year-end March</v>
          </cell>
          <cell r="C28" t="str">
            <v>F2001</v>
          </cell>
          <cell r="D28" t="str">
            <v>F2002</v>
          </cell>
          <cell r="E28" t="str">
            <v>F2003</v>
          </cell>
          <cell r="F28" t="str">
            <v>F2004</v>
          </cell>
          <cell r="G28" t="str">
            <v>F2005</v>
          </cell>
          <cell r="H28" t="str">
            <v>F2006e</v>
          </cell>
          <cell r="I28" t="str">
            <v>F2007e</v>
          </cell>
          <cell r="J28" t="str">
            <v>F2008e</v>
          </cell>
        </row>
        <row r="29">
          <cell r="A29" t="str">
            <v>Capacity (billion kWh)</v>
          </cell>
          <cell r="L29" t="str">
            <v>Include Commercial / Commissioned</v>
          </cell>
        </row>
        <row r="30">
          <cell r="A30" t="str">
            <v>Effective Commercial Capacity</v>
          </cell>
        </row>
        <row r="31">
          <cell r="A31" t="str">
            <v>Coal</v>
          </cell>
          <cell r="C31" t="e">
            <v>#REF!</v>
          </cell>
          <cell r="D31" t="e">
            <v>#REF!</v>
          </cell>
          <cell r="E31" t="e">
            <v>#REF!</v>
          </cell>
          <cell r="F31" t="e">
            <v>#REF!</v>
          </cell>
          <cell r="G31" t="e">
            <v>#REF!</v>
          </cell>
          <cell r="H31" t="e">
            <v>#REF!</v>
          </cell>
          <cell r="I31" t="e">
            <v>#REF!</v>
          </cell>
          <cell r="J31" t="e">
            <v>#REF!</v>
          </cell>
          <cell r="S31">
            <v>57844</v>
          </cell>
        </row>
        <row r="32">
          <cell r="A32" t="str">
            <v>Gas</v>
          </cell>
          <cell r="C32" t="e">
            <v>#REF!</v>
          </cell>
          <cell r="D32" t="e">
            <v>#REF!</v>
          </cell>
          <cell r="E32" t="e">
            <v>#REF!</v>
          </cell>
          <cell r="F32" t="e">
            <v>#REF!</v>
          </cell>
          <cell r="G32" t="e">
            <v>#REF!</v>
          </cell>
          <cell r="H32" t="e">
            <v>#REF!</v>
          </cell>
          <cell r="I32" t="e">
            <v>#REF!</v>
          </cell>
          <cell r="J32" t="e">
            <v>#REF!</v>
          </cell>
          <cell r="S32">
            <v>71108</v>
          </cell>
        </row>
        <row r="33">
          <cell r="A33" t="str">
            <v>Total</v>
          </cell>
          <cell r="E33" t="e">
            <v>#REF!</v>
          </cell>
          <cell r="F33" t="e">
            <v>#REF!</v>
          </cell>
          <cell r="G33" t="e">
            <v>#REF!</v>
          </cell>
          <cell r="H33" t="e">
            <v>#REF!</v>
          </cell>
          <cell r="I33" t="e">
            <v>#REF!</v>
          </cell>
          <cell r="J33" t="e">
            <v>#REF!</v>
          </cell>
          <cell r="S33">
            <v>0.10874091218150062</v>
          </cell>
        </row>
        <row r="34">
          <cell r="A34" t="str">
            <v>Effective Generation Capacity</v>
          </cell>
        </row>
        <row r="35">
          <cell r="A35" t="str">
            <v>Coal</v>
          </cell>
          <cell r="C35" t="e">
            <v>#REF!</v>
          </cell>
          <cell r="D35" t="e">
            <v>#REF!</v>
          </cell>
          <cell r="E35" t="e">
            <v>#REF!</v>
          </cell>
          <cell r="F35" t="e">
            <v>#REF!</v>
          </cell>
          <cell r="G35" t="e">
            <v>#REF!</v>
          </cell>
          <cell r="H35" t="e">
            <v>#REF!</v>
          </cell>
          <cell r="I35" t="e">
            <v>#REF!</v>
          </cell>
          <cell r="J35" t="e">
            <v>#REF!</v>
          </cell>
        </row>
        <row r="36">
          <cell r="A36" t="str">
            <v>Gas</v>
          </cell>
          <cell r="C36" t="e">
            <v>#REF!</v>
          </cell>
          <cell r="D36" t="e">
            <v>#REF!</v>
          </cell>
          <cell r="E36" t="e">
            <v>#REF!</v>
          </cell>
          <cell r="F36" t="e">
            <v>#REF!</v>
          </cell>
          <cell r="G36" t="e">
            <v>#REF!</v>
          </cell>
          <cell r="H36" t="e">
            <v>#REF!</v>
          </cell>
          <cell r="I36" t="e">
            <v>#REF!</v>
          </cell>
          <cell r="J36" t="e">
            <v>#REF!</v>
          </cell>
        </row>
        <row r="37">
          <cell r="A37" t="str">
            <v>Total</v>
          </cell>
          <cell r="C37" t="e">
            <v>#REF!</v>
          </cell>
          <cell r="D37" t="e">
            <v>#REF!</v>
          </cell>
          <cell r="E37" t="e">
            <v>#REF!</v>
          </cell>
          <cell r="F37" t="e">
            <v>#REF!</v>
          </cell>
          <cell r="G37" t="e">
            <v>#REF!</v>
          </cell>
          <cell r="H37" t="e">
            <v>#REF!</v>
          </cell>
          <cell r="I37" t="e">
            <v>#REF!</v>
          </cell>
          <cell r="J37" t="e">
            <v>#REF!</v>
          </cell>
        </row>
        <row r="38">
          <cell r="A38" t="str">
            <v>Plant Load Factor (%)</v>
          </cell>
        </row>
        <row r="39">
          <cell r="A39" t="str">
            <v xml:space="preserve">Coal </v>
          </cell>
          <cell r="C39" t="e">
            <v>#REF!</v>
          </cell>
          <cell r="D39" t="e">
            <v>#REF!</v>
          </cell>
          <cell r="E39" t="e">
            <v>#REF!</v>
          </cell>
          <cell r="F39" t="e">
            <v>#REF!</v>
          </cell>
          <cell r="G39" t="e">
            <v>#REF!</v>
          </cell>
          <cell r="H39" t="e">
            <v>#REF!</v>
          </cell>
          <cell r="I39" t="e">
            <v>#REF!</v>
          </cell>
          <cell r="J39" t="e">
            <v>#REF!</v>
          </cell>
        </row>
        <row r="40">
          <cell r="A40" t="str">
            <v>Gas</v>
          </cell>
          <cell r="C40" t="e">
            <v>#REF!</v>
          </cell>
          <cell r="D40" t="e">
            <v>#REF!</v>
          </cell>
          <cell r="F40" t="e">
            <v>#REF!</v>
          </cell>
          <cell r="G40" t="e">
            <v>#REF!</v>
          </cell>
          <cell r="H40" t="e">
            <v>#REF!</v>
          </cell>
          <cell r="I40" t="e">
            <v>#REF!</v>
          </cell>
          <cell r="J40" t="e">
            <v>#REF!</v>
          </cell>
        </row>
        <row r="41">
          <cell r="A41" t="str">
            <v>Total</v>
          </cell>
          <cell r="F41" t="e">
            <v>#REF!</v>
          </cell>
          <cell r="G41" t="e">
            <v>#REF!</v>
          </cell>
          <cell r="H41" t="e">
            <v>#REF!</v>
          </cell>
          <cell r="I41" t="e">
            <v>#REF!</v>
          </cell>
          <cell r="J41" t="e">
            <v>#REF!</v>
          </cell>
        </row>
        <row r="42">
          <cell r="A42" t="str">
            <v>Overall Generation (billion kWh)</v>
          </cell>
        </row>
        <row r="43">
          <cell r="A43" t="str">
            <v xml:space="preserve">Coal </v>
          </cell>
          <cell r="C43" t="e">
            <v>#REF!</v>
          </cell>
          <cell r="D43" t="e">
            <v>#REF!</v>
          </cell>
          <cell r="E43" t="e">
            <v>#REF!</v>
          </cell>
          <cell r="F43" t="e">
            <v>#REF!</v>
          </cell>
          <cell r="G43" t="e">
            <v>#REF!</v>
          </cell>
          <cell r="H43" t="e">
            <v>#REF!</v>
          </cell>
          <cell r="I43" t="e">
            <v>#REF!</v>
          </cell>
          <cell r="J43" t="e">
            <v>#REF!</v>
          </cell>
        </row>
        <row r="44">
          <cell r="A44" t="str">
            <v>Gas</v>
          </cell>
          <cell r="C44" t="e">
            <v>#REF!</v>
          </cell>
          <cell r="D44" t="e">
            <v>#REF!</v>
          </cell>
          <cell r="F44" t="e">
            <v>#REF!</v>
          </cell>
          <cell r="G44" t="e">
            <v>#REF!</v>
          </cell>
          <cell r="H44" t="e">
            <v>#REF!</v>
          </cell>
          <cell r="I44" t="e">
            <v>#REF!</v>
          </cell>
          <cell r="J44" t="e">
            <v>#REF!</v>
          </cell>
        </row>
        <row r="45">
          <cell r="A45" t="str">
            <v>Total</v>
          </cell>
          <cell r="C45" t="e">
            <v>#REF!</v>
          </cell>
          <cell r="D45" t="e">
            <v>#REF!</v>
          </cell>
          <cell r="F45" t="e">
            <v>#REF!</v>
          </cell>
          <cell r="G45" t="e">
            <v>#REF!</v>
          </cell>
          <cell r="H45" t="e">
            <v>#REF!</v>
          </cell>
          <cell r="I45" t="e">
            <v>#REF!</v>
          </cell>
          <cell r="J45" t="e">
            <v>#REF!</v>
          </cell>
        </row>
        <row r="46">
          <cell r="A46" t="str">
            <v>Sales (billion kWh)</v>
          </cell>
        </row>
        <row r="47">
          <cell r="A47" t="str">
            <v xml:space="preserve">Coal </v>
          </cell>
          <cell r="C47" t="e">
            <v>#REF!</v>
          </cell>
          <cell r="D47" t="e">
            <v>#REF!</v>
          </cell>
          <cell r="E47" t="e">
            <v>#REF!</v>
          </cell>
          <cell r="F47" t="e">
            <v>#REF!</v>
          </cell>
          <cell r="G47" t="e">
            <v>#REF!</v>
          </cell>
          <cell r="H47" t="e">
            <v>#REF!</v>
          </cell>
          <cell r="I47" t="e">
            <v>#REF!</v>
          </cell>
          <cell r="J47" t="e">
            <v>#REF!</v>
          </cell>
        </row>
        <row r="48">
          <cell r="A48" t="str">
            <v>Gas</v>
          </cell>
          <cell r="C48" t="e">
            <v>#REF!</v>
          </cell>
          <cell r="D48" t="e">
            <v>#REF!</v>
          </cell>
          <cell r="E48" t="e">
            <v>#REF!</v>
          </cell>
          <cell r="F48" t="e">
            <v>#REF!</v>
          </cell>
          <cell r="G48" t="e">
            <v>#REF!</v>
          </cell>
          <cell r="H48" t="e">
            <v>#REF!</v>
          </cell>
          <cell r="I48" t="e">
            <v>#REF!</v>
          </cell>
          <cell r="J48" t="e">
            <v>#REF!</v>
          </cell>
        </row>
        <row r="49">
          <cell r="A49" t="str">
            <v>Total</v>
          </cell>
          <cell r="C49" t="e">
            <v>#REF!</v>
          </cell>
          <cell r="D49" t="e">
            <v>#REF!</v>
          </cell>
          <cell r="E49" t="e">
            <v>#REF!</v>
          </cell>
          <cell r="F49" t="e">
            <v>#REF!</v>
          </cell>
          <cell r="G49" t="e">
            <v>#REF!</v>
          </cell>
          <cell r="H49" t="e">
            <v>#REF!</v>
          </cell>
          <cell r="I49" t="e">
            <v>#REF!</v>
          </cell>
          <cell r="J49" t="e">
            <v>#REF!</v>
          </cell>
        </row>
        <row r="50">
          <cell r="A50" t="str">
            <v>Net Revenues (Rs Million)</v>
          </cell>
          <cell r="C50">
            <v>189891.995</v>
          </cell>
          <cell r="D50">
            <v>178153</v>
          </cell>
          <cell r="E50">
            <v>190475</v>
          </cell>
          <cell r="F50">
            <v>188684</v>
          </cell>
          <cell r="G50">
            <v>224150</v>
          </cell>
          <cell r="H50">
            <v>274224</v>
          </cell>
          <cell r="I50">
            <v>338757</v>
          </cell>
          <cell r="J50">
            <v>386350</v>
          </cell>
        </row>
        <row r="51">
          <cell r="A51" t="str">
            <v>Electricity Tariff (Rs/kWh)</v>
          </cell>
          <cell r="F51" t="e">
            <v>#REF!</v>
          </cell>
          <cell r="G51" t="e">
            <v>#REF!</v>
          </cell>
          <cell r="H51" t="e">
            <v>#REF!</v>
          </cell>
          <cell r="I51" t="e">
            <v>#REF!</v>
          </cell>
          <cell r="J51" t="e">
            <v>#REF!</v>
          </cell>
        </row>
        <row r="54">
          <cell r="A54" t="str">
            <v>NTPC</v>
          </cell>
        </row>
        <row r="55">
          <cell r="A55" t="str">
            <v>Income Statement</v>
          </cell>
        </row>
        <row r="56">
          <cell r="A56" t="str">
            <v>(Rs Million)</v>
          </cell>
          <cell r="C56" t="str">
            <v>F2001</v>
          </cell>
          <cell r="D56" t="str">
            <v>F2002</v>
          </cell>
          <cell r="E56" t="str">
            <v>F2003</v>
          </cell>
          <cell r="F56" t="str">
            <v>F2004</v>
          </cell>
          <cell r="G56" t="str">
            <v>F2005</v>
          </cell>
          <cell r="H56" t="str">
            <v>F2006e</v>
          </cell>
          <cell r="I56" t="str">
            <v>F2007e</v>
          </cell>
          <cell r="J56" t="str">
            <v>F2008e</v>
          </cell>
        </row>
        <row r="58">
          <cell r="A58" t="str">
            <v>Net Revenues</v>
          </cell>
          <cell r="C58">
            <v>189891.995</v>
          </cell>
          <cell r="D58">
            <v>178153</v>
          </cell>
          <cell r="E58">
            <v>190475</v>
          </cell>
          <cell r="F58">
            <v>188684</v>
          </cell>
          <cell r="G58">
            <v>224150</v>
          </cell>
          <cell r="H58">
            <v>274224</v>
          </cell>
          <cell r="I58">
            <v>338757</v>
          </cell>
          <cell r="J58">
            <v>386350</v>
          </cell>
        </row>
        <row r="59">
          <cell r="A59" t="str">
            <v>Operating Expenses</v>
          </cell>
        </row>
        <row r="60">
          <cell r="A60" t="str">
            <v>Fuel Charges</v>
          </cell>
          <cell r="C60">
            <v>99342</v>
          </cell>
          <cell r="D60">
            <v>103991</v>
          </cell>
          <cell r="E60">
            <v>110312</v>
          </cell>
          <cell r="F60">
            <v>122150</v>
          </cell>
          <cell r="G60">
            <v>137235</v>
          </cell>
          <cell r="H60">
            <v>163963</v>
          </cell>
          <cell r="I60">
            <v>198201</v>
          </cell>
          <cell r="J60">
            <v>222187</v>
          </cell>
        </row>
        <row r="61">
          <cell r="A61" t="str">
            <v>Employees’ Remuneration and Benefits</v>
          </cell>
          <cell r="C61">
            <v>7640.1750000000011</v>
          </cell>
          <cell r="D61">
            <v>8036</v>
          </cell>
          <cell r="E61">
            <v>8213</v>
          </cell>
          <cell r="F61">
            <v>8835</v>
          </cell>
          <cell r="G61">
            <v>8823</v>
          </cell>
          <cell r="H61">
            <v>9964</v>
          </cell>
          <cell r="I61">
            <v>11955</v>
          </cell>
          <cell r="J61">
            <v>19533</v>
          </cell>
        </row>
        <row r="62">
          <cell r="A62" t="str">
            <v>S, G &amp; A</v>
          </cell>
          <cell r="C62">
            <v>10065.950000000001</v>
          </cell>
          <cell r="D62">
            <v>11639.732</v>
          </cell>
          <cell r="E62">
            <v>10869</v>
          </cell>
          <cell r="F62">
            <v>11221</v>
          </cell>
          <cell r="G62">
            <v>12062</v>
          </cell>
          <cell r="H62">
            <v>20289</v>
          </cell>
          <cell r="I62">
            <v>26870</v>
          </cell>
          <cell r="J62">
            <v>30499</v>
          </cell>
        </row>
        <row r="63">
          <cell r="A63" t="str">
            <v>Provisions (doubtful debt + others)</v>
          </cell>
          <cell r="C63">
            <v>9959</v>
          </cell>
          <cell r="D63">
            <v>1836</v>
          </cell>
          <cell r="E63">
            <v>5555</v>
          </cell>
          <cell r="F63">
            <v>5835</v>
          </cell>
          <cell r="G63">
            <v>75</v>
          </cell>
          <cell r="H63">
            <v>358</v>
          </cell>
          <cell r="I63">
            <v>116</v>
          </cell>
          <cell r="J63">
            <v>0</v>
          </cell>
        </row>
        <row r="64">
          <cell r="A64" t="str">
            <v>Total</v>
          </cell>
          <cell r="C64">
            <v>127007.125</v>
          </cell>
          <cell r="D64">
            <v>125502.732</v>
          </cell>
          <cell r="E64">
            <v>134949</v>
          </cell>
          <cell r="F64">
            <v>148041</v>
          </cell>
          <cell r="G64">
            <v>158195</v>
          </cell>
          <cell r="H64">
            <v>194574</v>
          </cell>
          <cell r="I64">
            <v>237142</v>
          </cell>
          <cell r="J64">
            <v>272219</v>
          </cell>
        </row>
        <row r="65">
          <cell r="A65" t="str">
            <v>Operating profit</v>
          </cell>
          <cell r="C65">
            <v>62884.869999999995</v>
          </cell>
          <cell r="D65">
            <v>52650.267999999996</v>
          </cell>
          <cell r="E65">
            <v>55526</v>
          </cell>
          <cell r="F65">
            <v>40643</v>
          </cell>
          <cell r="G65">
            <v>65955</v>
          </cell>
          <cell r="H65">
            <v>79650</v>
          </cell>
          <cell r="I65">
            <v>101615</v>
          </cell>
          <cell r="J65">
            <v>114131</v>
          </cell>
        </row>
        <row r="66">
          <cell r="A66" t="str">
            <v>Non Operating Income (Excl. SEB Bonds)</v>
          </cell>
          <cell r="C66">
            <v>9161</v>
          </cell>
          <cell r="D66">
            <v>6725</v>
          </cell>
          <cell r="E66">
            <v>4036</v>
          </cell>
          <cell r="F66">
            <v>26456</v>
          </cell>
          <cell r="G66">
            <v>9580</v>
          </cell>
          <cell r="H66">
            <v>9367</v>
          </cell>
          <cell r="I66">
            <v>13485</v>
          </cell>
          <cell r="J66">
            <v>30020</v>
          </cell>
        </row>
        <row r="67">
          <cell r="A67" t="str">
            <v>SEB Bond Income (Net of Rebate)</v>
          </cell>
          <cell r="C67">
            <v>0</v>
          </cell>
          <cell r="D67">
            <v>0</v>
          </cell>
          <cell r="E67">
            <v>0</v>
          </cell>
          <cell r="F67">
            <v>13543</v>
          </cell>
          <cell r="G67">
            <v>4895</v>
          </cell>
          <cell r="H67">
            <v>8830</v>
          </cell>
          <cell r="I67">
            <v>14235</v>
          </cell>
          <cell r="J67">
            <v>0</v>
          </cell>
        </row>
        <row r="68">
          <cell r="A68" t="str">
            <v>Depreciation</v>
          </cell>
          <cell r="C68">
            <v>23223</v>
          </cell>
          <cell r="D68">
            <v>13784</v>
          </cell>
          <cell r="E68">
            <v>15291</v>
          </cell>
          <cell r="F68">
            <v>20232</v>
          </cell>
          <cell r="G68">
            <v>19584</v>
          </cell>
          <cell r="H68">
            <v>20710</v>
          </cell>
          <cell r="I68">
            <v>20998</v>
          </cell>
          <cell r="J68">
            <v>22060</v>
          </cell>
        </row>
        <row r="69">
          <cell r="A69" t="str">
            <v>Interest and Finance Charges</v>
          </cell>
          <cell r="C69">
            <v>10917.633900284078</v>
          </cell>
          <cell r="D69">
            <v>8677.0145183220775</v>
          </cell>
          <cell r="E69">
            <v>9916.0186927184059</v>
          </cell>
          <cell r="F69">
            <v>12386</v>
          </cell>
          <cell r="G69">
            <v>10142</v>
          </cell>
          <cell r="H69">
            <v>9795</v>
          </cell>
          <cell r="I69">
            <v>18873</v>
          </cell>
          <cell r="J69">
            <v>18581</v>
          </cell>
        </row>
        <row r="70">
          <cell r="A70" t="str">
            <v>Profit before Tax</v>
          </cell>
          <cell r="C70">
            <v>37905.236099715919</v>
          </cell>
          <cell r="D70">
            <v>36914.253481677923</v>
          </cell>
          <cell r="E70">
            <v>34354.981307281596</v>
          </cell>
          <cell r="F70">
            <v>48024</v>
          </cell>
          <cell r="G70">
            <v>50704</v>
          </cell>
          <cell r="H70">
            <v>67342</v>
          </cell>
          <cell r="I70">
            <v>89464</v>
          </cell>
          <cell r="J70">
            <v>103510</v>
          </cell>
        </row>
        <row r="71">
          <cell r="A71" t="str">
            <v>Net Taxation</v>
          </cell>
          <cell r="C71">
            <v>3400</v>
          </cell>
          <cell r="D71">
            <v>2125</v>
          </cell>
          <cell r="E71">
            <v>1465</v>
          </cell>
          <cell r="F71">
            <v>5108.4443859619332</v>
          </cell>
          <cell r="G71">
            <v>2266.8861176006053</v>
          </cell>
          <cell r="H71">
            <v>7999</v>
          </cell>
          <cell r="I71">
            <v>20631</v>
          </cell>
          <cell r="J71">
            <v>28811</v>
          </cell>
        </row>
        <row r="72">
          <cell r="A72" t="str">
            <v>Provisions for current tax (net of tax on extraordinary items)</v>
          </cell>
          <cell r="C72">
            <v>3400</v>
          </cell>
          <cell r="D72">
            <v>2125</v>
          </cell>
          <cell r="E72">
            <v>1464</v>
          </cell>
          <cell r="F72">
            <v>5108.4443859619332</v>
          </cell>
          <cell r="G72">
            <v>2266.8861176006053</v>
          </cell>
          <cell r="H72">
            <v>7991</v>
          </cell>
          <cell r="I72">
            <v>20670</v>
          </cell>
          <cell r="J72">
            <v>28810</v>
          </cell>
        </row>
        <row r="73">
          <cell r="A73" t="str">
            <v>Provisions for deferred tax</v>
          </cell>
          <cell r="C73">
            <v>0</v>
          </cell>
          <cell r="D73">
            <v>0</v>
          </cell>
          <cell r="E73">
            <v>1</v>
          </cell>
          <cell r="F73">
            <v>0</v>
          </cell>
          <cell r="G73">
            <v>0</v>
          </cell>
          <cell r="H73">
            <v>8</v>
          </cell>
          <cell r="I73">
            <v>-39</v>
          </cell>
          <cell r="J73">
            <v>1</v>
          </cell>
        </row>
        <row r="74">
          <cell r="A74" t="str">
            <v>Net Profit</v>
          </cell>
          <cell r="C74">
            <v>34505.236099715919</v>
          </cell>
          <cell r="D74">
            <v>34789.253481677923</v>
          </cell>
          <cell r="E74">
            <v>32889.981307281596</v>
          </cell>
          <cell r="F74">
            <v>42915.555614038065</v>
          </cell>
          <cell r="G74">
            <v>48437.113882399397</v>
          </cell>
          <cell r="H74">
            <v>59343</v>
          </cell>
          <cell r="I74">
            <v>68833</v>
          </cell>
          <cell r="J74">
            <v>74699</v>
          </cell>
        </row>
        <row r="75">
          <cell r="A75" t="str">
            <v>Extraordinary / Prior Period (Net)</v>
          </cell>
          <cell r="C75">
            <v>487.92399999999998</v>
          </cell>
          <cell r="D75">
            <v>4885.2110000000002</v>
          </cell>
          <cell r="E75">
            <v>-248</v>
          </cell>
          <cell r="F75">
            <v>9692.4443859619332</v>
          </cell>
          <cell r="G75">
            <v>9632.8861176006048</v>
          </cell>
          <cell r="H75">
            <v>-935</v>
          </cell>
          <cell r="I75">
            <v>150</v>
          </cell>
          <cell r="J75">
            <v>0</v>
          </cell>
        </row>
        <row r="76">
          <cell r="A76" t="str">
            <v>Reported Net Profit</v>
          </cell>
          <cell r="C76">
            <v>34993.160099715918</v>
          </cell>
          <cell r="D76">
            <v>39674.464481677926</v>
          </cell>
          <cell r="E76">
            <v>32641.981307281596</v>
          </cell>
          <cell r="F76">
            <v>52608</v>
          </cell>
          <cell r="G76">
            <v>58070</v>
          </cell>
          <cell r="H76">
            <v>58408</v>
          </cell>
          <cell r="I76">
            <v>68983</v>
          </cell>
          <cell r="J76">
            <v>74699</v>
          </cell>
        </row>
        <row r="79">
          <cell r="A79" t="str">
            <v>NTPC</v>
          </cell>
        </row>
        <row r="80">
          <cell r="A80" t="str">
            <v>Balance Sheet</v>
          </cell>
        </row>
        <row r="81">
          <cell r="A81" t="str">
            <v>(Rs Millions)</v>
          </cell>
          <cell r="C81" t="str">
            <v>F2001</v>
          </cell>
          <cell r="D81" t="str">
            <v>F2002</v>
          </cell>
          <cell r="E81" t="str">
            <v>F2003</v>
          </cell>
          <cell r="F81" t="str">
            <v>F2004</v>
          </cell>
          <cell r="G81" t="str">
            <v>F2005</v>
          </cell>
          <cell r="H81" t="str">
            <v>F2006e</v>
          </cell>
          <cell r="I81" t="str">
            <v>F2007e</v>
          </cell>
          <cell r="J81" t="str">
            <v>F2008e</v>
          </cell>
        </row>
        <row r="83">
          <cell r="A83" t="str">
            <v>SOURCES OF FUNDS</v>
          </cell>
        </row>
        <row r="84">
          <cell r="A84" t="str">
            <v>Equity Share Capital</v>
          </cell>
          <cell r="C84">
            <v>0</v>
          </cell>
          <cell r="D84">
            <v>78125</v>
          </cell>
          <cell r="E84">
            <v>78125</v>
          </cell>
          <cell r="F84">
            <v>78125</v>
          </cell>
          <cell r="G84">
            <v>82455</v>
          </cell>
          <cell r="H84">
            <v>82455</v>
          </cell>
          <cell r="I84">
            <v>82455</v>
          </cell>
          <cell r="J84">
            <v>0</v>
          </cell>
        </row>
        <row r="85">
          <cell r="A85" t="str">
            <v>Share Premium</v>
          </cell>
          <cell r="C85">
            <v>0</v>
          </cell>
          <cell r="D85">
            <v>0</v>
          </cell>
          <cell r="E85">
            <v>0</v>
          </cell>
          <cell r="F85">
            <v>0</v>
          </cell>
          <cell r="G85">
            <v>22334</v>
          </cell>
          <cell r="H85">
            <v>22307</v>
          </cell>
          <cell r="I85">
            <v>22307</v>
          </cell>
          <cell r="J85">
            <v>0</v>
          </cell>
        </row>
        <row r="86">
          <cell r="A86" t="str">
            <v>Reserves and Surplus</v>
          </cell>
          <cell r="C86">
            <v>0</v>
          </cell>
          <cell r="D86">
            <v>224583</v>
          </cell>
          <cell r="E86">
            <v>249752</v>
          </cell>
          <cell r="F86">
            <v>277376</v>
          </cell>
          <cell r="G86">
            <v>312974</v>
          </cell>
          <cell r="H86">
            <v>345244</v>
          </cell>
          <cell r="I86">
            <v>382363</v>
          </cell>
          <cell r="J86">
            <v>0</v>
          </cell>
        </row>
        <row r="87">
          <cell r="A87" t="str">
            <v>Shareholders Funds</v>
          </cell>
          <cell r="C87">
            <v>0</v>
          </cell>
          <cell r="D87">
            <v>302708</v>
          </cell>
          <cell r="E87">
            <v>327877</v>
          </cell>
          <cell r="F87">
            <v>355501</v>
          </cell>
          <cell r="G87">
            <v>417763</v>
          </cell>
          <cell r="H87">
            <v>450006</v>
          </cell>
          <cell r="I87">
            <v>487125</v>
          </cell>
          <cell r="J87">
            <v>0</v>
          </cell>
        </row>
        <row r="88">
          <cell r="A88" t="str">
            <v>Deferred Tax Liability</v>
          </cell>
          <cell r="C88">
            <v>0</v>
          </cell>
          <cell r="D88">
            <v>0</v>
          </cell>
          <cell r="E88">
            <v>1</v>
          </cell>
          <cell r="F88">
            <v>1</v>
          </cell>
          <cell r="G88">
            <v>1</v>
          </cell>
          <cell r="H88">
            <v>40</v>
          </cell>
          <cell r="I88">
            <v>1</v>
          </cell>
          <cell r="J88">
            <v>0</v>
          </cell>
        </row>
        <row r="89">
          <cell r="A89" t="str">
            <v>Deferred Revenue on a/c of AAD</v>
          </cell>
          <cell r="C89">
            <v>0</v>
          </cell>
          <cell r="D89">
            <v>0</v>
          </cell>
          <cell r="E89">
            <v>271</v>
          </cell>
          <cell r="F89">
            <v>1591</v>
          </cell>
          <cell r="G89">
            <v>3374</v>
          </cell>
          <cell r="H89">
            <v>4408</v>
          </cell>
          <cell r="I89">
            <v>6567</v>
          </cell>
          <cell r="J89">
            <v>0</v>
          </cell>
        </row>
        <row r="90">
          <cell r="A90" t="str">
            <v>Development Surcharge Fund</v>
          </cell>
          <cell r="C90">
            <v>0</v>
          </cell>
          <cell r="D90">
            <v>1241</v>
          </cell>
          <cell r="E90">
            <v>2492</v>
          </cell>
          <cell r="F90">
            <v>3784</v>
          </cell>
          <cell r="G90">
            <v>0</v>
          </cell>
          <cell r="H90">
            <v>0</v>
          </cell>
          <cell r="I90">
            <v>0</v>
          </cell>
          <cell r="J90">
            <v>0</v>
          </cell>
        </row>
        <row r="91">
          <cell r="A91" t="str">
            <v>Loan Funds</v>
          </cell>
          <cell r="C91">
            <v>0</v>
          </cell>
          <cell r="D91">
            <v>115812</v>
          </cell>
          <cell r="E91">
            <v>132157</v>
          </cell>
          <cell r="F91">
            <v>154528</v>
          </cell>
          <cell r="G91">
            <v>170878</v>
          </cell>
          <cell r="H91">
            <v>224797</v>
          </cell>
          <cell r="I91">
            <v>270195</v>
          </cell>
          <cell r="J91">
            <v>0</v>
          </cell>
        </row>
        <row r="92">
          <cell r="A92" t="str">
            <v>TOTAL LIABILITIES</v>
          </cell>
          <cell r="C92">
            <v>0</v>
          </cell>
          <cell r="D92">
            <v>419761</v>
          </cell>
          <cell r="E92">
            <v>462798</v>
          </cell>
          <cell r="F92">
            <v>515405</v>
          </cell>
          <cell r="G92">
            <v>592016</v>
          </cell>
          <cell r="H92">
            <v>679251</v>
          </cell>
          <cell r="I92">
            <v>763888</v>
          </cell>
          <cell r="J92">
            <v>0</v>
          </cell>
        </row>
        <row r="94">
          <cell r="A94" t="str">
            <v>APPLICATION OF FUNDS</v>
          </cell>
        </row>
        <row r="95">
          <cell r="A95" t="str">
            <v>Gross Block</v>
          </cell>
          <cell r="C95">
            <v>0</v>
          </cell>
          <cell r="D95">
            <v>325027</v>
          </cell>
          <cell r="E95">
            <v>366189</v>
          </cell>
          <cell r="F95">
            <v>400281</v>
          </cell>
          <cell r="G95">
            <v>431062</v>
          </cell>
          <cell r="H95">
            <v>463648</v>
          </cell>
          <cell r="I95">
            <v>510944</v>
          </cell>
          <cell r="J95">
            <v>0</v>
          </cell>
        </row>
        <row r="96">
          <cell r="A96" t="str">
            <v>Less: Depreciation</v>
          </cell>
          <cell r="C96">
            <v>0</v>
          </cell>
          <cell r="D96">
            <v>152492</v>
          </cell>
          <cell r="E96">
            <v>167728</v>
          </cell>
          <cell r="F96">
            <v>187736</v>
          </cell>
          <cell r="G96">
            <v>207914</v>
          </cell>
          <cell r="H96">
            <v>230607</v>
          </cell>
          <cell r="I96">
            <v>252166</v>
          </cell>
          <cell r="J96">
            <v>0</v>
          </cell>
        </row>
        <row r="97">
          <cell r="A97" t="str">
            <v>Net Block</v>
          </cell>
          <cell r="C97">
            <v>0</v>
          </cell>
          <cell r="D97">
            <v>172535</v>
          </cell>
          <cell r="E97">
            <v>198461</v>
          </cell>
          <cell r="F97">
            <v>212545</v>
          </cell>
          <cell r="G97">
            <v>223148</v>
          </cell>
          <cell r="H97">
            <v>233041</v>
          </cell>
          <cell r="I97">
            <v>258778</v>
          </cell>
          <cell r="J97">
            <v>0</v>
          </cell>
        </row>
        <row r="98">
          <cell r="A98" t="str">
            <v>Gas Fields / Coal Mines</v>
          </cell>
          <cell r="C98">
            <v>0</v>
          </cell>
          <cell r="D98">
            <v>0</v>
          </cell>
          <cell r="E98">
            <v>0</v>
          </cell>
          <cell r="F98">
            <v>0</v>
          </cell>
          <cell r="G98">
            <v>0</v>
          </cell>
          <cell r="H98">
            <v>31</v>
          </cell>
          <cell r="I98">
            <v>443</v>
          </cell>
          <cell r="J98">
            <v>0</v>
          </cell>
        </row>
        <row r="99">
          <cell r="A99" t="str">
            <v>CWIP / Capital Advances</v>
          </cell>
          <cell r="C99">
            <v>0</v>
          </cell>
          <cell r="D99">
            <v>52038</v>
          </cell>
          <cell r="E99">
            <v>51543</v>
          </cell>
          <cell r="F99">
            <v>56413</v>
          </cell>
          <cell r="G99">
            <v>67063</v>
          </cell>
          <cell r="H99">
            <v>129266</v>
          </cell>
          <cell r="I99">
            <v>159785</v>
          </cell>
          <cell r="J99">
            <v>0</v>
          </cell>
        </row>
        <row r="100">
          <cell r="A100" t="str">
            <v>Construction Stores &amp; Advances</v>
          </cell>
          <cell r="C100">
            <v>0</v>
          </cell>
          <cell r="D100">
            <v>13512</v>
          </cell>
          <cell r="E100">
            <v>12320</v>
          </cell>
          <cell r="F100">
            <v>18540</v>
          </cell>
          <cell r="G100">
            <v>32189</v>
          </cell>
          <cell r="H100">
            <v>33504</v>
          </cell>
          <cell r="I100">
            <v>42636</v>
          </cell>
          <cell r="J100">
            <v>0</v>
          </cell>
        </row>
        <row r="101">
          <cell r="A101" t="str">
            <v xml:space="preserve">Investments </v>
          </cell>
          <cell r="C101">
            <v>0</v>
          </cell>
          <cell r="D101">
            <v>167597</v>
          </cell>
          <cell r="E101">
            <v>170266</v>
          </cell>
          <cell r="F101">
            <v>173380</v>
          </cell>
          <cell r="G101">
            <v>180575</v>
          </cell>
          <cell r="H101">
            <v>181932</v>
          </cell>
          <cell r="I101">
            <v>151259</v>
          </cell>
          <cell r="J101">
            <v>0</v>
          </cell>
        </row>
        <row r="102">
          <cell r="A102" t="str">
            <v>Inventories</v>
          </cell>
          <cell r="C102">
            <v>0</v>
          </cell>
          <cell r="D102">
            <v>20176</v>
          </cell>
          <cell r="E102">
            <v>17712</v>
          </cell>
          <cell r="F102">
            <v>17380</v>
          </cell>
          <cell r="G102">
            <v>17819</v>
          </cell>
          <cell r="H102">
            <v>23679</v>
          </cell>
          <cell r="I102">
            <v>25899</v>
          </cell>
          <cell r="J102">
            <v>0</v>
          </cell>
        </row>
        <row r="103">
          <cell r="A103" t="str">
            <v>Sundry debtors</v>
          </cell>
          <cell r="C103">
            <v>0</v>
          </cell>
          <cell r="D103">
            <v>7102</v>
          </cell>
          <cell r="E103">
            <v>8360</v>
          </cell>
          <cell r="F103">
            <v>4699</v>
          </cell>
          <cell r="G103">
            <v>13747</v>
          </cell>
          <cell r="H103">
            <v>9725</v>
          </cell>
          <cell r="I103">
            <v>13806</v>
          </cell>
          <cell r="J103">
            <v>0</v>
          </cell>
        </row>
        <row r="104">
          <cell r="A104" t="str">
            <v>Cash and Cash Equivalents</v>
          </cell>
          <cell r="C104">
            <v>0</v>
          </cell>
          <cell r="D104">
            <v>12048</v>
          </cell>
          <cell r="E104">
            <v>5447</v>
          </cell>
          <cell r="F104">
            <v>6091</v>
          </cell>
          <cell r="G104">
            <v>88185</v>
          </cell>
          <cell r="H104">
            <v>90065</v>
          </cell>
          <cell r="I104">
            <v>137150</v>
          </cell>
          <cell r="J104">
            <v>0</v>
          </cell>
        </row>
        <row r="105">
          <cell r="A105" t="str">
            <v>Other Current Assets</v>
          </cell>
          <cell r="C105">
            <v>0</v>
          </cell>
          <cell r="D105">
            <v>9565</v>
          </cell>
          <cell r="E105">
            <v>42273</v>
          </cell>
          <cell r="F105">
            <v>80019</v>
          </cell>
          <cell r="G105">
            <v>9764</v>
          </cell>
          <cell r="H105">
            <v>10229</v>
          </cell>
          <cell r="I105">
            <v>10635</v>
          </cell>
          <cell r="J105">
            <v>0</v>
          </cell>
        </row>
        <row r="106">
          <cell r="A106" t="str">
            <v>Loans and Advances</v>
          </cell>
          <cell r="C106">
            <v>0</v>
          </cell>
          <cell r="D106">
            <v>26546</v>
          </cell>
          <cell r="E106">
            <v>30606</v>
          </cell>
          <cell r="F106">
            <v>27279</v>
          </cell>
          <cell r="G106">
            <v>26993</v>
          </cell>
          <cell r="H106">
            <v>30597</v>
          </cell>
          <cell r="I106">
            <v>40903</v>
          </cell>
          <cell r="J106">
            <v>0</v>
          </cell>
        </row>
        <row r="107">
          <cell r="A107" t="str">
            <v>Total Current Assets</v>
          </cell>
          <cell r="C107">
            <v>0</v>
          </cell>
          <cell r="D107">
            <v>75437</v>
          </cell>
          <cell r="E107">
            <v>104398</v>
          </cell>
          <cell r="F107">
            <v>135468</v>
          </cell>
          <cell r="G107">
            <v>156508</v>
          </cell>
          <cell r="H107">
            <v>164295</v>
          </cell>
          <cell r="I107">
            <v>228393</v>
          </cell>
          <cell r="J107">
            <v>0</v>
          </cell>
        </row>
        <row r="109">
          <cell r="A109" t="str">
            <v>Less: Current Liabilities and Provisions</v>
          </cell>
          <cell r="C109">
            <v>0</v>
          </cell>
          <cell r="D109">
            <v>61430</v>
          </cell>
          <cell r="E109">
            <v>74277</v>
          </cell>
          <cell r="F109">
            <v>80941</v>
          </cell>
          <cell r="G109">
            <v>67467</v>
          </cell>
          <cell r="H109">
            <v>63574</v>
          </cell>
          <cell r="I109">
            <v>76934</v>
          </cell>
          <cell r="J109">
            <v>0</v>
          </cell>
        </row>
        <row r="110">
          <cell r="A110" t="str">
            <v>Sundry creditors</v>
          </cell>
          <cell r="D110">
            <v>28472</v>
          </cell>
          <cell r="E110">
            <v>31801</v>
          </cell>
          <cell r="F110">
            <v>31994</v>
          </cell>
          <cell r="G110">
            <v>33168</v>
          </cell>
          <cell r="H110">
            <v>37533</v>
          </cell>
          <cell r="I110">
            <v>48010</v>
          </cell>
          <cell r="J110">
            <v>0</v>
          </cell>
        </row>
        <row r="111">
          <cell r="A111" t="str">
            <v>Provisions</v>
          </cell>
          <cell r="D111">
            <v>16265</v>
          </cell>
          <cell r="E111">
            <v>11648</v>
          </cell>
          <cell r="F111">
            <v>15697</v>
          </cell>
          <cell r="G111">
            <v>15161</v>
          </cell>
          <cell r="H111">
            <v>12422</v>
          </cell>
          <cell r="I111">
            <v>16145</v>
          </cell>
          <cell r="J111">
            <v>0</v>
          </cell>
        </row>
        <row r="112">
          <cell r="A112" t="str">
            <v>Other liablities</v>
          </cell>
          <cell r="D112">
            <v>3409</v>
          </cell>
          <cell r="E112">
            <v>2401</v>
          </cell>
          <cell r="F112">
            <v>33250</v>
          </cell>
          <cell r="G112">
            <v>19138</v>
          </cell>
          <cell r="H112">
            <v>13619</v>
          </cell>
          <cell r="I112">
            <v>12779</v>
          </cell>
          <cell r="J112">
            <v>0</v>
          </cell>
        </row>
        <row r="113">
          <cell r="A113" t="str">
            <v>Net Current Assets</v>
          </cell>
          <cell r="C113">
            <v>0</v>
          </cell>
          <cell r="D113">
            <v>14007</v>
          </cell>
          <cell r="E113">
            <v>30121</v>
          </cell>
          <cell r="F113">
            <v>54527</v>
          </cell>
          <cell r="G113">
            <v>89041</v>
          </cell>
          <cell r="H113">
            <v>100721</v>
          </cell>
          <cell r="I113">
            <v>151459</v>
          </cell>
          <cell r="J113">
            <v>0</v>
          </cell>
        </row>
        <row r="114">
          <cell r="A114" t="str">
            <v>Miscellaneous Expenditure (to the extent not written off or adjusted): (G)</v>
          </cell>
          <cell r="C114">
            <v>0</v>
          </cell>
          <cell r="D114">
            <v>72</v>
          </cell>
          <cell r="E114">
            <v>87</v>
          </cell>
          <cell r="F114">
            <v>0</v>
          </cell>
          <cell r="G114">
            <v>0</v>
          </cell>
          <cell r="H114">
            <v>0</v>
          </cell>
          <cell r="I114">
            <v>0</v>
          </cell>
          <cell r="J114">
            <v>0</v>
          </cell>
        </row>
        <row r="115">
          <cell r="A115" t="str">
            <v>TOTAL ASSETS</v>
          </cell>
          <cell r="C115">
            <v>0</v>
          </cell>
          <cell r="D115">
            <v>419761</v>
          </cell>
          <cell r="E115">
            <v>462798</v>
          </cell>
          <cell r="F115">
            <v>515405</v>
          </cell>
          <cell r="G115">
            <v>592016</v>
          </cell>
          <cell r="H115">
            <v>678495</v>
          </cell>
          <cell r="I115">
            <v>764360</v>
          </cell>
          <cell r="J115">
            <v>0</v>
          </cell>
        </row>
        <row r="116">
          <cell r="A116" t="str">
            <v>CHECK</v>
          </cell>
          <cell r="C116">
            <v>0</v>
          </cell>
          <cell r="D116">
            <v>0</v>
          </cell>
          <cell r="E116">
            <v>0</v>
          </cell>
          <cell r="F116">
            <v>0</v>
          </cell>
          <cell r="G116">
            <v>0</v>
          </cell>
          <cell r="H116">
            <v>-756</v>
          </cell>
          <cell r="I116">
            <v>472</v>
          </cell>
          <cell r="J116">
            <v>0</v>
          </cell>
        </row>
        <row r="117">
          <cell r="F117">
            <v>0.26283796237909995</v>
          </cell>
          <cell r="G117">
            <v>0.26436447663576662</v>
          </cell>
          <cell r="H117">
            <v>0.24214622067959232</v>
          </cell>
          <cell r="I117">
            <v>0.29880292009000992</v>
          </cell>
        </row>
        <row r="119">
          <cell r="A119" t="str">
            <v>NTPC</v>
          </cell>
        </row>
        <row r="120">
          <cell r="A120" t="str">
            <v>Cash Flow Statement</v>
          </cell>
        </row>
        <row r="121">
          <cell r="A121" t="str">
            <v>(Rs Millions)</v>
          </cell>
          <cell r="D121" t="str">
            <v>F2002</v>
          </cell>
          <cell r="E121" t="str">
            <v>F2003</v>
          </cell>
          <cell r="F121" t="str">
            <v>F2004</v>
          </cell>
          <cell r="G121" t="str">
            <v>F2005</v>
          </cell>
          <cell r="H121" t="str">
            <v>F2006e</v>
          </cell>
          <cell r="I121" t="str">
            <v>F2007e</v>
          </cell>
          <cell r="J121" t="str">
            <v>F2008e</v>
          </cell>
          <cell r="L121" t="str">
            <v>For HK Query</v>
          </cell>
        </row>
        <row r="122">
          <cell r="A122" t="str">
            <v>CASHFLOW FROM OPERATIONS</v>
          </cell>
        </row>
        <row r="123">
          <cell r="A123" t="str">
            <v>Reported net profit</v>
          </cell>
          <cell r="D123">
            <v>39674.464481677926</v>
          </cell>
          <cell r="E123">
            <v>32641.981307281596</v>
          </cell>
          <cell r="F123">
            <v>52608</v>
          </cell>
          <cell r="G123">
            <v>58070</v>
          </cell>
          <cell r="H123">
            <v>58408</v>
          </cell>
          <cell r="I123">
            <v>68983</v>
          </cell>
          <cell r="J123">
            <v>74699</v>
          </cell>
          <cell r="M123">
            <v>2006</v>
          </cell>
          <cell r="N123">
            <v>2007</v>
          </cell>
          <cell r="O123">
            <v>2008</v>
          </cell>
          <cell r="P123">
            <v>2009</v>
          </cell>
        </row>
        <row r="124">
          <cell r="A124" t="str">
            <v>Depreciation</v>
          </cell>
          <cell r="D124">
            <v>13784</v>
          </cell>
          <cell r="E124">
            <v>15291</v>
          </cell>
          <cell r="F124">
            <v>20232</v>
          </cell>
          <cell r="G124">
            <v>19584</v>
          </cell>
          <cell r="H124">
            <v>20710</v>
          </cell>
          <cell r="I124">
            <v>20998</v>
          </cell>
          <cell r="J124">
            <v>22060</v>
          </cell>
        </row>
        <row r="125">
          <cell r="L125" t="str">
            <v xml:space="preserve"> (Incr)/decr of Core Investments</v>
          </cell>
          <cell r="M125" t="e">
            <v>#REF!</v>
          </cell>
          <cell r="N125">
            <v>30673</v>
          </cell>
          <cell r="O125">
            <v>151259</v>
          </cell>
          <cell r="P125">
            <v>0</v>
          </cell>
        </row>
        <row r="126">
          <cell r="L126" t="str">
            <v>(Incr)/Decr of Fixed Assets</v>
          </cell>
          <cell r="M126">
            <v>-94152</v>
          </cell>
          <cell r="N126">
            <v>-86798</v>
          </cell>
          <cell r="O126">
            <v>0</v>
          </cell>
          <cell r="P126">
            <v>0</v>
          </cell>
        </row>
        <row r="127">
          <cell r="L127" t="str">
            <v>Capex</v>
          </cell>
          <cell r="M127" t="e">
            <v>#REF!</v>
          </cell>
          <cell r="N127">
            <v>-56125</v>
          </cell>
          <cell r="O127">
            <v>151259</v>
          </cell>
          <cell r="P127">
            <v>0</v>
          </cell>
        </row>
        <row r="128">
          <cell r="A128" t="str">
            <v>(Incr)/ Decr in Net working capital</v>
          </cell>
          <cell r="D128">
            <v>-1959</v>
          </cell>
          <cell r="E128">
            <v>-22715</v>
          </cell>
          <cell r="F128">
            <v>-23762</v>
          </cell>
          <cell r="G128">
            <v>47580</v>
          </cell>
          <cell r="H128">
            <v>-9800</v>
          </cell>
          <cell r="I128">
            <v>-3653</v>
          </cell>
          <cell r="J128">
            <v>14309</v>
          </cell>
          <cell r="L128" t="str">
            <v>Less Capitalised Int</v>
          </cell>
          <cell r="M128">
            <v>5221</v>
          </cell>
          <cell r="N128">
            <v>6683</v>
          </cell>
          <cell r="O128">
            <v>7191.0224650961136</v>
          </cell>
        </row>
        <row r="129">
          <cell r="A129" t="str">
            <v>Misc Expenditure w/off</v>
          </cell>
          <cell r="D129">
            <v>-72</v>
          </cell>
          <cell r="E129">
            <v>-15</v>
          </cell>
          <cell r="F129">
            <v>87</v>
          </cell>
          <cell r="G129">
            <v>0</v>
          </cell>
          <cell r="H129">
            <v>0</v>
          </cell>
          <cell r="I129">
            <v>0</v>
          </cell>
          <cell r="J129">
            <v>0</v>
          </cell>
          <cell r="L129" t="str">
            <v>Fina Capex:Capex Less Caitalised Int</v>
          </cell>
          <cell r="M129" t="e">
            <v>#REF!</v>
          </cell>
          <cell r="N129">
            <v>-62808</v>
          </cell>
          <cell r="O129">
            <v>144067.97753490388</v>
          </cell>
        </row>
        <row r="130">
          <cell r="A130" t="str">
            <v>Other Cash Flows</v>
          </cell>
          <cell r="D130">
            <v>46.535518322081771</v>
          </cell>
          <cell r="E130">
            <v>-51.981307281595946</v>
          </cell>
          <cell r="F130">
            <v>-12998</v>
          </cell>
          <cell r="G130">
            <v>-2</v>
          </cell>
          <cell r="H130">
            <v>-420</v>
          </cell>
          <cell r="I130">
            <v>-292</v>
          </cell>
          <cell r="J130">
            <v>0</v>
          </cell>
        </row>
        <row r="131">
          <cell r="A131" t="str">
            <v>Total Cash Flow From Operations</v>
          </cell>
          <cell r="D131">
            <v>51474.000000000007</v>
          </cell>
          <cell r="E131">
            <v>25151</v>
          </cell>
          <cell r="F131">
            <v>36167</v>
          </cell>
          <cell r="G131">
            <v>125232</v>
          </cell>
          <cell r="H131">
            <v>68898</v>
          </cell>
          <cell r="I131">
            <v>86036</v>
          </cell>
          <cell r="J131">
            <v>111068</v>
          </cell>
          <cell r="L131" t="str">
            <v xml:space="preserve"> (Incr)/decr of Core Investments</v>
          </cell>
        </row>
        <row r="132">
          <cell r="L132" t="str">
            <v>Total Cash Flow From Operations</v>
          </cell>
          <cell r="M132">
            <v>68898</v>
          </cell>
          <cell r="N132">
            <v>86036</v>
          </cell>
          <cell r="O132">
            <v>111068</v>
          </cell>
          <cell r="P132">
            <v>0</v>
          </cell>
        </row>
        <row r="133">
          <cell r="A133" t="str">
            <v>CASH FLOW FROM INVESTING ACTIVITIES</v>
          </cell>
          <cell r="L133" t="str">
            <v>FCF</v>
          </cell>
          <cell r="M133" t="e">
            <v>#REF!</v>
          </cell>
          <cell r="N133">
            <v>23228</v>
          </cell>
          <cell r="O133">
            <v>255135.97753490388</v>
          </cell>
          <cell r="P133">
            <v>0</v>
          </cell>
        </row>
        <row r="134">
          <cell r="A134" t="str">
            <v>(Incr)/Decr of Fixed Assets</v>
          </cell>
          <cell r="D134">
            <v>-390577</v>
          </cell>
          <cell r="E134">
            <v>-39475</v>
          </cell>
          <cell r="F134">
            <v>-45182</v>
          </cell>
          <cell r="G134">
            <v>-54486</v>
          </cell>
          <cell r="H134">
            <v>-94152</v>
          </cell>
          <cell r="I134">
            <v>-86798</v>
          </cell>
          <cell r="J134">
            <v>0</v>
          </cell>
        </row>
        <row r="135">
          <cell r="A135" t="str">
            <v>(Incr)/decr of  Investments</v>
          </cell>
          <cell r="D135">
            <v>-167597</v>
          </cell>
          <cell r="E135">
            <v>-2669</v>
          </cell>
          <cell r="F135">
            <v>-3114</v>
          </cell>
          <cell r="G135">
            <v>-7195</v>
          </cell>
          <cell r="H135">
            <v>-1357</v>
          </cell>
          <cell r="I135">
            <v>30673</v>
          </cell>
          <cell r="J135">
            <v>151259</v>
          </cell>
        </row>
        <row r="136">
          <cell r="A136" t="str">
            <v>Incr/(decr) in others</v>
          </cell>
          <cell r="D136">
            <v>0</v>
          </cell>
          <cell r="E136">
            <v>0</v>
          </cell>
          <cell r="F136">
            <v>0</v>
          </cell>
          <cell r="G136">
            <v>0</v>
          </cell>
          <cell r="H136">
            <v>0</v>
          </cell>
          <cell r="I136">
            <v>0</v>
          </cell>
          <cell r="J136">
            <v>0</v>
          </cell>
        </row>
        <row r="137">
          <cell r="A137" t="str">
            <v>Total Cash Flow From Investment Activities</v>
          </cell>
          <cell r="D137">
            <v>-558174</v>
          </cell>
          <cell r="E137">
            <v>-42144</v>
          </cell>
          <cell r="F137">
            <v>-48296</v>
          </cell>
          <cell r="G137">
            <v>-61681</v>
          </cell>
          <cell r="H137">
            <v>-95509</v>
          </cell>
          <cell r="I137">
            <v>-56125</v>
          </cell>
          <cell r="J137">
            <v>151259</v>
          </cell>
        </row>
        <row r="138">
          <cell r="H138">
            <v>-26611</v>
          </cell>
          <cell r="I138">
            <v>29911</v>
          </cell>
          <cell r="J138">
            <v>262327</v>
          </cell>
        </row>
        <row r="139">
          <cell r="A139" t="str">
            <v>CASH FLOW FROM FINANCING ACTIVITIES</v>
          </cell>
          <cell r="H139">
            <v>-26611</v>
          </cell>
          <cell r="I139">
            <v>29911</v>
          </cell>
          <cell r="J139">
            <v>262327</v>
          </cell>
        </row>
        <row r="140">
          <cell r="A140" t="str">
            <v>Incr/(Decr) of Equity</v>
          </cell>
          <cell r="D140">
            <v>78125</v>
          </cell>
          <cell r="E140">
            <v>0</v>
          </cell>
          <cell r="F140">
            <v>0</v>
          </cell>
          <cell r="G140">
            <v>26664</v>
          </cell>
          <cell r="H140">
            <v>-27</v>
          </cell>
          <cell r="I140">
            <v>0</v>
          </cell>
          <cell r="J140">
            <v>-104762</v>
          </cell>
        </row>
        <row r="141">
          <cell r="A141" t="str">
            <v>Incr/(Decr) of Debt</v>
          </cell>
          <cell r="D141">
            <v>115812</v>
          </cell>
          <cell r="E141">
            <v>16345</v>
          </cell>
          <cell r="F141">
            <v>22371</v>
          </cell>
          <cell r="G141">
            <v>16350</v>
          </cell>
          <cell r="H141">
            <v>53919</v>
          </cell>
          <cell r="I141">
            <v>45398</v>
          </cell>
          <cell r="J141">
            <v>-270195</v>
          </cell>
        </row>
        <row r="142">
          <cell r="A142" t="str">
            <v>Incr/(Decr) in Def. Rev on a/c of AAD</v>
          </cell>
          <cell r="D142">
            <v>0</v>
          </cell>
          <cell r="E142">
            <v>271</v>
          </cell>
          <cell r="F142">
            <v>1320</v>
          </cell>
          <cell r="G142">
            <v>1783</v>
          </cell>
          <cell r="H142">
            <v>1034</v>
          </cell>
          <cell r="I142">
            <v>2159</v>
          </cell>
          <cell r="J142">
            <v>-6567</v>
          </cell>
        </row>
        <row r="143">
          <cell r="A143" t="str">
            <v>Incr/(Decr) in Dev. Surcharge Fund</v>
          </cell>
          <cell r="D143">
            <v>1241</v>
          </cell>
          <cell r="E143">
            <v>1251</v>
          </cell>
          <cell r="F143">
            <v>1292</v>
          </cell>
          <cell r="G143">
            <v>-3784</v>
          </cell>
          <cell r="H143">
            <v>0</v>
          </cell>
          <cell r="I143">
            <v>0</v>
          </cell>
          <cell r="J143">
            <v>0</v>
          </cell>
        </row>
        <row r="144">
          <cell r="A144" t="str">
            <v>Dividends</v>
          </cell>
          <cell r="D144">
            <v>-7079</v>
          </cell>
          <cell r="E144">
            <v>-7475</v>
          </cell>
          <cell r="F144">
            <v>-12210</v>
          </cell>
          <cell r="G144">
            <v>-22470</v>
          </cell>
          <cell r="H144">
            <v>-26435</v>
          </cell>
          <cell r="I144">
            <v>-30383</v>
          </cell>
          <cell r="J144">
            <v>0</v>
          </cell>
        </row>
        <row r="146">
          <cell r="A146" t="str">
            <v>Total Cash Flow From Financing Activities</v>
          </cell>
          <cell r="D146">
            <v>188099</v>
          </cell>
          <cell r="E146">
            <v>10392</v>
          </cell>
          <cell r="F146">
            <v>12773</v>
          </cell>
          <cell r="G146">
            <v>18543</v>
          </cell>
          <cell r="H146">
            <v>28491</v>
          </cell>
          <cell r="I146">
            <v>17174</v>
          </cell>
          <cell r="J146">
            <v>-381524</v>
          </cell>
        </row>
        <row r="148">
          <cell r="A148" t="str">
            <v>Net change in cash</v>
          </cell>
          <cell r="D148">
            <v>-318601</v>
          </cell>
          <cell r="E148">
            <v>-6601</v>
          </cell>
          <cell r="F148">
            <v>644</v>
          </cell>
          <cell r="G148">
            <v>82094</v>
          </cell>
          <cell r="H148">
            <v>1880</v>
          </cell>
          <cell r="I148">
            <v>47085</v>
          </cell>
          <cell r="J148">
            <v>-119197</v>
          </cell>
        </row>
        <row r="149">
          <cell r="A149" t="str">
            <v>Cash at beginning of year</v>
          </cell>
          <cell r="D149">
            <v>0</v>
          </cell>
          <cell r="E149">
            <v>12048</v>
          </cell>
          <cell r="F149">
            <v>5447</v>
          </cell>
          <cell r="G149">
            <v>6091</v>
          </cell>
          <cell r="H149">
            <v>88185</v>
          </cell>
          <cell r="I149">
            <v>90065</v>
          </cell>
          <cell r="J149">
            <v>137150</v>
          </cell>
        </row>
        <row r="150">
          <cell r="A150" t="str">
            <v>Cash at end of year</v>
          </cell>
          <cell r="D150">
            <v>12048</v>
          </cell>
          <cell r="E150">
            <v>5447</v>
          </cell>
          <cell r="F150">
            <v>6091</v>
          </cell>
          <cell r="G150">
            <v>88185</v>
          </cell>
          <cell r="H150">
            <v>90065</v>
          </cell>
          <cell r="I150">
            <v>137150</v>
          </cell>
          <cell r="J150">
            <v>0</v>
          </cell>
        </row>
        <row r="151">
          <cell r="A151" t="str">
            <v>Reported change in cash</v>
          </cell>
          <cell r="D151">
            <v>12048</v>
          </cell>
          <cell r="E151">
            <v>-6601</v>
          </cell>
          <cell r="F151">
            <v>644</v>
          </cell>
          <cell r="G151">
            <v>82094</v>
          </cell>
          <cell r="H151">
            <v>1880</v>
          </cell>
          <cell r="I151">
            <v>47085</v>
          </cell>
          <cell r="J151">
            <v>-137150</v>
          </cell>
        </row>
        <row r="153">
          <cell r="A153" t="str">
            <v>Check</v>
          </cell>
          <cell r="D153">
            <v>330649</v>
          </cell>
          <cell r="E153">
            <v>0</v>
          </cell>
          <cell r="F153">
            <v>0</v>
          </cell>
          <cell r="G153">
            <v>0</v>
          </cell>
          <cell r="H153">
            <v>0</v>
          </cell>
          <cell r="I153">
            <v>0</v>
          </cell>
          <cell r="J153">
            <v>-17953</v>
          </cell>
        </row>
        <row r="156">
          <cell r="A156" t="str">
            <v>Shares os(check units -shld be mn)</v>
          </cell>
        </row>
        <row r="157">
          <cell r="A157" t="str">
            <v>Year-ending shares (basic?)</v>
          </cell>
          <cell r="E157">
            <v>7812.5493999999999</v>
          </cell>
          <cell r="F157">
            <v>7812.5493999999999</v>
          </cell>
          <cell r="G157">
            <v>8245.4644000000008</v>
          </cell>
          <cell r="H157">
            <v>8245.4644000000008</v>
          </cell>
          <cell r="I157">
            <v>8245.4644000000008</v>
          </cell>
          <cell r="J157">
            <v>8245.4644000000008</v>
          </cell>
        </row>
        <row r="158">
          <cell r="A158" t="str">
            <v>Year-ending shares (diluted)</v>
          </cell>
          <cell r="F158">
            <v>7812.5493999999999</v>
          </cell>
          <cell r="G158">
            <v>8245.4644000000008</v>
          </cell>
          <cell r="H158">
            <v>8245.4644000000008</v>
          </cell>
          <cell r="I158">
            <v>8245.4644000000008</v>
          </cell>
          <cell r="J158">
            <v>8245.4644000000008</v>
          </cell>
        </row>
        <row r="159">
          <cell r="A159" t="str">
            <v>Year-ending average shares diluted</v>
          </cell>
          <cell r="F159">
            <v>7812.5493999999999</v>
          </cell>
          <cell r="G159">
            <v>7992.9306500000012</v>
          </cell>
          <cell r="H159">
            <v>8245.4644000000008</v>
          </cell>
          <cell r="I159">
            <v>8245.4644000000008</v>
          </cell>
          <cell r="J159">
            <v>8245.4644000000008</v>
          </cell>
        </row>
        <row r="164">
          <cell r="A164" t="str">
            <v>NTPC</v>
          </cell>
        </row>
        <row r="165">
          <cell r="A165" t="str">
            <v>Financial Ratios</v>
          </cell>
        </row>
        <row r="166">
          <cell r="D166" t="str">
            <v>F2002</v>
          </cell>
          <cell r="E166" t="str">
            <v>F2003</v>
          </cell>
          <cell r="F166" t="str">
            <v>F2004</v>
          </cell>
          <cell r="G166" t="str">
            <v>F2005</v>
          </cell>
          <cell r="H166" t="str">
            <v>F2006e</v>
          </cell>
          <cell r="I166" t="str">
            <v>F2007e</v>
          </cell>
          <cell r="J166" t="str">
            <v>F2008e</v>
          </cell>
        </row>
        <row r="167">
          <cell r="A167" t="str">
            <v>Valuations</v>
          </cell>
          <cell r="I167">
            <v>15.872096712332748</v>
          </cell>
          <cell r="J167">
            <v>14.625684855218946</v>
          </cell>
        </row>
        <row r="168">
          <cell r="A168" t="str">
            <v>EPS (Rs)</v>
          </cell>
          <cell r="E168">
            <v>4.2098909873493531</v>
          </cell>
          <cell r="F168">
            <v>5.4931563842704234</v>
          </cell>
          <cell r="G168">
            <v>5.8743948833736273</v>
          </cell>
          <cell r="H168">
            <v>7.1970476277843121</v>
          </cell>
          <cell r="I168">
            <v>8.3479834077022996</v>
          </cell>
          <cell r="J168">
            <v>9.0594048286716262</v>
          </cell>
        </row>
        <row r="169">
          <cell r="A169" t="str">
            <v>EPS Growth</v>
          </cell>
          <cell r="F169">
            <v>0.30482152644267035</v>
          </cell>
          <cell r="G169">
            <v>6.940244777936333E-2</v>
          </cell>
          <cell r="H169">
            <v>0.22515557273042797</v>
          </cell>
          <cell r="I169">
            <v>0.15991776620662934</v>
          </cell>
          <cell r="J169">
            <v>8.5220751674342177E-2</v>
          </cell>
        </row>
        <row r="170">
          <cell r="A170" t="str">
            <v>P/E</v>
          </cell>
          <cell r="E170">
            <v>29.69198023787855</v>
          </cell>
          <cell r="F170">
            <v>22.755587362838558</v>
          </cell>
          <cell r="G170">
            <v>21.278787429457466</v>
          </cell>
          <cell r="H170">
            <v>17.36823298451376</v>
          </cell>
          <cell r="I170">
            <v>14.97367614371014</v>
          </cell>
          <cell r="J170">
            <v>13.797815901149949</v>
          </cell>
        </row>
        <row r="171">
          <cell r="A171" t="str">
            <v>CEPS (Rs)</v>
          </cell>
          <cell r="E171">
            <v>6.1671266113570553</v>
          </cell>
          <cell r="F171">
            <v>8.0828360092082185</v>
          </cell>
          <cell r="G171">
            <v>8.2495188363677112</v>
          </cell>
          <cell r="H171">
            <v>9.7087315057718264</v>
          </cell>
          <cell r="I171">
            <v>10.894595579116197</v>
          </cell>
          <cell r="J171">
            <v>11.734815082095315</v>
          </cell>
        </row>
        <row r="172">
          <cell r="A172" t="str">
            <v>CEPS Growth</v>
          </cell>
          <cell r="F172">
            <v>0.31063240931737868</v>
          </cell>
          <cell r="G172">
            <v>2.0621824687473866E-2</v>
          </cell>
          <cell r="H172">
            <v>0.17688457937343305</v>
          </cell>
          <cell r="I172">
            <v>0.12214407954729989</v>
          </cell>
          <cell r="J172">
            <v>7.7122596876356697E-2</v>
          </cell>
        </row>
        <row r="173">
          <cell r="A173" t="str">
            <v>P/CE</v>
          </cell>
          <cell r="E173">
            <v>20.268758512239167</v>
          </cell>
          <cell r="F173">
            <v>15.464868996178582</v>
          </cell>
          <cell r="G173">
            <v>15.152398882822345</v>
          </cell>
          <cell r="H173">
            <v>12.875008431913859</v>
          </cell>
          <cell r="I173">
            <v>11.473578720040967</v>
          </cell>
          <cell r="J173">
            <v>10.652063890697507</v>
          </cell>
        </row>
        <row r="174">
          <cell r="A174" t="str">
            <v>Book Value (Rs)</v>
          </cell>
          <cell r="E174">
            <v>41.967990628001658</v>
          </cell>
          <cell r="F174">
            <v>45.503840270117202</v>
          </cell>
          <cell r="G174">
            <v>50.66579391210518</v>
          </cell>
          <cell r="H174">
            <v>54.576186151504089</v>
          </cell>
          <cell r="I174">
            <v>59.077933803219132</v>
          </cell>
          <cell r="J174">
            <v>0</v>
          </cell>
        </row>
        <row r="175">
          <cell r="A175" t="str">
            <v>P/BV</v>
          </cell>
          <cell r="E175">
            <v>2.9784604440079665</v>
          </cell>
          <cell r="F175">
            <v>2.7470208944559933</v>
          </cell>
          <cell r="G175">
            <v>2.467147760811752</v>
          </cell>
          <cell r="H175">
            <v>2.290376239427919</v>
          </cell>
          <cell r="I175">
            <v>2.115849217346677</v>
          </cell>
          <cell r="J175" t="e">
            <v>#DIV/0!</v>
          </cell>
        </row>
        <row r="176">
          <cell r="A176" t="str">
            <v>DPS (Rs)</v>
          </cell>
          <cell r="E176">
            <v>0.90623426969946586</v>
          </cell>
          <cell r="F176">
            <v>1.3853352402482089</v>
          </cell>
          <cell r="G176">
            <v>2.4001073850976784</v>
          </cell>
          <cell r="H176">
            <v>2.8117276208238797</v>
          </cell>
          <cell r="I176">
            <v>3.2097646313287092</v>
          </cell>
          <cell r="J176">
            <v>3.25</v>
          </cell>
        </row>
        <row r="177">
          <cell r="A177" t="str">
            <v>Yield (%)</v>
          </cell>
          <cell r="E177">
            <v>7.2498741575957272E-3</v>
          </cell>
          <cell r="F177">
            <v>1.1082681921985671E-2</v>
          </cell>
          <cell r="G177">
            <v>1.9200859080781427E-2</v>
          </cell>
          <cell r="H177">
            <v>2.2493820966591038E-2</v>
          </cell>
          <cell r="I177">
            <v>2.5678117050629674E-2</v>
          </cell>
          <cell r="J177">
            <v>2.5999999999999999E-2</v>
          </cell>
        </row>
        <row r="178">
          <cell r="A178" t="str">
            <v>EV/EBITDA</v>
          </cell>
          <cell r="E178">
            <v>19.869586770161721</v>
          </cell>
          <cell r="F178">
            <v>27.680182934330631</v>
          </cell>
          <cell r="G178">
            <v>16.880843757107119</v>
          </cell>
          <cell r="H178">
            <v>14.631701820464533</v>
          </cell>
          <cell r="I178">
            <v>11.452325444078138</v>
          </cell>
          <cell r="J178">
            <v>9.0307020003329512</v>
          </cell>
        </row>
        <row r="180">
          <cell r="A180" t="str">
            <v>Profitability Ratios</v>
          </cell>
        </row>
        <row r="181">
          <cell r="A181" t="str">
            <v>NPM (%)</v>
          </cell>
          <cell r="E181">
            <v>0.17267348107248509</v>
          </cell>
          <cell r="F181">
            <v>0.22744671309723169</v>
          </cell>
          <cell r="G181">
            <v>0.21609241080704616</v>
          </cell>
          <cell r="H181">
            <v>0.21640337826010853</v>
          </cell>
          <cell r="I181">
            <v>0.20319284915145666</v>
          </cell>
          <cell r="J181">
            <v>0.1933454121910185</v>
          </cell>
        </row>
        <row r="182">
          <cell r="A182" t="str">
            <v>ROCE (%)</v>
          </cell>
          <cell r="E182">
            <v>9.117804022167357E-2</v>
          </cell>
          <cell r="F182">
            <v>4.1731624212970109E-2</v>
          </cell>
          <cell r="G182">
            <v>8.3745928603485037E-2</v>
          </cell>
          <cell r="H182">
            <v>9.2726390286226257E-2</v>
          </cell>
          <cell r="I182">
            <v>0.11172451163747914</v>
          </cell>
          <cell r="J182">
            <v>0.24105889868671848</v>
          </cell>
        </row>
        <row r="183">
          <cell r="A183" t="str">
            <v>ROCE (%) - Tax Adjusted</v>
          </cell>
          <cell r="E183">
            <v>4.593057827225943E-2</v>
          </cell>
          <cell r="F183">
            <v>-1.3485672847710512E-2</v>
          </cell>
          <cell r="G183">
            <v>2.6311862926831315E-2</v>
          </cell>
          <cell r="H183">
            <v>1.7063345988237978E-2</v>
          </cell>
          <cell r="I183">
            <v>1.2956337110550305E-2</v>
          </cell>
          <cell r="J183">
            <v>2.0067727548057825E-2</v>
          </cell>
        </row>
        <row r="184">
          <cell r="A184" t="str">
            <v>RONW (%)</v>
          </cell>
          <cell r="E184">
            <v>0.10431577442305667</v>
          </cell>
          <cell r="F184">
            <v>0.12559829439647768</v>
          </cell>
          <cell r="G184">
            <v>0.12527962993854466</v>
          </cell>
          <cell r="H184">
            <v>0.13677142188762217</v>
          </cell>
          <cell r="I184">
            <v>0.14690155378490308</v>
          </cell>
          <cell r="J184">
            <v>0.30669335386194507</v>
          </cell>
        </row>
        <row r="186">
          <cell r="A186" t="str">
            <v>Gearing / Interest Coverage</v>
          </cell>
        </row>
        <row r="187">
          <cell r="A187" t="str">
            <v>Debt/Equity</v>
          </cell>
          <cell r="E187">
            <v>0.40306883373948155</v>
          </cell>
          <cell r="F187">
            <v>0.43467669570549733</v>
          </cell>
          <cell r="G187">
            <v>0.40903095774398401</v>
          </cell>
          <cell r="H187">
            <v>0.49954222832584455</v>
          </cell>
          <cell r="I187">
            <v>0.55467282525019246</v>
          </cell>
          <cell r="J187" t="e">
            <v>#DIV/0!</v>
          </cell>
        </row>
        <row r="188">
          <cell r="A188" t="str">
            <v>Net Debt / Equity</v>
          </cell>
          <cell r="E188">
            <v>0.38645589657097024</v>
          </cell>
          <cell r="F188">
            <v>0.41754312927389797</v>
          </cell>
          <cell r="G188">
            <v>0.19794237402546419</v>
          </cell>
          <cell r="H188">
            <v>0.29940045243841196</v>
          </cell>
          <cell r="I188">
            <v>0.2731229150628689</v>
          </cell>
          <cell r="J188" t="e">
            <v>#DIV/0!</v>
          </cell>
        </row>
        <row r="189">
          <cell r="A189" t="str">
            <v>Interest Coverage</v>
          </cell>
          <cell r="E189">
            <v>4.4645942461271639</v>
          </cell>
          <cell r="F189">
            <v>4.8772808009042468</v>
          </cell>
          <cell r="G189">
            <v>5.9994084007099193</v>
          </cell>
          <cell r="H189">
            <v>7.8751403777437465</v>
          </cell>
          <cell r="I189">
            <v>5.7403168547660677</v>
          </cell>
          <cell r="J189">
            <v>6.5707443087024382</v>
          </cell>
        </row>
        <row r="190">
          <cell r="A190" t="str">
            <v>Debt Service Coverage</v>
          </cell>
          <cell r="E190">
            <v>1.5934553580962352</v>
          </cell>
          <cell r="F190">
            <v>1.6165805881880704</v>
          </cell>
          <cell r="G190">
            <v>2.4844228492099139</v>
          </cell>
          <cell r="H190">
            <v>1.1913418175078767</v>
          </cell>
          <cell r="I190">
            <v>1.8097489267160016</v>
          </cell>
          <cell r="J190">
            <v>6.5707443087024382</v>
          </cell>
        </row>
        <row r="192">
          <cell r="A192" t="str">
            <v>Other Ratios</v>
          </cell>
        </row>
        <row r="193">
          <cell r="A193" t="str">
            <v>Effective Tax Rate</v>
          </cell>
          <cell r="E193">
            <v>4.2643015488688124E-2</v>
          </cell>
          <cell r="F193">
            <v>0.10637273833837109</v>
          </cell>
          <cell r="G193">
            <v>4.4708230467036238E-2</v>
          </cell>
          <cell r="H193">
            <v>0.11878174096403434</v>
          </cell>
          <cell r="I193">
            <v>0.2306067244925333</v>
          </cell>
          <cell r="J193">
            <v>0.27834025698000192</v>
          </cell>
        </row>
        <row r="194">
          <cell r="A194" t="str">
            <v>Capex / EBITDA</v>
          </cell>
          <cell r="E194">
            <v>2.5815839382643384</v>
          </cell>
          <cell r="F194">
            <v>1.1116797480500946</v>
          </cell>
          <cell r="G194">
            <v>0.82610871048442125</v>
          </cell>
          <cell r="H194">
            <v>1.1820715630885121</v>
          </cell>
          <cell r="I194">
            <v>0.85418491364463911</v>
          </cell>
          <cell r="J194">
            <v>0</v>
          </cell>
        </row>
        <row r="195">
          <cell r="A195" t="str">
            <v>Capex/Sales</v>
          </cell>
          <cell r="E195">
            <v>0.20724504528153301</v>
          </cell>
          <cell r="F195">
            <v>0.23945856564414578</v>
          </cell>
          <cell r="G195">
            <v>0.24307829578407317</v>
          </cell>
          <cell r="H195">
            <v>0.34333975144407491</v>
          </cell>
          <cell r="I195">
            <v>0.25622496361698799</v>
          </cell>
          <cell r="J195">
            <v>0</v>
          </cell>
        </row>
        <row r="196">
          <cell r="A196" t="str">
            <v>Capex/Depreciation</v>
          </cell>
          <cell r="E196">
            <v>2.5815839382643384</v>
          </cell>
          <cell r="F196">
            <v>2.2331949387109531</v>
          </cell>
          <cell r="G196">
            <v>2.7821691176470589</v>
          </cell>
          <cell r="H196">
            <v>4.5462095605987445</v>
          </cell>
          <cell r="I196">
            <v>4.1336317744547095</v>
          </cell>
          <cell r="J196">
            <v>0</v>
          </cell>
        </row>
        <row r="200">
          <cell r="A200" t="str">
            <v>NTPC</v>
          </cell>
        </row>
        <row r="201">
          <cell r="A201" t="str">
            <v>Enterprie Value Calculation</v>
          </cell>
        </row>
        <row r="202">
          <cell r="E202" t="str">
            <v>F2003</v>
          </cell>
          <cell r="F202" t="str">
            <v>F2004</v>
          </cell>
          <cell r="G202" t="str">
            <v>F2005</v>
          </cell>
          <cell r="H202" t="str">
            <v>F2006e</v>
          </cell>
          <cell r="I202" t="str">
            <v>F2007e</v>
          </cell>
          <cell r="J202" t="str">
            <v>F2008e</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row>
        <row r="203">
          <cell r="A203" t="str">
            <v>No. of shares (mn)</v>
          </cell>
          <cell r="E203">
            <v>7812.5493999999999</v>
          </cell>
          <cell r="F203">
            <v>7812.5493999999999</v>
          </cell>
          <cell r="G203">
            <v>8245.4644000000008</v>
          </cell>
          <cell r="H203">
            <v>8245.4644000000008</v>
          </cell>
          <cell r="I203">
            <v>8245.4644000000008</v>
          </cell>
          <cell r="J203">
            <v>8245.4644000000008</v>
          </cell>
        </row>
        <row r="204">
          <cell r="A204" t="str">
            <v>Market price (Rs.)</v>
          </cell>
          <cell r="E204">
            <v>125</v>
          </cell>
          <cell r="F204">
            <v>125</v>
          </cell>
          <cell r="G204">
            <v>125</v>
          </cell>
          <cell r="H204">
            <v>125</v>
          </cell>
          <cell r="I204">
            <v>125</v>
          </cell>
          <cell r="J204">
            <v>125</v>
          </cell>
        </row>
        <row r="205">
          <cell r="A205" t="str">
            <v>Market Capitalization (Rs. Mn)</v>
          </cell>
          <cell r="E205">
            <v>976568.67499999993</v>
          </cell>
          <cell r="F205">
            <v>976568.67499999993</v>
          </cell>
          <cell r="G205">
            <v>1030683.05</v>
          </cell>
          <cell r="H205">
            <v>1030683.05</v>
          </cell>
          <cell r="I205">
            <v>1030683.05</v>
          </cell>
          <cell r="J205">
            <v>1030683.05</v>
          </cell>
        </row>
        <row r="206">
          <cell r="A206" t="str">
            <v>Net Debt (Cash)</v>
          </cell>
          <cell r="E206">
            <v>123797</v>
          </cell>
          <cell r="F206">
            <v>148437</v>
          </cell>
          <cell r="G206">
            <v>82693</v>
          </cell>
          <cell r="H206">
            <v>134732</v>
          </cell>
          <cell r="I206">
            <v>133045</v>
          </cell>
          <cell r="J206">
            <v>0</v>
          </cell>
        </row>
        <row r="207">
          <cell r="A207" t="str">
            <v>Enterprise Value  (Rs. Mn)</v>
          </cell>
          <cell r="E207">
            <v>1100365.6749999998</v>
          </cell>
          <cell r="F207">
            <v>1125005.6749999998</v>
          </cell>
          <cell r="G207">
            <v>1113376.05</v>
          </cell>
          <cell r="H207">
            <v>1165415.05</v>
          </cell>
          <cell r="I207">
            <v>1163728.05</v>
          </cell>
          <cell r="J207">
            <v>1030683.05</v>
          </cell>
        </row>
        <row r="208">
          <cell r="A208" t="str">
            <v>Net Debt (Cash) / Share (Rs.)</v>
          </cell>
          <cell r="E208">
            <v>15.845915803105195</v>
          </cell>
          <cell r="F208">
            <v>18.99981586036435</v>
          </cell>
          <cell r="G208">
            <v>10.028907528847009</v>
          </cell>
          <cell r="H208">
            <v>16.340134826123315</v>
          </cell>
          <cell r="I208">
            <v>16.135537496226409</v>
          </cell>
          <cell r="J208">
            <v>0</v>
          </cell>
        </row>
        <row r="209">
          <cell r="A209" t="str">
            <v>Adjusted EV(As per Model Ware) (Rs. mn)</v>
          </cell>
          <cell r="F209" t="e">
            <v>#REF!</v>
          </cell>
          <cell r="G209" t="e">
            <v>#REF!</v>
          </cell>
          <cell r="H209" t="e">
            <v>#REF!</v>
          </cell>
          <cell r="I209" t="e">
            <v>#REF!</v>
          </cell>
          <cell r="J209" t="e">
            <v>#REF!</v>
          </cell>
        </row>
        <row r="210">
          <cell r="A210" t="str">
            <v>EV/EBITDA (As per Model Ware) (Rs.)</v>
          </cell>
          <cell r="F210" t="e">
            <v>#REF!</v>
          </cell>
          <cell r="G210" t="e">
            <v>#REF!</v>
          </cell>
          <cell r="H210" t="e">
            <v>#REF!</v>
          </cell>
          <cell r="I210" t="e">
            <v>#REF!</v>
          </cell>
          <cell r="J210" t="e">
            <v>#REF!</v>
          </cell>
        </row>
        <row r="213">
          <cell r="A213" t="str">
            <v>VALUATIONS - RESIDUAL INCOME MODEL</v>
          </cell>
        </row>
        <row r="214">
          <cell r="F214">
            <v>-28000</v>
          </cell>
        </row>
        <row r="215">
          <cell r="F215">
            <v>0</v>
          </cell>
          <cell r="G215">
            <v>1</v>
          </cell>
          <cell r="H215">
            <v>2</v>
          </cell>
          <cell r="I215">
            <v>3</v>
          </cell>
          <cell r="J215">
            <v>4</v>
          </cell>
          <cell r="K215">
            <v>5</v>
          </cell>
          <cell r="L215">
            <v>6</v>
          </cell>
          <cell r="M215">
            <v>7</v>
          </cell>
          <cell r="N215">
            <v>8</v>
          </cell>
          <cell r="O215">
            <v>9</v>
          </cell>
          <cell r="P215">
            <v>10</v>
          </cell>
          <cell r="Q215">
            <v>11</v>
          </cell>
          <cell r="R215">
            <v>12</v>
          </cell>
          <cell r="S215">
            <v>13</v>
          </cell>
          <cell r="T215">
            <v>14</v>
          </cell>
          <cell r="U215">
            <v>15</v>
          </cell>
          <cell r="V215">
            <v>16</v>
          </cell>
          <cell r="W215">
            <v>17</v>
          </cell>
          <cell r="X215">
            <v>18</v>
          </cell>
          <cell r="Y215">
            <v>19</v>
          </cell>
          <cell r="Z215">
            <v>20</v>
          </cell>
          <cell r="AA215">
            <v>21</v>
          </cell>
          <cell r="AB215">
            <v>22</v>
          </cell>
          <cell r="AC215">
            <v>23</v>
          </cell>
          <cell r="AD215">
            <v>24</v>
          </cell>
          <cell r="AE215">
            <v>25</v>
          </cell>
          <cell r="AF215">
            <v>26</v>
          </cell>
          <cell r="AG215">
            <v>27</v>
          </cell>
          <cell r="AH215">
            <v>28</v>
          </cell>
          <cell r="AI215">
            <v>29</v>
          </cell>
          <cell r="AJ215">
            <v>30</v>
          </cell>
          <cell r="AK215">
            <v>31</v>
          </cell>
          <cell r="AL215">
            <v>32</v>
          </cell>
          <cell r="AV215">
            <v>33</v>
          </cell>
          <cell r="AW215">
            <v>34</v>
          </cell>
          <cell r="AX215">
            <v>35</v>
          </cell>
        </row>
        <row r="216">
          <cell r="F216">
            <v>-12000</v>
          </cell>
          <cell r="G216">
            <v>1680.0000000000002</v>
          </cell>
          <cell r="H216">
            <v>1680.0000000000002</v>
          </cell>
          <cell r="I216">
            <v>1680.0000000000002</v>
          </cell>
          <cell r="J216">
            <v>1680.0000000000002</v>
          </cell>
          <cell r="K216">
            <v>1680.0000000000002</v>
          </cell>
          <cell r="L216">
            <v>1680.0000000000002</v>
          </cell>
          <cell r="M216">
            <v>1680.0000000000002</v>
          </cell>
          <cell r="N216">
            <v>1680.0000000000002</v>
          </cell>
          <cell r="O216">
            <v>1680.0000000000002</v>
          </cell>
          <cell r="P216">
            <v>1680.0000000000002</v>
          </cell>
          <cell r="Q216">
            <v>1680.0000000000002</v>
          </cell>
          <cell r="R216">
            <v>1680.0000000000002</v>
          </cell>
          <cell r="S216">
            <v>1680.0000000000002</v>
          </cell>
          <cell r="T216">
            <v>1680.0000000000002</v>
          </cell>
          <cell r="U216">
            <v>1680.0000000000002</v>
          </cell>
          <cell r="V216">
            <v>1680.0000000000002</v>
          </cell>
          <cell r="W216">
            <v>1680.0000000000002</v>
          </cell>
          <cell r="X216">
            <v>1680.0000000000002</v>
          </cell>
          <cell r="Y216">
            <v>1680.0000000000002</v>
          </cell>
          <cell r="Z216">
            <v>1680.0000000000002</v>
          </cell>
          <cell r="AA216">
            <v>1680.0000000000002</v>
          </cell>
          <cell r="AB216">
            <v>1680.0000000000002</v>
          </cell>
          <cell r="AC216">
            <v>1680.0000000000002</v>
          </cell>
          <cell r="AD216">
            <v>1680.0000000000002</v>
          </cell>
          <cell r="AE216">
            <v>1680.0000000000002</v>
          </cell>
          <cell r="AF216">
            <v>1680.0000000000002</v>
          </cell>
          <cell r="AG216">
            <v>1680.0000000000002</v>
          </cell>
          <cell r="AH216">
            <v>1680.0000000000002</v>
          </cell>
          <cell r="AI216">
            <v>1680.0000000000002</v>
          </cell>
          <cell r="AJ216">
            <v>1680.0000000000002</v>
          </cell>
          <cell r="AK216">
            <v>1680.0000000000002</v>
          </cell>
          <cell r="AL216">
            <v>1680.0000000000002</v>
          </cell>
          <cell r="AV216">
            <v>1680.0000000000002</v>
          </cell>
          <cell r="AW216">
            <v>1680.0000000000002</v>
          </cell>
          <cell r="AX216">
            <v>1680.0000000000002</v>
          </cell>
        </row>
        <row r="217">
          <cell r="A217" t="str">
            <v>Pro-forma ROE Calculation</v>
          </cell>
        </row>
        <row r="218">
          <cell r="F218" t="str">
            <v>Equity</v>
          </cell>
          <cell r="G218">
            <v>500</v>
          </cell>
          <cell r="H218" t="str">
            <v>Yrs</v>
          </cell>
          <cell r="J218" t="str">
            <v>Debt</v>
          </cell>
        </row>
        <row r="219">
          <cell r="F219" t="str">
            <v>Debt</v>
          </cell>
          <cell r="G219">
            <v>1166.6666666666667</v>
          </cell>
          <cell r="H219" t="str">
            <v>Plant Life</v>
          </cell>
          <cell r="I219">
            <v>25</v>
          </cell>
          <cell r="J219" t="str">
            <v>Repayment</v>
          </cell>
          <cell r="K219">
            <v>15</v>
          </cell>
        </row>
        <row r="220">
          <cell r="F220" t="str">
            <v>F. Asset</v>
          </cell>
          <cell r="G220">
            <v>1666.6666666666667</v>
          </cell>
          <cell r="H220" t="str">
            <v>Tax Rate</v>
          </cell>
          <cell r="I220">
            <v>0.33660000000000001</v>
          </cell>
          <cell r="J220" t="str">
            <v>Cost</v>
          </cell>
          <cell r="K220">
            <v>0.09</v>
          </cell>
        </row>
        <row r="221">
          <cell r="H221" t="str">
            <v>Build-up Phase</v>
          </cell>
          <cell r="K221" t="str">
            <v>Commercial Commissioning</v>
          </cell>
        </row>
        <row r="222">
          <cell r="A222" t="str">
            <v>Year</v>
          </cell>
          <cell r="H222">
            <v>-2</v>
          </cell>
          <cell r="I222">
            <v>-1</v>
          </cell>
          <cell r="J222">
            <v>0</v>
          </cell>
          <cell r="K222">
            <v>1</v>
          </cell>
          <cell r="L222">
            <v>2</v>
          </cell>
          <cell r="M222">
            <v>3</v>
          </cell>
          <cell r="N222">
            <v>4</v>
          </cell>
          <cell r="O222">
            <v>5</v>
          </cell>
          <cell r="P222">
            <v>6</v>
          </cell>
          <cell r="Q222">
            <v>7</v>
          </cell>
          <cell r="R222">
            <v>8</v>
          </cell>
          <cell r="S222">
            <v>9</v>
          </cell>
          <cell r="T222">
            <v>10</v>
          </cell>
          <cell r="U222">
            <v>11</v>
          </cell>
          <cell r="V222">
            <v>12</v>
          </cell>
          <cell r="W222">
            <v>13</v>
          </cell>
          <cell r="X222">
            <v>14</v>
          </cell>
          <cell r="Y222">
            <v>15</v>
          </cell>
          <cell r="Z222">
            <v>16</v>
          </cell>
          <cell r="AA222">
            <v>17</v>
          </cell>
          <cell r="AB222">
            <v>18</v>
          </cell>
          <cell r="AC222">
            <v>19</v>
          </cell>
          <cell r="AD222">
            <v>20</v>
          </cell>
          <cell r="AE222">
            <v>21</v>
          </cell>
          <cell r="AF222">
            <v>22</v>
          </cell>
          <cell r="AG222">
            <v>23</v>
          </cell>
          <cell r="AH222">
            <v>24</v>
          </cell>
          <cell r="AI222">
            <v>25</v>
          </cell>
          <cell r="AJ222">
            <v>26</v>
          </cell>
          <cell r="AK222">
            <v>27</v>
          </cell>
          <cell r="AL222">
            <v>28</v>
          </cell>
          <cell r="AM222">
            <v>29</v>
          </cell>
          <cell r="AN222">
            <v>30</v>
          </cell>
          <cell r="AO222">
            <v>31</v>
          </cell>
          <cell r="AP222">
            <v>32</v>
          </cell>
          <cell r="AQ222">
            <v>33</v>
          </cell>
          <cell r="AR222">
            <v>34</v>
          </cell>
          <cell r="AS222">
            <v>35</v>
          </cell>
        </row>
        <row r="223">
          <cell r="A223" t="str">
            <v>NFA</v>
          </cell>
          <cell r="K223">
            <v>1600</v>
          </cell>
          <cell r="L223">
            <v>1533.3333333333333</v>
          </cell>
          <cell r="M223">
            <v>1466.6666666666665</v>
          </cell>
          <cell r="N223">
            <v>1399.9999999999998</v>
          </cell>
          <cell r="O223">
            <v>1333.333333333333</v>
          </cell>
          <cell r="P223">
            <v>1266.6666666666663</v>
          </cell>
          <cell r="Q223">
            <v>1199.9999999999995</v>
          </cell>
          <cell r="R223">
            <v>1133.3333333333328</v>
          </cell>
          <cell r="S223">
            <v>1066.6666666666661</v>
          </cell>
          <cell r="T223">
            <v>999.99999999999943</v>
          </cell>
          <cell r="U223">
            <v>933.3333333333328</v>
          </cell>
          <cell r="V223">
            <v>866.66666666666617</v>
          </cell>
          <cell r="W223">
            <v>799.99999999999955</v>
          </cell>
          <cell r="X223">
            <v>733.33333333333292</v>
          </cell>
          <cell r="Y223">
            <v>666.66666666666629</v>
          </cell>
          <cell r="Z223">
            <v>599.99999999999966</v>
          </cell>
          <cell r="AA223">
            <v>533.33333333333303</v>
          </cell>
          <cell r="AB223">
            <v>466.66666666666634</v>
          </cell>
          <cell r="AC223">
            <v>399.99999999999966</v>
          </cell>
          <cell r="AD223">
            <v>333.33333333333297</v>
          </cell>
          <cell r="AE223">
            <v>266.66666666666629</v>
          </cell>
          <cell r="AF223">
            <v>199.9999999999996</v>
          </cell>
          <cell r="AG223">
            <v>133.33333333333292</v>
          </cell>
          <cell r="AH223">
            <v>66.666666666666245</v>
          </cell>
          <cell r="AI223">
            <v>-4.2632564145606011E-13</v>
          </cell>
          <cell r="AJ223">
            <v>-4.2632564145606011E-13</v>
          </cell>
          <cell r="AK223">
            <v>-4.2632564145606011E-13</v>
          </cell>
          <cell r="AL223">
            <v>-4.2632564145606011E-13</v>
          </cell>
          <cell r="AM223">
            <v>-4.2632564145606011E-13</v>
          </cell>
          <cell r="AN223">
            <v>-4.2632564145606011E-13</v>
          </cell>
          <cell r="AO223">
            <v>-4.2632564145606011E-13</v>
          </cell>
          <cell r="AP223">
            <v>-4.2632564145606011E-13</v>
          </cell>
          <cell r="AQ223">
            <v>-4.2632564145606011E-13</v>
          </cell>
          <cell r="AR223">
            <v>-4.2632564145606011E-13</v>
          </cell>
          <cell r="AS223">
            <v>-4.2632564145606011E-13</v>
          </cell>
        </row>
        <row r="224">
          <cell r="A224" t="str">
            <v xml:space="preserve">NW less cash </v>
          </cell>
          <cell r="H224">
            <v>100</v>
          </cell>
          <cell r="I224">
            <v>150</v>
          </cell>
          <cell r="J224">
            <v>250</v>
          </cell>
          <cell r="K224">
            <v>511.11111111111109</v>
          </cell>
          <cell r="L224">
            <v>522.22222222222217</v>
          </cell>
          <cell r="M224">
            <v>533.33333333333326</v>
          </cell>
          <cell r="N224">
            <v>544.44444444444434</v>
          </cell>
          <cell r="O224">
            <v>555.55555555555543</v>
          </cell>
          <cell r="P224">
            <v>566.66666666666652</v>
          </cell>
          <cell r="Q224">
            <v>577.7777777777776</v>
          </cell>
          <cell r="R224">
            <v>588.88888888888869</v>
          </cell>
          <cell r="S224">
            <v>599.99999999999977</v>
          </cell>
          <cell r="T224">
            <v>611.11111111111086</v>
          </cell>
          <cell r="U224">
            <v>622.22222222222194</v>
          </cell>
          <cell r="V224">
            <v>633.33333333333314</v>
          </cell>
          <cell r="W224">
            <v>644.44444444444434</v>
          </cell>
          <cell r="X224">
            <v>655.55555555555543</v>
          </cell>
          <cell r="Y224">
            <v>666.66666666666663</v>
          </cell>
          <cell r="Z224">
            <v>600</v>
          </cell>
          <cell r="AA224">
            <v>533.33333333333303</v>
          </cell>
          <cell r="AB224">
            <v>466.66666666666634</v>
          </cell>
          <cell r="AC224">
            <v>399.99999999999966</v>
          </cell>
          <cell r="AD224">
            <v>333.33333333333297</v>
          </cell>
          <cell r="AE224">
            <v>266.66666666666629</v>
          </cell>
          <cell r="AF224">
            <v>199.9999999999996</v>
          </cell>
          <cell r="AG224">
            <v>133.33333333333292</v>
          </cell>
          <cell r="AH224">
            <v>66.666666666666245</v>
          </cell>
          <cell r="AI224">
            <v>-4.2632564145606011E-13</v>
          </cell>
          <cell r="AJ224">
            <v>-4.2632564145606011E-13</v>
          </cell>
          <cell r="AK224">
            <v>-4.2632564145606011E-13</v>
          </cell>
          <cell r="AL224">
            <v>-4.2632564145606011E-13</v>
          </cell>
          <cell r="AM224">
            <v>-4.2632564145606011E-13</v>
          </cell>
          <cell r="AN224">
            <v>-4.2632564145606011E-13</v>
          </cell>
          <cell r="AO224">
            <v>-4.2632564145606011E-13</v>
          </cell>
          <cell r="AP224">
            <v>-4.2632564145606011E-13</v>
          </cell>
          <cell r="AQ224">
            <v>-4.2632564145606011E-13</v>
          </cell>
          <cell r="AR224">
            <v>-4.2632564145606011E-13</v>
          </cell>
          <cell r="AS224">
            <v>-4.2632564145606011E-13</v>
          </cell>
        </row>
        <row r="225">
          <cell r="A225" t="str">
            <v xml:space="preserve">Equity for Regulated Return </v>
          </cell>
          <cell r="K225">
            <v>500</v>
          </cell>
          <cell r="L225">
            <v>500</v>
          </cell>
          <cell r="M225">
            <v>500</v>
          </cell>
          <cell r="N225">
            <v>500</v>
          </cell>
          <cell r="O225">
            <v>500</v>
          </cell>
          <cell r="P225">
            <v>500</v>
          </cell>
          <cell r="Q225">
            <v>500</v>
          </cell>
          <cell r="R225">
            <v>500</v>
          </cell>
          <cell r="S225">
            <v>500</v>
          </cell>
          <cell r="T225">
            <v>500</v>
          </cell>
          <cell r="U225">
            <v>500</v>
          </cell>
          <cell r="V225">
            <v>500</v>
          </cell>
          <cell r="W225">
            <v>500</v>
          </cell>
          <cell r="X225">
            <v>500</v>
          </cell>
          <cell r="Y225">
            <v>500</v>
          </cell>
          <cell r="Z225">
            <v>500</v>
          </cell>
          <cell r="AA225">
            <v>500</v>
          </cell>
          <cell r="AB225">
            <v>500</v>
          </cell>
          <cell r="AC225">
            <v>500</v>
          </cell>
          <cell r="AD225">
            <v>500</v>
          </cell>
          <cell r="AE225">
            <v>500</v>
          </cell>
          <cell r="AF225">
            <v>500</v>
          </cell>
          <cell r="AG225">
            <v>500</v>
          </cell>
          <cell r="AH225">
            <v>500</v>
          </cell>
          <cell r="AI225">
            <v>500</v>
          </cell>
          <cell r="AJ225">
            <v>500</v>
          </cell>
          <cell r="AK225">
            <v>500</v>
          </cell>
          <cell r="AL225">
            <v>500</v>
          </cell>
          <cell r="AM225">
            <v>500</v>
          </cell>
          <cell r="AN225">
            <v>500</v>
          </cell>
          <cell r="AO225">
            <v>500</v>
          </cell>
          <cell r="AP225">
            <v>500</v>
          </cell>
          <cell r="AQ225">
            <v>500</v>
          </cell>
          <cell r="AR225">
            <v>500</v>
          </cell>
          <cell r="AS225">
            <v>500</v>
          </cell>
          <cell r="BA225" t="str">
            <v>NW</v>
          </cell>
        </row>
        <row r="226">
          <cell r="A226" t="str">
            <v>Regulated return</v>
          </cell>
          <cell r="K226">
            <v>0.14000000000000001</v>
          </cell>
          <cell r="L226">
            <v>0.14000000000000001</v>
          </cell>
          <cell r="M226">
            <v>0.14000000000000001</v>
          </cell>
          <cell r="N226">
            <v>0.14000000000000001</v>
          </cell>
          <cell r="O226">
            <v>0.14000000000000001</v>
          </cell>
          <cell r="P226">
            <v>0.14000000000000001</v>
          </cell>
          <cell r="Q226">
            <v>0.14000000000000001</v>
          </cell>
          <cell r="R226">
            <v>0.14000000000000001</v>
          </cell>
          <cell r="S226">
            <v>0.14000000000000001</v>
          </cell>
          <cell r="T226">
            <v>0.14000000000000001</v>
          </cell>
          <cell r="U226">
            <v>0.14000000000000001</v>
          </cell>
          <cell r="V226">
            <v>0.14000000000000001</v>
          </cell>
          <cell r="W226">
            <v>0.14000000000000001</v>
          </cell>
          <cell r="X226">
            <v>0.14000000000000001</v>
          </cell>
          <cell r="Y226">
            <v>0.14000000000000001</v>
          </cell>
          <cell r="Z226">
            <v>0.14000000000000001</v>
          </cell>
          <cell r="AA226">
            <v>0.14000000000000001</v>
          </cell>
          <cell r="AB226">
            <v>0.14000000000000001</v>
          </cell>
          <cell r="AC226">
            <v>0.14000000000000001</v>
          </cell>
          <cell r="AD226">
            <v>0.14000000000000001</v>
          </cell>
          <cell r="AE226">
            <v>0.14000000000000001</v>
          </cell>
          <cell r="AF226">
            <v>0.14000000000000001</v>
          </cell>
          <cell r="AG226">
            <v>0.14000000000000001</v>
          </cell>
          <cell r="AH226">
            <v>0.14000000000000001</v>
          </cell>
          <cell r="AI226">
            <v>0.14000000000000001</v>
          </cell>
          <cell r="AJ226">
            <v>0.14000000000000001</v>
          </cell>
          <cell r="AK226">
            <v>0.14000000000000001</v>
          </cell>
          <cell r="AL226">
            <v>0.14000000000000001</v>
          </cell>
          <cell r="AM226">
            <v>0.14000000000000001</v>
          </cell>
          <cell r="AN226">
            <v>0.14000000000000001</v>
          </cell>
          <cell r="AO226">
            <v>0.14000000000000001</v>
          </cell>
          <cell r="AP226">
            <v>0.14000000000000001</v>
          </cell>
          <cell r="AQ226">
            <v>0.14000000000000001</v>
          </cell>
          <cell r="AR226">
            <v>0.14000000000000001</v>
          </cell>
          <cell r="AS226">
            <v>0.14000000000000001</v>
          </cell>
        </row>
        <row r="227">
          <cell r="A227" t="str">
            <v>Incentives (excl. Int. on Loan). Net of addl. Dep</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cell r="AP227" t="e">
            <v>#REF!</v>
          </cell>
          <cell r="AQ227" t="e">
            <v>#REF!</v>
          </cell>
          <cell r="AR227" t="e">
            <v>#REF!</v>
          </cell>
          <cell r="AS227" t="e">
            <v>#REF!</v>
          </cell>
        </row>
        <row r="228">
          <cell r="A228" t="str">
            <v>PAT</v>
          </cell>
          <cell r="H228">
            <v>0</v>
          </cell>
          <cell r="I228">
            <v>0</v>
          </cell>
          <cell r="J228">
            <v>0</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cell r="AP228" t="e">
            <v>#REF!</v>
          </cell>
          <cell r="AQ228" t="e">
            <v>#REF!</v>
          </cell>
          <cell r="AR228" t="e">
            <v>#REF!</v>
          </cell>
          <cell r="AS228" t="e">
            <v>#REF!</v>
          </cell>
          <cell r="BA228" t="e">
            <v>#REF!</v>
          </cell>
        </row>
        <row r="229">
          <cell r="A229" t="str">
            <v>Depreciation</v>
          </cell>
          <cell r="K229">
            <v>66.666666666666671</v>
          </cell>
          <cell r="L229">
            <v>66.666666666666671</v>
          </cell>
          <cell r="M229">
            <v>66.666666666666671</v>
          </cell>
          <cell r="N229">
            <v>66.666666666666671</v>
          </cell>
          <cell r="O229">
            <v>66.666666666666671</v>
          </cell>
          <cell r="P229">
            <v>66.666666666666671</v>
          </cell>
          <cell r="Q229">
            <v>66.666666666666671</v>
          </cell>
          <cell r="R229">
            <v>66.666666666666671</v>
          </cell>
          <cell r="S229">
            <v>66.666666666666671</v>
          </cell>
          <cell r="T229">
            <v>66.666666666666671</v>
          </cell>
          <cell r="U229">
            <v>66.666666666666671</v>
          </cell>
          <cell r="V229">
            <v>66.666666666666671</v>
          </cell>
          <cell r="W229">
            <v>66.666666666666671</v>
          </cell>
          <cell r="X229">
            <v>66.666666666666671</v>
          </cell>
          <cell r="Y229">
            <v>66.666666666666671</v>
          </cell>
          <cell r="Z229">
            <v>66.666666666666671</v>
          </cell>
          <cell r="AA229">
            <v>66.666666666666671</v>
          </cell>
          <cell r="AB229">
            <v>66.666666666666671</v>
          </cell>
          <cell r="AC229">
            <v>66.666666666666671</v>
          </cell>
          <cell r="AD229">
            <v>66.666666666666671</v>
          </cell>
          <cell r="AE229">
            <v>66.666666666666671</v>
          </cell>
          <cell r="AF229">
            <v>66.666666666666671</v>
          </cell>
          <cell r="AG229">
            <v>66.666666666666671</v>
          </cell>
          <cell r="AH229">
            <v>66.666666666666671</v>
          </cell>
          <cell r="AI229">
            <v>66.666666666666671</v>
          </cell>
          <cell r="AJ229">
            <v>0</v>
          </cell>
          <cell r="AK229">
            <v>0</v>
          </cell>
          <cell r="AL229">
            <v>0</v>
          </cell>
          <cell r="AM229">
            <v>0</v>
          </cell>
          <cell r="AN229">
            <v>0</v>
          </cell>
          <cell r="AO229">
            <v>0</v>
          </cell>
          <cell r="AP229">
            <v>0</v>
          </cell>
          <cell r="AQ229">
            <v>0</v>
          </cell>
          <cell r="AR229">
            <v>0</v>
          </cell>
          <cell r="AS229">
            <v>0</v>
          </cell>
          <cell r="BA229">
            <v>1666.6666666666672</v>
          </cell>
          <cell r="BB229">
            <v>1677.7777777777778</v>
          </cell>
        </row>
        <row r="230">
          <cell r="A230" t="str">
            <v>Cash flow</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cell r="AP230" t="e">
            <v>#REF!</v>
          </cell>
          <cell r="AQ230" t="e">
            <v>#REF!</v>
          </cell>
          <cell r="AR230" t="e">
            <v>#REF!</v>
          </cell>
          <cell r="AS230" t="e">
            <v>#REF!</v>
          </cell>
          <cell r="BA230" t="e">
            <v>#REF!</v>
          </cell>
        </row>
        <row r="232">
          <cell r="A232" t="str">
            <v>Dividend payout</v>
          </cell>
          <cell r="K232">
            <v>0.3</v>
          </cell>
          <cell r="L232">
            <v>0.3</v>
          </cell>
          <cell r="M232">
            <v>0.3</v>
          </cell>
          <cell r="N232">
            <v>0.3</v>
          </cell>
          <cell r="O232">
            <v>0.3</v>
          </cell>
          <cell r="P232">
            <v>0.3</v>
          </cell>
          <cell r="Q232">
            <v>0.3</v>
          </cell>
          <cell r="R232">
            <v>0.3</v>
          </cell>
          <cell r="S232">
            <v>0.3</v>
          </cell>
          <cell r="T232">
            <v>0.3</v>
          </cell>
          <cell r="U232">
            <v>0.3</v>
          </cell>
          <cell r="V232">
            <v>0.3</v>
          </cell>
          <cell r="W232">
            <v>0.3</v>
          </cell>
          <cell r="X232">
            <v>0.3</v>
          </cell>
          <cell r="Y232">
            <v>0.3</v>
          </cell>
          <cell r="Z232">
            <v>0.3</v>
          </cell>
          <cell r="AA232">
            <v>0.3</v>
          </cell>
          <cell r="AB232">
            <v>0.3</v>
          </cell>
          <cell r="AC232">
            <v>0.3</v>
          </cell>
          <cell r="AD232">
            <v>0.3</v>
          </cell>
          <cell r="AE232">
            <v>0.3</v>
          </cell>
          <cell r="AF232">
            <v>0.3</v>
          </cell>
          <cell r="AG232">
            <v>0.3</v>
          </cell>
          <cell r="AH232">
            <v>0.3</v>
          </cell>
          <cell r="AI232">
            <v>0.3</v>
          </cell>
          <cell r="AJ232">
            <v>0</v>
          </cell>
          <cell r="AK232">
            <v>0</v>
          </cell>
          <cell r="AL232">
            <v>0</v>
          </cell>
          <cell r="AM232">
            <v>0</v>
          </cell>
          <cell r="AN232">
            <v>0</v>
          </cell>
          <cell r="AO232">
            <v>0</v>
          </cell>
          <cell r="AP232">
            <v>0</v>
          </cell>
          <cell r="AQ232">
            <v>0</v>
          </cell>
          <cell r="AR232">
            <v>0</v>
          </cell>
          <cell r="AS232">
            <v>0</v>
          </cell>
        </row>
        <row r="233">
          <cell r="A233" t="str">
            <v>Dividend Amount</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cell r="AP233" t="e">
            <v>#REF!</v>
          </cell>
          <cell r="AQ233" t="e">
            <v>#REF!</v>
          </cell>
          <cell r="AR233" t="e">
            <v>#REF!</v>
          </cell>
          <cell r="AS233" t="e">
            <v>#REF!</v>
          </cell>
        </row>
        <row r="234">
          <cell r="A234" t="str">
            <v>Cash after payout</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cell r="AP234" t="e">
            <v>#REF!</v>
          </cell>
          <cell r="AQ234" t="e">
            <v>#REF!</v>
          </cell>
          <cell r="AR234" t="e">
            <v>#REF!</v>
          </cell>
          <cell r="AS234" t="e">
            <v>#REF!</v>
          </cell>
        </row>
        <row r="236">
          <cell r="A236" t="str">
            <v xml:space="preserve">Debt </v>
          </cell>
          <cell r="K236">
            <v>1166.6666666666667</v>
          </cell>
          <cell r="L236">
            <v>1088.8888888888889</v>
          </cell>
          <cell r="M236">
            <v>1011.1111111111111</v>
          </cell>
          <cell r="N236">
            <v>933.33333333333326</v>
          </cell>
          <cell r="O236">
            <v>855.55555555555543</v>
          </cell>
          <cell r="P236">
            <v>777.7777777777776</v>
          </cell>
          <cell r="Q236">
            <v>699.99999999999977</v>
          </cell>
          <cell r="R236">
            <v>622.22222222222194</v>
          </cell>
          <cell r="S236">
            <v>544.44444444444412</v>
          </cell>
          <cell r="T236">
            <v>466.66666666666634</v>
          </cell>
          <cell r="U236">
            <v>388.88888888888857</v>
          </cell>
          <cell r="V236">
            <v>311.1111111111108</v>
          </cell>
          <cell r="W236">
            <v>233.33333333333303</v>
          </cell>
          <cell r="X236">
            <v>155.55555555555526</v>
          </cell>
          <cell r="Y236">
            <v>77.777777777777473</v>
          </cell>
          <cell r="Z236">
            <v>-3.1263880373444408E-13</v>
          </cell>
        </row>
        <row r="237">
          <cell r="A237" t="str">
            <v>Debt repayment</v>
          </cell>
          <cell r="K237">
            <v>77.777777777777786</v>
          </cell>
          <cell r="L237">
            <v>77.777777777777786</v>
          </cell>
          <cell r="M237">
            <v>77.777777777777786</v>
          </cell>
          <cell r="N237">
            <v>77.777777777777786</v>
          </cell>
          <cell r="O237">
            <v>77.777777777777786</v>
          </cell>
          <cell r="P237">
            <v>77.777777777777786</v>
          </cell>
          <cell r="Q237">
            <v>77.777777777777786</v>
          </cell>
          <cell r="R237">
            <v>77.777777777777786</v>
          </cell>
          <cell r="S237">
            <v>77.777777777777786</v>
          </cell>
          <cell r="T237">
            <v>77.777777777777786</v>
          </cell>
          <cell r="U237">
            <v>77.777777777777786</v>
          </cell>
          <cell r="V237">
            <v>77.777777777777786</v>
          </cell>
          <cell r="W237">
            <v>77.777777777777786</v>
          </cell>
          <cell r="X237">
            <v>77.777777777777786</v>
          </cell>
          <cell r="Y237">
            <v>77.777777777777786</v>
          </cell>
          <cell r="Z237">
            <v>0</v>
          </cell>
          <cell r="AW237">
            <v>500</v>
          </cell>
          <cell r="AX237">
            <v>500</v>
          </cell>
          <cell r="AY237">
            <v>500</v>
          </cell>
          <cell r="AZ237">
            <v>500</v>
          </cell>
          <cell r="BA237">
            <v>500</v>
          </cell>
          <cell r="BB237">
            <v>500</v>
          </cell>
          <cell r="BC237">
            <v>500</v>
          </cell>
          <cell r="BD237">
            <v>500</v>
          </cell>
          <cell r="BE237">
            <v>500</v>
          </cell>
          <cell r="BF237">
            <v>500</v>
          </cell>
        </row>
        <row r="238">
          <cell r="K238">
            <v>1088.8888888888889</v>
          </cell>
          <cell r="L238">
            <v>1011.1111111111111</v>
          </cell>
          <cell r="M238">
            <v>933.33333333333326</v>
          </cell>
          <cell r="N238">
            <v>855.55555555555543</v>
          </cell>
          <cell r="O238">
            <v>777.7777777777776</v>
          </cell>
          <cell r="P238">
            <v>699.99999999999977</v>
          </cell>
          <cell r="Q238">
            <v>622.22222222222194</v>
          </cell>
          <cell r="R238">
            <v>544.44444444444412</v>
          </cell>
          <cell r="S238">
            <v>466.66666666666634</v>
          </cell>
          <cell r="T238">
            <v>388.88888888888857</v>
          </cell>
          <cell r="U238">
            <v>311.1111111111108</v>
          </cell>
          <cell r="V238">
            <v>233.33333333333303</v>
          </cell>
          <cell r="W238">
            <v>155.55555555555526</v>
          </cell>
          <cell r="X238">
            <v>77.777777777777473</v>
          </cell>
          <cell r="Y238">
            <v>-3.1263880373444408E-13</v>
          </cell>
          <cell r="Z238">
            <v>-3.1263880373444408E-13</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V238" t="str">
            <v>PAT</v>
          </cell>
          <cell r="AW238">
            <v>70</v>
          </cell>
          <cell r="AX238">
            <v>70</v>
          </cell>
          <cell r="AY238">
            <v>70</v>
          </cell>
          <cell r="AZ238">
            <v>70</v>
          </cell>
          <cell r="BA238">
            <v>70</v>
          </cell>
          <cell r="BB238">
            <v>70</v>
          </cell>
          <cell r="BC238">
            <v>70</v>
          </cell>
          <cell r="BD238">
            <v>70</v>
          </cell>
          <cell r="BE238">
            <v>70</v>
          </cell>
          <cell r="BF238">
            <v>70</v>
          </cell>
        </row>
        <row r="239">
          <cell r="A239" t="str">
            <v>Cum cash on hand after Tax Repayment</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cell r="AP239" t="e">
            <v>#REF!</v>
          </cell>
          <cell r="AQ239" t="e">
            <v>#REF!</v>
          </cell>
          <cell r="AR239" t="e">
            <v>#REF!</v>
          </cell>
          <cell r="AS239" t="e">
            <v>#REF!</v>
          </cell>
          <cell r="AV239" t="str">
            <v>Dep</v>
          </cell>
          <cell r="AW239">
            <v>19</v>
          </cell>
          <cell r="AX239">
            <v>19</v>
          </cell>
          <cell r="AY239">
            <v>19</v>
          </cell>
          <cell r="AZ239">
            <v>19</v>
          </cell>
          <cell r="BA239">
            <v>19</v>
          </cell>
          <cell r="BB239">
            <v>19</v>
          </cell>
          <cell r="BC239">
            <v>19</v>
          </cell>
          <cell r="BD239">
            <v>19</v>
          </cell>
          <cell r="BE239">
            <v>19</v>
          </cell>
          <cell r="BF239">
            <v>19</v>
          </cell>
          <cell r="BG239">
            <v>19</v>
          </cell>
          <cell r="BH239">
            <v>19</v>
          </cell>
          <cell r="BI239">
            <v>19</v>
          </cell>
          <cell r="BJ239">
            <v>19</v>
          </cell>
          <cell r="BK239">
            <v>19</v>
          </cell>
          <cell r="BL239">
            <v>19</v>
          </cell>
          <cell r="BM239">
            <v>19</v>
          </cell>
        </row>
        <row r="240">
          <cell r="A240" t="str">
            <v>Net worth on books</v>
          </cell>
          <cell r="H240">
            <v>100</v>
          </cell>
          <cell r="I240">
            <v>150</v>
          </cell>
          <cell r="J240">
            <v>250</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cell r="AP240" t="e">
            <v>#REF!</v>
          </cell>
          <cell r="AQ240" t="e">
            <v>#REF!</v>
          </cell>
          <cell r="AR240" t="e">
            <v>#REF!</v>
          </cell>
          <cell r="AS240" t="e">
            <v>#REF!</v>
          </cell>
          <cell r="AV240" t="str">
            <v>Cashlfow</v>
          </cell>
          <cell r="AW240">
            <v>89</v>
          </cell>
          <cell r="AX240">
            <v>89</v>
          </cell>
          <cell r="AY240">
            <v>89</v>
          </cell>
          <cell r="AZ240">
            <v>89</v>
          </cell>
          <cell r="BA240">
            <v>89</v>
          </cell>
          <cell r="BB240">
            <v>89</v>
          </cell>
          <cell r="BC240">
            <v>89</v>
          </cell>
          <cell r="BD240">
            <v>89</v>
          </cell>
          <cell r="BE240">
            <v>89</v>
          </cell>
          <cell r="BF240">
            <v>89</v>
          </cell>
        </row>
        <row r="241">
          <cell r="A241" t="str">
            <v xml:space="preserve">NW less cash </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cell r="AP241" t="e">
            <v>#REF!</v>
          </cell>
          <cell r="AQ241" t="e">
            <v>#REF!</v>
          </cell>
          <cell r="AR241" t="e">
            <v>#REF!</v>
          </cell>
          <cell r="AS241" t="e">
            <v>#REF!</v>
          </cell>
        </row>
        <row r="243">
          <cell r="AV243" t="str">
            <v>NW</v>
          </cell>
          <cell r="AW243">
            <v>570</v>
          </cell>
          <cell r="AX243">
            <v>640</v>
          </cell>
          <cell r="AY243">
            <v>710</v>
          </cell>
          <cell r="AZ243">
            <v>780</v>
          </cell>
          <cell r="BA243">
            <v>850</v>
          </cell>
          <cell r="BB243">
            <v>920</v>
          </cell>
          <cell r="BC243">
            <v>990</v>
          </cell>
          <cell r="BD243">
            <v>1060</v>
          </cell>
          <cell r="BE243">
            <v>1130</v>
          </cell>
          <cell r="BF243">
            <v>1200</v>
          </cell>
        </row>
        <row r="244">
          <cell r="A244" t="str">
            <v>Regualtory asset</v>
          </cell>
          <cell r="K244">
            <v>500</v>
          </cell>
          <cell r="L244">
            <v>500</v>
          </cell>
          <cell r="M244">
            <v>499.99999999999994</v>
          </cell>
          <cell r="N244">
            <v>499.99999999999994</v>
          </cell>
          <cell r="O244">
            <v>499.99999999999994</v>
          </cell>
          <cell r="P244">
            <v>499.99999999999994</v>
          </cell>
          <cell r="Q244">
            <v>499.99999999999994</v>
          </cell>
          <cell r="R244">
            <v>499.99999999999994</v>
          </cell>
          <cell r="S244">
            <v>499.99999999999994</v>
          </cell>
          <cell r="T244">
            <v>499.99999999999994</v>
          </cell>
          <cell r="U244">
            <v>499.99999999999994</v>
          </cell>
          <cell r="V244">
            <v>499.99999999999994</v>
          </cell>
          <cell r="W244">
            <v>499.99999999999994</v>
          </cell>
          <cell r="X244">
            <v>499.99999999999994</v>
          </cell>
          <cell r="Y244">
            <v>499.99999999999994</v>
          </cell>
          <cell r="Z244">
            <v>499.99999999999994</v>
          </cell>
          <cell r="AA244">
            <v>499.99999999999994</v>
          </cell>
          <cell r="AB244">
            <v>499.99999999999994</v>
          </cell>
          <cell r="AC244">
            <v>499.99999999999994</v>
          </cell>
          <cell r="AD244">
            <v>499.99999999999994</v>
          </cell>
          <cell r="AE244">
            <v>499.99999999999994</v>
          </cell>
          <cell r="AF244">
            <v>499.99999999999994</v>
          </cell>
          <cell r="AG244">
            <v>499.99999999999994</v>
          </cell>
          <cell r="AH244">
            <v>499.99999999999994</v>
          </cell>
          <cell r="AI244">
            <v>499.99999999999994</v>
          </cell>
          <cell r="AJ244">
            <v>499.99999999999994</v>
          </cell>
          <cell r="AK244">
            <v>499.99999999999994</v>
          </cell>
          <cell r="AL244">
            <v>499.99999999999994</v>
          </cell>
          <cell r="AM244">
            <v>499.99999999999994</v>
          </cell>
          <cell r="AN244">
            <v>499.99999999999994</v>
          </cell>
          <cell r="AO244">
            <v>499.99999999999994</v>
          </cell>
          <cell r="AP244">
            <v>499.99999999999994</v>
          </cell>
          <cell r="AQ244">
            <v>499.99999999999994</v>
          </cell>
          <cell r="AR244">
            <v>499.99999999999994</v>
          </cell>
          <cell r="AS244">
            <v>499.99999999999994</v>
          </cell>
          <cell r="AV244" t="str">
            <v>Cash</v>
          </cell>
          <cell r="AW244">
            <v>89</v>
          </cell>
          <cell r="AX244">
            <v>178</v>
          </cell>
          <cell r="AY244">
            <v>267</v>
          </cell>
          <cell r="AZ244">
            <v>356</v>
          </cell>
          <cell r="BA244">
            <v>445</v>
          </cell>
          <cell r="BB244">
            <v>534</v>
          </cell>
          <cell r="BC244">
            <v>623</v>
          </cell>
          <cell r="BD244">
            <v>712</v>
          </cell>
          <cell r="BE244">
            <v>801</v>
          </cell>
          <cell r="BF244">
            <v>890</v>
          </cell>
        </row>
        <row r="245">
          <cell r="A245" t="str">
            <v>Interest</v>
          </cell>
          <cell r="K245">
            <v>105</v>
          </cell>
          <cell r="L245">
            <v>98</v>
          </cell>
          <cell r="M245">
            <v>91</v>
          </cell>
          <cell r="N245">
            <v>83.999999999999986</v>
          </cell>
          <cell r="O245">
            <v>76.999999999999986</v>
          </cell>
          <cell r="P245">
            <v>69.999999999999986</v>
          </cell>
          <cell r="Q245">
            <v>62.999999999999979</v>
          </cell>
          <cell r="R245">
            <v>55.999999999999972</v>
          </cell>
          <cell r="S245">
            <v>48.999999999999972</v>
          </cell>
          <cell r="T245">
            <v>41.999999999999972</v>
          </cell>
          <cell r="U245">
            <v>34.999999999999972</v>
          </cell>
          <cell r="V245">
            <v>27.999999999999972</v>
          </cell>
          <cell r="W245">
            <v>20.999999999999972</v>
          </cell>
          <cell r="X245">
            <v>13.999999999999973</v>
          </cell>
          <cell r="Y245">
            <v>6.9999999999999725</v>
          </cell>
          <cell r="Z245">
            <v>-2.8137492336099967E-14</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V245" t="str">
            <v>NW less cash</v>
          </cell>
          <cell r="AW245">
            <v>481</v>
          </cell>
          <cell r="AX245">
            <v>462</v>
          </cell>
          <cell r="AY245">
            <v>443</v>
          </cell>
          <cell r="AZ245">
            <v>424</v>
          </cell>
          <cell r="BA245">
            <v>405</v>
          </cell>
          <cell r="BB245">
            <v>386</v>
          </cell>
          <cell r="BC245">
            <v>367</v>
          </cell>
          <cell r="BD245">
            <v>348</v>
          </cell>
          <cell r="BE245">
            <v>329</v>
          </cell>
          <cell r="BF245">
            <v>310</v>
          </cell>
        </row>
        <row r="246">
          <cell r="A246" t="str">
            <v>GFA</v>
          </cell>
          <cell r="K246">
            <v>1666.6666666666667</v>
          </cell>
          <cell r="L246">
            <v>1600</v>
          </cell>
          <cell r="M246">
            <v>1533.3333333333333</v>
          </cell>
          <cell r="N246">
            <v>1466.6666666666665</v>
          </cell>
          <cell r="O246">
            <v>1399.9999999999998</v>
          </cell>
          <cell r="P246">
            <v>1333.333333333333</v>
          </cell>
          <cell r="Q246">
            <v>1266.6666666666663</v>
          </cell>
          <cell r="R246">
            <v>1199.9999999999995</v>
          </cell>
          <cell r="S246">
            <v>1133.3333333333328</v>
          </cell>
          <cell r="T246">
            <v>1066.6666666666661</v>
          </cell>
          <cell r="U246">
            <v>999.99999999999943</v>
          </cell>
          <cell r="V246">
            <v>933.3333333333328</v>
          </cell>
          <cell r="W246">
            <v>866.66666666666617</v>
          </cell>
          <cell r="X246">
            <v>799.99999999999955</v>
          </cell>
          <cell r="Y246">
            <v>733.33333333333292</v>
          </cell>
          <cell r="Z246">
            <v>666.66666666666629</v>
          </cell>
          <cell r="AA246">
            <v>599.99999999999966</v>
          </cell>
          <cell r="AB246">
            <v>533.33333333333303</v>
          </cell>
          <cell r="AC246">
            <v>466.66666666666634</v>
          </cell>
          <cell r="AD246">
            <v>399.99999999999966</v>
          </cell>
          <cell r="AE246">
            <v>333.33333333333297</v>
          </cell>
          <cell r="AF246">
            <v>266.66666666666629</v>
          </cell>
          <cell r="AG246">
            <v>199.9999999999996</v>
          </cell>
          <cell r="AH246">
            <v>133.33333333333292</v>
          </cell>
          <cell r="AI246">
            <v>66.666666666666245</v>
          </cell>
          <cell r="AJ246">
            <v>-4.2632564145606011E-13</v>
          </cell>
          <cell r="AK246">
            <v>-66.666666666667098</v>
          </cell>
          <cell r="AL246">
            <v>-133.33333333333377</v>
          </cell>
          <cell r="AM246">
            <v>-200.00000000000045</v>
          </cell>
          <cell r="AN246">
            <v>-266.66666666666714</v>
          </cell>
          <cell r="AO246">
            <v>-333.33333333333383</v>
          </cell>
          <cell r="AP246">
            <v>-400.00000000000051</v>
          </cell>
          <cell r="AQ246">
            <v>-466.6666666666672</v>
          </cell>
          <cell r="AR246">
            <v>-533.33333333333383</v>
          </cell>
          <cell r="AS246">
            <v>-600.00000000000045</v>
          </cell>
          <cell r="AW246">
            <v>0.14553014553014554</v>
          </cell>
          <cell r="AX246">
            <v>0.15151515151515152</v>
          </cell>
          <cell r="AY246">
            <v>0.1580135440180587</v>
          </cell>
          <cell r="AZ246">
            <v>0.1650943396226415</v>
          </cell>
          <cell r="BA246">
            <v>0.1728395061728395</v>
          </cell>
          <cell r="BB246">
            <v>0.18134715025906736</v>
          </cell>
          <cell r="BC246">
            <v>0.1907356948228883</v>
          </cell>
          <cell r="BD246">
            <v>0.20114942528735633</v>
          </cell>
          <cell r="BE246">
            <v>0.21276595744680851</v>
          </cell>
          <cell r="BF246">
            <v>0.22580645161290322</v>
          </cell>
        </row>
        <row r="247">
          <cell r="A247" t="str">
            <v>Accum</v>
          </cell>
          <cell r="K247">
            <v>66.666666666666671</v>
          </cell>
          <cell r="L247">
            <v>66.666666666666671</v>
          </cell>
          <cell r="M247">
            <v>66.666666666666671</v>
          </cell>
          <cell r="N247">
            <v>66.666666666666671</v>
          </cell>
          <cell r="O247">
            <v>66.666666666666671</v>
          </cell>
          <cell r="P247">
            <v>66.666666666666671</v>
          </cell>
          <cell r="Q247">
            <v>66.666666666666671</v>
          </cell>
          <cell r="R247">
            <v>66.666666666666671</v>
          </cell>
          <cell r="S247">
            <v>66.666666666666671</v>
          </cell>
          <cell r="T247">
            <v>66.666666666666671</v>
          </cell>
          <cell r="U247">
            <v>66.666666666666671</v>
          </cell>
          <cell r="V247">
            <v>66.666666666666671</v>
          </cell>
          <cell r="W247">
            <v>66.666666666666671</v>
          </cell>
          <cell r="X247">
            <v>66.666666666666671</v>
          </cell>
          <cell r="Y247">
            <v>66.666666666666671</v>
          </cell>
          <cell r="Z247">
            <v>66.666666666666671</v>
          </cell>
          <cell r="AA247">
            <v>66.666666666666671</v>
          </cell>
          <cell r="AB247">
            <v>66.666666666666671</v>
          </cell>
          <cell r="AC247">
            <v>66.666666666666671</v>
          </cell>
          <cell r="AD247">
            <v>66.666666666666671</v>
          </cell>
          <cell r="AE247">
            <v>66.666666666666671</v>
          </cell>
          <cell r="AF247">
            <v>66.666666666666671</v>
          </cell>
          <cell r="AG247">
            <v>66.666666666666671</v>
          </cell>
          <cell r="AH247">
            <v>66.666666666666671</v>
          </cell>
          <cell r="AI247">
            <v>66.666666666666671</v>
          </cell>
          <cell r="AJ247">
            <v>66.666666666666671</v>
          </cell>
          <cell r="AK247">
            <v>66.666666666666671</v>
          </cell>
          <cell r="AL247">
            <v>66.666666666666671</v>
          </cell>
          <cell r="AM247">
            <v>66.666666666666671</v>
          </cell>
          <cell r="AN247">
            <v>66.666666666666671</v>
          </cell>
          <cell r="AO247">
            <v>66.666666666666671</v>
          </cell>
          <cell r="AP247">
            <v>66.666666666666671</v>
          </cell>
          <cell r="AQ247">
            <v>66.666666666666671</v>
          </cell>
          <cell r="AR247">
            <v>66.666666666666671</v>
          </cell>
          <cell r="AS247">
            <v>66.666666666666671</v>
          </cell>
          <cell r="AW247">
            <v>0.12280701754385964</v>
          </cell>
          <cell r="AX247">
            <v>0.109375</v>
          </cell>
          <cell r="AY247">
            <v>9.8591549295774641E-2</v>
          </cell>
          <cell r="AZ247">
            <v>8.9743589743589744E-2</v>
          </cell>
          <cell r="BA247">
            <v>8.2352941176470587E-2</v>
          </cell>
          <cell r="BB247">
            <v>7.6086956521739135E-2</v>
          </cell>
          <cell r="BC247">
            <v>7.0707070707070704E-2</v>
          </cell>
        </row>
        <row r="248">
          <cell r="A248" t="str">
            <v>NFA</v>
          </cell>
          <cell r="K248">
            <v>1600</v>
          </cell>
          <cell r="L248">
            <v>1533.3333333333333</v>
          </cell>
          <cell r="M248">
            <v>1466.6666666666665</v>
          </cell>
          <cell r="N248">
            <v>1399.9999999999998</v>
          </cell>
          <cell r="O248">
            <v>1333.333333333333</v>
          </cell>
          <cell r="P248">
            <v>1266.6666666666663</v>
          </cell>
          <cell r="Q248">
            <v>1199.9999999999995</v>
          </cell>
          <cell r="R248">
            <v>1133.3333333333328</v>
          </cell>
          <cell r="S248">
            <v>1066.6666666666661</v>
          </cell>
          <cell r="T248">
            <v>999.99999999999943</v>
          </cell>
          <cell r="U248">
            <v>933.3333333333328</v>
          </cell>
          <cell r="V248">
            <v>866.66666666666617</v>
          </cell>
          <cell r="W248">
            <v>799.99999999999955</v>
          </cell>
          <cell r="X248">
            <v>733.33333333333292</v>
          </cell>
          <cell r="Y248">
            <v>666.66666666666629</v>
          </cell>
          <cell r="Z248">
            <v>599.99999999999966</v>
          </cell>
          <cell r="AA248">
            <v>533.33333333333303</v>
          </cell>
          <cell r="AB248">
            <v>466.66666666666634</v>
          </cell>
          <cell r="AC248">
            <v>399.99999999999966</v>
          </cell>
          <cell r="AD248">
            <v>333.33333333333297</v>
          </cell>
          <cell r="AE248">
            <v>266.66666666666629</v>
          </cell>
          <cell r="AF248">
            <v>199.9999999999996</v>
          </cell>
          <cell r="AG248">
            <v>133.33333333333292</v>
          </cell>
          <cell r="AH248">
            <v>66.666666666666245</v>
          </cell>
          <cell r="AI248">
            <v>-4.2632564145606011E-13</v>
          </cell>
          <cell r="AJ248">
            <v>-66.666666666667098</v>
          </cell>
          <cell r="AK248">
            <v>-133.33333333333377</v>
          </cell>
          <cell r="AL248">
            <v>-200.00000000000045</v>
          </cell>
          <cell r="AM248">
            <v>-266.66666666666714</v>
          </cell>
          <cell r="AN248">
            <v>-333.33333333333383</v>
          </cell>
          <cell r="AO248">
            <v>-400.00000000000051</v>
          </cell>
          <cell r="AP248">
            <v>-466.6666666666672</v>
          </cell>
          <cell r="AQ248">
            <v>-533.33333333333383</v>
          </cell>
          <cell r="AR248">
            <v>-600.00000000000045</v>
          </cell>
          <cell r="AS248">
            <v>-666.66666666666708</v>
          </cell>
          <cell r="AX248">
            <v>17</v>
          </cell>
        </row>
        <row r="249">
          <cell r="A249" t="str">
            <v>NOPAT</v>
          </cell>
          <cell r="F249">
            <v>-1665</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cell r="AP249" t="e">
            <v>#REF!</v>
          </cell>
          <cell r="AQ249" t="e">
            <v>#REF!</v>
          </cell>
          <cell r="AR249" t="e">
            <v>#REF!</v>
          </cell>
          <cell r="AS249" t="e">
            <v>#REF!</v>
          </cell>
          <cell r="AZ249" t="str">
            <v>Bo</v>
          </cell>
          <cell r="BA249" t="str">
            <v>Bo*(ROE-COE)</v>
          </cell>
          <cell r="BB249" t="str">
            <v>(1+g)</v>
          </cell>
        </row>
        <row r="250">
          <cell r="A250" t="str">
            <v>RONW (Net of Cash)</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row>
        <row r="252">
          <cell r="A252" t="str">
            <v>Cost of Equity (Re)</v>
          </cell>
          <cell r="G252">
            <v>0.12000000000000001</v>
          </cell>
        </row>
        <row r="253">
          <cell r="A253" t="str">
            <v>NPV of Net Profit</v>
          </cell>
          <cell r="G253" t="e">
            <v>#REF!</v>
          </cell>
          <cell r="AV253">
            <v>1.4000000000000001</v>
          </cell>
          <cell r="AW253">
            <v>1.4000000000000001</v>
          </cell>
          <cell r="AX253">
            <v>1.4000000000000001</v>
          </cell>
          <cell r="AY253">
            <v>1.4000000000000001</v>
          </cell>
          <cell r="AZ253">
            <v>1.4000000000000001</v>
          </cell>
          <cell r="BA253">
            <v>1.4000000000000001</v>
          </cell>
          <cell r="BB253">
            <v>1.4000000000000001</v>
          </cell>
          <cell r="BC253">
            <v>1.4000000000000001</v>
          </cell>
          <cell r="BD253">
            <v>1.4000000000000001</v>
          </cell>
          <cell r="BE253">
            <v>1.4000000000000001</v>
          </cell>
        </row>
        <row r="254">
          <cell r="A254" t="str">
            <v>NPV of Networth (less Cash)</v>
          </cell>
          <cell r="G254">
            <v>3398.1202809188239</v>
          </cell>
          <cell r="AV254">
            <v>100</v>
          </cell>
          <cell r="AW254">
            <v>100</v>
          </cell>
          <cell r="AX254">
            <v>100</v>
          </cell>
          <cell r="AY254">
            <v>100</v>
          </cell>
        </row>
        <row r="255">
          <cell r="A255" t="str">
            <v>ROE</v>
          </cell>
          <cell r="G255" t="e">
            <v>#REF!</v>
          </cell>
          <cell r="AV255">
            <v>14</v>
          </cell>
          <cell r="AW255">
            <v>14</v>
          </cell>
          <cell r="AX255">
            <v>14</v>
          </cell>
          <cell r="AY255">
            <v>14</v>
          </cell>
          <cell r="BD255">
            <v>215.6</v>
          </cell>
        </row>
        <row r="256">
          <cell r="BD256">
            <v>140</v>
          </cell>
        </row>
        <row r="257">
          <cell r="A257" t="str">
            <v>NTPC - Cost of Capital calculation</v>
          </cell>
          <cell r="AV257">
            <v>95</v>
          </cell>
          <cell r="AW257">
            <v>90.25</v>
          </cell>
          <cell r="AX257">
            <v>85.737499999999997</v>
          </cell>
          <cell r="AY257">
            <v>81.450624999999988</v>
          </cell>
          <cell r="BD257">
            <v>14</v>
          </cell>
        </row>
        <row r="258">
          <cell r="A258" t="str">
            <v>Cost of Debt (I)</v>
          </cell>
          <cell r="G258">
            <v>0.09</v>
          </cell>
        </row>
        <row r="259">
          <cell r="A259" t="str">
            <v>After tax cost of debt (Rd =(1-tx)x I)</v>
          </cell>
          <cell r="G259">
            <v>5.9705999999999995E-2</v>
          </cell>
        </row>
        <row r="260">
          <cell r="A260" t="str">
            <v>Tax</v>
          </cell>
          <cell r="G260">
            <v>0.33660000000000001</v>
          </cell>
        </row>
        <row r="261">
          <cell r="A261" t="str">
            <v>Risk free rate (Rf)</v>
          </cell>
          <cell r="G261">
            <v>0.08</v>
          </cell>
        </row>
        <row r="262">
          <cell r="A262" t="str">
            <v>Beta (b)</v>
          </cell>
          <cell r="G262">
            <v>0.8</v>
          </cell>
        </row>
        <row r="263">
          <cell r="A263" t="str">
            <v>Risk premium (Rm- Rf)</v>
          </cell>
          <cell r="G263">
            <v>0.05</v>
          </cell>
        </row>
        <row r="264">
          <cell r="A264" t="str">
            <v xml:space="preserve">Cost of equity (Re= Rf +bxRm) </v>
          </cell>
          <cell r="G264">
            <v>0.12000000000000001</v>
          </cell>
        </row>
        <row r="265">
          <cell r="A265" t="str">
            <v xml:space="preserve">WACC - Book Value </v>
          </cell>
          <cell r="G265">
            <v>0.10225323667812471</v>
          </cell>
          <cell r="AW265">
            <v>0.15512465373961218</v>
          </cell>
          <cell r="AX265">
            <v>0.16328910919959178</v>
          </cell>
          <cell r="AY265">
            <v>0.17188327284167559</v>
          </cell>
          <cell r="BD265">
            <v>12.6</v>
          </cell>
        </row>
        <row r="266">
          <cell r="BD266">
            <v>11.2</v>
          </cell>
        </row>
        <row r="267">
          <cell r="F267" t="str">
            <v>F2004</v>
          </cell>
          <cell r="G267" t="str">
            <v>F2005</v>
          </cell>
          <cell r="H267" t="str">
            <v>F2006e</v>
          </cell>
          <cell r="I267" t="str">
            <v>F2007e</v>
          </cell>
          <cell r="J267" t="str">
            <v>F2008e</v>
          </cell>
        </row>
        <row r="268">
          <cell r="A268" t="str">
            <v>Networth</v>
          </cell>
          <cell r="F268">
            <v>355501</v>
          </cell>
          <cell r="G268">
            <v>417763</v>
          </cell>
          <cell r="H268">
            <v>450006</v>
          </cell>
          <cell r="I268">
            <v>487125</v>
          </cell>
          <cell r="J268">
            <v>0</v>
          </cell>
        </row>
        <row r="269">
          <cell r="A269" t="str">
            <v>Cash &amp; Non-Core Investments</v>
          </cell>
          <cell r="F269">
            <v>246444</v>
          </cell>
          <cell r="G269">
            <v>276763</v>
          </cell>
          <cell r="H269">
            <v>281570</v>
          </cell>
          <cell r="I269">
            <v>297503</v>
          </cell>
          <cell r="J269">
            <v>0</v>
          </cell>
        </row>
        <row r="270">
          <cell r="A270" t="str">
            <v xml:space="preserve">Networth Less Cash &amp; Non-Core Investments </v>
          </cell>
          <cell r="F270">
            <v>109057</v>
          </cell>
          <cell r="G270">
            <v>141000</v>
          </cell>
          <cell r="H270">
            <v>168436</v>
          </cell>
          <cell r="I270">
            <v>189622</v>
          </cell>
          <cell r="J270">
            <v>0</v>
          </cell>
        </row>
        <row r="271">
          <cell r="A271" t="str">
            <v>Cash + Non-Core Investments (% of networth)</v>
          </cell>
          <cell r="F271">
            <v>0.69323011749615326</v>
          </cell>
          <cell r="G271">
            <v>0.66248806141281058</v>
          </cell>
          <cell r="H271">
            <v>0.62570276840753236</v>
          </cell>
          <cell r="I271">
            <v>0.61073235822427507</v>
          </cell>
          <cell r="J271" t="e">
            <v>#DIV/0!</v>
          </cell>
          <cell r="BD271">
            <v>9.8000000000000007</v>
          </cell>
        </row>
        <row r="272">
          <cell r="A272" t="str">
            <v>Debt (% of Capital Employed)</v>
          </cell>
          <cell r="F272">
            <v>0.30290606980155371</v>
          </cell>
          <cell r="G272">
            <v>0.29433713672795453</v>
          </cell>
          <cell r="H272">
            <v>0.33745772668581636</v>
          </cell>
          <cell r="I272">
            <v>0.36230751406948936</v>
          </cell>
          <cell r="J272" t="e">
            <v>#DIV/0!</v>
          </cell>
          <cell r="AP272" t="str">
            <v>NFA</v>
          </cell>
          <cell r="AV272">
            <v>100</v>
          </cell>
          <cell r="AW272">
            <v>100</v>
          </cell>
          <cell r="AX272">
            <v>100</v>
          </cell>
          <cell r="AY272">
            <v>100</v>
          </cell>
          <cell r="BD272">
            <v>8.4</v>
          </cell>
        </row>
        <row r="273">
          <cell r="AV273">
            <v>14</v>
          </cell>
          <cell r="AW273">
            <v>14</v>
          </cell>
          <cell r="AX273">
            <v>14</v>
          </cell>
          <cell r="AY273">
            <v>14</v>
          </cell>
          <cell r="BD273">
            <v>7</v>
          </cell>
        </row>
        <row r="274">
          <cell r="A274" t="str">
            <v>NTPC - FV based on RI Model</v>
          </cell>
          <cell r="BD274">
            <v>-1.4</v>
          </cell>
        </row>
        <row r="275">
          <cell r="A275" t="str">
            <v>Book Value (Networth less Cash + Non-core Inv)</v>
          </cell>
          <cell r="H275">
            <v>168436</v>
          </cell>
          <cell r="I275">
            <v>189622</v>
          </cell>
          <cell r="J275">
            <v>0</v>
          </cell>
          <cell r="L275">
            <v>95.293163715347021</v>
          </cell>
        </row>
        <row r="276">
          <cell r="A276" t="str">
            <v>ROE</v>
          </cell>
          <cell r="H276" t="e">
            <v>#REF!</v>
          </cell>
          <cell r="I276" t="e">
            <v>#REF!</v>
          </cell>
          <cell r="J276" t="e">
            <v>#REF!</v>
          </cell>
          <cell r="L276">
            <v>0.14000000000000001</v>
          </cell>
        </row>
        <row r="277">
          <cell r="A277" t="str">
            <v>Cost of Equity (Re)</v>
          </cell>
          <cell r="H277">
            <v>0.12000000000000001</v>
          </cell>
          <cell r="I277">
            <v>0.12000000000000001</v>
          </cell>
          <cell r="J277">
            <v>0.12000000000000001</v>
          </cell>
          <cell r="L277">
            <v>0.12000000000000001</v>
          </cell>
        </row>
        <row r="278">
          <cell r="A278" t="str">
            <v>Perpetual Growth (g)</v>
          </cell>
          <cell r="H278">
            <v>6.4779398750014192E-2</v>
          </cell>
          <cell r="I278">
            <v>7.6505857898495219E-2</v>
          </cell>
          <cell r="J278">
            <v>8.5000000000000006E-2</v>
          </cell>
          <cell r="L278">
            <v>6.5000000000000002E-2</v>
          </cell>
        </row>
        <row r="279">
          <cell r="A279" t="str">
            <v>Book Value (RI-based)</v>
          </cell>
          <cell r="H279" t="e">
            <v>#REF!</v>
          </cell>
          <cell r="I279" t="e">
            <v>#REF!</v>
          </cell>
          <cell r="J279" t="e">
            <v>#REF!</v>
          </cell>
        </row>
        <row r="280">
          <cell r="A280" t="str">
            <v>Value of Operating Assets (Rs/share)</v>
          </cell>
          <cell r="H280" t="e">
            <v>#REF!</v>
          </cell>
          <cell r="I280" t="e">
            <v>#REF!</v>
          </cell>
          <cell r="J280" t="e">
            <v>#REF!</v>
          </cell>
          <cell r="L280">
            <v>129.94522324820048</v>
          </cell>
        </row>
        <row r="281">
          <cell r="A281" t="str">
            <v>Value of Financial Assets (Rs/share)</v>
          </cell>
          <cell r="H281">
            <v>34.148470764120937</v>
          </cell>
          <cell r="I281">
            <v>36.080805830657638</v>
          </cell>
          <cell r="J281">
            <v>0</v>
          </cell>
        </row>
        <row r="282">
          <cell r="A282" t="str">
            <v>Implied Value per Share (Rs)</v>
          </cell>
          <cell r="H282" t="e">
            <v>#REF!</v>
          </cell>
          <cell r="I282" t="e">
            <v>#REF!</v>
          </cell>
          <cell r="J282" t="e">
            <v>#REF!</v>
          </cell>
        </row>
        <row r="284">
          <cell r="K284">
            <v>1</v>
          </cell>
          <cell r="L284">
            <v>2</v>
          </cell>
          <cell r="M284">
            <v>3</v>
          </cell>
          <cell r="N284">
            <v>4</v>
          </cell>
          <cell r="O284">
            <v>5</v>
          </cell>
          <cell r="P284">
            <v>6</v>
          </cell>
          <cell r="Q284">
            <v>7</v>
          </cell>
          <cell r="R284">
            <v>8</v>
          </cell>
          <cell r="S284">
            <v>9</v>
          </cell>
          <cell r="T284">
            <v>10</v>
          </cell>
          <cell r="U284">
            <v>11</v>
          </cell>
          <cell r="V284">
            <v>12</v>
          </cell>
          <cell r="W284">
            <v>13</v>
          </cell>
          <cell r="X284">
            <v>14</v>
          </cell>
          <cell r="Y284">
            <v>15</v>
          </cell>
          <cell r="Z284">
            <v>16</v>
          </cell>
          <cell r="AA284">
            <v>17</v>
          </cell>
          <cell r="AB284">
            <v>18</v>
          </cell>
          <cell r="AC284">
            <v>19</v>
          </cell>
          <cell r="AD284">
            <v>20</v>
          </cell>
        </row>
        <row r="285">
          <cell r="H285" t="str">
            <v>F2006e</v>
          </cell>
          <cell r="I285" t="str">
            <v>F2007e</v>
          </cell>
          <cell r="J285" t="str">
            <v>F2008e</v>
          </cell>
          <cell r="K285" t="str">
            <v>F2009</v>
          </cell>
          <cell r="L285" t="str">
            <v>F2010</v>
          </cell>
          <cell r="M285" t="str">
            <v>F2011</v>
          </cell>
          <cell r="N285" t="str">
            <v>F2012</v>
          </cell>
          <cell r="O285" t="str">
            <v>F2013</v>
          </cell>
          <cell r="P285" t="str">
            <v>F2014</v>
          </cell>
          <cell r="Q285" t="str">
            <v>F2015</v>
          </cell>
          <cell r="R285" t="str">
            <v>F2016</v>
          </cell>
          <cell r="S285" t="str">
            <v>F2017</v>
          </cell>
          <cell r="T285" t="str">
            <v>F2018</v>
          </cell>
          <cell r="U285" t="str">
            <v>F2019</v>
          </cell>
          <cell r="V285" t="str">
            <v>F2020</v>
          </cell>
          <cell r="W285" t="str">
            <v>F2021</v>
          </cell>
          <cell r="X285" t="str">
            <v>F2022</v>
          </cell>
          <cell r="Y285" t="str">
            <v>F2023</v>
          </cell>
          <cell r="Z285" t="str">
            <v>F2024</v>
          </cell>
          <cell r="AA285" t="str">
            <v>F2025</v>
          </cell>
          <cell r="AB285" t="str">
            <v>F2026</v>
          </cell>
          <cell r="AC285" t="str">
            <v>F2027</v>
          </cell>
          <cell r="AD285" t="str">
            <v>F2028</v>
          </cell>
        </row>
        <row r="286">
          <cell r="H286">
            <v>38960</v>
          </cell>
          <cell r="I286">
            <v>39172</v>
          </cell>
          <cell r="J286">
            <v>39538</v>
          </cell>
          <cell r="K286">
            <v>39903</v>
          </cell>
          <cell r="L286">
            <v>40268</v>
          </cell>
          <cell r="M286">
            <v>40633</v>
          </cell>
          <cell r="N286">
            <v>40999</v>
          </cell>
          <cell r="O286">
            <v>41364</v>
          </cell>
          <cell r="P286">
            <v>41729</v>
          </cell>
          <cell r="Q286">
            <v>42094</v>
          </cell>
          <cell r="R286">
            <v>42460</v>
          </cell>
          <cell r="S286">
            <v>42825</v>
          </cell>
          <cell r="T286">
            <v>43190</v>
          </cell>
          <cell r="U286">
            <v>43555</v>
          </cell>
          <cell r="V286">
            <v>43921</v>
          </cell>
          <cell r="W286">
            <v>44286</v>
          </cell>
          <cell r="X286">
            <v>44651</v>
          </cell>
          <cell r="Y286">
            <v>45016</v>
          </cell>
          <cell r="Z286">
            <v>45382</v>
          </cell>
          <cell r="AA286">
            <v>45747</v>
          </cell>
          <cell r="AB286">
            <v>46112</v>
          </cell>
          <cell r="AC286">
            <v>46477</v>
          </cell>
          <cell r="AD286">
            <v>46843</v>
          </cell>
        </row>
        <row r="287">
          <cell r="A287" t="str">
            <v>BVPS</v>
          </cell>
          <cell r="H287">
            <v>20.427715387383152</v>
          </cell>
          <cell r="I287">
            <v>22.997127972561493</v>
          </cell>
          <cell r="J287">
            <v>0</v>
          </cell>
          <cell r="K287">
            <v>5.9792071869232739</v>
          </cell>
          <cell r="L287">
            <v>12.556335092538877</v>
          </cell>
          <cell r="M287">
            <v>19.791175788716039</v>
          </cell>
          <cell r="N287">
            <v>27.749500554510917</v>
          </cell>
          <cell r="O287">
            <v>36.503657796885285</v>
          </cell>
          <cell r="P287">
            <v>46.133230763497089</v>
          </cell>
          <cell r="Q287">
            <v>56.725761026770073</v>
          </cell>
          <cell r="R287">
            <v>68.377544316370361</v>
          </cell>
          <cell r="S287">
            <v>81.194505934930675</v>
          </cell>
          <cell r="T287">
            <v>95.293163715347021</v>
          </cell>
        </row>
        <row r="288">
          <cell r="A288" t="str">
            <v>EPS</v>
          </cell>
          <cell r="H288">
            <v>7.1970476277843121</v>
          </cell>
          <cell r="I288">
            <v>8.3479834077022996</v>
          </cell>
          <cell r="J288">
            <v>9.0594048286716262</v>
          </cell>
          <cell r="K288">
            <v>9.9653453115387904</v>
          </cell>
          <cell r="L288">
            <v>10.961879842692671</v>
          </cell>
          <cell r="M288">
            <v>12.058067826961938</v>
          </cell>
          <cell r="N288">
            <v>13.263874609658133</v>
          </cell>
          <cell r="O288">
            <v>14.590262070623949</v>
          </cell>
          <cell r="P288">
            <v>16.049288277686344</v>
          </cell>
          <cell r="Q288">
            <v>17.654217105454979</v>
          </cell>
          <cell r="R288">
            <v>19.419638816000479</v>
          </cell>
          <cell r="S288">
            <v>21.361602697600528</v>
          </cell>
          <cell r="T288">
            <v>23.497762967360583</v>
          </cell>
        </row>
        <row r="289">
          <cell r="A289" t="str">
            <v>YoY EPS (g)</v>
          </cell>
          <cell r="I289">
            <v>0.15991776620662934</v>
          </cell>
          <cell r="J289">
            <v>8.5220751674342177E-2</v>
          </cell>
          <cell r="K289">
            <v>0.1</v>
          </cell>
          <cell r="L289">
            <v>0.1</v>
          </cell>
          <cell r="M289">
            <v>0.1</v>
          </cell>
          <cell r="N289">
            <v>0.1</v>
          </cell>
          <cell r="O289">
            <v>0.1</v>
          </cell>
          <cell r="P289">
            <v>0.1</v>
          </cell>
          <cell r="Q289">
            <v>0.1</v>
          </cell>
          <cell r="R289">
            <v>0.1</v>
          </cell>
          <cell r="S289">
            <v>0.1</v>
          </cell>
          <cell r="T289">
            <v>0.1</v>
          </cell>
          <cell r="U289">
            <v>7.4999999999999997E-2</v>
          </cell>
          <cell r="V289">
            <v>7.4999999999999997E-2</v>
          </cell>
          <cell r="W289">
            <v>7.4999999999999997E-2</v>
          </cell>
          <cell r="X289">
            <v>7.4999999999999997E-2</v>
          </cell>
          <cell r="Y289">
            <v>7.4999999999999997E-2</v>
          </cell>
          <cell r="Z289">
            <v>7.4999999999999997E-2</v>
          </cell>
          <cell r="AA289">
            <v>7.4999999999999997E-2</v>
          </cell>
          <cell r="AB289">
            <v>7.4999999999999997E-2</v>
          </cell>
          <cell r="AC289">
            <v>7.4999999999999997E-2</v>
          </cell>
          <cell r="AD289">
            <v>7.4999999999999997E-2</v>
          </cell>
        </row>
        <row r="290">
          <cell r="A290" t="str">
            <v>Payout Ratio</v>
          </cell>
          <cell r="I290">
            <v>0.44044184799153413</v>
          </cell>
          <cell r="J290">
            <v>0.40905694911344198</v>
          </cell>
          <cell r="K290">
            <v>0.4</v>
          </cell>
          <cell r="L290">
            <v>0.4</v>
          </cell>
          <cell r="M290">
            <v>0.4</v>
          </cell>
          <cell r="N290">
            <v>0.4</v>
          </cell>
          <cell r="O290">
            <v>0.4</v>
          </cell>
          <cell r="P290">
            <v>0.4</v>
          </cell>
          <cell r="Q290">
            <v>0.4</v>
          </cell>
          <cell r="R290">
            <v>0.4</v>
          </cell>
          <cell r="S290">
            <v>0.4</v>
          </cell>
          <cell r="T290">
            <v>0.4</v>
          </cell>
          <cell r="U290">
            <v>0.4</v>
          </cell>
          <cell r="V290">
            <v>0.4</v>
          </cell>
          <cell r="W290">
            <v>0.4</v>
          </cell>
          <cell r="X290">
            <v>0.4</v>
          </cell>
          <cell r="Y290">
            <v>0.4</v>
          </cell>
          <cell r="Z290">
            <v>0.4</v>
          </cell>
          <cell r="AA290">
            <v>0.4</v>
          </cell>
          <cell r="AB290">
            <v>0.4</v>
          </cell>
          <cell r="AC290">
            <v>0.4</v>
          </cell>
          <cell r="AD290">
            <v>0.4</v>
          </cell>
        </row>
        <row r="291">
          <cell r="A291" t="str">
            <v>Cost of Equity (Re)</v>
          </cell>
          <cell r="H291">
            <v>0.12000000000000001</v>
          </cell>
          <cell r="I291">
            <v>0.12000000000000001</v>
          </cell>
          <cell r="J291">
            <v>0.12000000000000001</v>
          </cell>
          <cell r="K291">
            <v>0.12000000000000001</v>
          </cell>
          <cell r="L291">
            <v>0.12000000000000001</v>
          </cell>
          <cell r="M291">
            <v>0.12000000000000001</v>
          </cell>
          <cell r="N291">
            <v>0.12000000000000001</v>
          </cell>
          <cell r="O291">
            <v>0.12000000000000001</v>
          </cell>
          <cell r="P291">
            <v>0.12000000000000001</v>
          </cell>
          <cell r="Q291">
            <v>0.12000000000000001</v>
          </cell>
          <cell r="R291">
            <v>0.12000000000000001</v>
          </cell>
          <cell r="S291">
            <v>0.12000000000000001</v>
          </cell>
          <cell r="T291">
            <v>0.12000000000000001</v>
          </cell>
          <cell r="U291">
            <v>0.12000000000000001</v>
          </cell>
          <cell r="V291">
            <v>0.12000000000000001</v>
          </cell>
          <cell r="W291">
            <v>0.12000000000000001</v>
          </cell>
          <cell r="X291">
            <v>0.12000000000000001</v>
          </cell>
          <cell r="Y291">
            <v>0.12000000000000001</v>
          </cell>
          <cell r="Z291">
            <v>0.12000000000000001</v>
          </cell>
          <cell r="AA291">
            <v>0.12000000000000001</v>
          </cell>
          <cell r="AB291">
            <v>0.12000000000000001</v>
          </cell>
          <cell r="AC291">
            <v>0.12000000000000001</v>
          </cell>
          <cell r="AD291">
            <v>0.12000000000000001</v>
          </cell>
        </row>
        <row r="292">
          <cell r="A292" t="str">
            <v>Discounting Factor</v>
          </cell>
          <cell r="I292">
            <v>0.93629583974239272</v>
          </cell>
          <cell r="J292">
            <v>0.83571890606797294</v>
          </cell>
          <cell r="K292">
            <v>0.74617759470354716</v>
          </cell>
          <cell r="L292">
            <v>0.66622999527102422</v>
          </cell>
          <cell r="M292">
            <v>0.59484821006341437</v>
          </cell>
          <cell r="N292">
            <v>0.5309495933758126</v>
          </cell>
          <cell r="O292">
            <v>0.47406213694268973</v>
          </cell>
          <cell r="P292">
            <v>0.4232697651274015</v>
          </cell>
          <cell r="Q292">
            <v>0.37791943314946563</v>
          </cell>
          <cell r="R292">
            <v>0.33732331368726021</v>
          </cell>
          <cell r="S292">
            <v>0.30118153007791088</v>
          </cell>
          <cell r="T292">
            <v>0.26891208042670611</v>
          </cell>
        </row>
        <row r="293">
          <cell r="A293" t="str">
            <v>Residual Income</v>
          </cell>
          <cell r="I293">
            <v>5.8966575612163208</v>
          </cell>
          <cell r="J293">
            <v>6.2997494719642466</v>
          </cell>
          <cell r="K293">
            <v>9.9653453115387904</v>
          </cell>
          <cell r="L293">
            <v>10.244374980261878</v>
          </cell>
          <cell r="M293">
            <v>10.551307615857272</v>
          </cell>
          <cell r="N293">
            <v>10.888933515012209</v>
          </cell>
          <cell r="O293">
            <v>11.260322004082639</v>
          </cell>
          <cell r="P293">
            <v>11.66884934206011</v>
          </cell>
          <cell r="Q293">
            <v>12.118229413835328</v>
          </cell>
          <cell r="R293">
            <v>12.612547492788069</v>
          </cell>
          <cell r="S293">
            <v>13.156297379636085</v>
          </cell>
          <cell r="T293">
            <v>13.754422255168901</v>
          </cell>
        </row>
        <row r="294">
          <cell r="A294" t="str">
            <v>RI - Discounted Value</v>
          </cell>
          <cell r="I294">
            <v>5.5210159429523644</v>
          </cell>
          <cell r="J294">
            <v>5.2648197372122505</v>
          </cell>
          <cell r="K294">
            <v>7.4359173949542852</v>
          </cell>
          <cell r="L294">
            <v>6.8251098946544699</v>
          </cell>
          <cell r="M294">
            <v>6.2764264491211703</v>
          </cell>
          <cell r="N294">
            <v>5.7814748220919903</v>
          </cell>
          <cell r="O294">
            <v>5.3380923119182064</v>
          </cell>
          <cell r="P294">
            <v>4.9390711203208166</v>
          </cell>
          <cell r="Q294">
            <v>4.5797143908518283</v>
          </cell>
          <cell r="R294">
            <v>4.2545063143052175</v>
          </cell>
          <cell r="S294">
            <v>3.9624337749588054</v>
          </cell>
          <cell r="T294">
            <v>3.6987303037048558</v>
          </cell>
        </row>
        <row r="295">
          <cell r="A295" t="str">
            <v>Implied Value / Share</v>
          </cell>
          <cell r="G295" t="str">
            <v>Explicit</v>
          </cell>
          <cell r="H295">
            <v>63.877312457046266</v>
          </cell>
        </row>
        <row r="296">
          <cell r="G296" t="str">
            <v>Terminal</v>
          </cell>
          <cell r="H296">
            <v>34.943840325186365</v>
          </cell>
        </row>
        <row r="297">
          <cell r="G297" t="str">
            <v>Fin. Assets</v>
          </cell>
          <cell r="H297">
            <v>34.148470764120937</v>
          </cell>
        </row>
        <row r="298">
          <cell r="G298" t="str">
            <v>Total</v>
          </cell>
          <cell r="H298">
            <v>132.96962354635357</v>
          </cell>
        </row>
        <row r="299">
          <cell r="G299">
            <v>125</v>
          </cell>
          <cell r="H299">
            <v>6.375698837082866E-2</v>
          </cell>
        </row>
        <row r="300">
          <cell r="A300" t="str">
            <v>NTPC - FV based on Dividend Growth Model</v>
          </cell>
          <cell r="BD300">
            <v>5.6</v>
          </cell>
        </row>
        <row r="301">
          <cell r="A301" t="str">
            <v>DPS (Rs)</v>
          </cell>
          <cell r="H301">
            <v>2.8117276208238797</v>
          </cell>
          <cell r="I301">
            <v>3.2097646313287092</v>
          </cell>
          <cell r="J301">
            <v>3.25</v>
          </cell>
          <cell r="AV301">
            <v>10</v>
          </cell>
          <cell r="AW301">
            <v>10</v>
          </cell>
          <cell r="AX301">
            <v>10</v>
          </cell>
          <cell r="AY301">
            <v>10</v>
          </cell>
          <cell r="BD301">
            <v>4.1999999999999993</v>
          </cell>
        </row>
        <row r="302">
          <cell r="A302" t="str">
            <v>Re</v>
          </cell>
          <cell r="H302">
            <v>0.12000000000000001</v>
          </cell>
          <cell r="I302">
            <v>0.12000000000000001</v>
          </cell>
          <cell r="J302">
            <v>0.12000000000000001</v>
          </cell>
          <cell r="AV302">
            <v>10</v>
          </cell>
          <cell r="AW302">
            <v>10</v>
          </cell>
          <cell r="AX302">
            <v>10</v>
          </cell>
          <cell r="AY302">
            <v>10</v>
          </cell>
          <cell r="BD302">
            <v>2.7999999999999994</v>
          </cell>
        </row>
        <row r="303">
          <cell r="A303" t="str">
            <v>g</v>
          </cell>
          <cell r="H303">
            <v>6.4779398750014192E-2</v>
          </cell>
          <cell r="I303">
            <v>7.6505857898495219E-2</v>
          </cell>
          <cell r="J303" t="e">
            <v>#DIV/0!</v>
          </cell>
          <cell r="AV303">
            <v>100</v>
          </cell>
          <cell r="AW303">
            <v>100</v>
          </cell>
          <cell r="AX303">
            <v>100</v>
          </cell>
          <cell r="AY303">
            <v>100</v>
          </cell>
          <cell r="BD303">
            <v>1.3999999999999995</v>
          </cell>
        </row>
        <row r="304">
          <cell r="AV304">
            <v>14.000000000000002</v>
          </cell>
          <cell r="AW304">
            <v>14.000000000000002</v>
          </cell>
          <cell r="AX304">
            <v>14.000000000000002</v>
          </cell>
          <cell r="AY304">
            <v>14.000000000000002</v>
          </cell>
        </row>
        <row r="305">
          <cell r="A305" t="str">
            <v>Retention Ratio</v>
          </cell>
          <cell r="G305">
            <v>0.61305321164112281</v>
          </cell>
          <cell r="H305">
            <v>0.54740788933022877</v>
          </cell>
          <cell r="I305">
            <v>0.55955815200846581</v>
          </cell>
          <cell r="J305">
            <v>0.59094305088655807</v>
          </cell>
        </row>
        <row r="306">
          <cell r="A306" t="str">
            <v>D/E Ratio (Book value)</v>
          </cell>
          <cell r="G306">
            <v>0.40903095774398401</v>
          </cell>
          <cell r="H306">
            <v>0.49954222832584455</v>
          </cell>
          <cell r="I306">
            <v>0.55467282525019246</v>
          </cell>
          <cell r="J306" t="e">
            <v>#DIV/0!</v>
          </cell>
          <cell r="BD306">
            <v>140</v>
          </cell>
          <cell r="BE306">
            <v>0.54</v>
          </cell>
        </row>
        <row r="307">
          <cell r="A307" t="str">
            <v>Post-tax interest rate</v>
          </cell>
          <cell r="G307">
            <v>5.9705999999999995E-2</v>
          </cell>
          <cell r="H307">
            <v>5.9705999999999995E-2</v>
          </cell>
          <cell r="I307">
            <v>5.9705999999999995E-2</v>
          </cell>
          <cell r="J307">
            <v>5.9705999999999995E-2</v>
          </cell>
        </row>
        <row r="308">
          <cell r="A308" t="str">
            <v>ROA</v>
          </cell>
          <cell r="G308">
            <v>0.11445394909361119</v>
          </cell>
          <cell r="H308">
            <v>9.8806229739728788E-2</v>
          </cell>
          <cell r="I308">
            <v>0.1092466367793349</v>
          </cell>
          <cell r="J308" t="e">
            <v>#DIV/0!</v>
          </cell>
        </row>
        <row r="309">
          <cell r="A309" t="str">
            <v>g</v>
          </cell>
          <cell r="G309">
            <v>8.389483318742344E-2</v>
          </cell>
          <cell r="H309">
            <v>6.4779398750014192E-2</v>
          </cell>
          <cell r="I309">
            <v>7.6505857898495219E-2</v>
          </cell>
          <cell r="J309" t="e">
            <v>#DIV/0!</v>
          </cell>
        </row>
        <row r="311">
          <cell r="A311" t="str">
            <v>Rs per share</v>
          </cell>
          <cell r="H311">
            <v>50.918091385768854</v>
          </cell>
          <cell r="I311">
            <v>73.797630582939107</v>
          </cell>
          <cell r="J311" t="e">
            <v>#DIV/0!</v>
          </cell>
        </row>
        <row r="312">
          <cell r="A312" t="str">
            <v>Add: Financial assets</v>
          </cell>
          <cell r="H312">
            <v>34.148470764120937</v>
          </cell>
          <cell r="I312">
            <v>36.080805830657638</v>
          </cell>
          <cell r="J312">
            <v>0</v>
          </cell>
        </row>
        <row r="313">
          <cell r="A313" t="str">
            <v>Value per Share (Rs)</v>
          </cell>
          <cell r="H313">
            <v>85.066562149889791</v>
          </cell>
          <cell r="I313">
            <v>109.87843641359675</v>
          </cell>
          <cell r="J313" t="e">
            <v>#DIV/0!</v>
          </cell>
        </row>
        <row r="316">
          <cell r="A316" t="str">
            <v>VALUATIONS - BUSINESS &amp; FINANCIAL PROFITS - MULTIPLE</v>
          </cell>
        </row>
        <row r="319">
          <cell r="F319" t="str">
            <v>F2004</v>
          </cell>
          <cell r="G319" t="str">
            <v>F2005</v>
          </cell>
          <cell r="H319" t="str">
            <v>F2006e</v>
          </cell>
          <cell r="I319" t="str">
            <v>F2007e</v>
          </cell>
          <cell r="J319" t="str">
            <v>F2008e</v>
          </cell>
        </row>
        <row r="320">
          <cell r="A320" t="str">
            <v>Business EPS</v>
          </cell>
          <cell r="H320" t="e">
            <v>#REF!</v>
          </cell>
          <cell r="I320" t="e">
            <v>#REF!</v>
          </cell>
          <cell r="J320" t="e">
            <v>#REF!</v>
          </cell>
        </row>
        <row r="321">
          <cell r="A321" t="str">
            <v>Sensex P/E @10% premium</v>
          </cell>
          <cell r="I321">
            <v>15.476000000000001</v>
          </cell>
          <cell r="J321">
            <v>13.25</v>
          </cell>
        </row>
        <row r="322">
          <cell r="A322" t="str">
            <v>Sensex P/E</v>
          </cell>
          <cell r="I322">
            <v>14.6</v>
          </cell>
          <cell r="J322">
            <v>12.5</v>
          </cell>
        </row>
        <row r="323">
          <cell r="A323" t="str">
            <v>Derived Stock Price (Rs/share)</v>
          </cell>
          <cell r="I323" t="e">
            <v>#REF!</v>
          </cell>
          <cell r="J323" t="e">
            <v>#REF!</v>
          </cell>
        </row>
        <row r="324">
          <cell r="A324" t="str">
            <v>Financial Assets (F2006)</v>
          </cell>
          <cell r="H324">
            <v>34.148470764120937</v>
          </cell>
          <cell r="I324">
            <v>34.148470764120937</v>
          </cell>
          <cell r="J324">
            <v>34.148470764120937</v>
          </cell>
        </row>
        <row r="325">
          <cell r="A325" t="str">
            <v>Financial Assets (Respective Years)</v>
          </cell>
          <cell r="H325">
            <v>34.148470764120937</v>
          </cell>
          <cell r="I325">
            <v>36.080805830657638</v>
          </cell>
          <cell r="J325">
            <v>0</v>
          </cell>
        </row>
        <row r="327">
          <cell r="A327" t="str">
            <v>Value - Business + F2006 Business Value</v>
          </cell>
          <cell r="I327" t="e">
            <v>#REF!</v>
          </cell>
          <cell r="J327" t="e">
            <v>#REF!</v>
          </cell>
        </row>
        <row r="328">
          <cell r="A328" t="str">
            <v>Value - Business + Corresponding Value</v>
          </cell>
          <cell r="I328" t="e">
            <v>#REF!</v>
          </cell>
          <cell r="J328" t="e">
            <v>#REF!</v>
          </cell>
        </row>
        <row r="330">
          <cell r="A330" t="str">
            <v>Upside/Downside</v>
          </cell>
          <cell r="F330" t="e">
            <v>#REF!</v>
          </cell>
          <cell r="I330">
            <v>125</v>
          </cell>
          <cell r="J330">
            <v>125</v>
          </cell>
        </row>
        <row r="331">
          <cell r="I331" t="e">
            <v>#REF!</v>
          </cell>
          <cell r="J331" t="e">
            <v>#REF!</v>
          </cell>
        </row>
        <row r="333">
          <cell r="H333" t="e">
            <v>#REF!</v>
          </cell>
          <cell r="I333" t="e">
            <v>#REF!</v>
          </cell>
          <cell r="J333" t="e">
            <v>#REF!</v>
          </cell>
        </row>
        <row r="334">
          <cell r="I334">
            <v>15.476000000000001</v>
          </cell>
          <cell r="J334">
            <v>13.25</v>
          </cell>
        </row>
        <row r="336">
          <cell r="I336" t="e">
            <v>#REF!</v>
          </cell>
          <cell r="J336" t="e">
            <v>#REF!</v>
          </cell>
        </row>
        <row r="337">
          <cell r="I337">
            <v>34.148470764120937</v>
          </cell>
          <cell r="J337">
            <v>34.148470764120937</v>
          </cell>
        </row>
        <row r="338">
          <cell r="I338" t="e">
            <v>#REF!</v>
          </cell>
          <cell r="J338" t="e">
            <v>#REF!</v>
          </cell>
        </row>
        <row r="339">
          <cell r="I339" t="e">
            <v>#REF!</v>
          </cell>
          <cell r="J339" t="e">
            <v>#REF!</v>
          </cell>
        </row>
        <row r="345">
          <cell r="G345" t="str">
            <v>Risk premium (Rm- Rf)</v>
          </cell>
        </row>
        <row r="346">
          <cell r="A346" t="str">
            <v>Perpetual ROE</v>
          </cell>
          <cell r="G346">
            <v>0.04</v>
          </cell>
          <cell r="H346">
            <v>0.05</v>
          </cell>
          <cell r="I346">
            <v>0.06</v>
          </cell>
        </row>
        <row r="347">
          <cell r="A347">
            <v>0.13</v>
          </cell>
          <cell r="G347">
            <v>140.19999999999999</v>
          </cell>
          <cell r="H347">
            <v>124</v>
          </cell>
          <cell r="I347">
            <v>111.6</v>
          </cell>
        </row>
        <row r="348">
          <cell r="A348">
            <v>0.14000000000000001</v>
          </cell>
          <cell r="G348">
            <v>148.19999999999999</v>
          </cell>
          <cell r="H348">
            <v>130.1</v>
          </cell>
          <cell r="I348">
            <v>116.5</v>
          </cell>
        </row>
        <row r="349">
          <cell r="A349">
            <v>0.15</v>
          </cell>
          <cell r="G349">
            <v>156.30000000000001</v>
          </cell>
          <cell r="H349">
            <v>136.30000000000001</v>
          </cell>
          <cell r="I349">
            <v>121.4</v>
          </cell>
        </row>
        <row r="352">
          <cell r="G352" t="str">
            <v>Growth in F2008-F2018</v>
          </cell>
        </row>
        <row r="353">
          <cell r="A353" t="str">
            <v>Perpetual Growth (g)</v>
          </cell>
          <cell r="G353">
            <v>0.08</v>
          </cell>
          <cell r="H353">
            <v>0.1</v>
          </cell>
          <cell r="I353">
            <v>0.12</v>
          </cell>
        </row>
        <row r="354">
          <cell r="A354">
            <v>5.5E-2</v>
          </cell>
          <cell r="G354">
            <v>118.9</v>
          </cell>
          <cell r="H354">
            <v>127.6</v>
          </cell>
          <cell r="I354">
            <v>137.30000000000001</v>
          </cell>
        </row>
        <row r="355">
          <cell r="A355">
            <v>6.5000000000000002E-2</v>
          </cell>
          <cell r="G355">
            <v>121.2</v>
          </cell>
          <cell r="H355">
            <v>130.1</v>
          </cell>
          <cell r="I355">
            <v>140.19999999999999</v>
          </cell>
        </row>
        <row r="356">
          <cell r="A356">
            <v>7.4999999999999997E-2</v>
          </cell>
          <cell r="G356">
            <v>124.8</v>
          </cell>
          <cell r="H356">
            <v>134</v>
          </cell>
          <cell r="I356">
            <v>144.4</v>
          </cell>
        </row>
        <row r="360">
          <cell r="H360" t="str">
            <v>F2006e</v>
          </cell>
          <cell r="I360" t="str">
            <v>F2007e</v>
          </cell>
          <cell r="J360" t="str">
            <v>F2008e</v>
          </cell>
          <cell r="K360" t="str">
            <v>F2009</v>
          </cell>
          <cell r="L360" t="str">
            <v>F2010</v>
          </cell>
          <cell r="M360" t="str">
            <v>F2011</v>
          </cell>
          <cell r="N360" t="str">
            <v>F2012</v>
          </cell>
          <cell r="O360" t="str">
            <v>F2013</v>
          </cell>
          <cell r="P360" t="str">
            <v>F2014</v>
          </cell>
          <cell r="Q360" t="str">
            <v>F2015</v>
          </cell>
          <cell r="R360" t="str">
            <v>F2016</v>
          </cell>
          <cell r="S360" t="str">
            <v>F2017</v>
          </cell>
          <cell r="T360" t="str">
            <v>F2018</v>
          </cell>
          <cell r="U360" t="str">
            <v>F2019</v>
          </cell>
        </row>
        <row r="361">
          <cell r="A361" t="str">
            <v>Capacity Addition</v>
          </cell>
        </row>
        <row r="362">
          <cell r="A362" t="str">
            <v>Capacity Addition - F2007-12 (Xith Plan) @10% - Bull</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row>
        <row r="363">
          <cell r="A363" t="str">
            <v>Upto XIIth Plan</v>
          </cell>
          <cell r="G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row>
        <row r="364">
          <cell r="A364" t="str">
            <v>Capacity Addition - F2007-12 (Xith Plan) @12% - BBull</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row>
        <row r="365">
          <cell r="A365" t="str">
            <v>Upto XIIth Plan</v>
          </cell>
          <cell r="G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row>
        <row r="366">
          <cell r="A366" t="str">
            <v>Capacity Addition - F2007-12 (Xith Plan) @8% - Base</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row>
        <row r="367">
          <cell r="A367" t="str">
            <v>Upto XIIth Plan</v>
          </cell>
          <cell r="G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row>
        <row r="369">
          <cell r="A369" t="str">
            <v>Assumed Equity Base Bull Case</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row>
        <row r="370">
          <cell r="A370" t="str">
            <v>Return @14%</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row>
        <row r="371">
          <cell r="A371" t="str">
            <v>Incentives @6% from 2010 - Reducing from F2019</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row>
        <row r="372">
          <cell r="A372" t="str">
            <v>EPS (Incl. Base for Coal)</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row>
        <row r="373">
          <cell r="A373" t="str">
            <v>YoY</v>
          </cell>
          <cell r="G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row>
        <row r="375">
          <cell r="A375" t="str">
            <v>Assumed Equity Base - BBull</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row>
        <row r="376">
          <cell r="A376" t="str">
            <v>Return @14%</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row>
        <row r="377">
          <cell r="A377" t="str">
            <v>Incentives @6% from 2010 - Reducing from F2019</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row>
        <row r="378">
          <cell r="A378" t="str">
            <v>EPS (Incl. Base for Coal)</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row>
        <row r="379">
          <cell r="A379" t="str">
            <v>YoY</v>
          </cell>
          <cell r="G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row>
        <row r="381">
          <cell r="A381" t="str">
            <v>Assumed Equity Base - Base</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row>
        <row r="382">
          <cell r="A382" t="str">
            <v>Return @14%</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row>
        <row r="383">
          <cell r="A383" t="str">
            <v>Incentives @6% from 2010 - Reducing from F2019</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row>
        <row r="384">
          <cell r="A384" t="str">
            <v>EPS (Incl. Base for Coal)</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row>
        <row r="385">
          <cell r="A385" t="str">
            <v>YoY</v>
          </cell>
          <cell r="G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row>
        <row r="387">
          <cell r="A387" t="str">
            <v>Assumed Equity Base - Bear</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row>
        <row r="388">
          <cell r="A388" t="str">
            <v>Return @14%</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row>
        <row r="389">
          <cell r="A389" t="str">
            <v>Incentives @6% from 2008 and reducing by 0.5% therafter</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row>
        <row r="390">
          <cell r="A390" t="str">
            <v>EPS (Incl. Base for Coal)</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row>
        <row r="391">
          <cell r="A391" t="str">
            <v>YoY</v>
          </cell>
          <cell r="G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row>
        <row r="395">
          <cell r="A395" t="str">
            <v>Coal Mines - ROE</v>
          </cell>
        </row>
        <row r="396">
          <cell r="A396" t="str">
            <v>Pakri Barwadih Production - Base (@25%)</v>
          </cell>
          <cell r="K396">
            <v>1</v>
          </cell>
          <cell r="L396">
            <v>3</v>
          </cell>
          <cell r="M396">
            <v>4.5</v>
          </cell>
          <cell r="N396">
            <v>6.75</v>
          </cell>
          <cell r="O396">
            <v>10.125</v>
          </cell>
          <cell r="P396">
            <v>10.125</v>
          </cell>
          <cell r="Q396">
            <v>10.125</v>
          </cell>
          <cell r="R396">
            <v>10.125</v>
          </cell>
          <cell r="S396">
            <v>10.125</v>
          </cell>
          <cell r="T396">
            <v>10.125</v>
          </cell>
        </row>
        <row r="397">
          <cell r="A397" t="str">
            <v>Cumulative Capex - Equity Portion</v>
          </cell>
          <cell r="K397" t="e">
            <v>#REF!</v>
          </cell>
          <cell r="L397" t="e">
            <v>#REF!</v>
          </cell>
          <cell r="M397" t="e">
            <v>#REF!</v>
          </cell>
          <cell r="N397" t="e">
            <v>#REF!</v>
          </cell>
          <cell r="O397" t="e">
            <v>#REF!</v>
          </cell>
          <cell r="P397" t="e">
            <v>#REF!</v>
          </cell>
          <cell r="Q397" t="e">
            <v>#REF!</v>
          </cell>
          <cell r="R397" t="e">
            <v>#REF!</v>
          </cell>
          <cell r="S397" t="e">
            <v>#REF!</v>
          </cell>
          <cell r="T397" t="e">
            <v>#REF!</v>
          </cell>
        </row>
        <row r="398">
          <cell r="A398" t="str">
            <v>14% ROE</v>
          </cell>
          <cell r="K398" t="e">
            <v>#REF!</v>
          </cell>
          <cell r="L398" t="e">
            <v>#REF!</v>
          </cell>
          <cell r="M398" t="e">
            <v>#REF!</v>
          </cell>
          <cell r="N398" t="e">
            <v>#REF!</v>
          </cell>
          <cell r="O398" t="e">
            <v>#REF!</v>
          </cell>
          <cell r="P398" t="e">
            <v>#REF!</v>
          </cell>
          <cell r="Q398" t="e">
            <v>#REF!</v>
          </cell>
          <cell r="R398" t="e">
            <v>#REF!</v>
          </cell>
          <cell r="S398" t="e">
            <v>#REF!</v>
          </cell>
          <cell r="T398" t="e">
            <v>#REF!</v>
          </cell>
        </row>
        <row r="400">
          <cell r="A400" t="str">
            <v>Assumed for other 7 mines cumulating 40 mtpa peak</v>
          </cell>
        </row>
        <row r="401">
          <cell r="A401" t="str">
            <v>Production</v>
          </cell>
          <cell r="N401">
            <v>4</v>
          </cell>
          <cell r="O401">
            <v>12</v>
          </cell>
          <cell r="P401">
            <v>18</v>
          </cell>
          <cell r="Q401">
            <v>27</v>
          </cell>
          <cell r="R401">
            <v>40.5</v>
          </cell>
          <cell r="S401">
            <v>40.5</v>
          </cell>
          <cell r="T401">
            <v>40.5</v>
          </cell>
        </row>
        <row r="402">
          <cell r="A402" t="str">
            <v>Cumulative Capex - Equity Portion</v>
          </cell>
          <cell r="N402" t="e">
            <v>#REF!</v>
          </cell>
          <cell r="O402" t="e">
            <v>#REF!</v>
          </cell>
          <cell r="P402" t="e">
            <v>#REF!</v>
          </cell>
          <cell r="Q402" t="e">
            <v>#REF!</v>
          </cell>
          <cell r="R402" t="e">
            <v>#REF!</v>
          </cell>
          <cell r="S402" t="e">
            <v>#REF!</v>
          </cell>
          <cell r="T402" t="e">
            <v>#REF!</v>
          </cell>
        </row>
        <row r="403">
          <cell r="A403" t="str">
            <v>14% ROE</v>
          </cell>
          <cell r="N403" t="e">
            <v>#REF!</v>
          </cell>
          <cell r="O403" t="e">
            <v>#REF!</v>
          </cell>
          <cell r="P403" t="e">
            <v>#REF!</v>
          </cell>
          <cell r="Q403" t="e">
            <v>#REF!</v>
          </cell>
          <cell r="R403" t="e">
            <v>#REF!</v>
          </cell>
          <cell r="S403" t="e">
            <v>#REF!</v>
          </cell>
          <cell r="T403" t="e">
            <v>#REF!</v>
          </cell>
        </row>
        <row r="405">
          <cell r="A405" t="str">
            <v>Cumulative incremental ROE (per share)</v>
          </cell>
        </row>
        <row r="406">
          <cell r="A406" t="str">
            <v>Base - PB + 2 Others</v>
          </cell>
          <cell r="K406" t="e">
            <v>#REF!</v>
          </cell>
          <cell r="L406" t="e">
            <v>#REF!</v>
          </cell>
          <cell r="M406" t="e">
            <v>#REF!</v>
          </cell>
          <cell r="N406" t="e">
            <v>#REF!</v>
          </cell>
          <cell r="O406" t="e">
            <v>#REF!</v>
          </cell>
          <cell r="P406" t="e">
            <v>#REF!</v>
          </cell>
          <cell r="Q406" t="e">
            <v>#REF!</v>
          </cell>
          <cell r="R406" t="e">
            <v>#REF!</v>
          </cell>
          <cell r="S406" t="e">
            <v>#REF!</v>
          </cell>
          <cell r="T406" t="e">
            <v>#REF!</v>
          </cell>
        </row>
        <row r="407">
          <cell r="A407" t="str">
            <v>Bull - PB + 5 Others</v>
          </cell>
          <cell r="K407" t="e">
            <v>#REF!</v>
          </cell>
          <cell r="L407" t="e">
            <v>#REF!</v>
          </cell>
          <cell r="M407" t="e">
            <v>#REF!</v>
          </cell>
          <cell r="N407" t="e">
            <v>#REF!</v>
          </cell>
          <cell r="O407" t="e">
            <v>#REF!</v>
          </cell>
          <cell r="P407" t="e">
            <v>#REF!</v>
          </cell>
          <cell r="Q407" t="e">
            <v>#REF!</v>
          </cell>
          <cell r="R407" t="e">
            <v>#REF!</v>
          </cell>
          <cell r="S407" t="e">
            <v>#REF!</v>
          </cell>
          <cell r="T407" t="e">
            <v>#REF!</v>
          </cell>
        </row>
        <row r="408">
          <cell r="A408" t="str">
            <v>Bear - PB Only</v>
          </cell>
          <cell r="K408" t="e">
            <v>#REF!</v>
          </cell>
          <cell r="L408" t="e">
            <v>#REF!</v>
          </cell>
          <cell r="M408" t="e">
            <v>#REF!</v>
          </cell>
          <cell r="N408" t="e">
            <v>#REF!</v>
          </cell>
          <cell r="O408" t="e">
            <v>#REF!</v>
          </cell>
          <cell r="P408" t="e">
            <v>#REF!</v>
          </cell>
          <cell r="Q408" t="e">
            <v>#REF!</v>
          </cell>
          <cell r="R408" t="e">
            <v>#REF!</v>
          </cell>
          <cell r="S408" t="e">
            <v>#REF!</v>
          </cell>
          <cell r="T408" t="e">
            <v>#REF!</v>
          </cell>
        </row>
        <row r="413">
          <cell r="A413" t="str">
            <v>ROIC Calculations</v>
          </cell>
          <cell r="B413">
            <v>0</v>
          </cell>
          <cell r="C413">
            <v>0</v>
          </cell>
          <cell r="D413">
            <v>0</v>
          </cell>
          <cell r="E413">
            <v>0</v>
          </cell>
          <cell r="F413" t="str">
            <v>F2004</v>
          </cell>
          <cell r="G413" t="str">
            <v>F2005</v>
          </cell>
          <cell r="H413" t="str">
            <v>F2006e</v>
          </cell>
          <cell r="I413" t="str">
            <v>F2007e</v>
          </cell>
          <cell r="J413" t="str">
            <v>F2008e</v>
          </cell>
        </row>
        <row r="414">
          <cell r="A414" t="str">
            <v>Invested Capital</v>
          </cell>
          <cell r="B414">
            <v>0</v>
          </cell>
          <cell r="C414">
            <v>0</v>
          </cell>
          <cell r="D414">
            <v>1241</v>
          </cell>
          <cell r="E414">
            <v>1251</v>
          </cell>
          <cell r="F414">
            <v>509314</v>
          </cell>
          <cell r="G414">
            <v>503831</v>
          </cell>
          <cell r="H414">
            <v>588430</v>
          </cell>
          <cell r="I414">
            <v>627210</v>
          </cell>
          <cell r="J414">
            <v>0</v>
          </cell>
        </row>
        <row r="415">
          <cell r="A415" t="str">
            <v>NOPAT</v>
          </cell>
          <cell r="B415">
            <v>0</v>
          </cell>
          <cell r="C415" t="e">
            <v>#VALUE!</v>
          </cell>
          <cell r="D415" t="e">
            <v>#VALUE!</v>
          </cell>
          <cell r="E415" t="e">
            <v>#VALUE!</v>
          </cell>
          <cell r="F415">
            <v>7171.3587748345717</v>
          </cell>
          <cell r="G415">
            <v>34609.265518409746</v>
          </cell>
          <cell r="H415">
            <v>43307.471340322532</v>
          </cell>
          <cell r="I415">
            <v>47505.418402933028</v>
          </cell>
          <cell r="J415">
            <v>53034.774514539655</v>
          </cell>
        </row>
        <row r="416">
          <cell r="A416" t="str">
            <v>ROIC</v>
          </cell>
          <cell r="C416" t="e">
            <v>#VALUE!</v>
          </cell>
          <cell r="D416" t="e">
            <v>#VALUE!</v>
          </cell>
          <cell r="E416" t="e">
            <v>#VALUE!</v>
          </cell>
          <cell r="F416">
            <v>2.8091854219676523E-2</v>
          </cell>
          <cell r="G416">
            <v>6.8320458608411919E-2</v>
          </cell>
          <cell r="H416">
            <v>7.9298759802506058E-2</v>
          </cell>
          <cell r="I416">
            <v>7.8157050447390727E-2</v>
          </cell>
          <cell r="J416">
            <v>0.16911329383951038</v>
          </cell>
        </row>
        <row r="417">
          <cell r="A417" t="str">
            <v>ROC</v>
          </cell>
          <cell r="F417">
            <v>4.1731624212970109E-2</v>
          </cell>
          <cell r="G417">
            <v>8.3745928603485037E-2</v>
          </cell>
          <cell r="H417">
            <v>9.2726390286226257E-2</v>
          </cell>
          <cell r="I417">
            <v>0.11172451163747914</v>
          </cell>
          <cell r="J417">
            <v>0.24105889868671848</v>
          </cell>
        </row>
      </sheetData>
      <sheetData sheetId="14" refreshError="1"/>
      <sheetData sheetId="15" refreshError="1">
        <row r="1">
          <cell r="A1" t="str">
            <v>INCOME STATEMENT</v>
          </cell>
        </row>
        <row r="2">
          <cell r="A2" t="str">
            <v>Year-end March, Rs millions</v>
          </cell>
          <cell r="B2" t="str">
            <v>FY00</v>
          </cell>
          <cell r="C2" t="str">
            <v>FY01</v>
          </cell>
          <cell r="D2" t="str">
            <v>FY02</v>
          </cell>
          <cell r="E2" t="str">
            <v>FY03</v>
          </cell>
          <cell r="F2" t="str">
            <v>FY04</v>
          </cell>
          <cell r="G2" t="str">
            <v>FY05</v>
          </cell>
          <cell r="H2" t="str">
            <v>FY06</v>
          </cell>
          <cell r="I2" t="str">
            <v>FY07</v>
          </cell>
          <cell r="J2" t="str">
            <v>FY08E</v>
          </cell>
          <cell r="K2" t="str">
            <v>FY09E</v>
          </cell>
          <cell r="L2" t="str">
            <v>FY10E</v>
          </cell>
          <cell r="M2" t="str">
            <v>FY11E</v>
          </cell>
          <cell r="N2" t="str">
            <v>FY12E</v>
          </cell>
          <cell r="O2" t="str">
            <v>F2013E</v>
          </cell>
          <cell r="P2" t="str">
            <v>F2014E</v>
          </cell>
          <cell r="Q2" t="str">
            <v>F2015E</v>
          </cell>
          <cell r="R2" t="str">
            <v>F2016E</v>
          </cell>
          <cell r="S2" t="str">
            <v>F2017E</v>
          </cell>
          <cell r="T2" t="str">
            <v>F2018E</v>
          </cell>
          <cell r="U2" t="str">
            <v>F2019E</v>
          </cell>
          <cell r="V2" t="str">
            <v>F2020E</v>
          </cell>
        </row>
        <row r="3">
          <cell r="A3" t="str">
            <v>REVENUE</v>
          </cell>
        </row>
        <row r="4">
          <cell r="A4" t="str">
            <v>Sales</v>
          </cell>
          <cell r="B4">
            <v>160397.323</v>
          </cell>
          <cell r="C4">
            <v>189647.995</v>
          </cell>
          <cell r="D4">
            <v>177982</v>
          </cell>
          <cell r="E4">
            <v>190288</v>
          </cell>
          <cell r="F4">
            <v>188491</v>
          </cell>
          <cell r="G4">
            <v>223902</v>
          </cell>
          <cell r="H4">
            <v>273948</v>
          </cell>
          <cell r="I4">
            <v>338392</v>
          </cell>
          <cell r="J4">
            <v>386350</v>
          </cell>
        </row>
        <row r="5">
          <cell r="A5" t="str">
            <v>Sales growth (%)</v>
          </cell>
          <cell r="C5">
            <v>0.18236384157109642</v>
          </cell>
          <cell r="D5">
            <v>-6.1513937967021426E-2</v>
          </cell>
          <cell r="E5">
            <v>6.9141823330449048E-2</v>
          </cell>
          <cell r="F5">
            <v>-9.4435802572941929E-3</v>
          </cell>
          <cell r="G5">
            <v>0.18786573364245518</v>
          </cell>
          <cell r="H5">
            <v>0.22351743173352623</v>
          </cell>
          <cell r="I5">
            <v>0.23524172470687876</v>
          </cell>
          <cell r="J5">
            <v>0.14172320858649146</v>
          </cell>
        </row>
        <row r="6">
          <cell r="A6" t="str">
            <v>Energy Internally Consumed</v>
          </cell>
          <cell r="B6">
            <v>204</v>
          </cell>
          <cell r="C6">
            <v>244</v>
          </cell>
          <cell r="D6">
            <v>171</v>
          </cell>
          <cell r="E6">
            <v>187</v>
          </cell>
          <cell r="F6">
            <v>193</v>
          </cell>
          <cell r="G6">
            <v>248</v>
          </cell>
          <cell r="H6">
            <v>276</v>
          </cell>
          <cell r="I6">
            <v>365</v>
          </cell>
        </row>
        <row r="7">
          <cell r="A7" t="str">
            <v>Growth (%)</v>
          </cell>
          <cell r="C7">
            <v>0.19607843137254899</v>
          </cell>
          <cell r="D7">
            <v>-0.29918032786885251</v>
          </cell>
          <cell r="E7">
            <v>9.3567251461988299E-2</v>
          </cell>
          <cell r="F7">
            <v>3.2085561497326109E-2</v>
          </cell>
          <cell r="G7">
            <v>0.28497409326424861</v>
          </cell>
          <cell r="H7">
            <v>0.11290322580645151</v>
          </cell>
          <cell r="I7">
            <v>0.32246376811594213</v>
          </cell>
        </row>
        <row r="8">
          <cell r="A8" t="str">
            <v>Total Revenues</v>
          </cell>
          <cell r="B8">
            <v>160601.323</v>
          </cell>
          <cell r="C8">
            <v>189891.995</v>
          </cell>
          <cell r="D8">
            <v>178153</v>
          </cell>
          <cell r="E8">
            <v>190475</v>
          </cell>
          <cell r="F8">
            <v>188684</v>
          </cell>
          <cell r="G8">
            <v>224150</v>
          </cell>
          <cell r="H8">
            <v>274224</v>
          </cell>
          <cell r="I8">
            <v>338757</v>
          </cell>
          <cell r="J8">
            <v>386350</v>
          </cell>
          <cell r="K8">
            <v>400559.99885500182</v>
          </cell>
          <cell r="L8">
            <v>423980.78023981041</v>
          </cell>
          <cell r="M8">
            <v>426183.1314224868</v>
          </cell>
          <cell r="N8">
            <v>428153.63830365991</v>
          </cell>
          <cell r="O8">
            <v>430177.23247365275</v>
          </cell>
          <cell r="P8">
            <v>432215.13575505215</v>
          </cell>
          <cell r="Q8">
            <v>434276.88914314029</v>
          </cell>
          <cell r="R8">
            <v>436365.08126696432</v>
          </cell>
          <cell r="S8">
            <v>438484.15731307562</v>
          </cell>
          <cell r="T8">
            <v>440638.26147602586</v>
          </cell>
          <cell r="U8">
            <v>442831.96400284802</v>
          </cell>
          <cell r="V8">
            <v>455407.11506981839</v>
          </cell>
        </row>
        <row r="9">
          <cell r="A9" t="str">
            <v>Growth (%)</v>
          </cell>
          <cell r="C9">
            <v>0.18238126220168183</v>
          </cell>
          <cell r="D9">
            <v>-6.1819325243278378E-2</v>
          </cell>
          <cell r="E9">
            <v>6.9165268056109008E-2</v>
          </cell>
          <cell r="F9">
            <v>-9.4028087675548377E-3</v>
          </cell>
          <cell r="G9">
            <v>0.1879650632804053</v>
          </cell>
          <cell r="H9">
            <v>0.22339504795895615</v>
          </cell>
          <cell r="I9">
            <v>0.23532951164011906</v>
          </cell>
          <cell r="J9">
            <v>0.14049303778224509</v>
          </cell>
          <cell r="K9">
            <v>3.6780118687723018E-2</v>
          </cell>
          <cell r="L9">
            <v>5.8470095495697816E-2</v>
          </cell>
          <cell r="M9">
            <v>5.1944599503559452E-3</v>
          </cell>
          <cell r="N9">
            <v>4.6236153800740531E-3</v>
          </cell>
          <cell r="O9">
            <v>4.7263271614608193E-3</v>
          </cell>
          <cell r="P9">
            <v>4.7373573670572711E-3</v>
          </cell>
          <cell r="Q9">
            <v>4.7702017294846133E-3</v>
          </cell>
          <cell r="R9">
            <v>4.8084348396806309E-3</v>
          </cell>
          <cell r="S9">
            <v>4.8561998589773392E-3</v>
          </cell>
          <cell r="T9">
            <v>4.9126157171790474E-3</v>
          </cell>
          <cell r="U9">
            <v>4.9784658269889093E-3</v>
          </cell>
          <cell r="V9">
            <v>2.8397116940929612E-2</v>
          </cell>
        </row>
        <row r="11">
          <cell r="A11" t="str">
            <v>OPERATING EXPENDITURE</v>
          </cell>
        </row>
        <row r="12">
          <cell r="A12" t="str">
            <v>Fuel</v>
          </cell>
          <cell r="B12">
            <v>80051</v>
          </cell>
          <cell r="C12">
            <v>99342</v>
          </cell>
          <cell r="D12">
            <v>103991</v>
          </cell>
          <cell r="E12">
            <v>110312</v>
          </cell>
          <cell r="F12">
            <v>122150</v>
          </cell>
          <cell r="G12">
            <v>137235</v>
          </cell>
          <cell r="H12">
            <v>163963</v>
          </cell>
          <cell r="I12">
            <v>198201</v>
          </cell>
          <cell r="J12">
            <v>222187</v>
          </cell>
          <cell r="K12">
            <v>240885.50471165922</v>
          </cell>
          <cell r="L12">
            <v>254920.11928543949</v>
          </cell>
          <cell r="M12">
            <v>255561.10195919065</v>
          </cell>
          <cell r="N12">
            <v>256202.08463294175</v>
          </cell>
          <cell r="O12">
            <v>256843.06730669289</v>
          </cell>
          <cell r="P12">
            <v>257484.04998044408</v>
          </cell>
          <cell r="Q12">
            <v>258125.03265419521</v>
          </cell>
          <cell r="R12">
            <v>258766.01532794631</v>
          </cell>
          <cell r="S12">
            <v>259406.99800169744</v>
          </cell>
          <cell r="T12">
            <v>260047.98067544863</v>
          </cell>
          <cell r="U12">
            <v>260688.96334919977</v>
          </cell>
          <cell r="V12">
            <v>261329.94602295087</v>
          </cell>
        </row>
        <row r="13">
          <cell r="A13" t="str">
            <v>Employees’ remuneration and benefits</v>
          </cell>
          <cell r="B13">
            <v>6211.9179999999997</v>
          </cell>
          <cell r="C13">
            <v>7640.1750000000011</v>
          </cell>
          <cell r="D13">
            <v>8036</v>
          </cell>
          <cell r="E13">
            <v>8213</v>
          </cell>
          <cell r="F13">
            <v>8835</v>
          </cell>
          <cell r="G13">
            <v>8823</v>
          </cell>
          <cell r="H13">
            <v>9964</v>
          </cell>
          <cell r="I13">
            <v>11955</v>
          </cell>
          <cell r="J13">
            <v>19533</v>
          </cell>
          <cell r="K13">
            <v>16421.093792421245</v>
          </cell>
          <cell r="L13">
            <v>17823.819284578782</v>
          </cell>
          <cell r="M13">
            <v>18707.481845701699</v>
          </cell>
          <cell r="N13">
            <v>19623.4348075173</v>
          </cell>
          <cell r="O13">
            <v>20571.551128223167</v>
          </cell>
          <cell r="P13">
            <v>21551.503076242629</v>
          </cell>
          <cell r="Q13">
            <v>22562.732841368754</v>
          </cell>
          <cell r="R13">
            <v>23604.419866459939</v>
          </cell>
          <cell r="S13">
            <v>24675.444573082099</v>
          </cell>
          <cell r="T13">
            <v>25774.348123948741</v>
          </cell>
          <cell r="U13">
            <v>26899.287831721798</v>
          </cell>
          <cell r="V13">
            <v>28047.987787463604</v>
          </cell>
        </row>
        <row r="14">
          <cell r="A14" t="str">
            <v>Generation, administration and other expenses</v>
          </cell>
          <cell r="B14">
            <v>9545.1939999999995</v>
          </cell>
          <cell r="C14">
            <v>10065.950000000001</v>
          </cell>
          <cell r="D14">
            <v>11639.732</v>
          </cell>
          <cell r="E14">
            <v>10869</v>
          </cell>
          <cell r="F14">
            <v>11221</v>
          </cell>
          <cell r="G14">
            <v>12062</v>
          </cell>
          <cell r="H14">
            <v>20289</v>
          </cell>
          <cell r="I14">
            <v>26870</v>
          </cell>
          <cell r="J14">
            <v>30499</v>
          </cell>
          <cell r="K14">
            <v>33626.956685958256</v>
          </cell>
          <cell r="L14">
            <v>34803.96784093928</v>
          </cell>
          <cell r="M14">
            <v>36039.829553669355</v>
          </cell>
          <cell r="N14">
            <v>37337.484352035935</v>
          </cell>
          <cell r="O14">
            <v>38700.021890320844</v>
          </cell>
          <cell r="P14">
            <v>40130.686305520001</v>
          </cell>
          <cell r="Q14">
            <v>41632.883941479115</v>
          </cell>
          <cell r="R14">
            <v>43210.191459236186</v>
          </cell>
          <cell r="S14">
            <v>44866.364352881115</v>
          </cell>
          <cell r="T14">
            <v>46605.345891208279</v>
          </cell>
          <cell r="U14">
            <v>48431.27650645181</v>
          </cell>
          <cell r="V14">
            <v>50348.503652457512</v>
          </cell>
        </row>
        <row r="15">
          <cell r="A15" t="str">
            <v>Provisions for bad debts &amp; others</v>
          </cell>
          <cell r="B15">
            <v>7890</v>
          </cell>
          <cell r="C15">
            <v>9959</v>
          </cell>
          <cell r="D15">
            <v>1836</v>
          </cell>
          <cell r="E15">
            <v>5555</v>
          </cell>
          <cell r="F15">
            <v>5835</v>
          </cell>
          <cell r="G15">
            <v>75</v>
          </cell>
          <cell r="H15">
            <v>358</v>
          </cell>
          <cell r="I15">
            <v>116</v>
          </cell>
          <cell r="J15">
            <v>0</v>
          </cell>
          <cell r="K15">
            <v>0</v>
          </cell>
          <cell r="L15">
            <v>0</v>
          </cell>
          <cell r="M15">
            <v>0</v>
          </cell>
          <cell r="N15">
            <v>0</v>
          </cell>
          <cell r="O15">
            <v>0</v>
          </cell>
          <cell r="P15">
            <v>0</v>
          </cell>
          <cell r="Q15">
            <v>0</v>
          </cell>
          <cell r="R15">
            <v>0</v>
          </cell>
          <cell r="S15">
            <v>0</v>
          </cell>
          <cell r="T15">
            <v>0</v>
          </cell>
          <cell r="U15">
            <v>0</v>
          </cell>
          <cell r="V15">
            <v>0</v>
          </cell>
        </row>
        <row r="16">
          <cell r="A16" t="str">
            <v>Total Operating Expenditure</v>
          </cell>
          <cell r="B16">
            <v>103698.11200000001</v>
          </cell>
          <cell r="C16">
            <v>127007.125</v>
          </cell>
          <cell r="D16">
            <v>125502.732</v>
          </cell>
          <cell r="E16">
            <v>134949</v>
          </cell>
          <cell r="F16">
            <v>148041</v>
          </cell>
          <cell r="G16">
            <v>158195</v>
          </cell>
          <cell r="H16">
            <v>194574</v>
          </cell>
          <cell r="I16">
            <v>237142</v>
          </cell>
          <cell r="J16">
            <v>272219</v>
          </cell>
          <cell r="K16">
            <v>290933.55519003875</v>
          </cell>
          <cell r="L16">
            <v>307547.90641095757</v>
          </cell>
          <cell r="M16">
            <v>310308.41335856169</v>
          </cell>
          <cell r="N16">
            <v>313163.003792495</v>
          </cell>
          <cell r="O16">
            <v>316114.64032523689</v>
          </cell>
          <cell r="P16">
            <v>319166.23936220672</v>
          </cell>
          <cell r="Q16">
            <v>322320.64943704306</v>
          </cell>
          <cell r="R16">
            <v>325580.62665364245</v>
          </cell>
          <cell r="S16">
            <v>328948.80692766065</v>
          </cell>
          <cell r="T16">
            <v>332427.67469060567</v>
          </cell>
          <cell r="U16">
            <v>336019.52768737334</v>
          </cell>
          <cell r="V16">
            <v>339726.43746287201</v>
          </cell>
        </row>
        <row r="17">
          <cell r="A17" t="str">
            <v xml:space="preserve">% of sales </v>
          </cell>
          <cell r="B17">
            <v>0.6456865364676978</v>
          </cell>
          <cell r="C17">
            <v>0.66883875226019929</v>
          </cell>
          <cell r="D17">
            <v>0.70446600394043324</v>
          </cell>
          <cell r="E17">
            <v>0.70848667804173782</v>
          </cell>
          <cell r="F17">
            <v>0.78459752814229078</v>
          </cell>
          <cell r="G17">
            <v>0.70575507472674548</v>
          </cell>
          <cell r="H17">
            <v>0.70954402240504111</v>
          </cell>
          <cell r="I17">
            <v>0.70003571881909454</v>
          </cell>
          <cell r="J17">
            <v>0.70459169147146372</v>
          </cell>
          <cell r="K17">
            <v>0.72631704618951076</v>
          </cell>
          <cell r="L17">
            <v>0.72538171715473398</v>
          </cell>
          <cell r="M17">
            <v>0.7281105010487724</v>
          </cell>
          <cell r="N17">
            <v>0.73142670241748597</v>
          </cell>
          <cell r="O17">
            <v>0.73484744533661039</v>
          </cell>
          <cell r="P17">
            <v>0.73844299507152555</v>
          </cell>
          <cell r="Q17">
            <v>0.74220078824135682</v>
          </cell>
          <cell r="R17">
            <v>0.74611979883526724</v>
          </cell>
          <cell r="S17">
            <v>0.75019542084115198</v>
          </cell>
          <cell r="T17">
            <v>0.75442308068540775</v>
          </cell>
          <cell r="U17">
            <v>0.75879691395811766</v>
          </cell>
          <cell r="V17">
            <v>0.74598403542902181</v>
          </cell>
        </row>
        <row r="19">
          <cell r="A19" t="str">
            <v>Operating profit</v>
          </cell>
          <cell r="B19">
            <v>56903.210999999996</v>
          </cell>
          <cell r="C19">
            <v>62884.869999999995</v>
          </cell>
          <cell r="D19">
            <v>52650.267999999996</v>
          </cell>
          <cell r="E19">
            <v>55526</v>
          </cell>
          <cell r="F19">
            <v>40643</v>
          </cell>
          <cell r="G19">
            <v>65955</v>
          </cell>
          <cell r="H19">
            <v>79650</v>
          </cell>
          <cell r="I19">
            <v>101615</v>
          </cell>
          <cell r="J19">
            <v>114131</v>
          </cell>
          <cell r="K19">
            <v>109626.44366496308</v>
          </cell>
          <cell r="L19">
            <v>116432.87382885284</v>
          </cell>
          <cell r="M19">
            <v>115874.7180639251</v>
          </cell>
          <cell r="N19">
            <v>114990.63451116491</v>
          </cell>
          <cell r="O19">
            <v>114062.5921484158</v>
          </cell>
          <cell r="P19">
            <v>113048.89639284543</v>
          </cell>
          <cell r="Q19">
            <v>111956.23970609723</v>
          </cell>
          <cell r="R19">
            <v>110784.45461332187</v>
          </cell>
          <cell r="S19">
            <v>109535.35038541506</v>
          </cell>
          <cell r="T19">
            <v>108210.58678542015</v>
          </cell>
          <cell r="U19">
            <v>106812.43631547465</v>
          </cell>
          <cell r="V19">
            <v>115680.67760694653</v>
          </cell>
        </row>
        <row r="20">
          <cell r="A20" t="str">
            <v>Growth (%)</v>
          </cell>
          <cell r="C20">
            <v>0.1051198850623738</v>
          </cell>
          <cell r="D20">
            <v>-0.16275142176488555</v>
          </cell>
          <cell r="E20">
            <v>5.4619513047872825E-2</v>
          </cell>
          <cell r="F20">
            <v>-0.26803659546878944</v>
          </cell>
          <cell r="G20">
            <v>0.62278867209605582</v>
          </cell>
          <cell r="H20">
            <v>0.20764157380031834</v>
          </cell>
          <cell r="I20">
            <v>0.27576898932831129</v>
          </cell>
          <cell r="J20">
            <v>0.12317079171382184</v>
          </cell>
          <cell r="K20">
            <v>-3.9468298140180269E-2</v>
          </cell>
          <cell r="L20">
            <v>6.2087484883586619E-2</v>
          </cell>
          <cell r="M20">
            <v>-4.7937987492104872E-3</v>
          </cell>
          <cell r="N20">
            <v>-7.6296500870229877E-3</v>
          </cell>
          <cell r="O20">
            <v>-8.0705908502400892E-3</v>
          </cell>
          <cell r="P20">
            <v>-8.8871884855235006E-3</v>
          </cell>
          <cell r="Q20">
            <v>-9.6653458955602289E-3</v>
          </cell>
          <cell r="R20">
            <v>-1.0466456321250872E-2</v>
          </cell>
          <cell r="S20">
            <v>-1.1275085771434545E-2</v>
          </cell>
          <cell r="T20">
            <v>-1.2094393228611167E-2</v>
          </cell>
          <cell r="U20">
            <v>-1.2920644009795534E-2</v>
          </cell>
          <cell r="V20">
            <v>8.3026299159389749E-2</v>
          </cell>
        </row>
        <row r="21">
          <cell r="A21" t="str">
            <v>Operating margin (%)</v>
          </cell>
          <cell r="B21">
            <v>0.35431346353230225</v>
          </cell>
          <cell r="C21">
            <v>0.33116124773980071</v>
          </cell>
          <cell r="D21">
            <v>0.29553399605956676</v>
          </cell>
          <cell r="E21">
            <v>0.29151332195826224</v>
          </cell>
          <cell r="F21">
            <v>0.21540247185770919</v>
          </cell>
          <cell r="G21">
            <v>0.29424492527325452</v>
          </cell>
          <cell r="H21">
            <v>0.29045597759495889</v>
          </cell>
          <cell r="I21">
            <v>0.29996428118090551</v>
          </cell>
          <cell r="J21">
            <v>0.29540830852853628</v>
          </cell>
          <cell r="K21">
            <v>0.27368295381048924</v>
          </cell>
          <cell r="L21">
            <v>0.27461828284526607</v>
          </cell>
          <cell r="M21">
            <v>0.27188949895122755</v>
          </cell>
          <cell r="N21">
            <v>0.26857329758251397</v>
          </cell>
          <cell r="O21">
            <v>0.26515255466338944</v>
          </cell>
          <cell r="P21">
            <v>0.26155700492847445</v>
          </cell>
          <cell r="Q21">
            <v>0.25779921175864318</v>
          </cell>
          <cell r="R21">
            <v>0.25388020116473276</v>
          </cell>
          <cell r="S21">
            <v>0.24980457915884824</v>
          </cell>
          <cell r="T21">
            <v>0.24557691931459213</v>
          </cell>
          <cell r="U21">
            <v>0.24120308604188226</v>
          </cell>
          <cell r="V21">
            <v>0.25401596457097853</v>
          </cell>
        </row>
        <row r="23">
          <cell r="A23" t="str">
            <v>Non Operating Income Excluding SEB Bonds</v>
          </cell>
          <cell r="B23">
            <v>7083.53</v>
          </cell>
          <cell r="C23">
            <v>9161</v>
          </cell>
          <cell r="D23">
            <v>6725</v>
          </cell>
          <cell r="E23">
            <v>4036</v>
          </cell>
          <cell r="F23">
            <v>26456</v>
          </cell>
          <cell r="G23">
            <v>9580</v>
          </cell>
          <cell r="H23">
            <v>9367</v>
          </cell>
          <cell r="I23">
            <v>13485</v>
          </cell>
          <cell r="J23">
            <v>30020</v>
          </cell>
          <cell r="K23">
            <v>18297.480883947512</v>
          </cell>
          <cell r="L23">
            <v>25516.462032691834</v>
          </cell>
          <cell r="M23">
            <v>33177.118432517374</v>
          </cell>
          <cell r="N23">
            <v>41089.627021675165</v>
          </cell>
          <cell r="O23">
            <v>49323.427196907644</v>
          </cell>
          <cell r="P23">
            <v>57839.318504961971</v>
          </cell>
          <cell r="Q23">
            <v>66683.118603245792</v>
          </cell>
          <cell r="R23">
            <v>75858.579102195697</v>
          </cell>
          <cell r="S23">
            <v>85422.878106614487</v>
          </cell>
          <cell r="T23">
            <v>95351.266115801875</v>
          </cell>
          <cell r="U23">
            <v>105683.20250383276</v>
          </cell>
          <cell r="V23">
            <v>116414.30267126737</v>
          </cell>
        </row>
        <row r="24">
          <cell r="A24" t="str">
            <v>SEB Bond Income (Net of rebate)</v>
          </cell>
          <cell r="B24">
            <v>0</v>
          </cell>
          <cell r="C24">
            <v>0</v>
          </cell>
          <cell r="D24">
            <v>0</v>
          </cell>
          <cell r="E24">
            <v>0</v>
          </cell>
          <cell r="F24">
            <v>13543</v>
          </cell>
          <cell r="G24">
            <v>4895</v>
          </cell>
          <cell r="H24">
            <v>8830</v>
          </cell>
          <cell r="I24">
            <v>14235</v>
          </cell>
          <cell r="J24">
            <v>0</v>
          </cell>
          <cell r="K24">
            <v>6920.1015000000007</v>
          </cell>
          <cell r="L24">
            <v>5297.8769999999995</v>
          </cell>
          <cell r="M24">
            <v>3675.6525000000006</v>
          </cell>
          <cell r="N24">
            <v>2053.4280000000003</v>
          </cell>
          <cell r="O24">
            <v>431.20350000000002</v>
          </cell>
          <cell r="P24">
            <v>-1191.0210000000002</v>
          </cell>
          <cell r="Q24">
            <v>-2813.2455</v>
          </cell>
          <cell r="R24">
            <v>-4435.47</v>
          </cell>
          <cell r="S24">
            <v>-6057.6945000000014</v>
          </cell>
          <cell r="T24">
            <v>-7679.9190000000017</v>
          </cell>
          <cell r="U24">
            <v>-9302.1435000000038</v>
          </cell>
          <cell r="V24">
            <v>-10924.368</v>
          </cell>
        </row>
        <row r="26">
          <cell r="A26" t="str">
            <v>Depreciation</v>
          </cell>
          <cell r="B26">
            <v>20831</v>
          </cell>
          <cell r="C26">
            <v>23223</v>
          </cell>
          <cell r="D26">
            <v>13784</v>
          </cell>
          <cell r="E26">
            <v>15291</v>
          </cell>
          <cell r="F26">
            <v>20232</v>
          </cell>
          <cell r="G26">
            <v>19584</v>
          </cell>
          <cell r="H26">
            <v>20710</v>
          </cell>
          <cell r="I26">
            <v>20998</v>
          </cell>
          <cell r="J26">
            <v>22060</v>
          </cell>
          <cell r="K26">
            <v>28850.603399481977</v>
          </cell>
          <cell r="L26">
            <v>32663.258931935547</v>
          </cell>
          <cell r="M26">
            <v>32489.681181935546</v>
          </cell>
          <cell r="N26">
            <v>32316.103431935546</v>
          </cell>
          <cell r="O26">
            <v>32142.525681935545</v>
          </cell>
          <cell r="P26">
            <v>31968.947931935545</v>
          </cell>
          <cell r="Q26">
            <v>31795.370181935545</v>
          </cell>
          <cell r="R26">
            <v>31621.792431935544</v>
          </cell>
          <cell r="S26">
            <v>31448.214681935544</v>
          </cell>
          <cell r="T26">
            <v>31274.636931935544</v>
          </cell>
          <cell r="U26">
            <v>31101.059181935543</v>
          </cell>
          <cell r="V26">
            <v>30927.481431935543</v>
          </cell>
        </row>
        <row r="27">
          <cell r="A27" t="str">
            <v>% of average gross block</v>
          </cell>
          <cell r="B27" t="e">
            <v>#DIV/0!</v>
          </cell>
          <cell r="C27" t="e">
            <v>#DIV/0!</v>
          </cell>
          <cell r="D27">
            <v>4.2408784500979915E-2</v>
          </cell>
          <cell r="E27">
            <v>4.1757125418841093E-2</v>
          </cell>
          <cell r="F27">
            <v>5.2792672903049044E-2</v>
          </cell>
          <cell r="G27">
            <v>4.7114127381838782E-2</v>
          </cell>
          <cell r="H27">
            <v>4.629433000637078E-2</v>
          </cell>
          <cell r="I27">
            <v>4.3090852377199895E-2</v>
          </cell>
          <cell r="J27">
            <v>4.3174985908436152E-2</v>
          </cell>
          <cell r="K27">
            <v>4.4237992970341963E-2</v>
          </cell>
          <cell r="L27">
            <v>4.7044132862558055E-2</v>
          </cell>
          <cell r="M27">
            <v>4.6794132862558055E-2</v>
          </cell>
          <cell r="N27">
            <v>4.6544132862558055E-2</v>
          </cell>
          <cell r="O27">
            <v>4.6294132862558054E-2</v>
          </cell>
          <cell r="P27">
            <v>4.6044132862558054E-2</v>
          </cell>
          <cell r="Q27">
            <v>4.5794132862558054E-2</v>
          </cell>
          <cell r="R27">
            <v>4.5544132862558054E-2</v>
          </cell>
          <cell r="S27">
            <v>4.5294132862558054E-2</v>
          </cell>
          <cell r="T27">
            <v>4.5044132862558053E-2</v>
          </cell>
          <cell r="U27">
            <v>4.4794132862558053E-2</v>
          </cell>
          <cell r="V27">
            <v>4.4544132862558053E-2</v>
          </cell>
        </row>
        <row r="28">
          <cell r="A28" t="str">
            <v>Interest and finance charges</v>
          </cell>
          <cell r="B28">
            <v>9827.6278173981646</v>
          </cell>
          <cell r="C28">
            <v>10917.633900284078</v>
          </cell>
          <cell r="D28">
            <v>8677.0145183220775</v>
          </cell>
          <cell r="E28">
            <v>9916.0186927184059</v>
          </cell>
          <cell r="F28">
            <v>12386</v>
          </cell>
          <cell r="G28">
            <v>10142</v>
          </cell>
          <cell r="H28">
            <v>9795</v>
          </cell>
          <cell r="I28">
            <v>18873</v>
          </cell>
          <cell r="J28">
            <v>18581</v>
          </cell>
          <cell r="K28">
            <v>22304.521009122167</v>
          </cell>
          <cell r="L28">
            <v>23116.04238720307</v>
          </cell>
          <cell r="M28">
            <v>22674.327361086751</v>
          </cell>
          <cell r="N28">
            <v>21908.225948474617</v>
          </cell>
          <cell r="O28">
            <v>21100.409698254753</v>
          </cell>
          <cell r="P28">
            <v>20209.088410171025</v>
          </cell>
          <cell r="Q28">
            <v>19240.978071608839</v>
          </cell>
          <cell r="R28">
            <v>18195.91759063963</v>
          </cell>
          <cell r="S28">
            <v>17075.727198893132</v>
          </cell>
          <cell r="T28">
            <v>15882.07687797475</v>
          </cell>
          <cell r="U28">
            <v>14617.250399123943</v>
          </cell>
          <cell r="V28">
            <v>23646.526846198321</v>
          </cell>
        </row>
        <row r="30">
          <cell r="A30" t="str">
            <v>Profit before Tax</v>
          </cell>
          <cell r="B30">
            <v>33328.113182601832</v>
          </cell>
          <cell r="C30">
            <v>37905.236099715919</v>
          </cell>
          <cell r="D30">
            <v>36914.253481677923</v>
          </cell>
          <cell r="E30">
            <v>34354.981307281596</v>
          </cell>
          <cell r="F30">
            <v>48024</v>
          </cell>
          <cell r="G30">
            <v>50704</v>
          </cell>
          <cell r="H30">
            <v>67342</v>
          </cell>
          <cell r="I30">
            <v>89464</v>
          </cell>
          <cell r="J30">
            <v>103510</v>
          </cell>
          <cell r="K30">
            <v>83688.901640306445</v>
          </cell>
          <cell r="L30">
            <v>91467.911542406058</v>
          </cell>
          <cell r="M30">
            <v>97563.480453420168</v>
          </cell>
          <cell r="N30">
            <v>103909.36015242993</v>
          </cell>
          <cell r="O30">
            <v>110574.28746513317</v>
          </cell>
          <cell r="P30">
            <v>117519.1575557008</v>
          </cell>
          <cell r="Q30">
            <v>124789.76455579865</v>
          </cell>
          <cell r="R30">
            <v>132389.85369294239</v>
          </cell>
          <cell r="S30">
            <v>140376.59211120082</v>
          </cell>
          <cell r="T30">
            <v>148725.22009131184</v>
          </cell>
          <cell r="U30">
            <v>157475.18573824788</v>
          </cell>
          <cell r="V30">
            <v>166596.60400007994</v>
          </cell>
        </row>
        <row r="31">
          <cell r="A31" t="str">
            <v>Net Taxation</v>
          </cell>
          <cell r="B31">
            <v>2064</v>
          </cell>
          <cell r="C31">
            <v>3400</v>
          </cell>
          <cell r="D31">
            <v>2125</v>
          </cell>
          <cell r="E31">
            <v>1465</v>
          </cell>
          <cell r="F31">
            <v>5108.4443859619332</v>
          </cell>
          <cell r="G31">
            <v>2266.8861176006053</v>
          </cell>
          <cell r="H31">
            <v>7999</v>
          </cell>
          <cell r="I31">
            <v>20631</v>
          </cell>
          <cell r="J31">
            <v>28811</v>
          </cell>
          <cell r="K31">
            <v>6158.9320655367337</v>
          </cell>
          <cell r="L31">
            <v>8588.8411202040716</v>
          </cell>
          <cell r="M31">
            <v>11167.418064385349</v>
          </cell>
          <cell r="N31">
            <v>13830.768455495861</v>
          </cell>
          <cell r="O31">
            <v>16602.265594479115</v>
          </cell>
          <cell r="P31">
            <v>19468.714608770202</v>
          </cell>
          <cell r="Q31">
            <v>22445.537721852535</v>
          </cell>
          <cell r="R31">
            <v>25533.997725799072</v>
          </cell>
          <cell r="S31">
            <v>28753.340770686438</v>
          </cell>
          <cell r="T31">
            <v>32095.236174578909</v>
          </cell>
          <cell r="U31">
            <v>35572.965962790106</v>
          </cell>
          <cell r="V31">
            <v>39185.0542791486</v>
          </cell>
        </row>
        <row r="32">
          <cell r="A32" t="str">
            <v>Provisions for current tax (net of tax on extraordinary items)</v>
          </cell>
          <cell r="B32">
            <v>2064</v>
          </cell>
          <cell r="C32">
            <v>3400</v>
          </cell>
          <cell r="D32">
            <v>2125</v>
          </cell>
          <cell r="E32">
            <v>1464</v>
          </cell>
          <cell r="F32">
            <v>5108.4443859619332</v>
          </cell>
          <cell r="G32">
            <v>2266.8861176006053</v>
          </cell>
          <cell r="H32">
            <v>7991</v>
          </cell>
          <cell r="I32">
            <v>20670</v>
          </cell>
          <cell r="J32">
            <v>28810</v>
          </cell>
          <cell r="K32">
            <v>6158.9320655367337</v>
          </cell>
          <cell r="L32">
            <v>8588.8411202040716</v>
          </cell>
          <cell r="M32">
            <v>11167.418064385349</v>
          </cell>
          <cell r="N32">
            <v>13830.768455495861</v>
          </cell>
          <cell r="O32">
            <v>16602.265594479115</v>
          </cell>
          <cell r="P32">
            <v>19468.714608770202</v>
          </cell>
          <cell r="Q32">
            <v>22445.537721852535</v>
          </cell>
          <cell r="R32">
            <v>25533.997725799072</v>
          </cell>
          <cell r="S32">
            <v>28753.340770686438</v>
          </cell>
          <cell r="T32">
            <v>32095.236174578909</v>
          </cell>
          <cell r="U32">
            <v>35572.965962790106</v>
          </cell>
          <cell r="V32">
            <v>39185.0542791486</v>
          </cell>
        </row>
        <row r="33">
          <cell r="A33" t="str">
            <v>Provisions for deferred tax</v>
          </cell>
          <cell r="B33">
            <v>0</v>
          </cell>
          <cell r="C33">
            <v>0</v>
          </cell>
          <cell r="D33">
            <v>0</v>
          </cell>
          <cell r="E33">
            <v>1</v>
          </cell>
          <cell r="F33">
            <v>0</v>
          </cell>
          <cell r="G33">
            <v>0</v>
          </cell>
          <cell r="H33">
            <v>8</v>
          </cell>
          <cell r="I33">
            <v>-39</v>
          </cell>
          <cell r="J33">
            <v>1</v>
          </cell>
          <cell r="K33">
            <v>0</v>
          </cell>
          <cell r="L33">
            <v>0</v>
          </cell>
          <cell r="M33">
            <v>0</v>
          </cell>
          <cell r="N33">
            <v>0</v>
          </cell>
          <cell r="O33">
            <v>0</v>
          </cell>
          <cell r="P33">
            <v>0</v>
          </cell>
          <cell r="Q33">
            <v>0</v>
          </cell>
          <cell r="R33">
            <v>0</v>
          </cell>
          <cell r="S33">
            <v>0</v>
          </cell>
          <cell r="T33">
            <v>0</v>
          </cell>
          <cell r="U33">
            <v>0</v>
          </cell>
          <cell r="V33">
            <v>0</v>
          </cell>
        </row>
        <row r="34">
          <cell r="A34" t="str">
            <v>Effective Tax Rate</v>
          </cell>
          <cell r="F34">
            <v>0.10677963223933307</v>
          </cell>
          <cell r="G34">
            <v>4.4618472574117336E-2</v>
          </cell>
          <cell r="H34">
            <v>0.11878174096403434</v>
          </cell>
          <cell r="I34">
            <v>0.2306067244925333</v>
          </cell>
          <cell r="J34">
            <v>0.27834025698000192</v>
          </cell>
          <cell r="K34">
            <v>7.3593175974608016E-2</v>
          </cell>
          <cell r="L34">
            <v>9.3900046206063653E-2</v>
          </cell>
          <cell r="M34">
            <v>0.11446309636029252</v>
          </cell>
          <cell r="N34">
            <v>0.13310416342865361</v>
          </cell>
          <cell r="O34">
            <v>0.15014580672486108</v>
          </cell>
          <cell r="P34">
            <v>0.16566417777069731</v>
          </cell>
          <cell r="Q34">
            <v>0.1798668168158632</v>
          </cell>
          <cell r="R34">
            <v>0.19286974804746893</v>
          </cell>
          <cell r="S34">
            <v>0.20483002428146405</v>
          </cell>
          <cell r="T34">
            <v>0.21580224359307459</v>
          </cell>
          <cell r="U34">
            <v>0.22589569141336835</v>
          </cell>
          <cell r="V34">
            <v>0.23520920197826961</v>
          </cell>
        </row>
        <row r="35">
          <cell r="A35" t="str">
            <v>Net Profit</v>
          </cell>
          <cell r="B35">
            <v>31264.113182601832</v>
          </cell>
          <cell r="C35">
            <v>34505.236099715919</v>
          </cell>
          <cell r="D35">
            <v>34789.253481677923</v>
          </cell>
          <cell r="E35">
            <v>32889.981307281596</v>
          </cell>
          <cell r="F35">
            <v>42915.555614038065</v>
          </cell>
          <cell r="G35">
            <v>48437.113882399397</v>
          </cell>
          <cell r="H35">
            <v>59343</v>
          </cell>
          <cell r="I35">
            <v>68833</v>
          </cell>
          <cell r="J35">
            <v>74699</v>
          </cell>
          <cell r="K35">
            <v>77529.969574769711</v>
          </cell>
          <cell r="L35">
            <v>82879.070422201985</v>
          </cell>
          <cell r="M35">
            <v>86396.062389034822</v>
          </cell>
          <cell r="N35">
            <v>90078.591696934076</v>
          </cell>
          <cell r="O35">
            <v>93972.021870654076</v>
          </cell>
          <cell r="P35">
            <v>98050.442946930605</v>
          </cell>
          <cell r="Q35">
            <v>102344.22683394612</v>
          </cell>
          <cell r="R35">
            <v>106855.85596714332</v>
          </cell>
          <cell r="S35">
            <v>111623.25134051437</v>
          </cell>
          <cell r="T35">
            <v>116629.9839167329</v>
          </cell>
          <cell r="U35">
            <v>121902.21977545781</v>
          </cell>
          <cell r="V35">
            <v>127411.54972093132</v>
          </cell>
        </row>
        <row r="37">
          <cell r="A37" t="str">
            <v>Extraordinary Items - as per Annual Report / Quarterly Results</v>
          </cell>
        </row>
        <row r="38">
          <cell r="A38" t="str">
            <v>Prior period income/expenditure (net)</v>
          </cell>
          <cell r="B38">
            <v>-544.25099999999998</v>
          </cell>
          <cell r="C38">
            <v>-798.36700000000008</v>
          </cell>
          <cell r="D38">
            <v>-1</v>
          </cell>
          <cell r="E38">
            <v>-803</v>
          </cell>
          <cell r="F38">
            <v>-183</v>
          </cell>
          <cell r="G38">
            <v>102</v>
          </cell>
          <cell r="H38">
            <v>-2488</v>
          </cell>
          <cell r="I38">
            <v>109</v>
          </cell>
        </row>
        <row r="39">
          <cell r="A39" t="str">
            <v>Extraordinary Item -- capital receipt</v>
          </cell>
          <cell r="B39">
            <v>0</v>
          </cell>
          <cell r="C39">
            <v>0</v>
          </cell>
          <cell r="D39">
            <v>501</v>
          </cell>
          <cell r="E39">
            <v>0</v>
          </cell>
          <cell r="F39">
            <v>0</v>
          </cell>
          <cell r="G39">
            <v>0</v>
          </cell>
        </row>
        <row r="40">
          <cell r="A40" t="str">
            <v>Our adjustments - extraordinary income/ (expense)</v>
          </cell>
          <cell r="B40">
            <v>3524.8010000000004</v>
          </cell>
          <cell r="C40">
            <v>3631.2910000000002</v>
          </cell>
          <cell r="D40">
            <v>107.21100000000001</v>
          </cell>
          <cell r="E40">
            <v>3988</v>
          </cell>
          <cell r="F40">
            <v>11056</v>
          </cell>
          <cell r="G40">
            <v>9976</v>
          </cell>
          <cell r="H40">
            <v>1553</v>
          </cell>
          <cell r="I40">
            <v>41</v>
          </cell>
        </row>
        <row r="41">
          <cell r="A41" t="str">
            <v>Tax on Extraordinary Items</v>
          </cell>
          <cell r="F41">
            <v>1180.5556140380663</v>
          </cell>
          <cell r="G41">
            <v>445.11388239939453</v>
          </cell>
        </row>
        <row r="42">
          <cell r="A42" t="str">
            <v>Extraordinary Items - as per Prospectus</v>
          </cell>
        </row>
        <row r="43">
          <cell r="A43" t="str">
            <v>Adjustment on account of changes in accounting policies</v>
          </cell>
          <cell r="B43">
            <v>11</v>
          </cell>
          <cell r="C43">
            <v>0</v>
          </cell>
          <cell r="D43">
            <v>5</v>
          </cell>
          <cell r="E43">
            <v>16</v>
          </cell>
          <cell r="F43" t="str">
            <v>Ignored</v>
          </cell>
        </row>
        <row r="44">
          <cell r="A44" t="str">
            <v>Impact of material adjustments</v>
          </cell>
          <cell r="B44">
            <v>2412</v>
          </cell>
          <cell r="C44">
            <v>-2993</v>
          </cell>
          <cell r="D44">
            <v>4572</v>
          </cell>
          <cell r="E44">
            <v>-4130</v>
          </cell>
          <cell r="F44" t="str">
            <v>to match</v>
          </cell>
        </row>
        <row r="45">
          <cell r="A45" t="str">
            <v>Prior period items</v>
          </cell>
          <cell r="B45">
            <v>-431</v>
          </cell>
          <cell r="C45">
            <v>648</v>
          </cell>
          <cell r="D45">
            <v>-299</v>
          </cell>
          <cell r="E45">
            <v>681</v>
          </cell>
          <cell r="F45" t="str">
            <v>AR Figures</v>
          </cell>
        </row>
        <row r="46">
          <cell r="A46" t="str">
            <v>Total Adjustments (B)</v>
          </cell>
          <cell r="B46">
            <v>1992</v>
          </cell>
          <cell r="C46">
            <v>-2345</v>
          </cell>
          <cell r="D46">
            <v>4278</v>
          </cell>
          <cell r="E46">
            <v>-3433</v>
          </cell>
        </row>
        <row r="48">
          <cell r="A48" t="str">
            <v>Net Extraordinary</v>
          </cell>
          <cell r="F48">
            <v>9692.4443859619332</v>
          </cell>
          <cell r="G48">
            <v>9632.8861176006048</v>
          </cell>
          <cell r="H48">
            <v>-935</v>
          </cell>
          <cell r="I48">
            <v>150</v>
          </cell>
          <cell r="J48">
            <v>0</v>
          </cell>
        </row>
        <row r="50">
          <cell r="A50" t="str">
            <v>Reported Net Profit</v>
          </cell>
          <cell r="B50">
            <v>36236.663182601835</v>
          </cell>
          <cell r="C50">
            <v>34993.160099715918</v>
          </cell>
          <cell r="D50">
            <v>39674.464481677926</v>
          </cell>
          <cell r="E50">
            <v>32641.981307281596</v>
          </cell>
          <cell r="F50">
            <v>52608</v>
          </cell>
          <cell r="G50">
            <v>58070</v>
          </cell>
          <cell r="H50">
            <v>58408</v>
          </cell>
          <cell r="I50">
            <v>68983</v>
          </cell>
          <cell r="J50">
            <v>74699</v>
          </cell>
          <cell r="K50">
            <v>77529.969574769711</v>
          </cell>
          <cell r="L50">
            <v>82879.070422201985</v>
          </cell>
          <cell r="M50">
            <v>86396.062389034822</v>
          </cell>
          <cell r="N50">
            <v>90078.591696934076</v>
          </cell>
          <cell r="O50">
            <v>93972.021870654076</v>
          </cell>
          <cell r="P50">
            <v>98050.442946930605</v>
          </cell>
          <cell r="Q50">
            <v>102344.22683394612</v>
          </cell>
          <cell r="R50">
            <v>106855.85596714332</v>
          </cell>
          <cell r="S50">
            <v>111623.25134051437</v>
          </cell>
          <cell r="T50">
            <v>116629.9839167329</v>
          </cell>
          <cell r="U50">
            <v>121902.21977545781</v>
          </cell>
          <cell r="V50">
            <v>127411.54972093132</v>
          </cell>
        </row>
        <row r="51">
          <cell r="G51">
            <v>0</v>
          </cell>
        </row>
        <row r="52">
          <cell r="A52" t="str">
            <v>Common Size PAT</v>
          </cell>
          <cell r="B52">
            <v>31217.133182601836</v>
          </cell>
          <cell r="C52">
            <v>29232.160099715918</v>
          </cell>
          <cell r="D52">
            <v>35074.464481677926</v>
          </cell>
          <cell r="E52">
            <v>30070.981307281596</v>
          </cell>
          <cell r="F52">
            <v>17717.444385961935</v>
          </cell>
          <cell r="G52">
            <v>45861.886117600603</v>
          </cell>
          <cell r="H52">
            <v>48210</v>
          </cell>
          <cell r="I52">
            <v>61894</v>
          </cell>
          <cell r="J52">
            <v>73490</v>
          </cell>
        </row>
        <row r="54">
          <cell r="A54" t="str">
            <v>Year-ending shares (basic?)</v>
          </cell>
          <cell r="B54">
            <v>7812.5493999999999</v>
          </cell>
          <cell r="C54">
            <v>7812.5493999999999</v>
          </cell>
          <cell r="D54">
            <v>7812.5493999999999</v>
          </cell>
          <cell r="E54">
            <v>7812.5493999999999</v>
          </cell>
          <cell r="F54">
            <v>7812.5493999999999</v>
          </cell>
          <cell r="G54">
            <v>8245.4644000000008</v>
          </cell>
          <cell r="H54">
            <v>8245.4644000000008</v>
          </cell>
          <cell r="I54">
            <v>8245.4644000000008</v>
          </cell>
          <cell r="J54">
            <v>8245.4644000000008</v>
          </cell>
          <cell r="K54">
            <v>8245.4644000000008</v>
          </cell>
          <cell r="L54">
            <v>8245.4644000000008</v>
          </cell>
          <cell r="M54">
            <v>8245.4644000000008</v>
          </cell>
          <cell r="N54">
            <v>8245.4644000000008</v>
          </cell>
          <cell r="O54">
            <v>8245.4644000000008</v>
          </cell>
          <cell r="P54">
            <v>8245.4644000000008</v>
          </cell>
          <cell r="Q54">
            <v>8245.4644000000008</v>
          </cell>
          <cell r="R54">
            <v>8245.4644000000008</v>
          </cell>
          <cell r="S54">
            <v>8245.4644000000008</v>
          </cell>
          <cell r="T54">
            <v>8245.4644000000008</v>
          </cell>
          <cell r="U54">
            <v>8245.4644000000008</v>
          </cell>
          <cell r="V54">
            <v>8245.4644000000008</v>
          </cell>
        </row>
        <row r="55">
          <cell r="A55" t="str">
            <v>Year-ending shares (diluted)</v>
          </cell>
          <cell r="B55">
            <v>7812.5493999999999</v>
          </cell>
          <cell r="C55">
            <v>7812.5493999999999</v>
          </cell>
          <cell r="D55">
            <v>7812.5493999999999</v>
          </cell>
          <cell r="E55">
            <v>7812.5493999999999</v>
          </cell>
          <cell r="F55">
            <v>7812.5493999999999</v>
          </cell>
          <cell r="G55">
            <v>8245.4644000000008</v>
          </cell>
          <cell r="H55">
            <v>8245.4644000000008</v>
          </cell>
          <cell r="I55">
            <v>8245.4644000000008</v>
          </cell>
          <cell r="J55">
            <v>8245.4644000000008</v>
          </cell>
          <cell r="K55">
            <v>8245.4644000000008</v>
          </cell>
          <cell r="L55">
            <v>8245.4644000000008</v>
          </cell>
          <cell r="M55">
            <v>8245.4644000000008</v>
          </cell>
          <cell r="N55">
            <v>8245.4644000000008</v>
          </cell>
          <cell r="O55">
            <v>8245.4644000000008</v>
          </cell>
          <cell r="P55">
            <v>8245.4644000000008</v>
          </cell>
          <cell r="Q55">
            <v>8245.4644000000008</v>
          </cell>
          <cell r="R55">
            <v>8245.4644000000008</v>
          </cell>
          <cell r="S55">
            <v>8245.4644000000008</v>
          </cell>
          <cell r="T55">
            <v>8245.4644000000008</v>
          </cell>
          <cell r="U55">
            <v>8245.4644000000008</v>
          </cell>
          <cell r="V55">
            <v>8245.4644000000008</v>
          </cell>
        </row>
        <row r="56">
          <cell r="A56" t="str">
            <v>Year-ending average shares diluted</v>
          </cell>
          <cell r="B56">
            <v>7812.5493999999999</v>
          </cell>
          <cell r="C56">
            <v>7812.5493999999999</v>
          </cell>
          <cell r="D56">
            <v>7812.5493999999999</v>
          </cell>
          <cell r="E56">
            <v>7812.5493999999999</v>
          </cell>
          <cell r="F56">
            <v>7812.5493999999999</v>
          </cell>
          <cell r="G56">
            <v>7992.9306500000012</v>
          </cell>
          <cell r="H56">
            <v>8245.4644000000008</v>
          </cell>
          <cell r="I56">
            <v>8245.4644000000008</v>
          </cell>
          <cell r="J56">
            <v>8245.4644000000008</v>
          </cell>
          <cell r="K56">
            <v>8245.4644000000008</v>
          </cell>
          <cell r="L56">
            <v>8245.4644000000008</v>
          </cell>
          <cell r="M56">
            <v>8245.4644000000008</v>
          </cell>
          <cell r="N56">
            <v>8245.4644000000008</v>
          </cell>
          <cell r="O56">
            <v>8245.4644000000008</v>
          </cell>
          <cell r="P56">
            <v>8245.4644000000008</v>
          </cell>
          <cell r="Q56">
            <v>8245.4644000000008</v>
          </cell>
          <cell r="R56">
            <v>8245.4644000000008</v>
          </cell>
          <cell r="S56">
            <v>8245.4644000000008</v>
          </cell>
          <cell r="T56">
            <v>8245.4644000000008</v>
          </cell>
          <cell r="U56">
            <v>8245.4644000000008</v>
          </cell>
          <cell r="V56">
            <v>8245.4644000000008</v>
          </cell>
        </row>
        <row r="57">
          <cell r="A57" t="str">
            <v>Reported EPS (Rs)</v>
          </cell>
          <cell r="F57">
            <v>6.7337814209533189</v>
          </cell>
          <cell r="G57">
            <v>7.0426597196878316</v>
          </cell>
          <cell r="H57">
            <v>7.0836519529451847</v>
          </cell>
          <cell r="I57">
            <v>8.3661752271952068</v>
          </cell>
          <cell r="J57">
            <v>9.0594048286716262</v>
          </cell>
          <cell r="K57">
            <v>9.4027414119657955</v>
          </cell>
          <cell r="L57">
            <v>10.051473925738128</v>
          </cell>
          <cell r="M57">
            <v>10.478010479195667</v>
          </cell>
          <cell r="N57">
            <v>10.924623202173315</v>
          </cell>
          <cell r="O57">
            <v>11.396813728363689</v>
          </cell>
          <cell r="P57">
            <v>11.891439728601654</v>
          </cell>
          <cell r="Q57">
            <v>12.41218467136261</v>
          </cell>
          <cell r="R57">
            <v>12.959349623429738</v>
          </cell>
          <cell r="S57">
            <v>13.537533597321014</v>
          </cell>
          <cell r="T57">
            <v>14.144744099159885</v>
          </cell>
          <cell r="U57">
            <v>14.784154519599623</v>
          </cell>
          <cell r="V57">
            <v>15.452319425565806</v>
          </cell>
        </row>
        <row r="58">
          <cell r="A58" t="str">
            <v>Adjusted basic EPS (Rs)</v>
          </cell>
          <cell r="B58">
            <v>4.0017811833102561</v>
          </cell>
          <cell r="C58">
            <v>4.4166422934510878</v>
          </cell>
          <cell r="D58">
            <v>4.4529962884686425</v>
          </cell>
          <cell r="E58">
            <v>4.2098909873493531</v>
          </cell>
          <cell r="F58">
            <v>5.4931563842704234</v>
          </cell>
          <cell r="G58">
            <v>5.8743948833736273</v>
          </cell>
          <cell r="H58">
            <v>7.1970476277843121</v>
          </cell>
          <cell r="I58">
            <v>8.3479834077022996</v>
          </cell>
          <cell r="J58">
            <v>9.0594048286716262</v>
          </cell>
          <cell r="K58">
            <v>9.4027414119657955</v>
          </cell>
          <cell r="L58">
            <v>10.051473925738128</v>
          </cell>
          <cell r="M58">
            <v>10.478010479195667</v>
          </cell>
          <cell r="N58">
            <v>10.924623202173315</v>
          </cell>
          <cell r="O58">
            <v>11.396813728363689</v>
          </cell>
          <cell r="P58">
            <v>11.891439728601654</v>
          </cell>
          <cell r="Q58">
            <v>12.41218467136261</v>
          </cell>
          <cell r="R58">
            <v>12.959349623429738</v>
          </cell>
          <cell r="S58">
            <v>13.537533597321014</v>
          </cell>
          <cell r="T58">
            <v>14.144744099159885</v>
          </cell>
          <cell r="U58">
            <v>14.784154519599623</v>
          </cell>
          <cell r="V58">
            <v>15.452319425565806</v>
          </cell>
        </row>
        <row r="59">
          <cell r="A59" t="str">
            <v>Diluted EPS (Rs)</v>
          </cell>
          <cell r="B59">
            <v>4.0017811833102561</v>
          </cell>
          <cell r="C59">
            <v>4.4166422934510878</v>
          </cell>
          <cell r="D59">
            <v>4.4529962884686425</v>
          </cell>
          <cell r="E59">
            <v>4.2098909873493531</v>
          </cell>
          <cell r="F59">
            <v>5.4931563842704234</v>
          </cell>
          <cell r="G59">
            <v>5.8743948833736273</v>
          </cell>
          <cell r="H59">
            <v>7.1970476277843121</v>
          </cell>
          <cell r="I59">
            <v>8.3479834077022996</v>
          </cell>
          <cell r="J59">
            <v>9.0594048286716262</v>
          </cell>
          <cell r="K59">
            <v>9.4027414119657955</v>
          </cell>
          <cell r="L59">
            <v>10.051473925738128</v>
          </cell>
          <cell r="M59">
            <v>10.478010479195667</v>
          </cell>
          <cell r="N59">
            <v>10.924623202173315</v>
          </cell>
          <cell r="O59">
            <v>11.396813728363689</v>
          </cell>
          <cell r="P59">
            <v>11.891439728601654</v>
          </cell>
          <cell r="Q59">
            <v>12.41218467136261</v>
          </cell>
          <cell r="R59">
            <v>12.959349623429738</v>
          </cell>
          <cell r="S59">
            <v>13.537533597321014</v>
          </cell>
          <cell r="T59">
            <v>14.144744099159885</v>
          </cell>
          <cell r="U59">
            <v>14.784154519599623</v>
          </cell>
          <cell r="V59">
            <v>15.452319425565806</v>
          </cell>
        </row>
        <row r="61">
          <cell r="A61" t="str">
            <v>DIVIDENDS</v>
          </cell>
        </row>
        <row r="62">
          <cell r="A62" t="str">
            <v>Dividend (including Dividend Tax)</v>
          </cell>
          <cell r="B62">
            <v>7600</v>
          </cell>
          <cell r="C62">
            <v>8232</v>
          </cell>
          <cell r="D62">
            <v>7079</v>
          </cell>
          <cell r="E62">
            <v>7475</v>
          </cell>
          <cell r="F62">
            <v>12210</v>
          </cell>
          <cell r="G62">
            <v>22470</v>
          </cell>
          <cell r="H62">
            <v>26435</v>
          </cell>
          <cell r="I62">
            <v>30383</v>
          </cell>
          <cell r="J62">
            <v>30556.145041825002</v>
          </cell>
          <cell r="K62">
            <v>32906.617737350003</v>
          </cell>
          <cell r="L62">
            <v>32906.617737350003</v>
          </cell>
          <cell r="M62">
            <v>32906.617737350003</v>
          </cell>
          <cell r="N62">
            <v>32906.617737350003</v>
          </cell>
          <cell r="O62">
            <v>32906.617737350003</v>
          </cell>
          <cell r="P62">
            <v>32906.617737350003</v>
          </cell>
          <cell r="Q62">
            <v>32906.617737350003</v>
          </cell>
          <cell r="R62">
            <v>32906.617737350003</v>
          </cell>
          <cell r="S62">
            <v>32906.617737350003</v>
          </cell>
          <cell r="T62">
            <v>32906.617737350003</v>
          </cell>
          <cell r="U62">
            <v>32906.617737350003</v>
          </cell>
          <cell r="V62">
            <v>32906.617737350003</v>
          </cell>
        </row>
        <row r="63">
          <cell r="A63" t="str">
            <v>Dividend - Interim</v>
          </cell>
          <cell r="B63">
            <v>3000</v>
          </cell>
          <cell r="C63">
            <v>0</v>
          </cell>
          <cell r="D63">
            <v>0</v>
          </cell>
          <cell r="E63">
            <v>4000</v>
          </cell>
          <cell r="F63">
            <v>0</v>
          </cell>
          <cell r="G63">
            <v>9895</v>
          </cell>
          <cell r="H63">
            <v>16501</v>
          </cell>
          <cell r="I63">
            <v>19817</v>
          </cell>
        </row>
        <row r="64">
          <cell r="A64" t="str">
            <v>Dividend - Final</v>
          </cell>
          <cell r="B64">
            <v>3500</v>
          </cell>
          <cell r="C64">
            <v>7470</v>
          </cell>
          <cell r="D64">
            <v>7079</v>
          </cell>
          <cell r="E64">
            <v>3080</v>
          </cell>
          <cell r="F64">
            <v>10823</v>
          </cell>
          <cell r="G64">
            <v>9895</v>
          </cell>
          <cell r="H64">
            <v>6683</v>
          </cell>
          <cell r="I64">
            <v>6649</v>
          </cell>
          <cell r="J64">
            <v>26797.759300000002</v>
          </cell>
          <cell r="K64">
            <v>28859.125400000004</v>
          </cell>
          <cell r="L64">
            <v>28859.125400000004</v>
          </cell>
          <cell r="M64">
            <v>28859.125400000004</v>
          </cell>
          <cell r="N64">
            <v>28859.125400000004</v>
          </cell>
          <cell r="O64">
            <v>28859.125400000004</v>
          </cell>
          <cell r="P64">
            <v>28859.125400000004</v>
          </cell>
          <cell r="Q64">
            <v>28859.125400000004</v>
          </cell>
          <cell r="R64">
            <v>28859.125400000004</v>
          </cell>
          <cell r="S64">
            <v>28859.125400000004</v>
          </cell>
          <cell r="T64">
            <v>28859.125400000004</v>
          </cell>
          <cell r="U64">
            <v>28859.125400000004</v>
          </cell>
          <cell r="V64">
            <v>28859.125400000004</v>
          </cell>
        </row>
        <row r="65">
          <cell r="A65" t="str">
            <v>Corporate Dividend Tax</v>
          </cell>
        </row>
        <row r="66">
          <cell r="A66" t="str">
            <v>Interim</v>
          </cell>
          <cell r="B66">
            <v>0</v>
          </cell>
          <cell r="C66">
            <v>0</v>
          </cell>
          <cell r="D66">
            <v>0</v>
          </cell>
          <cell r="E66">
            <v>0</v>
          </cell>
          <cell r="F66">
            <v>0</v>
          </cell>
          <cell r="G66">
            <v>1292</v>
          </cell>
          <cell r="H66">
            <v>2314</v>
          </cell>
          <cell r="I66">
            <v>2784</v>
          </cell>
        </row>
        <row r="67">
          <cell r="A67" t="str">
            <v>Final</v>
          </cell>
          <cell r="B67">
            <v>1100</v>
          </cell>
          <cell r="C67">
            <v>762</v>
          </cell>
          <cell r="D67">
            <v>0</v>
          </cell>
          <cell r="E67">
            <v>395</v>
          </cell>
          <cell r="F67">
            <v>1387</v>
          </cell>
          <cell r="G67">
            <v>1388</v>
          </cell>
          <cell r="H67">
            <v>937</v>
          </cell>
          <cell r="I67">
            <v>1133</v>
          </cell>
          <cell r="J67">
            <v>3758.3857418250004</v>
          </cell>
          <cell r="K67">
            <v>4047.492337350001</v>
          </cell>
          <cell r="L67">
            <v>4047.492337350001</v>
          </cell>
          <cell r="M67">
            <v>4047.492337350001</v>
          </cell>
          <cell r="N67">
            <v>4047.492337350001</v>
          </cell>
          <cell r="O67">
            <v>4047.492337350001</v>
          </cell>
          <cell r="P67">
            <v>4047.492337350001</v>
          </cell>
          <cell r="Q67">
            <v>4047.492337350001</v>
          </cell>
          <cell r="R67">
            <v>4047.492337350001</v>
          </cell>
          <cell r="S67">
            <v>4047.492337350001</v>
          </cell>
          <cell r="T67">
            <v>4047.492337350001</v>
          </cell>
          <cell r="U67">
            <v>4047.492337350001</v>
          </cell>
          <cell r="V67">
            <v>4047.492337350001</v>
          </cell>
        </row>
        <row r="69">
          <cell r="A69" t="str">
            <v>DPS (Rs)</v>
          </cell>
          <cell r="B69">
            <v>0.83199473913086552</v>
          </cell>
          <cell r="C69">
            <v>0.95615395404731773</v>
          </cell>
          <cell r="D69">
            <v>0.9061062705088303</v>
          </cell>
          <cell r="E69">
            <v>0.90623426969946586</v>
          </cell>
          <cell r="F69">
            <v>1.3853352402482089</v>
          </cell>
          <cell r="G69">
            <v>2.4001073850976784</v>
          </cell>
          <cell r="H69">
            <v>2.8117276208238797</v>
          </cell>
          <cell r="I69">
            <v>3.2097646313287092</v>
          </cell>
          <cell r="J69">
            <v>3.25</v>
          </cell>
          <cell r="K69">
            <v>3.5</v>
          </cell>
          <cell r="L69">
            <v>3.5</v>
          </cell>
          <cell r="M69">
            <v>3.5</v>
          </cell>
          <cell r="N69">
            <v>3.5</v>
          </cell>
          <cell r="O69">
            <v>3.5</v>
          </cell>
          <cell r="P69">
            <v>3.5</v>
          </cell>
          <cell r="Q69">
            <v>3.5</v>
          </cell>
          <cell r="R69">
            <v>3.5</v>
          </cell>
          <cell r="S69">
            <v>3.5</v>
          </cell>
          <cell r="T69">
            <v>3.5</v>
          </cell>
          <cell r="U69">
            <v>3.5</v>
          </cell>
          <cell r="V69">
            <v>3.5</v>
          </cell>
        </row>
        <row r="70">
          <cell r="A70" t="str">
            <v>Dividend payout (%)</v>
          </cell>
          <cell r="B70">
            <v>0.20973233549961515</v>
          </cell>
          <cell r="C70">
            <v>0.23524597311423809</v>
          </cell>
          <cell r="D70">
            <v>0.17842710903556505</v>
          </cell>
          <cell r="E70">
            <v>0.22899957970175411</v>
          </cell>
          <cell r="F70">
            <v>0.23209397810218979</v>
          </cell>
          <cell r="G70">
            <v>0.38694678835887719</v>
          </cell>
          <cell r="H70">
            <v>0.45259211066977129</v>
          </cell>
          <cell r="I70">
            <v>0.44044184799153413</v>
          </cell>
          <cell r="J70">
            <v>0.40905694911344198</v>
          </cell>
          <cell r="K70">
            <v>0.42443738747523874</v>
          </cell>
          <cell r="L70">
            <v>0.39704375989881813</v>
          </cell>
          <cell r="M70">
            <v>0.38088098956609889</v>
          </cell>
          <cell r="N70">
            <v>0.36531008220091898</v>
          </cell>
          <cell r="O70">
            <v>0.35017462732305221</v>
          </cell>
          <cell r="P70">
            <v>0.33560906762206644</v>
          </cell>
          <cell r="Q70">
            <v>0.32152881266806688</v>
          </cell>
          <cell r="R70">
            <v>0.307953339941129</v>
          </cell>
          <cell r="S70">
            <v>0.29480074574217618</v>
          </cell>
          <cell r="T70">
            <v>0.28214543663869007</v>
          </cell>
          <cell r="U70">
            <v>0.26994272785158085</v>
          </cell>
          <cell r="V70">
            <v>0.25827028875659352</v>
          </cell>
        </row>
        <row r="73">
          <cell r="A73" t="str">
            <v>SALES</v>
          </cell>
        </row>
        <row r="74">
          <cell r="A74" t="str">
            <v>Energy sales</v>
          </cell>
          <cell r="B74">
            <v>160813.21</v>
          </cell>
          <cell r="C74">
            <v>190206.83100000001</v>
          </cell>
          <cell r="D74">
            <v>178654</v>
          </cell>
          <cell r="E74">
            <v>191636</v>
          </cell>
          <cell r="F74">
            <v>190930</v>
          </cell>
          <cell r="G74">
            <v>228526</v>
          </cell>
          <cell r="H74">
            <v>276829</v>
          </cell>
          <cell r="I74">
            <v>340676</v>
          </cell>
        </row>
        <row r="75">
          <cell r="A75" t="str">
            <v>Less: Electricity duty</v>
          </cell>
          <cell r="B75">
            <v>630.59</v>
          </cell>
          <cell r="C75">
            <v>756.99199999999996</v>
          </cell>
          <cell r="D75">
            <v>957</v>
          </cell>
          <cell r="E75">
            <v>1346</v>
          </cell>
          <cell r="F75">
            <v>1432</v>
          </cell>
          <cell r="G75">
            <v>1674</v>
          </cell>
          <cell r="H75">
            <v>1938</v>
          </cell>
          <cell r="I75">
            <v>2037</v>
          </cell>
        </row>
        <row r="76">
          <cell r="A76" t="str">
            <v>Less: advance against depreciation</v>
          </cell>
          <cell r="D76">
            <v>0</v>
          </cell>
          <cell r="E76">
            <v>271</v>
          </cell>
          <cell r="F76">
            <v>1320</v>
          </cell>
          <cell r="G76">
            <v>1783</v>
          </cell>
          <cell r="H76">
            <v>1034</v>
          </cell>
          <cell r="I76">
            <v>2159</v>
          </cell>
        </row>
        <row r="77">
          <cell r="A77" t="str">
            <v>Net energy sales</v>
          </cell>
          <cell r="B77">
            <v>160182.62</v>
          </cell>
          <cell r="C77">
            <v>189449.83900000001</v>
          </cell>
          <cell r="D77">
            <v>177697</v>
          </cell>
          <cell r="E77">
            <v>190019</v>
          </cell>
          <cell r="F77">
            <v>188178</v>
          </cell>
          <cell r="G77">
            <v>225069</v>
          </cell>
          <cell r="H77">
            <v>273857</v>
          </cell>
          <cell r="I77">
            <v>336480</v>
          </cell>
          <cell r="J77">
            <v>386350</v>
          </cell>
        </row>
        <row r="78">
          <cell r="A78" t="str">
            <v>Consultancy projects</v>
          </cell>
          <cell r="B78">
            <v>214.703</v>
          </cell>
          <cell r="C78">
            <v>198.15600000000001</v>
          </cell>
          <cell r="D78">
            <v>285</v>
          </cell>
          <cell r="E78">
            <v>269</v>
          </cell>
          <cell r="F78">
            <v>313</v>
          </cell>
          <cell r="G78">
            <v>333</v>
          </cell>
          <cell r="H78">
            <v>1621</v>
          </cell>
          <cell r="I78">
            <v>1912</v>
          </cell>
        </row>
        <row r="79">
          <cell r="A79" t="str">
            <v>% growth</v>
          </cell>
          <cell r="C79">
            <v>-7.7069253806420934E-2</v>
          </cell>
          <cell r="D79">
            <v>0.43826076424635141</v>
          </cell>
          <cell r="E79">
            <v>-5.6140350877192935E-2</v>
          </cell>
          <cell r="F79">
            <v>0.16356877323420083</v>
          </cell>
          <cell r="G79">
            <v>6.3897763578274702E-2</v>
          </cell>
          <cell r="H79">
            <v>3.8678678678678677</v>
          </cell>
          <cell r="I79">
            <v>0.17951881554595928</v>
          </cell>
        </row>
        <row r="81">
          <cell r="A81" t="str">
            <v>Total sales</v>
          </cell>
          <cell r="B81">
            <v>160397.323</v>
          </cell>
          <cell r="C81">
            <v>189647.995</v>
          </cell>
          <cell r="D81">
            <v>177982</v>
          </cell>
          <cell r="E81">
            <v>190288</v>
          </cell>
          <cell r="F81">
            <v>188491</v>
          </cell>
          <cell r="G81">
            <v>225402</v>
          </cell>
          <cell r="H81">
            <v>275478</v>
          </cell>
          <cell r="I81">
            <v>338392</v>
          </cell>
          <cell r="J81">
            <v>386350</v>
          </cell>
        </row>
        <row r="82">
          <cell r="A82" t="str">
            <v>% growth</v>
          </cell>
          <cell r="C82">
            <v>0.18236384157109642</v>
          </cell>
          <cell r="D82">
            <v>-6.1513937967021426E-2</v>
          </cell>
          <cell r="E82">
            <v>6.9141823330449048E-2</v>
          </cell>
          <cell r="F82">
            <v>-9.4435802572941929E-3</v>
          </cell>
          <cell r="G82">
            <v>0.19582367327883032</v>
          </cell>
          <cell r="H82">
            <v>0.22216306865067748</v>
          </cell>
          <cell r="I82">
            <v>0.22838121374483622</v>
          </cell>
        </row>
        <row r="83">
          <cell r="A83" t="str">
            <v>Energy Internally Consumed</v>
          </cell>
          <cell r="B83">
            <v>204</v>
          </cell>
          <cell r="C83">
            <v>244</v>
          </cell>
          <cell r="D83">
            <v>171</v>
          </cell>
          <cell r="E83">
            <v>187</v>
          </cell>
          <cell r="F83">
            <v>193</v>
          </cell>
          <cell r="G83">
            <v>248</v>
          </cell>
          <cell r="H83">
            <v>276</v>
          </cell>
          <cell r="I83">
            <v>365</v>
          </cell>
        </row>
        <row r="84">
          <cell r="A84" t="str">
            <v>% growth</v>
          </cell>
          <cell r="C84">
            <v>0.19607843137254899</v>
          </cell>
          <cell r="D84">
            <v>-0.29918032786885251</v>
          </cell>
          <cell r="E84">
            <v>9.3567251461988299E-2</v>
          </cell>
          <cell r="F84">
            <v>3.2085561497326109E-2</v>
          </cell>
          <cell r="G84">
            <v>0.28497409326424861</v>
          </cell>
          <cell r="H84">
            <v>0.11290322580645151</v>
          </cell>
          <cell r="I84">
            <v>0.32246376811594213</v>
          </cell>
        </row>
        <row r="85">
          <cell r="A85" t="str">
            <v>Total revenues</v>
          </cell>
          <cell r="B85">
            <v>160601.323</v>
          </cell>
          <cell r="C85">
            <v>189891.995</v>
          </cell>
          <cell r="D85">
            <v>178153</v>
          </cell>
          <cell r="E85">
            <v>190475</v>
          </cell>
          <cell r="F85">
            <v>188684</v>
          </cell>
          <cell r="G85">
            <v>225650</v>
          </cell>
          <cell r="H85">
            <v>275754</v>
          </cell>
          <cell r="I85">
            <v>338757</v>
          </cell>
          <cell r="J85">
            <v>386350</v>
          </cell>
          <cell r="K85">
            <v>400559.99885500182</v>
          </cell>
          <cell r="L85">
            <v>423980.78023981041</v>
          </cell>
          <cell r="M85">
            <v>426183.1314224868</v>
          </cell>
          <cell r="N85">
            <v>428153.63830365991</v>
          </cell>
          <cell r="O85">
            <v>430177.23247365275</v>
          </cell>
          <cell r="P85">
            <v>432215.13575505215</v>
          </cell>
          <cell r="Q85">
            <v>434276.88914314029</v>
          </cell>
          <cell r="R85">
            <v>436365.08126696432</v>
          </cell>
          <cell r="S85">
            <v>438484.15731307562</v>
          </cell>
          <cell r="T85">
            <v>440638.26147602586</v>
          </cell>
          <cell r="U85">
            <v>442831.96400284802</v>
          </cell>
          <cell r="V85">
            <v>455407.11506981839</v>
          </cell>
        </row>
        <row r="86">
          <cell r="A86" t="str">
            <v>% growth</v>
          </cell>
          <cell r="C86">
            <v>0.18238126220168183</v>
          </cell>
          <cell r="D86">
            <v>-6.1819325243278378E-2</v>
          </cell>
          <cell r="E86">
            <v>6.9165268056109008E-2</v>
          </cell>
          <cell r="F86">
            <v>-9.4028087675548377E-3</v>
          </cell>
          <cell r="G86">
            <v>0.19591486294545368</v>
          </cell>
          <cell r="H86">
            <v>0.22204298692665625</v>
          </cell>
          <cell r="I86">
            <v>0.22847538023020508</v>
          </cell>
          <cell r="J86">
            <v>0.14049303778224509</v>
          </cell>
          <cell r="K86">
            <v>3.6780118687723018E-2</v>
          </cell>
          <cell r="L86">
            <v>5.8470095495697816E-2</v>
          </cell>
          <cell r="M86">
            <v>5.1944599503559452E-3</v>
          </cell>
          <cell r="N86">
            <v>4.6236153800740531E-3</v>
          </cell>
          <cell r="O86">
            <v>4.7263271614608193E-3</v>
          </cell>
          <cell r="P86">
            <v>4.7373573670572711E-3</v>
          </cell>
          <cell r="Q86">
            <v>4.7702017294846133E-3</v>
          </cell>
          <cell r="R86">
            <v>4.8084348396806309E-3</v>
          </cell>
          <cell r="S86">
            <v>4.8561998589773392E-3</v>
          </cell>
          <cell r="T86">
            <v>4.9126157171790474E-3</v>
          </cell>
          <cell r="U86">
            <v>4.9784658269889093E-3</v>
          </cell>
          <cell r="V86">
            <v>2.8397116940929612E-2</v>
          </cell>
        </row>
        <row r="88">
          <cell r="A88" t="str">
            <v>Increase in fixed charges - due to new capacity addition</v>
          </cell>
          <cell r="E88">
            <v>1883</v>
          </cell>
          <cell r="F88">
            <v>4525</v>
          </cell>
        </row>
        <row r="89">
          <cell r="A89" t="str">
            <v>Increase in var charges - fuel, volumes and UI</v>
          </cell>
          <cell r="E89">
            <v>7775</v>
          </cell>
          <cell r="F89">
            <v>12206</v>
          </cell>
        </row>
        <row r="90">
          <cell r="A90" t="str">
            <v>OPERATING EXPENSES</v>
          </cell>
        </row>
        <row r="91">
          <cell r="A91" t="str">
            <v>FUEL CHARGES</v>
          </cell>
          <cell r="B91">
            <v>80051</v>
          </cell>
          <cell r="C91">
            <v>99342</v>
          </cell>
          <cell r="D91">
            <v>103991</v>
          </cell>
          <cell r="E91">
            <v>110312</v>
          </cell>
          <cell r="F91">
            <v>122150</v>
          </cell>
          <cell r="G91">
            <v>137235</v>
          </cell>
          <cell r="H91">
            <v>163963</v>
          </cell>
          <cell r="I91">
            <v>198201</v>
          </cell>
          <cell r="J91">
            <v>222187</v>
          </cell>
          <cell r="K91">
            <v>240885.50471165922</v>
          </cell>
          <cell r="L91">
            <v>254920.11928543949</v>
          </cell>
          <cell r="M91">
            <v>255561.10195919065</v>
          </cell>
          <cell r="N91">
            <v>256202.08463294175</v>
          </cell>
          <cell r="O91">
            <v>256843.06730669289</v>
          </cell>
          <cell r="P91">
            <v>257484.04998044408</v>
          </cell>
          <cell r="Q91">
            <v>258125.03265419521</v>
          </cell>
          <cell r="R91">
            <v>258766.01532794631</v>
          </cell>
          <cell r="S91">
            <v>259406.99800169744</v>
          </cell>
          <cell r="T91">
            <v>260047.98067544863</v>
          </cell>
          <cell r="U91">
            <v>260688.96334919977</v>
          </cell>
          <cell r="V91">
            <v>261329.94602295087</v>
          </cell>
        </row>
        <row r="92">
          <cell r="A92" t="str">
            <v xml:space="preserve">% of sales </v>
          </cell>
          <cell r="B92">
            <v>0.49844545801157564</v>
          </cell>
          <cell r="C92">
            <v>0.52315001482816592</v>
          </cell>
          <cell r="D92">
            <v>0.58371736653326078</v>
          </cell>
          <cell r="E92">
            <v>0.57914161963512267</v>
          </cell>
          <cell r="F92">
            <v>0.64737868605711135</v>
          </cell>
          <cell r="G92">
            <v>0.61224626366272583</v>
          </cell>
          <cell r="H92">
            <v>0.59791630200128365</v>
          </cell>
          <cell r="I92">
            <v>0.5850831126736864</v>
          </cell>
          <cell r="J92">
            <v>0.57509253267762395</v>
          </cell>
          <cell r="K92">
            <v>0.60137184292048351</v>
          </cell>
          <cell r="L92">
            <v>0.60125395104290469</v>
          </cell>
          <cell r="M92">
            <v>0.59965090853360425</v>
          </cell>
          <cell r="N92">
            <v>0.59838819926419784</v>
          </cell>
          <cell r="O92">
            <v>0.59706336811403393</v>
          </cell>
          <cell r="P92">
            <v>0.59573121966364262</v>
          </cell>
          <cell r="Q92">
            <v>0.59437892991150088</v>
          </cell>
          <cell r="R92">
            <v>0.59300348821824156</v>
          </cell>
          <cell r="S92">
            <v>0.591599476686411</v>
          </cell>
          <cell r="T92">
            <v>0.59016205221115881</v>
          </cell>
          <cell r="U92">
            <v>0.58868596790705741</v>
          </cell>
          <cell r="V92">
            <v>0.57383808327826946</v>
          </cell>
        </row>
        <row r="93">
          <cell r="A93" t="str">
            <v>Fuel cost per unit of power generated (Rs)</v>
          </cell>
          <cell r="B93">
            <v>0.67439764111204714</v>
          </cell>
          <cell r="C93">
            <v>0.76299539170506925</v>
          </cell>
          <cell r="D93">
            <v>0.78071321321321319</v>
          </cell>
          <cell r="E93">
            <v>0.78290986515259053</v>
          </cell>
          <cell r="F93">
            <v>0.81869973190348522</v>
          </cell>
          <cell r="G93">
            <v>0.86251649802023755</v>
          </cell>
          <cell r="H93">
            <v>0.95952130149812731</v>
          </cell>
          <cell r="I93">
            <v>1.0504945037472042</v>
          </cell>
          <cell r="J93">
            <v>1.1006101755033593</v>
          </cell>
          <cell r="K93">
            <v>1.1030192289345644</v>
          </cell>
          <cell r="L93">
            <v>1.1030192289345644</v>
          </cell>
          <cell r="M93">
            <v>1.1030192289345644</v>
          </cell>
          <cell r="N93">
            <v>1.1030192289345644</v>
          </cell>
          <cell r="O93">
            <v>1.1030192289345644</v>
          </cell>
          <cell r="P93">
            <v>1.1030192289345644</v>
          </cell>
          <cell r="Q93">
            <v>1.1030192289345644</v>
          </cell>
          <cell r="R93">
            <v>1.1030192289345644</v>
          </cell>
          <cell r="S93">
            <v>1.1030192289345644</v>
          </cell>
          <cell r="T93">
            <v>1.1030192289345644</v>
          </cell>
          <cell r="U93">
            <v>1.1030192289345644</v>
          </cell>
          <cell r="V93">
            <v>1.1030192289345644</v>
          </cell>
        </row>
        <row r="94">
          <cell r="A94" t="str">
            <v>Growth</v>
          </cell>
          <cell r="C94">
            <v>0.13137316205158878</v>
          </cell>
          <cell r="D94">
            <v>2.3221400418356186E-2</v>
          </cell>
          <cell r="E94">
            <v>2.8136477034075291E-3</v>
          </cell>
          <cell r="F94">
            <v>4.5713904427451713E-2</v>
          </cell>
          <cell r="G94">
            <v>5.351994682455552E-2</v>
          </cell>
          <cell r="H94">
            <v>0.11246718607765538</v>
          </cell>
          <cell r="I94">
            <v>9.4811029319555429E-2</v>
          </cell>
          <cell r="J94">
            <v>4.7706743421682019E-2</v>
          </cell>
          <cell r="K94">
            <v>0</v>
          </cell>
          <cell r="L94">
            <v>0</v>
          </cell>
          <cell r="M94">
            <v>0</v>
          </cell>
          <cell r="N94">
            <v>0</v>
          </cell>
          <cell r="O94">
            <v>0</v>
          </cell>
          <cell r="P94">
            <v>0</v>
          </cell>
          <cell r="Q94">
            <v>0</v>
          </cell>
          <cell r="R94">
            <v>0</v>
          </cell>
          <cell r="S94">
            <v>0</v>
          </cell>
          <cell r="T94">
            <v>0</v>
          </cell>
          <cell r="U94">
            <v>0</v>
          </cell>
          <cell r="V94">
            <v>0</v>
          </cell>
        </row>
        <row r="95">
          <cell r="A95" t="str">
            <v>Coal costs - approx</v>
          </cell>
        </row>
        <row r="96">
          <cell r="A96" t="str">
            <v>Gas costs - approx</v>
          </cell>
        </row>
        <row r="97">
          <cell r="A97" t="str">
            <v>Fuel Consumption</v>
          </cell>
        </row>
        <row r="98">
          <cell r="A98" t="str">
            <v>Coal Receipts (mn tons)</v>
          </cell>
          <cell r="E98">
            <v>80.395370370370358</v>
          </cell>
          <cell r="F98">
            <v>86.826999999999998</v>
          </cell>
          <cell r="G98">
            <v>93.957999999999998</v>
          </cell>
          <cell r="H98">
            <v>105</v>
          </cell>
          <cell r="I98">
            <v>121.20459932175699</v>
          </cell>
          <cell r="J98" t="e">
            <v>#REF!</v>
          </cell>
          <cell r="K98">
            <v>135.83900335316545</v>
          </cell>
          <cell r="L98">
            <v>127.99131326773863</v>
          </cell>
          <cell r="M98">
            <v>120.09713386231179</v>
          </cell>
          <cell r="N98">
            <v>112.15646513688499</v>
          </cell>
          <cell r="O98">
            <v>104.16930709145819</v>
          </cell>
          <cell r="P98">
            <v>96.135659726031378</v>
          </cell>
          <cell r="Q98">
            <v>88.055523040604569</v>
          </cell>
          <cell r="R98">
            <v>79.928897035177769</v>
          </cell>
          <cell r="S98">
            <v>71.755781709750977</v>
          </cell>
          <cell r="T98">
            <v>63.536177064324185</v>
          </cell>
          <cell r="U98">
            <v>55.270083098897381</v>
          </cell>
          <cell r="V98">
            <v>46.957499813470577</v>
          </cell>
        </row>
        <row r="99">
          <cell r="A99" t="str">
            <v>per bn units generated by coal plants</v>
          </cell>
          <cell r="E99">
            <v>0.59729646925490187</v>
          </cell>
          <cell r="F99">
            <v>0.64337992883265338</v>
          </cell>
          <cell r="G99">
            <v>0.69029916539320546</v>
          </cell>
          <cell r="H99">
            <v>0.70189602286838326</v>
          </cell>
          <cell r="I99">
            <v>0.70189602286838326</v>
          </cell>
          <cell r="J99" t="e">
            <v>#REF!</v>
          </cell>
          <cell r="K99">
            <v>0.66189602286838323</v>
          </cell>
          <cell r="L99">
            <v>0.62189602286838319</v>
          </cell>
          <cell r="M99">
            <v>0.58189602286838316</v>
          </cell>
          <cell r="N99">
            <v>0.54189602286838312</v>
          </cell>
          <cell r="O99">
            <v>0.50189602286838308</v>
          </cell>
          <cell r="P99">
            <v>0.4618960228683831</v>
          </cell>
          <cell r="Q99">
            <v>0.42189602286838312</v>
          </cell>
          <cell r="R99">
            <v>0.38189602286838314</v>
          </cell>
          <cell r="S99">
            <v>0.34189602286838316</v>
          </cell>
          <cell r="T99">
            <v>0.30189602286838318</v>
          </cell>
          <cell r="U99">
            <v>0.2618960228683832</v>
          </cell>
          <cell r="V99">
            <v>0.2218960228683832</v>
          </cell>
        </row>
        <row r="100">
          <cell r="A100" t="str">
            <v>Coal Consumption (mn tons)</v>
          </cell>
          <cell r="F100">
            <v>86</v>
          </cell>
          <cell r="G100">
            <v>94.9</v>
          </cell>
          <cell r="H100">
            <v>104.84</v>
          </cell>
          <cell r="I100">
            <v>113.45</v>
          </cell>
          <cell r="J100" t="e">
            <v>#REF!</v>
          </cell>
          <cell r="K100">
            <v>135.83900335316545</v>
          </cell>
          <cell r="L100">
            <v>127.99131326773863</v>
          </cell>
          <cell r="M100">
            <v>120.09713386231179</v>
          </cell>
          <cell r="N100">
            <v>112.15646513688499</v>
          </cell>
          <cell r="O100">
            <v>104.16930709145819</v>
          </cell>
          <cell r="P100">
            <v>96.135659726031378</v>
          </cell>
          <cell r="Q100">
            <v>88.055523040604569</v>
          </cell>
          <cell r="R100">
            <v>79.928897035177769</v>
          </cell>
          <cell r="S100">
            <v>71.755781709750977</v>
          </cell>
          <cell r="T100">
            <v>63.536177064324185</v>
          </cell>
          <cell r="U100">
            <v>55.270083098897381</v>
          </cell>
          <cell r="V100">
            <v>46.957499813470577</v>
          </cell>
        </row>
        <row r="101">
          <cell r="A101" t="str">
            <v>per bn units generated by coal plants</v>
          </cell>
          <cell r="F101">
            <v>0.63725193637472433</v>
          </cell>
          <cell r="G101">
            <v>0.6972199365228634</v>
          </cell>
          <cell r="H101">
            <v>0.70082646702401241</v>
          </cell>
          <cell r="I101">
            <v>0.65698912615541294</v>
          </cell>
          <cell r="J101" t="e">
            <v>#REF!</v>
          </cell>
          <cell r="K101">
            <v>0.66189602286838323</v>
          </cell>
          <cell r="L101">
            <v>0.62189602286838319</v>
          </cell>
          <cell r="M101">
            <v>0.58189602286838316</v>
          </cell>
          <cell r="N101">
            <v>0.54189602286838312</v>
          </cell>
          <cell r="O101">
            <v>0.50189602286838308</v>
          </cell>
          <cell r="P101">
            <v>0.4618960228683831</v>
          </cell>
          <cell r="Q101">
            <v>0.42189602286838312</v>
          </cell>
          <cell r="R101">
            <v>0.38189602286838314</v>
          </cell>
          <cell r="S101">
            <v>0.34189602286838316</v>
          </cell>
          <cell r="T101">
            <v>0.30189602286838318</v>
          </cell>
          <cell r="U101">
            <v>0.2618960228683832</v>
          </cell>
          <cell r="V101">
            <v>0.2218960228683832</v>
          </cell>
        </row>
        <row r="102">
          <cell r="A102" t="str">
            <v>Gas (MMSCMD)</v>
          </cell>
          <cell r="E102">
            <v>10.65</v>
          </cell>
          <cell r="F102">
            <v>9.98</v>
          </cell>
          <cell r="G102">
            <v>10.37</v>
          </cell>
          <cell r="H102">
            <v>10.91</v>
          </cell>
          <cell r="I102">
            <v>12.67</v>
          </cell>
          <cell r="J102" t="e">
            <v>#REF!</v>
          </cell>
          <cell r="K102">
            <v>12.670000000000002</v>
          </cell>
          <cell r="L102">
            <v>12.670000000000002</v>
          </cell>
          <cell r="M102">
            <v>12.670000000000002</v>
          </cell>
          <cell r="N102">
            <v>12.670000000000002</v>
          </cell>
          <cell r="O102">
            <v>12.670000000000002</v>
          </cell>
          <cell r="P102">
            <v>12.670000000000002</v>
          </cell>
          <cell r="Q102">
            <v>12.670000000000002</v>
          </cell>
          <cell r="R102">
            <v>12.670000000000002</v>
          </cell>
          <cell r="S102">
            <v>12.670000000000002</v>
          </cell>
          <cell r="T102">
            <v>12.670000000000002</v>
          </cell>
          <cell r="U102">
            <v>12.670000000000002</v>
          </cell>
          <cell r="V102">
            <v>12.670000000000002</v>
          </cell>
        </row>
        <row r="103">
          <cell r="A103" t="str">
            <v>per bn units generated by gas plants</v>
          </cell>
          <cell r="E103">
            <v>0.40570274908295978</v>
          </cell>
          <cell r="F103">
            <v>0.39233422473930929</v>
          </cell>
          <cell r="G103">
            <v>0.45090877467605867</v>
          </cell>
          <cell r="H103">
            <v>0.47111149494775023</v>
          </cell>
          <cell r="I103">
            <v>0.50073113860016594</v>
          </cell>
          <cell r="J103" t="e">
            <v>#REF!</v>
          </cell>
          <cell r="K103">
            <v>0.50073113860016594</v>
          </cell>
          <cell r="L103">
            <v>0.50073113860016594</v>
          </cell>
          <cell r="M103">
            <v>0.50073113860016594</v>
          </cell>
          <cell r="N103">
            <v>0.50073113860016594</v>
          </cell>
          <cell r="O103">
            <v>0.50073113860016594</v>
          </cell>
          <cell r="P103">
            <v>0.50073113860016594</v>
          </cell>
          <cell r="Q103">
            <v>0.50073113860016594</v>
          </cell>
          <cell r="R103">
            <v>0.50073113860016594</v>
          </cell>
          <cell r="S103">
            <v>0.50073113860016594</v>
          </cell>
          <cell r="T103">
            <v>0.50073113860016594</v>
          </cell>
          <cell r="U103">
            <v>0.50073113860016594</v>
          </cell>
          <cell r="V103">
            <v>0.50073113860016594</v>
          </cell>
        </row>
        <row r="106">
          <cell r="A106" t="str">
            <v>EMPLOYEE COSTS</v>
          </cell>
        </row>
        <row r="107">
          <cell r="A107" t="str">
            <v>Salaries, wages, bonus, allowances &amp; benefits</v>
          </cell>
          <cell r="B107">
            <v>5263.6940000000004</v>
          </cell>
          <cell r="C107">
            <v>6003.17</v>
          </cell>
          <cell r="D107">
            <v>6161</v>
          </cell>
          <cell r="E107">
            <v>6410</v>
          </cell>
          <cell r="F107">
            <v>7102</v>
          </cell>
          <cell r="G107">
            <v>7584</v>
          </cell>
          <cell r="H107">
            <v>8842</v>
          </cell>
          <cell r="I107">
            <v>11143</v>
          </cell>
        </row>
        <row r="108">
          <cell r="A108" t="str">
            <v>Contribution to provident and other funds</v>
          </cell>
          <cell r="B108">
            <v>523.70500000000004</v>
          </cell>
          <cell r="C108">
            <v>1078.7080000000001</v>
          </cell>
          <cell r="D108">
            <v>1334</v>
          </cell>
          <cell r="E108">
            <v>1180</v>
          </cell>
          <cell r="F108">
            <v>1078</v>
          </cell>
          <cell r="G108">
            <v>854</v>
          </cell>
          <cell r="H108">
            <v>1012</v>
          </cell>
          <cell r="I108">
            <v>966</v>
          </cell>
        </row>
        <row r="109">
          <cell r="A109" t="str">
            <v>Welfare expenses</v>
          </cell>
          <cell r="B109">
            <v>772.76099999999997</v>
          </cell>
          <cell r="C109">
            <v>1055.0360000000001</v>
          </cell>
          <cell r="D109">
            <v>1359</v>
          </cell>
          <cell r="E109">
            <v>1352</v>
          </cell>
          <cell r="F109">
            <v>1430</v>
          </cell>
          <cell r="G109">
            <v>1726</v>
          </cell>
          <cell r="H109">
            <v>1849</v>
          </cell>
          <cell r="I109">
            <v>2005</v>
          </cell>
        </row>
        <row r="110">
          <cell r="A110" t="str">
            <v>Less: Transfer to incidental expenditure capitalised</v>
          </cell>
          <cell r="B110">
            <v>348.24200000000002</v>
          </cell>
          <cell r="C110">
            <v>496.73899999999998</v>
          </cell>
          <cell r="D110">
            <v>818</v>
          </cell>
          <cell r="E110">
            <v>729</v>
          </cell>
          <cell r="F110">
            <v>775</v>
          </cell>
          <cell r="G110">
            <v>1136</v>
          </cell>
          <cell r="H110">
            <v>1217</v>
          </cell>
          <cell r="I110">
            <v>1537</v>
          </cell>
        </row>
        <row r="111">
          <cell r="A111" t="str">
            <v xml:space="preserve">Less: adjusted in fuel cost </v>
          </cell>
          <cell r="G111">
            <v>205</v>
          </cell>
          <cell r="H111">
            <v>522</v>
          </cell>
          <cell r="I111">
            <v>622</v>
          </cell>
        </row>
        <row r="112">
          <cell r="A112" t="str">
            <v>Total</v>
          </cell>
          <cell r="B112">
            <v>6211.9179999999997</v>
          </cell>
          <cell r="C112">
            <v>7640.1750000000011</v>
          </cell>
          <cell r="D112">
            <v>8036</v>
          </cell>
          <cell r="E112">
            <v>8213</v>
          </cell>
          <cell r="F112">
            <v>8835</v>
          </cell>
          <cell r="G112">
            <v>8823</v>
          </cell>
          <cell r="H112">
            <v>9964</v>
          </cell>
          <cell r="I112">
            <v>11955</v>
          </cell>
          <cell r="J112">
            <v>19533</v>
          </cell>
          <cell r="K112">
            <v>16421.093792421245</v>
          </cell>
          <cell r="L112">
            <v>17823.819284578782</v>
          </cell>
          <cell r="M112">
            <v>18707.481845701699</v>
          </cell>
          <cell r="N112">
            <v>19623.4348075173</v>
          </cell>
          <cell r="O112">
            <v>20571.551128223167</v>
          </cell>
          <cell r="P112">
            <v>21551.503076242629</v>
          </cell>
          <cell r="Q112">
            <v>22562.732841368754</v>
          </cell>
          <cell r="R112">
            <v>23604.419866459939</v>
          </cell>
          <cell r="S112">
            <v>24675.444573082099</v>
          </cell>
          <cell r="T112">
            <v>25774.348123948741</v>
          </cell>
          <cell r="U112">
            <v>26899.287831721798</v>
          </cell>
          <cell r="V112">
            <v>28047.987787463604</v>
          </cell>
        </row>
        <row r="113">
          <cell r="A113" t="str">
            <v xml:space="preserve">% of sales </v>
          </cell>
          <cell r="B113">
            <v>3.8728314686399097E-2</v>
          </cell>
          <cell r="C113">
            <v>4.0286083699434844E-2</v>
          </cell>
          <cell r="D113">
            <v>4.5150633210099898E-2</v>
          </cell>
          <cell r="E113">
            <v>4.3160892962246698E-2</v>
          </cell>
          <cell r="F113">
            <v>4.6872264458249997E-2</v>
          </cell>
          <cell r="G113">
            <v>3.9143397130460243E-2</v>
          </cell>
          <cell r="H113">
            <v>3.6335258766555807E-2</v>
          </cell>
          <cell r="I113">
            <v>3.5290783659083058E-2</v>
          </cell>
          <cell r="J113">
            <v>5.0557784392390323E-2</v>
          </cell>
          <cell r="K113">
            <v>4.0995341120832925E-2</v>
          </cell>
          <cell r="L113">
            <v>4.2039215255222986E-2</v>
          </cell>
          <cell r="M113">
            <v>4.3895406613727442E-2</v>
          </cell>
          <cell r="N113">
            <v>4.5832694275973307E-2</v>
          </cell>
          <cell r="O113">
            <v>4.7821106221569085E-2</v>
          </cell>
          <cell r="P113">
            <v>4.9862906903048489E-2</v>
          </cell>
          <cell r="Q113">
            <v>5.1954716922391744E-2</v>
          </cell>
          <cell r="R113">
            <v>5.4093283078301496E-2</v>
          </cell>
          <cell r="S113">
            <v>5.627442670742594E-2</v>
          </cell>
          <cell r="T113">
            <v>5.8493213997375636E-2</v>
          </cell>
          <cell r="U113">
            <v>6.0743780978621494E-2</v>
          </cell>
          <cell r="V113">
            <v>6.1588822087603023E-2</v>
          </cell>
        </row>
        <row r="114">
          <cell r="A114" t="str">
            <v>Number of employees - Yr end</v>
          </cell>
          <cell r="B114">
            <v>21265</v>
          </cell>
          <cell r="C114">
            <v>21289</v>
          </cell>
          <cell r="D114">
            <v>21383</v>
          </cell>
          <cell r="E114">
            <v>21408</v>
          </cell>
          <cell r="F114">
            <v>20971</v>
          </cell>
          <cell r="G114">
            <v>21420</v>
          </cell>
          <cell r="H114">
            <v>21870</v>
          </cell>
          <cell r="I114">
            <v>23602</v>
          </cell>
          <cell r="J114" t="e">
            <v>#REF!</v>
          </cell>
          <cell r="K114">
            <v>26381.587855787475</v>
          </cell>
          <cell r="L114">
            <v>25764.987855787476</v>
          </cell>
          <cell r="M114">
            <v>25148.387855787474</v>
          </cell>
          <cell r="N114">
            <v>24531.787855787476</v>
          </cell>
          <cell r="O114">
            <v>23915.187855787473</v>
          </cell>
          <cell r="P114">
            <v>23298.587855787475</v>
          </cell>
          <cell r="Q114">
            <v>22681.987855787473</v>
          </cell>
          <cell r="R114">
            <v>22065.387855787474</v>
          </cell>
          <cell r="S114">
            <v>21448.787855787472</v>
          </cell>
          <cell r="T114">
            <v>20832.18785578747</v>
          </cell>
          <cell r="U114">
            <v>20215.587855787471</v>
          </cell>
          <cell r="V114">
            <v>19598.987855787469</v>
          </cell>
        </row>
        <row r="115">
          <cell r="A115" t="str">
            <v>Number of employees - Average for year</v>
          </cell>
          <cell r="C115">
            <v>21277</v>
          </cell>
          <cell r="D115">
            <v>21336</v>
          </cell>
          <cell r="E115">
            <v>21395.5</v>
          </cell>
          <cell r="F115">
            <v>21189.5</v>
          </cell>
          <cell r="G115">
            <v>21195.5</v>
          </cell>
          <cell r="H115">
            <v>21645</v>
          </cell>
          <cell r="I115">
            <v>22736</v>
          </cell>
          <cell r="J115">
            <v>23602</v>
          </cell>
          <cell r="K115">
            <v>25822.933396584442</v>
          </cell>
          <cell r="L115">
            <v>26073.287855787476</v>
          </cell>
          <cell r="M115">
            <v>25456.687855787473</v>
          </cell>
          <cell r="N115">
            <v>24840.087855787475</v>
          </cell>
          <cell r="O115">
            <v>24223.487855787476</v>
          </cell>
          <cell r="P115">
            <v>23606.887855787474</v>
          </cell>
          <cell r="Q115">
            <v>22990.287855787472</v>
          </cell>
          <cell r="R115">
            <v>22373.687855787473</v>
          </cell>
          <cell r="S115">
            <v>21757.087855787475</v>
          </cell>
          <cell r="T115">
            <v>21140.487855787469</v>
          </cell>
          <cell r="U115">
            <v>20523.88785578747</v>
          </cell>
          <cell r="V115">
            <v>19907.287855787472</v>
          </cell>
        </row>
        <row r="116">
          <cell r="A116" t="str">
            <v>Employees/ MW capacity</v>
          </cell>
          <cell r="D116">
            <v>1.0726360672184601</v>
          </cell>
          <cell r="E116">
            <v>1.0225937425364222</v>
          </cell>
          <cell r="F116">
            <v>1.0017196083114401</v>
          </cell>
          <cell r="G116">
            <v>0.95475819032761311</v>
          </cell>
          <cell r="H116">
            <v>0.93321954341796454</v>
          </cell>
          <cell r="I116">
            <v>0.89571157495256171</v>
          </cell>
          <cell r="J116">
            <v>0</v>
          </cell>
          <cell r="K116">
            <v>0.85571157495256167</v>
          </cell>
          <cell r="L116">
            <v>0.83571157495256165</v>
          </cell>
          <cell r="M116">
            <v>0.81571157495256164</v>
          </cell>
          <cell r="N116">
            <v>0.79571157495256162</v>
          </cell>
          <cell r="O116">
            <v>0.7757115749525616</v>
          </cell>
          <cell r="P116">
            <v>0.75571157495256158</v>
          </cell>
          <cell r="Q116">
            <v>0.73571157495256156</v>
          </cell>
          <cell r="R116">
            <v>0.71571157495256155</v>
          </cell>
          <cell r="S116">
            <v>0.69571157495256153</v>
          </cell>
          <cell r="T116">
            <v>0.67571157495256151</v>
          </cell>
          <cell r="U116">
            <v>0.65571157495256149</v>
          </cell>
          <cell r="V116">
            <v>0.63571157495256148</v>
          </cell>
        </row>
        <row r="117">
          <cell r="A117" t="str">
            <v>Average cost of Employee</v>
          </cell>
          <cell r="C117">
            <v>359081.40245335345</v>
          </cell>
          <cell r="D117">
            <v>376640.41994750657</v>
          </cell>
          <cell r="E117">
            <v>383865.76616578252</v>
          </cell>
          <cell r="F117">
            <v>416951.7921612119</v>
          </cell>
          <cell r="G117">
            <v>416267.60397254134</v>
          </cell>
          <cell r="H117">
            <v>460337.26033726038</v>
          </cell>
          <cell r="I117">
            <v>525818.08585503162</v>
          </cell>
          <cell r="J117">
            <v>591545.34658691054</v>
          </cell>
          <cell r="K117">
            <v>635911.24758092884</v>
          </cell>
          <cell r="L117">
            <v>683604.59114949848</v>
          </cell>
          <cell r="M117">
            <v>734874.93548571086</v>
          </cell>
          <cell r="N117">
            <v>789990.55564713909</v>
          </cell>
          <cell r="O117">
            <v>849239.84732067445</v>
          </cell>
          <cell r="P117">
            <v>912932.83586972498</v>
          </cell>
          <cell r="Q117">
            <v>981402.79855995427</v>
          </cell>
          <cell r="R117">
            <v>1055008.0084519507</v>
          </cell>
          <cell r="S117">
            <v>1134133.6090858469</v>
          </cell>
          <cell r="T117">
            <v>1219193.6297672854</v>
          </cell>
          <cell r="U117">
            <v>1310633.1519998317</v>
          </cell>
          <cell r="V117">
            <v>1408930.6383998189</v>
          </cell>
        </row>
        <row r="118">
          <cell r="A118" t="str">
            <v>Growth</v>
          </cell>
          <cell r="D118">
            <v>4.8899824313330065E-2</v>
          </cell>
          <cell r="E118">
            <v>1.9183671840858008E-2</v>
          </cell>
          <cell r="F118">
            <v>8.619165581215249E-2</v>
          </cell>
          <cell r="G118">
            <v>-1.640928763309013E-3</v>
          </cell>
          <cell r="H118">
            <v>0.1058685709484759</v>
          </cell>
          <cell r="I118">
            <v>0.14224533002129247</v>
          </cell>
          <cell r="J118">
            <v>0.125</v>
          </cell>
          <cell r="K118">
            <v>7.4999999999999997E-2</v>
          </cell>
          <cell r="L118">
            <v>7.4999999999999997E-2</v>
          </cell>
          <cell r="M118">
            <v>7.4999999999999997E-2</v>
          </cell>
          <cell r="N118">
            <v>7.4999999999999997E-2</v>
          </cell>
          <cell r="O118">
            <v>7.4999999999999997E-2</v>
          </cell>
          <cell r="P118">
            <v>7.4999999999999997E-2</v>
          </cell>
          <cell r="Q118">
            <v>7.4999999999999997E-2</v>
          </cell>
          <cell r="R118">
            <v>7.4999999999999997E-2</v>
          </cell>
          <cell r="S118">
            <v>7.4999999999999997E-2</v>
          </cell>
          <cell r="T118">
            <v>7.4999999999999997E-2</v>
          </cell>
          <cell r="U118">
            <v>7.4999999999999997E-2</v>
          </cell>
          <cell r="V118">
            <v>7.4999999999999997E-2</v>
          </cell>
        </row>
        <row r="121">
          <cell r="A121" t="str">
            <v>GENERATION, ADMIN &amp; OTHER EXPENSES</v>
          </cell>
        </row>
        <row r="122">
          <cell r="A122" t="str">
            <v>Power charges</v>
          </cell>
          <cell r="B122">
            <v>309.43299999999999</v>
          </cell>
          <cell r="C122">
            <v>333.976</v>
          </cell>
          <cell r="D122">
            <v>325</v>
          </cell>
          <cell r="E122">
            <v>334</v>
          </cell>
          <cell r="F122">
            <v>332</v>
          </cell>
          <cell r="G122">
            <v>436</v>
          </cell>
          <cell r="H122">
            <v>560</v>
          </cell>
          <cell r="I122">
            <v>711</v>
          </cell>
        </row>
        <row r="123">
          <cell r="A123" t="str">
            <v>Less: Recovered from contractors/ employees</v>
          </cell>
          <cell r="B123">
            <v>47.372</v>
          </cell>
          <cell r="C123">
            <v>47.128999999999998</v>
          </cell>
          <cell r="D123">
            <v>55</v>
          </cell>
          <cell r="E123">
            <v>49</v>
          </cell>
          <cell r="F123">
            <v>62</v>
          </cell>
          <cell r="G123">
            <v>72</v>
          </cell>
          <cell r="H123">
            <v>71</v>
          </cell>
          <cell r="I123">
            <v>93</v>
          </cell>
        </row>
        <row r="124">
          <cell r="A124" t="str">
            <v>Sub-total</v>
          </cell>
          <cell r="B124">
            <v>262.06099999999998</v>
          </cell>
          <cell r="C124">
            <v>286.84699999999998</v>
          </cell>
          <cell r="D124">
            <v>270</v>
          </cell>
          <cell r="E124">
            <v>285</v>
          </cell>
          <cell r="F124">
            <v>270</v>
          </cell>
          <cell r="G124">
            <v>364</v>
          </cell>
          <cell r="H124">
            <v>489</v>
          </cell>
          <cell r="I124">
            <v>618</v>
          </cell>
        </row>
        <row r="125">
          <cell r="A125" t="str">
            <v>Water charges</v>
          </cell>
          <cell r="B125">
            <v>1005.1420000000001</v>
          </cell>
          <cell r="C125">
            <v>736.32</v>
          </cell>
          <cell r="D125">
            <v>1568</v>
          </cell>
          <cell r="E125">
            <v>747</v>
          </cell>
          <cell r="F125">
            <v>422</v>
          </cell>
          <cell r="G125">
            <v>442</v>
          </cell>
          <cell r="H125">
            <v>590</v>
          </cell>
          <cell r="I125">
            <v>759</v>
          </cell>
        </row>
        <row r="126">
          <cell r="A126" t="str">
            <v>Stores consumed</v>
          </cell>
          <cell r="B126">
            <v>132.66999999999999</v>
          </cell>
          <cell r="C126">
            <v>152.923</v>
          </cell>
          <cell r="D126">
            <v>194</v>
          </cell>
          <cell r="E126">
            <v>165</v>
          </cell>
          <cell r="F126">
            <v>151</v>
          </cell>
          <cell r="G126">
            <v>179</v>
          </cell>
          <cell r="H126">
            <v>213</v>
          </cell>
          <cell r="I126">
            <v>246</v>
          </cell>
        </row>
        <row r="127">
          <cell r="A127" t="str">
            <v>Rent</v>
          </cell>
          <cell r="B127">
            <v>29.823</v>
          </cell>
          <cell r="C127">
            <v>31.26</v>
          </cell>
          <cell r="D127">
            <v>41</v>
          </cell>
          <cell r="E127">
            <v>58</v>
          </cell>
          <cell r="F127">
            <v>67</v>
          </cell>
          <cell r="G127">
            <v>30</v>
          </cell>
          <cell r="H127">
            <v>68</v>
          </cell>
          <cell r="I127">
            <v>95</v>
          </cell>
        </row>
        <row r="128">
          <cell r="A128" t="str">
            <v>Repairs and maintenance</v>
          </cell>
        </row>
        <row r="129">
          <cell r="A129" t="str">
            <v>Buildings</v>
          </cell>
          <cell r="B129">
            <v>411.95</v>
          </cell>
          <cell r="C129">
            <v>517.37099999999998</v>
          </cell>
          <cell r="D129">
            <v>520</v>
          </cell>
          <cell r="E129">
            <v>507</v>
          </cell>
          <cell r="F129">
            <v>519</v>
          </cell>
          <cell r="G129">
            <v>568</v>
          </cell>
          <cell r="H129">
            <v>571</v>
          </cell>
          <cell r="I129">
            <v>730</v>
          </cell>
        </row>
        <row r="130">
          <cell r="A130" t="str">
            <v>Power station</v>
          </cell>
          <cell r="B130">
            <v>4629.0969999999998</v>
          </cell>
          <cell r="C130">
            <v>5174.0559999999996</v>
          </cell>
          <cell r="D130">
            <v>5529</v>
          </cell>
          <cell r="E130">
            <v>5358</v>
          </cell>
          <cell r="F130">
            <v>5409</v>
          </cell>
          <cell r="G130">
            <v>6229</v>
          </cell>
          <cell r="H130">
            <v>7236</v>
          </cell>
          <cell r="I130">
            <v>8613</v>
          </cell>
          <cell r="J130" t="e">
            <v>#REF!</v>
          </cell>
          <cell r="K130">
            <v>10086.733586337759</v>
          </cell>
          <cell r="L130">
            <v>10086.733586337759</v>
          </cell>
          <cell r="M130">
            <v>10086.733586337759</v>
          </cell>
          <cell r="N130">
            <v>10086.733586337759</v>
          </cell>
          <cell r="O130">
            <v>10086.733586337759</v>
          </cell>
          <cell r="P130">
            <v>10086.733586337759</v>
          </cell>
          <cell r="Q130">
            <v>10086.733586337759</v>
          </cell>
          <cell r="R130">
            <v>10086.733586337759</v>
          </cell>
          <cell r="S130">
            <v>10086.733586337759</v>
          </cell>
          <cell r="T130">
            <v>10086.733586337759</v>
          </cell>
          <cell r="U130">
            <v>10086.733586337759</v>
          </cell>
          <cell r="V130">
            <v>10086.733586337759</v>
          </cell>
        </row>
        <row r="131">
          <cell r="A131" t="str">
            <v>Construction equipment</v>
          </cell>
          <cell r="B131">
            <v>14.734999999999999</v>
          </cell>
          <cell r="C131">
            <v>16.643999999999998</v>
          </cell>
          <cell r="D131">
            <v>17</v>
          </cell>
          <cell r="E131">
            <v>23</v>
          </cell>
          <cell r="F131">
            <v>14</v>
          </cell>
          <cell r="G131">
            <v>20</v>
          </cell>
          <cell r="H131">
            <v>8</v>
          </cell>
          <cell r="I131">
            <v>8</v>
          </cell>
        </row>
        <row r="132">
          <cell r="A132" t="str">
            <v>Others</v>
          </cell>
          <cell r="B132">
            <v>211.93199999999999</v>
          </cell>
          <cell r="C132">
            <v>226.07400000000001</v>
          </cell>
          <cell r="D132">
            <v>214</v>
          </cell>
          <cell r="E132">
            <v>229</v>
          </cell>
          <cell r="F132">
            <v>233</v>
          </cell>
          <cell r="G132">
            <v>273</v>
          </cell>
          <cell r="H132">
            <v>280</v>
          </cell>
          <cell r="I132">
            <v>331</v>
          </cell>
        </row>
        <row r="133">
          <cell r="A133" t="str">
            <v>Insurance</v>
          </cell>
          <cell r="B133">
            <v>377.48399999999998</v>
          </cell>
          <cell r="C133">
            <v>380.21899999999999</v>
          </cell>
          <cell r="D133">
            <v>659</v>
          </cell>
          <cell r="E133">
            <v>677</v>
          </cell>
          <cell r="F133">
            <v>835</v>
          </cell>
          <cell r="G133">
            <v>765</v>
          </cell>
          <cell r="H133">
            <v>593</v>
          </cell>
          <cell r="I133">
            <v>666</v>
          </cell>
        </row>
        <row r="134">
          <cell r="A134" t="str">
            <v>Rates &amp; taxes</v>
          </cell>
          <cell r="B134">
            <v>60.917000000000002</v>
          </cell>
          <cell r="C134">
            <v>63.738</v>
          </cell>
          <cell r="D134">
            <v>72</v>
          </cell>
          <cell r="E134">
            <v>92</v>
          </cell>
          <cell r="F134">
            <v>139</v>
          </cell>
          <cell r="G134">
            <v>164</v>
          </cell>
          <cell r="H134">
            <v>136</v>
          </cell>
          <cell r="I134">
            <v>152</v>
          </cell>
        </row>
        <row r="135">
          <cell r="A135" t="str">
            <v>Water cess &amp; environment protection cess</v>
          </cell>
          <cell r="B135">
            <v>52.231999999999999</v>
          </cell>
          <cell r="C135">
            <v>64.084000000000003</v>
          </cell>
          <cell r="D135">
            <v>58</v>
          </cell>
          <cell r="E135">
            <v>62</v>
          </cell>
          <cell r="F135">
            <v>240</v>
          </cell>
          <cell r="G135">
            <v>252</v>
          </cell>
          <cell r="H135">
            <v>257</v>
          </cell>
          <cell r="I135">
            <v>269</v>
          </cell>
        </row>
        <row r="136">
          <cell r="A136" t="str">
            <v>Turnkey construction project expenses</v>
          </cell>
          <cell r="B136">
            <v>0.39700000000000002</v>
          </cell>
          <cell r="C136">
            <v>0.20499999999999999</v>
          </cell>
        </row>
        <row r="137">
          <cell r="A137" t="str">
            <v>Training &amp; recruitment expenses</v>
          </cell>
          <cell r="B137">
            <v>74.198999999999998</v>
          </cell>
          <cell r="C137">
            <v>110.437</v>
          </cell>
          <cell r="D137">
            <v>134</v>
          </cell>
          <cell r="E137">
            <v>165</v>
          </cell>
          <cell r="F137">
            <v>173</v>
          </cell>
          <cell r="G137">
            <v>260</v>
          </cell>
          <cell r="H137">
            <v>311</v>
          </cell>
          <cell r="I137">
            <v>298</v>
          </cell>
        </row>
        <row r="138">
          <cell r="A138" t="str">
            <v>Less: Fees for training and application</v>
          </cell>
          <cell r="B138">
            <v>10.808</v>
          </cell>
          <cell r="C138">
            <v>2.1259999999999999</v>
          </cell>
          <cell r="D138">
            <v>2</v>
          </cell>
          <cell r="E138">
            <v>6</v>
          </cell>
          <cell r="F138">
            <v>22</v>
          </cell>
          <cell r="G138">
            <v>25</v>
          </cell>
          <cell r="H138">
            <v>23</v>
          </cell>
          <cell r="I138">
            <v>16</v>
          </cell>
        </row>
        <row r="139">
          <cell r="A139" t="str">
            <v>Sub-total</v>
          </cell>
          <cell r="B139">
            <v>63.390999999999998</v>
          </cell>
          <cell r="C139">
            <v>108.31099999999999</v>
          </cell>
          <cell r="D139">
            <v>132</v>
          </cell>
          <cell r="E139">
            <v>159</v>
          </cell>
          <cell r="F139">
            <v>151</v>
          </cell>
          <cell r="G139">
            <v>235</v>
          </cell>
          <cell r="H139">
            <v>288</v>
          </cell>
          <cell r="I139">
            <v>282</v>
          </cell>
        </row>
        <row r="140">
          <cell r="A140" t="str">
            <v>Communication expenses</v>
          </cell>
          <cell r="B140">
            <v>129.989</v>
          </cell>
          <cell r="C140">
            <v>157.006</v>
          </cell>
          <cell r="D140">
            <v>170</v>
          </cell>
          <cell r="E140">
            <v>143</v>
          </cell>
          <cell r="F140">
            <v>155</v>
          </cell>
          <cell r="G140">
            <v>171</v>
          </cell>
          <cell r="H140">
            <v>205</v>
          </cell>
          <cell r="I140">
            <v>222</v>
          </cell>
        </row>
        <row r="141">
          <cell r="A141" t="str">
            <v>Travelling expenses</v>
          </cell>
          <cell r="B141">
            <v>481.47200000000004</v>
          </cell>
          <cell r="C141">
            <v>541.15499999999997</v>
          </cell>
          <cell r="D141">
            <v>594</v>
          </cell>
          <cell r="E141">
            <v>632</v>
          </cell>
          <cell r="F141">
            <v>722</v>
          </cell>
          <cell r="G141">
            <v>818</v>
          </cell>
          <cell r="H141">
            <v>970</v>
          </cell>
          <cell r="I141">
            <v>1125</v>
          </cell>
        </row>
        <row r="142">
          <cell r="A142" t="str">
            <v>Tender expenses</v>
          </cell>
          <cell r="B142">
            <v>85.007999999999996</v>
          </cell>
          <cell r="C142">
            <v>84.24</v>
          </cell>
          <cell r="D142">
            <v>38</v>
          </cell>
          <cell r="E142">
            <v>45</v>
          </cell>
          <cell r="F142">
            <v>71</v>
          </cell>
          <cell r="G142">
            <v>72</v>
          </cell>
          <cell r="H142">
            <v>85</v>
          </cell>
          <cell r="I142">
            <v>123</v>
          </cell>
        </row>
        <row r="143">
          <cell r="A143" t="str">
            <v>Less: Receipt from sale of tenders</v>
          </cell>
          <cell r="B143">
            <v>10.968</v>
          </cell>
          <cell r="C143">
            <v>6.1859999999999999</v>
          </cell>
          <cell r="D143">
            <v>4</v>
          </cell>
          <cell r="E143">
            <v>5</v>
          </cell>
          <cell r="F143">
            <v>8</v>
          </cell>
          <cell r="G143">
            <v>10</v>
          </cell>
          <cell r="H143">
            <v>10</v>
          </cell>
          <cell r="I143">
            <v>17</v>
          </cell>
        </row>
        <row r="144">
          <cell r="A144" t="str">
            <v>Sub-total</v>
          </cell>
          <cell r="B144">
            <v>74.039999999999992</v>
          </cell>
          <cell r="C144">
            <v>78.054000000000002</v>
          </cell>
          <cell r="D144">
            <v>34</v>
          </cell>
          <cell r="E144">
            <v>40</v>
          </cell>
          <cell r="F144">
            <v>63</v>
          </cell>
          <cell r="G144">
            <v>62</v>
          </cell>
          <cell r="H144">
            <v>75</v>
          </cell>
          <cell r="I144">
            <v>106</v>
          </cell>
        </row>
        <row r="145">
          <cell r="A145" t="str">
            <v>Remuneration to auditors</v>
          </cell>
        </row>
        <row r="146">
          <cell r="A146" t="str">
            <v>Audit fee</v>
          </cell>
          <cell r="B146">
            <v>1.7849999999999999</v>
          </cell>
          <cell r="C146">
            <v>2.73</v>
          </cell>
          <cell r="D146">
            <v>3</v>
          </cell>
          <cell r="E146">
            <v>3</v>
          </cell>
        </row>
        <row r="147">
          <cell r="A147" t="str">
            <v>Tax audit fee</v>
          </cell>
          <cell r="B147">
            <v>0.53600000000000003</v>
          </cell>
          <cell r="C147">
            <v>0.81899999999999995</v>
          </cell>
          <cell r="D147">
            <v>1</v>
          </cell>
          <cell r="E147">
            <v>1</v>
          </cell>
        </row>
        <row r="148">
          <cell r="A148" t="str">
            <v>In other capacity</v>
          </cell>
          <cell r="B148">
            <v>0.70699999999999996</v>
          </cell>
          <cell r="C148">
            <v>1.3340000000000001</v>
          </cell>
          <cell r="D148">
            <v>1</v>
          </cell>
          <cell r="E148">
            <v>2</v>
          </cell>
        </row>
        <row r="149">
          <cell r="A149" t="str">
            <v>Out of pocket expenses</v>
          </cell>
          <cell r="B149">
            <v>4.2430000000000003</v>
          </cell>
          <cell r="C149">
            <v>3.5139999999999998</v>
          </cell>
          <cell r="D149">
            <v>3</v>
          </cell>
          <cell r="E149">
            <v>4</v>
          </cell>
        </row>
        <row r="150">
          <cell r="A150" t="str">
            <v>Sub-total</v>
          </cell>
          <cell r="B150">
            <v>7.2709999999999999</v>
          </cell>
          <cell r="C150">
            <v>8.3970000000000002</v>
          </cell>
          <cell r="D150">
            <v>8</v>
          </cell>
          <cell r="E150">
            <v>10</v>
          </cell>
          <cell r="F150">
            <v>13</v>
          </cell>
          <cell r="G150">
            <v>10</v>
          </cell>
          <cell r="H150">
            <v>20</v>
          </cell>
          <cell r="I150">
            <v>19</v>
          </cell>
        </row>
        <row r="152">
          <cell r="A152" t="str">
            <v>Advertisement &amp; publicity</v>
          </cell>
          <cell r="B152">
            <v>69.438000000000002</v>
          </cell>
          <cell r="C152">
            <v>69.191000000000003</v>
          </cell>
          <cell r="D152">
            <v>49</v>
          </cell>
          <cell r="E152">
            <v>54</v>
          </cell>
          <cell r="F152">
            <v>71</v>
          </cell>
          <cell r="G152">
            <v>57</v>
          </cell>
          <cell r="H152">
            <v>70</v>
          </cell>
          <cell r="I152">
            <v>99</v>
          </cell>
        </row>
        <row r="153">
          <cell r="A153" t="str">
            <v>Security expenses</v>
          </cell>
          <cell r="B153">
            <v>623.572</v>
          </cell>
          <cell r="C153">
            <v>663.46100000000001</v>
          </cell>
          <cell r="D153">
            <v>731</v>
          </cell>
          <cell r="E153">
            <v>776</v>
          </cell>
          <cell r="F153">
            <v>830</v>
          </cell>
          <cell r="G153">
            <v>893</v>
          </cell>
          <cell r="H153">
            <v>1023</v>
          </cell>
          <cell r="I153">
            <v>1337</v>
          </cell>
        </row>
        <row r="154">
          <cell r="A154" t="str">
            <v>Entertainment expenses</v>
          </cell>
          <cell r="B154">
            <v>9.5609999999999999</v>
          </cell>
          <cell r="C154">
            <v>8.6310000000000002</v>
          </cell>
          <cell r="D154">
            <v>10</v>
          </cell>
          <cell r="E154">
            <v>11</v>
          </cell>
          <cell r="F154">
            <v>11</v>
          </cell>
          <cell r="G154">
            <v>59</v>
          </cell>
          <cell r="H154">
            <v>77</v>
          </cell>
          <cell r="I154">
            <v>106</v>
          </cell>
        </row>
        <row r="155">
          <cell r="A155" t="str">
            <v>Expenses for guest house</v>
          </cell>
          <cell r="B155">
            <v>29.204000000000001</v>
          </cell>
          <cell r="C155">
            <v>41.588999999999999</v>
          </cell>
          <cell r="D155">
            <v>42</v>
          </cell>
          <cell r="E155">
            <v>47</v>
          </cell>
          <cell r="F155">
            <v>48</v>
          </cell>
          <cell r="G155">
            <v>51</v>
          </cell>
          <cell r="H155">
            <v>58</v>
          </cell>
          <cell r="I155">
            <v>70</v>
          </cell>
        </row>
        <row r="156">
          <cell r="A156" t="str">
            <v>Less: Receipt from guest house</v>
          </cell>
          <cell r="B156">
            <v>6.0579999999999998</v>
          </cell>
          <cell r="C156">
            <v>6.5629999999999997</v>
          </cell>
          <cell r="D156">
            <v>6</v>
          </cell>
          <cell r="E156">
            <v>7</v>
          </cell>
          <cell r="F156">
            <v>7</v>
          </cell>
          <cell r="G156">
            <v>9</v>
          </cell>
          <cell r="H156">
            <v>10</v>
          </cell>
          <cell r="I156">
            <v>10</v>
          </cell>
        </row>
        <row r="157">
          <cell r="A157" t="str">
            <v>Net expense for guest house</v>
          </cell>
          <cell r="B157">
            <v>23.146000000000001</v>
          </cell>
          <cell r="C157">
            <v>35.025999999999996</v>
          </cell>
          <cell r="D157">
            <v>36</v>
          </cell>
          <cell r="E157">
            <v>40</v>
          </cell>
          <cell r="F157">
            <v>41</v>
          </cell>
          <cell r="G157">
            <v>42</v>
          </cell>
          <cell r="H157">
            <v>48</v>
          </cell>
          <cell r="I157">
            <v>60</v>
          </cell>
        </row>
        <row r="159">
          <cell r="A159" t="str">
            <v>Education expenses</v>
          </cell>
          <cell r="B159">
            <v>114.321</v>
          </cell>
          <cell r="C159">
            <v>124.53</v>
          </cell>
          <cell r="D159">
            <v>108</v>
          </cell>
          <cell r="E159">
            <v>113</v>
          </cell>
          <cell r="F159">
            <v>107</v>
          </cell>
          <cell r="G159">
            <v>120</v>
          </cell>
          <cell r="H159">
            <v>113</v>
          </cell>
          <cell r="I159">
            <v>171</v>
          </cell>
        </row>
        <row r="160">
          <cell r="A160" t="str">
            <v>Brokerage &amp; commission</v>
          </cell>
          <cell r="B160">
            <v>0.35499999999999998</v>
          </cell>
          <cell r="C160">
            <v>1.0720000000000001</v>
          </cell>
          <cell r="D160">
            <v>1</v>
          </cell>
          <cell r="E160">
            <v>2</v>
          </cell>
          <cell r="F160">
            <v>4</v>
          </cell>
          <cell r="G160">
            <v>9</v>
          </cell>
          <cell r="H160">
            <v>7</v>
          </cell>
          <cell r="I160">
            <v>12</v>
          </cell>
        </row>
        <row r="161">
          <cell r="A161" t="str">
            <v>Donations</v>
          </cell>
          <cell r="B161">
            <v>280</v>
          </cell>
          <cell r="C161">
            <v>5.8</v>
          </cell>
          <cell r="D161">
            <v>1</v>
          </cell>
          <cell r="E161">
            <v>1</v>
          </cell>
          <cell r="F161">
            <v>0</v>
          </cell>
          <cell r="G161">
            <v>97</v>
          </cell>
          <cell r="H161">
            <v>4</v>
          </cell>
          <cell r="I161">
            <v>3</v>
          </cell>
        </row>
        <row r="162">
          <cell r="A162" t="str">
            <v>Research &amp; development expenses</v>
          </cell>
          <cell r="B162">
            <v>21.905000000000001</v>
          </cell>
          <cell r="C162">
            <v>44.220999999999997</v>
          </cell>
          <cell r="D162">
            <v>47</v>
          </cell>
          <cell r="E162">
            <v>46</v>
          </cell>
          <cell r="F162">
            <v>0</v>
          </cell>
        </row>
        <row r="163">
          <cell r="A163" t="str">
            <v>Community development &amp; welfare expenses</v>
          </cell>
          <cell r="B163">
            <v>104.40900000000001</v>
          </cell>
          <cell r="C163">
            <v>90.263000000000005</v>
          </cell>
          <cell r="D163">
            <v>92</v>
          </cell>
          <cell r="E163">
            <v>55</v>
          </cell>
          <cell r="F163">
            <v>81</v>
          </cell>
          <cell r="G163">
            <v>72</v>
          </cell>
          <cell r="H163">
            <v>160</v>
          </cell>
          <cell r="I163">
            <v>88</v>
          </cell>
        </row>
        <row r="164">
          <cell r="A164" t="str">
            <v>Ash utilisation &amp; marketing expenses</v>
          </cell>
          <cell r="B164">
            <v>9.641</v>
          </cell>
          <cell r="C164">
            <v>42.182000000000002</v>
          </cell>
          <cell r="D164">
            <v>28</v>
          </cell>
          <cell r="E164">
            <v>33</v>
          </cell>
          <cell r="F164">
            <v>52</v>
          </cell>
          <cell r="G164">
            <v>79</v>
          </cell>
          <cell r="H164">
            <v>67</v>
          </cell>
          <cell r="I164">
            <v>105</v>
          </cell>
        </row>
        <row r="165">
          <cell r="A165" t="str">
            <v>Less: Sale of Ash products</v>
          </cell>
          <cell r="B165">
            <v>0.214</v>
          </cell>
          <cell r="C165">
            <v>0.23799999999999999</v>
          </cell>
          <cell r="D165">
            <v>1</v>
          </cell>
          <cell r="E165">
            <v>1</v>
          </cell>
          <cell r="F165">
            <v>9</v>
          </cell>
          <cell r="G165">
            <v>9</v>
          </cell>
          <cell r="H165">
            <v>1</v>
          </cell>
          <cell r="I165">
            <v>13</v>
          </cell>
        </row>
        <row r="166">
          <cell r="A166" t="str">
            <v>Net ash util &amp; mktg expenses</v>
          </cell>
          <cell r="B166">
            <v>9.4269999999999996</v>
          </cell>
          <cell r="C166">
            <v>41.944000000000003</v>
          </cell>
          <cell r="D166">
            <v>27</v>
          </cell>
          <cell r="E166">
            <v>32</v>
          </cell>
          <cell r="F166">
            <v>43</v>
          </cell>
          <cell r="G166">
            <v>70</v>
          </cell>
          <cell r="H166">
            <v>66</v>
          </cell>
          <cell r="I166">
            <v>92</v>
          </cell>
        </row>
        <row r="168">
          <cell r="A168" t="str">
            <v xml:space="preserve">Books &amp; periodicals </v>
          </cell>
          <cell r="B168">
            <v>15.523</v>
          </cell>
          <cell r="C168">
            <v>27.523</v>
          </cell>
          <cell r="D168">
            <v>24</v>
          </cell>
          <cell r="E168">
            <v>31</v>
          </cell>
          <cell r="F168">
            <v>29</v>
          </cell>
          <cell r="G168">
            <v>31</v>
          </cell>
          <cell r="H168">
            <v>31</v>
          </cell>
          <cell r="I168">
            <v>30</v>
          </cell>
        </row>
        <row r="169">
          <cell r="A169" t="str">
            <v>Professional charges and consultancy fees</v>
          </cell>
          <cell r="B169">
            <v>48.752000000000002</v>
          </cell>
          <cell r="C169">
            <v>55.012999999999998</v>
          </cell>
          <cell r="D169">
            <v>50</v>
          </cell>
          <cell r="E169">
            <v>92</v>
          </cell>
          <cell r="F169">
            <v>138</v>
          </cell>
          <cell r="G169">
            <v>177</v>
          </cell>
          <cell r="H169">
            <v>250</v>
          </cell>
          <cell r="I169">
            <v>509</v>
          </cell>
        </row>
        <row r="170">
          <cell r="A170" t="str">
            <v>Legal expenses</v>
          </cell>
          <cell r="B170">
            <v>12.478</v>
          </cell>
          <cell r="C170">
            <v>23.46</v>
          </cell>
          <cell r="D170">
            <v>70</v>
          </cell>
          <cell r="E170">
            <v>31</v>
          </cell>
          <cell r="F170">
            <v>26</v>
          </cell>
          <cell r="G170">
            <v>79</v>
          </cell>
          <cell r="H170">
            <v>35</v>
          </cell>
          <cell r="I170">
            <v>73</v>
          </cell>
        </row>
        <row r="171">
          <cell r="A171" t="str">
            <v>EDP hire&amp; other charges</v>
          </cell>
          <cell r="B171">
            <v>52.204000000000001</v>
          </cell>
          <cell r="C171">
            <v>58.768000000000001</v>
          </cell>
          <cell r="D171">
            <v>73</v>
          </cell>
          <cell r="E171">
            <v>86</v>
          </cell>
          <cell r="F171">
            <v>62</v>
          </cell>
          <cell r="G171">
            <v>67</v>
          </cell>
          <cell r="H171">
            <v>70</v>
          </cell>
          <cell r="I171">
            <v>83</v>
          </cell>
        </row>
        <row r="172">
          <cell r="A172" t="str">
            <v>Printing &amp; stationery</v>
          </cell>
          <cell r="B172">
            <v>56.423000000000002</v>
          </cell>
          <cell r="C172">
            <v>69.09</v>
          </cell>
          <cell r="D172">
            <v>77</v>
          </cell>
          <cell r="E172">
            <v>74</v>
          </cell>
          <cell r="F172">
            <v>73</v>
          </cell>
          <cell r="G172">
            <v>74</v>
          </cell>
          <cell r="H172">
            <v>78</v>
          </cell>
          <cell r="I172">
            <v>87</v>
          </cell>
        </row>
        <row r="173">
          <cell r="A173" t="str">
            <v>Miscellenaneous expenses</v>
          </cell>
          <cell r="B173">
            <v>378.07100000000003</v>
          </cell>
          <cell r="C173">
            <v>564.36199999999997</v>
          </cell>
          <cell r="D173">
            <v>496</v>
          </cell>
          <cell r="E173">
            <v>505</v>
          </cell>
          <cell r="F173">
            <v>538</v>
          </cell>
          <cell r="G173">
            <v>505</v>
          </cell>
          <cell r="H173">
            <v>595</v>
          </cell>
          <cell r="I173">
            <v>707</v>
          </cell>
        </row>
        <row r="174">
          <cell r="A174" t="str">
            <v>Stores written off</v>
          </cell>
          <cell r="B174">
            <v>0.57999999999999996</v>
          </cell>
          <cell r="C174">
            <v>2.0819999999999999</v>
          </cell>
          <cell r="D174">
            <v>4</v>
          </cell>
          <cell r="E174">
            <v>3</v>
          </cell>
          <cell r="F174">
            <v>1</v>
          </cell>
          <cell r="G174">
            <v>3</v>
          </cell>
          <cell r="H174">
            <v>2</v>
          </cell>
          <cell r="I174">
            <v>1</v>
          </cell>
        </row>
        <row r="175">
          <cell r="A175" t="str">
            <v>Claims/Advances written off</v>
          </cell>
          <cell r="B175">
            <v>1.9139999999999999</v>
          </cell>
          <cell r="C175">
            <v>0.13300000000000001</v>
          </cell>
          <cell r="D175">
            <v>1.732</v>
          </cell>
          <cell r="E175">
            <v>3</v>
          </cell>
          <cell r="F175">
            <v>1</v>
          </cell>
          <cell r="G175">
            <v>2</v>
          </cell>
          <cell r="H175">
            <v>6</v>
          </cell>
          <cell r="I175">
            <v>3</v>
          </cell>
        </row>
        <row r="176">
          <cell r="A176" t="str">
            <v>Electricity purchased</v>
          </cell>
          <cell r="H176">
            <v>6189</v>
          </cell>
          <cell r="I176">
            <v>9860</v>
          </cell>
        </row>
        <row r="177">
          <cell r="A177" t="str">
            <v>Cost of materials and services</v>
          </cell>
          <cell r="H177">
            <v>952</v>
          </cell>
          <cell r="I177">
            <v>952</v>
          </cell>
        </row>
        <row r="178">
          <cell r="A178" t="str">
            <v>Waiver of interest</v>
          </cell>
          <cell r="H178">
            <v>0</v>
          </cell>
          <cell r="I178">
            <v>640</v>
          </cell>
        </row>
        <row r="179">
          <cell r="A179" t="str">
            <v>Oil and gas exploration</v>
          </cell>
          <cell r="H179">
            <v>0</v>
          </cell>
          <cell r="I179">
            <v>77</v>
          </cell>
        </row>
        <row r="180">
          <cell r="A180" t="str">
            <v>Survey &amp; investigation expenses written off</v>
          </cell>
          <cell r="E180">
            <v>8</v>
          </cell>
          <cell r="F180">
            <v>95</v>
          </cell>
          <cell r="G180">
            <v>4</v>
          </cell>
          <cell r="H180">
            <v>31</v>
          </cell>
          <cell r="I180">
            <v>100</v>
          </cell>
        </row>
        <row r="181">
          <cell r="A181" t="str">
            <v>Loss on disposal/ write-off fixed assets</v>
          </cell>
          <cell r="B181">
            <v>40.683999999999997</v>
          </cell>
          <cell r="C181">
            <v>45.993000000000002</v>
          </cell>
          <cell r="D181">
            <v>35</v>
          </cell>
          <cell r="E181">
            <v>77</v>
          </cell>
          <cell r="F181">
            <v>111</v>
          </cell>
          <cell r="G181">
            <v>199</v>
          </cell>
          <cell r="H181">
            <v>102</v>
          </cell>
          <cell r="I181">
            <v>155</v>
          </cell>
        </row>
        <row r="182">
          <cell r="A182" t="str">
            <v>Temporary works charged off</v>
          </cell>
          <cell r="B182">
            <v>0.222</v>
          </cell>
          <cell r="C182">
            <v>1.9E-2</v>
          </cell>
        </row>
        <row r="183">
          <cell r="A183" t="str">
            <v>Directors' sitting fees</v>
          </cell>
          <cell r="B183">
            <v>8.7999999999999995E-2</v>
          </cell>
          <cell r="C183">
            <v>3.2000000000000001E-2</v>
          </cell>
        </row>
        <row r="184">
          <cell r="A184" t="str">
            <v>Less: Expenses transferred to incidental expenditure</v>
          </cell>
          <cell r="B184">
            <v>262.48200000000003</v>
          </cell>
          <cell r="C184">
            <v>407.32800000000003</v>
          </cell>
          <cell r="D184">
            <v>373</v>
          </cell>
          <cell r="E184">
            <v>358</v>
          </cell>
          <cell r="F184">
            <v>444</v>
          </cell>
          <cell r="G184">
            <v>671</v>
          </cell>
          <cell r="H184">
            <v>837</v>
          </cell>
          <cell r="I184">
            <v>1705</v>
          </cell>
        </row>
        <row r="185">
          <cell r="A185" t="str">
            <v xml:space="preserve">Less: adjusted in fuel cost </v>
          </cell>
          <cell r="G185">
            <v>409</v>
          </cell>
          <cell r="H185">
            <v>782</v>
          </cell>
          <cell r="I185">
            <v>911</v>
          </cell>
        </row>
        <row r="186">
          <cell r="A186" t="str">
            <v>Total</v>
          </cell>
          <cell r="B186">
            <v>9545.1939999999995</v>
          </cell>
          <cell r="C186">
            <v>10065.950000000001</v>
          </cell>
          <cell r="D186">
            <v>11639.732</v>
          </cell>
          <cell r="E186">
            <v>10869</v>
          </cell>
          <cell r="F186">
            <v>11221</v>
          </cell>
          <cell r="G186">
            <v>12062</v>
          </cell>
          <cell r="H186">
            <v>20289</v>
          </cell>
          <cell r="I186">
            <v>26870</v>
          </cell>
          <cell r="J186" t="e">
            <v>#REF!</v>
          </cell>
          <cell r="K186">
            <v>33626.956685958256</v>
          </cell>
          <cell r="L186">
            <v>34803.96784093928</v>
          </cell>
          <cell r="M186">
            <v>36039.829553669355</v>
          </cell>
          <cell r="N186">
            <v>37337.484352035935</v>
          </cell>
          <cell r="O186">
            <v>38700.021890320844</v>
          </cell>
          <cell r="P186">
            <v>40130.686305520001</v>
          </cell>
          <cell r="Q186">
            <v>41632.883941479115</v>
          </cell>
          <cell r="R186">
            <v>43210.191459236186</v>
          </cell>
          <cell r="S186">
            <v>44866.364352881115</v>
          </cell>
          <cell r="T186">
            <v>46605.345891208279</v>
          </cell>
          <cell r="U186">
            <v>48431.27650645181</v>
          </cell>
          <cell r="V186">
            <v>50348.503652457512</v>
          </cell>
        </row>
        <row r="187">
          <cell r="A187" t="str">
            <v xml:space="preserve">% of sales </v>
          </cell>
          <cell r="B187">
            <v>5.9509683961496036E-2</v>
          </cell>
          <cell r="C187">
            <v>5.3077017766520553E-2</v>
          </cell>
          <cell r="D187">
            <v>6.5398366126911717E-2</v>
          </cell>
          <cell r="E187">
            <v>5.7118683259059951E-2</v>
          </cell>
          <cell r="F187">
            <v>5.9530693773177497E-2</v>
          </cell>
          <cell r="G187">
            <v>5.3513278497972508E-2</v>
          </cell>
          <cell r="H187">
            <v>7.398695956590233E-2</v>
          </cell>
          <cell r="I187">
            <v>7.9319394137980906E-2</v>
          </cell>
          <cell r="J187" t="e">
            <v>#REF!</v>
          </cell>
          <cell r="K187">
            <v>8.3949862148194263E-2</v>
          </cell>
          <cell r="L187">
            <v>8.2088550856606268E-2</v>
          </cell>
          <cell r="M187">
            <v>8.4564185901440811E-2</v>
          </cell>
          <cell r="N187">
            <v>8.72058088773148E-2</v>
          </cell>
          <cell r="O187">
            <v>8.9962971001007405E-2</v>
          </cell>
          <cell r="P187">
            <v>9.2848868504834439E-2</v>
          </cell>
          <cell r="Q187">
            <v>9.5867141407464274E-2</v>
          </cell>
          <cell r="R187">
            <v>9.9023027538724093E-2</v>
          </cell>
          <cell r="S187">
            <v>0.10232151744731507</v>
          </cell>
          <cell r="T187">
            <v>0.10576781447687328</v>
          </cell>
          <cell r="U187">
            <v>0.10936716507243892</v>
          </cell>
          <cell r="V187">
            <v>0.11055713006314929</v>
          </cell>
        </row>
        <row r="188">
          <cell r="A188" t="str">
            <v>Per MW capacity (Excl Plant &amp; Equipment Repairs)</v>
          </cell>
          <cell r="D188">
            <v>305680.06019563583</v>
          </cell>
          <cell r="E188">
            <v>262144.7336995462</v>
          </cell>
          <cell r="F188">
            <v>276952.47193694772</v>
          </cell>
          <cell r="G188">
            <v>259104.07844885226</v>
          </cell>
          <cell r="H188">
            <v>556646.04224450607</v>
          </cell>
          <cell r="I188">
            <v>692561.66982922191</v>
          </cell>
          <cell r="J188" t="e">
            <v>#REF!</v>
          </cell>
          <cell r="K188">
            <v>763549.24098671717</v>
          </cell>
          <cell r="L188">
            <v>801726.70303605311</v>
          </cell>
          <cell r="M188">
            <v>841813.03818785585</v>
          </cell>
          <cell r="N188">
            <v>883903.69009724865</v>
          </cell>
          <cell r="O188">
            <v>928098.87460211117</v>
          </cell>
          <cell r="P188">
            <v>974503.81833221682</v>
          </cell>
          <cell r="Q188">
            <v>1023229.0092488277</v>
          </cell>
          <cell r="R188">
            <v>1074390.4597112692</v>
          </cell>
          <cell r="S188">
            <v>1128109.9826968329</v>
          </cell>
          <cell r="T188">
            <v>1184515.4818316745</v>
          </cell>
          <cell r="U188">
            <v>1243741.2559232581</v>
          </cell>
          <cell r="V188">
            <v>1305928.318719421</v>
          </cell>
        </row>
        <row r="189">
          <cell r="A189" t="str">
            <v>Growth</v>
          </cell>
          <cell r="E189">
            <v>-0.14242121801542085</v>
          </cell>
          <cell r="F189">
            <v>5.6486880466472433E-2</v>
          </cell>
          <cell r="G189">
            <v>-6.444569121650201E-2</v>
          </cell>
          <cell r="H189">
            <v>1.1483492100043855</v>
          </cell>
          <cell r="I189">
            <v>0.24416885645441289</v>
          </cell>
          <cell r="J189">
            <v>0.05</v>
          </cell>
          <cell r="K189">
            <v>0.05</v>
          </cell>
          <cell r="L189">
            <v>0.05</v>
          </cell>
          <cell r="M189">
            <v>0.05</v>
          </cell>
          <cell r="N189">
            <v>0.05</v>
          </cell>
          <cell r="O189">
            <v>0.05</v>
          </cell>
          <cell r="P189">
            <v>0.05</v>
          </cell>
          <cell r="Q189">
            <v>0.05</v>
          </cell>
          <cell r="R189">
            <v>0.05</v>
          </cell>
          <cell r="S189">
            <v>0.05</v>
          </cell>
          <cell r="T189">
            <v>0.05</v>
          </cell>
          <cell r="U189">
            <v>0.05</v>
          </cell>
          <cell r="V189">
            <v>0.05</v>
          </cell>
        </row>
        <row r="191">
          <cell r="A191" t="str">
            <v>Stores consumption included in repairs and maintenance</v>
          </cell>
          <cell r="B191">
            <v>3122.6129999999998</v>
          </cell>
          <cell r="C191">
            <v>3542.0219999999999</v>
          </cell>
          <cell r="D191">
            <v>3650</v>
          </cell>
          <cell r="E191">
            <v>3515</v>
          </cell>
          <cell r="F191">
            <v>3514</v>
          </cell>
          <cell r="G191">
            <v>3808</v>
          </cell>
          <cell r="H191">
            <v>4453</v>
          </cell>
          <cell r="I191">
            <v>5427</v>
          </cell>
        </row>
        <row r="192">
          <cell r="A192" t="str">
            <v>Plant &amp; Equipment Repairs (Rs Million/MW)</v>
          </cell>
          <cell r="D192">
            <v>0.27820416353147731</v>
          </cell>
          <cell r="E192">
            <v>0.25703367566276569</v>
          </cell>
          <cell r="F192">
            <v>0.25903988535944589</v>
          </cell>
          <cell r="G192">
            <v>0.27853799866280365</v>
          </cell>
          <cell r="H192">
            <v>0.30911030509921056</v>
          </cell>
          <cell r="I192">
            <v>0.32717267552182161</v>
          </cell>
          <cell r="J192">
            <v>0</v>
          </cell>
          <cell r="K192">
            <v>0.32717267552182161</v>
          </cell>
          <cell r="L192">
            <v>0.32717267552182161</v>
          </cell>
          <cell r="M192">
            <v>0.32717267552182161</v>
          </cell>
          <cell r="N192">
            <v>0.32717267552182161</v>
          </cell>
          <cell r="O192">
            <v>0.32717267552182161</v>
          </cell>
          <cell r="P192">
            <v>0.32717267552182161</v>
          </cell>
          <cell r="Q192">
            <v>0.32717267552182161</v>
          </cell>
          <cell r="R192">
            <v>0.32717267552182161</v>
          </cell>
          <cell r="S192">
            <v>0.32717267552182161</v>
          </cell>
          <cell r="T192">
            <v>0.32717267552182161</v>
          </cell>
          <cell r="U192">
            <v>0.32717267552182161</v>
          </cell>
          <cell r="V192">
            <v>0.32717267552182161</v>
          </cell>
        </row>
        <row r="194">
          <cell r="A194" t="str">
            <v>PROVISIONS</v>
          </cell>
        </row>
        <row r="195">
          <cell r="A195" t="str">
            <v>Provisions for bad debts and others</v>
          </cell>
          <cell r="B195">
            <v>7890</v>
          </cell>
          <cell r="C195">
            <v>9959</v>
          </cell>
          <cell r="D195">
            <v>1836</v>
          </cell>
          <cell r="E195">
            <v>5555</v>
          </cell>
          <cell r="F195">
            <v>5835</v>
          </cell>
          <cell r="G195">
            <v>75</v>
          </cell>
          <cell r="H195">
            <v>358</v>
          </cell>
          <cell r="I195">
            <v>116</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A196" t="str">
            <v>% of sales</v>
          </cell>
          <cell r="B196">
            <v>4.9127864282911292E-2</v>
          </cell>
          <cell r="C196">
            <v>5.2445602038148055E-2</v>
          </cell>
          <cell r="D196">
            <v>1.0305748429720521E-2</v>
          </cell>
          <cell r="E196">
            <v>2.9163932274576716E-2</v>
          </cell>
          <cell r="F196">
            <v>3.0924720697038433E-2</v>
          </cell>
          <cell r="G196">
            <v>3.3237314424994463E-4</v>
          </cell>
          <cell r="H196">
            <v>1.2982585928037309E-3</v>
          </cell>
          <cell r="I196">
            <v>3.4242834834409324E-4</v>
          </cell>
          <cell r="J196">
            <v>0</v>
          </cell>
          <cell r="K196">
            <v>0</v>
          </cell>
          <cell r="L196">
            <v>0</v>
          </cell>
          <cell r="M196">
            <v>0</v>
          </cell>
          <cell r="N196">
            <v>0</v>
          </cell>
          <cell r="O196">
            <v>0</v>
          </cell>
          <cell r="P196">
            <v>0</v>
          </cell>
          <cell r="Q196">
            <v>0</v>
          </cell>
          <cell r="R196">
            <v>0</v>
          </cell>
          <cell r="S196">
            <v>0</v>
          </cell>
          <cell r="T196">
            <v>0</v>
          </cell>
          <cell r="U196">
            <v>0</v>
          </cell>
          <cell r="V196">
            <v>0</v>
          </cell>
        </row>
        <row r="198">
          <cell r="A198" t="str">
            <v>NON OPERATING INCOME</v>
          </cell>
        </row>
        <row r="199">
          <cell r="A199" t="str">
            <v>Dividend from investments</v>
          </cell>
          <cell r="B199">
            <v>0.98</v>
          </cell>
          <cell r="D199">
            <v>57</v>
          </cell>
          <cell r="E199">
            <v>36</v>
          </cell>
          <cell r="F199">
            <v>95</v>
          </cell>
          <cell r="G199">
            <v>117</v>
          </cell>
          <cell r="H199">
            <v>118</v>
          </cell>
          <cell r="I199">
            <v>109</v>
          </cell>
        </row>
        <row r="200">
          <cell r="A200" t="str">
            <v>Interest from G-Sec (non-trade)</v>
          </cell>
          <cell r="G200">
            <v>162</v>
          </cell>
          <cell r="H200">
            <v>219</v>
          </cell>
          <cell r="I200">
            <v>179</v>
          </cell>
        </row>
        <row r="201">
          <cell r="A201" t="str">
            <v>Inc on redemption of G-Sec(non-trade)</v>
          </cell>
          <cell r="G201">
            <v>37</v>
          </cell>
          <cell r="H201">
            <v>1399</v>
          </cell>
          <cell r="I201">
            <v>510</v>
          </cell>
        </row>
        <row r="202">
          <cell r="A202" t="str">
            <v>Income from SEB bonds</v>
          </cell>
        </row>
        <row r="203">
          <cell r="A203" t="str">
            <v>Interest on DVB dues</v>
          </cell>
        </row>
        <row r="204">
          <cell r="A204" t="str">
            <v>Dues from SEBs</v>
          </cell>
        </row>
        <row r="205">
          <cell r="A205" t="str">
            <v>Balancing entry</v>
          </cell>
        </row>
        <row r="206">
          <cell r="A206" t="str">
            <v>Interest</v>
          </cell>
        </row>
        <row r="207">
          <cell r="A207" t="str">
            <v>Trade investments-Bonds</v>
          </cell>
          <cell r="B207">
            <v>632.26300000000003</v>
          </cell>
          <cell r="C207">
            <v>2445</v>
          </cell>
          <cell r="D207">
            <v>4841</v>
          </cell>
          <cell r="E207">
            <v>3460</v>
          </cell>
          <cell r="F207">
            <v>34854</v>
          </cell>
          <cell r="G207">
            <v>13949</v>
          </cell>
          <cell r="H207">
            <v>16877</v>
          </cell>
          <cell r="I207">
            <v>14235</v>
          </cell>
          <cell r="J207">
            <v>0</v>
          </cell>
          <cell r="K207">
            <v>8479.77</v>
          </cell>
          <cell r="L207">
            <v>6439.77</v>
          </cell>
          <cell r="M207">
            <v>4399.7700000000004</v>
          </cell>
          <cell r="N207">
            <v>2359.77</v>
          </cell>
          <cell r="O207">
            <v>319.77000000000004</v>
          </cell>
          <cell r="P207">
            <v>-1720.23</v>
          </cell>
          <cell r="Q207">
            <v>-3760.2300000000005</v>
          </cell>
          <cell r="R207">
            <v>-5800.2300000000005</v>
          </cell>
          <cell r="S207">
            <v>-7840.2300000000005</v>
          </cell>
          <cell r="T207">
            <v>-9880.2300000000014</v>
          </cell>
          <cell r="U207">
            <v>-11920.230000000001</v>
          </cell>
          <cell r="V207">
            <v>-13960.230000000001</v>
          </cell>
        </row>
        <row r="208">
          <cell r="A208" t="str">
            <v xml:space="preserve">    Other Bonds (Gross)</v>
          </cell>
          <cell r="F208">
            <v>1076</v>
          </cell>
          <cell r="G208">
            <v>843</v>
          </cell>
          <cell r="H208">
            <v>700</v>
          </cell>
          <cell r="I208">
            <v>146</v>
          </cell>
        </row>
        <row r="209">
          <cell r="A209" t="str">
            <v>Loan to State Govt in settlement of dues</v>
          </cell>
          <cell r="F209">
            <v>2253</v>
          </cell>
          <cell r="G209">
            <v>595</v>
          </cell>
          <cell r="H209">
            <v>814</v>
          </cell>
          <cell r="I209">
            <v>814</v>
          </cell>
        </row>
        <row r="210">
          <cell r="A210" t="str">
            <v>Public deposits account with Government of India</v>
          </cell>
          <cell r="D210">
            <v>601</v>
          </cell>
          <cell r="E210">
            <v>1087</v>
          </cell>
          <cell r="F210">
            <v>2751</v>
          </cell>
          <cell r="G210">
            <v>3573</v>
          </cell>
          <cell r="H210">
            <v>0</v>
          </cell>
          <cell r="I210">
            <v>0</v>
          </cell>
        </row>
        <row r="211">
          <cell r="A211" t="str">
            <v>Indian banks</v>
          </cell>
          <cell r="B211">
            <v>5.4960000000000004</v>
          </cell>
          <cell r="C211">
            <v>31</v>
          </cell>
          <cell r="D211">
            <v>26</v>
          </cell>
          <cell r="E211">
            <v>157</v>
          </cell>
          <cell r="F211">
            <v>59</v>
          </cell>
          <cell r="G211">
            <v>1065</v>
          </cell>
          <cell r="H211">
            <v>4839</v>
          </cell>
          <cell r="I211">
            <v>8616</v>
          </cell>
        </row>
        <row r="212">
          <cell r="A212" t="str">
            <v>Foreign banks</v>
          </cell>
          <cell r="B212">
            <v>2.5129999999999999</v>
          </cell>
          <cell r="C212">
            <v>3</v>
          </cell>
          <cell r="D212">
            <v>2</v>
          </cell>
          <cell r="E212">
            <v>2</v>
          </cell>
          <cell r="F212">
            <v>2</v>
          </cell>
          <cell r="G212">
            <v>2</v>
          </cell>
          <cell r="H212">
            <v>3</v>
          </cell>
          <cell r="I212">
            <v>3</v>
          </cell>
        </row>
        <row r="213">
          <cell r="A213" t="str">
            <v>Contractors</v>
          </cell>
          <cell r="B213">
            <v>5.8819999999999997</v>
          </cell>
          <cell r="C213">
            <v>16</v>
          </cell>
        </row>
        <row r="214">
          <cell r="A214" t="str">
            <v>Employees loan</v>
          </cell>
          <cell r="B214">
            <v>203.65600000000001</v>
          </cell>
          <cell r="C214">
            <v>192</v>
          </cell>
          <cell r="D214">
            <v>273</v>
          </cell>
          <cell r="E214">
            <v>306</v>
          </cell>
          <cell r="F214">
            <v>316</v>
          </cell>
          <cell r="G214">
            <v>259</v>
          </cell>
          <cell r="H214">
            <v>239</v>
          </cell>
          <cell r="I214">
            <v>216</v>
          </cell>
        </row>
        <row r="215">
          <cell r="A215" t="str">
            <v>Others</v>
          </cell>
          <cell r="B215">
            <v>3125.759</v>
          </cell>
          <cell r="C215">
            <v>1688</v>
          </cell>
          <cell r="D215">
            <v>39</v>
          </cell>
          <cell r="E215">
            <v>172</v>
          </cell>
          <cell r="F215">
            <v>21</v>
          </cell>
          <cell r="G215">
            <v>152</v>
          </cell>
          <cell r="H215">
            <v>107</v>
          </cell>
          <cell r="I215">
            <v>121</v>
          </cell>
        </row>
        <row r="216">
          <cell r="A216" t="str">
            <v>Interest on income tax refunds</v>
          </cell>
          <cell r="D216">
            <v>279</v>
          </cell>
          <cell r="E216">
            <v>387</v>
          </cell>
          <cell r="F216">
            <v>28</v>
          </cell>
          <cell r="G216">
            <v>0</v>
          </cell>
          <cell r="H216">
            <v>1151</v>
          </cell>
          <cell r="I216">
            <v>3340</v>
          </cell>
        </row>
        <row r="217">
          <cell r="A217" t="str">
            <v>Less: Amount refundable to customers</v>
          </cell>
          <cell r="D217">
            <v>0</v>
          </cell>
          <cell r="E217">
            <v>360</v>
          </cell>
          <cell r="F217">
            <v>16</v>
          </cell>
          <cell r="G217">
            <v>0</v>
          </cell>
          <cell r="H217">
            <v>1151</v>
          </cell>
          <cell r="I217">
            <v>1898</v>
          </cell>
        </row>
        <row r="218">
          <cell r="A218" t="str">
            <v>Sub-total</v>
          </cell>
          <cell r="D218">
            <v>279</v>
          </cell>
          <cell r="E218">
            <v>27</v>
          </cell>
          <cell r="F218">
            <v>12</v>
          </cell>
          <cell r="G218">
            <v>0</v>
          </cell>
          <cell r="H218">
            <v>0</v>
          </cell>
          <cell r="I218">
            <v>1442</v>
          </cell>
        </row>
        <row r="219">
          <cell r="A219" t="str">
            <v>Surcharge on late payment from customers</v>
          </cell>
          <cell r="B219">
            <v>2793.0259999999998</v>
          </cell>
          <cell r="C219">
            <v>4334</v>
          </cell>
          <cell r="D219">
            <v>109</v>
          </cell>
          <cell r="E219">
            <v>5</v>
          </cell>
          <cell r="F219">
            <v>22641</v>
          </cell>
          <cell r="G219">
            <v>2460</v>
          </cell>
          <cell r="H219">
            <v>384</v>
          </cell>
          <cell r="I219">
            <v>207</v>
          </cell>
        </row>
        <row r="220">
          <cell r="A220" t="str">
            <v>Hire charges for equipment</v>
          </cell>
          <cell r="B220">
            <v>6.9329999999999998</v>
          </cell>
          <cell r="C220">
            <v>4</v>
          </cell>
          <cell r="D220">
            <v>6</v>
          </cell>
          <cell r="E220">
            <v>6</v>
          </cell>
          <cell r="F220">
            <v>10</v>
          </cell>
          <cell r="G220">
            <v>24</v>
          </cell>
          <cell r="H220">
            <v>14</v>
          </cell>
          <cell r="I220">
            <v>18</v>
          </cell>
        </row>
        <row r="221">
          <cell r="A221" t="str">
            <v>Profit on sale of fixed assets</v>
          </cell>
          <cell r="B221">
            <v>3.1019999999999999</v>
          </cell>
          <cell r="C221">
            <v>19</v>
          </cell>
          <cell r="D221">
            <v>7</v>
          </cell>
          <cell r="E221">
            <v>147</v>
          </cell>
          <cell r="F221">
            <v>47</v>
          </cell>
          <cell r="G221">
            <v>37</v>
          </cell>
          <cell r="H221">
            <v>41</v>
          </cell>
          <cell r="I221">
            <v>10</v>
          </cell>
        </row>
        <row r="222">
          <cell r="A222" t="str">
            <v>Sale of scrap</v>
          </cell>
          <cell r="B222">
            <v>51.174999999999997</v>
          </cell>
          <cell r="C222">
            <v>93</v>
          </cell>
        </row>
        <row r="223">
          <cell r="A223" t="str">
            <v>Miscellaneous income</v>
          </cell>
          <cell r="B223">
            <v>292.84399999999999</v>
          </cell>
          <cell r="C223">
            <v>377</v>
          </cell>
          <cell r="D223">
            <v>530</v>
          </cell>
          <cell r="E223">
            <v>893</v>
          </cell>
          <cell r="F223">
            <v>1055</v>
          </cell>
          <cell r="G223">
            <v>1313</v>
          </cell>
          <cell r="H223">
            <v>1158</v>
          </cell>
          <cell r="I223">
            <v>1288</v>
          </cell>
        </row>
        <row r="224">
          <cell r="A224" t="str">
            <v>Total</v>
          </cell>
          <cell r="B224">
            <v>7123.6289999999999</v>
          </cell>
          <cell r="C224">
            <v>9202</v>
          </cell>
          <cell r="D224">
            <v>6770</v>
          </cell>
          <cell r="E224">
            <v>6298</v>
          </cell>
          <cell r="F224">
            <v>65192</v>
          </cell>
          <cell r="G224">
            <v>24588</v>
          </cell>
          <cell r="H224">
            <v>26912</v>
          </cell>
          <cell r="I224">
            <v>27914</v>
          </cell>
        </row>
        <row r="225">
          <cell r="A225" t="str">
            <v>Less: Adjustment for surcharge on late payment from customers</v>
          </cell>
          <cell r="E225">
            <v>2176</v>
          </cell>
          <cell r="F225">
            <v>0</v>
          </cell>
        </row>
        <row r="226">
          <cell r="A226" t="str">
            <v xml:space="preserve">Less: Income transferred to incidental expenditure </v>
          </cell>
          <cell r="B226">
            <v>40.098999999999997</v>
          </cell>
          <cell r="C226">
            <v>41</v>
          </cell>
          <cell r="D226">
            <v>45</v>
          </cell>
          <cell r="E226">
            <v>86</v>
          </cell>
          <cell r="F226">
            <v>65</v>
          </cell>
          <cell r="G226">
            <v>1059</v>
          </cell>
          <cell r="H226">
            <v>668</v>
          </cell>
          <cell r="I226">
            <v>194</v>
          </cell>
        </row>
        <row r="227">
          <cell r="A227" t="str">
            <v>Less: Adjustment for interest on bonds returned to issuers</v>
          </cell>
          <cell r="F227">
            <v>-3817</v>
          </cell>
        </row>
        <row r="228">
          <cell r="A228" t="str">
            <v>Total</v>
          </cell>
          <cell r="B228">
            <v>7083.53</v>
          </cell>
          <cell r="C228">
            <v>9161</v>
          </cell>
          <cell r="D228">
            <v>6725</v>
          </cell>
          <cell r="E228">
            <v>4036</v>
          </cell>
          <cell r="F228">
            <v>61310</v>
          </cell>
          <cell r="G228">
            <v>23529</v>
          </cell>
          <cell r="H228">
            <v>26244</v>
          </cell>
          <cell r="I228">
            <v>27720</v>
          </cell>
          <cell r="J228">
            <v>0</v>
          </cell>
          <cell r="K228">
            <v>31587.061876667551</v>
          </cell>
          <cell r="L228">
            <v>37953.357547190695</v>
          </cell>
          <cell r="M228">
            <v>44850.290175990587</v>
          </cell>
          <cell r="N228">
            <v>52049.802764513057</v>
          </cell>
          <cell r="O228">
            <v>59635.321110743767</v>
          </cell>
          <cell r="P228">
            <v>67559.749052454412</v>
          </cell>
          <cell r="Q228">
            <v>75878.132785470181</v>
          </cell>
          <cell r="R228">
            <v>84594.979565168949</v>
          </cell>
          <cell r="S228">
            <v>93778.984242662074</v>
          </cell>
          <cell r="T228">
            <v>103400.41230206183</v>
          </cell>
          <cell r="U228">
            <v>113506.6709779447</v>
          </cell>
          <cell r="V228">
            <v>124092.49253003251</v>
          </cell>
        </row>
        <row r="229">
          <cell r="A229" t="str">
            <v>% of investment</v>
          </cell>
          <cell r="B229" t="e">
            <v>#DIV/0!</v>
          </cell>
          <cell r="C229" t="e">
            <v>#DIV/0!</v>
          </cell>
          <cell r="D229">
            <v>3.7434941133902978E-2</v>
          </cell>
          <cell r="E229">
            <v>2.2969273758913684E-2</v>
          </cell>
          <cell r="F229">
            <v>0.3416150798736286</v>
          </cell>
          <cell r="G229">
            <v>8.7546509897306141E-2</v>
          </cell>
          <cell r="H229">
            <v>9.6486358305422487E-2</v>
          </cell>
          <cell r="I229">
            <v>9.6113505473130176E-2</v>
          </cell>
          <cell r="J229">
            <v>9.6113505473130176E-2</v>
          </cell>
          <cell r="K229">
            <v>9.6113505473130176E-2</v>
          </cell>
          <cell r="L229">
            <v>9.6113505473130176E-2</v>
          </cell>
          <cell r="M229">
            <v>9.6113505473130176E-2</v>
          </cell>
          <cell r="N229">
            <v>9.6113505473130176E-2</v>
          </cell>
          <cell r="O229">
            <v>9.6113505473130176E-2</v>
          </cell>
          <cell r="P229">
            <v>9.6113505473130176E-2</v>
          </cell>
          <cell r="Q229">
            <v>9.6113505473130176E-2</v>
          </cell>
          <cell r="R229">
            <v>9.6113505473130176E-2</v>
          </cell>
          <cell r="S229">
            <v>9.6113505473130176E-2</v>
          </cell>
          <cell r="T229">
            <v>9.6113505473130176E-2</v>
          </cell>
          <cell r="U229">
            <v>9.6113505473130176E-2</v>
          </cell>
          <cell r="V229">
            <v>9.6113505473130176E-2</v>
          </cell>
        </row>
        <row r="232">
          <cell r="A232" t="str">
            <v>INTEREST AND FINANCE CHARGES</v>
          </cell>
        </row>
        <row r="233">
          <cell r="A233" t="str">
            <v>Interest on:</v>
          </cell>
        </row>
        <row r="234">
          <cell r="A234" t="str">
            <v>Bonds</v>
          </cell>
          <cell r="B234">
            <v>1029.5429999999999</v>
          </cell>
          <cell r="C234">
            <v>888.86699999999996</v>
          </cell>
          <cell r="D234">
            <v>602</v>
          </cell>
          <cell r="E234">
            <v>2265</v>
          </cell>
          <cell r="F234">
            <v>2800</v>
          </cell>
          <cell r="G234">
            <v>2814</v>
          </cell>
          <cell r="H234">
            <v>3301</v>
          </cell>
          <cell r="I234">
            <v>4000</v>
          </cell>
          <cell r="J234">
            <v>4469.2947070191567</v>
          </cell>
          <cell r="K234">
            <v>4112.8018462577629</v>
          </cell>
          <cell r="L234">
            <v>3925.1740248043975</v>
          </cell>
          <cell r="M234">
            <v>3737.5462033510325</v>
          </cell>
          <cell r="N234">
            <v>3549.9183818976676</v>
          </cell>
          <cell r="O234">
            <v>3362.2905604443022</v>
          </cell>
          <cell r="P234">
            <v>3174.6627389909372</v>
          </cell>
          <cell r="Q234">
            <v>2987.0349175375723</v>
          </cell>
          <cell r="R234">
            <v>2799.4070960842073</v>
          </cell>
          <cell r="S234">
            <v>2611.7792746308419</v>
          </cell>
          <cell r="T234">
            <v>2424.1514531774769</v>
          </cell>
          <cell r="U234">
            <v>2236.523631724112</v>
          </cell>
          <cell r="V234">
            <v>2048.8958102707466</v>
          </cell>
        </row>
        <row r="235">
          <cell r="G235">
            <v>0.12201714194863197</v>
          </cell>
          <cell r="H235">
            <v>0.15696437274877856</v>
          </cell>
          <cell r="I235">
            <v>0.15010225716269207</v>
          </cell>
          <cell r="J235">
            <v>0.15010225716269207</v>
          </cell>
          <cell r="K235">
            <v>0.15010225716269207</v>
          </cell>
          <cell r="L235">
            <v>0.15010225716269207</v>
          </cell>
          <cell r="M235">
            <v>0.15010225716269207</v>
          </cell>
          <cell r="N235">
            <v>0.15010225716269207</v>
          </cell>
          <cell r="O235">
            <v>0.15010225716269207</v>
          </cell>
          <cell r="P235">
            <v>0.15010225716269207</v>
          </cell>
          <cell r="Q235">
            <v>0.15010225716269207</v>
          </cell>
          <cell r="R235">
            <v>0.15010225716269207</v>
          </cell>
          <cell r="S235">
            <v>0.15010225716269207</v>
          </cell>
          <cell r="T235">
            <v>0.15010225716269207</v>
          </cell>
          <cell r="U235">
            <v>0.15010225716269207</v>
          </cell>
          <cell r="V235">
            <v>0.15010225716269207</v>
          </cell>
        </row>
        <row r="236">
          <cell r="A236" t="str">
            <v>Loans from Government of India</v>
          </cell>
          <cell r="B236">
            <v>4303.0739999999996</v>
          </cell>
          <cell r="C236">
            <v>3944.9940000000001</v>
          </cell>
          <cell r="D236">
            <v>3695</v>
          </cell>
          <cell r="E236">
            <v>602</v>
          </cell>
          <cell r="F236">
            <v>147</v>
          </cell>
          <cell r="G236">
            <v>99</v>
          </cell>
          <cell r="H236">
            <v>54</v>
          </cell>
          <cell r="I236">
            <v>25</v>
          </cell>
          <cell r="J236">
            <v>13.058227848101268</v>
          </cell>
          <cell r="K236">
            <v>13.458227848101266</v>
          </cell>
          <cell r="L236">
            <v>13.858227848101269</v>
          </cell>
          <cell r="M236">
            <v>14.258227848101267</v>
          </cell>
          <cell r="N236">
            <v>14.658227848101269</v>
          </cell>
          <cell r="O236">
            <v>15.058227848101268</v>
          </cell>
          <cell r="P236">
            <v>15.45822784810127</v>
          </cell>
          <cell r="Q236">
            <v>15.858227848101269</v>
          </cell>
          <cell r="R236">
            <v>16.258227848101271</v>
          </cell>
          <cell r="S236">
            <v>16.658227848101269</v>
          </cell>
          <cell r="T236">
            <v>17.058227848101271</v>
          </cell>
          <cell r="U236">
            <v>17.45822784810127</v>
          </cell>
          <cell r="V236">
            <v>17.858227848101272</v>
          </cell>
        </row>
        <row r="237">
          <cell r="G237">
            <v>0.12899022801302931</v>
          </cell>
          <cell r="H237">
            <v>0.13722998729351971</v>
          </cell>
          <cell r="I237">
            <v>0.15822784810126583</v>
          </cell>
          <cell r="J237">
            <v>0.16322784810126584</v>
          </cell>
          <cell r="K237">
            <v>0.16822784810126584</v>
          </cell>
          <cell r="L237">
            <v>0.17322784810126585</v>
          </cell>
          <cell r="M237">
            <v>0.17822784810126585</v>
          </cell>
          <cell r="N237">
            <v>0.18322784810126586</v>
          </cell>
          <cell r="O237">
            <v>0.18822784810126586</v>
          </cell>
          <cell r="P237">
            <v>0.19322784810126586</v>
          </cell>
          <cell r="Q237">
            <v>0.19822784810126587</v>
          </cell>
          <cell r="R237">
            <v>0.20322784810126587</v>
          </cell>
          <cell r="S237">
            <v>0.20822784810126588</v>
          </cell>
          <cell r="T237">
            <v>0.21322784810126588</v>
          </cell>
          <cell r="U237">
            <v>0.21822784810126589</v>
          </cell>
          <cell r="V237">
            <v>0.22322784810126589</v>
          </cell>
        </row>
        <row r="238">
          <cell r="A238" t="str">
            <v>Foreign Currency Term Loans</v>
          </cell>
          <cell r="B238">
            <v>2630.4029999999998</v>
          </cell>
          <cell r="C238">
            <v>2390.6579999999999</v>
          </cell>
          <cell r="D238">
            <v>2074</v>
          </cell>
          <cell r="E238">
            <v>2070</v>
          </cell>
          <cell r="F238">
            <v>1838</v>
          </cell>
          <cell r="G238">
            <v>1282</v>
          </cell>
          <cell r="H238">
            <v>1155</v>
          </cell>
          <cell r="I238">
            <v>1473</v>
          </cell>
          <cell r="J238">
            <v>1573.6100298563165</v>
          </cell>
          <cell r="K238">
            <v>811.65212490016791</v>
          </cell>
          <cell r="L238">
            <v>1129.4362884120171</v>
          </cell>
          <cell r="M238">
            <v>827.43637484605324</v>
          </cell>
          <cell r="N238">
            <v>465.43646128008947</v>
          </cell>
          <cell r="O238">
            <v>43.436547714125702</v>
          </cell>
          <cell r="P238">
            <v>-438.56336585183811</v>
          </cell>
          <cell r="Q238">
            <v>-980.56327941780205</v>
          </cell>
          <cell r="R238">
            <v>-1582.5631929837659</v>
          </cell>
          <cell r="S238">
            <v>-2244.56310654973</v>
          </cell>
          <cell r="T238">
            <v>-2966.5630201156941</v>
          </cell>
          <cell r="U238">
            <v>-3748.5629336816583</v>
          </cell>
          <cell r="V238">
            <v>-6206.2429417400645</v>
          </cell>
        </row>
        <row r="239">
          <cell r="G239">
            <v>6.6213023099668158E-2</v>
          </cell>
          <cell r="H239">
            <v>6.5643648763853368E-2</v>
          </cell>
          <cell r="I239">
            <v>9.1621571188654605E-2</v>
          </cell>
          <cell r="J239">
            <v>0.1016215711886546</v>
          </cell>
          <cell r="K239">
            <v>0.11162157118865459</v>
          </cell>
          <cell r="L239">
            <v>0.12162157118865459</v>
          </cell>
          <cell r="M239">
            <v>0.13162157118865458</v>
          </cell>
          <cell r="N239">
            <v>0.14162157118865459</v>
          </cell>
          <cell r="O239">
            <v>0.1516215711886546</v>
          </cell>
          <cell r="P239">
            <v>0.16162157118865461</v>
          </cell>
          <cell r="Q239">
            <v>0.17162157118865462</v>
          </cell>
          <cell r="R239">
            <v>0.18162157118865463</v>
          </cell>
          <cell r="S239">
            <v>0.19162157118865464</v>
          </cell>
          <cell r="T239">
            <v>0.20162157118865465</v>
          </cell>
          <cell r="U239">
            <v>0.21162157118865466</v>
          </cell>
          <cell r="V239">
            <v>0.22162157118865466</v>
          </cell>
        </row>
        <row r="240">
          <cell r="A240" t="str">
            <v>Rupee Term Loans</v>
          </cell>
          <cell r="B240">
            <v>385.84399999999999</v>
          </cell>
          <cell r="C240">
            <v>1022.92</v>
          </cell>
          <cell r="D240">
            <v>2282</v>
          </cell>
          <cell r="E240">
            <v>3580</v>
          </cell>
          <cell r="F240">
            <v>4644</v>
          </cell>
          <cell r="G240">
            <v>4959</v>
          </cell>
          <cell r="H240">
            <v>6778</v>
          </cell>
          <cell r="I240">
            <v>8083</v>
          </cell>
          <cell r="J240">
            <v>8862.2437561869501</v>
          </cell>
          <cell r="K240">
            <v>7437.6806185085206</v>
          </cell>
          <cell r="L240">
            <v>8378.5598680847852</v>
          </cell>
          <cell r="M240">
            <v>8062.7773168398398</v>
          </cell>
          <cell r="N240">
            <v>7714.2447655948936</v>
          </cell>
          <cell r="O240">
            <v>7332.9622143499464</v>
          </cell>
          <cell r="P240">
            <v>6918.9296631050001</v>
          </cell>
          <cell r="Q240">
            <v>6472.1471118600539</v>
          </cell>
          <cell r="R240">
            <v>5992.6145606151076</v>
          </cell>
          <cell r="S240">
            <v>5480.3320093701604</v>
          </cell>
          <cell r="T240">
            <v>4935.2994581252142</v>
          </cell>
          <cell r="U240">
            <v>4357.516906880267</v>
          </cell>
          <cell r="V240">
            <v>1366.3526601747953</v>
          </cell>
        </row>
        <row r="241">
          <cell r="G241">
            <v>7.4563579773557667E-2</v>
          </cell>
          <cell r="H241">
            <v>7.7604318729569896E-2</v>
          </cell>
          <cell r="I241">
            <v>7.6349794083197947E-2</v>
          </cell>
          <cell r="J241">
            <v>7.8849794083197949E-2</v>
          </cell>
          <cell r="K241">
            <v>8.1349794083197952E-2</v>
          </cell>
          <cell r="L241">
            <v>8.3849794083197954E-2</v>
          </cell>
          <cell r="M241">
            <v>8.6349794083197956E-2</v>
          </cell>
          <cell r="N241">
            <v>8.8849794083197958E-2</v>
          </cell>
          <cell r="O241">
            <v>9.134979408319796E-2</v>
          </cell>
          <cell r="P241">
            <v>9.3849794083197963E-2</v>
          </cell>
          <cell r="Q241">
            <v>9.6349794083197965E-2</v>
          </cell>
          <cell r="R241">
            <v>9.8849794083197967E-2</v>
          </cell>
          <cell r="S241">
            <v>0.10134979408319797</v>
          </cell>
          <cell r="T241">
            <v>0.10384979408319797</v>
          </cell>
          <cell r="U241">
            <v>0.10634979408319797</v>
          </cell>
          <cell r="V241">
            <v>0.10884979408319798</v>
          </cell>
        </row>
        <row r="242">
          <cell r="A242" t="str">
            <v>Public deposits</v>
          </cell>
          <cell r="B242">
            <v>381.97199999999998</v>
          </cell>
          <cell r="C242">
            <v>280.25900000000001</v>
          </cell>
          <cell r="D242">
            <v>236</v>
          </cell>
          <cell r="E242">
            <v>398</v>
          </cell>
          <cell r="F242">
            <v>444</v>
          </cell>
          <cell r="G242">
            <v>378</v>
          </cell>
          <cell r="H242">
            <v>131</v>
          </cell>
          <cell r="I242">
            <v>29</v>
          </cell>
          <cell r="J242">
            <v>18.840723327305604</v>
          </cell>
          <cell r="K242">
            <v>20.480723327305604</v>
          </cell>
          <cell r="L242">
            <v>22.120723327305605</v>
          </cell>
          <cell r="M242">
            <v>23.760723327305605</v>
          </cell>
          <cell r="N242">
            <v>25.400723327305606</v>
          </cell>
          <cell r="O242">
            <v>27.040723327305606</v>
          </cell>
          <cell r="P242">
            <v>28.680723327305607</v>
          </cell>
          <cell r="Q242">
            <v>30.320723327305611</v>
          </cell>
          <cell r="R242">
            <v>31.960723327305612</v>
          </cell>
          <cell r="S242">
            <v>33.600723327305616</v>
          </cell>
          <cell r="T242">
            <v>35.240723327305616</v>
          </cell>
          <cell r="U242">
            <v>36.880723327305617</v>
          </cell>
          <cell r="V242">
            <v>38.520723327305618</v>
          </cell>
        </row>
        <row r="243">
          <cell r="G243">
            <v>8.1535806729939597E-2</v>
          </cell>
          <cell r="H243">
            <v>5.3068665181284183E-2</v>
          </cell>
          <cell r="I243">
            <v>5.2441229656419529E-2</v>
          </cell>
          <cell r="J243">
            <v>5.7441229656419526E-2</v>
          </cell>
          <cell r="K243">
            <v>6.2441229656419524E-2</v>
          </cell>
          <cell r="L243">
            <v>6.7441229656419521E-2</v>
          </cell>
          <cell r="M243">
            <v>7.2441229656419526E-2</v>
          </cell>
          <cell r="N243">
            <v>7.744122965641953E-2</v>
          </cell>
          <cell r="O243">
            <v>8.2441229656419535E-2</v>
          </cell>
          <cell r="P243">
            <v>8.7441229656419539E-2</v>
          </cell>
          <cell r="Q243">
            <v>9.2441229656419543E-2</v>
          </cell>
          <cell r="R243">
            <v>9.7441229656419548E-2</v>
          </cell>
          <cell r="S243">
            <v>0.10244122965641955</v>
          </cell>
          <cell r="T243">
            <v>0.10744122965641956</v>
          </cell>
          <cell r="U243">
            <v>0.11244122965641956</v>
          </cell>
          <cell r="V243">
            <v>0.11744122965641957</v>
          </cell>
        </row>
        <row r="244">
          <cell r="A244" t="str">
            <v xml:space="preserve">   Euro Bonds</v>
          </cell>
          <cell r="F244">
            <v>36</v>
          </cell>
          <cell r="G244">
            <v>624</v>
          </cell>
          <cell r="H244">
            <v>694</v>
          </cell>
          <cell r="I244">
            <v>1636</v>
          </cell>
          <cell r="J244">
            <v>1615.9207296475622</v>
          </cell>
          <cell r="K244">
            <v>1615.9207296475622</v>
          </cell>
          <cell r="L244">
            <v>1615.9207296475622</v>
          </cell>
          <cell r="M244">
            <v>1615.9207296475622</v>
          </cell>
          <cell r="N244">
            <v>1615.9207296475622</v>
          </cell>
          <cell r="O244">
            <v>1615.9207296475622</v>
          </cell>
          <cell r="P244">
            <v>1615.9207296475622</v>
          </cell>
          <cell r="Q244">
            <v>1615.9207296475622</v>
          </cell>
          <cell r="R244">
            <v>1615.9207296475622</v>
          </cell>
          <cell r="S244">
            <v>1615.9207296475622</v>
          </cell>
          <cell r="T244">
            <v>1615.9207296475622</v>
          </cell>
          <cell r="U244">
            <v>1615.9207296475622</v>
          </cell>
          <cell r="V244">
            <v>1615.9207296475622</v>
          </cell>
        </row>
        <row r="245">
          <cell r="G245">
            <v>7.0604209097080789E-2</v>
          </cell>
          <cell r="H245">
            <v>7.7960008986744558E-2</v>
          </cell>
          <cell r="I245">
            <v>0.18421348947190633</v>
          </cell>
          <cell r="J245">
            <v>0.18421348947190633</v>
          </cell>
          <cell r="K245">
            <v>0.18421348947190633</v>
          </cell>
          <cell r="L245">
            <v>0.18421348947190633</v>
          </cell>
          <cell r="M245">
            <v>0.18421348947190633</v>
          </cell>
          <cell r="N245">
            <v>0.18421348947190633</v>
          </cell>
          <cell r="O245">
            <v>0.18421348947190633</v>
          </cell>
          <cell r="P245">
            <v>0.18421348947190633</v>
          </cell>
          <cell r="Q245">
            <v>0.18421348947190633</v>
          </cell>
          <cell r="R245">
            <v>0.18421348947190633</v>
          </cell>
          <cell r="S245">
            <v>0.18421348947190633</v>
          </cell>
          <cell r="T245">
            <v>0.18421348947190633</v>
          </cell>
          <cell r="U245">
            <v>0.18421348947190633</v>
          </cell>
          <cell r="V245">
            <v>0.18421348947190633</v>
          </cell>
        </row>
        <row r="246">
          <cell r="A246" t="str">
            <v>Others</v>
          </cell>
          <cell r="B246">
            <v>0</v>
          </cell>
          <cell r="C246">
            <v>340.07900000000001</v>
          </cell>
          <cell r="D246">
            <v>68</v>
          </cell>
          <cell r="E246">
            <v>88</v>
          </cell>
          <cell r="F246">
            <v>198</v>
          </cell>
          <cell r="G246">
            <v>152</v>
          </cell>
          <cell r="H246">
            <v>130</v>
          </cell>
          <cell r="I246">
            <v>2251</v>
          </cell>
          <cell r="J246">
            <v>2274.1035112540194</v>
          </cell>
          <cell r="K246">
            <v>2274.1035112540194</v>
          </cell>
          <cell r="L246">
            <v>2274.1035112540194</v>
          </cell>
          <cell r="M246">
            <v>2274.1035112540194</v>
          </cell>
          <cell r="N246">
            <v>2274.1035112540194</v>
          </cell>
          <cell r="O246">
            <v>2274.1035112540194</v>
          </cell>
          <cell r="P246">
            <v>2274.1035112540194</v>
          </cell>
          <cell r="Q246">
            <v>2274.1035112540194</v>
          </cell>
          <cell r="R246">
            <v>2274.1035112540194</v>
          </cell>
          <cell r="S246">
            <v>2274.1035112540194</v>
          </cell>
          <cell r="T246">
            <v>2274.1035112540194</v>
          </cell>
          <cell r="U246">
            <v>2274.1035112540194</v>
          </cell>
          <cell r="V246">
            <v>2274.1035112540194</v>
          </cell>
        </row>
        <row r="247">
          <cell r="G247">
            <v>1.761297798377752E-2</v>
          </cell>
          <cell r="H247">
            <v>9.5859602551340191E-3</v>
          </cell>
          <cell r="I247">
            <v>0.11580707395498392</v>
          </cell>
          <cell r="J247">
            <v>0.11580707395498392</v>
          </cell>
          <cell r="K247">
            <v>0.11580707395498392</v>
          </cell>
          <cell r="L247">
            <v>0.11580707395498392</v>
          </cell>
          <cell r="M247">
            <v>0.11580707395498392</v>
          </cell>
          <cell r="N247">
            <v>0.11580707395498392</v>
          </cell>
          <cell r="O247">
            <v>0.11580707395498392</v>
          </cell>
          <cell r="P247">
            <v>0.11580707395498392</v>
          </cell>
          <cell r="Q247">
            <v>0.11580707395498392</v>
          </cell>
          <cell r="R247">
            <v>0.11580707395498392</v>
          </cell>
          <cell r="S247">
            <v>0.11580707395498392</v>
          </cell>
          <cell r="T247">
            <v>0.11580707395498392</v>
          </cell>
          <cell r="U247">
            <v>0.11580707395498392</v>
          </cell>
          <cell r="V247">
            <v>0.11580707395498392</v>
          </cell>
        </row>
        <row r="248">
          <cell r="A248" t="str">
            <v>Sub-total</v>
          </cell>
          <cell r="B248">
            <v>8730.8359999999975</v>
          </cell>
          <cell r="C248">
            <v>8867.777</v>
          </cell>
          <cell r="D248">
            <v>8957</v>
          </cell>
          <cell r="E248">
            <v>9003</v>
          </cell>
          <cell r="F248">
            <v>10107</v>
          </cell>
          <cell r="G248">
            <v>10308</v>
          </cell>
          <cell r="H248">
            <v>12243</v>
          </cell>
          <cell r="I248">
            <v>17497</v>
          </cell>
          <cell r="J248">
            <v>18827.071685139414</v>
          </cell>
          <cell r="K248">
            <v>16286.09778174344</v>
          </cell>
          <cell r="L248">
            <v>17359.173373378188</v>
          </cell>
          <cell r="M248">
            <v>16555.803087113913</v>
          </cell>
          <cell r="N248">
            <v>15659.68280084964</v>
          </cell>
          <cell r="O248">
            <v>14670.812514585361</v>
          </cell>
          <cell r="P248">
            <v>13589.192228321086</v>
          </cell>
          <cell r="Q248">
            <v>12414.821942056813</v>
          </cell>
          <cell r="R248">
            <v>11147.701655792536</v>
          </cell>
          <cell r="S248">
            <v>9787.8313695282613</v>
          </cell>
          <cell r="T248">
            <v>8335.2110832639846</v>
          </cell>
          <cell r="U248">
            <v>6789.8407969997088</v>
          </cell>
          <cell r="V248">
            <v>1155.4087207824653</v>
          </cell>
        </row>
        <row r="249">
          <cell r="A249" t="str">
            <v>Less :Exchange Differences regarded as adjustments to interest costs</v>
          </cell>
          <cell r="G249">
            <v>-568</v>
          </cell>
          <cell r="H249">
            <v>-2469</v>
          </cell>
          <cell r="I249">
            <v>-1227</v>
          </cell>
        </row>
        <row r="250">
          <cell r="A250" t="str">
            <v>Total</v>
          </cell>
          <cell r="F250">
            <v>10107</v>
          </cell>
          <cell r="G250">
            <v>9740</v>
          </cell>
          <cell r="H250">
            <v>9774</v>
          </cell>
          <cell r="I250">
            <v>16270</v>
          </cell>
          <cell r="J250">
            <v>18827.071685139414</v>
          </cell>
          <cell r="K250">
            <v>16286.09778174344</v>
          </cell>
          <cell r="L250">
            <v>17359.173373378188</v>
          </cell>
          <cell r="M250">
            <v>16555.803087113913</v>
          </cell>
          <cell r="N250">
            <v>15659.68280084964</v>
          </cell>
          <cell r="O250">
            <v>14670.812514585361</v>
          </cell>
          <cell r="P250">
            <v>13589.192228321086</v>
          </cell>
          <cell r="Q250">
            <v>12414.821942056813</v>
          </cell>
          <cell r="R250">
            <v>11147.701655792536</v>
          </cell>
          <cell r="S250">
            <v>9787.8313695282613</v>
          </cell>
          <cell r="T250">
            <v>8335.2110832639846</v>
          </cell>
          <cell r="U250">
            <v>6789.8407969997088</v>
          </cell>
          <cell r="V250">
            <v>1155.4087207824653</v>
          </cell>
        </row>
        <row r="251">
          <cell r="A251" t="str">
            <v>Avg cost of funds (%)</v>
          </cell>
          <cell r="C251" t="e">
            <v>#DIV/0!</v>
          </cell>
          <cell r="D251">
            <v>0.15468172555521018</v>
          </cell>
          <cell r="E251">
            <v>0.14522783089821711</v>
          </cell>
          <cell r="F251">
            <v>0.14101888832690931</v>
          </cell>
          <cell r="G251">
            <v>0.11972735597991432</v>
          </cell>
          <cell r="H251">
            <v>9.8808365451443739E-2</v>
          </cell>
          <cell r="I251">
            <v>0.13147687235349259</v>
          </cell>
          <cell r="J251">
            <v>0.13935914199107619</v>
          </cell>
          <cell r="K251">
            <v>0.16127378972036718</v>
          </cell>
          <cell r="L251">
            <v>0.16357412704527513</v>
          </cell>
          <cell r="M251">
            <v>0.16809238070660013</v>
          </cell>
          <cell r="N251">
            <v>0.17232271235962848</v>
          </cell>
          <cell r="O251">
            <v>0.17621022476746939</v>
          </cell>
          <cell r="P251">
            <v>0.1796511925691579</v>
          </cell>
          <cell r="Q251">
            <v>0.18249549820869904</v>
          </cell>
          <cell r="R251">
            <v>0.184473152856439</v>
          </cell>
          <cell r="S251">
            <v>0.18520991150344623</v>
          </cell>
          <cell r="T251">
            <v>0.18414209997459666</v>
          </cell>
          <cell r="U251">
            <v>0.18018052760418712</v>
          </cell>
          <cell r="V251">
            <v>9.7282121334090296E-2</v>
          </cell>
        </row>
        <row r="253">
          <cell r="A253" t="str">
            <v>Finance charges:</v>
          </cell>
        </row>
        <row r="254">
          <cell r="A254" t="str">
            <v>Bonds servicing &amp; public deposit expenses</v>
          </cell>
          <cell r="B254">
            <v>56.856999999999999</v>
          </cell>
          <cell r="C254">
            <v>17.384</v>
          </cell>
          <cell r="D254">
            <v>24</v>
          </cell>
          <cell r="E254">
            <v>47</v>
          </cell>
          <cell r="F254">
            <v>16</v>
          </cell>
          <cell r="G254">
            <v>13</v>
          </cell>
          <cell r="H254">
            <v>18</v>
          </cell>
          <cell r="I254">
            <v>17</v>
          </cell>
          <cell r="J254">
            <v>17</v>
          </cell>
          <cell r="K254">
            <v>17</v>
          </cell>
          <cell r="L254">
            <v>17</v>
          </cell>
          <cell r="M254">
            <v>17</v>
          </cell>
          <cell r="N254">
            <v>17</v>
          </cell>
          <cell r="O254">
            <v>17</v>
          </cell>
          <cell r="P254">
            <v>17</v>
          </cell>
          <cell r="Q254">
            <v>17</v>
          </cell>
          <cell r="R254">
            <v>17</v>
          </cell>
          <cell r="S254">
            <v>17</v>
          </cell>
          <cell r="T254">
            <v>17</v>
          </cell>
          <cell r="U254">
            <v>17</v>
          </cell>
          <cell r="V254">
            <v>17</v>
          </cell>
        </row>
        <row r="255">
          <cell r="A255" t="str">
            <v>Guarantee commission</v>
          </cell>
          <cell r="D255">
            <v>298</v>
          </cell>
          <cell r="E255">
            <v>400</v>
          </cell>
          <cell r="F255">
            <v>432</v>
          </cell>
          <cell r="G255">
            <v>443</v>
          </cell>
          <cell r="H255">
            <v>405</v>
          </cell>
          <cell r="I255">
            <v>367</v>
          </cell>
          <cell r="J255">
            <v>367</v>
          </cell>
          <cell r="K255">
            <v>367</v>
          </cell>
          <cell r="L255">
            <v>367</v>
          </cell>
          <cell r="M255">
            <v>367</v>
          </cell>
          <cell r="N255">
            <v>367</v>
          </cell>
          <cell r="O255">
            <v>367</v>
          </cell>
          <cell r="P255">
            <v>367</v>
          </cell>
          <cell r="Q255">
            <v>367</v>
          </cell>
          <cell r="R255">
            <v>367</v>
          </cell>
          <cell r="S255">
            <v>367</v>
          </cell>
          <cell r="T255">
            <v>367</v>
          </cell>
          <cell r="U255">
            <v>367</v>
          </cell>
          <cell r="V255">
            <v>367</v>
          </cell>
        </row>
        <row r="256">
          <cell r="A256" t="str">
            <v>Management/Arrangers fee</v>
          </cell>
          <cell r="B256">
            <v>43.997999999999998</v>
          </cell>
          <cell r="C256">
            <v>8.7050000000000001</v>
          </cell>
          <cell r="D256">
            <v>27</v>
          </cell>
          <cell r="G256">
            <v>85</v>
          </cell>
          <cell r="H256">
            <v>0</v>
          </cell>
          <cell r="I256">
            <v>154</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A257" t="str">
            <v>Rebate for prompt payment to customers</v>
          </cell>
          <cell r="B257">
            <v>2376.6709999999998</v>
          </cell>
          <cell r="C257">
            <v>2825.8090000000002</v>
          </cell>
          <cell r="D257">
            <v>2584</v>
          </cell>
          <cell r="E257">
            <v>3557</v>
          </cell>
          <cell r="F257">
            <v>4941</v>
          </cell>
          <cell r="G257">
            <v>3828</v>
          </cell>
          <cell r="H257">
            <v>4368</v>
          </cell>
          <cell r="I257">
            <v>8583</v>
          </cell>
          <cell r="J257" t="e">
            <v>#REF!</v>
          </cell>
          <cell r="K257">
            <v>8411.7599759550394</v>
          </cell>
          <cell r="L257">
            <v>8903.5963850360185</v>
          </cell>
          <cell r="M257">
            <v>8949.8457598722234</v>
          </cell>
          <cell r="N257">
            <v>8991.2264043768591</v>
          </cell>
          <cell r="O257">
            <v>9033.7218819467071</v>
          </cell>
          <cell r="P257">
            <v>9076.5178508560948</v>
          </cell>
          <cell r="Q257">
            <v>9119.8146720059467</v>
          </cell>
          <cell r="R257">
            <v>9163.666706606251</v>
          </cell>
          <cell r="S257">
            <v>9208.1673035745898</v>
          </cell>
          <cell r="T257">
            <v>9253.4034909965449</v>
          </cell>
          <cell r="U257">
            <v>9299.4712440598068</v>
          </cell>
          <cell r="V257">
            <v>9563.5494164661886</v>
          </cell>
        </row>
        <row r="258">
          <cell r="A258" t="str">
            <v>Rebates as a % of energy sales</v>
          </cell>
          <cell r="B258">
            <v>1.4817398168172667E-2</v>
          </cell>
          <cell r="C258">
            <v>1.4900284076296195E-2</v>
          </cell>
          <cell r="D258">
            <v>1.4518322077513456E-2</v>
          </cell>
          <cell r="E258">
            <v>1.8692718405784917E-2</v>
          </cell>
          <cell r="F258">
            <v>2.6213453162219947E-2</v>
          </cell>
          <cell r="G258">
            <v>1.6982990390502304E-2</v>
          </cell>
          <cell r="H258">
            <v>1.5840205400465632E-2</v>
          </cell>
          <cell r="I258">
            <v>2.5336745808942695E-2</v>
          </cell>
          <cell r="J258" t="e">
            <v>#REF!</v>
          </cell>
          <cell r="K258">
            <v>2.1000000000000005E-2</v>
          </cell>
          <cell r="L258">
            <v>2.1000000000000001E-2</v>
          </cell>
          <cell r="M258">
            <v>2.1000000000000001E-2</v>
          </cell>
          <cell r="N258">
            <v>2.1000000000000001E-2</v>
          </cell>
          <cell r="O258">
            <v>2.0999999999999998E-2</v>
          </cell>
          <cell r="P258">
            <v>2.0999999999999998E-2</v>
          </cell>
          <cell r="Q258">
            <v>2.1000000000000001E-2</v>
          </cell>
          <cell r="R258">
            <v>2.1000000000000001E-2</v>
          </cell>
          <cell r="S258">
            <v>2.1000000000000005E-2</v>
          </cell>
          <cell r="T258">
            <v>2.1000000000000005E-2</v>
          </cell>
          <cell r="U258">
            <v>2.0999999999999998E-2</v>
          </cell>
          <cell r="V258">
            <v>2.1000000000000005E-2</v>
          </cell>
        </row>
        <row r="259">
          <cell r="A259" t="str">
            <v>Reimbursement of L.C. charges on sales Realisation</v>
          </cell>
          <cell r="B259">
            <v>94.68</v>
          </cell>
          <cell r="C259">
            <v>215.102</v>
          </cell>
          <cell r="D259">
            <v>68</v>
          </cell>
          <cell r="E259">
            <v>37</v>
          </cell>
          <cell r="F259">
            <v>169</v>
          </cell>
          <cell r="G259">
            <v>13</v>
          </cell>
          <cell r="H259">
            <v>57</v>
          </cell>
          <cell r="I259">
            <v>63</v>
          </cell>
          <cell r="J259">
            <v>63</v>
          </cell>
          <cell r="K259">
            <v>63</v>
          </cell>
          <cell r="L259">
            <v>63</v>
          </cell>
          <cell r="M259">
            <v>63</v>
          </cell>
          <cell r="N259">
            <v>63</v>
          </cell>
          <cell r="O259">
            <v>63</v>
          </cell>
          <cell r="P259">
            <v>63</v>
          </cell>
          <cell r="Q259">
            <v>63</v>
          </cell>
          <cell r="R259">
            <v>63</v>
          </cell>
          <cell r="S259">
            <v>63</v>
          </cell>
          <cell r="T259">
            <v>63</v>
          </cell>
          <cell r="U259">
            <v>63</v>
          </cell>
          <cell r="V259">
            <v>63</v>
          </cell>
        </row>
        <row r="260">
          <cell r="A260" t="str">
            <v>Bank charges</v>
          </cell>
          <cell r="D260">
            <v>10</v>
          </cell>
          <cell r="E260">
            <v>8</v>
          </cell>
          <cell r="F260">
            <v>7</v>
          </cell>
          <cell r="G260">
            <v>8</v>
          </cell>
          <cell r="H260">
            <v>13</v>
          </cell>
          <cell r="I260">
            <v>17</v>
          </cell>
          <cell r="J260">
            <v>17</v>
          </cell>
          <cell r="K260">
            <v>17</v>
          </cell>
          <cell r="L260">
            <v>17</v>
          </cell>
          <cell r="M260">
            <v>17</v>
          </cell>
          <cell r="N260">
            <v>17</v>
          </cell>
          <cell r="O260">
            <v>17</v>
          </cell>
          <cell r="P260">
            <v>17</v>
          </cell>
          <cell r="Q260">
            <v>17</v>
          </cell>
          <cell r="R260">
            <v>17</v>
          </cell>
          <cell r="S260">
            <v>17</v>
          </cell>
          <cell r="T260">
            <v>17</v>
          </cell>
          <cell r="U260">
            <v>17</v>
          </cell>
          <cell r="V260">
            <v>17</v>
          </cell>
        </row>
        <row r="261">
          <cell r="A261" t="str">
            <v>Bond issue expenses</v>
          </cell>
          <cell r="D261">
            <v>9</v>
          </cell>
          <cell r="E261">
            <v>6</v>
          </cell>
          <cell r="F261">
            <v>6</v>
          </cell>
          <cell r="G261">
            <v>5</v>
          </cell>
          <cell r="H261">
            <v>2</v>
          </cell>
          <cell r="I261">
            <v>1</v>
          </cell>
          <cell r="J261">
            <v>1</v>
          </cell>
          <cell r="K261">
            <v>1</v>
          </cell>
          <cell r="L261">
            <v>1</v>
          </cell>
          <cell r="M261">
            <v>1</v>
          </cell>
          <cell r="N261">
            <v>1</v>
          </cell>
          <cell r="O261">
            <v>1</v>
          </cell>
          <cell r="P261">
            <v>1</v>
          </cell>
          <cell r="Q261">
            <v>1</v>
          </cell>
          <cell r="R261">
            <v>1</v>
          </cell>
          <cell r="S261">
            <v>1</v>
          </cell>
          <cell r="T261">
            <v>1</v>
          </cell>
          <cell r="U261">
            <v>1</v>
          </cell>
          <cell r="V261">
            <v>1</v>
          </cell>
        </row>
        <row r="262">
          <cell r="A262" t="str">
            <v>Foreign Currency Notes/Bonds Issue expenses</v>
          </cell>
          <cell r="H262">
            <v>98</v>
          </cell>
          <cell r="I262">
            <v>6</v>
          </cell>
        </row>
        <row r="263">
          <cell r="A263" t="str">
            <v>Exchange differences (Net)</v>
          </cell>
          <cell r="D263">
            <v>27</v>
          </cell>
          <cell r="E263">
            <v>13</v>
          </cell>
          <cell r="F263">
            <v>32</v>
          </cell>
          <cell r="G263">
            <v>6</v>
          </cell>
          <cell r="H263">
            <v>123</v>
          </cell>
          <cell r="I263">
            <v>16</v>
          </cell>
        </row>
        <row r="264">
          <cell r="A264" t="str">
            <v>Commitment charges</v>
          </cell>
          <cell r="B264">
            <v>6.0659999999999998</v>
          </cell>
          <cell r="C264">
            <v>3.2839999999999998</v>
          </cell>
          <cell r="F264">
            <v>0</v>
          </cell>
          <cell r="G264">
            <v>1069</v>
          </cell>
          <cell r="H264">
            <v>99</v>
          </cell>
          <cell r="I264">
            <v>7</v>
          </cell>
          <cell r="J264">
            <v>7</v>
          </cell>
          <cell r="K264">
            <v>7</v>
          </cell>
          <cell r="L264">
            <v>7</v>
          </cell>
          <cell r="M264">
            <v>7</v>
          </cell>
          <cell r="N264">
            <v>7</v>
          </cell>
          <cell r="O264">
            <v>7</v>
          </cell>
          <cell r="P264">
            <v>7</v>
          </cell>
          <cell r="Q264">
            <v>7</v>
          </cell>
          <cell r="R264">
            <v>7</v>
          </cell>
          <cell r="S264">
            <v>7</v>
          </cell>
          <cell r="T264">
            <v>7</v>
          </cell>
          <cell r="U264">
            <v>7</v>
          </cell>
          <cell r="V264">
            <v>7</v>
          </cell>
        </row>
        <row r="265">
          <cell r="A265" t="str">
            <v>Others</v>
          </cell>
          <cell r="B265">
            <v>534.74900000000002</v>
          </cell>
          <cell r="C265">
            <v>546.529</v>
          </cell>
          <cell r="D265">
            <v>137</v>
          </cell>
          <cell r="E265">
            <v>6</v>
          </cell>
          <cell r="F265">
            <v>292</v>
          </cell>
          <cell r="G265">
            <v>32</v>
          </cell>
          <cell r="H265">
            <v>59</v>
          </cell>
          <cell r="I265">
            <v>55</v>
          </cell>
          <cell r="J265">
            <v>55</v>
          </cell>
          <cell r="K265">
            <v>55</v>
          </cell>
          <cell r="L265">
            <v>55</v>
          </cell>
          <cell r="M265">
            <v>55</v>
          </cell>
          <cell r="N265">
            <v>55</v>
          </cell>
          <cell r="O265">
            <v>55</v>
          </cell>
          <cell r="P265">
            <v>55</v>
          </cell>
          <cell r="Q265">
            <v>55</v>
          </cell>
          <cell r="R265">
            <v>55</v>
          </cell>
          <cell r="S265">
            <v>55</v>
          </cell>
          <cell r="T265">
            <v>55</v>
          </cell>
          <cell r="U265">
            <v>55</v>
          </cell>
          <cell r="V265">
            <v>55</v>
          </cell>
        </row>
        <row r="266">
          <cell r="A266" t="str">
            <v>Sub-total</v>
          </cell>
          <cell r="B266">
            <v>3113.0358173981676</v>
          </cell>
          <cell r="C266">
            <v>3616.8279002840763</v>
          </cell>
          <cell r="D266">
            <v>3184.0145183220775</v>
          </cell>
          <cell r="E266">
            <v>4074.0186927184059</v>
          </cell>
          <cell r="F266">
            <v>5895</v>
          </cell>
          <cell r="G266">
            <v>5502</v>
          </cell>
          <cell r="H266">
            <v>5242</v>
          </cell>
          <cell r="I266">
            <v>9286</v>
          </cell>
          <cell r="J266">
            <v>527</v>
          </cell>
          <cell r="K266">
            <v>8938.7599759550394</v>
          </cell>
          <cell r="L266">
            <v>9430.5963850360185</v>
          </cell>
          <cell r="M266">
            <v>9476.8457598722234</v>
          </cell>
          <cell r="N266">
            <v>9518.2264043768591</v>
          </cell>
          <cell r="O266">
            <v>9560.7218819467071</v>
          </cell>
          <cell r="P266">
            <v>9603.5178508560948</v>
          </cell>
          <cell r="Q266">
            <v>9646.8146720059467</v>
          </cell>
          <cell r="R266">
            <v>9690.666706606251</v>
          </cell>
          <cell r="S266">
            <v>9735.1673035745898</v>
          </cell>
          <cell r="T266">
            <v>9780.4034909965449</v>
          </cell>
          <cell r="U266">
            <v>9826.4712440598068</v>
          </cell>
          <cell r="V266">
            <v>10090.549416466189</v>
          </cell>
        </row>
        <row r="267">
          <cell r="A267" t="str">
            <v>Fin charges excl rebate / bonds (%)</v>
          </cell>
          <cell r="C267" t="e">
            <v>#DIV/0!</v>
          </cell>
          <cell r="D267">
            <v>1.0361871279696016E-2</v>
          </cell>
          <cell r="E267">
            <v>8.3400536795874627E-3</v>
          </cell>
          <cell r="F267">
            <v>1.3310776636377907E-2</v>
          </cell>
          <cell r="G267">
            <v>2.0577371038026343E-2</v>
          </cell>
          <cell r="H267">
            <v>8.8355342136854746E-3</v>
          </cell>
          <cell r="I267">
            <v>5.6808998933316097E-3</v>
          </cell>
          <cell r="J267">
            <v>3.900886396861526E-3</v>
          </cell>
          <cell r="K267">
            <v>5.2186403595039154E-3</v>
          </cell>
          <cell r="L267">
            <v>4.9658796014481147E-3</v>
          </cell>
          <cell r="M267">
            <v>5.3506727620677907E-3</v>
          </cell>
          <cell r="N267">
            <v>5.7992279006185846E-3</v>
          </cell>
          <cell r="O267">
            <v>6.3297645144148942E-3</v>
          </cell>
          <cell r="P267">
            <v>6.9670203271267762E-3</v>
          </cell>
          <cell r="Q267">
            <v>7.7467987865519625E-3</v>
          </cell>
          <cell r="R267">
            <v>8.7208426056888198E-3</v>
          </cell>
          <cell r="S267">
            <v>9.9721398619703038E-3</v>
          </cell>
          <cell r="T267">
            <v>1.1642522992784416E-2</v>
          </cell>
          <cell r="U267">
            <v>1.3984884312658014E-2</v>
          </cell>
          <cell r="V267">
            <v>4.4371898031327066E-2</v>
          </cell>
        </row>
        <row r="269">
          <cell r="A269" t="str">
            <v>Less: Adjustment due to waiver of guarantee commission by Government of India</v>
          </cell>
          <cell r="B269">
            <v>0</v>
          </cell>
          <cell r="C269">
            <v>0</v>
          </cell>
          <cell r="D269">
            <v>1731</v>
          </cell>
          <cell r="E269">
            <v>0</v>
          </cell>
        </row>
        <row r="270">
          <cell r="B270">
            <v>11843.871817398165</v>
          </cell>
          <cell r="C270">
            <v>12484.604900284077</v>
          </cell>
          <cell r="D270">
            <v>10410.014518322077</v>
          </cell>
          <cell r="E270">
            <v>13077.018692718406</v>
          </cell>
          <cell r="F270">
            <v>16002</v>
          </cell>
          <cell r="G270">
            <v>15242</v>
          </cell>
          <cell r="H270">
            <v>15016</v>
          </cell>
          <cell r="I270">
            <v>25556</v>
          </cell>
          <cell r="J270">
            <v>19354.071685139414</v>
          </cell>
          <cell r="K270">
            <v>25224.857757698479</v>
          </cell>
          <cell r="L270">
            <v>26789.769758414208</v>
          </cell>
          <cell r="M270">
            <v>26032.648846986136</v>
          </cell>
          <cell r="N270">
            <v>25177.909205226497</v>
          </cell>
          <cell r="O270">
            <v>24231.534396532068</v>
          </cell>
          <cell r="P270">
            <v>23192.710079177181</v>
          </cell>
          <cell r="Q270">
            <v>22061.636614062758</v>
          </cell>
          <cell r="R270">
            <v>20838.368362398789</v>
          </cell>
          <cell r="S270">
            <v>19522.998673102851</v>
          </cell>
          <cell r="T270">
            <v>18115.614574260529</v>
          </cell>
          <cell r="U270">
            <v>16616.312041059515</v>
          </cell>
          <cell r="V270">
            <v>11245.958137248654</v>
          </cell>
        </row>
        <row r="271">
          <cell r="A271" t="str">
            <v>Add: Finance charges on account of OTS</v>
          </cell>
          <cell r="F271">
            <v>0</v>
          </cell>
        </row>
        <row r="272">
          <cell r="A272" t="str">
            <v>Less: Interest charges capitalised by transfer to incidental exp</v>
          </cell>
          <cell r="F272">
            <v>3471</v>
          </cell>
          <cell r="G272">
            <v>3910</v>
          </cell>
          <cell r="H272">
            <v>5221</v>
          </cell>
          <cell r="I272">
            <v>6683</v>
          </cell>
          <cell r="J272">
            <v>7191.0224650961136</v>
          </cell>
          <cell r="K272">
            <v>6220.4944547860441</v>
          </cell>
          <cell r="L272">
            <v>6630.356955723063</v>
          </cell>
          <cell r="M272">
            <v>6323.5087175619983</v>
          </cell>
          <cell r="N272">
            <v>5981.2345063769872</v>
          </cell>
          <cell r="O272">
            <v>5603.5343221680268</v>
          </cell>
          <cell r="P272">
            <v>5190.408164935121</v>
          </cell>
          <cell r="Q272">
            <v>4741.8560346782697</v>
          </cell>
          <cell r="R272">
            <v>4257.8779313974692</v>
          </cell>
          <cell r="S272">
            <v>3738.4738550927227</v>
          </cell>
          <cell r="T272">
            <v>3183.6438057640285</v>
          </cell>
          <cell r="U272">
            <v>2593.3877834113878</v>
          </cell>
          <cell r="V272">
            <v>441.30973772585105</v>
          </cell>
        </row>
        <row r="273">
          <cell r="A273" t="str">
            <v>Less: Finance charges capitalised by transfer to incidental exp</v>
          </cell>
          <cell r="B273">
            <v>2016.2439999999999</v>
          </cell>
          <cell r="C273">
            <v>1566.971</v>
          </cell>
          <cell r="D273">
            <v>1733</v>
          </cell>
          <cell r="E273">
            <v>3161</v>
          </cell>
          <cell r="F273">
            <v>145</v>
          </cell>
          <cell r="G273">
            <v>1190</v>
          </cell>
          <cell r="J273">
            <v>-7191.0224650961136</v>
          </cell>
          <cell r="K273">
            <v>-3300.1577062097294</v>
          </cell>
          <cell r="L273">
            <v>-2956.629584511923</v>
          </cell>
          <cell r="M273">
            <v>-2965.1872316626132</v>
          </cell>
          <cell r="N273">
            <v>-2711.5512496251058</v>
          </cell>
          <cell r="O273">
            <v>-2472.4096238907105</v>
          </cell>
          <cell r="P273">
            <v>-2206.7864959289673</v>
          </cell>
          <cell r="Q273">
            <v>-1921.1974922243494</v>
          </cell>
          <cell r="R273">
            <v>-1615.4271596383128</v>
          </cell>
          <cell r="S273">
            <v>-1291.2023808829995</v>
          </cell>
          <cell r="T273">
            <v>-950.10610947824625</v>
          </cell>
          <cell r="U273">
            <v>-594.32614147581421</v>
          </cell>
          <cell r="V273">
            <v>-12841.878446675519</v>
          </cell>
        </row>
        <row r="274">
          <cell r="A274" t="str">
            <v>Less: Extraordinary - Rebates for prompt payment of dues for OTS for prior period</v>
          </cell>
          <cell r="F274">
            <v>0</v>
          </cell>
        </row>
        <row r="275">
          <cell r="A275" t="str">
            <v>Total</v>
          </cell>
          <cell r="B275">
            <v>9827.6278173981646</v>
          </cell>
          <cell r="C275">
            <v>10917.633900284078</v>
          </cell>
          <cell r="D275">
            <v>8677.0145183220775</v>
          </cell>
          <cell r="E275">
            <v>9916.0186927184059</v>
          </cell>
          <cell r="F275">
            <v>12386</v>
          </cell>
          <cell r="G275">
            <v>10142</v>
          </cell>
          <cell r="H275">
            <v>9795</v>
          </cell>
          <cell r="I275">
            <v>18873</v>
          </cell>
          <cell r="J275">
            <v>18581</v>
          </cell>
          <cell r="K275">
            <v>22304.521009122167</v>
          </cell>
          <cell r="L275">
            <v>23116.04238720307</v>
          </cell>
          <cell r="M275">
            <v>22674.327361086751</v>
          </cell>
          <cell r="N275">
            <v>21908.225948474617</v>
          </cell>
          <cell r="O275">
            <v>21100.409698254753</v>
          </cell>
          <cell r="P275">
            <v>20209.088410171025</v>
          </cell>
          <cell r="Q275">
            <v>19240.978071608839</v>
          </cell>
          <cell r="R275">
            <v>18195.91759063963</v>
          </cell>
          <cell r="S275">
            <v>17075.727198893128</v>
          </cell>
          <cell r="T275">
            <v>15882.076877974747</v>
          </cell>
          <cell r="U275">
            <v>14617.250399123939</v>
          </cell>
          <cell r="V275">
            <v>23646.526846198321</v>
          </cell>
        </row>
        <row r="276">
          <cell r="A276" t="str">
            <v>Avg cost of funds (%)</v>
          </cell>
          <cell r="C276" t="e">
            <v>#DIV/0!</v>
          </cell>
          <cell r="D276">
            <v>0.14984655335063857</v>
          </cell>
          <cell r="E276">
            <v>7.9977889919452885E-2</v>
          </cell>
          <cell r="F276">
            <v>8.6408427368017168E-2</v>
          </cell>
          <cell r="G276">
            <v>6.233443759488147E-2</v>
          </cell>
          <cell r="H276">
            <v>4.951033044796866E-2</v>
          </cell>
          <cell r="I276">
            <v>7.6255777871157518E-2</v>
          </cell>
          <cell r="J276">
            <v>0.1375377042506338</v>
          </cell>
          <cell r="K276">
            <v>0.11043574339431493</v>
          </cell>
          <cell r="L276">
            <v>0.10891032576548548</v>
          </cell>
          <cell r="M276">
            <v>0.11510712126107717</v>
          </cell>
          <cell r="N276">
            <v>0.1205415513979602</v>
          </cell>
          <cell r="O276">
            <v>0.12671786010211464</v>
          </cell>
          <cell r="P276">
            <v>0.13358361456011733</v>
          </cell>
          <cell r="Q276">
            <v>0.14141934115485033</v>
          </cell>
          <cell r="R276">
            <v>0.15055382673060033</v>
          </cell>
          <cell r="S276">
            <v>0.16155743820893045</v>
          </cell>
          <cell r="T276">
            <v>0.17543400875236312</v>
          </cell>
          <cell r="U276">
            <v>0.19394739639554312</v>
          </cell>
          <cell r="V276">
            <v>0.99548508350526532</v>
          </cell>
        </row>
        <row r="277">
          <cell r="A277" t="str">
            <v>Avg cost of funds - Pior to Capitalization (%)</v>
          </cell>
          <cell r="G277">
            <v>9.3679895269294364E-2</v>
          </cell>
          <cell r="H277">
            <v>7.5900676059897643E-2</v>
          </cell>
          <cell r="I277">
            <v>0.10325823447651679</v>
          </cell>
          <cell r="J277">
            <v>0.14326002838793769</v>
          </cell>
          <cell r="K277">
            <v>0.12489512405794186</v>
          </cell>
          <cell r="L277">
            <v>0.12621894797988681</v>
          </cell>
          <cell r="M277">
            <v>0.13215577334918804</v>
          </cell>
          <cell r="N277">
            <v>0.13853172062826472</v>
          </cell>
          <cell r="O277">
            <v>0.14552173297247875</v>
          </cell>
          <cell r="P277">
            <v>0.15330558117911336</v>
          </cell>
          <cell r="Q277">
            <v>0.16215091057985928</v>
          </cell>
          <cell r="R277">
            <v>0.17241758125981529</v>
          </cell>
          <cell r="S277">
            <v>0.18471164449074223</v>
          </cell>
          <cell r="T277">
            <v>0.20010574877537826</v>
          </cell>
          <cell r="U277">
            <v>0.22047172827062966</v>
          </cell>
          <cell r="V277">
            <v>0.47343881188858633</v>
          </cell>
        </row>
        <row r="278">
          <cell r="A278" t="str">
            <v>Debt financed CWIP</v>
          </cell>
          <cell r="J278">
            <v>0</v>
          </cell>
          <cell r="K278">
            <v>35695.834338228837</v>
          </cell>
          <cell r="L278">
            <v>33265.745838228839</v>
          </cell>
          <cell r="M278">
            <v>30835.657338228833</v>
          </cell>
          <cell r="N278">
            <v>28405.568838228835</v>
          </cell>
          <cell r="O278">
            <v>25975.480338228841</v>
          </cell>
          <cell r="P278">
            <v>23545.391838228839</v>
          </cell>
          <cell r="Q278">
            <v>21115.303338228841</v>
          </cell>
          <cell r="R278">
            <v>18685.214838228843</v>
          </cell>
          <cell r="S278">
            <v>16255.126338228843</v>
          </cell>
          <cell r="T278">
            <v>13825.037838228844</v>
          </cell>
          <cell r="U278">
            <v>11394.949338228844</v>
          </cell>
          <cell r="V278">
            <v>-63937.794161771111</v>
          </cell>
        </row>
        <row r="279">
          <cell r="A279" t="str">
            <v>Interest Charges (Capitalized as % of total)</v>
          </cell>
          <cell r="F279">
            <v>0.34342534876818048</v>
          </cell>
          <cell r="G279">
            <v>0.37931703531237876</v>
          </cell>
          <cell r="H279">
            <v>0.42644776607040757</v>
          </cell>
          <cell r="I279">
            <v>0.38195119163285135</v>
          </cell>
          <cell r="J279">
            <v>0.38195119163285135</v>
          </cell>
          <cell r="K279">
            <v>0.38195119163285135</v>
          </cell>
          <cell r="L279">
            <v>0.38195119163285135</v>
          </cell>
          <cell r="M279">
            <v>0.38195119163285135</v>
          </cell>
          <cell r="N279">
            <v>0.38195119163285135</v>
          </cell>
          <cell r="O279">
            <v>0.38195119163285135</v>
          </cell>
          <cell r="P279">
            <v>0.38195119163285135</v>
          </cell>
          <cell r="Q279">
            <v>0.38195119163285135</v>
          </cell>
          <cell r="R279">
            <v>0.38195119163285135</v>
          </cell>
          <cell r="S279">
            <v>0.38195119163285135</v>
          </cell>
          <cell r="T279">
            <v>0.38195119163285135</v>
          </cell>
          <cell r="U279">
            <v>0.38195119163285135</v>
          </cell>
          <cell r="V279">
            <v>0.38195119163285135</v>
          </cell>
        </row>
        <row r="282">
          <cell r="A282" t="str">
            <v>PRIOR PERIOD ADJUSTMENTS (NET)</v>
          </cell>
        </row>
        <row r="283">
          <cell r="A283" t="str">
            <v>Income</v>
          </cell>
        </row>
        <row r="284">
          <cell r="A284" t="str">
            <v>Sales</v>
          </cell>
          <cell r="B284">
            <v>12.722</v>
          </cell>
          <cell r="C284">
            <v>-137.892</v>
          </cell>
          <cell r="D284">
            <v>0</v>
          </cell>
          <cell r="E284">
            <v>69</v>
          </cell>
          <cell r="G284">
            <v>1080</v>
          </cell>
          <cell r="H284">
            <v>35</v>
          </cell>
          <cell r="I284">
            <v>-19</v>
          </cell>
        </row>
        <row r="285">
          <cell r="A285" t="str">
            <v>Depreciation written back</v>
          </cell>
          <cell r="B285">
            <v>59.186999999999998</v>
          </cell>
          <cell r="C285">
            <v>10.029</v>
          </cell>
        </row>
        <row r="286">
          <cell r="A286" t="str">
            <v>Others</v>
          </cell>
          <cell r="B286">
            <v>39.773000000000003</v>
          </cell>
          <cell r="C286">
            <v>51.503999999999998</v>
          </cell>
          <cell r="D286">
            <v>-38</v>
          </cell>
          <cell r="E286">
            <v>3</v>
          </cell>
          <cell r="G286">
            <v>22</v>
          </cell>
          <cell r="H286">
            <v>4</v>
          </cell>
          <cell r="I286">
            <v>5</v>
          </cell>
        </row>
        <row r="287">
          <cell r="A287" t="str">
            <v>Sub-total</v>
          </cell>
          <cell r="B287">
            <v>111.68199999999999</v>
          </cell>
          <cell r="C287">
            <v>-76.359000000000009</v>
          </cell>
          <cell r="D287">
            <v>-38</v>
          </cell>
          <cell r="E287">
            <v>72</v>
          </cell>
          <cell r="F287">
            <v>0</v>
          </cell>
          <cell r="G287">
            <v>1102</v>
          </cell>
          <cell r="H287">
            <v>39</v>
          </cell>
          <cell r="I287">
            <v>-14</v>
          </cell>
        </row>
        <row r="289">
          <cell r="A289" t="str">
            <v>Expenditure</v>
          </cell>
        </row>
        <row r="290">
          <cell r="A290" t="str">
            <v>Salary, wages, allowances and benefits</v>
          </cell>
          <cell r="B290">
            <v>0.41599999999999998</v>
          </cell>
          <cell r="C290">
            <v>1.6930000000000001</v>
          </cell>
          <cell r="D290">
            <v>3</v>
          </cell>
          <cell r="E290">
            <v>7</v>
          </cell>
          <cell r="G290">
            <v>-8</v>
          </cell>
          <cell r="H290">
            <v>3</v>
          </cell>
          <cell r="I290">
            <v>-8</v>
          </cell>
        </row>
        <row r="291">
          <cell r="A291" t="str">
            <v>Repairs &amp; maintenance</v>
          </cell>
          <cell r="B291">
            <v>-42.646000000000001</v>
          </cell>
          <cell r="C291">
            <v>-333.01600000000002</v>
          </cell>
          <cell r="D291">
            <v>23</v>
          </cell>
          <cell r="E291">
            <v>-15</v>
          </cell>
          <cell r="G291">
            <v>20</v>
          </cell>
          <cell r="H291">
            <v>86</v>
          </cell>
          <cell r="I291">
            <v>-178</v>
          </cell>
        </row>
        <row r="292">
          <cell r="A292" t="str">
            <v>Communication expenses</v>
          </cell>
          <cell r="B292">
            <v>0.55400000000000005</v>
          </cell>
          <cell r="C292">
            <v>0.55400000000000005</v>
          </cell>
          <cell r="I292">
            <v>5</v>
          </cell>
        </row>
        <row r="293">
          <cell r="A293" t="str">
            <v>Prof consultancy charges</v>
          </cell>
          <cell r="B293">
            <v>0.53100000000000003</v>
          </cell>
          <cell r="C293">
            <v>14.571999999999999</v>
          </cell>
          <cell r="G293">
            <v>12</v>
          </cell>
          <cell r="I293">
            <v>7</v>
          </cell>
        </row>
        <row r="294">
          <cell r="A294" t="str">
            <v>Rates &amp; taxes</v>
          </cell>
          <cell r="D294">
            <v>0</v>
          </cell>
          <cell r="E294">
            <v>7</v>
          </cell>
          <cell r="G294">
            <v>-1</v>
          </cell>
          <cell r="H294">
            <v>64</v>
          </cell>
          <cell r="I294">
            <v>0</v>
          </cell>
        </row>
        <row r="295">
          <cell r="A295" t="str">
            <v>Power charges</v>
          </cell>
          <cell r="B295">
            <v>8.24</v>
          </cell>
          <cell r="D295">
            <v>0</v>
          </cell>
          <cell r="E295">
            <v>1</v>
          </cell>
          <cell r="G295">
            <v>-27</v>
          </cell>
          <cell r="H295">
            <v>0</v>
          </cell>
          <cell r="I295">
            <v>-14</v>
          </cell>
        </row>
        <row r="296">
          <cell r="A296" t="str">
            <v>Rent</v>
          </cell>
          <cell r="B296">
            <v>0.89600000000000002</v>
          </cell>
          <cell r="D296">
            <v>0</v>
          </cell>
          <cell r="E296">
            <v>6</v>
          </cell>
          <cell r="H296">
            <v>12</v>
          </cell>
          <cell r="I296">
            <v>1</v>
          </cell>
        </row>
        <row r="297">
          <cell r="A297" t="str">
            <v>Fuel</v>
          </cell>
          <cell r="G297">
            <v>-201</v>
          </cell>
        </row>
        <row r="298">
          <cell r="A298" t="str">
            <v>Depreciation</v>
          </cell>
          <cell r="B298">
            <v>670.48299999999995</v>
          </cell>
          <cell r="C298">
            <v>860.91099999999994</v>
          </cell>
          <cell r="D298">
            <v>-21</v>
          </cell>
          <cell r="E298">
            <v>271</v>
          </cell>
          <cell r="G298">
            <v>305</v>
          </cell>
          <cell r="H298">
            <v>171</v>
          </cell>
          <cell r="I298">
            <v>0</v>
          </cell>
        </row>
        <row r="299">
          <cell r="A299" t="str">
            <v>Adjustment of sales</v>
          </cell>
          <cell r="C299">
            <v>130.08000000000001</v>
          </cell>
          <cell r="G299">
            <v>0</v>
          </cell>
        </row>
        <row r="300">
          <cell r="A300" t="str">
            <v>Guarantee Commission</v>
          </cell>
          <cell r="D300">
            <v>-169</v>
          </cell>
          <cell r="E300">
            <v>0</v>
          </cell>
          <cell r="G300">
            <v>0</v>
          </cell>
        </row>
        <row r="301">
          <cell r="A301" t="str">
            <v>Interest</v>
          </cell>
          <cell r="B301">
            <v>0.13300000000000001</v>
          </cell>
          <cell r="C301">
            <v>0</v>
          </cell>
          <cell r="D301">
            <v>1</v>
          </cell>
          <cell r="E301">
            <v>418</v>
          </cell>
          <cell r="G301">
            <v>888</v>
          </cell>
          <cell r="H301">
            <v>2197</v>
          </cell>
          <cell r="I301">
            <v>1</v>
          </cell>
        </row>
        <row r="302">
          <cell r="A302" t="str">
            <v>Others</v>
          </cell>
          <cell r="B302">
            <v>18.513000000000002</v>
          </cell>
          <cell r="C302">
            <v>47.061999999999998</v>
          </cell>
          <cell r="D302">
            <v>1</v>
          </cell>
          <cell r="E302">
            <v>201</v>
          </cell>
          <cell r="G302">
            <v>15</v>
          </cell>
          <cell r="H302">
            <v>28</v>
          </cell>
          <cell r="I302">
            <v>44</v>
          </cell>
        </row>
        <row r="303">
          <cell r="A303" t="str">
            <v>Sub-total</v>
          </cell>
          <cell r="B303">
            <v>657.12</v>
          </cell>
          <cell r="C303">
            <v>721.85599999999999</v>
          </cell>
          <cell r="D303">
            <v>-162</v>
          </cell>
          <cell r="E303">
            <v>896</v>
          </cell>
          <cell r="F303">
            <v>0</v>
          </cell>
          <cell r="G303">
            <v>1003</v>
          </cell>
          <cell r="H303">
            <v>2561</v>
          </cell>
          <cell r="I303">
            <v>-142</v>
          </cell>
        </row>
        <row r="304">
          <cell r="A304" t="str">
            <v>Less: Incidental expenditure during construction</v>
          </cell>
          <cell r="B304">
            <v>1.1870000000000001</v>
          </cell>
          <cell r="C304">
            <v>-0.152</v>
          </cell>
          <cell r="D304">
            <v>-125</v>
          </cell>
          <cell r="E304">
            <v>21</v>
          </cell>
          <cell r="G304">
            <v>3</v>
          </cell>
          <cell r="H304">
            <v>34</v>
          </cell>
          <cell r="I304">
            <v>-19</v>
          </cell>
        </row>
        <row r="306">
          <cell r="A306" t="str">
            <v>Total</v>
          </cell>
          <cell r="B306">
            <v>-544.25099999999998</v>
          </cell>
          <cell r="C306">
            <v>-798.36700000000008</v>
          </cell>
          <cell r="D306">
            <v>-1</v>
          </cell>
          <cell r="E306">
            <v>-803</v>
          </cell>
          <cell r="F306">
            <v>-183</v>
          </cell>
          <cell r="G306">
            <v>102</v>
          </cell>
          <cell r="H306">
            <v>-2488</v>
          </cell>
          <cell r="I306">
            <v>109</v>
          </cell>
        </row>
        <row r="310">
          <cell r="A310" t="str">
            <v>Extraordinary Income / (expenses)</v>
          </cell>
        </row>
        <row r="311">
          <cell r="A311" t="str">
            <v>Sale for Electricity in previous year + O&amp;M Charges write-back</v>
          </cell>
          <cell r="G311">
            <v>1500</v>
          </cell>
          <cell r="H311">
            <v>1530</v>
          </cell>
        </row>
        <row r="312">
          <cell r="A312" t="str">
            <v>Arrears of Interst on Bonds under OTS +Late Payment Surcharge</v>
          </cell>
          <cell r="G312">
            <v>2241</v>
          </cell>
          <cell r="H312">
            <v>0</v>
          </cell>
        </row>
        <row r="313">
          <cell r="A313" t="str">
            <v>O&amp;M charges written back</v>
          </cell>
        </row>
        <row r="314">
          <cell r="A314" t="str">
            <v>One-time settlement of water charges</v>
          </cell>
          <cell r="F314">
            <v>1408</v>
          </cell>
        </row>
        <row r="315">
          <cell r="A315" t="str">
            <v>Extraordinary other income</v>
          </cell>
          <cell r="F315">
            <v>0</v>
          </cell>
        </row>
        <row r="316">
          <cell r="A316" t="str">
            <v>Provisions write-back</v>
          </cell>
          <cell r="B316">
            <v>3524.8010000000004</v>
          </cell>
          <cell r="C316">
            <v>3631.2910000000002</v>
          </cell>
          <cell r="D316">
            <v>107.21100000000001</v>
          </cell>
          <cell r="E316">
            <v>3988</v>
          </cell>
          <cell r="F316">
            <v>9648</v>
          </cell>
          <cell r="G316">
            <v>6235</v>
          </cell>
          <cell r="H316">
            <v>23</v>
          </cell>
          <cell r="I316">
            <v>41</v>
          </cell>
        </row>
        <row r="317">
          <cell r="A317" t="str">
            <v>Extraordinary expense</v>
          </cell>
        </row>
        <row r="318">
          <cell r="A318" t="str">
            <v>Less: Extraordinary - Rebates for prompt payment of dues for OTS for prior period</v>
          </cell>
          <cell r="F318">
            <v>0</v>
          </cell>
        </row>
        <row r="319">
          <cell r="A319" t="str">
            <v>Total</v>
          </cell>
          <cell r="B319">
            <v>3524.8010000000004</v>
          </cell>
          <cell r="C319">
            <v>3631.2910000000002</v>
          </cell>
          <cell r="D319">
            <v>107.21100000000001</v>
          </cell>
          <cell r="E319">
            <v>3988</v>
          </cell>
          <cell r="F319">
            <v>11056</v>
          </cell>
          <cell r="G319">
            <v>9976</v>
          </cell>
          <cell r="H319">
            <v>1553</v>
          </cell>
          <cell r="I319">
            <v>41</v>
          </cell>
        </row>
        <row r="321">
          <cell r="A321" t="str">
            <v>ADJUSTMENT ON ACCOUNT OF CHANGE IN ACCOUNTING POLICIES - PROSPECTUS</v>
          </cell>
        </row>
        <row r="322">
          <cell r="A322" t="str">
            <v>Adjustment on account of:</v>
          </cell>
        </row>
        <row r="323">
          <cell r="A323" t="str">
            <v>Changes in accounting policies- softwrae and its amortization</v>
          </cell>
          <cell r="B323">
            <v>11</v>
          </cell>
          <cell r="C323">
            <v>0</v>
          </cell>
          <cell r="D323">
            <v>5</v>
          </cell>
          <cell r="E323">
            <v>16</v>
          </cell>
          <cell r="F323">
            <v>-21</v>
          </cell>
        </row>
        <row r="325">
          <cell r="A325" t="str">
            <v>IMPACT OF MATERIAL ADJUSTMENTS - PROSPECTUS</v>
          </cell>
        </row>
        <row r="326">
          <cell r="A326" t="str">
            <v>Material adjustments</v>
          </cell>
        </row>
        <row r="327">
          <cell r="A327" t="str">
            <v>Sale of energy</v>
          </cell>
          <cell r="B327">
            <v>-3463</v>
          </cell>
          <cell r="C327">
            <v>-7745</v>
          </cell>
          <cell r="D327">
            <v>-3405</v>
          </cell>
          <cell r="E327">
            <v>-4866</v>
          </cell>
          <cell r="F327">
            <v>13963</v>
          </cell>
        </row>
        <row r="328">
          <cell r="A328" t="str">
            <v>Effect of scheme for settlement of SEB dues and return of bonds</v>
          </cell>
          <cell r="B328">
            <v>2645</v>
          </cell>
          <cell r="C328">
            <v>1921</v>
          </cell>
          <cell r="D328">
            <v>8750</v>
          </cell>
          <cell r="E328">
            <v>2666</v>
          </cell>
          <cell r="F328">
            <v>-26532</v>
          </cell>
        </row>
        <row r="329">
          <cell r="A329" t="str">
            <v>Arrears of remuneration to employees</v>
          </cell>
          <cell r="B329">
            <v>-440</v>
          </cell>
          <cell r="C329">
            <v>1430</v>
          </cell>
          <cell r="D329">
            <v>94</v>
          </cell>
          <cell r="E329">
            <v>202</v>
          </cell>
          <cell r="F329">
            <v>9</v>
          </cell>
        </row>
        <row r="330">
          <cell r="A330" t="str">
            <v>Other income and expenditure items</v>
          </cell>
          <cell r="B330">
            <v>4646</v>
          </cell>
          <cell r="C330">
            <v>2936</v>
          </cell>
          <cell r="D330">
            <v>-58</v>
          </cell>
          <cell r="E330">
            <v>-3035</v>
          </cell>
          <cell r="F330">
            <v>-4952</v>
          </cell>
        </row>
        <row r="331">
          <cell r="A331" t="str">
            <v>Sub-Total</v>
          </cell>
          <cell r="B331">
            <v>3388</v>
          </cell>
          <cell r="C331">
            <v>-1458</v>
          </cell>
          <cell r="D331">
            <v>5381</v>
          </cell>
          <cell r="E331">
            <v>-5033</v>
          </cell>
          <cell r="F331">
            <v>-17512</v>
          </cell>
        </row>
        <row r="332">
          <cell r="A332" t="str">
            <v>Tax impact of adjustments</v>
          </cell>
          <cell r="B332">
            <v>-976</v>
          </cell>
          <cell r="C332">
            <v>-1535</v>
          </cell>
          <cell r="D332">
            <v>-809</v>
          </cell>
          <cell r="E332">
            <v>903</v>
          </cell>
          <cell r="F332">
            <v>4611</v>
          </cell>
        </row>
        <row r="333">
          <cell r="A333" t="str">
            <v>Total</v>
          </cell>
          <cell r="B333">
            <v>2412</v>
          </cell>
          <cell r="C333">
            <v>-2993</v>
          </cell>
          <cell r="D333">
            <v>4572</v>
          </cell>
          <cell r="E333">
            <v>-4130</v>
          </cell>
          <cell r="F333">
            <v>-12901</v>
          </cell>
        </row>
        <row r="335">
          <cell r="A335" t="str">
            <v>PROVISION FOR TAX</v>
          </cell>
        </row>
        <row r="336">
          <cell r="A336" t="str">
            <v>Fringe benefit tax</v>
          </cell>
          <cell r="G336">
            <v>0</v>
          </cell>
          <cell r="H336">
            <v>-72</v>
          </cell>
          <cell r="I336">
            <v>148</v>
          </cell>
          <cell r="J336">
            <v>88</v>
          </cell>
        </row>
        <row r="337">
          <cell r="A337" t="str">
            <v>Provision for current tax</v>
          </cell>
          <cell r="B337">
            <v>10175</v>
          </cell>
          <cell r="C337">
            <v>13437</v>
          </cell>
          <cell r="D337">
            <v>10299</v>
          </cell>
          <cell r="E337">
            <v>11255</v>
          </cell>
          <cell r="F337">
            <v>8682</v>
          </cell>
          <cell r="G337">
            <v>10058</v>
          </cell>
          <cell r="H337">
            <v>8063</v>
          </cell>
          <cell r="I337">
            <v>20522</v>
          </cell>
          <cell r="J337">
            <v>28722</v>
          </cell>
        </row>
        <row r="338">
          <cell r="A338" t="str">
            <v>Less: Income tax recoverable</v>
          </cell>
          <cell r="B338">
            <v>8111</v>
          </cell>
          <cell r="C338">
            <v>10037</v>
          </cell>
          <cell r="D338">
            <v>8174</v>
          </cell>
          <cell r="E338">
            <v>9791</v>
          </cell>
          <cell r="F338">
            <v>2393</v>
          </cell>
          <cell r="G338">
            <v>7346</v>
          </cell>
          <cell r="H338">
            <v>0</v>
          </cell>
          <cell r="I338">
            <v>0</v>
          </cell>
          <cell r="J338">
            <v>0</v>
          </cell>
        </row>
        <row r="339">
          <cell r="A339" t="str">
            <v>Net provision for current tax</v>
          </cell>
          <cell r="B339">
            <v>2064</v>
          </cell>
          <cell r="C339">
            <v>3400</v>
          </cell>
          <cell r="D339">
            <v>2125</v>
          </cell>
          <cell r="E339">
            <v>1464</v>
          </cell>
          <cell r="F339">
            <v>6289</v>
          </cell>
          <cell r="G339">
            <v>2712</v>
          </cell>
          <cell r="H339">
            <v>7991</v>
          </cell>
          <cell r="I339">
            <v>20670</v>
          </cell>
          <cell r="J339">
            <v>28810</v>
          </cell>
        </row>
        <row r="340">
          <cell r="A340" t="str">
            <v>Less: Tax on Extraordinary Items</v>
          </cell>
          <cell r="F340">
            <v>1180.5556140380663</v>
          </cell>
          <cell r="G340">
            <v>445.11388239939453</v>
          </cell>
          <cell r="H340">
            <v>0</v>
          </cell>
        </row>
        <row r="341">
          <cell r="A341" t="str">
            <v>Provision for deferred tax</v>
          </cell>
          <cell r="B341">
            <v>0</v>
          </cell>
          <cell r="C341">
            <v>0</v>
          </cell>
          <cell r="D341">
            <v>0</v>
          </cell>
          <cell r="E341">
            <v>3545</v>
          </cell>
          <cell r="F341">
            <v>7901</v>
          </cell>
          <cell r="G341">
            <v>-1710</v>
          </cell>
        </row>
        <row r="342">
          <cell r="A342" t="str">
            <v>Less: Deferred tax recoverable</v>
          </cell>
          <cell r="B342">
            <v>0</v>
          </cell>
          <cell r="C342">
            <v>0</v>
          </cell>
          <cell r="D342">
            <v>0</v>
          </cell>
          <cell r="E342">
            <v>3544</v>
          </cell>
          <cell r="F342">
            <v>7901</v>
          </cell>
          <cell r="G342">
            <v>-1710</v>
          </cell>
        </row>
        <row r="343">
          <cell r="A343" t="str">
            <v>Net provision for def tax</v>
          </cell>
          <cell r="B343">
            <v>0</v>
          </cell>
          <cell r="C343">
            <v>0</v>
          </cell>
          <cell r="D343">
            <v>0</v>
          </cell>
          <cell r="E343">
            <v>1</v>
          </cell>
          <cell r="F343">
            <v>0</v>
          </cell>
          <cell r="G343">
            <v>0</v>
          </cell>
          <cell r="H343">
            <v>8</v>
          </cell>
          <cell r="I343">
            <v>-39</v>
          </cell>
          <cell r="J343">
            <v>1</v>
          </cell>
        </row>
        <row r="344">
          <cell r="A344" t="str">
            <v>Total</v>
          </cell>
          <cell r="B344">
            <v>2064</v>
          </cell>
          <cell r="C344">
            <v>3400</v>
          </cell>
          <cell r="D344">
            <v>2125</v>
          </cell>
          <cell r="E344">
            <v>1465</v>
          </cell>
          <cell r="F344">
            <v>5108.4443859619332</v>
          </cell>
          <cell r="G344">
            <v>2266.8861176006053</v>
          </cell>
          <cell r="H344">
            <v>7999</v>
          </cell>
          <cell r="I344">
            <v>20631</v>
          </cell>
          <cell r="J344">
            <v>28811</v>
          </cell>
        </row>
        <row r="345">
          <cell r="A345" t="str">
            <v>Effective tax rate (%)</v>
          </cell>
          <cell r="B345">
            <v>6.1929698470823226E-2</v>
          </cell>
          <cell r="C345">
            <v>8.9697370333105014E-2</v>
          </cell>
          <cell r="D345">
            <v>5.7565839738699463E-2</v>
          </cell>
          <cell r="E345">
            <v>4.2643015488688124E-2</v>
          </cell>
          <cell r="F345">
            <v>0.10637273833837109</v>
          </cell>
          <cell r="G345">
            <v>4.4708230467036238E-2</v>
          </cell>
          <cell r="H345">
            <v>0.11878174096403434</v>
          </cell>
          <cell r="I345">
            <v>0.2306067244925333</v>
          </cell>
        </row>
        <row r="347">
          <cell r="A347" t="str">
            <v>PROVISION WRITTEN BACK</v>
          </cell>
        </row>
        <row r="348">
          <cell r="A348" t="str">
            <v>Doubtful debts</v>
          </cell>
          <cell r="B348">
            <v>1498.5440000000001</v>
          </cell>
          <cell r="C348">
            <v>3603.8</v>
          </cell>
          <cell r="D348">
            <v>61.389000000000003</v>
          </cell>
          <cell r="E348">
            <v>926</v>
          </cell>
          <cell r="F348">
            <v>5957</v>
          </cell>
          <cell r="G348">
            <v>5927</v>
          </cell>
          <cell r="H348">
            <v>0</v>
          </cell>
        </row>
        <row r="349">
          <cell r="A349" t="str">
            <v>Doubtful claims &amp; advances</v>
          </cell>
          <cell r="B349">
            <v>5.0819999999999999</v>
          </cell>
          <cell r="C349">
            <v>6.0380000000000003</v>
          </cell>
          <cell r="D349">
            <v>6.4329999999999998</v>
          </cell>
          <cell r="E349">
            <v>10</v>
          </cell>
          <cell r="F349">
            <v>21</v>
          </cell>
          <cell r="G349">
            <v>5</v>
          </cell>
          <cell r="H349">
            <v>5</v>
          </cell>
        </row>
        <row r="350">
          <cell r="A350" t="str">
            <v>Doubtful  construction advances</v>
          </cell>
          <cell r="B350">
            <v>9.4E-2</v>
          </cell>
          <cell r="C350">
            <v>0.67200000000000004</v>
          </cell>
          <cell r="D350">
            <v>14.2</v>
          </cell>
          <cell r="E350">
            <v>16</v>
          </cell>
          <cell r="F350">
            <v>5</v>
          </cell>
          <cell r="G350">
            <v>3</v>
          </cell>
          <cell r="H350">
            <v>1</v>
          </cell>
        </row>
        <row r="351">
          <cell r="A351" t="str">
            <v>Adjustment in tariff</v>
          </cell>
          <cell r="E351">
            <v>2524</v>
          </cell>
          <cell r="F351">
            <v>3640</v>
          </cell>
          <cell r="G351">
            <v>286</v>
          </cell>
          <cell r="H351">
            <v>0</v>
          </cell>
        </row>
        <row r="352">
          <cell r="A352" t="str">
            <v>Interest/ Interest difference on bonds</v>
          </cell>
          <cell r="E352">
            <v>490</v>
          </cell>
          <cell r="G352">
            <v>1</v>
          </cell>
          <cell r="H352">
            <v>2</v>
          </cell>
        </row>
        <row r="353">
          <cell r="A353" t="str">
            <v>Shortages in construction stores</v>
          </cell>
          <cell r="B353">
            <v>1.617</v>
          </cell>
          <cell r="C353">
            <v>2.3420000000000001</v>
          </cell>
          <cell r="D353">
            <v>1.272</v>
          </cell>
          <cell r="E353">
            <v>4</v>
          </cell>
          <cell r="F353">
            <v>2</v>
          </cell>
          <cell r="G353">
            <v>9</v>
          </cell>
          <cell r="H353">
            <v>9</v>
          </cell>
        </row>
        <row r="354">
          <cell r="A354" t="str">
            <v>Shortages in stores</v>
          </cell>
          <cell r="B354">
            <v>17.771000000000001</v>
          </cell>
          <cell r="C354">
            <v>14.949</v>
          </cell>
          <cell r="D354">
            <v>21.210999999999999</v>
          </cell>
          <cell r="E354">
            <v>15</v>
          </cell>
          <cell r="F354">
            <v>17</v>
          </cell>
          <cell r="G354">
            <v>2</v>
          </cell>
          <cell r="H354">
            <v>6</v>
          </cell>
        </row>
        <row r="355">
          <cell r="A355" t="str">
            <v>Others</v>
          </cell>
          <cell r="B355">
            <v>2001.693</v>
          </cell>
          <cell r="C355">
            <v>3.49</v>
          </cell>
          <cell r="D355">
            <v>2.706</v>
          </cell>
          <cell r="E355">
            <v>3</v>
          </cell>
          <cell r="F355">
            <v>6</v>
          </cell>
          <cell r="G355">
            <v>2</v>
          </cell>
          <cell r="H355">
            <v>0</v>
          </cell>
        </row>
        <row r="356">
          <cell r="A356" t="str">
            <v>Total</v>
          </cell>
          <cell r="B356">
            <v>3524.8010000000004</v>
          </cell>
          <cell r="C356">
            <v>3631.2910000000002</v>
          </cell>
          <cell r="D356">
            <v>107.21100000000001</v>
          </cell>
          <cell r="E356">
            <v>3988</v>
          </cell>
          <cell r="F356">
            <v>9648</v>
          </cell>
          <cell r="G356">
            <v>6235</v>
          </cell>
          <cell r="H356">
            <v>23</v>
          </cell>
          <cell r="I356">
            <v>41</v>
          </cell>
        </row>
        <row r="358">
          <cell r="A358" t="str">
            <v>CAPACITY</v>
          </cell>
        </row>
        <row r="359">
          <cell r="B359" t="str">
            <v>F2000</v>
          </cell>
          <cell r="C359" t="str">
            <v>F2001</v>
          </cell>
          <cell r="D359" t="str">
            <v>F2002</v>
          </cell>
          <cell r="E359" t="str">
            <v>F2003</v>
          </cell>
          <cell r="F359" t="str">
            <v>F2004</v>
          </cell>
          <cell r="G359" t="str">
            <v>F2005</v>
          </cell>
          <cell r="H359" t="str">
            <v>F2006</v>
          </cell>
          <cell r="I359" t="str">
            <v>F2007</v>
          </cell>
          <cell r="J359" t="str">
            <v>F2008E</v>
          </cell>
          <cell r="K359" t="str">
            <v>F2009E</v>
          </cell>
          <cell r="L359" t="str">
            <v>F2010E</v>
          </cell>
          <cell r="M359" t="str">
            <v>F2011E</v>
          </cell>
          <cell r="N359" t="str">
            <v>F2012E</v>
          </cell>
          <cell r="O359" t="str">
            <v>F2013E</v>
          </cell>
          <cell r="P359" t="str">
            <v>F2014E</v>
          </cell>
          <cell r="Q359" t="str">
            <v>F2015E</v>
          </cell>
          <cell r="R359" t="str">
            <v>F2016E</v>
          </cell>
          <cell r="S359" t="str">
            <v>F2017E</v>
          </cell>
          <cell r="T359" t="str">
            <v>F2018E</v>
          </cell>
          <cell r="U359" t="str">
            <v>F2019E</v>
          </cell>
          <cell r="V359" t="str">
            <v>F2020E</v>
          </cell>
        </row>
        <row r="360">
          <cell r="A360" t="str">
            <v>Commercial Capacity (MW)</v>
          </cell>
          <cell r="B360">
            <v>19291</v>
          </cell>
          <cell r="C360">
            <v>19435</v>
          </cell>
          <cell r="D360">
            <v>19935</v>
          </cell>
          <cell r="E360">
            <v>20935</v>
          </cell>
          <cell r="F360">
            <v>20935</v>
          </cell>
          <cell r="G360">
            <v>22435</v>
          </cell>
          <cell r="H360">
            <v>23435</v>
          </cell>
          <cell r="I360">
            <v>26350</v>
          </cell>
          <cell r="J360">
            <v>28850</v>
          </cell>
          <cell r="K360">
            <v>30830</v>
          </cell>
          <cell r="L360">
            <v>30830</v>
          </cell>
          <cell r="M360">
            <v>30830</v>
          </cell>
          <cell r="N360">
            <v>30830</v>
          </cell>
          <cell r="O360">
            <v>30830</v>
          </cell>
          <cell r="P360">
            <v>30830</v>
          </cell>
          <cell r="Q360">
            <v>30830</v>
          </cell>
          <cell r="R360">
            <v>30830</v>
          </cell>
          <cell r="S360">
            <v>30830</v>
          </cell>
          <cell r="T360">
            <v>30830</v>
          </cell>
          <cell r="U360">
            <v>30830</v>
          </cell>
          <cell r="V360">
            <v>30830</v>
          </cell>
        </row>
        <row r="361">
          <cell r="A361" t="str">
            <v>Addition to capactiy</v>
          </cell>
          <cell r="C361">
            <v>144</v>
          </cell>
          <cell r="D361">
            <v>500</v>
          </cell>
          <cell r="E361">
            <v>1000</v>
          </cell>
          <cell r="F361">
            <v>0</v>
          </cell>
          <cell r="G361">
            <v>1500</v>
          </cell>
          <cell r="H361">
            <v>1000</v>
          </cell>
          <cell r="I361">
            <v>2915</v>
          </cell>
          <cell r="J361">
            <v>2500</v>
          </cell>
          <cell r="K361">
            <v>1980</v>
          </cell>
          <cell r="L361">
            <v>0</v>
          </cell>
          <cell r="M361">
            <v>0</v>
          </cell>
          <cell r="N361">
            <v>0</v>
          </cell>
          <cell r="O361">
            <v>0</v>
          </cell>
          <cell r="P361">
            <v>0</v>
          </cell>
          <cell r="Q361">
            <v>0</v>
          </cell>
          <cell r="R361">
            <v>0</v>
          </cell>
          <cell r="S361">
            <v>0</v>
          </cell>
          <cell r="T361">
            <v>0</v>
          </cell>
          <cell r="U361">
            <v>0</v>
          </cell>
          <cell r="V361">
            <v>0</v>
          </cell>
        </row>
        <row r="363">
          <cell r="A363" t="str">
            <v>COAL - OWNED</v>
          </cell>
        </row>
        <row r="364">
          <cell r="A364" t="str">
            <v>Northern Region</v>
          </cell>
        </row>
        <row r="365">
          <cell r="A365" t="str">
            <v>Singrauli</v>
          </cell>
          <cell r="D365">
            <v>2000</v>
          </cell>
          <cell r="E365">
            <v>2000</v>
          </cell>
          <cell r="F365">
            <v>2000</v>
          </cell>
          <cell r="G365">
            <v>2000</v>
          </cell>
          <cell r="H365">
            <v>2000</v>
          </cell>
          <cell r="I365">
            <v>2000</v>
          </cell>
        </row>
        <row r="366">
          <cell r="A366" t="str">
            <v>Rihand</v>
          </cell>
          <cell r="D366">
            <v>1000</v>
          </cell>
          <cell r="E366">
            <v>1000</v>
          </cell>
          <cell r="F366">
            <v>1000</v>
          </cell>
          <cell r="G366">
            <v>1500</v>
          </cell>
          <cell r="H366">
            <v>2000</v>
          </cell>
          <cell r="I366">
            <v>2000</v>
          </cell>
        </row>
        <row r="367">
          <cell r="A367" t="str">
            <v>Tanda</v>
          </cell>
          <cell r="D367">
            <v>440</v>
          </cell>
          <cell r="E367">
            <v>440</v>
          </cell>
          <cell r="F367">
            <v>440</v>
          </cell>
          <cell r="G367">
            <v>440</v>
          </cell>
          <cell r="H367">
            <v>440</v>
          </cell>
          <cell r="I367">
            <v>440</v>
          </cell>
        </row>
        <row r="368">
          <cell r="A368" t="str">
            <v>Unchahar</v>
          </cell>
          <cell r="D368">
            <v>840</v>
          </cell>
          <cell r="E368">
            <v>840</v>
          </cell>
          <cell r="F368">
            <v>840</v>
          </cell>
          <cell r="G368">
            <v>840</v>
          </cell>
          <cell r="H368">
            <v>840</v>
          </cell>
          <cell r="I368">
            <v>1050</v>
          </cell>
        </row>
        <row r="369">
          <cell r="A369" t="str">
            <v>Kahalgaon</v>
          </cell>
        </row>
        <row r="370">
          <cell r="A370" t="str">
            <v>Sipat</v>
          </cell>
        </row>
        <row r="371">
          <cell r="A371" t="str">
            <v>Western Region</v>
          </cell>
        </row>
        <row r="372">
          <cell r="A372" t="str">
            <v>Korba</v>
          </cell>
          <cell r="D372">
            <v>2100</v>
          </cell>
          <cell r="E372">
            <v>2100</v>
          </cell>
          <cell r="F372">
            <v>2100</v>
          </cell>
          <cell r="G372">
            <v>2100</v>
          </cell>
          <cell r="H372">
            <v>2100</v>
          </cell>
          <cell r="I372">
            <v>2100</v>
          </cell>
        </row>
        <row r="373">
          <cell r="A373" t="str">
            <v>Vindhyachal</v>
          </cell>
          <cell r="D373">
            <v>2260</v>
          </cell>
          <cell r="E373">
            <v>2260</v>
          </cell>
          <cell r="F373">
            <v>2260</v>
          </cell>
          <cell r="G373">
            <v>2260</v>
          </cell>
          <cell r="H373">
            <v>2260</v>
          </cell>
          <cell r="I373">
            <v>3260</v>
          </cell>
        </row>
        <row r="374">
          <cell r="A374" t="str">
            <v>Southern Region</v>
          </cell>
        </row>
        <row r="375">
          <cell r="A375" t="str">
            <v>Ramagundam</v>
          </cell>
          <cell r="D375">
            <v>2100</v>
          </cell>
          <cell r="E375">
            <v>2100</v>
          </cell>
          <cell r="F375">
            <v>2100</v>
          </cell>
          <cell r="G375">
            <v>2600</v>
          </cell>
          <cell r="H375">
            <v>2600</v>
          </cell>
          <cell r="I375">
            <v>2600</v>
          </cell>
        </row>
        <row r="376">
          <cell r="A376" t="str">
            <v>Simhadri</v>
          </cell>
          <cell r="D376">
            <v>500</v>
          </cell>
          <cell r="E376">
            <v>1000</v>
          </cell>
          <cell r="F376">
            <v>1000</v>
          </cell>
          <cell r="G376">
            <v>1000</v>
          </cell>
          <cell r="H376">
            <v>1000</v>
          </cell>
          <cell r="I376">
            <v>1000</v>
          </cell>
        </row>
        <row r="377">
          <cell r="A377" t="str">
            <v>Eastern Region</v>
          </cell>
        </row>
        <row r="378">
          <cell r="A378" t="str">
            <v>Farakka</v>
          </cell>
          <cell r="D378">
            <v>1600</v>
          </cell>
          <cell r="E378">
            <v>1600</v>
          </cell>
          <cell r="F378">
            <v>1600</v>
          </cell>
          <cell r="G378">
            <v>1600</v>
          </cell>
          <cell r="H378">
            <v>1600</v>
          </cell>
          <cell r="I378">
            <v>1600</v>
          </cell>
        </row>
        <row r="379">
          <cell r="A379" t="str">
            <v>Kahalgaon</v>
          </cell>
          <cell r="D379">
            <v>840</v>
          </cell>
          <cell r="E379">
            <v>840</v>
          </cell>
          <cell r="F379">
            <v>840</v>
          </cell>
          <cell r="G379">
            <v>840</v>
          </cell>
          <cell r="H379">
            <v>840</v>
          </cell>
          <cell r="I379">
            <v>1340</v>
          </cell>
        </row>
        <row r="380">
          <cell r="A380" t="str">
            <v>Talcher STPS</v>
          </cell>
          <cell r="D380">
            <v>1000</v>
          </cell>
          <cell r="E380">
            <v>1500</v>
          </cell>
          <cell r="F380">
            <v>2000</v>
          </cell>
          <cell r="G380">
            <v>3000</v>
          </cell>
          <cell r="H380">
            <v>3000</v>
          </cell>
          <cell r="I380">
            <v>3000</v>
          </cell>
        </row>
        <row r="381">
          <cell r="A381" t="str">
            <v>Talcher TPS</v>
          </cell>
          <cell r="D381">
            <v>460</v>
          </cell>
          <cell r="E381">
            <v>460</v>
          </cell>
          <cell r="F381">
            <v>460</v>
          </cell>
          <cell r="G381">
            <v>460</v>
          </cell>
          <cell r="H381">
            <v>460</v>
          </cell>
          <cell r="I381">
            <v>460</v>
          </cell>
        </row>
        <row r="382">
          <cell r="A382" t="str">
            <v>National Capital Region</v>
          </cell>
        </row>
        <row r="383">
          <cell r="A383" t="str">
            <v>Dadri Thermal</v>
          </cell>
          <cell r="D383">
            <v>840</v>
          </cell>
          <cell r="E383">
            <v>840</v>
          </cell>
          <cell r="F383">
            <v>840</v>
          </cell>
          <cell r="G383">
            <v>840</v>
          </cell>
          <cell r="H383">
            <v>840</v>
          </cell>
          <cell r="I383">
            <v>840</v>
          </cell>
        </row>
        <row r="384">
          <cell r="A384" t="str">
            <v>Badarpur</v>
          </cell>
          <cell r="I384">
            <v>705</v>
          </cell>
        </row>
        <row r="385">
          <cell r="A385" t="str">
            <v>Total - Commercial Generation</v>
          </cell>
          <cell r="D385">
            <v>15980</v>
          </cell>
          <cell r="E385">
            <v>16980</v>
          </cell>
          <cell r="F385">
            <v>16980</v>
          </cell>
          <cell r="G385">
            <v>18480</v>
          </cell>
          <cell r="H385">
            <v>19480</v>
          </cell>
          <cell r="I385">
            <v>22395</v>
          </cell>
          <cell r="J385">
            <v>24895</v>
          </cell>
          <cell r="K385">
            <v>26875</v>
          </cell>
          <cell r="L385">
            <v>26875</v>
          </cell>
          <cell r="M385">
            <v>26875</v>
          </cell>
          <cell r="N385">
            <v>26875</v>
          </cell>
          <cell r="O385">
            <v>26875</v>
          </cell>
          <cell r="P385">
            <v>26875</v>
          </cell>
          <cell r="Q385">
            <v>26875</v>
          </cell>
          <cell r="R385">
            <v>26875</v>
          </cell>
          <cell r="S385">
            <v>26875</v>
          </cell>
          <cell r="T385">
            <v>26875</v>
          </cell>
          <cell r="U385">
            <v>26875</v>
          </cell>
          <cell r="V385">
            <v>26875</v>
          </cell>
        </row>
        <row r="386">
          <cell r="A386" t="str">
            <v>Total - Overall Generation</v>
          </cell>
          <cell r="D386">
            <v>29960</v>
          </cell>
          <cell r="E386">
            <v>31960</v>
          </cell>
          <cell r="F386">
            <v>17480</v>
          </cell>
          <cell r="G386">
            <v>19480</v>
          </cell>
          <cell r="H386">
            <v>19980</v>
          </cell>
          <cell r="I386">
            <v>22395</v>
          </cell>
          <cell r="J386">
            <v>23395</v>
          </cell>
          <cell r="K386">
            <v>26535</v>
          </cell>
          <cell r="L386">
            <v>26535</v>
          </cell>
          <cell r="M386">
            <v>26535</v>
          </cell>
          <cell r="N386">
            <v>26535</v>
          </cell>
          <cell r="O386">
            <v>26535</v>
          </cell>
          <cell r="P386">
            <v>26535</v>
          </cell>
          <cell r="Q386">
            <v>26535</v>
          </cell>
          <cell r="R386">
            <v>26535</v>
          </cell>
          <cell r="S386">
            <v>26535</v>
          </cell>
          <cell r="T386">
            <v>26535</v>
          </cell>
          <cell r="U386">
            <v>26535</v>
          </cell>
          <cell r="V386">
            <v>26535</v>
          </cell>
        </row>
        <row r="387">
          <cell r="A387" t="str">
            <v>GAS - OWNED</v>
          </cell>
        </row>
        <row r="388">
          <cell r="A388" t="str">
            <v>Western Region</v>
          </cell>
        </row>
        <row r="389">
          <cell r="A389" t="str">
            <v>Kawas</v>
          </cell>
          <cell r="D389">
            <v>645</v>
          </cell>
          <cell r="E389">
            <v>645</v>
          </cell>
          <cell r="F389">
            <v>645</v>
          </cell>
          <cell r="G389">
            <v>645</v>
          </cell>
          <cell r="H389">
            <v>645</v>
          </cell>
          <cell r="I389">
            <v>645</v>
          </cell>
        </row>
        <row r="390">
          <cell r="A390" t="str">
            <v>Jhanor Gandhar</v>
          </cell>
          <cell r="D390">
            <v>648</v>
          </cell>
          <cell r="E390">
            <v>648</v>
          </cell>
          <cell r="F390">
            <v>648</v>
          </cell>
          <cell r="G390">
            <v>648</v>
          </cell>
          <cell r="H390">
            <v>648</v>
          </cell>
          <cell r="I390">
            <v>648</v>
          </cell>
        </row>
        <row r="391">
          <cell r="A391" t="str">
            <v>Southern Region</v>
          </cell>
        </row>
        <row r="392">
          <cell r="A392" t="str">
            <v>Kayamkulam - Rajiv Gandhi CCP</v>
          </cell>
          <cell r="D392">
            <v>0</v>
          </cell>
          <cell r="E392">
            <v>0</v>
          </cell>
          <cell r="F392">
            <v>0</v>
          </cell>
          <cell r="G392">
            <v>350</v>
          </cell>
          <cell r="H392">
            <v>350</v>
          </cell>
          <cell r="I392">
            <v>350</v>
          </cell>
        </row>
        <row r="393">
          <cell r="A393" t="str">
            <v>National Capital Region</v>
          </cell>
        </row>
        <row r="394">
          <cell r="A394" t="str">
            <v>Dadri Gas</v>
          </cell>
          <cell r="D394">
            <v>817</v>
          </cell>
          <cell r="E394">
            <v>817</v>
          </cell>
          <cell r="F394">
            <v>817</v>
          </cell>
          <cell r="G394">
            <v>817</v>
          </cell>
          <cell r="H394">
            <v>817</v>
          </cell>
          <cell r="I394">
            <v>817</v>
          </cell>
        </row>
        <row r="395">
          <cell r="A395" t="str">
            <v>Anta</v>
          </cell>
          <cell r="D395">
            <v>413</v>
          </cell>
          <cell r="E395">
            <v>413</v>
          </cell>
          <cell r="F395">
            <v>413</v>
          </cell>
          <cell r="G395">
            <v>413</v>
          </cell>
          <cell r="H395">
            <v>413</v>
          </cell>
          <cell r="I395">
            <v>413</v>
          </cell>
        </row>
        <row r="396">
          <cell r="A396" t="str">
            <v>Auraiya</v>
          </cell>
          <cell r="D396">
            <v>652</v>
          </cell>
          <cell r="E396">
            <v>652</v>
          </cell>
          <cell r="F396">
            <v>652</v>
          </cell>
          <cell r="G396">
            <v>652</v>
          </cell>
          <cell r="H396">
            <v>652</v>
          </cell>
          <cell r="I396">
            <v>652</v>
          </cell>
        </row>
        <row r="397">
          <cell r="A397" t="str">
            <v>Faridabad</v>
          </cell>
          <cell r="D397">
            <v>430</v>
          </cell>
          <cell r="E397">
            <v>430</v>
          </cell>
          <cell r="F397">
            <v>430</v>
          </cell>
          <cell r="G397">
            <v>430</v>
          </cell>
          <cell r="H397">
            <v>430</v>
          </cell>
          <cell r="I397">
            <v>430</v>
          </cell>
        </row>
        <row r="398">
          <cell r="A398" t="str">
            <v>Total - Commercial Generation</v>
          </cell>
          <cell r="D398">
            <v>3605</v>
          </cell>
          <cell r="E398">
            <v>3605</v>
          </cell>
          <cell r="F398">
            <v>3605</v>
          </cell>
          <cell r="G398">
            <v>3955</v>
          </cell>
          <cell r="H398">
            <v>3955</v>
          </cell>
          <cell r="I398">
            <v>3955</v>
          </cell>
          <cell r="J398">
            <v>3955</v>
          </cell>
          <cell r="K398">
            <v>3955</v>
          </cell>
          <cell r="L398">
            <v>3955</v>
          </cell>
          <cell r="M398">
            <v>3955</v>
          </cell>
          <cell r="N398">
            <v>3955</v>
          </cell>
          <cell r="O398">
            <v>3955</v>
          </cell>
          <cell r="P398">
            <v>3955</v>
          </cell>
          <cell r="Q398">
            <v>3955</v>
          </cell>
          <cell r="R398">
            <v>3955</v>
          </cell>
          <cell r="S398">
            <v>3955</v>
          </cell>
          <cell r="T398">
            <v>3955</v>
          </cell>
          <cell r="U398">
            <v>3955</v>
          </cell>
          <cell r="V398">
            <v>3955</v>
          </cell>
        </row>
        <row r="399">
          <cell r="A399" t="str">
            <v>Total - Overall Generation</v>
          </cell>
          <cell r="D399">
            <v>56290</v>
          </cell>
          <cell r="E399">
            <v>59790</v>
          </cell>
          <cell r="F399">
            <v>3605</v>
          </cell>
          <cell r="G399">
            <v>3955</v>
          </cell>
          <cell r="H399">
            <v>3955</v>
          </cell>
          <cell r="I399">
            <v>3955</v>
          </cell>
          <cell r="J399">
            <v>3955</v>
          </cell>
          <cell r="K399">
            <v>3955</v>
          </cell>
          <cell r="L399">
            <v>3955</v>
          </cell>
          <cell r="M399">
            <v>3955</v>
          </cell>
          <cell r="N399">
            <v>3955</v>
          </cell>
          <cell r="O399">
            <v>3955</v>
          </cell>
          <cell r="P399">
            <v>3955</v>
          </cell>
          <cell r="Q399">
            <v>3955</v>
          </cell>
          <cell r="R399">
            <v>3955</v>
          </cell>
          <cell r="S399">
            <v>3955</v>
          </cell>
          <cell r="T399">
            <v>3955</v>
          </cell>
          <cell r="U399">
            <v>3955</v>
          </cell>
          <cell r="V399">
            <v>3955</v>
          </cell>
        </row>
        <row r="400">
          <cell r="A400" t="str">
            <v>NAPHTHA - OWNED</v>
          </cell>
        </row>
        <row r="401">
          <cell r="A401" t="str">
            <v>Kayamkulam - Rajiv Gandhi CCP</v>
          </cell>
          <cell r="D401">
            <v>350</v>
          </cell>
          <cell r="E401">
            <v>350</v>
          </cell>
          <cell r="F401">
            <v>350</v>
          </cell>
          <cell r="G401">
            <v>0</v>
          </cell>
        </row>
        <row r="402">
          <cell r="A402" t="str">
            <v>Total - Commercial Generation</v>
          </cell>
          <cell r="D402">
            <v>350</v>
          </cell>
          <cell r="E402">
            <v>350</v>
          </cell>
          <cell r="F402">
            <v>350</v>
          </cell>
          <cell r="G402">
            <v>0</v>
          </cell>
        </row>
        <row r="403">
          <cell r="A403" t="str">
            <v>Total - Overall Generation</v>
          </cell>
          <cell r="D403">
            <v>110980</v>
          </cell>
          <cell r="E403">
            <v>117480</v>
          </cell>
          <cell r="F403">
            <v>350</v>
          </cell>
          <cell r="G403">
            <v>0</v>
          </cell>
          <cell r="H403">
            <v>0</v>
          </cell>
          <cell r="I403">
            <v>0</v>
          </cell>
          <cell r="J403">
            <v>0</v>
          </cell>
        </row>
        <row r="404">
          <cell r="A404" t="str">
            <v>Owned power stations - Hydro</v>
          </cell>
        </row>
        <row r="405">
          <cell r="A405" t="str">
            <v>Northern region</v>
          </cell>
        </row>
        <row r="406">
          <cell r="A406" t="str">
            <v>Kayamkulam</v>
          </cell>
        </row>
        <row r="407">
          <cell r="A407" t="str">
            <v>Total Hydro</v>
          </cell>
        </row>
        <row r="408">
          <cell r="A408" t="str">
            <v>TOTAL CAPACITY - Commercial</v>
          </cell>
          <cell r="D408">
            <v>19935</v>
          </cell>
          <cell r="E408">
            <v>20935</v>
          </cell>
          <cell r="F408">
            <v>20935</v>
          </cell>
          <cell r="G408">
            <v>22435</v>
          </cell>
          <cell r="H408">
            <v>23435</v>
          </cell>
          <cell r="I408">
            <v>26350</v>
          </cell>
          <cell r="J408">
            <v>28850</v>
          </cell>
          <cell r="K408">
            <v>30830</v>
          </cell>
          <cell r="L408">
            <v>30830</v>
          </cell>
          <cell r="M408">
            <v>30830</v>
          </cell>
          <cell r="N408">
            <v>30830</v>
          </cell>
          <cell r="O408">
            <v>30830</v>
          </cell>
          <cell r="P408">
            <v>30830</v>
          </cell>
          <cell r="Q408">
            <v>30830</v>
          </cell>
          <cell r="R408">
            <v>30830</v>
          </cell>
          <cell r="S408">
            <v>30830</v>
          </cell>
          <cell r="T408">
            <v>30830</v>
          </cell>
          <cell r="U408">
            <v>30830</v>
          </cell>
          <cell r="V408">
            <v>30830</v>
          </cell>
        </row>
        <row r="409">
          <cell r="A409" t="str">
            <v>TOTAL CAPACITY - Commissioned</v>
          </cell>
          <cell r="D409">
            <v>19935</v>
          </cell>
          <cell r="E409">
            <v>20935</v>
          </cell>
          <cell r="F409">
            <v>21435</v>
          </cell>
          <cell r="G409">
            <v>23435</v>
          </cell>
          <cell r="H409">
            <v>23935</v>
          </cell>
          <cell r="I409">
            <v>26350</v>
          </cell>
          <cell r="J409">
            <v>27350</v>
          </cell>
          <cell r="K409">
            <v>30490</v>
          </cell>
          <cell r="L409">
            <v>30490</v>
          </cell>
          <cell r="M409">
            <v>30490</v>
          </cell>
          <cell r="N409">
            <v>30490</v>
          </cell>
          <cell r="O409">
            <v>30490</v>
          </cell>
          <cell r="P409">
            <v>30490</v>
          </cell>
          <cell r="Q409">
            <v>30490</v>
          </cell>
          <cell r="R409">
            <v>30490</v>
          </cell>
          <cell r="S409">
            <v>30490</v>
          </cell>
          <cell r="T409">
            <v>30490</v>
          </cell>
          <cell r="U409">
            <v>30490</v>
          </cell>
          <cell r="V409">
            <v>30490</v>
          </cell>
        </row>
        <row r="410">
          <cell r="I410">
            <v>0.12438660123746526</v>
          </cell>
          <cell r="J410">
            <v>9.4876660341556063E-2</v>
          </cell>
          <cell r="K410">
            <v>6.8630849220103984E-2</v>
          </cell>
          <cell r="L410">
            <v>0</v>
          </cell>
          <cell r="M410">
            <v>0</v>
          </cell>
          <cell r="N410">
            <v>0</v>
          </cell>
          <cell r="O410">
            <v>0</v>
          </cell>
          <cell r="P410">
            <v>0</v>
          </cell>
          <cell r="Q410">
            <v>0</v>
          </cell>
          <cell r="R410">
            <v>0</v>
          </cell>
          <cell r="S410">
            <v>0</v>
          </cell>
          <cell r="T410">
            <v>0</v>
          </cell>
          <cell r="U410">
            <v>0</v>
          </cell>
          <cell r="V410">
            <v>0</v>
          </cell>
        </row>
        <row r="411">
          <cell r="A411" t="str">
            <v>JV CAPACITY</v>
          </cell>
        </row>
        <row r="412">
          <cell r="A412" t="str">
            <v>NTPC- SAIL Power Co</v>
          </cell>
        </row>
        <row r="413">
          <cell r="A413" t="str">
            <v>Durgapur</v>
          </cell>
          <cell r="F413">
            <v>120</v>
          </cell>
          <cell r="G413">
            <v>120</v>
          </cell>
          <cell r="H413">
            <v>120</v>
          </cell>
          <cell r="I413">
            <v>120</v>
          </cell>
        </row>
        <row r="414">
          <cell r="A414" t="str">
            <v>Rourkela</v>
          </cell>
          <cell r="F414">
            <v>120</v>
          </cell>
          <cell r="G414">
            <v>120</v>
          </cell>
          <cell r="H414">
            <v>120</v>
          </cell>
          <cell r="I414">
            <v>120</v>
          </cell>
        </row>
        <row r="415">
          <cell r="A415" t="str">
            <v>BREAKDOWN - CAPACITY, GENERATION, SALES</v>
          </cell>
        </row>
        <row r="416">
          <cell r="A416" t="str">
            <v>Generation Capacity - Commercial (billion units)</v>
          </cell>
          <cell r="B416">
            <v>0</v>
          </cell>
          <cell r="C416">
            <v>0</v>
          </cell>
          <cell r="D416">
            <v>0</v>
          </cell>
          <cell r="E416">
            <v>0</v>
          </cell>
          <cell r="F416">
            <v>183.39060000000001</v>
          </cell>
          <cell r="G416">
            <v>189.9606</v>
          </cell>
          <cell r="H416">
            <v>200.18060000000003</v>
          </cell>
          <cell r="I416">
            <v>218.05829999999997</v>
          </cell>
          <cell r="J416">
            <v>241.77599999999995</v>
          </cell>
        </row>
        <row r="417">
          <cell r="A417" t="str">
            <v>Capacity Addition</v>
          </cell>
          <cell r="C417">
            <v>0</v>
          </cell>
          <cell r="D417">
            <v>0</v>
          </cell>
          <cell r="E417">
            <v>0</v>
          </cell>
          <cell r="F417">
            <v>183.39060000000001</v>
          </cell>
          <cell r="G417">
            <v>6.5699999999999932</v>
          </cell>
          <cell r="H417">
            <v>10.220000000000027</v>
          </cell>
          <cell r="I417">
            <v>17.877699999999948</v>
          </cell>
          <cell r="J417">
            <v>23.717699999999979</v>
          </cell>
        </row>
        <row r="418">
          <cell r="A418" t="str">
            <v>Generation Capacity - Commissioned (billion units)</v>
          </cell>
          <cell r="B418">
            <v>168.98916</v>
          </cell>
          <cell r="C418">
            <v>170.25060000000002</v>
          </cell>
          <cell r="D418">
            <v>174.63060000000002</v>
          </cell>
          <cell r="E418">
            <v>183.39060000000001</v>
          </cell>
          <cell r="F418">
            <v>187.7706</v>
          </cell>
          <cell r="G418">
            <v>205.29059999999998</v>
          </cell>
          <cell r="H418">
            <v>207.48059999999998</v>
          </cell>
          <cell r="I418">
            <v>220.24829999999997</v>
          </cell>
          <cell r="J418">
            <v>235.20599999999996</v>
          </cell>
        </row>
        <row r="419">
          <cell r="A419" t="str">
            <v>Capacity Addition</v>
          </cell>
          <cell r="C419">
            <v>1.2614400000000217</v>
          </cell>
          <cell r="D419">
            <v>4.3799999999999955</v>
          </cell>
          <cell r="E419">
            <v>8.7599999999999909</v>
          </cell>
          <cell r="F419">
            <v>4.3799999999999955</v>
          </cell>
          <cell r="G419">
            <v>17.519999999999982</v>
          </cell>
          <cell r="H419">
            <v>2.1899999999999977</v>
          </cell>
          <cell r="I419">
            <v>12.767699999999991</v>
          </cell>
          <cell r="J419">
            <v>14.957699999999988</v>
          </cell>
        </row>
        <row r="420">
          <cell r="A420" t="str">
            <v>PLF</v>
          </cell>
          <cell r="B420">
            <v>0.70241191801888359</v>
          </cell>
          <cell r="C420">
            <v>0.7647550140792454</v>
          </cell>
          <cell r="D420">
            <v>0.76275291959141167</v>
          </cell>
          <cell r="E420">
            <v>0.76830546385692611</v>
          </cell>
          <cell r="F420">
            <v>0.79458658597245779</v>
          </cell>
          <cell r="G420">
            <v>0.77504766414049175</v>
          </cell>
          <cell r="H420">
            <v>0.8235950734671097</v>
          </cell>
          <cell r="I420">
            <v>0.85664225331137644</v>
          </cell>
          <cell r="J420">
            <v>0.85829528192308013</v>
          </cell>
        </row>
        <row r="421">
          <cell r="A421" t="str">
            <v>New</v>
          </cell>
          <cell r="C421">
            <v>0.2</v>
          </cell>
          <cell r="D421">
            <v>0.1</v>
          </cell>
          <cell r="E421">
            <v>0.1</v>
          </cell>
          <cell r="F421">
            <v>0.1</v>
          </cell>
          <cell r="G421">
            <v>0.1</v>
          </cell>
          <cell r="H421">
            <v>0.15</v>
          </cell>
          <cell r="I421">
            <v>0.05</v>
          </cell>
          <cell r="J421">
            <v>0.1</v>
          </cell>
        </row>
        <row r="422">
          <cell r="A422" t="str">
            <v>Existing</v>
          </cell>
          <cell r="C422">
            <v>0.76900000000000002</v>
          </cell>
          <cell r="D422">
            <v>0.78</v>
          </cell>
          <cell r="E422">
            <v>0.80200000000000005</v>
          </cell>
          <cell r="F422">
            <v>0.81100000000000005</v>
          </cell>
          <cell r="G422">
            <v>0.83809999999999996</v>
          </cell>
          <cell r="H422">
            <v>0.82</v>
          </cell>
          <cell r="I422">
            <v>0.84</v>
          </cell>
          <cell r="J422">
            <v>0.84</v>
          </cell>
        </row>
        <row r="423">
          <cell r="A423" t="str">
            <v>Commissioned Generation (billion units)</v>
          </cell>
          <cell r="B423">
            <v>118.7</v>
          </cell>
          <cell r="C423">
            <v>130.19999999999999</v>
          </cell>
          <cell r="D423">
            <v>133.19999999999999</v>
          </cell>
          <cell r="E423">
            <v>140.9</v>
          </cell>
          <cell r="F423">
            <v>149.19999999999999</v>
          </cell>
          <cell r="G423">
            <v>159.11000000000001</v>
          </cell>
          <cell r="H423">
            <v>170.88</v>
          </cell>
          <cell r="I423">
            <v>188.67400000000001</v>
          </cell>
          <cell r="J423">
            <v>201.87620007999996</v>
          </cell>
        </row>
        <row r="424">
          <cell r="A424" t="str">
            <v>New</v>
          </cell>
          <cell r="C424">
            <v>0.25228800000000434</v>
          </cell>
          <cell r="D424">
            <v>0.43799999999999956</v>
          </cell>
          <cell r="E424">
            <v>0.87599999999999911</v>
          </cell>
          <cell r="F424">
            <v>0.43799999999999956</v>
          </cell>
          <cell r="G424">
            <v>1.7519999999999982</v>
          </cell>
          <cell r="H424">
            <v>0.32849999999999963</v>
          </cell>
          <cell r="I424">
            <v>0.63838499999999954</v>
          </cell>
          <cell r="J424">
            <v>1.4957699999999989</v>
          </cell>
        </row>
        <row r="425">
          <cell r="A425" t="str">
            <v>Existing</v>
          </cell>
          <cell r="C425">
            <v>129.95266404</v>
          </cell>
          <cell r="D425">
            <v>132.79546800000003</v>
          </cell>
          <cell r="E425">
            <v>140.05374120000002</v>
          </cell>
          <cell r="F425">
            <v>148.72977660000001</v>
          </cell>
          <cell r="G425">
            <v>157.37053985999998</v>
          </cell>
          <cell r="H425">
            <v>168.33829199999997</v>
          </cell>
          <cell r="I425">
            <v>174.28370399999997</v>
          </cell>
          <cell r="J425">
            <v>185.00857199999996</v>
          </cell>
        </row>
        <row r="426">
          <cell r="A426" t="str">
            <v>Growth in Generation</v>
          </cell>
          <cell r="C426">
            <v>9.688289806234196E-2</v>
          </cell>
          <cell r="D426">
            <v>2.3041474654377891E-2</v>
          </cell>
          <cell r="E426">
            <v>5.780780780780792E-2</v>
          </cell>
          <cell r="F426">
            <v>5.8907026259758632E-2</v>
          </cell>
          <cell r="G426">
            <v>6.6420911528150217E-2</v>
          </cell>
          <cell r="H426">
            <v>7.3973980265225281E-2</v>
          </cell>
          <cell r="I426">
            <v>0.10413155430711618</v>
          </cell>
          <cell r="J426">
            <v>6.9973605690238028E-2</v>
          </cell>
        </row>
        <row r="427">
          <cell r="A427" t="str">
            <v>Commercial Generation (billion units)</v>
          </cell>
          <cell r="F427">
            <v>148.048</v>
          </cell>
          <cell r="G427">
            <v>158.27099999999999</v>
          </cell>
          <cell r="H427">
            <v>169.78899999999999</v>
          </cell>
          <cell r="I427">
            <v>188.14</v>
          </cell>
          <cell r="J427">
            <v>207.5152000822346</v>
          </cell>
        </row>
        <row r="428">
          <cell r="A428" t="str">
            <v>Chhatisgarh - Sipat - I</v>
          </cell>
          <cell r="K428">
            <v>1320</v>
          </cell>
          <cell r="L428">
            <v>660</v>
          </cell>
        </row>
        <row r="429">
          <cell r="A429" t="str">
            <v>Sales (billion units)</v>
          </cell>
          <cell r="B429">
            <v>111</v>
          </cell>
          <cell r="C429">
            <v>121.8</v>
          </cell>
          <cell r="D429">
            <v>124.51900000000001</v>
          </cell>
          <cell r="E429">
            <v>129.28800000000001</v>
          </cell>
          <cell r="F429">
            <v>138.012</v>
          </cell>
          <cell r="G429">
            <v>147.792</v>
          </cell>
          <cell r="H429">
            <v>159.01900000000001</v>
          </cell>
          <cell r="I429">
            <v>176.53</v>
          </cell>
          <cell r="J429">
            <v>188.8824406124977</v>
          </cell>
        </row>
        <row r="430">
          <cell r="A430" t="str">
            <v>Auxillary Consumption (billion units)</v>
          </cell>
          <cell r="B430">
            <v>7.7000000000000028</v>
          </cell>
          <cell r="C430">
            <v>8.3999999999999915</v>
          </cell>
          <cell r="D430">
            <v>8.6809999999999832</v>
          </cell>
          <cell r="E430">
            <v>11.611999999999995</v>
          </cell>
          <cell r="F430">
            <v>11.187999999999988</v>
          </cell>
          <cell r="G430">
            <v>11.318000000000012</v>
          </cell>
          <cell r="H430">
            <v>11.86099999999999</v>
          </cell>
          <cell r="I430">
            <v>12.144000000000005</v>
          </cell>
          <cell r="J430">
            <v>12.993759467502256</v>
          </cell>
          <cell r="N430">
            <v>23000</v>
          </cell>
        </row>
        <row r="431">
          <cell r="A431" t="str">
            <v>Auxillary consumption (%)</v>
          </cell>
          <cell r="B431">
            <v>6.4869418702611648E-2</v>
          </cell>
          <cell r="C431">
            <v>6.4516129032258007E-2</v>
          </cell>
          <cell r="D431">
            <v>6.5172672672672557E-2</v>
          </cell>
          <cell r="E431">
            <v>8.2413058907026215E-2</v>
          </cell>
          <cell r="F431">
            <v>7.4986595174262663E-2</v>
          </cell>
          <cell r="G431">
            <v>7.113317830431784E-2</v>
          </cell>
          <cell r="H431">
            <v>6.9411282771535521E-2</v>
          </cell>
          <cell r="I431">
            <v>6.4364989346703871E-2</v>
          </cell>
          <cell r="J431">
            <v>6.4364989346703871E-2</v>
          </cell>
          <cell r="K431">
            <v>660</v>
          </cell>
          <cell r="L431">
            <v>660</v>
          </cell>
          <cell r="M431">
            <v>660</v>
          </cell>
        </row>
        <row r="432">
          <cell r="A432" t="str">
            <v>Realization per unit (Rs/ unit)</v>
          </cell>
          <cell r="B432">
            <v>1.4430866666666666</v>
          </cell>
          <cell r="C432">
            <v>1.5554173973727423</v>
          </cell>
          <cell r="D432">
            <v>1.4270673551827433</v>
          </cell>
          <cell r="E432">
            <v>1.4697342367427757</v>
          </cell>
          <cell r="F432">
            <v>1.3634901312929311</v>
          </cell>
          <cell r="G432">
            <v>1.5268079463029123</v>
          </cell>
          <cell r="H432">
            <v>1.7340946679327627</v>
          </cell>
          <cell r="I432">
            <v>1.918976944428709</v>
          </cell>
          <cell r="J432">
            <v>2.0454521804523766</v>
          </cell>
          <cell r="L432">
            <v>725</v>
          </cell>
          <cell r="M432">
            <v>575</v>
          </cell>
        </row>
        <row r="433">
          <cell r="A433" t="str">
            <v>Growth in realisations</v>
          </cell>
          <cell r="C433">
            <v>7.7840599113526698E-2</v>
          </cell>
          <cell r="D433">
            <v>-8.2518070330700466E-2</v>
          </cell>
          <cell r="E433">
            <v>2.9898295553518972E-2</v>
          </cell>
          <cell r="F433">
            <v>-7.2287970705032234E-2</v>
          </cell>
          <cell r="G433">
            <v>0.11977924244681915</v>
          </cell>
          <cell r="H433">
            <v>0.13576476473795185</v>
          </cell>
          <cell r="I433">
            <v>0.10661602270904091</v>
          </cell>
          <cell r="J433">
            <v>6.5907637082799786E-2</v>
          </cell>
          <cell r="L433">
            <v>725</v>
          </cell>
          <cell r="M433">
            <v>575</v>
          </cell>
        </row>
        <row r="434">
          <cell r="A434" t="str">
            <v>HP - Kol Dam</v>
          </cell>
          <cell r="L434">
            <v>600</v>
          </cell>
          <cell r="M434">
            <v>200</v>
          </cell>
        </row>
        <row r="435">
          <cell r="A435" t="str">
            <v>COAL</v>
          </cell>
        </row>
        <row r="436">
          <cell r="A436" t="str">
            <v>Effective Commercial Capacity (billion units)</v>
          </cell>
          <cell r="E436">
            <v>148.7448</v>
          </cell>
          <cell r="F436">
            <v>148.7448</v>
          </cell>
          <cell r="G436">
            <v>155.31479999999999</v>
          </cell>
          <cell r="H436">
            <v>165.53480000000002</v>
          </cell>
          <cell r="I436">
            <v>183.41249999999999</v>
          </cell>
          <cell r="J436">
            <v>207.13019999999997</v>
          </cell>
        </row>
        <row r="437">
          <cell r="A437" t="str">
            <v>Capacity Addition</v>
          </cell>
          <cell r="F437">
            <v>0</v>
          </cell>
          <cell r="G437">
            <v>6.5699999999999932</v>
          </cell>
          <cell r="H437">
            <v>10.220000000000027</v>
          </cell>
          <cell r="I437">
            <v>17.877699999999976</v>
          </cell>
          <cell r="J437">
            <v>23.717699999999979</v>
          </cell>
        </row>
        <row r="438">
          <cell r="A438" t="str">
            <v>Effective Generation Capacity (billion units)</v>
          </cell>
          <cell r="E438">
            <v>148.7448</v>
          </cell>
          <cell r="F438">
            <v>153.12479999999999</v>
          </cell>
          <cell r="G438">
            <v>170.64479999999998</v>
          </cell>
          <cell r="H438">
            <v>172.8348</v>
          </cell>
          <cell r="I438">
            <v>185.60249999999999</v>
          </cell>
          <cell r="J438">
            <v>200.56019999999998</v>
          </cell>
        </row>
        <row r="439">
          <cell r="A439" t="str">
            <v>Capacity Addition</v>
          </cell>
          <cell r="F439">
            <v>4.3799999999999955</v>
          </cell>
          <cell r="G439">
            <v>17.519999999999982</v>
          </cell>
          <cell r="H439">
            <v>2.1900000000000261</v>
          </cell>
          <cell r="I439">
            <v>12.767699999999991</v>
          </cell>
          <cell r="J439">
            <v>14.957699999999988</v>
          </cell>
          <cell r="K439">
            <v>1980</v>
          </cell>
          <cell r="L439">
            <v>3370</v>
          </cell>
          <cell r="M439">
            <v>2010</v>
          </cell>
        </row>
        <row r="440">
          <cell r="A440" t="str">
            <v>PLF</v>
          </cell>
          <cell r="F440">
            <v>0.81698065891351368</v>
          </cell>
          <cell r="G440">
            <v>0.79763344678536952</v>
          </cell>
          <cell r="H440">
            <v>0.85470634386130573</v>
          </cell>
          <cell r="I440">
            <v>0.8802198246252072</v>
          </cell>
          <cell r="J440">
            <v>0.88039999999999985</v>
          </cell>
        </row>
        <row r="441">
          <cell r="A441" t="str">
            <v>Generation (billion units)</v>
          </cell>
          <cell r="F441">
            <v>125.1</v>
          </cell>
          <cell r="G441">
            <v>136.11199999999999</v>
          </cell>
          <cell r="H441">
            <v>147.72300000000001</v>
          </cell>
          <cell r="I441">
            <v>163.37100000000001</v>
          </cell>
          <cell r="J441">
            <v>176.57320007999996</v>
          </cell>
        </row>
        <row r="442">
          <cell r="A442" t="str">
            <v>Existing</v>
          </cell>
          <cell r="F442">
            <v>124.66199999999999</v>
          </cell>
          <cell r="G442">
            <v>134.35999999999999</v>
          </cell>
          <cell r="H442">
            <v>147.50400000000002</v>
          </cell>
          <cell r="I442">
            <v>162.09423000000001</v>
          </cell>
          <cell r="J442">
            <v>175.07743007999997</v>
          </cell>
        </row>
        <row r="443">
          <cell r="A443" t="str">
            <v>New</v>
          </cell>
          <cell r="F443">
            <v>0.43799999999999956</v>
          </cell>
          <cell r="G443">
            <v>1.7519999999999982</v>
          </cell>
          <cell r="H443">
            <v>0.21900000000000264</v>
          </cell>
          <cell r="I443">
            <v>1.2767699999999991</v>
          </cell>
          <cell r="J443">
            <v>1.4957699999999989</v>
          </cell>
        </row>
        <row r="444">
          <cell r="A444" t="str">
            <v>New (% of total generation)</v>
          </cell>
          <cell r="F444">
            <v>0.1</v>
          </cell>
          <cell r="G444">
            <v>0.1</v>
          </cell>
          <cell r="H444">
            <v>0.1</v>
          </cell>
          <cell r="I444">
            <v>0.1</v>
          </cell>
          <cell r="J444">
            <v>0.1</v>
          </cell>
        </row>
        <row r="445">
          <cell r="A445" t="str">
            <v>Sales (billion units)</v>
          </cell>
          <cell r="F445">
            <v>116.21790000000001</v>
          </cell>
          <cell r="G445">
            <v>126.42992083464269</v>
          </cell>
          <cell r="H445">
            <v>137.46935707514046</v>
          </cell>
          <cell r="I445">
            <v>152.85562732543966</v>
          </cell>
          <cell r="J445">
            <v>165.20806793793736</v>
          </cell>
        </row>
        <row r="446">
          <cell r="A446" t="str">
            <v>Auxillary Consumption</v>
          </cell>
          <cell r="E446">
            <v>7.0999999999999994E-2</v>
          </cell>
          <cell r="F446">
            <v>7.0999999999999994E-2</v>
          </cell>
          <cell r="G446">
            <v>7.113317830431784E-2</v>
          </cell>
          <cell r="H446">
            <v>6.9411282771535521E-2</v>
          </cell>
          <cell r="I446">
            <v>6.4364989346703871E-2</v>
          </cell>
          <cell r="J446">
            <v>6.4364989346703871E-2</v>
          </cell>
        </row>
        <row r="447">
          <cell r="A447" t="str">
            <v>Total - Commissioned</v>
          </cell>
          <cell r="G447">
            <v>2000</v>
          </cell>
        </row>
        <row r="448">
          <cell r="A448" t="str">
            <v>GAS / LIQUID FUEL</v>
          </cell>
          <cell r="I448" t="str">
            <v>Comm</v>
          </cell>
          <cell r="J448" t="str">
            <v>COD</v>
          </cell>
        </row>
        <row r="449">
          <cell r="A449" t="str">
            <v>Effective Commercial Capacity (billion units)</v>
          </cell>
          <cell r="E449">
            <v>31.579799999999999</v>
          </cell>
          <cell r="F449">
            <v>34.645799999999994</v>
          </cell>
          <cell r="G449">
            <v>34.645799999999994</v>
          </cell>
          <cell r="H449">
            <v>34.645799999999994</v>
          </cell>
          <cell r="I449">
            <v>34.645799999999994</v>
          </cell>
          <cell r="J449">
            <v>34.645799999999994</v>
          </cell>
        </row>
        <row r="450">
          <cell r="A450" t="str">
            <v>Capacity Addition</v>
          </cell>
          <cell r="F450">
            <v>3.0659999999999954</v>
          </cell>
          <cell r="G450">
            <v>0</v>
          </cell>
          <cell r="H450">
            <v>0</v>
          </cell>
          <cell r="I450">
            <v>0</v>
          </cell>
          <cell r="J450">
            <v>0</v>
          </cell>
        </row>
        <row r="451">
          <cell r="A451" t="str">
            <v>Effective Generation Capacity (billion units)</v>
          </cell>
          <cell r="E451">
            <v>31.579799999999999</v>
          </cell>
          <cell r="F451">
            <v>34.645799999999994</v>
          </cell>
          <cell r="G451">
            <v>34.645799999999994</v>
          </cell>
          <cell r="H451">
            <v>34.645799999999994</v>
          </cell>
          <cell r="I451">
            <v>34.645799999999994</v>
          </cell>
          <cell r="J451">
            <v>34.645799999999994</v>
          </cell>
        </row>
        <row r="452">
          <cell r="A452" t="str">
            <v>Capacity Addition</v>
          </cell>
          <cell r="F452">
            <v>3.0659999999999954</v>
          </cell>
          <cell r="G452">
            <v>0</v>
          </cell>
          <cell r="H452">
            <v>0</v>
          </cell>
          <cell r="I452">
            <v>0</v>
          </cell>
          <cell r="J452">
            <v>0</v>
          </cell>
        </row>
        <row r="453">
          <cell r="A453" t="str">
            <v>PLF</v>
          </cell>
          <cell r="F453">
            <v>0.69561101201300024</v>
          </cell>
          <cell r="G453">
            <v>0.66380340474170041</v>
          </cell>
          <cell r="H453">
            <v>0.66842156913680739</v>
          </cell>
          <cell r="I453">
            <v>0.73033383555871145</v>
          </cell>
          <cell r="J453">
            <v>0.73033383555871145</v>
          </cell>
        </row>
        <row r="454">
          <cell r="A454" t="str">
            <v>Generation (billion units)</v>
          </cell>
          <cell r="F454">
            <v>24.1</v>
          </cell>
          <cell r="G454">
            <v>22.998000000000001</v>
          </cell>
          <cell r="H454">
            <v>23.157999999999998</v>
          </cell>
          <cell r="I454">
            <v>25.303000000000001</v>
          </cell>
          <cell r="J454">
            <v>25.303000000000001</v>
          </cell>
          <cell r="K454" t="str">
            <v>COD</v>
          </cell>
        </row>
        <row r="455">
          <cell r="A455" t="str">
            <v>Sales (billion units)</v>
          </cell>
          <cell r="F455">
            <v>21.794099999999986</v>
          </cell>
          <cell r="G455">
            <v>21.362079165357315</v>
          </cell>
          <cell r="H455">
            <v>21.54964292485954</v>
          </cell>
          <cell r="I455">
            <v>23.674372674560345</v>
          </cell>
          <cell r="J455">
            <v>23.674372674560352</v>
          </cell>
        </row>
        <row r="456">
          <cell r="A456" t="str">
            <v>Auxillary Consumption</v>
          </cell>
          <cell r="F456">
            <v>9.5680497925311858E-2</v>
          </cell>
          <cell r="G456">
            <v>7.1133178304317202E-2</v>
          </cell>
          <cell r="H456">
            <v>6.9451467101669273E-2</v>
          </cell>
          <cell r="I456">
            <v>6.4364989346704204E-2</v>
          </cell>
          <cell r="J456">
            <v>6.4364989346703871E-2</v>
          </cell>
          <cell r="K456">
            <v>38808</v>
          </cell>
        </row>
        <row r="457">
          <cell r="A457" t="str">
            <v>Auxillary Consumption (billion units)</v>
          </cell>
          <cell r="F457">
            <v>2.3059000000000154</v>
          </cell>
          <cell r="G457">
            <v>1.6359208346426861</v>
          </cell>
          <cell r="H457">
            <v>1.6083570751404572</v>
          </cell>
          <cell r="I457">
            <v>1.6286273254396555</v>
          </cell>
          <cell r="J457">
            <v>1.6286273254396484</v>
          </cell>
          <cell r="K457">
            <v>39081</v>
          </cell>
        </row>
        <row r="458">
          <cell r="A458" t="str">
            <v>Vindhyachal - III (U6)</v>
          </cell>
          <cell r="I458">
            <v>500</v>
          </cell>
          <cell r="J458">
            <v>38991</v>
          </cell>
          <cell r="K458">
            <v>39111</v>
          </cell>
        </row>
        <row r="459">
          <cell r="A459" t="str">
            <v>Average availability (%)</v>
          </cell>
          <cell r="I459">
            <v>500</v>
          </cell>
          <cell r="J459">
            <v>38930</v>
          </cell>
          <cell r="K459">
            <v>39080</v>
          </cell>
        </row>
        <row r="460">
          <cell r="A460" t="str">
            <v>Coal-fired:</v>
          </cell>
          <cell r="B460">
            <v>90.1</v>
          </cell>
          <cell r="C460">
            <v>88.5</v>
          </cell>
          <cell r="D460">
            <v>89.1</v>
          </cell>
          <cell r="E460">
            <v>88.7</v>
          </cell>
          <cell r="F460">
            <v>88.8</v>
          </cell>
          <cell r="G460">
            <v>89</v>
          </cell>
          <cell r="H460">
            <v>89</v>
          </cell>
          <cell r="I460">
            <v>89</v>
          </cell>
          <cell r="J460">
            <v>89</v>
          </cell>
        </row>
        <row r="461">
          <cell r="A461" t="str">
            <v>Gas-fired:</v>
          </cell>
          <cell r="B461">
            <v>87.7</v>
          </cell>
          <cell r="C461">
            <v>88.1</v>
          </cell>
          <cell r="D461">
            <v>87.7</v>
          </cell>
          <cell r="E461">
            <v>87.7</v>
          </cell>
          <cell r="F461">
            <v>89</v>
          </cell>
          <cell r="G461">
            <v>89</v>
          </cell>
          <cell r="H461">
            <v>89</v>
          </cell>
          <cell r="I461">
            <v>89</v>
          </cell>
          <cell r="J461">
            <v>89</v>
          </cell>
        </row>
        <row r="462">
          <cell r="A462" t="str">
            <v>Average PLF (%)</v>
          </cell>
          <cell r="K462" t="str">
            <v>Comm</v>
          </cell>
          <cell r="L462" t="str">
            <v>COD</v>
          </cell>
        </row>
        <row r="463">
          <cell r="A463" t="str">
            <v>Coal-fired:</v>
          </cell>
          <cell r="B463">
            <v>80.400000000000006</v>
          </cell>
          <cell r="C463">
            <v>81.8</v>
          </cell>
          <cell r="D463">
            <v>81.099999999999994</v>
          </cell>
          <cell r="E463">
            <v>83.6</v>
          </cell>
          <cell r="F463">
            <v>84.4</v>
          </cell>
          <cell r="G463">
            <v>0.79763344678536952</v>
          </cell>
          <cell r="H463">
            <v>0.85470634386130573</v>
          </cell>
          <cell r="I463">
            <v>0.8802198246252072</v>
          </cell>
          <cell r="J463">
            <v>0.88039999999999985</v>
          </cell>
          <cell r="K463">
            <v>39142</v>
          </cell>
          <cell r="L463">
            <v>39262</v>
          </cell>
        </row>
        <row r="464">
          <cell r="A464" t="str">
            <v>Gas-fired:</v>
          </cell>
          <cell r="B464">
            <v>71.3</v>
          </cell>
          <cell r="C464">
            <v>72.2</v>
          </cell>
          <cell r="D464">
            <v>71.099999999999994</v>
          </cell>
          <cell r="E464">
            <v>70</v>
          </cell>
          <cell r="F464">
            <v>68.3</v>
          </cell>
          <cell r="G464">
            <v>0.66380340474170041</v>
          </cell>
          <cell r="H464">
            <v>0.66842156913680739</v>
          </cell>
          <cell r="I464">
            <v>0.73033383555871145</v>
          </cell>
          <cell r="J464">
            <v>0.73033383555871145</v>
          </cell>
          <cell r="K464">
            <v>39234</v>
          </cell>
          <cell r="L464">
            <v>39354</v>
          </cell>
        </row>
        <row r="465">
          <cell r="A465" t="str">
            <v>Kahalgaon - II (U1)</v>
          </cell>
          <cell r="D465">
            <v>113.52767279999998</v>
          </cell>
          <cell r="E465">
            <v>124.35065279999998</v>
          </cell>
          <cell r="F465">
            <v>125.5406112</v>
          </cell>
          <cell r="J465">
            <v>500</v>
          </cell>
          <cell r="K465">
            <v>39119</v>
          </cell>
          <cell r="L465">
            <v>39239</v>
          </cell>
        </row>
        <row r="466">
          <cell r="A466" t="str">
            <v>Generation - Coal</v>
          </cell>
          <cell r="D466">
            <v>120.92657465868466</v>
          </cell>
          <cell r="E466">
            <v>134.59877047433355</v>
          </cell>
          <cell r="F466">
            <v>134.9544741899839</v>
          </cell>
          <cell r="G466">
            <v>136.11200000000002</v>
          </cell>
          <cell r="H466">
            <v>149.59480689305627</v>
          </cell>
          <cell r="I466">
            <v>172.68170123893805</v>
          </cell>
          <cell r="J466">
            <v>180.42935207999994</v>
          </cell>
          <cell r="K466">
            <v>39142</v>
          </cell>
          <cell r="L466">
            <v>39262</v>
          </cell>
        </row>
        <row r="467">
          <cell r="A467" t="str">
            <v>Generation - Gas</v>
          </cell>
          <cell r="D467">
            <v>26.238572921229721</v>
          </cell>
          <cell r="E467">
            <v>26.250746449396733</v>
          </cell>
          <cell r="F467">
            <v>25.43749530551743</v>
          </cell>
          <cell r="G467">
            <v>22.998000000000005</v>
          </cell>
          <cell r="H467">
            <v>23.158000000000001</v>
          </cell>
          <cell r="I467">
            <v>25.303000000000004</v>
          </cell>
          <cell r="J467">
            <v>25.303000000000004</v>
          </cell>
          <cell r="K467">
            <v>39234</v>
          </cell>
          <cell r="L467">
            <v>39354</v>
          </cell>
        </row>
        <row r="468">
          <cell r="A468" t="str">
            <v>Total</v>
          </cell>
          <cell r="D468">
            <v>147.16514757991439</v>
          </cell>
          <cell r="E468">
            <v>160.84951692373028</v>
          </cell>
          <cell r="F468">
            <v>160.39196949550131</v>
          </cell>
          <cell r="G468">
            <v>159.11000000000001</v>
          </cell>
          <cell r="H468">
            <v>172.75280689305629</v>
          </cell>
          <cell r="I468">
            <v>197.98470123893804</v>
          </cell>
          <cell r="J468">
            <v>205.73235207999994</v>
          </cell>
        </row>
        <row r="469">
          <cell r="A469" t="str">
            <v>Total - Commissioned</v>
          </cell>
          <cell r="J469">
            <v>1000</v>
          </cell>
        </row>
        <row r="470">
          <cell r="A470" t="str">
            <v>F2009</v>
          </cell>
          <cell r="L470" t="str">
            <v>Comm</v>
          </cell>
          <cell r="M470" t="str">
            <v>COD</v>
          </cell>
        </row>
        <row r="471">
          <cell r="A471" t="str">
            <v>Barh (U1)</v>
          </cell>
          <cell r="K471">
            <v>660</v>
          </cell>
          <cell r="L471">
            <v>39692</v>
          </cell>
          <cell r="M471">
            <v>39873</v>
          </cell>
        </row>
        <row r="472">
          <cell r="A472" t="str">
            <v>Sipat - I (U1)</v>
          </cell>
          <cell r="K472">
            <v>660</v>
          </cell>
          <cell r="L472">
            <v>39539</v>
          </cell>
          <cell r="M472">
            <v>39689</v>
          </cell>
        </row>
        <row r="473">
          <cell r="A473" t="str">
            <v>Sipat - I (U2)</v>
          </cell>
          <cell r="K473">
            <v>660</v>
          </cell>
          <cell r="L473">
            <v>39722</v>
          </cell>
          <cell r="M473">
            <v>39842</v>
          </cell>
        </row>
        <row r="474">
          <cell r="A474" t="str">
            <v>Total - Commercial</v>
          </cell>
          <cell r="K474">
            <v>1980</v>
          </cell>
        </row>
        <row r="475">
          <cell r="A475" t="str">
            <v>Total - Commissioned</v>
          </cell>
          <cell r="K475">
            <v>3140</v>
          </cell>
        </row>
        <row r="476">
          <cell r="A476" t="str">
            <v>F2010</v>
          </cell>
          <cell r="M476" t="str">
            <v>Comm</v>
          </cell>
          <cell r="N476" t="str">
            <v>COD</v>
          </cell>
        </row>
        <row r="477">
          <cell r="A477" t="str">
            <v>Sipat - I (U3)</v>
          </cell>
          <cell r="L477">
            <v>660</v>
          </cell>
          <cell r="M477">
            <v>39814</v>
          </cell>
          <cell r="N477">
            <v>39934</v>
          </cell>
        </row>
        <row r="478">
          <cell r="A478" t="str">
            <v>Kol Dam - (U1)</v>
          </cell>
          <cell r="L478">
            <v>600</v>
          </cell>
        </row>
        <row r="479">
          <cell r="A479" t="str">
            <v>Kawas - II (U1)</v>
          </cell>
          <cell r="L479">
            <v>725</v>
          </cell>
          <cell r="M479">
            <v>40087</v>
          </cell>
          <cell r="N479">
            <v>40177</v>
          </cell>
        </row>
        <row r="480">
          <cell r="A480" t="str">
            <v>Gandhar - II (U1)</v>
          </cell>
          <cell r="L480">
            <v>725</v>
          </cell>
          <cell r="M480">
            <v>40087</v>
          </cell>
          <cell r="N480">
            <v>40177</v>
          </cell>
        </row>
        <row r="481">
          <cell r="A481" t="str">
            <v>Korba - III</v>
          </cell>
          <cell r="L481">
            <v>500</v>
          </cell>
          <cell r="M481">
            <v>39873</v>
          </cell>
          <cell r="N481">
            <v>39993</v>
          </cell>
        </row>
        <row r="482">
          <cell r="A482" t="str">
            <v>Barh (U2)</v>
          </cell>
          <cell r="L482">
            <v>660</v>
          </cell>
          <cell r="M482">
            <v>39904</v>
          </cell>
          <cell r="N482">
            <v>40084</v>
          </cell>
        </row>
        <row r="483">
          <cell r="A483" t="str">
            <v>Dadri - II</v>
          </cell>
          <cell r="L483">
            <v>500</v>
          </cell>
          <cell r="M483">
            <v>40087</v>
          </cell>
          <cell r="N483">
            <v>40207</v>
          </cell>
        </row>
        <row r="484">
          <cell r="A484" t="str">
            <v>Total - Commercial</v>
          </cell>
          <cell r="L484">
            <v>4370</v>
          </cell>
        </row>
        <row r="485">
          <cell r="A485" t="str">
            <v>Total - Commissioned</v>
          </cell>
          <cell r="L485">
            <v>3210</v>
          </cell>
        </row>
        <row r="487">
          <cell r="A487" t="str">
            <v>CAPEX per MW (Rs Million)</v>
          </cell>
        </row>
        <row r="488">
          <cell r="A488" t="str">
            <v>Project Cost</v>
          </cell>
          <cell r="G488" t="str">
            <v>Capacity (MW)</v>
          </cell>
          <cell r="H488" t="str">
            <v>Cost (Rs Mio)</v>
          </cell>
          <cell r="I488" t="str">
            <v>Unit Cost</v>
          </cell>
        </row>
        <row r="489">
          <cell r="A489" t="str">
            <v>UP - Rihand - II</v>
          </cell>
          <cell r="G489">
            <v>1000</v>
          </cell>
          <cell r="H489">
            <v>34520</v>
          </cell>
          <cell r="I489">
            <v>34.520000000000003</v>
          </cell>
        </row>
        <row r="490">
          <cell r="A490" t="str">
            <v>MP - Vindhyachal - III</v>
          </cell>
          <cell r="G490">
            <v>1000</v>
          </cell>
          <cell r="H490">
            <v>42015</v>
          </cell>
          <cell r="I490">
            <v>42.015000000000001</v>
          </cell>
        </row>
        <row r="491">
          <cell r="A491" t="str">
            <v>Bihar - Kahalgaon - II (Phase I, II)</v>
          </cell>
          <cell r="G491">
            <v>1500</v>
          </cell>
          <cell r="H491">
            <v>58684</v>
          </cell>
          <cell r="I491">
            <v>39.122666666666667</v>
          </cell>
          <cell r="L491">
            <v>20308.400000000001</v>
          </cell>
          <cell r="M491" t="str">
            <v>Capital cost for 840 MW stage I</v>
          </cell>
        </row>
        <row r="492">
          <cell r="A492" t="str">
            <v>Chhatisgarh - Sipat - I</v>
          </cell>
          <cell r="G492">
            <v>1980</v>
          </cell>
          <cell r="H492">
            <v>83234</v>
          </cell>
          <cell r="I492">
            <v>42.037373737373734</v>
          </cell>
        </row>
        <row r="493">
          <cell r="A493" t="str">
            <v>Chhatisgarh - Sipat - II</v>
          </cell>
          <cell r="G493">
            <v>1000</v>
          </cell>
          <cell r="H493">
            <v>40397</v>
          </cell>
          <cell r="I493">
            <v>40.396999999999998</v>
          </cell>
        </row>
        <row r="494">
          <cell r="A494" t="str">
            <v>UP - Unchahar - III</v>
          </cell>
          <cell r="G494">
            <v>210</v>
          </cell>
          <cell r="H494">
            <v>9393</v>
          </cell>
          <cell r="I494">
            <v>44.728571428571428</v>
          </cell>
        </row>
        <row r="495">
          <cell r="A495" t="str">
            <v>Bihar - Barh</v>
          </cell>
          <cell r="G495">
            <v>1980</v>
          </cell>
          <cell r="H495">
            <v>86390</v>
          </cell>
          <cell r="I495">
            <v>43.631313131313128</v>
          </cell>
        </row>
        <row r="496">
          <cell r="A496" t="str">
            <v>Gujarat - Kawas - II</v>
          </cell>
          <cell r="G496">
            <v>1300</v>
          </cell>
          <cell r="H496">
            <v>46359</v>
          </cell>
          <cell r="I496">
            <v>35.660769230769233</v>
          </cell>
        </row>
        <row r="497">
          <cell r="A497" t="str">
            <v>Gujarat - Gandhar - II</v>
          </cell>
          <cell r="G497">
            <v>1300</v>
          </cell>
          <cell r="H497">
            <v>43714</v>
          </cell>
          <cell r="I497">
            <v>33.626153846153848</v>
          </cell>
        </row>
        <row r="498">
          <cell r="A498" t="str">
            <v>HP - Kol Dam</v>
          </cell>
          <cell r="G498">
            <v>800</v>
          </cell>
          <cell r="H498">
            <v>45272</v>
          </cell>
          <cell r="I498">
            <v>56.59</v>
          </cell>
        </row>
        <row r="499">
          <cell r="A499" t="str">
            <v xml:space="preserve">Korba - III </v>
          </cell>
          <cell r="G499">
            <v>500</v>
          </cell>
          <cell r="H499">
            <v>24484.91</v>
          </cell>
          <cell r="I499">
            <v>48.969819999999999</v>
          </cell>
        </row>
        <row r="500">
          <cell r="A500" t="str">
            <v>Dadri - II</v>
          </cell>
          <cell r="G500">
            <v>500</v>
          </cell>
          <cell r="H500">
            <v>24484.91</v>
          </cell>
          <cell r="I500">
            <v>48.969819999999999</v>
          </cell>
        </row>
        <row r="502">
          <cell r="A502" t="str">
            <v>Source: NTPC Prospectus Pg23-25, NTPC Profile</v>
          </cell>
        </row>
        <row r="504">
          <cell r="A504" t="str">
            <v>F2005</v>
          </cell>
        </row>
        <row r="505">
          <cell r="A505" t="str">
            <v>Ramagundam</v>
          </cell>
          <cell r="G505">
            <v>40</v>
          </cell>
        </row>
        <row r="506">
          <cell r="A506" t="str">
            <v>Average</v>
          </cell>
          <cell r="G506">
            <v>40</v>
          </cell>
        </row>
        <row r="507">
          <cell r="A507" t="str">
            <v>F2006</v>
          </cell>
        </row>
        <row r="508">
          <cell r="A508" t="str">
            <v>Talcher - (U6)</v>
          </cell>
          <cell r="H508">
            <v>40</v>
          </cell>
        </row>
        <row r="509">
          <cell r="A509" t="str">
            <v>Rihand - II (U1)</v>
          </cell>
          <cell r="H509">
            <v>34.520000000000003</v>
          </cell>
        </row>
        <row r="510">
          <cell r="A510" t="str">
            <v>Average</v>
          </cell>
          <cell r="H510">
            <v>37.26</v>
          </cell>
        </row>
        <row r="511">
          <cell r="A511" t="str">
            <v>F2007</v>
          </cell>
        </row>
        <row r="512">
          <cell r="A512" t="str">
            <v>Badarpur</v>
          </cell>
        </row>
        <row r="513">
          <cell r="A513" t="str">
            <v>Rihand - II (U2)</v>
          </cell>
          <cell r="I513">
            <v>34.520000000000003</v>
          </cell>
        </row>
        <row r="514">
          <cell r="A514" t="str">
            <v>Unchahar - III</v>
          </cell>
          <cell r="I514">
            <v>44.728571428571428</v>
          </cell>
        </row>
        <row r="515">
          <cell r="A515" t="str">
            <v>Vindhyachal - III (U6)</v>
          </cell>
          <cell r="I515">
            <v>42.015000000000001</v>
          </cell>
        </row>
        <row r="516">
          <cell r="A516" t="str">
            <v>Vindhyachal - III (U5)</v>
          </cell>
          <cell r="I516">
            <v>42.015000000000001</v>
          </cell>
        </row>
        <row r="517">
          <cell r="A517" t="str">
            <v>Average</v>
          </cell>
          <cell r="I517">
            <v>40.156725146198831</v>
          </cell>
        </row>
        <row r="518">
          <cell r="A518" t="str">
            <v>F2008</v>
          </cell>
        </row>
        <row r="519">
          <cell r="A519" t="str">
            <v>Sipat - II (U1)</v>
          </cell>
          <cell r="J519">
            <v>40.396999999999998</v>
          </cell>
        </row>
        <row r="520">
          <cell r="A520" t="str">
            <v>Sipat - II (U2)</v>
          </cell>
          <cell r="J520">
            <v>40.396999999999998</v>
          </cell>
        </row>
        <row r="521">
          <cell r="A521" t="str">
            <v>Kahalgaon - II (U1)</v>
          </cell>
          <cell r="J521">
            <v>39.122666666666667</v>
          </cell>
        </row>
        <row r="522">
          <cell r="A522" t="str">
            <v>Kahalgaon - II (Phase 2)</v>
          </cell>
          <cell r="J522">
            <v>39.122666666666667</v>
          </cell>
        </row>
        <row r="523">
          <cell r="A523" t="str">
            <v>Kahalgaon - II (U2)</v>
          </cell>
          <cell r="J523">
            <v>39.122666666666667</v>
          </cell>
        </row>
        <row r="524">
          <cell r="A524" t="str">
            <v>Average</v>
          </cell>
          <cell r="J524">
            <v>39.632399999999997</v>
          </cell>
        </row>
        <row r="525">
          <cell r="A525" t="str">
            <v>F2009</v>
          </cell>
        </row>
        <row r="526">
          <cell r="A526" t="str">
            <v>Barh (U1)</v>
          </cell>
          <cell r="K526">
            <v>43.631313131313128</v>
          </cell>
        </row>
        <row r="527">
          <cell r="A527" t="str">
            <v>Sipat - I (U1)</v>
          </cell>
          <cell r="K527">
            <v>42.037373737373734</v>
          </cell>
        </row>
        <row r="528">
          <cell r="A528" t="str">
            <v>Price</v>
          </cell>
          <cell r="B528">
            <v>102.3</v>
          </cell>
          <cell r="K528">
            <v>42.037373737373734</v>
          </cell>
        </row>
        <row r="529">
          <cell r="A529" t="str">
            <v>Mkt cap (Rs mn)</v>
          </cell>
          <cell r="B529">
            <v>843511.00812000001</v>
          </cell>
          <cell r="K529">
            <v>42.568686868686868</v>
          </cell>
        </row>
        <row r="530">
          <cell r="A530" t="str">
            <v>Rs/$</v>
          </cell>
          <cell r="B530">
            <v>45.22</v>
          </cell>
        </row>
        <row r="531">
          <cell r="A531" t="str">
            <v>Mkt cap (USD mn)</v>
          </cell>
          <cell r="B531">
            <v>18653.494208757187</v>
          </cell>
          <cell r="L531">
            <v>42.037373737373734</v>
          </cell>
        </row>
        <row r="532">
          <cell r="A532" t="str">
            <v>Kol Dam - (U1)</v>
          </cell>
          <cell r="L532">
            <v>56.59</v>
          </cell>
        </row>
        <row r="533">
          <cell r="A533" t="str">
            <v>Key Ratios</v>
          </cell>
          <cell r="L533">
            <v>35.660769230769233</v>
          </cell>
        </row>
        <row r="534">
          <cell r="A534" t="str">
            <v>EPS (Rs)</v>
          </cell>
          <cell r="B534">
            <v>4.0017811833102561</v>
          </cell>
          <cell r="C534">
            <v>4.4166422934510878</v>
          </cell>
          <cell r="D534">
            <v>4.4529962884686425</v>
          </cell>
          <cell r="E534">
            <v>4.2098909873493531</v>
          </cell>
          <cell r="F534">
            <v>5.4931563842704234</v>
          </cell>
          <cell r="G534">
            <v>5.8743948833736273</v>
          </cell>
          <cell r="H534">
            <v>7.1970476277843121</v>
          </cell>
          <cell r="I534">
            <v>8.3479834077022996</v>
          </cell>
          <cell r="J534">
            <v>9.0594048286716262</v>
          </cell>
          <cell r="L534">
            <v>33.626153846153848</v>
          </cell>
        </row>
        <row r="535">
          <cell r="A535" t="str">
            <v>P/E (x)</v>
          </cell>
          <cell r="B535">
            <v>25.563616628178025</v>
          </cell>
          <cell r="C535">
            <v>23.162391971767438</v>
          </cell>
          <cell r="D535">
            <v>22.97329559086166</v>
          </cell>
          <cell r="E535">
            <v>24.299916626679803</v>
          </cell>
          <cell r="F535">
            <v>18.623172697747076</v>
          </cell>
          <cell r="G535">
            <v>17.414559632267991</v>
          </cell>
          <cell r="H535">
            <v>14.214161874526061</v>
          </cell>
          <cell r="I535">
            <v>12.254456556012379</v>
          </cell>
          <cell r="J535">
            <v>11.292132533501119</v>
          </cell>
          <cell r="L535">
            <v>48.969819999999999</v>
          </cell>
        </row>
        <row r="536">
          <cell r="A536" t="str">
            <v>BVPS (Rs)</v>
          </cell>
          <cell r="B536">
            <v>0</v>
          </cell>
          <cell r="C536">
            <v>0</v>
          </cell>
          <cell r="D536">
            <v>38.737163057170555</v>
          </cell>
          <cell r="E536">
            <v>41.956854698416372</v>
          </cell>
          <cell r="F536">
            <v>45.503840270117202</v>
          </cell>
          <cell r="G536">
            <v>50.66579391210518</v>
          </cell>
          <cell r="H536">
            <v>54.576186151504089</v>
          </cell>
          <cell r="I536">
            <v>59.077933803219132</v>
          </cell>
          <cell r="J536">
            <v>0</v>
          </cell>
          <cell r="L536">
            <v>43.631313131313128</v>
          </cell>
        </row>
        <row r="537">
          <cell r="A537" t="str">
            <v>P/BV (x)</v>
          </cell>
          <cell r="B537" t="e">
            <v>#DIV/0!</v>
          </cell>
          <cell r="C537" t="e">
            <v>#DIV/0!</v>
          </cell>
          <cell r="D537">
            <v>2.6408748583116353</v>
          </cell>
          <cell r="E537">
            <v>2.4382189927087463</v>
          </cell>
          <cell r="F537">
            <v>2.2481619000227848</v>
          </cell>
          <cell r="G537">
            <v>2.0191137274483379</v>
          </cell>
          <cell r="H537">
            <v>1.8744439143478087</v>
          </cell>
          <cell r="I537">
            <v>1.7316109994765205</v>
          </cell>
          <cell r="J537" t="e">
            <v>#DIV/0!</v>
          </cell>
          <cell r="L537">
            <v>48.969819999999999</v>
          </cell>
        </row>
        <row r="538">
          <cell r="A538" t="str">
            <v>ROE - Beg period (%)</v>
          </cell>
          <cell r="C538" t="e">
            <v>#DIV/0!</v>
          </cell>
          <cell r="D538" t="e">
            <v>#DIV/0!</v>
          </cell>
          <cell r="E538">
            <v>0.10867835058380892</v>
          </cell>
          <cell r="F538">
            <v>0.13092393182842083</v>
          </cell>
          <cell r="G538">
            <v>0.13625028869792039</v>
          </cell>
          <cell r="H538">
            <v>0.1420494395147488</v>
          </cell>
          <cell r="I538">
            <v>0.15296018275311885</v>
          </cell>
          <cell r="J538">
            <v>0.15334667693097254</v>
          </cell>
          <cell r="L538">
            <v>43.409192806430795</v>
          </cell>
        </row>
        <row r="539">
          <cell r="A539" t="str">
            <v>Avg ROE (%)</v>
          </cell>
          <cell r="C539" t="e">
            <v>#DIV/0!</v>
          </cell>
          <cell r="D539">
            <v>0.11495411478369369</v>
          </cell>
          <cell r="E539">
            <v>0.1043420839473042</v>
          </cell>
          <cell r="F539">
            <v>0.12561428619442688</v>
          </cell>
          <cell r="G539">
            <v>0.12527962993854466</v>
          </cell>
          <cell r="H539">
            <v>0.13677142188762217</v>
          </cell>
          <cell r="I539">
            <v>0.14690155378490308</v>
          </cell>
          <cell r="J539">
            <v>0.15334667693097254</v>
          </cell>
        </row>
        <row r="540">
          <cell r="A540" t="str">
            <v>ROA (%)</v>
          </cell>
        </row>
        <row r="541">
          <cell r="A541" t="str">
            <v>Net debt</v>
          </cell>
          <cell r="B541">
            <v>0</v>
          </cell>
          <cell r="C541">
            <v>0</v>
          </cell>
          <cell r="D541">
            <v>115812</v>
          </cell>
          <cell r="E541">
            <v>132157</v>
          </cell>
          <cell r="F541">
            <v>-91916</v>
          </cell>
          <cell r="G541">
            <v>-105885</v>
          </cell>
          <cell r="H541">
            <v>-56773</v>
          </cell>
          <cell r="I541">
            <v>-27308</v>
          </cell>
          <cell r="J541">
            <v>0</v>
          </cell>
          <cell r="K541">
            <v>261.39839999999998</v>
          </cell>
          <cell r="L541">
            <v>270.07080000000002</v>
          </cell>
          <cell r="M541">
            <v>270.07080000000002</v>
          </cell>
          <cell r="N541">
            <v>270.07080000000002</v>
          </cell>
          <cell r="O541">
            <v>270.07080000000002</v>
          </cell>
          <cell r="P541">
            <v>270.07080000000002</v>
          </cell>
          <cell r="Q541">
            <v>270.07080000000002</v>
          </cell>
          <cell r="R541">
            <v>270.07080000000002</v>
          </cell>
          <cell r="S541">
            <v>270.07080000000002</v>
          </cell>
          <cell r="T541">
            <v>270.07080000000002</v>
          </cell>
          <cell r="U541">
            <v>270.07080000000002</v>
          </cell>
          <cell r="V541">
            <v>270.07080000000002</v>
          </cell>
        </row>
        <row r="542">
          <cell r="A542" t="str">
            <v>EV/EBITDA</v>
          </cell>
          <cell r="B542">
            <v>14.045319931418282</v>
          </cell>
          <cell r="C542">
            <v>12.709317895067606</v>
          </cell>
          <cell r="D542">
            <v>17.37950894418999</v>
          </cell>
          <cell r="E542">
            <v>16.773778115117242</v>
          </cell>
          <cell r="F542">
            <v>17.40294278522747</v>
          </cell>
          <cell r="G542">
            <v>10.792082563793498</v>
          </cell>
          <cell r="H542">
            <v>9.8774388966729436</v>
          </cell>
          <cell r="I542">
            <v>8.0323083021207502</v>
          </cell>
          <cell r="J542">
            <v>7.390726517072487</v>
          </cell>
          <cell r="K542">
            <v>19.622400000000027</v>
          </cell>
          <cell r="L542">
            <v>8.6724000000000387</v>
          </cell>
          <cell r="M542">
            <v>0</v>
          </cell>
          <cell r="N542">
            <v>0</v>
          </cell>
          <cell r="O542">
            <v>0</v>
          </cell>
          <cell r="P542">
            <v>0</v>
          </cell>
          <cell r="Q542">
            <v>0</v>
          </cell>
          <cell r="R542">
            <v>0</v>
          </cell>
          <cell r="S542">
            <v>0</v>
          </cell>
          <cell r="T542">
            <v>0</v>
          </cell>
          <cell r="U542">
            <v>0</v>
          </cell>
          <cell r="V542">
            <v>0</v>
          </cell>
        </row>
        <row r="543">
          <cell r="A543" t="str">
            <v>DPS (Rs)</v>
          </cell>
          <cell r="B543">
            <v>0.83199473913086552</v>
          </cell>
          <cell r="C543">
            <v>0.95615395404731773</v>
          </cell>
          <cell r="D543">
            <v>0.9061062705088303</v>
          </cell>
          <cell r="E543">
            <v>0.90623426969946586</v>
          </cell>
          <cell r="F543">
            <v>1.3853352402482089</v>
          </cell>
          <cell r="G543">
            <v>2.4001073850976784</v>
          </cell>
          <cell r="H543">
            <v>2.8117276208238797</v>
          </cell>
          <cell r="I543">
            <v>3.2097646313287092</v>
          </cell>
          <cell r="J543">
            <v>3.25</v>
          </cell>
          <cell r="K543">
            <v>253.33920000000001</v>
          </cell>
          <cell r="L543">
            <v>267.0924</v>
          </cell>
          <cell r="M543">
            <v>267.0924</v>
          </cell>
          <cell r="N543">
            <v>267.0924</v>
          </cell>
          <cell r="O543">
            <v>267.0924</v>
          </cell>
          <cell r="P543">
            <v>267.0924</v>
          </cell>
          <cell r="Q543">
            <v>267.0924</v>
          </cell>
          <cell r="R543">
            <v>267.0924</v>
          </cell>
          <cell r="S543">
            <v>267.0924</v>
          </cell>
          <cell r="T543">
            <v>267.0924</v>
          </cell>
          <cell r="U543">
            <v>267.0924</v>
          </cell>
          <cell r="V543">
            <v>267.0924</v>
          </cell>
        </row>
        <row r="544">
          <cell r="A544" t="str">
            <v>Yield (%)</v>
          </cell>
          <cell r="B544">
            <v>0.81328909005949701</v>
          </cell>
          <cell r="C544">
            <v>0.93465684657606818</v>
          </cell>
          <cell r="D544">
            <v>0.88573437977402769</v>
          </cell>
          <cell r="E544">
            <v>0.88585950117249845</v>
          </cell>
          <cell r="F544">
            <v>1.3541888956482979</v>
          </cell>
          <cell r="G544">
            <v>2.3461460264884444</v>
          </cell>
          <cell r="H544">
            <v>2.7485118483126878</v>
          </cell>
          <cell r="I544">
            <v>3.1375998351209278</v>
          </cell>
          <cell r="J544">
            <v>3.1769305962854348</v>
          </cell>
          <cell r="K544">
            <v>18.133200000000045</v>
          </cell>
          <cell r="L544">
            <v>13.753199999999993</v>
          </cell>
          <cell r="M544">
            <v>0</v>
          </cell>
          <cell r="N544">
            <v>0</v>
          </cell>
          <cell r="O544">
            <v>0</v>
          </cell>
          <cell r="P544">
            <v>0</v>
          </cell>
          <cell r="Q544">
            <v>0</v>
          </cell>
          <cell r="R544">
            <v>0</v>
          </cell>
          <cell r="S544">
            <v>0</v>
          </cell>
          <cell r="T544">
            <v>0</v>
          </cell>
          <cell r="U544">
            <v>0</v>
          </cell>
          <cell r="V544">
            <v>0</v>
          </cell>
        </row>
        <row r="545">
          <cell r="A545" t="str">
            <v>ev</v>
          </cell>
          <cell r="B545">
            <v>0.70241191801888359</v>
          </cell>
          <cell r="C545">
            <v>0.7647550140792454</v>
          </cell>
          <cell r="D545">
            <v>915035.80362000002</v>
          </cell>
          <cell r="E545">
            <v>931380.80362000002</v>
          </cell>
          <cell r="F545">
            <v>707307.80362000002</v>
          </cell>
          <cell r="G545">
            <v>843511.00812000001</v>
          </cell>
          <cell r="H545">
            <v>786738.00812000001</v>
          </cell>
          <cell r="I545">
            <v>816203.00812000001</v>
          </cell>
          <cell r="J545">
            <v>843511.00812000001</v>
          </cell>
          <cell r="K545">
            <v>0.86203557467616521</v>
          </cell>
          <cell r="L545">
            <v>0.86528564511756956</v>
          </cell>
          <cell r="M545">
            <v>0.86746135846620853</v>
          </cell>
          <cell r="N545">
            <v>0.8696370718148474</v>
          </cell>
          <cell r="O545">
            <v>0.87181278516348615</v>
          </cell>
          <cell r="P545">
            <v>0.87398849851212512</v>
          </cell>
          <cell r="Q545">
            <v>0.87616421186076388</v>
          </cell>
          <cell r="R545">
            <v>0.87833992520940274</v>
          </cell>
          <cell r="S545">
            <v>0.8805156385580416</v>
          </cell>
          <cell r="T545">
            <v>0.88269135190668047</v>
          </cell>
          <cell r="U545">
            <v>0.88486706525531933</v>
          </cell>
          <cell r="V545">
            <v>0.88704277860395808</v>
          </cell>
        </row>
        <row r="546">
          <cell r="A546" t="str">
            <v>Details of Other Income</v>
          </cell>
          <cell r="C546">
            <v>0.2</v>
          </cell>
          <cell r="D546">
            <v>0.1</v>
          </cell>
          <cell r="E546">
            <v>0.1</v>
          </cell>
          <cell r="F546">
            <v>0.1</v>
          </cell>
          <cell r="G546" t="str">
            <v>Nature of</v>
          </cell>
          <cell r="H546">
            <v>0.15</v>
          </cell>
          <cell r="I546">
            <v>0.05</v>
          </cell>
          <cell r="J546">
            <v>0.1</v>
          </cell>
        </row>
        <row r="547">
          <cell r="A547" t="str">
            <v>Existing</v>
          </cell>
          <cell r="C547">
            <v>0.76900000000000002</v>
          </cell>
          <cell r="D547">
            <v>0.78</v>
          </cell>
          <cell r="E547">
            <v>0.80200000000000005</v>
          </cell>
          <cell r="F547">
            <v>0.81100000000000005</v>
          </cell>
          <cell r="G547" t="str">
            <v>Income</v>
          </cell>
          <cell r="H547">
            <v>0.82</v>
          </cell>
          <cell r="I547">
            <v>0.84</v>
          </cell>
          <cell r="J547">
            <v>0.84</v>
          </cell>
        </row>
        <row r="548">
          <cell r="A548" t="str">
            <v>Dividend from Investments</v>
          </cell>
          <cell r="B548">
            <v>1</v>
          </cell>
          <cell r="C548">
            <v>0</v>
          </cell>
          <cell r="D548">
            <v>57</v>
          </cell>
          <cell r="E548">
            <v>36</v>
          </cell>
          <cell r="F548">
            <v>95</v>
          </cell>
          <cell r="G548" t="str">
            <v>Recurring</v>
          </cell>
          <cell r="H548">
            <v>170.88</v>
          </cell>
          <cell r="I548">
            <v>188.67400000000001</v>
          </cell>
          <cell r="J548">
            <v>201.87620007999996</v>
          </cell>
          <cell r="K548">
            <v>218.38740285999995</v>
          </cell>
          <cell r="L548">
            <v>231.11121963999994</v>
          </cell>
          <cell r="M548">
            <v>231.69233613999995</v>
          </cell>
          <cell r="N548">
            <v>232.27345263999993</v>
          </cell>
          <cell r="O548">
            <v>232.85456913999991</v>
          </cell>
          <cell r="P548">
            <v>233.43568563999992</v>
          </cell>
          <cell r="Q548">
            <v>234.0168021399999</v>
          </cell>
          <cell r="R548">
            <v>234.59791863999988</v>
          </cell>
          <cell r="S548">
            <v>235.17903513999985</v>
          </cell>
          <cell r="T548">
            <v>235.76015163999986</v>
          </cell>
          <cell r="U548">
            <v>236.34126813999984</v>
          </cell>
          <cell r="V548">
            <v>236.92238463999982</v>
          </cell>
        </row>
        <row r="549">
          <cell r="A549" t="str">
            <v>Interest Income on:</v>
          </cell>
          <cell r="C549">
            <v>0.25228800000000434</v>
          </cell>
          <cell r="D549">
            <v>0.43799999999999956</v>
          </cell>
          <cell r="E549">
            <v>0.87599999999999911</v>
          </cell>
          <cell r="F549">
            <v>0.43799999999999956</v>
          </cell>
          <cell r="G549">
            <v>1.7519999999999982</v>
          </cell>
          <cell r="H549">
            <v>0.32849999999999963</v>
          </cell>
          <cell r="I549">
            <v>0.63838499999999954</v>
          </cell>
          <cell r="J549">
            <v>1.4957699999999989</v>
          </cell>
        </row>
        <row r="550">
          <cell r="A550" t="str">
            <v>(a) Govt. Securities (8.5% Tax Free Bonds)</v>
          </cell>
          <cell r="C550">
            <v>129.95266404</v>
          </cell>
          <cell r="D550">
            <v>6955</v>
          </cell>
          <cell r="E550">
            <v>13949</v>
          </cell>
          <cell r="F550">
            <v>13950</v>
          </cell>
          <cell r="G550" t="str">
            <v>Recurring</v>
          </cell>
          <cell r="H550">
            <v>168.33829199999997</v>
          </cell>
          <cell r="I550">
            <v>174.28370399999997</v>
          </cell>
          <cell r="J550">
            <v>185.00857199999996</v>
          </cell>
        </row>
        <row r="551">
          <cell r="A551" t="str">
            <v>(b) Interest from Bonds</v>
          </cell>
          <cell r="B551">
            <v>632</v>
          </cell>
          <cell r="C551">
            <v>2382</v>
          </cell>
          <cell r="D551">
            <v>2800</v>
          </cell>
          <cell r="E551">
            <v>1822</v>
          </cell>
          <cell r="F551">
            <v>1002</v>
          </cell>
          <cell r="G551" t="str">
            <v>Recurring</v>
          </cell>
          <cell r="H551">
            <v>7.3973980265225281E-2</v>
          </cell>
          <cell r="I551">
            <v>0.10413155430711618</v>
          </cell>
          <cell r="J551">
            <v>6.9973605690238028E-2</v>
          </cell>
          <cell r="K551">
            <v>8.1788753570043893E-2</v>
          </cell>
          <cell r="L551">
            <v>5.8262594881247631E-2</v>
          </cell>
          <cell r="M551">
            <v>2.5144452134568951E-3</v>
          </cell>
          <cell r="N551">
            <v>2.5081386362681979E-3</v>
          </cell>
          <cell r="O551">
            <v>2.5018636154716667E-3</v>
          </cell>
          <cell r="P551">
            <v>2.4956199148087332E-3</v>
          </cell>
          <cell r="Q551">
            <v>2.489407300373836E-3</v>
          </cell>
          <cell r="R551">
            <v>2.4832255405846659E-3</v>
          </cell>
          <cell r="S551">
            <v>2.4770744061533012E-3</v>
          </cell>
          <cell r="T551">
            <v>2.4709536700584511E-3</v>
          </cell>
          <cell r="U551">
            <v>2.4648631075168126E-3</v>
          </cell>
          <cell r="V551">
            <v>2.4588024959557586E-3</v>
          </cell>
        </row>
        <row r="552">
          <cell r="A552" t="str">
            <v>(c) Loan to State Govt. in settlement of dues from customers</v>
          </cell>
          <cell r="D552">
            <v>451</v>
          </cell>
          <cell r="E552">
            <v>901</v>
          </cell>
          <cell r="F552">
            <v>901</v>
          </cell>
          <cell r="G552" t="str">
            <v>Recurring</v>
          </cell>
          <cell r="H552">
            <v>169.78899999999999</v>
          </cell>
          <cell r="I552">
            <v>188.14</v>
          </cell>
          <cell r="J552">
            <v>207.5152000822346</v>
          </cell>
          <cell r="K552">
            <v>225.33471996343008</v>
          </cell>
          <cell r="L552">
            <v>233.68838640541813</v>
          </cell>
          <cell r="M552">
            <v>234.27598305005571</v>
          </cell>
          <cell r="N552">
            <v>234.86357969469327</v>
          </cell>
          <cell r="O552">
            <v>235.45117633933086</v>
          </cell>
          <cell r="P552">
            <v>236.03877298396844</v>
          </cell>
          <cell r="Q552">
            <v>236.626369628606</v>
          </cell>
          <cell r="R552">
            <v>237.21396627324359</v>
          </cell>
          <cell r="S552">
            <v>237.80156291788114</v>
          </cell>
          <cell r="T552">
            <v>238.38915956251873</v>
          </cell>
          <cell r="U552">
            <v>238.97675620715628</v>
          </cell>
          <cell r="V552">
            <v>239.56435285179387</v>
          </cell>
        </row>
        <row r="553">
          <cell r="A553" t="str">
            <v>(d) Public Deposits with Govt. of India</v>
          </cell>
          <cell r="D553">
            <v>601</v>
          </cell>
          <cell r="E553">
            <v>1087</v>
          </cell>
          <cell r="F553">
            <v>2751</v>
          </cell>
          <cell r="G553" t="str">
            <v>Recurring</v>
          </cell>
        </row>
        <row r="554">
          <cell r="A554" t="str">
            <v>(e) Deposits with Banks/Financial Institutions</v>
          </cell>
          <cell r="B554">
            <v>4</v>
          </cell>
          <cell r="C554">
            <v>34</v>
          </cell>
          <cell r="D554">
            <v>28</v>
          </cell>
          <cell r="E554">
            <v>159</v>
          </cell>
          <cell r="F554">
            <v>61</v>
          </cell>
          <cell r="G554" t="str">
            <v>Recurring</v>
          </cell>
          <cell r="H554">
            <v>159.01900000000001</v>
          </cell>
          <cell r="I554">
            <v>176.53</v>
          </cell>
          <cell r="J554">
            <v>188.8824406124977</v>
          </cell>
          <cell r="K554">
            <v>204.33090000146171</v>
          </cell>
          <cell r="L554">
            <v>216.23574844996762</v>
          </cell>
          <cell r="M554">
            <v>216.77946139263594</v>
          </cell>
          <cell r="N554">
            <v>217.3231743353042</v>
          </cell>
          <cell r="O554">
            <v>217.86688727797249</v>
          </cell>
          <cell r="P554">
            <v>218.41060022064082</v>
          </cell>
          <cell r="Q554">
            <v>218.95431316330911</v>
          </cell>
          <cell r="R554">
            <v>219.49802610597737</v>
          </cell>
          <cell r="S554">
            <v>220.04173904864567</v>
          </cell>
          <cell r="T554">
            <v>220.58545199131399</v>
          </cell>
          <cell r="U554">
            <v>221.12916493398228</v>
          </cell>
          <cell r="V554">
            <v>221.67287787665055</v>
          </cell>
        </row>
        <row r="555">
          <cell r="A555" t="str">
            <v>(f) Loans and Advances to Employees</v>
          </cell>
          <cell r="B555">
            <v>196</v>
          </cell>
          <cell r="C555">
            <v>186</v>
          </cell>
          <cell r="D555">
            <v>262</v>
          </cell>
          <cell r="E555">
            <v>284</v>
          </cell>
          <cell r="F555">
            <v>296</v>
          </cell>
          <cell r="G555" t="str">
            <v>Recurring</v>
          </cell>
          <cell r="H555">
            <v>11.86099999999999</v>
          </cell>
          <cell r="I555">
            <v>12.144000000000005</v>
          </cell>
          <cell r="J555">
            <v>12.993759467502256</v>
          </cell>
          <cell r="K555">
            <v>14.056502858538224</v>
          </cell>
          <cell r="L555">
            <v>14.875471190032336</v>
          </cell>
          <cell r="M555">
            <v>14.912874747364029</v>
          </cell>
          <cell r="N555">
            <v>14.950278304695722</v>
          </cell>
          <cell r="O555">
            <v>14.987681862027415</v>
          </cell>
          <cell r="P555">
            <v>15.025085419359108</v>
          </cell>
          <cell r="Q555">
            <v>15.062488976690801</v>
          </cell>
          <cell r="R555">
            <v>15.099892534022494</v>
          </cell>
          <cell r="S555">
            <v>15.137296091354186</v>
          </cell>
          <cell r="T555">
            <v>15.174699648685881</v>
          </cell>
          <cell r="U555">
            <v>15.212103206017574</v>
          </cell>
          <cell r="V555">
            <v>15.249506763349265</v>
          </cell>
        </row>
        <row r="556">
          <cell r="A556" t="str">
            <v>(g) Interest on Income Tax Refunds</v>
          </cell>
          <cell r="B556">
            <v>6.4869418702611648E-2</v>
          </cell>
          <cell r="C556">
            <v>6.4516129032258007E-2</v>
          </cell>
          <cell r="D556">
            <v>279</v>
          </cell>
          <cell r="E556">
            <v>27</v>
          </cell>
          <cell r="F556">
            <v>12</v>
          </cell>
          <cell r="G556" t="str">
            <v>Recurring</v>
          </cell>
          <cell r="H556">
            <v>6.9411282771535521E-2</v>
          </cell>
          <cell r="I556">
            <v>6.4364989346703871E-2</v>
          </cell>
          <cell r="J556">
            <v>6.4364989346703871E-2</v>
          </cell>
          <cell r="K556">
            <v>6.4364989346703871E-2</v>
          </cell>
          <cell r="L556">
            <v>6.4364989346703871E-2</v>
          </cell>
          <cell r="M556">
            <v>6.4364989346703871E-2</v>
          </cell>
          <cell r="N556">
            <v>6.4364989346703871E-2</v>
          </cell>
          <cell r="O556">
            <v>6.4364989346703871E-2</v>
          </cell>
          <cell r="P556">
            <v>6.4364989346703871E-2</v>
          </cell>
          <cell r="Q556">
            <v>6.4364989346703871E-2</v>
          </cell>
          <cell r="R556">
            <v>6.4364989346703871E-2</v>
          </cell>
          <cell r="S556">
            <v>6.4364989346703871E-2</v>
          </cell>
          <cell r="T556">
            <v>6.4364989346703871E-2</v>
          </cell>
          <cell r="U556">
            <v>6.4364989346703871E-2</v>
          </cell>
          <cell r="V556">
            <v>6.4364989346703871E-2</v>
          </cell>
        </row>
        <row r="557">
          <cell r="A557" t="str">
            <v>(h) Others</v>
          </cell>
          <cell r="B557">
            <v>3120</v>
          </cell>
          <cell r="C557">
            <v>1683</v>
          </cell>
          <cell r="D557">
            <v>18</v>
          </cell>
          <cell r="E557">
            <v>157</v>
          </cell>
          <cell r="F557">
            <v>3</v>
          </cell>
          <cell r="G557" t="str">
            <v>Recurring</v>
          </cell>
          <cell r="H557">
            <v>1.7340946679327627</v>
          </cell>
          <cell r="I557">
            <v>1.918976944428709</v>
          </cell>
          <cell r="J557">
            <v>2.0454521804523766</v>
          </cell>
          <cell r="K557">
            <v>1.9603496037659325</v>
          </cell>
          <cell r="L557">
            <v>1.9607339826046877</v>
          </cell>
          <cell r="M557">
            <v>1.9659755988164123</v>
          </cell>
          <cell r="N557">
            <v>1.9701241692847216</v>
          </cell>
          <cell r="O557">
            <v>1.9744957017024676</v>
          </cell>
          <cell r="P557">
            <v>1.9789109838003447</v>
          </cell>
          <cell r="Q557">
            <v>1.9834132649363745</v>
          </cell>
          <cell r="R557">
            <v>1.9880136920059586</v>
          </cell>
          <cell r="S557">
            <v>1.9927317390276482</v>
          </cell>
          <cell r="T557">
            <v>1.9975853235025531</v>
          </cell>
          <cell r="U557">
            <v>2.0025941134225995</v>
          </cell>
          <cell r="V557">
            <v>2.054410622679915</v>
          </cell>
        </row>
        <row r="558">
          <cell r="A558" t="str">
            <v>Surcharge on late payment from customers</v>
          </cell>
          <cell r="B558">
            <v>5438</v>
          </cell>
          <cell r="C558">
            <v>6319</v>
          </cell>
          <cell r="D558">
            <v>3494</v>
          </cell>
          <cell r="E558">
            <v>5</v>
          </cell>
          <cell r="F558">
            <v>1900</v>
          </cell>
          <cell r="G558" t="str">
            <v>Non-Recurring</v>
          </cell>
          <cell r="H558">
            <v>0.13576476473795185</v>
          </cell>
          <cell r="I558">
            <v>0.10661602270904091</v>
          </cell>
          <cell r="J558">
            <v>6.5907637082799786E-2</v>
          </cell>
          <cell r="K558">
            <v>-4.160575226335661E-2</v>
          </cell>
          <cell r="L558">
            <v>1.9607667837240328E-4</v>
          </cell>
          <cell r="M558">
            <v>2.6732928883914653E-3</v>
          </cell>
          <cell r="N558">
            <v>2.1101841095112484E-3</v>
          </cell>
          <cell r="O558">
            <v>2.2189121304638793E-3</v>
          </cell>
          <cell r="P558">
            <v>2.23615685466938E-3</v>
          </cell>
          <cell r="Q558">
            <v>2.2751307021315892E-3</v>
          </cell>
          <cell r="R558">
            <v>2.3194495826523998E-3</v>
          </cell>
          <cell r="S558">
            <v>2.3732467440549243E-3</v>
          </cell>
          <cell r="T558">
            <v>2.4356436844195084E-3</v>
          </cell>
          <cell r="U558">
            <v>2.5074222668315382E-3</v>
          </cell>
          <cell r="V558">
            <v>2.5874693683562766E-2</v>
          </cell>
        </row>
        <row r="559">
          <cell r="A559" t="str">
            <v>Miscellaneous Income</v>
          </cell>
          <cell r="B559">
            <v>338</v>
          </cell>
          <cell r="C559">
            <v>479</v>
          </cell>
          <cell r="D559">
            <v>530</v>
          </cell>
          <cell r="E559">
            <v>997</v>
          </cell>
          <cell r="F559">
            <v>1057</v>
          </cell>
          <cell r="G559" t="str">
            <v>Recurring</v>
          </cell>
        </row>
        <row r="560">
          <cell r="A560" t="str">
            <v>TOTAL</v>
          </cell>
          <cell r="B560">
            <v>9729</v>
          </cell>
          <cell r="C560">
            <v>11083</v>
          </cell>
          <cell r="D560">
            <v>15475</v>
          </cell>
          <cell r="E560">
            <v>19424</v>
          </cell>
          <cell r="F560">
            <v>22028</v>
          </cell>
        </row>
        <row r="561">
          <cell r="A561" t="str">
            <v>Effective Commercial Capacity (billion units)</v>
          </cell>
          <cell r="E561">
            <v>148.7448</v>
          </cell>
          <cell r="F561">
            <v>148.7448</v>
          </cell>
          <cell r="G561">
            <v>155.31479999999999</v>
          </cell>
          <cell r="H561">
            <v>165.53480000000002</v>
          </cell>
          <cell r="I561">
            <v>183.41249999999999</v>
          </cell>
          <cell r="J561">
            <v>207.13019999999997</v>
          </cell>
          <cell r="K561">
            <v>226.7526</v>
          </cell>
          <cell r="L561">
            <v>235.42500000000001</v>
          </cell>
          <cell r="M561">
            <v>235.42500000000001</v>
          </cell>
          <cell r="N561">
            <v>235.42500000000001</v>
          </cell>
          <cell r="O561">
            <v>235.42500000000001</v>
          </cell>
          <cell r="P561">
            <v>235.42500000000001</v>
          </cell>
          <cell r="Q561">
            <v>235.42500000000001</v>
          </cell>
          <cell r="R561">
            <v>235.42500000000001</v>
          </cell>
          <cell r="S561">
            <v>235.42500000000001</v>
          </cell>
          <cell r="T561">
            <v>235.42500000000001</v>
          </cell>
          <cell r="U561">
            <v>235.42500000000001</v>
          </cell>
          <cell r="V561">
            <v>235.42500000000001</v>
          </cell>
        </row>
        <row r="562">
          <cell r="A562" t="str">
            <v>Capacity Addition</v>
          </cell>
          <cell r="F562">
            <v>0</v>
          </cell>
          <cell r="G562">
            <v>6.5699999999999932</v>
          </cell>
          <cell r="H562">
            <v>10.220000000000027</v>
          </cell>
          <cell r="I562">
            <v>17.877699999999976</v>
          </cell>
          <cell r="J562">
            <v>23.717699999999979</v>
          </cell>
          <cell r="K562">
            <v>19.622400000000027</v>
          </cell>
          <cell r="L562">
            <v>8.6724000000000103</v>
          </cell>
          <cell r="M562">
            <v>0</v>
          </cell>
          <cell r="N562">
            <v>0</v>
          </cell>
          <cell r="O562">
            <v>0</v>
          </cell>
          <cell r="P562">
            <v>0</v>
          </cell>
          <cell r="Q562">
            <v>0</v>
          </cell>
          <cell r="R562">
            <v>0</v>
          </cell>
          <cell r="S562">
            <v>0</v>
          </cell>
          <cell r="T562">
            <v>0</v>
          </cell>
          <cell r="U562">
            <v>0</v>
          </cell>
          <cell r="V562">
            <v>0</v>
          </cell>
        </row>
        <row r="563">
          <cell r="A563" t="str">
            <v>Effective Generation Capacity (billion units)</v>
          </cell>
          <cell r="E563">
            <v>148.7448</v>
          </cell>
          <cell r="F563">
            <v>153.12479999999999</v>
          </cell>
          <cell r="G563">
            <v>170.64479999999998</v>
          </cell>
          <cell r="H563">
            <v>172.8348</v>
          </cell>
          <cell r="I563">
            <v>185.60249999999999</v>
          </cell>
          <cell r="J563">
            <v>200.56019999999998</v>
          </cell>
          <cell r="K563">
            <v>218.6934</v>
          </cell>
          <cell r="L563">
            <v>232.44660000000002</v>
          </cell>
          <cell r="M563">
            <v>232.44660000000002</v>
          </cell>
          <cell r="N563">
            <v>232.44660000000002</v>
          </cell>
          <cell r="O563">
            <v>232.44660000000002</v>
          </cell>
          <cell r="P563">
            <v>232.44660000000002</v>
          </cell>
          <cell r="Q563">
            <v>232.44660000000002</v>
          </cell>
          <cell r="R563">
            <v>232.44660000000002</v>
          </cell>
          <cell r="S563">
            <v>232.44660000000002</v>
          </cell>
          <cell r="T563">
            <v>232.44660000000002</v>
          </cell>
          <cell r="U563">
            <v>232.44660000000002</v>
          </cell>
          <cell r="V563">
            <v>232.44660000000002</v>
          </cell>
        </row>
        <row r="564">
          <cell r="A564" t="str">
            <v>Capacity Addition</v>
          </cell>
          <cell r="F564">
            <v>4.3799999999999955</v>
          </cell>
          <cell r="G564">
            <v>17.519999999999982</v>
          </cell>
          <cell r="H564">
            <v>2.1900000000000261</v>
          </cell>
          <cell r="I564">
            <v>12.767699999999991</v>
          </cell>
          <cell r="J564">
            <v>14.957699999999988</v>
          </cell>
          <cell r="K564">
            <v>18.133200000000016</v>
          </cell>
          <cell r="L564">
            <v>13.753200000000021</v>
          </cell>
          <cell r="M564">
            <v>0</v>
          </cell>
          <cell r="N564">
            <v>0</v>
          </cell>
          <cell r="O564">
            <v>0</v>
          </cell>
          <cell r="P564">
            <v>0</v>
          </cell>
          <cell r="Q564">
            <v>0</v>
          </cell>
          <cell r="R564">
            <v>0</v>
          </cell>
          <cell r="S564">
            <v>0</v>
          </cell>
          <cell r="T564">
            <v>0</v>
          </cell>
          <cell r="U564">
            <v>0</v>
          </cell>
          <cell r="V564">
            <v>0</v>
          </cell>
        </row>
        <row r="565">
          <cell r="A565" t="str">
            <v>Capital base</v>
          </cell>
          <cell r="F565">
            <v>0.81698065891351368</v>
          </cell>
          <cell r="G565">
            <v>0.79763344678536952</v>
          </cell>
          <cell r="H565">
            <v>0.85470634386130573</v>
          </cell>
          <cell r="I565">
            <v>0.8802198246252072</v>
          </cell>
          <cell r="J565">
            <v>0.88039999999999985</v>
          </cell>
          <cell r="K565">
            <v>0.8828999999999998</v>
          </cell>
          <cell r="L565">
            <v>0.88539999999999974</v>
          </cell>
          <cell r="M565">
            <v>0.88789999999999969</v>
          </cell>
          <cell r="N565">
            <v>0.89039999999999964</v>
          </cell>
          <cell r="O565">
            <v>0.89289999999999958</v>
          </cell>
          <cell r="P565">
            <v>0.89539999999999953</v>
          </cell>
          <cell r="Q565">
            <v>0.89789999999999948</v>
          </cell>
          <cell r="R565">
            <v>0.90039999999999942</v>
          </cell>
          <cell r="S565">
            <v>0.90289999999999937</v>
          </cell>
          <cell r="T565">
            <v>0.90539999999999932</v>
          </cell>
          <cell r="U565">
            <v>0.90789999999999926</v>
          </cell>
          <cell r="V565">
            <v>0.91039999999999921</v>
          </cell>
        </row>
        <row r="566">
          <cell r="A566" t="str">
            <v>Dep</v>
          </cell>
          <cell r="F566">
            <v>125.1</v>
          </cell>
          <cell r="G566">
            <v>136.11199999999999</v>
          </cell>
          <cell r="H566">
            <v>147.72300000000001</v>
          </cell>
          <cell r="I566">
            <v>163.37100000000001</v>
          </cell>
          <cell r="J566">
            <v>176.57320007999996</v>
          </cell>
          <cell r="K566">
            <v>193.08440285999995</v>
          </cell>
          <cell r="L566">
            <v>205.80821963999995</v>
          </cell>
          <cell r="M566">
            <v>206.38933613999995</v>
          </cell>
          <cell r="N566">
            <v>206.97045263999993</v>
          </cell>
          <cell r="O566">
            <v>207.55156913999991</v>
          </cell>
          <cell r="P566">
            <v>208.13268563999992</v>
          </cell>
          <cell r="Q566">
            <v>208.7138021399999</v>
          </cell>
          <cell r="R566">
            <v>209.29491863999988</v>
          </cell>
          <cell r="S566">
            <v>209.87603513999986</v>
          </cell>
          <cell r="T566">
            <v>210.45715163999986</v>
          </cell>
          <cell r="U566">
            <v>211.03826813999984</v>
          </cell>
          <cell r="V566">
            <v>211.61938463999982</v>
          </cell>
        </row>
        <row r="567">
          <cell r="A567" t="str">
            <v>70% 30</v>
          </cell>
          <cell r="F567">
            <v>124.66199999999999</v>
          </cell>
          <cell r="G567">
            <v>134.35999999999999</v>
          </cell>
          <cell r="H567">
            <v>147.50400000000002</v>
          </cell>
          <cell r="I567">
            <v>162.09423000000001</v>
          </cell>
          <cell r="J567">
            <v>175.07743007999997</v>
          </cell>
        </row>
        <row r="568">
          <cell r="A568">
            <v>0.14000000000000001</v>
          </cell>
          <cell r="F568">
            <v>0.43799999999999956</v>
          </cell>
          <cell r="G568">
            <v>1.7519999999999982</v>
          </cell>
          <cell r="H568">
            <v>0.21900000000000264</v>
          </cell>
          <cell r="I568">
            <v>1.2767699999999991</v>
          </cell>
          <cell r="J568">
            <v>1.4957699999999989</v>
          </cell>
        </row>
        <row r="569">
          <cell r="A569" t="str">
            <v>New (% of total generation)</v>
          </cell>
          <cell r="F569">
            <v>0.1</v>
          </cell>
          <cell r="G569">
            <v>0.1</v>
          </cell>
          <cell r="H569">
            <v>0.1</v>
          </cell>
          <cell r="I569">
            <v>0.1</v>
          </cell>
          <cell r="J569">
            <v>0.1</v>
          </cell>
          <cell r="K569">
            <v>0.1</v>
          </cell>
          <cell r="L569">
            <v>0.1</v>
          </cell>
          <cell r="M569">
            <v>0.1</v>
          </cell>
          <cell r="N569">
            <v>0.1</v>
          </cell>
          <cell r="O569">
            <v>0.1</v>
          </cell>
          <cell r="P569">
            <v>0.1</v>
          </cell>
          <cell r="Q569">
            <v>0.1</v>
          </cell>
          <cell r="R569">
            <v>0.1</v>
          </cell>
          <cell r="S569">
            <v>0.1</v>
          </cell>
          <cell r="T569">
            <v>0.1</v>
          </cell>
          <cell r="U569">
            <v>0.1</v>
          </cell>
          <cell r="V569">
            <v>0.1</v>
          </cell>
        </row>
        <row r="570">
          <cell r="A570" t="str">
            <v>Write back from Reserves:</v>
          </cell>
          <cell r="F570">
            <v>116.21790000000001</v>
          </cell>
          <cell r="G570">
            <v>126.42992083464269</v>
          </cell>
          <cell r="H570">
            <v>137.46935707514046</v>
          </cell>
          <cell r="I570">
            <v>152.85562732543966</v>
          </cell>
          <cell r="J570">
            <v>165.20806793793736</v>
          </cell>
          <cell r="K570">
            <v>180.65652732690137</v>
          </cell>
          <cell r="L570">
            <v>192.56137577540727</v>
          </cell>
          <cell r="M570">
            <v>193.10508871807556</v>
          </cell>
          <cell r="N570">
            <v>193.64880166074386</v>
          </cell>
          <cell r="O570">
            <v>194.19251460341215</v>
          </cell>
          <cell r="P570">
            <v>194.73622754608044</v>
          </cell>
          <cell r="Q570">
            <v>195.27994048874874</v>
          </cell>
          <cell r="R570">
            <v>195.82365343141703</v>
          </cell>
          <cell r="S570">
            <v>196.36736637408532</v>
          </cell>
          <cell r="T570">
            <v>196.91107931675361</v>
          </cell>
          <cell r="U570">
            <v>197.45479225942191</v>
          </cell>
          <cell r="V570">
            <v>197.9985052020902</v>
          </cell>
        </row>
        <row r="571">
          <cell r="A571" t="str">
            <v>Bonds Redemption Reserve</v>
          </cell>
          <cell r="B571">
            <v>2500</v>
          </cell>
          <cell r="C571">
            <v>1578</v>
          </cell>
          <cell r="D571">
            <v>1250</v>
          </cell>
          <cell r="E571">
            <v>0</v>
          </cell>
          <cell r="F571">
            <v>584</v>
          </cell>
          <cell r="G571">
            <v>7.113317830431784E-2</v>
          </cell>
          <cell r="H571">
            <v>6.9411282771535521E-2</v>
          </cell>
          <cell r="I571">
            <v>6.4364989346703871E-2</v>
          </cell>
          <cell r="J571">
            <v>6.4364989346703871E-2</v>
          </cell>
          <cell r="K571">
            <v>6.4364989346703871E-2</v>
          </cell>
          <cell r="L571">
            <v>6.4364989346703871E-2</v>
          </cell>
          <cell r="M571">
            <v>6.4364989346703871E-2</v>
          </cell>
          <cell r="N571">
            <v>6.4364989346703871E-2</v>
          </cell>
          <cell r="O571">
            <v>6.4364989346703871E-2</v>
          </cell>
          <cell r="P571">
            <v>6.4364989346703871E-2</v>
          </cell>
          <cell r="Q571">
            <v>6.4364989346703871E-2</v>
          </cell>
          <cell r="R571">
            <v>6.4364989346703871E-2</v>
          </cell>
          <cell r="S571">
            <v>6.4364989346703871E-2</v>
          </cell>
          <cell r="T571">
            <v>6.4364989346703871E-2</v>
          </cell>
          <cell r="U571">
            <v>6.4364989346703871E-2</v>
          </cell>
          <cell r="V571">
            <v>6.4364989346703871E-2</v>
          </cell>
        </row>
        <row r="572">
          <cell r="A572" t="str">
            <v>Investment Allowance Reserve</v>
          </cell>
          <cell r="B572">
            <v>0</v>
          </cell>
          <cell r="C572">
            <v>7187</v>
          </cell>
          <cell r="D572">
            <v>0</v>
          </cell>
          <cell r="E572">
            <v>0</v>
          </cell>
          <cell r="F572">
            <v>0</v>
          </cell>
        </row>
        <row r="573">
          <cell r="A573" t="str">
            <v>Balance available for appropriation</v>
          </cell>
          <cell r="B573">
            <v>40143</v>
          </cell>
          <cell r="C573">
            <v>43875</v>
          </cell>
          <cell r="D573">
            <v>43732</v>
          </cell>
          <cell r="E573">
            <v>34138</v>
          </cell>
          <cell r="F573">
            <v>41134</v>
          </cell>
        </row>
        <row r="574">
          <cell r="A574" t="str">
            <v>Effective Commercial Capacity (billion units)</v>
          </cell>
          <cell r="E574">
            <v>31.579799999999999</v>
          </cell>
          <cell r="F574">
            <v>34.645799999999994</v>
          </cell>
          <cell r="G574">
            <v>34.645799999999994</v>
          </cell>
          <cell r="H574">
            <v>34.645799999999994</v>
          </cell>
          <cell r="I574">
            <v>34.645799999999994</v>
          </cell>
          <cell r="J574">
            <v>34.645799999999994</v>
          </cell>
          <cell r="K574">
            <v>34.645799999999994</v>
          </cell>
          <cell r="L574">
            <v>34.645799999999994</v>
          </cell>
          <cell r="M574">
            <v>34.645799999999994</v>
          </cell>
          <cell r="N574">
            <v>34.645799999999994</v>
          </cell>
          <cell r="O574">
            <v>34.645799999999994</v>
          </cell>
          <cell r="P574">
            <v>34.645799999999994</v>
          </cell>
          <cell r="Q574">
            <v>34.645799999999994</v>
          </cell>
          <cell r="R574">
            <v>34.645799999999994</v>
          </cell>
          <cell r="S574">
            <v>34.645799999999994</v>
          </cell>
          <cell r="T574">
            <v>34.645799999999994</v>
          </cell>
          <cell r="U574">
            <v>34.645799999999994</v>
          </cell>
          <cell r="V574">
            <v>34.645799999999994</v>
          </cell>
        </row>
        <row r="575">
          <cell r="A575" t="str">
            <v>Transfer to Bonds redemption reserve</v>
          </cell>
          <cell r="B575">
            <v>400</v>
          </cell>
          <cell r="C575">
            <v>175</v>
          </cell>
          <cell r="D575">
            <v>373</v>
          </cell>
          <cell r="E575">
            <v>1815</v>
          </cell>
          <cell r="F575">
            <v>2067</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row>
        <row r="576">
          <cell r="A576" t="str">
            <v>Transfer to Foreign Project Reserve</v>
          </cell>
          <cell r="B576">
            <v>0</v>
          </cell>
          <cell r="C576">
            <v>0</v>
          </cell>
          <cell r="D576">
            <v>0</v>
          </cell>
          <cell r="E576">
            <v>0</v>
          </cell>
          <cell r="F576">
            <v>0</v>
          </cell>
          <cell r="G576">
            <v>34.645799999999994</v>
          </cell>
          <cell r="H576">
            <v>34.645799999999994</v>
          </cell>
          <cell r="I576">
            <v>34.645799999999994</v>
          </cell>
          <cell r="J576">
            <v>34.645799999999994</v>
          </cell>
          <cell r="K576">
            <v>34.645799999999994</v>
          </cell>
          <cell r="L576">
            <v>34.645799999999994</v>
          </cell>
          <cell r="M576">
            <v>34.645799999999994</v>
          </cell>
          <cell r="N576">
            <v>34.645799999999994</v>
          </cell>
          <cell r="O576">
            <v>34.645799999999994</v>
          </cell>
          <cell r="P576">
            <v>34.645799999999994</v>
          </cell>
          <cell r="Q576">
            <v>34.645799999999994</v>
          </cell>
          <cell r="R576">
            <v>34.645799999999994</v>
          </cell>
          <cell r="S576">
            <v>34.645799999999994</v>
          </cell>
          <cell r="T576">
            <v>34.645799999999994</v>
          </cell>
          <cell r="U576">
            <v>34.645799999999994</v>
          </cell>
          <cell r="V576">
            <v>34.645799999999994</v>
          </cell>
        </row>
        <row r="577">
          <cell r="A577" t="str">
            <v>Transfer to Capital Reserve</v>
          </cell>
          <cell r="B577">
            <v>34</v>
          </cell>
          <cell r="C577">
            <v>5</v>
          </cell>
          <cell r="D577">
            <v>506</v>
          </cell>
          <cell r="E577">
            <v>100</v>
          </cell>
          <cell r="F577">
            <v>30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row>
        <row r="578">
          <cell r="A578" t="str">
            <v>Transfer to General Reserve *</v>
          </cell>
          <cell r="B578">
            <v>31992</v>
          </cell>
          <cell r="C578">
            <v>32655</v>
          </cell>
          <cell r="D578">
            <v>34278</v>
          </cell>
          <cell r="E578">
            <v>24067</v>
          </cell>
          <cell r="F578">
            <v>26261</v>
          </cell>
          <cell r="G578">
            <v>0.66380340474170041</v>
          </cell>
          <cell r="H578">
            <v>0.66842156913680739</v>
          </cell>
          <cell r="I578">
            <v>0.73033383555871145</v>
          </cell>
          <cell r="J578">
            <v>0.73033383555871145</v>
          </cell>
          <cell r="K578">
            <v>0.73033383555871145</v>
          </cell>
          <cell r="L578">
            <v>0.73033383555871145</v>
          </cell>
          <cell r="M578">
            <v>0.73033383555871145</v>
          </cell>
          <cell r="N578">
            <v>0.73033383555871145</v>
          </cell>
          <cell r="O578">
            <v>0.73033383555871145</v>
          </cell>
          <cell r="P578">
            <v>0.73033383555871145</v>
          </cell>
          <cell r="Q578">
            <v>0.73033383555871145</v>
          </cell>
          <cell r="R578">
            <v>0.73033383555871145</v>
          </cell>
          <cell r="S578">
            <v>0.73033383555871145</v>
          </cell>
          <cell r="T578">
            <v>0.73033383555871145</v>
          </cell>
          <cell r="U578">
            <v>0.73033383555871145</v>
          </cell>
          <cell r="V578">
            <v>0.73033383555871145</v>
          </cell>
        </row>
        <row r="579">
          <cell r="A579" t="str">
            <v>Interim dividend</v>
          </cell>
          <cell r="B579">
            <v>3000</v>
          </cell>
          <cell r="C579">
            <v>0</v>
          </cell>
          <cell r="D579">
            <v>0</v>
          </cell>
          <cell r="E579">
            <v>4000</v>
          </cell>
          <cell r="F579">
            <v>0</v>
          </cell>
          <cell r="G579">
            <v>22.998000000000001</v>
          </cell>
          <cell r="H579">
            <v>23.157999999999998</v>
          </cell>
          <cell r="I579">
            <v>25.303000000000001</v>
          </cell>
          <cell r="J579">
            <v>25.303000000000001</v>
          </cell>
          <cell r="K579">
            <v>25.303000000000001</v>
          </cell>
          <cell r="L579">
            <v>25.303000000000001</v>
          </cell>
          <cell r="M579">
            <v>25.303000000000001</v>
          </cell>
          <cell r="N579">
            <v>25.303000000000001</v>
          </cell>
          <cell r="O579">
            <v>25.303000000000001</v>
          </cell>
          <cell r="P579">
            <v>25.303000000000001</v>
          </cell>
          <cell r="Q579">
            <v>25.303000000000001</v>
          </cell>
          <cell r="R579">
            <v>25.303000000000001</v>
          </cell>
          <cell r="S579">
            <v>25.303000000000001</v>
          </cell>
          <cell r="T579">
            <v>25.303000000000001</v>
          </cell>
          <cell r="U579">
            <v>25.303000000000001</v>
          </cell>
          <cell r="V579">
            <v>25.303000000000001</v>
          </cell>
        </row>
        <row r="580">
          <cell r="A580" t="str">
            <v>Proposed dividend</v>
          </cell>
          <cell r="B580">
            <v>3500</v>
          </cell>
          <cell r="C580">
            <v>7470</v>
          </cell>
          <cell r="D580">
            <v>7079</v>
          </cell>
          <cell r="E580">
            <v>3080</v>
          </cell>
          <cell r="F580">
            <v>10823</v>
          </cell>
          <cell r="G580">
            <v>21.362079165357315</v>
          </cell>
          <cell r="H580">
            <v>21.54964292485954</v>
          </cell>
          <cell r="I580">
            <v>23.674372674560345</v>
          </cell>
          <cell r="J580">
            <v>23.674372674560352</v>
          </cell>
          <cell r="K580">
            <v>23.674372674560352</v>
          </cell>
          <cell r="L580">
            <v>23.674372674560352</v>
          </cell>
          <cell r="M580">
            <v>23.674372674560352</v>
          </cell>
          <cell r="N580">
            <v>23.674372674560352</v>
          </cell>
          <cell r="O580">
            <v>23.674372674560352</v>
          </cell>
          <cell r="P580">
            <v>23.674372674560352</v>
          </cell>
          <cell r="Q580">
            <v>23.674372674560352</v>
          </cell>
          <cell r="R580">
            <v>23.674372674560352</v>
          </cell>
          <cell r="S580">
            <v>23.674372674560352</v>
          </cell>
          <cell r="T580">
            <v>23.674372674560352</v>
          </cell>
          <cell r="U580">
            <v>23.674372674560352</v>
          </cell>
          <cell r="V580">
            <v>23.674372674560352</v>
          </cell>
        </row>
        <row r="581">
          <cell r="A581" t="str">
            <v>Tax on proposed dividend</v>
          </cell>
          <cell r="B581">
            <v>1100</v>
          </cell>
          <cell r="C581">
            <v>762</v>
          </cell>
          <cell r="D581">
            <v>0</v>
          </cell>
          <cell r="E581">
            <v>395</v>
          </cell>
          <cell r="F581">
            <v>1387</v>
          </cell>
          <cell r="G581">
            <v>7.1133178304317202E-2</v>
          </cell>
          <cell r="H581">
            <v>6.9451467101669273E-2</v>
          </cell>
          <cell r="I581">
            <v>6.4364989346704204E-2</v>
          </cell>
          <cell r="J581">
            <v>6.4364989346703871E-2</v>
          </cell>
          <cell r="K581">
            <v>6.4364989346703871E-2</v>
          </cell>
          <cell r="L581">
            <v>6.4364989346703871E-2</v>
          </cell>
          <cell r="M581">
            <v>6.4364989346703871E-2</v>
          </cell>
          <cell r="N581">
            <v>6.4364989346703871E-2</v>
          </cell>
          <cell r="O581">
            <v>6.4364989346703871E-2</v>
          </cell>
          <cell r="P581">
            <v>6.4364989346703871E-2</v>
          </cell>
          <cell r="Q581">
            <v>6.4364989346703871E-2</v>
          </cell>
          <cell r="R581">
            <v>6.4364989346703871E-2</v>
          </cell>
          <cell r="S581">
            <v>6.4364989346703871E-2</v>
          </cell>
          <cell r="T581">
            <v>6.4364989346703871E-2</v>
          </cell>
          <cell r="U581">
            <v>6.4364989346703871E-2</v>
          </cell>
          <cell r="V581">
            <v>6.4364989346703871E-2</v>
          </cell>
        </row>
        <row r="582">
          <cell r="A582" t="str">
            <v>Balance carried to Balance Sheet</v>
          </cell>
          <cell r="B582">
            <v>117</v>
          </cell>
          <cell r="C582">
            <v>2808</v>
          </cell>
          <cell r="D582">
            <v>1496</v>
          </cell>
          <cell r="E582">
            <v>681</v>
          </cell>
          <cell r="F582">
            <v>566</v>
          </cell>
          <cell r="G582">
            <v>1.6359208346426861</v>
          </cell>
          <cell r="H582">
            <v>1.6083570751404572</v>
          </cell>
          <cell r="I582">
            <v>1.6286273254396555</v>
          </cell>
          <cell r="J582">
            <v>1.6286273254396484</v>
          </cell>
          <cell r="K582">
            <v>1.6286273254396484</v>
          </cell>
          <cell r="L582">
            <v>1.6286273254396484</v>
          </cell>
          <cell r="M582">
            <v>1.6286273254396484</v>
          </cell>
          <cell r="N582">
            <v>1.6286273254396484</v>
          </cell>
          <cell r="O582">
            <v>1.6286273254396484</v>
          </cell>
          <cell r="P582">
            <v>1.6286273254396484</v>
          </cell>
          <cell r="Q582">
            <v>1.6286273254396484</v>
          </cell>
          <cell r="R582">
            <v>1.6286273254396484</v>
          </cell>
          <cell r="S582">
            <v>1.6286273254396484</v>
          </cell>
          <cell r="T582">
            <v>1.6286273254396484</v>
          </cell>
          <cell r="U582">
            <v>1.6286273254396484</v>
          </cell>
          <cell r="V582">
            <v>1.6286273254396484</v>
          </cell>
        </row>
        <row r="584">
          <cell r="A584" t="str">
            <v>* The impact of adjustments on profit for the year have been adjusted in General Reserve</v>
          </cell>
        </row>
        <row r="585">
          <cell r="A585" t="str">
            <v>Coal-fired:</v>
          </cell>
          <cell r="B585">
            <v>90.1</v>
          </cell>
          <cell r="C585">
            <v>88.5</v>
          </cell>
          <cell r="D585">
            <v>89.1</v>
          </cell>
          <cell r="E585">
            <v>88.7</v>
          </cell>
          <cell r="F585">
            <v>88.8</v>
          </cell>
          <cell r="G585">
            <v>89</v>
          </cell>
          <cell r="H585">
            <v>89</v>
          </cell>
          <cell r="I585">
            <v>89</v>
          </cell>
          <cell r="J585">
            <v>89</v>
          </cell>
          <cell r="K585">
            <v>89</v>
          </cell>
          <cell r="L585">
            <v>89</v>
          </cell>
          <cell r="M585">
            <v>89</v>
          </cell>
          <cell r="N585">
            <v>89</v>
          </cell>
          <cell r="O585">
            <v>89</v>
          </cell>
          <cell r="P585">
            <v>89</v>
          </cell>
          <cell r="Q585">
            <v>89</v>
          </cell>
          <cell r="R585">
            <v>89</v>
          </cell>
          <cell r="S585">
            <v>89</v>
          </cell>
          <cell r="T585">
            <v>89</v>
          </cell>
          <cell r="U585">
            <v>89</v>
          </cell>
          <cell r="V585">
            <v>89</v>
          </cell>
        </row>
        <row r="586">
          <cell r="A586" t="str">
            <v>Gas-fired:</v>
          </cell>
          <cell r="B586">
            <v>87.7</v>
          </cell>
          <cell r="C586">
            <v>88.1</v>
          </cell>
          <cell r="D586">
            <v>87.7</v>
          </cell>
          <cell r="E586">
            <v>87.7</v>
          </cell>
          <cell r="F586">
            <v>89</v>
          </cell>
          <cell r="G586">
            <v>89</v>
          </cell>
          <cell r="H586">
            <v>89</v>
          </cell>
          <cell r="I586">
            <v>89</v>
          </cell>
          <cell r="J586">
            <v>89</v>
          </cell>
          <cell r="K586">
            <v>89</v>
          </cell>
          <cell r="L586">
            <v>89</v>
          </cell>
          <cell r="M586">
            <v>89</v>
          </cell>
          <cell r="N586">
            <v>89</v>
          </cell>
          <cell r="O586">
            <v>89</v>
          </cell>
          <cell r="P586">
            <v>89</v>
          </cell>
          <cell r="Q586">
            <v>89</v>
          </cell>
          <cell r="R586">
            <v>89</v>
          </cell>
          <cell r="S586">
            <v>89</v>
          </cell>
          <cell r="T586">
            <v>89</v>
          </cell>
          <cell r="U586">
            <v>89</v>
          </cell>
          <cell r="V586">
            <v>89</v>
          </cell>
        </row>
        <row r="587">
          <cell r="A587" t="str">
            <v>Average PLF (%)</v>
          </cell>
        </row>
        <row r="588">
          <cell r="A588" t="str">
            <v>Coal-fired:</v>
          </cell>
          <cell r="B588">
            <v>80.400000000000006</v>
          </cell>
          <cell r="C588">
            <v>81.8</v>
          </cell>
          <cell r="D588">
            <v>81.099999999999994</v>
          </cell>
          <cell r="E588">
            <v>83.6</v>
          </cell>
          <cell r="F588">
            <v>84.4</v>
          </cell>
          <cell r="G588">
            <v>0.79763344678536952</v>
          </cell>
          <cell r="H588">
            <v>0.85470634386130573</v>
          </cell>
          <cell r="I588">
            <v>0.8802198246252072</v>
          </cell>
          <cell r="J588">
            <v>0.88039999999999985</v>
          </cell>
          <cell r="K588">
            <v>0.8828999999999998</v>
          </cell>
          <cell r="L588">
            <v>0.88539999999999974</v>
          </cell>
          <cell r="M588">
            <v>0.88789999999999969</v>
          </cell>
          <cell r="N588">
            <v>0.89039999999999964</v>
          </cell>
          <cell r="O588">
            <v>0.89289999999999958</v>
          </cell>
          <cell r="P588">
            <v>0.89539999999999953</v>
          </cell>
          <cell r="Q588">
            <v>0.89789999999999948</v>
          </cell>
          <cell r="R588">
            <v>0.90039999999999942</v>
          </cell>
          <cell r="S588">
            <v>0.90289999999999937</v>
          </cell>
          <cell r="T588">
            <v>0.90539999999999932</v>
          </cell>
          <cell r="U588">
            <v>0.90789999999999926</v>
          </cell>
          <cell r="V588">
            <v>0.91039999999999921</v>
          </cell>
        </row>
        <row r="589">
          <cell r="A589" t="str">
            <v>Adjustments for</v>
          </cell>
          <cell r="B589" t="str">
            <v>Rsbn</v>
          </cell>
          <cell r="C589">
            <v>72.2</v>
          </cell>
          <cell r="D589">
            <v>71.099999999999994</v>
          </cell>
          <cell r="E589">
            <v>70</v>
          </cell>
          <cell r="F589">
            <v>68.3</v>
          </cell>
          <cell r="G589">
            <v>0.66380340474170041</v>
          </cell>
          <cell r="H589">
            <v>0.66842156913680739</v>
          </cell>
          <cell r="I589">
            <v>0.73033383555871145</v>
          </cell>
          <cell r="J589">
            <v>0.73033383555871145</v>
          </cell>
          <cell r="K589">
            <v>0.73033383555871145</v>
          </cell>
          <cell r="L589">
            <v>0.73033383555871145</v>
          </cell>
          <cell r="M589">
            <v>0.73033383555871145</v>
          </cell>
          <cell r="N589">
            <v>0.73033383555871145</v>
          </cell>
          <cell r="O589">
            <v>0.73033383555871145</v>
          </cell>
          <cell r="P589">
            <v>0.73033383555871145</v>
          </cell>
          <cell r="Q589">
            <v>0.73033383555871145</v>
          </cell>
          <cell r="R589">
            <v>0.73033383555871145</v>
          </cell>
          <cell r="S589">
            <v>0.73033383555871145</v>
          </cell>
          <cell r="T589">
            <v>0.73033383555871145</v>
          </cell>
          <cell r="U589">
            <v>0.73033383555871145</v>
          </cell>
          <cell r="V589">
            <v>0.73033383555871145</v>
          </cell>
        </row>
        <row r="590">
          <cell r="A590" t="str">
            <v>Adjustment for tariff orders of previous years</v>
          </cell>
          <cell r="B590">
            <v>13.96</v>
          </cell>
          <cell r="C590" t="str">
            <v>Upwards</v>
          </cell>
          <cell r="D590">
            <v>113.52767279999998</v>
          </cell>
          <cell r="E590">
            <v>124.35065279999998</v>
          </cell>
          <cell r="F590">
            <v>125.5406112</v>
          </cell>
        </row>
        <row r="591">
          <cell r="A591" t="str">
            <v>Rebates and surcharge on dues writ off</v>
          </cell>
          <cell r="B591">
            <v>26.53</v>
          </cell>
          <cell r="C591" t="str">
            <v>Downward</v>
          </cell>
          <cell r="D591">
            <v>120.92657465868466</v>
          </cell>
          <cell r="E591">
            <v>134.59877047433355</v>
          </cell>
          <cell r="F591">
            <v>134.9544741899839</v>
          </cell>
          <cell r="G591">
            <v>136.11200000000002</v>
          </cell>
          <cell r="H591">
            <v>149.59480689305627</v>
          </cell>
          <cell r="I591">
            <v>172.68170123893805</v>
          </cell>
          <cell r="J591">
            <v>180.42935207999994</v>
          </cell>
          <cell r="K591">
            <v>205.22710313999997</v>
          </cell>
          <cell r="L591">
            <v>205.80821963999995</v>
          </cell>
          <cell r="M591">
            <v>206.3893361399999</v>
          </cell>
          <cell r="N591">
            <v>206.97045263999991</v>
          </cell>
          <cell r="O591">
            <v>207.55156913999991</v>
          </cell>
          <cell r="P591">
            <v>208.13268563999989</v>
          </cell>
          <cell r="Q591">
            <v>208.71380213999987</v>
          </cell>
          <cell r="R591">
            <v>209.29491863999985</v>
          </cell>
          <cell r="S591">
            <v>209.87603513999986</v>
          </cell>
          <cell r="T591">
            <v>210.45715163999986</v>
          </cell>
          <cell r="U591">
            <v>211.03826813999981</v>
          </cell>
          <cell r="V591">
            <v>211.61938463999979</v>
          </cell>
        </row>
        <row r="592">
          <cell r="A592" t="str">
            <v>Provisions written back and water charges</v>
          </cell>
          <cell r="B592">
            <v>4.95</v>
          </cell>
          <cell r="C592" t="str">
            <v>Downwards</v>
          </cell>
          <cell r="D592">
            <v>1.4079999999999999</v>
          </cell>
          <cell r="E592">
            <v>26.250746449396733</v>
          </cell>
          <cell r="F592">
            <v>25.43749530551743</v>
          </cell>
          <cell r="G592">
            <v>22.998000000000005</v>
          </cell>
          <cell r="H592">
            <v>23.158000000000001</v>
          </cell>
          <cell r="I592">
            <v>25.303000000000004</v>
          </cell>
          <cell r="J592">
            <v>25.303000000000004</v>
          </cell>
          <cell r="K592">
            <v>25.303000000000004</v>
          </cell>
          <cell r="L592">
            <v>25.303000000000004</v>
          </cell>
          <cell r="M592">
            <v>25.303000000000004</v>
          </cell>
          <cell r="N592">
            <v>25.303000000000004</v>
          </cell>
          <cell r="O592">
            <v>25.303000000000004</v>
          </cell>
          <cell r="P592">
            <v>25.303000000000004</v>
          </cell>
          <cell r="Q592">
            <v>25.303000000000004</v>
          </cell>
          <cell r="R592">
            <v>25.303000000000004</v>
          </cell>
          <cell r="S592">
            <v>25.303000000000004</v>
          </cell>
          <cell r="T592">
            <v>25.303000000000004</v>
          </cell>
          <cell r="U592">
            <v>25.303000000000004</v>
          </cell>
          <cell r="V592">
            <v>25.303000000000004</v>
          </cell>
        </row>
        <row r="593">
          <cell r="A593" t="str">
            <v>Tax write of previous years rellocated</v>
          </cell>
          <cell r="B593">
            <v>4.6109999999999998</v>
          </cell>
          <cell r="C593" t="str">
            <v>Upwards</v>
          </cell>
          <cell r="D593" t="str">
            <v xml:space="preserve"> incomes</v>
          </cell>
          <cell r="E593">
            <v>160.84951692373028</v>
          </cell>
          <cell r="F593">
            <v>160.39196949550131</v>
          </cell>
          <cell r="G593">
            <v>159.11000000000001</v>
          </cell>
          <cell r="H593">
            <v>172.75280689305629</v>
          </cell>
          <cell r="I593">
            <v>197.98470123893804</v>
          </cell>
          <cell r="J593">
            <v>205.73235207999994</v>
          </cell>
          <cell r="K593">
            <v>230.53010313999997</v>
          </cell>
          <cell r="L593">
            <v>231.11121963999994</v>
          </cell>
          <cell r="M593">
            <v>231.6923361399999</v>
          </cell>
          <cell r="N593">
            <v>232.2734526399999</v>
          </cell>
          <cell r="O593">
            <v>232.85456913999991</v>
          </cell>
          <cell r="P593">
            <v>233.43568563999989</v>
          </cell>
          <cell r="Q593">
            <v>234.01680213999987</v>
          </cell>
          <cell r="R593">
            <v>234.59791863999985</v>
          </cell>
          <cell r="S593">
            <v>235.17903513999985</v>
          </cell>
          <cell r="T593">
            <v>235.76015163999986</v>
          </cell>
          <cell r="U593">
            <v>236.34126813999981</v>
          </cell>
          <cell r="V593">
            <v>236.92238463999979</v>
          </cell>
        </row>
        <row r="596">
          <cell r="B596">
            <v>34.853999999999999</v>
          </cell>
        </row>
        <row r="597">
          <cell r="B597">
            <v>13.949</v>
          </cell>
        </row>
        <row r="598">
          <cell r="B598">
            <v>20.905000000000001</v>
          </cell>
          <cell r="C598">
            <v>22.640999999999998</v>
          </cell>
          <cell r="D598">
            <v>2.2530000000000001</v>
          </cell>
        </row>
        <row r="599">
          <cell r="B599">
            <v>43.545999999999999</v>
          </cell>
        </row>
        <row r="600">
          <cell r="B600">
            <v>12.574999999999999</v>
          </cell>
        </row>
        <row r="601">
          <cell r="B601">
            <v>30.971</v>
          </cell>
        </row>
        <row r="602">
          <cell r="A602" t="str">
            <v>INCENTIVES</v>
          </cell>
        </row>
        <row r="603">
          <cell r="A603" t="str">
            <v>Sales</v>
          </cell>
          <cell r="B603">
            <v>13.96</v>
          </cell>
          <cell r="C603" t="str">
            <v>F2001</v>
          </cell>
          <cell r="D603" t="str">
            <v>F2002</v>
          </cell>
          <cell r="E603" t="str">
            <v>F2003</v>
          </cell>
          <cell r="F603" t="str">
            <v>F2004</v>
          </cell>
          <cell r="G603" t="str">
            <v>F2005</v>
          </cell>
          <cell r="H603" t="str">
            <v>F2006E</v>
          </cell>
          <cell r="I603" t="str">
            <v>F2007E</v>
          </cell>
          <cell r="J603" t="str">
            <v>F2008E</v>
          </cell>
          <cell r="K603" t="str">
            <v>F2009E</v>
          </cell>
          <cell r="L603" t="str">
            <v>F2009E</v>
          </cell>
          <cell r="M603" t="str">
            <v>F2009E</v>
          </cell>
          <cell r="N603" t="str">
            <v>F2009E</v>
          </cell>
          <cell r="O603" t="str">
            <v>F2009E</v>
          </cell>
          <cell r="P603" t="str">
            <v>F2009E</v>
          </cell>
          <cell r="Q603" t="str">
            <v>F2009E</v>
          </cell>
          <cell r="R603" t="str">
            <v>F2009E</v>
          </cell>
          <cell r="S603" t="str">
            <v>F2009E</v>
          </cell>
          <cell r="T603" t="str">
            <v>F2009E</v>
          </cell>
          <cell r="U603" t="str">
            <v>F2009E</v>
          </cell>
          <cell r="V603" t="str">
            <v>F2009E</v>
          </cell>
        </row>
        <row r="604">
          <cell r="A604" t="str">
            <v>Other income</v>
          </cell>
          <cell r="B604">
            <v>43.532000000000004</v>
          </cell>
        </row>
        <row r="605">
          <cell r="A605" t="str">
            <v>Capital Base (Rs billion)</v>
          </cell>
          <cell r="F605">
            <v>163</v>
          </cell>
          <cell r="G605">
            <v>181.5</v>
          </cell>
          <cell r="H605">
            <v>192.678</v>
          </cell>
          <cell r="I605">
            <v>227.79505614035088</v>
          </cell>
          <cell r="J605">
            <v>257.51935614035085</v>
          </cell>
          <cell r="K605">
            <v>282.80515614035085</v>
          </cell>
          <cell r="L605">
            <v>282.80515614035085</v>
          </cell>
          <cell r="M605">
            <v>282.80515614035085</v>
          </cell>
          <cell r="N605">
            <v>282.80515614035085</v>
          </cell>
          <cell r="O605">
            <v>282.80515614035085</v>
          </cell>
          <cell r="P605">
            <v>282.80515614035085</v>
          </cell>
          <cell r="Q605">
            <v>282.80515614035085</v>
          </cell>
          <cell r="R605">
            <v>282.80515614035085</v>
          </cell>
          <cell r="S605">
            <v>282.80515614035085</v>
          </cell>
          <cell r="T605">
            <v>282.80515614035085</v>
          </cell>
          <cell r="U605">
            <v>282.80515614035085</v>
          </cell>
          <cell r="V605">
            <v>282.80515614035085</v>
          </cell>
        </row>
        <row r="606">
          <cell r="A606" t="str">
            <v>Commercial Capacity Addition (MW)</v>
          </cell>
          <cell r="G606">
            <v>1500</v>
          </cell>
          <cell r="H606">
            <v>1000</v>
          </cell>
          <cell r="I606">
            <v>2915</v>
          </cell>
          <cell r="J606">
            <v>2500</v>
          </cell>
          <cell r="K606">
            <v>1980</v>
          </cell>
          <cell r="L606">
            <v>0</v>
          </cell>
          <cell r="M606">
            <v>0</v>
          </cell>
          <cell r="N606">
            <v>0</v>
          </cell>
          <cell r="O606">
            <v>0</v>
          </cell>
          <cell r="P606">
            <v>0</v>
          </cell>
          <cell r="Q606">
            <v>0</v>
          </cell>
          <cell r="R606">
            <v>0</v>
          </cell>
          <cell r="S606">
            <v>0</v>
          </cell>
          <cell r="T606">
            <v>0</v>
          </cell>
          <cell r="U606">
            <v>0</v>
          </cell>
          <cell r="V606">
            <v>0</v>
          </cell>
        </row>
        <row r="607">
          <cell r="A607" t="str">
            <v>What depreciation rates are you going to use - similar to F2004? - Rs4.65bn extra on account of new rates</v>
          </cell>
          <cell r="G607">
            <v>41.111111111111114</v>
          </cell>
          <cell r="H607">
            <v>37.26</v>
          </cell>
          <cell r="I607">
            <v>40.156725146198831</v>
          </cell>
          <cell r="J607">
            <v>39.632399999999997</v>
          </cell>
          <cell r="K607">
            <v>42.568686868686868</v>
          </cell>
          <cell r="L607">
            <v>0</v>
          </cell>
          <cell r="M607">
            <v>0</v>
          </cell>
          <cell r="N607">
            <v>0</v>
          </cell>
          <cell r="O607">
            <v>0</v>
          </cell>
          <cell r="P607">
            <v>0</v>
          </cell>
          <cell r="Q607">
            <v>0</v>
          </cell>
          <cell r="R607">
            <v>0</v>
          </cell>
          <cell r="S607">
            <v>0</v>
          </cell>
          <cell r="T607">
            <v>0</v>
          </cell>
          <cell r="U607">
            <v>0</v>
          </cell>
          <cell r="V607">
            <v>0</v>
          </cell>
        </row>
        <row r="608">
          <cell r="A608" t="str">
            <v>Will provisions continue to be 2% of sales why should there be provisions given the one time settlement - why did you make nil provision inQ1</v>
          </cell>
          <cell r="G608">
            <v>18.5</v>
          </cell>
          <cell r="H608">
            <v>11.178000000000001</v>
          </cell>
          <cell r="I608">
            <v>35.117056140350876</v>
          </cell>
          <cell r="J608">
            <v>29.724299999999996</v>
          </cell>
          <cell r="K608">
            <v>25.285799999999998</v>
          </cell>
          <cell r="L608">
            <v>0</v>
          </cell>
          <cell r="M608">
            <v>0</v>
          </cell>
          <cell r="N608">
            <v>0</v>
          </cell>
          <cell r="O608">
            <v>0</v>
          </cell>
          <cell r="P608">
            <v>0</v>
          </cell>
          <cell r="Q608">
            <v>0</v>
          </cell>
          <cell r="R608">
            <v>0</v>
          </cell>
          <cell r="S608">
            <v>0</v>
          </cell>
          <cell r="T608">
            <v>0</v>
          </cell>
          <cell r="U608">
            <v>0</v>
          </cell>
          <cell r="V608">
            <v>0</v>
          </cell>
        </row>
        <row r="609">
          <cell r="A609" t="str">
            <v>Split of Q1 other income</v>
          </cell>
        </row>
        <row r="610">
          <cell r="A610" t="str">
            <v>How many months after commissioning does the plant get to sufficient cap util to get regulated return</v>
          </cell>
          <cell r="F610">
            <v>22.820000000000004</v>
          </cell>
          <cell r="G610">
            <v>22.820000000000004</v>
          </cell>
          <cell r="H610">
            <v>25.410000000000004</v>
          </cell>
          <cell r="I610">
            <v>26.974920000000001</v>
          </cell>
          <cell r="J610">
            <v>31.891307859649125</v>
          </cell>
          <cell r="K610">
            <v>36.05270985964912</v>
          </cell>
          <cell r="L610">
            <v>39.592721859649124</v>
          </cell>
          <cell r="M610">
            <v>39.592721859649124</v>
          </cell>
          <cell r="N610">
            <v>39.592721859649124</v>
          </cell>
          <cell r="O610">
            <v>39.592721859649124</v>
          </cell>
          <cell r="P610">
            <v>39.592721859649124</v>
          </cell>
          <cell r="Q610">
            <v>39.592721859649124</v>
          </cell>
          <cell r="R610">
            <v>39.592721859649124</v>
          </cell>
          <cell r="S610">
            <v>39.592721859649124</v>
          </cell>
          <cell r="T610">
            <v>39.592721859649124</v>
          </cell>
          <cell r="U610">
            <v>39.592721859649124</v>
          </cell>
          <cell r="V610">
            <v>39.592721859649124</v>
          </cell>
        </row>
        <row r="611">
          <cell r="A611" t="str">
            <v>What are the rebates to customers for prompt payment in  Finance charge</v>
          </cell>
          <cell r="B611">
            <v>4.9000000000000004</v>
          </cell>
          <cell r="G611">
            <v>0.77700000000000002</v>
          </cell>
          <cell r="H611">
            <v>0.78245999999999993</v>
          </cell>
          <cell r="I611">
            <v>2.4581939298245619</v>
          </cell>
          <cell r="J611">
            <v>2.0807009999999981</v>
          </cell>
          <cell r="K611">
            <v>1.7700059999999997</v>
          </cell>
          <cell r="L611">
            <v>0</v>
          </cell>
          <cell r="M611">
            <v>0</v>
          </cell>
          <cell r="N611">
            <v>0</v>
          </cell>
          <cell r="O611">
            <v>0</v>
          </cell>
          <cell r="P611">
            <v>0</v>
          </cell>
          <cell r="Q611">
            <v>0</v>
          </cell>
          <cell r="R611">
            <v>0</v>
          </cell>
          <cell r="S611">
            <v>0</v>
          </cell>
          <cell r="T611">
            <v>0</v>
          </cell>
          <cell r="U611">
            <v>0</v>
          </cell>
          <cell r="V611">
            <v>0</v>
          </cell>
        </row>
        <row r="612">
          <cell r="A612" t="str">
            <v>What were the UI income and expense booked in Q1</v>
          </cell>
          <cell r="F612">
            <v>22.820000000000004</v>
          </cell>
          <cell r="G612">
            <v>23.597000000000005</v>
          </cell>
          <cell r="H612">
            <v>26.192460000000004</v>
          </cell>
          <cell r="I612">
            <v>29.433113929824565</v>
          </cell>
          <cell r="J612">
            <v>33.972008859649122</v>
          </cell>
          <cell r="K612">
            <v>37.822715859649122</v>
          </cell>
          <cell r="L612">
            <v>39.592721859649124</v>
          </cell>
          <cell r="M612">
            <v>39.592721859649124</v>
          </cell>
          <cell r="N612">
            <v>39.592721859649124</v>
          </cell>
          <cell r="O612">
            <v>39.592721859649124</v>
          </cell>
          <cell r="P612">
            <v>39.592721859649124</v>
          </cell>
          <cell r="Q612">
            <v>39.592721859649124</v>
          </cell>
          <cell r="R612">
            <v>39.592721859649124</v>
          </cell>
          <cell r="S612">
            <v>39.592721859649124</v>
          </cell>
          <cell r="T612">
            <v>39.592721859649124</v>
          </cell>
          <cell r="U612">
            <v>39.592721859649124</v>
          </cell>
          <cell r="V612">
            <v>39.592721859649124</v>
          </cell>
        </row>
        <row r="613">
          <cell r="H613">
            <v>0.10999110056363093</v>
          </cell>
          <cell r="I613">
            <v>0.12372468755605848</v>
          </cell>
          <cell r="J613">
            <v>0.15421049028812739</v>
          </cell>
          <cell r="K613">
            <v>0.11334940526798665</v>
          </cell>
          <cell r="L613">
            <v>4.6797432700709907E-2</v>
          </cell>
          <cell r="M613">
            <v>0</v>
          </cell>
          <cell r="N613">
            <v>0</v>
          </cell>
          <cell r="O613">
            <v>0</v>
          </cell>
          <cell r="P613">
            <v>0</v>
          </cell>
          <cell r="Q613">
            <v>0</v>
          </cell>
          <cell r="R613">
            <v>0</v>
          </cell>
          <cell r="S613">
            <v>0</v>
          </cell>
          <cell r="T613">
            <v>0</v>
          </cell>
          <cell r="U613">
            <v>0</v>
          </cell>
          <cell r="V613">
            <v>0</v>
          </cell>
        </row>
        <row r="614">
          <cell r="A614" t="str">
            <v>INCENTIVES - UI Charges &amp; PLF-related</v>
          </cell>
        </row>
        <row r="615">
          <cell r="A615" t="str">
            <v>UI Charges</v>
          </cell>
          <cell r="F615">
            <v>2.1760000000000002</v>
          </cell>
          <cell r="G615">
            <v>5.4</v>
          </cell>
          <cell r="H615">
            <v>6</v>
          </cell>
          <cell r="I615">
            <v>6.4499999999999993</v>
          </cell>
          <cell r="J615">
            <v>6.6112499999999983</v>
          </cell>
          <cell r="K615">
            <v>6.6112499999999983</v>
          </cell>
          <cell r="L615">
            <v>6.6112499999999983</v>
          </cell>
          <cell r="M615">
            <v>6.6112499999999983</v>
          </cell>
          <cell r="N615">
            <v>6.6112499999999983</v>
          </cell>
          <cell r="O615">
            <v>6.6112499999999983</v>
          </cell>
          <cell r="P615">
            <v>6.6112499999999983</v>
          </cell>
          <cell r="Q615">
            <v>6.6112499999999983</v>
          </cell>
          <cell r="R615">
            <v>6.6112499999999983</v>
          </cell>
          <cell r="S615">
            <v>6.6112499999999983</v>
          </cell>
          <cell r="T615">
            <v>6.6112499999999983</v>
          </cell>
          <cell r="U615">
            <v>6.6112499999999983</v>
          </cell>
          <cell r="V615">
            <v>6.6112499999999983</v>
          </cell>
        </row>
        <row r="616">
          <cell r="A616" t="str">
            <v>Dear Ms Sulochana,</v>
          </cell>
          <cell r="G616">
            <v>136.11199999999999</v>
          </cell>
          <cell r="H616">
            <v>147.72300000000001</v>
          </cell>
          <cell r="I616">
            <v>163.37100000000001</v>
          </cell>
          <cell r="J616">
            <v>176.57320007999996</v>
          </cell>
          <cell r="K616">
            <v>193.08440285999995</v>
          </cell>
          <cell r="L616">
            <v>205.80821963999995</v>
          </cell>
          <cell r="M616">
            <v>206.38933613999995</v>
          </cell>
          <cell r="N616">
            <v>206.97045263999993</v>
          </cell>
          <cell r="O616">
            <v>207.55156913999991</v>
          </cell>
          <cell r="P616">
            <v>208.13268563999992</v>
          </cell>
          <cell r="Q616">
            <v>208.7138021399999</v>
          </cell>
          <cell r="R616">
            <v>209.29491863999988</v>
          </cell>
          <cell r="S616">
            <v>209.87603513999986</v>
          </cell>
          <cell r="T616">
            <v>210.45715163999986</v>
          </cell>
          <cell r="U616">
            <v>211.03826813999984</v>
          </cell>
          <cell r="V616">
            <v>211.61938463999982</v>
          </cell>
        </row>
        <row r="617">
          <cell r="A617" t="str">
            <v>As discussed please find the difference between the calculated non recurring items</v>
          </cell>
          <cell r="G617">
            <v>0.87509999999999999</v>
          </cell>
          <cell r="H617">
            <v>0.87539999999999996</v>
          </cell>
          <cell r="I617">
            <v>0.8778999999999999</v>
          </cell>
          <cell r="J617">
            <v>0.88039999999999985</v>
          </cell>
          <cell r="K617">
            <v>0.8828999999999998</v>
          </cell>
          <cell r="L617">
            <v>0.88539999999999974</v>
          </cell>
          <cell r="M617">
            <v>0.88789999999999969</v>
          </cell>
          <cell r="N617">
            <v>0.89039999999999964</v>
          </cell>
          <cell r="O617">
            <v>0.89289999999999958</v>
          </cell>
          <cell r="P617">
            <v>0.89539999999999953</v>
          </cell>
          <cell r="Q617">
            <v>0.89789999999999948</v>
          </cell>
          <cell r="R617">
            <v>0.90039999999999942</v>
          </cell>
          <cell r="S617">
            <v>0.90289999999999937</v>
          </cell>
          <cell r="T617">
            <v>0.90539999999999932</v>
          </cell>
          <cell r="U617">
            <v>0.90789999999999926</v>
          </cell>
          <cell r="V617">
            <v>0.91039999999999921</v>
          </cell>
        </row>
        <row r="618">
          <cell r="A618" t="str">
            <v>from the propectus and the reported non recurring items in F2004.</v>
          </cell>
          <cell r="G618">
            <v>2.9202408867557956</v>
          </cell>
          <cell r="H618">
            <v>3.1809213502398919</v>
          </cell>
          <cell r="I618">
            <v>3.6241601833921777</v>
          </cell>
          <cell r="J618">
            <v>4.0312600199999906</v>
          </cell>
          <cell r="K618">
            <v>4.5324207149999864</v>
          </cell>
          <cell r="L618">
            <v>4.9627349099999876</v>
          </cell>
          <cell r="M618">
            <v>5.1080140349999823</v>
          </cell>
          <cell r="N618">
            <v>5.2532931599999699</v>
          </cell>
          <cell r="O618">
            <v>5.3985722849999718</v>
          </cell>
          <cell r="P618">
            <v>5.5438514099999665</v>
          </cell>
          <cell r="Q618">
            <v>5.6891305349999683</v>
          </cell>
          <cell r="R618">
            <v>5.8344096599999631</v>
          </cell>
          <cell r="S618">
            <v>5.9796887849999649</v>
          </cell>
          <cell r="T618">
            <v>6.1249679099999597</v>
          </cell>
          <cell r="U618">
            <v>6.2702470349999544</v>
          </cell>
          <cell r="V618">
            <v>6.4155261599999491</v>
          </cell>
        </row>
        <row r="619">
          <cell r="A619" t="str">
            <v>Would appreciate it if you could explain the difference and help us</v>
          </cell>
          <cell r="G619">
            <v>0.75</v>
          </cell>
          <cell r="H619">
            <v>0.84</v>
          </cell>
          <cell r="I619">
            <v>0.85</v>
          </cell>
          <cell r="J619">
            <v>0.85</v>
          </cell>
          <cell r="K619">
            <v>0.85</v>
          </cell>
          <cell r="L619">
            <v>0.85</v>
          </cell>
          <cell r="M619">
            <v>0.85</v>
          </cell>
          <cell r="N619">
            <v>0.85</v>
          </cell>
          <cell r="O619">
            <v>0.85</v>
          </cell>
          <cell r="P619">
            <v>0.85</v>
          </cell>
          <cell r="Q619">
            <v>0.85</v>
          </cell>
          <cell r="R619">
            <v>0.85</v>
          </cell>
          <cell r="S619">
            <v>0.85</v>
          </cell>
          <cell r="T619">
            <v>0.85</v>
          </cell>
          <cell r="U619">
            <v>0.85</v>
          </cell>
          <cell r="V619">
            <v>0.85</v>
          </cell>
        </row>
        <row r="620">
          <cell r="A620" t="str">
            <v>calculated the true F2004 profits for NTPC</v>
          </cell>
          <cell r="G620">
            <v>2.1901806650668467</v>
          </cell>
          <cell r="H620">
            <v>2.671973934201509</v>
          </cell>
          <cell r="I620">
            <v>3.0805361558833511</v>
          </cell>
          <cell r="J620">
            <v>3.4265710169999921</v>
          </cell>
          <cell r="K620">
            <v>3.8525576077499886</v>
          </cell>
          <cell r="L620">
            <v>4.2183246734999891</v>
          </cell>
          <cell r="M620">
            <v>4.3418119297499844</v>
          </cell>
          <cell r="N620">
            <v>4.4652991859999744</v>
          </cell>
          <cell r="O620">
            <v>4.588786442249976</v>
          </cell>
          <cell r="P620">
            <v>4.7122736984999714</v>
          </cell>
          <cell r="Q620">
            <v>4.8357609547499729</v>
          </cell>
          <cell r="R620">
            <v>4.9592482109999683</v>
          </cell>
          <cell r="S620">
            <v>5.0827354672499698</v>
          </cell>
          <cell r="T620">
            <v>5.2062227234999652</v>
          </cell>
          <cell r="U620">
            <v>5.3297099797499614</v>
          </cell>
          <cell r="V620">
            <v>5.4531972359999568</v>
          </cell>
        </row>
        <row r="621">
          <cell r="A621" t="str">
            <v>UI plus PLF incentives (Rs billion)</v>
          </cell>
          <cell r="F621">
            <v>2.1760000000000002</v>
          </cell>
          <cell r="G621">
            <v>7.5901806650668471</v>
          </cell>
          <cell r="H621">
            <v>8.6719739342015085</v>
          </cell>
          <cell r="I621">
            <v>9.5305361558833503</v>
          </cell>
          <cell r="J621">
            <v>10.03782101699999</v>
          </cell>
          <cell r="K621">
            <v>10.463807607749986</v>
          </cell>
          <cell r="L621">
            <v>10.829574673499987</v>
          </cell>
          <cell r="M621">
            <v>10.953061929749982</v>
          </cell>
          <cell r="N621">
            <v>11.076549185999973</v>
          </cell>
          <cell r="O621">
            <v>11.200036442249974</v>
          </cell>
          <cell r="P621">
            <v>11.323523698499969</v>
          </cell>
          <cell r="Q621">
            <v>11.44701095474997</v>
          </cell>
          <cell r="R621">
            <v>11.570498210999967</v>
          </cell>
          <cell r="S621">
            <v>11.693985467249968</v>
          </cell>
          <cell r="T621">
            <v>11.817472723499964</v>
          </cell>
          <cell r="U621">
            <v>11.940959979749959</v>
          </cell>
          <cell r="V621">
            <v>12.064447235999955</v>
          </cell>
        </row>
        <row r="622">
          <cell r="A622" t="str">
            <v>Non recurring income</v>
          </cell>
        </row>
        <row r="623">
          <cell r="A623" t="str">
            <v>INCENTIVES - Interest on Working Capital</v>
          </cell>
          <cell r="B623" t="str">
            <v>Rs bn</v>
          </cell>
        </row>
        <row r="624">
          <cell r="A624" t="str">
            <v>Provision written back</v>
          </cell>
          <cell r="B624">
            <v>9.6479999999999997</v>
          </cell>
        </row>
        <row r="625">
          <cell r="A625" t="str">
            <v>Other income - prior year interest</v>
          </cell>
          <cell r="B625">
            <v>20.905000000000001</v>
          </cell>
          <cell r="F625">
            <v>31016.547945205479</v>
          </cell>
          <cell r="G625">
            <v>36846.575342465752</v>
          </cell>
          <cell r="H625">
            <v>45077.917808219179</v>
          </cell>
          <cell r="I625">
            <v>55686.082191780821</v>
          </cell>
          <cell r="J625">
            <v>63509.589041095889</v>
          </cell>
          <cell r="K625">
            <v>65845.479263835907</v>
          </cell>
          <cell r="L625">
            <v>69695.470724352403</v>
          </cell>
          <cell r="M625">
            <v>70057.501055751258</v>
          </cell>
          <cell r="N625">
            <v>70381.419995122182</v>
          </cell>
          <cell r="O625">
            <v>70714.065612107297</v>
          </cell>
          <cell r="P625">
            <v>71049.063411789393</v>
          </cell>
          <cell r="Q625">
            <v>71387.981776954577</v>
          </cell>
          <cell r="R625">
            <v>71731.24623566537</v>
          </cell>
          <cell r="S625">
            <v>72079.587503519273</v>
          </cell>
          <cell r="T625">
            <v>72433.68681797685</v>
          </cell>
          <cell r="U625">
            <v>72794.295452522972</v>
          </cell>
          <cell r="V625">
            <v>74861.443573120821</v>
          </cell>
        </row>
        <row r="626">
          <cell r="A626" t="str">
            <v>Other income - late payment surcharge</v>
          </cell>
          <cell r="B626">
            <v>22.640999999999998</v>
          </cell>
          <cell r="F626">
            <v>60</v>
          </cell>
          <cell r="G626">
            <v>60</v>
          </cell>
          <cell r="H626">
            <v>60</v>
          </cell>
          <cell r="I626">
            <v>60</v>
          </cell>
          <cell r="J626">
            <v>60</v>
          </cell>
          <cell r="K626">
            <v>60</v>
          </cell>
          <cell r="L626">
            <v>60</v>
          </cell>
          <cell r="M626">
            <v>60</v>
          </cell>
          <cell r="N626">
            <v>60</v>
          </cell>
          <cell r="O626">
            <v>60</v>
          </cell>
          <cell r="P626">
            <v>60</v>
          </cell>
          <cell r="Q626">
            <v>60</v>
          </cell>
          <cell r="R626">
            <v>60</v>
          </cell>
          <cell r="S626">
            <v>60</v>
          </cell>
          <cell r="T626">
            <v>60</v>
          </cell>
          <cell r="U626">
            <v>60</v>
          </cell>
          <cell r="V626">
            <v>60</v>
          </cell>
        </row>
        <row r="627">
          <cell r="A627" t="str">
            <v>Converting dues into long term advance of DVB (incl prior period)</v>
          </cell>
          <cell r="B627">
            <v>2.2530000000000001</v>
          </cell>
          <cell r="F627">
            <v>16732.876712328769</v>
          </cell>
          <cell r="G627">
            <v>18799.31506849315</v>
          </cell>
          <cell r="H627">
            <v>22460.68493150685</v>
          </cell>
          <cell r="I627">
            <v>27150.821917808218</v>
          </cell>
          <cell r="J627">
            <v>30436.575342465752</v>
          </cell>
          <cell r="K627">
            <v>32998.014344062904</v>
          </cell>
          <cell r="L627">
            <v>34920.564285676643</v>
          </cell>
          <cell r="M627">
            <v>35008.370131395983</v>
          </cell>
          <cell r="N627">
            <v>35096.175977115308</v>
          </cell>
          <cell r="O627">
            <v>35183.981822834641</v>
          </cell>
          <cell r="P627">
            <v>35271.787668553981</v>
          </cell>
          <cell r="Q627">
            <v>35359.593514273314</v>
          </cell>
          <cell r="R627">
            <v>35447.399359992647</v>
          </cell>
          <cell r="S627">
            <v>35535.20520571198</v>
          </cell>
          <cell r="T627">
            <v>35623.01105143132</v>
          </cell>
          <cell r="U627">
            <v>35710.816897150653</v>
          </cell>
          <cell r="V627">
            <v>35798.622742869979</v>
          </cell>
        </row>
        <row r="628">
          <cell r="A628" t="str">
            <v>Earned interest from public deposits</v>
          </cell>
          <cell r="B628">
            <v>2.7509999999999999</v>
          </cell>
          <cell r="F628">
            <v>50</v>
          </cell>
          <cell r="G628">
            <v>50</v>
          </cell>
          <cell r="H628">
            <v>50</v>
          </cell>
          <cell r="I628">
            <v>50</v>
          </cell>
          <cell r="J628">
            <v>50</v>
          </cell>
          <cell r="K628">
            <v>50</v>
          </cell>
          <cell r="L628">
            <v>50</v>
          </cell>
          <cell r="M628">
            <v>50</v>
          </cell>
          <cell r="N628">
            <v>50</v>
          </cell>
          <cell r="O628">
            <v>50</v>
          </cell>
          <cell r="P628">
            <v>50</v>
          </cell>
          <cell r="Q628">
            <v>50</v>
          </cell>
          <cell r="R628">
            <v>50</v>
          </cell>
          <cell r="S628">
            <v>50</v>
          </cell>
          <cell r="T628">
            <v>50</v>
          </cell>
          <cell r="U628">
            <v>50</v>
          </cell>
          <cell r="V628">
            <v>50</v>
          </cell>
        </row>
        <row r="629">
          <cell r="A629" t="str">
            <v>Total Non recurring income (1)</v>
          </cell>
          <cell r="B629">
            <v>58.197999999999993</v>
          </cell>
          <cell r="F629">
            <v>0.35</v>
          </cell>
          <cell r="G629">
            <v>0.09</v>
          </cell>
          <cell r="H629">
            <v>0.1</v>
          </cell>
          <cell r="I629">
            <v>0.1</v>
          </cell>
          <cell r="J629">
            <v>0.1</v>
          </cell>
          <cell r="K629">
            <v>0.1</v>
          </cell>
          <cell r="L629">
            <v>0.1</v>
          </cell>
          <cell r="M629">
            <v>0.1</v>
          </cell>
          <cell r="N629">
            <v>0.1</v>
          </cell>
          <cell r="O629">
            <v>0.1</v>
          </cell>
          <cell r="P629">
            <v>0.1</v>
          </cell>
          <cell r="Q629">
            <v>0.1</v>
          </cell>
          <cell r="R629">
            <v>0.1</v>
          </cell>
          <cell r="S629">
            <v>0.1</v>
          </cell>
          <cell r="T629">
            <v>0.1</v>
          </cell>
          <cell r="U629">
            <v>0.1</v>
          </cell>
          <cell r="V629">
            <v>0.1</v>
          </cell>
        </row>
        <row r="630">
          <cell r="A630" t="str">
            <v>Other Working Capital</v>
          </cell>
          <cell r="F630">
            <v>16712.298630136986</v>
          </cell>
          <cell r="G630">
            <v>5008.1301369863013</v>
          </cell>
          <cell r="H630">
            <v>6753.8602739726039</v>
          </cell>
          <cell r="I630">
            <v>8283.690410958905</v>
          </cell>
          <cell r="J630">
            <v>9394.6164383561645</v>
          </cell>
          <cell r="K630">
            <v>9884.3493607898818</v>
          </cell>
          <cell r="L630">
            <v>10461.603501002905</v>
          </cell>
          <cell r="M630">
            <v>10506.587118714726</v>
          </cell>
          <cell r="N630">
            <v>10547.75959722375</v>
          </cell>
          <cell r="O630">
            <v>10589.804743494195</v>
          </cell>
          <cell r="P630">
            <v>10632.085108034338</v>
          </cell>
          <cell r="Q630">
            <v>10674.757529122791</v>
          </cell>
          <cell r="R630">
            <v>10717.864559565802</v>
          </cell>
          <cell r="S630">
            <v>10761.479270923126</v>
          </cell>
          <cell r="T630">
            <v>10805.669786940818</v>
          </cell>
          <cell r="U630">
            <v>10850.511234967364</v>
          </cell>
          <cell r="V630">
            <v>11066.006631599081</v>
          </cell>
        </row>
        <row r="631">
          <cell r="A631" t="str">
            <v>Non recurring expense</v>
          </cell>
          <cell r="F631">
            <v>64461.72328767123</v>
          </cell>
          <cell r="G631">
            <v>60654.020547945205</v>
          </cell>
          <cell r="H631">
            <v>74292.463013698638</v>
          </cell>
          <cell r="I631">
            <v>91120.594520547951</v>
          </cell>
          <cell r="J631">
            <v>103340.78082191781</v>
          </cell>
          <cell r="K631">
            <v>108727.8429686887</v>
          </cell>
          <cell r="L631">
            <v>115077.63851103195</v>
          </cell>
          <cell r="M631">
            <v>115572.45830586198</v>
          </cell>
          <cell r="N631">
            <v>116025.35556946124</v>
          </cell>
          <cell r="O631">
            <v>116487.85217843614</v>
          </cell>
          <cell r="P631">
            <v>116952.93618837772</v>
          </cell>
          <cell r="Q631">
            <v>117422.33282035068</v>
          </cell>
          <cell r="R631">
            <v>117896.51015522382</v>
          </cell>
          <cell r="S631">
            <v>118376.27198015439</v>
          </cell>
          <cell r="T631">
            <v>118862.36765634899</v>
          </cell>
          <cell r="U631">
            <v>119355.623584641</v>
          </cell>
          <cell r="V631">
            <v>121726.07294758988</v>
          </cell>
        </row>
        <row r="632">
          <cell r="A632" t="str">
            <v>Interest rate</v>
          </cell>
          <cell r="F632">
            <v>0.10249999999999999</v>
          </cell>
          <cell r="G632">
            <v>0.10249999999999999</v>
          </cell>
          <cell r="H632">
            <v>0.10249999999999999</v>
          </cell>
          <cell r="I632">
            <v>0.10249999999999999</v>
          </cell>
          <cell r="J632">
            <v>0.10249999999999999</v>
          </cell>
          <cell r="K632">
            <v>0.10249999999999999</v>
          </cell>
          <cell r="L632">
            <v>0.10249999999999999</v>
          </cell>
          <cell r="M632">
            <v>0.10249999999999999</v>
          </cell>
          <cell r="N632">
            <v>0.10249999999999999</v>
          </cell>
          <cell r="O632">
            <v>0.10249999999999999</v>
          </cell>
          <cell r="P632">
            <v>0.10249999999999999</v>
          </cell>
          <cell r="Q632">
            <v>0.10249999999999999</v>
          </cell>
          <cell r="R632">
            <v>0.10249999999999999</v>
          </cell>
          <cell r="S632">
            <v>0.10249999999999999</v>
          </cell>
          <cell r="T632">
            <v>0.10249999999999999</v>
          </cell>
          <cell r="U632">
            <v>0.10249999999999999</v>
          </cell>
          <cell r="V632">
            <v>0.10249999999999999</v>
          </cell>
        </row>
        <row r="633">
          <cell r="A633" t="str">
            <v>Interest on previously issued to SEB returned</v>
          </cell>
          <cell r="B633">
            <v>3.8170000000000002</v>
          </cell>
          <cell r="F633">
            <v>6607.3266369863004</v>
          </cell>
          <cell r="G633">
            <v>6217.0371061643827</v>
          </cell>
          <cell r="H633">
            <v>7614.9774589041099</v>
          </cell>
          <cell r="I633">
            <v>9339.8609383561652</v>
          </cell>
          <cell r="J633">
            <v>10592.430034246576</v>
          </cell>
          <cell r="K633">
            <v>11144.60390429059</v>
          </cell>
          <cell r="L633">
            <v>11795.457947380775</v>
          </cell>
          <cell r="M633">
            <v>11846.176976350851</v>
          </cell>
          <cell r="N633">
            <v>11892.598945869777</v>
          </cell>
          <cell r="O633">
            <v>11940.004848289704</v>
          </cell>
          <cell r="P633">
            <v>11987.675959308715</v>
          </cell>
          <cell r="Q633">
            <v>12035.789114085945</v>
          </cell>
          <cell r="R633">
            <v>12084.39229091044</v>
          </cell>
          <cell r="S633">
            <v>12133.567877965825</v>
          </cell>
          <cell r="T633">
            <v>12183.39268477577</v>
          </cell>
          <cell r="U633">
            <v>12233.951417425702</v>
          </cell>
          <cell r="V633">
            <v>12476.922477127962</v>
          </cell>
        </row>
        <row r="634">
          <cell r="A634" t="str">
            <v>Additional depreciation charge</v>
          </cell>
          <cell r="B634">
            <v>4.6529999999999996</v>
          </cell>
          <cell r="F634">
            <v>2830.2599999999998</v>
          </cell>
          <cell r="G634">
            <v>3828</v>
          </cell>
          <cell r="H634">
            <v>4244</v>
          </cell>
          <cell r="I634">
            <v>7113.8970000000008</v>
          </cell>
          <cell r="J634">
            <v>8113.35</v>
          </cell>
          <cell r="K634">
            <v>8411.7599759550394</v>
          </cell>
          <cell r="L634">
            <v>8903.5963850360185</v>
          </cell>
          <cell r="M634">
            <v>8949.8457598722234</v>
          </cell>
          <cell r="N634">
            <v>8991.2264043768591</v>
          </cell>
          <cell r="O634">
            <v>9033.7218819467089</v>
          </cell>
          <cell r="P634">
            <v>9076.5178508560948</v>
          </cell>
          <cell r="Q634">
            <v>9119.8146720059467</v>
          </cell>
          <cell r="R634">
            <v>9163.666706606251</v>
          </cell>
          <cell r="S634">
            <v>9208.167303574588</v>
          </cell>
          <cell r="T634">
            <v>9253.403490996543</v>
          </cell>
          <cell r="U634">
            <v>9299.4712440598087</v>
          </cell>
          <cell r="V634">
            <v>9563.5494164661868</v>
          </cell>
        </row>
        <row r="635">
          <cell r="A635" t="str">
            <v>Rebates to SEBs on OTS</v>
          </cell>
          <cell r="B635">
            <v>12.574999999999999</v>
          </cell>
          <cell r="F635">
            <v>5000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row>
        <row r="636">
          <cell r="A636" t="str">
            <v>Total non recurring expense (2)</v>
          </cell>
          <cell r="B636">
            <v>21.044999999999998</v>
          </cell>
          <cell r="F636">
            <v>3264.5666369863006</v>
          </cell>
          <cell r="G636">
            <v>2389.0371061643827</v>
          </cell>
          <cell r="H636">
            <v>3370.9774589041099</v>
          </cell>
          <cell r="I636">
            <v>2225.9639383561644</v>
          </cell>
          <cell r="J636">
            <v>2479.0800342465755</v>
          </cell>
          <cell r="K636">
            <v>2732.843928335551</v>
          </cell>
          <cell r="L636">
            <v>2891.8615623447567</v>
          </cell>
          <cell r="M636">
            <v>2896.3312164786275</v>
          </cell>
          <cell r="N636">
            <v>2901.3725414929177</v>
          </cell>
          <cell r="O636">
            <v>2906.2829663429948</v>
          </cell>
          <cell r="P636">
            <v>2911.1581084526206</v>
          </cell>
          <cell r="Q636">
            <v>2915.974442079998</v>
          </cell>
          <cell r="R636">
            <v>2920.7255843041894</v>
          </cell>
          <cell r="S636">
            <v>2925.4005743912367</v>
          </cell>
          <cell r="T636">
            <v>2929.9891937792272</v>
          </cell>
          <cell r="U636">
            <v>2934.4801733658933</v>
          </cell>
          <cell r="V636">
            <v>2913.3730606617755</v>
          </cell>
        </row>
        <row r="637">
          <cell r="A637" t="str">
            <v>Breakdown of incentive</v>
          </cell>
        </row>
        <row r="638">
          <cell r="A638" t="str">
            <v>Net non recurring income (1-2)</v>
          </cell>
          <cell r="B638">
            <v>37.152999999999992</v>
          </cell>
          <cell r="F638">
            <v>10091.5</v>
          </cell>
          <cell r="G638">
            <v>12449</v>
          </cell>
          <cell r="H638">
            <v>17031.5</v>
          </cell>
          <cell r="I638">
            <v>19162.5</v>
          </cell>
          <cell r="J638">
            <v>22536.630358040315</v>
          </cell>
          <cell r="K638">
            <v>24584.018261820278</v>
          </cell>
          <cell r="L638">
            <v>25955.125166978967</v>
          </cell>
          <cell r="M638">
            <v>26748.186020418325</v>
          </cell>
          <cell r="N638">
            <v>26856.884615418294</v>
          </cell>
          <cell r="O638">
            <v>26961.940600350994</v>
          </cell>
          <cell r="P638">
            <v>27068.36995129758</v>
          </cell>
          <cell r="Q638">
            <v>27175.57688937155</v>
          </cell>
          <cell r="R638">
            <v>27283.808585249069</v>
          </cell>
          <cell r="S638">
            <v>27393.208370076296</v>
          </cell>
          <cell r="T638">
            <v>27503.951273440071</v>
          </cell>
          <cell r="U638">
            <v>27616.214873339559</v>
          </cell>
          <cell r="V638">
            <v>27940.832717663368</v>
          </cell>
        </row>
        <row r="639">
          <cell r="A639" t="str">
            <v>Non recurring mentioned in the prospectus</v>
          </cell>
          <cell r="B639">
            <v>12.7</v>
          </cell>
          <cell r="F639">
            <v>5572.9478869863005</v>
          </cell>
          <cell r="G639">
            <v>4941.0146061643836</v>
          </cell>
          <cell r="H639">
            <v>5869.2487089041097</v>
          </cell>
          <cell r="I639">
            <v>7375.7046883561643</v>
          </cell>
          <cell r="J639">
            <v>8282.4254225474433</v>
          </cell>
          <cell r="K639">
            <v>8624.7420324540126</v>
          </cell>
          <cell r="L639">
            <v>9135.0576177654311</v>
          </cell>
          <cell r="M639">
            <v>9104.4879092579722</v>
          </cell>
          <cell r="N639">
            <v>9139.7682727894007</v>
          </cell>
          <cell r="O639">
            <v>9176.4059367537266</v>
          </cell>
          <cell r="P639">
            <v>9213.1680393007136</v>
          </cell>
          <cell r="Q639">
            <v>9250.2924829253589</v>
          </cell>
          <cell r="R639">
            <v>9287.8019109224097</v>
          </cell>
          <cell r="S639">
            <v>9325.7640200330043</v>
          </cell>
          <cell r="T639">
            <v>9364.2376792481627</v>
          </cell>
          <cell r="U639">
            <v>9403.2893929083966</v>
          </cell>
          <cell r="V639">
            <v>9612.9871235674673</v>
          </cell>
        </row>
        <row r="640">
          <cell r="A640" t="str">
            <v>Difference</v>
          </cell>
          <cell r="B640">
            <v>24.452999999999992</v>
          </cell>
          <cell r="F640">
            <v>2742.6878869863008</v>
          </cell>
          <cell r="G640">
            <v>1113.0146061643836</v>
          </cell>
          <cell r="H640">
            <v>1625.2487089041097</v>
          </cell>
          <cell r="I640">
            <v>261.80768835616345</v>
          </cell>
          <cell r="J640">
            <v>169.07542254744294</v>
          </cell>
          <cell r="K640">
            <v>212.98205649897318</v>
          </cell>
          <cell r="L640">
            <v>231.46123272941259</v>
          </cell>
          <cell r="M640">
            <v>154.64214938574878</v>
          </cell>
          <cell r="N640">
            <v>148.54186841254159</v>
          </cell>
          <cell r="O640">
            <v>142.68405480701767</v>
          </cell>
          <cell r="P640">
            <v>136.65018844461883</v>
          </cell>
          <cell r="Q640">
            <v>130.47781091941215</v>
          </cell>
          <cell r="R640">
            <v>124.13520431615871</v>
          </cell>
          <cell r="S640">
            <v>117.59671645841627</v>
          </cell>
          <cell r="T640">
            <v>110.83418825161971</v>
          </cell>
          <cell r="U640">
            <v>103.81814884858795</v>
          </cell>
          <cell r="V640">
            <v>49.437707101280466</v>
          </cell>
        </row>
        <row r="641">
          <cell r="A641" t="str">
            <v>As % of net earned due to funding of interest on wcap</v>
          </cell>
          <cell r="F641">
            <v>0.8401384293745725</v>
          </cell>
          <cell r="G641">
            <v>0.46588418542872156</v>
          </cell>
          <cell r="H641">
            <v>0.4821298061816382</v>
          </cell>
          <cell r="I641">
            <v>0.11761542217503482</v>
          </cell>
          <cell r="J641">
            <v>6.8200872989898104E-2</v>
          </cell>
          <cell r="K641">
            <v>7.7934218742118477E-2</v>
          </cell>
          <cell r="L641">
            <v>8.0038835794664032E-2</v>
          </cell>
          <cell r="M641">
            <v>5.3392425737054827E-2</v>
          </cell>
          <cell r="N641">
            <v>5.119710284984931E-2</v>
          </cell>
          <cell r="O641">
            <v>4.9095031853198544E-2</v>
          </cell>
          <cell r="P641">
            <v>4.6940146619948803E-2</v>
          </cell>
          <cell r="Q641">
            <v>4.4745869180643723E-2</v>
          </cell>
          <cell r="R641">
            <v>4.2501495170670645E-2</v>
          </cell>
          <cell r="S641">
            <v>4.0198500502068045E-2</v>
          </cell>
          <cell r="T641">
            <v>3.7827507516729426E-2</v>
          </cell>
          <cell r="U641">
            <v>3.5378718790083682E-2</v>
          </cell>
          <cell r="V641">
            <v>1.6969233281113213E-2</v>
          </cell>
        </row>
        <row r="642">
          <cell r="A642" t="str">
            <v>Sales  adjustment</v>
          </cell>
          <cell r="B642" t="str">
            <v>cannot understand</v>
          </cell>
        </row>
        <row r="643">
          <cell r="A643" t="str">
            <v>INCENTIVES - O&amp;M Charges</v>
          </cell>
          <cell r="B643">
            <v>22</v>
          </cell>
        </row>
        <row r="644">
          <cell r="A644" t="str">
            <v>Normative O&amp;M Cost per MW</v>
          </cell>
          <cell r="B644">
            <v>61.281999999999996</v>
          </cell>
          <cell r="G644">
            <v>0.93600000000000005</v>
          </cell>
          <cell r="H644">
            <v>0.97299999999999998</v>
          </cell>
          <cell r="I644">
            <v>1.012</v>
          </cell>
          <cell r="J644">
            <v>1.052</v>
          </cell>
          <cell r="K644">
            <v>1.095</v>
          </cell>
          <cell r="L644">
            <v>1.095</v>
          </cell>
          <cell r="M644">
            <v>1.095</v>
          </cell>
          <cell r="N644">
            <v>1.095</v>
          </cell>
          <cell r="O644">
            <v>1.095</v>
          </cell>
          <cell r="P644">
            <v>1.095</v>
          </cell>
          <cell r="Q644">
            <v>1.095</v>
          </cell>
          <cell r="R644">
            <v>1.095</v>
          </cell>
          <cell r="S644">
            <v>1.095</v>
          </cell>
          <cell r="T644">
            <v>1.095</v>
          </cell>
          <cell r="U644">
            <v>1.095</v>
          </cell>
          <cell r="V644">
            <v>1.095</v>
          </cell>
        </row>
        <row r="645">
          <cell r="A645" t="str">
            <v>Total Normative O&amp;M cost</v>
          </cell>
          <cell r="B645">
            <v>39.281999999999996</v>
          </cell>
          <cell r="G645">
            <v>20999.16</v>
          </cell>
          <cell r="H645">
            <v>22802.255000000001</v>
          </cell>
          <cell r="I645">
            <v>26666.2</v>
          </cell>
          <cell r="J645">
            <v>30350.2</v>
          </cell>
          <cell r="K645">
            <v>33758.85</v>
          </cell>
          <cell r="L645">
            <v>33758.85</v>
          </cell>
          <cell r="M645">
            <v>33758.85</v>
          </cell>
          <cell r="N645">
            <v>33758.85</v>
          </cell>
          <cell r="O645">
            <v>33758.85</v>
          </cell>
          <cell r="P645">
            <v>33758.85</v>
          </cell>
          <cell r="Q645">
            <v>33758.85</v>
          </cell>
          <cell r="R645">
            <v>33758.85</v>
          </cell>
          <cell r="S645">
            <v>33758.85</v>
          </cell>
          <cell r="T645">
            <v>33758.85</v>
          </cell>
          <cell r="U645">
            <v>33758.85</v>
          </cell>
          <cell r="V645">
            <v>33758.85</v>
          </cell>
        </row>
        <row r="646">
          <cell r="A646" t="str">
            <v>Savings - Assumed</v>
          </cell>
          <cell r="H646">
            <v>5.0000000000000001E-3</v>
          </cell>
          <cell r="I646">
            <v>0.01</v>
          </cell>
          <cell r="J646">
            <v>1.4999999999999999E-2</v>
          </cell>
          <cell r="K646">
            <v>1.4999999999999999E-2</v>
          </cell>
          <cell r="L646">
            <v>1.4999999999999999E-2</v>
          </cell>
          <cell r="M646">
            <v>1.4999999999999999E-2</v>
          </cell>
          <cell r="N646">
            <v>1.4999999999999999E-2</v>
          </cell>
          <cell r="O646">
            <v>1.4999999999999999E-2</v>
          </cell>
          <cell r="P646">
            <v>1.4999999999999999E-2</v>
          </cell>
          <cell r="Q646">
            <v>1.4999999999999999E-2</v>
          </cell>
          <cell r="R646">
            <v>1.4999999999999999E-2</v>
          </cell>
          <cell r="S646">
            <v>1.4999999999999999E-2</v>
          </cell>
          <cell r="T646">
            <v>1.4999999999999999E-2</v>
          </cell>
          <cell r="U646">
            <v>1.4999999999999999E-2</v>
          </cell>
          <cell r="V646">
            <v>1.4999999999999999E-2</v>
          </cell>
        </row>
        <row r="647">
          <cell r="A647" t="str">
            <v>Quarterly numbers</v>
          </cell>
          <cell r="B647">
            <v>51.434999999999995</v>
          </cell>
          <cell r="C647">
            <v>47.834000000000003</v>
          </cell>
          <cell r="D647">
            <v>7.5281180750093935E-2</v>
          </cell>
          <cell r="H647">
            <v>0.11401127500000001</v>
          </cell>
          <cell r="I647">
            <v>0.26666200000000001</v>
          </cell>
          <cell r="J647">
            <v>0.45525299999999996</v>
          </cell>
          <cell r="K647">
            <v>0.50638274999999999</v>
          </cell>
          <cell r="L647">
            <v>0.50638274999999999</v>
          </cell>
          <cell r="M647">
            <v>0.50638274999999999</v>
          </cell>
          <cell r="N647">
            <v>0.50638274999999999</v>
          </cell>
          <cell r="O647">
            <v>0.50638274999999999</v>
          </cell>
          <cell r="P647">
            <v>0.50638274999999999</v>
          </cell>
          <cell r="Q647">
            <v>0.50638274999999999</v>
          </cell>
          <cell r="R647">
            <v>0.50638274999999999</v>
          </cell>
          <cell r="S647">
            <v>0.50638274999999999</v>
          </cell>
          <cell r="T647">
            <v>0.50638274999999999</v>
          </cell>
          <cell r="U647">
            <v>0.50638274999999999</v>
          </cell>
          <cell r="V647">
            <v>0.50638274999999999</v>
          </cell>
        </row>
        <row r="648">
          <cell r="B648">
            <v>0.38300000000000001</v>
          </cell>
        </row>
        <row r="649">
          <cell r="A649" t="str">
            <v>Sales</v>
          </cell>
          <cell r="B649">
            <v>51.817999999999998</v>
          </cell>
          <cell r="C649">
            <v>47.834000000000003</v>
          </cell>
          <cell r="D649">
            <v>8.3288037797382586E-2</v>
          </cell>
          <cell r="E649" t="str">
            <v>How did the sales grow despite potential fall in tariff</v>
          </cell>
        </row>
        <row r="650">
          <cell r="A650" t="str">
            <v>Fuel, emply, gen admin, , provi</v>
          </cell>
          <cell r="B650">
            <v>36.887</v>
          </cell>
          <cell r="C650">
            <v>32.346000000000004</v>
          </cell>
          <cell r="D650">
            <v>0.1403883014901377</v>
          </cell>
          <cell r="G650">
            <v>7.4999999999999997E-2</v>
          </cell>
          <cell r="H650">
            <v>7.4999999999999997E-2</v>
          </cell>
          <cell r="I650">
            <v>7.4999999999999997E-2</v>
          </cell>
          <cell r="J650">
            <v>7.4999999999999997E-2</v>
          </cell>
          <cell r="K650">
            <v>7.4999999999999997E-2</v>
          </cell>
          <cell r="L650">
            <v>7.4999999999999997E-2</v>
          </cell>
          <cell r="M650">
            <v>7.4999999999999997E-2</v>
          </cell>
          <cell r="N650">
            <v>7.4999999999999997E-2</v>
          </cell>
          <cell r="O650">
            <v>7.4999999999999997E-2</v>
          </cell>
          <cell r="P650">
            <v>7.4999999999999997E-2</v>
          </cell>
          <cell r="Q650">
            <v>7.4999999999999997E-2</v>
          </cell>
          <cell r="R650">
            <v>7.4999999999999997E-2</v>
          </cell>
          <cell r="S650">
            <v>7.4999999999999997E-2</v>
          </cell>
          <cell r="T650">
            <v>7.4999999999999997E-2</v>
          </cell>
          <cell r="U650">
            <v>7.4999999999999997E-2</v>
          </cell>
          <cell r="V650">
            <v>7.4999999999999997E-2</v>
          </cell>
        </row>
        <row r="651">
          <cell r="A651" t="str">
            <v>OP</v>
          </cell>
          <cell r="B651">
            <v>14.930999999999997</v>
          </cell>
          <cell r="C651">
            <v>15.488</v>
          </cell>
          <cell r="D651">
            <v>-3.5963326446281085E-2</v>
          </cell>
          <cell r="G651">
            <v>7.113317830431784E-2</v>
          </cell>
          <cell r="H651">
            <v>6.9411282771535521E-2</v>
          </cell>
          <cell r="I651">
            <v>6.4364989346703871E-2</v>
          </cell>
          <cell r="J651">
            <v>6.4364989346703871E-2</v>
          </cell>
          <cell r="K651">
            <v>6.4364989346703871E-2</v>
          </cell>
          <cell r="L651">
            <v>6.4364989346703871E-2</v>
          </cell>
          <cell r="M651">
            <v>6.4364989346703871E-2</v>
          </cell>
          <cell r="N651">
            <v>6.4364989346703871E-2</v>
          </cell>
          <cell r="O651">
            <v>6.4364989346703871E-2</v>
          </cell>
          <cell r="P651">
            <v>6.4364989346703871E-2</v>
          </cell>
          <cell r="Q651">
            <v>6.4364989346703871E-2</v>
          </cell>
          <cell r="R651">
            <v>6.4364989346703871E-2</v>
          </cell>
          <cell r="S651">
            <v>6.4364989346703871E-2</v>
          </cell>
          <cell r="T651">
            <v>6.4364989346703871E-2</v>
          </cell>
          <cell r="U651">
            <v>6.4364989346703871E-2</v>
          </cell>
          <cell r="V651">
            <v>6.4364989346703871E-2</v>
          </cell>
        </row>
        <row r="652">
          <cell r="A652" t="str">
            <v>Potential savings (Rs billion)</v>
          </cell>
          <cell r="G652">
            <v>0.53066327540694092</v>
          </cell>
          <cell r="H652">
            <v>0.91634284293072088</v>
          </cell>
          <cell r="I652">
            <v>2.1078697464939453</v>
          </cell>
          <cell r="J652">
            <v>2.3681332426305697</v>
          </cell>
          <cell r="K652">
            <v>2.5618199088331099</v>
          </cell>
          <cell r="L652">
            <v>2.7110781843401681</v>
          </cell>
          <cell r="M652">
            <v>2.7178950419040899</v>
          </cell>
          <cell r="N652">
            <v>2.7247118994680117</v>
          </cell>
          <cell r="O652">
            <v>2.7315287570319327</v>
          </cell>
          <cell r="P652">
            <v>2.7383456145958549</v>
          </cell>
          <cell r="Q652">
            <v>2.7451624721597763</v>
          </cell>
          <cell r="R652">
            <v>2.7519793297236981</v>
          </cell>
          <cell r="S652">
            <v>2.758796187287619</v>
          </cell>
          <cell r="T652">
            <v>2.7656130448515412</v>
          </cell>
          <cell r="U652">
            <v>2.7724299024154626</v>
          </cell>
          <cell r="V652">
            <v>2.7792467599793844</v>
          </cell>
        </row>
        <row r="653">
          <cell r="A653" t="str">
            <v>Other income</v>
          </cell>
          <cell r="B653">
            <v>5.3789999999999996</v>
          </cell>
          <cell r="C653">
            <v>1.694</v>
          </cell>
          <cell r="D653">
            <v>2.1753246753246751</v>
          </cell>
        </row>
        <row r="654">
          <cell r="A654" t="str">
            <v>Interest</v>
          </cell>
          <cell r="B654">
            <v>4.5110000000000001</v>
          </cell>
          <cell r="C654">
            <v>2.5779999999999998</v>
          </cell>
          <cell r="D654">
            <v>0.74980605120248267</v>
          </cell>
        </row>
        <row r="655">
          <cell r="A655" t="str">
            <v>GP</v>
          </cell>
          <cell r="B655">
            <v>15.798999999999996</v>
          </cell>
          <cell r="C655">
            <v>14.603999999999999</v>
          </cell>
          <cell r="D655">
            <v>8.1826896740618826E-2</v>
          </cell>
          <cell r="G655">
            <v>2</v>
          </cell>
          <cell r="H655">
            <v>2</v>
          </cell>
          <cell r="I655">
            <v>2</v>
          </cell>
          <cell r="J655">
            <v>2</v>
          </cell>
          <cell r="K655">
            <v>2</v>
          </cell>
          <cell r="L655">
            <v>2</v>
          </cell>
          <cell r="M655">
            <v>2</v>
          </cell>
          <cell r="N655">
            <v>2</v>
          </cell>
          <cell r="O655">
            <v>2</v>
          </cell>
          <cell r="P655">
            <v>2</v>
          </cell>
          <cell r="Q655">
            <v>2</v>
          </cell>
          <cell r="R655">
            <v>2</v>
          </cell>
          <cell r="S655">
            <v>2</v>
          </cell>
          <cell r="T655">
            <v>2</v>
          </cell>
          <cell r="U655">
            <v>2</v>
          </cell>
          <cell r="V655">
            <v>2</v>
          </cell>
        </row>
        <row r="656">
          <cell r="A656" t="str">
            <v>Depreciation</v>
          </cell>
          <cell r="B656">
            <v>4.7850000000000001</v>
          </cell>
          <cell r="C656">
            <v>4.8040000000000003</v>
          </cell>
          <cell r="D656">
            <v>-3.9550374687760126E-3</v>
          </cell>
          <cell r="G656">
            <v>13.08</v>
          </cell>
          <cell r="H656">
            <v>16.471999999999998</v>
          </cell>
          <cell r="I656">
            <v>18.033727274951715</v>
          </cell>
          <cell r="J656">
            <v>18.935413638699302</v>
          </cell>
          <cell r="K656">
            <v>18.935413638699302</v>
          </cell>
          <cell r="L656">
            <v>18.935413638699302</v>
          </cell>
          <cell r="M656">
            <v>18.935413638699302</v>
          </cell>
          <cell r="N656">
            <v>18.935413638699302</v>
          </cell>
          <cell r="O656">
            <v>18.935413638699302</v>
          </cell>
          <cell r="P656">
            <v>18.935413638699302</v>
          </cell>
          <cell r="Q656">
            <v>18.935413638699302</v>
          </cell>
          <cell r="R656">
            <v>18.935413638699302</v>
          </cell>
          <cell r="S656">
            <v>18.935413638699302</v>
          </cell>
          <cell r="T656">
            <v>18.935413638699302</v>
          </cell>
          <cell r="U656">
            <v>18.935413638699302</v>
          </cell>
          <cell r="V656">
            <v>18.935413638699302</v>
          </cell>
        </row>
        <row r="657">
          <cell r="A657" t="str">
            <v>PBT</v>
          </cell>
          <cell r="B657">
            <v>11.013999999999996</v>
          </cell>
          <cell r="C657">
            <v>9.7999999999999989</v>
          </cell>
          <cell r="D657">
            <v>0.12387755102040776</v>
          </cell>
          <cell r="G657">
            <v>3560.6899199999998</v>
          </cell>
          <cell r="H657">
            <v>5629.4707199999993</v>
          </cell>
          <cell r="I657">
            <v>6804.9909197484803</v>
          </cell>
          <cell r="J657">
            <v>7645.2187046472409</v>
          </cell>
          <cell r="K657">
            <v>8270.5116132707244</v>
          </cell>
          <cell r="L657">
            <v>8752.3730808553701</v>
          </cell>
          <cell r="M657">
            <v>8774.3804434549165</v>
          </cell>
          <cell r="N657">
            <v>8796.387806054463</v>
          </cell>
          <cell r="O657">
            <v>8818.3951686540076</v>
          </cell>
          <cell r="P657">
            <v>8840.4025312535541</v>
          </cell>
          <cell r="Q657">
            <v>8862.4098938531006</v>
          </cell>
          <cell r="R657">
            <v>8884.4172564526452</v>
          </cell>
          <cell r="S657">
            <v>8906.4246190521917</v>
          </cell>
          <cell r="T657">
            <v>8928.4319816517382</v>
          </cell>
          <cell r="U657">
            <v>8950.4393442512828</v>
          </cell>
          <cell r="V657">
            <v>8972.4467068508293</v>
          </cell>
        </row>
        <row r="658">
          <cell r="A658" t="str">
            <v>Key Ratios</v>
          </cell>
          <cell r="G658">
            <v>0.3</v>
          </cell>
          <cell r="H658">
            <v>0.3</v>
          </cell>
          <cell r="I658">
            <v>0.3</v>
          </cell>
          <cell r="J658">
            <v>0.3</v>
          </cell>
          <cell r="K658">
            <v>0.3</v>
          </cell>
          <cell r="L658">
            <v>0.3</v>
          </cell>
          <cell r="M658">
            <v>0.3</v>
          </cell>
          <cell r="N658">
            <v>0.3</v>
          </cell>
          <cell r="O658">
            <v>0.3</v>
          </cell>
          <cell r="P658">
            <v>0.3</v>
          </cell>
          <cell r="Q658">
            <v>0.3</v>
          </cell>
          <cell r="R658">
            <v>0.3</v>
          </cell>
          <cell r="S658">
            <v>0.3</v>
          </cell>
          <cell r="T658">
            <v>0.3</v>
          </cell>
          <cell r="U658">
            <v>0.3</v>
          </cell>
          <cell r="V658">
            <v>0.3</v>
          </cell>
        </row>
        <row r="659">
          <cell r="A659" t="str">
            <v>Taxr</v>
          </cell>
          <cell r="B659">
            <v>2.21</v>
          </cell>
          <cell r="C659">
            <v>0.52700000000000002</v>
          </cell>
          <cell r="D659">
            <v>3.193548387096774</v>
          </cell>
          <cell r="E659">
            <v>4.2098909873493531</v>
          </cell>
          <cell r="F659">
            <v>5.4931563842704234</v>
          </cell>
          <cell r="G659">
            <v>5.8743948833736273</v>
          </cell>
          <cell r="H659">
            <v>7.1970476277843121</v>
          </cell>
          <cell r="I659">
            <v>8.3479834077022996</v>
          </cell>
          <cell r="J659">
            <v>9.0594048286716262</v>
          </cell>
          <cell r="K659">
            <v>2.4811534839812173</v>
          </cell>
          <cell r="L659">
            <v>2.6257119242566107</v>
          </cell>
          <cell r="M659">
            <v>2.6323141330364748</v>
          </cell>
          <cell r="N659">
            <v>2.6389163418163388</v>
          </cell>
          <cell r="O659">
            <v>2.645518550596202</v>
          </cell>
          <cell r="P659">
            <v>2.6521207593760661</v>
          </cell>
          <cell r="Q659">
            <v>2.6587229681559301</v>
          </cell>
          <cell r="R659">
            <v>2.6653251769357933</v>
          </cell>
          <cell r="S659">
            <v>2.6719273857156574</v>
          </cell>
          <cell r="T659">
            <v>2.6785295944955214</v>
          </cell>
          <cell r="U659">
            <v>2.6851318032753846</v>
          </cell>
          <cell r="V659">
            <v>2.6917340120552486</v>
          </cell>
        </row>
        <row r="660">
          <cell r="A660" t="str">
            <v>Income tax recoverable</v>
          </cell>
          <cell r="B660">
            <v>1.643</v>
          </cell>
          <cell r="C660">
            <v>0</v>
          </cell>
          <cell r="D660" t="e">
            <v>#DIV/0!</v>
          </cell>
          <cell r="E660">
            <v>24.299916626679803</v>
          </cell>
          <cell r="F660">
            <v>18.623172697747076</v>
          </cell>
          <cell r="G660">
            <v>17.414559632267991</v>
          </cell>
          <cell r="H660">
            <v>14.214161874526061</v>
          </cell>
          <cell r="I660">
            <v>12.254456556012379</v>
          </cell>
          <cell r="J660">
            <v>11.292132533501119</v>
          </cell>
          <cell r="K660">
            <v>1.2850097922100064E-2</v>
          </cell>
          <cell r="L660">
            <v>1.2758051786510325E-2</v>
          </cell>
          <cell r="M660">
            <v>1.2754118901040985E-2</v>
          </cell>
          <cell r="N660">
            <v>1.2750208100508021E-2</v>
          </cell>
          <cell r="O660">
            <v>1.2746319199406863E-2</v>
          </cell>
          <cell r="P660">
            <v>1.274245201430471E-2</v>
          </cell>
          <cell r="Q660">
            <v>1.2738606363811659E-2</v>
          </cell>
          <cell r="R660">
            <v>1.273478206855235E-2</v>
          </cell>
          <cell r="S660">
            <v>1.2730978951138096E-2</v>
          </cell>
          <cell r="T660">
            <v>1.2727196836139425E-2</v>
          </cell>
          <cell r="U660">
            <v>1.2723435550059128E-2</v>
          </cell>
          <cell r="V660">
            <v>1.2719694921305726E-2</v>
          </cell>
        </row>
        <row r="661">
          <cell r="A661" t="str">
            <v>Net</v>
          </cell>
          <cell r="B661">
            <v>0.56699999999999995</v>
          </cell>
          <cell r="C661">
            <v>0.52700000000000002</v>
          </cell>
          <cell r="D661">
            <v>7.5901328273244584E-2</v>
          </cell>
          <cell r="E661" t="str">
            <v>What is this</v>
          </cell>
          <cell r="F661">
            <v>45.503840270117202</v>
          </cell>
          <cell r="G661">
            <v>50.66579391210518</v>
          </cell>
          <cell r="H661">
            <v>54.576186151504089</v>
          </cell>
          <cell r="I661">
            <v>59.077933803219132</v>
          </cell>
          <cell r="J661">
            <v>64.431526131890763</v>
          </cell>
        </row>
        <row r="662">
          <cell r="A662" t="str">
            <v>P/BV (x)</v>
          </cell>
          <cell r="B662" t="e">
            <v>#DIV/0!</v>
          </cell>
          <cell r="C662" t="e">
            <v>#DIV/0!</v>
          </cell>
          <cell r="D662">
            <v>2.6408748583116353</v>
          </cell>
          <cell r="E662">
            <v>2.4382189927087463</v>
          </cell>
          <cell r="F662">
            <v>2.2481619000227848</v>
          </cell>
          <cell r="G662">
            <v>2.0191137274483379</v>
          </cell>
          <cell r="H662">
            <v>1.8744439143478087</v>
          </cell>
          <cell r="I662">
            <v>1.7316109994765205</v>
          </cell>
          <cell r="J662">
            <v>1.5877320644336874</v>
          </cell>
        </row>
        <row r="663">
          <cell r="A663" t="str">
            <v>PAT</v>
          </cell>
          <cell r="B663">
            <v>10.446999999999996</v>
          </cell>
          <cell r="C663">
            <v>9.2729999999999997</v>
          </cell>
          <cell r="D663">
            <v>0.12660411948668138</v>
          </cell>
          <cell r="E663">
            <v>0.10867835058380892</v>
          </cell>
          <cell r="F663">
            <v>0.13092393182842083</v>
          </cell>
          <cell r="G663">
            <v>0.13625028869792039</v>
          </cell>
          <cell r="H663">
            <v>0.1420494395147488</v>
          </cell>
          <cell r="I663">
            <v>0.15296018275311885</v>
          </cell>
          <cell r="J663">
            <v>0.15334667693097254</v>
          </cell>
          <cell r="K663">
            <v>2451</v>
          </cell>
          <cell r="L663">
            <v>2451</v>
          </cell>
          <cell r="M663">
            <v>2451</v>
          </cell>
          <cell r="N663">
            <v>2451</v>
          </cell>
          <cell r="O663">
            <v>2451</v>
          </cell>
          <cell r="P663">
            <v>2451</v>
          </cell>
          <cell r="Q663">
            <v>2451</v>
          </cell>
          <cell r="R663">
            <v>2451</v>
          </cell>
          <cell r="S663">
            <v>2451</v>
          </cell>
          <cell r="T663">
            <v>2451</v>
          </cell>
          <cell r="U663">
            <v>2451</v>
          </cell>
          <cell r="V663">
            <v>2451</v>
          </cell>
        </row>
        <row r="664">
          <cell r="A664" t="str">
            <v>Avg ROE (%)</v>
          </cell>
          <cell r="C664" t="e">
            <v>#DIV/0!</v>
          </cell>
          <cell r="D664">
            <v>0.11495411478369369</v>
          </cell>
          <cell r="E664">
            <v>0.1043420839473042</v>
          </cell>
          <cell r="F664">
            <v>0.12561428619442688</v>
          </cell>
          <cell r="G664">
            <v>0.12527962993854466</v>
          </cell>
          <cell r="H664">
            <v>0.13677142188762217</v>
          </cell>
          <cell r="I664">
            <v>0.14690155378490308</v>
          </cell>
          <cell r="J664">
            <v>0.14669977236450241</v>
          </cell>
          <cell r="K664">
            <v>2350</v>
          </cell>
          <cell r="L664">
            <v>2350</v>
          </cell>
          <cell r="M664">
            <v>2350</v>
          </cell>
          <cell r="N664">
            <v>2350</v>
          </cell>
          <cell r="O664">
            <v>2350</v>
          </cell>
          <cell r="P664">
            <v>2350</v>
          </cell>
          <cell r="Q664">
            <v>2350</v>
          </cell>
          <cell r="R664">
            <v>2350</v>
          </cell>
          <cell r="S664">
            <v>2350</v>
          </cell>
          <cell r="T664">
            <v>2350</v>
          </cell>
          <cell r="U664">
            <v>2350</v>
          </cell>
          <cell r="V664">
            <v>2350</v>
          </cell>
        </row>
        <row r="665">
          <cell r="A665" t="str">
            <v>ROA (%)</v>
          </cell>
          <cell r="B665">
            <v>10.145999999999997</v>
          </cell>
          <cell r="C665">
            <v>10.683999999999999</v>
          </cell>
          <cell r="D665">
            <v>-5.0355672032946663E-2</v>
          </cell>
          <cell r="G665">
            <v>1.6012253459335988</v>
          </cell>
          <cell r="H665">
            <v>4.4087768739550484</v>
          </cell>
          <cell r="I665">
            <v>5.3149347670664957</v>
          </cell>
          <cell r="J665">
            <v>6.3793275556589286</v>
          </cell>
          <cell r="K665">
            <v>6.5701986581249789</v>
          </cell>
          <cell r="L665">
            <v>6.5328089113046115</v>
          </cell>
          <cell r="M665">
            <v>6.1279921957655423</v>
          </cell>
          <cell r="N665">
            <v>5.7210624080094545</v>
          </cell>
          <cell r="O665">
            <v>5.3120195480363508</v>
          </cell>
          <cell r="P665">
            <v>4.9008636158462302</v>
          </cell>
          <cell r="Q665">
            <v>4.4875946114390928</v>
          </cell>
          <cell r="R665">
            <v>4.0722125348149376</v>
          </cell>
          <cell r="S665">
            <v>3.6547173859737652</v>
          </cell>
          <cell r="T665">
            <v>3.2351091649155759</v>
          </cell>
          <cell r="U665">
            <v>2.8133878716403693</v>
          </cell>
          <cell r="V665">
            <v>2.389553506148145</v>
          </cell>
        </row>
        <row r="666">
          <cell r="A666" t="str">
            <v>Net debt</v>
          </cell>
          <cell r="B666">
            <v>0</v>
          </cell>
          <cell r="C666">
            <v>0</v>
          </cell>
          <cell r="D666">
            <v>115812</v>
          </cell>
          <cell r="E666">
            <v>132157</v>
          </cell>
          <cell r="F666">
            <v>-91916</v>
          </cell>
          <cell r="G666">
            <v>-105885</v>
          </cell>
          <cell r="H666">
            <v>-56773</v>
          </cell>
          <cell r="I666">
            <v>-27308</v>
          </cell>
          <cell r="J666" t="e">
            <v>#REF!</v>
          </cell>
          <cell r="K666">
            <v>14.852398729274856</v>
          </cell>
          <cell r="L666">
            <v>15.267843332246148</v>
          </cell>
          <cell r="M666">
            <v>14.880915337184735</v>
          </cell>
          <cell r="N666">
            <v>14.492445940786723</v>
          </cell>
          <cell r="O666">
            <v>14.101732572007482</v>
          </cell>
          <cell r="P666">
            <v>13.708870848270772</v>
          </cell>
          <cell r="Q666">
            <v>13.313837243834797</v>
          </cell>
          <cell r="R666">
            <v>12.916625375778619</v>
          </cell>
          <cell r="S666">
            <v>12.517224283368277</v>
          </cell>
          <cell r="T666">
            <v>12.115623748041866</v>
          </cell>
          <cell r="U666">
            <v>11.711812500697109</v>
          </cell>
          <cell r="V666">
            <v>11.280290088844554</v>
          </cell>
        </row>
        <row r="667">
          <cell r="A667" t="str">
            <v>EV/EBITDA</v>
          </cell>
          <cell r="B667">
            <v>14.045319931418282</v>
          </cell>
          <cell r="C667">
            <v>12.709317895067606</v>
          </cell>
          <cell r="D667">
            <v>17.37950894418999</v>
          </cell>
          <cell r="E667">
            <v>16.773778115117242</v>
          </cell>
          <cell r="F667">
            <v>17.40294278522747</v>
          </cell>
          <cell r="G667">
            <v>10.792082563793498</v>
          </cell>
          <cell r="H667">
            <v>9.8774388966729436</v>
          </cell>
          <cell r="I667">
            <v>8.0323083021207502</v>
          </cell>
          <cell r="J667" t="e">
            <v>#REF!</v>
          </cell>
          <cell r="K667">
            <v>25.316206337024845</v>
          </cell>
          <cell r="L667">
            <v>26.097418005746135</v>
          </cell>
          <cell r="M667">
            <v>25.833977266934717</v>
          </cell>
          <cell r="N667">
            <v>25.568995126786696</v>
          </cell>
          <cell r="O667">
            <v>25.301769014257456</v>
          </cell>
          <cell r="P667">
            <v>25.032394546770739</v>
          </cell>
          <cell r="Q667">
            <v>24.760848198584767</v>
          </cell>
          <cell r="R667">
            <v>24.487123586778587</v>
          </cell>
          <cell r="S667">
            <v>24.211209750618245</v>
          </cell>
          <cell r="T667">
            <v>23.93309647154183</v>
          </cell>
          <cell r="U667">
            <v>23.652772480447069</v>
          </cell>
          <cell r="V667">
            <v>23.344737324844509</v>
          </cell>
        </row>
        <row r="668">
          <cell r="A668" t="str">
            <v>DPS (Rs)</v>
          </cell>
          <cell r="B668">
            <v>0.83199473913086552</v>
          </cell>
          <cell r="C668">
            <v>0.95615395404731773</v>
          </cell>
          <cell r="D668">
            <v>0.9061062705088303</v>
          </cell>
          <cell r="E668">
            <v>0.90623426969946586</v>
          </cell>
          <cell r="F668">
            <v>1.3853352402482089</v>
          </cell>
          <cell r="G668">
            <v>2.4001073850976784</v>
          </cell>
          <cell r="H668">
            <v>2.8117276208238797</v>
          </cell>
          <cell r="I668">
            <v>3.2097646313287092</v>
          </cell>
          <cell r="J668">
            <v>3.25</v>
          </cell>
          <cell r="K668">
            <v>0.6693386702046229</v>
          </cell>
          <cell r="L668">
            <v>0.65914685275384632</v>
          </cell>
          <cell r="M668">
            <v>0.65249308593919597</v>
          </cell>
          <cell r="N668">
            <v>0.64580038769310544</v>
          </cell>
          <cell r="O668">
            <v>0.63905101306115875</v>
          </cell>
          <cell r="P668">
            <v>0.63224737706862422</v>
          </cell>
          <cell r="Q668">
            <v>0.62538888552190586</v>
          </cell>
          <cell r="R668">
            <v>0.61847537720650148</v>
          </cell>
          <cell r="S668">
            <v>0.6115065752853196</v>
          </cell>
          <cell r="T668">
            <v>0.60448222166643251</v>
          </cell>
          <cell r="U668">
            <v>0.59740203172423878</v>
          </cell>
          <cell r="V668">
            <v>0.5896219362639038</v>
          </cell>
        </row>
        <row r="669">
          <cell r="A669" t="str">
            <v>Yield (%)</v>
          </cell>
          <cell r="B669">
            <v>0.81328909005949701</v>
          </cell>
          <cell r="C669">
            <v>0.93465684657606818</v>
          </cell>
          <cell r="D669">
            <v>0.88573437977402769</v>
          </cell>
          <cell r="E669">
            <v>0.88585950117249845</v>
          </cell>
          <cell r="F669">
            <v>1.3541888956482979</v>
          </cell>
          <cell r="G669">
            <v>2.3461460264884444</v>
          </cell>
          <cell r="H669">
            <v>2.7485118483126878</v>
          </cell>
          <cell r="I669">
            <v>3.1375998351209278</v>
          </cell>
          <cell r="J669">
            <v>3.1769305962854348</v>
          </cell>
          <cell r="K669">
            <v>0.78190548628681344</v>
          </cell>
          <cell r="L669">
            <v>0.77742473259680622</v>
          </cell>
          <cell r="M669">
            <v>0.77133705223254256</v>
          </cell>
          <cell r="N669">
            <v>0.76485989284235834</v>
          </cell>
          <cell r="O669">
            <v>0.75799670721899248</v>
          </cell>
          <cell r="P669">
            <v>0.75070588261587523</v>
          </cell>
          <cell r="Q669">
            <v>0.7429473464785834</v>
          </cell>
          <cell r="R669">
            <v>0.7346746356265208</v>
          </cell>
          <cell r="S669">
            <v>0.72583511753871266</v>
          </cell>
          <cell r="T669">
            <v>0.71636854897094204</v>
          </cell>
          <cell r="U669">
            <v>0.70620577104004301</v>
          </cell>
          <cell r="V669">
            <v>0.69683795507673296</v>
          </cell>
        </row>
        <row r="670">
          <cell r="A670" t="str">
            <v>(Year Ended 31 Dec)</v>
          </cell>
          <cell r="C670">
            <v>2001</v>
          </cell>
          <cell r="D670">
            <v>2002</v>
          </cell>
          <cell r="E670">
            <v>2003</v>
          </cell>
          <cell r="F670">
            <v>2004</v>
          </cell>
          <cell r="G670">
            <v>2005</v>
          </cell>
          <cell r="H670">
            <v>2006</v>
          </cell>
          <cell r="I670">
            <v>2007</v>
          </cell>
          <cell r="J670">
            <v>2008</v>
          </cell>
        </row>
        <row r="671">
          <cell r="A671" t="str">
            <v>EBITDA</v>
          </cell>
          <cell r="C671">
            <v>62884.869999999995</v>
          </cell>
          <cell r="D671">
            <v>0</v>
          </cell>
          <cell r="E671">
            <v>0</v>
          </cell>
          <cell r="F671">
            <v>0</v>
          </cell>
          <cell r="G671">
            <v>0</v>
          </cell>
        </row>
        <row r="672">
          <cell r="A672" t="str">
            <v>less Depreciation</v>
          </cell>
          <cell r="C672">
            <v>23223</v>
          </cell>
          <cell r="D672">
            <v>0</v>
          </cell>
          <cell r="E672">
            <v>0</v>
          </cell>
          <cell r="F672">
            <v>0</v>
          </cell>
          <cell r="G672">
            <v>0</v>
          </cell>
        </row>
        <row r="673">
          <cell r="A673" t="str">
            <v>EBIT</v>
          </cell>
          <cell r="B673">
            <v>1</v>
          </cell>
          <cell r="C673">
            <v>39661.869999999995</v>
          </cell>
          <cell r="D673">
            <v>0</v>
          </cell>
          <cell r="E673">
            <v>0</v>
          </cell>
          <cell r="F673">
            <v>0</v>
          </cell>
          <cell r="G673">
            <v>0</v>
          </cell>
        </row>
        <row r="674">
          <cell r="A674" t="str">
            <v>Growth in EBIT</v>
          </cell>
          <cell r="C674" t="e">
            <v>#DIV/0!</v>
          </cell>
          <cell r="D674">
            <v>-1</v>
          </cell>
          <cell r="E674" t="e">
            <v>#DIV/0!</v>
          </cell>
          <cell r="F674" t="e">
            <v>#DIV/0!</v>
          </cell>
          <cell r="G674" t="e">
            <v>#DIV/0!</v>
          </cell>
          <cell r="H674">
            <v>45.363383600991391</v>
          </cell>
          <cell r="I674">
            <v>50.920577813549066</v>
          </cell>
          <cell r="J674">
            <v>57.985189320579359</v>
          </cell>
          <cell r="K674">
            <v>63.138922196673967</v>
          </cell>
          <cell r="L674">
            <v>65.690139865395253</v>
          </cell>
          <cell r="M674">
            <v>65.426699126583841</v>
          </cell>
          <cell r="N674">
            <v>65.16171698643582</v>
          </cell>
          <cell r="O674">
            <v>64.894490873906577</v>
          </cell>
          <cell r="P674">
            <v>64.625116406419863</v>
          </cell>
          <cell r="Q674">
            <v>64.353570058233885</v>
          </cell>
          <cell r="R674">
            <v>64.079845446427711</v>
          </cell>
          <cell r="S674">
            <v>63.803931610267369</v>
          </cell>
          <cell r="T674">
            <v>63.525818331190955</v>
          </cell>
          <cell r="U674">
            <v>63.245494340096194</v>
          </cell>
          <cell r="V674">
            <v>62.937459184493633</v>
          </cell>
        </row>
        <row r="675">
          <cell r="A675" t="str">
            <v>(a) Govt. Securities (8.5% Tax Free Bonds)</v>
          </cell>
          <cell r="D675">
            <v>6955</v>
          </cell>
          <cell r="E675">
            <v>13949</v>
          </cell>
          <cell r="F675">
            <v>13950</v>
          </cell>
          <cell r="G675" t="str">
            <v>Recurring</v>
          </cell>
          <cell r="H675">
            <v>0.23543623870390698</v>
          </cell>
          <cell r="I675">
            <v>0.22353679959663164</v>
          </cell>
          <cell r="J675">
            <v>0.2251682754634444</v>
          </cell>
          <cell r="K675">
            <v>0.22325944497751418</v>
          </cell>
          <cell r="L675">
            <v>0.23228055938553849</v>
          </cell>
          <cell r="M675">
            <v>0.23134903203148746</v>
          </cell>
          <cell r="N675">
            <v>0.23041205427703479</v>
          </cell>
          <cell r="O675">
            <v>0.22946714182856223</v>
          </cell>
          <cell r="P675">
            <v>0.22851463278960743</v>
          </cell>
          <cell r="Q675">
            <v>0.22755444397306684</v>
          </cell>
          <cell r="R675">
            <v>0.22658655280891024</v>
          </cell>
          <cell r="S675">
            <v>0.22561092053994478</v>
          </cell>
          <cell r="T675">
            <v>0.22462751103330059</v>
          </cell>
          <cell r="U675">
            <v>0.22363628444139347</v>
          </cell>
          <cell r="V675">
            <v>0.22254707107694657</v>
          </cell>
        </row>
        <row r="676">
          <cell r="A676" t="str">
            <v>Tax</v>
          </cell>
          <cell r="B676">
            <v>632</v>
          </cell>
          <cell r="C676">
            <v>3400</v>
          </cell>
          <cell r="D676">
            <v>0</v>
          </cell>
          <cell r="E676">
            <v>0</v>
          </cell>
          <cell r="F676">
            <v>0</v>
          </cell>
          <cell r="G676">
            <v>0</v>
          </cell>
        </row>
        <row r="677">
          <cell r="A677" t="str">
            <v>Other income</v>
          </cell>
          <cell r="C677">
            <v>9161</v>
          </cell>
          <cell r="D677">
            <v>0</v>
          </cell>
          <cell r="E677">
            <v>0</v>
          </cell>
          <cell r="F677">
            <v>0</v>
          </cell>
          <cell r="G677">
            <v>0</v>
          </cell>
          <cell r="H677">
            <v>3.9965740547315651E-2</v>
          </cell>
          <cell r="I677">
            <v>3.9602277039848206E-2</v>
          </cell>
          <cell r="J677">
            <v>3.9470566727605128E-2</v>
          </cell>
          <cell r="K677">
            <v>3.9113151853066581E-2</v>
          </cell>
          <cell r="L677">
            <v>3.9113151853066581E-2</v>
          </cell>
          <cell r="M677">
            <v>3.9113151853066581E-2</v>
          </cell>
          <cell r="N677">
            <v>3.9113151853066581E-2</v>
          </cell>
          <cell r="O677">
            <v>3.9113151853066581E-2</v>
          </cell>
          <cell r="P677">
            <v>3.9113151853066581E-2</v>
          </cell>
          <cell r="Q677">
            <v>3.9113151853066581E-2</v>
          </cell>
          <cell r="R677">
            <v>3.9113151853066581E-2</v>
          </cell>
          <cell r="S677">
            <v>3.9113151853066581E-2</v>
          </cell>
          <cell r="T677">
            <v>3.9113151853066581E-2</v>
          </cell>
          <cell r="U677">
            <v>3.9113151853066581E-2</v>
          </cell>
          <cell r="V677">
            <v>3.9113151853066581E-2</v>
          </cell>
        </row>
        <row r="678">
          <cell r="A678" t="str">
            <v>Interest</v>
          </cell>
          <cell r="C678">
            <v>10917.633900284078</v>
          </cell>
          <cell r="D678">
            <v>0</v>
          </cell>
          <cell r="E678">
            <v>0</v>
          </cell>
          <cell r="F678">
            <v>0</v>
          </cell>
          <cell r="G678">
            <v>0</v>
          </cell>
          <cell r="H678">
            <v>4.8044132862558056E-2</v>
          </cell>
          <cell r="I678">
            <v>4.7794132862558056E-2</v>
          </cell>
          <cell r="J678">
            <v>4.7544132862558056E-2</v>
          </cell>
          <cell r="K678">
            <v>4.7294132862558055E-2</v>
          </cell>
          <cell r="L678">
            <v>4.7044132862558055E-2</v>
          </cell>
          <cell r="M678">
            <v>4.6794132862558055E-2</v>
          </cell>
          <cell r="N678">
            <v>4.6544132862558055E-2</v>
          </cell>
          <cell r="O678">
            <v>4.6294132862558054E-2</v>
          </cell>
          <cell r="P678">
            <v>4.6044132862558054E-2</v>
          </cell>
          <cell r="Q678">
            <v>4.5794132862558054E-2</v>
          </cell>
          <cell r="R678">
            <v>4.5544132862558054E-2</v>
          </cell>
          <cell r="S678">
            <v>4.5294132862558054E-2</v>
          </cell>
          <cell r="T678">
            <v>4.5044132862558053E-2</v>
          </cell>
          <cell r="U678">
            <v>4.4794132862558053E-2</v>
          </cell>
          <cell r="V678">
            <v>4.4544132862558053E-2</v>
          </cell>
        </row>
        <row r="679">
          <cell r="A679" t="str">
            <v>Marginal tax rate</v>
          </cell>
          <cell r="B679" t="str">
            <v>%</v>
          </cell>
          <cell r="C679">
            <v>0.35</v>
          </cell>
          <cell r="D679">
            <v>0.05</v>
          </cell>
          <cell r="E679">
            <v>0.05</v>
          </cell>
          <cell r="F679">
            <v>0.35</v>
          </cell>
          <cell r="G679">
            <v>0.35</v>
          </cell>
          <cell r="H679">
            <v>8.0783923152424053E-3</v>
          </cell>
          <cell r="I679">
            <v>8.1918558227098495E-3</v>
          </cell>
          <cell r="J679">
            <v>8.0735661349529281E-3</v>
          </cell>
          <cell r="K679">
            <v>8.1809810094914739E-3</v>
          </cell>
          <cell r="L679">
            <v>7.9309810094914737E-3</v>
          </cell>
          <cell r="M679">
            <v>7.6809810094914735E-3</v>
          </cell>
          <cell r="N679">
            <v>7.4309810094914733E-3</v>
          </cell>
          <cell r="O679">
            <v>7.1809810094914731E-3</v>
          </cell>
          <cell r="P679">
            <v>6.9309810094914728E-3</v>
          </cell>
          <cell r="Q679">
            <v>6.6809810094914726E-3</v>
          </cell>
          <cell r="R679">
            <v>6.4309810094914724E-3</v>
          </cell>
          <cell r="S679">
            <v>6.1809810094914722E-3</v>
          </cell>
          <cell r="T679">
            <v>5.9309810094914719E-3</v>
          </cell>
          <cell r="U679">
            <v>5.6809810094914717E-3</v>
          </cell>
          <cell r="V679">
            <v>5.4309810094914715E-3</v>
          </cell>
        </row>
        <row r="680">
          <cell r="A680" t="str">
            <v>Less Adjusted taxes</v>
          </cell>
          <cell r="B680">
            <v>196</v>
          </cell>
          <cell r="C680">
            <v>4014.8218650994272</v>
          </cell>
          <cell r="D680">
            <v>0</v>
          </cell>
          <cell r="E680">
            <v>0</v>
          </cell>
          <cell r="F680">
            <v>0</v>
          </cell>
          <cell r="G680">
            <v>0</v>
          </cell>
          <cell r="H680">
            <v>3.4822879481930218</v>
          </cell>
          <cell r="I680">
            <v>3.7981375684877761</v>
          </cell>
          <cell r="J680">
            <v>4.1251401752573891</v>
          </cell>
          <cell r="K680">
            <v>4.9906029403150356</v>
          </cell>
          <cell r="L680">
            <v>5.5065673556810344</v>
          </cell>
          <cell r="M680">
            <v>5.3329896056810346</v>
          </cell>
          <cell r="N680">
            <v>5.1594118556810349</v>
          </cell>
          <cell r="O680">
            <v>4.9858341056810342</v>
          </cell>
          <cell r="P680">
            <v>4.8122563556810336</v>
          </cell>
          <cell r="Q680">
            <v>4.6386786056810339</v>
          </cell>
          <cell r="R680">
            <v>4.4651008556810341</v>
          </cell>
          <cell r="S680">
            <v>4.2915231056810335</v>
          </cell>
          <cell r="T680">
            <v>4.1179453556810328</v>
          </cell>
          <cell r="U680">
            <v>3.9443676056810331</v>
          </cell>
          <cell r="V680">
            <v>3.7707898556810333</v>
          </cell>
        </row>
        <row r="681">
          <cell r="A681" t="str">
            <v>(g) Interest on Income Tax Refunds</v>
          </cell>
          <cell r="D681">
            <v>279</v>
          </cell>
          <cell r="E681">
            <v>27</v>
          </cell>
          <cell r="F681">
            <v>12</v>
          </cell>
          <cell r="G681" t="str">
            <v>Recurring</v>
          </cell>
          <cell r="H681">
            <v>41.881095652798372</v>
          </cell>
          <cell r="I681">
            <v>47.122440245061291</v>
          </cell>
          <cell r="J681">
            <v>53.860049145321966</v>
          </cell>
          <cell r="K681">
            <v>58.148319256358931</v>
          </cell>
          <cell r="L681">
            <v>60.183572509714217</v>
          </cell>
          <cell r="M681">
            <v>60.093709520902806</v>
          </cell>
          <cell r="N681">
            <v>60.002305130754785</v>
          </cell>
          <cell r="O681">
            <v>59.908656768225541</v>
          </cell>
          <cell r="P681">
            <v>59.812860050738827</v>
          </cell>
          <cell r="Q681">
            <v>59.714891452552848</v>
          </cell>
          <cell r="R681">
            <v>59.614744590746675</v>
          </cell>
          <cell r="S681">
            <v>59.512408504586332</v>
          </cell>
          <cell r="T681">
            <v>59.407872975509925</v>
          </cell>
          <cell r="U681">
            <v>59.301126734415163</v>
          </cell>
          <cell r="V681">
            <v>59.166669328812603</v>
          </cell>
        </row>
        <row r="682">
          <cell r="A682" t="str">
            <v>NOPLAT</v>
          </cell>
          <cell r="B682">
            <v>3120</v>
          </cell>
          <cell r="C682">
            <v>35647.048134900571</v>
          </cell>
          <cell r="D682">
            <v>0</v>
          </cell>
          <cell r="E682">
            <v>0</v>
          </cell>
          <cell r="F682">
            <v>0</v>
          </cell>
          <cell r="G682">
            <v>0</v>
          </cell>
          <cell r="H682">
            <v>0</v>
          </cell>
          <cell r="I682">
            <v>17.689326315236727</v>
          </cell>
          <cell r="J682">
            <v>19.888040285672847</v>
          </cell>
          <cell r="K682">
            <v>20.325603396709809</v>
          </cell>
          <cell r="L682">
            <v>20.5908506500651</v>
          </cell>
          <cell r="M682">
            <v>20.500987661253681</v>
          </cell>
          <cell r="N682">
            <v>20.40958327110566</v>
          </cell>
          <cell r="O682">
            <v>20.315934908576423</v>
          </cell>
          <cell r="P682">
            <v>20.220138191089706</v>
          </cell>
          <cell r="Q682">
            <v>20.122169592903735</v>
          </cell>
          <cell r="R682">
            <v>20.022022731097554</v>
          </cell>
          <cell r="S682">
            <v>19.919686644937212</v>
          </cell>
          <cell r="T682">
            <v>19.815151115860797</v>
          </cell>
          <cell r="U682">
            <v>19.708404874766035</v>
          </cell>
          <cell r="V682">
            <v>19.573947469163475</v>
          </cell>
        </row>
        <row r="683">
          <cell r="A683" t="str">
            <v>Growth YoY</v>
          </cell>
          <cell r="B683">
            <v>5438</v>
          </cell>
          <cell r="C683">
            <v>6319</v>
          </cell>
          <cell r="D683">
            <v>-1</v>
          </cell>
          <cell r="E683" t="e">
            <v>#DIV/0!</v>
          </cell>
          <cell r="F683" t="e">
            <v>#DIV/0!</v>
          </cell>
          <cell r="G683" t="e">
            <v>#DIV/0!</v>
          </cell>
          <cell r="I683">
            <v>0.12752483432690975</v>
          </cell>
          <cell r="J683">
            <v>0.12429608291765493</v>
          </cell>
          <cell r="K683">
            <v>2.2001318619219612E-2</v>
          </cell>
          <cell r="L683">
            <v>1.304990795000105E-2</v>
          </cell>
          <cell r="M683">
            <v>-4.3642193486131964E-3</v>
          </cell>
          <cell r="N683">
            <v>-4.4585359329186725E-3</v>
          </cell>
          <cell r="O683">
            <v>-4.5884504982429686E-3</v>
          </cell>
          <cell r="P683">
            <v>-4.7153487111378789E-3</v>
          </cell>
          <cell r="Q683">
            <v>-4.845100328203622E-3</v>
          </cell>
          <cell r="R683">
            <v>-4.9769415441910381E-3</v>
          </cell>
          <cell r="S683">
            <v>-5.1111762050592979E-3</v>
          </cell>
          <cell r="T683">
            <v>-5.247850076144811E-3</v>
          </cell>
          <cell r="U683">
            <v>-5.3871020448245099E-3</v>
          </cell>
          <cell r="V683">
            <v>-6.8223383098200419E-3</v>
          </cell>
        </row>
        <row r="684">
          <cell r="A684" t="str">
            <v>5 Year Growth</v>
          </cell>
          <cell r="B684">
            <v>338</v>
          </cell>
          <cell r="C684">
            <v>479</v>
          </cell>
          <cell r="D684">
            <v>530</v>
          </cell>
          <cell r="E684">
            <v>997</v>
          </cell>
          <cell r="F684">
            <v>1057</v>
          </cell>
          <cell r="G684" t="str">
            <v>Recurring</v>
          </cell>
          <cell r="H684">
            <v>0.21736314292653219</v>
          </cell>
          <cell r="I684">
            <v>0.20686331408363773</v>
          </cell>
          <cell r="J684">
            <v>0.20914951773942636</v>
          </cell>
          <cell r="K684">
            <v>0.20561265590044978</v>
          </cell>
          <cell r="L684">
            <v>0.21280931836987529</v>
          </cell>
          <cell r="M684">
            <v>0.21249156253388618</v>
          </cell>
          <cell r="N684">
            <v>0.21216835629749542</v>
          </cell>
          <cell r="O684">
            <v>0.21183721536708477</v>
          </cell>
          <cell r="P684">
            <v>0.21149847784619188</v>
          </cell>
          <cell r="Q684">
            <v>0.21115206054771321</v>
          </cell>
          <cell r="R684">
            <v>0.21079794090161852</v>
          </cell>
          <cell r="S684">
            <v>0.21043608015071497</v>
          </cell>
          <cell r="T684">
            <v>0.21006644216213272</v>
          </cell>
          <cell r="U684">
            <v>0.20968898708828751</v>
          </cell>
          <cell r="V684">
            <v>0.20921354524190253</v>
          </cell>
        </row>
        <row r="685">
          <cell r="A685" t="str">
            <v>TOTAL</v>
          </cell>
          <cell r="B685">
            <v>9729</v>
          </cell>
          <cell r="C685">
            <v>11083</v>
          </cell>
          <cell r="D685">
            <v>15475</v>
          </cell>
          <cell r="E685">
            <v>19424</v>
          </cell>
          <cell r="F685">
            <v>22028</v>
          </cell>
          <cell r="G685">
            <v>5.5888001930418513E-2</v>
          </cell>
          <cell r="H685">
            <v>8.3856537010718768E-2</v>
          </cell>
          <cell r="I685">
            <v>8.414011816886624E-2</v>
          </cell>
          <cell r="J685">
            <v>8.1959405212016556E-2</v>
          </cell>
          <cell r="K685">
            <v>7.5234800327365278E-2</v>
          </cell>
          <cell r="L685">
            <v>7.2809318369875309E-2</v>
          </cell>
          <cell r="M685">
            <v>7.2491562533886153E-2</v>
          </cell>
          <cell r="N685">
            <v>7.2168356297495406E-2</v>
          </cell>
          <cell r="O685">
            <v>7.1837215367084789E-2</v>
          </cell>
          <cell r="P685">
            <v>7.1498477846191871E-2</v>
          </cell>
          <cell r="Q685">
            <v>7.1152060547713225E-2</v>
          </cell>
          <cell r="R685">
            <v>7.0797940901618506E-2</v>
          </cell>
          <cell r="S685">
            <v>7.0436080150714966E-2</v>
          </cell>
          <cell r="T685">
            <v>7.0066442162132689E-2</v>
          </cell>
          <cell r="U685">
            <v>6.9688987088287482E-2</v>
          </cell>
          <cell r="V685">
            <v>6.9213545241902499E-2</v>
          </cell>
        </row>
        <row r="686">
          <cell r="A686" t="str">
            <v>Number of years</v>
          </cell>
          <cell r="F686">
            <v>2.7307488129291064</v>
          </cell>
          <cell r="G686">
            <v>4.0293313658008874</v>
          </cell>
          <cell r="H686">
            <v>5.0792888818728477</v>
          </cell>
          <cell r="I686">
            <v>5.7149528466900286</v>
          </cell>
          <cell r="J686">
            <v>6.5320819462057171</v>
          </cell>
          <cell r="K686">
            <v>7.0521581848511685</v>
          </cell>
          <cell r="L686">
            <v>7.298991250233791</v>
          </cell>
          <cell r="M686">
            <v>7.2880927750901208</v>
          </cell>
          <cell r="N686">
            <v>7.2770073606472394</v>
          </cell>
          <cell r="O686">
            <v>7.2656497999343177</v>
          </cell>
          <cell r="P686">
            <v>7.2540316893174408</v>
          </cell>
          <cell r="Q686">
            <v>7.2421501756229576</v>
          </cell>
          <cell r="R686">
            <v>7.2300044847378961</v>
          </cell>
          <cell r="S686">
            <v>7.2175932873576318</v>
          </cell>
          <cell r="T686">
            <v>7.204915344187274</v>
          </cell>
          <cell r="U686">
            <v>7.1919692885236595</v>
          </cell>
          <cell r="V686">
            <v>7.1756624561756155</v>
          </cell>
        </row>
        <row r="687">
          <cell r="A687" t="str">
            <v>CAGR in NOPLAT</v>
          </cell>
        </row>
        <row r="688">
          <cell r="A688" t="str">
            <v>(Rs Million)</v>
          </cell>
        </row>
        <row r="689">
          <cell r="A689" t="str">
            <v>Calculation of Net Investment</v>
          </cell>
          <cell r="G689">
            <v>33223.708332514594</v>
          </cell>
          <cell r="H689">
            <v>41881.095652798373</v>
          </cell>
          <cell r="I689">
            <v>47122.440245061291</v>
          </cell>
          <cell r="J689">
            <v>53860.049145321966</v>
          </cell>
          <cell r="K689">
            <v>58148.319256358933</v>
          </cell>
          <cell r="L689">
            <v>60183.57250971422</v>
          </cell>
          <cell r="M689">
            <v>60093.709520902805</v>
          </cell>
          <cell r="N689">
            <v>60002.305130754787</v>
          </cell>
          <cell r="O689">
            <v>59908.656768225541</v>
          </cell>
          <cell r="P689">
            <v>59812.860050738826</v>
          </cell>
          <cell r="Q689">
            <v>59714.891452552845</v>
          </cell>
          <cell r="R689">
            <v>59614.744590746675</v>
          </cell>
          <cell r="S689">
            <v>59512.408504586332</v>
          </cell>
          <cell r="T689">
            <v>59407.872975509927</v>
          </cell>
          <cell r="U689">
            <v>59301.126734415164</v>
          </cell>
          <cell r="V689">
            <v>59166.669328812604</v>
          </cell>
        </row>
        <row r="690">
          <cell r="A690" t="str">
            <v>Inventories</v>
          </cell>
          <cell r="C690">
            <v>0</v>
          </cell>
          <cell r="D690">
            <v>0</v>
          </cell>
          <cell r="E690">
            <v>0</v>
          </cell>
          <cell r="F690">
            <v>0</v>
          </cell>
          <cell r="G690">
            <v>0</v>
          </cell>
          <cell r="H690">
            <v>9795</v>
          </cell>
          <cell r="I690">
            <v>18873</v>
          </cell>
          <cell r="J690">
            <v>18581</v>
          </cell>
          <cell r="K690">
            <v>22304.521009122167</v>
          </cell>
          <cell r="L690">
            <v>23116.04238720307</v>
          </cell>
          <cell r="M690">
            <v>22674.327361086751</v>
          </cell>
          <cell r="N690">
            <v>21908.225948474617</v>
          </cell>
          <cell r="O690">
            <v>21100.409698254753</v>
          </cell>
          <cell r="P690">
            <v>20209.088410171025</v>
          </cell>
          <cell r="Q690">
            <v>19240.978071608839</v>
          </cell>
          <cell r="R690">
            <v>18195.91759063963</v>
          </cell>
          <cell r="S690">
            <v>17075.727198893132</v>
          </cell>
          <cell r="T690">
            <v>15882.07687797475</v>
          </cell>
          <cell r="U690">
            <v>14617.250399123943</v>
          </cell>
          <cell r="V690">
            <v>23646.526846198321</v>
          </cell>
        </row>
        <row r="691">
          <cell r="A691" t="str">
            <v>Debtors</v>
          </cell>
          <cell r="C691">
            <v>0</v>
          </cell>
          <cell r="D691">
            <v>0</v>
          </cell>
          <cell r="E691">
            <v>0</v>
          </cell>
          <cell r="F691">
            <v>0</v>
          </cell>
          <cell r="G691">
            <v>0</v>
          </cell>
          <cell r="H691">
            <v>17227.712051806979</v>
          </cell>
          <cell r="I691">
            <v>17199.862431512225</v>
          </cell>
          <cell r="J691">
            <v>17934.859824742613</v>
          </cell>
          <cell r="K691">
            <v>23860.000459166942</v>
          </cell>
          <cell r="L691">
            <v>27156.69157625451</v>
          </cell>
          <cell r="M691">
            <v>27156.69157625451</v>
          </cell>
          <cell r="N691">
            <v>27156.69157625451</v>
          </cell>
          <cell r="O691">
            <v>27156.69157625451</v>
          </cell>
          <cell r="P691">
            <v>27156.69157625451</v>
          </cell>
          <cell r="Q691">
            <v>27156.69157625451</v>
          </cell>
          <cell r="R691">
            <v>27156.69157625451</v>
          </cell>
          <cell r="S691">
            <v>27156.69157625451</v>
          </cell>
          <cell r="T691">
            <v>27156.69157625451</v>
          </cell>
          <cell r="U691">
            <v>27156.69157625451</v>
          </cell>
          <cell r="V691">
            <v>27156.69157625451</v>
          </cell>
        </row>
        <row r="692">
          <cell r="A692" t="str">
            <v>Creditors</v>
          </cell>
          <cell r="C692">
            <v>0</v>
          </cell>
          <cell r="D692">
            <v>0</v>
          </cell>
          <cell r="E692">
            <v>0</v>
          </cell>
          <cell r="F692">
            <v>0</v>
          </cell>
          <cell r="G692">
            <v>0</v>
          </cell>
          <cell r="H692">
            <v>68903.807704605351</v>
          </cell>
          <cell r="I692">
            <v>83195.302676573527</v>
          </cell>
          <cell r="J692">
            <v>90375.908970064585</v>
          </cell>
          <cell r="K692">
            <v>104312.84072464803</v>
          </cell>
          <cell r="L692">
            <v>110456.3064731718</v>
          </cell>
          <cell r="M692">
            <v>109924.72845824406</v>
          </cell>
          <cell r="N692">
            <v>109067.22265548391</v>
          </cell>
          <cell r="O692">
            <v>108165.7580427348</v>
          </cell>
          <cell r="P692">
            <v>107178.64003716437</v>
          </cell>
          <cell r="Q692">
            <v>106112.56110041619</v>
          </cell>
          <cell r="R692">
            <v>104967.35375764081</v>
          </cell>
          <cell r="S692">
            <v>103744.82727973397</v>
          </cell>
          <cell r="T692">
            <v>102446.64142973919</v>
          </cell>
          <cell r="U692">
            <v>101075.06870979362</v>
          </cell>
          <cell r="V692">
            <v>109969.88775126544</v>
          </cell>
        </row>
        <row r="693">
          <cell r="A693" t="str">
            <v>Loans and advances</v>
          </cell>
          <cell r="D693">
            <v>0</v>
          </cell>
          <cell r="E693">
            <v>0</v>
          </cell>
          <cell r="F693">
            <v>0</v>
          </cell>
          <cell r="G693">
            <v>0</v>
          </cell>
          <cell r="H693">
            <v>3482.2879481930213</v>
          </cell>
          <cell r="I693">
            <v>3798.1375684877748</v>
          </cell>
          <cell r="J693">
            <v>4125.1401752573875</v>
          </cell>
          <cell r="K693">
            <v>4990.6029403150351</v>
          </cell>
          <cell r="L693">
            <v>5506.5673556810361</v>
          </cell>
          <cell r="M693">
            <v>5332.9896056810358</v>
          </cell>
          <cell r="N693">
            <v>5159.4118556810354</v>
          </cell>
          <cell r="O693">
            <v>4985.834105681035</v>
          </cell>
          <cell r="P693">
            <v>4812.2563556810346</v>
          </cell>
          <cell r="Q693">
            <v>4638.6786056810342</v>
          </cell>
          <cell r="R693">
            <v>4465.1008556810339</v>
          </cell>
          <cell r="S693">
            <v>4291.5231056810335</v>
          </cell>
          <cell r="T693">
            <v>4117.9453556810331</v>
          </cell>
          <cell r="U693">
            <v>3944.3676056810327</v>
          </cell>
          <cell r="V693">
            <v>3770.7898556810323</v>
          </cell>
        </row>
        <row r="694">
          <cell r="A694" t="str">
            <v>Total working capital</v>
          </cell>
          <cell r="C694">
            <v>0</v>
          </cell>
          <cell r="D694">
            <v>0</v>
          </cell>
          <cell r="E694">
            <v>0</v>
          </cell>
          <cell r="F694">
            <v>0</v>
          </cell>
          <cell r="G694">
            <v>0</v>
          </cell>
          <cell r="H694">
            <v>72386.095652798365</v>
          </cell>
          <cell r="I694">
            <v>86993.440245061298</v>
          </cell>
          <cell r="J694">
            <v>94501.049145321973</v>
          </cell>
          <cell r="K694">
            <v>109303.44366496307</v>
          </cell>
          <cell r="L694">
            <v>115962.87382885284</v>
          </cell>
          <cell r="M694">
            <v>115257.7180639251</v>
          </cell>
          <cell r="N694">
            <v>114226.63451116494</v>
          </cell>
          <cell r="O694">
            <v>113151.59214841583</v>
          </cell>
          <cell r="P694">
            <v>111990.8963928454</v>
          </cell>
          <cell r="Q694">
            <v>110751.23970609723</v>
          </cell>
          <cell r="R694">
            <v>109432.45461332184</v>
          </cell>
          <cell r="S694">
            <v>108036.350385415</v>
          </cell>
          <cell r="T694">
            <v>106564.58678542022</v>
          </cell>
          <cell r="U694">
            <v>105019.43631547465</v>
          </cell>
          <cell r="V694">
            <v>113740.67760694647</v>
          </cell>
        </row>
        <row r="695">
          <cell r="A695" t="str">
            <v>Increase in working capital</v>
          </cell>
          <cell r="C695">
            <v>0</v>
          </cell>
          <cell r="D695">
            <v>0</v>
          </cell>
          <cell r="E695">
            <v>0</v>
          </cell>
          <cell r="F695">
            <v>0</v>
          </cell>
          <cell r="G695">
            <v>0</v>
          </cell>
        </row>
        <row r="696">
          <cell r="A696" t="str">
            <v>Free Cash from Operations</v>
          </cell>
          <cell r="B696">
            <v>2500</v>
          </cell>
          <cell r="C696">
            <v>35647.048134900571</v>
          </cell>
          <cell r="D696">
            <v>0</v>
          </cell>
          <cell r="E696">
            <v>0</v>
          </cell>
          <cell r="F696">
            <v>0</v>
          </cell>
          <cell r="G696">
            <v>0</v>
          </cell>
        </row>
        <row r="697">
          <cell r="A697" t="str">
            <v>Investment Allowance Reserve</v>
          </cell>
          <cell r="B697">
            <v>0</v>
          </cell>
          <cell r="C697">
            <v>7187</v>
          </cell>
          <cell r="D697">
            <v>0</v>
          </cell>
          <cell r="E697">
            <v>0</v>
          </cell>
          <cell r="F697">
            <v>0</v>
          </cell>
          <cell r="G697">
            <v>17.529800000000005</v>
          </cell>
          <cell r="H697">
            <v>17.039475000000003</v>
          </cell>
          <cell r="I697">
            <v>20.137900500000001</v>
          </cell>
          <cell r="J697">
            <v>22.483331883429518</v>
          </cell>
          <cell r="K697">
            <v>25.217582383947512</v>
          </cell>
          <cell r="L697">
            <v>30.814339032691834</v>
          </cell>
          <cell r="M697">
            <v>36.85277093251738</v>
          </cell>
          <cell r="N697">
            <v>43.14305502167516</v>
          </cell>
          <cell r="O697">
            <v>49.754630696907647</v>
          </cell>
          <cell r="P697">
            <v>56.648297504961974</v>
          </cell>
          <cell r="Q697">
            <v>63.869873103245787</v>
          </cell>
          <cell r="R697">
            <v>71.423109102195696</v>
          </cell>
          <cell r="S697">
            <v>79.365183606614494</v>
          </cell>
          <cell r="T697">
            <v>87.671347115801865</v>
          </cell>
          <cell r="U697">
            <v>96.38105900383276</v>
          </cell>
          <cell r="V697">
            <v>105.48993467126738</v>
          </cell>
        </row>
        <row r="698">
          <cell r="A698" t="str">
            <v>CAPEX</v>
          </cell>
          <cell r="B698">
            <v>40143</v>
          </cell>
          <cell r="C698">
            <v>0</v>
          </cell>
          <cell r="D698">
            <v>0</v>
          </cell>
          <cell r="E698">
            <v>0</v>
          </cell>
          <cell r="F698">
            <v>0</v>
          </cell>
          <cell r="G698">
            <v>0</v>
          </cell>
        </row>
        <row r="699">
          <cell r="A699" t="str">
            <v>Less Depreciation</v>
          </cell>
          <cell r="C699">
            <v>23223</v>
          </cell>
          <cell r="D699">
            <v>0</v>
          </cell>
          <cell r="E699">
            <v>0</v>
          </cell>
          <cell r="F699">
            <v>0</v>
          </cell>
          <cell r="G699">
            <v>0</v>
          </cell>
        </row>
        <row r="700">
          <cell r="A700" t="str">
            <v>Net Investment</v>
          </cell>
          <cell r="B700">
            <v>400</v>
          </cell>
          <cell r="C700">
            <v>-23223</v>
          </cell>
          <cell r="D700">
            <v>0</v>
          </cell>
          <cell r="E700">
            <v>0</v>
          </cell>
          <cell r="F700">
            <v>0</v>
          </cell>
          <cell r="G700">
            <v>0</v>
          </cell>
        </row>
        <row r="701">
          <cell r="A701" t="str">
            <v xml:space="preserve">Capex - Depn </v>
          </cell>
          <cell r="B701">
            <v>0</v>
          </cell>
          <cell r="C701">
            <v>-23223</v>
          </cell>
          <cell r="D701">
            <v>0</v>
          </cell>
          <cell r="E701">
            <v>0</v>
          </cell>
          <cell r="F701">
            <v>0</v>
          </cell>
          <cell r="G701">
            <v>0</v>
          </cell>
        </row>
        <row r="702">
          <cell r="A702" t="str">
            <v>Transfer to Capital Reserve</v>
          </cell>
          <cell r="B702">
            <v>34</v>
          </cell>
          <cell r="C702">
            <v>5</v>
          </cell>
          <cell r="D702">
            <v>506</v>
          </cell>
          <cell r="E702">
            <v>100</v>
          </cell>
          <cell r="F702">
            <v>30</v>
          </cell>
          <cell r="G702">
            <v>164.107</v>
          </cell>
          <cell r="H702">
            <v>171.762</v>
          </cell>
          <cell r="I702">
            <v>147.762</v>
          </cell>
          <cell r="J702">
            <v>123.762</v>
          </cell>
          <cell r="K702">
            <v>99.762</v>
          </cell>
          <cell r="L702">
            <v>75.762</v>
          </cell>
          <cell r="M702">
            <v>51.762</v>
          </cell>
          <cell r="N702">
            <v>27.762</v>
          </cell>
          <cell r="O702">
            <v>3.762</v>
          </cell>
          <cell r="P702">
            <v>-20.238</v>
          </cell>
          <cell r="Q702">
            <v>-44.238</v>
          </cell>
          <cell r="R702">
            <v>-68.238</v>
          </cell>
          <cell r="S702">
            <v>-92.238</v>
          </cell>
          <cell r="T702">
            <v>-116.238</v>
          </cell>
          <cell r="U702">
            <v>-140.238</v>
          </cell>
          <cell r="V702">
            <v>-164.238</v>
          </cell>
        </row>
        <row r="703">
          <cell r="A703" t="str">
            <v>Free cash flow</v>
          </cell>
          <cell r="B703">
            <v>31992</v>
          </cell>
          <cell r="C703">
            <v>58870.048134900571</v>
          </cell>
          <cell r="D703">
            <v>0</v>
          </cell>
          <cell r="E703">
            <v>0</v>
          </cell>
          <cell r="F703">
            <v>0</v>
          </cell>
          <cell r="G703">
            <v>0</v>
          </cell>
          <cell r="H703">
            <v>-1</v>
          </cell>
          <cell r="I703">
            <v>8.6157000000000004</v>
          </cell>
          <cell r="J703">
            <v>7.6584000000000003</v>
          </cell>
          <cell r="K703">
            <v>6.7011000000000003</v>
          </cell>
          <cell r="L703">
            <v>5.7438000000000002</v>
          </cell>
          <cell r="M703">
            <v>4.7865000000000002</v>
          </cell>
          <cell r="N703">
            <v>3.8292000000000002</v>
          </cell>
          <cell r="O703">
            <v>2.8719000000000001</v>
          </cell>
          <cell r="P703">
            <v>1.9146000000000001</v>
          </cell>
          <cell r="Q703">
            <v>0.95730000000000004</v>
          </cell>
          <cell r="R703">
            <v>0</v>
          </cell>
          <cell r="S703">
            <v>-0.95730000000000004</v>
          </cell>
          <cell r="T703">
            <v>-1.9146000000000001</v>
          </cell>
          <cell r="U703">
            <v>-2.8719000000000001</v>
          </cell>
          <cell r="V703">
            <v>-3.8292000000000002</v>
          </cell>
        </row>
        <row r="704">
          <cell r="A704" t="str">
            <v>Interim dividend</v>
          </cell>
          <cell r="B704">
            <v>3000</v>
          </cell>
          <cell r="C704">
            <v>0</v>
          </cell>
          <cell r="D704">
            <v>0</v>
          </cell>
          <cell r="E704">
            <v>4000</v>
          </cell>
          <cell r="F704">
            <v>0</v>
          </cell>
          <cell r="G704">
            <v>173.68</v>
          </cell>
          <cell r="H704">
            <v>181.33500000000001</v>
          </cell>
          <cell r="I704">
            <v>156.3777</v>
          </cell>
          <cell r="J704">
            <v>131.4204</v>
          </cell>
          <cell r="K704">
            <v>106.4631</v>
          </cell>
          <cell r="L704">
            <v>81.505799999999994</v>
          </cell>
          <cell r="M704">
            <v>56.548500000000004</v>
          </cell>
          <cell r="N704">
            <v>31.591200000000001</v>
          </cell>
          <cell r="O704">
            <v>6.6339000000000006</v>
          </cell>
          <cell r="P704">
            <v>-18.323399999999999</v>
          </cell>
          <cell r="Q704">
            <v>-43.280699999999996</v>
          </cell>
          <cell r="R704">
            <v>-68.238</v>
          </cell>
          <cell r="S704">
            <v>-93.195300000000003</v>
          </cell>
          <cell r="T704">
            <v>-118.15260000000001</v>
          </cell>
          <cell r="U704">
            <v>-143.10990000000001</v>
          </cell>
          <cell r="V704">
            <v>-168.06720000000001</v>
          </cell>
        </row>
        <row r="705">
          <cell r="A705" t="str">
            <v>Calculation of NOPLAT growth rate (g)</v>
          </cell>
          <cell r="B705">
            <v>3500</v>
          </cell>
          <cell r="C705">
            <v>0</v>
          </cell>
          <cell r="D705">
            <v>-1</v>
          </cell>
          <cell r="E705" t="e">
            <v>#DIV/0!</v>
          </cell>
          <cell r="F705" t="e">
            <v>#DIV/0!</v>
          </cell>
          <cell r="G705" t="e">
            <v>#DIV/0!</v>
          </cell>
          <cell r="H705">
            <v>8.5000000000000006E-2</v>
          </cell>
          <cell r="I705">
            <v>8.5000000000000006E-2</v>
          </cell>
          <cell r="J705">
            <v>8.5000000000000006E-2</v>
          </cell>
          <cell r="K705">
            <v>8.5000000000000006E-2</v>
          </cell>
          <cell r="L705">
            <v>8.5000000000000006E-2</v>
          </cell>
          <cell r="M705">
            <v>8.5000000000000006E-2</v>
          </cell>
          <cell r="N705">
            <v>8.5000000000000006E-2</v>
          </cell>
          <cell r="O705">
            <v>8.5000000000000006E-2</v>
          </cell>
          <cell r="P705">
            <v>8.5000000000000006E-2</v>
          </cell>
          <cell r="Q705">
            <v>8.5000000000000006E-2</v>
          </cell>
          <cell r="R705">
            <v>8.5000000000000006E-2</v>
          </cell>
          <cell r="S705">
            <v>8.5000000000000006E-2</v>
          </cell>
          <cell r="T705">
            <v>8.5000000000000006E-2</v>
          </cell>
          <cell r="U705">
            <v>8.5000000000000006E-2</v>
          </cell>
          <cell r="V705">
            <v>8.5000000000000006E-2</v>
          </cell>
        </row>
        <row r="706">
          <cell r="A706" t="str">
            <v>Calculation of Return on incremental capital (r)</v>
          </cell>
          <cell r="B706">
            <v>1100</v>
          </cell>
          <cell r="C706" t="e">
            <v>#REF!</v>
          </cell>
          <cell r="D706" t="e">
            <v>#DIV/0!</v>
          </cell>
          <cell r="E706" t="e">
            <v>#DIV/0!</v>
          </cell>
          <cell r="F706" t="e">
            <v>#DIV/0!</v>
          </cell>
          <cell r="G706" t="e">
            <v>#DIV/0!</v>
          </cell>
          <cell r="H706">
            <v>15.413475000000002</v>
          </cell>
          <cell r="I706">
            <v>13.292104500000001</v>
          </cell>
          <cell r="J706">
            <v>11.170734000000001</v>
          </cell>
          <cell r="K706">
            <v>9.0493635000000001</v>
          </cell>
          <cell r="L706">
            <v>6.9279929999999998</v>
          </cell>
          <cell r="M706">
            <v>4.8066225000000005</v>
          </cell>
          <cell r="N706">
            <v>2.6852520000000002</v>
          </cell>
          <cell r="O706">
            <v>0.56388150000000004</v>
          </cell>
          <cell r="P706">
            <v>-1.5574890000000001</v>
          </cell>
          <cell r="Q706">
            <v>-3.6788594999999997</v>
          </cell>
          <cell r="R706">
            <v>-5.80023</v>
          </cell>
          <cell r="S706">
            <v>-7.9216005000000012</v>
          </cell>
          <cell r="T706">
            <v>-10.042971000000001</v>
          </cell>
          <cell r="U706">
            <v>-12.164341500000003</v>
          </cell>
          <cell r="V706">
            <v>-14.285712000000002</v>
          </cell>
        </row>
        <row r="707">
          <cell r="A707" t="str">
            <v>Balance carried to Balance Sheet</v>
          </cell>
          <cell r="B707">
            <v>117</v>
          </cell>
          <cell r="C707">
            <v>2808</v>
          </cell>
          <cell r="D707">
            <v>1496</v>
          </cell>
          <cell r="E707">
            <v>681</v>
          </cell>
          <cell r="F707">
            <v>566</v>
          </cell>
          <cell r="G707">
            <v>3.9227314601566095E-2</v>
          </cell>
          <cell r="H707">
            <v>4.2688945873659248E-2</v>
          </cell>
          <cell r="I707">
            <v>0.02</v>
          </cell>
          <cell r="J707">
            <v>0.02</v>
          </cell>
          <cell r="K707">
            <v>0.02</v>
          </cell>
          <cell r="L707">
            <v>0.02</v>
          </cell>
          <cell r="M707">
            <v>0.02</v>
          </cell>
          <cell r="N707">
            <v>0.02</v>
          </cell>
          <cell r="O707">
            <v>0.02</v>
          </cell>
          <cell r="P707">
            <v>0.02</v>
          </cell>
          <cell r="Q707">
            <v>0.02</v>
          </cell>
          <cell r="R707">
            <v>0.02</v>
          </cell>
          <cell r="S707">
            <v>0.02</v>
          </cell>
          <cell r="T707">
            <v>0.02</v>
          </cell>
          <cell r="U707">
            <v>0.02</v>
          </cell>
          <cell r="V707">
            <v>0.02</v>
          </cell>
        </row>
        <row r="708">
          <cell r="A708" t="str">
            <v>Rebate amount paid to SEBs</v>
          </cell>
          <cell r="D708">
            <v>16181</v>
          </cell>
          <cell r="E708">
            <v>7.7410000000000005</v>
          </cell>
          <cell r="G708">
            <v>6.8129999999999997</v>
          </cell>
          <cell r="H708">
            <v>7.7410000000000005</v>
          </cell>
          <cell r="I708">
            <v>3.1275539999999999</v>
          </cell>
          <cell r="J708" t="str">
            <v>Risk free</v>
          </cell>
          <cell r="K708">
            <v>2.1292619999999998</v>
          </cell>
          <cell r="L708">
            <v>1.6301159999999999</v>
          </cell>
          <cell r="M708">
            <v>1.13097</v>
          </cell>
          <cell r="N708">
            <v>0.63182400000000005</v>
          </cell>
          <cell r="O708">
            <v>0.13267800000000002</v>
          </cell>
          <cell r="P708">
            <v>-0.36646800000000002</v>
          </cell>
          <cell r="Q708">
            <v>-0.86561399999999988</v>
          </cell>
          <cell r="R708">
            <v>-1.36476</v>
          </cell>
          <cell r="S708">
            <v>-1.8639060000000001</v>
          </cell>
          <cell r="T708">
            <v>-2.3630520000000002</v>
          </cell>
          <cell r="U708">
            <v>-2.8621980000000002</v>
          </cell>
          <cell r="V708">
            <v>-3.3613440000000003</v>
          </cell>
        </row>
        <row r="709">
          <cell r="A709" t="str">
            <v>* The impact of adjustments on profit for the year have been adjusted in General Reserve</v>
          </cell>
          <cell r="G709">
            <v>7.0000000000000007E-2</v>
          </cell>
          <cell r="H709">
            <v>0.15</v>
          </cell>
          <cell r="I709">
            <v>1.0946438999999999</v>
          </cell>
          <cell r="J709">
            <v>0.91994279999999984</v>
          </cell>
          <cell r="K709">
            <v>0.7452416999999999</v>
          </cell>
          <cell r="L709">
            <v>0.57054059999999995</v>
          </cell>
          <cell r="M709">
            <v>0.39583950000000001</v>
          </cell>
          <cell r="N709">
            <v>0.22113840000000001</v>
          </cell>
          <cell r="O709">
            <v>4.6437300000000001E-2</v>
          </cell>
          <cell r="P709">
            <v>-0.12826380000000001</v>
          </cell>
          <cell r="Q709">
            <v>-0.30296489999999993</v>
          </cell>
          <cell r="R709">
            <v>-0.47766599999999998</v>
          </cell>
          <cell r="S709">
            <v>-0.65236709999999998</v>
          </cell>
          <cell r="T709">
            <v>-0.82706820000000003</v>
          </cell>
          <cell r="U709">
            <v>-1.0017693000000001</v>
          </cell>
          <cell r="V709">
            <v>-1.1764704000000001</v>
          </cell>
        </row>
        <row r="710">
          <cell r="A710" t="str">
            <v xml:space="preserve">Net post tax income on  SEB Bonds </v>
          </cell>
          <cell r="D710" t="str">
            <v>Growth rate in the first period (gA)</v>
          </cell>
          <cell r="G710">
            <v>10.243055800000002</v>
          </cell>
          <cell r="H710">
            <v>0.15</v>
          </cell>
          <cell r="I710">
            <v>0</v>
          </cell>
          <cell r="J710">
            <v>0.2</v>
          </cell>
          <cell r="K710">
            <v>7.6653432000000006</v>
          </cell>
          <cell r="L710">
            <v>5.8684175999999999</v>
          </cell>
          <cell r="M710">
            <v>4.0714920000000001</v>
          </cell>
          <cell r="N710">
            <v>2.2745664000000003</v>
          </cell>
          <cell r="O710">
            <v>0.47764080000000003</v>
          </cell>
          <cell r="P710">
            <v>-1.3192848000000001</v>
          </cell>
          <cell r="Q710">
            <v>-3.1162103999999999</v>
          </cell>
          <cell r="R710">
            <v>-4.9131360000000006</v>
          </cell>
          <cell r="S710">
            <v>-6.7100616000000013</v>
          </cell>
          <cell r="T710">
            <v>-8.5069872000000011</v>
          </cell>
          <cell r="U710">
            <v>-10.303912800000003</v>
          </cell>
          <cell r="V710">
            <v>-12.100838400000001</v>
          </cell>
        </row>
        <row r="711">
          <cell r="A711" t="str">
            <v>Other Non-Operating Income</v>
          </cell>
          <cell r="D711" t="str">
            <v>Growth rate in the second period(gB)</v>
          </cell>
          <cell r="H711">
            <v>7.0000000000000007E-2</v>
          </cell>
          <cell r="I711">
            <v>0</v>
          </cell>
        </row>
        <row r="712">
          <cell r="A712" t="str">
            <v>Public deposits account with Government of India/Deposits/Cash</v>
          </cell>
          <cell r="D712" t="str">
            <v>ROICa</v>
          </cell>
          <cell r="G712">
            <v>60.783000000000001</v>
          </cell>
          <cell r="H712">
            <v>0.125</v>
          </cell>
          <cell r="I712">
            <v>129.31200000000001</v>
          </cell>
          <cell r="J712">
            <v>171.82132354286895</v>
          </cell>
          <cell r="K712">
            <v>226.27632354934389</v>
          </cell>
          <cell r="L712">
            <v>316.51358790864793</v>
          </cell>
          <cell r="M712">
            <v>412.27179290646717</v>
          </cell>
          <cell r="N712">
            <v>511.17815027093957</v>
          </cell>
          <cell r="O712">
            <v>614.10065246134559</v>
          </cell>
          <cell r="P712">
            <v>720.54929381202453</v>
          </cell>
          <cell r="Q712">
            <v>831.09679504057249</v>
          </cell>
          <cell r="R712">
            <v>945.79005127744608</v>
          </cell>
          <cell r="S712">
            <v>1065.3437888326812</v>
          </cell>
          <cell r="T712">
            <v>1189.4486389475239</v>
          </cell>
          <cell r="U712">
            <v>1318.5978437979088</v>
          </cell>
          <cell r="V712">
            <v>1452.736595890842</v>
          </cell>
        </row>
        <row r="713">
          <cell r="A713" t="str">
            <v>Assumed Return</v>
          </cell>
          <cell r="D713" t="str">
            <v>ROICb</v>
          </cell>
          <cell r="F713">
            <v>0.06</v>
          </cell>
          <cell r="G713">
            <v>7.6304229801095691E-2</v>
          </cell>
          <cell r="H713">
            <v>0.125</v>
          </cell>
          <cell r="I713">
            <v>7.4999999999999997E-2</v>
          </cell>
          <cell r="J713">
            <v>0.08</v>
          </cell>
          <cell r="K713">
            <v>0.08</v>
          </cell>
          <cell r="L713">
            <v>0.08</v>
          </cell>
          <cell r="M713">
            <v>0.08</v>
          </cell>
          <cell r="N713">
            <v>0.08</v>
          </cell>
          <cell r="O713">
            <v>0.08</v>
          </cell>
          <cell r="P713">
            <v>0.08</v>
          </cell>
          <cell r="Q713">
            <v>0.08</v>
          </cell>
          <cell r="R713">
            <v>0.08</v>
          </cell>
          <cell r="S713">
            <v>0.08</v>
          </cell>
          <cell r="T713">
            <v>0.08</v>
          </cell>
          <cell r="U713">
            <v>0.08</v>
          </cell>
          <cell r="V713">
            <v>0.08</v>
          </cell>
        </row>
        <row r="714">
          <cell r="A714" t="str">
            <v>Adjustments for</v>
          </cell>
          <cell r="B714" t="str">
            <v>Rsbn</v>
          </cell>
          <cell r="D714" t="str">
            <v>Discount rate</v>
          </cell>
          <cell r="G714">
            <v>4.6379999999999999</v>
          </cell>
          <cell r="H714" t="e">
            <v>#DIV/0!</v>
          </cell>
          <cell r="I714">
            <v>9.6984000000000012</v>
          </cell>
          <cell r="J714">
            <v>13.745705883429517</v>
          </cell>
          <cell r="K714">
            <v>18.102105883947512</v>
          </cell>
          <cell r="L714">
            <v>25.321087032691835</v>
          </cell>
          <cell r="M714">
            <v>32.981743432517376</v>
          </cell>
          <cell r="N714">
            <v>40.894252021675165</v>
          </cell>
          <cell r="O714">
            <v>49.128052196907646</v>
          </cell>
          <cell r="P714">
            <v>57.64394350496196</v>
          </cell>
          <cell r="Q714">
            <v>66.487743603245804</v>
          </cell>
          <cell r="R714">
            <v>75.663204102195692</v>
          </cell>
          <cell r="S714">
            <v>85.227503106614492</v>
          </cell>
          <cell r="T714">
            <v>95.155891115801921</v>
          </cell>
          <cell r="U714">
            <v>105.4878275038327</v>
          </cell>
          <cell r="V714">
            <v>116.21892767126735</v>
          </cell>
        </row>
        <row r="715">
          <cell r="A715" t="str">
            <v>Adjustment for tariff orders of previous years</v>
          </cell>
          <cell r="B715">
            <v>13.96</v>
          </cell>
          <cell r="C715" t="str">
            <v>Upwards</v>
          </cell>
          <cell r="D715" t="str">
            <v>No. of years in the first period</v>
          </cell>
          <cell r="F715">
            <v>0</v>
          </cell>
          <cell r="G715">
            <v>1.5611508000000001</v>
          </cell>
          <cell r="H715">
            <v>5</v>
          </cell>
          <cell r="I715">
            <v>3.2644814400000004</v>
          </cell>
          <cell r="J715">
            <v>10</v>
          </cell>
          <cell r="K715">
            <v>6.093168840536733</v>
          </cell>
          <cell r="L715">
            <v>8.5230778952040716</v>
          </cell>
          <cell r="M715">
            <v>11.101654839385349</v>
          </cell>
          <cell r="N715">
            <v>13.765005230495861</v>
          </cell>
          <cell r="O715">
            <v>16.536502369479113</v>
          </cell>
          <cell r="P715">
            <v>19.402951383770198</v>
          </cell>
          <cell r="Q715">
            <v>22.379774496852537</v>
          </cell>
          <cell r="R715">
            <v>25.46823450079907</v>
          </cell>
          <cell r="S715">
            <v>28.687577545686437</v>
          </cell>
          <cell r="T715">
            <v>32.029472949578931</v>
          </cell>
          <cell r="U715">
            <v>35.507202737790088</v>
          </cell>
          <cell r="V715">
            <v>39.11929105414859</v>
          </cell>
        </row>
        <row r="716">
          <cell r="A716" t="str">
            <v>Rebates and surcharge on dues writ off</v>
          </cell>
          <cell r="B716">
            <v>26.53</v>
          </cell>
          <cell r="C716" t="str">
            <v>Downward</v>
          </cell>
          <cell r="D716" t="str">
            <v>Fair value (Rs. per share)</v>
          </cell>
          <cell r="F716">
            <v>2.7509999999999999</v>
          </cell>
          <cell r="G716">
            <v>3.0768491999999998</v>
          </cell>
          <cell r="H716" t="e">
            <v>#DIV/0!</v>
          </cell>
          <cell r="I716">
            <v>65</v>
          </cell>
          <cell r="J716">
            <v>146</v>
          </cell>
          <cell r="K716">
            <v>12.00893704341078</v>
          </cell>
          <cell r="L716">
            <v>16.798009137487764</v>
          </cell>
          <cell r="M716">
            <v>21.880088593132026</v>
          </cell>
          <cell r="N716">
            <v>27.129246791179305</v>
          </cell>
          <cell r="O716">
            <v>32.59154982742853</v>
          </cell>
          <cell r="P716">
            <v>38.240992121191766</v>
          </cell>
          <cell r="Q716">
            <v>44.107969106393263</v>
          </cell>
          <cell r="R716">
            <v>50.194969601396622</v>
          </cell>
          <cell r="S716">
            <v>56.539925560928054</v>
          </cell>
          <cell r="T716">
            <v>63.12641816622299</v>
          </cell>
          <cell r="U716">
            <v>69.98062476604261</v>
          </cell>
          <cell r="V716">
            <v>77.099636617118762</v>
          </cell>
        </row>
        <row r="717">
          <cell r="A717" t="str">
            <v>Provisions written back and water charges</v>
          </cell>
          <cell r="B717">
            <v>4.95</v>
          </cell>
          <cell r="C717" t="str">
            <v>Downwards</v>
          </cell>
          <cell r="D717">
            <v>1.4079999999999999</v>
          </cell>
        </row>
        <row r="718">
          <cell r="A718" t="str">
            <v>First part</v>
          </cell>
          <cell r="B718">
            <v>4.6109999999999998</v>
          </cell>
          <cell r="C718" t="str">
            <v>Upwards</v>
          </cell>
          <cell r="D718" t="str">
            <v xml:space="preserve"> incomes</v>
          </cell>
          <cell r="G718">
            <v>43.87</v>
          </cell>
          <cell r="H718" t="e">
            <v>#DIV/0!</v>
          </cell>
          <cell r="I718">
            <v>3.6659999999999999</v>
          </cell>
          <cell r="J718">
            <v>2.6040000000000001</v>
          </cell>
          <cell r="K718">
            <v>2.605</v>
          </cell>
          <cell r="L718">
            <v>2.605</v>
          </cell>
          <cell r="M718">
            <v>2.605</v>
          </cell>
          <cell r="N718">
            <v>2.605</v>
          </cell>
          <cell r="O718">
            <v>2.605</v>
          </cell>
          <cell r="P718">
            <v>2.605</v>
          </cell>
          <cell r="Q718">
            <v>2.605</v>
          </cell>
          <cell r="R718">
            <v>2.605</v>
          </cell>
          <cell r="S718">
            <v>2.605</v>
          </cell>
          <cell r="T718">
            <v>2.605</v>
          </cell>
          <cell r="U718">
            <v>2.605</v>
          </cell>
          <cell r="V718">
            <v>2.605</v>
          </cell>
        </row>
        <row r="719">
          <cell r="A719" t="str">
            <v>Second part</v>
          </cell>
          <cell r="G719">
            <v>0.11265101436061091</v>
          </cell>
          <cell r="H719" t="e">
            <v>#DIV/0!</v>
          </cell>
          <cell r="I719">
            <v>7.4999999999999997E-2</v>
          </cell>
          <cell r="J719">
            <v>7.4999999999999997E-2</v>
          </cell>
          <cell r="K719">
            <v>7.4999999999999997E-2</v>
          </cell>
          <cell r="L719">
            <v>7.4999999999999997E-2</v>
          </cell>
          <cell r="M719">
            <v>7.4999999999999997E-2</v>
          </cell>
          <cell r="N719">
            <v>7.4999999999999997E-2</v>
          </cell>
          <cell r="O719">
            <v>7.4999999999999997E-2</v>
          </cell>
          <cell r="P719">
            <v>7.4999999999999997E-2</v>
          </cell>
          <cell r="Q719">
            <v>7.4999999999999997E-2</v>
          </cell>
          <cell r="R719">
            <v>7.4999999999999997E-2</v>
          </cell>
          <cell r="S719">
            <v>7.4999999999999997E-2</v>
          </cell>
          <cell r="T719">
            <v>7.4999999999999997E-2</v>
          </cell>
          <cell r="U719">
            <v>7.4999999999999997E-2</v>
          </cell>
          <cell r="V719">
            <v>7.4999999999999997E-2</v>
          </cell>
        </row>
        <row r="720">
          <cell r="A720" t="str">
            <v>Total terminal value</v>
          </cell>
          <cell r="F720">
            <v>4.3249999999999984</v>
          </cell>
          <cell r="G720">
            <v>4.9420000000000002</v>
          </cell>
          <cell r="H720" t="e">
            <v>#DIV/0!</v>
          </cell>
          <cell r="I720">
            <v>0.27494999999999997</v>
          </cell>
          <cell r="J720">
            <v>0.1953</v>
          </cell>
          <cell r="K720">
            <v>0.19537499999999999</v>
          </cell>
          <cell r="L720">
            <v>0.19537499999999999</v>
          </cell>
          <cell r="M720">
            <v>0.19537499999999999</v>
          </cell>
          <cell r="N720">
            <v>0.19537499999999999</v>
          </cell>
          <cell r="O720">
            <v>0.19537499999999999</v>
          </cell>
          <cell r="P720">
            <v>0.19537499999999999</v>
          </cell>
          <cell r="Q720">
            <v>0.19537499999999999</v>
          </cell>
          <cell r="R720">
            <v>0.19537499999999999</v>
          </cell>
          <cell r="S720">
            <v>0.19537499999999999</v>
          </cell>
          <cell r="T720">
            <v>0.19537499999999999</v>
          </cell>
          <cell r="U720">
            <v>0.19537499999999999</v>
          </cell>
          <cell r="V720">
            <v>0.19537499999999999</v>
          </cell>
        </row>
        <row r="721">
          <cell r="A721" t="str">
            <v>Discounted terminal value</v>
          </cell>
          <cell r="B721">
            <v>34.853999999999999</v>
          </cell>
          <cell r="G721">
            <v>0.70573531760060515</v>
          </cell>
          <cell r="H721" t="e">
            <v>#DIV/0!</v>
          </cell>
          <cell r="I721">
            <v>9.2548169999999985E-2</v>
          </cell>
          <cell r="J721">
            <v>6.5737980000000001E-2</v>
          </cell>
          <cell r="K721">
            <v>6.5763225000000008E-2</v>
          </cell>
          <cell r="L721">
            <v>6.5763225000000008E-2</v>
          </cell>
          <cell r="M721">
            <v>6.5763225000000008E-2</v>
          </cell>
          <cell r="N721">
            <v>6.5763225000000008E-2</v>
          </cell>
          <cell r="O721">
            <v>6.5763225000000008E-2</v>
          </cell>
          <cell r="P721">
            <v>6.5763225000000008E-2</v>
          </cell>
          <cell r="Q721">
            <v>6.5763225000000008E-2</v>
          </cell>
          <cell r="R721">
            <v>6.5763225000000008E-2</v>
          </cell>
          <cell r="S721">
            <v>6.5763225000000008E-2</v>
          </cell>
          <cell r="T721">
            <v>6.5763225000000008E-2</v>
          </cell>
          <cell r="U721">
            <v>6.5763225000000008E-2</v>
          </cell>
          <cell r="V721">
            <v>6.5763225000000008E-2</v>
          </cell>
        </row>
        <row r="722">
          <cell r="A722" t="str">
            <v>Discounted value of cash flows</v>
          </cell>
          <cell r="B722">
            <v>13.949</v>
          </cell>
          <cell r="F722">
            <v>0</v>
          </cell>
          <cell r="G722">
            <v>4.236264682399395</v>
          </cell>
          <cell r="H722" t="e">
            <v>#DIV/0!</v>
          </cell>
          <cell r="I722">
            <v>0.18240182999999999</v>
          </cell>
          <cell r="J722">
            <v>0.12956202</v>
          </cell>
          <cell r="K722">
            <v>0.12961177499999998</v>
          </cell>
          <cell r="L722">
            <v>0.12961177499999998</v>
          </cell>
          <cell r="M722">
            <v>0.12961177499999998</v>
          </cell>
          <cell r="N722">
            <v>0.12961177499999998</v>
          </cell>
          <cell r="O722">
            <v>0.12961177499999998</v>
          </cell>
          <cell r="P722">
            <v>0.12961177499999998</v>
          </cell>
          <cell r="Q722">
            <v>0.12961177499999998</v>
          </cell>
          <cell r="R722">
            <v>0.12961177499999998</v>
          </cell>
          <cell r="S722">
            <v>0.12961177499999998</v>
          </cell>
          <cell r="T722">
            <v>0.12961177499999998</v>
          </cell>
          <cell r="U722">
            <v>0.12961177499999998</v>
          </cell>
          <cell r="V722">
            <v>0.12961177499999998</v>
          </cell>
        </row>
        <row r="723">
          <cell r="A723" t="str">
            <v>Total</v>
          </cell>
          <cell r="B723">
            <v>20.905000000000001</v>
          </cell>
          <cell r="C723">
            <v>22.640999999999998</v>
          </cell>
          <cell r="D723">
            <v>2.2530000000000001</v>
          </cell>
          <cell r="H723" t="e">
            <v>#DIV/0!</v>
          </cell>
        </row>
        <row r="724">
          <cell r="A724" t="str">
            <v>Adjusted for mid-year accruals</v>
          </cell>
          <cell r="B724">
            <v>43.545999999999999</v>
          </cell>
          <cell r="H724" t="e">
            <v>#DIV/0!</v>
          </cell>
        </row>
        <row r="725">
          <cell r="A725" t="str">
            <v>Non-operating investments</v>
          </cell>
          <cell r="B725">
            <v>12.574999999999999</v>
          </cell>
          <cell r="G725">
            <v>6.3140000000000001</v>
          </cell>
          <cell r="H725">
            <v>0</v>
          </cell>
          <cell r="I725">
            <v>10.29</v>
          </cell>
          <cell r="J725">
            <v>10.467649999999999</v>
          </cell>
          <cell r="K725">
            <v>13.892761033167128</v>
          </cell>
          <cell r="L725">
            <v>14.21244600216705</v>
          </cell>
          <cell r="M725">
            <v>13.724481601214528</v>
          </cell>
          <cell r="N725">
            <v>12.916999544097758</v>
          </cell>
          <cell r="O725">
            <v>12.066687816308045</v>
          </cell>
          <cell r="P725">
            <v>11.13257055931493</v>
          </cell>
          <cell r="Q725">
            <v>10.121163399602892</v>
          </cell>
          <cell r="R725">
            <v>9.0322508840333793</v>
          </cell>
          <cell r="S725">
            <v>7.8675598953185384</v>
          </cell>
          <cell r="T725">
            <v>6.6286733869782015</v>
          </cell>
          <cell r="U725">
            <v>5.317779155064132</v>
          </cell>
          <cell r="V725">
            <v>14.082977429732132</v>
          </cell>
        </row>
        <row r="726">
          <cell r="A726" t="str">
            <v>Less: Interest on LT Loans Recovered (as it is a Pass-thru)</v>
          </cell>
          <cell r="B726">
            <v>30.971</v>
          </cell>
          <cell r="G726">
            <v>6.2759999999999998</v>
          </cell>
          <cell r="H726">
            <v>5.2450000000000001</v>
          </cell>
          <cell r="I726">
            <v>10.218999999999999</v>
          </cell>
          <cell r="J726">
            <v>14.051942067446447</v>
          </cell>
          <cell r="K726">
            <v>13.837761033167128</v>
          </cell>
          <cell r="L726">
            <v>14.157446002167051</v>
          </cell>
          <cell r="M726">
            <v>13.669481601214528</v>
          </cell>
          <cell r="N726">
            <v>12.861999544097758</v>
          </cell>
          <cell r="O726">
            <v>12.011687816308045</v>
          </cell>
          <cell r="P726">
            <v>11.07757055931493</v>
          </cell>
          <cell r="Q726">
            <v>10.066163399602893</v>
          </cell>
          <cell r="R726">
            <v>8.9772508840333796</v>
          </cell>
          <cell r="S726">
            <v>7.8125598953185378</v>
          </cell>
          <cell r="T726">
            <v>6.5736733869782036</v>
          </cell>
          <cell r="U726">
            <v>5.2627791550641341</v>
          </cell>
          <cell r="V726">
            <v>14.027977429732132</v>
          </cell>
        </row>
        <row r="727">
          <cell r="A727" t="str">
            <v>Firm Value</v>
          </cell>
          <cell r="F727">
            <v>0</v>
          </cell>
          <cell r="G727">
            <v>2.2668861176006052</v>
          </cell>
          <cell r="H727" t="e">
            <v>#DIV/0!</v>
          </cell>
          <cell r="I727">
            <v>3.3570296100000006</v>
          </cell>
          <cell r="J727">
            <v>4.6925425803623755</v>
          </cell>
          <cell r="K727">
            <v>6.1589320655367334</v>
          </cell>
          <cell r="L727">
            <v>8.5888411202040711</v>
          </cell>
          <cell r="M727">
            <v>11.167418064385348</v>
          </cell>
          <cell r="N727">
            <v>13.830768455495861</v>
          </cell>
          <cell r="O727">
            <v>16.602265594479114</v>
          </cell>
          <cell r="P727">
            <v>19.468714608770199</v>
          </cell>
          <cell r="Q727">
            <v>22.445537721852538</v>
          </cell>
          <cell r="R727">
            <v>25.533997725799072</v>
          </cell>
          <cell r="S727">
            <v>28.753340770686439</v>
          </cell>
          <cell r="T727">
            <v>32.095236174578929</v>
          </cell>
          <cell r="U727">
            <v>35.572965962790086</v>
          </cell>
          <cell r="V727">
            <v>39.185054279148588</v>
          </cell>
        </row>
        <row r="728">
          <cell r="A728" t="str">
            <v>Sales</v>
          </cell>
          <cell r="B728">
            <v>13.96</v>
          </cell>
        </row>
        <row r="729">
          <cell r="A729" t="str">
            <v>Firm value less debt</v>
          </cell>
          <cell r="B729">
            <v>43.532000000000004</v>
          </cell>
          <cell r="F729">
            <v>52.6</v>
          </cell>
          <cell r="G729">
            <v>48.448622214913996</v>
          </cell>
          <cell r="H729" t="e">
            <v>#DIV/0!</v>
          </cell>
          <cell r="I729">
            <v>63.832311135061289</v>
          </cell>
          <cell r="J729">
            <v>75.23513051583555</v>
          </cell>
          <cell r="K729">
            <v>77.529969574769709</v>
          </cell>
          <cell r="L729">
            <v>82.879070422201991</v>
          </cell>
          <cell r="M729">
            <v>86.396062389034824</v>
          </cell>
          <cell r="N729">
            <v>90.078591696934083</v>
          </cell>
          <cell r="O729">
            <v>93.972021870654046</v>
          </cell>
          <cell r="P729">
            <v>98.050442946930602</v>
          </cell>
          <cell r="Q729">
            <v>102.34422683394611</v>
          </cell>
          <cell r="R729">
            <v>106.85585596714331</v>
          </cell>
          <cell r="S729">
            <v>111.6232513405144</v>
          </cell>
          <cell r="T729">
            <v>116.62998391673285</v>
          </cell>
          <cell r="U729">
            <v>121.90221977545787</v>
          </cell>
          <cell r="V729">
            <v>127.41154972093142</v>
          </cell>
        </row>
        <row r="730">
          <cell r="A730" t="str">
            <v>Adjustment to current date</v>
          </cell>
          <cell r="F730">
            <v>0.18</v>
          </cell>
          <cell r="H730" t="e">
            <v>#DIV/0!</v>
          </cell>
        </row>
        <row r="731">
          <cell r="A731" t="str">
            <v>number of months from last balance sheet</v>
          </cell>
          <cell r="G731">
            <v>0.66339999999999999</v>
          </cell>
          <cell r="H731">
            <v>8</v>
          </cell>
          <cell r="I731">
            <v>0.66339999999999999</v>
          </cell>
          <cell r="J731">
            <v>0.66339999999999999</v>
          </cell>
          <cell r="K731">
            <v>0.66339999999999999</v>
          </cell>
          <cell r="L731">
            <v>0.66339999999999999</v>
          </cell>
          <cell r="M731">
            <v>0.66339999999999999</v>
          </cell>
          <cell r="N731">
            <v>0.66339999999999999</v>
          </cell>
          <cell r="O731">
            <v>0.66339999999999999</v>
          </cell>
          <cell r="P731">
            <v>0.66339999999999999</v>
          </cell>
          <cell r="Q731">
            <v>0.66339999999999999</v>
          </cell>
          <cell r="R731">
            <v>0.66339999999999999</v>
          </cell>
          <cell r="S731">
            <v>0.66339999999999999</v>
          </cell>
          <cell r="T731">
            <v>0.66339999999999999</v>
          </cell>
          <cell r="U731">
            <v>0.66339999999999999</v>
          </cell>
          <cell r="V731">
            <v>0.66339999999999999</v>
          </cell>
        </row>
        <row r="732">
          <cell r="A732" t="str">
            <v>What depreciation rates are you going to use - similar to F2004? - Rs4.65bn extra on account of new rates</v>
          </cell>
          <cell r="G732">
            <v>-1.1508332514601705E-2</v>
          </cell>
          <cell r="H732">
            <v>8.5954293472016303</v>
          </cell>
        </row>
        <row r="733">
          <cell r="A733" t="str">
            <v>Will provisions continue to be 2% of sales why should there be provisions given the one time settlement - why did you make nil provision inQ1</v>
          </cell>
          <cell r="E733" t="str">
            <v>Fair value (Rs. per share)</v>
          </cell>
          <cell r="H733" t="e">
            <v>#DIV/0!</v>
          </cell>
        </row>
        <row r="734">
          <cell r="A734" t="str">
            <v>Split of Q1 other income</v>
          </cell>
          <cell r="E734" t="str">
            <v>Market price(Rs. per share)</v>
          </cell>
          <cell r="H734">
            <v>170</v>
          </cell>
        </row>
        <row r="735">
          <cell r="A735" t="str">
            <v>How many months after commissioning does the plant get to sufficient cap util to get regulated return</v>
          </cell>
          <cell r="E735" t="str">
            <v>Discount/premium of</v>
          </cell>
          <cell r="H735" t="e">
            <v>#DIV/0!</v>
          </cell>
          <cell r="I735">
            <v>2000</v>
          </cell>
          <cell r="J735">
            <v>5500</v>
          </cell>
          <cell r="K735">
            <v>9000</v>
          </cell>
          <cell r="L735">
            <v>12500</v>
          </cell>
          <cell r="M735">
            <v>16000</v>
          </cell>
          <cell r="N735">
            <v>19500</v>
          </cell>
          <cell r="O735">
            <v>23000</v>
          </cell>
          <cell r="P735">
            <v>26500</v>
          </cell>
          <cell r="Q735">
            <v>30000</v>
          </cell>
          <cell r="R735">
            <v>33500</v>
          </cell>
          <cell r="S735">
            <v>37000</v>
          </cell>
          <cell r="T735">
            <v>40500</v>
          </cell>
          <cell r="U735">
            <v>44000</v>
          </cell>
          <cell r="V735">
            <v>47500</v>
          </cell>
        </row>
        <row r="736">
          <cell r="A736" t="str">
            <v>What are the rebates to customers for prompt payment in  Finance charge</v>
          </cell>
          <cell r="B736">
            <v>4.9000000000000004</v>
          </cell>
          <cell r="E736" t="str">
            <v>market price to fair value</v>
          </cell>
          <cell r="H736" t="str">
            <v>%</v>
          </cell>
          <cell r="I736">
            <v>600</v>
          </cell>
          <cell r="J736">
            <v>1650</v>
          </cell>
          <cell r="K736">
            <v>2700</v>
          </cell>
          <cell r="L736">
            <v>3750</v>
          </cell>
          <cell r="M736">
            <v>4800</v>
          </cell>
          <cell r="N736">
            <v>5850</v>
          </cell>
          <cell r="O736">
            <v>6900</v>
          </cell>
          <cell r="P736">
            <v>7950</v>
          </cell>
          <cell r="Q736">
            <v>9000</v>
          </cell>
          <cell r="R736">
            <v>10050</v>
          </cell>
          <cell r="S736">
            <v>11100</v>
          </cell>
          <cell r="T736">
            <v>12150</v>
          </cell>
          <cell r="U736">
            <v>13200</v>
          </cell>
          <cell r="V736">
            <v>14250</v>
          </cell>
        </row>
        <row r="737">
          <cell r="A737" t="str">
            <v>Cost of capital</v>
          </cell>
          <cell r="I737">
            <v>0.14000000000000001</v>
          </cell>
          <cell r="J737">
            <v>0.14000000000000001</v>
          </cell>
          <cell r="K737">
            <v>0.14000000000000001</v>
          </cell>
          <cell r="L737">
            <v>0.14000000000000001</v>
          </cell>
          <cell r="M737">
            <v>0.14000000000000001</v>
          </cell>
          <cell r="N737">
            <v>0.14000000000000001</v>
          </cell>
          <cell r="O737">
            <v>0.14000000000000001</v>
          </cell>
          <cell r="P737">
            <v>0.14000000000000001</v>
          </cell>
          <cell r="Q737">
            <v>0.14000000000000001</v>
          </cell>
          <cell r="R737">
            <v>0.14000000000000001</v>
          </cell>
          <cell r="S737">
            <v>0.14000000000000001</v>
          </cell>
          <cell r="T737">
            <v>0.14000000000000001</v>
          </cell>
          <cell r="U737">
            <v>0.14000000000000001</v>
          </cell>
          <cell r="V737">
            <v>0.14000000000000001</v>
          </cell>
        </row>
        <row r="738">
          <cell r="A738" t="str">
            <v xml:space="preserve">Cost of equity </v>
          </cell>
          <cell r="D738">
            <v>0.17200000000000001</v>
          </cell>
          <cell r="E738">
            <v>0.17200000000000001</v>
          </cell>
          <cell r="F738">
            <v>7.0000000000000007E-2</v>
          </cell>
          <cell r="G738">
            <v>0.10200000000000001</v>
          </cell>
          <cell r="K738">
            <v>378.00000000000006</v>
          </cell>
          <cell r="L738">
            <v>525</v>
          </cell>
          <cell r="M738">
            <v>672.00000000000011</v>
          </cell>
          <cell r="N738">
            <v>819.00000000000011</v>
          </cell>
          <cell r="O738">
            <v>966.00000000000011</v>
          </cell>
          <cell r="P738">
            <v>1113</v>
          </cell>
          <cell r="Q738">
            <v>1260.0000000000002</v>
          </cell>
          <cell r="R738">
            <v>1407.0000000000002</v>
          </cell>
          <cell r="S738">
            <v>1554.0000000000002</v>
          </cell>
          <cell r="T738">
            <v>1701.0000000000002</v>
          </cell>
          <cell r="U738">
            <v>1848.0000000000002</v>
          </cell>
          <cell r="V738">
            <v>1995.0000000000002</v>
          </cell>
        </row>
        <row r="739">
          <cell r="A739" t="str">
            <v>Cost of debt</v>
          </cell>
          <cell r="D739">
            <v>8.5000000000000006E-2</v>
          </cell>
        </row>
        <row r="740">
          <cell r="A740" t="str">
            <v>Post tax cost of debt</v>
          </cell>
          <cell r="D740">
            <v>5.5250000000000007E-2</v>
          </cell>
        </row>
        <row r="741">
          <cell r="A741" t="str">
            <v>Weighted avg. cost of capital</v>
          </cell>
          <cell r="D741" t="e">
            <v>#DIV/0!</v>
          </cell>
        </row>
        <row r="742">
          <cell r="A742" t="str">
            <v>As discussed please find the difference between the calculated non recurring items</v>
          </cell>
          <cell r="E742" t="str">
            <v>debt</v>
          </cell>
          <cell r="F742" t="str">
            <v>equity</v>
          </cell>
        </row>
        <row r="743">
          <cell r="A743" t="str">
            <v>from the propectus and the reported non recurring items in F2004.</v>
          </cell>
          <cell r="D743" t="str">
            <v>ratio</v>
          </cell>
          <cell r="E743">
            <v>0</v>
          </cell>
          <cell r="F743">
            <v>0</v>
          </cell>
          <cell r="H743" t="str">
            <v>EPS sensitivity to margins</v>
          </cell>
        </row>
        <row r="744">
          <cell r="A744" t="str">
            <v>Would appreciate it if you could explain the difference and help us</v>
          </cell>
          <cell r="D744" t="str">
            <v>weight</v>
          </cell>
          <cell r="E744" t="e">
            <v>#DIV/0!</v>
          </cell>
          <cell r="F744" t="e">
            <v>#DIV/0!</v>
          </cell>
        </row>
        <row r="745">
          <cell r="A745" t="str">
            <v>calculated the true F2004 profits for NTPC</v>
          </cell>
          <cell r="E745" t="str">
            <v>AT Rs per share</v>
          </cell>
          <cell r="F745">
            <v>90</v>
          </cell>
          <cell r="G745">
            <v>742.09179600000004</v>
          </cell>
          <cell r="H745">
            <v>742.09179600000004</v>
          </cell>
          <cell r="I745">
            <v>742.09179600000004</v>
          </cell>
          <cell r="J745">
            <v>742.09179600000004</v>
          </cell>
        </row>
        <row r="746">
          <cell r="A746" t="str">
            <v>Bonds and cash</v>
          </cell>
          <cell r="E746" t="e">
            <v>#DIV/0!</v>
          </cell>
          <cell r="F746">
            <v>0.15384615384615374</v>
          </cell>
          <cell r="G746">
            <v>276.76299999999998</v>
          </cell>
          <cell r="H746" t="str">
            <v>Operating profit margin in C2005</v>
          </cell>
          <cell r="I746">
            <v>297.50299999999999</v>
          </cell>
          <cell r="J746" t="e">
            <v>#REF!</v>
          </cell>
        </row>
        <row r="747">
          <cell r="A747" t="str">
            <v>Non recurring income</v>
          </cell>
          <cell r="E747">
            <v>77</v>
          </cell>
          <cell r="G747">
            <v>465.32879600000007</v>
          </cell>
          <cell r="H747">
            <v>460.52179600000005</v>
          </cell>
          <cell r="I747">
            <v>444.58879600000006</v>
          </cell>
          <cell r="J747" t="e">
            <v>#REF!</v>
          </cell>
        </row>
        <row r="748">
          <cell r="A748" t="str">
            <v>Net per share value</v>
          </cell>
          <cell r="B748" t="str">
            <v>Rs bn</v>
          </cell>
          <cell r="E748">
            <v>0.16883116883116878</v>
          </cell>
          <cell r="G748">
            <v>56.434516411228458</v>
          </cell>
          <cell r="H748" t="str">
            <v>EPS</v>
          </cell>
          <cell r="I748">
            <v>6.7414828023571838</v>
          </cell>
          <cell r="J748">
            <v>7.4962505039019049</v>
          </cell>
        </row>
        <row r="749">
          <cell r="A749" t="str">
            <v>Provision written back</v>
          </cell>
          <cell r="B749">
            <v>9.6479999999999997</v>
          </cell>
          <cell r="G749">
            <v>14.005925869045841</v>
          </cell>
          <cell r="H749">
            <v>10.995934772523777</v>
          </cell>
          <cell r="I749">
            <v>5.5968567346832936</v>
          </cell>
          <cell r="J749" t="e">
            <v>#DIV/0!</v>
          </cell>
        </row>
        <row r="750">
          <cell r="A750" t="str">
            <v>Other income - prior year interest</v>
          </cell>
          <cell r="B750">
            <v>20.905000000000001</v>
          </cell>
          <cell r="E750">
            <v>0.12068965517241392</v>
          </cell>
          <cell r="G750">
            <v>639.58079600000008</v>
          </cell>
          <cell r="H750" t="str">
            <v>PER</v>
          </cell>
          <cell r="I750">
            <v>106.85</v>
          </cell>
          <cell r="J750">
            <v>0</v>
          </cell>
        </row>
        <row r="751">
          <cell r="A751" t="str">
            <v>Other income - late payment surcharge</v>
          </cell>
          <cell r="B751">
            <v>22.640999999999998</v>
          </cell>
          <cell r="G751">
            <v>9.6972298688499752</v>
          </cell>
          <cell r="H751">
            <v>8.6594701318267422</v>
          </cell>
          <cell r="I751">
            <v>7.0988613492102548</v>
          </cell>
          <cell r="J751" t="e">
            <v>#REF!</v>
          </cell>
        </row>
        <row r="752">
          <cell r="A752" t="str">
            <v>Converting dues into long term advance of DVB (incl prior period)</v>
          </cell>
          <cell r="B752">
            <v>2.2530000000000001</v>
          </cell>
          <cell r="G752">
            <v>15.320726949209376</v>
          </cell>
          <cell r="H752">
            <v>12.505127748849908</v>
          </cell>
          <cell r="I752">
            <v>10.7810468234713</v>
          </cell>
          <cell r="J752">
            <v>9.9344274488279645</v>
          </cell>
        </row>
        <row r="753">
          <cell r="A753" t="str">
            <v>Earned interest from public deposits</v>
          </cell>
          <cell r="B753">
            <v>2.7509999999999999</v>
          </cell>
          <cell r="G753">
            <v>50.665575162209684</v>
          </cell>
          <cell r="H753">
            <v>54.575950518464616</v>
          </cell>
          <cell r="I753">
            <v>59.077678733854825</v>
          </cell>
          <cell r="J753">
            <v>64.43124794835667</v>
          </cell>
        </row>
        <row r="754">
          <cell r="A754" t="str">
            <v>Total Non recurring income (1)</v>
          </cell>
          <cell r="B754">
            <v>58.197999999999993</v>
          </cell>
          <cell r="G754">
            <v>17.100236492632344</v>
          </cell>
          <cell r="H754">
            <v>20.427627190588808</v>
          </cell>
          <cell r="I754">
            <v>22.997028682311562</v>
          </cell>
          <cell r="J754">
            <v>27.338806793439577</v>
          </cell>
        </row>
        <row r="755">
          <cell r="A755" t="str">
            <v>Book value of financial assets</v>
          </cell>
          <cell r="G755">
            <v>33.565338669577343</v>
          </cell>
          <cell r="H755">
            <v>34.148323327875815</v>
          </cell>
          <cell r="I755">
            <v>36.080650051543266</v>
          </cell>
          <cell r="J755">
            <v>37.092441154917104</v>
          </cell>
        </row>
        <row r="756">
          <cell r="A756" t="str">
            <v>Non recurring expense</v>
          </cell>
          <cell r="H756">
            <v>0.70574618156814406</v>
          </cell>
          <cell r="J756" t="str">
            <v>Growth</v>
          </cell>
        </row>
        <row r="757">
          <cell r="A757" t="str">
            <v>Book value of Regulated assets</v>
          </cell>
          <cell r="G757">
            <v>22.012006549026744</v>
          </cell>
          <cell r="H757">
            <v>23.367655084591593</v>
          </cell>
          <cell r="I757">
            <v>27.626591006045828</v>
          </cell>
          <cell r="J757" t="str">
            <v>beyond 2018 (%)</v>
          </cell>
        </row>
        <row r="758">
          <cell r="A758" t="str">
            <v>Interest on previously issued to SEB returned</v>
          </cell>
          <cell r="B758">
            <v>3.8170000000000002</v>
          </cell>
          <cell r="G758">
            <v>2.5638126721763084</v>
          </cell>
          <cell r="H758">
            <v>2.3901275703505331</v>
          </cell>
          <cell r="I758">
            <v>1.9517192670154988</v>
          </cell>
          <cell r="J758">
            <v>1.6940446069590605</v>
          </cell>
        </row>
        <row r="759">
          <cell r="A759" t="str">
            <v>Additional depreciation charge</v>
          </cell>
          <cell r="B759">
            <v>4.6529999999999996</v>
          </cell>
          <cell r="G759">
            <v>3.30022695035461</v>
          </cell>
          <cell r="H759">
            <v>2.7341245339476119</v>
          </cell>
          <cell r="I759">
            <v>2.3446224594192659</v>
          </cell>
          <cell r="J759">
            <v>1.9352548648092054</v>
          </cell>
        </row>
        <row r="760">
          <cell r="A760" t="str">
            <v>Rebates to SEBs on OTS</v>
          </cell>
          <cell r="B760">
            <v>12.574999999999999</v>
          </cell>
          <cell r="G760">
            <v>0.18305073461440549</v>
          </cell>
          <cell r="H760">
            <v>0.21736314292653219</v>
          </cell>
          <cell r="I760">
            <v>0.20686331408363773</v>
          </cell>
          <cell r="J760">
            <v>0.20914951773942636</v>
          </cell>
        </row>
        <row r="761">
          <cell r="A761" t="str">
            <v>Total non recurring expense (2)</v>
          </cell>
          <cell r="B761">
            <v>21.044999999999998</v>
          </cell>
        </row>
        <row r="762">
          <cell r="D762">
            <v>22.4532378</v>
          </cell>
          <cell r="E762">
            <v>22.10586</v>
          </cell>
        </row>
        <row r="763">
          <cell r="A763" t="str">
            <v>Net non recurring income (1-2)</v>
          </cell>
          <cell r="B763">
            <v>37.152999999999992</v>
          </cell>
          <cell r="C763" t="str">
            <v>F2001</v>
          </cell>
          <cell r="D763" t="str">
            <v>F2002</v>
          </cell>
          <cell r="E763" t="str">
            <v>F2003</v>
          </cell>
          <cell r="F763" t="str">
            <v>F2004</v>
          </cell>
          <cell r="G763" t="str">
            <v>F2005</v>
          </cell>
          <cell r="H763" t="str">
            <v>F2006</v>
          </cell>
          <cell r="I763" t="str">
            <v>F2007</v>
          </cell>
          <cell r="J763" t="str">
            <v>F2008E</v>
          </cell>
          <cell r="K763" t="str">
            <v>F2009E</v>
          </cell>
        </row>
        <row r="764">
          <cell r="A764" t="str">
            <v>Non recurring mentioned in the prospectus</v>
          </cell>
          <cell r="B764">
            <v>12.7</v>
          </cell>
        </row>
        <row r="765">
          <cell r="A765" t="str">
            <v>Difference</v>
          </cell>
          <cell r="B765">
            <v>24.452999999999992</v>
          </cell>
          <cell r="H765">
            <v>79650</v>
          </cell>
          <cell r="I765">
            <v>101615</v>
          </cell>
          <cell r="J765">
            <v>114131</v>
          </cell>
          <cell r="K765">
            <v>109626.44366496308</v>
          </cell>
        </row>
        <row r="766">
          <cell r="A766" t="str">
            <v>Change in WC</v>
          </cell>
          <cell r="H766">
            <v>9800</v>
          </cell>
          <cell r="I766">
            <v>3653</v>
          </cell>
          <cell r="J766">
            <v>10090.157898072153</v>
          </cell>
          <cell r="K766">
            <v>707.03911437481293</v>
          </cell>
        </row>
        <row r="767">
          <cell r="A767" t="str">
            <v>Sales  adjustment</v>
          </cell>
          <cell r="B767" t="str">
            <v>cannot understand</v>
          </cell>
          <cell r="H767">
            <v>67342</v>
          </cell>
          <cell r="I767">
            <v>89464</v>
          </cell>
          <cell r="J767">
            <v>103510</v>
          </cell>
          <cell r="K767">
            <v>83688.901640306445</v>
          </cell>
        </row>
        <row r="768">
          <cell r="A768" t="str">
            <v xml:space="preserve">Adjusted Tax </v>
          </cell>
          <cell r="B768">
            <v>22</v>
          </cell>
          <cell r="H768">
            <v>9162.4671527427163</v>
          </cell>
          <cell r="I768">
            <v>24983.240711347582</v>
          </cell>
          <cell r="J768">
            <v>33982.840314945417</v>
          </cell>
          <cell r="K768">
            <v>7800.3926051904027</v>
          </cell>
        </row>
        <row r="769">
          <cell r="A769" t="str">
            <v>Interest shield</v>
          </cell>
          <cell r="B769">
            <v>61.281999999999996</v>
          </cell>
          <cell r="H769">
            <v>1163.4671527427163</v>
          </cell>
          <cell r="I769">
            <v>4352.2407113475811</v>
          </cell>
          <cell r="J769">
            <v>5171.8403149454161</v>
          </cell>
          <cell r="K769">
            <v>1641.4605396536692</v>
          </cell>
        </row>
        <row r="770">
          <cell r="A770" t="str">
            <v>Capex (Excl. Coal)</v>
          </cell>
          <cell r="B770">
            <v>39.281999999999996</v>
          </cell>
          <cell r="H770">
            <v>94152</v>
          </cell>
          <cell r="I770">
            <v>86798</v>
          </cell>
          <cell r="J770">
            <v>-39817.39648276614</v>
          </cell>
          <cell r="K770">
            <v>78161.086116051942</v>
          </cell>
        </row>
        <row r="771">
          <cell r="A771" t="str">
            <v>Cash Flow</v>
          </cell>
          <cell r="H771">
            <v>-33464.467152742713</v>
          </cell>
          <cell r="I771">
            <v>-13819.240711347578</v>
          </cell>
          <cell r="J771">
            <v>109875.39826974858</v>
          </cell>
          <cell r="K771">
            <v>22957.925829345928</v>
          </cell>
        </row>
        <row r="772">
          <cell r="A772" t="str">
            <v>Quarterly numbers</v>
          </cell>
          <cell r="B772">
            <v>51.434999999999995</v>
          </cell>
          <cell r="C772">
            <v>47.834000000000003</v>
          </cell>
          <cell r="D772">
            <v>7.5281180750093935E-2</v>
          </cell>
          <cell r="H772">
            <v>38807</v>
          </cell>
          <cell r="I772">
            <v>39172</v>
          </cell>
          <cell r="J772">
            <v>39538</v>
          </cell>
          <cell r="K772">
            <v>39903</v>
          </cell>
          <cell r="L772">
            <v>40268</v>
          </cell>
        </row>
        <row r="773">
          <cell r="A773" t="str">
            <v>WACC</v>
          </cell>
          <cell r="B773">
            <v>0.38300000000000001</v>
          </cell>
          <cell r="H773">
            <v>0.10164095064714794</v>
          </cell>
          <cell r="I773">
            <v>0.10164095064714794</v>
          </cell>
          <cell r="J773">
            <v>0.10164095064714794</v>
          </cell>
          <cell r="K773">
            <v>0.10164095064714794</v>
          </cell>
          <cell r="L773">
            <v>0.10164095064714794</v>
          </cell>
        </row>
        <row r="774">
          <cell r="A774" t="str">
            <v>Sales</v>
          </cell>
          <cell r="B774">
            <v>51.817999999999998</v>
          </cell>
          <cell r="C774">
            <v>47.834000000000003</v>
          </cell>
          <cell r="D774">
            <v>8.3288037797382586E-2</v>
          </cell>
          <cell r="E774" t="str">
            <v>How did the sales grow despite potential fall in tariff</v>
          </cell>
          <cell r="G774">
            <v>39707</v>
          </cell>
          <cell r="H774">
            <v>1.2695811037771467</v>
          </cell>
          <cell r="I774">
            <v>1.1524454524238084</v>
          </cell>
          <cell r="J774">
            <v>1.0458397128087376</v>
          </cell>
          <cell r="K774">
            <v>0.94934716451341938</v>
          </cell>
        </row>
        <row r="775">
          <cell r="A775" t="str">
            <v>Fuel, emply, gen admin, , provi</v>
          </cell>
          <cell r="B775">
            <v>36.887</v>
          </cell>
          <cell r="C775">
            <v>32.346000000000004</v>
          </cell>
          <cell r="D775">
            <v>0.1403883014901377</v>
          </cell>
          <cell r="H775">
            <v>1</v>
          </cell>
          <cell r="I775">
            <v>0.90773677159746113</v>
          </cell>
          <cell r="J775">
            <v>0.82376754797093832</v>
          </cell>
          <cell r="K775">
            <v>0.7477640945418963</v>
          </cell>
          <cell r="L775">
            <v>0.67877296509595964</v>
          </cell>
        </row>
        <row r="776">
          <cell r="A776" t="str">
            <v>OP</v>
          </cell>
          <cell r="B776">
            <v>14.930999999999997</v>
          </cell>
          <cell r="C776">
            <v>15.488</v>
          </cell>
          <cell r="D776">
            <v>-3.5963326446281085E-2</v>
          </cell>
          <cell r="I776">
            <v>1</v>
          </cell>
          <cell r="J776">
            <v>0.90749606465897459</v>
          </cell>
          <cell r="K776">
            <v>0.82376754797093832</v>
          </cell>
        </row>
        <row r="777">
          <cell r="A777" t="str">
            <v>Discounting multiplier - F2008</v>
          </cell>
          <cell r="J777">
            <v>1</v>
          </cell>
          <cell r="K777">
            <v>0.90773677159746113</v>
          </cell>
        </row>
        <row r="778">
          <cell r="A778" t="str">
            <v>Other income</v>
          </cell>
          <cell r="B778">
            <v>5.3789999999999996</v>
          </cell>
          <cell r="C778">
            <v>1.694</v>
          </cell>
          <cell r="D778">
            <v>2.1753246753246751</v>
          </cell>
          <cell r="H778">
            <v>-33464.467152742713</v>
          </cell>
          <cell r="I778">
            <v>-12544.232949246853</v>
          </cell>
          <cell r="J778">
            <v>90511.787415001061</v>
          </cell>
          <cell r="K778">
            <v>17167.112620340871</v>
          </cell>
        </row>
        <row r="779">
          <cell r="A779" t="str">
            <v>Interest</v>
          </cell>
          <cell r="B779">
            <v>4.5110000000000001</v>
          </cell>
          <cell r="C779">
            <v>2.5779999999999998</v>
          </cell>
          <cell r="D779">
            <v>0.74980605120248267</v>
          </cell>
          <cell r="I779">
            <v>-13819.240711347578</v>
          </cell>
          <cell r="J779">
            <v>99711.491532634333</v>
          </cell>
          <cell r="K779">
            <v>18911.994266938964</v>
          </cell>
        </row>
        <row r="780">
          <cell r="A780" t="str">
            <v>GP</v>
          </cell>
          <cell r="B780">
            <v>15.798999999999996</v>
          </cell>
          <cell r="C780">
            <v>14.603999999999999</v>
          </cell>
          <cell r="D780">
            <v>8.1826896740618826E-2</v>
          </cell>
          <cell r="J780">
            <v>109875.39826974858</v>
          </cell>
          <cell r="K780">
            <v>20839.753474904439</v>
          </cell>
        </row>
        <row r="781">
          <cell r="A781" t="str">
            <v>Depreciation</v>
          </cell>
          <cell r="B781">
            <v>4.7850000000000001</v>
          </cell>
          <cell r="C781">
            <v>4.8040000000000003</v>
          </cell>
          <cell r="D781">
            <v>-3.9550374687760126E-3</v>
          </cell>
          <cell r="H781">
            <v>-42485.855145093163</v>
          </cell>
          <cell r="I781">
            <v>-15925.921113742472</v>
          </cell>
          <cell r="J781">
            <v>114912.05497117952</v>
          </cell>
          <cell r="K781">
            <v>21795.041789198949</v>
          </cell>
        </row>
        <row r="782">
          <cell r="A782" t="str">
            <v>PBT</v>
          </cell>
          <cell r="B782">
            <v>11.013999999999996</v>
          </cell>
          <cell r="C782">
            <v>9.7999999999999989</v>
          </cell>
          <cell r="D782">
            <v>0.12387755102040776</v>
          </cell>
        </row>
        <row r="783">
          <cell r="A783" t="str">
            <v>Aggregate Value</v>
          </cell>
          <cell r="H783">
            <v>309615.93823674408</v>
          </cell>
          <cell r="I783">
            <v>354904.83724598296</v>
          </cell>
          <cell r="J783">
            <v>130715.15174465302</v>
          </cell>
        </row>
        <row r="784">
          <cell r="A784" t="str">
            <v>Taxr</v>
          </cell>
          <cell r="B784">
            <v>2.21</v>
          </cell>
          <cell r="C784">
            <v>0.52700000000000002</v>
          </cell>
          <cell r="D784">
            <v>3.193548387096774</v>
          </cell>
          <cell r="H784">
            <v>134732</v>
          </cell>
          <cell r="I784">
            <v>133045</v>
          </cell>
          <cell r="J784">
            <v>12221.90645713103</v>
          </cell>
        </row>
        <row r="785">
          <cell r="A785" t="str">
            <v>Income tax recoverable</v>
          </cell>
          <cell r="B785">
            <v>1.643</v>
          </cell>
          <cell r="C785">
            <v>0</v>
          </cell>
          <cell r="D785" t="e">
            <v>#DIV/0!</v>
          </cell>
        </row>
        <row r="786">
          <cell r="A786" t="str">
            <v>Net</v>
          </cell>
          <cell r="B786">
            <v>0.56699999999999995</v>
          </cell>
          <cell r="C786">
            <v>0.52700000000000002</v>
          </cell>
          <cell r="D786">
            <v>7.5901328273244584E-2</v>
          </cell>
          <cell r="E786" t="str">
            <v>What is this</v>
          </cell>
          <cell r="H786">
            <v>174883.93823674408</v>
          </cell>
          <cell r="I786">
            <v>221859.83724598296</v>
          </cell>
          <cell r="J786">
            <v>118493.24528752199</v>
          </cell>
        </row>
        <row r="788">
          <cell r="A788" t="str">
            <v>PAT</v>
          </cell>
          <cell r="B788">
            <v>10.446999999999996</v>
          </cell>
          <cell r="C788">
            <v>9.2729999999999997</v>
          </cell>
          <cell r="D788">
            <v>0.12660411948668138</v>
          </cell>
          <cell r="H788">
            <v>8245.4644000000008</v>
          </cell>
          <cell r="I788">
            <v>8245.4644000000008</v>
          </cell>
          <cell r="J788">
            <v>8245.4644000000008</v>
          </cell>
        </row>
        <row r="789">
          <cell r="A789" t="str">
            <v>Implied DCF value per share (Rs)</v>
          </cell>
          <cell r="H789">
            <v>21.209713577411609</v>
          </cell>
          <cell r="I789">
            <v>26.906894079365976</v>
          </cell>
          <cell r="J789">
            <v>14.370718195996576</v>
          </cell>
        </row>
        <row r="790">
          <cell r="A790" t="str">
            <v>Terminal Growth Rate (g)</v>
          </cell>
          <cell r="B790">
            <v>10.145999999999997</v>
          </cell>
          <cell r="C790">
            <v>10.683999999999999</v>
          </cell>
          <cell r="D790">
            <v>-5.0355672032946663E-2</v>
          </cell>
          <cell r="H790">
            <v>0.02</v>
          </cell>
          <cell r="I790">
            <v>0.02</v>
          </cell>
          <cell r="J790">
            <v>0.02</v>
          </cell>
        </row>
        <row r="791">
          <cell r="A791" t="str">
            <v>Terminal Value (Rs Million)</v>
          </cell>
          <cell r="H791">
            <v>1130829.8400678446</v>
          </cell>
          <cell r="I791">
            <v>0</v>
          </cell>
          <cell r="J791">
            <v>0</v>
          </cell>
        </row>
        <row r="792">
          <cell r="A792" t="str">
            <v>TV (% of aggregate Value)</v>
          </cell>
          <cell r="H792">
            <v>3.6523631390163422</v>
          </cell>
          <cell r="I792">
            <v>0</v>
          </cell>
          <cell r="J792">
            <v>0</v>
          </cell>
        </row>
        <row r="794">
          <cell r="A794" t="str">
            <v>Cost of Capital calculation</v>
          </cell>
          <cell r="G794" t="str">
            <v>LT - WACC</v>
          </cell>
        </row>
        <row r="795">
          <cell r="A795" t="str">
            <v>(Year Ended 31 Dec)</v>
          </cell>
          <cell r="C795">
            <v>2001</v>
          </cell>
          <cell r="D795">
            <v>2002</v>
          </cell>
          <cell r="E795">
            <v>2003</v>
          </cell>
          <cell r="F795">
            <v>2004</v>
          </cell>
          <cell r="G795">
            <v>2005</v>
          </cell>
          <cell r="H795">
            <v>2006</v>
          </cell>
          <cell r="I795">
            <v>2007</v>
          </cell>
          <cell r="J795">
            <v>2008</v>
          </cell>
          <cell r="K795">
            <v>2009</v>
          </cell>
        </row>
        <row r="796">
          <cell r="A796" t="str">
            <v>EBITDA</v>
          </cell>
          <cell r="C796">
            <v>62884.869999999995</v>
          </cell>
          <cell r="D796">
            <v>0</v>
          </cell>
          <cell r="E796">
            <v>0</v>
          </cell>
          <cell r="F796">
            <v>0</v>
          </cell>
          <cell r="G796">
            <v>0</v>
          </cell>
          <cell r="H796">
            <v>5.9705999999999995E-2</v>
          </cell>
        </row>
        <row r="797">
          <cell r="A797" t="str">
            <v>less Depreciation</v>
          </cell>
          <cell r="C797">
            <v>23223</v>
          </cell>
          <cell r="D797">
            <v>0</v>
          </cell>
          <cell r="E797">
            <v>0</v>
          </cell>
          <cell r="F797">
            <v>0</v>
          </cell>
          <cell r="G797">
            <v>0</v>
          </cell>
          <cell r="H797">
            <v>0.33660000000000001</v>
          </cell>
        </row>
        <row r="798">
          <cell r="A798" t="str">
            <v>EBIT</v>
          </cell>
          <cell r="C798">
            <v>39661.869999999995</v>
          </cell>
          <cell r="D798">
            <v>0</v>
          </cell>
          <cell r="E798">
            <v>0</v>
          </cell>
          <cell r="F798">
            <v>0</v>
          </cell>
          <cell r="G798">
            <v>0</v>
          </cell>
          <cell r="H798">
            <v>7.4999999999999997E-2</v>
          </cell>
        </row>
        <row r="799">
          <cell r="A799" t="str">
            <v>Growth in EBIT</v>
          </cell>
          <cell r="C799" t="e">
            <v>#DIV/0!</v>
          </cell>
          <cell r="D799">
            <v>-1</v>
          </cell>
          <cell r="E799" t="e">
            <v>#DIV/0!</v>
          </cell>
          <cell r="F799" t="e">
            <v>#DIV/0!</v>
          </cell>
          <cell r="G799" t="e">
            <v>#DIV/0!</v>
          </cell>
          <cell r="H799">
            <v>0.8</v>
          </cell>
        </row>
        <row r="800">
          <cell r="A800" t="str">
            <v>Risk premium (Rm- Rf)</v>
          </cell>
          <cell r="G800">
            <v>0.06</v>
          </cell>
          <cell r="H800">
            <v>0.06</v>
          </cell>
        </row>
        <row r="801">
          <cell r="A801" t="str">
            <v>Tax</v>
          </cell>
          <cell r="C801">
            <v>3400</v>
          </cell>
          <cell r="D801">
            <v>0</v>
          </cell>
          <cell r="E801">
            <v>0</v>
          </cell>
          <cell r="F801">
            <v>0</v>
          </cell>
          <cell r="G801">
            <v>0</v>
          </cell>
          <cell r="H801">
            <v>0.123</v>
          </cell>
        </row>
        <row r="802">
          <cell r="A802" t="str">
            <v>Other income</v>
          </cell>
          <cell r="C802">
            <v>9161</v>
          </cell>
          <cell r="D802">
            <v>0</v>
          </cell>
          <cell r="E802">
            <v>0</v>
          </cell>
          <cell r="F802">
            <v>0</v>
          </cell>
          <cell r="G802">
            <v>0</v>
          </cell>
          <cell r="H802">
            <v>0.1042122995325622</v>
          </cell>
        </row>
        <row r="803">
          <cell r="A803" t="str">
            <v>Rs mn</v>
          </cell>
          <cell r="C803">
            <v>10917.633900284078</v>
          </cell>
          <cell r="D803">
            <v>0</v>
          </cell>
          <cell r="E803">
            <v>0</v>
          </cell>
          <cell r="F803">
            <v>0</v>
          </cell>
          <cell r="G803" t="str">
            <v>F2005E</v>
          </cell>
          <cell r="H803" t="str">
            <v>F2006E</v>
          </cell>
          <cell r="I803" t="str">
            <v>F2007E</v>
          </cell>
        </row>
        <row r="804">
          <cell r="A804" t="str">
            <v>Capex</v>
          </cell>
          <cell r="B804" t="str">
            <v>%</v>
          </cell>
          <cell r="C804">
            <v>0.35</v>
          </cell>
          <cell r="D804">
            <v>0.05</v>
          </cell>
          <cell r="E804">
            <v>0.05</v>
          </cell>
          <cell r="F804">
            <v>0.35</v>
          </cell>
          <cell r="G804">
            <v>41431</v>
          </cell>
          <cell r="H804">
            <v>94789</v>
          </cell>
          <cell r="I804">
            <v>77815</v>
          </cell>
        </row>
        <row r="805">
          <cell r="A805" t="str">
            <v>PAT plus depreciation</v>
          </cell>
          <cell r="C805">
            <v>4014.8218650994272</v>
          </cell>
          <cell r="D805">
            <v>0</v>
          </cell>
          <cell r="E805">
            <v>0</v>
          </cell>
          <cell r="F805">
            <v>0</v>
          </cell>
          <cell r="G805">
            <v>77654</v>
          </cell>
          <cell r="H805">
            <v>79118</v>
          </cell>
          <cell r="I805">
            <v>89981</v>
          </cell>
        </row>
        <row r="806">
          <cell r="A806" t="str">
            <v>Cash and cash equivalents</v>
          </cell>
          <cell r="G806">
            <v>88185</v>
          </cell>
          <cell r="H806">
            <v>90065</v>
          </cell>
          <cell r="I806">
            <v>137150</v>
          </cell>
        </row>
        <row r="807">
          <cell r="A807" t="str">
            <v>Investment in SEB bonds</v>
          </cell>
          <cell r="B807" t="str">
            <v>F2000</v>
          </cell>
          <cell r="C807">
            <v>35647.048134900571</v>
          </cell>
          <cell r="D807">
            <v>0</v>
          </cell>
          <cell r="E807">
            <v>0</v>
          </cell>
          <cell r="F807">
            <v>0</v>
          </cell>
          <cell r="G807">
            <v>188578</v>
          </cell>
          <cell r="H807">
            <v>191505</v>
          </cell>
          <cell r="I807">
            <v>160353</v>
          </cell>
          <cell r="J807" t="str">
            <v>F2008E</v>
          </cell>
          <cell r="K807" t="str">
            <v>F2009E</v>
          </cell>
        </row>
        <row r="808">
          <cell r="A808" t="str">
            <v>Growth YoY</v>
          </cell>
          <cell r="D808">
            <v>-1</v>
          </cell>
          <cell r="E808" t="e">
            <v>#DIV/0!</v>
          </cell>
          <cell r="F808" t="e">
            <v>#DIV/0!</v>
          </cell>
          <cell r="G808" t="e">
            <v>#DIV/0!</v>
          </cell>
          <cell r="P808" t="str">
            <v>F2014E</v>
          </cell>
          <cell r="Q808" t="str">
            <v>F2015E</v>
          </cell>
          <cell r="R808" t="str">
            <v>F2016E</v>
          </cell>
        </row>
        <row r="809">
          <cell r="A809" t="str">
            <v>5 Year Growth</v>
          </cell>
          <cell r="H809">
            <v>79650</v>
          </cell>
          <cell r="I809">
            <v>101615</v>
          </cell>
          <cell r="J809">
            <v>114131</v>
          </cell>
          <cell r="K809">
            <v>109626.44366496308</v>
          </cell>
          <cell r="P809">
            <v>0</v>
          </cell>
          <cell r="Q809">
            <v>0</v>
          </cell>
          <cell r="R809">
            <v>0</v>
          </cell>
        </row>
        <row r="810">
          <cell r="A810" t="str">
            <v>Less: Depreciation</v>
          </cell>
          <cell r="H810">
            <v>20710</v>
          </cell>
          <cell r="I810">
            <v>20998</v>
          </cell>
          <cell r="J810">
            <v>22060</v>
          </cell>
          <cell r="K810">
            <v>28850.603399481977</v>
          </cell>
          <cell r="P810">
            <v>0</v>
          </cell>
          <cell r="Q810">
            <v>0</v>
          </cell>
          <cell r="R810">
            <v>0</v>
          </cell>
        </row>
        <row r="811">
          <cell r="A811" t="str">
            <v>Number of years</v>
          </cell>
          <cell r="H811">
            <v>58940</v>
          </cell>
          <cell r="I811">
            <v>80617</v>
          </cell>
          <cell r="J811">
            <v>92071</v>
          </cell>
          <cell r="K811">
            <v>80775.840265481107</v>
          </cell>
          <cell r="P811">
            <v>0</v>
          </cell>
          <cell r="Q811">
            <v>0</v>
          </cell>
          <cell r="R811">
            <v>0</v>
          </cell>
        </row>
        <row r="812">
          <cell r="A812" t="str">
            <v>CAGR in NOPLAT</v>
          </cell>
          <cell r="H812">
            <v>7000.9958124201839</v>
          </cell>
          <cell r="I812">
            <v>18590.822308414557</v>
          </cell>
          <cell r="J812">
            <v>25627.065800405759</v>
          </cell>
          <cell r="K812">
            <v>5944.5506271543782</v>
          </cell>
          <cell r="P812">
            <v>26875</v>
          </cell>
          <cell r="Q812">
            <v>26875</v>
          </cell>
          <cell r="R812">
            <v>26875</v>
          </cell>
        </row>
        <row r="813">
          <cell r="A813" t="str">
            <v>Tax</v>
          </cell>
          <cell r="H813">
            <v>7999</v>
          </cell>
          <cell r="I813">
            <v>20631</v>
          </cell>
          <cell r="J813">
            <v>28811</v>
          </cell>
          <cell r="K813">
            <v>6158.9320655367337</v>
          </cell>
          <cell r="P813">
            <v>26875</v>
          </cell>
          <cell r="Q813">
            <v>26875</v>
          </cell>
          <cell r="R813">
            <v>26875</v>
          </cell>
        </row>
        <row r="814">
          <cell r="A814" t="str">
            <v>Calculation of Net Investment</v>
          </cell>
          <cell r="H814">
            <v>18197</v>
          </cell>
          <cell r="I814">
            <v>27720</v>
          </cell>
          <cell r="J814">
            <v>30020</v>
          </cell>
          <cell r="K814">
            <v>25217.582383947512</v>
          </cell>
          <cell r="P814">
            <v>0</v>
          </cell>
          <cell r="Q814">
            <v>0</v>
          </cell>
          <cell r="R814">
            <v>0</v>
          </cell>
        </row>
        <row r="815">
          <cell r="A815" t="str">
            <v>Inventories</v>
          </cell>
          <cell r="C815">
            <v>0</v>
          </cell>
          <cell r="D815">
            <v>0</v>
          </cell>
          <cell r="E815">
            <v>0</v>
          </cell>
          <cell r="F815">
            <v>0</v>
          </cell>
          <cell r="G815">
            <v>0</v>
          </cell>
          <cell r="H815">
            <v>9795</v>
          </cell>
          <cell r="I815">
            <v>18873</v>
          </cell>
          <cell r="J815">
            <v>18581</v>
          </cell>
          <cell r="K815">
            <v>22304.521009122167</v>
          </cell>
          <cell r="P815">
            <v>0</v>
          </cell>
          <cell r="Q815">
            <v>0</v>
          </cell>
          <cell r="R815">
            <v>0</v>
          </cell>
        </row>
        <row r="816">
          <cell r="A816" t="str">
            <v>Debtors</v>
          </cell>
          <cell r="C816">
            <v>0</v>
          </cell>
          <cell r="D816">
            <v>0</v>
          </cell>
          <cell r="E816">
            <v>0</v>
          </cell>
          <cell r="F816">
            <v>0</v>
          </cell>
          <cell r="G816">
            <v>0</v>
          </cell>
          <cell r="H816">
            <v>0.11878174096403434</v>
          </cell>
          <cell r="I816">
            <v>0.2306067244925333</v>
          </cell>
          <cell r="J816">
            <v>0.27834025698000192</v>
          </cell>
          <cell r="K816">
            <v>7.3593175974608016E-2</v>
          </cell>
          <cell r="P816">
            <v>0</v>
          </cell>
          <cell r="Q816">
            <v>0</v>
          </cell>
          <cell r="R816">
            <v>0</v>
          </cell>
        </row>
        <row r="817">
          <cell r="A817" t="str">
            <v>Creditors</v>
          </cell>
          <cell r="C817">
            <v>0</v>
          </cell>
          <cell r="D817">
            <v>0</v>
          </cell>
          <cell r="E817">
            <v>0</v>
          </cell>
          <cell r="F817">
            <v>0</v>
          </cell>
          <cell r="G817">
            <v>0</v>
          </cell>
          <cell r="H817">
            <v>51939.00418757982</v>
          </cell>
          <cell r="I817">
            <v>62026.177691585443</v>
          </cell>
          <cell r="J817">
            <v>66443.934199594238</v>
          </cell>
          <cell r="K817">
            <v>74831.289638326736</v>
          </cell>
          <cell r="P817">
            <v>-26875</v>
          </cell>
          <cell r="Q817">
            <v>-26875</v>
          </cell>
          <cell r="R817">
            <v>-26875</v>
          </cell>
        </row>
        <row r="818">
          <cell r="A818" t="str">
            <v>Loans and advances</v>
          </cell>
          <cell r="D818">
            <v>0</v>
          </cell>
          <cell r="E818">
            <v>0</v>
          </cell>
          <cell r="F818">
            <v>0</v>
          </cell>
          <cell r="G818">
            <v>0</v>
          </cell>
          <cell r="H818">
            <v>9800</v>
          </cell>
          <cell r="I818">
            <v>3653</v>
          </cell>
          <cell r="J818">
            <v>10090.157898072153</v>
          </cell>
          <cell r="K818">
            <v>707.03911437481293</v>
          </cell>
          <cell r="P818">
            <v>0</v>
          </cell>
          <cell r="Q818">
            <v>0</v>
          </cell>
          <cell r="R818">
            <v>0</v>
          </cell>
        </row>
        <row r="819">
          <cell r="A819" t="str">
            <v>Total working capital</v>
          </cell>
          <cell r="C819">
            <v>0</v>
          </cell>
          <cell r="D819">
            <v>0</v>
          </cell>
          <cell r="E819">
            <v>0</v>
          </cell>
          <cell r="F819">
            <v>0</v>
          </cell>
          <cell r="G819">
            <v>0</v>
          </cell>
          <cell r="H819">
            <v>42139.00418757982</v>
          </cell>
          <cell r="I819">
            <v>58373.177691585443</v>
          </cell>
          <cell r="J819">
            <v>56353.776301522084</v>
          </cell>
          <cell r="K819">
            <v>74124.250523951923</v>
          </cell>
          <cell r="P819">
            <v>-26875</v>
          </cell>
          <cell r="Q819">
            <v>-26875</v>
          </cell>
          <cell r="R819">
            <v>-26875</v>
          </cell>
        </row>
        <row r="820">
          <cell r="A820" t="str">
            <v>Increase in working capital</v>
          </cell>
          <cell r="C820">
            <v>0</v>
          </cell>
          <cell r="D820">
            <v>0</v>
          </cell>
          <cell r="E820">
            <v>0</v>
          </cell>
          <cell r="F820">
            <v>0</v>
          </cell>
          <cell r="G820">
            <v>0</v>
          </cell>
          <cell r="H820">
            <v>94152</v>
          </cell>
          <cell r="I820">
            <v>86798</v>
          </cell>
          <cell r="J820">
            <v>-39817.39648276614</v>
          </cell>
          <cell r="K820">
            <v>78161.086116051942</v>
          </cell>
          <cell r="P820">
            <v>0</v>
          </cell>
          <cell r="Q820">
            <v>94152</v>
          </cell>
          <cell r="R820">
            <v>86798</v>
          </cell>
        </row>
        <row r="821">
          <cell r="A821" t="str">
            <v>Free Cash from Operations</v>
          </cell>
          <cell r="C821">
            <v>35647.048134900571</v>
          </cell>
          <cell r="D821">
            <v>0</v>
          </cell>
          <cell r="E821">
            <v>0</v>
          </cell>
          <cell r="F821">
            <v>0</v>
          </cell>
          <cell r="G821">
            <v>0</v>
          </cell>
          <cell r="H821">
            <v>20710</v>
          </cell>
          <cell r="I821">
            <v>20998</v>
          </cell>
          <cell r="J821">
            <v>22060</v>
          </cell>
          <cell r="K821">
            <v>28850.603399481977</v>
          </cell>
          <cell r="P821">
            <v>0</v>
          </cell>
          <cell r="Q821">
            <v>0</v>
          </cell>
          <cell r="R821">
            <v>0</v>
          </cell>
        </row>
        <row r="822">
          <cell r="A822" t="str">
            <v>Net Investment</v>
          </cell>
          <cell r="H822">
            <v>73442</v>
          </cell>
          <cell r="I822">
            <v>65800</v>
          </cell>
          <cell r="J822">
            <v>-61877.39648276614</v>
          </cell>
          <cell r="K822">
            <v>49310.482716569968</v>
          </cell>
          <cell r="P822">
            <v>0</v>
          </cell>
          <cell r="Q822">
            <v>94152</v>
          </cell>
          <cell r="R822">
            <v>86798</v>
          </cell>
        </row>
        <row r="823">
          <cell r="A823" t="str">
            <v>CAPEX</v>
          </cell>
          <cell r="C823">
            <v>0</v>
          </cell>
          <cell r="D823">
            <v>0</v>
          </cell>
          <cell r="E823">
            <v>0</v>
          </cell>
          <cell r="F823">
            <v>0</v>
          </cell>
          <cell r="G823">
            <v>0</v>
          </cell>
          <cell r="H823">
            <v>-31302.99581242018</v>
          </cell>
          <cell r="I823">
            <v>-7426.8223084145575</v>
          </cell>
          <cell r="J823">
            <v>118231.17278428822</v>
          </cell>
          <cell r="K823">
            <v>24813.767807381955</v>
          </cell>
          <cell r="P823">
            <v>-26875</v>
          </cell>
          <cell r="Q823">
            <v>-121027</v>
          </cell>
          <cell r="R823">
            <v>-113673</v>
          </cell>
        </row>
        <row r="824">
          <cell r="A824" t="str">
            <v>Less Depreciation</v>
          </cell>
          <cell r="C824">
            <v>23223</v>
          </cell>
          <cell r="D824">
            <v>0</v>
          </cell>
          <cell r="E824">
            <v>0</v>
          </cell>
          <cell r="F824">
            <v>0</v>
          </cell>
          <cell r="G824">
            <v>0</v>
          </cell>
        </row>
        <row r="825">
          <cell r="A825" t="str">
            <v>Net Investment</v>
          </cell>
          <cell r="C825">
            <v>-23223</v>
          </cell>
          <cell r="D825">
            <v>0</v>
          </cell>
          <cell r="E825">
            <v>0</v>
          </cell>
          <cell r="F825">
            <v>0</v>
          </cell>
          <cell r="G825">
            <v>0</v>
          </cell>
          <cell r="H825" t="str">
            <v>Period A</v>
          </cell>
          <cell r="I825" t="str">
            <v>Period B</v>
          </cell>
          <cell r="P825" t="str">
            <v>Period A</v>
          </cell>
          <cell r="Q825" t="str">
            <v>Period B</v>
          </cell>
        </row>
        <row r="826">
          <cell r="A826" t="str">
            <v xml:space="preserve">Capex - Depn </v>
          </cell>
          <cell r="C826">
            <v>-23223</v>
          </cell>
          <cell r="D826">
            <v>0</v>
          </cell>
          <cell r="E826">
            <v>0</v>
          </cell>
          <cell r="F826">
            <v>0</v>
          </cell>
          <cell r="G826">
            <v>0</v>
          </cell>
          <cell r="H826">
            <v>7.6505857898495219E-2</v>
          </cell>
          <cell r="I826">
            <v>7.6505857898495219E-2</v>
          </cell>
          <cell r="P826">
            <v>0.02</v>
          </cell>
          <cell r="Q826">
            <v>0.02</v>
          </cell>
        </row>
        <row r="827">
          <cell r="A827" t="str">
            <v>ROIC (r )</v>
          </cell>
          <cell r="H827">
            <v>0.15</v>
          </cell>
          <cell r="I827">
            <v>0.14000000000000001</v>
          </cell>
          <cell r="P827">
            <v>0.13</v>
          </cell>
          <cell r="Q827">
            <v>0.13</v>
          </cell>
        </row>
        <row r="828">
          <cell r="A828" t="str">
            <v>Free cash flow</v>
          </cell>
          <cell r="C828">
            <v>58870.048134900571</v>
          </cell>
          <cell r="D828">
            <v>0</v>
          </cell>
          <cell r="E828">
            <v>0</v>
          </cell>
          <cell r="F828">
            <v>0</v>
          </cell>
          <cell r="G828">
            <v>0</v>
          </cell>
          <cell r="H828">
            <v>-1</v>
          </cell>
          <cell r="I828">
            <v>0.10164095064714794</v>
          </cell>
          <cell r="P828">
            <v>0</v>
          </cell>
          <cell r="Q828">
            <v>0</v>
          </cell>
        </row>
        <row r="829">
          <cell r="A829" t="str">
            <v>Time Period (yrs)</v>
          </cell>
          <cell r="H829">
            <v>10</v>
          </cell>
          <cell r="I829">
            <v>10</v>
          </cell>
          <cell r="P829">
            <v>10</v>
          </cell>
          <cell r="Q829">
            <v>10</v>
          </cell>
        </row>
        <row r="830">
          <cell r="A830" t="str">
            <v>Calculation of NOPLAT growth rate (g)</v>
          </cell>
          <cell r="C830">
            <v>0</v>
          </cell>
          <cell r="D830">
            <v>-1</v>
          </cell>
          <cell r="E830" t="e">
            <v>#DIV/0!</v>
          </cell>
          <cell r="F830" t="e">
            <v>#DIV/0!</v>
          </cell>
          <cell r="G830" t="e">
            <v>#DIV/0!</v>
          </cell>
          <cell r="H830">
            <v>40268</v>
          </cell>
          <cell r="I830">
            <v>40268</v>
          </cell>
          <cell r="P830">
            <v>39538</v>
          </cell>
          <cell r="Q830">
            <v>39538</v>
          </cell>
        </row>
        <row r="831">
          <cell r="A831" t="str">
            <v>Calculation of Return on incremental capital (r)</v>
          </cell>
          <cell r="C831" t="e">
            <v>#REF!</v>
          </cell>
          <cell r="D831" t="e">
            <v>#DIV/0!</v>
          </cell>
          <cell r="E831" t="e">
            <v>#DIV/0!</v>
          </cell>
          <cell r="F831" t="e">
            <v>#DIV/0!</v>
          </cell>
          <cell r="G831" t="e">
            <v>#DIV/0!</v>
          </cell>
        </row>
        <row r="832">
          <cell r="A832" t="str">
            <v xml:space="preserve">Terminal Value </v>
          </cell>
          <cell r="H832">
            <v>1475433.0223343882</v>
          </cell>
          <cell r="J832">
            <v>294536.90688901464</v>
          </cell>
          <cell r="K832">
            <v>1180896.1154453736</v>
          </cell>
          <cell r="P832">
            <v>1159759.6153846153</v>
          </cell>
          <cell r="R832">
            <v>-226260.48234980792</v>
          </cell>
          <cell r="S832">
            <v>1386020.0977344231</v>
          </cell>
        </row>
        <row r="833">
          <cell r="A833" t="str">
            <v>Terminal Value - Discounted</v>
          </cell>
          <cell r="H833">
            <v>1001484.047370406</v>
          </cell>
          <cell r="J833" t="str">
            <v>Risk free</v>
          </cell>
          <cell r="K833" t="str">
            <v>Premium</v>
          </cell>
          <cell r="L833" t="str">
            <v>Beta</v>
          </cell>
          <cell r="P833">
            <v>0</v>
          </cell>
          <cell r="R833">
            <v>0</v>
          </cell>
          <cell r="S833">
            <v>0</v>
          </cell>
        </row>
        <row r="834">
          <cell r="A834" t="str">
            <v>Explicit FCF - Discounted</v>
          </cell>
          <cell r="G834">
            <v>7.0000000000000007E-2</v>
          </cell>
          <cell r="H834">
            <v>0.15</v>
          </cell>
          <cell r="I834">
            <v>-6741.5997054682339</v>
          </cell>
          <cell r="J834">
            <v>97395.003298241441</v>
          </cell>
          <cell r="K834">
            <v>7.0000000000000007E-2</v>
          </cell>
          <cell r="L834">
            <v>8.5000000000000006E-2</v>
          </cell>
          <cell r="M834">
            <v>0.83</v>
          </cell>
          <cell r="P834">
            <v>-224212.1620377982</v>
          </cell>
          <cell r="Q834">
            <v>-121027</v>
          </cell>
          <cell r="R834">
            <v>-103185.1620377982</v>
          </cell>
        </row>
        <row r="835">
          <cell r="A835" t="str">
            <v>Aggregate Value</v>
          </cell>
          <cell r="D835" t="str">
            <v>Growth rate in the first period (gA)</v>
          </cell>
          <cell r="H835">
            <v>0.15</v>
          </cell>
          <cell r="I835">
            <v>0</v>
          </cell>
          <cell r="J835">
            <v>0.2</v>
          </cell>
          <cell r="K835">
            <v>0.14055000000000001</v>
          </cell>
          <cell r="P835">
            <v>-224212.1620377982</v>
          </cell>
        </row>
        <row r="836">
          <cell r="A836" t="str">
            <v>Less: Net Debt (F2006)</v>
          </cell>
          <cell r="D836" t="str">
            <v>Growth rate in the second period(gB)</v>
          </cell>
          <cell r="H836">
            <v>7.0000000000000007E-2</v>
          </cell>
          <cell r="I836">
            <v>0</v>
          </cell>
          <cell r="P836">
            <v>0</v>
          </cell>
        </row>
        <row r="837">
          <cell r="A837" t="str">
            <v xml:space="preserve">Net Equity Value </v>
          </cell>
          <cell r="D837" t="str">
            <v>ROICa</v>
          </cell>
          <cell r="H837">
            <v>0.125</v>
          </cell>
          <cell r="L837" t="str">
            <v>Arvind Mills' DCF Value senstivity to Ga and Gb</v>
          </cell>
          <cell r="P837">
            <v>-224212.1620377982</v>
          </cell>
        </row>
        <row r="838">
          <cell r="A838" t="str">
            <v>Shares o/s (million)</v>
          </cell>
          <cell r="D838" t="str">
            <v>ROICb</v>
          </cell>
          <cell r="H838">
            <v>0.125</v>
          </cell>
          <cell r="N838" t="str">
            <v>Gb</v>
          </cell>
          <cell r="P838">
            <v>0</v>
          </cell>
        </row>
        <row r="839">
          <cell r="A839" t="str">
            <v>DCF Value / Share (Rs)</v>
          </cell>
          <cell r="D839" t="str">
            <v>Discount rate</v>
          </cell>
          <cell r="H839" t="e">
            <v>#DIV/0!</v>
          </cell>
          <cell r="K839" t="e">
            <v>#DIV/0!</v>
          </cell>
          <cell r="L839">
            <v>0</v>
          </cell>
          <cell r="M839">
            <v>0.01</v>
          </cell>
          <cell r="N839">
            <v>0.03</v>
          </cell>
          <cell r="P839" t="e">
            <v>#DIV/0!</v>
          </cell>
        </row>
        <row r="840">
          <cell r="A840" t="str">
            <v>Financial Assets (Rs/share)</v>
          </cell>
          <cell r="D840" t="str">
            <v>No. of years in the first period</v>
          </cell>
          <cell r="H840">
            <v>5</v>
          </cell>
          <cell r="J840">
            <v>10</v>
          </cell>
          <cell r="K840">
            <v>0.11</v>
          </cell>
          <cell r="L840">
            <v>124.38110306091711</v>
          </cell>
          <cell r="M840">
            <v>127.23462289474649</v>
          </cell>
          <cell r="N840">
            <v>135.0818024377771</v>
          </cell>
        </row>
        <row r="841">
          <cell r="D841" t="str">
            <v>Fair value (Rs. per share)</v>
          </cell>
          <cell r="H841" t="e">
            <v>#DIV/0!</v>
          </cell>
          <cell r="I841">
            <v>65</v>
          </cell>
          <cell r="J841">
            <v>146</v>
          </cell>
          <cell r="K841">
            <v>0.12</v>
          </cell>
          <cell r="L841">
            <v>114.74446321635905</v>
          </cell>
          <cell r="M841">
            <v>116.81950398570389</v>
          </cell>
          <cell r="N841">
            <v>122.35294603729012</v>
          </cell>
        </row>
        <row r="842">
          <cell r="K842">
            <v>0.13</v>
          </cell>
          <cell r="L842">
            <v>106.69180728144153</v>
          </cell>
          <cell r="M842">
            <v>108.22406386379173</v>
          </cell>
          <cell r="N842">
            <v>112.20793097790232</v>
          </cell>
        </row>
        <row r="843">
          <cell r="A843" t="str">
            <v>First part</v>
          </cell>
          <cell r="H843" t="e">
            <v>#DIV/0!</v>
          </cell>
          <cell r="K843">
            <v>0.14000000000000001</v>
          </cell>
          <cell r="L843">
            <v>99.872360883584591</v>
          </cell>
          <cell r="M843">
            <v>101.01849579024908</v>
          </cell>
          <cell r="N843">
            <v>103.93593009812234</v>
          </cell>
        </row>
        <row r="844">
          <cell r="A844" t="str">
            <v>Second part</v>
          </cell>
          <cell r="H844" t="e">
            <v>#DIV/0!</v>
          </cell>
          <cell r="K844">
            <v>0.15</v>
          </cell>
          <cell r="L844">
            <v>94.030234466590414</v>
          </cell>
          <cell r="M844">
            <v>94.896994828583416</v>
          </cell>
          <cell r="N844">
            <v>97.063895733565857</v>
          </cell>
        </row>
        <row r="845">
          <cell r="A845" t="str">
            <v>Total terminal value</v>
          </cell>
          <cell r="H845" t="e">
            <v>#DIV/0!</v>
          </cell>
          <cell r="K845">
            <v>0.16</v>
          </cell>
          <cell r="L845">
            <v>88.974607381955394</v>
          </cell>
          <cell r="M845">
            <v>89.636275970356124</v>
          </cell>
          <cell r="N845">
            <v>91.264998649496405</v>
          </cell>
        </row>
        <row r="846">
          <cell r="A846" t="str">
            <v>Discounted terminal value</v>
          </cell>
          <cell r="H846" t="e">
            <v>#DIV/0!</v>
          </cell>
          <cell r="K846">
            <v>0.17</v>
          </cell>
          <cell r="L846">
            <v>84.560456309057585</v>
          </cell>
          <cell r="M846">
            <v>85.069666972054478</v>
          </cell>
          <cell r="N846">
            <v>86.306321439332635</v>
          </cell>
        </row>
        <row r="847">
          <cell r="A847" t="str">
            <v>Discounted value of cash flows</v>
          </cell>
          <cell r="H847" t="e">
            <v>#DIV/0!</v>
          </cell>
          <cell r="K847">
            <v>0.18000000000000002</v>
          </cell>
          <cell r="L847">
            <v>80.675724590835813</v>
          </cell>
          <cell r="M847">
            <v>81.070360222980824</v>
          </cell>
          <cell r="N847">
            <v>82.017485740128791</v>
          </cell>
        </row>
        <row r="848">
          <cell r="A848" t="str">
            <v>Total</v>
          </cell>
          <cell r="H848" t="e">
            <v>#DIV/0!</v>
          </cell>
          <cell r="K848">
            <v>0.19000000000000003</v>
          </cell>
          <cell r="L848">
            <v>77.232557227591286</v>
          </cell>
          <cell r="M848">
            <v>77.54025974075951</v>
          </cell>
          <cell r="N848">
            <v>78.271053209534045</v>
          </cell>
        </row>
        <row r="849">
          <cell r="A849" t="str">
            <v>Adjusted for mid-year accruals</v>
          </cell>
          <cell r="H849" t="e">
            <v>#DIV/0!</v>
          </cell>
          <cell r="K849">
            <v>0.20000000000000004</v>
          </cell>
          <cell r="L849">
            <v>74.161176697342185</v>
          </cell>
          <cell r="M849">
            <v>74.402360272135297</v>
          </cell>
          <cell r="N849">
            <v>74.969851036354314</v>
          </cell>
        </row>
        <row r="850">
          <cell r="A850" t="str">
            <v>Non-operating investments</v>
          </cell>
          <cell r="B850" t="str">
            <v>F2000</v>
          </cell>
          <cell r="C850" t="str">
            <v>F2001</v>
          </cell>
          <cell r="D850" t="str">
            <v>F2002</v>
          </cell>
          <cell r="E850" t="str">
            <v>F2003</v>
          </cell>
          <cell r="F850" t="str">
            <v>F2004</v>
          </cell>
          <cell r="G850" t="str">
            <v>F2005</v>
          </cell>
          <cell r="H850">
            <v>0</v>
          </cell>
          <cell r="I850" t="str">
            <v>F2007</v>
          </cell>
          <cell r="J850" t="str">
            <v>F2008E</v>
          </cell>
          <cell r="K850">
            <v>0.21000000000000005</v>
          </cell>
          <cell r="L850">
            <v>71.405517823821185</v>
          </cell>
          <cell r="M850">
            <v>71.595420918419919</v>
          </cell>
          <cell r="N850">
            <v>72.038528139150287</v>
          </cell>
          <cell r="O850" t="str">
            <v>F2013E</v>
          </cell>
          <cell r="P850" t="str">
            <v>F2014E</v>
          </cell>
          <cell r="Q850" t="str">
            <v>F2015E</v>
          </cell>
          <cell r="R850" t="str">
            <v>F2016E</v>
          </cell>
          <cell r="S850" t="str">
            <v>F2017E</v>
          </cell>
          <cell r="T850" t="str">
            <v>F2018E</v>
          </cell>
          <cell r="U850" t="str">
            <v>F2019E</v>
          </cell>
          <cell r="V850" t="str">
            <v>F2020E</v>
          </cell>
        </row>
        <row r="851">
          <cell r="A851" t="str">
            <v>Yr-end</v>
          </cell>
          <cell r="B851">
            <v>43.62</v>
          </cell>
          <cell r="C851">
            <v>46.615000000000002</v>
          </cell>
          <cell r="D851">
            <v>48.738947368421066</v>
          </cell>
          <cell r="E851">
            <v>47.47</v>
          </cell>
          <cell r="F851">
            <v>43.6</v>
          </cell>
          <cell r="G851">
            <v>43.744999999999997</v>
          </cell>
          <cell r="H851">
            <v>44.622999999999998</v>
          </cell>
          <cell r="I851">
            <v>43.36</v>
          </cell>
          <cell r="J851">
            <v>40</v>
          </cell>
          <cell r="K851">
            <v>42.5</v>
          </cell>
          <cell r="L851">
            <v>41.7</v>
          </cell>
          <cell r="M851" t="str">
            <v>Wacc</v>
          </cell>
          <cell r="N851">
            <v>40.458382499999999</v>
          </cell>
          <cell r="O851">
            <v>39.851506762500001</v>
          </cell>
          <cell r="P851">
            <v>39.253734161062503</v>
          </cell>
          <cell r="Q851">
            <v>38.664928148646567</v>
          </cell>
          <cell r="R851">
            <v>38.278278867160104</v>
          </cell>
          <cell r="S851">
            <v>37.895496078488506</v>
          </cell>
          <cell r="T851">
            <v>37.516541117703618</v>
          </cell>
          <cell r="U851">
            <v>37.141375706526581</v>
          </cell>
          <cell r="V851">
            <v>36.769961949461312</v>
          </cell>
        </row>
        <row r="852">
          <cell r="A852" t="str">
            <v>Firm Value</v>
          </cell>
          <cell r="B852">
            <v>43.39</v>
          </cell>
          <cell r="C852">
            <v>45.8</v>
          </cell>
          <cell r="D852">
            <v>47.69</v>
          </cell>
          <cell r="E852">
            <v>48.396000000000001</v>
          </cell>
          <cell r="F852">
            <v>45.927</v>
          </cell>
          <cell r="G852">
            <v>44.927</v>
          </cell>
          <cell r="H852" t="e">
            <v>#DIV/0!</v>
          </cell>
          <cell r="I852">
            <v>45.24</v>
          </cell>
          <cell r="J852">
            <v>40.270000000000003</v>
          </cell>
          <cell r="K852" t="e">
            <v>#DIV/0!</v>
          </cell>
          <cell r="L852">
            <v>0.11</v>
          </cell>
          <cell r="M852">
            <v>0.12</v>
          </cell>
          <cell r="N852">
            <v>0.13</v>
          </cell>
          <cell r="O852">
            <v>40.154944631250004</v>
          </cell>
          <cell r="P852">
            <v>39.552620461781252</v>
          </cell>
          <cell r="Q852">
            <v>38.959331154854539</v>
          </cell>
          <cell r="R852">
            <v>38.471603507903339</v>
          </cell>
          <cell r="S852">
            <v>38.086887472824301</v>
          </cell>
          <cell r="T852">
            <v>37.706018598096065</v>
          </cell>
          <cell r="U852">
            <v>37.328958412115099</v>
          </cell>
          <cell r="V852">
            <v>36.955668827993946</v>
          </cell>
        </row>
        <row r="853">
          <cell r="A853" t="str">
            <v>Change in YE rate (Rs/US$)</v>
          </cell>
          <cell r="C853">
            <v>6.8661164603392999E-2</v>
          </cell>
          <cell r="D853">
            <v>4.5563603312690493E-2</v>
          </cell>
          <cell r="E853">
            <v>-2.6035592415014741E-2</v>
          </cell>
          <cell r="F853">
            <v>-8.1525173793975059E-2</v>
          </cell>
          <cell r="G853">
            <v>3.325688073394506E-3</v>
          </cell>
          <cell r="H853">
            <v>2.0070865241741842E-2</v>
          </cell>
          <cell r="I853">
            <v>-2.8303789525580991E-2</v>
          </cell>
          <cell r="J853">
            <v>-7.7490774907749027E-2</v>
          </cell>
          <cell r="K853">
            <v>0.3</v>
          </cell>
          <cell r="L853">
            <v>144.31377837075433</v>
          </cell>
          <cell r="M853">
            <v>128.08401101929013</v>
          </cell>
          <cell r="N853">
            <v>115.849434511894</v>
          </cell>
          <cell r="O853">
            <v>-1.4999999999999902E-2</v>
          </cell>
          <cell r="P853">
            <v>-1.4999999999999902E-2</v>
          </cell>
          <cell r="Q853">
            <v>-1.5000000000000013E-2</v>
          </cell>
          <cell r="R853">
            <v>-9.9999999999998979E-3</v>
          </cell>
          <cell r="S853">
            <v>-9.9999999999998979E-3</v>
          </cell>
          <cell r="T853">
            <v>-1.000000000000012E-2</v>
          </cell>
          <cell r="U853">
            <v>-1.0000000000000009E-2</v>
          </cell>
          <cell r="V853">
            <v>-1.000000000000012E-2</v>
          </cell>
        </row>
        <row r="854">
          <cell r="A854" t="str">
            <v>Firm value less debt</v>
          </cell>
          <cell r="C854">
            <v>5.5542751786125777E-2</v>
          </cell>
          <cell r="D854">
            <v>4.1266375545851552E-2</v>
          </cell>
          <cell r="E854">
            <v>1.4803942126232039E-2</v>
          </cell>
          <cell r="F854">
            <v>-5.1016612943218465E-2</v>
          </cell>
          <cell r="G854">
            <v>-2.1773684325124609E-2</v>
          </cell>
          <cell r="H854" t="e">
            <v>#DIV/0!</v>
          </cell>
          <cell r="I854">
            <v>2.1934084799747122E-2</v>
          </cell>
          <cell r="J854">
            <v>-0.10985853227232534</v>
          </cell>
          <cell r="K854">
            <v>0.35</v>
          </cell>
          <cell r="L854">
            <v>145.96234550164311</v>
          </cell>
          <cell r="M854">
            <v>129.3544441433788</v>
          </cell>
          <cell r="N854">
            <v>116.84984757068294</v>
          </cell>
          <cell r="O854">
            <v>7.807086614173242E-2</v>
          </cell>
          <cell r="P854">
            <v>-1.5000000000000013E-2</v>
          </cell>
          <cell r="Q854">
            <v>-1.4999999999999902E-2</v>
          </cell>
          <cell r="R854">
            <v>-1.2518891687657407E-2</v>
          </cell>
          <cell r="S854">
            <v>-1.000000000000012E-2</v>
          </cell>
          <cell r="T854">
            <v>-9.9999999999997868E-3</v>
          </cell>
          <cell r="U854">
            <v>-1.000000000000012E-2</v>
          </cell>
          <cell r="V854">
            <v>-1.0000000000000009E-2</v>
          </cell>
        </row>
        <row r="855">
          <cell r="A855" t="str">
            <v>Adjustment to current date</v>
          </cell>
          <cell r="H855" t="e">
            <v>#DIV/0!</v>
          </cell>
          <cell r="K855">
            <v>0.39999999999999997</v>
          </cell>
          <cell r="L855">
            <v>147.19877084980973</v>
          </cell>
          <cell r="M855">
            <v>130.30726898644531</v>
          </cell>
          <cell r="N855">
            <v>117.60015736477465</v>
          </cell>
        </row>
        <row r="856">
          <cell r="A856" t="str">
            <v>number of months from last balance sheet</v>
          </cell>
          <cell r="H856">
            <v>8</v>
          </cell>
          <cell r="K856">
            <v>0.44999999999999996</v>
          </cell>
          <cell r="L856">
            <v>148.16043500949485</v>
          </cell>
          <cell r="M856">
            <v>131.04835497549703</v>
          </cell>
          <cell r="N856">
            <v>118.18373164906816</v>
          </cell>
        </row>
        <row r="857">
          <cell r="K857">
            <v>0.49999999999999994</v>
          </cell>
          <cell r="L857">
            <v>148.92976633724294</v>
          </cell>
          <cell r="M857">
            <v>131.64122376673839</v>
          </cell>
          <cell r="N857">
            <v>118.65059107650301</v>
          </cell>
        </row>
        <row r="858">
          <cell r="E858" t="str">
            <v>Fair value (Rs. per share)</v>
          </cell>
          <cell r="H858" t="e">
            <v>#DIV/0!</v>
          </cell>
          <cell r="K858">
            <v>0.54999999999999993</v>
          </cell>
          <cell r="L858">
            <v>149.55921924176414</v>
          </cell>
          <cell r="M858">
            <v>132.12629823229955</v>
          </cell>
          <cell r="N858">
            <v>119.03256697167696</v>
          </cell>
        </row>
        <row r="859">
          <cell r="E859" t="str">
            <v>Market price(Rs. per share)</v>
          </cell>
          <cell r="H859">
            <v>170</v>
          </cell>
          <cell r="K859">
            <v>0.6</v>
          </cell>
          <cell r="L859">
            <v>150.0837633288651</v>
          </cell>
          <cell r="M859">
            <v>132.53052695360046</v>
          </cell>
          <cell r="N859">
            <v>119.35088021765525</v>
          </cell>
        </row>
        <row r="860">
          <cell r="E860" t="str">
            <v>Discount/premium of</v>
          </cell>
          <cell r="H860" t="e">
            <v>#DIV/0!</v>
          </cell>
          <cell r="K860">
            <v>0.65</v>
          </cell>
          <cell r="L860">
            <v>150.52760832564283</v>
          </cell>
          <cell r="M860">
            <v>132.87256664085513</v>
          </cell>
          <cell r="N860">
            <v>119.6202221950215</v>
          </cell>
        </row>
        <row r="861">
          <cell r="E861" t="str">
            <v>market price to fair value</v>
          </cell>
          <cell r="H861" t="str">
            <v>%</v>
          </cell>
          <cell r="K861" t="str">
            <v>%</v>
          </cell>
        </row>
        <row r="862">
          <cell r="A862" t="str">
            <v>Cost of capital</v>
          </cell>
          <cell r="K862" t="str">
            <v>%</v>
          </cell>
        </row>
        <row r="863">
          <cell r="A863" t="str">
            <v xml:space="preserve">Cost of equity </v>
          </cell>
          <cell r="D863">
            <v>0.17200000000000001</v>
          </cell>
          <cell r="E863">
            <v>0.17200000000000001</v>
          </cell>
          <cell r="F863">
            <v>7.0000000000000007E-2</v>
          </cell>
          <cell r="G863">
            <v>0.10200000000000001</v>
          </cell>
          <cell r="K863" t="str">
            <v>%</v>
          </cell>
        </row>
        <row r="864">
          <cell r="A864" t="str">
            <v>Cost of debt</v>
          </cell>
          <cell r="D864">
            <v>8.5000000000000006E-2</v>
          </cell>
          <cell r="N864" t="str">
            <v>Gb</v>
          </cell>
        </row>
        <row r="865">
          <cell r="A865" t="str">
            <v>Post tax cost of debt</v>
          </cell>
          <cell r="D865">
            <v>5.5250000000000007E-2</v>
          </cell>
          <cell r="K865" t="e">
            <v>#DIV/0!</v>
          </cell>
          <cell r="L865">
            <v>0</v>
          </cell>
          <cell r="M865">
            <v>0.01</v>
          </cell>
          <cell r="N865">
            <v>0.04</v>
          </cell>
        </row>
        <row r="866">
          <cell r="A866" t="str">
            <v>Weighted avg. cost of capital</v>
          </cell>
          <cell r="D866" t="e">
            <v>#DIV/0!</v>
          </cell>
          <cell r="K866">
            <v>0.14000000000000001</v>
          </cell>
          <cell r="L866">
            <v>90.121855307055753</v>
          </cell>
          <cell r="M866">
            <v>92.189705961381719</v>
          </cell>
          <cell r="N866">
            <v>99.334739550970056</v>
          </cell>
        </row>
        <row r="867">
          <cell r="E867" t="str">
            <v>debt</v>
          </cell>
          <cell r="F867" t="str">
            <v>equity</v>
          </cell>
        </row>
        <row r="868">
          <cell r="D868" t="str">
            <v>ratio</v>
          </cell>
          <cell r="E868">
            <v>0</v>
          </cell>
          <cell r="F868">
            <v>0</v>
          </cell>
          <cell r="H868" t="str">
            <v>EPS sensitivity to margins</v>
          </cell>
        </row>
        <row r="869">
          <cell r="D869" t="str">
            <v>weight</v>
          </cell>
          <cell r="E869" t="e">
            <v>#DIV/0!</v>
          </cell>
          <cell r="F869" t="e">
            <v>#DIV/0!</v>
          </cell>
        </row>
        <row r="871">
          <cell r="E871" t="e">
            <v>#DIV/0!</v>
          </cell>
          <cell r="H871" t="str">
            <v>Operating profit margin in C2005</v>
          </cell>
          <cell r="J871">
            <v>0.18700000000000003</v>
          </cell>
          <cell r="K871">
            <v>0.17700000000000002</v>
          </cell>
          <cell r="L871">
            <v>0.16700000000000001</v>
          </cell>
          <cell r="M871">
            <v>0.157</v>
          </cell>
          <cell r="N871">
            <v>0.14699999999999999</v>
          </cell>
        </row>
        <row r="872">
          <cell r="J872">
            <v>6.8000000000000005E-2</v>
          </cell>
          <cell r="K872">
            <v>7.8E-2</v>
          </cell>
          <cell r="L872">
            <v>8.7999999999999995E-2</v>
          </cell>
          <cell r="M872">
            <v>9.799999999999999E-2</v>
          </cell>
          <cell r="N872">
            <v>0.10799999999999998</v>
          </cell>
        </row>
        <row r="873">
          <cell r="H873" t="str">
            <v>EPS</v>
          </cell>
          <cell r="I873">
            <v>6.7414828023571838</v>
          </cell>
          <cell r="J873">
            <v>7.4962505039019049</v>
          </cell>
          <cell r="K873">
            <v>7.1256982505768116</v>
          </cell>
          <cell r="L873">
            <v>6.7414828023571838</v>
          </cell>
          <cell r="M873">
            <v>6.3845937439266329</v>
          </cell>
          <cell r="N873">
            <v>6.0140414906015467</v>
          </cell>
        </row>
        <row r="874">
          <cell r="I874">
            <v>5.5968567346832936</v>
          </cell>
          <cell r="J874" t="e">
            <v>#DIV/0!</v>
          </cell>
          <cell r="K874" t="e">
            <v>#DIV/0!</v>
          </cell>
          <cell r="L874" t="e">
            <v>#DIV/0!</v>
          </cell>
          <cell r="M874" t="e">
            <v>#DIV/0!</v>
          </cell>
          <cell r="N874" t="e">
            <v>#DIV/0!</v>
          </cell>
        </row>
        <row r="875">
          <cell r="H875" t="str">
            <v>PER</v>
          </cell>
          <cell r="I875">
            <v>106.85</v>
          </cell>
          <cell r="J875">
            <v>0</v>
          </cell>
          <cell r="K875">
            <v>0</v>
          </cell>
          <cell r="L875">
            <v>0</v>
          </cell>
          <cell r="M875">
            <v>0</v>
          </cell>
          <cell r="N875">
            <v>0</v>
          </cell>
        </row>
        <row r="876">
          <cell r="J876" t="e">
            <v>#DIV/0!</v>
          </cell>
          <cell r="K876" t="e">
            <v>#DIV/0!</v>
          </cell>
          <cell r="L876" t="e">
            <v>#DIV/0!</v>
          </cell>
          <cell r="M876" t="e">
            <v>#DIV/0!</v>
          </cell>
          <cell r="N876" t="e">
            <v>#DIV/0!</v>
          </cell>
        </row>
        <row r="877">
          <cell r="M877" t="str">
            <v>Growth in 2008-2018 (%)</v>
          </cell>
        </row>
        <row r="878">
          <cell r="K878" t="e">
            <v>#DIV/0!</v>
          </cell>
          <cell r="L878">
            <v>0</v>
          </cell>
          <cell r="M878">
            <v>0.03</v>
          </cell>
          <cell r="N878">
            <v>0.05</v>
          </cell>
        </row>
        <row r="879">
          <cell r="K879">
            <v>0</v>
          </cell>
          <cell r="L879">
            <v>85.913922367933949</v>
          </cell>
          <cell r="M879">
            <v>91.129543568955285</v>
          </cell>
          <cell r="N879">
            <v>95.215569320824031</v>
          </cell>
        </row>
        <row r="880">
          <cell r="K880">
            <v>0.02</v>
          </cell>
          <cell r="L880">
            <v>87.176302249670499</v>
          </cell>
          <cell r="M880">
            <v>92.826076568975509</v>
          </cell>
          <cell r="N880">
            <v>97.271853127136595</v>
          </cell>
        </row>
        <row r="881">
          <cell r="J881" t="str">
            <v>Growth</v>
          </cell>
          <cell r="K881">
            <v>0.04</v>
          </cell>
          <cell r="L881">
            <v>88.94363408410166</v>
          </cell>
          <cell r="M881">
            <v>95.201222769003849</v>
          </cell>
          <cell r="N881">
            <v>100.15065045597426</v>
          </cell>
        </row>
        <row r="882">
          <cell r="J882" t="str">
            <v>beyond 2018 (%)</v>
          </cell>
          <cell r="K882">
            <v>0.05</v>
          </cell>
          <cell r="L882">
            <v>90.121855307055753</v>
          </cell>
          <cell r="M882">
            <v>96.784653569022737</v>
          </cell>
          <cell r="N882">
            <v>102.06984867519932</v>
          </cell>
        </row>
        <row r="883">
          <cell r="K883">
            <v>6.0000000000000005E-2</v>
          </cell>
          <cell r="L883">
            <v>91.594631835748388</v>
          </cell>
          <cell r="M883">
            <v>98.763942069046323</v>
          </cell>
          <cell r="N883">
            <v>104.46884644923068</v>
          </cell>
        </row>
        <row r="884">
          <cell r="K884">
            <v>7.0000000000000007E-2</v>
          </cell>
          <cell r="L884">
            <v>93.488201658353205</v>
          </cell>
          <cell r="M884">
            <v>101.30874156907666</v>
          </cell>
          <cell r="N884">
            <v>107.55327215869956</v>
          </cell>
        </row>
        <row r="928">
          <cell r="A928" t="str">
            <v>Rs mn</v>
          </cell>
          <cell r="G928" t="str">
            <v>F2005E</v>
          </cell>
          <cell r="H928" t="str">
            <v>F2006E</v>
          </cell>
          <cell r="I928" t="str">
            <v>F2007E</v>
          </cell>
        </row>
        <row r="929">
          <cell r="A929" t="str">
            <v>Capex</v>
          </cell>
          <cell r="G929">
            <v>41431</v>
          </cell>
          <cell r="H929">
            <v>94789</v>
          </cell>
          <cell r="I929">
            <v>77815</v>
          </cell>
        </row>
        <row r="930">
          <cell r="A930" t="str">
            <v>PAT plus depreciation</v>
          </cell>
          <cell r="G930">
            <v>77654</v>
          </cell>
          <cell r="H930">
            <v>79118</v>
          </cell>
          <cell r="I930">
            <v>89981</v>
          </cell>
        </row>
        <row r="931">
          <cell r="A931" t="str">
            <v>Cash and cash equivalents</v>
          </cell>
          <cell r="G931">
            <v>88185</v>
          </cell>
          <cell r="H931">
            <v>90065</v>
          </cell>
          <cell r="I931">
            <v>137150</v>
          </cell>
        </row>
        <row r="932">
          <cell r="A932" t="str">
            <v>Investment in SEB bonds</v>
          </cell>
          <cell r="G932">
            <v>188578</v>
          </cell>
          <cell r="H932">
            <v>191505</v>
          </cell>
          <cell r="I932">
            <v>160353</v>
          </cell>
        </row>
        <row r="1161">
          <cell r="A1161" t="str">
            <v>Price</v>
          </cell>
          <cell r="B1161">
            <v>102.3</v>
          </cell>
        </row>
        <row r="1162">
          <cell r="A1162" t="str">
            <v>Mkt cap (Rs mn)</v>
          </cell>
          <cell r="B1162">
            <v>843511.00812000001</v>
          </cell>
        </row>
        <row r="1163">
          <cell r="A1163" t="str">
            <v>Rs/$</v>
          </cell>
          <cell r="B1163">
            <v>45.22</v>
          </cell>
        </row>
        <row r="1164">
          <cell r="A1164" t="str">
            <v>Mkt cap (USD mn)</v>
          </cell>
          <cell r="B1164">
            <v>18653.494208757187</v>
          </cell>
        </row>
        <row r="1166">
          <cell r="A1166" t="str">
            <v>Key Ratios</v>
          </cell>
        </row>
        <row r="1167">
          <cell r="A1167" t="str">
            <v>EPS (Rs)</v>
          </cell>
          <cell r="B1167">
            <v>4.0017811833102561</v>
          </cell>
          <cell r="C1167">
            <v>4.4166422934510878</v>
          </cell>
          <cell r="D1167">
            <v>4.4529962884686425</v>
          </cell>
          <cell r="E1167">
            <v>4.2098909873493531</v>
          </cell>
          <cell r="F1167">
            <v>5.4931563842704234</v>
          </cell>
          <cell r="G1167">
            <v>5.8743948833736273</v>
          </cell>
          <cell r="H1167">
            <v>7.1970476277843121</v>
          </cell>
          <cell r="I1167">
            <v>8.3479834077022996</v>
          </cell>
          <cell r="J1167">
            <v>9.0594048286716262</v>
          </cell>
        </row>
        <row r="1168">
          <cell r="A1168" t="str">
            <v>P/E (x)</v>
          </cell>
          <cell r="B1168">
            <v>25.563616628178025</v>
          </cell>
          <cell r="C1168">
            <v>23.162391971767438</v>
          </cell>
          <cell r="D1168">
            <v>22.97329559086166</v>
          </cell>
          <cell r="E1168">
            <v>24.299916626679803</v>
          </cell>
          <cell r="F1168">
            <v>18.623172697747076</v>
          </cell>
          <cell r="G1168">
            <v>17.414559632267991</v>
          </cell>
          <cell r="H1168">
            <v>14.214161874526061</v>
          </cell>
          <cell r="I1168">
            <v>12.254456556012379</v>
          </cell>
          <cell r="J1168">
            <v>11.292132533501119</v>
          </cell>
        </row>
        <row r="1169">
          <cell r="A1169" t="str">
            <v>BVPS (Rs)</v>
          </cell>
          <cell r="B1169">
            <v>0</v>
          </cell>
          <cell r="C1169">
            <v>0</v>
          </cell>
          <cell r="D1169">
            <v>38.737163057170555</v>
          </cell>
          <cell r="E1169">
            <v>41.956854698416372</v>
          </cell>
          <cell r="F1169">
            <v>45.503840270117202</v>
          </cell>
          <cell r="G1169">
            <v>50.66579391210518</v>
          </cell>
          <cell r="H1169">
            <v>54.576186151504089</v>
          </cell>
          <cell r="I1169">
            <v>59.077933803219132</v>
          </cell>
          <cell r="J1169">
            <v>64.431526131890763</v>
          </cell>
        </row>
        <row r="1170">
          <cell r="A1170" t="str">
            <v>P/BV (x)</v>
          </cell>
          <cell r="B1170" t="e">
            <v>#DIV/0!</v>
          </cell>
          <cell r="C1170" t="e">
            <v>#DIV/0!</v>
          </cell>
          <cell r="D1170">
            <v>2.6408748583116353</v>
          </cell>
          <cell r="E1170">
            <v>2.4382189927087463</v>
          </cell>
          <cell r="F1170">
            <v>2.2481619000227848</v>
          </cell>
          <cell r="G1170">
            <v>2.0191137274483379</v>
          </cell>
          <cell r="H1170">
            <v>1.8744439143478087</v>
          </cell>
          <cell r="I1170">
            <v>1.7316109994765205</v>
          </cell>
          <cell r="J1170">
            <v>1.5877320644336874</v>
          </cell>
        </row>
        <row r="1171">
          <cell r="A1171" t="str">
            <v>ROE - Beg period (%)</v>
          </cell>
          <cell r="C1171" t="e">
            <v>#DIV/0!</v>
          </cell>
          <cell r="D1171" t="e">
            <v>#DIV/0!</v>
          </cell>
          <cell r="E1171">
            <v>0.10867835058380892</v>
          </cell>
          <cell r="F1171">
            <v>0.13092393182842083</v>
          </cell>
          <cell r="G1171">
            <v>0.13625028869792039</v>
          </cell>
          <cell r="H1171">
            <v>0.1420494395147488</v>
          </cell>
          <cell r="I1171">
            <v>0.15296018275311885</v>
          </cell>
          <cell r="J1171">
            <v>0.15334667693097254</v>
          </cell>
        </row>
        <row r="1172">
          <cell r="A1172" t="str">
            <v>Avg ROE (%)</v>
          </cell>
          <cell r="C1172" t="e">
            <v>#DIV/0!</v>
          </cell>
          <cell r="D1172">
            <v>0.11495411478369369</v>
          </cell>
          <cell r="E1172">
            <v>0.1043420839473042</v>
          </cell>
          <cell r="F1172">
            <v>0.12561428619442688</v>
          </cell>
          <cell r="G1172">
            <v>0.12527962993854466</v>
          </cell>
          <cell r="H1172">
            <v>0.13677142188762217</v>
          </cell>
          <cell r="I1172">
            <v>0.14690155378490308</v>
          </cell>
          <cell r="J1172">
            <v>0.14669977236450241</v>
          </cell>
        </row>
        <row r="1173">
          <cell r="A1173" t="str">
            <v>ROA (%)</v>
          </cell>
        </row>
        <row r="1174">
          <cell r="A1174" t="str">
            <v>Net debt</v>
          </cell>
          <cell r="B1174">
            <v>0</v>
          </cell>
          <cell r="C1174">
            <v>0</v>
          </cell>
          <cell r="D1174">
            <v>115812</v>
          </cell>
          <cell r="E1174">
            <v>132157</v>
          </cell>
          <cell r="F1174">
            <v>-91916</v>
          </cell>
          <cell r="G1174">
            <v>-105885</v>
          </cell>
          <cell r="H1174">
            <v>-56773</v>
          </cell>
          <cell r="I1174">
            <v>-27308</v>
          </cell>
          <cell r="J1174">
            <v>-121802.49354286899</v>
          </cell>
        </row>
        <row r="1175">
          <cell r="A1175" t="str">
            <v>EV/EBITDA</v>
          </cell>
          <cell r="B1175">
            <v>14.045319931418282</v>
          </cell>
          <cell r="C1175">
            <v>12.709317895067606</v>
          </cell>
          <cell r="D1175">
            <v>17.37950894418999</v>
          </cell>
          <cell r="E1175">
            <v>16.773778115117242</v>
          </cell>
          <cell r="F1175">
            <v>17.40294278522747</v>
          </cell>
          <cell r="G1175">
            <v>10.792082563793498</v>
          </cell>
          <cell r="H1175">
            <v>9.8774388966729436</v>
          </cell>
          <cell r="I1175">
            <v>8.0323083021207502</v>
          </cell>
          <cell r="J1175">
            <v>6.3235099541503272</v>
          </cell>
        </row>
        <row r="1176">
          <cell r="A1176" t="str">
            <v>DPS (Rs)</v>
          </cell>
          <cell r="B1176">
            <v>0.83199473913086552</v>
          </cell>
          <cell r="C1176">
            <v>0.95615395404731773</v>
          </cell>
          <cell r="D1176">
            <v>0.9061062705088303</v>
          </cell>
          <cell r="E1176">
            <v>0.90623426969946586</v>
          </cell>
          <cell r="F1176">
            <v>1.3853352402482089</v>
          </cell>
          <cell r="G1176">
            <v>2.4001073850976784</v>
          </cell>
          <cell r="H1176">
            <v>2.8117276208238797</v>
          </cell>
          <cell r="I1176">
            <v>3.2097646313287092</v>
          </cell>
          <cell r="J1176">
            <v>3.25</v>
          </cell>
        </row>
        <row r="1177">
          <cell r="A1177" t="str">
            <v>Yield (%)</v>
          </cell>
          <cell r="B1177">
            <v>0.81328909005949701</v>
          </cell>
          <cell r="C1177">
            <v>0.93465684657606818</v>
          </cell>
          <cell r="D1177">
            <v>0.88573437977402769</v>
          </cell>
          <cell r="E1177">
            <v>0.88585950117249845</v>
          </cell>
          <cell r="F1177">
            <v>1.3541888956482979</v>
          </cell>
          <cell r="G1177">
            <v>2.3461460264884444</v>
          </cell>
          <cell r="H1177">
            <v>2.7485118483126878</v>
          </cell>
          <cell r="I1177">
            <v>3.1375998351209278</v>
          </cell>
          <cell r="J1177">
            <v>3.1769305962854348</v>
          </cell>
        </row>
        <row r="1178">
          <cell r="A1178" t="str">
            <v>ev</v>
          </cell>
          <cell r="D1178">
            <v>915035.80362000002</v>
          </cell>
          <cell r="E1178">
            <v>931380.80362000002</v>
          </cell>
          <cell r="F1178">
            <v>707307.80362000002</v>
          </cell>
          <cell r="G1178">
            <v>843511.00812000001</v>
          </cell>
          <cell r="H1178">
            <v>786738.00812000001</v>
          </cell>
          <cell r="I1178">
            <v>816203.00812000001</v>
          </cell>
          <cell r="J1178">
            <v>721708.51457713102</v>
          </cell>
        </row>
        <row r="1179">
          <cell r="A1179" t="str">
            <v>Details of Other Income</v>
          </cell>
          <cell r="G1179" t="str">
            <v>Nature of</v>
          </cell>
        </row>
        <row r="1180">
          <cell r="G1180" t="str">
            <v>Income</v>
          </cell>
        </row>
        <row r="1181">
          <cell r="A1181" t="str">
            <v>Dividend from Investments</v>
          </cell>
          <cell r="B1181">
            <v>1</v>
          </cell>
          <cell r="C1181">
            <v>0</v>
          </cell>
          <cell r="D1181">
            <v>57</v>
          </cell>
          <cell r="E1181">
            <v>36</v>
          </cell>
          <cell r="F1181">
            <v>95</v>
          </cell>
          <cell r="G1181" t="str">
            <v>Recurring</v>
          </cell>
        </row>
        <row r="1182">
          <cell r="A1182" t="str">
            <v>Interest Income on:</v>
          </cell>
        </row>
        <row r="1183">
          <cell r="A1183" t="str">
            <v>(a) Govt. Securities (8.5% Tax Free Bonds)</v>
          </cell>
          <cell r="D1183">
            <v>6955</v>
          </cell>
          <cell r="E1183">
            <v>13949</v>
          </cell>
          <cell r="F1183">
            <v>13950</v>
          </cell>
          <cell r="G1183" t="str">
            <v>Recurring</v>
          </cell>
        </row>
        <row r="1184">
          <cell r="A1184" t="str">
            <v>(b) Interest from Bonds</v>
          </cell>
          <cell r="B1184">
            <v>632</v>
          </cell>
          <cell r="C1184">
            <v>2382</v>
          </cell>
          <cell r="D1184">
            <v>2800</v>
          </cell>
          <cell r="E1184">
            <v>1822</v>
          </cell>
          <cell r="F1184">
            <v>1002</v>
          </cell>
          <cell r="G1184" t="str">
            <v>Recurring</v>
          </cell>
        </row>
        <row r="1185">
          <cell r="A1185" t="str">
            <v>(c) Loan to State Govt. in settlement of dues from customers</v>
          </cell>
          <cell r="D1185">
            <v>451</v>
          </cell>
          <cell r="E1185">
            <v>901</v>
          </cell>
          <cell r="F1185">
            <v>901</v>
          </cell>
          <cell r="G1185" t="str">
            <v>Recurring</v>
          </cell>
        </row>
        <row r="1186">
          <cell r="A1186" t="str">
            <v>(d) Public Deposits with Govt. of India</v>
          </cell>
          <cell r="D1186">
            <v>601</v>
          </cell>
          <cell r="E1186">
            <v>1087</v>
          </cell>
          <cell r="F1186">
            <v>2751</v>
          </cell>
          <cell r="G1186" t="str">
            <v>Recurring</v>
          </cell>
        </row>
        <row r="1187">
          <cell r="A1187" t="str">
            <v>(e) Deposits with Banks/Financial Institutions</v>
          </cell>
          <cell r="B1187">
            <v>4</v>
          </cell>
          <cell r="C1187">
            <v>34</v>
          </cell>
          <cell r="D1187">
            <v>28</v>
          </cell>
          <cell r="E1187">
            <v>159</v>
          </cell>
          <cell r="F1187">
            <v>61</v>
          </cell>
          <cell r="G1187" t="str">
            <v>Recurring</v>
          </cell>
        </row>
        <row r="1188">
          <cell r="A1188" t="str">
            <v>(f) Loans and Advances to Employees</v>
          </cell>
          <cell r="B1188">
            <v>196</v>
          </cell>
          <cell r="C1188">
            <v>186</v>
          </cell>
          <cell r="D1188">
            <v>262</v>
          </cell>
          <cell r="E1188">
            <v>284</v>
          </cell>
          <cell r="F1188">
            <v>296</v>
          </cell>
          <cell r="G1188" t="str">
            <v>Recurring</v>
          </cell>
        </row>
        <row r="1189">
          <cell r="A1189" t="str">
            <v>(g) Interest on Income Tax Refunds</v>
          </cell>
          <cell r="D1189">
            <v>279</v>
          </cell>
          <cell r="E1189">
            <v>27</v>
          </cell>
          <cell r="F1189">
            <v>12</v>
          </cell>
          <cell r="G1189" t="str">
            <v>Recurring</v>
          </cell>
        </row>
        <row r="1190">
          <cell r="A1190" t="str">
            <v>(h) Others</v>
          </cell>
          <cell r="B1190">
            <v>3120</v>
          </cell>
          <cell r="C1190">
            <v>1683</v>
          </cell>
          <cell r="D1190">
            <v>18</v>
          </cell>
          <cell r="E1190">
            <v>157</v>
          </cell>
          <cell r="F1190">
            <v>3</v>
          </cell>
          <cell r="G1190" t="str">
            <v>Recurring</v>
          </cell>
        </row>
        <row r="1191">
          <cell r="A1191" t="str">
            <v>Surcharge on late payment from customers</v>
          </cell>
          <cell r="B1191">
            <v>5438</v>
          </cell>
          <cell r="C1191">
            <v>6319</v>
          </cell>
          <cell r="D1191">
            <v>3494</v>
          </cell>
          <cell r="E1191">
            <v>5</v>
          </cell>
          <cell r="F1191">
            <v>1900</v>
          </cell>
          <cell r="G1191" t="str">
            <v>Non-Recurring</v>
          </cell>
        </row>
        <row r="1192">
          <cell r="A1192" t="str">
            <v>Miscellaneous Income</v>
          </cell>
          <cell r="B1192">
            <v>338</v>
          </cell>
          <cell r="C1192">
            <v>479</v>
          </cell>
          <cell r="D1192">
            <v>530</v>
          </cell>
          <cell r="E1192">
            <v>997</v>
          </cell>
          <cell r="F1192">
            <v>1057</v>
          </cell>
          <cell r="G1192" t="str">
            <v>Recurring</v>
          </cell>
        </row>
        <row r="1193">
          <cell r="A1193" t="str">
            <v>TOTAL</v>
          </cell>
          <cell r="B1193">
            <v>9729</v>
          </cell>
          <cell r="C1193">
            <v>11083</v>
          </cell>
          <cell r="D1193">
            <v>15475</v>
          </cell>
          <cell r="E1193">
            <v>19424</v>
          </cell>
          <cell r="F1193">
            <v>22028</v>
          </cell>
        </row>
        <row r="1198">
          <cell r="A1198" t="str">
            <v>Capital base</v>
          </cell>
        </row>
        <row r="1199">
          <cell r="A1199" t="str">
            <v>Dep</v>
          </cell>
        </row>
        <row r="1200">
          <cell r="A1200" t="str">
            <v>70% 30</v>
          </cell>
        </row>
        <row r="1201">
          <cell r="A1201">
            <v>0.14000000000000001</v>
          </cell>
        </row>
        <row r="1203">
          <cell r="A1203" t="str">
            <v>Write back from Reserves:</v>
          </cell>
        </row>
        <row r="1204">
          <cell r="A1204" t="str">
            <v>Bonds Redemption Reserve</v>
          </cell>
          <cell r="B1204">
            <v>2500</v>
          </cell>
          <cell r="C1204">
            <v>1578</v>
          </cell>
          <cell r="D1204">
            <v>1250</v>
          </cell>
          <cell r="E1204">
            <v>0</v>
          </cell>
          <cell r="F1204">
            <v>584</v>
          </cell>
        </row>
        <row r="1205">
          <cell r="A1205" t="str">
            <v>Investment Allowance Reserve</v>
          </cell>
          <cell r="B1205">
            <v>0</v>
          </cell>
          <cell r="C1205">
            <v>7187</v>
          </cell>
          <cell r="D1205">
            <v>0</v>
          </cell>
          <cell r="E1205">
            <v>0</v>
          </cell>
          <cell r="F1205">
            <v>0</v>
          </cell>
        </row>
        <row r="1206">
          <cell r="A1206" t="str">
            <v>Balance available for appropriation</v>
          </cell>
          <cell r="B1206">
            <v>40143</v>
          </cell>
          <cell r="C1206">
            <v>43875</v>
          </cell>
          <cell r="D1206">
            <v>43732</v>
          </cell>
          <cell r="E1206">
            <v>34138</v>
          </cell>
          <cell r="F1206">
            <v>41134</v>
          </cell>
        </row>
        <row r="1208">
          <cell r="A1208" t="str">
            <v>Transfer to Bonds redemption reserve</v>
          </cell>
          <cell r="B1208">
            <v>400</v>
          </cell>
          <cell r="C1208">
            <v>175</v>
          </cell>
          <cell r="D1208">
            <v>373</v>
          </cell>
          <cell r="E1208">
            <v>1815</v>
          </cell>
          <cell r="F1208">
            <v>2067</v>
          </cell>
        </row>
        <row r="1209">
          <cell r="A1209" t="str">
            <v>Transfer to Foreign Project Reserve</v>
          </cell>
          <cell r="B1209">
            <v>0</v>
          </cell>
          <cell r="C1209">
            <v>0</v>
          </cell>
          <cell r="D1209">
            <v>0</v>
          </cell>
          <cell r="E1209">
            <v>0</v>
          </cell>
          <cell r="F1209">
            <v>0</v>
          </cell>
        </row>
        <row r="1210">
          <cell r="A1210" t="str">
            <v>Transfer to Capital Reserve</v>
          </cell>
          <cell r="B1210">
            <v>34</v>
          </cell>
          <cell r="C1210">
            <v>5</v>
          </cell>
          <cell r="D1210">
            <v>506</v>
          </cell>
          <cell r="E1210">
            <v>100</v>
          </cell>
          <cell r="F1210">
            <v>30</v>
          </cell>
        </row>
        <row r="1211">
          <cell r="A1211" t="str">
            <v>Transfer to General Reserve *</v>
          </cell>
          <cell r="B1211">
            <v>31992</v>
          </cell>
          <cell r="C1211">
            <v>32655</v>
          </cell>
          <cell r="D1211">
            <v>34278</v>
          </cell>
          <cell r="E1211">
            <v>24067</v>
          </cell>
          <cell r="F1211">
            <v>26261</v>
          </cell>
        </row>
        <row r="1212">
          <cell r="A1212" t="str">
            <v>Interim dividend</v>
          </cell>
          <cell r="B1212">
            <v>3000</v>
          </cell>
          <cell r="C1212">
            <v>0</v>
          </cell>
          <cell r="D1212">
            <v>0</v>
          </cell>
          <cell r="E1212">
            <v>4000</v>
          </cell>
          <cell r="F1212">
            <v>0</v>
          </cell>
        </row>
        <row r="1213">
          <cell r="A1213" t="str">
            <v>Proposed dividend</v>
          </cell>
          <cell r="B1213">
            <v>3500</v>
          </cell>
          <cell r="C1213">
            <v>7470</v>
          </cell>
          <cell r="D1213">
            <v>7079</v>
          </cell>
          <cell r="E1213">
            <v>3080</v>
          </cell>
          <cell r="F1213">
            <v>10823</v>
          </cell>
        </row>
        <row r="1214">
          <cell r="A1214" t="str">
            <v>Tax on proposed dividend</v>
          </cell>
          <cell r="B1214">
            <v>1100</v>
          </cell>
          <cell r="C1214">
            <v>762</v>
          </cell>
          <cell r="D1214">
            <v>0</v>
          </cell>
          <cell r="E1214">
            <v>395</v>
          </cell>
          <cell r="F1214">
            <v>1387</v>
          </cell>
        </row>
        <row r="1215">
          <cell r="A1215" t="str">
            <v>Balance carried to Balance Sheet</v>
          </cell>
          <cell r="B1215">
            <v>117</v>
          </cell>
          <cell r="C1215">
            <v>2808</v>
          </cell>
          <cell r="D1215">
            <v>1496</v>
          </cell>
          <cell r="E1215">
            <v>681</v>
          </cell>
          <cell r="F1215">
            <v>566</v>
          </cell>
        </row>
        <row r="1217">
          <cell r="A1217" t="str">
            <v>* The impact of adjustments on profit for the year have been adjusted in General Reserve</v>
          </cell>
        </row>
        <row r="1222">
          <cell r="A1222" t="str">
            <v>Adjustments for</v>
          </cell>
          <cell r="B1222" t="str">
            <v>Rsbn</v>
          </cell>
        </row>
        <row r="1223">
          <cell r="A1223" t="str">
            <v>Adjustment for tariff orders of previous years</v>
          </cell>
          <cell r="B1223">
            <v>13.96</v>
          </cell>
          <cell r="C1223" t="str">
            <v>Upwards</v>
          </cell>
        </row>
        <row r="1224">
          <cell r="A1224" t="str">
            <v>Rebates and surcharge on dues writ off</v>
          </cell>
          <cell r="B1224">
            <v>26.53</v>
          </cell>
          <cell r="C1224" t="str">
            <v>Downward</v>
          </cell>
        </row>
        <row r="1225">
          <cell r="A1225" t="str">
            <v>Provisions written back and water charges</v>
          </cell>
          <cell r="B1225">
            <v>4.95</v>
          </cell>
          <cell r="C1225" t="str">
            <v>Downwards</v>
          </cell>
          <cell r="D1225">
            <v>1.4079999999999999</v>
          </cell>
        </row>
        <row r="1226">
          <cell r="A1226" t="str">
            <v>Tax write of previous years rellocated</v>
          </cell>
          <cell r="B1226">
            <v>4.6109999999999998</v>
          </cell>
          <cell r="C1226" t="str">
            <v>Upwards</v>
          </cell>
          <cell r="D1226" t="str">
            <v xml:space="preserve"> incomes</v>
          </cell>
        </row>
        <row r="1229">
          <cell r="B1229">
            <v>34.853999999999999</v>
          </cell>
        </row>
        <row r="1230">
          <cell r="B1230">
            <v>13.949</v>
          </cell>
        </row>
        <row r="1231">
          <cell r="B1231">
            <v>20.905000000000001</v>
          </cell>
          <cell r="C1231">
            <v>22.640999999999998</v>
          </cell>
          <cell r="D1231">
            <v>2.2530000000000001</v>
          </cell>
        </row>
        <row r="1232">
          <cell r="B1232">
            <v>43.545999999999999</v>
          </cell>
        </row>
        <row r="1233">
          <cell r="B1233">
            <v>12.574999999999999</v>
          </cell>
        </row>
        <row r="1234">
          <cell r="B1234">
            <v>30.971</v>
          </cell>
        </row>
        <row r="1236">
          <cell r="A1236" t="str">
            <v>Sales</v>
          </cell>
          <cell r="B1236">
            <v>13.96</v>
          </cell>
        </row>
        <row r="1237">
          <cell r="A1237" t="str">
            <v>Other income</v>
          </cell>
          <cell r="B1237">
            <v>43.532000000000004</v>
          </cell>
        </row>
        <row r="1240">
          <cell r="A1240" t="str">
            <v>What depreciation rates are you going to use - similar to F2004? - Rs4.65bn extra on account of new rates</v>
          </cell>
        </row>
        <row r="1241">
          <cell r="A1241" t="str">
            <v>Will provisions continue to be 2% of sales why should there be provisions given the one time settlement - why did you make nil provision inQ1</v>
          </cell>
        </row>
        <row r="1242">
          <cell r="A1242" t="str">
            <v>Split of Q1 other income</v>
          </cell>
        </row>
        <row r="1243">
          <cell r="A1243" t="str">
            <v>How many months after commissioning does the plant get to sufficient cap util to get regulated return</v>
          </cell>
        </row>
        <row r="1244">
          <cell r="A1244" t="str">
            <v>What are the rebates to customers for prompt payment in  Finance charge</v>
          </cell>
          <cell r="B1244">
            <v>4.9000000000000004</v>
          </cell>
        </row>
        <row r="1245">
          <cell r="A1245" t="str">
            <v>What were the UI income and expense booked in Q1</v>
          </cell>
        </row>
        <row r="1249">
          <cell r="A1249" t="str">
            <v>Dear Ms Sulochana,</v>
          </cell>
        </row>
        <row r="1250">
          <cell r="A1250" t="str">
            <v>As discussed please find the difference between the calculated non recurring items</v>
          </cell>
        </row>
        <row r="1251">
          <cell r="A1251" t="str">
            <v>from the propectus and the reported non recurring items in F2004.</v>
          </cell>
        </row>
        <row r="1252">
          <cell r="A1252" t="str">
            <v>Would appreciate it if you could explain the difference and help us</v>
          </cell>
        </row>
        <row r="1253">
          <cell r="A1253" t="str">
            <v>calculated the true F2004 profits for NTPC</v>
          </cell>
        </row>
        <row r="1255">
          <cell r="A1255" t="str">
            <v>Non recurring income</v>
          </cell>
        </row>
        <row r="1256">
          <cell r="B1256" t="str">
            <v>Rs bn</v>
          </cell>
        </row>
        <row r="1257">
          <cell r="A1257" t="str">
            <v>Provision written back</v>
          </cell>
          <cell r="B1257">
            <v>9.6479999999999997</v>
          </cell>
        </row>
        <row r="1258">
          <cell r="A1258" t="str">
            <v>Other income - prior year interest</v>
          </cell>
          <cell r="B1258">
            <v>20.905000000000001</v>
          </cell>
        </row>
        <row r="1259">
          <cell r="A1259" t="str">
            <v>Other income - late payment surcharge</v>
          </cell>
          <cell r="B1259">
            <v>22.640999999999998</v>
          </cell>
        </row>
        <row r="1260">
          <cell r="A1260" t="str">
            <v>Converting dues into long term advance of DVB (incl prior period)</v>
          </cell>
          <cell r="B1260">
            <v>2.2530000000000001</v>
          </cell>
        </row>
        <row r="1261">
          <cell r="A1261" t="str">
            <v>Earned interest from public deposits</v>
          </cell>
          <cell r="B1261">
            <v>2.7509999999999999</v>
          </cell>
        </row>
        <row r="1262">
          <cell r="A1262" t="str">
            <v>Total Non recurring income (1)</v>
          </cell>
          <cell r="B1262">
            <v>58.197999999999993</v>
          </cell>
        </row>
        <row r="1264">
          <cell r="A1264" t="str">
            <v>Non recurring expense</v>
          </cell>
        </row>
        <row r="1266">
          <cell r="A1266" t="str">
            <v>Interest on previously issued to SEB returned</v>
          </cell>
          <cell r="B1266">
            <v>3.8170000000000002</v>
          </cell>
        </row>
        <row r="1267">
          <cell r="A1267" t="str">
            <v>Additional depreciation charge</v>
          </cell>
          <cell r="B1267">
            <v>4.6529999999999996</v>
          </cell>
        </row>
        <row r="1268">
          <cell r="A1268" t="str">
            <v>Rebates to SEBs on OTS</v>
          </cell>
          <cell r="B1268">
            <v>12.574999999999999</v>
          </cell>
        </row>
        <row r="1269">
          <cell r="A1269" t="str">
            <v>Total non recurring expense (2)</v>
          </cell>
          <cell r="B1269">
            <v>21.044999999999998</v>
          </cell>
        </row>
        <row r="1271">
          <cell r="A1271" t="str">
            <v>Net non recurring income (1-2)</v>
          </cell>
          <cell r="B1271">
            <v>37.152999999999992</v>
          </cell>
        </row>
        <row r="1272">
          <cell r="A1272" t="str">
            <v>Non recurring mentioned in the prospectus</v>
          </cell>
          <cell r="B1272">
            <v>12.7</v>
          </cell>
        </row>
        <row r="1273">
          <cell r="A1273" t="str">
            <v>Difference</v>
          </cell>
          <cell r="B1273">
            <v>24.452999999999992</v>
          </cell>
        </row>
        <row r="1275">
          <cell r="A1275" t="str">
            <v>Sales  adjustment</v>
          </cell>
          <cell r="B1275" t="str">
            <v>cannot understand</v>
          </cell>
        </row>
        <row r="1276">
          <cell r="B1276">
            <v>22</v>
          </cell>
        </row>
        <row r="1277">
          <cell r="B1277">
            <v>61.281999999999996</v>
          </cell>
        </row>
        <row r="1278">
          <cell r="B1278">
            <v>39.281999999999996</v>
          </cell>
        </row>
        <row r="1280">
          <cell r="A1280" t="str">
            <v>Quarterly numbers</v>
          </cell>
          <cell r="B1280">
            <v>51.434999999999995</v>
          </cell>
          <cell r="C1280">
            <v>47.834000000000003</v>
          </cell>
          <cell r="D1280">
            <v>7.5281180750093935E-2</v>
          </cell>
        </row>
        <row r="1281">
          <cell r="B1281">
            <v>0.38300000000000001</v>
          </cell>
        </row>
        <row r="1282">
          <cell r="A1282" t="str">
            <v>Sales</v>
          </cell>
          <cell r="B1282">
            <v>51.817999999999998</v>
          </cell>
          <cell r="C1282">
            <v>47.834000000000003</v>
          </cell>
          <cell r="D1282">
            <v>8.3288037797382586E-2</v>
          </cell>
          <cell r="E1282" t="str">
            <v>How did the sales grow despite potential fall in tariff</v>
          </cell>
        </row>
        <row r="1283">
          <cell r="A1283" t="str">
            <v>Fuel, emply, gen admin, , provi</v>
          </cell>
          <cell r="B1283">
            <v>36.887</v>
          </cell>
          <cell r="C1283">
            <v>32.346000000000004</v>
          </cell>
          <cell r="D1283">
            <v>0.1403883014901377</v>
          </cell>
        </row>
        <row r="1284">
          <cell r="A1284" t="str">
            <v>OP</v>
          </cell>
          <cell r="B1284">
            <v>14.930999999999997</v>
          </cell>
          <cell r="C1284">
            <v>15.488</v>
          </cell>
          <cell r="D1284">
            <v>-3.5963326446281085E-2</v>
          </cell>
        </row>
        <row r="1286">
          <cell r="A1286" t="str">
            <v>Other income</v>
          </cell>
          <cell r="B1286">
            <v>5.3789999999999996</v>
          </cell>
          <cell r="C1286">
            <v>1.694</v>
          </cell>
          <cell r="D1286">
            <v>2.1753246753246751</v>
          </cell>
        </row>
        <row r="1287">
          <cell r="A1287" t="str">
            <v>Interest</v>
          </cell>
          <cell r="B1287">
            <v>4.5110000000000001</v>
          </cell>
          <cell r="C1287">
            <v>2.5779999999999998</v>
          </cell>
          <cell r="D1287">
            <v>0.74980605120248267</v>
          </cell>
        </row>
        <row r="1288">
          <cell r="A1288" t="str">
            <v>GP</v>
          </cell>
          <cell r="B1288">
            <v>15.798999999999996</v>
          </cell>
          <cell r="C1288">
            <v>14.603999999999999</v>
          </cell>
          <cell r="D1288">
            <v>8.1826896740618826E-2</v>
          </cell>
        </row>
        <row r="1289">
          <cell r="A1289" t="str">
            <v>Depreciation</v>
          </cell>
          <cell r="B1289">
            <v>4.7850000000000001</v>
          </cell>
          <cell r="C1289">
            <v>4.8040000000000003</v>
          </cell>
          <cell r="D1289">
            <v>-3.9550374687760126E-3</v>
          </cell>
        </row>
        <row r="1290">
          <cell r="A1290" t="str">
            <v>PBT</v>
          </cell>
          <cell r="B1290">
            <v>11.013999999999996</v>
          </cell>
          <cell r="C1290">
            <v>9.7999999999999989</v>
          </cell>
          <cell r="D1290">
            <v>0.12387755102040776</v>
          </cell>
        </row>
        <row r="1292">
          <cell r="A1292" t="str">
            <v>Taxr</v>
          </cell>
          <cell r="B1292">
            <v>2.21</v>
          </cell>
          <cell r="C1292">
            <v>0.52700000000000002</v>
          </cell>
          <cell r="D1292">
            <v>3.193548387096774</v>
          </cell>
        </row>
        <row r="1293">
          <cell r="A1293" t="str">
            <v>Income tax recoverable</v>
          </cell>
          <cell r="B1293">
            <v>1.643</v>
          </cell>
          <cell r="C1293">
            <v>0</v>
          </cell>
          <cell r="D1293" t="e">
            <v>#DIV/0!</v>
          </cell>
        </row>
        <row r="1294">
          <cell r="A1294" t="str">
            <v>Net</v>
          </cell>
          <cell r="B1294">
            <v>0.56699999999999995</v>
          </cell>
          <cell r="C1294">
            <v>0.52700000000000002</v>
          </cell>
          <cell r="D1294">
            <v>7.5901328273244584E-2</v>
          </cell>
          <cell r="E1294" t="str">
            <v>What is this</v>
          </cell>
        </row>
        <row r="1296">
          <cell r="A1296" t="str">
            <v>PAT</v>
          </cell>
          <cell r="B1296">
            <v>10.446999999999996</v>
          </cell>
          <cell r="C1296">
            <v>9.2729999999999997</v>
          </cell>
          <cell r="D1296">
            <v>0.12660411948668138</v>
          </cell>
        </row>
        <row r="1298">
          <cell r="B1298">
            <v>10.145999999999997</v>
          </cell>
          <cell r="C1298">
            <v>10.683999999999999</v>
          </cell>
          <cell r="D1298">
            <v>-5.0355672032946663E-2</v>
          </cell>
        </row>
        <row r="1303">
          <cell r="A1303" t="str">
            <v>(Year Ended 31 Dec)</v>
          </cell>
          <cell r="C1303">
            <v>2001</v>
          </cell>
          <cell r="D1303">
            <v>2002</v>
          </cell>
          <cell r="E1303">
            <v>2003</v>
          </cell>
          <cell r="F1303">
            <v>2004</v>
          </cell>
          <cell r="G1303">
            <v>2005</v>
          </cell>
          <cell r="H1303">
            <v>2006</v>
          </cell>
          <cell r="I1303">
            <v>2007</v>
          </cell>
          <cell r="J1303">
            <v>2008</v>
          </cell>
          <cell r="K1303">
            <v>2009</v>
          </cell>
        </row>
        <row r="1304">
          <cell r="A1304" t="str">
            <v>EBITDA</v>
          </cell>
          <cell r="C1304">
            <v>62884.869999999995</v>
          </cell>
          <cell r="D1304">
            <v>0</v>
          </cell>
          <cell r="E1304">
            <v>0</v>
          </cell>
          <cell r="F1304">
            <v>0</v>
          </cell>
          <cell r="G1304">
            <v>0</v>
          </cell>
        </row>
        <row r="1305">
          <cell r="A1305" t="str">
            <v>less Depreciation</v>
          </cell>
          <cell r="C1305">
            <v>23223</v>
          </cell>
          <cell r="D1305">
            <v>0</v>
          </cell>
          <cell r="E1305">
            <v>0</v>
          </cell>
          <cell r="F1305">
            <v>0</v>
          </cell>
          <cell r="G1305">
            <v>0</v>
          </cell>
        </row>
        <row r="1306">
          <cell r="A1306" t="str">
            <v>EBIT</v>
          </cell>
          <cell r="C1306">
            <v>39661.869999999995</v>
          </cell>
          <cell r="D1306">
            <v>0</v>
          </cell>
          <cell r="E1306">
            <v>0</v>
          </cell>
          <cell r="F1306">
            <v>0</v>
          </cell>
          <cell r="G1306">
            <v>0</v>
          </cell>
        </row>
        <row r="1307">
          <cell r="A1307" t="str">
            <v>Growth in EBIT</v>
          </cell>
          <cell r="C1307" t="e">
            <v>#DIV/0!</v>
          </cell>
          <cell r="D1307">
            <v>-1</v>
          </cell>
          <cell r="E1307" t="e">
            <v>#DIV/0!</v>
          </cell>
          <cell r="F1307" t="e">
            <v>#DIV/0!</v>
          </cell>
          <cell r="G1307" t="e">
            <v>#DIV/0!</v>
          </cell>
        </row>
        <row r="1309">
          <cell r="A1309" t="str">
            <v>Tax</v>
          </cell>
          <cell r="C1309">
            <v>3400</v>
          </cell>
          <cell r="D1309">
            <v>0</v>
          </cell>
          <cell r="E1309">
            <v>0</v>
          </cell>
          <cell r="F1309">
            <v>0</v>
          </cell>
          <cell r="G1309">
            <v>0</v>
          </cell>
        </row>
        <row r="1310">
          <cell r="A1310" t="str">
            <v>Other income</v>
          </cell>
          <cell r="C1310">
            <v>9161</v>
          </cell>
          <cell r="D1310">
            <v>0</v>
          </cell>
          <cell r="E1310">
            <v>0</v>
          </cell>
          <cell r="F1310">
            <v>0</v>
          </cell>
          <cell r="G1310">
            <v>0</v>
          </cell>
        </row>
        <row r="1311">
          <cell r="A1311" t="str">
            <v>Interest</v>
          </cell>
          <cell r="C1311">
            <v>10917.633900284078</v>
          </cell>
          <cell r="D1311">
            <v>0</v>
          </cell>
          <cell r="E1311">
            <v>0</v>
          </cell>
          <cell r="F1311">
            <v>0</v>
          </cell>
          <cell r="G1311">
            <v>0</v>
          </cell>
        </row>
        <row r="1312">
          <cell r="A1312" t="str">
            <v>Marginal tax rate</v>
          </cell>
          <cell r="B1312" t="str">
            <v>%</v>
          </cell>
          <cell r="C1312">
            <v>0.35</v>
          </cell>
          <cell r="D1312">
            <v>0.05</v>
          </cell>
          <cell r="E1312">
            <v>0.05</v>
          </cell>
          <cell r="F1312">
            <v>0.35</v>
          </cell>
          <cell r="G1312">
            <v>0.35</v>
          </cell>
        </row>
        <row r="1313">
          <cell r="A1313" t="str">
            <v>Less Adjusted taxes</v>
          </cell>
          <cell r="C1313">
            <v>4014.8218650994272</v>
          </cell>
          <cell r="D1313">
            <v>0</v>
          </cell>
          <cell r="E1313">
            <v>0</v>
          </cell>
          <cell r="F1313">
            <v>0</v>
          </cell>
          <cell r="G1313">
            <v>0</v>
          </cell>
        </row>
        <row r="1315">
          <cell r="A1315" t="str">
            <v>NOPLAT</v>
          </cell>
          <cell r="C1315">
            <v>35647.048134900571</v>
          </cell>
          <cell r="D1315">
            <v>0</v>
          </cell>
          <cell r="E1315">
            <v>0</v>
          </cell>
          <cell r="F1315">
            <v>0</v>
          </cell>
          <cell r="G1315">
            <v>0</v>
          </cell>
          <cell r="H1315">
            <v>0</v>
          </cell>
        </row>
        <row r="1316">
          <cell r="A1316" t="str">
            <v>Growth YoY</v>
          </cell>
          <cell r="D1316">
            <v>-1</v>
          </cell>
          <cell r="E1316" t="e">
            <v>#DIV/0!</v>
          </cell>
          <cell r="F1316" t="e">
            <v>#DIV/0!</v>
          </cell>
          <cell r="G1316" t="e">
            <v>#DIV/0!</v>
          </cell>
        </row>
        <row r="1317">
          <cell r="A1317" t="str">
            <v>5 Year Growth</v>
          </cell>
        </row>
        <row r="1319">
          <cell r="A1319" t="str">
            <v>Number of years</v>
          </cell>
        </row>
        <row r="1320">
          <cell r="A1320" t="str">
            <v>CAGR in NOPLAT</v>
          </cell>
        </row>
        <row r="1322">
          <cell r="A1322" t="str">
            <v>Calculation of Net Investment</v>
          </cell>
        </row>
        <row r="1323">
          <cell r="A1323" t="str">
            <v>Inventories</v>
          </cell>
          <cell r="C1323">
            <v>0</v>
          </cell>
          <cell r="D1323">
            <v>0</v>
          </cell>
          <cell r="E1323">
            <v>0</v>
          </cell>
          <cell r="F1323">
            <v>0</v>
          </cell>
          <cell r="G1323">
            <v>0</v>
          </cell>
        </row>
        <row r="1324">
          <cell r="A1324" t="str">
            <v>Debtors</v>
          </cell>
          <cell r="C1324">
            <v>0</v>
          </cell>
          <cell r="D1324">
            <v>0</v>
          </cell>
          <cell r="E1324">
            <v>0</v>
          </cell>
          <cell r="F1324">
            <v>0</v>
          </cell>
          <cell r="G1324">
            <v>0</v>
          </cell>
        </row>
        <row r="1325">
          <cell r="A1325" t="str">
            <v>Creditors</v>
          </cell>
          <cell r="C1325">
            <v>0</v>
          </cell>
          <cell r="D1325">
            <v>0</v>
          </cell>
          <cell r="E1325">
            <v>0</v>
          </cell>
          <cell r="F1325">
            <v>0</v>
          </cell>
          <cell r="G1325">
            <v>0</v>
          </cell>
        </row>
        <row r="1326">
          <cell r="A1326" t="str">
            <v>Loans and advances</v>
          </cell>
          <cell r="D1326">
            <v>0</v>
          </cell>
          <cell r="E1326">
            <v>0</v>
          </cell>
          <cell r="F1326">
            <v>0</v>
          </cell>
          <cell r="G1326">
            <v>0</v>
          </cell>
        </row>
        <row r="1327">
          <cell r="A1327" t="str">
            <v>Total working capital</v>
          </cell>
          <cell r="C1327">
            <v>0</v>
          </cell>
          <cell r="D1327">
            <v>0</v>
          </cell>
          <cell r="E1327">
            <v>0</v>
          </cell>
          <cell r="F1327">
            <v>0</v>
          </cell>
          <cell r="G1327">
            <v>0</v>
          </cell>
        </row>
        <row r="1328">
          <cell r="A1328" t="str">
            <v>Increase in working capital</v>
          </cell>
          <cell r="C1328">
            <v>0</v>
          </cell>
          <cell r="D1328">
            <v>0</v>
          </cell>
          <cell r="E1328">
            <v>0</v>
          </cell>
          <cell r="F1328">
            <v>0</v>
          </cell>
          <cell r="G1328">
            <v>0</v>
          </cell>
        </row>
        <row r="1329">
          <cell r="A1329" t="str">
            <v>Free Cash from Operations</v>
          </cell>
          <cell r="C1329">
            <v>35647.048134900571</v>
          </cell>
          <cell r="D1329">
            <v>0</v>
          </cell>
          <cell r="E1329">
            <v>0</v>
          </cell>
          <cell r="F1329">
            <v>0</v>
          </cell>
          <cell r="G1329">
            <v>0</v>
          </cell>
        </row>
        <row r="1331">
          <cell r="A1331" t="str">
            <v>CAPEX</v>
          </cell>
          <cell r="C1331">
            <v>0</v>
          </cell>
          <cell r="D1331">
            <v>0</v>
          </cell>
          <cell r="E1331">
            <v>0</v>
          </cell>
          <cell r="F1331">
            <v>0</v>
          </cell>
          <cell r="G1331">
            <v>0</v>
          </cell>
        </row>
        <row r="1332">
          <cell r="A1332" t="str">
            <v>Less Depreciation</v>
          </cell>
          <cell r="C1332">
            <v>23223</v>
          </cell>
          <cell r="D1332">
            <v>0</v>
          </cell>
          <cell r="E1332">
            <v>0</v>
          </cell>
          <cell r="F1332">
            <v>0</v>
          </cell>
          <cell r="G1332">
            <v>0</v>
          </cell>
        </row>
        <row r="1333">
          <cell r="A1333" t="str">
            <v>Net Investment</v>
          </cell>
          <cell r="C1333">
            <v>-23223</v>
          </cell>
          <cell r="D1333">
            <v>0</v>
          </cell>
          <cell r="E1333">
            <v>0</v>
          </cell>
          <cell r="F1333">
            <v>0</v>
          </cell>
          <cell r="G1333">
            <v>0</v>
          </cell>
        </row>
        <row r="1334">
          <cell r="A1334" t="str">
            <v xml:space="preserve">Capex - Depn </v>
          </cell>
          <cell r="C1334">
            <v>-23223</v>
          </cell>
          <cell r="D1334">
            <v>0</v>
          </cell>
          <cell r="E1334">
            <v>0</v>
          </cell>
          <cell r="F1334">
            <v>0</v>
          </cell>
          <cell r="G1334">
            <v>0</v>
          </cell>
        </row>
        <row r="1336">
          <cell r="A1336" t="str">
            <v>Free cash flow</v>
          </cell>
          <cell r="C1336">
            <v>58870.048134900571</v>
          </cell>
          <cell r="D1336">
            <v>0</v>
          </cell>
          <cell r="E1336">
            <v>0</v>
          </cell>
          <cell r="F1336">
            <v>0</v>
          </cell>
          <cell r="G1336">
            <v>0</v>
          </cell>
          <cell r="H1336">
            <v>-1</v>
          </cell>
        </row>
        <row r="1338">
          <cell r="A1338" t="str">
            <v>Calculation of NOPLAT growth rate (g)</v>
          </cell>
          <cell r="C1338">
            <v>0</v>
          </cell>
          <cell r="D1338">
            <v>-1</v>
          </cell>
          <cell r="E1338" t="e">
            <v>#DIV/0!</v>
          </cell>
          <cell r="F1338" t="e">
            <v>#DIV/0!</v>
          </cell>
          <cell r="G1338" t="e">
            <v>#DIV/0!</v>
          </cell>
        </row>
        <row r="1339">
          <cell r="A1339" t="str">
            <v>Calculation of Return on incremental capital (r)</v>
          </cell>
          <cell r="C1339" t="e">
            <v>#REF!</v>
          </cell>
          <cell r="D1339" t="e">
            <v>#DIV/0!</v>
          </cell>
          <cell r="E1339" t="e">
            <v>#DIV/0!</v>
          </cell>
          <cell r="F1339" t="e">
            <v>#DIV/0!</v>
          </cell>
          <cell r="G1339" t="e">
            <v>#DIV/0!</v>
          </cell>
        </row>
        <row r="1341">
          <cell r="J1341" t="str">
            <v>Risk free</v>
          </cell>
          <cell r="K1341" t="str">
            <v>Premium</v>
          </cell>
          <cell r="L1341" t="str">
            <v>Beta</v>
          </cell>
        </row>
        <row r="1342">
          <cell r="G1342">
            <v>7.0000000000000007E-2</v>
          </cell>
          <cell r="H1342">
            <v>0.15</v>
          </cell>
          <cell r="K1342">
            <v>7.0000000000000007E-2</v>
          </cell>
          <cell r="L1342">
            <v>8.5000000000000006E-2</v>
          </cell>
          <cell r="M1342">
            <v>0.83</v>
          </cell>
        </row>
        <row r="1343">
          <cell r="D1343" t="str">
            <v>Growth rate in the first period (gA)</v>
          </cell>
          <cell r="H1343">
            <v>0.15</v>
          </cell>
          <cell r="I1343">
            <v>0</v>
          </cell>
          <cell r="J1343">
            <v>0.2</v>
          </cell>
          <cell r="K1343">
            <v>0.14055000000000001</v>
          </cell>
        </row>
        <row r="1344">
          <cell r="D1344" t="str">
            <v>Growth rate in the second period(gB)</v>
          </cell>
          <cell r="H1344">
            <v>7.0000000000000007E-2</v>
          </cell>
          <cell r="I1344">
            <v>0</v>
          </cell>
        </row>
        <row r="1345">
          <cell r="D1345" t="str">
            <v>ROICa</v>
          </cell>
          <cell r="H1345">
            <v>0.125</v>
          </cell>
          <cell r="L1345" t="str">
            <v>Arvind Mills' DCF Value senstivity to Ga and Gb</v>
          </cell>
        </row>
        <row r="1346">
          <cell r="D1346" t="str">
            <v>ROICb</v>
          </cell>
          <cell r="H1346">
            <v>0.125</v>
          </cell>
          <cell r="N1346" t="str">
            <v>Gb</v>
          </cell>
        </row>
        <row r="1347">
          <cell r="D1347" t="str">
            <v>Discount rate</v>
          </cell>
          <cell r="H1347" t="e">
            <v>#DIV/0!</v>
          </cell>
          <cell r="K1347" t="e">
            <v>#DIV/0!</v>
          </cell>
          <cell r="L1347">
            <v>0</v>
          </cell>
          <cell r="M1347">
            <v>0.01</v>
          </cell>
          <cell r="N1347">
            <v>0.03</v>
          </cell>
          <cell r="O1347">
            <v>0.05</v>
          </cell>
          <cell r="Q1347">
            <v>7.0000000000000007E-2</v>
          </cell>
          <cell r="R1347">
            <v>9.0000000000000011E-2</v>
          </cell>
          <cell r="S1347">
            <v>0.11000000000000001</v>
          </cell>
          <cell r="T1347">
            <v>0.13</v>
          </cell>
          <cell r="U1347">
            <v>0.15</v>
          </cell>
        </row>
        <row r="1348">
          <cell r="D1348" t="str">
            <v>No. of years in the first period</v>
          </cell>
          <cell r="H1348">
            <v>5</v>
          </cell>
          <cell r="J1348">
            <v>10</v>
          </cell>
          <cell r="K1348">
            <v>0.11</v>
          </cell>
          <cell r="L1348">
            <v>124.38110306091711</v>
          </cell>
          <cell r="M1348">
            <v>127.23462289474649</v>
          </cell>
          <cell r="N1348">
            <v>135.0818024377771</v>
          </cell>
          <cell r="O1348">
            <v>148.16043500949485</v>
          </cell>
          <cell r="Q1348">
            <v>174.31770015293031</v>
          </cell>
          <cell r="R1348">
            <v>252.78949558323669</v>
          </cell>
          <cell r="S1348">
            <v>-2.2617955114177366E+17</v>
          </cell>
          <cell r="T1348">
            <v>-61.097686137988781</v>
          </cell>
          <cell r="U1348">
            <v>17.374109292317517</v>
          </cell>
        </row>
        <row r="1349">
          <cell r="D1349" t="str">
            <v>Fair value (Rs. per share)</v>
          </cell>
          <cell r="H1349" t="e">
            <v>#DIV/0!</v>
          </cell>
          <cell r="I1349">
            <v>65</v>
          </cell>
          <cell r="J1349">
            <v>146</v>
          </cell>
          <cell r="K1349">
            <v>0.12</v>
          </cell>
          <cell r="L1349">
            <v>114.74446321635905</v>
          </cell>
          <cell r="M1349">
            <v>116.81950398570389</v>
          </cell>
          <cell r="N1349">
            <v>122.35294603729012</v>
          </cell>
          <cell r="O1349">
            <v>131.04835497549703</v>
          </cell>
          <cell r="Q1349">
            <v>146.70009106426949</v>
          </cell>
          <cell r="R1349">
            <v>183.22080860473849</v>
          </cell>
          <cell r="S1349">
            <v>365.82439630708376</v>
          </cell>
          <cell r="T1349">
            <v>-181.98636679995118</v>
          </cell>
          <cell r="U1349">
            <v>0.61722090239348337</v>
          </cell>
        </row>
        <row r="1350">
          <cell r="K1350">
            <v>0.13</v>
          </cell>
          <cell r="L1350">
            <v>106.69180728144153</v>
          </cell>
          <cell r="M1350">
            <v>108.22406386379173</v>
          </cell>
          <cell r="N1350">
            <v>112.20793097790232</v>
          </cell>
          <cell r="O1350">
            <v>118.18373164906816</v>
          </cell>
          <cell r="Q1350">
            <v>128.14339943434462</v>
          </cell>
          <cell r="R1350">
            <v>148.06273500489746</v>
          </cell>
          <cell r="S1350">
            <v>207.82074171655606</v>
          </cell>
          <cell r="T1350" t="e">
            <v>#DIV/0!</v>
          </cell>
          <cell r="U1350">
            <v>-31.21128513007822</v>
          </cell>
        </row>
        <row r="1351">
          <cell r="A1351" t="str">
            <v>First part</v>
          </cell>
          <cell r="H1351" t="e">
            <v>#DIV/0!</v>
          </cell>
          <cell r="K1351">
            <v>0.14000000000000001</v>
          </cell>
          <cell r="L1351">
            <v>99.872360883584591</v>
          </cell>
          <cell r="M1351">
            <v>101.01849579024908</v>
          </cell>
          <cell r="N1351">
            <v>103.93593009812234</v>
          </cell>
          <cell r="O1351">
            <v>108.15000187616151</v>
          </cell>
          <cell r="Q1351">
            <v>114.77211467022305</v>
          </cell>
          <cell r="R1351">
            <v>126.69191769953386</v>
          </cell>
          <cell r="S1351">
            <v>154.50479143459233</v>
          </cell>
          <cell r="T1351">
            <v>293.56916010988442</v>
          </cell>
          <cell r="U1351">
            <v>-123.62394591599281</v>
          </cell>
        </row>
        <row r="1352">
          <cell r="A1352" t="str">
            <v>Second part</v>
          </cell>
          <cell r="H1352" t="e">
            <v>#DIV/0!</v>
          </cell>
          <cell r="K1352">
            <v>0.15</v>
          </cell>
          <cell r="L1352">
            <v>94.030234466590414</v>
          </cell>
          <cell r="M1352">
            <v>94.896994828583416</v>
          </cell>
          <cell r="N1352">
            <v>97.063895733565857</v>
          </cell>
          <cell r="O1352">
            <v>100.0975570005413</v>
          </cell>
          <cell r="Q1352">
            <v>104.64804890100446</v>
          </cell>
          <cell r="R1352">
            <v>112.23220206844307</v>
          </cell>
          <cell r="S1352">
            <v>127.40050840332029</v>
          </cell>
          <cell r="T1352">
            <v>172.90542740795189</v>
          </cell>
          <cell r="U1352" t="e">
            <v>#DIV/0!</v>
          </cell>
        </row>
        <row r="1353">
          <cell r="A1353" t="str">
            <v>Total terminal value</v>
          </cell>
          <cell r="H1353" t="e">
            <v>#DIV/0!</v>
          </cell>
          <cell r="K1353">
            <v>0.16</v>
          </cell>
          <cell r="L1353">
            <v>88.974607381955394</v>
          </cell>
          <cell r="M1353">
            <v>89.636275970356124</v>
          </cell>
          <cell r="N1353">
            <v>91.264998649496405</v>
          </cell>
          <cell r="O1353">
            <v>93.485984121051331</v>
          </cell>
          <cell r="Q1353">
            <v>96.694074246630663</v>
          </cell>
          <cell r="R1353">
            <v>101.73535872968392</v>
          </cell>
          <cell r="S1353">
            <v>110.80967079917976</v>
          </cell>
          <cell r="T1353">
            <v>131.9830656280034</v>
          </cell>
          <cell r="U1353">
            <v>237.85003977212148</v>
          </cell>
        </row>
        <row r="1354">
          <cell r="A1354" t="str">
            <v>Discounted terminal value</v>
          </cell>
          <cell r="H1354" t="e">
            <v>#DIV/0!</v>
          </cell>
          <cell r="K1354">
            <v>0.17</v>
          </cell>
          <cell r="L1354">
            <v>84.560456309057585</v>
          </cell>
          <cell r="M1354">
            <v>85.069666972054478</v>
          </cell>
          <cell r="N1354">
            <v>86.306321439332635</v>
          </cell>
          <cell r="O1354">
            <v>87.955194062370154</v>
          </cell>
          <cell r="Q1354">
            <v>90.263615734622704</v>
          </cell>
          <cell r="R1354">
            <v>93.726248243001535</v>
          </cell>
          <cell r="S1354">
            <v>99.497302423632888</v>
          </cell>
          <cell r="T1354">
            <v>111.03941078489559</v>
          </cell>
          <cell r="U1354">
            <v>145.66573586868375</v>
          </cell>
        </row>
        <row r="1355">
          <cell r="A1355" t="str">
            <v>Discounted value of cash flows</v>
          </cell>
          <cell r="H1355" t="e">
            <v>#DIV/0!</v>
          </cell>
          <cell r="K1355">
            <v>0.18000000000000002</v>
          </cell>
          <cell r="L1355">
            <v>80.675724590835813</v>
          </cell>
          <cell r="M1355">
            <v>81.070360222980824</v>
          </cell>
          <cell r="N1355">
            <v>82.017485740128791</v>
          </cell>
          <cell r="O1355">
            <v>83.256034493322318</v>
          </cell>
          <cell r="Q1355">
            <v>84.944964611313466</v>
          </cell>
          <cell r="R1355">
            <v>87.384530337300717</v>
          </cell>
          <cell r="S1355">
            <v>91.218133620994934</v>
          </cell>
          <cell r="T1355">
            <v>98.118619531644541</v>
          </cell>
          <cell r="U1355">
            <v>114.21975332316025</v>
          </cell>
        </row>
        <row r="1356">
          <cell r="A1356" t="str">
            <v>Total</v>
          </cell>
          <cell r="H1356" t="e">
            <v>#DIV/0!</v>
          </cell>
          <cell r="K1356">
            <v>0.19000000000000003</v>
          </cell>
          <cell r="L1356">
            <v>77.232557227591286</v>
          </cell>
          <cell r="M1356">
            <v>77.54025974075951</v>
          </cell>
          <cell r="N1356">
            <v>78.271053209534045</v>
          </cell>
          <cell r="O1356">
            <v>79.210644812244198</v>
          </cell>
          <cell r="Q1356">
            <v>80.463433615857738</v>
          </cell>
          <cell r="R1356">
            <v>82.217337940916678</v>
          </cell>
          <cell r="S1356">
            <v>84.848194428505082</v>
          </cell>
          <cell r="T1356">
            <v>89.232955241152411</v>
          </cell>
          <cell r="U1356">
            <v>98.002476866447068</v>
          </cell>
        </row>
        <row r="1357">
          <cell r="A1357" t="str">
            <v>Adjusted for mid-year accruals</v>
          </cell>
          <cell r="H1357" t="e">
            <v>#DIV/0!</v>
          </cell>
          <cell r="K1357">
            <v>0.20000000000000004</v>
          </cell>
          <cell r="L1357">
            <v>74.161176697342185</v>
          </cell>
          <cell r="M1357">
            <v>74.402360272135297</v>
          </cell>
          <cell r="N1357">
            <v>74.969851036354314</v>
          </cell>
          <cell r="O1357">
            <v>75.688672671031767</v>
          </cell>
          <cell r="Q1357">
            <v>76.628670193302241</v>
          </cell>
          <cell r="R1357">
            <v>77.910484996398395</v>
          </cell>
          <cell r="S1357">
            <v>79.761995267537259</v>
          </cell>
          <cell r="T1357">
            <v>82.671511407898308</v>
          </cell>
          <cell r="U1357">
            <v>87.908640460548241</v>
          </cell>
        </row>
        <row r="1358">
          <cell r="A1358" t="str">
            <v>Non-operating investments</v>
          </cell>
          <cell r="H1358">
            <v>0</v>
          </cell>
          <cell r="K1358">
            <v>0.21000000000000005</v>
          </cell>
          <cell r="L1358">
            <v>71.405517823821185</v>
          </cell>
          <cell r="M1358">
            <v>71.595420918419919</v>
          </cell>
          <cell r="N1358">
            <v>72.038528139150287</v>
          </cell>
          <cell r="O1358">
            <v>72.592412165063266</v>
          </cell>
          <cell r="Q1358">
            <v>73.304548769808505</v>
          </cell>
          <cell r="R1358">
            <v>74.254064242802173</v>
          </cell>
          <cell r="S1358">
            <v>75.583385904993307</v>
          </cell>
          <cell r="T1358">
            <v>77.577368398279987</v>
          </cell>
          <cell r="U1358">
            <v>80.900672553757815</v>
          </cell>
        </row>
        <row r="1359">
          <cell r="M1359" t="str">
            <v>Wacc</v>
          </cell>
        </row>
        <row r="1360">
          <cell r="A1360" t="str">
            <v>Firm Value</v>
          </cell>
          <cell r="H1360" t="e">
            <v>#DIV/0!</v>
          </cell>
          <cell r="K1360" t="e">
            <v>#DIV/0!</v>
          </cell>
          <cell r="L1360">
            <v>0.11</v>
          </cell>
          <cell r="M1360">
            <v>0.12</v>
          </cell>
          <cell r="N1360">
            <v>0.13</v>
          </cell>
          <cell r="O1360">
            <v>0.14000000000000001</v>
          </cell>
          <cell r="Q1360">
            <v>0.15000000000000002</v>
          </cell>
          <cell r="R1360">
            <v>0.16000000000000003</v>
          </cell>
          <cell r="S1360">
            <v>0.17000000000000004</v>
          </cell>
          <cell r="T1360">
            <v>0.18000000000000005</v>
          </cell>
          <cell r="U1360">
            <v>0.19000000000000006</v>
          </cell>
        </row>
        <row r="1361">
          <cell r="K1361">
            <v>0.3</v>
          </cell>
          <cell r="L1361">
            <v>144.31377837075433</v>
          </cell>
          <cell r="M1361">
            <v>128.08401101929013</v>
          </cell>
          <cell r="N1361">
            <v>115.849434511894</v>
          </cell>
          <cell r="O1361">
            <v>106.2808571359022</v>
          </cell>
          <cell r="Q1361">
            <v>98.580726367053558</v>
          </cell>
          <cell r="R1361">
            <v>92.24146639992135</v>
          </cell>
          <cell r="S1361">
            <v>86.924648672971699</v>
          </cell>
          <cell r="T1361">
            <v>82.39593119249345</v>
          </cell>
          <cell r="U1361">
            <v>78.48788204092871</v>
          </cell>
        </row>
        <row r="1362">
          <cell r="A1362" t="str">
            <v>Firm value less debt</v>
          </cell>
          <cell r="H1362" t="e">
            <v>#DIV/0!</v>
          </cell>
          <cell r="K1362">
            <v>0.35</v>
          </cell>
          <cell r="L1362">
            <v>145.96234550164311</v>
          </cell>
          <cell r="M1362">
            <v>129.3544441433788</v>
          </cell>
          <cell r="N1362">
            <v>116.84984757068294</v>
          </cell>
          <cell r="O1362">
            <v>107.08191916744191</v>
          </cell>
          <cell r="Q1362">
            <v>99.230796638548298</v>
          </cell>
          <cell r="R1362">
            <v>92.774831137548446</v>
          </cell>
          <cell r="S1362">
            <v>87.366310982713884</v>
          </cell>
          <cell r="T1362">
            <v>82.764546892848657</v>
          </cell>
          <cell r="U1362">
            <v>78.797637514349631</v>
          </cell>
        </row>
        <row r="1363">
          <cell r="A1363" t="str">
            <v>Adjustment to current date</v>
          </cell>
          <cell r="H1363" t="e">
            <v>#DIV/0!</v>
          </cell>
          <cell r="K1363">
            <v>0.39999999999999997</v>
          </cell>
          <cell r="L1363">
            <v>147.19877084980973</v>
          </cell>
          <cell r="M1363">
            <v>130.30726898644531</v>
          </cell>
          <cell r="N1363">
            <v>117.60015736477465</v>
          </cell>
          <cell r="O1363">
            <v>107.68271569109669</v>
          </cell>
          <cell r="Q1363">
            <v>99.718349342169375</v>
          </cell>
          <cell r="R1363">
            <v>93.174854690768782</v>
          </cell>
          <cell r="S1363">
            <v>87.697557715020537</v>
          </cell>
          <cell r="T1363">
            <v>83.041008668115083</v>
          </cell>
          <cell r="U1363">
            <v>79.029954119415322</v>
          </cell>
        </row>
        <row r="1364">
          <cell r="A1364" t="str">
            <v>number of months from last balance sheet</v>
          </cell>
          <cell r="H1364">
            <v>8</v>
          </cell>
          <cell r="K1364">
            <v>0.44999999999999996</v>
          </cell>
          <cell r="L1364">
            <v>148.16043500949485</v>
          </cell>
          <cell r="M1364">
            <v>131.04835497549703</v>
          </cell>
          <cell r="N1364">
            <v>118.18373164906816</v>
          </cell>
          <cell r="O1364">
            <v>108.15000187616151</v>
          </cell>
          <cell r="Q1364">
            <v>100.09755700054129</v>
          </cell>
          <cell r="R1364">
            <v>93.48598412105126</v>
          </cell>
          <cell r="S1364">
            <v>87.95519406237014</v>
          </cell>
          <cell r="T1364">
            <v>83.256034493322289</v>
          </cell>
          <cell r="U1364">
            <v>79.210644812244198</v>
          </cell>
        </row>
        <row r="1365">
          <cell r="K1365">
            <v>0.49999999999999994</v>
          </cell>
          <cell r="L1365">
            <v>148.92976633724294</v>
          </cell>
          <cell r="M1365">
            <v>131.64122376673839</v>
          </cell>
          <cell r="N1365">
            <v>118.65059107650301</v>
          </cell>
          <cell r="O1365">
            <v>108.52383082421338</v>
          </cell>
          <cell r="Q1365">
            <v>100.40092312723884</v>
          </cell>
          <cell r="R1365">
            <v>93.734887665277256</v>
          </cell>
          <cell r="S1365">
            <v>88.161303140249856</v>
          </cell>
          <cell r="T1365">
            <v>83.428055153488046</v>
          </cell>
          <cell r="U1365">
            <v>79.355197366507284</v>
          </cell>
        </row>
        <row r="1366">
          <cell r="E1366" t="str">
            <v>Fair value (Rs. per share)</v>
          </cell>
          <cell r="H1366" t="e">
            <v>#DIV/0!</v>
          </cell>
          <cell r="K1366">
            <v>0.54999999999999993</v>
          </cell>
          <cell r="L1366">
            <v>149.55921924176414</v>
          </cell>
          <cell r="M1366">
            <v>132.12629823229955</v>
          </cell>
          <cell r="N1366">
            <v>119.03256697167696</v>
          </cell>
          <cell r="O1366">
            <v>108.82969087261947</v>
          </cell>
          <cell r="Q1366">
            <v>100.64913177635501</v>
          </cell>
          <cell r="R1366">
            <v>93.938536019643962</v>
          </cell>
          <cell r="S1366">
            <v>88.32993784033323</v>
          </cell>
          <cell r="T1366">
            <v>83.568799329987314</v>
          </cell>
          <cell r="U1366">
            <v>79.473467638177098</v>
          </cell>
        </row>
        <row r="1367">
          <cell r="E1367" t="str">
            <v>Market price(Rs. per share)</v>
          </cell>
          <cell r="H1367">
            <v>170</v>
          </cell>
          <cell r="K1367">
            <v>0.6</v>
          </cell>
          <cell r="L1367">
            <v>150.0837633288651</v>
          </cell>
          <cell r="M1367">
            <v>132.53052695360046</v>
          </cell>
          <cell r="N1367">
            <v>119.35088021765525</v>
          </cell>
          <cell r="O1367">
            <v>109.08457424629117</v>
          </cell>
          <cell r="Q1367">
            <v>100.85597231728514</v>
          </cell>
          <cell r="R1367">
            <v>94.108242981616229</v>
          </cell>
          <cell r="S1367">
            <v>88.470466757069374</v>
          </cell>
          <cell r="T1367">
            <v>83.686086143736702</v>
          </cell>
          <cell r="U1367">
            <v>79.572026197901948</v>
          </cell>
        </row>
        <row r="1368">
          <cell r="E1368" t="str">
            <v>Discount/premium of</v>
          </cell>
          <cell r="H1368" t="e">
            <v>#DIV/0!</v>
          </cell>
          <cell r="K1368">
            <v>0.65</v>
          </cell>
          <cell r="L1368">
            <v>150.52760832564283</v>
          </cell>
          <cell r="M1368">
            <v>132.87256664085513</v>
          </cell>
          <cell r="N1368">
            <v>119.6202221950215</v>
          </cell>
          <cell r="O1368">
            <v>109.30024479324418</v>
          </cell>
          <cell r="Q1368">
            <v>101.03099123653374</v>
          </cell>
          <cell r="R1368">
            <v>94.251841180208146</v>
          </cell>
          <cell r="S1368">
            <v>88.589375840461514</v>
          </cell>
          <cell r="T1368">
            <v>83.785328832293871</v>
          </cell>
          <cell r="U1368">
            <v>79.655421902284516</v>
          </cell>
        </row>
        <row r="1369">
          <cell r="E1369" t="str">
            <v>market price to fair value</v>
          </cell>
          <cell r="H1369" t="str">
            <v>%</v>
          </cell>
          <cell r="K1369" t="str">
            <v>%</v>
          </cell>
        </row>
        <row r="1370">
          <cell r="A1370" t="str">
            <v>Cost of capital</v>
          </cell>
          <cell r="K1370" t="str">
            <v>%</v>
          </cell>
        </row>
        <row r="1371">
          <cell r="A1371" t="str">
            <v xml:space="preserve">Cost of equity </v>
          </cell>
          <cell r="D1371">
            <v>0.17200000000000001</v>
          </cell>
          <cell r="E1371">
            <v>0.17200000000000001</v>
          </cell>
          <cell r="F1371">
            <v>7.0000000000000007E-2</v>
          </cell>
          <cell r="G1371">
            <v>0.10200000000000001</v>
          </cell>
          <cell r="K1371" t="str">
            <v>%</v>
          </cell>
        </row>
        <row r="1372">
          <cell r="A1372" t="str">
            <v>Cost of debt</v>
          </cell>
          <cell r="D1372">
            <v>8.5000000000000006E-2</v>
          </cell>
          <cell r="N1372" t="str">
            <v>Gb</v>
          </cell>
        </row>
        <row r="1373">
          <cell r="A1373" t="str">
            <v>Post tax cost of debt</v>
          </cell>
          <cell r="D1373">
            <v>5.5250000000000007E-2</v>
          </cell>
          <cell r="K1373" t="e">
            <v>#DIV/0!</v>
          </cell>
          <cell r="L1373">
            <v>0</v>
          </cell>
          <cell r="M1373">
            <v>0.01</v>
          </cell>
          <cell r="N1373">
            <v>0.04</v>
          </cell>
          <cell r="O1373">
            <v>7.0000000000000007E-2</v>
          </cell>
          <cell r="Q1373">
            <v>0.1</v>
          </cell>
          <cell r="R1373">
            <v>0.13</v>
          </cell>
          <cell r="S1373">
            <v>0.16</v>
          </cell>
        </row>
        <row r="1374">
          <cell r="A1374" t="str">
            <v>Weighted avg. cost of capital</v>
          </cell>
          <cell r="D1374" t="e">
            <v>#DIV/0!</v>
          </cell>
          <cell r="K1374">
            <v>0.14000000000000001</v>
          </cell>
          <cell r="L1374">
            <v>90.121855307055753</v>
          </cell>
          <cell r="M1374">
            <v>92.189705961381719</v>
          </cell>
          <cell r="N1374">
            <v>99.334739550970056</v>
          </cell>
          <cell r="O1374">
            <v>108.15000187616151</v>
          </cell>
          <cell r="Q1374">
            <v>119.02509151611189</v>
          </cell>
          <cell r="R1374">
            <v>132.42978799259546</v>
          </cell>
          <cell r="S1374">
            <v>148.92803961223436</v>
          </cell>
        </row>
        <row r="1375">
          <cell r="E1375" t="str">
            <v>debt</v>
          </cell>
          <cell r="F1375" t="str">
            <v>equity</v>
          </cell>
        </row>
        <row r="1376">
          <cell r="D1376" t="str">
            <v>ratio</v>
          </cell>
          <cell r="E1376">
            <v>0</v>
          </cell>
          <cell r="F1376">
            <v>0</v>
          </cell>
          <cell r="H1376" t="str">
            <v>EPS sensitivity to margins</v>
          </cell>
        </row>
        <row r="1377">
          <cell r="D1377" t="str">
            <v>weight</v>
          </cell>
          <cell r="E1377" t="e">
            <v>#DIV/0!</v>
          </cell>
          <cell r="F1377" t="e">
            <v>#DIV/0!</v>
          </cell>
        </row>
        <row r="1379">
          <cell r="E1379" t="e">
            <v>#DIV/0!</v>
          </cell>
          <cell r="H1379" t="str">
            <v>Operating profit margin in C2005</v>
          </cell>
          <cell r="J1379">
            <v>0.18700000000000003</v>
          </cell>
          <cell r="K1379">
            <v>0.17700000000000002</v>
          </cell>
          <cell r="L1379">
            <v>0.16700000000000001</v>
          </cell>
          <cell r="M1379">
            <v>0.157</v>
          </cell>
          <cell r="N1379">
            <v>0.14699999999999999</v>
          </cell>
        </row>
        <row r="1380">
          <cell r="J1380">
            <v>6.8000000000000005E-2</v>
          </cell>
          <cell r="K1380">
            <v>7.8E-2</v>
          </cell>
          <cell r="L1380">
            <v>8.7999999999999995E-2</v>
          </cell>
          <cell r="M1380">
            <v>9.799999999999999E-2</v>
          </cell>
          <cell r="N1380">
            <v>0.10799999999999998</v>
          </cell>
        </row>
        <row r="1381">
          <cell r="H1381" t="str">
            <v>EPS</v>
          </cell>
          <cell r="I1381">
            <v>6.7414828023571838</v>
          </cell>
          <cell r="J1381">
            <v>7.4962505039019049</v>
          </cell>
          <cell r="K1381">
            <v>7.1256982505768116</v>
          </cell>
          <cell r="L1381">
            <v>6.7414828023571838</v>
          </cell>
          <cell r="M1381">
            <v>6.3845937439266329</v>
          </cell>
          <cell r="N1381">
            <v>6.0140414906015467</v>
          </cell>
        </row>
        <row r="1382">
          <cell r="I1382">
            <v>5.5968567346832936</v>
          </cell>
          <cell r="J1382" t="e">
            <v>#DIV/0!</v>
          </cell>
          <cell r="K1382" t="e">
            <v>#DIV/0!</v>
          </cell>
          <cell r="L1382" t="e">
            <v>#DIV/0!</v>
          </cell>
          <cell r="M1382" t="e">
            <v>#DIV/0!</v>
          </cell>
          <cell r="N1382" t="e">
            <v>#DIV/0!</v>
          </cell>
        </row>
        <row r="1383">
          <cell r="H1383" t="str">
            <v>PER</v>
          </cell>
          <cell r="I1383">
            <v>106.85</v>
          </cell>
          <cell r="J1383">
            <v>0</v>
          </cell>
          <cell r="K1383">
            <v>0</v>
          </cell>
          <cell r="L1383">
            <v>0</v>
          </cell>
          <cell r="M1383">
            <v>0</v>
          </cell>
          <cell r="N1383">
            <v>0</v>
          </cell>
        </row>
        <row r="1384">
          <cell r="J1384">
            <v>-0.99990434429665676</v>
          </cell>
          <cell r="K1384">
            <v>-0.99990907271873908</v>
          </cell>
          <cell r="L1384">
            <v>-0.99991397548965311</v>
          </cell>
          <cell r="M1384">
            <v>-0.99991852956290372</v>
          </cell>
          <cell r="N1384">
            <v>-0.99992325798498605</v>
          </cell>
        </row>
        <row r="1385">
          <cell r="M1385" t="str">
            <v>Growth in 2008-2018 (%)</v>
          </cell>
        </row>
        <row r="1386">
          <cell r="K1386" t="e">
            <v>#DIV/0!</v>
          </cell>
          <cell r="L1386">
            <v>0</v>
          </cell>
          <cell r="M1386">
            <v>0.03</v>
          </cell>
          <cell r="N1386">
            <v>0.05</v>
          </cell>
          <cell r="O1386">
            <v>7.0000000000000007E-2</v>
          </cell>
          <cell r="Q1386">
            <v>9.0000000000000011E-2</v>
          </cell>
        </row>
        <row r="1387">
          <cell r="K1387">
            <v>0</v>
          </cell>
          <cell r="L1387">
            <v>85.913922367933949</v>
          </cell>
          <cell r="M1387">
            <v>91.129543568955285</v>
          </cell>
          <cell r="N1387">
            <v>95.215569320824031</v>
          </cell>
          <cell r="O1387">
            <v>99.872360883584591</v>
          </cell>
          <cell r="Q1387">
            <v>105.18228084459791</v>
          </cell>
        </row>
        <row r="1388">
          <cell r="K1388">
            <v>0.02</v>
          </cell>
          <cell r="L1388">
            <v>87.176302249670499</v>
          </cell>
          <cell r="M1388">
            <v>92.826076568975509</v>
          </cell>
          <cell r="N1388">
            <v>97.271853127136595</v>
          </cell>
          <cell r="O1388">
            <v>102.35565318135768</v>
          </cell>
          <cell r="Q1388">
            <v>108.1707931201569</v>
          </cell>
        </row>
        <row r="1389">
          <cell r="J1389" t="str">
            <v>Growth</v>
          </cell>
          <cell r="K1389">
            <v>0.04</v>
          </cell>
          <cell r="L1389">
            <v>88.94363408410166</v>
          </cell>
          <cell r="M1389">
            <v>95.201222769003849</v>
          </cell>
          <cell r="N1389">
            <v>100.15065045597426</v>
          </cell>
          <cell r="O1389">
            <v>105.83226239824</v>
          </cell>
          <cell r="Q1389">
            <v>112.35471030593946</v>
          </cell>
        </row>
        <row r="1390">
          <cell r="J1390" t="str">
            <v>beyond 2018 (%)</v>
          </cell>
          <cell r="K1390">
            <v>0.05</v>
          </cell>
          <cell r="L1390">
            <v>90.121855307055753</v>
          </cell>
          <cell r="M1390">
            <v>96.784653569022737</v>
          </cell>
          <cell r="N1390">
            <v>102.06984867519932</v>
          </cell>
          <cell r="O1390">
            <v>108.15000187616151</v>
          </cell>
          <cell r="Q1390">
            <v>115.1439884297945</v>
          </cell>
        </row>
        <row r="1391">
          <cell r="K1391">
            <v>6.0000000000000005E-2</v>
          </cell>
          <cell r="L1391">
            <v>91.594631835748388</v>
          </cell>
          <cell r="M1391">
            <v>98.763942069046323</v>
          </cell>
          <cell r="N1391">
            <v>104.46884644923068</v>
          </cell>
          <cell r="O1391">
            <v>111.04717622356344</v>
          </cell>
          <cell r="Q1391">
            <v>118.63058608461333</v>
          </cell>
        </row>
        <row r="1392">
          <cell r="K1392">
            <v>7.0000000000000007E-2</v>
          </cell>
          <cell r="L1392">
            <v>93.488201658353205</v>
          </cell>
          <cell r="M1392">
            <v>101.30874156907666</v>
          </cell>
          <cell r="N1392">
            <v>107.55327215869956</v>
          </cell>
          <cell r="O1392">
            <v>114.77211467022305</v>
          </cell>
          <cell r="Q1392">
            <v>123.1133544979518</v>
          </cell>
        </row>
        <row r="1436">
          <cell r="A1436" t="str">
            <v>Rs mn</v>
          </cell>
          <cell r="G1436" t="str">
            <v>F2005E</v>
          </cell>
          <cell r="H1436" t="str">
            <v>F2006E</v>
          </cell>
          <cell r="I1436" t="str">
            <v>F2007E</v>
          </cell>
        </row>
        <row r="1437">
          <cell r="A1437" t="str">
            <v>Capex</v>
          </cell>
          <cell r="G1437">
            <v>41431</v>
          </cell>
          <cell r="H1437">
            <v>94789</v>
          </cell>
          <cell r="I1437">
            <v>77815</v>
          </cell>
        </row>
        <row r="1438">
          <cell r="A1438" t="str">
            <v>PAT plus depreciation</v>
          </cell>
          <cell r="G1438">
            <v>77654</v>
          </cell>
          <cell r="H1438">
            <v>79118</v>
          </cell>
          <cell r="I1438">
            <v>89981</v>
          </cell>
        </row>
        <row r="1439">
          <cell r="A1439" t="str">
            <v>Cash and cash equivalents</v>
          </cell>
          <cell r="G1439">
            <v>88185</v>
          </cell>
          <cell r="H1439">
            <v>90065</v>
          </cell>
          <cell r="I1439">
            <v>137150</v>
          </cell>
        </row>
        <row r="1440">
          <cell r="A1440" t="str">
            <v>Investment in SEB bonds</v>
          </cell>
          <cell r="G1440">
            <v>188578</v>
          </cell>
          <cell r="H1440">
            <v>191505</v>
          </cell>
          <cell r="I1440">
            <v>160353</v>
          </cell>
        </row>
      </sheetData>
      <sheetData sheetId="16" refreshError="1"/>
      <sheetData sheetId="17" refreshError="1">
        <row r="1">
          <cell r="B1" t="str">
            <v>NTPC –  Financial Snapshot</v>
          </cell>
        </row>
        <row r="2">
          <cell r="B2" t="str">
            <v>(Rs. Million)</v>
          </cell>
          <cell r="C2" t="str">
            <v>F2Q07</v>
          </cell>
          <cell r="D2" t="str">
            <v>F2Q06</v>
          </cell>
          <cell r="F2" t="str">
            <v>F1Q07</v>
          </cell>
          <cell r="H2" t="str">
            <v>F1H07</v>
          </cell>
          <cell r="I2" t="str">
            <v>F1H06</v>
          </cell>
          <cell r="P2" t="str">
            <v>Jul-Sep</v>
          </cell>
          <cell r="Q2" t="str">
            <v>Jul-Sep</v>
          </cell>
        </row>
        <row r="3">
          <cell r="B3" t="str">
            <v>(Period Ending)</v>
          </cell>
          <cell r="C3">
            <v>38990</v>
          </cell>
          <cell r="D3">
            <v>38625</v>
          </cell>
          <cell r="E3" t="str">
            <v>YoY</v>
          </cell>
          <cell r="F3">
            <v>38898</v>
          </cell>
          <cell r="G3" t="str">
            <v>QoQ</v>
          </cell>
          <cell r="H3">
            <v>38990</v>
          </cell>
          <cell r="I3">
            <v>38625</v>
          </cell>
          <cell r="J3" t="str">
            <v>YoY</v>
          </cell>
          <cell r="P3" t="str">
            <v>F2006</v>
          </cell>
          <cell r="Q3" t="str">
            <v>F2007E</v>
          </cell>
        </row>
        <row r="4">
          <cell r="B4" t="str">
            <v>Revenue</v>
          </cell>
          <cell r="C4">
            <v>67418</v>
          </cell>
          <cell r="D4">
            <v>58487</v>
          </cell>
          <cell r="E4">
            <v>0.15270060013336306</v>
          </cell>
          <cell r="F4">
            <v>70597</v>
          </cell>
          <cell r="G4">
            <v>-4.5030242078275329E-2</v>
          </cell>
          <cell r="H4" t="e">
            <v>#REF!</v>
          </cell>
          <cell r="I4" t="e">
            <v>#REF!</v>
          </cell>
          <cell r="J4" t="e">
            <v>#REF!</v>
          </cell>
          <cell r="O4" t="str">
            <v>Sales</v>
          </cell>
          <cell r="P4">
            <v>58487</v>
          </cell>
          <cell r="Q4">
            <v>67418</v>
          </cell>
        </row>
        <row r="5">
          <cell r="B5" t="str">
            <v xml:space="preserve">     Labor</v>
          </cell>
          <cell r="C5">
            <v>2679</v>
          </cell>
          <cell r="D5">
            <v>2287</v>
          </cell>
          <cell r="E5">
            <v>0.1714035854831657</v>
          </cell>
          <cell r="F5">
            <v>2675</v>
          </cell>
          <cell r="G5">
            <v>1.4953271028037562E-3</v>
          </cell>
          <cell r="H5" t="e">
            <v>#REF!</v>
          </cell>
          <cell r="I5" t="e">
            <v>#REF!</v>
          </cell>
          <cell r="J5" t="e">
            <v>#REF!</v>
          </cell>
          <cell r="O5" t="str">
            <v>EBITDA</v>
          </cell>
          <cell r="P5">
            <v>15815</v>
          </cell>
          <cell r="Q5">
            <v>17688</v>
          </cell>
        </row>
        <row r="6">
          <cell r="B6" t="str">
            <v xml:space="preserve">     Fuel</v>
          </cell>
          <cell r="C6">
            <v>43328</v>
          </cell>
          <cell r="D6">
            <v>36857</v>
          </cell>
          <cell r="E6">
            <v>0.17557044794747267</v>
          </cell>
          <cell r="F6">
            <v>45670</v>
          </cell>
          <cell r="G6">
            <v>-5.1280928399386916E-2</v>
          </cell>
          <cell r="H6" t="e">
            <v>#REF!</v>
          </cell>
          <cell r="I6" t="e">
            <v>#REF!</v>
          </cell>
          <cell r="J6" t="e">
            <v>#REF!</v>
          </cell>
          <cell r="O6" t="str">
            <v>Other Income</v>
          </cell>
          <cell r="P6">
            <v>4578</v>
          </cell>
          <cell r="Q6">
            <v>6644</v>
          </cell>
        </row>
        <row r="7">
          <cell r="B7" t="str">
            <v xml:space="preserve">     Others</v>
          </cell>
          <cell r="C7">
            <v>3723</v>
          </cell>
          <cell r="D7">
            <v>3528</v>
          </cell>
          <cell r="E7">
            <v>5.5272108843537504E-2</v>
          </cell>
          <cell r="F7">
            <v>3231</v>
          </cell>
          <cell r="G7">
            <v>0.15227483751160631</v>
          </cell>
          <cell r="H7" t="e">
            <v>#REF!</v>
          </cell>
          <cell r="I7" t="e">
            <v>#REF!</v>
          </cell>
          <cell r="J7" t="e">
            <v>#REF!</v>
          </cell>
          <cell r="O7" t="str">
            <v>Depreciation</v>
          </cell>
          <cell r="P7">
            <v>5202</v>
          </cell>
          <cell r="Q7">
            <v>4780</v>
          </cell>
        </row>
        <row r="8">
          <cell r="B8" t="str">
            <v>Total Costs</v>
          </cell>
          <cell r="C8">
            <v>49730</v>
          </cell>
          <cell r="D8">
            <v>42672</v>
          </cell>
          <cell r="E8">
            <v>0.16540119985001867</v>
          </cell>
          <cell r="F8">
            <v>51576</v>
          </cell>
          <cell r="G8">
            <v>-3.5791841166433969E-2</v>
          </cell>
          <cell r="H8" t="e">
            <v>#REF!</v>
          </cell>
          <cell r="I8" t="e">
            <v>#REF!</v>
          </cell>
          <cell r="J8" t="e">
            <v>#REF!</v>
          </cell>
          <cell r="O8" t="str">
            <v>Interest</v>
          </cell>
          <cell r="P8">
            <v>2814</v>
          </cell>
          <cell r="Q8">
            <v>4378</v>
          </cell>
        </row>
        <row r="9">
          <cell r="B9" t="str">
            <v>EBITDA</v>
          </cell>
          <cell r="C9">
            <v>17688</v>
          </cell>
          <cell r="D9">
            <v>15815</v>
          </cell>
          <cell r="E9">
            <v>0.11843186847929177</v>
          </cell>
          <cell r="F9">
            <v>19021</v>
          </cell>
          <cell r="G9">
            <v>-7.0080437411282226E-2</v>
          </cell>
          <cell r="H9" t="e">
            <v>#REF!</v>
          </cell>
          <cell r="I9" t="e">
            <v>#REF!</v>
          </cell>
          <cell r="J9" t="e">
            <v>#REF!</v>
          </cell>
          <cell r="O9" t="str">
            <v>Tax</v>
          </cell>
          <cell r="P9">
            <v>832</v>
          </cell>
          <cell r="Q9">
            <v>764</v>
          </cell>
        </row>
        <row r="10">
          <cell r="B10" t="str">
            <v>Depreciation</v>
          </cell>
          <cell r="C10">
            <v>4780</v>
          </cell>
          <cell r="D10">
            <v>5202</v>
          </cell>
          <cell r="E10">
            <v>-8.1122645136485927E-2</v>
          </cell>
          <cell r="F10">
            <v>4755</v>
          </cell>
          <cell r="G10">
            <v>5.2576235541534899E-3</v>
          </cell>
          <cell r="H10" t="e">
            <v>#REF!</v>
          </cell>
          <cell r="I10" t="e">
            <v>#REF!</v>
          </cell>
          <cell r="J10" t="e">
            <v>#REF!</v>
          </cell>
          <cell r="O10" t="str">
            <v>Net Profit</v>
          </cell>
          <cell r="P10">
            <v>11545</v>
          </cell>
          <cell r="Q10">
            <v>14410</v>
          </cell>
        </row>
        <row r="11">
          <cell r="B11" t="str">
            <v>EBIT</v>
          </cell>
          <cell r="C11">
            <v>12908</v>
          </cell>
          <cell r="D11">
            <v>10613</v>
          </cell>
          <cell r="E11">
            <v>0.21624422877602933</v>
          </cell>
          <cell r="F11">
            <v>14266</v>
          </cell>
          <cell r="G11">
            <v>-9.5191364082433783E-2</v>
          </cell>
          <cell r="H11" t="e">
            <v>#REF!</v>
          </cell>
          <cell r="I11" t="e">
            <v>#REF!</v>
          </cell>
          <cell r="J11" t="e">
            <v>#REF!</v>
          </cell>
        </row>
        <row r="12">
          <cell r="B12" t="str">
            <v>Interest &amp; Finance Charges</v>
          </cell>
          <cell r="C12">
            <v>4378</v>
          </cell>
          <cell r="D12">
            <v>2814</v>
          </cell>
          <cell r="E12">
            <v>0.55579246624022738</v>
          </cell>
          <cell r="F12">
            <v>4334</v>
          </cell>
          <cell r="G12">
            <v>1.0152284263959421E-2</v>
          </cell>
          <cell r="H12" t="e">
            <v>#REF!</v>
          </cell>
          <cell r="I12" t="e">
            <v>#REF!</v>
          </cell>
          <cell r="J12" t="e">
            <v>#REF!</v>
          </cell>
        </row>
        <row r="13">
          <cell r="B13" t="str">
            <v>Non Operating Income</v>
          </cell>
          <cell r="C13">
            <v>6644</v>
          </cell>
          <cell r="D13">
            <v>4578</v>
          </cell>
          <cell r="E13">
            <v>0.4512887723896899</v>
          </cell>
          <cell r="F13">
            <v>6194</v>
          </cell>
          <cell r="G13">
            <v>7.2650952534710989E-2</v>
          </cell>
          <cell r="H13" t="e">
            <v>#REF!</v>
          </cell>
          <cell r="I13" t="e">
            <v>#REF!</v>
          </cell>
          <cell r="J13" t="e">
            <v>#REF!</v>
          </cell>
        </row>
        <row r="14">
          <cell r="B14" t="str">
            <v>Pretax Profit</v>
          </cell>
          <cell r="C14">
            <v>15174</v>
          </cell>
          <cell r="D14">
            <v>12377</v>
          </cell>
          <cell r="E14">
            <v>0.22598367940534869</v>
          </cell>
          <cell r="F14">
            <v>16126</v>
          </cell>
          <cell r="G14">
            <v>-5.9035098598536506E-2</v>
          </cell>
          <cell r="H14" t="e">
            <v>#REF!</v>
          </cell>
          <cell r="I14" t="e">
            <v>#REF!</v>
          </cell>
          <cell r="J14" t="e">
            <v>#REF!</v>
          </cell>
        </row>
        <row r="15">
          <cell r="B15" t="str">
            <v>Tax</v>
          </cell>
          <cell r="C15">
            <v>764</v>
          </cell>
          <cell r="D15">
            <v>832</v>
          </cell>
          <cell r="E15">
            <v>-8.1730769230769273E-2</v>
          </cell>
          <cell r="F15">
            <v>808</v>
          </cell>
          <cell r="G15">
            <v>-5.4455445544554504E-2</v>
          </cell>
          <cell r="H15" t="e">
            <v>#REF!</v>
          </cell>
          <cell r="I15" t="e">
            <v>#REF!</v>
          </cell>
          <cell r="J15" t="e">
            <v>#REF!</v>
          </cell>
        </row>
        <row r="16">
          <cell r="B16" t="str">
            <v>Net Profit</v>
          </cell>
          <cell r="C16">
            <v>14410</v>
          </cell>
          <cell r="D16">
            <v>11545</v>
          </cell>
          <cell r="E16">
            <v>0.2481593763533998</v>
          </cell>
          <cell r="F16">
            <v>15318</v>
          </cell>
          <cell r="G16">
            <v>-5.9276667972320118E-2</v>
          </cell>
          <cell r="H16" t="e">
            <v>#REF!</v>
          </cell>
          <cell r="I16" t="e">
            <v>#REF!</v>
          </cell>
          <cell r="J16" t="e">
            <v>#REF!</v>
          </cell>
        </row>
        <row r="17">
          <cell r="B17" t="str">
            <v>Extraordinary items</v>
          </cell>
          <cell r="C17">
            <v>329</v>
          </cell>
          <cell r="D17">
            <v>90</v>
          </cell>
          <cell r="E17">
            <v>2.6555555555555554</v>
          </cell>
          <cell r="F17">
            <v>210</v>
          </cell>
          <cell r="G17">
            <v>0.56666666666666665</v>
          </cell>
          <cell r="H17" t="e">
            <v>#REF!</v>
          </cell>
          <cell r="I17" t="e">
            <v>#REF!</v>
          </cell>
          <cell r="J17" t="e">
            <v>#REF!</v>
          </cell>
        </row>
        <row r="18">
          <cell r="B18" t="str">
            <v>Reported PAT</v>
          </cell>
          <cell r="C18">
            <v>14739</v>
          </cell>
          <cell r="D18">
            <v>11635</v>
          </cell>
          <cell r="E18">
            <v>0.26678126342930808</v>
          </cell>
          <cell r="F18">
            <v>15528</v>
          </cell>
          <cell r="G18">
            <v>-5.0811437403400328E-2</v>
          </cell>
          <cell r="H18" t="e">
            <v>#REF!</v>
          </cell>
          <cell r="I18" t="e">
            <v>#REF!</v>
          </cell>
          <cell r="J18" t="e">
            <v>#REF!</v>
          </cell>
        </row>
        <row r="19">
          <cell r="B19" t="str">
            <v>Margins</v>
          </cell>
        </row>
        <row r="20">
          <cell r="B20" t="str">
            <v>Operating Margin</v>
          </cell>
          <cell r="C20">
            <v>0.26236316710670743</v>
          </cell>
          <cell r="D20">
            <v>0.27040196966847335</v>
          </cell>
          <cell r="F20">
            <v>0.26943071235321614</v>
          </cell>
          <cell r="H20" t="e">
            <v>#REF!</v>
          </cell>
          <cell r="I20" t="e">
            <v>#REF!</v>
          </cell>
        </row>
        <row r="21">
          <cell r="B21" t="str">
            <v>Net Margin</v>
          </cell>
          <cell r="C21">
            <v>0.21374113738170816</v>
          </cell>
          <cell r="D21">
            <v>0.19739429274881598</v>
          </cell>
          <cell r="F21">
            <v>0.21697805855772909</v>
          </cell>
          <cell r="H21" t="e">
            <v>#REF!</v>
          </cell>
          <cell r="I21" t="e">
            <v>#REF!</v>
          </cell>
        </row>
        <row r="22">
          <cell r="B22" t="str">
            <v>Effective Tax Rate</v>
          </cell>
          <cell r="C22">
            <v>5.0349281666007648E-2</v>
          </cell>
          <cell r="D22">
            <v>6.7221459158115865E-2</v>
          </cell>
          <cell r="F22">
            <v>5.010541981892596E-2</v>
          </cell>
          <cell r="H22" t="e">
            <v>#REF!</v>
          </cell>
          <cell r="I22" t="e">
            <v>#REF!</v>
          </cell>
        </row>
        <row r="23">
          <cell r="B23" t="str">
            <v>Operating Metrics</v>
          </cell>
          <cell r="K23">
            <v>1.0377226195484424E-2</v>
          </cell>
        </row>
        <row r="24">
          <cell r="B24" t="str">
            <v>Commercial Generation (MUs)</v>
          </cell>
          <cell r="C24">
            <v>42.609000000000002</v>
          </cell>
          <cell r="D24">
            <v>39.262999999999998</v>
          </cell>
          <cell r="E24">
            <v>8.5220181850597321E-2</v>
          </cell>
          <cell r="F24">
            <v>45.061</v>
          </cell>
          <cell r="G24">
            <v>-5.4415126162313254E-2</v>
          </cell>
          <cell r="H24" t="e">
            <v>#REF!</v>
          </cell>
          <cell r="I24" t="e">
            <v>#REF!</v>
          </cell>
          <cell r="J24" t="e">
            <v>#REF!</v>
          </cell>
          <cell r="K24">
            <v>2.9285714285714359E-2</v>
          </cell>
        </row>
        <row r="25">
          <cell r="B25" t="str">
            <v>Sales (MUs)</v>
          </cell>
          <cell r="C25">
            <v>39.774000000000001</v>
          </cell>
          <cell r="D25">
            <v>36.152000000000001</v>
          </cell>
          <cell r="E25">
            <v>0.10018809471121926</v>
          </cell>
          <cell r="F25">
            <v>42.19</v>
          </cell>
          <cell r="G25">
            <v>-5.7264754681203955E-2</v>
          </cell>
          <cell r="H25" t="e">
            <v>#REF!</v>
          </cell>
          <cell r="I25" t="e">
            <v>#REF!</v>
          </cell>
          <cell r="J25" t="e">
            <v>#REF!</v>
          </cell>
        </row>
        <row r="26">
          <cell r="B26" t="str">
            <v>Gas-based PLF (%)</v>
          </cell>
          <cell r="C26">
            <v>55.21</v>
          </cell>
          <cell r="D26">
            <v>60.17</v>
          </cell>
          <cell r="E26">
            <v>-8.2433106199102602E-2</v>
          </cell>
          <cell r="F26">
            <v>72.03</v>
          </cell>
          <cell r="G26">
            <v>-0.2335138136887408</v>
          </cell>
          <cell r="H26" t="e">
            <v>#REF!</v>
          </cell>
          <cell r="I26" t="e">
            <v>#REF!</v>
          </cell>
          <cell r="J26" t="e">
            <v>#REF!</v>
          </cell>
        </row>
        <row r="27">
          <cell r="B27" t="str">
            <v>Coal-based PLF (%)</v>
          </cell>
          <cell r="C27">
            <v>82.57</v>
          </cell>
          <cell r="D27">
            <v>79.349999999999994</v>
          </cell>
          <cell r="E27">
            <v>4.057971014492745E-2</v>
          </cell>
          <cell r="F27">
            <v>87.7</v>
          </cell>
          <cell r="G27">
            <v>-5.8494868871151739E-2</v>
          </cell>
          <cell r="H27" t="e">
            <v>#REF!</v>
          </cell>
          <cell r="I27" t="e">
            <v>#REF!</v>
          </cell>
          <cell r="J27" t="e">
            <v>#REF!</v>
          </cell>
        </row>
        <row r="29">
          <cell r="B29" t="str">
            <v>NTPC –  Financial Snapshot</v>
          </cell>
        </row>
        <row r="30">
          <cell r="B30" t="str">
            <v>(Rs. Million)</v>
          </cell>
          <cell r="C30" t="str">
            <v>F2Q07</v>
          </cell>
          <cell r="D30" t="str">
            <v>F2Q06</v>
          </cell>
          <cell r="F30" t="str">
            <v>F1Q07</v>
          </cell>
          <cell r="H30" t="str">
            <v>F2H07</v>
          </cell>
          <cell r="I30" t="str">
            <v>F2H06</v>
          </cell>
        </row>
        <row r="31">
          <cell r="B31" t="str">
            <v>(Period Ending)</v>
          </cell>
          <cell r="C31">
            <v>38990</v>
          </cell>
          <cell r="D31">
            <v>38625</v>
          </cell>
          <cell r="E31" t="str">
            <v>YoY</v>
          </cell>
          <cell r="F31">
            <v>38898</v>
          </cell>
          <cell r="G31" t="str">
            <v>QoQ</v>
          </cell>
          <cell r="H31">
            <v>38990</v>
          </cell>
          <cell r="I31">
            <v>38625</v>
          </cell>
          <cell r="J31" t="str">
            <v>YoY</v>
          </cell>
        </row>
        <row r="32">
          <cell r="B32" t="str">
            <v xml:space="preserve">Revenue </v>
          </cell>
        </row>
        <row r="33">
          <cell r="B33" t="str">
            <v>Generation</v>
          </cell>
          <cell r="C33">
            <v>67992</v>
          </cell>
          <cell r="D33">
            <v>59170</v>
          </cell>
          <cell r="E33">
            <v>0.14909582558729095</v>
          </cell>
          <cell r="F33">
            <v>71399</v>
          </cell>
          <cell r="G33">
            <v>-4.7717755150632368E-2</v>
          </cell>
          <cell r="H33" t="e">
            <v>#REF!</v>
          </cell>
          <cell r="I33" t="e">
            <v>#REF!</v>
          </cell>
          <cell r="J33" t="e">
            <v>#REF!</v>
          </cell>
        </row>
        <row r="34">
          <cell r="B34" t="str">
            <v>Others</v>
          </cell>
          <cell r="C34">
            <v>146</v>
          </cell>
          <cell r="D34">
            <v>89</v>
          </cell>
          <cell r="E34">
            <v>0.6404494382022472</v>
          </cell>
          <cell r="F34">
            <v>137</v>
          </cell>
          <cell r="G34">
            <v>6.5693430656934337E-2</v>
          </cell>
          <cell r="H34" t="e">
            <v>#REF!</v>
          </cell>
          <cell r="I34" t="e">
            <v>#REF!</v>
          </cell>
          <cell r="J34" t="e">
            <v>#REF!</v>
          </cell>
        </row>
        <row r="35">
          <cell r="B35" t="str">
            <v>Total</v>
          </cell>
          <cell r="C35">
            <v>68138</v>
          </cell>
          <cell r="D35">
            <v>59259</v>
          </cell>
          <cell r="E35">
            <v>0.14983378052278984</v>
          </cell>
          <cell r="F35">
            <v>71536</v>
          </cell>
          <cell r="G35">
            <v>-4.7500559159024847E-2</v>
          </cell>
          <cell r="H35" t="e">
            <v>#REF!</v>
          </cell>
          <cell r="I35" t="e">
            <v>#REF!</v>
          </cell>
          <cell r="J35" t="e">
            <v>#REF!</v>
          </cell>
        </row>
        <row r="37">
          <cell r="B37" t="str">
            <v>EBIT</v>
          </cell>
        </row>
        <row r="38">
          <cell r="B38" t="str">
            <v>Generation</v>
          </cell>
          <cell r="C38">
            <v>12402</v>
          </cell>
          <cell r="D38">
            <v>10621</v>
          </cell>
          <cell r="E38">
            <v>0.16768665850673203</v>
          </cell>
          <cell r="F38">
            <v>14161</v>
          </cell>
          <cell r="G38">
            <v>-0.12421439163900849</v>
          </cell>
          <cell r="H38" t="e">
            <v>#REF!</v>
          </cell>
          <cell r="I38" t="e">
            <v>#REF!</v>
          </cell>
          <cell r="J38" t="e">
            <v>#REF!</v>
          </cell>
        </row>
        <row r="39">
          <cell r="B39" t="str">
            <v>Others</v>
          </cell>
          <cell r="C39">
            <v>52</v>
          </cell>
          <cell r="D39">
            <v>42</v>
          </cell>
          <cell r="E39">
            <v>0.23809523809523814</v>
          </cell>
          <cell r="F39">
            <v>49</v>
          </cell>
          <cell r="G39">
            <v>6.1224489795918435E-2</v>
          </cell>
          <cell r="H39" t="e">
            <v>#REF!</v>
          </cell>
          <cell r="I39" t="e">
            <v>#REF!</v>
          </cell>
          <cell r="J39" t="e">
            <v>#REF!</v>
          </cell>
        </row>
        <row r="40">
          <cell r="B40" t="str">
            <v>Total</v>
          </cell>
          <cell r="C40">
            <v>12454</v>
          </cell>
          <cell r="D40">
            <v>10663</v>
          </cell>
          <cell r="E40">
            <v>0.1679639876207446</v>
          </cell>
          <cell r="F40">
            <v>14210</v>
          </cell>
          <cell r="G40">
            <v>-0.12357494722026741</v>
          </cell>
          <cell r="H40" t="e">
            <v>#REF!</v>
          </cell>
          <cell r="I40" t="e">
            <v>#REF!</v>
          </cell>
          <cell r="J40" t="e">
            <v>#REF!</v>
          </cell>
        </row>
        <row r="42">
          <cell r="B42" t="str">
            <v>Less:</v>
          </cell>
        </row>
        <row r="43">
          <cell r="B43" t="str">
            <v>Unallocable Interest and finance charges</v>
          </cell>
          <cell r="C43">
            <v>2392</v>
          </cell>
          <cell r="D43">
            <v>654</v>
          </cell>
          <cell r="E43">
            <v>2.6574923547400613</v>
          </cell>
          <cell r="F43">
            <v>3087</v>
          </cell>
          <cell r="G43">
            <v>-0.22513767411726593</v>
          </cell>
          <cell r="H43" t="e">
            <v>#REF!</v>
          </cell>
          <cell r="I43" t="e">
            <v>#REF!</v>
          </cell>
          <cell r="J43" t="e">
            <v>#REF!</v>
          </cell>
        </row>
        <row r="44">
          <cell r="B44" t="str">
            <v>Other Unallocable expenditure net of unallocable income</v>
          </cell>
          <cell r="C44">
            <v>-5441</v>
          </cell>
          <cell r="D44">
            <v>-2458</v>
          </cell>
          <cell r="E44">
            <v>1.2135882831570384</v>
          </cell>
          <cell r="F44">
            <v>-5213</v>
          </cell>
          <cell r="G44">
            <v>4.3736811816612375E-2</v>
          </cell>
          <cell r="H44" t="e">
            <v>#REF!</v>
          </cell>
          <cell r="I44" t="e">
            <v>#REF!</v>
          </cell>
          <cell r="J44" t="e">
            <v>#REF!</v>
          </cell>
        </row>
        <row r="45">
          <cell r="B45" t="str">
            <v>PBT</v>
          </cell>
          <cell r="C45">
            <v>15503</v>
          </cell>
          <cell r="D45">
            <v>12467</v>
          </cell>
          <cell r="E45">
            <v>0.24352290045720704</v>
          </cell>
          <cell r="F45">
            <v>16336</v>
          </cell>
          <cell r="G45">
            <v>-5.0991674828599454E-2</v>
          </cell>
          <cell r="H45" t="e">
            <v>#REF!</v>
          </cell>
          <cell r="I45" t="e">
            <v>#REF!</v>
          </cell>
          <cell r="J45" t="e">
            <v>#REF!</v>
          </cell>
        </row>
        <row r="47">
          <cell r="B47" t="str">
            <v>Margins</v>
          </cell>
        </row>
        <row r="48">
          <cell r="B48" t="str">
            <v>Generation</v>
          </cell>
          <cell r="C48">
            <v>0.18240381221320157</v>
          </cell>
          <cell r="D48">
            <v>0.17949974649315531</v>
          </cell>
          <cell r="F48">
            <v>0.19833611115001612</v>
          </cell>
          <cell r="H48" t="e">
            <v>#REF!</v>
          </cell>
          <cell r="I48" t="e">
            <v>#REF!</v>
          </cell>
        </row>
        <row r="49">
          <cell r="B49" t="str">
            <v>Others</v>
          </cell>
          <cell r="C49">
            <v>0.35616438356164382</v>
          </cell>
          <cell r="D49">
            <v>0.47191011235955055</v>
          </cell>
          <cell r="F49">
            <v>0.35766423357664234</v>
          </cell>
          <cell r="H49" t="e">
            <v>#REF!</v>
          </cell>
          <cell r="I49" t="e">
            <v>#REF!</v>
          </cell>
        </row>
        <row r="50">
          <cell r="B50" t="str">
            <v>Total</v>
          </cell>
          <cell r="C50">
            <v>0.18277613079338989</v>
          </cell>
          <cell r="D50">
            <v>0.17993891223274103</v>
          </cell>
          <cell r="F50">
            <v>0.19864124356967122</v>
          </cell>
          <cell r="H50" t="e">
            <v>#REF!</v>
          </cell>
          <cell r="I50" t="e">
            <v>#REF!</v>
          </cell>
        </row>
        <row r="56">
          <cell r="B56" t="str">
            <v>NTPC –  Financial Snapshot</v>
          </cell>
        </row>
        <row r="57">
          <cell r="B57" t="str">
            <v>(Rs. Million)</v>
          </cell>
          <cell r="C57" t="str">
            <v>F1Q07</v>
          </cell>
          <cell r="D57" t="str">
            <v>F1Q06</v>
          </cell>
          <cell r="F57" t="str">
            <v>F4Q06</v>
          </cell>
        </row>
        <row r="58">
          <cell r="B58" t="str">
            <v>(Period Ending)</v>
          </cell>
          <cell r="C58">
            <v>38898</v>
          </cell>
          <cell r="D58">
            <v>38533</v>
          </cell>
          <cell r="E58" t="str">
            <v>YoY</v>
          </cell>
          <cell r="F58">
            <v>38807</v>
          </cell>
          <cell r="G58" t="str">
            <v>QoQ</v>
          </cell>
        </row>
        <row r="59">
          <cell r="B59" t="str">
            <v>Revenue</v>
          </cell>
          <cell r="C59">
            <v>70597</v>
          </cell>
          <cell r="D59">
            <v>60259</v>
          </cell>
          <cell r="E59">
            <v>0.1715594351051295</v>
          </cell>
          <cell r="F59">
            <v>77138</v>
          </cell>
          <cell r="G59">
            <v>-8.4796079753169606E-2</v>
          </cell>
        </row>
        <row r="60">
          <cell r="B60" t="str">
            <v xml:space="preserve">     Labor</v>
          </cell>
          <cell r="C60">
            <v>2675</v>
          </cell>
          <cell r="D60">
            <v>2401</v>
          </cell>
          <cell r="E60">
            <v>0.11411911703456901</v>
          </cell>
          <cell r="F60">
            <v>2518</v>
          </cell>
          <cell r="G60">
            <v>6.2351072279587028E-2</v>
          </cell>
        </row>
        <row r="61">
          <cell r="B61" t="str">
            <v xml:space="preserve">     Fuel</v>
          </cell>
          <cell r="C61">
            <v>45670</v>
          </cell>
          <cell r="D61">
            <v>38240</v>
          </cell>
          <cell r="E61">
            <v>0.19429916317991625</v>
          </cell>
          <cell r="F61">
            <v>46964</v>
          </cell>
          <cell r="G61">
            <v>-2.7553019333957929E-2</v>
          </cell>
        </row>
        <row r="62">
          <cell r="B62" t="str">
            <v xml:space="preserve">     Others</v>
          </cell>
          <cell r="C62">
            <v>3231</v>
          </cell>
          <cell r="D62">
            <v>2763</v>
          </cell>
          <cell r="E62">
            <v>0.16938110749185675</v>
          </cell>
          <cell r="F62">
            <v>4051</v>
          </cell>
          <cell r="G62">
            <v>-0.20241915576400893</v>
          </cell>
        </row>
        <row r="63">
          <cell r="B63" t="str">
            <v>Total Costs</v>
          </cell>
          <cell r="C63">
            <v>51576</v>
          </cell>
          <cell r="D63">
            <v>43404</v>
          </cell>
          <cell r="E63">
            <v>0.18827757810340051</v>
          </cell>
          <cell r="F63">
            <v>53533</v>
          </cell>
          <cell r="G63">
            <v>-3.6556890142528942E-2</v>
          </cell>
        </row>
        <row r="64">
          <cell r="B64" t="str">
            <v>EBITDA</v>
          </cell>
          <cell r="C64">
            <v>19021</v>
          </cell>
          <cell r="D64">
            <v>16855</v>
          </cell>
          <cell r="E64">
            <v>0.12850786116879265</v>
          </cell>
          <cell r="F64">
            <v>23605</v>
          </cell>
          <cell r="G64">
            <v>-0.19419614488455839</v>
          </cell>
        </row>
        <row r="65">
          <cell r="B65" t="str">
            <v>Depreciation</v>
          </cell>
          <cell r="C65">
            <v>4755</v>
          </cell>
          <cell r="D65">
            <v>4873</v>
          </cell>
          <cell r="E65">
            <v>-2.4215062589780456E-2</v>
          </cell>
          <cell r="F65">
            <v>5261</v>
          </cell>
          <cell r="G65">
            <v>-9.6179433567762818E-2</v>
          </cell>
        </row>
        <row r="66">
          <cell r="B66" t="str">
            <v>EBIT</v>
          </cell>
          <cell r="C66">
            <v>14266</v>
          </cell>
          <cell r="D66">
            <v>11982</v>
          </cell>
          <cell r="E66">
            <v>0.19061926222667336</v>
          </cell>
          <cell r="F66">
            <v>18344</v>
          </cell>
          <cell r="G66">
            <v>-0.22230702136938507</v>
          </cell>
        </row>
        <row r="67">
          <cell r="B67" t="str">
            <v>Interest &amp; Finance Charges</v>
          </cell>
          <cell r="C67">
            <v>4334</v>
          </cell>
          <cell r="D67">
            <v>2919</v>
          </cell>
          <cell r="E67">
            <v>0.48475505310037681</v>
          </cell>
          <cell r="F67">
            <v>2854</v>
          </cell>
          <cell r="G67">
            <v>0.5185704274702172</v>
          </cell>
        </row>
        <row r="68">
          <cell r="B68" t="str">
            <v>Non Operating Income</v>
          </cell>
          <cell r="C68">
            <v>6194</v>
          </cell>
          <cell r="D68">
            <v>3791</v>
          </cell>
          <cell r="E68">
            <v>0.6338696913743076</v>
          </cell>
          <cell r="F68">
            <v>4434</v>
          </cell>
          <cell r="G68">
            <v>0.39693279206134413</v>
          </cell>
        </row>
        <row r="69">
          <cell r="B69" t="str">
            <v>Pretax Profit</v>
          </cell>
          <cell r="C69">
            <v>16126</v>
          </cell>
          <cell r="D69">
            <v>12854</v>
          </cell>
          <cell r="E69">
            <v>0.25455111249416529</v>
          </cell>
          <cell r="F69">
            <v>19924</v>
          </cell>
          <cell r="G69">
            <v>-0.19062437261594056</v>
          </cell>
        </row>
        <row r="70">
          <cell r="B70" t="str">
            <v>Tax</v>
          </cell>
          <cell r="C70">
            <v>808</v>
          </cell>
          <cell r="D70">
            <v>637</v>
          </cell>
          <cell r="E70">
            <v>0.2684458398744114</v>
          </cell>
          <cell r="F70">
            <v>4598</v>
          </cell>
          <cell r="G70">
            <v>-0.82427142235754669</v>
          </cell>
        </row>
        <row r="71">
          <cell r="B71" t="str">
            <v>Net Profit</v>
          </cell>
          <cell r="C71">
            <v>15318</v>
          </cell>
          <cell r="D71">
            <v>12217</v>
          </cell>
          <cell r="E71">
            <v>0.25382663501677993</v>
          </cell>
          <cell r="F71">
            <v>15326</v>
          </cell>
          <cell r="G71">
            <v>-5.2198877724130011E-4</v>
          </cell>
        </row>
        <row r="72">
          <cell r="B72" t="str">
            <v>Extraordinary items</v>
          </cell>
          <cell r="C72">
            <v>210</v>
          </cell>
          <cell r="D72">
            <v>870</v>
          </cell>
          <cell r="E72">
            <v>-0.75862068965517238</v>
          </cell>
          <cell r="F72">
            <v>285</v>
          </cell>
          <cell r="G72">
            <v>-0.26315789473684215</v>
          </cell>
        </row>
        <row r="73">
          <cell r="B73" t="str">
            <v>Reported PAT</v>
          </cell>
          <cell r="C73">
            <v>15528</v>
          </cell>
          <cell r="D73">
            <v>13087</v>
          </cell>
          <cell r="E73">
            <v>0.18652097501337206</v>
          </cell>
          <cell r="F73">
            <v>15611</v>
          </cell>
          <cell r="G73">
            <v>-5.3167638203830414E-3</v>
          </cell>
        </row>
        <row r="74">
          <cell r="B74" t="str">
            <v>Margins</v>
          </cell>
        </row>
        <row r="75">
          <cell r="B75" t="str">
            <v>Operating Margin</v>
          </cell>
          <cell r="C75">
            <v>0.26943071235321614</v>
          </cell>
          <cell r="D75">
            <v>0.27970925504903832</v>
          </cell>
          <cell r="F75">
            <v>0.30601000803754308</v>
          </cell>
        </row>
        <row r="76">
          <cell r="B76" t="str">
            <v>Net Margin</v>
          </cell>
          <cell r="C76">
            <v>0.21697805855772909</v>
          </cell>
          <cell r="D76">
            <v>0.20274149919514098</v>
          </cell>
          <cell r="F76">
            <v>0.19868288003318726</v>
          </cell>
        </row>
        <row r="77">
          <cell r="B77" t="str">
            <v>Effective Tax Rate</v>
          </cell>
          <cell r="C77">
            <v>5.010541981892596E-2</v>
          </cell>
          <cell r="D77">
            <v>4.9556558269799288E-2</v>
          </cell>
          <cell r="F77">
            <v>0.23077695241919294</v>
          </cell>
        </row>
        <row r="78">
          <cell r="B78" t="str">
            <v>Operating Metrics</v>
          </cell>
        </row>
        <row r="79">
          <cell r="B79" t="str">
            <v>Commercial Generation (MUs)</v>
          </cell>
          <cell r="C79">
            <v>45.061</v>
          </cell>
          <cell r="D79">
            <v>41.405999999999999</v>
          </cell>
          <cell r="E79">
            <v>8.827223107762161E-2</v>
          </cell>
          <cell r="F79">
            <v>46.323</v>
          </cell>
          <cell r="G79">
            <v>-2.7243485957299862E-2</v>
          </cell>
        </row>
        <row r="80">
          <cell r="B80" t="str">
            <v>Sales (MUs)</v>
          </cell>
          <cell r="C80">
            <v>42.19</v>
          </cell>
          <cell r="D80">
            <v>38.522999999999996</v>
          </cell>
          <cell r="E80">
            <v>9.5189886561275028E-2</v>
          </cell>
          <cell r="F80">
            <v>42.65260158418868</v>
          </cell>
          <cell r="G80">
            <v>-1.0845799951395452E-2</v>
          </cell>
        </row>
        <row r="81">
          <cell r="B81" t="str">
            <v>Gas-based PLF (%)</v>
          </cell>
          <cell r="C81">
            <v>72.03</v>
          </cell>
          <cell r="D81">
            <v>68.099999999999994</v>
          </cell>
          <cell r="E81">
            <v>5.7709251101321746E-2</v>
          </cell>
          <cell r="F81">
            <v>63.7</v>
          </cell>
          <cell r="G81">
            <v>0.13076923076923075</v>
          </cell>
        </row>
        <row r="82">
          <cell r="B82" t="str">
            <v>Coal-based PLF (%)</v>
          </cell>
          <cell r="C82">
            <v>87.7</v>
          </cell>
          <cell r="D82">
            <v>87.31</v>
          </cell>
          <cell r="E82">
            <v>4.4668422861069423E-3</v>
          </cell>
          <cell r="F82">
            <v>95.7</v>
          </cell>
          <cell r="G82">
            <v>-8.3594566353187072E-2</v>
          </cell>
        </row>
        <row r="86">
          <cell r="B86" t="str">
            <v>NTPC –  Financial Snapshot</v>
          </cell>
        </row>
        <row r="87">
          <cell r="B87" t="str">
            <v>(Rs. Million)</v>
          </cell>
          <cell r="C87" t="str">
            <v>F4Q06</v>
          </cell>
          <cell r="D87" t="str">
            <v>F4Q05</v>
          </cell>
          <cell r="F87" t="str">
            <v>F2006</v>
          </cell>
          <cell r="G87" t="str">
            <v>F2005</v>
          </cell>
          <cell r="L87" t="str">
            <v>F4Q06</v>
          </cell>
          <cell r="M87" t="str">
            <v>F4Q05</v>
          </cell>
        </row>
        <row r="88">
          <cell r="B88" t="str">
            <v>(Period Ending)</v>
          </cell>
          <cell r="C88">
            <v>38807</v>
          </cell>
          <cell r="D88">
            <v>38442</v>
          </cell>
          <cell r="E88" t="str">
            <v>YoY</v>
          </cell>
          <cell r="F88">
            <v>38807</v>
          </cell>
          <cell r="G88">
            <v>38442</v>
          </cell>
          <cell r="H88" t="str">
            <v>YoY</v>
          </cell>
          <cell r="L88">
            <v>38807</v>
          </cell>
          <cell r="M88">
            <v>38442</v>
          </cell>
        </row>
        <row r="89">
          <cell r="B89" t="str">
            <v>Revenue</v>
          </cell>
          <cell r="C89">
            <v>77138</v>
          </cell>
          <cell r="D89" t="e">
            <v>#REF!</v>
          </cell>
          <cell r="E89" t="e">
            <v>#REF!</v>
          </cell>
          <cell r="F89" t="e">
            <v>#REF!</v>
          </cell>
          <cell r="G89" t="e">
            <v>#REF!</v>
          </cell>
          <cell r="H89" t="e">
            <v>#REF!</v>
          </cell>
          <cell r="K89" t="str">
            <v>Revenues</v>
          </cell>
          <cell r="L89">
            <v>77138</v>
          </cell>
          <cell r="M89" t="e">
            <v>#REF!</v>
          </cell>
        </row>
        <row r="90">
          <cell r="B90" t="str">
            <v xml:space="preserve">     Labor</v>
          </cell>
          <cell r="C90">
            <v>2518</v>
          </cell>
          <cell r="D90" t="e">
            <v>#REF!</v>
          </cell>
          <cell r="E90" t="e">
            <v>#REF!</v>
          </cell>
          <cell r="F90" t="e">
            <v>#REF!</v>
          </cell>
          <cell r="G90" t="e">
            <v>#REF!</v>
          </cell>
          <cell r="H90" t="e">
            <v>#REF!</v>
          </cell>
          <cell r="K90" t="str">
            <v>Expenditure</v>
          </cell>
          <cell r="L90">
            <v>53533</v>
          </cell>
          <cell r="M90" t="e">
            <v>#REF!</v>
          </cell>
        </row>
        <row r="91">
          <cell r="B91" t="str">
            <v xml:space="preserve">     Fuel</v>
          </cell>
          <cell r="C91">
            <v>46964</v>
          </cell>
          <cell r="D91" t="e">
            <v>#REF!</v>
          </cell>
          <cell r="E91" t="e">
            <v>#REF!</v>
          </cell>
          <cell r="F91" t="e">
            <v>#REF!</v>
          </cell>
          <cell r="G91" t="e">
            <v>#REF!</v>
          </cell>
          <cell r="H91" t="e">
            <v>#REF!</v>
          </cell>
          <cell r="K91" t="str">
            <v>Operating Profit</v>
          </cell>
          <cell r="L91">
            <v>23605</v>
          </cell>
          <cell r="M91" t="e">
            <v>#REF!</v>
          </cell>
        </row>
        <row r="92">
          <cell r="B92" t="str">
            <v xml:space="preserve">     Others</v>
          </cell>
          <cell r="C92">
            <v>4051</v>
          </cell>
          <cell r="D92" t="e">
            <v>#REF!</v>
          </cell>
          <cell r="E92" t="e">
            <v>#REF!</v>
          </cell>
          <cell r="F92" t="e">
            <v>#REF!</v>
          </cell>
          <cell r="G92" t="e">
            <v>#REF!</v>
          </cell>
          <cell r="H92" t="e">
            <v>#REF!</v>
          </cell>
          <cell r="K92" t="str">
            <v>Other Income</v>
          </cell>
          <cell r="L92">
            <v>4434</v>
          </cell>
          <cell r="M92" t="e">
            <v>#REF!</v>
          </cell>
        </row>
        <row r="93">
          <cell r="B93" t="str">
            <v>Total Costs</v>
          </cell>
          <cell r="C93">
            <v>53533</v>
          </cell>
          <cell r="D93" t="e">
            <v>#REF!</v>
          </cell>
          <cell r="E93" t="e">
            <v>#REF!</v>
          </cell>
          <cell r="F93" t="e">
            <v>#REF!</v>
          </cell>
          <cell r="G93" t="e">
            <v>#REF!</v>
          </cell>
          <cell r="H93" t="e">
            <v>#REF!</v>
          </cell>
          <cell r="K93" t="str">
            <v>Interest</v>
          </cell>
          <cell r="L93">
            <v>2854</v>
          </cell>
          <cell r="M93" t="e">
            <v>#REF!</v>
          </cell>
        </row>
        <row r="94">
          <cell r="B94" t="str">
            <v>EBITDA</v>
          </cell>
          <cell r="C94">
            <v>23605</v>
          </cell>
          <cell r="D94" t="e">
            <v>#REF!</v>
          </cell>
          <cell r="E94" t="e">
            <v>#REF!</v>
          </cell>
          <cell r="F94" t="e">
            <v>#REF!</v>
          </cell>
          <cell r="G94" t="e">
            <v>#REF!</v>
          </cell>
          <cell r="H94" t="e">
            <v>#REF!</v>
          </cell>
          <cell r="K94" t="str">
            <v>Depreciation</v>
          </cell>
          <cell r="L94">
            <v>5261</v>
          </cell>
          <cell r="M94" t="e">
            <v>#REF!</v>
          </cell>
        </row>
        <row r="95">
          <cell r="B95" t="str">
            <v>Depreciation</v>
          </cell>
          <cell r="C95">
            <v>5261</v>
          </cell>
          <cell r="D95" t="e">
            <v>#REF!</v>
          </cell>
          <cell r="E95" t="e">
            <v>#REF!</v>
          </cell>
          <cell r="F95" t="e">
            <v>#REF!</v>
          </cell>
          <cell r="G95" t="e">
            <v>#REF!</v>
          </cell>
          <cell r="H95" t="e">
            <v>#REF!</v>
          </cell>
          <cell r="K95" t="str">
            <v>Pre-tax Profit</v>
          </cell>
          <cell r="L95">
            <v>19924</v>
          </cell>
          <cell r="M95" t="e">
            <v>#REF!</v>
          </cell>
        </row>
        <row r="96">
          <cell r="B96" t="str">
            <v>EBIT</v>
          </cell>
          <cell r="C96">
            <v>18344</v>
          </cell>
          <cell r="D96" t="e">
            <v>#REF!</v>
          </cell>
          <cell r="E96" t="e">
            <v>#REF!</v>
          </cell>
          <cell r="F96" t="e">
            <v>#REF!</v>
          </cell>
          <cell r="G96" t="e">
            <v>#REF!</v>
          </cell>
          <cell r="H96" t="e">
            <v>#REF!</v>
          </cell>
          <cell r="K96" t="str">
            <v>Tax</v>
          </cell>
          <cell r="L96">
            <v>4598</v>
          </cell>
          <cell r="M96" t="e">
            <v>#REF!</v>
          </cell>
        </row>
        <row r="97">
          <cell r="B97" t="str">
            <v>Interest &amp; Finance Charges</v>
          </cell>
          <cell r="C97">
            <v>2854</v>
          </cell>
          <cell r="D97" t="e">
            <v>#REF!</v>
          </cell>
          <cell r="E97" t="e">
            <v>#REF!</v>
          </cell>
          <cell r="F97" t="e">
            <v>#REF!</v>
          </cell>
          <cell r="G97" t="e">
            <v>#REF!</v>
          </cell>
          <cell r="H97" t="e">
            <v>#REF!</v>
          </cell>
          <cell r="K97" t="str">
            <v>Net Profit</v>
          </cell>
          <cell r="L97">
            <v>15326</v>
          </cell>
          <cell r="M97" t="e">
            <v>#REF!</v>
          </cell>
        </row>
        <row r="98">
          <cell r="B98" t="str">
            <v>Non Operating Income</v>
          </cell>
          <cell r="C98">
            <v>4434</v>
          </cell>
          <cell r="D98" t="e">
            <v>#REF!</v>
          </cell>
          <cell r="E98" t="e">
            <v>#REF!</v>
          </cell>
          <cell r="F98" t="e">
            <v>#REF!</v>
          </cell>
          <cell r="G98" t="e">
            <v>#REF!</v>
          </cell>
          <cell r="H98" t="e">
            <v>#REF!</v>
          </cell>
          <cell r="K98" t="str">
            <v>Raw Material Cost</v>
          </cell>
          <cell r="L98">
            <v>46964</v>
          </cell>
          <cell r="M98" t="e">
            <v>#REF!</v>
          </cell>
        </row>
        <row r="99">
          <cell r="B99" t="str">
            <v>Pretax Profit</v>
          </cell>
          <cell r="C99">
            <v>19924</v>
          </cell>
          <cell r="D99" t="e">
            <v>#REF!</v>
          </cell>
          <cell r="E99" t="e">
            <v>#REF!</v>
          </cell>
          <cell r="F99" t="e">
            <v>#REF!</v>
          </cell>
          <cell r="G99" t="e">
            <v>#REF!</v>
          </cell>
          <cell r="H99" t="e">
            <v>#REF!</v>
          </cell>
        </row>
        <row r="100">
          <cell r="B100" t="str">
            <v>Tax</v>
          </cell>
          <cell r="C100">
            <v>4598</v>
          </cell>
          <cell r="D100" t="e">
            <v>#REF!</v>
          </cell>
          <cell r="E100" t="e">
            <v>#REF!</v>
          </cell>
          <cell r="F100" t="e">
            <v>#REF!</v>
          </cell>
          <cell r="G100" t="e">
            <v>#REF!</v>
          </cell>
          <cell r="H100" t="e">
            <v>#REF!</v>
          </cell>
          <cell r="K100" t="str">
            <v>Tax paid</v>
          </cell>
        </row>
        <row r="101">
          <cell r="B101" t="str">
            <v>Net Profit</v>
          </cell>
          <cell r="C101">
            <v>15326</v>
          </cell>
          <cell r="D101" t="e">
            <v>#REF!</v>
          </cell>
          <cell r="E101" t="e">
            <v>#REF!</v>
          </cell>
          <cell r="F101" t="e">
            <v>#REF!</v>
          </cell>
          <cell r="G101" t="e">
            <v>#REF!</v>
          </cell>
          <cell r="H101" t="e">
            <v>#REF!</v>
          </cell>
          <cell r="K101" t="str">
            <v>Extraordinary</v>
          </cell>
          <cell r="M101" t="e">
            <v>#REF!</v>
          </cell>
        </row>
        <row r="102">
          <cell r="B102" t="str">
            <v>Extraordinary items</v>
          </cell>
          <cell r="C102">
            <v>285</v>
          </cell>
          <cell r="D102" t="e">
            <v>#REF!</v>
          </cell>
          <cell r="F102" t="e">
            <v>#REF!</v>
          </cell>
          <cell r="G102" t="e">
            <v>#REF!</v>
          </cell>
          <cell r="K102" t="str">
            <v>Tax Effect of Extr</v>
          </cell>
          <cell r="M102" t="e">
            <v>#REF!</v>
          </cell>
        </row>
        <row r="103">
          <cell r="B103" t="str">
            <v>Reported PAT</v>
          </cell>
          <cell r="C103">
            <v>15611</v>
          </cell>
          <cell r="D103" t="e">
            <v>#REF!</v>
          </cell>
          <cell r="E103" t="e">
            <v>#REF!</v>
          </cell>
          <cell r="F103" t="e">
            <v>#REF!</v>
          </cell>
          <cell r="G103" t="e">
            <v>#REF!</v>
          </cell>
          <cell r="H103" t="e">
            <v>#REF!</v>
          </cell>
          <cell r="K103" t="str">
            <v>Extr Net of Tax</v>
          </cell>
          <cell r="L103">
            <v>285</v>
          </cell>
          <cell r="M103" t="e">
            <v>#REF!</v>
          </cell>
        </row>
        <row r="104">
          <cell r="K104" t="str">
            <v>Reported Profit</v>
          </cell>
          <cell r="L104">
            <v>15611</v>
          </cell>
          <cell r="M104" t="e">
            <v>#REF!</v>
          </cell>
        </row>
        <row r="105">
          <cell r="B105" t="str">
            <v>Operating Margin</v>
          </cell>
          <cell r="C105">
            <v>0.30601000803754308</v>
          </cell>
          <cell r="D105" t="e">
            <v>#REF!</v>
          </cell>
          <cell r="F105" t="e">
            <v>#REF!</v>
          </cell>
          <cell r="G105" t="e">
            <v>#REF!</v>
          </cell>
        </row>
        <row r="106">
          <cell r="B106" t="str">
            <v>Net Margin</v>
          </cell>
          <cell r="C106">
            <v>0.19868288003318726</v>
          </cell>
          <cell r="D106" t="e">
            <v>#REF!</v>
          </cell>
          <cell r="F106" t="e">
            <v>#REF!</v>
          </cell>
          <cell r="G106" t="e">
            <v>#REF!</v>
          </cell>
        </row>
        <row r="107">
          <cell r="B107" t="str">
            <v>Effective Tax Rate</v>
          </cell>
          <cell r="C107">
            <v>0.23077695241919294</v>
          </cell>
          <cell r="D107" t="e">
            <v>#REF!</v>
          </cell>
          <cell r="F107" t="e">
            <v>#REF!</v>
          </cell>
          <cell r="G107" t="e">
            <v>#REF!</v>
          </cell>
        </row>
        <row r="109">
          <cell r="B109" t="str">
            <v>Operating Metrics</v>
          </cell>
        </row>
        <row r="110">
          <cell r="B110" t="str">
            <v>Commercial Generation (MUs)</v>
          </cell>
          <cell r="C110">
            <v>46.323</v>
          </cell>
          <cell r="D110" t="e">
            <v>#REF!</v>
          </cell>
          <cell r="E110" t="e">
            <v>#REF!</v>
          </cell>
          <cell r="F110" t="e">
            <v>#REF!</v>
          </cell>
          <cell r="G110" t="e">
            <v>#REF!</v>
          </cell>
          <cell r="H110" t="e">
            <v>#REF!</v>
          </cell>
        </row>
        <row r="111">
          <cell r="B111" t="str">
            <v>Sales (MUs)</v>
          </cell>
          <cell r="C111">
            <v>42.65260158418868</v>
          </cell>
          <cell r="D111" t="e">
            <v>#REF!</v>
          </cell>
          <cell r="E111" t="e">
            <v>#REF!</v>
          </cell>
          <cell r="F111" t="e">
            <v>#REF!</v>
          </cell>
          <cell r="G111" t="e">
            <v>#REF!</v>
          </cell>
          <cell r="H111" t="e">
            <v>#REF!</v>
          </cell>
        </row>
        <row r="112">
          <cell r="B112" t="str">
            <v>PLF (%)</v>
          </cell>
          <cell r="C112">
            <v>95.7</v>
          </cell>
          <cell r="D112" t="e">
            <v>#REF!</v>
          </cell>
          <cell r="E112" t="e">
            <v>#REF!</v>
          </cell>
          <cell r="F112" t="e">
            <v>#REF!</v>
          </cell>
          <cell r="G112" t="e">
            <v>#REF!</v>
          </cell>
          <cell r="H112" t="e">
            <v>#REF!</v>
          </cell>
        </row>
        <row r="116">
          <cell r="B116" t="str">
            <v>Quarterly Results</v>
          </cell>
        </row>
        <row r="117">
          <cell r="B117" t="str">
            <v>Period ending</v>
          </cell>
          <cell r="C117" t="str">
            <v>3QFY06</v>
          </cell>
          <cell r="D117" t="e">
            <v>#REF!</v>
          </cell>
          <cell r="E117" t="str">
            <v>YoY</v>
          </cell>
          <cell r="F117" t="str">
            <v>2QFY06</v>
          </cell>
          <cell r="G117" t="str">
            <v>QoQ</v>
          </cell>
          <cell r="H117" t="e">
            <v>#REF!</v>
          </cell>
          <cell r="I117" t="e">
            <v>#REF!</v>
          </cell>
          <cell r="J117" t="str">
            <v>Change</v>
          </cell>
        </row>
        <row r="118">
          <cell r="B118" t="str">
            <v>(Rs Million)</v>
          </cell>
          <cell r="C118">
            <v>38687</v>
          </cell>
          <cell r="D118" t="e">
            <v>#REF!</v>
          </cell>
          <cell r="F118">
            <v>38596</v>
          </cell>
          <cell r="H118" t="e">
            <v>#REF!</v>
          </cell>
          <cell r="I118" t="e">
            <v>#REF!</v>
          </cell>
        </row>
        <row r="119">
          <cell r="B119" t="str">
            <v>Revenue</v>
          </cell>
          <cell r="C119">
            <v>67159</v>
          </cell>
          <cell r="D119" t="e">
            <v>#REF!</v>
          </cell>
          <cell r="E119" t="e">
            <v>#REF!</v>
          </cell>
          <cell r="F119">
            <v>58487</v>
          </cell>
          <cell r="G119">
            <v>0.14827226563167883</v>
          </cell>
          <cell r="H119" t="e">
            <v>#REF!</v>
          </cell>
          <cell r="I119" t="e">
            <v>#REF!</v>
          </cell>
          <cell r="J119" t="e">
            <v>#REF!</v>
          </cell>
        </row>
        <row r="120">
          <cell r="B120" t="str">
            <v xml:space="preserve">     Labour</v>
          </cell>
          <cell r="C120">
            <v>2478</v>
          </cell>
          <cell r="D120" t="e">
            <v>#REF!</v>
          </cell>
          <cell r="E120" t="e">
            <v>#REF!</v>
          </cell>
          <cell r="F120">
            <v>2287</v>
          </cell>
          <cell r="G120">
            <v>8.3515522518583296E-2</v>
          </cell>
          <cell r="H120" t="e">
            <v>#REF!</v>
          </cell>
          <cell r="I120" t="e">
            <v>#REF!</v>
          </cell>
          <cell r="J120" t="e">
            <v>#REF!</v>
          </cell>
        </row>
        <row r="121">
          <cell r="B121" t="str">
            <v xml:space="preserve">     Fuel</v>
          </cell>
          <cell r="C121">
            <v>41886</v>
          </cell>
          <cell r="D121" t="e">
            <v>#REF!</v>
          </cell>
          <cell r="E121" t="e">
            <v>#REF!</v>
          </cell>
          <cell r="F121">
            <v>36857</v>
          </cell>
          <cell r="G121">
            <v>0.136446265295602</v>
          </cell>
          <cell r="H121" t="e">
            <v>#REF!</v>
          </cell>
          <cell r="I121" t="e">
            <v>#REF!</v>
          </cell>
          <cell r="J121" t="e">
            <v>#REF!</v>
          </cell>
          <cell r="Q121" t="str">
            <v>1500MW capacity addition</v>
          </cell>
        </row>
        <row r="122">
          <cell r="B122" t="str">
            <v xml:space="preserve">     Others</v>
          </cell>
          <cell r="C122">
            <v>3377</v>
          </cell>
          <cell r="D122" t="e">
            <v>#REF!</v>
          </cell>
          <cell r="E122" t="e">
            <v>#REF!</v>
          </cell>
          <cell r="F122">
            <v>3528</v>
          </cell>
          <cell r="G122">
            <v>-4.2800453514739267E-2</v>
          </cell>
          <cell r="H122" t="e">
            <v>#REF!</v>
          </cell>
          <cell r="I122" t="e">
            <v>#REF!</v>
          </cell>
          <cell r="J122" t="e">
            <v>#REF!</v>
          </cell>
          <cell r="Q122" t="str">
            <v>Increas in UI</v>
          </cell>
        </row>
        <row r="123">
          <cell r="B123" t="str">
            <v>Total Costs</v>
          </cell>
          <cell r="C123">
            <v>47741</v>
          </cell>
          <cell r="D123" t="e">
            <v>#REF!</v>
          </cell>
          <cell r="E123" t="e">
            <v>#REF!</v>
          </cell>
          <cell r="F123">
            <v>42672</v>
          </cell>
          <cell r="G123">
            <v>0.11878983877015381</v>
          </cell>
          <cell r="H123" t="e">
            <v>#REF!</v>
          </cell>
          <cell r="I123" t="e">
            <v>#REF!</v>
          </cell>
          <cell r="J123" t="e">
            <v>#REF!</v>
          </cell>
          <cell r="Q123" t="str">
            <v xml:space="preserve">PLF </v>
          </cell>
        </row>
        <row r="124">
          <cell r="B124" t="str">
            <v>EBITDA</v>
          </cell>
          <cell r="C124">
            <v>19418</v>
          </cell>
          <cell r="D124" t="e">
            <v>#REF!</v>
          </cell>
          <cell r="E124" t="e">
            <v>#REF!</v>
          </cell>
          <cell r="F124">
            <v>15815</v>
          </cell>
          <cell r="G124">
            <v>0.22782168827062921</v>
          </cell>
          <cell r="H124" t="e">
            <v>#REF!</v>
          </cell>
          <cell r="I124" t="e">
            <v>#REF!</v>
          </cell>
          <cell r="J124" t="e">
            <v>#REF!</v>
          </cell>
        </row>
        <row r="125">
          <cell r="B125" t="str">
            <v>Depreciation</v>
          </cell>
          <cell r="C125">
            <v>5063</v>
          </cell>
          <cell r="D125" t="e">
            <v>#REF!</v>
          </cell>
          <cell r="E125" t="e">
            <v>#REF!</v>
          </cell>
          <cell r="F125">
            <v>5202</v>
          </cell>
          <cell r="G125">
            <v>-2.6720492118415984E-2</v>
          </cell>
          <cell r="H125" t="e">
            <v>#REF!</v>
          </cell>
          <cell r="I125" t="e">
            <v>#REF!</v>
          </cell>
          <cell r="J125" t="e">
            <v>#REF!</v>
          </cell>
        </row>
        <row r="126">
          <cell r="B126" t="str">
            <v>EBIT</v>
          </cell>
          <cell r="C126">
            <v>14355</v>
          </cell>
          <cell r="D126" t="e">
            <v>#REF!</v>
          </cell>
          <cell r="E126" t="e">
            <v>#REF!</v>
          </cell>
          <cell r="F126">
            <v>10613</v>
          </cell>
          <cell r="G126">
            <v>0.35258645057947802</v>
          </cell>
          <cell r="H126" t="e">
            <v>#REF!</v>
          </cell>
          <cell r="I126" t="e">
            <v>#REF!</v>
          </cell>
          <cell r="J126" t="e">
            <v>#REF!</v>
          </cell>
          <cell r="Q126">
            <v>35.4</v>
          </cell>
          <cell r="R126">
            <v>33.1</v>
          </cell>
        </row>
        <row r="127">
          <cell r="B127" t="str">
            <v>Interest &amp; Finance Charges</v>
          </cell>
          <cell r="C127">
            <v>2829</v>
          </cell>
          <cell r="D127" t="e">
            <v>#REF!</v>
          </cell>
          <cell r="E127" t="e">
            <v>#REF!</v>
          </cell>
          <cell r="F127">
            <v>2814</v>
          </cell>
          <cell r="G127">
            <v>5.3304904051172386E-3</v>
          </cell>
          <cell r="H127" t="e">
            <v>#REF!</v>
          </cell>
          <cell r="I127" t="e">
            <v>#REF!</v>
          </cell>
          <cell r="J127" t="e">
            <v>#REF!</v>
          </cell>
          <cell r="Q127">
            <v>5.9740000000000002</v>
          </cell>
          <cell r="R127">
            <v>5.7409999999999997</v>
          </cell>
        </row>
        <row r="128">
          <cell r="B128" t="str">
            <v>Non Operating Income</v>
          </cell>
          <cell r="C128">
            <v>3891</v>
          </cell>
          <cell r="D128" t="e">
            <v>#REF!</v>
          </cell>
          <cell r="E128" t="e">
            <v>#REF!</v>
          </cell>
          <cell r="F128">
            <v>4578</v>
          </cell>
          <cell r="G128">
            <v>-0.15006553079947571</v>
          </cell>
          <cell r="H128" t="e">
            <v>#REF!</v>
          </cell>
          <cell r="I128" t="e">
            <v>#REF!</v>
          </cell>
          <cell r="J128" t="e">
            <v>#REF!</v>
          </cell>
          <cell r="Q128">
            <v>41.373999999999995</v>
          </cell>
          <cell r="R128">
            <v>38.841000000000001</v>
          </cell>
        </row>
        <row r="129">
          <cell r="B129" t="str">
            <v>Pretax Profit</v>
          </cell>
          <cell r="C129">
            <v>15417</v>
          </cell>
          <cell r="D129" t="e">
            <v>#REF!</v>
          </cell>
          <cell r="E129" t="e">
            <v>#REF!</v>
          </cell>
          <cell r="F129">
            <v>12377</v>
          </cell>
          <cell r="G129">
            <v>0.2456168700008079</v>
          </cell>
          <cell r="H129" t="e">
            <v>#REF!</v>
          </cell>
          <cell r="I129" t="e">
            <v>#REF!</v>
          </cell>
          <cell r="J129" t="e">
            <v>#REF!</v>
          </cell>
          <cell r="R129">
            <v>6.5214592827167017E-2</v>
          </cell>
        </row>
        <row r="130">
          <cell r="B130" t="str">
            <v>Tax</v>
          </cell>
          <cell r="C130">
            <v>516</v>
          </cell>
          <cell r="D130" t="e">
            <v>#REF!</v>
          </cell>
          <cell r="E130" t="e">
            <v>#REF!</v>
          </cell>
          <cell r="F130">
            <v>832</v>
          </cell>
          <cell r="G130">
            <v>-0.37980769230769229</v>
          </cell>
          <cell r="H130" t="e">
            <v>#REF!</v>
          </cell>
          <cell r="I130" t="e">
            <v>#REF!</v>
          </cell>
          <cell r="J130" t="e">
            <v>#REF!</v>
          </cell>
        </row>
        <row r="131">
          <cell r="B131" t="str">
            <v>Net Profit</v>
          </cell>
          <cell r="C131">
            <v>14901</v>
          </cell>
          <cell r="D131" t="e">
            <v>#REF!</v>
          </cell>
          <cell r="E131" t="e">
            <v>#REF!</v>
          </cell>
          <cell r="F131">
            <v>11545</v>
          </cell>
          <cell r="G131">
            <v>0.29068860978778699</v>
          </cell>
          <cell r="H131" t="e">
            <v>#REF!</v>
          </cell>
          <cell r="I131" t="e">
            <v>#REF!</v>
          </cell>
          <cell r="J131" t="e">
            <v>#REF!</v>
          </cell>
        </row>
        <row r="132">
          <cell r="B132" t="str">
            <v>Extraordinary items</v>
          </cell>
          <cell r="C132">
            <v>2916</v>
          </cell>
          <cell r="D132" t="e">
            <v>#REF!</v>
          </cell>
          <cell r="F132">
            <v>90</v>
          </cell>
          <cell r="H132" t="e">
            <v>#REF!</v>
          </cell>
          <cell r="I132" t="e">
            <v>#REF!</v>
          </cell>
        </row>
        <row r="133">
          <cell r="B133" t="str">
            <v>Reported PAT</v>
          </cell>
          <cell r="C133">
            <v>17817</v>
          </cell>
          <cell r="D133" t="e">
            <v>#REF!</v>
          </cell>
          <cell r="E133" t="e">
            <v>#REF!</v>
          </cell>
          <cell r="F133">
            <v>11635</v>
          </cell>
          <cell r="G133">
            <v>0.53132788998710789</v>
          </cell>
          <cell r="H133" t="e">
            <v>#REF!</v>
          </cell>
          <cell r="I133" t="e">
            <v>#REF!</v>
          </cell>
          <cell r="J133" t="e">
            <v>#REF!</v>
          </cell>
        </row>
        <row r="135">
          <cell r="B135" t="str">
            <v>Operating Margin</v>
          </cell>
          <cell r="C135">
            <v>0.28913473994550248</v>
          </cell>
          <cell r="D135" t="e">
            <v>#REF!</v>
          </cell>
          <cell r="F135">
            <v>0.27040196966847335</v>
          </cell>
          <cell r="H135" t="e">
            <v>#REF!</v>
          </cell>
          <cell r="I135" t="e">
            <v>#REF!</v>
          </cell>
        </row>
        <row r="136">
          <cell r="B136" t="str">
            <v>Net Margin</v>
          </cell>
          <cell r="C136">
            <v>0.22187644247234176</v>
          </cell>
          <cell r="D136" t="e">
            <v>#REF!</v>
          </cell>
          <cell r="F136">
            <v>0.19739429274881598</v>
          </cell>
          <cell r="H136" t="e">
            <v>#REF!</v>
          </cell>
          <cell r="I136" t="e">
            <v>#REF!</v>
          </cell>
        </row>
        <row r="137">
          <cell r="B137" t="str">
            <v>Effective Tax Rate</v>
          </cell>
          <cell r="C137">
            <v>3.3469546604397743E-2</v>
          </cell>
          <cell r="D137" t="e">
            <v>#REF!</v>
          </cell>
          <cell r="F137">
            <v>6.7221459158115865E-2</v>
          </cell>
          <cell r="H137" t="e">
            <v>#REF!</v>
          </cell>
          <cell r="I137" t="e">
            <v>#REF!</v>
          </cell>
        </row>
        <row r="139">
          <cell r="B139" t="str">
            <v>Operating Metrics</v>
          </cell>
        </row>
        <row r="140">
          <cell r="B140" t="str">
            <v>Comercial Generation (MUs)</v>
          </cell>
          <cell r="C140">
            <v>43.537999999999997</v>
          </cell>
          <cell r="D140" t="e">
            <v>#REF!</v>
          </cell>
          <cell r="E140" t="e">
            <v>#REF!</v>
          </cell>
          <cell r="F140">
            <v>39.262999999999998</v>
          </cell>
          <cell r="G140">
            <v>0.10888113491073015</v>
          </cell>
          <cell r="H140" t="e">
            <v>#REF!</v>
          </cell>
          <cell r="I140" t="e">
            <v>#REF!</v>
          </cell>
          <cell r="J140" t="e">
            <v>#REF!</v>
          </cell>
        </row>
        <row r="141">
          <cell r="B141" t="str">
            <v>Sales (MUs)</v>
          </cell>
          <cell r="C141">
            <v>40.798000000000002</v>
          </cell>
          <cell r="D141" t="e">
            <v>#REF!</v>
          </cell>
          <cell r="E141" t="e">
            <v>#REF!</v>
          </cell>
          <cell r="F141">
            <v>36.152000000000001</v>
          </cell>
          <cell r="G141">
            <v>0.12851294534188984</v>
          </cell>
          <cell r="H141" t="e">
            <v>#REF!</v>
          </cell>
          <cell r="I141" t="e">
            <v>#REF!</v>
          </cell>
          <cell r="J141" t="e">
            <v>#REF!</v>
          </cell>
        </row>
        <row r="142">
          <cell r="B142" t="str">
            <v>PLF (%)</v>
          </cell>
          <cell r="C142">
            <v>87.84</v>
          </cell>
          <cell r="D142" t="e">
            <v>#REF!</v>
          </cell>
          <cell r="E142" t="e">
            <v>#REF!</v>
          </cell>
          <cell r="F142">
            <v>79.349999999999994</v>
          </cell>
          <cell r="G142">
            <v>0.1069943289224955</v>
          </cell>
          <cell r="H142" t="e">
            <v>#REF!</v>
          </cell>
          <cell r="I142" t="e">
            <v>#REF!</v>
          </cell>
          <cell r="J142" t="e">
            <v>#REF!</v>
          </cell>
        </row>
        <row r="145">
          <cell r="B145" t="str">
            <v>Revenue Model</v>
          </cell>
        </row>
        <row r="146">
          <cell r="B146" t="str">
            <v>Year-end March</v>
          </cell>
          <cell r="C146" t="str">
            <v>F2004</v>
          </cell>
          <cell r="D146" t="str">
            <v>F2005</v>
          </cell>
          <cell r="E146" t="str">
            <v>F2006e</v>
          </cell>
          <cell r="F146" t="str">
            <v>F2007e</v>
          </cell>
          <cell r="G146" t="str">
            <v>F2008e</v>
          </cell>
        </row>
        <row r="147">
          <cell r="B147" t="str">
            <v>Commercial Capacity (billion kWh)</v>
          </cell>
        </row>
        <row r="148">
          <cell r="B148" t="str">
            <v>Coal</v>
          </cell>
          <cell r="C148" t="e">
            <v>#REF!</v>
          </cell>
          <cell r="D148" t="e">
            <v>#REF!</v>
          </cell>
          <cell r="E148" t="e">
            <v>#REF!</v>
          </cell>
          <cell r="F148" t="e">
            <v>#REF!</v>
          </cell>
          <cell r="G148" t="e">
            <v>#REF!</v>
          </cell>
        </row>
        <row r="149">
          <cell r="B149" t="str">
            <v>Gas / Liquid Fuel</v>
          </cell>
          <cell r="C149" t="e">
            <v>#REF!</v>
          </cell>
          <cell r="D149" t="e">
            <v>#REF!</v>
          </cell>
          <cell r="E149" t="e">
            <v>#REF!</v>
          </cell>
          <cell r="F149" t="e">
            <v>#REF!</v>
          </cell>
          <cell r="G149" t="e">
            <v>#REF!</v>
          </cell>
        </row>
        <row r="150">
          <cell r="B150" t="str">
            <v>Total</v>
          </cell>
          <cell r="C150" t="e">
            <v>#REF!</v>
          </cell>
          <cell r="D150" t="e">
            <v>#REF!</v>
          </cell>
          <cell r="E150" t="e">
            <v>#REF!</v>
          </cell>
          <cell r="F150" t="e">
            <v>#REF!</v>
          </cell>
          <cell r="G150" t="e">
            <v>#REF!</v>
          </cell>
        </row>
        <row r="151">
          <cell r="B151" t="str">
            <v>Generation Capacity (billion kWh)</v>
          </cell>
        </row>
        <row r="152">
          <cell r="B152" t="str">
            <v>Coal</v>
          </cell>
          <cell r="C152" t="e">
            <v>#REF!</v>
          </cell>
          <cell r="D152" t="e">
            <v>#REF!</v>
          </cell>
          <cell r="E152" t="e">
            <v>#REF!</v>
          </cell>
          <cell r="F152" t="e">
            <v>#REF!</v>
          </cell>
          <cell r="G152" t="e">
            <v>#REF!</v>
          </cell>
        </row>
        <row r="153">
          <cell r="B153" t="str">
            <v>Gas / Liquid Fuel</v>
          </cell>
          <cell r="C153" t="e">
            <v>#REF!</v>
          </cell>
          <cell r="D153" t="e">
            <v>#REF!</v>
          </cell>
          <cell r="E153" t="e">
            <v>#REF!</v>
          </cell>
          <cell r="F153" t="e">
            <v>#REF!</v>
          </cell>
          <cell r="G153" t="e">
            <v>#REF!</v>
          </cell>
        </row>
        <row r="154">
          <cell r="B154" t="str">
            <v>Total</v>
          </cell>
          <cell r="C154" t="e">
            <v>#REF!</v>
          </cell>
          <cell r="D154" t="e">
            <v>#REF!</v>
          </cell>
          <cell r="E154" t="e">
            <v>#REF!</v>
          </cell>
          <cell r="F154" t="e">
            <v>#REF!</v>
          </cell>
          <cell r="G154" t="e">
            <v>#REF!</v>
          </cell>
        </row>
        <row r="155">
          <cell r="B155" t="str">
            <v>Plant Load Factor (%)*</v>
          </cell>
        </row>
        <row r="156">
          <cell r="B156" t="str">
            <v xml:space="preserve">Coal </v>
          </cell>
          <cell r="C156" t="e">
            <v>#REF!</v>
          </cell>
          <cell r="D156" t="e">
            <v>#REF!</v>
          </cell>
          <cell r="E156" t="e">
            <v>#REF!</v>
          </cell>
          <cell r="F156" t="e">
            <v>#REF!</v>
          </cell>
          <cell r="G156" t="e">
            <v>#REF!</v>
          </cell>
        </row>
        <row r="157">
          <cell r="B157" t="str">
            <v>Gas</v>
          </cell>
          <cell r="C157" t="e">
            <v>#REF!</v>
          </cell>
          <cell r="D157" t="e">
            <v>#REF!</v>
          </cell>
          <cell r="E157" t="e">
            <v>#REF!</v>
          </cell>
          <cell r="F157" t="e">
            <v>#REF!</v>
          </cell>
          <cell r="G157" t="e">
            <v>#REF!</v>
          </cell>
        </row>
        <row r="158">
          <cell r="B158" t="str">
            <v>Total</v>
          </cell>
          <cell r="C158" t="e">
            <v>#REF!</v>
          </cell>
          <cell r="D158" t="e">
            <v>#REF!</v>
          </cell>
          <cell r="E158" t="e">
            <v>#REF!</v>
          </cell>
          <cell r="F158" t="e">
            <v>#REF!</v>
          </cell>
          <cell r="G158" t="e">
            <v>#REF!</v>
          </cell>
        </row>
        <row r="159">
          <cell r="B159" t="str">
            <v>Generation (billion kWh)</v>
          </cell>
        </row>
        <row r="160">
          <cell r="B160" t="str">
            <v xml:space="preserve">Coal </v>
          </cell>
          <cell r="C160" t="e">
            <v>#REF!</v>
          </cell>
          <cell r="D160" t="e">
            <v>#REF!</v>
          </cell>
          <cell r="E160" t="e">
            <v>#REF!</v>
          </cell>
          <cell r="F160" t="e">
            <v>#REF!</v>
          </cell>
          <cell r="G160" t="e">
            <v>#REF!</v>
          </cell>
        </row>
        <row r="161">
          <cell r="B161" t="str">
            <v>Gas</v>
          </cell>
          <cell r="C161" t="e">
            <v>#REF!</v>
          </cell>
          <cell r="D161" t="e">
            <v>#REF!</v>
          </cell>
          <cell r="E161" t="e">
            <v>#REF!</v>
          </cell>
          <cell r="F161" t="e">
            <v>#REF!</v>
          </cell>
          <cell r="G161" t="e">
            <v>#REF!</v>
          </cell>
        </row>
        <row r="162">
          <cell r="B162" t="str">
            <v>Total</v>
          </cell>
          <cell r="C162" t="e">
            <v>#REF!</v>
          </cell>
          <cell r="D162" t="e">
            <v>#REF!</v>
          </cell>
          <cell r="E162" t="e">
            <v>#REF!</v>
          </cell>
          <cell r="F162" t="e">
            <v>#REF!</v>
          </cell>
          <cell r="G162" t="e">
            <v>#REF!</v>
          </cell>
        </row>
        <row r="163">
          <cell r="B163" t="str">
            <v>Sales (billion kWh)</v>
          </cell>
        </row>
        <row r="164">
          <cell r="B164" t="str">
            <v xml:space="preserve">Coal </v>
          </cell>
          <cell r="C164" t="e">
            <v>#REF!</v>
          </cell>
          <cell r="D164" t="e">
            <v>#REF!</v>
          </cell>
          <cell r="E164" t="e">
            <v>#REF!</v>
          </cell>
          <cell r="F164" t="e">
            <v>#REF!</v>
          </cell>
          <cell r="G164" t="e">
            <v>#REF!</v>
          </cell>
        </row>
        <row r="165">
          <cell r="B165" t="str">
            <v>Gas</v>
          </cell>
          <cell r="C165" t="e">
            <v>#REF!</v>
          </cell>
          <cell r="D165" t="e">
            <v>#REF!</v>
          </cell>
          <cell r="E165" t="e">
            <v>#REF!</v>
          </cell>
          <cell r="F165" t="e">
            <v>#REF!</v>
          </cell>
          <cell r="G165" t="e">
            <v>#REF!</v>
          </cell>
        </row>
        <row r="166">
          <cell r="B166" t="str">
            <v>Total</v>
          </cell>
          <cell r="C166" t="e">
            <v>#REF!</v>
          </cell>
          <cell r="D166" t="e">
            <v>#REF!</v>
          </cell>
          <cell r="E166" t="e">
            <v>#REF!</v>
          </cell>
          <cell r="F166" t="e">
            <v>#REF!</v>
          </cell>
          <cell r="G166" t="e">
            <v>#REF!</v>
          </cell>
        </row>
        <row r="168">
          <cell r="B168" t="str">
            <v>Net Revenues (Rs Mn)</v>
          </cell>
          <cell r="C168">
            <v>188684</v>
          </cell>
          <cell r="D168">
            <v>224150</v>
          </cell>
          <cell r="E168">
            <v>274224</v>
          </cell>
          <cell r="F168">
            <v>338757</v>
          </cell>
          <cell r="G168">
            <v>386350</v>
          </cell>
        </row>
        <row r="169">
          <cell r="B169" t="str">
            <v>Electricity Tariff (Rs/kWh)</v>
          </cell>
          <cell r="C169" t="e">
            <v>#REF!</v>
          </cell>
          <cell r="D169" t="e">
            <v>#REF!</v>
          </cell>
          <cell r="E169" t="e">
            <v>#REF!</v>
          </cell>
          <cell r="F169" t="e">
            <v>#REF!</v>
          </cell>
          <cell r="G169" t="e">
            <v>#REF!</v>
          </cell>
        </row>
        <row r="170">
          <cell r="B170" t="str">
            <v>*PLF is based on Effective Generation Capacity</v>
          </cell>
        </row>
        <row r="172">
          <cell r="B172" t="str">
            <v>NTPC-Income Statement</v>
          </cell>
        </row>
        <row r="173">
          <cell r="B173" t="str">
            <v>(Rs Million)</v>
          </cell>
          <cell r="C173" t="str">
            <v>F2004</v>
          </cell>
          <cell r="D173" t="str">
            <v>F2005</v>
          </cell>
          <cell r="E173" t="str">
            <v>F2006e</v>
          </cell>
          <cell r="F173" t="str">
            <v>F2007e</v>
          </cell>
          <cell r="G173" t="str">
            <v>F2008e</v>
          </cell>
        </row>
        <row r="175">
          <cell r="B175" t="str">
            <v>Net Revenues</v>
          </cell>
          <cell r="C175">
            <v>188684</v>
          </cell>
          <cell r="D175">
            <v>224150</v>
          </cell>
          <cell r="E175">
            <v>274224</v>
          </cell>
          <cell r="F175">
            <v>338757</v>
          </cell>
          <cell r="G175">
            <v>386350</v>
          </cell>
        </row>
        <row r="176">
          <cell r="B176" t="str">
            <v>Fuel Charges</v>
          </cell>
          <cell r="C176">
            <v>122150</v>
          </cell>
          <cell r="D176">
            <v>137235</v>
          </cell>
          <cell r="E176">
            <v>163963</v>
          </cell>
          <cell r="F176">
            <v>198201</v>
          </cell>
          <cell r="G176">
            <v>222187</v>
          </cell>
        </row>
        <row r="177">
          <cell r="B177" t="str">
            <v>Salary &amp; Benefits</v>
          </cell>
          <cell r="C177">
            <v>8835</v>
          </cell>
          <cell r="D177">
            <v>8823</v>
          </cell>
          <cell r="E177">
            <v>9964</v>
          </cell>
          <cell r="F177">
            <v>11955</v>
          </cell>
          <cell r="G177">
            <v>19533</v>
          </cell>
        </row>
        <row r="178">
          <cell r="B178" t="str">
            <v>S, G &amp; A</v>
          </cell>
          <cell r="C178">
            <v>11221</v>
          </cell>
          <cell r="D178">
            <v>12062</v>
          </cell>
          <cell r="E178">
            <v>20289</v>
          </cell>
          <cell r="F178">
            <v>26870</v>
          </cell>
          <cell r="G178">
            <v>30499</v>
          </cell>
        </row>
        <row r="179">
          <cell r="B179" t="str">
            <v xml:space="preserve">Provisions </v>
          </cell>
          <cell r="C179">
            <v>5835</v>
          </cell>
          <cell r="D179">
            <v>75</v>
          </cell>
          <cell r="E179">
            <v>358</v>
          </cell>
          <cell r="F179">
            <v>116</v>
          </cell>
          <cell r="G179">
            <v>0</v>
          </cell>
        </row>
        <row r="180">
          <cell r="B180" t="str">
            <v>Operating Expenses</v>
          </cell>
          <cell r="C180">
            <v>148041</v>
          </cell>
          <cell r="D180">
            <v>158195</v>
          </cell>
          <cell r="E180">
            <v>194574</v>
          </cell>
          <cell r="F180">
            <v>237142</v>
          </cell>
          <cell r="G180">
            <v>272219</v>
          </cell>
        </row>
        <row r="181">
          <cell r="B181" t="str">
            <v>Operating profit</v>
          </cell>
          <cell r="C181">
            <v>40643</v>
          </cell>
          <cell r="D181">
            <v>65955</v>
          </cell>
          <cell r="E181">
            <v>79650</v>
          </cell>
          <cell r="F181">
            <v>101615</v>
          </cell>
          <cell r="G181">
            <v>114131</v>
          </cell>
        </row>
        <row r="182">
          <cell r="B182" t="str">
            <v xml:space="preserve">Non Operating Income </v>
          </cell>
          <cell r="C182">
            <v>26456</v>
          </cell>
          <cell r="D182">
            <v>9580</v>
          </cell>
          <cell r="E182">
            <v>9367</v>
          </cell>
          <cell r="F182">
            <v>13485</v>
          </cell>
          <cell r="G182">
            <v>30020</v>
          </cell>
        </row>
        <row r="183">
          <cell r="B183" t="str">
            <v xml:space="preserve">Net SEB Bond Income </v>
          </cell>
          <cell r="C183">
            <v>13543</v>
          </cell>
          <cell r="D183">
            <v>4895</v>
          </cell>
          <cell r="E183">
            <v>8830</v>
          </cell>
          <cell r="F183">
            <v>14235</v>
          </cell>
          <cell r="G183">
            <v>0</v>
          </cell>
        </row>
        <row r="184">
          <cell r="B184" t="str">
            <v>Depreciation</v>
          </cell>
          <cell r="C184">
            <v>20232</v>
          </cell>
          <cell r="D184">
            <v>19584</v>
          </cell>
          <cell r="E184">
            <v>20710</v>
          </cell>
          <cell r="F184">
            <v>20998</v>
          </cell>
          <cell r="G184">
            <v>22060</v>
          </cell>
        </row>
        <row r="185">
          <cell r="B185" t="str">
            <v>Interest Expense</v>
          </cell>
          <cell r="C185">
            <v>12386</v>
          </cell>
          <cell r="D185">
            <v>10142</v>
          </cell>
          <cell r="E185">
            <v>9795</v>
          </cell>
          <cell r="F185">
            <v>18873</v>
          </cell>
          <cell r="G185">
            <v>18581</v>
          </cell>
        </row>
        <row r="186">
          <cell r="B186" t="str">
            <v>Profit before Tax</v>
          </cell>
          <cell r="C186">
            <v>48024</v>
          </cell>
          <cell r="D186">
            <v>50704</v>
          </cell>
          <cell r="E186">
            <v>67342</v>
          </cell>
          <cell r="F186">
            <v>89464</v>
          </cell>
          <cell r="G186">
            <v>103510</v>
          </cell>
        </row>
        <row r="187">
          <cell r="B187" t="str">
            <v xml:space="preserve">Tax </v>
          </cell>
          <cell r="C187">
            <v>5108.4443859619332</v>
          </cell>
          <cell r="D187">
            <v>2266.8861176006053</v>
          </cell>
          <cell r="E187">
            <v>7999</v>
          </cell>
          <cell r="F187">
            <v>20631</v>
          </cell>
          <cell r="G187">
            <v>28811</v>
          </cell>
        </row>
        <row r="188">
          <cell r="B188" t="str">
            <v>Net Profit</v>
          </cell>
          <cell r="C188">
            <v>42915.555614038065</v>
          </cell>
          <cell r="D188">
            <v>48437.113882399397</v>
          </cell>
          <cell r="E188">
            <v>59343</v>
          </cell>
          <cell r="F188">
            <v>68833</v>
          </cell>
          <cell r="G188">
            <v>74699</v>
          </cell>
        </row>
        <row r="189">
          <cell r="B189" t="str">
            <v xml:space="preserve">Extraordinary </v>
          </cell>
          <cell r="C189">
            <v>9692.4443859619332</v>
          </cell>
          <cell r="D189">
            <v>9632.8861176006048</v>
          </cell>
          <cell r="E189">
            <v>-935</v>
          </cell>
          <cell r="F189">
            <v>150</v>
          </cell>
          <cell r="G189">
            <v>0</v>
          </cell>
        </row>
        <row r="190">
          <cell r="B190" t="str">
            <v>Reported Net Profit</v>
          </cell>
          <cell r="C190">
            <v>52608</v>
          </cell>
          <cell r="D190">
            <v>58070</v>
          </cell>
          <cell r="E190">
            <v>58408</v>
          </cell>
          <cell r="F190">
            <v>68983</v>
          </cell>
          <cell r="G190">
            <v>74699</v>
          </cell>
          <cell r="K190">
            <v>3.6029235150808084E-3</v>
          </cell>
        </row>
        <row r="193">
          <cell r="B193" t="str">
            <v>Check</v>
          </cell>
          <cell r="C193">
            <v>0</v>
          </cell>
          <cell r="D193">
            <v>0</v>
          </cell>
          <cell r="E193">
            <v>0</v>
          </cell>
          <cell r="F193">
            <v>0</v>
          </cell>
          <cell r="G193">
            <v>0</v>
          </cell>
        </row>
        <row r="195">
          <cell r="B195" t="str">
            <v>NTPC-Balance Sheet</v>
          </cell>
        </row>
        <row r="196">
          <cell r="B196" t="str">
            <v>(Rs Millions)</v>
          </cell>
          <cell r="C196" t="str">
            <v>F2004</v>
          </cell>
          <cell r="D196" t="str">
            <v>F2005</v>
          </cell>
          <cell r="E196" t="str">
            <v>F2006e</v>
          </cell>
          <cell r="F196" t="str">
            <v>F2007e</v>
          </cell>
          <cell r="G196" t="str">
            <v>F2008e</v>
          </cell>
        </row>
        <row r="197">
          <cell r="B197" t="str">
            <v xml:space="preserve">SOURCES </v>
          </cell>
        </row>
        <row r="198">
          <cell r="B198" t="str">
            <v>Share Capital</v>
          </cell>
          <cell r="C198">
            <v>78125</v>
          </cell>
          <cell r="D198">
            <v>82455</v>
          </cell>
          <cell r="E198">
            <v>82455</v>
          </cell>
          <cell r="F198">
            <v>82455</v>
          </cell>
          <cell r="G198">
            <v>0</v>
          </cell>
        </row>
        <row r="199">
          <cell r="B199" t="str">
            <v>Share Premium</v>
          </cell>
          <cell r="C199">
            <v>0</v>
          </cell>
          <cell r="D199">
            <v>22334</v>
          </cell>
          <cell r="E199">
            <v>22307</v>
          </cell>
          <cell r="F199">
            <v>22307</v>
          </cell>
          <cell r="G199">
            <v>0</v>
          </cell>
        </row>
        <row r="200">
          <cell r="B200" t="str">
            <v>Reserves &amp; Surplus</v>
          </cell>
          <cell r="C200">
            <v>277376</v>
          </cell>
          <cell r="D200">
            <v>312974</v>
          </cell>
          <cell r="E200">
            <v>345244</v>
          </cell>
          <cell r="F200">
            <v>382363</v>
          </cell>
          <cell r="G200">
            <v>0</v>
          </cell>
        </row>
        <row r="201">
          <cell r="B201" t="str">
            <v>Shareholders Funds</v>
          </cell>
          <cell r="C201">
            <v>355501</v>
          </cell>
          <cell r="D201">
            <v>417763</v>
          </cell>
          <cell r="E201">
            <v>450006</v>
          </cell>
          <cell r="F201">
            <v>487125</v>
          </cell>
          <cell r="G201">
            <v>0</v>
          </cell>
        </row>
        <row r="202">
          <cell r="B202" t="str">
            <v>Deferred Tax Liability</v>
          </cell>
          <cell r="C202">
            <v>1</v>
          </cell>
          <cell r="D202">
            <v>1</v>
          </cell>
          <cell r="E202">
            <v>40</v>
          </cell>
          <cell r="F202">
            <v>1</v>
          </cell>
          <cell r="G202">
            <v>0</v>
          </cell>
        </row>
        <row r="203">
          <cell r="B203" t="str">
            <v>Deferred Revenue*</v>
          </cell>
          <cell r="C203">
            <v>5375</v>
          </cell>
          <cell r="D203">
            <v>3374</v>
          </cell>
          <cell r="E203">
            <v>4408</v>
          </cell>
          <cell r="F203">
            <v>6567</v>
          </cell>
          <cell r="G203">
            <v>0</v>
          </cell>
        </row>
        <row r="204">
          <cell r="B204" t="str">
            <v>Loan Funds</v>
          </cell>
          <cell r="C204">
            <v>154528</v>
          </cell>
          <cell r="D204">
            <v>170878</v>
          </cell>
          <cell r="E204">
            <v>224797</v>
          </cell>
          <cell r="F204">
            <v>270195</v>
          </cell>
          <cell r="G204">
            <v>0</v>
          </cell>
        </row>
        <row r="205">
          <cell r="B205" t="str">
            <v>TOTAL LIABILITIES</v>
          </cell>
          <cell r="C205">
            <v>515405</v>
          </cell>
          <cell r="D205">
            <v>592016</v>
          </cell>
          <cell r="E205">
            <v>679251</v>
          </cell>
          <cell r="F205">
            <v>763888</v>
          </cell>
          <cell r="G205">
            <v>0</v>
          </cell>
        </row>
        <row r="206">
          <cell r="B206" t="str">
            <v xml:space="preserve">APPLICATION </v>
          </cell>
        </row>
        <row r="207">
          <cell r="B207" t="str">
            <v>Gross Block</v>
          </cell>
          <cell r="C207">
            <v>400281</v>
          </cell>
          <cell r="D207">
            <v>431062</v>
          </cell>
          <cell r="E207">
            <v>463648</v>
          </cell>
          <cell r="F207">
            <v>510944</v>
          </cell>
          <cell r="G207">
            <v>0</v>
          </cell>
        </row>
        <row r="208">
          <cell r="B208" t="str">
            <v>Accumulated Depreciation</v>
          </cell>
          <cell r="C208">
            <v>187736</v>
          </cell>
          <cell r="D208">
            <v>207914</v>
          </cell>
          <cell r="E208">
            <v>230607</v>
          </cell>
          <cell r="F208">
            <v>252166</v>
          </cell>
          <cell r="G208">
            <v>0</v>
          </cell>
        </row>
        <row r="209">
          <cell r="B209" t="str">
            <v>Net Block</v>
          </cell>
          <cell r="C209">
            <v>212545</v>
          </cell>
          <cell r="D209">
            <v>223148</v>
          </cell>
          <cell r="E209">
            <v>233041</v>
          </cell>
          <cell r="F209">
            <v>258778</v>
          </cell>
          <cell r="G209">
            <v>0</v>
          </cell>
        </row>
        <row r="210">
          <cell r="B210" t="str">
            <v>Gas &amp; Coal Fields</v>
          </cell>
          <cell r="C210">
            <v>0</v>
          </cell>
          <cell r="D210">
            <v>0</v>
          </cell>
          <cell r="E210">
            <v>31</v>
          </cell>
          <cell r="F210">
            <v>443</v>
          </cell>
          <cell r="G210">
            <v>0</v>
          </cell>
        </row>
        <row r="211">
          <cell r="B211" t="str">
            <v>CWIP / Capital Adv.</v>
          </cell>
          <cell r="C211">
            <v>56413</v>
          </cell>
          <cell r="D211">
            <v>67063</v>
          </cell>
          <cell r="E211">
            <v>129266</v>
          </cell>
          <cell r="F211">
            <v>159785</v>
          </cell>
          <cell r="G211">
            <v>0</v>
          </cell>
        </row>
        <row r="212">
          <cell r="B212" t="str">
            <v>Const. Stores &amp; Adv.</v>
          </cell>
          <cell r="C212">
            <v>18540</v>
          </cell>
          <cell r="D212">
            <v>32189</v>
          </cell>
          <cell r="E212">
            <v>33504</v>
          </cell>
          <cell r="F212">
            <v>42636</v>
          </cell>
          <cell r="G212">
            <v>0</v>
          </cell>
        </row>
        <row r="213">
          <cell r="B213" t="str">
            <v xml:space="preserve">Investments </v>
          </cell>
          <cell r="C213">
            <v>173380</v>
          </cell>
          <cell r="D213">
            <v>180575</v>
          </cell>
          <cell r="E213">
            <v>181932</v>
          </cell>
          <cell r="F213">
            <v>151259</v>
          </cell>
          <cell r="G213">
            <v>0</v>
          </cell>
        </row>
        <row r="214">
          <cell r="B214" t="str">
            <v>Current Assets</v>
          </cell>
          <cell r="C214">
            <v>135468</v>
          </cell>
          <cell r="D214">
            <v>156508</v>
          </cell>
          <cell r="E214">
            <v>164295</v>
          </cell>
          <cell r="F214">
            <v>228393</v>
          </cell>
          <cell r="G214">
            <v>0</v>
          </cell>
        </row>
        <row r="215">
          <cell r="B215" t="str">
            <v>Cash / Cash Equiv.</v>
          </cell>
          <cell r="C215">
            <v>6091</v>
          </cell>
          <cell r="D215">
            <v>88185</v>
          </cell>
          <cell r="E215">
            <v>90065</v>
          </cell>
          <cell r="F215">
            <v>137150</v>
          </cell>
          <cell r="G215">
            <v>0</v>
          </cell>
        </row>
        <row r="216">
          <cell r="B216" t="str">
            <v>Current Liab. / Prov</v>
          </cell>
          <cell r="C216">
            <v>80941</v>
          </cell>
          <cell r="D216">
            <v>67467</v>
          </cell>
          <cell r="E216">
            <v>63574</v>
          </cell>
          <cell r="F216">
            <v>76934</v>
          </cell>
          <cell r="G216">
            <v>0</v>
          </cell>
        </row>
        <row r="217">
          <cell r="B217" t="str">
            <v>Net Current Assets</v>
          </cell>
          <cell r="C217">
            <v>54527</v>
          </cell>
          <cell r="D217">
            <v>89041</v>
          </cell>
          <cell r="E217">
            <v>100721</v>
          </cell>
          <cell r="F217">
            <v>151459</v>
          </cell>
          <cell r="G217">
            <v>0</v>
          </cell>
        </row>
        <row r="218">
          <cell r="B218" t="str">
            <v>TOTAL ASSETS</v>
          </cell>
          <cell r="C218">
            <v>515405</v>
          </cell>
          <cell r="D218">
            <v>592016</v>
          </cell>
          <cell r="E218">
            <v>678495</v>
          </cell>
          <cell r="F218">
            <v>764360</v>
          </cell>
          <cell r="G218">
            <v>0</v>
          </cell>
        </row>
        <row r="219">
          <cell r="C219">
            <v>0</v>
          </cell>
          <cell r="D219">
            <v>0</v>
          </cell>
          <cell r="E219">
            <v>-756</v>
          </cell>
          <cell r="F219">
            <v>472</v>
          </cell>
          <cell r="G219">
            <v>0</v>
          </cell>
          <cell r="AA219">
            <v>72</v>
          </cell>
          <cell r="AB219">
            <v>87</v>
          </cell>
          <cell r="AC219">
            <v>0</v>
          </cell>
          <cell r="AD219">
            <v>0</v>
          </cell>
          <cell r="AE219">
            <v>0</v>
          </cell>
          <cell r="AF219">
            <v>0</v>
          </cell>
          <cell r="AG219">
            <v>0</v>
          </cell>
        </row>
        <row r="220">
          <cell r="B220" t="str">
            <v>NTPC-Cash Flow Statement</v>
          </cell>
        </row>
        <row r="221">
          <cell r="B221" t="str">
            <v>(Rs Millions)</v>
          </cell>
          <cell r="C221" t="str">
            <v>F2004</v>
          </cell>
          <cell r="D221" t="str">
            <v>F2005</v>
          </cell>
          <cell r="E221" t="str">
            <v>F2006e</v>
          </cell>
          <cell r="F221" t="str">
            <v>F2007e</v>
          </cell>
          <cell r="G221" t="str">
            <v>F2008e</v>
          </cell>
        </row>
        <row r="222">
          <cell r="B222" t="str">
            <v>Reported Net Profit</v>
          </cell>
          <cell r="C222">
            <v>52608</v>
          </cell>
          <cell r="D222">
            <v>58070</v>
          </cell>
          <cell r="E222">
            <v>58408</v>
          </cell>
          <cell r="F222">
            <v>68983</v>
          </cell>
          <cell r="G222">
            <v>74699</v>
          </cell>
        </row>
        <row r="223">
          <cell r="B223" t="str">
            <v>Depreciation</v>
          </cell>
          <cell r="C223">
            <v>20232</v>
          </cell>
          <cell r="D223">
            <v>19584</v>
          </cell>
          <cell r="E223">
            <v>20710</v>
          </cell>
          <cell r="F223">
            <v>20998</v>
          </cell>
          <cell r="G223">
            <v>22060</v>
          </cell>
        </row>
        <row r="224">
          <cell r="B224" t="str">
            <v>Change in Net W. Capital</v>
          </cell>
          <cell r="C224">
            <v>-23762</v>
          </cell>
          <cell r="D224">
            <v>47580</v>
          </cell>
          <cell r="E224">
            <v>-9800</v>
          </cell>
          <cell r="F224">
            <v>-3653</v>
          </cell>
          <cell r="G224">
            <v>14309</v>
          </cell>
        </row>
        <row r="225">
          <cell r="B225" t="str">
            <v>Misc. Expenditure w/off</v>
          </cell>
          <cell r="C225">
            <v>87</v>
          </cell>
          <cell r="D225">
            <v>0</v>
          </cell>
          <cell r="E225">
            <v>0</v>
          </cell>
          <cell r="F225">
            <v>0</v>
          </cell>
          <cell r="G225">
            <v>0</v>
          </cell>
        </row>
        <row r="226">
          <cell r="B226" t="str">
            <v>Other Cash Flows</v>
          </cell>
          <cell r="C226">
            <v>-12998</v>
          </cell>
          <cell r="D226">
            <v>-2</v>
          </cell>
          <cell r="E226">
            <v>-420</v>
          </cell>
          <cell r="F226">
            <v>-292</v>
          </cell>
          <cell r="G226">
            <v>0</v>
          </cell>
        </row>
        <row r="227">
          <cell r="B227" t="str">
            <v xml:space="preserve">Operating Cash Flows </v>
          </cell>
          <cell r="C227">
            <v>36167</v>
          </cell>
          <cell r="D227">
            <v>125232</v>
          </cell>
          <cell r="E227">
            <v>68898</v>
          </cell>
          <cell r="F227">
            <v>86036</v>
          </cell>
          <cell r="G227">
            <v>111068</v>
          </cell>
        </row>
        <row r="228">
          <cell r="B228" t="str">
            <v>Capex</v>
          </cell>
          <cell r="C228">
            <v>-45182</v>
          </cell>
          <cell r="D228">
            <v>-54486</v>
          </cell>
          <cell r="E228">
            <v>-94152</v>
          </cell>
          <cell r="F228">
            <v>-86798</v>
          </cell>
          <cell r="G228">
            <v>0</v>
          </cell>
        </row>
        <row r="229">
          <cell r="B229" t="str">
            <v>Change in Investments</v>
          </cell>
          <cell r="C229">
            <v>-3114</v>
          </cell>
          <cell r="D229">
            <v>-7195</v>
          </cell>
          <cell r="E229">
            <v>-1357</v>
          </cell>
          <cell r="F229">
            <v>30673</v>
          </cell>
          <cell r="G229">
            <v>151259</v>
          </cell>
        </row>
        <row r="230">
          <cell r="B230" t="str">
            <v>Investing Cash Flows</v>
          </cell>
          <cell r="C230">
            <v>-48296</v>
          </cell>
          <cell r="D230">
            <v>-61681</v>
          </cell>
          <cell r="E230">
            <v>-95509</v>
          </cell>
          <cell r="F230">
            <v>-56125</v>
          </cell>
          <cell r="G230">
            <v>151259</v>
          </cell>
        </row>
        <row r="231">
          <cell r="B231" t="str">
            <v>Equity Issuance</v>
          </cell>
          <cell r="C231">
            <v>0</v>
          </cell>
          <cell r="D231">
            <v>26664</v>
          </cell>
          <cell r="E231">
            <v>-27</v>
          </cell>
          <cell r="F231">
            <v>0</v>
          </cell>
          <cell r="G231">
            <v>-104762</v>
          </cell>
        </row>
        <row r="232">
          <cell r="B232" t="str">
            <v>Debt Issuance./Repayment</v>
          </cell>
          <cell r="C232">
            <v>22371</v>
          </cell>
          <cell r="D232">
            <v>16350</v>
          </cell>
          <cell r="E232">
            <v>53919</v>
          </cell>
          <cell r="F232">
            <v>45398</v>
          </cell>
          <cell r="G232">
            <v>-270195</v>
          </cell>
        </row>
        <row r="233">
          <cell r="B233" t="str">
            <v>Dividends</v>
          </cell>
          <cell r="C233">
            <v>-12210</v>
          </cell>
          <cell r="D233">
            <v>-22470</v>
          </cell>
          <cell r="E233">
            <v>-26435</v>
          </cell>
          <cell r="F233">
            <v>-30383</v>
          </cell>
          <cell r="G233">
            <v>0</v>
          </cell>
        </row>
        <row r="234">
          <cell r="B234" t="str">
            <v>Change in Deferred Rev.</v>
          </cell>
          <cell r="C234">
            <v>2612</v>
          </cell>
          <cell r="D234">
            <v>-2001</v>
          </cell>
          <cell r="E234">
            <v>1034</v>
          </cell>
          <cell r="F234">
            <v>2159</v>
          </cell>
          <cell r="G234">
            <v>-6567</v>
          </cell>
        </row>
        <row r="235">
          <cell r="B235" t="str">
            <v>Financing Cash Flows</v>
          </cell>
          <cell r="C235">
            <v>12773</v>
          </cell>
          <cell r="D235">
            <v>18543</v>
          </cell>
          <cell r="E235">
            <v>28491</v>
          </cell>
          <cell r="F235">
            <v>17174</v>
          </cell>
          <cell r="G235">
            <v>-381524</v>
          </cell>
        </row>
        <row r="236">
          <cell r="B236" t="str">
            <v>Net change in cash</v>
          </cell>
          <cell r="C236">
            <v>644</v>
          </cell>
          <cell r="D236">
            <v>82094</v>
          </cell>
          <cell r="E236">
            <v>1880</v>
          </cell>
          <cell r="F236">
            <v>47085</v>
          </cell>
          <cell r="G236">
            <v>-119197</v>
          </cell>
        </row>
        <row r="237">
          <cell r="B237" t="str">
            <v>#Change in Deferred Revenue on a/c of AAD and Change in Development Surcharge Fund</v>
          </cell>
          <cell r="C237">
            <v>0</v>
          </cell>
          <cell r="D237">
            <v>0</v>
          </cell>
          <cell r="E237">
            <v>0</v>
          </cell>
          <cell r="F237">
            <v>0</v>
          </cell>
          <cell r="G237">
            <v>-119197</v>
          </cell>
        </row>
        <row r="239">
          <cell r="B239" t="str">
            <v>NTPC-Financial Ratios</v>
          </cell>
        </row>
        <row r="240">
          <cell r="C240" t="str">
            <v>F2004</v>
          </cell>
          <cell r="D240" t="str">
            <v>F2005</v>
          </cell>
          <cell r="E240" t="str">
            <v>F2006e</v>
          </cell>
          <cell r="F240" t="str">
            <v>F2007e</v>
          </cell>
          <cell r="G240" t="str">
            <v>F2008e</v>
          </cell>
        </row>
        <row r="241">
          <cell r="B241" t="str">
            <v>Valuations</v>
          </cell>
        </row>
        <row r="242">
          <cell r="B242" t="str">
            <v>EPS (Rs)</v>
          </cell>
          <cell r="C242">
            <v>5.4931563842704234</v>
          </cell>
          <cell r="D242">
            <v>5.8743948833736273</v>
          </cell>
          <cell r="E242">
            <v>7.1970476277843121</v>
          </cell>
          <cell r="F242">
            <v>8.3479834077022996</v>
          </cell>
          <cell r="G242">
            <v>9.0594048286716262</v>
          </cell>
        </row>
        <row r="243">
          <cell r="B243" t="str">
            <v>P/E</v>
          </cell>
          <cell r="C243">
            <v>22.755587362838558</v>
          </cell>
          <cell r="D243">
            <v>21.278787429457466</v>
          </cell>
          <cell r="E243">
            <v>17.36823298451376</v>
          </cell>
          <cell r="F243">
            <v>14.97367614371014</v>
          </cell>
          <cell r="G243">
            <v>13.797815901149949</v>
          </cell>
        </row>
        <row r="244">
          <cell r="B244" t="str">
            <v>Book Value (Rs)</v>
          </cell>
          <cell r="C244">
            <v>45.503840270117202</v>
          </cell>
          <cell r="D244">
            <v>50.66579391210518</v>
          </cell>
          <cell r="E244">
            <v>54.576186151504089</v>
          </cell>
          <cell r="F244">
            <v>59.077933803219132</v>
          </cell>
          <cell r="G244">
            <v>0</v>
          </cell>
        </row>
        <row r="245">
          <cell r="B245" t="str">
            <v>P/BV</v>
          </cell>
          <cell r="C245">
            <v>2.7470208944559933</v>
          </cell>
          <cell r="D245">
            <v>2.467147760811752</v>
          </cell>
          <cell r="E245">
            <v>2.290376239427919</v>
          </cell>
          <cell r="F245">
            <v>2.115849217346677</v>
          </cell>
          <cell r="G245" t="e">
            <v>#DIV/0!</v>
          </cell>
        </row>
        <row r="246">
          <cell r="B246" t="str">
            <v>DPS (Rs)</v>
          </cell>
          <cell r="C246">
            <v>1.3853352402482089</v>
          </cell>
          <cell r="D246">
            <v>2.4001073850976784</v>
          </cell>
          <cell r="E246">
            <v>2.8117276208238797</v>
          </cell>
          <cell r="F246">
            <v>3.2097646313287092</v>
          </cell>
          <cell r="G246">
            <v>3.25</v>
          </cell>
        </row>
        <row r="247">
          <cell r="B247" t="str">
            <v>Yield (%)</v>
          </cell>
          <cell r="C247">
            <v>1.1082681921985671E-2</v>
          </cell>
          <cell r="D247">
            <v>1.9200859080781427E-2</v>
          </cell>
          <cell r="E247">
            <v>2.2493820966591038E-2</v>
          </cell>
          <cell r="F247">
            <v>2.5678117050629674E-2</v>
          </cell>
          <cell r="G247">
            <v>2.5999999999999999E-2</v>
          </cell>
        </row>
        <row r="248">
          <cell r="B248" t="str">
            <v>EV/EBITDA</v>
          </cell>
          <cell r="C248">
            <v>27.680182934330631</v>
          </cell>
          <cell r="D248" t="e">
            <v>#REF!</v>
          </cell>
          <cell r="E248" t="e">
            <v>#REF!</v>
          </cell>
          <cell r="F248" t="e">
            <v>#REF!</v>
          </cell>
          <cell r="G248" t="e">
            <v>#REF!</v>
          </cell>
        </row>
        <row r="249">
          <cell r="B249" t="str">
            <v>Profitability Ratios</v>
          </cell>
        </row>
        <row r="250">
          <cell r="B250" t="str">
            <v>NPM (%)</v>
          </cell>
          <cell r="C250">
            <v>0.22744671309723169</v>
          </cell>
          <cell r="D250">
            <v>0.21609241080704616</v>
          </cell>
          <cell r="E250">
            <v>0.21640337826010853</v>
          </cell>
          <cell r="F250">
            <v>0.20319284915145666</v>
          </cell>
          <cell r="G250">
            <v>0.1933454121910185</v>
          </cell>
        </row>
        <row r="251">
          <cell r="B251" t="str">
            <v>ROCE (%)</v>
          </cell>
          <cell r="C251">
            <v>4.1731624212970109E-2</v>
          </cell>
          <cell r="D251">
            <v>8.3745928603485037E-2</v>
          </cell>
          <cell r="E251">
            <v>9.2726390286226257E-2</v>
          </cell>
          <cell r="F251">
            <v>0.11172451163747914</v>
          </cell>
          <cell r="G251">
            <v>0.24105889868671848</v>
          </cell>
        </row>
        <row r="252">
          <cell r="B252" t="str">
            <v>RONW (%)</v>
          </cell>
          <cell r="C252">
            <v>0.12559829439647768</v>
          </cell>
          <cell r="D252">
            <v>0.12527962993854466</v>
          </cell>
          <cell r="E252">
            <v>0.13677142188762217</v>
          </cell>
          <cell r="F252">
            <v>0.14690155378490308</v>
          </cell>
          <cell r="G252">
            <v>0.30669335386194507</v>
          </cell>
        </row>
        <row r="253">
          <cell r="B253" t="str">
            <v>Gearing / Coverage Ratios</v>
          </cell>
        </row>
        <row r="254">
          <cell r="B254" t="str">
            <v>Debt/Equity</v>
          </cell>
          <cell r="C254">
            <v>0.43467669570549733</v>
          </cell>
          <cell r="D254">
            <v>0.40903095774398401</v>
          </cell>
          <cell r="E254">
            <v>0.49954222832584455</v>
          </cell>
          <cell r="F254">
            <v>0.55467282525019246</v>
          </cell>
          <cell r="G254" t="e">
            <v>#DIV/0!</v>
          </cell>
        </row>
        <row r="255">
          <cell r="B255" t="str">
            <v>Net Debt / Equity</v>
          </cell>
          <cell r="C255">
            <v>0.41754312927389797</v>
          </cell>
          <cell r="D255">
            <v>0.19794237402546419</v>
          </cell>
          <cell r="E255">
            <v>0.29940045243841196</v>
          </cell>
          <cell r="F255">
            <v>0.2731229150628689</v>
          </cell>
          <cell r="G255" t="e">
            <v>#DIV/0!</v>
          </cell>
        </row>
        <row r="256">
          <cell r="B256" t="str">
            <v>Interest Coverage</v>
          </cell>
          <cell r="C256">
            <v>4.8772808009042468</v>
          </cell>
          <cell r="D256">
            <v>5.9994084007099193</v>
          </cell>
          <cell r="E256">
            <v>7.8751403777437465</v>
          </cell>
          <cell r="F256">
            <v>5.7403168547660677</v>
          </cell>
          <cell r="G256">
            <v>6.5707443087024382</v>
          </cell>
        </row>
        <row r="257">
          <cell r="B257" t="str">
            <v>Debt Service Coverage</v>
          </cell>
          <cell r="C257">
            <v>1.6165805881880704</v>
          </cell>
          <cell r="D257">
            <v>2.4844228492099139</v>
          </cell>
          <cell r="E257">
            <v>1.1913418175078767</v>
          </cell>
          <cell r="F257">
            <v>1.8097489267160016</v>
          </cell>
          <cell r="G257">
            <v>6.5707443087024382</v>
          </cell>
        </row>
        <row r="258">
          <cell r="B258" t="str">
            <v>Other Ratios</v>
          </cell>
        </row>
        <row r="259">
          <cell r="B259" t="str">
            <v>Effective Tax Rate</v>
          </cell>
          <cell r="C259">
            <v>0.10637273833837109</v>
          </cell>
          <cell r="D259">
            <v>4.4708230467036238E-2</v>
          </cell>
          <cell r="E259">
            <v>0.11878174096403434</v>
          </cell>
          <cell r="F259">
            <v>0.2306067244925333</v>
          </cell>
          <cell r="G259">
            <v>0.27834025698000192</v>
          </cell>
        </row>
        <row r="260">
          <cell r="B260" t="str">
            <v>Capex / EBITDA</v>
          </cell>
          <cell r="C260">
            <v>1.1116797480500946</v>
          </cell>
          <cell r="D260">
            <v>0.82610871048442125</v>
          </cell>
          <cell r="E260">
            <v>1.1820715630885121</v>
          </cell>
          <cell r="F260">
            <v>0.85418491364463911</v>
          </cell>
          <cell r="G260">
            <v>0</v>
          </cell>
        </row>
        <row r="262">
          <cell r="B262" t="str">
            <v>Exhibit 1</v>
          </cell>
        </row>
        <row r="263">
          <cell r="B263" t="str">
            <v>NTPC-Earnings Breakdown</v>
          </cell>
        </row>
        <row r="264">
          <cell r="C264" t="str">
            <v>FY05</v>
          </cell>
          <cell r="D264" t="str">
            <v>FY06</v>
          </cell>
          <cell r="E264" t="str">
            <v>FY07</v>
          </cell>
          <cell r="F264" t="str">
            <v>FY08E</v>
          </cell>
          <cell r="G264" t="str">
            <v xml:space="preserve">2yr CAGR# </v>
          </cell>
          <cell r="I264" t="str">
            <v>Pay attention to %age signs while Excel Linking</v>
          </cell>
        </row>
        <row r="265">
          <cell r="B265" t="str">
            <v>Regulated Return</v>
          </cell>
          <cell r="C265" t="e">
            <v>#REF!</v>
          </cell>
          <cell r="D265" t="e">
            <v>#REF!</v>
          </cell>
          <cell r="E265" t="e">
            <v>#REF!</v>
          </cell>
          <cell r="F265" t="e">
            <v>#REF!</v>
          </cell>
          <cell r="G265" t="e">
            <v>#REF!</v>
          </cell>
        </row>
        <row r="266">
          <cell r="B266" t="str">
            <v>YoY</v>
          </cell>
          <cell r="C266" t="e">
            <v>#REF!</v>
          </cell>
          <cell r="D266" t="e">
            <v>#REF!</v>
          </cell>
          <cell r="E266" t="e">
            <v>#REF!</v>
          </cell>
          <cell r="F266" t="e">
            <v>#REF!</v>
          </cell>
        </row>
        <row r="267">
          <cell r="B267" t="str">
            <v>Incentives*</v>
          </cell>
          <cell r="C267" t="e">
            <v>#REF!</v>
          </cell>
          <cell r="D267" t="e">
            <v>#REF!</v>
          </cell>
          <cell r="E267" t="e">
            <v>#REF!</v>
          </cell>
          <cell r="F267" t="e">
            <v>#REF!</v>
          </cell>
          <cell r="G267" t="e">
            <v>#REF!</v>
          </cell>
        </row>
        <row r="268">
          <cell r="B268" t="str">
            <v>YoY</v>
          </cell>
          <cell r="D268" t="e">
            <v>#REF!</v>
          </cell>
          <cell r="E268" t="e">
            <v>#REF!</v>
          </cell>
          <cell r="F268" t="e">
            <v>#REF!</v>
          </cell>
        </row>
        <row r="269">
          <cell r="B269" t="str">
            <v xml:space="preserve">Business Earnings </v>
          </cell>
          <cell r="C269" t="e">
            <v>#REF!</v>
          </cell>
          <cell r="D269" t="e">
            <v>#REF!</v>
          </cell>
          <cell r="E269" t="e">
            <v>#REF!</v>
          </cell>
          <cell r="F269" t="e">
            <v>#REF!</v>
          </cell>
          <cell r="G269" t="e">
            <v>#REF!</v>
          </cell>
        </row>
        <row r="270">
          <cell r="B270" t="str">
            <v>YoY</v>
          </cell>
          <cell r="D270" t="e">
            <v>#REF!</v>
          </cell>
          <cell r="E270" t="e">
            <v>#REF!</v>
          </cell>
          <cell r="F270" t="e">
            <v>#REF!</v>
          </cell>
        </row>
        <row r="271">
          <cell r="B271" t="str">
            <v>Financial Earnings</v>
          </cell>
          <cell r="C271" t="e">
            <v>#REF!</v>
          </cell>
          <cell r="D271" t="e">
            <v>#REF!</v>
          </cell>
          <cell r="E271" t="e">
            <v>#REF!</v>
          </cell>
          <cell r="F271" t="e">
            <v>#REF!</v>
          </cell>
          <cell r="G271" t="e">
            <v>#REF!</v>
          </cell>
        </row>
        <row r="272">
          <cell r="B272" t="str">
            <v>YoY</v>
          </cell>
          <cell r="D272" t="e">
            <v>#REF!</v>
          </cell>
          <cell r="E272" t="e">
            <v>#REF!</v>
          </cell>
          <cell r="F272" t="e">
            <v>#REF!</v>
          </cell>
        </row>
        <row r="273">
          <cell r="B273" t="str">
            <v xml:space="preserve">Net Earnings </v>
          </cell>
          <cell r="C273" t="e">
            <v>#REF!</v>
          </cell>
          <cell r="D273" t="e">
            <v>#REF!</v>
          </cell>
          <cell r="E273" t="e">
            <v>#REF!</v>
          </cell>
          <cell r="F273" t="e">
            <v>#REF!</v>
          </cell>
          <cell r="G273" t="e">
            <v>#REF!</v>
          </cell>
        </row>
        <row r="274">
          <cell r="B274" t="str">
            <v>Net Extraordinary</v>
          </cell>
          <cell r="C274">
            <v>9.632886117600604</v>
          </cell>
          <cell r="D274">
            <v>-0.93500000000000005</v>
          </cell>
          <cell r="E274">
            <v>0.15</v>
          </cell>
          <cell r="F274">
            <v>0</v>
          </cell>
        </row>
        <row r="275">
          <cell r="B275" t="str">
            <v>Reported Earnings</v>
          </cell>
          <cell r="C275" t="e">
            <v>#REF!</v>
          </cell>
          <cell r="D275" t="e">
            <v>#REF!</v>
          </cell>
          <cell r="E275" t="e">
            <v>#REF!</v>
          </cell>
          <cell r="F275" t="e">
            <v>#REF!</v>
          </cell>
          <cell r="G275" t="e">
            <v>#REF!</v>
          </cell>
        </row>
        <row r="276">
          <cell r="B276" t="str">
            <v>*Net of Additional Depreciation,# For F'06E-F'08E</v>
          </cell>
        </row>
        <row r="277">
          <cell r="B277" t="str">
            <v>NTPC-Components of Earnings (%)</v>
          </cell>
        </row>
        <row r="278">
          <cell r="C278" t="str">
            <v>FY05</v>
          </cell>
          <cell r="D278" t="str">
            <v>FY06</v>
          </cell>
          <cell r="E278" t="str">
            <v>FY07</v>
          </cell>
          <cell r="F278" t="str">
            <v>FY08E</v>
          </cell>
        </row>
        <row r="279">
          <cell r="B279" t="str">
            <v>Regulated Return</v>
          </cell>
          <cell r="C279" t="e">
            <v>#REF!</v>
          </cell>
          <cell r="D279" t="e">
            <v>#REF!</v>
          </cell>
          <cell r="E279" t="e">
            <v>#REF!</v>
          </cell>
          <cell r="F279" t="e">
            <v>#REF!</v>
          </cell>
        </row>
        <row r="280">
          <cell r="B280" t="str">
            <v>Incentives *</v>
          </cell>
          <cell r="C280" t="e">
            <v>#REF!</v>
          </cell>
          <cell r="D280" t="e">
            <v>#REF!</v>
          </cell>
          <cell r="E280" t="e">
            <v>#REF!</v>
          </cell>
          <cell r="F280" t="e">
            <v>#REF!</v>
          </cell>
        </row>
        <row r="281">
          <cell r="B281" t="str">
            <v>Non-Operating Earnings</v>
          </cell>
          <cell r="C281" t="e">
            <v>#REF!</v>
          </cell>
          <cell r="D281" t="e">
            <v>#REF!</v>
          </cell>
          <cell r="E281" t="e">
            <v>#REF!</v>
          </cell>
          <cell r="F281" t="e">
            <v>#REF!</v>
          </cell>
        </row>
        <row r="282">
          <cell r="B282" t="str">
            <v xml:space="preserve">Total Earnings </v>
          </cell>
          <cell r="C282" t="e">
            <v>#REF!</v>
          </cell>
          <cell r="D282" t="e">
            <v>#REF!</v>
          </cell>
          <cell r="E282" t="e">
            <v>#REF!</v>
          </cell>
          <cell r="F282" t="e">
            <v>#REF!</v>
          </cell>
        </row>
        <row r="283">
          <cell r="B283" t="str">
            <v>*Net of Additional Depreciation</v>
          </cell>
        </row>
        <row r="284">
          <cell r="B284" t="str">
            <v>Exhibit 3</v>
          </cell>
        </row>
        <row r="285">
          <cell r="B285" t="str">
            <v>NTPC-Impact of Depreciation Policy:Companies Act Vs. CERC</v>
          </cell>
        </row>
        <row r="286">
          <cell r="B286" t="str">
            <v>Rate</v>
          </cell>
          <cell r="C286" t="str">
            <v>F2005</v>
          </cell>
          <cell r="D286" t="str">
            <v>F2006E</v>
          </cell>
          <cell r="E286" t="str">
            <v>F2007E</v>
          </cell>
          <cell r="F286" t="str">
            <v>F2008E</v>
          </cell>
        </row>
        <row r="287">
          <cell r="B287" t="str">
            <v xml:space="preserve">Accounting Rate* </v>
          </cell>
          <cell r="C287" t="e">
            <v>#REF!</v>
          </cell>
          <cell r="D287" t="e">
            <v>#REF!</v>
          </cell>
          <cell r="E287" t="e">
            <v>#REF!</v>
          </cell>
          <cell r="F287" t="e">
            <v>#REF!</v>
          </cell>
        </row>
        <row r="288">
          <cell r="B288" t="str">
            <v>Regulatory Normative</v>
          </cell>
          <cell r="C288" t="e">
            <v>#REF!</v>
          </cell>
          <cell r="D288" t="e">
            <v>#REF!</v>
          </cell>
          <cell r="E288" t="e">
            <v>#REF!</v>
          </cell>
          <cell r="F288" t="e">
            <v>#REF!</v>
          </cell>
        </row>
        <row r="289">
          <cell r="B289" t="str">
            <v>Addl. Depreciation</v>
          </cell>
          <cell r="C289" t="e">
            <v>#REF!</v>
          </cell>
          <cell r="D289" t="e">
            <v>#REF!</v>
          </cell>
          <cell r="E289" t="e">
            <v>#REF!</v>
          </cell>
          <cell r="F289" t="e">
            <v>#REF!</v>
          </cell>
        </row>
        <row r="290">
          <cell r="B290" t="str">
            <v>Rs Million</v>
          </cell>
        </row>
        <row r="291">
          <cell r="B291" t="str">
            <v>Accounting Depreciation *</v>
          </cell>
          <cell r="C291">
            <v>19584</v>
          </cell>
          <cell r="D291">
            <v>20710</v>
          </cell>
          <cell r="E291">
            <v>20998</v>
          </cell>
          <cell r="F291">
            <v>22060</v>
          </cell>
        </row>
        <row r="292">
          <cell r="B292" t="str">
            <v>Normative Depreciation</v>
          </cell>
          <cell r="C292" t="e">
            <v>#REF!</v>
          </cell>
          <cell r="D292" t="e">
            <v>#REF!</v>
          </cell>
          <cell r="E292" t="e">
            <v>#REF!</v>
          </cell>
          <cell r="F292" t="e">
            <v>#REF!</v>
          </cell>
        </row>
        <row r="293">
          <cell r="B293" t="str">
            <v>Addl. Depreciation</v>
          </cell>
          <cell r="C293" t="e">
            <v>#REF!</v>
          </cell>
          <cell r="D293" t="e">
            <v>#REF!</v>
          </cell>
          <cell r="E293" t="e">
            <v>#REF!</v>
          </cell>
          <cell r="F293" t="e">
            <v>#REF!</v>
          </cell>
        </row>
        <row r="294">
          <cell r="B294" t="str">
            <v>Net Profit</v>
          </cell>
          <cell r="C294">
            <v>48437.113882399397</v>
          </cell>
          <cell r="D294">
            <v>59343</v>
          </cell>
          <cell r="E294">
            <v>68833</v>
          </cell>
          <cell r="F294">
            <v>74699</v>
          </cell>
        </row>
        <row r="295">
          <cell r="B295" t="str">
            <v>Potential Upside</v>
          </cell>
          <cell r="C295" t="e">
            <v>#REF!</v>
          </cell>
          <cell r="D295" t="e">
            <v>#REF!</v>
          </cell>
          <cell r="E295" t="e">
            <v>#REF!</v>
          </cell>
          <cell r="F295" t="e">
            <v>#REF!</v>
          </cell>
        </row>
        <row r="296">
          <cell r="B296" t="str">
            <v xml:space="preserve"> * As per Companies Act ,1956</v>
          </cell>
        </row>
        <row r="297">
          <cell r="D297" t="e">
            <v>#REF!</v>
          </cell>
          <cell r="E297" t="e">
            <v>#REF!</v>
          </cell>
          <cell r="F297" t="e">
            <v>#REF!</v>
          </cell>
        </row>
        <row r="299">
          <cell r="B299" t="str">
            <v>Exhibit 4</v>
          </cell>
        </row>
        <row r="300">
          <cell r="B300" t="str">
            <v>NTPC-Capacity Addition (Commercial Operations)</v>
          </cell>
        </row>
        <row r="301">
          <cell r="B301" t="str">
            <v>(MW)</v>
          </cell>
          <cell r="C301" t="str">
            <v>F2005</v>
          </cell>
          <cell r="D301" t="str">
            <v>F2006E</v>
          </cell>
          <cell r="E301" t="str">
            <v>F2007E</v>
          </cell>
          <cell r="F301" t="str">
            <v>F2008E</v>
          </cell>
          <cell r="G301" t="str">
            <v>F2009E</v>
          </cell>
        </row>
        <row r="302">
          <cell r="B302" t="str">
            <v>Northern Region</v>
          </cell>
        </row>
        <row r="303">
          <cell r="B303" t="str">
            <v>Rihand - II (U1)</v>
          </cell>
          <cell r="D303" t="e">
            <v>#REF!</v>
          </cell>
        </row>
        <row r="304">
          <cell r="B304" t="str">
            <v>Rihand - II (U2)</v>
          </cell>
          <cell r="E304">
            <v>500</v>
          </cell>
        </row>
        <row r="305">
          <cell r="B305" t="str">
            <v>Feroze (Unchahar - III)</v>
          </cell>
          <cell r="E305" t="e">
            <v>#REF!</v>
          </cell>
        </row>
        <row r="306">
          <cell r="B306" t="str">
            <v>Southern Region</v>
          </cell>
        </row>
        <row r="307">
          <cell r="B307" t="str">
            <v>Ramagundam</v>
          </cell>
          <cell r="C307" t="e">
            <v>#REF!</v>
          </cell>
        </row>
        <row r="308">
          <cell r="B308" t="str">
            <v>Eastern Region</v>
          </cell>
        </row>
        <row r="309">
          <cell r="B309" t="str">
            <v>Talcher</v>
          </cell>
          <cell r="C309">
            <v>1000</v>
          </cell>
        </row>
        <row r="310">
          <cell r="B310" t="str">
            <v>Talcher (U6)</v>
          </cell>
          <cell r="D310" t="e">
            <v>#REF!</v>
          </cell>
        </row>
        <row r="311">
          <cell r="B311" t="str">
            <v>Kahalgaon - II (U1)</v>
          </cell>
          <cell r="E311" t="e">
            <v>#REF!</v>
          </cell>
        </row>
        <row r="312">
          <cell r="B312" t="str">
            <v>Kahalgaon - II (Phase 2)</v>
          </cell>
          <cell r="F312" t="e">
            <v>#REF!</v>
          </cell>
        </row>
        <row r="313">
          <cell r="B313" t="str">
            <v>Kahalgaon - II (U2)</v>
          </cell>
          <cell r="F313" t="e">
            <v>#REF!</v>
          </cell>
        </row>
        <row r="314">
          <cell r="B314" t="str">
            <v>Barh (U1)</v>
          </cell>
          <cell r="G314">
            <v>660</v>
          </cell>
        </row>
        <row r="315">
          <cell r="B315" t="str">
            <v>Western Region</v>
          </cell>
        </row>
        <row r="316">
          <cell r="B316" t="str">
            <v>Vindhyachal - III (U6)</v>
          </cell>
          <cell r="E316" t="e">
            <v>#REF!</v>
          </cell>
        </row>
        <row r="317">
          <cell r="B317" t="str">
            <v>Vindhyachal - III (U5)</v>
          </cell>
          <cell r="E317" t="e">
            <v>#REF!</v>
          </cell>
        </row>
        <row r="318">
          <cell r="B318" t="str">
            <v>Sipat - II (U1)</v>
          </cell>
          <cell r="F318" t="e">
            <v>#REF!</v>
          </cell>
        </row>
        <row r="319">
          <cell r="B319" t="str">
            <v>Sipat - II (U2)</v>
          </cell>
          <cell r="F319" t="e">
            <v>#REF!</v>
          </cell>
        </row>
        <row r="320">
          <cell r="B320" t="str">
            <v>Sipat - I (U1)</v>
          </cell>
          <cell r="G320">
            <v>660</v>
          </cell>
        </row>
        <row r="321">
          <cell r="B321" t="str">
            <v>Sipat - I (U2)</v>
          </cell>
          <cell r="G321">
            <v>660</v>
          </cell>
        </row>
        <row r="322">
          <cell r="B322" t="str">
            <v>Total</v>
          </cell>
          <cell r="C322" t="e">
            <v>#REF!</v>
          </cell>
          <cell r="D322" t="e">
            <v>#REF!</v>
          </cell>
          <cell r="E322" t="e">
            <v>#REF!</v>
          </cell>
          <cell r="F322" t="e">
            <v>#REF!</v>
          </cell>
          <cell r="G322">
            <v>1980</v>
          </cell>
        </row>
        <row r="323">
          <cell r="B323" t="str">
            <v xml:space="preserve">Source: Company data, Morgan Stanley Research </v>
          </cell>
        </row>
        <row r="324">
          <cell r="B324" t="str">
            <v>Exhibit 29</v>
          </cell>
        </row>
        <row r="325">
          <cell r="B325" t="str">
            <v>NTPC: Owned Stations</v>
          </cell>
        </row>
        <row r="326">
          <cell r="E326" t="str">
            <v>Installed Capacity (MW)</v>
          </cell>
        </row>
        <row r="327">
          <cell r="B327" t="str">
            <v xml:space="preserve">Power Station </v>
          </cell>
          <cell r="C327" t="str">
            <v>Location</v>
          </cell>
          <cell r="D327" t="str">
            <v>Fuel</v>
          </cell>
          <cell r="E327" t="str">
            <v>F2005</v>
          </cell>
          <cell r="F327" t="str">
            <v>F2006E</v>
          </cell>
          <cell r="G327" t="str">
            <v>F2007E</v>
          </cell>
          <cell r="H327" t="str">
            <v>F2008E</v>
          </cell>
          <cell r="I327" t="str">
            <v>F2009E</v>
          </cell>
        </row>
        <row r="328">
          <cell r="B328" t="str">
            <v>Northern Region</v>
          </cell>
        </row>
        <row r="329">
          <cell r="B329" t="str">
            <v>Singrauli</v>
          </cell>
          <cell r="C329" t="str">
            <v>Sonebhadra,UP</v>
          </cell>
          <cell r="D329" t="str">
            <v>Coal</v>
          </cell>
          <cell r="E329">
            <v>2000</v>
          </cell>
          <cell r="F329">
            <v>0</v>
          </cell>
          <cell r="G329">
            <v>0</v>
          </cell>
          <cell r="H329">
            <v>0</v>
          </cell>
          <cell r="I329">
            <v>0</v>
          </cell>
        </row>
        <row r="330">
          <cell r="B330" t="str">
            <v>Rihand</v>
          </cell>
          <cell r="C330" t="str">
            <v>Sonebhadra, UP</v>
          </cell>
          <cell r="D330" t="str">
            <v>Coal</v>
          </cell>
          <cell r="E330">
            <v>1000</v>
          </cell>
          <cell r="F330" t="e">
            <v>#REF!</v>
          </cell>
          <cell r="G330">
            <v>0</v>
          </cell>
          <cell r="H330">
            <v>0</v>
          </cell>
          <cell r="I330">
            <v>0</v>
          </cell>
        </row>
        <row r="331">
          <cell r="B331" t="str">
            <v>Tanda</v>
          </cell>
          <cell r="C331" t="str">
            <v>Ambedekar Nagar, UP</v>
          </cell>
          <cell r="D331" t="str">
            <v>Coal</v>
          </cell>
          <cell r="E331">
            <v>440</v>
          </cell>
          <cell r="F331">
            <v>0</v>
          </cell>
          <cell r="G331">
            <v>0</v>
          </cell>
          <cell r="H331">
            <v>0</v>
          </cell>
          <cell r="I331">
            <v>0</v>
          </cell>
        </row>
        <row r="332">
          <cell r="B332" t="str">
            <v>Unchahar</v>
          </cell>
          <cell r="C332" t="str">
            <v>Rae Bareli, UP</v>
          </cell>
          <cell r="D332" t="str">
            <v>Coal</v>
          </cell>
          <cell r="E332">
            <v>840</v>
          </cell>
          <cell r="F332">
            <v>0</v>
          </cell>
          <cell r="G332" t="e">
            <v>#REF!</v>
          </cell>
          <cell r="H332">
            <v>0</v>
          </cell>
          <cell r="I332">
            <v>0</v>
          </cell>
        </row>
        <row r="333">
          <cell r="B333" t="str">
            <v>Western Region</v>
          </cell>
        </row>
        <row r="334">
          <cell r="B334" t="str">
            <v>Korba</v>
          </cell>
          <cell r="C334" t="str">
            <v>Bilaspur, Chhattisgarh</v>
          </cell>
          <cell r="D334" t="str">
            <v>Coal</v>
          </cell>
          <cell r="E334">
            <v>2100</v>
          </cell>
          <cell r="F334">
            <v>0</v>
          </cell>
          <cell r="G334">
            <v>0</v>
          </cell>
          <cell r="H334">
            <v>0</v>
          </cell>
          <cell r="I334" t="e">
            <v>#REF!</v>
          </cell>
        </row>
        <row r="335">
          <cell r="B335" t="str">
            <v>Vindhyachal</v>
          </cell>
          <cell r="C335" t="str">
            <v>Sidhi, Madhya Pradesh</v>
          </cell>
          <cell r="D335" t="str">
            <v>Coal</v>
          </cell>
          <cell r="E335">
            <v>2260</v>
          </cell>
          <cell r="F335">
            <v>0</v>
          </cell>
          <cell r="G335" t="e">
            <v>#REF!</v>
          </cell>
          <cell r="H335">
            <v>0</v>
          </cell>
          <cell r="I335">
            <v>0</v>
          </cell>
        </row>
        <row r="336">
          <cell r="B336" t="str">
            <v>Kawas</v>
          </cell>
          <cell r="C336" t="str">
            <v>Surat, Gujarat</v>
          </cell>
          <cell r="D336" t="str">
            <v>Gas</v>
          </cell>
          <cell r="E336">
            <v>645</v>
          </cell>
          <cell r="F336">
            <v>0</v>
          </cell>
          <cell r="G336">
            <v>0</v>
          </cell>
          <cell r="H336">
            <v>0</v>
          </cell>
          <cell r="I336">
            <v>0</v>
          </cell>
        </row>
        <row r="337">
          <cell r="B337" t="str">
            <v>Jhanor Gandhar</v>
          </cell>
          <cell r="C337" t="str">
            <v>Bharuch, Gujarat</v>
          </cell>
          <cell r="D337" t="str">
            <v>Gas</v>
          </cell>
          <cell r="E337">
            <v>648</v>
          </cell>
          <cell r="F337">
            <v>0</v>
          </cell>
          <cell r="G337">
            <v>0</v>
          </cell>
          <cell r="I337">
            <v>0</v>
          </cell>
        </row>
        <row r="338">
          <cell r="B338" t="str">
            <v xml:space="preserve">Sipat </v>
          </cell>
          <cell r="C338" t="str">
            <v>Bilaspur, Chhattisgarh</v>
          </cell>
          <cell r="D338" t="str">
            <v>Coal</v>
          </cell>
          <cell r="E338">
            <v>0</v>
          </cell>
          <cell r="G338" t="e">
            <v>#REF!</v>
          </cell>
          <cell r="H338" t="e">
            <v>#REF!</v>
          </cell>
          <cell r="I338" t="e">
            <v>#REF!</v>
          </cell>
        </row>
        <row r="339">
          <cell r="B339" t="str">
            <v>Southern Region</v>
          </cell>
        </row>
        <row r="340">
          <cell r="B340" t="str">
            <v>Ramagundam</v>
          </cell>
          <cell r="C340" t="str">
            <v>Karimnagar, AP</v>
          </cell>
          <cell r="D340" t="str">
            <v>Coal</v>
          </cell>
          <cell r="E340">
            <v>2600</v>
          </cell>
          <cell r="F340">
            <v>0</v>
          </cell>
          <cell r="G340">
            <v>0</v>
          </cell>
          <cell r="H340">
            <v>0</v>
          </cell>
          <cell r="I340">
            <v>0</v>
          </cell>
        </row>
        <row r="341">
          <cell r="B341" t="str">
            <v>Simhadri</v>
          </cell>
          <cell r="C341" t="str">
            <v>Pittavanipalem , AP</v>
          </cell>
          <cell r="D341" t="str">
            <v>Coal</v>
          </cell>
          <cell r="E341">
            <v>1000</v>
          </cell>
          <cell r="F341">
            <v>0</v>
          </cell>
          <cell r="G341">
            <v>0</v>
          </cell>
          <cell r="H341">
            <v>0</v>
          </cell>
          <cell r="I341">
            <v>0</v>
          </cell>
        </row>
        <row r="342">
          <cell r="B342" t="str">
            <v>Kayamkulam</v>
          </cell>
          <cell r="C342" t="str">
            <v>Allappuzha, Kerala</v>
          </cell>
          <cell r="D342" t="str">
            <v>Naphtha/Gas</v>
          </cell>
          <cell r="E342">
            <v>350</v>
          </cell>
          <cell r="F342">
            <v>0</v>
          </cell>
          <cell r="G342">
            <v>0</v>
          </cell>
          <cell r="H342">
            <v>0</v>
          </cell>
          <cell r="I342">
            <v>0</v>
          </cell>
        </row>
        <row r="343">
          <cell r="B343" t="str">
            <v>Eastern Region</v>
          </cell>
        </row>
        <row r="344">
          <cell r="B344" t="str">
            <v>Farakka</v>
          </cell>
          <cell r="C344" t="str">
            <v>Murshidabad, West Bengal</v>
          </cell>
          <cell r="D344" t="str">
            <v>Coal</v>
          </cell>
          <cell r="E344">
            <v>1600</v>
          </cell>
          <cell r="F344">
            <v>0</v>
          </cell>
          <cell r="G344">
            <v>0</v>
          </cell>
          <cell r="H344">
            <v>0</v>
          </cell>
          <cell r="I344">
            <v>0</v>
          </cell>
        </row>
        <row r="345">
          <cell r="B345" t="str">
            <v>Kahalgaon</v>
          </cell>
          <cell r="C345" t="str">
            <v>Bhagalpur, Bihar</v>
          </cell>
          <cell r="D345" t="str">
            <v>Coal</v>
          </cell>
          <cell r="E345">
            <v>840</v>
          </cell>
          <cell r="F345">
            <v>0</v>
          </cell>
          <cell r="G345" t="e">
            <v>#REF!</v>
          </cell>
          <cell r="H345">
            <v>0</v>
          </cell>
          <cell r="I345">
            <v>0</v>
          </cell>
        </row>
        <row r="346">
          <cell r="B346" t="str">
            <v>Bahr</v>
          </cell>
          <cell r="C346" t="str">
            <v>Patna, Bihar</v>
          </cell>
          <cell r="D346" t="str">
            <v>Coal</v>
          </cell>
          <cell r="E346">
            <v>0</v>
          </cell>
          <cell r="F346">
            <v>0</v>
          </cell>
          <cell r="G346">
            <v>0</v>
          </cell>
          <cell r="H346">
            <v>0</v>
          </cell>
          <cell r="I346" t="e">
            <v>#REF!</v>
          </cell>
        </row>
        <row r="347">
          <cell r="B347" t="str">
            <v>Talcher STPS</v>
          </cell>
          <cell r="C347" t="str">
            <v>Angul, Orissa</v>
          </cell>
          <cell r="D347" t="str">
            <v>Coal</v>
          </cell>
          <cell r="E347">
            <v>2000</v>
          </cell>
          <cell r="F347">
            <v>0</v>
          </cell>
          <cell r="G347">
            <v>0</v>
          </cell>
          <cell r="H347">
            <v>0</v>
          </cell>
          <cell r="I347">
            <v>0</v>
          </cell>
        </row>
        <row r="348">
          <cell r="B348" t="str">
            <v>Talcher TPS</v>
          </cell>
          <cell r="C348" t="str">
            <v>Angul, Orissa</v>
          </cell>
          <cell r="D348" t="str">
            <v>Coal</v>
          </cell>
          <cell r="E348">
            <v>460</v>
          </cell>
          <cell r="F348">
            <v>0</v>
          </cell>
          <cell r="G348">
            <v>0</v>
          </cell>
          <cell r="H348">
            <v>0</v>
          </cell>
          <cell r="I348">
            <v>0</v>
          </cell>
        </row>
        <row r="349">
          <cell r="B349" t="str">
            <v>National Capital Region</v>
          </cell>
        </row>
        <row r="350">
          <cell r="B350" t="str">
            <v>Dadri Thermal</v>
          </cell>
          <cell r="C350" t="str">
            <v>Budh Nagar, UP</v>
          </cell>
          <cell r="D350" t="str">
            <v>Coal</v>
          </cell>
          <cell r="E350">
            <v>840</v>
          </cell>
          <cell r="F350">
            <v>0</v>
          </cell>
          <cell r="G350">
            <v>0</v>
          </cell>
          <cell r="H350">
            <v>0</v>
          </cell>
          <cell r="I350">
            <v>0</v>
          </cell>
        </row>
        <row r="351">
          <cell r="B351" t="str">
            <v>Dadri Gas</v>
          </cell>
          <cell r="C351" t="str">
            <v>Budh Nagar, UP</v>
          </cell>
          <cell r="D351" t="str">
            <v>Gas</v>
          </cell>
          <cell r="E351">
            <v>817</v>
          </cell>
          <cell r="F351">
            <v>0</v>
          </cell>
          <cell r="G351">
            <v>0</v>
          </cell>
          <cell r="H351">
            <v>0</v>
          </cell>
          <cell r="I351">
            <v>0</v>
          </cell>
        </row>
        <row r="352">
          <cell r="B352" t="str">
            <v>Anta</v>
          </cell>
          <cell r="C352" t="str">
            <v>Baran, Rajasthan</v>
          </cell>
          <cell r="D352" t="str">
            <v>Gas</v>
          </cell>
          <cell r="E352">
            <v>413</v>
          </cell>
          <cell r="G352">
            <v>0</v>
          </cell>
          <cell r="H352">
            <v>0</v>
          </cell>
          <cell r="I352">
            <v>0</v>
          </cell>
        </row>
        <row r="353">
          <cell r="B353" t="str">
            <v>Auraiya</v>
          </cell>
          <cell r="C353" t="str">
            <v>Etawah, UP</v>
          </cell>
          <cell r="D353" t="str">
            <v>Gas</v>
          </cell>
          <cell r="E353">
            <v>652</v>
          </cell>
          <cell r="F353">
            <v>0</v>
          </cell>
          <cell r="G353">
            <v>0</v>
          </cell>
          <cell r="H353">
            <v>0</v>
          </cell>
          <cell r="I353">
            <v>0</v>
          </cell>
        </row>
        <row r="354">
          <cell r="B354" t="str">
            <v>Faridabad</v>
          </cell>
          <cell r="C354" t="str">
            <v>Faridabad, Haryana</v>
          </cell>
          <cell r="D354" t="str">
            <v>Gas</v>
          </cell>
          <cell r="E354">
            <v>430</v>
          </cell>
          <cell r="F354">
            <v>0</v>
          </cell>
          <cell r="G354">
            <v>0</v>
          </cell>
          <cell r="H354">
            <v>0</v>
          </cell>
          <cell r="I354">
            <v>0</v>
          </cell>
        </row>
        <row r="355">
          <cell r="B355" t="str">
            <v xml:space="preserve">Total </v>
          </cell>
          <cell r="E355">
            <v>21935</v>
          </cell>
          <cell r="F355" t="e">
            <v>#REF!</v>
          </cell>
          <cell r="G355" t="e">
            <v>#REF!</v>
          </cell>
          <cell r="H355" t="e">
            <v>#REF!</v>
          </cell>
          <cell r="I355" t="e">
            <v>#REF!</v>
          </cell>
        </row>
        <row r="356">
          <cell r="B356" t="str">
            <v>Note: AP= Andhra Pradesh,UP= Uttar Pradesh</v>
          </cell>
        </row>
        <row r="359">
          <cell r="B359" t="str">
            <v>NTPC: Owned Stations</v>
          </cell>
        </row>
        <row r="360">
          <cell r="B360" t="str">
            <v>Power Project</v>
          </cell>
          <cell r="C360" t="str">
            <v>Location</v>
          </cell>
          <cell r="D360" t="str">
            <v>Capacity (MW)</v>
          </cell>
          <cell r="E360" t="str">
            <v>Commissioning</v>
          </cell>
          <cell r="F360" t="str">
            <v>COD*</v>
          </cell>
        </row>
        <row r="361">
          <cell r="B361" t="str">
            <v>Vindhyachal - III (U6)</v>
          </cell>
          <cell r="C361" t="str">
            <v>Sidhi, Madhya Pradesh</v>
          </cell>
          <cell r="D361">
            <v>500</v>
          </cell>
          <cell r="E361">
            <v>38959</v>
          </cell>
          <cell r="F361">
            <v>39081</v>
          </cell>
        </row>
        <row r="362">
          <cell r="B362" t="str">
            <v>Vindhyachal - III (U5)</v>
          </cell>
          <cell r="C362" t="str">
            <v>Sidhi, Madhya Pradesh</v>
          </cell>
          <cell r="D362">
            <v>500</v>
          </cell>
          <cell r="E362">
            <v>39020</v>
          </cell>
          <cell r="F362">
            <v>39141</v>
          </cell>
        </row>
        <row r="363">
          <cell r="B363" t="str">
            <v>Unchahar - III</v>
          </cell>
          <cell r="C363" t="str">
            <v>Rae Bareli, UP</v>
          </cell>
          <cell r="D363">
            <v>210</v>
          </cell>
          <cell r="E363">
            <v>38988</v>
          </cell>
          <cell r="F363">
            <v>39083</v>
          </cell>
        </row>
        <row r="364">
          <cell r="B364" t="str">
            <v>Sipat - II (U1)</v>
          </cell>
          <cell r="C364" t="str">
            <v>Bilaspur, Chhattisgarh</v>
          </cell>
          <cell r="D364">
            <v>500</v>
          </cell>
          <cell r="E364">
            <v>39142</v>
          </cell>
          <cell r="F364">
            <v>39265</v>
          </cell>
        </row>
        <row r="365">
          <cell r="B365" t="str">
            <v>Kahalgaon - II (U1)</v>
          </cell>
          <cell r="C365" t="str">
            <v>Bhagalpur, Bihar</v>
          </cell>
          <cell r="D365">
            <v>500</v>
          </cell>
          <cell r="E365">
            <v>39119</v>
          </cell>
          <cell r="F365">
            <v>39239</v>
          </cell>
        </row>
        <row r="366">
          <cell r="B366" t="str">
            <v>Kahalgaon - II (Phase 2)</v>
          </cell>
          <cell r="C366" t="str">
            <v>Bhagalpur, Bihar</v>
          </cell>
          <cell r="D366">
            <v>500</v>
          </cell>
          <cell r="E366">
            <v>39142</v>
          </cell>
          <cell r="F366">
            <v>39262</v>
          </cell>
        </row>
        <row r="367">
          <cell r="B367" t="str">
            <v>Kahalgaon - II (U2)</v>
          </cell>
          <cell r="C367" t="str">
            <v>Bhagalpur, Bihar</v>
          </cell>
          <cell r="D367">
            <v>500</v>
          </cell>
          <cell r="E367">
            <v>39234</v>
          </cell>
          <cell r="F367">
            <v>39354</v>
          </cell>
        </row>
        <row r="368">
          <cell r="B368" t="str">
            <v>Total</v>
          </cell>
          <cell r="D368">
            <v>3210</v>
          </cell>
        </row>
        <row r="369">
          <cell r="B369" t="str">
            <v>*Morgan Stanley Estimates ;COD = Date of Commerciality</v>
          </cell>
        </row>
        <row r="375">
          <cell r="B375" t="str">
            <v>Exhibit 5</v>
          </cell>
        </row>
        <row r="376">
          <cell r="B376" t="str">
            <v>NTPC-8.5% Tax Free SEB Bonds Outstanding - F2006E</v>
          </cell>
        </row>
        <row r="377">
          <cell r="B377" t="str">
            <v>State*</v>
          </cell>
          <cell r="C377" t="str">
            <v>%</v>
          </cell>
          <cell r="D377" t="str">
            <v>Rs mn</v>
          </cell>
        </row>
        <row r="378">
          <cell r="B378" t="str">
            <v>Andhra Pradesh</v>
          </cell>
          <cell r="C378">
            <v>7.3398074079249198E-2</v>
          </cell>
          <cell r="D378">
            <v>12607</v>
          </cell>
        </row>
        <row r="379">
          <cell r="B379" t="str">
            <v>Assam</v>
          </cell>
          <cell r="C379">
            <v>2.9983349052759051E-3</v>
          </cell>
          <cell r="D379">
            <v>515</v>
          </cell>
        </row>
        <row r="380">
          <cell r="B380" t="str">
            <v>Bihar</v>
          </cell>
          <cell r="C380">
            <v>0.11029214843795485</v>
          </cell>
          <cell r="D380">
            <v>18944</v>
          </cell>
        </row>
        <row r="381">
          <cell r="B381" t="str">
            <v>Chhatisgarh</v>
          </cell>
          <cell r="C381">
            <v>2.8131950023870238E-2</v>
          </cell>
          <cell r="D381">
            <v>4832</v>
          </cell>
        </row>
        <row r="382">
          <cell r="B382" t="str">
            <v>Gujarat</v>
          </cell>
          <cell r="C382">
            <v>4.8741863741689082E-2</v>
          </cell>
          <cell r="D382">
            <v>8372</v>
          </cell>
        </row>
        <row r="383">
          <cell r="B383" t="str">
            <v>Haryana</v>
          </cell>
          <cell r="C383">
            <v>6.2586602391681512E-2</v>
          </cell>
          <cell r="D383">
            <v>10750</v>
          </cell>
        </row>
        <row r="384">
          <cell r="B384" t="str">
            <v>Himachal Pradesh</v>
          </cell>
          <cell r="C384">
            <v>1.9445511812857326E-3</v>
          </cell>
          <cell r="D384">
            <v>334</v>
          </cell>
        </row>
        <row r="385">
          <cell r="B385" t="str">
            <v>J&amp;K</v>
          </cell>
          <cell r="C385">
            <v>2.1390062994143057E-2</v>
          </cell>
          <cell r="D385">
            <v>3674</v>
          </cell>
        </row>
        <row r="386">
          <cell r="B386" t="str">
            <v>Karnataka</v>
          </cell>
          <cell r="C386">
            <v>1.1446070725771708E-2</v>
          </cell>
          <cell r="D386">
            <v>1966</v>
          </cell>
        </row>
        <row r="387">
          <cell r="B387" t="str">
            <v>Kerala</v>
          </cell>
          <cell r="C387">
            <v>5.8359823476671208E-2</v>
          </cell>
          <cell r="D387">
            <v>10024</v>
          </cell>
        </row>
        <row r="388">
          <cell r="B388" t="str">
            <v>Madhya Pradesh</v>
          </cell>
          <cell r="C388">
            <v>4.8369255132101399E-2</v>
          </cell>
          <cell r="D388">
            <v>8308</v>
          </cell>
        </row>
        <row r="389">
          <cell r="B389" t="str">
            <v>Maharashtra</v>
          </cell>
          <cell r="C389">
            <v>2.2205144327616121E-2</v>
          </cell>
          <cell r="D389">
            <v>3814</v>
          </cell>
        </row>
        <row r="390">
          <cell r="B390" t="str">
            <v>Orissa</v>
          </cell>
          <cell r="C390">
            <v>6.4210943049102825E-2</v>
          </cell>
          <cell r="D390">
            <v>11029</v>
          </cell>
        </row>
        <row r="391">
          <cell r="B391" t="str">
            <v>Punjab</v>
          </cell>
          <cell r="C391">
            <v>2.0155796974883851E-2</v>
          </cell>
          <cell r="D391">
            <v>3462</v>
          </cell>
        </row>
        <row r="392">
          <cell r="B392" t="str">
            <v>Rajasthan</v>
          </cell>
          <cell r="C392">
            <v>1.6883827621941988E-2</v>
          </cell>
          <cell r="D392">
            <v>2900</v>
          </cell>
        </row>
        <row r="393">
          <cell r="B393" t="str">
            <v>Sikkim</v>
          </cell>
          <cell r="C393">
            <v>1.9911272574841933E-3</v>
          </cell>
          <cell r="D393">
            <v>342</v>
          </cell>
        </row>
        <row r="394">
          <cell r="B394" t="str">
            <v>Tamil Nadu</v>
          </cell>
          <cell r="C394">
            <v>2.7078166299880066E-2</v>
          </cell>
          <cell r="D394">
            <v>4651</v>
          </cell>
        </row>
        <row r="395">
          <cell r="B395" t="str">
            <v>Uttar Pradesh</v>
          </cell>
          <cell r="C395">
            <v>0.23229235803029774</v>
          </cell>
          <cell r="D395">
            <v>39899</v>
          </cell>
        </row>
        <row r="396">
          <cell r="B396" t="str">
            <v>Uttaranchal</v>
          </cell>
          <cell r="C396">
            <v>2.3264750061131101E-2</v>
          </cell>
          <cell r="D396">
            <v>3996</v>
          </cell>
        </row>
        <row r="397">
          <cell r="B397" t="str">
            <v>West Bengal</v>
          </cell>
          <cell r="C397">
            <v>6.836203584029063E-2</v>
          </cell>
          <cell r="D397">
            <v>11742</v>
          </cell>
        </row>
        <row r="398">
          <cell r="B398" t="str">
            <v>Jharkhand</v>
          </cell>
          <cell r="C398">
            <v>5.5897113447677602E-2</v>
          </cell>
          <cell r="D398">
            <v>9601</v>
          </cell>
        </row>
        <row r="399">
          <cell r="B399" t="str">
            <v>Total</v>
          </cell>
          <cell r="C399">
            <v>0.99999999999999989</v>
          </cell>
          <cell r="D399">
            <v>171762</v>
          </cell>
        </row>
        <row r="400">
          <cell r="B400" t="str">
            <v>* 8.5% tax free State Government Bonds</v>
          </cell>
        </row>
        <row r="403">
          <cell r="L403">
            <v>9.375E-2</v>
          </cell>
        </row>
        <row r="407">
          <cell r="B407" t="str">
            <v>NTPC-Charts</v>
          </cell>
        </row>
        <row r="408">
          <cell r="B408" t="str">
            <v>Per Unit Fuel Cost &amp; Per Unit Realisation- Exhibit 1</v>
          </cell>
          <cell r="F408" t="str">
            <v>Capex Plans</v>
          </cell>
          <cell r="L408" t="str">
            <v>Per Unit Revenue Buildup  - Exhibit 5</v>
          </cell>
        </row>
        <row r="424">
          <cell r="B424" t="str">
            <v>Return on Regulated  Assets (%) -Exhibit 2</v>
          </cell>
          <cell r="F424" t="str">
            <v>Dividend Payout - Dependent on Government -Exhibit 3</v>
          </cell>
          <cell r="L424" t="str">
            <v xml:space="preserve">NTPC-Incremental Capacity (MW)-Commissioned vs. Commercial </v>
          </cell>
        </row>
        <row r="440">
          <cell r="B440" t="str">
            <v>DATA FOR CHARTS</v>
          </cell>
        </row>
        <row r="441">
          <cell r="B441" t="str">
            <v>Per Unit Fuel Cost and Per Unit Realisation</v>
          </cell>
        </row>
        <row r="442">
          <cell r="B442" t="str">
            <v>(Rs/unit)</v>
          </cell>
          <cell r="C442" t="str">
            <v>F2005</v>
          </cell>
          <cell r="D442" t="str">
            <v>F2006E</v>
          </cell>
          <cell r="E442" t="str">
            <v>F2007E</v>
          </cell>
          <cell r="F442" t="str">
            <v>F2008E</v>
          </cell>
        </row>
        <row r="443">
          <cell r="B443" t="str">
            <v>Fuel Cost</v>
          </cell>
          <cell r="C443" t="e">
            <v>#REF!</v>
          </cell>
          <cell r="D443" t="e">
            <v>#REF!</v>
          </cell>
          <cell r="E443" t="e">
            <v>#REF!</v>
          </cell>
          <cell r="F443" t="e">
            <v>#REF!</v>
          </cell>
        </row>
        <row r="444">
          <cell r="B444" t="str">
            <v>Realization</v>
          </cell>
          <cell r="C444" t="e">
            <v>#REF!</v>
          </cell>
          <cell r="D444" t="e">
            <v>#REF!</v>
          </cell>
          <cell r="E444" t="e">
            <v>#REF!</v>
          </cell>
          <cell r="F444" t="e">
            <v>#REF!</v>
          </cell>
        </row>
        <row r="446">
          <cell r="B446" t="str">
            <v xml:space="preserve">Data </v>
          </cell>
        </row>
        <row r="447">
          <cell r="B447" t="str">
            <v>Per Unit Revenue Buildup</v>
          </cell>
          <cell r="M447">
            <v>130</v>
          </cell>
        </row>
        <row r="448">
          <cell r="B448" t="str">
            <v>Rs. Per Unit</v>
          </cell>
          <cell r="C448" t="str">
            <v>F2004</v>
          </cell>
          <cell r="D448" t="str">
            <v>F2005</v>
          </cell>
          <cell r="E448" t="str">
            <v>F2006E</v>
          </cell>
          <cell r="F448" t="str">
            <v>F2007E</v>
          </cell>
          <cell r="G448" t="str">
            <v>F2008E</v>
          </cell>
        </row>
        <row r="449">
          <cell r="B449" t="str">
            <v>Fuel Cost</v>
          </cell>
          <cell r="C449" t="e">
            <v>#REF!</v>
          </cell>
          <cell r="D449" t="e">
            <v>#REF!</v>
          </cell>
          <cell r="E449" t="e">
            <v>#REF!</v>
          </cell>
          <cell r="F449" t="e">
            <v>#REF!</v>
          </cell>
          <cell r="G449" t="e">
            <v>#REF!</v>
          </cell>
        </row>
        <row r="450">
          <cell r="B450" t="str">
            <v>Realization</v>
          </cell>
          <cell r="C450" t="e">
            <v>#REF!</v>
          </cell>
          <cell r="D450" t="e">
            <v>#REF!</v>
          </cell>
          <cell r="E450" t="e">
            <v>#REF!</v>
          </cell>
          <cell r="F450" t="e">
            <v>#REF!</v>
          </cell>
          <cell r="G450" t="e">
            <v>#REF!</v>
          </cell>
        </row>
        <row r="453">
          <cell r="B453" t="str">
            <v>Return on Regulated  Assets (%)</v>
          </cell>
        </row>
        <row r="454">
          <cell r="C454" t="str">
            <v>F2005</v>
          </cell>
          <cell r="D454" t="str">
            <v>F2006E</v>
          </cell>
          <cell r="E454" t="str">
            <v>F2007E</v>
          </cell>
          <cell r="F454" t="str">
            <v>F2008E</v>
          </cell>
        </row>
        <row r="455">
          <cell r="B455" t="str">
            <v>Return on Regulated Equity (%)</v>
          </cell>
          <cell r="C455" t="e">
            <v>#REF!</v>
          </cell>
          <cell r="D455" t="e">
            <v>#REF!</v>
          </cell>
          <cell r="E455" t="e">
            <v>#REF!</v>
          </cell>
          <cell r="F455" t="e">
            <v>#REF!</v>
          </cell>
        </row>
        <row r="456">
          <cell r="B456" t="str">
            <v>Business Profit (% of Regulated Equity)</v>
          </cell>
          <cell r="C456" t="e">
            <v>#REF!</v>
          </cell>
          <cell r="D456" t="e">
            <v>#REF!</v>
          </cell>
          <cell r="E456" t="e">
            <v>#REF!</v>
          </cell>
          <cell r="F456" t="e">
            <v>#REF!</v>
          </cell>
        </row>
        <row r="458">
          <cell r="B458" t="str">
            <v>Dividend Payout - Dependent on Government</v>
          </cell>
        </row>
        <row r="459">
          <cell r="C459" t="str">
            <v>F2004</v>
          </cell>
          <cell r="D459" t="str">
            <v>F2005</v>
          </cell>
          <cell r="E459" t="str">
            <v>F2006E</v>
          </cell>
          <cell r="F459" t="str">
            <v>F2007E</v>
          </cell>
          <cell r="G459" t="str">
            <v>F2008E</v>
          </cell>
        </row>
        <row r="460">
          <cell r="B460" t="str">
            <v>DPS (Rs) - LHS</v>
          </cell>
          <cell r="C460">
            <v>1.3853352402482089</v>
          </cell>
          <cell r="D460">
            <v>2.4001073850976784</v>
          </cell>
          <cell r="E460">
            <v>2.8117276208238797</v>
          </cell>
          <cell r="F460">
            <v>3.2097646313287092</v>
          </cell>
          <cell r="G460">
            <v>3.25</v>
          </cell>
        </row>
        <row r="461">
          <cell r="B461" t="str">
            <v>Dividend payout (%) - RHS</v>
          </cell>
          <cell r="C461">
            <v>0.23209397810218979</v>
          </cell>
          <cell r="D461">
            <v>0.38694678835887719</v>
          </cell>
          <cell r="E461">
            <v>0.45259211066977129</v>
          </cell>
          <cell r="F461">
            <v>0.44044184799153413</v>
          </cell>
          <cell r="G461">
            <v>0.40905694911344198</v>
          </cell>
        </row>
        <row r="463">
          <cell r="B463" t="str">
            <v>Capex Plans - Excluding Coal Mining</v>
          </cell>
        </row>
        <row r="464">
          <cell r="C464" t="str">
            <v>F2005</v>
          </cell>
          <cell r="D464" t="str">
            <v>F2006E</v>
          </cell>
          <cell r="E464" t="str">
            <v>F2007E</v>
          </cell>
          <cell r="F464" t="str">
            <v>F2008E</v>
          </cell>
        </row>
        <row r="465">
          <cell r="B465" t="str">
            <v>Capex (Rs bn) - LHS</v>
          </cell>
          <cell r="C465">
            <v>54.485999999999997</v>
          </cell>
          <cell r="D465">
            <v>94.152000000000001</v>
          </cell>
          <cell r="E465">
            <v>86.798000000000002</v>
          </cell>
          <cell r="F465">
            <v>0</v>
          </cell>
        </row>
        <row r="466">
          <cell r="B466" t="str">
            <v>Capex/ MW * - RHS</v>
          </cell>
          <cell r="C466" t="e">
            <v>#REF!</v>
          </cell>
          <cell r="D466" t="e">
            <v>#REF!</v>
          </cell>
          <cell r="E466" t="e">
            <v>#REF!</v>
          </cell>
          <cell r="F466" t="e">
            <v>#REF!</v>
          </cell>
        </row>
        <row r="467">
          <cell r="B467" t="str">
            <v>Note :These capex Figures are only for capacity additions.</v>
          </cell>
        </row>
        <row r="468">
          <cell r="B468" t="str">
            <v>Per Unit Revenue Buildup (Commonsied)</v>
          </cell>
        </row>
        <row r="469">
          <cell r="B469" t="str">
            <v>All figures are in %</v>
          </cell>
          <cell r="C469" t="str">
            <v>F2004</v>
          </cell>
          <cell r="D469" t="str">
            <v>F2005</v>
          </cell>
          <cell r="E469" t="str">
            <v>F2006E</v>
          </cell>
          <cell r="F469" t="str">
            <v>F2007E</v>
          </cell>
          <cell r="G469" t="str">
            <v>F2008E</v>
          </cell>
        </row>
        <row r="470">
          <cell r="B470" t="str">
            <v>Total Revenues</v>
          </cell>
          <cell r="C470">
            <v>100</v>
          </cell>
          <cell r="D470">
            <v>100</v>
          </cell>
          <cell r="E470">
            <v>100</v>
          </cell>
          <cell r="F470">
            <v>100</v>
          </cell>
          <cell r="G470">
            <v>100</v>
          </cell>
        </row>
        <row r="471">
          <cell r="B471" t="str">
            <v>Fuel Costs</v>
          </cell>
          <cell r="C471" t="e">
            <v>#REF!</v>
          </cell>
          <cell r="D471" t="e">
            <v>#REF!</v>
          </cell>
          <cell r="E471" t="e">
            <v>#REF!</v>
          </cell>
          <cell r="F471" t="e">
            <v>#REF!</v>
          </cell>
          <cell r="G471" t="e">
            <v>#REF!</v>
          </cell>
        </row>
        <row r="472">
          <cell r="B472" t="str">
            <v>Other Operating Costs</v>
          </cell>
          <cell r="C472" t="e">
            <v>#REF!</v>
          </cell>
          <cell r="D472" t="e">
            <v>#REF!</v>
          </cell>
          <cell r="E472" t="e">
            <v>#REF!</v>
          </cell>
          <cell r="F472" t="e">
            <v>#REF!</v>
          </cell>
          <cell r="G472" t="e">
            <v>#REF!</v>
          </cell>
        </row>
        <row r="473">
          <cell r="B473" t="str">
            <v>Interest &amp; Depr'n</v>
          </cell>
          <cell r="C473" t="e">
            <v>#REF!</v>
          </cell>
          <cell r="D473" t="e">
            <v>#REF!</v>
          </cell>
          <cell r="E473" t="e">
            <v>#REF!</v>
          </cell>
          <cell r="F473" t="e">
            <v>#REF!</v>
          </cell>
          <cell r="G473" t="e">
            <v>#REF!</v>
          </cell>
        </row>
        <row r="474">
          <cell r="B474" t="str">
            <v>Business Profits</v>
          </cell>
          <cell r="C474" t="e">
            <v>#REF!</v>
          </cell>
          <cell r="D474" t="e">
            <v>#REF!</v>
          </cell>
          <cell r="E474" t="e">
            <v>#REF!</v>
          </cell>
          <cell r="F474" t="e">
            <v>#REF!</v>
          </cell>
          <cell r="G474" t="e">
            <v>#REF!</v>
          </cell>
        </row>
        <row r="476">
          <cell r="C476" t="str">
            <v>F2004</v>
          </cell>
          <cell r="D476" t="str">
            <v>F2005</v>
          </cell>
          <cell r="E476" t="str">
            <v>F2006E</v>
          </cell>
          <cell r="F476" t="str">
            <v>F2007E</v>
          </cell>
          <cell r="G476" t="str">
            <v>F2008E</v>
          </cell>
        </row>
        <row r="477">
          <cell r="B477" t="str">
            <v>Total Revenues</v>
          </cell>
          <cell r="C477" t="e">
            <v>#REF!</v>
          </cell>
          <cell r="D477" t="e">
            <v>#REF!</v>
          </cell>
          <cell r="E477" t="e">
            <v>#REF!</v>
          </cell>
          <cell r="F477" t="e">
            <v>#REF!</v>
          </cell>
          <cell r="G477" t="e">
            <v>#REF!</v>
          </cell>
        </row>
        <row r="478">
          <cell r="B478" t="str">
            <v>Fuel Costs</v>
          </cell>
          <cell r="C478" t="e">
            <v>#REF!</v>
          </cell>
          <cell r="D478" t="e">
            <v>#REF!</v>
          </cell>
          <cell r="E478" t="e">
            <v>#REF!</v>
          </cell>
          <cell r="F478" t="e">
            <v>#REF!</v>
          </cell>
          <cell r="G478" t="e">
            <v>#REF!</v>
          </cell>
          <cell r="I478" t="e">
            <v>#REF!</v>
          </cell>
        </row>
        <row r="479">
          <cell r="B479" t="str">
            <v>Other Operating Costs</v>
          </cell>
          <cell r="C479" t="e">
            <v>#REF!</v>
          </cell>
          <cell r="D479" t="e">
            <v>#REF!</v>
          </cell>
          <cell r="E479" t="e">
            <v>#REF!</v>
          </cell>
          <cell r="F479" t="e">
            <v>#REF!</v>
          </cell>
          <cell r="G479" t="e">
            <v>#REF!</v>
          </cell>
        </row>
        <row r="480">
          <cell r="B480" t="str">
            <v>Other Income</v>
          </cell>
          <cell r="C480" t="e">
            <v>#REF!</v>
          </cell>
          <cell r="D480" t="e">
            <v>#REF!</v>
          </cell>
          <cell r="E480" t="e">
            <v>#REF!</v>
          </cell>
          <cell r="F480" t="e">
            <v>#REF!</v>
          </cell>
          <cell r="G480" t="e">
            <v>#REF!</v>
          </cell>
        </row>
        <row r="481">
          <cell r="B481" t="str">
            <v>Interest</v>
          </cell>
          <cell r="C481" t="e">
            <v>#REF!</v>
          </cell>
          <cell r="D481" t="e">
            <v>#REF!</v>
          </cell>
          <cell r="E481" t="e">
            <v>#REF!</v>
          </cell>
          <cell r="F481" t="e">
            <v>#REF!</v>
          </cell>
          <cell r="G481" t="e">
            <v>#REF!</v>
          </cell>
        </row>
        <row r="482">
          <cell r="B482" t="str">
            <v>Depreciation</v>
          </cell>
          <cell r="C482" t="e">
            <v>#REF!</v>
          </cell>
          <cell r="D482" t="e">
            <v>#REF!</v>
          </cell>
          <cell r="E482" t="e">
            <v>#REF!</v>
          </cell>
          <cell r="F482" t="e">
            <v>#REF!</v>
          </cell>
          <cell r="G482" t="e">
            <v>#REF!</v>
          </cell>
        </row>
        <row r="483">
          <cell r="B483" t="str">
            <v>Tax</v>
          </cell>
          <cell r="C483" t="e">
            <v>#REF!</v>
          </cell>
          <cell r="D483" t="e">
            <v>#REF!</v>
          </cell>
          <cell r="E483" t="e">
            <v>#REF!</v>
          </cell>
          <cell r="F483" t="e">
            <v>#REF!</v>
          </cell>
          <cell r="G483" t="e">
            <v>#REF!</v>
          </cell>
        </row>
        <row r="484">
          <cell r="B484" t="str">
            <v>PAT</v>
          </cell>
          <cell r="C484" t="e">
            <v>#REF!</v>
          </cell>
          <cell r="D484" t="e">
            <v>#REF!</v>
          </cell>
          <cell r="E484" t="e">
            <v>#REF!</v>
          </cell>
          <cell r="F484" t="e">
            <v>#REF!</v>
          </cell>
          <cell r="G484" t="e">
            <v>#REF!</v>
          </cell>
        </row>
        <row r="485">
          <cell r="B485" t="str">
            <v>check</v>
          </cell>
          <cell r="C485" t="e">
            <v>#REF!</v>
          </cell>
          <cell r="D485" t="e">
            <v>#REF!</v>
          </cell>
          <cell r="E485" t="e">
            <v>#REF!</v>
          </cell>
          <cell r="F485" t="e">
            <v>#REF!</v>
          </cell>
          <cell r="G485" t="e">
            <v>#REF!</v>
          </cell>
        </row>
        <row r="487">
          <cell r="B487" t="str">
            <v>Sales (bn units)</v>
          </cell>
          <cell r="C487" t="e">
            <v>#REF!</v>
          </cell>
          <cell r="D487" t="e">
            <v>#REF!</v>
          </cell>
          <cell r="E487" t="e">
            <v>#REF!</v>
          </cell>
          <cell r="F487" t="e">
            <v>#REF!</v>
          </cell>
          <cell r="G487" t="e">
            <v>#REF!</v>
          </cell>
        </row>
        <row r="489">
          <cell r="B489" t="str">
            <v>Per Unit</v>
          </cell>
          <cell r="C489" t="str">
            <v>F2004</v>
          </cell>
          <cell r="D489" t="str">
            <v>F2005</v>
          </cell>
          <cell r="E489" t="str">
            <v>F2006E</v>
          </cell>
          <cell r="F489" t="str">
            <v>F2007E</v>
          </cell>
          <cell r="G489" t="str">
            <v>F2008E</v>
          </cell>
        </row>
        <row r="490">
          <cell r="B490" t="str">
            <v>Total Revenues</v>
          </cell>
          <cell r="C490" t="e">
            <v>#REF!</v>
          </cell>
          <cell r="D490" t="e">
            <v>#REF!</v>
          </cell>
          <cell r="E490" t="e">
            <v>#REF!</v>
          </cell>
          <cell r="F490" t="e">
            <v>#REF!</v>
          </cell>
          <cell r="G490" t="e">
            <v>#REF!</v>
          </cell>
        </row>
        <row r="491">
          <cell r="B491" t="str">
            <v>Fuel Costs</v>
          </cell>
          <cell r="C491" t="e">
            <v>#REF!</v>
          </cell>
          <cell r="D491" t="e">
            <v>#REF!</v>
          </cell>
          <cell r="E491" t="e">
            <v>#REF!</v>
          </cell>
          <cell r="F491" t="e">
            <v>#REF!</v>
          </cell>
          <cell r="G491" t="e">
            <v>#REF!</v>
          </cell>
          <cell r="I491" t="e">
            <v>#REF!</v>
          </cell>
        </row>
        <row r="492">
          <cell r="B492" t="str">
            <v>Other Operating Costs</v>
          </cell>
          <cell r="C492" t="e">
            <v>#REF!</v>
          </cell>
          <cell r="D492" t="e">
            <v>#REF!</v>
          </cell>
          <cell r="E492" t="e">
            <v>#REF!</v>
          </cell>
          <cell r="F492" t="e">
            <v>#REF!</v>
          </cell>
          <cell r="G492" t="e">
            <v>#REF!</v>
          </cell>
        </row>
        <row r="493">
          <cell r="B493" t="str">
            <v>Interest</v>
          </cell>
          <cell r="C493" t="e">
            <v>#REF!</v>
          </cell>
          <cell r="D493" t="e">
            <v>#REF!</v>
          </cell>
          <cell r="E493" t="e">
            <v>#REF!</v>
          </cell>
          <cell r="F493" t="e">
            <v>#REF!</v>
          </cell>
          <cell r="G493" t="e">
            <v>#REF!</v>
          </cell>
        </row>
        <row r="494">
          <cell r="B494" t="str">
            <v>Depreciation</v>
          </cell>
          <cell r="C494" t="e">
            <v>#REF!</v>
          </cell>
          <cell r="D494" t="e">
            <v>#REF!</v>
          </cell>
          <cell r="E494" t="e">
            <v>#REF!</v>
          </cell>
          <cell r="F494" t="e">
            <v>#REF!</v>
          </cell>
          <cell r="G494" t="e">
            <v>#REF!</v>
          </cell>
        </row>
        <row r="495">
          <cell r="B495" t="str">
            <v>Business Profits</v>
          </cell>
          <cell r="C495" t="e">
            <v>#REF!</v>
          </cell>
          <cell r="D495" t="e">
            <v>#REF!</v>
          </cell>
          <cell r="E495" t="e">
            <v>#REF!</v>
          </cell>
          <cell r="F495" t="e">
            <v>#REF!</v>
          </cell>
          <cell r="G495" t="e">
            <v>#REF!</v>
          </cell>
        </row>
        <row r="499">
          <cell r="B499" t="str">
            <v>Incentives and savings</v>
          </cell>
        </row>
        <row r="500">
          <cell r="B500" t="str">
            <v>Rs bn</v>
          </cell>
          <cell r="C500" t="str">
            <v>F2005</v>
          </cell>
          <cell r="D500" t="str">
            <v>F2006E</v>
          </cell>
          <cell r="E500" t="str">
            <v>F2007E</v>
          </cell>
          <cell r="F500" t="str">
            <v>F2008E</v>
          </cell>
        </row>
        <row r="501">
          <cell r="B501" t="str">
            <v>UI Charges</v>
          </cell>
          <cell r="C501" t="e">
            <v>#REF!</v>
          </cell>
          <cell r="D501" t="e">
            <v>#REF!</v>
          </cell>
          <cell r="E501" t="e">
            <v>#REF!</v>
          </cell>
          <cell r="F501" t="e">
            <v>#REF!</v>
          </cell>
        </row>
        <row r="502">
          <cell r="B502" t="str">
            <v>PLF incentives</v>
          </cell>
          <cell r="C502" t="e">
            <v>#REF!</v>
          </cell>
          <cell r="D502" t="e">
            <v>#REF!</v>
          </cell>
          <cell r="E502" t="e">
            <v>#REF!</v>
          </cell>
          <cell r="F502" t="e">
            <v>#REF!</v>
          </cell>
        </row>
        <row r="503">
          <cell r="B503" t="str">
            <v>Income due to Interest on working capital</v>
          </cell>
          <cell r="C503" t="e">
            <v>#REF!</v>
          </cell>
          <cell r="D503" t="e">
            <v>#REF!</v>
          </cell>
          <cell r="E503" t="e">
            <v>#REF!</v>
          </cell>
          <cell r="F503" t="e">
            <v>#REF!</v>
          </cell>
        </row>
        <row r="504">
          <cell r="B504" t="str">
            <v>Savings on account of O&amp;M charges</v>
          </cell>
          <cell r="C504" t="e">
            <v>#REF!</v>
          </cell>
          <cell r="D504" t="e">
            <v>#REF!</v>
          </cell>
          <cell r="E504" t="e">
            <v>#REF!</v>
          </cell>
          <cell r="F504" t="e">
            <v>#REF!</v>
          </cell>
        </row>
        <row r="505">
          <cell r="B505" t="str">
            <v>Savings on account of fuel oil</v>
          </cell>
          <cell r="C505" t="e">
            <v>#REF!</v>
          </cell>
          <cell r="D505" t="e">
            <v>#REF!</v>
          </cell>
          <cell r="E505" t="e">
            <v>#REF!</v>
          </cell>
          <cell r="F505" t="e">
            <v>#REF!</v>
          </cell>
        </row>
        <row r="506">
          <cell r="B506" t="str">
            <v>Savings due on auxillary consumption</v>
          </cell>
          <cell r="C506" t="e">
            <v>#REF!</v>
          </cell>
          <cell r="D506" t="e">
            <v>#REF!</v>
          </cell>
          <cell r="E506" t="e">
            <v>#REF!</v>
          </cell>
          <cell r="F506" t="e">
            <v>#REF!</v>
          </cell>
        </row>
        <row r="507">
          <cell r="B507" t="str">
            <v>Savings due to Heat rate</v>
          </cell>
          <cell r="C507" t="e">
            <v>#REF!</v>
          </cell>
          <cell r="D507" t="e">
            <v>#REF!</v>
          </cell>
          <cell r="E507" t="e">
            <v>#REF!</v>
          </cell>
          <cell r="F507" t="e">
            <v>#REF!</v>
          </cell>
        </row>
        <row r="508">
          <cell r="B508" t="str">
            <v>Less: Additional Depreciation</v>
          </cell>
          <cell r="C508" t="e">
            <v>#REF!</v>
          </cell>
          <cell r="D508" t="e">
            <v>#REF!</v>
          </cell>
          <cell r="E508" t="e">
            <v>#REF!</v>
          </cell>
          <cell r="F508" t="e">
            <v>#REF!</v>
          </cell>
        </row>
        <row r="509">
          <cell r="B509" t="str">
            <v>Total Incentives</v>
          </cell>
          <cell r="C509" t="e">
            <v>#REF!</v>
          </cell>
          <cell r="D509" t="e">
            <v>#REF!</v>
          </cell>
          <cell r="E509" t="e">
            <v>#REF!</v>
          </cell>
          <cell r="F509" t="e">
            <v>#REF!</v>
          </cell>
        </row>
        <row r="511">
          <cell r="B511" t="str">
            <v>Fin assets as a % of capital employed (%)</v>
          </cell>
        </row>
        <row r="512">
          <cell r="C512" t="str">
            <v>F2004</v>
          </cell>
          <cell r="D512" t="str">
            <v>F2005</v>
          </cell>
          <cell r="E512" t="str">
            <v>F2006E</v>
          </cell>
          <cell r="F512" t="str">
            <v>F2007E</v>
          </cell>
          <cell r="G512" t="str">
            <v>FY08</v>
          </cell>
          <cell r="H512" t="str">
            <v>FY09E</v>
          </cell>
          <cell r="I512" t="str">
            <v>FY10E</v>
          </cell>
          <cell r="J512" t="str">
            <v>FY11E</v>
          </cell>
          <cell r="K512" t="str">
            <v>F2008E</v>
          </cell>
        </row>
        <row r="513">
          <cell r="B513" t="str">
            <v>Fin assets as a % of Capital Employed (%)</v>
          </cell>
          <cell r="C513">
            <v>0.47815601323231244</v>
          </cell>
          <cell r="D513">
            <v>0.46749243263695578</v>
          </cell>
          <cell r="E513">
            <v>0.41453012214924967</v>
          </cell>
          <cell r="F513">
            <v>0.38921537588014121</v>
          </cell>
          <cell r="G513">
            <v>0.35738250708032721</v>
          </cell>
          <cell r="H513">
            <v>0.34263875974919578</v>
          </cell>
          <cell r="I513">
            <v>0.29754849733727556</v>
          </cell>
          <cell r="J513">
            <v>0.23877391883841864</v>
          </cell>
          <cell r="K513">
            <v>0.14004265317421397</v>
          </cell>
        </row>
        <row r="514">
          <cell r="B514" t="str">
            <v>RONW (%)</v>
          </cell>
          <cell r="C514">
            <v>0.12559829439647768</v>
          </cell>
          <cell r="D514">
            <v>0.12527962993854466</v>
          </cell>
          <cell r="E514">
            <v>0.13677142188762217</v>
          </cell>
          <cell r="F514">
            <v>0.14690155378490308</v>
          </cell>
          <cell r="G514">
            <v>0.14086240895464544</v>
          </cell>
          <cell r="H514">
            <v>0.13853451575545148</v>
          </cell>
          <cell r="I514">
            <v>0.13629453395763638</v>
          </cell>
          <cell r="J514">
            <v>0.13834855375949434</v>
          </cell>
          <cell r="K514">
            <v>0.13898999212601917</v>
          </cell>
        </row>
        <row r="516">
          <cell r="B516" t="str">
            <v>Price/Book Value</v>
          </cell>
        </row>
        <row r="517">
          <cell r="C517" t="str">
            <v>F2005</v>
          </cell>
          <cell r="D517" t="str">
            <v>F2006E</v>
          </cell>
          <cell r="E517" t="str">
            <v>F2007E</v>
          </cell>
          <cell r="F517" t="str">
            <v>F2008E</v>
          </cell>
        </row>
        <row r="518">
          <cell r="B518" t="str">
            <v>Book value of regulated asset (Rs/ share)</v>
          </cell>
          <cell r="C518" t="e">
            <v>#REF!</v>
          </cell>
          <cell r="D518" t="e">
            <v>#REF!</v>
          </cell>
          <cell r="E518" t="e">
            <v>#REF!</v>
          </cell>
          <cell r="F518" t="e">
            <v>#REF!</v>
          </cell>
        </row>
        <row r="519">
          <cell r="B519" t="str">
            <v>P/B (x)</v>
          </cell>
          <cell r="C519" t="e">
            <v>#REF!</v>
          </cell>
          <cell r="D519" t="e">
            <v>#REF!</v>
          </cell>
          <cell r="E519" t="e">
            <v>#REF!</v>
          </cell>
          <cell r="F519" t="e">
            <v>#REF!</v>
          </cell>
        </row>
        <row r="520">
          <cell r="B520" t="str">
            <v>Share Price</v>
          </cell>
          <cell r="C520">
            <v>125</v>
          </cell>
        </row>
        <row r="523">
          <cell r="B523" t="str">
            <v>EPS Break-Up</v>
          </cell>
        </row>
        <row r="524">
          <cell r="C524" t="str">
            <v>F2005</v>
          </cell>
          <cell r="D524" t="str">
            <v>F2006E</v>
          </cell>
          <cell r="E524" t="str">
            <v>F2007E</v>
          </cell>
          <cell r="F524" t="str">
            <v>F2008E</v>
          </cell>
        </row>
        <row r="525">
          <cell r="B525" t="str">
            <v>Business EPS (Rs/ share)</v>
          </cell>
          <cell r="C525" t="e">
            <v>#REF!</v>
          </cell>
          <cell r="D525" t="e">
            <v>#REF!</v>
          </cell>
          <cell r="E525" t="e">
            <v>#REF!</v>
          </cell>
          <cell r="F525" t="e">
            <v>#REF!</v>
          </cell>
        </row>
        <row r="526">
          <cell r="B526" t="str">
            <v>Non business EPS (Rs/ share)</v>
          </cell>
          <cell r="C526" t="e">
            <v>#REF!</v>
          </cell>
          <cell r="D526" t="e">
            <v>#REF!</v>
          </cell>
          <cell r="E526" t="e">
            <v>#REF!</v>
          </cell>
          <cell r="F526" t="e">
            <v>#REF!</v>
          </cell>
        </row>
        <row r="527">
          <cell r="B527" t="str">
            <v>Total EPS (Rs/ share)</v>
          </cell>
          <cell r="C527">
            <v>5.8743948833736273</v>
          </cell>
          <cell r="D527">
            <v>7.1970476277843121</v>
          </cell>
          <cell r="E527">
            <v>8.3479834077022996</v>
          </cell>
          <cell r="F527">
            <v>9.0594048286716262</v>
          </cell>
        </row>
        <row r="529">
          <cell r="B529" t="str">
            <v>P/E at target price (x)</v>
          </cell>
          <cell r="C529">
            <v>24.342932819299342</v>
          </cell>
          <cell r="D529">
            <v>19.869258534283741</v>
          </cell>
          <cell r="E529">
            <v>17.129885508404399</v>
          </cell>
          <cell r="F529">
            <v>15.784701390915542</v>
          </cell>
        </row>
        <row r="530">
          <cell r="B530" t="str">
            <v>Business P/E at target price (x)</v>
          </cell>
          <cell r="C530" t="e">
            <v>#REF!</v>
          </cell>
          <cell r="D530" t="e">
            <v>#REF!</v>
          </cell>
          <cell r="E530" t="e">
            <v>#REF!</v>
          </cell>
          <cell r="F530" t="e">
            <v>#REF!</v>
          </cell>
        </row>
        <row r="531">
          <cell r="B531" t="str">
            <v>Target Price</v>
          </cell>
          <cell r="C531">
            <v>143</v>
          </cell>
        </row>
        <row r="534">
          <cell r="B534" t="str">
            <v>EPS Break-Up</v>
          </cell>
        </row>
        <row r="535">
          <cell r="B535" t="str">
            <v>(Rs/ share)</v>
          </cell>
          <cell r="C535" t="str">
            <v>F2005</v>
          </cell>
          <cell r="D535" t="str">
            <v>F2006E</v>
          </cell>
          <cell r="E535" t="str">
            <v>F2007E</v>
          </cell>
          <cell r="F535" t="str">
            <v>F2008E</v>
          </cell>
        </row>
        <row r="536">
          <cell r="B536" t="str">
            <v xml:space="preserve">Business EPS </v>
          </cell>
          <cell r="C536" t="e">
            <v>#REF!</v>
          </cell>
          <cell r="D536" t="e">
            <v>#REF!</v>
          </cell>
          <cell r="E536" t="e">
            <v>#REF!</v>
          </cell>
          <cell r="F536" t="e">
            <v>#REF!</v>
          </cell>
        </row>
        <row r="537">
          <cell r="B537" t="str">
            <v xml:space="preserve">Non business EPS </v>
          </cell>
          <cell r="C537" t="e">
            <v>#REF!</v>
          </cell>
          <cell r="D537" t="e">
            <v>#REF!</v>
          </cell>
          <cell r="E537" t="e">
            <v>#REF!</v>
          </cell>
          <cell r="F537" t="e">
            <v>#REF!</v>
          </cell>
        </row>
        <row r="538">
          <cell r="B538" t="str">
            <v xml:space="preserve">Total EPS </v>
          </cell>
          <cell r="C538">
            <v>5.8743948833736273</v>
          </cell>
          <cell r="D538">
            <v>7.1970476277843121</v>
          </cell>
          <cell r="E538">
            <v>8.3479834077022996</v>
          </cell>
          <cell r="F538">
            <v>9.0594048286716262</v>
          </cell>
        </row>
        <row r="539">
          <cell r="B539" t="str">
            <v>P/E at Current Stock Price</v>
          </cell>
        </row>
        <row r="540">
          <cell r="B540" t="str">
            <v>Business</v>
          </cell>
          <cell r="C540" t="e">
            <v>#REF!</v>
          </cell>
          <cell r="D540" t="e">
            <v>#REF!</v>
          </cell>
          <cell r="E540" t="e">
            <v>#REF!</v>
          </cell>
          <cell r="F540" t="e">
            <v>#REF!</v>
          </cell>
        </row>
        <row r="541">
          <cell r="B541" t="str">
            <v>Total</v>
          </cell>
          <cell r="C541">
            <v>21.278787429457466</v>
          </cell>
          <cell r="D541">
            <v>17.36823298451376</v>
          </cell>
          <cell r="E541">
            <v>14.97367614371014</v>
          </cell>
          <cell r="F541">
            <v>13.797815901149949</v>
          </cell>
        </row>
        <row r="544">
          <cell r="B544" t="str">
            <v>NTPC: Net Earnings Estimates – MS vs. Consensus</v>
          </cell>
        </row>
        <row r="545">
          <cell r="B545" t="str">
            <v>Rs Mn (Y/E March 31)</v>
          </cell>
          <cell r="C545" t="str">
            <v>F2006E</v>
          </cell>
          <cell r="D545" t="str">
            <v>F2007E</v>
          </cell>
          <cell r="E545" t="str">
            <v>F2008E</v>
          </cell>
        </row>
        <row r="546">
          <cell r="B546" t="str">
            <v xml:space="preserve">Consensus </v>
          </cell>
          <cell r="C546">
            <v>57844.67</v>
          </cell>
          <cell r="D546">
            <v>65852.14</v>
          </cell>
          <cell r="E546">
            <v>71108.38</v>
          </cell>
        </row>
        <row r="547">
          <cell r="B547" t="str">
            <v xml:space="preserve">MS </v>
          </cell>
          <cell r="C547">
            <v>58408</v>
          </cell>
          <cell r="D547">
            <v>68983</v>
          </cell>
          <cell r="E547">
            <v>74699</v>
          </cell>
        </row>
        <row r="548">
          <cell r="B548" t="str">
            <v>MS vs. Consensus</v>
          </cell>
          <cell r="C548">
            <v>9.7386673655499578E-3</v>
          </cell>
          <cell r="D548">
            <v>4.7543785213358225E-2</v>
          </cell>
          <cell r="E548">
            <v>5.0495033074863915E-2</v>
          </cell>
          <cell r="H548">
            <v>1767</v>
          </cell>
        </row>
        <row r="549">
          <cell r="B549" t="str">
            <v>Source: IBES, Morgan Stanley Research estimates</v>
          </cell>
          <cell r="H549">
            <v>1733</v>
          </cell>
        </row>
        <row r="552">
          <cell r="B552" t="str">
            <v>NTPC: Commercial &amp; Commisioned Capacity Additions (MW)</v>
          </cell>
        </row>
        <row r="553">
          <cell r="B553" t="str">
            <v>In MW</v>
          </cell>
          <cell r="C553" t="str">
            <v>F2005</v>
          </cell>
          <cell r="D553" t="str">
            <v>F2006E</v>
          </cell>
          <cell r="E553" t="str">
            <v>F2007E</v>
          </cell>
          <cell r="F553" t="str">
            <v>F2008E</v>
          </cell>
          <cell r="G553" t="str">
            <v>F2009E</v>
          </cell>
          <cell r="H553" t="str">
            <v>Sum</v>
          </cell>
        </row>
        <row r="554">
          <cell r="B554" t="str">
            <v>Commissioned</v>
          </cell>
          <cell r="C554" t="e">
            <v>#REF!</v>
          </cell>
          <cell r="D554" t="e">
            <v>#REF!</v>
          </cell>
          <cell r="E554" t="e">
            <v>#REF!</v>
          </cell>
          <cell r="F554" t="e">
            <v>#REF!</v>
          </cell>
          <cell r="G554" t="e">
            <v>#REF!</v>
          </cell>
          <cell r="H554" t="e">
            <v>#REF!</v>
          </cell>
        </row>
        <row r="555">
          <cell r="B555" t="str">
            <v>Commercial</v>
          </cell>
          <cell r="C555" t="e">
            <v>#REF!</v>
          </cell>
          <cell r="D555" t="e">
            <v>#REF!</v>
          </cell>
          <cell r="E555" t="e">
            <v>#REF!</v>
          </cell>
          <cell r="F555" t="e">
            <v>#REF!</v>
          </cell>
          <cell r="G555" t="e">
            <v>#REF!</v>
          </cell>
          <cell r="H555" t="e">
            <v>#REF!</v>
          </cell>
        </row>
        <row r="558">
          <cell r="B558" t="str">
            <v>Replacement value</v>
          </cell>
        </row>
        <row r="560">
          <cell r="B560" t="str">
            <v>(Rs Million, Unless Stated)</v>
          </cell>
          <cell r="C560" t="str">
            <v>F2006</v>
          </cell>
          <cell r="D560" t="str">
            <v>F2007</v>
          </cell>
        </row>
        <row r="561">
          <cell r="B561" t="str">
            <v>Coal-based Capacity (MW)</v>
          </cell>
          <cell r="C561" t="e">
            <v>#REF!</v>
          </cell>
          <cell r="D561" t="e">
            <v>#REF!</v>
          </cell>
        </row>
        <row r="562">
          <cell r="B562" t="str">
            <v>Cost of setting up Coal-based Plant (Rs mn/MW)</v>
          </cell>
          <cell r="C562">
            <v>40</v>
          </cell>
          <cell r="D562">
            <v>40</v>
          </cell>
        </row>
        <row r="563">
          <cell r="B563" t="str">
            <v>Replacement Value</v>
          </cell>
          <cell r="C563" t="e">
            <v>#REF!</v>
          </cell>
          <cell r="D563" t="e">
            <v>#REF!</v>
          </cell>
        </row>
        <row r="564">
          <cell r="B564" t="str">
            <v>Gas-based capacity (MW)</v>
          </cell>
          <cell r="C564" t="e">
            <v>#REF!</v>
          </cell>
          <cell r="D564" t="e">
            <v>#REF!</v>
          </cell>
        </row>
        <row r="565">
          <cell r="B565" t="str">
            <v>Cost of setting up Gas-based Plant (Rs mn/MW)</v>
          </cell>
          <cell r="C565">
            <v>35</v>
          </cell>
          <cell r="D565">
            <v>35</v>
          </cell>
        </row>
        <row r="566">
          <cell r="B566" t="str">
            <v>Replacement Value</v>
          </cell>
          <cell r="C566" t="e">
            <v>#REF!</v>
          </cell>
          <cell r="D566" t="e">
            <v>#REF!</v>
          </cell>
        </row>
        <row r="567">
          <cell r="B567" t="str">
            <v>Total Replacement Cost (Coal + Gas)</v>
          </cell>
          <cell r="C567" t="e">
            <v>#REF!</v>
          </cell>
          <cell r="D567" t="e">
            <v>#REF!</v>
          </cell>
        </row>
        <row r="568">
          <cell r="B568" t="str">
            <v>F2006 Net Debt</v>
          </cell>
          <cell r="C568">
            <v>139140</v>
          </cell>
          <cell r="D568">
            <v>139612</v>
          </cell>
        </row>
        <row r="569">
          <cell r="B569" t="str">
            <v>Replacement Cost (Rs/ Share)</v>
          </cell>
          <cell r="C569" t="e">
            <v>#REF!</v>
          </cell>
          <cell r="D569" t="e">
            <v>#REF!</v>
          </cell>
        </row>
        <row r="576">
          <cell r="B576" t="str">
            <v xml:space="preserve">Coal Mine </v>
          </cell>
          <cell r="C576" t="str">
            <v>Capacity (MT)</v>
          </cell>
          <cell r="D576" t="str">
            <v>Ownership</v>
          </cell>
        </row>
        <row r="577">
          <cell r="B577" t="str">
            <v xml:space="preserve">Pakri Barwadih </v>
          </cell>
          <cell r="C577">
            <v>1436</v>
          </cell>
          <cell r="D577" t="str">
            <v>NTPC</v>
          </cell>
        </row>
        <row r="578">
          <cell r="B578" t="str">
            <v xml:space="preserve">Kerandari, North Karanpura </v>
          </cell>
          <cell r="C578">
            <v>229</v>
          </cell>
          <cell r="D578" t="str">
            <v>NTPC</v>
          </cell>
        </row>
        <row r="579">
          <cell r="B579" t="str">
            <v xml:space="preserve">Chatti Bariatu, North Karanpura </v>
          </cell>
          <cell r="C579">
            <v>243</v>
          </cell>
          <cell r="D579" t="str">
            <v>NTPC</v>
          </cell>
        </row>
        <row r="580">
          <cell r="B580" t="str">
            <v xml:space="preserve">Chattrasal, Singrauli </v>
          </cell>
          <cell r="C580">
            <v>150</v>
          </cell>
          <cell r="D580" t="str">
            <v>NTPC</v>
          </cell>
        </row>
        <row r="581">
          <cell r="B581" t="str">
            <v xml:space="preserve">Dulanga, Ib Valley </v>
          </cell>
          <cell r="C581">
            <v>260</v>
          </cell>
          <cell r="D581" t="str">
            <v>NTPC</v>
          </cell>
        </row>
        <row r="582">
          <cell r="B582" t="str">
            <v>Talaipalli</v>
          </cell>
          <cell r="C582">
            <v>965</v>
          </cell>
          <cell r="D582" t="str">
            <v>NTPC*</v>
          </cell>
        </row>
        <row r="583">
          <cell r="B583" t="str">
            <v>Brahmini</v>
          </cell>
          <cell r="C583">
            <v>1900</v>
          </cell>
          <cell r="D583" t="str">
            <v>JV with Coal India</v>
          </cell>
        </row>
        <row r="584">
          <cell r="B584" t="str">
            <v xml:space="preserve">Chichro Patsimal </v>
          </cell>
          <cell r="C584">
            <v>356</v>
          </cell>
          <cell r="D584" t="str">
            <v>JV with Coal India</v>
          </cell>
        </row>
        <row r="585">
          <cell r="C585">
            <v>5539</v>
          </cell>
        </row>
        <row r="586">
          <cell r="B586" t="str">
            <v>*For 4000 MW Lara integrated coal mine-cum-power project .</v>
          </cell>
        </row>
        <row r="588">
          <cell r="B588" t="str">
            <v>NTPC: Joint Venture and Managed Power Stations</v>
          </cell>
        </row>
        <row r="589">
          <cell r="B589" t="str">
            <v xml:space="preserve">Name </v>
          </cell>
          <cell r="C589" t="str">
            <v xml:space="preserve">JV Partner </v>
          </cell>
          <cell r="D589" t="str">
            <v>NTPC's Stake(%)</v>
          </cell>
          <cell r="E589" t="str">
            <v>Capacity (MT)</v>
          </cell>
          <cell r="F589" t="str">
            <v>Fuel</v>
          </cell>
          <cell r="G589" t="str">
            <v>Location</v>
          </cell>
          <cell r="K589">
            <v>960</v>
          </cell>
        </row>
        <row r="590">
          <cell r="B590" t="str">
            <v>NTPC-SAIL Power Company Pvt Ltd</v>
          </cell>
          <cell r="C590" t="str">
            <v>SAIL</v>
          </cell>
          <cell r="D590">
            <v>50</v>
          </cell>
          <cell r="E590">
            <v>240</v>
          </cell>
          <cell r="F590" t="str">
            <v>Coal</v>
          </cell>
          <cell r="G590" t="str">
            <v>Durgapur,WB &amp; Rourkela,Orissa</v>
          </cell>
        </row>
        <row r="591">
          <cell r="B591" t="str">
            <v>Bhilai Electric Supply Company Pvt Ltd</v>
          </cell>
          <cell r="C591" t="str">
            <v>SAIL</v>
          </cell>
          <cell r="D591">
            <v>50</v>
          </cell>
          <cell r="E591">
            <v>74</v>
          </cell>
          <cell r="F591" t="str">
            <v>Coal</v>
          </cell>
          <cell r="G591" t="str">
            <v>Bhilai,Chattisgarh</v>
          </cell>
        </row>
        <row r="592">
          <cell r="B592" t="str">
            <v xml:space="preserve">Ratnagiri Gas and Power Private Limited </v>
          </cell>
          <cell r="C592" t="str">
            <v>GAIL</v>
          </cell>
          <cell r="D592">
            <v>50</v>
          </cell>
          <cell r="E592">
            <v>740</v>
          </cell>
          <cell r="F592" t="str">
            <v>Gas</v>
          </cell>
          <cell r="G592" t="str">
            <v>Dabhol,Maharashtra</v>
          </cell>
        </row>
        <row r="593">
          <cell r="B593" t="str">
            <v>Managed  for Govt of India</v>
          </cell>
          <cell r="E593">
            <v>705</v>
          </cell>
          <cell r="F593" t="str">
            <v>Coal</v>
          </cell>
          <cell r="G593" t="str">
            <v>Badarpur, Delhi</v>
          </cell>
        </row>
        <row r="594">
          <cell r="B594" t="str">
            <v>JV with Bihar SEB</v>
          </cell>
          <cell r="C594" t="str">
            <v>BSEB</v>
          </cell>
          <cell r="D594">
            <v>51</v>
          </cell>
          <cell r="E594">
            <v>220</v>
          </cell>
          <cell r="F594" t="str">
            <v>Coal</v>
          </cell>
          <cell r="G594" t="str">
            <v>Muzaffarpur,Bihar</v>
          </cell>
        </row>
        <row r="595">
          <cell r="B595" t="str">
            <v>Tamil Nadu Energy Company Ltd</v>
          </cell>
          <cell r="C595" t="str">
            <v>TNEB</v>
          </cell>
          <cell r="D595">
            <v>50</v>
          </cell>
          <cell r="E595" t="str">
            <v>1000**</v>
          </cell>
          <cell r="F595" t="str">
            <v>Coal</v>
          </cell>
          <cell r="G595" t="str">
            <v>Ennore,Tamil Nadu</v>
          </cell>
          <cell r="H595" t="str">
            <v>On Stream by 2012</v>
          </cell>
        </row>
        <row r="596">
          <cell r="B596" t="str">
            <v>JV with Ceylon SEB</v>
          </cell>
          <cell r="C596" t="str">
            <v>CEB</v>
          </cell>
          <cell r="D596">
            <v>50</v>
          </cell>
          <cell r="E596" t="str">
            <v>500***</v>
          </cell>
          <cell r="F596" t="str">
            <v>Coal</v>
          </cell>
          <cell r="G596" t="str">
            <v>Trincomalee,Sri Lanka</v>
          </cell>
          <cell r="H596" t="str">
            <v>Expexted to be Complete by 2010</v>
          </cell>
        </row>
        <row r="597">
          <cell r="B597" t="str">
            <v>Proposal Under Consideration</v>
          </cell>
        </row>
        <row r="598">
          <cell r="B598" t="str">
            <v>Bongaigaon Thermal Power Station</v>
          </cell>
          <cell r="C598" t="str">
            <v>ASEB</v>
          </cell>
          <cell r="E598">
            <v>240</v>
          </cell>
          <cell r="F598" t="str">
            <v>Coal</v>
          </cell>
          <cell r="G598" t="str">
            <v>Bongaigaon,Assam</v>
          </cell>
          <cell r="H598" t="str">
            <v xml:space="preserve">proposal for transfer is under consideration </v>
          </cell>
        </row>
        <row r="599">
          <cell r="B599" t="str">
            <v>Nabinagar - JV with Railways, Bihar</v>
          </cell>
          <cell r="C599" t="str">
            <v>Railways</v>
          </cell>
          <cell r="D599">
            <v>49</v>
          </cell>
          <cell r="E599">
            <v>1000</v>
          </cell>
          <cell r="F599" t="str">
            <v>Coal</v>
          </cell>
          <cell r="G599" t="str">
            <v xml:space="preserve">Nabinagar,Bihar </v>
          </cell>
        </row>
        <row r="600">
          <cell r="B600" t="str">
            <v>*500 MW is Expected to be Commissioned by F2007,**Expected to go onstream by 2012,***Expected to be complete by 2010.BSEB =Bihar State Electricity Board,SAIL=Steel Authority of India,GAIL=Gas Authority of India,CEB=Celyon Electricity Board.Assam State Ele</v>
          </cell>
        </row>
        <row r="601">
          <cell r="B601" t="str">
            <v xml:space="preserve">Assam State Electricity Board (ASEB) </v>
          </cell>
        </row>
        <row r="606">
          <cell r="B606" t="str">
            <v>INDIA</v>
          </cell>
          <cell r="C606">
            <v>117429.5</v>
          </cell>
        </row>
        <row r="607">
          <cell r="B607" t="str">
            <v>NTPC</v>
          </cell>
          <cell r="C607">
            <v>23935</v>
          </cell>
        </row>
        <row r="608">
          <cell r="C608">
            <v>0.20382442231296224</v>
          </cell>
        </row>
        <row r="610">
          <cell r="G610">
            <v>13.5</v>
          </cell>
        </row>
        <row r="611">
          <cell r="G611">
            <v>14.2</v>
          </cell>
        </row>
        <row r="612">
          <cell r="G612">
            <v>14.6</v>
          </cell>
        </row>
        <row r="615">
          <cell r="B615" t="str">
            <v>NTPC - Cost of Capital Calculation</v>
          </cell>
        </row>
        <row r="616">
          <cell r="B616" t="str">
            <v>Cost of Debt (I)</v>
          </cell>
          <cell r="C616">
            <v>0.09</v>
          </cell>
        </row>
        <row r="617">
          <cell r="B617" t="str">
            <v>After tax cost of debt (Rd =(1-tx)x I)</v>
          </cell>
          <cell r="C617">
            <v>5.9705999999999995E-2</v>
          </cell>
        </row>
        <row r="618">
          <cell r="B618" t="str">
            <v>Tax</v>
          </cell>
          <cell r="C618">
            <v>0.33660000000000001</v>
          </cell>
        </row>
        <row r="619">
          <cell r="B619" t="str">
            <v>Risk free rate (Rf)</v>
          </cell>
          <cell r="C619">
            <v>0.08</v>
          </cell>
        </row>
        <row r="620">
          <cell r="B620" t="str">
            <v>Beta (b)</v>
          </cell>
          <cell r="C620">
            <v>0.8</v>
          </cell>
        </row>
        <row r="621">
          <cell r="B621" t="str">
            <v>Risk premium (Rm- Rf)</v>
          </cell>
          <cell r="C621">
            <v>0.05</v>
          </cell>
        </row>
        <row r="622">
          <cell r="B622" t="str">
            <v xml:space="preserve">Cost of equity (Re= Rf +bxRm) </v>
          </cell>
          <cell r="C622">
            <v>0.12000000000000001</v>
          </cell>
        </row>
        <row r="623">
          <cell r="B623" t="str">
            <v xml:space="preserve">WACC - Book Value </v>
          </cell>
          <cell r="C623">
            <v>0.10225323667812471</v>
          </cell>
        </row>
        <row r="625">
          <cell r="B625" t="str">
            <v>NTPC - Intrinsic  Valuations Residual Income Model</v>
          </cell>
        </row>
        <row r="626">
          <cell r="B626" t="str">
            <v>Assumptions</v>
          </cell>
          <cell r="C626" t="str">
            <v>Period 1</v>
          </cell>
          <cell r="D626" t="str">
            <v>Period 2</v>
          </cell>
        </row>
        <row r="627">
          <cell r="B627" t="str">
            <v>Time Period</v>
          </cell>
          <cell r="C627" t="str">
            <v>F2009-F2018</v>
          </cell>
          <cell r="D627" t="str">
            <v>Perpetuity</v>
          </cell>
        </row>
        <row r="628">
          <cell r="B628" t="str">
            <v>YoY EPS (g)</v>
          </cell>
          <cell r="C628">
            <v>0.1</v>
          </cell>
          <cell r="D628">
            <v>6.5000000000000002E-2</v>
          </cell>
        </row>
        <row r="629">
          <cell r="B629" t="str">
            <v>Cost of Equity (Re)</v>
          </cell>
          <cell r="C629">
            <v>0.12000000000000001</v>
          </cell>
          <cell r="D629">
            <v>0.12000000000000001</v>
          </cell>
        </row>
        <row r="630">
          <cell r="B630" t="str">
            <v>Perpetual ROE</v>
          </cell>
          <cell r="D630">
            <v>0.14000000000000001</v>
          </cell>
        </row>
        <row r="631">
          <cell r="B631" t="str">
            <v>Payout Ratio</v>
          </cell>
          <cell r="C631">
            <v>0.4</v>
          </cell>
        </row>
        <row r="632">
          <cell r="B632" t="str">
            <v>Fair Value Breakdown (Rs./Share)</v>
          </cell>
        </row>
        <row r="633">
          <cell r="B633" t="str">
            <v>Explicit Period Value (F2007-F2018)</v>
          </cell>
          <cell r="C633">
            <v>63.877312457046266</v>
          </cell>
        </row>
        <row r="634">
          <cell r="B634" t="str">
            <v xml:space="preserve">Terminal Value </v>
          </cell>
          <cell r="C634">
            <v>34.943840325186365</v>
          </cell>
        </row>
        <row r="635">
          <cell r="B635" t="str">
            <v>Value of Financial Assets (F2006E)</v>
          </cell>
          <cell r="C635">
            <v>34.148470764120937</v>
          </cell>
        </row>
        <row r="636">
          <cell r="B636" t="str">
            <v xml:space="preserve">Fair Value </v>
          </cell>
          <cell r="C636">
            <v>132.96962354635357</v>
          </cell>
        </row>
        <row r="638">
          <cell r="B638" t="str">
            <v>NTPC - Sensitivity of RI Model to Risk Premium &amp; Perpetual ROE</v>
          </cell>
        </row>
        <row r="639">
          <cell r="C639" t="str">
            <v>Market Risk premium (Rm- Rf)</v>
          </cell>
        </row>
        <row r="640">
          <cell r="B640" t="str">
            <v>Perpetual ROE</v>
          </cell>
          <cell r="C640">
            <v>0.04</v>
          </cell>
          <cell r="D640">
            <v>0.05</v>
          </cell>
          <cell r="E640">
            <v>0.06</v>
          </cell>
        </row>
        <row r="641">
          <cell r="B641">
            <v>0.13</v>
          </cell>
          <cell r="C641">
            <v>140.19999999999999</v>
          </cell>
          <cell r="D641">
            <v>124</v>
          </cell>
          <cell r="E641">
            <v>111.6</v>
          </cell>
        </row>
        <row r="642">
          <cell r="B642">
            <v>0.14000000000000001</v>
          </cell>
          <cell r="C642">
            <v>148.19999999999999</v>
          </cell>
          <cell r="D642">
            <v>130.1</v>
          </cell>
          <cell r="E642">
            <v>116.5</v>
          </cell>
        </row>
        <row r="643">
          <cell r="B643">
            <v>0.15</v>
          </cell>
          <cell r="C643">
            <v>156.30000000000001</v>
          </cell>
          <cell r="D643">
            <v>136.30000000000001</v>
          </cell>
          <cell r="E643">
            <v>121.4</v>
          </cell>
        </row>
        <row r="647">
          <cell r="B647" t="str">
            <v>NTPC - Sensitivity of RI Model to Explicit Period Growth &amp; Perpetual ROE</v>
          </cell>
        </row>
        <row r="648">
          <cell r="C648" t="str">
            <v>EPS Growth in F2008-F2018</v>
          </cell>
        </row>
        <row r="649">
          <cell r="B649" t="str">
            <v>Perpetual Growth (g)</v>
          </cell>
          <cell r="C649">
            <v>0.08</v>
          </cell>
          <cell r="D649">
            <v>0.1</v>
          </cell>
          <cell r="E649">
            <v>0.12</v>
          </cell>
        </row>
        <row r="650">
          <cell r="B650">
            <v>5.5E-2</v>
          </cell>
          <cell r="C650">
            <v>118.9</v>
          </cell>
          <cell r="D650">
            <v>127.6</v>
          </cell>
          <cell r="E650">
            <v>137.30000000000001</v>
          </cell>
        </row>
        <row r="651">
          <cell r="B651">
            <v>6.5000000000000002E-2</v>
          </cell>
          <cell r="C651">
            <v>121.2</v>
          </cell>
          <cell r="D651">
            <v>130.1</v>
          </cell>
          <cell r="E651">
            <v>140.19999999999999</v>
          </cell>
        </row>
        <row r="652">
          <cell r="B652">
            <v>7.4999999999999997E-2</v>
          </cell>
          <cell r="C652">
            <v>124.8</v>
          </cell>
          <cell r="D652">
            <v>134</v>
          </cell>
          <cell r="E652">
            <v>144.4</v>
          </cell>
        </row>
        <row r="654">
          <cell r="B654" t="str">
            <v>NTPC - Mutiples wrt Intrinsic Value (IV)</v>
          </cell>
        </row>
        <row r="655">
          <cell r="C655" t="str">
            <v>Intrinsic Value</v>
          </cell>
          <cell r="F655" t="str">
            <v xml:space="preserve">Price </v>
          </cell>
        </row>
        <row r="656">
          <cell r="C656" t="str">
            <v>Bear Case</v>
          </cell>
          <cell r="D656" t="str">
            <v>Base Case</v>
          </cell>
          <cell r="E656" t="str">
            <v>Bull Case</v>
          </cell>
          <cell r="F656" t="str">
            <v>Target</v>
          </cell>
        </row>
        <row r="657">
          <cell r="B657" t="str">
            <v>Value (Rs/Share)</v>
          </cell>
          <cell r="C657">
            <v>114</v>
          </cell>
          <cell r="D657">
            <v>130</v>
          </cell>
          <cell r="E657">
            <v>175</v>
          </cell>
          <cell r="F657">
            <v>140</v>
          </cell>
        </row>
        <row r="658">
          <cell r="B658" t="str">
            <v>Implied P/E</v>
          </cell>
        </row>
        <row r="659">
          <cell r="B659" t="str">
            <v>F2007E</v>
          </cell>
          <cell r="C659">
            <v>13.655992643063648</v>
          </cell>
          <cell r="D659">
            <v>15.572623189458545</v>
          </cell>
          <cell r="E659">
            <v>20.963146601194197</v>
          </cell>
          <cell r="F659">
            <v>16.770517280955357</v>
          </cell>
        </row>
        <row r="660">
          <cell r="B660" t="str">
            <v>F2008E</v>
          </cell>
          <cell r="C660">
            <v>12.583608101848753</v>
          </cell>
          <cell r="D660">
            <v>14.349728537195947</v>
          </cell>
          <cell r="E660">
            <v>19.316942261609931</v>
          </cell>
          <cell r="F660">
            <v>15.453553809287945</v>
          </cell>
        </row>
        <row r="661">
          <cell r="B661" t="str">
            <v>Implied P/B</v>
          </cell>
        </row>
        <row r="662">
          <cell r="B662" t="str">
            <v>F2007E</v>
          </cell>
          <cell r="C662">
            <v>1.9296544862201694</v>
          </cell>
          <cell r="D662">
            <v>2.200483186040544</v>
          </cell>
          <cell r="E662">
            <v>2.9621889042853478</v>
          </cell>
          <cell r="F662">
            <v>2.3697511234282782</v>
          </cell>
        </row>
        <row r="663">
          <cell r="B663" t="str">
            <v>F2008E</v>
          </cell>
          <cell r="C663" t="e">
            <v>#DIV/0!</v>
          </cell>
          <cell r="D663" t="e">
            <v>#DIV/0!</v>
          </cell>
          <cell r="E663" t="e">
            <v>#DIV/0!</v>
          </cell>
          <cell r="F663" t="e">
            <v>#DIV/0!</v>
          </cell>
        </row>
        <row r="668">
          <cell r="B668" t="str">
            <v>NTPC – Price Target Calculation</v>
          </cell>
        </row>
        <row r="669">
          <cell r="B669" t="str">
            <v>F2007E Business Earnings (Rs/Share)</v>
          </cell>
          <cell r="C669">
            <v>5.4</v>
          </cell>
        </row>
        <row r="670">
          <cell r="B670" t="str">
            <v>F2007E BSE Sensex P/E</v>
          </cell>
          <cell r="C670">
            <v>17.899999999999999</v>
          </cell>
        </row>
        <row r="671">
          <cell r="B671" t="str">
            <v>F2007E Sensex P/E @5% premium</v>
          </cell>
          <cell r="C671">
            <v>19</v>
          </cell>
        </row>
        <row r="672">
          <cell r="B672" t="str">
            <v>Derived Value of Business Earnings (Rs/share)</v>
          </cell>
          <cell r="C672">
            <v>103</v>
          </cell>
        </row>
        <row r="673">
          <cell r="B673" t="str">
            <v>Financial Assets (F2006E)</v>
          </cell>
          <cell r="C673">
            <v>37</v>
          </cell>
        </row>
        <row r="674">
          <cell r="B674" t="str">
            <v>Derived Price Target (Rs/share, rounded up)</v>
          </cell>
          <cell r="C674">
            <v>140</v>
          </cell>
        </row>
        <row r="675">
          <cell r="B675" t="str">
            <v>Upside from Current Market Price</v>
          </cell>
          <cell r="C675">
            <v>0.12000000000000011</v>
          </cell>
        </row>
        <row r="680">
          <cell r="C680" t="str">
            <v>Apr-Jun</v>
          </cell>
          <cell r="D680" t="str">
            <v>Apr-Jun</v>
          </cell>
          <cell r="E680" t="str">
            <v>Jan-Mar</v>
          </cell>
          <cell r="G680" t="str">
            <v>Annual Figures</v>
          </cell>
          <cell r="H680" t="str">
            <v>EPS (MS Estimates)</v>
          </cell>
          <cell r="K680" t="str">
            <v>Shares o/s</v>
          </cell>
        </row>
        <row r="681">
          <cell r="C681" t="str">
            <v>F2006</v>
          </cell>
          <cell r="D681" t="str">
            <v>F2007E</v>
          </cell>
          <cell r="E681" t="str">
            <v>F2006</v>
          </cell>
          <cell r="F681" t="str">
            <v>F2006</v>
          </cell>
          <cell r="G681" t="str">
            <v>F2007E</v>
          </cell>
          <cell r="H681" t="str">
            <v>F2005</v>
          </cell>
          <cell r="I681" t="str">
            <v>F2006E</v>
          </cell>
          <cell r="J681" t="str">
            <v>F2007E</v>
          </cell>
          <cell r="K681" t="str">
            <v>(million)</v>
          </cell>
        </row>
        <row r="682">
          <cell r="B682" t="str">
            <v>Sales</v>
          </cell>
          <cell r="C682" t="e">
            <v>#REF!</v>
          </cell>
          <cell r="D682" t="e">
            <v>#REF!</v>
          </cell>
          <cell r="E682" t="e">
            <v>#REF!</v>
          </cell>
          <cell r="F682" t="e">
            <v>#REF!</v>
          </cell>
          <cell r="G682" t="e">
            <v>#REF!</v>
          </cell>
        </row>
        <row r="683">
          <cell r="B683" t="str">
            <v>EBITDA</v>
          </cell>
          <cell r="C683" t="e">
            <v>#REF!</v>
          </cell>
          <cell r="D683" t="e">
            <v>#REF!</v>
          </cell>
          <cell r="E683" t="e">
            <v>#REF!</v>
          </cell>
          <cell r="F683" t="e">
            <v>#REF!</v>
          </cell>
          <cell r="G683" t="e">
            <v>#REF!</v>
          </cell>
        </row>
        <row r="684">
          <cell r="B684" t="str">
            <v>Other Income</v>
          </cell>
          <cell r="C684" t="e">
            <v>#REF!</v>
          </cell>
          <cell r="D684" t="e">
            <v>#REF!</v>
          </cell>
          <cell r="E684" t="e">
            <v>#REF!</v>
          </cell>
          <cell r="F684" t="e">
            <v>#REF!</v>
          </cell>
          <cell r="G684" t="e">
            <v>#REF!</v>
          </cell>
        </row>
        <row r="685">
          <cell r="B685" t="str">
            <v>Depreciation</v>
          </cell>
          <cell r="C685" t="e">
            <v>#REF!</v>
          </cell>
          <cell r="D685" t="e">
            <v>#REF!</v>
          </cell>
          <cell r="E685" t="e">
            <v>#REF!</v>
          </cell>
          <cell r="F685" t="e">
            <v>#REF!</v>
          </cell>
          <cell r="G685" t="e">
            <v>#REF!</v>
          </cell>
        </row>
        <row r="686">
          <cell r="B686" t="str">
            <v>Interest</v>
          </cell>
          <cell r="C686" t="e">
            <v>#REF!</v>
          </cell>
          <cell r="D686" t="e">
            <v>#REF!</v>
          </cell>
          <cell r="E686" t="e">
            <v>#REF!</v>
          </cell>
          <cell r="F686" t="e">
            <v>#REF!</v>
          </cell>
          <cell r="G686" t="e">
            <v>#REF!</v>
          </cell>
        </row>
        <row r="687">
          <cell r="B687" t="str">
            <v>Tax</v>
          </cell>
          <cell r="C687" t="e">
            <v>#REF!</v>
          </cell>
          <cell r="D687" t="e">
            <v>#REF!</v>
          </cell>
          <cell r="E687" t="e">
            <v>#REF!</v>
          </cell>
          <cell r="F687" t="e">
            <v>#REF!</v>
          </cell>
          <cell r="G687" t="e">
            <v>#REF!</v>
          </cell>
        </row>
        <row r="688">
          <cell r="B688" t="str">
            <v>Net Profit</v>
          </cell>
          <cell r="C688" t="e">
            <v>#REF!</v>
          </cell>
          <cell r="D688" t="e">
            <v>#REF!</v>
          </cell>
          <cell r="E688" t="e">
            <v>#REF!</v>
          </cell>
          <cell r="F688" t="e">
            <v>#REF!</v>
          </cell>
          <cell r="G688" t="e">
            <v>#REF!</v>
          </cell>
          <cell r="H688">
            <v>5.8743948833736273</v>
          </cell>
          <cell r="I688">
            <v>7.1970476277843121</v>
          </cell>
          <cell r="J688">
            <v>8.3479834077022996</v>
          </cell>
          <cell r="K688">
            <v>8245.4644000000008</v>
          </cell>
        </row>
        <row r="689">
          <cell r="C689" t="e">
            <v>#REF!</v>
          </cell>
          <cell r="D689" t="e">
            <v>#REF!</v>
          </cell>
          <cell r="E689" t="e">
            <v>#REF!</v>
          </cell>
          <cell r="F689" t="e">
            <v>#REF!</v>
          </cell>
          <cell r="G689" t="e">
            <v>#REF!</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reline"/>
      <sheetName val="Wireless"/>
      <sheetName val="Financials"/>
      <sheetName val="GSM"/>
      <sheetName val="CDMA"/>
      <sheetName val="VAS"/>
      <sheetName val="BS"/>
      <sheetName val="capex"/>
      <sheetName val="Workings"/>
      <sheetName val="OUTPUT"/>
      <sheetName val="INPUT"/>
      <sheetName val="GE3"/>
      <sheetName val="Cons P&amp;L"/>
      <sheetName val="Tables"/>
      <sheetName val="Report Data"/>
    </sheetNames>
    <sheetDataSet>
      <sheetData sheetId="0" refreshError="1">
        <row r="1">
          <cell r="B1" t="str">
            <v>('000)</v>
          </cell>
          <cell r="C1" t="str">
            <v>1995/6</v>
          </cell>
          <cell r="D1" t="str">
            <v>1996/7</v>
          </cell>
          <cell r="E1" t="str">
            <v>F1998</v>
          </cell>
          <cell r="F1" t="str">
            <v>F1999</v>
          </cell>
          <cell r="G1" t="str">
            <v>F2000</v>
          </cell>
          <cell r="H1" t="str">
            <v>F2001</v>
          </cell>
          <cell r="I1" t="str">
            <v>F2002</v>
          </cell>
          <cell r="J1" t="str">
            <v>F2003</v>
          </cell>
          <cell r="K1" t="str">
            <v>F2004</v>
          </cell>
          <cell r="L1" t="str">
            <v>F2005</v>
          </cell>
          <cell r="M1" t="str">
            <v>F2006</v>
          </cell>
          <cell r="N1" t="str">
            <v>F2007</v>
          </cell>
          <cell r="O1" t="str">
            <v>F2008</v>
          </cell>
          <cell r="P1" t="str">
            <v>F2009</v>
          </cell>
          <cell r="Q1" t="str">
            <v>F2010</v>
          </cell>
          <cell r="R1" t="str">
            <v>F2011</v>
          </cell>
          <cell r="S1" t="str">
            <v>F2012</v>
          </cell>
          <cell r="T1" t="str">
            <v>F2013</v>
          </cell>
          <cell r="U1" t="str">
            <v>F2014</v>
          </cell>
          <cell r="V1" t="str">
            <v>F2015</v>
          </cell>
        </row>
        <row r="3">
          <cell r="B3" t="str">
            <v>Delhi</v>
          </cell>
        </row>
        <row r="4">
          <cell r="B4" t="str">
            <v>Population - March ending</v>
          </cell>
          <cell r="E4">
            <v>15165.396436505427</v>
          </cell>
          <cell r="F4">
            <v>15751.931147614725</v>
          </cell>
          <cell r="G4">
            <v>16361.15059161422</v>
          </cell>
          <cell r="H4">
            <v>16993.932120000001</v>
          </cell>
          <cell r="I4">
            <v>17585.461526930616</v>
          </cell>
          <cell r="J4">
            <v>18136.36909786563</v>
          </cell>
          <cell r="K4">
            <v>18647.718585451526</v>
          </cell>
          <cell r="L4">
            <v>19157.712413494293</v>
          </cell>
          <cell r="M4">
            <v>19671.175159331982</v>
          </cell>
          <cell r="N4">
            <v>20187.855182776184</v>
          </cell>
          <cell r="O4">
            <v>20718.106243256247</v>
          </cell>
          <cell r="P4">
            <v>21262.284795517615</v>
          </cell>
          <cell r="Q4">
            <v>21820.756656890557</v>
          </cell>
          <cell r="R4">
            <v>22393.897253206371</v>
          </cell>
          <cell r="S4">
            <v>22982.091871172783</v>
          </cell>
          <cell r="T4">
            <v>23585.735917378184</v>
          </cell>
          <cell r="U4">
            <v>24205.235184098834</v>
          </cell>
          <cell r="V4">
            <v>24841.00612208774</v>
          </cell>
        </row>
        <row r="6">
          <cell r="B6" t="str">
            <v>% Growth</v>
          </cell>
          <cell r="F6">
            <v>3.8675857473624564E-2</v>
          </cell>
          <cell r="G6">
            <v>3.8675857473624564E-2</v>
          </cell>
          <cell r="H6">
            <v>3.8675857473624786E-2</v>
          </cell>
          <cell r="I6">
            <v>3.4808271726262108E-2</v>
          </cell>
          <cell r="J6">
            <v>3.1327444553635786E-2</v>
          </cell>
          <cell r="K6">
            <v>2.8194700098272296E-2</v>
          </cell>
          <cell r="L6">
            <v>2.7348859095323919E-2</v>
          </cell>
          <cell r="M6">
            <v>2.6801881913417702E-2</v>
          </cell>
          <cell r="N6">
            <v>2.626584427514933E-2</v>
          </cell>
          <cell r="O6">
            <v>2.6265844275149108E-2</v>
          </cell>
          <cell r="P6">
            <v>2.626584427514933E-2</v>
          </cell>
          <cell r="Q6">
            <v>2.626584427514933E-2</v>
          </cell>
          <cell r="R6">
            <v>2.626584427514933E-2</v>
          </cell>
          <cell r="S6">
            <v>2.626584427514933E-2</v>
          </cell>
          <cell r="T6">
            <v>2.626584427514933E-2</v>
          </cell>
          <cell r="U6">
            <v>2.626584427514933E-2</v>
          </cell>
          <cell r="V6">
            <v>2.626584427514933E-2</v>
          </cell>
        </row>
        <row r="7">
          <cell r="B7" t="str">
            <v>Total Wireline subs - March ending</v>
          </cell>
          <cell r="E7">
            <v>1822.555425</v>
          </cell>
          <cell r="F7">
            <v>1928.7660250000001</v>
          </cell>
          <cell r="G7">
            <v>2272.75</v>
          </cell>
          <cell r="H7">
            <v>2415.4243199999996</v>
          </cell>
          <cell r="I7">
            <v>2520.2796600000001</v>
          </cell>
          <cell r="J7">
            <v>2664.9756000000002</v>
          </cell>
          <cell r="K7">
            <v>2672.2379999999998</v>
          </cell>
          <cell r="L7">
            <v>2774.7861017456139</v>
          </cell>
          <cell r="M7">
            <v>2821.472791347423</v>
          </cell>
          <cell r="N7">
            <v>2877.9022471743715</v>
          </cell>
          <cell r="O7">
            <v>2928.2655364999232</v>
          </cell>
          <cell r="P7">
            <v>2972.1895195474222</v>
          </cell>
          <cell r="Q7">
            <v>3009.3418885417645</v>
          </cell>
          <cell r="R7">
            <v>3039.4353074271821</v>
          </cell>
          <cell r="S7">
            <v>3062.2310722328862</v>
          </cell>
          <cell r="T7">
            <v>3077.5422275940505</v>
          </cell>
          <cell r="U7">
            <v>3085.2360831630353</v>
          </cell>
          <cell r="V7">
            <v>3092.9491733709428</v>
          </cell>
        </row>
        <row r="9">
          <cell r="B9" t="str">
            <v>% Growth</v>
          </cell>
          <cell r="F9">
            <v>5.8275648873613806E-2</v>
          </cell>
          <cell r="G9">
            <v>0.1783440658645985</v>
          </cell>
          <cell r="H9">
            <v>6.2776073039269464E-2</v>
          </cell>
          <cell r="I9">
            <v>4.3410732901786986E-2</v>
          </cell>
          <cell r="J9">
            <v>5.7412652372078377E-2</v>
          </cell>
          <cell r="K9">
            <v>2.7251281400098026E-3</v>
          </cell>
          <cell r="L9">
            <v>3.8375362428651139E-2</v>
          </cell>
          <cell r="M9">
            <v>1.6825329192919902E-2</v>
          </cell>
          <cell r="N9">
            <v>2.0000000000000018E-2</v>
          </cell>
          <cell r="O9">
            <v>1.7500000000000071E-2</v>
          </cell>
          <cell r="P9">
            <v>1.5000000000000124E-2</v>
          </cell>
          <cell r="Q9">
            <v>1.2499999999999956E-2</v>
          </cell>
          <cell r="R9">
            <v>1.0000000000000009E-2</v>
          </cell>
          <cell r="S9">
            <v>7.5000000000000622E-3</v>
          </cell>
          <cell r="T9">
            <v>4.9999999999998934E-3</v>
          </cell>
          <cell r="U9">
            <v>2.4999999999999467E-3</v>
          </cell>
          <cell r="V9">
            <v>2.4999999999999467E-3</v>
          </cell>
        </row>
        <row r="10">
          <cell r="B10" t="str">
            <v>% Penetration</v>
          </cell>
          <cell r="F10">
            <v>0.12244632146529337</v>
          </cell>
          <cell r="G10">
            <v>0.13891137956794311</v>
          </cell>
          <cell r="H10">
            <v>0.14213451618753431</v>
          </cell>
          <cell r="I10">
            <v>0.1433160941576887</v>
          </cell>
          <cell r="J10">
            <v>0.14694096627718206</v>
          </cell>
          <cell r="K10">
            <v>0.14330106858673916</v>
          </cell>
          <cell r="L10">
            <v>0.14483911449631703</v>
          </cell>
          <cell r="M10">
            <v>0.14343183711670218</v>
          </cell>
          <cell r="N10">
            <v>0.14255611708715504</v>
          </cell>
          <cell r="O10">
            <v>0.14133847476784106</v>
          </cell>
          <cell r="P10">
            <v>0.13978693015032895</v>
          </cell>
          <cell r="Q10">
            <v>0.13791189443430574</v>
          </cell>
          <cell r="R10">
            <v>0.13572605398071094</v>
          </cell>
          <cell r="S10">
            <v>0.13324422726174664</v>
          </cell>
          <cell r="T10">
            <v>0.13048319706346281</v>
          </cell>
          <cell r="U10">
            <v>0.12746152060484098</v>
          </cell>
          <cell r="V10">
            <v>0.12450981889259317</v>
          </cell>
        </row>
        <row r="11">
          <cell r="B11" t="str">
            <v>Monthly net adds</v>
          </cell>
          <cell r="G11">
            <v>28.665331249999991</v>
          </cell>
          <cell r="H11">
            <v>11.889526666666635</v>
          </cell>
          <cell r="I11">
            <v>8.7379450000000443</v>
          </cell>
          <cell r="J11">
            <v>12.057995000000005</v>
          </cell>
          <cell r="K11">
            <v>0.60519999999996799</v>
          </cell>
          <cell r="L11">
            <v>8.5456751454678397</v>
          </cell>
          <cell r="M11">
            <v>3.8905574668174268</v>
          </cell>
          <cell r="N11">
            <v>4.7024546522457058</v>
          </cell>
          <cell r="O11">
            <v>4.196940777129309</v>
          </cell>
          <cell r="P11">
            <v>3.6603319206249125</v>
          </cell>
          <cell r="Q11">
            <v>3.0960307495285329</v>
          </cell>
          <cell r="R11">
            <v>2.5077849071181313</v>
          </cell>
          <cell r="S11">
            <v>1.8996470671420032</v>
          </cell>
          <cell r="T11">
            <v>1.2759296134303593</v>
          </cell>
          <cell r="U11">
            <v>0.64115463074873935</v>
          </cell>
          <cell r="V11">
            <v>0.64275751732562492</v>
          </cell>
        </row>
        <row r="12">
          <cell r="B12" t="str">
            <v>MTNL</v>
          </cell>
        </row>
        <row r="14">
          <cell r="B14" t="str">
            <v>% of Net adds</v>
          </cell>
          <cell r="H14">
            <v>1.1327896989451243</v>
          </cell>
          <cell r="I14">
            <v>0.81967213114753579</v>
          </cell>
          <cell r="J14">
            <v>0.72646820636432607</v>
          </cell>
          <cell r="K14">
            <v>-32.198859881032782</v>
          </cell>
          <cell r="L14">
            <v>-2.1198149580501342</v>
          </cell>
          <cell r="M14">
            <v>-2.1031690367739238</v>
          </cell>
          <cell r="N14">
            <v>-1.4999999999999999E-2</v>
          </cell>
          <cell r="O14">
            <v>-1.4999999999999999E-2</v>
          </cell>
          <cell r="P14">
            <v>-1.4999999999999999E-2</v>
          </cell>
          <cell r="Q14">
            <v>-1.4999999999999999E-2</v>
          </cell>
          <cell r="R14">
            <v>-1.4999999999999999E-2</v>
          </cell>
          <cell r="S14">
            <v>-1.4999999999999999E-2</v>
          </cell>
          <cell r="T14">
            <v>-1.4999999999999999E-2</v>
          </cell>
          <cell r="U14">
            <v>-1.4999999999999999E-2</v>
          </cell>
          <cell r="V14">
            <v>-1.4999999999999999E-2</v>
          </cell>
        </row>
        <row r="16">
          <cell r="B16" t="str">
            <v>Market Share - Wireline</v>
          </cell>
          <cell r="H16">
            <v>0.81967213114754112</v>
          </cell>
          <cell r="I16">
            <v>0.81967213114754089</v>
          </cell>
          <cell r="J16">
            <v>0.81461158593722205</v>
          </cell>
          <cell r="K16">
            <v>0.72489014825775255</v>
          </cell>
          <cell r="L16">
            <v>0.61975804150025904</v>
          </cell>
          <cell r="M16">
            <v>0.57470198010509022</v>
          </cell>
          <cell r="N16">
            <v>0.56313919618146102</v>
          </cell>
          <cell r="O16">
            <v>0.55319577020291011</v>
          </cell>
          <cell r="P16">
            <v>0.54479878837725126</v>
          </cell>
          <cell r="Q16">
            <v>0.53788769222444577</v>
          </cell>
          <cell r="R16">
            <v>0.53241355665786716</v>
          </cell>
          <cell r="S16">
            <v>0.52833851777455787</v>
          </cell>
          <cell r="T16">
            <v>0.52563534106921184</v>
          </cell>
          <cell r="U16">
            <v>0.52428712326105931</v>
          </cell>
          <cell r="V16">
            <v>0.52294226759207907</v>
          </cell>
        </row>
        <row r="17">
          <cell r="B17" t="str">
            <v>Total Subs</v>
          </cell>
          <cell r="C17">
            <v>1167.01</v>
          </cell>
          <cell r="D17">
            <v>1370</v>
          </cell>
          <cell r="E17">
            <v>1551.11</v>
          </cell>
          <cell r="F17">
            <v>1641.5</v>
          </cell>
          <cell r="G17">
            <v>1818.2360000000001</v>
          </cell>
          <cell r="H17">
            <v>1979.856</v>
          </cell>
          <cell r="I17">
            <v>2065.8029999999999</v>
          </cell>
          <cell r="J17">
            <v>2170.92</v>
          </cell>
          <cell r="K17">
            <v>1937.079</v>
          </cell>
          <cell r="L17">
            <v>1719.6960000000001</v>
          </cell>
          <cell r="M17">
            <v>1621.5060000000001</v>
          </cell>
          <cell r="N17">
            <v>1620.6595581625959</v>
          </cell>
          <cell r="O17">
            <v>1619.9041088227127</v>
          </cell>
          <cell r="P17">
            <v>1619.2452490770002</v>
          </cell>
          <cell r="Q17">
            <v>1618.6879635420851</v>
          </cell>
          <cell r="R17">
            <v>1618.2365622588038</v>
          </cell>
          <cell r="S17">
            <v>1617.8946257867183</v>
          </cell>
          <cell r="T17">
            <v>1617.6649584563008</v>
          </cell>
          <cell r="U17">
            <v>1617.549550622766</v>
          </cell>
          <cell r="V17">
            <v>1617.4338542696473</v>
          </cell>
        </row>
        <row r="19">
          <cell r="B19" t="str">
            <v>Monthly net adds</v>
          </cell>
          <cell r="G19">
            <v>0</v>
          </cell>
          <cell r="H19">
            <v>13.468333333333325</v>
          </cell>
          <cell r="I19">
            <v>7.1622499999999905</v>
          </cell>
          <cell r="J19">
            <v>8.7597500000000164</v>
          </cell>
          <cell r="K19">
            <v>-19.486750000000011</v>
          </cell>
          <cell r="L19">
            <v>-18.115249999999985</v>
          </cell>
          <cell r="M19">
            <v>-8.1825000000000045</v>
          </cell>
          <cell r="N19">
            <v>-7.0536819783683313E-2</v>
          </cell>
          <cell r="O19">
            <v>-6.2954111656930919E-2</v>
          </cell>
          <cell r="P19">
            <v>-5.4904978809380132E-2</v>
          </cell>
          <cell r="Q19">
            <v>-4.6440461242923448E-2</v>
          </cell>
          <cell r="R19">
            <v>-3.7616773606771403E-2</v>
          </cell>
          <cell r="S19">
            <v>-2.8494706007127963E-2</v>
          </cell>
          <cell r="T19">
            <v>-1.9138944201453494E-2</v>
          </cell>
          <cell r="U19">
            <v>-9.6173194612371535E-3</v>
          </cell>
          <cell r="V19">
            <v>-9.6413627598887306E-3</v>
          </cell>
        </row>
        <row r="20">
          <cell r="B20" t="str">
            <v>Mumbai</v>
          </cell>
        </row>
        <row r="21">
          <cell r="B21" t="str">
            <v>Population - March ending</v>
          </cell>
          <cell r="E21">
            <v>12712.176520772406</v>
          </cell>
          <cell r="F21">
            <v>12981.888128289625</v>
          </cell>
          <cell r="G21">
            <v>13257.322150934629</v>
          </cell>
          <cell r="H21">
            <v>13538.6</v>
          </cell>
          <cell r="I21">
            <v>13797.12109646285</v>
          </cell>
          <cell r="J21">
            <v>14034.232923867414</v>
          </cell>
          <cell r="K21">
            <v>14251.300987007582</v>
          </cell>
          <cell r="L21">
            <v>14465.113686973524</v>
          </cell>
          <cell r="M21">
            <v>14677.793814579756</v>
          </cell>
          <cell r="N21">
            <v>14889.284828507183</v>
          </cell>
          <cell r="O21">
            <v>15103.823197475638</v>
          </cell>
          <cell r="P21">
            <v>15321.452830550446</v>
          </cell>
          <cell r="Q21">
            <v>15542.218269478717</v>
          </cell>
          <cell r="R21">
            <v>15766.164697805591</v>
          </cell>
          <cell r="S21">
            <v>15993.337950121861</v>
          </cell>
          <cell r="T21">
            <v>16223.784521444821</v>
          </cell>
          <cell r="U21">
            <v>16457.551576734299</v>
          </cell>
          <cell r="V21">
            <v>16694.686960545801</v>
          </cell>
        </row>
        <row r="23">
          <cell r="B23" t="str">
            <v>% Growth</v>
          </cell>
          <cell r="F23">
            <v>2.121679218948036E-2</v>
          </cell>
          <cell r="G23">
            <v>2.121679218948036E-2</v>
          </cell>
          <cell r="H23">
            <v>2.1216792189480138E-2</v>
          </cell>
          <cell r="I23">
            <v>1.9095112970532346E-2</v>
          </cell>
          <cell r="J23">
            <v>1.7185601673479045E-2</v>
          </cell>
          <cell r="K23">
            <v>1.5467041506131096E-2</v>
          </cell>
          <cell r="L23">
            <v>1.5003030260947181E-2</v>
          </cell>
          <cell r="M23">
            <v>1.4702969655728371E-2</v>
          </cell>
          <cell r="N23">
            <v>1.4408910262613706E-2</v>
          </cell>
          <cell r="O23">
            <v>1.4408910262613706E-2</v>
          </cell>
          <cell r="P23">
            <v>1.4408910262613706E-2</v>
          </cell>
          <cell r="Q23">
            <v>1.4408910262613706E-2</v>
          </cell>
          <cell r="R23">
            <v>1.4408910262613706E-2</v>
          </cell>
          <cell r="S23">
            <v>1.4408910262613706E-2</v>
          </cell>
          <cell r="T23">
            <v>1.4408910262613706E-2</v>
          </cell>
          <cell r="U23">
            <v>1.4408910262613706E-2</v>
          </cell>
          <cell r="V23">
            <v>1.4408910262613706E-2</v>
          </cell>
        </row>
        <row r="25">
          <cell r="B25" t="str">
            <v>Total Wireline subs - March ending</v>
          </cell>
          <cell r="E25">
            <v>1855.6289999999999</v>
          </cell>
          <cell r="F25">
            <v>2012.41</v>
          </cell>
          <cell r="G25">
            <v>2230.4</v>
          </cell>
          <cell r="H25">
            <v>2401.3020000000001</v>
          </cell>
          <cell r="I25">
            <v>2543.06</v>
          </cell>
          <cell r="J25">
            <v>2529.1840000000002</v>
          </cell>
          <cell r="K25">
            <v>2757.6060000000002</v>
          </cell>
          <cell r="L25">
            <v>2748.8929244980063</v>
          </cell>
          <cell r="M25">
            <v>2748.8262337808787</v>
          </cell>
          <cell r="N25">
            <v>2948.8983851634471</v>
          </cell>
          <cell r="O25">
            <v>3082.2798194184925</v>
          </cell>
          <cell r="P25">
            <v>3182.3158951097762</v>
          </cell>
          <cell r="Q25">
            <v>3282.3519708010604</v>
          </cell>
          <cell r="R25">
            <v>3382.3880464923445</v>
          </cell>
          <cell r="S25">
            <v>3482.4241221836287</v>
          </cell>
          <cell r="T25">
            <v>3549.1148393111512</v>
          </cell>
          <cell r="U25">
            <v>3615.8055564386741</v>
          </cell>
          <cell r="V25">
            <v>3682.4962735661966</v>
          </cell>
        </row>
        <row r="27">
          <cell r="B27" t="str">
            <v>% Growth</v>
          </cell>
          <cell r="F27">
            <v>8.4489410329327885E-2</v>
          </cell>
          <cell r="G27">
            <v>0.10832285667433572</v>
          </cell>
          <cell r="H27">
            <v>7.6623923959827867E-2</v>
          </cell>
          <cell r="I27">
            <v>5.903380749276832E-2</v>
          </cell>
          <cell r="J27">
            <v>-5.4564186452540353E-3</v>
          </cell>
          <cell r="K27">
            <v>9.0314504599111833E-2</v>
          </cell>
          <cell r="L27">
            <v>-3.1596520684948892E-3</v>
          </cell>
          <cell r="M27">
            <v>-2.4260936660414067E-5</v>
          </cell>
          <cell r="N27">
            <v>7.2784575803243268E-2</v>
          </cell>
          <cell r="O27">
            <v>4.5230936042461423E-2</v>
          </cell>
          <cell r="P27">
            <v>3.2455221962993885E-2</v>
          </cell>
          <cell r="Q27">
            <v>3.1434992310162668E-2</v>
          </cell>
          <cell r="R27">
            <v>3.0476949632817885E-2</v>
          </cell>
          <cell r="S27">
            <v>2.9575576284047278E-2</v>
          </cell>
          <cell r="T27">
            <v>1.915065907759228E-2</v>
          </cell>
          <cell r="U27">
            <v>1.8790802819011354E-2</v>
          </cell>
          <cell r="V27">
            <v>1.8444221097223101E-2</v>
          </cell>
        </row>
        <row r="28">
          <cell r="B28" t="str">
            <v>% Penetration</v>
          </cell>
          <cell r="F28">
            <v>0.15501674179541222</v>
          </cell>
          <cell r="G28">
            <v>0.16823910399150699</v>
          </cell>
          <cell r="H28">
            <v>0.17736708374573443</v>
          </cell>
          <cell r="I28">
            <v>0.18431816189914874</v>
          </cell>
          <cell r="J28">
            <v>0.1802153358662536</v>
          </cell>
          <cell r="K28">
            <v>0.1934985446250847</v>
          </cell>
          <cell r="L28">
            <v>0.19003604008819552</v>
          </cell>
          <cell r="M28">
            <v>0.18727788852371074</v>
          </cell>
          <cell r="N28">
            <v>0.19805507243151496</v>
          </cell>
          <cell r="O28">
            <v>0.20407282176963287</v>
          </cell>
          <cell r="P28">
            <v>0.20770327267949085</v>
          </cell>
          <cell r="Q28">
            <v>0.21118941414217765</v>
          </cell>
          <cell r="R28">
            <v>0.21453461328886925</v>
          </cell>
          <cell r="S28">
            <v>0.21774217071159274</v>
          </cell>
          <cell r="T28">
            <v>0.21875998381388032</v>
          </cell>
          <cell r="U28">
            <v>0.21970495061672868</v>
          </cell>
          <cell r="V28">
            <v>0.22057893521866936</v>
          </cell>
        </row>
        <row r="29">
          <cell r="B29" t="str">
            <v>Monthly net adds</v>
          </cell>
          <cell r="G29">
            <v>18.165833333333335</v>
          </cell>
          <cell r="H29">
            <v>14.241833333333338</v>
          </cell>
          <cell r="I29">
            <v>11.813166666666651</v>
          </cell>
          <cell r="J29">
            <v>-1.1563333333333123</v>
          </cell>
          <cell r="K29">
            <v>19.035166666666669</v>
          </cell>
          <cell r="L29">
            <v>-0.72608962516615827</v>
          </cell>
          <cell r="M29">
            <v>-5.5575597606321026E-3</v>
          </cell>
          <cell r="N29">
            <v>16.672679281880693</v>
          </cell>
          <cell r="O29">
            <v>11.115119521253783</v>
          </cell>
          <cell r="P29">
            <v>8.3363396409403094</v>
          </cell>
          <cell r="Q29">
            <v>8.3363396409403467</v>
          </cell>
          <cell r="R29">
            <v>8.3363396409403467</v>
          </cell>
          <cell r="S29">
            <v>8.3363396409403467</v>
          </cell>
          <cell r="T29">
            <v>5.557559760626873</v>
          </cell>
          <cell r="U29">
            <v>5.5575597606269111</v>
          </cell>
          <cell r="V29">
            <v>5.557559760626873</v>
          </cell>
        </row>
        <row r="30">
          <cell r="B30" t="str">
            <v>MTNL</v>
          </cell>
        </row>
        <row r="32">
          <cell r="B32" t="str">
            <v>% of Wireline Net adds</v>
          </cell>
          <cell r="H32">
            <v>0.83056956618412814</v>
          </cell>
          <cell r="I32">
            <v>0.53166664315241818</v>
          </cell>
          <cell r="J32">
            <v>-2.3092389737677066</v>
          </cell>
          <cell r="K32">
            <v>-0.14267452346971896</v>
          </cell>
          <cell r="L32">
            <v>8.5516302461684024</v>
          </cell>
          <cell r="M32">
            <v>1492.5915372834834</v>
          </cell>
          <cell r="N32">
            <v>-1.4999999999999999E-2</v>
          </cell>
          <cell r="O32">
            <v>-1.4999999999999999E-2</v>
          </cell>
          <cell r="P32">
            <v>-1.4999999999999999E-2</v>
          </cell>
          <cell r="Q32">
            <v>-1.4999999999999999E-2</v>
          </cell>
          <cell r="R32">
            <v>-1.4999999999999999E-2</v>
          </cell>
          <cell r="S32">
            <v>-1.4999999999999999E-2</v>
          </cell>
          <cell r="T32">
            <v>-1.4999999999999999E-2</v>
          </cell>
          <cell r="U32">
            <v>-1.4999999999999999E-2</v>
          </cell>
          <cell r="V32">
            <v>-1.4999999999999999E-2</v>
          </cell>
        </row>
        <row r="34">
          <cell r="B34" t="str">
            <v>Market Share - Wireline</v>
          </cell>
          <cell r="H34">
            <v>0.9808570517161106</v>
          </cell>
          <cell r="I34">
            <v>0.95581779431079106</v>
          </cell>
          <cell r="J34">
            <v>0.97373105317762576</v>
          </cell>
          <cell r="K34">
            <v>0.88125533524368604</v>
          </cell>
          <cell r="L34">
            <v>0.85694280013841573</v>
          </cell>
          <cell r="M34">
            <v>0.82075104358155071</v>
          </cell>
          <cell r="N34">
            <v>0.76404834058206439</v>
          </cell>
          <cell r="O34">
            <v>0.73033609149740708</v>
          </cell>
          <cell r="P34">
            <v>0.70690645719269962</v>
          </cell>
          <cell r="Q34">
            <v>0.68490495045723176</v>
          </cell>
          <cell r="R34">
            <v>0.66420485820340158</v>
          </cell>
          <cell r="S34">
            <v>0.64469402717845492</v>
          </cell>
          <cell r="T34">
            <v>0.63229784679286516</v>
          </cell>
          <cell r="U34">
            <v>0.62035894219086096</v>
          </cell>
          <cell r="V34">
            <v>0.60885246931477077</v>
          </cell>
        </row>
        <row r="35">
          <cell r="B35" t="str">
            <v>Total Subs</v>
          </cell>
          <cell r="C35">
            <v>1440.7850000000001</v>
          </cell>
          <cell r="D35">
            <v>1642.154</v>
          </cell>
          <cell r="E35">
            <v>1855.6289999999999</v>
          </cell>
          <cell r="F35">
            <v>2012.41</v>
          </cell>
          <cell r="G35">
            <v>2213.3879999999999</v>
          </cell>
          <cell r="H35">
            <v>2355.3339999999998</v>
          </cell>
          <cell r="I35">
            <v>2430.7020000000002</v>
          </cell>
          <cell r="J35">
            <v>2462.7450000000003</v>
          </cell>
          <cell r="K35">
            <v>2430.1550000000002</v>
          </cell>
          <cell r="L35">
            <v>2355.6440000000002</v>
          </cell>
          <cell r="M35">
            <v>2256.1019999999999</v>
          </cell>
          <cell r="N35">
            <v>2253.1009177292613</v>
          </cell>
          <cell r="O35">
            <v>2251.1001962154355</v>
          </cell>
          <cell r="P35">
            <v>2249.5996550800664</v>
          </cell>
          <cell r="Q35">
            <v>2248.0991139446974</v>
          </cell>
          <cell r="R35">
            <v>2246.5985728093283</v>
          </cell>
          <cell r="S35">
            <v>2245.0980316739592</v>
          </cell>
          <cell r="T35">
            <v>2244.0976709170463</v>
          </cell>
          <cell r="U35">
            <v>2243.0973101601335</v>
          </cell>
          <cell r="V35">
            <v>2242.0969494032206</v>
          </cell>
        </row>
        <row r="37">
          <cell r="B37" t="str">
            <v>Monthly net adds</v>
          </cell>
          <cell r="G37">
            <v>0</v>
          </cell>
          <cell r="H37">
            <v>11.828833333333327</v>
          </cell>
          <cell r="I37">
            <v>6.2806666666666997</v>
          </cell>
          <cell r="J37">
            <v>2.67025000000001</v>
          </cell>
          <cell r="K37">
            <v>-2.7158333333333453</v>
          </cell>
          <cell r="L37">
            <v>-6.2092499999999973</v>
          </cell>
          <cell r="M37">
            <v>-8.295166666666697</v>
          </cell>
          <cell r="N37">
            <v>-0.25009018922821724</v>
          </cell>
          <cell r="O37">
            <v>-0.1667267928188115</v>
          </cell>
          <cell r="P37">
            <v>-0.12504509461408966</v>
          </cell>
          <cell r="Q37">
            <v>-0.12504509461408966</v>
          </cell>
          <cell r="R37">
            <v>-0.12504509461408966</v>
          </cell>
          <cell r="S37">
            <v>-0.12504509461408966</v>
          </cell>
          <cell r="T37">
            <v>-8.3363396409405752E-2</v>
          </cell>
          <cell r="U37">
            <v>-8.3363396409405752E-2</v>
          </cell>
          <cell r="V37">
            <v>-8.3363396409405752E-2</v>
          </cell>
        </row>
        <row r="38">
          <cell r="B38" t="str">
            <v>MTNL- OVERALL</v>
          </cell>
        </row>
        <row r="39">
          <cell r="B39" t="str">
            <v>Population - March ending</v>
          </cell>
          <cell r="E39">
            <v>968826.77039790514</v>
          </cell>
          <cell r="F39">
            <v>987821.07470865187</v>
          </cell>
          <cell r="G39">
            <v>1007213.5745137937</v>
          </cell>
          <cell r="H39">
            <v>1027013.1</v>
          </cell>
          <cell r="I39">
            <v>1045207.1289348027</v>
          </cell>
          <cell r="J39">
            <v>1061891.8061135281</v>
          </cell>
          <cell r="K39">
            <v>1077164.1869015519</v>
          </cell>
          <cell r="L39">
            <v>1091000</v>
          </cell>
          <cell r="M39">
            <v>1107000</v>
          </cell>
          <cell r="N39">
            <v>1122043.395172504</v>
          </cell>
          <cell r="O39">
            <v>1137133.2637799878</v>
          </cell>
          <cell r="P39">
            <v>1152439.9058387631</v>
          </cell>
          <cell r="Q39">
            <v>1167966.6151613425</v>
          </cell>
          <cell r="R39">
            <v>1183716.738353037</v>
          </cell>
          <cell r="S39">
            <v>1199693.6757073009</v>
          </cell>
          <cell r="T39">
            <v>1214929.9595570399</v>
          </cell>
          <cell r="U39">
            <v>1230359.7464236326</v>
          </cell>
          <cell r="V39">
            <v>1245985.4938234857</v>
          </cell>
        </row>
        <row r="41">
          <cell r="B41" t="str">
            <v>% Growth</v>
          </cell>
          <cell r="F41">
            <v>1.9605470132648906E-2</v>
          </cell>
          <cell r="G41">
            <v>1.9631591491264144E-2</v>
          </cell>
          <cell r="H41">
            <v>1.9657723036312413E-2</v>
          </cell>
          <cell r="I41">
            <v>1.7715478930894424E-2</v>
          </cell>
          <cell r="J41">
            <v>1.5963034232008289E-2</v>
          </cell>
          <cell r="K41">
            <v>1.438223809628969E-2</v>
          </cell>
          <cell r="L41">
            <v>1.2844664970014019E-2</v>
          </cell>
          <cell r="M41">
            <v>1.4665444546287709E-2</v>
          </cell>
          <cell r="N41">
            <v>1.358933619919056E-2</v>
          </cell>
          <cell r="O41">
            <v>1.3448560610406668E-2</v>
          </cell>
          <cell r="P41">
            <v>1.3460728435551905E-2</v>
          </cell>
          <cell r="Q41">
            <v>1.3472901488324363E-2</v>
          </cell>
          <cell r="R41">
            <v>1.3485079956261137E-2</v>
          </cell>
          <cell r="S41">
            <v>1.3497264029985301E-2</v>
          </cell>
          <cell r="T41">
            <v>1.2700145177273026E-2</v>
          </cell>
          <cell r="U41">
            <v>1.2700145177272804E-2</v>
          </cell>
          <cell r="V41">
            <v>1.2700145177273026E-2</v>
          </cell>
        </row>
        <row r="43">
          <cell r="B43" t="str">
            <v>Total Wireline subs - March ending</v>
          </cell>
          <cell r="E43">
            <v>17801.696000000004</v>
          </cell>
          <cell r="F43">
            <v>21593.722000000002</v>
          </cell>
          <cell r="G43">
            <v>26698.3</v>
          </cell>
          <cell r="H43">
            <v>32731.133999999998</v>
          </cell>
          <cell r="I43">
            <v>38294.362000000001</v>
          </cell>
          <cell r="J43">
            <v>41492.351999999999</v>
          </cell>
          <cell r="K43">
            <v>41349.173000000003</v>
          </cell>
          <cell r="L43">
            <v>41218.523999999998</v>
          </cell>
          <cell r="M43">
            <v>41217.523999999998</v>
          </cell>
          <cell r="N43">
            <v>44217.523999999998</v>
          </cell>
          <cell r="O43">
            <v>46217.523999999998</v>
          </cell>
          <cell r="P43">
            <v>47717.523999999998</v>
          </cell>
          <cell r="Q43">
            <v>49217.523999999998</v>
          </cell>
          <cell r="R43">
            <v>50717.523999999998</v>
          </cell>
          <cell r="S43">
            <v>52217.523999999998</v>
          </cell>
          <cell r="T43">
            <v>53217.523999999998</v>
          </cell>
          <cell r="U43">
            <v>54217.523999999998</v>
          </cell>
          <cell r="V43">
            <v>55217.523999999998</v>
          </cell>
        </row>
        <row r="45">
          <cell r="B45" t="str">
            <v>% Growth</v>
          </cell>
          <cell r="F45">
            <v>0.21301487229081983</v>
          </cell>
          <cell r="G45">
            <v>0.23639176238352966</v>
          </cell>
          <cell r="H45">
            <v>0.22596322612301156</v>
          </cell>
          <cell r="I45">
            <v>0.16996746889368408</v>
          </cell>
          <cell r="J45">
            <v>8.3510726722643813E-2</v>
          </cell>
          <cell r="K45">
            <v>-3.4507323180906768E-3</v>
          </cell>
          <cell r="L45">
            <v>-3.1596520684948892E-3</v>
          </cell>
          <cell r="M45">
            <v>-2.4260936660414067E-5</v>
          </cell>
          <cell r="N45">
            <v>7.2784575803243268E-2</v>
          </cell>
          <cell r="O45">
            <v>4.5230936042461423E-2</v>
          </cell>
          <cell r="P45">
            <v>3.2455221962993885E-2</v>
          </cell>
          <cell r="Q45">
            <v>3.1434992310162668E-2</v>
          </cell>
          <cell r="R45">
            <v>3.0476949632817885E-2</v>
          </cell>
          <cell r="S45">
            <v>2.9575576284047278E-2</v>
          </cell>
          <cell r="T45">
            <v>1.9150659077592502E-2</v>
          </cell>
          <cell r="U45">
            <v>1.8790802819011354E-2</v>
          </cell>
          <cell r="V45">
            <v>1.8444221097223101E-2</v>
          </cell>
        </row>
        <row r="46">
          <cell r="B46" t="str">
            <v>% Penetration</v>
          </cell>
          <cell r="F46">
            <v>2.185995273118551E-2</v>
          </cell>
          <cell r="G46">
            <v>2.6507089137363854E-2</v>
          </cell>
          <cell r="H46">
            <v>3.1870220545385443E-2</v>
          </cell>
          <cell r="I46">
            <v>3.6638060476134299E-2</v>
          </cell>
          <cell r="J46">
            <v>3.9073992059379357E-2</v>
          </cell>
          <cell r="K46">
            <v>3.8387066245620674E-2</v>
          </cell>
          <cell r="L46">
            <v>3.7780498625114574E-2</v>
          </cell>
          <cell r="M46">
            <v>3.7233535682023484E-2</v>
          </cell>
          <cell r="N46">
            <v>3.9408033762546195E-2</v>
          </cell>
          <cell r="O46">
            <v>4.0643894143388766E-2</v>
          </cell>
          <cell r="P46">
            <v>4.1405650531747655E-2</v>
          </cell>
          <cell r="Q46">
            <v>4.213949556529157E-2</v>
          </cell>
          <cell r="R46">
            <v>4.2845997151789682E-2</v>
          </cell>
          <cell r="S46">
            <v>4.3525714153001785E-2</v>
          </cell>
          <cell r="T46">
            <v>4.3802956360877755E-2</v>
          </cell>
          <cell r="U46">
            <v>4.4066399406838229E-2</v>
          </cell>
          <cell r="V46">
            <v>4.4316345795132078E-2</v>
          </cell>
        </row>
        <row r="47">
          <cell r="B47" t="str">
            <v>Monthly net adds</v>
          </cell>
          <cell r="G47">
            <v>425.38149999999979</v>
          </cell>
          <cell r="H47">
            <v>502.73616666666658</v>
          </cell>
          <cell r="I47">
            <v>463.60233333333355</v>
          </cell>
          <cell r="J47">
            <v>266.4991666666665</v>
          </cell>
          <cell r="K47">
            <v>-11.931583333333037</v>
          </cell>
          <cell r="L47">
            <v>-10.887416666667074</v>
          </cell>
          <cell r="M47">
            <v>-8.3333333333333329E-2</v>
          </cell>
          <cell r="N47">
            <v>250</v>
          </cell>
          <cell r="O47">
            <v>166.66666666666666</v>
          </cell>
          <cell r="P47">
            <v>125</v>
          </cell>
          <cell r="Q47">
            <v>125</v>
          </cell>
          <cell r="R47">
            <v>125</v>
          </cell>
          <cell r="S47">
            <v>125</v>
          </cell>
          <cell r="T47">
            <v>83.333333333333329</v>
          </cell>
          <cell r="U47">
            <v>83.333333333333329</v>
          </cell>
          <cell r="V47">
            <v>83.333333333333329</v>
          </cell>
        </row>
        <row r="48">
          <cell r="B48" t="str">
            <v>MTNL</v>
          </cell>
        </row>
        <row r="50">
          <cell r="B50" t="str">
            <v>% of Net adds</v>
          </cell>
          <cell r="H50">
            <v>5.0318971150208981E-2</v>
          </cell>
          <cell r="I50">
            <v>2.8996654460324192E-2</v>
          </cell>
          <cell r="J50">
            <v>4.2889439929455958E-2</v>
          </cell>
          <cell r="K50">
            <v>1.8608245622612751</v>
          </cell>
          <cell r="L50">
            <v>2.2341847239549426</v>
          </cell>
          <cell r="M50">
            <v>197.73199999999997</v>
          </cell>
          <cell r="N50">
            <v>-1.2825080360477539E-3</v>
          </cell>
          <cell r="O50">
            <v>-1.3780854268543407E-3</v>
          </cell>
          <cell r="P50">
            <v>-1.4396005873877585E-3</v>
          </cell>
          <cell r="Q50">
            <v>-1.3718844468561049E-3</v>
          </cell>
          <cell r="R50">
            <v>-1.301294945766737E-3</v>
          </cell>
          <cell r="S50">
            <v>-1.2283184049698926E-3</v>
          </cell>
          <cell r="T50">
            <v>-1.2300280873300835E-3</v>
          </cell>
          <cell r="U50">
            <v>-1.1157685904481696E-3</v>
          </cell>
          <cell r="V50">
            <v>-1.1160571100313063E-3</v>
          </cell>
        </row>
        <row r="52">
          <cell r="B52" t="str">
            <v>Market Share - Wireline</v>
          </cell>
          <cell r="H52">
            <v>0.1324485121719278</v>
          </cell>
          <cell r="I52">
            <v>0.11741950420795626</v>
          </cell>
          <cell r="J52">
            <v>0.1116751588340907</v>
          </cell>
          <cell r="K52">
            <v>0.10561841224732596</v>
          </cell>
          <cell r="L52">
            <v>9.8871565609675888E-2</v>
          </cell>
          <cell r="M52">
            <v>9.407668447042089E-2</v>
          </cell>
          <cell r="N52">
            <v>8.7606906164439627E-2</v>
          </cell>
          <cell r="O52">
            <v>8.3756202626478829E-2</v>
          </cell>
          <cell r="P52">
            <v>8.1078073207592805E-2</v>
          </cell>
          <cell r="Q52">
            <v>7.8565250000930204E-2</v>
          </cell>
          <cell r="R52">
            <v>7.6203150908315878E-2</v>
          </cell>
          <cell r="S52">
            <v>7.3978855402272184E-2</v>
          </cell>
          <cell r="T52">
            <v>7.2565620102381073E-2</v>
          </cell>
          <cell r="U52">
            <v>7.12066242785801E-2</v>
          </cell>
          <cell r="V52">
            <v>6.9896846582126138E-2</v>
          </cell>
        </row>
        <row r="53">
          <cell r="B53" t="str">
            <v>Total Subs</v>
          </cell>
          <cell r="C53">
            <v>2607.7950000000001</v>
          </cell>
          <cell r="D53">
            <v>3012.154</v>
          </cell>
          <cell r="E53">
            <v>3406.7389999999996</v>
          </cell>
          <cell r="F53">
            <v>3653.91</v>
          </cell>
          <cell r="G53">
            <v>4031.6239999999998</v>
          </cell>
          <cell r="H53">
            <v>4335.1899999999996</v>
          </cell>
          <cell r="I53">
            <v>4496.5050000000001</v>
          </cell>
          <cell r="J53">
            <v>4633.6650000000009</v>
          </cell>
          <cell r="K53">
            <v>4367.2340000000004</v>
          </cell>
          <cell r="L53">
            <v>4075.34</v>
          </cell>
          <cell r="M53">
            <v>3877.6080000000002</v>
          </cell>
          <cell r="N53">
            <v>3873.7604758918569</v>
          </cell>
          <cell r="O53">
            <v>3871.0043050381482</v>
          </cell>
          <cell r="P53">
            <v>3868.8449041570666</v>
          </cell>
          <cell r="Q53">
            <v>3866.7870774867824</v>
          </cell>
          <cell r="R53">
            <v>3864.8351350681323</v>
          </cell>
          <cell r="S53">
            <v>3862.9926574606775</v>
          </cell>
          <cell r="T53">
            <v>3861.7626293733474</v>
          </cell>
          <cell r="U53">
            <v>3860.6468607828992</v>
          </cell>
          <cell r="V53">
            <v>3859.5308036728679</v>
          </cell>
        </row>
        <row r="54">
          <cell r="B54" t="str">
            <v>Average Subs</v>
          </cell>
          <cell r="D54">
            <v>2809.9745000000003</v>
          </cell>
          <cell r="E54">
            <v>3209.4465</v>
          </cell>
          <cell r="F54">
            <v>3530.3244999999997</v>
          </cell>
          <cell r="G54">
            <v>3842.7669999999998</v>
          </cell>
          <cell r="H54">
            <v>4183.4069999999992</v>
          </cell>
          <cell r="I54">
            <v>4415.8474999999999</v>
          </cell>
          <cell r="J54">
            <v>4565.0850000000009</v>
          </cell>
          <cell r="K54">
            <v>4500.4495000000006</v>
          </cell>
          <cell r="L54">
            <v>4221.2870000000003</v>
          </cell>
          <cell r="M54">
            <v>3976.4740000000002</v>
          </cell>
          <cell r="N54">
            <v>3875.6842379459285</v>
          </cell>
          <cell r="O54">
            <v>3872.3823904650026</v>
          </cell>
          <cell r="P54">
            <v>3869.9246045976074</v>
          </cell>
          <cell r="Q54">
            <v>3867.8159908219245</v>
          </cell>
          <cell r="R54">
            <v>3865.8111062774574</v>
          </cell>
          <cell r="S54">
            <v>3863.9138962644047</v>
          </cell>
          <cell r="T54">
            <v>3862.3776434170122</v>
          </cell>
          <cell r="U54">
            <v>3861.2047450781233</v>
          </cell>
          <cell r="V54">
            <v>3860.0888322278834</v>
          </cell>
        </row>
        <row r="55">
          <cell r="B55" t="str">
            <v>Average ARPU Rs.</v>
          </cell>
          <cell r="G55">
            <v>819.78927636326091</v>
          </cell>
          <cell r="H55">
            <v>807.5960880699464</v>
          </cell>
          <cell r="I55">
            <v>816.22081982375221</v>
          </cell>
          <cell r="J55">
            <v>679.35628069721952</v>
          </cell>
          <cell r="K55">
            <v>645.10500562221614</v>
          </cell>
          <cell r="L55">
            <v>606.13031049535357</v>
          </cell>
          <cell r="M55">
            <v>599.14889422136298</v>
          </cell>
          <cell r="N55">
            <v>590.21510011130454</v>
          </cell>
          <cell r="O55">
            <v>581.50465085399776</v>
          </cell>
          <cell r="P55">
            <v>573.01196282812361</v>
          </cell>
          <cell r="Q55">
            <v>564.73159200289615</v>
          </cell>
          <cell r="R55">
            <v>556.65823044829949</v>
          </cell>
          <cell r="S55">
            <v>548.78670293256778</v>
          </cell>
          <cell r="T55">
            <v>541.11196360472945</v>
          </cell>
          <cell r="U55">
            <v>533.62909276008691</v>
          </cell>
          <cell r="V55">
            <v>526.33329368656041</v>
          </cell>
        </row>
        <row r="56">
          <cell r="B56" t="str">
            <v>Bharti Wireline ARPU</v>
          </cell>
          <cell r="H56">
            <v>0</v>
          </cell>
          <cell r="I56">
            <v>0</v>
          </cell>
          <cell r="J56">
            <v>0</v>
          </cell>
          <cell r="K56">
            <v>1302</v>
          </cell>
          <cell r="L56">
            <v>1251.1609970186773</v>
          </cell>
          <cell r="M56">
            <v>1135.7963055416874</v>
          </cell>
          <cell r="N56">
            <v>1079.0064902646029</v>
          </cell>
          <cell r="O56">
            <v>1025.0561657513729</v>
          </cell>
          <cell r="P56">
            <v>973.80335746380422</v>
          </cell>
          <cell r="Q56">
            <v>925.11318959061396</v>
          </cell>
          <cell r="R56">
            <v>878.85753011108329</v>
          </cell>
          <cell r="S56">
            <v>834.91465360552911</v>
          </cell>
          <cell r="T56">
            <v>793.16892092525268</v>
          </cell>
          <cell r="U56">
            <v>753.51047487899007</v>
          </cell>
          <cell r="V56">
            <v>715.83495113504057</v>
          </cell>
        </row>
        <row r="57">
          <cell r="B57" t="str">
            <v>MTNL % of Bharti</v>
          </cell>
          <cell r="K57">
            <v>0.4954723545485531</v>
          </cell>
          <cell r="L57">
            <v>0.48445428840866051</v>
          </cell>
          <cell r="M57">
            <v>0.52751438906610559</v>
          </cell>
          <cell r="N57">
            <v>0.54699865611240861</v>
          </cell>
          <cell r="O57">
            <v>0.56729052541989355</v>
          </cell>
          <cell r="P57">
            <v>0.58842676854235654</v>
          </cell>
          <cell r="Q57">
            <v>0.61044594148831044</v>
          </cell>
          <cell r="R57">
            <v>0.63338847466885861</v>
          </cell>
          <cell r="S57">
            <v>0.65729676747517263</v>
          </cell>
          <cell r="T57">
            <v>0.68221528772648821</v>
          </cell>
          <cell r="U57">
            <v>0.70819067624213849</v>
          </cell>
          <cell r="V57">
            <v>0.73527185680441698</v>
          </cell>
        </row>
        <row r="58">
          <cell r="B58" t="str">
            <v>FWT as % of Total Wireline</v>
          </cell>
        </row>
        <row r="59">
          <cell r="B59" t="str">
            <v>FWT consumers</v>
          </cell>
        </row>
        <row r="60">
          <cell r="B60" t="str">
            <v>Broadband consumers</v>
          </cell>
        </row>
        <row r="62">
          <cell r="B62" t="str">
            <v>Monthly net adds</v>
          </cell>
          <cell r="G62">
            <v>26.036875000000009</v>
          </cell>
          <cell r="H62">
            <v>25.297166666666651</v>
          </cell>
          <cell r="I62">
            <v>13.44291666666671</v>
          </cell>
          <cell r="J62">
            <v>11.430000000000064</v>
          </cell>
          <cell r="K62">
            <v>-22.202583333333376</v>
          </cell>
          <cell r="L62">
            <v>-24.324500000000018</v>
          </cell>
          <cell r="M62">
            <v>-16.477666666666664</v>
          </cell>
          <cell r="N62">
            <v>-0.32062700901193847</v>
          </cell>
          <cell r="O62">
            <v>-0.22968090447572345</v>
          </cell>
          <cell r="P62">
            <v>-0.1799500734234698</v>
          </cell>
          <cell r="Q62">
            <v>-0.17148555585701311</v>
          </cell>
          <cell r="R62">
            <v>-0.16266186822084214</v>
          </cell>
          <cell r="S62">
            <v>-0.15353980062123659</v>
          </cell>
          <cell r="T62">
            <v>-0.10250234061084029</v>
          </cell>
          <cell r="U62">
            <v>-9.2980715870680797E-2</v>
          </cell>
          <cell r="V62">
            <v>-9.300475916927553E-2</v>
          </cell>
        </row>
        <row r="63">
          <cell r="B63" t="str">
            <v>Indian Telecom</v>
          </cell>
        </row>
        <row r="64">
          <cell r="B64" t="str">
            <v>Commercial Consumers (mn)</v>
          </cell>
          <cell r="E64">
            <v>3.5603392000000009</v>
          </cell>
          <cell r="F64">
            <v>4.3187443999999999</v>
          </cell>
          <cell r="G64">
            <v>5.3396600000000003</v>
          </cell>
          <cell r="H64">
            <v>6.5462267999999995</v>
          </cell>
          <cell r="I64">
            <v>7.6588723999999999</v>
          </cell>
          <cell r="J64">
            <v>8.2984703999999994</v>
          </cell>
          <cell r="K64">
            <v>8.2698346000000011</v>
          </cell>
          <cell r="L64">
            <v>8.2437048000000015</v>
          </cell>
          <cell r="M64">
            <v>8.2435048000000002</v>
          </cell>
          <cell r="N64">
            <v>8.8435047999999998</v>
          </cell>
          <cell r="O64">
            <v>9.2435048000000002</v>
          </cell>
          <cell r="P64">
            <v>9.5435047999999991</v>
          </cell>
          <cell r="Q64">
            <v>9.8435047999999998</v>
          </cell>
          <cell r="R64">
            <v>10.143504800000001</v>
          </cell>
          <cell r="S64">
            <v>10.443504799999999</v>
          </cell>
          <cell r="T64">
            <v>10.643504800000001</v>
          </cell>
          <cell r="U64">
            <v>10.8435048</v>
          </cell>
          <cell r="V64">
            <v>11.043504800000001</v>
          </cell>
        </row>
        <row r="68">
          <cell r="B68" t="str">
            <v>Income from Fixed line Services</v>
          </cell>
        </row>
        <row r="69">
          <cell r="B69" t="str">
            <v>Telephone</v>
          </cell>
          <cell r="C69">
            <v>8972.2119999999995</v>
          </cell>
          <cell r="D69">
            <v>10710.243000000002</v>
          </cell>
          <cell r="E69">
            <v>13913.288999999997</v>
          </cell>
          <cell r="F69">
            <v>15774.829671579359</v>
          </cell>
          <cell r="G69">
            <v>49059.53</v>
          </cell>
          <cell r="H69">
            <v>53488.98</v>
          </cell>
          <cell r="I69">
            <v>53915.24</v>
          </cell>
          <cell r="J69">
            <v>47815.590000000004</v>
          </cell>
          <cell r="K69">
            <v>46204.43</v>
          </cell>
          <cell r="L69">
            <v>41992.93</v>
          </cell>
          <cell r="M69">
            <v>38485</v>
          </cell>
          <cell r="N69">
            <v>39649.906038518464</v>
          </cell>
          <cell r="O69">
            <v>39721.436508339582</v>
          </cell>
          <cell r="P69">
            <v>39819.915534439577</v>
          </cell>
          <cell r="Q69">
            <v>39834.287532515053</v>
          </cell>
          <cell r="R69">
            <v>40089.399875029812</v>
          </cell>
          <cell r="S69">
            <v>40135.921153624833</v>
          </cell>
          <cell r="T69">
            <v>40435.222967134177</v>
          </cell>
          <cell r="U69">
            <v>40515.44210328917</v>
          </cell>
          <cell r="V69">
            <v>40857.309482521196</v>
          </cell>
        </row>
        <row r="70">
          <cell r="B70" t="str">
            <v>Call Revenue</v>
          </cell>
          <cell r="C70">
            <v>0</v>
          </cell>
          <cell r="D70">
            <v>0</v>
          </cell>
          <cell r="E70">
            <v>0</v>
          </cell>
          <cell r="F70">
            <v>0</v>
          </cell>
          <cell r="G70">
            <v>26505.375157951428</v>
          </cell>
          <cell r="H70">
            <v>28142.419188053158</v>
          </cell>
          <cell r="I70">
            <v>30113.010000000002</v>
          </cell>
          <cell r="J70">
            <v>24432.79</v>
          </cell>
          <cell r="K70">
            <v>22666.18</v>
          </cell>
          <cell r="L70">
            <v>19395.97</v>
          </cell>
          <cell r="M70">
            <v>17052</v>
          </cell>
          <cell r="N70">
            <v>16204.296428146548</v>
          </cell>
          <cell r="O70">
            <v>15785.729068371915</v>
          </cell>
          <cell r="P70">
            <v>15381.317180034921</v>
          </cell>
          <cell r="Q70">
            <v>14988.612921866801</v>
          </cell>
          <cell r="R70">
            <v>14606.322476968464</v>
          </cell>
          <cell r="S70">
            <v>14234.175330740087</v>
          </cell>
          <cell r="T70">
            <v>13872.803068283545</v>
          </cell>
          <cell r="U70">
            <v>13521.875520881636</v>
          </cell>
          <cell r="V70">
            <v>13180.01842212018</v>
          </cell>
        </row>
        <row r="71">
          <cell r="B71" t="str">
            <v xml:space="preserve">Local </v>
          </cell>
          <cell r="C71">
            <v>0</v>
          </cell>
          <cell r="D71">
            <v>0</v>
          </cell>
          <cell r="E71">
            <v>0</v>
          </cell>
          <cell r="F71">
            <v>0</v>
          </cell>
          <cell r="G71">
            <v>11927.418821078143</v>
          </cell>
          <cell r="H71">
            <v>12664.08863462392</v>
          </cell>
          <cell r="I71">
            <v>15658.7652</v>
          </cell>
          <cell r="J71">
            <v>15148.329800000001</v>
          </cell>
          <cell r="K71">
            <v>14733.017</v>
          </cell>
          <cell r="L71">
            <v>11557.211639699999</v>
          </cell>
          <cell r="M71">
            <v>9213.2416396999979</v>
          </cell>
          <cell r="N71">
            <v>9630.7476221690085</v>
          </cell>
          <cell r="O71">
            <v>9851.0782021133928</v>
          </cell>
          <cell r="P71">
            <v>10078.640373373952</v>
          </cell>
          <cell r="Q71">
            <v>10312.386087964491</v>
          </cell>
          <cell r="R71">
            <v>10551.832872571447</v>
          </cell>
          <cell r="S71">
            <v>10797.137429764809</v>
          </cell>
          <cell r="T71">
            <v>10523.023482845661</v>
          </cell>
          <cell r="U71">
            <v>10256.832230514663</v>
          </cell>
          <cell r="V71">
            <v>9997.5212419323543</v>
          </cell>
        </row>
        <row r="72">
          <cell r="B72" t="str">
            <v>Long Distance</v>
          </cell>
          <cell r="C72">
            <v>0</v>
          </cell>
          <cell r="D72">
            <v>0</v>
          </cell>
          <cell r="E72">
            <v>0</v>
          </cell>
          <cell r="F72">
            <v>0</v>
          </cell>
          <cell r="G72">
            <v>11397.311317919113</v>
          </cell>
          <cell r="H72">
            <v>12101.240250862857</v>
          </cell>
          <cell r="I72">
            <v>11442.943799999999</v>
          </cell>
          <cell r="J72">
            <v>7329.8370000000004</v>
          </cell>
          <cell r="K72">
            <v>6346.5304000000006</v>
          </cell>
          <cell r="L72">
            <v>6257.6789744000007</v>
          </cell>
          <cell r="M72">
            <v>6257.6789744000007</v>
          </cell>
          <cell r="N72">
            <v>5351.932708657162</v>
          </cell>
          <cell r="O72">
            <v>4692.3199717480611</v>
          </cell>
          <cell r="P72">
            <v>4114.8974073201862</v>
          </cell>
          <cell r="Q72">
            <v>3608.8550386578768</v>
          </cell>
          <cell r="R72">
            <v>3165.1287992987836</v>
          </cell>
          <cell r="S72">
            <v>2776.0374666635475</v>
          </cell>
          <cell r="T72">
            <v>2705.5603988543671</v>
          </cell>
          <cell r="U72">
            <v>2637.1203243831615</v>
          </cell>
          <cell r="V72">
            <v>2570.4492252603886</v>
          </cell>
        </row>
        <row r="73">
          <cell r="B73" t="str">
            <v>International long distance</v>
          </cell>
          <cell r="C73">
            <v>0</v>
          </cell>
          <cell r="D73">
            <v>0</v>
          </cell>
          <cell r="E73">
            <v>0</v>
          </cell>
          <cell r="F73">
            <v>0</v>
          </cell>
          <cell r="G73">
            <v>3180.645018954172</v>
          </cell>
          <cell r="H73">
            <v>3377.0903025663774</v>
          </cell>
          <cell r="I73">
            <v>3011.3010000000013</v>
          </cell>
          <cell r="J73">
            <v>1954.6232</v>
          </cell>
          <cell r="K73">
            <v>1586.6326000000008</v>
          </cell>
          <cell r="L73">
            <v>1581.0793859000007</v>
          </cell>
          <cell r="M73">
            <v>1581.0793859000007</v>
          </cell>
          <cell r="N73">
            <v>1221.6160973203769</v>
          </cell>
          <cell r="O73">
            <v>1242.3308945104618</v>
          </cell>
          <cell r="P73">
            <v>1187.7793993407831</v>
          </cell>
          <cell r="Q73">
            <v>1067.3717952444331</v>
          </cell>
          <cell r="R73">
            <v>889.36080509823296</v>
          </cell>
          <cell r="S73">
            <v>661.00043431173071</v>
          </cell>
          <cell r="T73">
            <v>644.21918658351751</v>
          </cell>
          <cell r="U73">
            <v>627.92296598381108</v>
          </cell>
          <cell r="V73">
            <v>612.04795492743688</v>
          </cell>
        </row>
        <row r="74">
          <cell r="B74" t="str">
            <v>Rental Revenue</v>
          </cell>
          <cell r="C74">
            <v>5549</v>
          </cell>
          <cell r="D74">
            <v>6481</v>
          </cell>
          <cell r="E74">
            <v>7328</v>
          </cell>
          <cell r="F74">
            <v>8060.6478207379369</v>
          </cell>
          <cell r="G74">
            <v>11297.734979999999</v>
          </cell>
          <cell r="H74">
            <v>12399.618347999998</v>
          </cell>
          <cell r="I74">
            <v>13138.67</v>
          </cell>
          <cell r="J74">
            <v>12783.04</v>
          </cell>
          <cell r="K74">
            <v>12172.97</v>
          </cell>
          <cell r="L74">
            <v>11307.83</v>
          </cell>
          <cell r="M74">
            <v>11538</v>
          </cell>
          <cell r="N74">
            <v>11245.55189784219</v>
          </cell>
          <cell r="O74">
            <v>11235.971370914331</v>
          </cell>
          <cell r="P74">
            <v>11228.839944092979</v>
          </cell>
          <cell r="Q74">
            <v>11222.721662986696</v>
          </cell>
          <cell r="R74">
            <v>11216.904359045047</v>
          </cell>
          <cell r="S74">
            <v>11211.399479815207</v>
          </cell>
          <cell r="T74">
            <v>11206.941941465097</v>
          </cell>
          <cell r="U74">
            <v>11203.538700042143</v>
          </cell>
          <cell r="V74">
            <v>11200.30080575035</v>
          </cell>
        </row>
        <row r="75">
          <cell r="B75" t="str">
            <v>Public Phone Rev</v>
          </cell>
          <cell r="C75">
            <v>3063</v>
          </cell>
          <cell r="D75">
            <v>3865</v>
          </cell>
          <cell r="E75">
            <v>6270</v>
          </cell>
          <cell r="F75">
            <v>8398.7163430205255</v>
          </cell>
          <cell r="G75">
            <v>10346.052424718109</v>
          </cell>
          <cell r="H75">
            <v>12683.148506731044</v>
          </cell>
          <cell r="I75">
            <v>10373.1</v>
          </cell>
          <cell r="J75">
            <v>10270.58</v>
          </cell>
          <cell r="K75">
            <v>10572.69</v>
          </cell>
          <cell r="L75">
            <v>10197.530000000001</v>
          </cell>
          <cell r="M75">
            <v>8877</v>
          </cell>
          <cell r="N75">
            <v>8636.271846529733</v>
          </cell>
          <cell r="O75">
            <v>8119.6075690533389</v>
          </cell>
          <cell r="P75">
            <v>7631.8639040616736</v>
          </cell>
          <cell r="Q75">
            <v>7365.4362664115561</v>
          </cell>
          <cell r="R75">
            <v>7106.5717327662987</v>
          </cell>
          <cell r="S75">
            <v>6855.1800618195366</v>
          </cell>
          <cell r="T75">
            <v>6611.1611286355346</v>
          </cell>
          <cell r="U75">
            <v>6374.4061386153844</v>
          </cell>
          <cell r="V75">
            <v>6144.7987447756605</v>
          </cell>
        </row>
        <row r="76">
          <cell r="B76" t="str">
            <v>Connection Fees</v>
          </cell>
          <cell r="C76">
            <v>237</v>
          </cell>
          <cell r="D76">
            <v>282</v>
          </cell>
          <cell r="E76">
            <v>314</v>
          </cell>
          <cell r="F76">
            <v>196.69195230432018</v>
          </cell>
          <cell r="G76">
            <v>312.59749823232033</v>
          </cell>
          <cell r="H76">
            <v>263.79395721580914</v>
          </cell>
          <cell r="I76">
            <v>290.45999999999998</v>
          </cell>
          <cell r="J76">
            <v>329.18</v>
          </cell>
          <cell r="K76">
            <v>792.59</v>
          </cell>
          <cell r="L76">
            <v>1091.5999999999999</v>
          </cell>
          <cell r="M76">
            <v>1018</v>
          </cell>
          <cell r="N76">
            <v>1146.18</v>
          </cell>
          <cell r="O76">
            <v>1068.9000000000001</v>
          </cell>
          <cell r="P76">
            <v>1203.489</v>
          </cell>
          <cell r="Q76">
            <v>1122.3450000000003</v>
          </cell>
          <cell r="R76">
            <v>1263.66345</v>
          </cell>
          <cell r="S76">
            <v>1178.4622500000003</v>
          </cell>
          <cell r="T76">
            <v>1326.8466225</v>
          </cell>
          <cell r="U76">
            <v>1237.3853625000004</v>
          </cell>
          <cell r="V76">
            <v>1393.1889536250001</v>
          </cell>
        </row>
        <row r="77">
          <cell r="B77" t="str">
            <v>Miscleanous/Broadband</v>
          </cell>
          <cell r="C77">
            <v>123.21199999999953</v>
          </cell>
          <cell r="D77">
            <v>82.243000000002212</v>
          </cell>
          <cell r="E77">
            <v>1.2889999999970314</v>
          </cell>
          <cell r="F77">
            <v>-881.22644448342544</v>
          </cell>
          <cell r="G77">
            <v>597.76993909814337</v>
          </cell>
          <cell r="H77">
            <v>0</v>
          </cell>
          <cell r="I77">
            <v>0</v>
          </cell>
          <cell r="J77">
            <v>0</v>
          </cell>
          <cell r="K77">
            <v>0</v>
          </cell>
          <cell r="L77">
            <v>0</v>
          </cell>
          <cell r="M77">
            <v>0</v>
          </cell>
          <cell r="N77">
            <v>2417.6058660000003</v>
          </cell>
          <cell r="O77">
            <v>3511.2285000000011</v>
          </cell>
          <cell r="P77">
            <v>4374.4055062500001</v>
          </cell>
          <cell r="Q77">
            <v>5135.1716812500008</v>
          </cell>
          <cell r="R77">
            <v>5895.9378562500006</v>
          </cell>
          <cell r="S77">
            <v>6656.7040312500003</v>
          </cell>
          <cell r="T77">
            <v>7417.470206250001</v>
          </cell>
          <cell r="U77">
            <v>8178.2363812500007</v>
          </cell>
          <cell r="V77">
            <v>8939.0025562499995</v>
          </cell>
        </row>
        <row r="78">
          <cell r="B78" t="str">
            <v>Telex</v>
          </cell>
          <cell r="C78">
            <v>444.04599999999999</v>
          </cell>
          <cell r="D78">
            <v>360.93200000000002</v>
          </cell>
          <cell r="E78">
            <v>266.76799999999997</v>
          </cell>
          <cell r="F78">
            <v>216.3</v>
          </cell>
          <cell r="G78">
            <v>157.21</v>
          </cell>
          <cell r="H78">
            <v>131.31</v>
          </cell>
          <cell r="I78">
            <v>96.71</v>
          </cell>
          <cell r="J78">
            <v>75.599999999999994</v>
          </cell>
          <cell r="K78">
            <v>60.86</v>
          </cell>
          <cell r="L78">
            <v>13.47</v>
          </cell>
          <cell r="M78">
            <v>1</v>
          </cell>
          <cell r="N78">
            <v>0</v>
          </cell>
          <cell r="O78">
            <v>0</v>
          </cell>
          <cell r="P78">
            <v>0</v>
          </cell>
          <cell r="Q78">
            <v>0</v>
          </cell>
          <cell r="R78">
            <v>0</v>
          </cell>
          <cell r="S78">
            <v>0</v>
          </cell>
          <cell r="T78">
            <v>0</v>
          </cell>
          <cell r="U78">
            <v>0</v>
          </cell>
          <cell r="V78">
            <v>0</v>
          </cell>
        </row>
        <row r="79">
          <cell r="B79" t="str">
            <v>Circuits</v>
          </cell>
          <cell r="C79">
            <v>615.15499999999997</v>
          </cell>
          <cell r="D79">
            <v>820.08</v>
          </cell>
          <cell r="E79">
            <v>846.30899999999997</v>
          </cell>
          <cell r="F79">
            <v>870.52</v>
          </cell>
          <cell r="G79">
            <v>425.47</v>
          </cell>
          <cell r="H79">
            <v>482.72</v>
          </cell>
          <cell r="I79">
            <v>955.18</v>
          </cell>
          <cell r="J79">
            <v>1099.8800000000001</v>
          </cell>
          <cell r="K79">
            <v>1052.97</v>
          </cell>
          <cell r="L79">
            <v>1582.28</v>
          </cell>
          <cell r="M79">
            <v>653</v>
          </cell>
          <cell r="N79">
            <v>718.30000000000007</v>
          </cell>
          <cell r="O79">
            <v>790.13000000000011</v>
          </cell>
          <cell r="P79">
            <v>869.14300000000014</v>
          </cell>
          <cell r="Q79">
            <v>956.05730000000028</v>
          </cell>
          <cell r="R79">
            <v>1051.6630300000004</v>
          </cell>
          <cell r="S79">
            <v>1156.8293330000006</v>
          </cell>
          <cell r="T79">
            <v>1272.5122663000006</v>
          </cell>
          <cell r="U79">
            <v>1399.7634929300009</v>
          </cell>
          <cell r="V79">
            <v>1539.739842223001</v>
          </cell>
        </row>
        <row r="80">
          <cell r="B80" t="str">
            <v>Gross Interconnect access call ( ADC+ IUC)</v>
          </cell>
          <cell r="C80">
            <v>175.76</v>
          </cell>
          <cell r="D80">
            <v>608.49099999999999</v>
          </cell>
          <cell r="E80">
            <v>1243.5239999999999</v>
          </cell>
          <cell r="F80">
            <v>1683.43</v>
          </cell>
          <cell r="G80">
            <v>2179.7600000000002</v>
          </cell>
          <cell r="H80">
            <v>3315.93</v>
          </cell>
          <cell r="I80">
            <v>4994.42</v>
          </cell>
          <cell r="J80">
            <v>5822.54</v>
          </cell>
          <cell r="K80">
            <v>13105.21</v>
          </cell>
          <cell r="L80">
            <v>7345.23</v>
          </cell>
          <cell r="M80">
            <v>4053</v>
          </cell>
          <cell r="N80">
            <v>3618.500007258207</v>
          </cell>
          <cell r="O80">
            <v>3845.671050321348</v>
          </cell>
          <cell r="P80">
            <v>3934.1278393878956</v>
          </cell>
          <cell r="Q80">
            <v>4068.4921031904014</v>
          </cell>
          <cell r="R80">
            <v>4193.6120536901462</v>
          </cell>
          <cell r="S80">
            <v>4311.2329863428322</v>
          </cell>
          <cell r="T80">
            <v>4409.9511444414102</v>
          </cell>
          <cell r="U80">
            <v>4484.2008861978002</v>
          </cell>
          <cell r="V80">
            <v>4531.0585357363425</v>
          </cell>
        </row>
        <row r="81">
          <cell r="B81" t="str">
            <v>Total</v>
          </cell>
          <cell r="C81">
            <v>10207.173000000001</v>
          </cell>
          <cell r="D81">
            <v>12499.746000000003</v>
          </cell>
          <cell r="E81">
            <v>16269.889999999996</v>
          </cell>
          <cell r="F81">
            <v>18545.079671579359</v>
          </cell>
          <cell r="G81">
            <v>51821.97</v>
          </cell>
          <cell r="H81">
            <v>57418.94</v>
          </cell>
          <cell r="I81">
            <v>59961.549999999996</v>
          </cell>
          <cell r="J81">
            <v>54813.61</v>
          </cell>
          <cell r="K81">
            <v>60423.47</v>
          </cell>
          <cell r="L81">
            <v>50933.91</v>
          </cell>
          <cell r="M81">
            <v>43192</v>
          </cell>
          <cell r="N81">
            <v>43986.706045776671</v>
          </cell>
          <cell r="O81">
            <v>44357.237558660927</v>
          </cell>
          <cell r="P81">
            <v>44623.186373827477</v>
          </cell>
          <cell r="Q81">
            <v>44858.836935705454</v>
          </cell>
          <cell r="R81">
            <v>45334.674958719959</v>
          </cell>
          <cell r="S81">
            <v>45603.983472967666</v>
          </cell>
          <cell r="T81">
            <v>46117.686377875587</v>
          </cell>
          <cell r="U81">
            <v>46399.406482416976</v>
          </cell>
          <cell r="V81">
            <v>46928.107860480544</v>
          </cell>
          <cell r="W81">
            <v>0</v>
          </cell>
        </row>
        <row r="82">
          <cell r="H82">
            <v>57418.94</v>
          </cell>
          <cell r="I82">
            <v>59961.549999999996</v>
          </cell>
          <cell r="J82">
            <v>54813.61</v>
          </cell>
          <cell r="K82">
            <v>60423.47</v>
          </cell>
          <cell r="L82">
            <v>50933.91</v>
          </cell>
          <cell r="M82">
            <v>43192</v>
          </cell>
        </row>
        <row r="83">
          <cell r="J83">
            <v>0</v>
          </cell>
          <cell r="K83">
            <v>0</v>
          </cell>
          <cell r="L83">
            <v>0</v>
          </cell>
          <cell r="M83">
            <v>0</v>
          </cell>
        </row>
        <row r="86">
          <cell r="B86" t="str">
            <v>Total Expenses</v>
          </cell>
        </row>
        <row r="87">
          <cell r="B87" t="str">
            <v xml:space="preserve">Operating expenses </v>
          </cell>
        </row>
        <row r="88">
          <cell r="B88" t="str">
            <v>Interconnect Fees</v>
          </cell>
          <cell r="E88">
            <v>10239.977000000001</v>
          </cell>
          <cell r="F88">
            <v>10911.893</v>
          </cell>
          <cell r="G88">
            <v>10504.17</v>
          </cell>
          <cell r="H88">
            <v>11292.339999999998</v>
          </cell>
          <cell r="I88">
            <v>9716.17</v>
          </cell>
          <cell r="J88">
            <v>7570.2174999999997</v>
          </cell>
          <cell r="K88">
            <v>11467.367499999998</v>
          </cell>
          <cell r="L88">
            <v>8031.0550000000021</v>
          </cell>
          <cell r="M88">
            <v>6207.0650000000005</v>
          </cell>
          <cell r="N88">
            <v>5498.3382557220839</v>
          </cell>
          <cell r="O88">
            <v>5101.0823192460066</v>
          </cell>
          <cell r="P88">
            <v>5042.4200602425053</v>
          </cell>
          <cell r="Q88">
            <v>4979.3308998633056</v>
          </cell>
          <cell r="R88">
            <v>4941.4795705004753</v>
          </cell>
          <cell r="S88">
            <v>4879.6262316075399</v>
          </cell>
          <cell r="T88">
            <v>4842.3570696769366</v>
          </cell>
          <cell r="U88">
            <v>4779.1388676889483</v>
          </cell>
          <cell r="V88">
            <v>4739.7388939085349</v>
          </cell>
        </row>
        <row r="89">
          <cell r="B89" t="str">
            <v>License Fee</v>
          </cell>
          <cell r="E89">
            <v>2711.0920000000001</v>
          </cell>
          <cell r="F89">
            <v>3066.0659999999998</v>
          </cell>
          <cell r="G89">
            <v>3288.55</v>
          </cell>
          <cell r="H89">
            <v>3606.5556000000001</v>
          </cell>
          <cell r="I89">
            <v>6587.4023999999999</v>
          </cell>
          <cell r="J89">
            <v>5576.4098999999997</v>
          </cell>
          <cell r="K89">
            <v>6174.9551000000001</v>
          </cell>
          <cell r="L89">
            <v>4567.8065999999999</v>
          </cell>
          <cell r="M89">
            <v>3814.3649999999998</v>
          </cell>
          <cell r="N89">
            <v>3884.5469532853058</v>
          </cell>
          <cell r="O89">
            <v>3917.2692730237472</v>
          </cell>
          <cell r="P89">
            <v>3940.7557022783026</v>
          </cell>
          <cell r="Q89">
            <v>3961.5664370314444</v>
          </cell>
          <cell r="R89">
            <v>4003.5885684598502</v>
          </cell>
          <cell r="S89">
            <v>4027.3716989226318</v>
          </cell>
          <cell r="T89">
            <v>4072.7377477483196</v>
          </cell>
          <cell r="U89">
            <v>4097.6169685891928</v>
          </cell>
          <cell r="V89">
            <v>4144.3075601787805</v>
          </cell>
        </row>
        <row r="90">
          <cell r="B90" t="str">
            <v>Staff Costs</v>
          </cell>
          <cell r="E90">
            <v>5167.0200000000004</v>
          </cell>
          <cell r="F90">
            <v>6164.6729999999998</v>
          </cell>
          <cell r="G90">
            <v>9959.8921323529412</v>
          </cell>
          <cell r="H90">
            <v>12213.173999999999</v>
          </cell>
          <cell r="I90">
            <v>12899.776</v>
          </cell>
          <cell r="J90">
            <v>13476.988499999999</v>
          </cell>
          <cell r="K90">
            <v>15916.3295</v>
          </cell>
          <cell r="L90">
            <v>17916.495000000003</v>
          </cell>
          <cell r="M90">
            <v>16645.579999999998</v>
          </cell>
          <cell r="N90">
            <v>15556.637943700578</v>
          </cell>
          <cell r="O90">
            <v>15792.727837357275</v>
          </cell>
          <cell r="P90">
            <v>15893.895579363492</v>
          </cell>
          <cell r="Q90">
            <v>16047.262679671303</v>
          </cell>
          <cell r="R90">
            <v>16212.543036004246</v>
          </cell>
          <cell r="S90">
            <v>16383.05694269438</v>
          </cell>
          <cell r="T90">
            <v>16561.851416034027</v>
          </cell>
          <cell r="U90">
            <v>16751.485159071075</v>
          </cell>
          <cell r="V90">
            <v>16951.399051049444</v>
          </cell>
        </row>
        <row r="91">
          <cell r="B91" t="str">
            <v>Admn, Operating &amp; Other Expenses</v>
          </cell>
          <cell r="E91">
            <v>6232.9629999999997</v>
          </cell>
          <cell r="F91">
            <v>6251.9629999999997</v>
          </cell>
          <cell r="G91">
            <v>7700.72</v>
          </cell>
          <cell r="H91">
            <v>8848.8464000000004</v>
          </cell>
          <cell r="I91">
            <v>6859.5055999999995</v>
          </cell>
          <cell r="J91">
            <v>9192.1780999999992</v>
          </cell>
          <cell r="K91">
            <v>8168.4278999999997</v>
          </cell>
          <cell r="L91">
            <v>8777.3894000000018</v>
          </cell>
          <cell r="M91">
            <v>8817.6099999999988</v>
          </cell>
          <cell r="N91">
            <v>8539.981501690334</v>
          </cell>
          <cell r="O91">
            <v>8168.347503633785</v>
          </cell>
          <cell r="P91">
            <v>7771.0898876174779</v>
          </cell>
          <cell r="Q91">
            <v>7363.5398628349249</v>
          </cell>
          <cell r="R91">
            <v>7441.6482688941769</v>
          </cell>
          <cell r="S91">
            <v>7485.85503205449</v>
          </cell>
          <cell r="T91">
            <v>7570.1789262153025</v>
          </cell>
          <cell r="U91">
            <v>7616.4230413475289</v>
          </cell>
          <cell r="V91">
            <v>7703.2089220979979</v>
          </cell>
        </row>
        <row r="92">
          <cell r="B92" t="str">
            <v xml:space="preserve">Total operating expenses </v>
          </cell>
          <cell r="E92">
            <v>24351.052</v>
          </cell>
          <cell r="F92">
            <v>26394.594999999998</v>
          </cell>
          <cell r="G92">
            <v>31453.332132352945</v>
          </cell>
          <cell r="H92">
            <v>35960.915999999997</v>
          </cell>
          <cell r="I92">
            <v>36062.853999999999</v>
          </cell>
          <cell r="J92">
            <v>35815.793999999994</v>
          </cell>
          <cell r="K92">
            <v>41727.08</v>
          </cell>
          <cell r="L92">
            <v>39292.746000000006</v>
          </cell>
          <cell r="M92">
            <v>35484.619999999995</v>
          </cell>
          <cell r="N92">
            <v>33479.504654398304</v>
          </cell>
          <cell r="O92">
            <v>32979.426933260816</v>
          </cell>
          <cell r="P92">
            <v>32648.161229501777</v>
          </cell>
          <cell r="Q92">
            <v>32351.699879400978</v>
          </cell>
          <cell r="R92">
            <v>32599.259443858748</v>
          </cell>
          <cell r="S92">
            <v>32775.909905279041</v>
          </cell>
          <cell r="T92">
            <v>33047.125159674586</v>
          </cell>
          <cell r="U92">
            <v>33244.664036696748</v>
          </cell>
          <cell r="V92">
            <v>33538.654427234753</v>
          </cell>
        </row>
        <row r="93">
          <cell r="B93" t="str">
            <v>EBITDA</v>
          </cell>
          <cell r="E93">
            <v>-8081.1620000000039</v>
          </cell>
          <cell r="F93">
            <v>-7849.515328420639</v>
          </cell>
          <cell r="G93">
            <v>20368.637867647056</v>
          </cell>
          <cell r="H93">
            <v>21458.024000000005</v>
          </cell>
          <cell r="I93">
            <v>23898.695999999996</v>
          </cell>
          <cell r="J93">
            <v>18997.816000000006</v>
          </cell>
          <cell r="K93">
            <v>18696.39</v>
          </cell>
          <cell r="L93">
            <v>11641.163999999997</v>
          </cell>
          <cell r="M93">
            <v>7707.3800000000047</v>
          </cell>
          <cell r="N93">
            <v>10507.201391378367</v>
          </cell>
          <cell r="O93">
            <v>11377.81062540011</v>
          </cell>
          <cell r="P93">
            <v>11975.0251443257</v>
          </cell>
          <cell r="Q93">
            <v>12507.137056304477</v>
          </cell>
          <cell r="R93">
            <v>12735.415514861212</v>
          </cell>
          <cell r="S93">
            <v>12828.073567688625</v>
          </cell>
          <cell r="T93">
            <v>13070.561218201001</v>
          </cell>
          <cell r="U93">
            <v>13154.742445720229</v>
          </cell>
          <cell r="V93">
            <v>13389.453433245792</v>
          </cell>
        </row>
        <row r="94">
          <cell r="B94" t="str">
            <v>Wireline Capex( as printed)</v>
          </cell>
          <cell r="K94">
            <v>19522.819999999996</v>
          </cell>
          <cell r="L94">
            <v>13477.679999999995</v>
          </cell>
          <cell r="M94">
            <v>11522.160000000003</v>
          </cell>
        </row>
        <row r="95">
          <cell r="B95" t="str">
            <v>% of sales</v>
          </cell>
          <cell r="K95">
            <v>19522.82</v>
          </cell>
          <cell r="L95">
            <v>13477.68</v>
          </cell>
          <cell r="M95">
            <v>11522.159999999996</v>
          </cell>
        </row>
        <row r="96">
          <cell r="B96" t="str">
            <v>Interconnect Fees</v>
          </cell>
          <cell r="E96">
            <v>0.62938206711907718</v>
          </cell>
          <cell r="F96">
            <v>0.58839828101265357</v>
          </cell>
          <cell r="G96">
            <v>0.20269723439691698</v>
          </cell>
          <cell r="H96">
            <v>0.19666576916954576</v>
          </cell>
          <cell r="I96">
            <v>0.1620400073046811</v>
          </cell>
          <cell r="J96">
            <v>0.13810835484106956</v>
          </cell>
          <cell r="K96">
            <v>0.18978333253618168</v>
          </cell>
          <cell r="L96">
            <v>0.15767599620763459</v>
          </cell>
          <cell r="M96">
            <v>0.14370867290238934</v>
          </cell>
          <cell r="N96">
            <v>0.125</v>
          </cell>
          <cell r="O96">
            <v>0.115</v>
          </cell>
          <cell r="P96">
            <v>0.113</v>
          </cell>
          <cell r="Q96">
            <v>0.111</v>
          </cell>
          <cell r="R96">
            <v>0.109</v>
          </cell>
          <cell r="S96">
            <v>0.107</v>
          </cell>
          <cell r="T96">
            <v>0.105</v>
          </cell>
          <cell r="U96">
            <v>0.10299999999999999</v>
          </cell>
          <cell r="V96">
            <v>0.10099999999999999</v>
          </cell>
        </row>
        <row r="97">
          <cell r="B97" t="str">
            <v>License Fee</v>
          </cell>
          <cell r="E97">
            <v>0.16663247262274059</v>
          </cell>
          <cell r="F97">
            <v>0.16533043018945864</v>
          </cell>
          <cell r="G97">
            <v>6.3458606455910491E-2</v>
          </cell>
          <cell r="H97">
            <v>6.281125356894432E-2</v>
          </cell>
          <cell r="I97">
            <v>0.10986044223339791</v>
          </cell>
          <cell r="J97">
            <v>0.10173403831639623</v>
          </cell>
          <cell r="K97">
            <v>0.10219464555742992</v>
          </cell>
          <cell r="L97">
            <v>8.9681051386001964E-2</v>
          </cell>
          <cell r="M97">
            <v>8.8311840155584367E-2</v>
          </cell>
          <cell r="N97">
            <v>8.8311840155584367E-2</v>
          </cell>
          <cell r="O97">
            <v>8.8311840155584367E-2</v>
          </cell>
          <cell r="P97">
            <v>8.8311840155584367E-2</v>
          </cell>
          <cell r="Q97">
            <v>8.8311840155584367E-2</v>
          </cell>
          <cell r="R97">
            <v>8.8311840155584367E-2</v>
          </cell>
          <cell r="S97">
            <v>8.8311840155584367E-2</v>
          </cell>
          <cell r="T97">
            <v>8.8311840155584367E-2</v>
          </cell>
          <cell r="U97">
            <v>8.8311840155584367E-2</v>
          </cell>
          <cell r="V97">
            <v>8.8311840155584367E-2</v>
          </cell>
        </row>
        <row r="98">
          <cell r="B98" t="str">
            <v>Staff Costs</v>
          </cell>
          <cell r="E98">
            <v>0.31758174148688173</v>
          </cell>
          <cell r="F98">
            <v>0.33241555761269997</v>
          </cell>
          <cell r="G98">
            <v>0.19219439423767451</v>
          </cell>
          <cell r="H98">
            <v>0.21270288166239221</v>
          </cell>
          <cell r="I98">
            <v>0.21513413178945509</v>
          </cell>
          <cell r="J98">
            <v>0.24586938353449078</v>
          </cell>
          <cell r="K98">
            <v>0.26341303304825092</v>
          </cell>
          <cell r="L98">
            <v>0.35175966266874076</v>
          </cell>
          <cell r="M98">
            <v>0.38538571957769951</v>
          </cell>
          <cell r="N98">
            <v>0.35366680850143423</v>
          </cell>
          <cell r="O98">
            <v>0.35603497211637525</v>
          </cell>
          <cell r="P98">
            <v>0.35618020296026254</v>
          </cell>
          <cell r="Q98">
            <v>0.35772801472029386</v>
          </cell>
          <cell r="R98">
            <v>0.35761904217393803</v>
          </cell>
          <cell r="S98">
            <v>0.35924618191315771</v>
          </cell>
          <cell r="T98">
            <v>0.35912147197348088</v>
          </cell>
          <cell r="U98">
            <v>0.36102800507629423</v>
          </cell>
          <cell r="V98">
            <v>0.3612205951590195</v>
          </cell>
        </row>
        <row r="99">
          <cell r="B99" t="str">
            <v>Admn, Operating &amp; Other Expenses</v>
          </cell>
          <cell r="E99">
            <v>0.38309804184293816</v>
          </cell>
          <cell r="F99">
            <v>0.33712246648264532</v>
          </cell>
          <cell r="G99">
            <v>0.14859952255771056</v>
          </cell>
          <cell r="H99">
            <v>0.15411023609979566</v>
          </cell>
          <cell r="I99">
            <v>0.11439840364366832</v>
          </cell>
          <cell r="J99">
            <v>0.16769882698840669</v>
          </cell>
          <cell r="K99">
            <v>0.13518634232691368</v>
          </cell>
          <cell r="L99">
            <v>0.17232899261022766</v>
          </cell>
          <cell r="M99">
            <v>0.20414914799036857</v>
          </cell>
          <cell r="N99">
            <v>0.19414914799036856</v>
          </cell>
          <cell r="O99">
            <v>0.18414914799036855</v>
          </cell>
          <cell r="P99">
            <v>0.17414914799036854</v>
          </cell>
          <cell r="Q99">
            <v>0.16414914799036853</v>
          </cell>
          <cell r="R99">
            <v>0.16414914799036853</v>
          </cell>
          <cell r="S99">
            <v>0.16414914799036853</v>
          </cell>
          <cell r="T99">
            <v>0.16414914799036853</v>
          </cell>
          <cell r="U99">
            <v>0.16414914799036853</v>
          </cell>
          <cell r="V99">
            <v>0.16414914799036853</v>
          </cell>
        </row>
        <row r="100">
          <cell r="B100" t="str">
            <v>Cost % of sales</v>
          </cell>
          <cell r="E100">
            <v>1.4966943230716376</v>
          </cell>
          <cell r="F100">
            <v>1.4232667352974575</v>
          </cell>
          <cell r="G100">
            <v>0.60694975764821257</v>
          </cell>
          <cell r="H100">
            <v>0.62629014050067799</v>
          </cell>
          <cell r="I100">
            <v>0.60143298497120246</v>
          </cell>
          <cell r="J100">
            <v>0.6534106036803633</v>
          </cell>
          <cell r="K100">
            <v>0.69057735346877624</v>
          </cell>
          <cell r="L100">
            <v>0.77144570287260494</v>
          </cell>
          <cell r="M100">
            <v>0.82155538062604172</v>
          </cell>
          <cell r="N100">
            <v>0.76112779664738717</v>
          </cell>
          <cell r="O100">
            <v>0.74349596026232811</v>
          </cell>
          <cell r="P100">
            <v>0.73164119110621539</v>
          </cell>
          <cell r="Q100">
            <v>0.72118900286624676</v>
          </cell>
          <cell r="R100">
            <v>0.71908003031989087</v>
          </cell>
          <cell r="S100">
            <v>0.71870717005911056</v>
          </cell>
          <cell r="T100">
            <v>0.71658246011943372</v>
          </cell>
          <cell r="U100">
            <v>0.71648899322224713</v>
          </cell>
          <cell r="V100">
            <v>0.71468158330497233</v>
          </cell>
        </row>
        <row r="101">
          <cell r="B101" t="str">
            <v>EBITDA %</v>
          </cell>
          <cell r="E101">
            <v>-0.49669432307163763</v>
          </cell>
          <cell r="F101">
            <v>-0.4232667352974574</v>
          </cell>
          <cell r="G101">
            <v>0.39305024235178737</v>
          </cell>
          <cell r="H101">
            <v>0.37370985949932206</v>
          </cell>
          <cell r="I101">
            <v>0.3985670150287976</v>
          </cell>
          <cell r="J101">
            <v>0.34658939631963676</v>
          </cell>
          <cell r="K101">
            <v>0.3094226465312237</v>
          </cell>
          <cell r="L101">
            <v>0.22855429712739503</v>
          </cell>
          <cell r="M101">
            <v>0.17844461937395825</v>
          </cell>
          <cell r="N101">
            <v>0.23887220335261278</v>
          </cell>
          <cell r="O101">
            <v>0.25650403973767177</v>
          </cell>
          <cell r="P101">
            <v>0.26835880889378461</v>
          </cell>
          <cell r="Q101">
            <v>0.27881099713375324</v>
          </cell>
          <cell r="R101">
            <v>0.28091996968010907</v>
          </cell>
          <cell r="S101">
            <v>0.28129282994088944</v>
          </cell>
          <cell r="T101">
            <v>0.28341753988056623</v>
          </cell>
          <cell r="U101">
            <v>0.28351100677775287</v>
          </cell>
          <cell r="V101">
            <v>0.28531841669502767</v>
          </cell>
        </row>
        <row r="102">
          <cell r="B102" t="str">
            <v>Total Subscribers</v>
          </cell>
          <cell r="E102">
            <v>3406.7389999999996</v>
          </cell>
          <cell r="F102">
            <v>3653.91</v>
          </cell>
          <cell r="G102">
            <v>4031.6239999999998</v>
          </cell>
          <cell r="H102">
            <v>4335.1899999999996</v>
          </cell>
          <cell r="I102">
            <v>4496.5050000000001</v>
          </cell>
          <cell r="J102">
            <v>4633.6650000000009</v>
          </cell>
          <cell r="K102">
            <v>4834.4800000000005</v>
          </cell>
          <cell r="L102">
            <v>5153.4769999999999</v>
          </cell>
          <cell r="M102">
            <v>5924.4170000000004</v>
          </cell>
          <cell r="N102">
            <v>6805.5564944446487</v>
          </cell>
          <cell r="O102">
            <v>7613.4866990581959</v>
          </cell>
          <cell r="P102">
            <v>7988.3174095385202</v>
          </cell>
          <cell r="Q102">
            <v>8261.1464663391707</v>
          </cell>
          <cell r="R102">
            <v>8515.2047785401337</v>
          </cell>
          <cell r="S102">
            <v>8754.0361999872312</v>
          </cell>
          <cell r="T102">
            <v>8954.4851973688565</v>
          </cell>
          <cell r="U102">
            <v>9105.2506348282022</v>
          </cell>
          <cell r="V102">
            <v>9200.3959358606735</v>
          </cell>
        </row>
        <row r="103">
          <cell r="G103" t="str">
            <v>F2000</v>
          </cell>
          <cell r="H103" t="str">
            <v>F2001</v>
          </cell>
          <cell r="I103" t="str">
            <v>F2002</v>
          </cell>
          <cell r="J103" t="str">
            <v>F2003</v>
          </cell>
          <cell r="K103" t="str">
            <v>F2004</v>
          </cell>
          <cell r="L103" t="str">
            <v>F2005</v>
          </cell>
          <cell r="M103" t="str">
            <v>F2006</v>
          </cell>
          <cell r="N103" t="str">
            <v>F2007</v>
          </cell>
          <cell r="O103" t="str">
            <v>F2008</v>
          </cell>
          <cell r="P103" t="str">
            <v>F2009</v>
          </cell>
          <cell r="Q103" t="str">
            <v>F2010</v>
          </cell>
          <cell r="R103" t="str">
            <v>F2011</v>
          </cell>
          <cell r="S103" t="str">
            <v>F2012</v>
          </cell>
          <cell r="T103" t="str">
            <v>F2013</v>
          </cell>
          <cell r="U103" t="str">
            <v>F2014</v>
          </cell>
          <cell r="V103" t="str">
            <v>F2015</v>
          </cell>
        </row>
        <row r="104">
          <cell r="B104" t="str">
            <v>Total Staff cost Rs mn</v>
          </cell>
          <cell r="E104">
            <v>5167.0200000000004</v>
          </cell>
          <cell r="F104">
            <v>6164.6729999999998</v>
          </cell>
          <cell r="G104">
            <v>9959.8921323529412</v>
          </cell>
          <cell r="H104">
            <v>12222.89</v>
          </cell>
          <cell r="I104">
            <v>12963.64</v>
          </cell>
          <cell r="J104">
            <v>13738.53</v>
          </cell>
          <cell r="K104">
            <v>16193.7</v>
          </cell>
          <cell r="L104">
            <v>18358.900000000001</v>
          </cell>
          <cell r="M104">
            <v>17365.93</v>
          </cell>
          <cell r="N104">
            <v>16463.554071534389</v>
          </cell>
          <cell r="O104">
            <v>16913.40046913681</v>
          </cell>
          <cell r="P104">
            <v>17122.322321474796</v>
          </cell>
          <cell r="Q104">
            <v>17331.119391136472</v>
          </cell>
          <cell r="R104">
            <v>17539.654862830306</v>
          </cell>
          <cell r="S104">
            <v>17747.785158489376</v>
          </cell>
          <cell r="T104">
            <v>17955.359684642128</v>
          </cell>
          <cell r="U104">
            <v>18162.220571378464</v>
          </cell>
          <cell r="V104">
            <v>18368.202402648716</v>
          </cell>
        </row>
        <row r="105">
          <cell r="B105" t="str">
            <v>Total Employees</v>
          </cell>
          <cell r="E105">
            <v>62473</v>
          </cell>
          <cell r="F105">
            <v>61456</v>
          </cell>
          <cell r="G105">
            <v>61104</v>
          </cell>
          <cell r="H105">
            <v>60746</v>
          </cell>
          <cell r="I105">
            <v>57627</v>
          </cell>
          <cell r="J105">
            <v>58072</v>
          </cell>
          <cell r="K105">
            <v>53224</v>
          </cell>
          <cell r="L105">
            <v>51244</v>
          </cell>
          <cell r="M105">
            <v>50626</v>
          </cell>
          <cell r="N105">
            <v>49226</v>
          </cell>
          <cell r="O105">
            <v>48626</v>
          </cell>
          <cell r="P105">
            <v>48026</v>
          </cell>
          <cell r="Q105">
            <v>47426</v>
          </cell>
          <cell r="R105">
            <v>46826</v>
          </cell>
          <cell r="S105">
            <v>46226</v>
          </cell>
          <cell r="T105">
            <v>45626</v>
          </cell>
          <cell r="U105">
            <v>45026</v>
          </cell>
          <cell r="V105">
            <v>44426</v>
          </cell>
        </row>
        <row r="106">
          <cell r="B106" t="str">
            <v>Salary per Employee</v>
          </cell>
          <cell r="E106">
            <v>82708.049877547106</v>
          </cell>
          <cell r="F106">
            <v>100310.35212184326</v>
          </cell>
          <cell r="G106">
            <v>162999.02023358439</v>
          </cell>
          <cell r="H106">
            <v>201213.08398906924</v>
          </cell>
          <cell r="I106">
            <v>224957.74550124074</v>
          </cell>
          <cell r="J106">
            <v>236577.52445240394</v>
          </cell>
          <cell r="K106">
            <v>304255.59897790471</v>
          </cell>
          <cell r="L106">
            <v>358264.38217157137</v>
          </cell>
          <cell r="M106">
            <v>343023.94026784657</v>
          </cell>
          <cell r="N106">
            <v>334448.3417611504</v>
          </cell>
          <cell r="O106">
            <v>347826.27543159644</v>
          </cell>
          <cell r="P106">
            <v>356521.93231738632</v>
          </cell>
          <cell r="Q106">
            <v>365434.98062532092</v>
          </cell>
          <cell r="R106">
            <v>374570.85514095391</v>
          </cell>
          <cell r="S106">
            <v>383935.12651947769</v>
          </cell>
          <cell r="T106">
            <v>393533.50468246458</v>
          </cell>
          <cell r="U106">
            <v>403371.84229952615</v>
          </cell>
          <cell r="V106">
            <v>413456.13835701428</v>
          </cell>
        </row>
        <row r="107">
          <cell r="B107" t="str">
            <v>Sub per Employee</v>
          </cell>
          <cell r="E107">
            <v>54.531381556832542</v>
          </cell>
          <cell r="F107">
            <v>59.455708148919555</v>
          </cell>
          <cell r="G107">
            <v>65.97970672951034</v>
          </cell>
          <cell r="H107">
            <v>71.365851249464981</v>
          </cell>
          <cell r="I107">
            <v>78.027747410068201</v>
          </cell>
          <cell r="J107">
            <v>79.791724066675869</v>
          </cell>
          <cell r="K107">
            <v>90.832707049451386</v>
          </cell>
          <cell r="L107">
            <v>100.5674225275154</v>
          </cell>
          <cell r="M107">
            <v>117.02320941808557</v>
          </cell>
          <cell r="N107">
            <v>138.25125938415977</v>
          </cell>
          <cell r="O107">
            <v>156.57234193760945</v>
          </cell>
          <cell r="P107">
            <v>166.33318222501396</v>
          </cell>
          <cell r="Q107">
            <v>174.19024303840024</v>
          </cell>
          <cell r="R107">
            <v>181.84779350233063</v>
          </cell>
          <cell r="S107">
            <v>189.37472850748995</v>
          </cell>
          <cell r="T107">
            <v>196.25838770369649</v>
          </cell>
          <cell r="U107">
            <v>202.22206358166841</v>
          </cell>
          <cell r="V107">
            <v>207.09485292082729</v>
          </cell>
        </row>
        <row r="108">
          <cell r="B108" t="str">
            <v>% of total sales</v>
          </cell>
          <cell r="K108">
            <v>0.25423289759910778</v>
          </cell>
          <cell r="L108">
            <v>0.32828390749206288</v>
          </cell>
          <cell r="M108">
            <v>0.33888378264984537</v>
          </cell>
          <cell r="N108">
            <v>0.30517341577364782</v>
          </cell>
          <cell r="O108">
            <v>0.29951506341182299</v>
          </cell>
          <cell r="P108">
            <v>0.29608627884955796</v>
          </cell>
          <cell r="Q108">
            <v>0.29548753424120239</v>
          </cell>
          <cell r="R108">
            <v>0.29423046100024697</v>
          </cell>
          <cell r="S108">
            <v>0.29425704232979022</v>
          </cell>
          <cell r="T108">
            <v>0.2934932747918102</v>
          </cell>
          <cell r="U108">
            <v>0.29436147924270734</v>
          </cell>
          <cell r="V108">
            <v>0.29451927367577579</v>
          </cell>
        </row>
        <row r="111">
          <cell r="I111">
            <v>0.04</v>
          </cell>
          <cell r="J111">
            <v>0.02</v>
          </cell>
          <cell r="K111">
            <v>-7.4999999999999997E-2</v>
          </cell>
          <cell r="L111">
            <v>-7.4999999999999997E-2</v>
          </cell>
          <cell r="M111">
            <v>-0.06</v>
          </cell>
          <cell r="N111">
            <v>-0.06</v>
          </cell>
          <cell r="P111">
            <v>-0.05</v>
          </cell>
          <cell r="Q111">
            <v>-0.05</v>
          </cell>
          <cell r="R111">
            <v>-0.05</v>
          </cell>
        </row>
        <row r="112">
          <cell r="B112" t="str">
            <v>Incremental Capex per sub</v>
          </cell>
        </row>
        <row r="113">
          <cell r="B113" t="str">
            <v>Office equipment/del</v>
          </cell>
          <cell r="G113">
            <v>3000</v>
          </cell>
          <cell r="H113">
            <v>3000</v>
          </cell>
          <cell r="I113">
            <v>3120</v>
          </cell>
          <cell r="J113">
            <v>3182.4</v>
          </cell>
          <cell r="K113">
            <v>2943.7200000000003</v>
          </cell>
          <cell r="L113">
            <v>2722.9410000000003</v>
          </cell>
          <cell r="M113">
            <v>2559.5645400000003</v>
          </cell>
          <cell r="N113">
            <v>2405.9906676000005</v>
          </cell>
          <cell r="O113">
            <v>2405.9906676000005</v>
          </cell>
          <cell r="P113">
            <v>2285.6911342200005</v>
          </cell>
          <cell r="Q113">
            <v>2171.4065775090007</v>
          </cell>
          <cell r="R113">
            <v>2062.8362486335509</v>
          </cell>
          <cell r="S113">
            <v>2062.8362486335509</v>
          </cell>
          <cell r="T113">
            <v>2062.8362486335509</v>
          </cell>
          <cell r="U113">
            <v>2062.8362486335509</v>
          </cell>
          <cell r="V113">
            <v>2062.8362486335509</v>
          </cell>
        </row>
        <row r="114">
          <cell r="B114" t="str">
            <v>Switch cost per line Rs/del</v>
          </cell>
          <cell r="G114">
            <v>2850</v>
          </cell>
          <cell r="H114">
            <v>2850</v>
          </cell>
          <cell r="I114">
            <v>2964</v>
          </cell>
          <cell r="J114">
            <v>3023.28</v>
          </cell>
          <cell r="K114">
            <v>2796.5340000000001</v>
          </cell>
          <cell r="L114">
            <v>2586.7939500000002</v>
          </cell>
          <cell r="M114">
            <v>2431.5863130000002</v>
          </cell>
          <cell r="N114">
            <v>2285.6911342200001</v>
          </cell>
          <cell r="O114">
            <v>2285.6911342200001</v>
          </cell>
          <cell r="P114">
            <v>2171.4065775090003</v>
          </cell>
          <cell r="Q114">
            <v>2062.8362486335504</v>
          </cell>
          <cell r="R114">
            <v>1959.694436201873</v>
          </cell>
          <cell r="S114">
            <v>1959.694436201873</v>
          </cell>
          <cell r="T114">
            <v>1959.694436201873</v>
          </cell>
          <cell r="U114">
            <v>1959.694436201873</v>
          </cell>
          <cell r="V114">
            <v>1959.694436201873</v>
          </cell>
        </row>
        <row r="115">
          <cell r="B115" t="str">
            <v>Cable</v>
          </cell>
          <cell r="G115">
            <v>1000</v>
          </cell>
          <cell r="H115">
            <v>1000</v>
          </cell>
          <cell r="I115">
            <v>1040</v>
          </cell>
          <cell r="J115">
            <v>1060.8</v>
          </cell>
          <cell r="K115">
            <v>981.24</v>
          </cell>
          <cell r="L115">
            <v>907.64700000000005</v>
          </cell>
          <cell r="M115">
            <v>853.1881800000001</v>
          </cell>
          <cell r="N115">
            <v>801.99688920000006</v>
          </cell>
          <cell r="O115">
            <v>801.99688920000006</v>
          </cell>
          <cell r="P115">
            <v>761.89704474000007</v>
          </cell>
          <cell r="Q115">
            <v>723.80219250300001</v>
          </cell>
          <cell r="R115">
            <v>687.61208287785007</v>
          </cell>
          <cell r="S115">
            <v>687.61208287785007</v>
          </cell>
          <cell r="T115">
            <v>687.61208287785007</v>
          </cell>
          <cell r="U115">
            <v>687.61208287785007</v>
          </cell>
          <cell r="V115">
            <v>687.61208287785007</v>
          </cell>
        </row>
        <row r="116">
          <cell r="B116" t="str">
            <v>Cost of each local access Rs /new tags</v>
          </cell>
          <cell r="G116">
            <v>4000</v>
          </cell>
          <cell r="H116">
            <v>4000</v>
          </cell>
          <cell r="I116">
            <v>4160</v>
          </cell>
          <cell r="J116">
            <v>4243.2</v>
          </cell>
          <cell r="K116">
            <v>3924.96</v>
          </cell>
          <cell r="L116">
            <v>3630.5880000000002</v>
          </cell>
          <cell r="M116">
            <v>3412.7527200000004</v>
          </cell>
          <cell r="N116">
            <v>3207.9875568000002</v>
          </cell>
          <cell r="O116">
            <v>3207.9875568000002</v>
          </cell>
          <cell r="P116">
            <v>3047.5881789600003</v>
          </cell>
          <cell r="Q116">
            <v>2895.2087700120001</v>
          </cell>
          <cell r="R116">
            <v>2750.4483315114003</v>
          </cell>
          <cell r="S116">
            <v>2750.4483315114003</v>
          </cell>
          <cell r="T116">
            <v>2750.4483315114003</v>
          </cell>
          <cell r="U116">
            <v>2750.4483315114003</v>
          </cell>
          <cell r="V116">
            <v>2750.4483315114003</v>
          </cell>
        </row>
        <row r="117">
          <cell r="B117" t="str">
            <v>Cost of each subs access RS /new dels</v>
          </cell>
          <cell r="G117">
            <v>3650</v>
          </cell>
          <cell r="H117">
            <v>3650</v>
          </cell>
          <cell r="I117">
            <v>3796</v>
          </cell>
          <cell r="J117">
            <v>3871.92</v>
          </cell>
          <cell r="K117">
            <v>3581.5259999999998</v>
          </cell>
          <cell r="L117">
            <v>3312.9115499999998</v>
          </cell>
          <cell r="M117">
            <v>3114.136857</v>
          </cell>
          <cell r="N117">
            <v>2927.2886455799999</v>
          </cell>
          <cell r="O117">
            <v>2927.2886455799999</v>
          </cell>
          <cell r="P117">
            <v>2780.9242133009998</v>
          </cell>
          <cell r="Q117">
            <v>2641.87800263595</v>
          </cell>
          <cell r="R117">
            <v>2509.7841025041525</v>
          </cell>
          <cell r="S117">
            <v>2509.7841025041525</v>
          </cell>
          <cell r="T117">
            <v>2509.7841025041525</v>
          </cell>
          <cell r="U117">
            <v>2509.7841025041525</v>
          </cell>
          <cell r="V117">
            <v>2509.7841025041525</v>
          </cell>
        </row>
        <row r="118">
          <cell r="B118" t="str">
            <v>Billing NMS Rs /new dels</v>
          </cell>
          <cell r="G118">
            <v>2000</v>
          </cell>
          <cell r="H118">
            <v>2000</v>
          </cell>
          <cell r="I118">
            <v>2080</v>
          </cell>
          <cell r="J118">
            <v>2121.6</v>
          </cell>
          <cell r="K118">
            <v>1962.48</v>
          </cell>
          <cell r="L118">
            <v>1815.2940000000001</v>
          </cell>
          <cell r="M118">
            <v>1706.3763600000002</v>
          </cell>
          <cell r="N118">
            <v>1603.9937784000001</v>
          </cell>
          <cell r="O118">
            <v>1603.9937784000001</v>
          </cell>
          <cell r="P118">
            <v>1523.7940894800001</v>
          </cell>
          <cell r="Q118">
            <v>1447.604385006</v>
          </cell>
          <cell r="R118">
            <v>1375.2241657557001</v>
          </cell>
          <cell r="S118">
            <v>1375.2241657557001</v>
          </cell>
          <cell r="T118">
            <v>1375.2241657557001</v>
          </cell>
          <cell r="U118">
            <v>1375.2241657557001</v>
          </cell>
          <cell r="V118">
            <v>1375.2241657557001</v>
          </cell>
        </row>
        <row r="119">
          <cell r="B119" t="str">
            <v>Infrastructure per del</v>
          </cell>
          <cell r="G119">
            <v>2000</v>
          </cell>
          <cell r="H119">
            <v>2000</v>
          </cell>
          <cell r="I119">
            <v>2080</v>
          </cell>
          <cell r="J119">
            <v>2121.6</v>
          </cell>
          <cell r="K119">
            <v>1962.48</v>
          </cell>
          <cell r="L119">
            <v>1815.2940000000001</v>
          </cell>
          <cell r="M119">
            <v>1706.3763600000002</v>
          </cell>
          <cell r="N119">
            <v>1603.9937784000001</v>
          </cell>
          <cell r="O119">
            <v>1603.9937784000001</v>
          </cell>
          <cell r="P119">
            <v>1523.7940894800001</v>
          </cell>
          <cell r="Q119">
            <v>1447.604385006</v>
          </cell>
          <cell r="R119">
            <v>1375.2241657557001</v>
          </cell>
          <cell r="S119">
            <v>1375.2241657557001</v>
          </cell>
          <cell r="T119">
            <v>1375.2241657557001</v>
          </cell>
          <cell r="U119">
            <v>1375.2241657557001</v>
          </cell>
          <cell r="V119">
            <v>1375.2241657557001</v>
          </cell>
        </row>
        <row r="120">
          <cell r="B120" t="str">
            <v>Wireline Capex per DEL</v>
          </cell>
          <cell r="G120">
            <v>18500</v>
          </cell>
          <cell r="H120">
            <v>18500</v>
          </cell>
          <cell r="I120">
            <v>19240</v>
          </cell>
          <cell r="J120">
            <v>19624.8</v>
          </cell>
          <cell r="K120">
            <v>18152.940000000002</v>
          </cell>
          <cell r="L120">
            <v>16791.469500000003</v>
          </cell>
          <cell r="M120">
            <v>15783.981329999999</v>
          </cell>
          <cell r="N120">
            <v>14836.9424502</v>
          </cell>
          <cell r="O120">
            <v>14836.9424502</v>
          </cell>
          <cell r="P120">
            <v>14095.09532769</v>
          </cell>
          <cell r="Q120">
            <v>13390.3405613055</v>
          </cell>
          <cell r="R120">
            <v>12720.823533240226</v>
          </cell>
          <cell r="S120">
            <v>12720.823533240226</v>
          </cell>
          <cell r="T120">
            <v>12720.823533240226</v>
          </cell>
          <cell r="U120">
            <v>12720.823533240226</v>
          </cell>
          <cell r="V120">
            <v>12720.823533240226</v>
          </cell>
        </row>
        <row r="121">
          <cell r="B121" t="str">
            <v>US$ Average</v>
          </cell>
          <cell r="E121">
            <v>0</v>
          </cell>
          <cell r="F121">
            <v>42.185166666666667</v>
          </cell>
          <cell r="G121">
            <v>43.386416666666662</v>
          </cell>
          <cell r="H121">
            <v>45.799583333333338</v>
          </cell>
          <cell r="I121">
            <v>47.691160469107558</v>
          </cell>
          <cell r="J121">
            <v>48.409959999999991</v>
          </cell>
          <cell r="K121">
            <v>45.926718253968261</v>
          </cell>
          <cell r="L121">
            <v>44.96</v>
          </cell>
          <cell r="M121">
            <v>44.4</v>
          </cell>
          <cell r="N121">
            <v>45.8</v>
          </cell>
          <cell r="O121">
            <v>46.486999999999995</v>
          </cell>
          <cell r="P121">
            <v>47.184304999999988</v>
          </cell>
          <cell r="Q121">
            <v>47.892069574999979</v>
          </cell>
          <cell r="R121">
            <v>48.610450618624974</v>
          </cell>
          <cell r="S121">
            <v>48.853502871718092</v>
          </cell>
          <cell r="T121">
            <v>49.097770386076675</v>
          </cell>
          <cell r="U121">
            <v>49.34325923800705</v>
          </cell>
          <cell r="V121">
            <v>49.58997553419708</v>
          </cell>
        </row>
        <row r="122">
          <cell r="B122" t="str">
            <v>US$/capex</v>
          </cell>
          <cell r="G122">
            <v>426.40073602145071</v>
          </cell>
          <cell r="H122">
            <v>403.93380580245451</v>
          </cell>
          <cell r="I122">
            <v>403.42905919563248</v>
          </cell>
          <cell r="J122">
            <v>405.38765163201958</v>
          </cell>
          <cell r="K122">
            <v>395.25880990705258</v>
          </cell>
          <cell r="L122">
            <v>373.47574510676162</v>
          </cell>
          <cell r="M122">
            <v>355.49507499999999</v>
          </cell>
          <cell r="N122">
            <v>323.95070851965068</v>
          </cell>
          <cell r="O122">
            <v>319.16325962527162</v>
          </cell>
          <cell r="P122">
            <v>298.724233146806</v>
          </cell>
          <cell r="Q122">
            <v>279.59410984183819</v>
          </cell>
          <cell r="R122">
            <v>261.68906832487318</v>
          </cell>
          <cell r="S122">
            <v>260.38713266156543</v>
          </cell>
          <cell r="T122">
            <v>259.0916742901149</v>
          </cell>
          <cell r="U122">
            <v>257.80266098518899</v>
          </cell>
          <cell r="V122">
            <v>256.52006068178008</v>
          </cell>
        </row>
        <row r="123">
          <cell r="B123" t="str">
            <v>Net adds</v>
          </cell>
        </row>
        <row r="124">
          <cell r="B124" t="str">
            <v>Net additions for the year</v>
          </cell>
          <cell r="L124">
            <v>-291894.00000000023</v>
          </cell>
          <cell r="M124">
            <v>-197731.99999999997</v>
          </cell>
          <cell r="N124">
            <v>-3847.5241081432614</v>
          </cell>
          <cell r="O124">
            <v>-2756.1708537086815</v>
          </cell>
          <cell r="P124">
            <v>-2159.4008810816376</v>
          </cell>
          <cell r="Q124">
            <v>-2057.8266702841574</v>
          </cell>
          <cell r="R124">
            <v>-1951.9424186501055</v>
          </cell>
          <cell r="S124">
            <v>-1842.477607454839</v>
          </cell>
          <cell r="T124">
            <v>-1230.0280873300835</v>
          </cell>
          <cell r="U124">
            <v>-1115.7685904481696</v>
          </cell>
          <cell r="V124">
            <v>-1116.0571100313064</v>
          </cell>
        </row>
        <row r="125">
          <cell r="B125" t="str">
            <v>Latent Capacity build up %</v>
          </cell>
          <cell r="L125">
            <v>0.5</v>
          </cell>
          <cell r="M125">
            <v>0.2</v>
          </cell>
          <cell r="N125">
            <v>0.15</v>
          </cell>
          <cell r="O125">
            <v>0.125</v>
          </cell>
          <cell r="P125">
            <v>0.15</v>
          </cell>
          <cell r="Q125">
            <v>0.15</v>
          </cell>
          <cell r="R125">
            <v>0.15</v>
          </cell>
          <cell r="S125">
            <v>0.15</v>
          </cell>
          <cell r="T125">
            <v>0.15</v>
          </cell>
          <cell r="U125">
            <v>0.15</v>
          </cell>
          <cell r="V125">
            <v>0.15</v>
          </cell>
        </row>
        <row r="126">
          <cell r="B126" t="str">
            <v>Required overall capacity</v>
          </cell>
          <cell r="L126">
            <v>-437841.00000000035</v>
          </cell>
          <cell r="M126">
            <v>-237278.39999999997</v>
          </cell>
          <cell r="N126">
            <v>-4424.6527243647506</v>
          </cell>
          <cell r="O126">
            <v>-3100.6922104222667</v>
          </cell>
          <cell r="P126">
            <v>-2483.3110132438833</v>
          </cell>
          <cell r="Q126">
            <v>-2366.5006708267811</v>
          </cell>
          <cell r="R126">
            <v>-2244.7337814476214</v>
          </cell>
          <cell r="S126">
            <v>-2118.8492485730649</v>
          </cell>
          <cell r="T126">
            <v>-1414.532300429596</v>
          </cell>
          <cell r="U126">
            <v>-1283.133879015395</v>
          </cell>
          <cell r="V126">
            <v>-1283.4656765360023</v>
          </cell>
        </row>
        <row r="127">
          <cell r="B127" t="str">
            <v>Wirelien Capex US $mn</v>
          </cell>
          <cell r="L127">
            <v>-163.52299371328974</v>
          </cell>
          <cell r="M127">
            <v>-84.351302603879986</v>
          </cell>
          <cell r="N127">
            <v>-1.4333693850113636</v>
          </cell>
          <cell r="O127">
            <v>-0.98962703297305921</v>
          </cell>
          <cell r="P127">
            <v>-0.74182517809629689</v>
          </cell>
          <cell r="Q127">
            <v>-0.66165964849992676</v>
          </cell>
          <cell r="R127">
            <v>-0.58742229190439754</v>
          </cell>
          <cell r="S127">
            <v>-0.5517210803780529</v>
          </cell>
          <cell r="T127">
            <v>-0.36649354205575185</v>
          </cell>
          <cell r="U127">
            <v>-0.33079532841041637</v>
          </cell>
          <cell r="V127">
            <v>-0.3292346932279972</v>
          </cell>
        </row>
        <row r="128">
          <cell r="B128" t="str">
            <v>Wireline capex Rs mn</v>
          </cell>
          <cell r="L128">
            <v>-7351.9937973495071</v>
          </cell>
          <cell r="M128">
            <v>-3745.1978356122713</v>
          </cell>
          <cell r="N128">
            <v>-65.648317833520451</v>
          </cell>
          <cell r="O128">
            <v>-46.004791881818598</v>
          </cell>
          <cell r="P128">
            <v>-35.002505459974984</v>
          </cell>
          <cell r="Q128">
            <v>-31.688249920928524</v>
          </cell>
          <cell r="R128">
            <v>-28.554862312898223</v>
          </cell>
          <cell r="S128">
            <v>-26.953507384636616</v>
          </cell>
          <cell r="T128">
            <v>-17.99401577583324</v>
          </cell>
          <cell r="U128">
            <v>-16.322519644476852</v>
          </cell>
          <cell r="V128">
            <v>-16.326740382185264</v>
          </cell>
        </row>
        <row r="129">
          <cell r="B129" t="str">
            <v>Depreciation Schedule</v>
          </cell>
        </row>
        <row r="130">
          <cell r="B130" t="str">
            <v>Fixed Assets Addition (mn)</v>
          </cell>
          <cell r="L130">
            <v>0.7</v>
          </cell>
          <cell r="M130">
            <v>0.7</v>
          </cell>
          <cell r="N130">
            <v>0.7</v>
          </cell>
          <cell r="O130">
            <v>0.7</v>
          </cell>
          <cell r="P130">
            <v>0.7</v>
          </cell>
          <cell r="Q130">
            <v>0.7</v>
          </cell>
          <cell r="R130">
            <v>0.7</v>
          </cell>
          <cell r="S130">
            <v>0.7</v>
          </cell>
          <cell r="T130">
            <v>0.7</v>
          </cell>
          <cell r="U130">
            <v>0.7</v>
          </cell>
          <cell r="V130">
            <v>0.7</v>
          </cell>
        </row>
        <row r="131">
          <cell r="B131" t="str">
            <v>CWIP</v>
          </cell>
          <cell r="L131">
            <v>0.3</v>
          </cell>
          <cell r="M131">
            <v>0.30000000000000004</v>
          </cell>
          <cell r="N131">
            <v>0.30000000000000004</v>
          </cell>
          <cell r="O131">
            <v>0.30000000000000004</v>
          </cell>
          <cell r="P131">
            <v>0.30000000000000004</v>
          </cell>
          <cell r="Q131">
            <v>0.30000000000000004</v>
          </cell>
          <cell r="R131">
            <v>0.30000000000000004</v>
          </cell>
          <cell r="S131">
            <v>0.30000000000000004</v>
          </cell>
          <cell r="T131">
            <v>0.30000000000000004</v>
          </cell>
          <cell r="U131">
            <v>0.30000000000000004</v>
          </cell>
          <cell r="V131">
            <v>0.30000000000000004</v>
          </cell>
        </row>
        <row r="132">
          <cell r="B132" t="str">
            <v>CWIP to FA (per year conversion)</v>
          </cell>
          <cell r="L132">
            <v>0.8</v>
          </cell>
          <cell r="M132">
            <v>0.8</v>
          </cell>
          <cell r="N132">
            <v>0.8</v>
          </cell>
          <cell r="O132">
            <v>0.8</v>
          </cell>
          <cell r="P132">
            <v>0.8</v>
          </cell>
          <cell r="Q132">
            <v>0.8</v>
          </cell>
          <cell r="R132">
            <v>0.8</v>
          </cell>
          <cell r="S132">
            <v>0.8</v>
          </cell>
          <cell r="T132">
            <v>0.8</v>
          </cell>
          <cell r="U132">
            <v>0.8</v>
          </cell>
          <cell r="V132">
            <v>0.8</v>
          </cell>
        </row>
        <row r="133">
          <cell r="B133" t="str">
            <v>Depreciation</v>
          </cell>
        </row>
        <row r="134">
          <cell r="B134" t="str">
            <v>Depreciation YoY</v>
          </cell>
        </row>
        <row r="136">
          <cell r="B136" t="str">
            <v>Gross Fixed assetCWIP, Goodwill, License fee, Other Intangible</v>
          </cell>
        </row>
        <row r="137">
          <cell r="B137" t="str">
            <v>Gross Fixed assets opening</v>
          </cell>
          <cell r="L137">
            <v>10165.86832763864</v>
          </cell>
          <cell r="M137">
            <v>13611.530461668184</v>
          </cell>
          <cell r="N137">
            <v>12036.268310132202</v>
          </cell>
          <cell r="O137">
            <v>11300.742273780314</v>
          </cell>
          <cell r="P137">
            <v>11114.868880409311</v>
          </cell>
          <cell r="Q137">
            <v>11048.591968724946</v>
          </cell>
          <cell r="R137">
            <v>11009.654560897427</v>
          </cell>
          <cell r="S137">
            <v>10978.709850720801</v>
          </cell>
          <cell r="T137">
            <v>10950.79796728494</v>
          </cell>
          <cell r="U137">
            <v>10929.924428816221</v>
          </cell>
          <cell r="V137">
            <v>10912.52455579376</v>
          </cell>
        </row>
        <row r="138">
          <cell r="B138" t="str">
            <v>addition</v>
          </cell>
          <cell r="L138">
            <v>-4651.7246152371408</v>
          </cell>
          <cell r="M138">
            <v>-1575.2621515359822</v>
          </cell>
          <cell r="N138">
            <v>-735.52603635188814</v>
          </cell>
          <cell r="O138">
            <v>-185.87339337100263</v>
          </cell>
          <cell r="P138">
            <v>-66.276911684364876</v>
          </cell>
          <cell r="Q138">
            <v>-38.937407827520438</v>
          </cell>
          <cell r="R138">
            <v>-30.944710176625698</v>
          </cell>
          <cell r="S138">
            <v>-27.911883435860595</v>
          </cell>
          <cell r="T138">
            <v>-20.873538468719048</v>
          </cell>
          <cell r="U138">
            <v>-17.39987302246093</v>
          </cell>
          <cell r="V138">
            <v>-16.540944836469556</v>
          </cell>
        </row>
        <row r="139">
          <cell r="B139" t="str">
            <v>subtraction</v>
          </cell>
        </row>
        <row r="140">
          <cell r="B140" t="str">
            <v>Closing</v>
          </cell>
          <cell r="H140">
            <v>2144.460412344959</v>
          </cell>
          <cell r="I140">
            <v>3260.8198621565484</v>
          </cell>
          <cell r="J140">
            <v>8646.7750423892576</v>
          </cell>
          <cell r="K140">
            <v>10165.86832763864</v>
          </cell>
          <cell r="L140">
            <v>13611.530461668184</v>
          </cell>
          <cell r="M140">
            <v>12036.268310132202</v>
          </cell>
          <cell r="N140">
            <v>11300.742273780314</v>
          </cell>
          <cell r="O140">
            <v>11114.868880409311</v>
          </cell>
          <cell r="P140">
            <v>11048.591968724946</v>
          </cell>
          <cell r="Q140">
            <v>11009.654560897427</v>
          </cell>
          <cell r="R140">
            <v>10978.709850720801</v>
          </cell>
          <cell r="S140">
            <v>10950.79796728494</v>
          </cell>
          <cell r="T140">
            <v>10929.924428816221</v>
          </cell>
          <cell r="U140">
            <v>10912.52455579376</v>
          </cell>
          <cell r="V140">
            <v>10895.98361095729</v>
          </cell>
        </row>
        <row r="141">
          <cell r="B141" t="str">
            <v>Accumulated Depreciation</v>
          </cell>
          <cell r="H141">
            <v>847.96581517992615</v>
          </cell>
          <cell r="I141">
            <v>848.08555086054719</v>
          </cell>
          <cell r="J141">
            <v>1837.3182588592306</v>
          </cell>
          <cell r="K141">
            <v>2203.1336111598321</v>
          </cell>
          <cell r="L141">
            <v>3240.6425818071489</v>
          </cell>
          <cell r="M141">
            <v>4874.0262372073312</v>
          </cell>
          <cell r="N141">
            <v>6258.197092872535</v>
          </cell>
          <cell r="O141">
            <v>7557.7824543572715</v>
          </cell>
          <cell r="P141">
            <v>8835.9923756043427</v>
          </cell>
          <cell r="Q141">
            <v>10106.580452007711</v>
          </cell>
          <cell r="R141">
            <v>11372.690726510915</v>
          </cell>
          <cell r="S141">
            <v>12635.242359343807</v>
          </cell>
          <cell r="T141">
            <v>13894.584125581576</v>
          </cell>
          <cell r="U141">
            <v>15151.52543489544</v>
          </cell>
          <cell r="V141">
            <v>16406.465758811722</v>
          </cell>
        </row>
        <row r="142">
          <cell r="B142" t="str">
            <v xml:space="preserve">Depreciation </v>
          </cell>
          <cell r="H142">
            <v>156.00505510925657</v>
          </cell>
          <cell r="I142">
            <v>260.06589830879238</v>
          </cell>
          <cell r="J142">
            <v>611.95574111656856</v>
          </cell>
          <cell r="K142">
            <v>854.69047950852564</v>
          </cell>
          <cell r="L142">
            <v>1249.6469179826793</v>
          </cell>
          <cell r="M142">
            <v>1633.3836554001821</v>
          </cell>
          <cell r="N142">
            <v>1384.1708556652034</v>
          </cell>
          <cell r="O142">
            <v>1299.585361484736</v>
          </cell>
          <cell r="P142">
            <v>1278.2099212470707</v>
          </cell>
          <cell r="Q142">
            <v>1270.5880764033689</v>
          </cell>
          <cell r="R142">
            <v>1266.1102745032042</v>
          </cell>
          <cell r="S142">
            <v>1262.5516328328922</v>
          </cell>
          <cell r="T142">
            <v>1259.3417662377681</v>
          </cell>
          <cell r="U142">
            <v>1256.9413093138655</v>
          </cell>
          <cell r="V142">
            <v>1254.9403239162825</v>
          </cell>
        </row>
        <row r="143">
          <cell r="B143" t="str">
            <v>Depreciation rate, % of GFA</v>
          </cell>
          <cell r="I143">
            <v>0.12127335007523471</v>
          </cell>
          <cell r="J143">
            <v>0.18766928778207659</v>
          </cell>
          <cell r="K143">
            <v>9.8845000051297677E-2</v>
          </cell>
          <cell r="L143">
            <v>9.8845000051297677E-2</v>
          </cell>
          <cell r="M143">
            <v>0.12</v>
          </cell>
          <cell r="N143">
            <v>0.115</v>
          </cell>
          <cell r="O143">
            <v>0.115</v>
          </cell>
          <cell r="P143">
            <v>0.115</v>
          </cell>
          <cell r="Q143">
            <v>0.115</v>
          </cell>
          <cell r="R143">
            <v>0.115</v>
          </cell>
          <cell r="S143">
            <v>0.115</v>
          </cell>
          <cell r="T143">
            <v>0.115</v>
          </cell>
          <cell r="U143">
            <v>0.115</v>
          </cell>
          <cell r="V143">
            <v>0.115</v>
          </cell>
        </row>
        <row r="144">
          <cell r="B144" t="str">
            <v>Net Fixed Assets</v>
          </cell>
          <cell r="H144">
            <v>1296.4945971650327</v>
          </cell>
          <cell r="I144">
            <v>2412.7343112960011</v>
          </cell>
          <cell r="J144">
            <v>6809.4567835300268</v>
          </cell>
          <cell r="K144">
            <v>7962.734716478808</v>
          </cell>
          <cell r="L144">
            <v>10370.887879861035</v>
          </cell>
          <cell r="M144">
            <v>7162.2420729248706</v>
          </cell>
          <cell r="N144">
            <v>5042.5451809077786</v>
          </cell>
          <cell r="O144">
            <v>3557.0864260520393</v>
          </cell>
          <cell r="P144">
            <v>2212.5995931206035</v>
          </cell>
          <cell r="Q144">
            <v>903.07410888971572</v>
          </cell>
          <cell r="R144">
            <v>-393.98087579011371</v>
          </cell>
          <cell r="S144">
            <v>-1684.4443920588674</v>
          </cell>
          <cell r="T144">
            <v>-2964.659696765355</v>
          </cell>
          <cell r="U144">
            <v>-4239.0008791016808</v>
          </cell>
          <cell r="V144">
            <v>-5510.4821478544327</v>
          </cell>
        </row>
        <row r="145">
          <cell r="B145" t="str">
            <v>CWIP</v>
          </cell>
          <cell r="H145">
            <v>319.04446171931573</v>
          </cell>
          <cell r="I145">
            <v>1687.0454468225655</v>
          </cell>
          <cell r="J145">
            <v>841.68919885379057</v>
          </cell>
          <cell r="K145">
            <v>618.33880363439278</v>
          </cell>
          <cell r="L145">
            <v>1307.9704167407592</v>
          </cell>
          <cell r="M145">
            <v>-861.96526733552969</v>
          </cell>
          <cell r="N145">
            <v>-192.08754881716203</v>
          </cell>
          <cell r="O145">
            <v>-52.218947327977979</v>
          </cell>
          <cell r="P145">
            <v>-20.94454110358809</v>
          </cell>
          <cell r="Q145">
            <v>-13.695383196996175</v>
          </cell>
          <cell r="R145">
            <v>-11.305535333268702</v>
          </cell>
          <cell r="S145">
            <v>-10.347159282044725</v>
          </cell>
          <cell r="T145">
            <v>-7.4676365891589169</v>
          </cell>
          <cell r="U145">
            <v>-6.3902832111748396</v>
          </cell>
          <cell r="V145">
            <v>-6.176078756890548</v>
          </cell>
        </row>
        <row r="150">
          <cell r="B150" t="str">
            <v>Revenue Break down</v>
          </cell>
          <cell r="K150" t="str">
            <v>F2004</v>
          </cell>
          <cell r="L150" t="str">
            <v>F2005</v>
          </cell>
          <cell r="M150" t="str">
            <v>F2006</v>
          </cell>
          <cell r="N150" t="str">
            <v>F2007</v>
          </cell>
          <cell r="O150" t="str">
            <v>F2008</v>
          </cell>
          <cell r="P150" t="str">
            <v>F2009</v>
          </cell>
        </row>
        <row r="151">
          <cell r="B151" t="str">
            <v>Call Rev Rs mn</v>
          </cell>
          <cell r="C151">
            <v>0</v>
          </cell>
          <cell r="D151">
            <v>0</v>
          </cell>
          <cell r="E151">
            <v>0</v>
          </cell>
          <cell r="F151">
            <v>0</v>
          </cell>
          <cell r="G151">
            <v>26505.375157951428</v>
          </cell>
          <cell r="H151">
            <v>28142.419188053158</v>
          </cell>
          <cell r="I151">
            <v>30113.010000000002</v>
          </cell>
          <cell r="J151">
            <v>24432.79</v>
          </cell>
          <cell r="K151">
            <v>22666.18</v>
          </cell>
          <cell r="L151">
            <v>19395.97</v>
          </cell>
          <cell r="M151">
            <v>17052</v>
          </cell>
          <cell r="N151">
            <v>16204.296428146548</v>
          </cell>
          <cell r="O151">
            <v>15785.729068371915</v>
          </cell>
          <cell r="P151">
            <v>15381.317180034921</v>
          </cell>
          <cell r="Q151">
            <v>14988.612921866801</v>
          </cell>
          <cell r="R151">
            <v>14606.322476968464</v>
          </cell>
          <cell r="S151">
            <v>14234.175330740087</v>
          </cell>
          <cell r="T151">
            <v>13872.803068283545</v>
          </cell>
          <cell r="U151">
            <v>13521.875520881636</v>
          </cell>
          <cell r="V151">
            <v>13180.01842212018</v>
          </cell>
        </row>
        <row r="152">
          <cell r="B152" t="str">
            <v>ARPU/sub</v>
          </cell>
          <cell r="D152">
            <v>0</v>
          </cell>
          <cell r="E152">
            <v>0</v>
          </cell>
          <cell r="F152">
            <v>0</v>
          </cell>
          <cell r="G152">
            <v>574.78927636326091</v>
          </cell>
          <cell r="H152">
            <v>560.5960880699464</v>
          </cell>
          <cell r="I152">
            <v>568.27539900324905</v>
          </cell>
          <cell r="J152">
            <v>446.00830725678338</v>
          </cell>
          <cell r="K152">
            <v>419.70215049259707</v>
          </cell>
          <cell r="L152">
            <v>382.90000972057413</v>
          </cell>
          <cell r="M152">
            <v>357.35176440233232</v>
          </cell>
          <cell r="N152">
            <v>348.41797029227399</v>
          </cell>
          <cell r="O152">
            <v>339.70752103496716</v>
          </cell>
          <cell r="P152">
            <v>331.21483300909296</v>
          </cell>
          <cell r="Q152">
            <v>322.93446218386561</v>
          </cell>
          <cell r="R152">
            <v>314.86110062926895</v>
          </cell>
          <cell r="S152">
            <v>306.98957311353723</v>
          </cell>
          <cell r="T152">
            <v>299.3148337856988</v>
          </cell>
          <cell r="U152">
            <v>291.8319629410563</v>
          </cell>
          <cell r="V152">
            <v>284.53616386752987</v>
          </cell>
        </row>
        <row r="153">
          <cell r="B153" t="str">
            <v>Rental Rev Rs mn</v>
          </cell>
          <cell r="C153">
            <v>5549</v>
          </cell>
          <cell r="D153">
            <v>6481</v>
          </cell>
          <cell r="E153">
            <v>7328</v>
          </cell>
          <cell r="F153">
            <v>8060.6478207379369</v>
          </cell>
          <cell r="G153">
            <v>11297.734979999999</v>
          </cell>
          <cell r="H153">
            <v>12399.618347999998</v>
          </cell>
          <cell r="I153">
            <v>13138.67</v>
          </cell>
          <cell r="J153">
            <v>12783.04</v>
          </cell>
          <cell r="K153">
            <v>12172.97</v>
          </cell>
          <cell r="L153">
            <v>11307.83</v>
          </cell>
          <cell r="M153">
            <v>11538</v>
          </cell>
          <cell r="N153">
            <v>11245.55189784219</v>
          </cell>
          <cell r="O153">
            <v>11235.971370914331</v>
          </cell>
          <cell r="P153">
            <v>11228.839944092979</v>
          </cell>
          <cell r="Q153">
            <v>11222.721662986696</v>
          </cell>
          <cell r="R153">
            <v>11216.904359045047</v>
          </cell>
          <cell r="S153">
            <v>11211.399479815207</v>
          </cell>
          <cell r="T153">
            <v>11206.941941465097</v>
          </cell>
          <cell r="U153">
            <v>11203.538700042143</v>
          </cell>
          <cell r="V153">
            <v>11200.30080575035</v>
          </cell>
        </row>
        <row r="154">
          <cell r="B154" t="str">
            <v>Monthly Rental/sub</v>
          </cell>
          <cell r="D154">
            <v>192.20221867968311</v>
          </cell>
          <cell r="E154">
            <v>190.27164548985834</v>
          </cell>
          <cell r="F154">
            <v>190.27164548985834</v>
          </cell>
          <cell r="G154">
            <v>245</v>
          </cell>
          <cell r="H154">
            <v>247</v>
          </cell>
          <cell r="I154">
            <v>247.9454208205031</v>
          </cell>
          <cell r="J154">
            <v>233.34797344043608</v>
          </cell>
          <cell r="K154">
            <v>225.40285512961901</v>
          </cell>
          <cell r="L154">
            <v>223.23030077477949</v>
          </cell>
          <cell r="M154">
            <v>241.7971298190306</v>
          </cell>
          <cell r="N154">
            <v>241.7971298190306</v>
          </cell>
          <cell r="O154">
            <v>241.7971298190306</v>
          </cell>
          <cell r="P154">
            <v>241.7971298190306</v>
          </cell>
          <cell r="Q154">
            <v>241.7971298190306</v>
          </cell>
          <cell r="R154">
            <v>241.7971298190306</v>
          </cell>
          <cell r="S154">
            <v>241.7971298190306</v>
          </cell>
          <cell r="T154">
            <v>241.7971298190306</v>
          </cell>
          <cell r="U154">
            <v>241.7971298190306</v>
          </cell>
          <cell r="V154">
            <v>241.7971298190306</v>
          </cell>
        </row>
        <row r="155">
          <cell r="B155" t="str">
            <v>Public Phone Rev</v>
          </cell>
          <cell r="C155">
            <v>3063</v>
          </cell>
          <cell r="D155">
            <v>3865</v>
          </cell>
          <cell r="E155">
            <v>6270</v>
          </cell>
          <cell r="F155">
            <v>8398.7163430205255</v>
          </cell>
          <cell r="G155">
            <v>10346.052424718109</v>
          </cell>
          <cell r="H155">
            <v>12683.148506731044</v>
          </cell>
          <cell r="I155">
            <v>10373.1</v>
          </cell>
          <cell r="J155">
            <v>10270.58</v>
          </cell>
          <cell r="K155">
            <v>10572.69</v>
          </cell>
          <cell r="L155">
            <v>10197.530000000001</v>
          </cell>
          <cell r="M155">
            <v>8877</v>
          </cell>
          <cell r="N155">
            <v>8636.271846529733</v>
          </cell>
          <cell r="O155">
            <v>8119.6075690533389</v>
          </cell>
          <cell r="P155">
            <v>7631.8639040616736</v>
          </cell>
          <cell r="Q155">
            <v>7365.4362664115561</v>
          </cell>
          <cell r="R155">
            <v>7106.5717327662987</v>
          </cell>
          <cell r="S155">
            <v>6855.1800618195366</v>
          </cell>
          <cell r="T155">
            <v>6611.1611286355346</v>
          </cell>
          <cell r="U155">
            <v>6374.4061386153844</v>
          </cell>
          <cell r="V155">
            <v>6144.7987447756605</v>
          </cell>
        </row>
        <row r="156">
          <cell r="B156" t="str">
            <v>Average Rev/Public Phone (Rs)</v>
          </cell>
          <cell r="D156">
            <v>5239.8964222285485</v>
          </cell>
          <cell r="E156">
            <v>7323.2093176450799</v>
          </cell>
          <cell r="F156">
            <v>8421.6907152918429</v>
          </cell>
          <cell r="G156">
            <v>8656.7702735395924</v>
          </cell>
          <cell r="H156">
            <v>8709.3625111971614</v>
          </cell>
          <cell r="I156">
            <v>5857.5896078903061</v>
          </cell>
          <cell r="J156">
            <v>4682.7320443097306</v>
          </cell>
          <cell r="K156">
            <v>3967.9499737664019</v>
          </cell>
          <cell r="L156">
            <v>3272.0257461704823</v>
          </cell>
          <cell r="M156">
            <v>2552.8339130914915</v>
          </cell>
          <cell r="N156">
            <v>2361.3713696096297</v>
          </cell>
          <cell r="O156">
            <v>2184.2685168889075</v>
          </cell>
          <cell r="P156">
            <v>2020.4483781222395</v>
          </cell>
          <cell r="Q156">
            <v>1919.4259592161275</v>
          </cell>
          <cell r="R156">
            <v>1823.4546612553211</v>
          </cell>
          <cell r="S156">
            <v>1732.2819281925549</v>
          </cell>
          <cell r="T156">
            <v>1645.6678317829271</v>
          </cell>
          <cell r="U156">
            <v>1563.3844401937806</v>
          </cell>
          <cell r="V156">
            <v>1485.2152181840916</v>
          </cell>
        </row>
        <row r="157">
          <cell r="B157" t="str">
            <v>Y-E Public Phones in Service</v>
          </cell>
          <cell r="C157">
            <v>55939</v>
          </cell>
          <cell r="D157">
            <v>66996</v>
          </cell>
          <cell r="E157">
            <v>75701</v>
          </cell>
          <cell r="F157">
            <v>90511</v>
          </cell>
          <cell r="G157">
            <v>108679</v>
          </cell>
          <cell r="H157">
            <v>134032</v>
          </cell>
          <cell r="I157">
            <v>161115</v>
          </cell>
          <cell r="J157">
            <v>204433</v>
          </cell>
          <cell r="K157">
            <v>239654</v>
          </cell>
          <cell r="L157">
            <v>279776</v>
          </cell>
          <cell r="M157">
            <v>299776</v>
          </cell>
          <cell r="N157">
            <v>304776</v>
          </cell>
          <cell r="O157">
            <v>309776</v>
          </cell>
          <cell r="P157">
            <v>314776</v>
          </cell>
          <cell r="Q157">
            <v>319776</v>
          </cell>
          <cell r="R157">
            <v>324776</v>
          </cell>
          <cell r="S157">
            <v>329776</v>
          </cell>
          <cell r="T157">
            <v>334776</v>
          </cell>
          <cell r="U157">
            <v>339776</v>
          </cell>
          <cell r="V157">
            <v>344776</v>
          </cell>
        </row>
        <row r="158">
          <cell r="B158" t="str">
            <v xml:space="preserve">Average Public Phones </v>
          </cell>
          <cell r="D158">
            <v>61467.5</v>
          </cell>
          <cell r="E158">
            <v>71348.5</v>
          </cell>
          <cell r="F158">
            <v>83106</v>
          </cell>
          <cell r="G158">
            <v>99595</v>
          </cell>
          <cell r="H158">
            <v>121355.5</v>
          </cell>
          <cell r="I158">
            <v>147573.5</v>
          </cell>
          <cell r="J158">
            <v>182774</v>
          </cell>
          <cell r="K158">
            <v>222043.5</v>
          </cell>
          <cell r="L158">
            <v>259715</v>
          </cell>
          <cell r="M158">
            <v>289776</v>
          </cell>
          <cell r="N158">
            <v>302276</v>
          </cell>
          <cell r="O158">
            <v>307276</v>
          </cell>
          <cell r="P158">
            <v>312276</v>
          </cell>
          <cell r="Q158">
            <v>317276</v>
          </cell>
          <cell r="R158">
            <v>322276</v>
          </cell>
          <cell r="S158">
            <v>327276</v>
          </cell>
          <cell r="T158">
            <v>332276</v>
          </cell>
          <cell r="U158">
            <v>337276</v>
          </cell>
          <cell r="V158">
            <v>342276</v>
          </cell>
          <cell r="Y158">
            <v>470</v>
          </cell>
          <cell r="Z158">
            <v>2000</v>
          </cell>
        </row>
        <row r="159">
          <cell r="B159" t="str">
            <v>Net Additions</v>
          </cell>
          <cell r="Z159">
            <v>3.2553191489361701</v>
          </cell>
        </row>
        <row r="161">
          <cell r="B161" t="str">
            <v>Broadband subs</v>
          </cell>
          <cell r="L161">
            <v>8.5767999999999997E-2</v>
          </cell>
          <cell r="M161">
            <v>458.38</v>
          </cell>
          <cell r="N161">
            <v>750</v>
          </cell>
          <cell r="O161">
            <v>1050</v>
          </cell>
          <cell r="P161">
            <v>1250</v>
          </cell>
          <cell r="Q161">
            <v>1450</v>
          </cell>
          <cell r="R161">
            <v>1650</v>
          </cell>
          <cell r="S161">
            <v>1850</v>
          </cell>
          <cell r="T161">
            <v>2050</v>
          </cell>
          <cell r="U161">
            <v>2250</v>
          </cell>
          <cell r="V161">
            <v>2450</v>
          </cell>
        </row>
        <row r="162">
          <cell r="B162" t="str">
            <v>ARPU</v>
          </cell>
          <cell r="M162">
            <v>351</v>
          </cell>
          <cell r="N162">
            <v>333.45</v>
          </cell>
          <cell r="O162">
            <v>325.11374999999998</v>
          </cell>
          <cell r="P162">
            <v>316.98590625000003</v>
          </cell>
          <cell r="Q162">
            <v>316.98590625000003</v>
          </cell>
          <cell r="R162">
            <v>316.98590625000003</v>
          </cell>
          <cell r="S162">
            <v>316.98590625000003</v>
          </cell>
          <cell r="T162">
            <v>316.98590625000003</v>
          </cell>
          <cell r="U162">
            <v>316.98590625000003</v>
          </cell>
          <cell r="V162">
            <v>316.98590625000003</v>
          </cell>
        </row>
        <row r="163">
          <cell r="B163" t="str">
            <v>Revenue Rs mn</v>
          </cell>
          <cell r="M163">
            <v>965.52890740800001</v>
          </cell>
          <cell r="N163">
            <v>2417.6058660000003</v>
          </cell>
          <cell r="O163">
            <v>3511.2285000000011</v>
          </cell>
          <cell r="P163">
            <v>4374.4055062500001</v>
          </cell>
          <cell r="Q163">
            <v>5135.1716812500008</v>
          </cell>
          <cell r="R163">
            <v>5895.9378562500006</v>
          </cell>
          <cell r="S163">
            <v>6656.7040312500003</v>
          </cell>
          <cell r="T163">
            <v>7417.470206250001</v>
          </cell>
          <cell r="U163">
            <v>8178.2363812500007</v>
          </cell>
          <cell r="V163">
            <v>8939.0025562499995</v>
          </cell>
        </row>
      </sheetData>
      <sheetData sheetId="1"/>
      <sheetData sheetId="2" refreshError="1">
        <row r="1">
          <cell r="A1" t="str">
            <v>Mahanagar Telephone Nigam</v>
          </cell>
        </row>
        <row r="3">
          <cell r="B3" t="str">
            <v>Year</v>
          </cell>
          <cell r="C3" t="str">
            <v>Net Income</v>
          </cell>
          <cell r="D3" t="str">
            <v>EPS (N)</v>
          </cell>
          <cell r="F3" t="str">
            <v>P/E</v>
          </cell>
          <cell r="G3" t="str">
            <v>CE</v>
          </cell>
          <cell r="I3" t="str">
            <v>Div</v>
          </cell>
          <cell r="J3" t="str">
            <v>Yield</v>
          </cell>
          <cell r="K3" t="str">
            <v>EV/EBITDA</v>
          </cell>
          <cell r="M3" t="str">
            <v>EPS (O)</v>
          </cell>
        </row>
        <row r="4">
          <cell r="A4" t="str">
            <v>Share Price</v>
          </cell>
          <cell r="B4" t="str">
            <v>Ending</v>
          </cell>
          <cell r="C4" t="str">
            <v>(Rs Mln)</v>
          </cell>
          <cell r="D4" t="str">
            <v>(Rs)</v>
          </cell>
          <cell r="E4" t="str">
            <v>P/E</v>
          </cell>
          <cell r="F4" t="str">
            <v>Rel</v>
          </cell>
          <cell r="G4" t="str">
            <v>(Rs)</v>
          </cell>
          <cell r="H4" t="str">
            <v>P/CE</v>
          </cell>
          <cell r="I4" t="str">
            <v>(Rs)</v>
          </cell>
          <cell r="J4" t="str">
            <v>(%)</v>
          </cell>
          <cell r="K4" t="str">
            <v>(Rs)</v>
          </cell>
          <cell r="M4" t="str">
            <v>(Rs)</v>
          </cell>
          <cell r="O4" t="str">
            <v xml:space="preserve">Mkt </v>
          </cell>
        </row>
        <row r="5">
          <cell r="A5">
            <v>154.85</v>
          </cell>
          <cell r="B5" t="str">
            <v>Mar 97</v>
          </cell>
          <cell r="C5">
            <v>8620.3160000000062</v>
          </cell>
          <cell r="D5">
            <v>14.367193333333343</v>
          </cell>
          <cell r="E5">
            <v>10.778027162809337</v>
          </cell>
          <cell r="F5" t="e">
            <v>#DIV/0!</v>
          </cell>
          <cell r="G5">
            <v>22.951151666666679</v>
          </cell>
          <cell r="H5">
            <v>6.746938116613026</v>
          </cell>
          <cell r="I5">
            <v>2</v>
          </cell>
          <cell r="J5">
            <v>1.2915724895059736E-2</v>
          </cell>
          <cell r="K5">
            <v>4.9258655085428371</v>
          </cell>
          <cell r="M5">
            <v>14.37</v>
          </cell>
          <cell r="O5" t="str">
            <v>P/E</v>
          </cell>
        </row>
        <row r="6">
          <cell r="A6" t="str">
            <v>ADR</v>
          </cell>
          <cell r="B6" t="str">
            <v>Mar 98</v>
          </cell>
          <cell r="C6">
            <v>11473.12099999999</v>
          </cell>
          <cell r="D6">
            <v>18.21130317460316</v>
          </cell>
          <cell r="E6">
            <v>8.5029609641526562</v>
          </cell>
          <cell r="F6" t="e">
            <v>#DIV/0!</v>
          </cell>
          <cell r="G6">
            <v>27.506857142857125</v>
          </cell>
          <cell r="H6">
            <v>5.6295053700895394</v>
          </cell>
          <cell r="I6">
            <v>2.9000650793650791</v>
          </cell>
          <cell r="J6">
            <v>1.8728221371424471E-2</v>
          </cell>
          <cell r="K6">
            <v>3.9216695867750881</v>
          </cell>
          <cell r="M6">
            <v>18.21</v>
          </cell>
        </row>
        <row r="7">
          <cell r="A7">
            <v>6.95</v>
          </cell>
          <cell r="B7" t="str">
            <v>Mar 99</v>
          </cell>
          <cell r="C7">
            <v>12882.447000000004</v>
          </cell>
          <cell r="D7">
            <v>20.448328571428576</v>
          </cell>
          <cell r="E7">
            <v>7.5727460784430143</v>
          </cell>
          <cell r="F7">
            <v>0.3346518455512309</v>
          </cell>
          <cell r="G7">
            <v>30.877715873015877</v>
          </cell>
          <cell r="H7">
            <v>5.0149434834110851</v>
          </cell>
          <cell r="I7">
            <v>3</v>
          </cell>
          <cell r="J7">
            <v>1.9373587342589604E-2</v>
          </cell>
          <cell r="K7">
            <v>3.5199931226048466</v>
          </cell>
          <cell r="M7">
            <v>20.45</v>
          </cell>
        </row>
        <row r="8">
          <cell r="A8" t="str">
            <v>DCF</v>
          </cell>
          <cell r="B8" t="str">
            <v>Mar 00</v>
          </cell>
          <cell r="C8">
            <v>13308.667867647055</v>
          </cell>
          <cell r="D8">
            <v>21.124869631185803</v>
          </cell>
          <cell r="E8">
            <v>7.3302227518318555</v>
          </cell>
          <cell r="F8">
            <v>0.42230642530218748</v>
          </cell>
          <cell r="G8">
            <v>32.383298202614377</v>
          </cell>
          <cell r="H8">
            <v>4.7817859388855766</v>
          </cell>
          <cell r="I8">
            <v>3</v>
          </cell>
          <cell r="J8">
            <v>1.9373587342589604E-2</v>
          </cell>
          <cell r="K8">
            <v>3.8979872152428694</v>
          </cell>
          <cell r="M8">
            <v>21.12</v>
          </cell>
          <cell r="O8">
            <v>22.628729466497816</v>
          </cell>
        </row>
        <row r="9">
          <cell r="A9">
            <v>0</v>
          </cell>
          <cell r="B9" t="str">
            <v>Mar 01</v>
          </cell>
          <cell r="C9">
            <v>15572.2</v>
          </cell>
          <cell r="D9">
            <v>24.71777777777778</v>
          </cell>
          <cell r="E9">
            <v>6.2647217477299284</v>
          </cell>
          <cell r="F9">
            <v>0.40730281076864311</v>
          </cell>
          <cell r="G9">
            <v>36.928031746031749</v>
          </cell>
          <cell r="H9">
            <v>4.1932914557960439</v>
          </cell>
          <cell r="I9">
            <v>4.5</v>
          </cell>
          <cell r="J9">
            <v>2.9060381013884404E-2</v>
          </cell>
          <cell r="K9">
            <v>3.4566944955971937</v>
          </cell>
          <cell r="M9">
            <v>24.72</v>
          </cell>
          <cell r="O9">
            <v>17.357592289974296</v>
          </cell>
        </row>
        <row r="10">
          <cell r="A10" t="str">
            <v>PT</v>
          </cell>
          <cell r="B10" t="str">
            <v>Mar 02</v>
          </cell>
          <cell r="C10">
            <v>13892.16</v>
          </cell>
          <cell r="D10">
            <v>22.051047619047619</v>
          </cell>
          <cell r="E10">
            <v>7.0223420979890809</v>
          </cell>
          <cell r="F10">
            <v>0.47517902336299594</v>
          </cell>
          <cell r="G10">
            <v>35.070412698412696</v>
          </cell>
          <cell r="H10">
            <v>4.4154028448889218</v>
          </cell>
          <cell r="I10">
            <v>4.5</v>
          </cell>
          <cell r="J10">
            <v>2.9060381013884404E-2</v>
          </cell>
          <cell r="K10">
            <v>2.9480334881230235</v>
          </cell>
          <cell r="L10">
            <v>4.751106791922588E-5</v>
          </cell>
          <cell r="M10">
            <v>22.05</v>
          </cell>
          <cell r="O10">
            <v>15.380993163065666</v>
          </cell>
        </row>
        <row r="11">
          <cell r="A11">
            <v>0</v>
          </cell>
          <cell r="B11" t="str">
            <v>Mar 03</v>
          </cell>
          <cell r="C11">
            <v>9383.0400000000027</v>
          </cell>
          <cell r="D11">
            <v>14.893714285714291</v>
          </cell>
          <cell r="E11">
            <v>10.397003529772864</v>
          </cell>
          <cell r="F11">
            <v>0.88340589305766715</v>
          </cell>
          <cell r="G11">
            <v>29.577428571428577</v>
          </cell>
          <cell r="H11">
            <v>5.2354111726123191</v>
          </cell>
          <cell r="I11">
            <v>4.5</v>
          </cell>
          <cell r="J11">
            <v>2.9060381013884404E-2</v>
          </cell>
          <cell r="K11">
            <v>3.9781464843886996</v>
          </cell>
          <cell r="L11">
            <v>2.494483354122945E-4</v>
          </cell>
          <cell r="M11">
            <v>14.89</v>
          </cell>
          <cell r="N11">
            <v>2.494483354122945E-4</v>
          </cell>
          <cell r="O11">
            <v>14.778308285348309</v>
          </cell>
        </row>
        <row r="12">
          <cell r="A12" t="str">
            <v>Discount to DCF</v>
          </cell>
          <cell r="B12" t="str">
            <v>Mar 04E</v>
          </cell>
          <cell r="C12">
            <v>12368.500000000007</v>
          </cell>
          <cell r="D12">
            <v>19.632539682539694</v>
          </cell>
          <cell r="E12">
            <v>7.8874156122407681</v>
          </cell>
          <cell r="F12">
            <v>0.84946100004549585</v>
          </cell>
          <cell r="G12">
            <v>29.470190476190488</v>
          </cell>
          <cell r="H12">
            <v>5.25446213607293</v>
          </cell>
          <cell r="I12">
            <v>4.5</v>
          </cell>
          <cell r="J12">
            <v>2.9060381013884404E-2</v>
          </cell>
          <cell r="K12">
            <v>3.6892626167736</v>
          </cell>
          <cell r="L12">
            <v>-3.1926051156819901E-2</v>
          </cell>
          <cell r="M12">
            <v>20.28</v>
          </cell>
          <cell r="N12">
            <v>-3.1926051156819901E-2</v>
          </cell>
          <cell r="O12">
            <v>11.769225914699854</v>
          </cell>
        </row>
        <row r="13">
          <cell r="A13" t="e">
            <v>#DIV/0!</v>
          </cell>
          <cell r="B13" t="str">
            <v>Mar 05E</v>
          </cell>
          <cell r="C13">
            <v>9484.2599999999929</v>
          </cell>
          <cell r="D13">
            <v>15.05438095238094</v>
          </cell>
          <cell r="E13">
            <v>10.286042348058791</v>
          </cell>
          <cell r="F13" t="e">
            <v>#DIV/0!</v>
          </cell>
          <cell r="G13">
            <v>24.555301587301575</v>
          </cell>
          <cell r="H13">
            <v>6.3061738195094481</v>
          </cell>
          <cell r="I13">
            <v>4.5</v>
          </cell>
          <cell r="J13">
            <v>2.9060381013884404E-2</v>
          </cell>
          <cell r="K13">
            <v>5.0755671599266368</v>
          </cell>
          <cell r="L13">
            <v>-0.30592987771411062</v>
          </cell>
          <cell r="M13">
            <v>21.69</v>
          </cell>
          <cell r="N13">
            <v>-0.30592987771411062</v>
          </cell>
          <cell r="O13">
            <v>9.285200393918414</v>
          </cell>
        </row>
        <row r="14">
          <cell r="A14" t="str">
            <v>Upside / Downside to Current Price</v>
          </cell>
          <cell r="B14" t="str">
            <v>Mar 06E</v>
          </cell>
          <cell r="C14">
            <v>6696.9300000000039</v>
          </cell>
          <cell r="D14">
            <v>10.630047619047625</v>
          </cell>
          <cell r="E14">
            <v>14.567197208273036</v>
          </cell>
          <cell r="G14">
            <v>19.326412698412703</v>
          </cell>
          <cell r="H14">
            <v>8.0123508907950605</v>
          </cell>
          <cell r="I14">
            <v>2.8577432098765416</v>
          </cell>
          <cell r="J14">
            <v>1.8454912559745185E-2</v>
          </cell>
          <cell r="K14">
            <v>5.9917156782441721</v>
          </cell>
          <cell r="L14">
            <v>-0.51725487651918134</v>
          </cell>
          <cell r="M14">
            <v>22.02</v>
          </cell>
          <cell r="N14">
            <v>-0.51725487651918134</v>
          </cell>
        </row>
        <row r="15">
          <cell r="A15">
            <v>-1</v>
          </cell>
          <cell r="B15" t="str">
            <v>Mar 07E</v>
          </cell>
          <cell r="C15">
            <v>8440.5473113361204</v>
          </cell>
          <cell r="D15">
            <v>13.397694144977969</v>
          </cell>
          <cell r="E15">
            <v>11.557959028199225</v>
          </cell>
          <cell r="G15">
            <v>26.60123706460303</v>
          </cell>
          <cell r="H15">
            <v>5.8211578515666602</v>
          </cell>
          <cell r="I15">
            <v>4.1681715117709199</v>
          </cell>
          <cell r="J15">
            <v>2.6917478280729223E-2</v>
          </cell>
          <cell r="K15">
            <v>3.0341625072751977</v>
          </cell>
        </row>
        <row r="16">
          <cell r="A16">
            <v>0</v>
          </cell>
        </row>
        <row r="17">
          <cell r="D17" t="str">
            <v>ADR Valuations</v>
          </cell>
        </row>
        <row r="18">
          <cell r="A18" t="str">
            <v>Domestic Share Data</v>
          </cell>
          <cell r="E18" t="str">
            <v>EPG</v>
          </cell>
          <cell r="F18" t="str">
            <v>P/E</v>
          </cell>
          <cell r="G18" t="str">
            <v>Div</v>
          </cell>
          <cell r="H18" t="str">
            <v>Yield</v>
          </cell>
          <cell r="I18" t="str">
            <v>Avg. Rate</v>
          </cell>
          <cell r="J18" t="str">
            <v>CEPG</v>
          </cell>
          <cell r="K18" t="str">
            <v>CP/E</v>
          </cell>
        </row>
        <row r="19">
          <cell r="A19" t="str">
            <v>Shares Outstanding (Mln)</v>
          </cell>
          <cell r="B19">
            <v>630</v>
          </cell>
          <cell r="E19" t="str">
            <v>$</v>
          </cell>
          <cell r="F19" t="str">
            <v>x</v>
          </cell>
          <cell r="G19" t="str">
            <v>$</v>
          </cell>
          <cell r="H19" t="str">
            <v>%</v>
          </cell>
          <cell r="I19" t="str">
            <v>Rs/US$1</v>
          </cell>
          <cell r="J19" t="str">
            <v>$</v>
          </cell>
          <cell r="K19" t="str">
            <v>x</v>
          </cell>
        </row>
        <row r="20">
          <cell r="A20" t="str">
            <v>Market Capitalization (Rs Mln)</v>
          </cell>
          <cell r="B20">
            <v>97555.5</v>
          </cell>
          <cell r="D20">
            <v>35490</v>
          </cell>
          <cell r="E20">
            <v>0.65305424242424293</v>
          </cell>
          <cell r="F20">
            <v>10.642301279906668</v>
          </cell>
          <cell r="G20">
            <v>9.0909090909090912E-2</v>
          </cell>
          <cell r="H20">
            <v>1.3080444735120994E-2</v>
          </cell>
          <cell r="I20">
            <v>44</v>
          </cell>
          <cell r="J20">
            <v>1.0432341666666671</v>
          </cell>
          <cell r="K20">
            <v>6.6619750599298149</v>
          </cell>
        </row>
        <row r="21">
          <cell r="A21" t="str">
            <v xml:space="preserve">                                    (US$ Mln)</v>
          </cell>
          <cell r="B21">
            <v>2217.1704545454545</v>
          </cell>
          <cell r="D21" t="str">
            <v>Mar-98</v>
          </cell>
          <cell r="E21">
            <v>0.82778650793650721</v>
          </cell>
          <cell r="F21">
            <v>8.3958846071613902</v>
          </cell>
          <cell r="G21">
            <v>0.13182113997113995</v>
          </cell>
          <cell r="H21">
            <v>1.8967070499444596E-2</v>
          </cell>
          <cell r="I21">
            <v>44</v>
          </cell>
          <cell r="J21">
            <v>1.2503116883116876</v>
          </cell>
          <cell r="K21">
            <v>5.5586139560005847</v>
          </cell>
        </row>
        <row r="22">
          <cell r="A22" t="str">
            <v>Enterprise Value (Rs Mln)</v>
          </cell>
          <cell r="B22">
            <v>72024.81</v>
          </cell>
          <cell r="D22" t="str">
            <v>Mar-99</v>
          </cell>
          <cell r="E22">
            <v>0.96945586267346306</v>
          </cell>
          <cell r="F22">
            <v>7.1689700043012001</v>
          </cell>
          <cell r="G22">
            <v>0.1422300887752804</v>
          </cell>
          <cell r="H22">
            <v>2.0464760974860489E-2</v>
          </cell>
          <cell r="I22">
            <v>42.185166666666667</v>
          </cell>
          <cell r="J22">
            <v>1.4639134232656443</v>
          </cell>
          <cell r="K22">
            <v>4.7475485158788935</v>
          </cell>
        </row>
        <row r="23">
          <cell r="A23" t="str">
            <v>Exchange Rate (Rs/US$1)</v>
          </cell>
          <cell r="B23">
            <v>44</v>
          </cell>
          <cell r="D23" t="str">
            <v>Mar-00</v>
          </cell>
          <cell r="E23">
            <v>0.97380107665889926</v>
          </cell>
          <cell r="F23">
            <v>7.1369812239737644</v>
          </cell>
          <cell r="G23">
            <v>0.13829213060155157</v>
          </cell>
          <cell r="H23">
            <v>1.9898148287993033E-2</v>
          </cell>
          <cell r="I23">
            <v>43.386416666666662</v>
          </cell>
          <cell r="J23">
            <v>1.4927851014483127</v>
          </cell>
          <cell r="K23">
            <v>4.655727065641968</v>
          </cell>
        </row>
        <row r="24">
          <cell r="A24" t="str">
            <v>Ordinary Shares per ADR</v>
          </cell>
          <cell r="B24">
            <v>2</v>
          </cell>
          <cell r="D24" t="str">
            <v>Mar-01</v>
          </cell>
          <cell r="E24">
            <v>1.0793887620277962</v>
          </cell>
          <cell r="F24">
            <v>6.4388293120111486</v>
          </cell>
          <cell r="G24">
            <v>0.19650833795795083</v>
          </cell>
          <cell r="H24">
            <v>2.8274581001144005E-2</v>
          </cell>
          <cell r="I24">
            <v>45.799583333333338</v>
          </cell>
          <cell r="J24">
            <v>1.6125924761046988</v>
          </cell>
          <cell r="K24">
            <v>4.3098303526679524</v>
          </cell>
        </row>
        <row r="25">
          <cell r="A25" t="str">
            <v>Key Ratios</v>
          </cell>
          <cell r="D25" t="str">
            <v>Mar-02</v>
          </cell>
          <cell r="E25">
            <v>0.92474359617780377</v>
          </cell>
          <cell r="F25">
            <v>7.5155967867483335</v>
          </cell>
          <cell r="G25">
            <v>0.18871421687945386</v>
          </cell>
          <cell r="H25">
            <v>2.7153124730856671E-2</v>
          </cell>
          <cell r="I25">
            <v>47.691160469107558</v>
          </cell>
          <cell r="J25">
            <v>1.4707301040044902</v>
          </cell>
          <cell r="K25">
            <v>4.7255441233416011</v>
          </cell>
        </row>
        <row r="26">
          <cell r="A26" t="str">
            <v>RoCE (F2003)</v>
          </cell>
          <cell r="B26">
            <v>0.12311502237656438</v>
          </cell>
          <cell r="D26" t="str">
            <v>Mar-03</v>
          </cell>
          <cell r="E26">
            <v>0.61531611617585691</v>
          </cell>
          <cell r="F26">
            <v>11.295007260972984</v>
          </cell>
          <cell r="G26">
            <v>0.18591215526722191</v>
          </cell>
          <cell r="H26">
            <v>2.6749950398161425E-2</v>
          </cell>
          <cell r="I26">
            <v>48.409959999999991</v>
          </cell>
          <cell r="J26">
            <v>1.2219563317725766</v>
          </cell>
          <cell r="K26">
            <v>5.6876009553617122</v>
          </cell>
        </row>
        <row r="27">
          <cell r="A27" t="str">
            <v>ROE (F2003)</v>
          </cell>
          <cell r="B27">
            <v>0.10178702011117662</v>
          </cell>
          <cell r="D27" t="str">
            <v>Mar-04E</v>
          </cell>
          <cell r="E27">
            <v>0.85495068791871975</v>
          </cell>
          <cell r="F27">
            <v>8.1291238175607354</v>
          </cell>
          <cell r="G27">
            <v>0.19596436109872412</v>
          </cell>
          <cell r="H27">
            <v>2.8196310949456706E-2</v>
          </cell>
          <cell r="I27">
            <v>45.926718253968261</v>
          </cell>
          <cell r="J27">
            <v>1.2833571218054163</v>
          </cell>
          <cell r="K27">
            <v>5.4154840316176349</v>
          </cell>
        </row>
        <row r="28">
          <cell r="A28" t="str">
            <v>Debt/Equity (F2003)</v>
          </cell>
          <cell r="B28">
            <v>0</v>
          </cell>
          <cell r="D28" t="str">
            <v>Mar 05E</v>
          </cell>
          <cell r="E28">
            <v>0.66967886798847598</v>
          </cell>
          <cell r="F28">
            <v>10.378108571464731</v>
          </cell>
          <cell r="G28">
            <v>0.20017793594306049</v>
          </cell>
          <cell r="H28">
            <v>2.8802580711231724E-2</v>
          </cell>
          <cell r="I28">
            <v>44.96</v>
          </cell>
          <cell r="J28">
            <v>1.0923176862678636</v>
          </cell>
          <cell r="K28">
            <v>6.3626178422013453</v>
          </cell>
        </row>
        <row r="29">
          <cell r="A29" t="str">
            <v>F2003-5E EPS Growth</v>
          </cell>
          <cell r="B29">
            <v>-0.10632955122461474</v>
          </cell>
          <cell r="D29" t="str">
            <v>Mar-06E</v>
          </cell>
          <cell r="E29">
            <v>0.47883097383097412</v>
          </cell>
          <cell r="F29">
            <v>14.514516353015479</v>
          </cell>
          <cell r="G29">
            <v>0.12872717161606043</v>
          </cell>
          <cell r="H29">
            <v>1.8521895196555456E-2</v>
          </cell>
          <cell r="I29">
            <v>44.4</v>
          </cell>
          <cell r="J29">
            <v>0.87055913055913081</v>
          </cell>
          <cell r="K29">
            <v>7.9833750012319662</v>
          </cell>
        </row>
        <row r="30">
          <cell r="A30" t="str">
            <v>P/E to growth</v>
          </cell>
          <cell r="B30">
            <v>-0.97780940576057007</v>
          </cell>
          <cell r="D30" t="str">
            <v>Mar-07E</v>
          </cell>
          <cell r="E30">
            <v>0.57500833240248794</v>
          </cell>
          <cell r="F30">
            <v>12.086781370561456</v>
          </cell>
          <cell r="G30">
            <v>0.17889148119188497</v>
          </cell>
          <cell r="H30">
            <v>2.5739781466458268E-2</v>
          </cell>
          <cell r="I30">
            <v>46.6</v>
          </cell>
        </row>
        <row r="33">
          <cell r="A33" t="str">
            <v>Enterprise Value Calculation</v>
          </cell>
        </row>
        <row r="34">
          <cell r="B34" t="str">
            <v>F1996</v>
          </cell>
          <cell r="C34" t="str">
            <v>F1997</v>
          </cell>
          <cell r="D34" t="str">
            <v>F1998</v>
          </cell>
          <cell r="E34" t="str">
            <v>F1999</v>
          </cell>
          <cell r="F34" t="str">
            <v>F2000</v>
          </cell>
          <cell r="G34" t="str">
            <v>F2001</v>
          </cell>
          <cell r="H34" t="str">
            <v>F2002</v>
          </cell>
          <cell r="I34" t="str">
            <v>F2003</v>
          </cell>
          <cell r="J34" t="str">
            <v>F2004</v>
          </cell>
          <cell r="K34" t="str">
            <v>F2005E</v>
          </cell>
          <cell r="L34" t="str">
            <v>F2006E</v>
          </cell>
          <cell r="M34" t="str">
            <v>F2007E</v>
          </cell>
          <cell r="N34" t="str">
            <v>F2008E</v>
          </cell>
          <cell r="O34" t="str">
            <v>F2009E</v>
          </cell>
          <cell r="P34" t="str">
            <v>F2010E</v>
          </cell>
          <cell r="Q34" t="str">
            <v>F2011E</v>
          </cell>
          <cell r="R34" t="str">
            <v>F2012E</v>
          </cell>
          <cell r="S34" t="str">
            <v>F2013E</v>
          </cell>
          <cell r="T34" t="str">
            <v>F2014E</v>
          </cell>
          <cell r="U34" t="str">
            <v>F2015E</v>
          </cell>
        </row>
        <row r="35">
          <cell r="A35" t="str">
            <v>Total Debt</v>
          </cell>
          <cell r="B35">
            <v>69481.264314</v>
          </cell>
          <cell r="C35">
            <v>76040.077709999998</v>
          </cell>
          <cell r="D35">
            <v>65493.078980999999</v>
          </cell>
          <cell r="E35">
            <v>38201.299999999996</v>
          </cell>
          <cell r="F35">
            <v>30902</v>
          </cell>
          <cell r="G35">
            <v>28810</v>
          </cell>
          <cell r="H35">
            <v>26190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Cash &amp; Cash Equivalents</v>
          </cell>
          <cell r="B36">
            <v>3061.7671919999998</v>
          </cell>
          <cell r="C36">
            <v>3721.2172399000001</v>
          </cell>
          <cell r="D36">
            <v>13284.937813</v>
          </cell>
          <cell r="E36">
            <v>13564.210175</v>
          </cell>
          <cell r="F36">
            <v>18350.810000000001</v>
          </cell>
          <cell r="G36">
            <v>24828.34</v>
          </cell>
          <cell r="H36">
            <v>24446.51</v>
          </cell>
          <cell r="I36">
            <v>18154.64</v>
          </cell>
          <cell r="J36">
            <v>25530.69</v>
          </cell>
          <cell r="K36">
            <v>25173.98</v>
          </cell>
          <cell r="L36">
            <v>24543.343280762092</v>
          </cell>
          <cell r="M36">
            <v>49023.600033469877</v>
          </cell>
          <cell r="N36">
            <v>50669.505745214243</v>
          </cell>
          <cell r="O36">
            <v>56529.060337960713</v>
          </cell>
          <cell r="P36">
            <v>62962.044575332817</v>
          </cell>
          <cell r="Q36">
            <v>69346.570337240672</v>
          </cell>
          <cell r="R36">
            <v>76530.771635323516</v>
          </cell>
          <cell r="S36">
            <v>84990.002791802501</v>
          </cell>
          <cell r="T36">
            <v>94410.084264485922</v>
          </cell>
          <cell r="U36">
            <v>105050.00807515957</v>
          </cell>
        </row>
        <row r="37">
          <cell r="A37" t="str">
            <v>Net Debt</v>
          </cell>
          <cell r="B37">
            <v>66419.497122000001</v>
          </cell>
          <cell r="C37">
            <v>72318.8604701</v>
          </cell>
          <cell r="D37">
            <v>52208.141168000002</v>
          </cell>
          <cell r="E37">
            <v>24637.089824999995</v>
          </cell>
          <cell r="F37">
            <v>12551.189999999999</v>
          </cell>
          <cell r="G37">
            <v>3981.66</v>
          </cell>
          <cell r="H37">
            <v>1743.4900000000016</v>
          </cell>
          <cell r="I37">
            <v>-18154.64</v>
          </cell>
          <cell r="J37">
            <v>-25530.69</v>
          </cell>
          <cell r="K37">
            <v>-25173.98</v>
          </cell>
          <cell r="L37">
            <v>-24543.343280762092</v>
          </cell>
          <cell r="M37">
            <v>-49023.600033469877</v>
          </cell>
          <cell r="N37">
            <v>-50669.505745214243</v>
          </cell>
          <cell r="O37">
            <v>-56529.060337960713</v>
          </cell>
          <cell r="P37">
            <v>-62962.044575332817</v>
          </cell>
          <cell r="Q37">
            <v>-69346.570337240672</v>
          </cell>
          <cell r="R37">
            <v>-76530.771635323516</v>
          </cell>
          <cell r="S37">
            <v>-84990.002791802501</v>
          </cell>
          <cell r="T37">
            <v>-94410.084264485922</v>
          </cell>
          <cell r="U37">
            <v>-105050.00807515957</v>
          </cell>
        </row>
        <row r="38">
          <cell r="A38" t="str">
            <v>Net Debt (ex-DoT debt)</v>
          </cell>
          <cell r="B38">
            <v>13096.497122000001</v>
          </cell>
          <cell r="C38">
            <v>6035.8604700999977</v>
          </cell>
          <cell r="D38">
            <v>-10514.678832000001</v>
          </cell>
          <cell r="E38">
            <v>-13322.610175000002</v>
          </cell>
          <cell r="F38">
            <v>-18158.810000000001</v>
          </cell>
          <cell r="G38">
            <v>-22208.34</v>
          </cell>
          <cell r="H38">
            <v>-24446.51</v>
          </cell>
          <cell r="I38">
            <v>-18154.64</v>
          </cell>
          <cell r="J38">
            <v>-25530.69</v>
          </cell>
          <cell r="K38">
            <v>-29148.63</v>
          </cell>
          <cell r="L38">
            <v>-28517.993280762093</v>
          </cell>
          <cell r="M38">
            <v>-52998.250033469878</v>
          </cell>
          <cell r="N38">
            <v>-54644.155745214244</v>
          </cell>
          <cell r="O38">
            <v>-60503.710337960714</v>
          </cell>
          <cell r="P38">
            <v>-66936.694575332818</v>
          </cell>
          <cell r="Q38">
            <v>-73321.220337240666</v>
          </cell>
          <cell r="R38">
            <v>-80505.42163532351</v>
          </cell>
          <cell r="S38">
            <v>-88964.652791802495</v>
          </cell>
          <cell r="T38">
            <v>-98384.734264485916</v>
          </cell>
          <cell r="U38">
            <v>-109024.65807515956</v>
          </cell>
        </row>
        <row r="39">
          <cell r="A39" t="str">
            <v>Shares Outstanding (mn)</v>
          </cell>
          <cell r="B39">
            <v>600</v>
          </cell>
          <cell r="C39">
            <v>600</v>
          </cell>
          <cell r="D39">
            <v>630</v>
          </cell>
          <cell r="E39">
            <v>630</v>
          </cell>
          <cell r="F39">
            <v>630</v>
          </cell>
          <cell r="G39">
            <v>630</v>
          </cell>
          <cell r="H39">
            <v>630</v>
          </cell>
          <cell r="I39">
            <v>630</v>
          </cell>
          <cell r="J39">
            <v>630</v>
          </cell>
          <cell r="K39">
            <v>630</v>
          </cell>
          <cell r="L39">
            <v>630</v>
          </cell>
          <cell r="M39">
            <v>630</v>
          </cell>
          <cell r="N39">
            <v>630</v>
          </cell>
          <cell r="O39">
            <v>630</v>
          </cell>
          <cell r="P39">
            <v>630</v>
          </cell>
          <cell r="Q39">
            <v>630</v>
          </cell>
          <cell r="R39">
            <v>630</v>
          </cell>
          <cell r="S39">
            <v>630</v>
          </cell>
          <cell r="T39">
            <v>630</v>
          </cell>
          <cell r="U39">
            <v>630</v>
          </cell>
        </row>
        <row r="40">
          <cell r="A40" t="str">
            <v>Market Price</v>
          </cell>
          <cell r="B40">
            <v>154.85</v>
          </cell>
          <cell r="C40">
            <v>154.85</v>
          </cell>
          <cell r="D40">
            <v>154.85</v>
          </cell>
          <cell r="E40">
            <v>154.85</v>
          </cell>
          <cell r="F40">
            <v>154.85</v>
          </cell>
          <cell r="G40">
            <v>154.85</v>
          </cell>
          <cell r="H40">
            <v>154.85</v>
          </cell>
          <cell r="I40">
            <v>154.85</v>
          </cell>
          <cell r="J40">
            <v>154.85</v>
          </cell>
          <cell r="K40">
            <v>154.85</v>
          </cell>
          <cell r="L40">
            <v>154.85</v>
          </cell>
          <cell r="M40">
            <v>154.85</v>
          </cell>
          <cell r="N40">
            <v>154.85</v>
          </cell>
          <cell r="O40">
            <v>154.85</v>
          </cell>
          <cell r="P40">
            <v>154.85</v>
          </cell>
          <cell r="Q40">
            <v>154.85</v>
          </cell>
          <cell r="R40">
            <v>154.85</v>
          </cell>
          <cell r="S40">
            <v>154.85</v>
          </cell>
          <cell r="T40">
            <v>154.85</v>
          </cell>
          <cell r="U40">
            <v>154.85</v>
          </cell>
        </row>
        <row r="41">
          <cell r="A41" t="str">
            <v>Market Cap</v>
          </cell>
          <cell r="B41">
            <v>92910</v>
          </cell>
          <cell r="C41">
            <v>92910</v>
          </cell>
          <cell r="D41">
            <v>97555.5</v>
          </cell>
          <cell r="E41">
            <v>97555.5</v>
          </cell>
          <cell r="F41">
            <v>97555.5</v>
          </cell>
          <cell r="G41">
            <v>97555.5</v>
          </cell>
          <cell r="H41">
            <v>97555.5</v>
          </cell>
          <cell r="I41">
            <v>97555.5</v>
          </cell>
          <cell r="J41">
            <v>97555.5</v>
          </cell>
          <cell r="K41">
            <v>97555.5</v>
          </cell>
          <cell r="L41">
            <v>97555.5</v>
          </cell>
          <cell r="M41">
            <v>97555.5</v>
          </cell>
          <cell r="N41">
            <v>97555.5</v>
          </cell>
          <cell r="O41">
            <v>97555.5</v>
          </cell>
          <cell r="P41">
            <v>97555.5</v>
          </cell>
          <cell r="Q41">
            <v>97555.5</v>
          </cell>
          <cell r="R41">
            <v>97555.5</v>
          </cell>
          <cell r="S41">
            <v>97555.5</v>
          </cell>
          <cell r="T41">
            <v>97555.5</v>
          </cell>
          <cell r="U41">
            <v>97555.5</v>
          </cell>
        </row>
        <row r="42">
          <cell r="A42" t="str">
            <v>Enterprise Value (mn)</v>
          </cell>
          <cell r="B42">
            <v>159329.497122</v>
          </cell>
          <cell r="C42">
            <v>165228.86047010001</v>
          </cell>
          <cell r="D42">
            <v>149763.641168</v>
          </cell>
          <cell r="E42">
            <v>122192.589825</v>
          </cell>
          <cell r="F42">
            <v>110106.69</v>
          </cell>
          <cell r="G42">
            <v>101537.16</v>
          </cell>
          <cell r="H42">
            <v>99298.99</v>
          </cell>
          <cell r="I42">
            <v>79400.86</v>
          </cell>
          <cell r="J42">
            <v>72024.81</v>
          </cell>
          <cell r="K42">
            <v>72381.52</v>
          </cell>
          <cell r="L42">
            <v>73012.156719237915</v>
          </cell>
          <cell r="M42">
            <v>48531.899966530123</v>
          </cell>
          <cell r="N42">
            <v>46885.994254785757</v>
          </cell>
          <cell r="O42">
            <v>41026.439662039287</v>
          </cell>
          <cell r="P42">
            <v>34593.455424667183</v>
          </cell>
          <cell r="Q42">
            <v>28208.929662759328</v>
          </cell>
          <cell r="R42">
            <v>21024.728364676484</v>
          </cell>
          <cell r="S42">
            <v>12565.497208197499</v>
          </cell>
          <cell r="T42">
            <v>3145.4157355140778</v>
          </cell>
          <cell r="U42">
            <v>-7494.5080751595669</v>
          </cell>
        </row>
        <row r="43">
          <cell r="A43" t="str">
            <v xml:space="preserve">EV (ex-DoT debt0 </v>
          </cell>
          <cell r="B43">
            <v>106006.497122</v>
          </cell>
          <cell r="C43">
            <v>98945.8604701</v>
          </cell>
          <cell r="D43">
            <v>87040.821167999995</v>
          </cell>
          <cell r="E43">
            <v>84232.889824999991</v>
          </cell>
          <cell r="F43">
            <v>79396.69</v>
          </cell>
          <cell r="G43">
            <v>75347.16</v>
          </cell>
          <cell r="H43">
            <v>73108.990000000005</v>
          </cell>
          <cell r="I43">
            <v>79400.86</v>
          </cell>
          <cell r="J43">
            <v>72024.81</v>
          </cell>
          <cell r="K43">
            <v>68406.87</v>
          </cell>
          <cell r="L43">
            <v>69037.506719237907</v>
          </cell>
          <cell r="M43">
            <v>44557.249966530122</v>
          </cell>
          <cell r="N43">
            <v>42911.344254785756</v>
          </cell>
          <cell r="O43">
            <v>37051.789662039286</v>
          </cell>
          <cell r="P43">
            <v>30618.805424667182</v>
          </cell>
          <cell r="Q43">
            <v>24234.279662759334</v>
          </cell>
          <cell r="R43">
            <v>17050.07836467649</v>
          </cell>
          <cell r="S43">
            <v>8590.8472081975051</v>
          </cell>
          <cell r="T43">
            <v>-829.23426448591636</v>
          </cell>
          <cell r="U43">
            <v>-11469.158075159561</v>
          </cell>
        </row>
        <row r="46">
          <cell r="A46" t="str">
            <v>ROIC Calculations</v>
          </cell>
          <cell r="B46" t="str">
            <v>F1996</v>
          </cell>
          <cell r="C46" t="str">
            <v>F1997</v>
          </cell>
          <cell r="D46" t="str">
            <v>F1998</v>
          </cell>
          <cell r="E46" t="str">
            <v>F1999</v>
          </cell>
          <cell r="F46" t="str">
            <v>F2000</v>
          </cell>
          <cell r="G46" t="str">
            <v>F2001</v>
          </cell>
          <cell r="H46" t="str">
            <v>F2002</v>
          </cell>
          <cell r="I46" t="str">
            <v>F2003</v>
          </cell>
          <cell r="J46" t="str">
            <v>F2004</v>
          </cell>
          <cell r="K46" t="str">
            <v>F2005E</v>
          </cell>
          <cell r="L46" t="str">
            <v>F2006E</v>
          </cell>
          <cell r="M46" t="str">
            <v>F2007E</v>
          </cell>
          <cell r="N46" t="str">
            <v>F2008E</v>
          </cell>
          <cell r="O46" t="str">
            <v>F2009E</v>
          </cell>
          <cell r="P46" t="str">
            <v>F2010E</v>
          </cell>
          <cell r="Q46" t="str">
            <v>F2011E</v>
          </cell>
          <cell r="R46" t="str">
            <v>F2012E</v>
          </cell>
          <cell r="S46" t="str">
            <v>F2013E</v>
          </cell>
          <cell r="T46" t="str">
            <v>F2014E</v>
          </cell>
          <cell r="U46" t="str">
            <v>F2015E</v>
          </cell>
        </row>
        <row r="47">
          <cell r="A47" t="str">
            <v>Invested Capital</v>
          </cell>
          <cell r="B47">
            <v>93788.101463999978</v>
          </cell>
          <cell r="C47">
            <v>107695.31671899999</v>
          </cell>
          <cell r="D47">
            <v>103826.03516899998</v>
          </cell>
          <cell r="E47">
            <v>87129.648810999977</v>
          </cell>
          <cell r="F47">
            <v>83754.933735999977</v>
          </cell>
          <cell r="G47">
            <v>87463.153735999993</v>
          </cell>
          <cell r="H47">
            <v>95434.383735999989</v>
          </cell>
          <cell r="I47">
            <v>81689.893735999955</v>
          </cell>
          <cell r="J47">
            <v>83387.653735999993</v>
          </cell>
          <cell r="K47">
            <v>90004.343735999952</v>
          </cell>
          <cell r="L47">
            <v>93498.124955237858</v>
          </cell>
          <cell r="M47">
            <v>75864.99284056059</v>
          </cell>
          <cell r="N47">
            <v>81182.300491026166</v>
          </cell>
          <cell r="O47">
            <v>82349.340970768622</v>
          </cell>
          <cell r="P47">
            <v>82956.332589756174</v>
          </cell>
          <cell r="Q47">
            <v>84371.462222078713</v>
          </cell>
          <cell r="R47">
            <v>85660.905636299489</v>
          </cell>
          <cell r="S47">
            <v>86454.78517340633</v>
          </cell>
          <cell r="T47">
            <v>86930.672673232213</v>
          </cell>
          <cell r="U47">
            <v>86884.656841191143</v>
          </cell>
        </row>
        <row r="48">
          <cell r="A48" t="str">
            <v>NOPAT</v>
          </cell>
          <cell r="B48">
            <v>7540.015614644798</v>
          </cell>
          <cell r="C48">
            <v>9123.0581715782318</v>
          </cell>
          <cell r="D48">
            <v>11211.573817564171</v>
          </cell>
          <cell r="E48">
            <v>11833.28246828732</v>
          </cell>
          <cell r="F48">
            <v>11827.265009433306</v>
          </cell>
          <cell r="G48">
            <v>12768.476183278883</v>
          </cell>
          <cell r="H48">
            <v>12272.654840136378</v>
          </cell>
          <cell r="I48">
            <v>8026.001569502243</v>
          </cell>
          <cell r="J48">
            <v>10319.21105196192</v>
          </cell>
          <cell r="K48">
            <v>5927.4216227470124</v>
          </cell>
          <cell r="L48">
            <v>4143.091151003362</v>
          </cell>
          <cell r="M48">
            <v>5409.4081132830643</v>
          </cell>
          <cell r="N48">
            <v>6233.136835592878</v>
          </cell>
          <cell r="O48">
            <v>6639.2719404650379</v>
          </cell>
          <cell r="P48">
            <v>6890.1173675328555</v>
          </cell>
          <cell r="Q48">
            <v>6995.8393624454138</v>
          </cell>
          <cell r="R48">
            <v>6908.1350939930708</v>
          </cell>
          <cell r="S48">
            <v>6990.9482351997767</v>
          </cell>
          <cell r="T48">
            <v>6844.0608851491488</v>
          </cell>
          <cell r="U48">
            <v>9680.217107933544</v>
          </cell>
        </row>
        <row r="49">
          <cell r="A49" t="str">
            <v>ROIC</v>
          </cell>
          <cell r="C49">
            <v>9.055889813515168E-2</v>
          </cell>
          <cell r="D49">
            <v>0.10600890848599219</v>
          </cell>
          <cell r="E49">
            <v>0.12393747304769097</v>
          </cell>
          <cell r="F49">
            <v>0.13842401500650703</v>
          </cell>
          <cell r="G49">
            <v>0.14914868366774586</v>
          </cell>
          <cell r="H49">
            <v>0.13420251589789953</v>
          </cell>
          <cell r="I49">
            <v>9.0625652045592739E-2</v>
          </cell>
          <cell r="J49">
            <v>0.12502258738381414</v>
          </cell>
          <cell r="K49">
            <v>6.8370186734877381E-2</v>
          </cell>
          <cell r="L49">
            <v>4.5155699327125112E-2</v>
          </cell>
          <cell r="M49">
            <v>6.3879411098291206E-2</v>
          </cell>
          <cell r="N49">
            <v>7.9379105533927893E-2</v>
          </cell>
          <cell r="O49">
            <v>8.119862163820013E-2</v>
          </cell>
          <cell r="P49">
            <v>8.3362140199139831E-2</v>
          </cell>
          <cell r="Q49">
            <v>8.3618377572147476E-2</v>
          </cell>
          <cell r="R49">
            <v>8.1256706367189221E-2</v>
          </cell>
          <cell r="S49">
            <v>8.123545508618496E-2</v>
          </cell>
          <cell r="T49">
            <v>7.8946192721684891E-2</v>
          </cell>
          <cell r="U49">
            <v>0.11138507903735005</v>
          </cell>
        </row>
        <row r="51">
          <cell r="A51" t="str">
            <v>Invested Capital</v>
          </cell>
          <cell r="B51">
            <v>93788.101463999978</v>
          </cell>
          <cell r="C51">
            <v>107695.31671899999</v>
          </cell>
          <cell r="D51">
            <v>103826.03516899998</v>
          </cell>
          <cell r="E51">
            <v>87129.648810999977</v>
          </cell>
          <cell r="F51">
            <v>83754.933735999977</v>
          </cell>
          <cell r="G51">
            <v>87463.153735999993</v>
          </cell>
          <cell r="H51">
            <v>95434.383735999989</v>
          </cell>
          <cell r="I51">
            <v>81689.893735999955</v>
          </cell>
          <cell r="J51">
            <v>83387.653735999993</v>
          </cell>
          <cell r="K51">
            <v>90004.343735999952</v>
          </cell>
          <cell r="L51">
            <v>93498.124955237858</v>
          </cell>
          <cell r="M51">
            <v>75864.99284056059</v>
          </cell>
          <cell r="N51">
            <v>81182.300491026166</v>
          </cell>
          <cell r="O51">
            <v>82349.340970768622</v>
          </cell>
          <cell r="P51">
            <v>82956.332589756174</v>
          </cell>
          <cell r="Q51">
            <v>84371.462222078713</v>
          </cell>
          <cell r="R51">
            <v>85660.905636299489</v>
          </cell>
          <cell r="S51">
            <v>86454.78517340633</v>
          </cell>
          <cell r="T51">
            <v>86930.672673232213</v>
          </cell>
          <cell r="U51">
            <v>86884.656841191143</v>
          </cell>
        </row>
        <row r="52">
          <cell r="A52" t="str">
            <v>NOPAT</v>
          </cell>
          <cell r="B52">
            <v>7540.015614644798</v>
          </cell>
          <cell r="C52">
            <v>9123.0581715782318</v>
          </cell>
          <cell r="D52">
            <v>11211.573817564171</v>
          </cell>
          <cell r="E52">
            <v>11833.28246828732</v>
          </cell>
          <cell r="F52">
            <v>11827.265009433306</v>
          </cell>
          <cell r="G52">
            <v>12768.476183278883</v>
          </cell>
          <cell r="H52">
            <v>12272.654840136378</v>
          </cell>
          <cell r="I52">
            <v>8026.001569502243</v>
          </cell>
          <cell r="J52">
            <v>10319.21105196192</v>
          </cell>
          <cell r="K52">
            <v>5927.4216227470124</v>
          </cell>
          <cell r="L52">
            <v>4143.091151003362</v>
          </cell>
          <cell r="M52">
            <v>5409.4081132830643</v>
          </cell>
          <cell r="N52">
            <v>6233.136835592878</v>
          </cell>
          <cell r="O52">
            <v>6639.2719404650379</v>
          </cell>
          <cell r="P52">
            <v>6890.1173675328555</v>
          </cell>
          <cell r="Q52">
            <v>6995.8393624454138</v>
          </cell>
          <cell r="R52">
            <v>6908.1350939930708</v>
          </cell>
          <cell r="S52">
            <v>6990.9482351997767</v>
          </cell>
          <cell r="T52">
            <v>6844.0608851491488</v>
          </cell>
          <cell r="U52">
            <v>9680.217107933544</v>
          </cell>
        </row>
        <row r="53">
          <cell r="A53" t="str">
            <v>ROIC</v>
          </cell>
          <cell r="C53">
            <v>9.055889813515168E-2</v>
          </cell>
          <cell r="D53">
            <v>0.10600890848599219</v>
          </cell>
          <cell r="E53">
            <v>0.12393747304769097</v>
          </cell>
          <cell r="F53">
            <v>0.13842401500650703</v>
          </cell>
          <cell r="G53">
            <v>0.14914868366774586</v>
          </cell>
          <cell r="H53">
            <v>0.13420251589789953</v>
          </cell>
          <cell r="I53">
            <v>9.0625652045592739E-2</v>
          </cell>
          <cell r="J53">
            <v>0.12502258738381414</v>
          </cell>
          <cell r="K53">
            <v>6.8370186734877381E-2</v>
          </cell>
          <cell r="L53">
            <v>4.5155699327125112E-2</v>
          </cell>
          <cell r="M53">
            <v>6.3879411098291206E-2</v>
          </cell>
          <cell r="N53">
            <v>7.9379105533927893E-2</v>
          </cell>
          <cell r="O53">
            <v>8.119862163820013E-2</v>
          </cell>
          <cell r="P53">
            <v>8.3362140199139831E-2</v>
          </cell>
          <cell r="Q53">
            <v>8.3618377572147476E-2</v>
          </cell>
          <cell r="R53">
            <v>8.1256706367189221E-2</v>
          </cell>
          <cell r="S53">
            <v>8.123545508618496E-2</v>
          </cell>
          <cell r="T53">
            <v>7.8946192721684891E-2</v>
          </cell>
          <cell r="U53">
            <v>0.11138507903735005</v>
          </cell>
        </row>
        <row r="58">
          <cell r="A58" t="str">
            <v>Revenue Model</v>
          </cell>
        </row>
        <row r="59">
          <cell r="A59" t="str">
            <v>(Rs Millions)</v>
          </cell>
          <cell r="B59" t="str">
            <v>F1996</v>
          </cell>
          <cell r="C59" t="str">
            <v>F1997</v>
          </cell>
          <cell r="D59" t="str">
            <v>F1998</v>
          </cell>
          <cell r="E59" t="str">
            <v>F1999</v>
          </cell>
          <cell r="F59" t="str">
            <v>F2000</v>
          </cell>
          <cell r="G59" t="str">
            <v>F2001</v>
          </cell>
          <cell r="H59" t="str">
            <v>F2002</v>
          </cell>
          <cell r="I59" t="str">
            <v>F2003</v>
          </cell>
          <cell r="J59" t="str">
            <v>F2004</v>
          </cell>
          <cell r="K59" t="str">
            <v>F2005E</v>
          </cell>
          <cell r="L59" t="str">
            <v>F2006E</v>
          </cell>
          <cell r="M59" t="str">
            <v>F2007E</v>
          </cell>
          <cell r="N59" t="str">
            <v>F2008E</v>
          </cell>
          <cell r="O59" t="str">
            <v>F2009E</v>
          </cell>
          <cell r="P59" t="str">
            <v>F2010E</v>
          </cell>
          <cell r="Q59" t="str">
            <v>F2011E</v>
          </cell>
          <cell r="R59" t="str">
            <v>F2012E</v>
          </cell>
          <cell r="S59" t="str">
            <v>F2013E</v>
          </cell>
          <cell r="T59" t="str">
            <v>F2014E</v>
          </cell>
          <cell r="U59" t="str">
            <v>F2015E</v>
          </cell>
        </row>
        <row r="60">
          <cell r="A60" t="str">
            <v>Fixed Line Revenues</v>
          </cell>
        </row>
        <row r="61">
          <cell r="A61" t="str">
            <v>Telephone Revenues</v>
          </cell>
          <cell r="B61">
            <v>8972.2119999999995</v>
          </cell>
          <cell r="C61">
            <v>10710.243000000002</v>
          </cell>
          <cell r="D61">
            <v>13913.288999999997</v>
          </cell>
          <cell r="E61">
            <v>15774.829671579359</v>
          </cell>
          <cell r="F61">
            <v>49059.53</v>
          </cell>
          <cell r="G61">
            <v>53488.98</v>
          </cell>
          <cell r="H61">
            <v>53915.24</v>
          </cell>
          <cell r="I61">
            <v>47815.590000000004</v>
          </cell>
          <cell r="J61">
            <v>46204.43</v>
          </cell>
          <cell r="K61">
            <v>41992.93</v>
          </cell>
          <cell r="L61">
            <v>38485</v>
          </cell>
          <cell r="M61">
            <v>39649.906038518464</v>
          </cell>
          <cell r="N61">
            <v>39721.436508339582</v>
          </cell>
          <cell r="O61">
            <v>39819.915534439577</v>
          </cell>
          <cell r="P61">
            <v>39834.287532515053</v>
          </cell>
          <cell r="Q61">
            <v>40089.399875029812</v>
          </cell>
          <cell r="R61">
            <v>40135.921153624833</v>
          </cell>
          <cell r="S61">
            <v>40435.222967134177</v>
          </cell>
          <cell r="T61">
            <v>40515.44210328917</v>
          </cell>
          <cell r="U61">
            <v>40857.309482521196</v>
          </cell>
        </row>
        <row r="62">
          <cell r="A62" t="str">
            <v>Call Revenue</v>
          </cell>
          <cell r="B62">
            <v>0</v>
          </cell>
          <cell r="C62">
            <v>0</v>
          </cell>
          <cell r="D62">
            <v>0</v>
          </cell>
          <cell r="E62">
            <v>0</v>
          </cell>
          <cell r="F62">
            <v>26505.375157951428</v>
          </cell>
          <cell r="G62">
            <v>28142.419188053158</v>
          </cell>
          <cell r="H62">
            <v>30113.010000000002</v>
          </cell>
          <cell r="I62">
            <v>24432.79</v>
          </cell>
          <cell r="J62">
            <v>22666.18</v>
          </cell>
          <cell r="K62">
            <v>19395.97</v>
          </cell>
          <cell r="L62">
            <v>17052</v>
          </cell>
          <cell r="M62">
            <v>16204.296428146547</v>
          </cell>
          <cell r="N62">
            <v>15785.729068371915</v>
          </cell>
          <cell r="O62">
            <v>15381.317180034921</v>
          </cell>
          <cell r="P62">
            <v>14988.612921866801</v>
          </cell>
          <cell r="Q62">
            <v>14606.322476968464</v>
          </cell>
          <cell r="R62">
            <v>14234.175330740087</v>
          </cell>
          <cell r="S62">
            <v>13872.803068283547</v>
          </cell>
          <cell r="T62">
            <v>13521.875520881635</v>
          </cell>
          <cell r="U62">
            <v>13180.01842212018</v>
          </cell>
        </row>
        <row r="63">
          <cell r="A63" t="str">
            <v>Local</v>
          </cell>
          <cell r="G63">
            <v>12664.08863462392</v>
          </cell>
          <cell r="H63">
            <v>15658.7652</v>
          </cell>
          <cell r="I63">
            <v>15148.329800000001</v>
          </cell>
          <cell r="J63">
            <v>14733.017</v>
          </cell>
          <cell r="K63">
            <v>11557.211639699999</v>
          </cell>
          <cell r="L63">
            <v>9213.2416396999979</v>
          </cell>
          <cell r="M63">
            <v>9630.7476221690085</v>
          </cell>
          <cell r="N63">
            <v>9851.0782021133928</v>
          </cell>
          <cell r="O63">
            <v>10078.640373373952</v>
          </cell>
          <cell r="P63">
            <v>10312.386087964491</v>
          </cell>
          <cell r="Q63">
            <v>10551.832872571447</v>
          </cell>
          <cell r="R63">
            <v>10797.137429764809</v>
          </cell>
          <cell r="S63">
            <v>10523.023482845661</v>
          </cell>
          <cell r="T63">
            <v>10256.832230514663</v>
          </cell>
          <cell r="U63">
            <v>9997.5212419323543</v>
          </cell>
        </row>
        <row r="64">
          <cell r="A64" t="str">
            <v>National Long-distance</v>
          </cell>
          <cell r="G64">
            <v>12101.240250862857</v>
          </cell>
          <cell r="H64">
            <v>11442.943799999999</v>
          </cell>
          <cell r="I64">
            <v>7329.8370000000004</v>
          </cell>
          <cell r="J64">
            <v>6346.5304000000006</v>
          </cell>
          <cell r="K64">
            <v>6257.6789744000007</v>
          </cell>
          <cell r="L64">
            <v>6257.6789744000007</v>
          </cell>
          <cell r="M64">
            <v>5351.932708657162</v>
          </cell>
          <cell r="N64">
            <v>4692.3199717480611</v>
          </cell>
          <cell r="O64">
            <v>4114.8974073201862</v>
          </cell>
          <cell r="P64">
            <v>3608.8550386578768</v>
          </cell>
          <cell r="Q64">
            <v>3165.1287992987836</v>
          </cell>
          <cell r="R64">
            <v>2776.0374666635475</v>
          </cell>
          <cell r="S64">
            <v>2705.5603988543671</v>
          </cell>
          <cell r="T64">
            <v>2637.1203243831615</v>
          </cell>
          <cell r="U64">
            <v>2570.4492252603886</v>
          </cell>
        </row>
        <row r="65">
          <cell r="A65" t="str">
            <v>Intl. Long-distsnce</v>
          </cell>
          <cell r="G65">
            <v>3377.0903025663774</v>
          </cell>
          <cell r="H65">
            <v>3011.3010000000013</v>
          </cell>
          <cell r="I65">
            <v>1954.6232</v>
          </cell>
          <cell r="J65">
            <v>1586.6326000000008</v>
          </cell>
          <cell r="K65">
            <v>1581.0793859000007</v>
          </cell>
          <cell r="L65">
            <v>1581.0793859000007</v>
          </cell>
          <cell r="M65">
            <v>1221.6160973203769</v>
          </cell>
          <cell r="N65">
            <v>1242.3308945104618</v>
          </cell>
          <cell r="O65">
            <v>1187.7793993407831</v>
          </cell>
          <cell r="P65">
            <v>1067.3717952444331</v>
          </cell>
          <cell r="Q65">
            <v>889.36080509823296</v>
          </cell>
          <cell r="R65">
            <v>661.00043431173071</v>
          </cell>
          <cell r="S65">
            <v>644.21918658351751</v>
          </cell>
          <cell r="T65">
            <v>627.92296598381108</v>
          </cell>
          <cell r="U65">
            <v>612.04795492743688</v>
          </cell>
        </row>
        <row r="66">
          <cell r="A66" t="str">
            <v>Rental Revenue</v>
          </cell>
          <cell r="B66">
            <v>5549</v>
          </cell>
          <cell r="C66">
            <v>6481</v>
          </cell>
          <cell r="D66">
            <v>7328</v>
          </cell>
          <cell r="E66">
            <v>8060.6478207379369</v>
          </cell>
          <cell r="F66">
            <v>11297.734979999999</v>
          </cell>
          <cell r="G66">
            <v>12399.618347999998</v>
          </cell>
          <cell r="H66">
            <v>13138.67</v>
          </cell>
          <cell r="I66">
            <v>12783.04</v>
          </cell>
          <cell r="J66">
            <v>12172.97</v>
          </cell>
          <cell r="K66">
            <v>11307.83</v>
          </cell>
          <cell r="L66">
            <v>11538</v>
          </cell>
          <cell r="M66">
            <v>11265.158648548328</v>
          </cell>
          <cell r="N66">
            <v>11163.727363739999</v>
          </cell>
          <cell r="O66">
            <v>11129.916935470555</v>
          </cell>
          <cell r="P66">
            <v>11129.916935470555</v>
          </cell>
          <cell r="Q66">
            <v>20601.596701619041</v>
          </cell>
          <cell r="R66">
            <v>0</v>
          </cell>
          <cell r="S66">
            <v>0</v>
          </cell>
          <cell r="T66">
            <v>0</v>
          </cell>
          <cell r="U66">
            <v>0</v>
          </cell>
        </row>
        <row r="67">
          <cell r="A67" t="str">
            <v>Public Phone Revenue</v>
          </cell>
          <cell r="B67">
            <v>3063</v>
          </cell>
          <cell r="C67">
            <v>3865</v>
          </cell>
          <cell r="D67">
            <v>6270</v>
          </cell>
          <cell r="E67">
            <v>8398.7163430205255</v>
          </cell>
          <cell r="F67">
            <v>10346.052424718109</v>
          </cell>
          <cell r="G67">
            <v>12683.148506731044</v>
          </cell>
          <cell r="H67">
            <v>10373.1</v>
          </cell>
          <cell r="I67">
            <v>10270.58</v>
          </cell>
          <cell r="J67">
            <v>10572.69</v>
          </cell>
          <cell r="K67">
            <v>10197.530000000001</v>
          </cell>
          <cell r="L67">
            <v>8877</v>
          </cell>
          <cell r="M67">
            <v>8459.6129415089017</v>
          </cell>
          <cell r="N67">
            <v>8248.1226179711794</v>
          </cell>
          <cell r="O67">
            <v>8041.9195525218993</v>
          </cell>
          <cell r="P67">
            <v>7840.8715637088517</v>
          </cell>
          <cell r="Q67">
            <v>34859.041523458589</v>
          </cell>
          <cell r="R67">
            <v>0</v>
          </cell>
          <cell r="S67">
            <v>0</v>
          </cell>
          <cell r="T67">
            <v>0</v>
          </cell>
          <cell r="U67">
            <v>0</v>
          </cell>
        </row>
        <row r="68">
          <cell r="A68" t="str">
            <v>Connection Fees</v>
          </cell>
          <cell r="B68">
            <v>237</v>
          </cell>
          <cell r="C68">
            <v>282</v>
          </cell>
          <cell r="D68">
            <v>314</v>
          </cell>
          <cell r="E68">
            <v>196.69195230432018</v>
          </cell>
          <cell r="F68">
            <v>312.59749823232033</v>
          </cell>
          <cell r="G68">
            <v>263.79395721580914</v>
          </cell>
          <cell r="H68">
            <v>290.45999999999998</v>
          </cell>
          <cell r="I68">
            <v>329.18</v>
          </cell>
          <cell r="J68">
            <v>792.59</v>
          </cell>
          <cell r="K68">
            <v>1091.5999999999999</v>
          </cell>
          <cell r="L68">
            <v>1018</v>
          </cell>
          <cell r="M68">
            <v>0</v>
          </cell>
          <cell r="N68">
            <v>0</v>
          </cell>
          <cell r="O68">
            <v>0</v>
          </cell>
          <cell r="P68">
            <v>0</v>
          </cell>
          <cell r="Q68">
            <v>465.83271813111685</v>
          </cell>
          <cell r="R68">
            <v>0</v>
          </cell>
          <cell r="S68">
            <v>0</v>
          </cell>
          <cell r="T68">
            <v>0</v>
          </cell>
          <cell r="U68">
            <v>0</v>
          </cell>
        </row>
        <row r="69">
          <cell r="A69" t="str">
            <v>Miscellaneous</v>
          </cell>
          <cell r="B69">
            <v>123.21199999999953</v>
          </cell>
          <cell r="C69">
            <v>82.243000000002212</v>
          </cell>
          <cell r="D69">
            <v>1.2889999999970314</v>
          </cell>
          <cell r="E69">
            <v>-881.22644448342544</v>
          </cell>
          <cell r="F69">
            <v>597.76993909814337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row>
        <row r="70">
          <cell r="A70" t="str">
            <v>Telegraph &amp; Telex</v>
          </cell>
          <cell r="B70">
            <v>444.04599999999999</v>
          </cell>
          <cell r="C70">
            <v>360.93200000000002</v>
          </cell>
          <cell r="D70">
            <v>266.76799999999997</v>
          </cell>
          <cell r="E70">
            <v>216.3</v>
          </cell>
          <cell r="F70">
            <v>157.21</v>
          </cell>
          <cell r="G70">
            <v>131.31</v>
          </cell>
          <cell r="H70">
            <v>96.71</v>
          </cell>
          <cell r="I70">
            <v>75.599999999999994</v>
          </cell>
          <cell r="J70">
            <v>60.86</v>
          </cell>
          <cell r="K70">
            <v>13.47</v>
          </cell>
          <cell r="L70">
            <v>1</v>
          </cell>
          <cell r="M70">
            <v>0</v>
          </cell>
          <cell r="N70">
            <v>0</v>
          </cell>
          <cell r="O70">
            <v>0</v>
          </cell>
          <cell r="P70">
            <v>0</v>
          </cell>
          <cell r="Q70">
            <v>0</v>
          </cell>
          <cell r="R70">
            <v>0</v>
          </cell>
          <cell r="S70">
            <v>0</v>
          </cell>
          <cell r="T70">
            <v>0</v>
          </cell>
          <cell r="U70">
            <v>0</v>
          </cell>
        </row>
        <row r="71">
          <cell r="A71" t="str">
            <v>Leased Lines</v>
          </cell>
          <cell r="B71">
            <v>615.15499999999997</v>
          </cell>
          <cell r="C71">
            <v>820.08</v>
          </cell>
          <cell r="D71">
            <v>846.30899999999997</v>
          </cell>
          <cell r="E71">
            <v>870.52</v>
          </cell>
          <cell r="F71">
            <v>425.47</v>
          </cell>
          <cell r="G71">
            <v>482.72</v>
          </cell>
          <cell r="H71">
            <v>955.18</v>
          </cell>
          <cell r="I71">
            <v>1099.8800000000001</v>
          </cell>
          <cell r="J71">
            <v>1052.97</v>
          </cell>
          <cell r="K71">
            <v>1582.28</v>
          </cell>
          <cell r="L71">
            <v>653</v>
          </cell>
          <cell r="M71">
            <v>718.30000000000007</v>
          </cell>
          <cell r="N71">
            <v>790.13000000000011</v>
          </cell>
          <cell r="O71">
            <v>869.14300000000014</v>
          </cell>
          <cell r="P71">
            <v>956.05730000000028</v>
          </cell>
          <cell r="Q71">
            <v>1051.6630300000004</v>
          </cell>
          <cell r="R71">
            <v>1156.8293330000006</v>
          </cell>
          <cell r="S71">
            <v>1272.5122663000006</v>
          </cell>
          <cell r="T71">
            <v>1399.7634929300009</v>
          </cell>
          <cell r="U71">
            <v>1539.739842223001</v>
          </cell>
        </row>
        <row r="72">
          <cell r="A72" t="str">
            <v>Value Added &amp; Other Services</v>
          </cell>
          <cell r="G72">
            <v>329.72</v>
          </cell>
          <cell r="H72">
            <v>836.68000000000006</v>
          </cell>
          <cell r="I72">
            <v>1272.55</v>
          </cell>
          <cell r="J72">
            <v>998.29</v>
          </cell>
          <cell r="K72">
            <v>1131.7800000000002</v>
          </cell>
          <cell r="L72">
            <v>1698</v>
          </cell>
          <cell r="M72">
            <v>1784.6496406672059</v>
          </cell>
          <cell r="N72">
            <v>1810.6355131457426</v>
          </cell>
          <cell r="O72">
            <v>1842.7472531836859</v>
          </cell>
          <cell r="P72">
            <v>1910.4409050817897</v>
          </cell>
          <cell r="Q72">
            <v>2012.3362031534639</v>
          </cell>
          <cell r="R72">
            <v>2125.237018377748</v>
          </cell>
          <cell r="S72">
            <v>2250.65349098365</v>
          </cell>
          <cell r="T72">
            <v>2387.2757825903918</v>
          </cell>
          <cell r="U72">
            <v>2541.1662563669788</v>
          </cell>
        </row>
        <row r="73">
          <cell r="A73" t="str">
            <v>Interconnection</v>
          </cell>
          <cell r="B73">
            <v>175.76</v>
          </cell>
          <cell r="C73">
            <v>608.49099999999999</v>
          </cell>
          <cell r="D73">
            <v>1243.5239999999999</v>
          </cell>
          <cell r="E73">
            <v>1683.43</v>
          </cell>
          <cell r="F73">
            <v>2179.7600000000002</v>
          </cell>
          <cell r="G73">
            <v>3315.93</v>
          </cell>
          <cell r="H73">
            <v>4994.42</v>
          </cell>
          <cell r="I73">
            <v>5822.54</v>
          </cell>
          <cell r="J73">
            <v>13105.21</v>
          </cell>
          <cell r="K73">
            <v>7345.23</v>
          </cell>
          <cell r="L73">
            <v>4053</v>
          </cell>
          <cell r="M73">
            <v>3618.500007258207</v>
          </cell>
          <cell r="N73">
            <v>3845.671050321348</v>
          </cell>
          <cell r="O73">
            <v>3934.1278393878956</v>
          </cell>
          <cell r="P73">
            <v>4068.4921031904014</v>
          </cell>
          <cell r="Q73">
            <v>4193.6120536901462</v>
          </cell>
          <cell r="R73">
            <v>4311.2329863428322</v>
          </cell>
          <cell r="S73">
            <v>4409.9511444414102</v>
          </cell>
          <cell r="T73">
            <v>4484.2008861978002</v>
          </cell>
          <cell r="U73">
            <v>4531.0585357363425</v>
          </cell>
        </row>
        <row r="74">
          <cell r="A74" t="str">
            <v>GSM Operations</v>
          </cell>
          <cell r="B74">
            <v>0</v>
          </cell>
          <cell r="C74">
            <v>0</v>
          </cell>
          <cell r="D74">
            <v>0</v>
          </cell>
          <cell r="E74">
            <v>0</v>
          </cell>
          <cell r="F74">
            <v>0</v>
          </cell>
          <cell r="G74">
            <v>27.12</v>
          </cell>
          <cell r="H74">
            <v>530.81000000000006</v>
          </cell>
          <cell r="I74">
            <v>1633.2500000000002</v>
          </cell>
          <cell r="J74">
            <v>1851.94</v>
          </cell>
          <cell r="K74">
            <v>2840.02</v>
          </cell>
          <cell r="L74">
            <v>5610</v>
          </cell>
          <cell r="M74">
            <v>7338.3931851848847</v>
          </cell>
          <cell r="N74">
            <v>9129.7422441924518</v>
          </cell>
          <cell r="O74">
            <v>10063.65360198376</v>
          </cell>
          <cell r="P74">
            <v>10478.616305328615</v>
          </cell>
          <cell r="Q74">
            <v>10766.564255608244</v>
          </cell>
          <cell r="R74">
            <v>10998.809714544106</v>
          </cell>
          <cell r="S74">
            <v>11168.99535876862</v>
          </cell>
          <cell r="T74">
            <v>11251.523006892785</v>
          </cell>
          <cell r="U74">
            <v>11240.395579282256</v>
          </cell>
        </row>
        <row r="75">
          <cell r="A75" t="str">
            <v>CDMA</v>
          </cell>
          <cell r="B75">
            <v>0</v>
          </cell>
          <cell r="C75">
            <v>0</v>
          </cell>
          <cell r="D75">
            <v>0</v>
          </cell>
          <cell r="E75">
            <v>0</v>
          </cell>
          <cell r="F75">
            <v>0</v>
          </cell>
          <cell r="G75">
            <v>70.040000000000006</v>
          </cell>
          <cell r="H75">
            <v>107.83</v>
          </cell>
          <cell r="I75">
            <v>345.89</v>
          </cell>
          <cell r="J75">
            <v>422.62</v>
          </cell>
          <cell r="K75">
            <v>1018.14</v>
          </cell>
          <cell r="L75">
            <v>744.5</v>
          </cell>
          <cell r="M75">
            <v>838.44327281962205</v>
          </cell>
          <cell r="N75">
            <v>1171.6663170300037</v>
          </cell>
          <cell r="O75">
            <v>1299.2401925374447</v>
          </cell>
          <cell r="P75">
            <v>1404.7303567821918</v>
          </cell>
          <cell r="Q75">
            <v>1498.38591107562</v>
          </cell>
          <cell r="R75">
            <v>1585.8539342169638</v>
          </cell>
          <cell r="S75">
            <v>1640.7605818205425</v>
          </cell>
          <cell r="T75">
            <v>1662.1932248859198</v>
          </cell>
          <cell r="U75">
            <v>1657.0548085269718</v>
          </cell>
        </row>
        <row r="76">
          <cell r="A76" t="str">
            <v>Total Revenues</v>
          </cell>
          <cell r="B76">
            <v>10207.172999999999</v>
          </cell>
          <cell r="C76">
            <v>12499.746000000003</v>
          </cell>
          <cell r="D76">
            <v>16269.889999999996</v>
          </cell>
          <cell r="E76">
            <v>18545.079671579359</v>
          </cell>
          <cell r="F76">
            <v>51821.97</v>
          </cell>
          <cell r="G76">
            <v>57845.820000000007</v>
          </cell>
          <cell r="H76">
            <v>61436.869999999995</v>
          </cell>
          <cell r="I76">
            <v>58065.3</v>
          </cell>
          <cell r="J76">
            <v>63696.320000000007</v>
          </cell>
          <cell r="K76">
            <v>55923.85</v>
          </cell>
          <cell r="L76">
            <v>51244.5</v>
          </cell>
          <cell r="M76">
            <v>53948.192144448381</v>
          </cell>
          <cell r="N76">
            <v>56469.281633029124</v>
          </cell>
          <cell r="O76">
            <v>57828.827421532362</v>
          </cell>
          <cell r="P76">
            <v>58652.624502898056</v>
          </cell>
          <cell r="Q76">
            <v>59611.961328557285</v>
          </cell>
          <cell r="R76">
            <v>60313.884140106478</v>
          </cell>
          <cell r="S76">
            <v>61178.095809448394</v>
          </cell>
          <cell r="T76">
            <v>61700.398496786074</v>
          </cell>
          <cell r="U76">
            <v>62366.724504656755</v>
          </cell>
        </row>
        <row r="81">
          <cell r="A81" t="str">
            <v>Earnings Model</v>
          </cell>
        </row>
        <row r="82">
          <cell r="A82" t="str">
            <v>(Rs Millions)</v>
          </cell>
          <cell r="B82" t="str">
            <v>F1996</v>
          </cell>
          <cell r="C82" t="str">
            <v>F1997</v>
          </cell>
          <cell r="D82" t="str">
            <v>F1998</v>
          </cell>
          <cell r="E82" t="str">
            <v>F1999</v>
          </cell>
          <cell r="F82" t="str">
            <v>F2000</v>
          </cell>
          <cell r="G82" t="str">
            <v>F2001</v>
          </cell>
          <cell r="H82" t="str">
            <v>F2002</v>
          </cell>
          <cell r="I82" t="str">
            <v>F2003</v>
          </cell>
          <cell r="J82" t="str">
            <v>F2004</v>
          </cell>
          <cell r="K82" t="str">
            <v>F2005E</v>
          </cell>
          <cell r="L82" t="str">
            <v>F2006E</v>
          </cell>
          <cell r="M82" t="str">
            <v>F2007E</v>
          </cell>
          <cell r="N82" t="str">
            <v>F2008E</v>
          </cell>
          <cell r="O82" t="str">
            <v>F2009E</v>
          </cell>
          <cell r="P82" t="str">
            <v>F2010E</v>
          </cell>
          <cell r="Q82" t="str">
            <v>F2011E</v>
          </cell>
          <cell r="R82" t="str">
            <v>F2012E</v>
          </cell>
          <cell r="S82" t="str">
            <v>F2013E</v>
          </cell>
          <cell r="T82" t="str">
            <v>F2014E</v>
          </cell>
          <cell r="U82" t="str">
            <v>F2015E</v>
          </cell>
        </row>
        <row r="84">
          <cell r="A84" t="str">
            <v>Wireline Revenues</v>
          </cell>
          <cell r="B84">
            <v>34305.413</v>
          </cell>
          <cell r="C84">
            <v>39700.255000000005</v>
          </cell>
          <cell r="D84">
            <v>45302.365999999995</v>
          </cell>
          <cell r="E84">
            <v>48641.01</v>
          </cell>
          <cell r="F84">
            <v>49642.21</v>
          </cell>
          <cell r="G84">
            <v>54103.01</v>
          </cell>
          <cell r="H84">
            <v>54967.13</v>
          </cell>
          <cell r="I84">
            <v>48991.07</v>
          </cell>
          <cell r="J84">
            <v>47318.26</v>
          </cell>
          <cell r="K84">
            <v>43588.68</v>
          </cell>
          <cell r="L84">
            <v>39139</v>
          </cell>
          <cell r="M84">
            <v>40368.206038518467</v>
          </cell>
          <cell r="N84">
            <v>40511.56650833958</v>
          </cell>
          <cell r="O84">
            <v>40689.05853443958</v>
          </cell>
          <cell r="P84">
            <v>40790.344832515053</v>
          </cell>
          <cell r="Q84">
            <v>41141.062905029816</v>
          </cell>
          <cell r="R84">
            <v>41292.750486624835</v>
          </cell>
          <cell r="S84">
            <v>41707.735233434178</v>
          </cell>
          <cell r="T84">
            <v>41915.205596219173</v>
          </cell>
          <cell r="U84">
            <v>42397.049324744199</v>
          </cell>
        </row>
        <row r="85">
          <cell r="A85" t="str">
            <v>Telephones</v>
          </cell>
          <cell r="B85">
            <v>33246.212</v>
          </cell>
          <cell r="C85">
            <v>38519.243000000002</v>
          </cell>
          <cell r="D85">
            <v>44189.288999999997</v>
          </cell>
          <cell r="E85">
            <v>47554.19</v>
          </cell>
          <cell r="F85">
            <v>49059.53</v>
          </cell>
          <cell r="G85">
            <v>53488.98</v>
          </cell>
          <cell r="H85">
            <v>53915.24</v>
          </cell>
          <cell r="I85">
            <v>47815.590000000004</v>
          </cell>
          <cell r="J85">
            <v>46204.43</v>
          </cell>
          <cell r="K85">
            <v>41992.93</v>
          </cell>
          <cell r="L85">
            <v>38485</v>
          </cell>
          <cell r="M85">
            <v>39649.906038518464</v>
          </cell>
          <cell r="N85">
            <v>39721.436508339582</v>
          </cell>
          <cell r="O85">
            <v>39819.915534439577</v>
          </cell>
          <cell r="P85">
            <v>39834.287532515053</v>
          </cell>
          <cell r="Q85">
            <v>40089.399875029812</v>
          </cell>
          <cell r="R85">
            <v>40135.921153624833</v>
          </cell>
          <cell r="S85">
            <v>40435.222967134177</v>
          </cell>
          <cell r="T85">
            <v>40515.44210328917</v>
          </cell>
          <cell r="U85">
            <v>40857.309482521196</v>
          </cell>
        </row>
        <row r="86">
          <cell r="A86" t="str">
            <v>Telex</v>
          </cell>
          <cell r="B86">
            <v>444.04599999999999</v>
          </cell>
          <cell r="C86">
            <v>360.93200000000002</v>
          </cell>
          <cell r="D86">
            <v>266.76799999999997</v>
          </cell>
          <cell r="E86">
            <v>216.3</v>
          </cell>
          <cell r="F86">
            <v>157.21</v>
          </cell>
          <cell r="G86">
            <v>131.31</v>
          </cell>
          <cell r="H86">
            <v>96.71</v>
          </cell>
          <cell r="I86">
            <v>75.599999999999994</v>
          </cell>
          <cell r="J86">
            <v>60.86</v>
          </cell>
          <cell r="K86">
            <v>13.47</v>
          </cell>
          <cell r="L86">
            <v>1</v>
          </cell>
          <cell r="M86">
            <v>0</v>
          </cell>
          <cell r="N86">
            <v>0</v>
          </cell>
          <cell r="O86">
            <v>0</v>
          </cell>
          <cell r="P86">
            <v>0</v>
          </cell>
          <cell r="Q86">
            <v>0</v>
          </cell>
          <cell r="R86">
            <v>0</v>
          </cell>
          <cell r="S86">
            <v>0</v>
          </cell>
          <cell r="T86">
            <v>0</v>
          </cell>
          <cell r="U86">
            <v>0</v>
          </cell>
        </row>
        <row r="87">
          <cell r="A87" t="str">
            <v>Circuits</v>
          </cell>
          <cell r="B87">
            <v>615.15499999999997</v>
          </cell>
          <cell r="C87">
            <v>820.08</v>
          </cell>
          <cell r="D87">
            <v>846.30899999999997</v>
          </cell>
          <cell r="E87">
            <v>870.52</v>
          </cell>
          <cell r="F87">
            <v>425.47</v>
          </cell>
          <cell r="G87">
            <v>482.72</v>
          </cell>
          <cell r="H87">
            <v>955.18</v>
          </cell>
          <cell r="I87">
            <v>1099.8800000000001</v>
          </cell>
          <cell r="J87">
            <v>1052.97</v>
          </cell>
          <cell r="K87">
            <v>1582.28</v>
          </cell>
          <cell r="L87">
            <v>653</v>
          </cell>
          <cell r="M87">
            <v>718.30000000000007</v>
          </cell>
          <cell r="N87">
            <v>790.13000000000011</v>
          </cell>
          <cell r="O87">
            <v>869.14300000000014</v>
          </cell>
          <cell r="P87">
            <v>956.05730000000028</v>
          </cell>
          <cell r="Q87">
            <v>1051.6630300000004</v>
          </cell>
          <cell r="R87">
            <v>1156.8293330000006</v>
          </cell>
          <cell r="S87">
            <v>1272.5122663000006</v>
          </cell>
          <cell r="T87">
            <v>1399.7634929300009</v>
          </cell>
          <cell r="U87">
            <v>1539.739842223001</v>
          </cell>
        </row>
        <row r="88">
          <cell r="A88" t="str">
            <v>Value Added &amp; Other</v>
          </cell>
          <cell r="B88">
            <v>175.76</v>
          </cell>
          <cell r="C88">
            <v>608.49099999999999</v>
          </cell>
          <cell r="D88">
            <v>1243.5239999999999</v>
          </cell>
          <cell r="E88">
            <v>1683.43</v>
          </cell>
          <cell r="F88">
            <v>2179.7600000000002</v>
          </cell>
          <cell r="G88">
            <v>329.72</v>
          </cell>
          <cell r="H88">
            <v>836.68000000000006</v>
          </cell>
          <cell r="I88">
            <v>1272.55</v>
          </cell>
          <cell r="J88">
            <v>998.29</v>
          </cell>
          <cell r="K88">
            <v>1131.7800000000002</v>
          </cell>
          <cell r="L88">
            <v>1698</v>
          </cell>
          <cell r="M88">
            <v>1784.6496406672059</v>
          </cell>
          <cell r="N88">
            <v>1810.6355131457426</v>
          </cell>
          <cell r="O88">
            <v>1842.7472531836859</v>
          </cell>
          <cell r="P88">
            <v>1910.4409050817897</v>
          </cell>
          <cell r="Q88">
            <v>2012.3362031534639</v>
          </cell>
          <cell r="R88">
            <v>2125.237018377748</v>
          </cell>
          <cell r="S88">
            <v>2250.65349098365</v>
          </cell>
          <cell r="T88">
            <v>2387.2757825903918</v>
          </cell>
          <cell r="U88">
            <v>2541.1662563669788</v>
          </cell>
        </row>
        <row r="89">
          <cell r="A89" t="str">
            <v>Interconnection</v>
          </cell>
          <cell r="B89">
            <v>175.76</v>
          </cell>
          <cell r="C89">
            <v>608.49099999999999</v>
          </cell>
          <cell r="D89">
            <v>1243.5239999999999</v>
          </cell>
          <cell r="E89">
            <v>1683.43</v>
          </cell>
          <cell r="F89">
            <v>2179.7600000000002</v>
          </cell>
          <cell r="G89">
            <v>3315.93</v>
          </cell>
          <cell r="H89">
            <v>4994.42</v>
          </cell>
          <cell r="I89">
            <v>5822.54</v>
          </cell>
          <cell r="J89">
            <v>13105.21</v>
          </cell>
          <cell r="K89">
            <v>7345.23</v>
          </cell>
          <cell r="L89">
            <v>4053</v>
          </cell>
          <cell r="M89">
            <v>3618.500007258207</v>
          </cell>
          <cell r="N89">
            <v>3845.671050321348</v>
          </cell>
          <cell r="O89">
            <v>3934.1278393878956</v>
          </cell>
          <cell r="P89">
            <v>4068.4921031904014</v>
          </cell>
          <cell r="Q89">
            <v>4193.6120536901462</v>
          </cell>
          <cell r="R89">
            <v>4311.2329863428322</v>
          </cell>
          <cell r="S89">
            <v>4409.9511444414102</v>
          </cell>
          <cell r="T89">
            <v>4484.2008861978002</v>
          </cell>
          <cell r="U89">
            <v>4531.0585357363425</v>
          </cell>
        </row>
        <row r="90">
          <cell r="A90" t="str">
            <v>Cellular Operations</v>
          </cell>
          <cell r="B90">
            <v>0</v>
          </cell>
          <cell r="C90">
            <v>0</v>
          </cell>
          <cell r="D90">
            <v>0</v>
          </cell>
          <cell r="E90">
            <v>0</v>
          </cell>
          <cell r="F90">
            <v>0</v>
          </cell>
          <cell r="G90">
            <v>27.12</v>
          </cell>
          <cell r="H90">
            <v>530.81000000000006</v>
          </cell>
          <cell r="I90">
            <v>1633.2500000000002</v>
          </cell>
          <cell r="J90">
            <v>1851.94</v>
          </cell>
          <cell r="K90">
            <v>2840.02</v>
          </cell>
          <cell r="L90">
            <v>5610</v>
          </cell>
          <cell r="M90">
            <v>7338.3931851848847</v>
          </cell>
          <cell r="N90">
            <v>9129.7422441924518</v>
          </cell>
          <cell r="O90">
            <v>10063.65360198376</v>
          </cell>
          <cell r="P90">
            <v>10478.616305328615</v>
          </cell>
          <cell r="Q90">
            <v>10766.564255608244</v>
          </cell>
          <cell r="R90">
            <v>10998.809714544106</v>
          </cell>
          <cell r="S90">
            <v>11168.99535876862</v>
          </cell>
          <cell r="T90">
            <v>11251.523006892785</v>
          </cell>
          <cell r="U90">
            <v>11240.395579282256</v>
          </cell>
        </row>
        <row r="91">
          <cell r="A91" t="str">
            <v>WLL</v>
          </cell>
          <cell r="B91">
            <v>0</v>
          </cell>
          <cell r="C91">
            <v>0</v>
          </cell>
          <cell r="D91">
            <v>0</v>
          </cell>
          <cell r="E91">
            <v>0</v>
          </cell>
          <cell r="F91">
            <v>0</v>
          </cell>
          <cell r="G91">
            <v>70.040000000000006</v>
          </cell>
          <cell r="H91">
            <v>107.83</v>
          </cell>
          <cell r="I91">
            <v>345.89</v>
          </cell>
          <cell r="J91">
            <v>422.62</v>
          </cell>
          <cell r="K91">
            <v>1018.14</v>
          </cell>
          <cell r="L91">
            <v>744.5</v>
          </cell>
          <cell r="M91">
            <v>838.44327281962205</v>
          </cell>
          <cell r="N91">
            <v>1171.6663170300037</v>
          </cell>
          <cell r="O91">
            <v>1299.2401925374447</v>
          </cell>
          <cell r="P91">
            <v>1404.7303567821918</v>
          </cell>
          <cell r="Q91">
            <v>1498.38591107562</v>
          </cell>
          <cell r="R91">
            <v>1585.8539342169638</v>
          </cell>
          <cell r="S91">
            <v>1640.7605818205425</v>
          </cell>
          <cell r="T91">
            <v>1662.1932248859198</v>
          </cell>
          <cell r="U91">
            <v>1657.0548085269718</v>
          </cell>
        </row>
        <row r="92">
          <cell r="A92" t="str">
            <v>Operating Revenues</v>
          </cell>
          <cell r="B92">
            <v>34481.173000000003</v>
          </cell>
          <cell r="C92">
            <v>40308.746000000006</v>
          </cell>
          <cell r="D92">
            <v>46545.889999999992</v>
          </cell>
          <cell r="E92">
            <v>50324.44</v>
          </cell>
          <cell r="F92">
            <v>51821.97</v>
          </cell>
          <cell r="G92">
            <v>57845.82</v>
          </cell>
          <cell r="H92">
            <v>61436.869999999995</v>
          </cell>
          <cell r="I92">
            <v>58065.3</v>
          </cell>
          <cell r="J92">
            <v>63696.320000000007</v>
          </cell>
          <cell r="K92">
            <v>55923.85</v>
          </cell>
          <cell r="L92">
            <v>51244.5</v>
          </cell>
          <cell r="M92">
            <v>53948.192144448389</v>
          </cell>
          <cell r="N92">
            <v>56469.281633029124</v>
          </cell>
          <cell r="O92">
            <v>57828.827421532362</v>
          </cell>
          <cell r="P92">
            <v>58652.624502898048</v>
          </cell>
          <cell r="Q92">
            <v>59611.961328557285</v>
          </cell>
          <cell r="R92">
            <v>60313.884140106486</v>
          </cell>
          <cell r="S92">
            <v>61178.095809448394</v>
          </cell>
          <cell r="T92">
            <v>61700.398496786074</v>
          </cell>
          <cell r="U92">
            <v>62366.724504656755</v>
          </cell>
        </row>
        <row r="93">
          <cell r="A93" t="str">
            <v>Yr/Yr Growth</v>
          </cell>
          <cell r="C93">
            <v>0.16900738846674401</v>
          </cell>
          <cell r="D93">
            <v>0.15473426040095584</v>
          </cell>
          <cell r="E93">
            <v>8.1179025688412176E-2</v>
          </cell>
          <cell r="F93">
            <v>2.9757509472534638E-2</v>
          </cell>
          <cell r="G93">
            <v>0.11624123899573857</v>
          </cell>
          <cell r="H93">
            <v>6.207968008751541E-2</v>
          </cell>
          <cell r="I93">
            <v>-5.487860953853918E-2</v>
          </cell>
          <cell r="J93">
            <v>9.6977368583301971E-2</v>
          </cell>
          <cell r="K93">
            <v>-0.1220238469035575</v>
          </cell>
          <cell r="L93">
            <v>-8.367360258637413E-2</v>
          </cell>
          <cell r="M93">
            <v>5.2760630788638574E-2</v>
          </cell>
          <cell r="N93">
            <v>4.6731676973167602E-2</v>
          </cell>
          <cell r="O93">
            <v>2.4075847065637701E-2</v>
          </cell>
          <cell r="P93">
            <v>1.4245439828146189E-2</v>
          </cell>
          <cell r="Q93">
            <v>1.6356247206155805E-2</v>
          </cell>
          <cell r="R93">
            <v>1.1774865243578958E-2</v>
          </cell>
          <cell r="S93">
            <v>1.4328569311410577E-2</v>
          </cell>
          <cell r="T93">
            <v>8.537413275570005E-3</v>
          </cell>
          <cell r="U93">
            <v>1.0799379325003633E-2</v>
          </cell>
        </row>
        <row r="94">
          <cell r="B94">
            <v>23659.705999999998</v>
          </cell>
        </row>
        <row r="95">
          <cell r="A95" t="str">
            <v>Interconnect fees</v>
          </cell>
          <cell r="B95">
            <v>7613.8270000000002</v>
          </cell>
          <cell r="C95">
            <v>8822.5419999999995</v>
          </cell>
          <cell r="D95">
            <v>10239.977000000001</v>
          </cell>
          <cell r="E95">
            <v>10911.893</v>
          </cell>
          <cell r="F95">
            <v>10504.17</v>
          </cell>
          <cell r="G95">
            <v>11316.63</v>
          </cell>
          <cell r="H95">
            <v>9875.83</v>
          </cell>
          <cell r="I95">
            <v>8383.14</v>
          </cell>
          <cell r="J95">
            <v>12285.58</v>
          </cell>
          <cell r="K95">
            <v>9278.5400000000009</v>
          </cell>
          <cell r="L95">
            <v>8220.19</v>
          </cell>
          <cell r="M95">
            <v>7988.7097803900124</v>
          </cell>
          <cell r="N95">
            <v>8129.093337838056</v>
          </cell>
          <cell r="O95">
            <v>8343.8303221687274</v>
          </cell>
          <cell r="P95">
            <v>8427.7777916614541</v>
          </cell>
          <cell r="Q95">
            <v>8510.8011629598077</v>
          </cell>
          <cell r="R95">
            <v>8557.1013983922439</v>
          </cell>
          <cell r="S95">
            <v>8607.4594275701402</v>
          </cell>
          <cell r="T95">
            <v>8604.3868712812218</v>
          </cell>
          <cell r="U95">
            <v>8599.3930549525867</v>
          </cell>
        </row>
        <row r="96">
          <cell r="A96" t="str">
            <v>% of Oper. Revenues</v>
          </cell>
          <cell r="B96">
            <v>0.22081113655849235</v>
          </cell>
          <cell r="C96">
            <v>0.21887413714135384</v>
          </cell>
          <cell r="D96">
            <v>0.21999744768012819</v>
          </cell>
          <cell r="E96">
            <v>0.21683088773566084</v>
          </cell>
          <cell r="F96">
            <v>0.20269723439691698</v>
          </cell>
          <cell r="G96">
            <v>0.19563436044298446</v>
          </cell>
          <cell r="H96">
            <v>0.16074760970081972</v>
          </cell>
          <cell r="I96">
            <v>0.14437435094626222</v>
          </cell>
          <cell r="J96">
            <v>0.19287739071896146</v>
          </cell>
          <cell r="K96">
            <v>0.16591382746359559</v>
          </cell>
          <cell r="L96">
            <v>0.16041116607635941</v>
          </cell>
          <cell r="M96">
            <v>0.14808113975348663</v>
          </cell>
          <cell r="N96">
            <v>0.14395602534251675</v>
          </cell>
          <cell r="O96">
            <v>0.14428496468288982</v>
          </cell>
          <cell r="P96">
            <v>0.14368969612340254</v>
          </cell>
          <cell r="Q96">
            <v>0.14277002422469673</v>
          </cell>
          <cell r="R96">
            <v>0.14187614544131291</v>
          </cell>
          <cell r="S96">
            <v>0.14069511830475764</v>
          </cell>
          <cell r="T96">
            <v>0.13945431603216335</v>
          </cell>
          <cell r="U96">
            <v>0.13788431448424862</v>
          </cell>
        </row>
        <row r="97">
          <cell r="A97" t="str">
            <v>Licence Fees</v>
          </cell>
          <cell r="B97">
            <v>1986.8019999999999</v>
          </cell>
          <cell r="C97">
            <v>2347.0160000000001</v>
          </cell>
          <cell r="D97">
            <v>2711.0920000000001</v>
          </cell>
          <cell r="E97">
            <v>3066.0659999999998</v>
          </cell>
          <cell r="F97">
            <v>3288.55</v>
          </cell>
          <cell r="G97">
            <v>3615.3</v>
          </cell>
          <cell r="H97">
            <v>6644.88</v>
          </cell>
          <cell r="I97">
            <v>5818.16</v>
          </cell>
          <cell r="J97">
            <v>6429.58</v>
          </cell>
          <cell r="K97">
            <v>4971.63</v>
          </cell>
          <cell r="L97">
            <v>4471.17</v>
          </cell>
          <cell r="M97">
            <v>4709.694716539072</v>
          </cell>
          <cell r="N97">
            <v>4934.9278191910553</v>
          </cell>
          <cell r="O97">
            <v>5055.5535064443957</v>
          </cell>
          <cell r="P97">
            <v>5126.5896818755064</v>
          </cell>
          <cell r="Q97">
            <v>5208.0508936190708</v>
          </cell>
          <cell r="R97">
            <v>5266.253278230015</v>
          </cell>
          <cell r="S97">
            <v>5338.1484569505265</v>
          </cell>
          <cell r="T97">
            <v>5379.2152185787954</v>
          </cell>
          <cell r="U97">
            <v>5432.1364078999595</v>
          </cell>
        </row>
        <row r="98">
          <cell r="A98" t="str">
            <v>% of Oper. Revenues</v>
          </cell>
          <cell r="B98">
            <v>5.7619907536208229E-2</v>
          </cell>
          <cell r="C98">
            <v>5.8225974085127821E-2</v>
          </cell>
          <cell r="D98">
            <v>5.8245572272868786E-2</v>
          </cell>
          <cell r="E98">
            <v>6.0925983478405318E-2</v>
          </cell>
          <cell r="F98">
            <v>6.3458606455910491E-2</v>
          </cell>
          <cell r="G98">
            <v>6.2498897932469454E-2</v>
          </cell>
          <cell r="H98">
            <v>0.10815785374482784</v>
          </cell>
          <cell r="I98">
            <v>0.10020029174050595</v>
          </cell>
          <cell r="J98">
            <v>0.10094115327227694</v>
          </cell>
          <cell r="K98">
            <v>8.8899995261413511E-2</v>
          </cell>
          <cell r="L98">
            <v>8.7251705061030943E-2</v>
          </cell>
          <cell r="M98">
            <v>8.7300325169908946E-2</v>
          </cell>
          <cell r="N98">
            <v>8.7391368837683156E-2</v>
          </cell>
          <cell r="O98">
            <v>8.7422722055090094E-2</v>
          </cell>
          <cell r="P98">
            <v>8.7405972457757622E-2</v>
          </cell>
          <cell r="Q98">
            <v>8.7365870498948658E-2</v>
          </cell>
          <cell r="R98">
            <v>8.7314112717342851E-2</v>
          </cell>
          <cell r="S98">
            <v>8.7255877881150051E-2</v>
          </cell>
          <cell r="T98">
            <v>8.7182827820131412E-2</v>
          </cell>
          <cell r="U98">
            <v>8.7099915075616263E-2</v>
          </cell>
        </row>
        <row r="99">
          <cell r="A99" t="str">
            <v>Admn, Maintenance &amp; Other Expenses</v>
          </cell>
          <cell r="B99">
            <v>3979.9949999999999</v>
          </cell>
          <cell r="C99">
            <v>4767.8980000000001</v>
          </cell>
          <cell r="D99">
            <v>6232.9629999999997</v>
          </cell>
          <cell r="E99">
            <v>6251.9629999999997</v>
          </cell>
          <cell r="F99">
            <v>7700.72</v>
          </cell>
          <cell r="G99">
            <v>8893.5400000000009</v>
          </cell>
          <cell r="H99">
            <v>7153.28</v>
          </cell>
          <cell r="I99">
            <v>10166.209999999999</v>
          </cell>
          <cell r="J99">
            <v>9264.64</v>
          </cell>
          <cell r="K99">
            <v>9837.1</v>
          </cell>
          <cell r="L99">
            <v>9665.0499999999993</v>
          </cell>
          <cell r="M99">
            <v>10101.044546164507</v>
          </cell>
          <cell r="N99">
            <v>10113.132820311115</v>
          </cell>
          <cell r="O99">
            <v>9908.5481332904801</v>
          </cell>
          <cell r="P99">
            <v>9598.06430726896</v>
          </cell>
          <cell r="Q99">
            <v>9627.3066073881073</v>
          </cell>
          <cell r="R99">
            <v>9731.50970326276</v>
          </cell>
          <cell r="S99">
            <v>9732.2725512587513</v>
          </cell>
          <cell r="T99">
            <v>9801.9814275616409</v>
          </cell>
          <cell r="U99">
            <v>9893.8592969658239</v>
          </cell>
        </row>
        <row r="100">
          <cell r="A100" t="str">
            <v>% of Oper. Revenues</v>
          </cell>
          <cell r="B100">
            <v>0.11542516259525161</v>
          </cell>
          <cell r="C100">
            <v>0.11828445370143738</v>
          </cell>
          <cell r="D100">
            <v>0.13391006166172784</v>
          </cell>
          <cell r="E100">
            <v>0.12423313602694833</v>
          </cell>
          <cell r="F100">
            <v>0.14859952255771056</v>
          </cell>
          <cell r="G100">
            <v>0.15374559475516122</v>
          </cell>
          <cell r="H100">
            <v>0.11643301489805714</v>
          </cell>
          <cell r="I100">
            <v>0.17508236416586151</v>
          </cell>
          <cell r="J100">
            <v>0.14545016101401145</v>
          </cell>
          <cell r="K100">
            <v>0.17590169489403895</v>
          </cell>
          <cell r="L100">
            <v>0.18860658216979381</v>
          </cell>
          <cell r="M100">
            <v>0.18723601560398107</v>
          </cell>
          <cell r="N100">
            <v>0.17909087078585928</v>
          </cell>
          <cell r="O100">
            <v>0.17134271219203498</v>
          </cell>
          <cell r="P100">
            <v>0.16364253754398861</v>
          </cell>
          <cell r="Q100">
            <v>0.16149957815221419</v>
          </cell>
          <cell r="R100">
            <v>0.16134775337394774</v>
          </cell>
          <cell r="S100">
            <v>0.15908099823132599</v>
          </cell>
          <cell r="T100">
            <v>0.1588641510649598</v>
          </cell>
          <cell r="U100">
            <v>0.15864003401729196</v>
          </cell>
        </row>
        <row r="101">
          <cell r="A101" t="str">
            <v>Employee Costs</v>
          </cell>
          <cell r="B101">
            <v>3128.14</v>
          </cell>
          <cell r="C101">
            <v>4284.29</v>
          </cell>
          <cell r="D101">
            <v>5167.0200000000004</v>
          </cell>
          <cell r="E101">
            <v>6164.6729999999998</v>
          </cell>
          <cell r="F101">
            <v>9959.8921323529412</v>
          </cell>
          <cell r="G101">
            <v>12222.89</v>
          </cell>
          <cell r="H101">
            <v>12963.64</v>
          </cell>
          <cell r="I101">
            <v>13738.53</v>
          </cell>
          <cell r="J101">
            <v>16193.7</v>
          </cell>
          <cell r="K101">
            <v>18358.900000000001</v>
          </cell>
          <cell r="L101">
            <v>17365.93</v>
          </cell>
          <cell r="M101">
            <v>16463.554071534389</v>
          </cell>
          <cell r="N101">
            <v>16913.40046913681</v>
          </cell>
          <cell r="O101">
            <v>17122.322321474796</v>
          </cell>
          <cell r="P101">
            <v>17331.119391136472</v>
          </cell>
          <cell r="Q101">
            <v>17539.654862830306</v>
          </cell>
          <cell r="R101">
            <v>17747.785158489376</v>
          </cell>
          <cell r="S101">
            <v>17955.359684642128</v>
          </cell>
          <cell r="T101">
            <v>18162.220571378464</v>
          </cell>
          <cell r="U101">
            <v>18368.202402648716</v>
          </cell>
        </row>
        <row r="102">
          <cell r="A102" t="str">
            <v>% of Oper. Revenues</v>
          </cell>
          <cell r="B102">
            <v>9.0720231588409125E-2</v>
          </cell>
          <cell r="C102">
            <v>0.10628685893627153</v>
          </cell>
          <cell r="D102">
            <v>0.1110091567698029</v>
          </cell>
          <cell r="E102">
            <v>0.12249859114179909</v>
          </cell>
          <cell r="F102">
            <v>0.19219439423767451</v>
          </cell>
          <cell r="G102">
            <v>0.21130117958393535</v>
          </cell>
          <cell r="H102">
            <v>0.21100749435965732</v>
          </cell>
          <cell r="I102">
            <v>0.23660482250156289</v>
          </cell>
          <cell r="J102">
            <v>0.25423289759910778</v>
          </cell>
          <cell r="K102">
            <v>0.32828390749206288</v>
          </cell>
          <cell r="L102">
            <v>0.33888378264984537</v>
          </cell>
          <cell r="M102">
            <v>0.30517341577364782</v>
          </cell>
          <cell r="N102">
            <v>0.29951506341182299</v>
          </cell>
          <cell r="O102">
            <v>0.29608627884955796</v>
          </cell>
          <cell r="P102">
            <v>0.29548753424120239</v>
          </cell>
          <cell r="Q102">
            <v>0.29423046100024697</v>
          </cell>
          <cell r="R102">
            <v>0.29425704232979022</v>
          </cell>
          <cell r="S102">
            <v>0.2934932747918102</v>
          </cell>
          <cell r="T102">
            <v>0.29436147924270734</v>
          </cell>
          <cell r="U102">
            <v>0.29451927367577579</v>
          </cell>
        </row>
        <row r="103">
          <cell r="A103" t="str">
            <v>Cellular Business Expenses</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row>
        <row r="104">
          <cell r="A104" t="str">
            <v>% of Oper. Revenues</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row>
        <row r="105">
          <cell r="A105" t="str">
            <v>Operating Costs</v>
          </cell>
          <cell r="B105">
            <v>16708.763999999999</v>
          </cell>
          <cell r="C105">
            <v>20221.745999999999</v>
          </cell>
          <cell r="D105">
            <v>24351.052</v>
          </cell>
          <cell r="E105">
            <v>26394.594999999998</v>
          </cell>
          <cell r="F105">
            <v>31453.332132352945</v>
          </cell>
          <cell r="G105">
            <v>36048.36</v>
          </cell>
          <cell r="H105">
            <v>36637.629999999997</v>
          </cell>
          <cell r="I105">
            <v>38106.04</v>
          </cell>
          <cell r="J105">
            <v>44173.5</v>
          </cell>
          <cell r="K105">
            <v>42446.170000000006</v>
          </cell>
          <cell r="L105">
            <v>39722.339999999997</v>
          </cell>
          <cell r="M105">
            <v>39263.00311462798</v>
          </cell>
          <cell r="N105">
            <v>40090.554446477036</v>
          </cell>
          <cell r="O105">
            <v>40430.254283378395</v>
          </cell>
          <cell r="P105">
            <v>40483.551171942396</v>
          </cell>
          <cell r="Q105">
            <v>40885.81352679729</v>
          </cell>
          <cell r="R105">
            <v>41302.64953837439</v>
          </cell>
          <cell r="S105">
            <v>41633.240120421542</v>
          </cell>
          <cell r="T105">
            <v>41947.804088800127</v>
          </cell>
          <cell r="U105">
            <v>42293.591162467084</v>
          </cell>
        </row>
        <row r="106">
          <cell r="A106" t="str">
            <v>Yr/Yr Growth</v>
          </cell>
          <cell r="C106">
            <v>0.21024786752628732</v>
          </cell>
          <cell r="D106">
            <v>0.20420125937691047</v>
          </cell>
          <cell r="E106">
            <v>8.3920111541792908E-2</v>
          </cell>
          <cell r="F106">
            <v>0.19165806985683798</v>
          </cell>
          <cell r="G106">
            <v>0.14609033625790646</v>
          </cell>
          <cell r="H106">
            <v>1.6346652108445436E-2</v>
          </cell>
          <cell r="I106">
            <v>4.0079284604380927E-2</v>
          </cell>
          <cell r="J106">
            <v>0.15922567655941156</v>
          </cell>
          <cell r="K106">
            <v>-3.9103308544715554E-2</v>
          </cell>
          <cell r="L106">
            <v>-6.4171396382759816E-2</v>
          </cell>
          <cell r="M106">
            <v>-1.1563691498839623E-2</v>
          </cell>
          <cell r="N106">
            <v>2.107712773353132E-2</v>
          </cell>
          <cell r="O106">
            <v>8.4733135171497498E-3</v>
          </cell>
          <cell r="P106">
            <v>1.3182427246298811E-3</v>
          </cell>
          <cell r="Q106">
            <v>9.9364394478735907E-3</v>
          </cell>
          <cell r="R106">
            <v>1.0195125781315317E-2</v>
          </cell>
          <cell r="S106">
            <v>8.0041010865417039E-3</v>
          </cell>
          <cell r="T106">
            <v>7.5555966210827386E-3</v>
          </cell>
          <cell r="U106">
            <v>8.2432699679571009E-3</v>
          </cell>
        </row>
        <row r="108">
          <cell r="A108" t="str">
            <v>Operating Profit</v>
          </cell>
          <cell r="B108">
            <v>17772.409000000003</v>
          </cell>
          <cell r="C108">
            <v>20087.000000000007</v>
          </cell>
          <cell r="D108">
            <v>22194.837999999992</v>
          </cell>
          <cell r="E108">
            <v>23929.845000000005</v>
          </cell>
          <cell r="F108">
            <v>20368.637867647056</v>
          </cell>
          <cell r="G108">
            <v>21797.46</v>
          </cell>
          <cell r="H108">
            <v>24799.239999999998</v>
          </cell>
          <cell r="I108">
            <v>19959.260000000002</v>
          </cell>
          <cell r="J108">
            <v>19522.820000000007</v>
          </cell>
          <cell r="K108">
            <v>13477.679999999993</v>
          </cell>
          <cell r="L108">
            <v>11522.160000000003</v>
          </cell>
          <cell r="M108">
            <v>14685.189029820409</v>
          </cell>
          <cell r="N108">
            <v>16378.727186552089</v>
          </cell>
          <cell r="O108">
            <v>17398.573138153966</v>
          </cell>
          <cell r="P108">
            <v>18169.073330955653</v>
          </cell>
          <cell r="Q108">
            <v>18726.147801759995</v>
          </cell>
          <cell r="R108">
            <v>19011.234601732096</v>
          </cell>
          <cell r="S108">
            <v>19544.855689026852</v>
          </cell>
          <cell r="T108">
            <v>19752.594407985947</v>
          </cell>
          <cell r="U108">
            <v>20073.133342189671</v>
          </cell>
        </row>
        <row r="109">
          <cell r="A109" t="str">
            <v>Operating Profit Margin</v>
          </cell>
          <cell r="B109">
            <v>0.51542356172163872</v>
          </cell>
          <cell r="C109">
            <v>0.49832857613580944</v>
          </cell>
          <cell r="D109">
            <v>0.47683776161547231</v>
          </cell>
          <cell r="E109">
            <v>0.47551140161718647</v>
          </cell>
          <cell r="F109">
            <v>0.39305024235178737</v>
          </cell>
          <cell r="G109">
            <v>0.37681996728544948</v>
          </cell>
          <cell r="H109">
            <v>0.40365402729663802</v>
          </cell>
          <cell r="I109">
            <v>0.34373817064580742</v>
          </cell>
          <cell r="J109">
            <v>0.30649839739564239</v>
          </cell>
          <cell r="K109">
            <v>0.24100057488888896</v>
          </cell>
          <cell r="L109">
            <v>0.22484676404297052</v>
          </cell>
          <cell r="M109">
            <v>0.27220910369897555</v>
          </cell>
          <cell r="N109">
            <v>0.29004667162211784</v>
          </cell>
          <cell r="O109">
            <v>0.30086332222042717</v>
          </cell>
          <cell r="P109">
            <v>0.3097742596336488</v>
          </cell>
          <cell r="Q109">
            <v>0.3141340661238935</v>
          </cell>
          <cell r="R109">
            <v>0.31520494613760636</v>
          </cell>
          <cell r="S109">
            <v>0.31947473079095623</v>
          </cell>
          <cell r="T109">
            <v>0.32013722584003806</v>
          </cell>
          <cell r="U109">
            <v>0.32185646274706736</v>
          </cell>
        </row>
        <row r="110">
          <cell r="A110" t="str">
            <v>Interest &amp; Finance Charges</v>
          </cell>
          <cell r="B110">
            <v>1629.049</v>
          </cell>
          <cell r="C110">
            <v>1476.16</v>
          </cell>
          <cell r="D110">
            <v>866.24199999999996</v>
          </cell>
          <cell r="E110">
            <v>729.21500000000003</v>
          </cell>
          <cell r="F110">
            <v>84.16</v>
          </cell>
          <cell r="G110">
            <v>83.03</v>
          </cell>
          <cell r="H110">
            <v>288.35000000000002</v>
          </cell>
          <cell r="I110">
            <v>328.19</v>
          </cell>
          <cell r="J110">
            <v>346.2</v>
          </cell>
          <cell r="K110">
            <v>358.12</v>
          </cell>
          <cell r="L110">
            <v>249.97</v>
          </cell>
          <cell r="M110">
            <v>0</v>
          </cell>
          <cell r="N110">
            <v>0</v>
          </cell>
          <cell r="O110">
            <v>0</v>
          </cell>
          <cell r="P110">
            <v>0</v>
          </cell>
          <cell r="Q110">
            <v>0</v>
          </cell>
          <cell r="R110">
            <v>0</v>
          </cell>
          <cell r="S110">
            <v>0</v>
          </cell>
          <cell r="T110">
            <v>0</v>
          </cell>
          <cell r="U110">
            <v>0</v>
          </cell>
        </row>
        <row r="111">
          <cell r="A111" t="str">
            <v>% of Oper. Revenues</v>
          </cell>
          <cell r="B111">
            <v>4.7244593448140519E-2</v>
          </cell>
          <cell r="C111">
            <v>3.6621332749969447E-2</v>
          </cell>
          <cell r="D111">
            <v>1.8610493858856283E-2</v>
          </cell>
          <cell r="E111">
            <v>1.4490275500333437E-2</v>
          </cell>
          <cell r="F111">
            <v>1.6240216263488246E-3</v>
          </cell>
          <cell r="G111">
            <v>1.4353673264550491E-3</v>
          </cell>
          <cell r="H111">
            <v>4.6934357170213921E-3</v>
          </cell>
          <cell r="I111">
            <v>5.6520848079662034E-3</v>
          </cell>
          <cell r="J111">
            <v>5.4351648572476393E-3</v>
          </cell>
          <cell r="K111">
            <v>6.4037078992236771E-3</v>
          </cell>
          <cell r="L111">
            <v>4.8779869059118542E-3</v>
          </cell>
          <cell r="M111">
            <v>0</v>
          </cell>
          <cell r="N111">
            <v>0</v>
          </cell>
          <cell r="O111">
            <v>0</v>
          </cell>
          <cell r="P111">
            <v>0</v>
          </cell>
          <cell r="Q111">
            <v>0</v>
          </cell>
          <cell r="R111">
            <v>0</v>
          </cell>
          <cell r="S111">
            <v>0</v>
          </cell>
          <cell r="T111">
            <v>0</v>
          </cell>
          <cell r="U111">
            <v>0</v>
          </cell>
        </row>
        <row r="112">
          <cell r="A112" t="str">
            <v>Depreciation</v>
          </cell>
          <cell r="B112">
            <v>4654.4139999999998</v>
          </cell>
          <cell r="C112">
            <v>5150.375</v>
          </cell>
          <cell r="D112">
            <v>5856.1989999999996</v>
          </cell>
          <cell r="E112">
            <v>6570.5140000000001</v>
          </cell>
          <cell r="F112">
            <v>7092.81</v>
          </cell>
          <cell r="G112">
            <v>7692.46</v>
          </cell>
          <cell r="H112">
            <v>8164.56</v>
          </cell>
          <cell r="I112">
            <v>8670.42</v>
          </cell>
          <cell r="J112">
            <v>5437.95</v>
          </cell>
          <cell r="K112">
            <v>5880.07</v>
          </cell>
          <cell r="L112">
            <v>6377.07</v>
          </cell>
          <cell r="M112">
            <v>6957.4631537017476</v>
          </cell>
          <cell r="N112">
            <v>7474.2459928479757</v>
          </cell>
          <cell r="O112">
            <v>7913.8989374896264</v>
          </cell>
          <cell r="P112">
            <v>8326.0485201944284</v>
          </cell>
          <cell r="Q112">
            <v>8732.0915696951179</v>
          </cell>
          <cell r="R112">
            <v>9142.4701817419991</v>
          </cell>
          <cell r="S112">
            <v>9557.7867815985992</v>
          </cell>
          <cell r="T112">
            <v>9975.3645720585919</v>
          </cell>
          <cell r="U112">
            <v>10392.916234256127</v>
          </cell>
        </row>
        <row r="113">
          <cell r="A113" t="str">
            <v>% of Oper. Revenues</v>
          </cell>
          <cell r="B113">
            <v>0.1349842129790654</v>
          </cell>
          <cell r="C113">
            <v>0.12777313886172492</v>
          </cell>
          <cell r="D113">
            <v>0.12581559832672659</v>
          </cell>
          <cell r="E113">
            <v>0.13056308227175503</v>
          </cell>
          <cell r="F113">
            <v>0.13686878364523772</v>
          </cell>
          <cell r="G113">
            <v>0.13298212385959782</v>
          </cell>
          <cell r="H113">
            <v>0.1328934888772817</v>
          </cell>
          <cell r="I113">
            <v>0.14932188415456391</v>
          </cell>
          <cell r="J113">
            <v>8.5373063938387631E-2</v>
          </cell>
          <cell r="K113">
            <v>0.10514422737347304</v>
          </cell>
          <cell r="L113">
            <v>0.12444398911102654</v>
          </cell>
          <cell r="M113">
            <v>0.12896564049955314</v>
          </cell>
          <cell r="N113">
            <v>0.13235950195754317</v>
          </cell>
          <cell r="O113">
            <v>0.13685041337260306</v>
          </cell>
          <cell r="P113">
            <v>0.14195525930443292</v>
          </cell>
          <cell r="Q113">
            <v>0.14648220550180058</v>
          </cell>
          <cell r="R113">
            <v>0.15158151911597079</v>
          </cell>
          <cell r="S113">
            <v>0.15622890276559551</v>
          </cell>
          <cell r="T113">
            <v>0.16167423250237517</v>
          </cell>
          <cell r="U113">
            <v>0.16664200848771712</v>
          </cell>
        </row>
        <row r="114">
          <cell r="A114" t="str">
            <v>Other Income</v>
          </cell>
          <cell r="B114">
            <v>643.15899999999999</v>
          </cell>
          <cell r="C114">
            <v>615.51900000000001</v>
          </cell>
          <cell r="D114">
            <v>1191.2059999999999</v>
          </cell>
          <cell r="E114">
            <v>2259.893</v>
          </cell>
          <cell r="F114">
            <v>1723.77</v>
          </cell>
          <cell r="G114">
            <v>3180.23</v>
          </cell>
          <cell r="H114">
            <v>2483.4699999999998</v>
          </cell>
          <cell r="I114">
            <v>2236.91</v>
          </cell>
          <cell r="J114">
            <v>3143.31</v>
          </cell>
          <cell r="K114">
            <v>4917.18</v>
          </cell>
          <cell r="L114">
            <v>3421.45</v>
          </cell>
          <cell r="M114">
            <v>4330.198854361508</v>
          </cell>
          <cell r="N114">
            <v>3941.8842658645472</v>
          </cell>
          <cell r="O114">
            <v>4154.9673647523996</v>
          </cell>
          <cell r="P114">
            <v>4377.7623223240571</v>
          </cell>
          <cell r="Q114">
            <v>4601.2402265118362</v>
          </cell>
          <cell r="R114">
            <v>4846.4195335839431</v>
          </cell>
          <cell r="S114">
            <v>5135.7407499881019</v>
          </cell>
          <cell r="T114">
            <v>5450.5940162389043</v>
          </cell>
          <cell r="U114">
            <v>5807.4913265839832</v>
          </cell>
        </row>
        <row r="115">
          <cell r="A115" t="str">
            <v>Profit on Sale of Assets</v>
          </cell>
          <cell r="B115">
            <v>61.701999999999998</v>
          </cell>
          <cell r="C115">
            <v>37.531999999999996</v>
          </cell>
          <cell r="D115">
            <v>56.189</v>
          </cell>
          <cell r="E115">
            <v>8.4380000000000006</v>
          </cell>
          <cell r="F115">
            <v>23.23</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row>
        <row r="117">
          <cell r="A117" t="str">
            <v>Profit before Tax</v>
          </cell>
          <cell r="B117">
            <v>12193.807000000003</v>
          </cell>
          <cell r="C117">
            <v>14113.516000000007</v>
          </cell>
          <cell r="D117">
            <v>16719.79199999999</v>
          </cell>
          <cell r="E117">
            <v>18898.447000000004</v>
          </cell>
          <cell r="F117">
            <v>14938.667867647055</v>
          </cell>
          <cell r="G117">
            <v>17202.2</v>
          </cell>
          <cell r="H117">
            <v>18829.8</v>
          </cell>
          <cell r="I117">
            <v>13197.560000000003</v>
          </cell>
          <cell r="J117">
            <v>16881.980000000007</v>
          </cell>
          <cell r="K117">
            <v>12156.669999999993</v>
          </cell>
          <cell r="L117">
            <v>8316.5700000000033</v>
          </cell>
          <cell r="M117">
            <v>12057.924730480168</v>
          </cell>
          <cell r="N117">
            <v>12846.36545956866</v>
          </cell>
          <cell r="O117">
            <v>13639.641565416739</v>
          </cell>
          <cell r="P117">
            <v>14220.787133085281</v>
          </cell>
          <cell r="Q117">
            <v>14595.296458576713</v>
          </cell>
          <cell r="R117">
            <v>14715.18395357404</v>
          </cell>
          <cell r="S117">
            <v>15122.809657416354</v>
          </cell>
          <cell r="T117">
            <v>15227.823852166261</v>
          </cell>
          <cell r="U117">
            <v>15487.708434517528</v>
          </cell>
        </row>
        <row r="118">
          <cell r="A118" t="str">
            <v>Yr/Yr Growth</v>
          </cell>
          <cell r="C118">
            <v>0.1574331133828839</v>
          </cell>
          <cell r="D118">
            <v>0.18466525279738821</v>
          </cell>
          <cell r="E118">
            <v>0.13030395354200675</v>
          </cell>
          <cell r="F118">
            <v>-0.20952934028668857</v>
          </cell>
          <cell r="G118">
            <v>0.15152168536092292</v>
          </cell>
          <cell r="H118">
            <v>9.4615804955179961E-2</v>
          </cell>
          <cell r="I118">
            <v>-0.29911310794591528</v>
          </cell>
          <cell r="J118">
            <v>0.27917433222504795</v>
          </cell>
          <cell r="K118">
            <v>-0.27990259436393194</v>
          </cell>
          <cell r="L118">
            <v>-0.3158842018414576</v>
          </cell>
          <cell r="M118">
            <v>0.44986752116319151</v>
          </cell>
          <cell r="N118">
            <v>6.5387763376517194E-2</v>
          </cell>
          <cell r="O118">
            <v>6.1751014973437934E-2</v>
          </cell>
          <cell r="P118">
            <v>4.2607099672034909E-2</v>
          </cell>
          <cell r="Q118">
            <v>2.6335344308763275E-2</v>
          </cell>
          <cell r="R118">
            <v>8.2141185235655723E-3</v>
          </cell>
          <cell r="S118">
            <v>2.7701026716917765E-2</v>
          </cell>
          <cell r="T118">
            <v>6.9440928722135364E-3</v>
          </cell>
          <cell r="U118">
            <v>1.7066429509184022E-2</v>
          </cell>
        </row>
        <row r="119">
          <cell r="A119" t="str">
            <v>Tax - Current</v>
          </cell>
          <cell r="B119">
            <v>5185</v>
          </cell>
          <cell r="C119">
            <v>5493.2</v>
          </cell>
          <cell r="D119">
            <v>5246.6710000000003</v>
          </cell>
          <cell r="E119">
            <v>6016</v>
          </cell>
          <cell r="F119">
            <v>1630</v>
          </cell>
          <cell r="G119">
            <v>1630</v>
          </cell>
          <cell r="H119">
            <v>4900</v>
          </cell>
          <cell r="I119">
            <v>3234.2</v>
          </cell>
          <cell r="J119">
            <v>3753.71</v>
          </cell>
          <cell r="K119">
            <v>2566.9</v>
          </cell>
          <cell r="L119">
            <v>2518</v>
          </cell>
          <cell r="M119">
            <v>2256.6085334820077</v>
          </cell>
          <cell r="N119">
            <v>2735.7925597644053</v>
          </cell>
          <cell r="O119">
            <v>3271.3343094006941</v>
          </cell>
          <cell r="P119">
            <v>3696.7184291197495</v>
          </cell>
          <cell r="Q119">
            <v>3219.7934319950054</v>
          </cell>
          <cell r="R119">
            <v>2636.3191726447976</v>
          </cell>
          <cell r="S119">
            <v>2164.610597763538</v>
          </cell>
          <cell r="T119">
            <v>1601.0380358762063</v>
          </cell>
          <cell r="U119">
            <v>1099.3118894281877</v>
          </cell>
        </row>
        <row r="120">
          <cell r="A120" t="str">
            <v>Tax - Deferred</v>
          </cell>
          <cell r="B120">
            <v>0</v>
          </cell>
          <cell r="C120">
            <v>0</v>
          </cell>
          <cell r="D120">
            <v>0</v>
          </cell>
          <cell r="E120">
            <v>0</v>
          </cell>
          <cell r="F120">
            <v>0</v>
          </cell>
          <cell r="G120">
            <v>0</v>
          </cell>
          <cell r="H120">
            <v>37.64</v>
          </cell>
          <cell r="I120">
            <v>580.32000000000005</v>
          </cell>
          <cell r="J120">
            <v>759.77</v>
          </cell>
          <cell r="K120">
            <v>105.51</v>
          </cell>
          <cell r="L120">
            <v>-898.36</v>
          </cell>
          <cell r="M120">
            <v>1360.7688856620407</v>
          </cell>
          <cell r="N120">
            <v>1118.1170781061926</v>
          </cell>
          <cell r="O120">
            <v>820.55816022432737</v>
          </cell>
          <cell r="P120">
            <v>569.51771080583762</v>
          </cell>
          <cell r="Q120">
            <v>1158.7955055780085</v>
          </cell>
          <cell r="R120">
            <v>1778.2360134274099</v>
          </cell>
          <cell r="S120">
            <v>2372.2322994613701</v>
          </cell>
          <cell r="T120">
            <v>2967.3091197736717</v>
          </cell>
          <cell r="U120">
            <v>3547.0006409270659</v>
          </cell>
        </row>
        <row r="121">
          <cell r="A121" t="str">
            <v>Income Tax</v>
          </cell>
          <cell r="B121">
            <v>5185</v>
          </cell>
          <cell r="C121">
            <v>5493.2</v>
          </cell>
          <cell r="D121">
            <v>5246.6710000000003</v>
          </cell>
          <cell r="E121">
            <v>6016</v>
          </cell>
          <cell r="F121">
            <v>1630</v>
          </cell>
          <cell r="G121">
            <v>1630</v>
          </cell>
          <cell r="H121">
            <v>4937.6400000000003</v>
          </cell>
          <cell r="I121">
            <v>3814.52</v>
          </cell>
          <cell r="J121">
            <v>4513.4799999999996</v>
          </cell>
          <cell r="K121">
            <v>2672.4100000000003</v>
          </cell>
          <cell r="L121">
            <v>1619.6399999999999</v>
          </cell>
          <cell r="M121">
            <v>3617.3774191440484</v>
          </cell>
          <cell r="N121">
            <v>3853.9096378705981</v>
          </cell>
          <cell r="O121">
            <v>4091.8924696250215</v>
          </cell>
          <cell r="P121">
            <v>4266.2361399255869</v>
          </cell>
          <cell r="Q121">
            <v>4378.5889375730139</v>
          </cell>
          <cell r="R121">
            <v>4414.555186072208</v>
          </cell>
          <cell r="S121">
            <v>4536.8428972249076</v>
          </cell>
          <cell r="T121">
            <v>4568.347155649878</v>
          </cell>
          <cell r="U121">
            <v>4646.3125303552533</v>
          </cell>
        </row>
        <row r="122">
          <cell r="A122" t="str">
            <v>Statutory Tax rate</v>
          </cell>
          <cell r="B122">
            <v>0.46</v>
          </cell>
          <cell r="C122">
            <v>0.43</v>
          </cell>
          <cell r="D122">
            <v>0.35</v>
          </cell>
          <cell r="E122">
            <v>0.35</v>
          </cell>
          <cell r="F122">
            <v>0.38500000000000001</v>
          </cell>
          <cell r="G122">
            <v>0.39549999999999996</v>
          </cell>
          <cell r="H122">
            <v>0.35699999999999998</v>
          </cell>
          <cell r="I122">
            <v>0.36749999999999999</v>
          </cell>
          <cell r="J122">
            <v>0.35</v>
          </cell>
          <cell r="K122">
            <v>0.35</v>
          </cell>
          <cell r="L122">
            <v>0.33660000000000001</v>
          </cell>
          <cell r="M122">
            <v>0.33660000000000001</v>
          </cell>
          <cell r="N122">
            <v>0.33660000000000001</v>
          </cell>
          <cell r="O122">
            <v>0.33660000000000001</v>
          </cell>
          <cell r="P122">
            <v>0.33660000000000001</v>
          </cell>
          <cell r="Q122">
            <v>0.33660000000000001</v>
          </cell>
          <cell r="R122">
            <v>0.33660000000000001</v>
          </cell>
          <cell r="S122">
            <v>0.33660000000000001</v>
          </cell>
          <cell r="T122">
            <v>0.33660000000000001</v>
          </cell>
          <cell r="U122">
            <v>0.33660000000000001</v>
          </cell>
        </row>
        <row r="123">
          <cell r="A123" t="str">
            <v>Net Profit</v>
          </cell>
          <cell r="B123">
            <v>7008.8070000000025</v>
          </cell>
          <cell r="C123">
            <v>8620.3160000000062</v>
          </cell>
          <cell r="D123">
            <v>11473.12099999999</v>
          </cell>
          <cell r="E123">
            <v>12882.447000000004</v>
          </cell>
          <cell r="F123">
            <v>13308.667867647055</v>
          </cell>
          <cell r="G123">
            <v>15572.2</v>
          </cell>
          <cell r="H123">
            <v>13892.16</v>
          </cell>
          <cell r="I123">
            <v>9383.0400000000027</v>
          </cell>
          <cell r="J123">
            <v>12368.500000000007</v>
          </cell>
          <cell r="K123">
            <v>9484.2599999999929</v>
          </cell>
          <cell r="L123">
            <v>6696.9300000000039</v>
          </cell>
          <cell r="M123">
            <v>8440.5473113361204</v>
          </cell>
          <cell r="N123">
            <v>8992.4558216980622</v>
          </cell>
          <cell r="O123">
            <v>9547.749095791718</v>
          </cell>
          <cell r="P123">
            <v>9954.5509931596935</v>
          </cell>
          <cell r="Q123">
            <v>10216.7075210037</v>
          </cell>
          <cell r="R123">
            <v>10300.628767501832</v>
          </cell>
          <cell r="S123">
            <v>10585.966760191446</v>
          </cell>
          <cell r="T123">
            <v>10659.476696516384</v>
          </cell>
          <cell r="U123">
            <v>10841.395904162275</v>
          </cell>
        </row>
        <row r="124">
          <cell r="A124" t="str">
            <v>Net Profit Margin</v>
          </cell>
          <cell r="B124">
            <v>0.20326474972298658</v>
          </cell>
          <cell r="C124">
            <v>0.21385721103802149</v>
          </cell>
          <cell r="D124">
            <v>0.24649052794994342</v>
          </cell>
          <cell r="E124">
            <v>0.25598788580657833</v>
          </cell>
          <cell r="F124">
            <v>0.25681516676512017</v>
          </cell>
          <cell r="G124">
            <v>0.26920181959560779</v>
          </cell>
          <cell r="H124">
            <v>0.22612089450520512</v>
          </cell>
          <cell r="I124">
            <v>0.16159461847265066</v>
          </cell>
          <cell r="J124">
            <v>0.19417919276969228</v>
          </cell>
          <cell r="K124">
            <v>0.16959240109541801</v>
          </cell>
          <cell r="L124">
            <v>0.13068582969879702</v>
          </cell>
          <cell r="M124">
            <v>0.15645653683326821</v>
          </cell>
          <cell r="N124">
            <v>0.1592450897487305</v>
          </cell>
          <cell r="O124">
            <v>0.16510362602020609</v>
          </cell>
          <cell r="P124">
            <v>0.16972046992829512</v>
          </cell>
          <cell r="Q124">
            <v>0.17138687091158258</v>
          </cell>
          <cell r="R124">
            <v>0.17078370783705335</v>
          </cell>
          <cell r="S124">
            <v>0.17303524439798829</v>
          </cell>
          <cell r="T124">
            <v>0.17276187765742917</v>
          </cell>
          <cell r="U124">
            <v>0.17383301737054954</v>
          </cell>
        </row>
        <row r="125">
          <cell r="F125">
            <v>13044.04</v>
          </cell>
          <cell r="G125">
            <v>8771.5499999999993</v>
          </cell>
          <cell r="H125">
            <v>11527.5</v>
          </cell>
          <cell r="I125">
            <v>9389.7900000000009</v>
          </cell>
        </row>
        <row r="126">
          <cell r="A126" t="str">
            <v>Prior Period Adjustments</v>
          </cell>
          <cell r="B126">
            <v>287.07799999999997</v>
          </cell>
          <cell r="C126">
            <v>707.53499999999997</v>
          </cell>
          <cell r="D126">
            <v>-171.827</v>
          </cell>
          <cell r="E126">
            <v>89.781000000000006</v>
          </cell>
          <cell r="F126">
            <v>-2430.2078676470587</v>
          </cell>
          <cell r="G126">
            <v>-170.37</v>
          </cell>
          <cell r="H126">
            <v>-885.76</v>
          </cell>
          <cell r="I126">
            <v>-611.49</v>
          </cell>
          <cell r="J126">
            <v>-841</v>
          </cell>
          <cell r="K126">
            <v>-94.47</v>
          </cell>
          <cell r="L126">
            <v>-910</v>
          </cell>
          <cell r="M126">
            <v>0</v>
          </cell>
          <cell r="N126">
            <v>0</v>
          </cell>
          <cell r="O126">
            <v>0</v>
          </cell>
          <cell r="P126">
            <v>0</v>
          </cell>
          <cell r="Q126">
            <v>0</v>
          </cell>
          <cell r="R126">
            <v>0</v>
          </cell>
          <cell r="S126">
            <v>0</v>
          </cell>
          <cell r="T126">
            <v>0</v>
          </cell>
          <cell r="U126">
            <v>0</v>
          </cell>
        </row>
        <row r="128">
          <cell r="A128" t="str">
            <v>Reported Profit after Tax</v>
          </cell>
          <cell r="B128">
            <v>7295.885000000002</v>
          </cell>
          <cell r="C128">
            <v>9327.851000000006</v>
          </cell>
          <cell r="D128">
            <v>11301.293999999991</v>
          </cell>
          <cell r="E128">
            <v>12972.228000000005</v>
          </cell>
          <cell r="F128">
            <v>10878.459999999995</v>
          </cell>
          <cell r="G128">
            <v>15401.83</v>
          </cell>
          <cell r="H128">
            <v>13006.4</v>
          </cell>
          <cell r="I128">
            <v>8771.5500000000029</v>
          </cell>
          <cell r="J128">
            <v>11527.500000000007</v>
          </cell>
          <cell r="K128">
            <v>9389.7899999999936</v>
          </cell>
          <cell r="L128">
            <v>5786.9300000000039</v>
          </cell>
          <cell r="M128">
            <v>8440.5473113361204</v>
          </cell>
          <cell r="N128">
            <v>8992.4558216980622</v>
          </cell>
          <cell r="O128">
            <v>9547.749095791718</v>
          </cell>
          <cell r="P128">
            <v>9954.5509931596935</v>
          </cell>
          <cell r="Q128">
            <v>10216.7075210037</v>
          </cell>
          <cell r="R128">
            <v>10300.628767501832</v>
          </cell>
          <cell r="S128">
            <v>10585.966760191446</v>
          </cell>
          <cell r="T128">
            <v>10659.476696516384</v>
          </cell>
          <cell r="U128">
            <v>10841.395904162275</v>
          </cell>
        </row>
        <row r="130">
          <cell r="A130" t="str">
            <v>Dividend</v>
          </cell>
          <cell r="B130">
            <v>1200</v>
          </cell>
          <cell r="C130">
            <v>1200</v>
          </cell>
          <cell r="D130">
            <v>1827.0409999999999</v>
          </cell>
          <cell r="E130">
            <v>1890</v>
          </cell>
          <cell r="F130">
            <v>1890</v>
          </cell>
          <cell r="G130">
            <v>2835</v>
          </cell>
          <cell r="H130">
            <v>2835</v>
          </cell>
          <cell r="I130">
            <v>2835</v>
          </cell>
          <cell r="J130">
            <v>2835</v>
          </cell>
          <cell r="K130">
            <v>2835</v>
          </cell>
          <cell r="L130">
            <v>1800.3782222222212</v>
          </cell>
          <cell r="M130">
            <v>2625.9480524156797</v>
          </cell>
          <cell r="N130">
            <v>2797.6529223060634</v>
          </cell>
          <cell r="O130">
            <v>2970.4108298018673</v>
          </cell>
          <cell r="P130">
            <v>3096.9714200941294</v>
          </cell>
          <cell r="Q130">
            <v>3178.5312287567067</v>
          </cell>
          <cell r="R130">
            <v>3204.6400610005653</v>
          </cell>
          <cell r="S130">
            <v>3293.4118809484517</v>
          </cell>
          <cell r="T130">
            <v>3316.2816389162076</v>
          </cell>
          <cell r="U130">
            <v>3372.8787257393687</v>
          </cell>
        </row>
        <row r="131">
          <cell r="A131" t="str">
            <v>Dividend Tax</v>
          </cell>
          <cell r="B131">
            <v>0</v>
          </cell>
          <cell r="C131">
            <v>120</v>
          </cell>
          <cell r="D131">
            <v>182.70410000000001</v>
          </cell>
          <cell r="E131">
            <v>207.9</v>
          </cell>
          <cell r="F131">
            <v>277.2</v>
          </cell>
          <cell r="G131">
            <v>289.17</v>
          </cell>
          <cell r="H131">
            <v>0</v>
          </cell>
          <cell r="I131">
            <v>363.23</v>
          </cell>
          <cell r="J131">
            <v>363.23</v>
          </cell>
          <cell r="K131">
            <v>392.82</v>
          </cell>
          <cell r="L131">
            <v>225.04727777777771</v>
          </cell>
          <cell r="M131">
            <v>328.24350655195985</v>
          </cell>
          <cell r="N131">
            <v>349.70661528825804</v>
          </cell>
          <cell r="O131">
            <v>371.30135372523364</v>
          </cell>
          <cell r="P131">
            <v>387.12142751176634</v>
          </cell>
          <cell r="Q131">
            <v>397.31640359458834</v>
          </cell>
          <cell r="R131">
            <v>400.58000762507072</v>
          </cell>
          <cell r="S131">
            <v>411.67648511855668</v>
          </cell>
          <cell r="T131">
            <v>414.53520486452589</v>
          </cell>
          <cell r="U131">
            <v>421.60984071742132</v>
          </cell>
        </row>
        <row r="132">
          <cell r="A132" t="str">
            <v>Dividend Payout Ratio (%)</v>
          </cell>
          <cell r="B132">
            <v>0.16447627669569898</v>
          </cell>
          <cell r="C132">
            <v>0.14151169438705646</v>
          </cell>
          <cell r="D132">
            <v>0.17783318441233381</v>
          </cell>
          <cell r="E132">
            <v>0.16172241190950384</v>
          </cell>
          <cell r="F132">
            <v>0.19921937480121274</v>
          </cell>
          <cell r="G132">
            <v>0.20284407761934783</v>
          </cell>
          <cell r="H132">
            <v>0.21796961495878953</v>
          </cell>
          <cell r="I132">
            <v>0.36461400778653702</v>
          </cell>
          <cell r="J132">
            <v>0.2774435046627628</v>
          </cell>
          <cell r="K132">
            <v>0.34375848661152192</v>
          </cell>
          <cell r="L132">
            <v>0.34999999999999959</v>
          </cell>
          <cell r="M132">
            <v>0.3499999999999997</v>
          </cell>
          <cell r="N132">
            <v>0.35</v>
          </cell>
          <cell r="O132">
            <v>0.35</v>
          </cell>
          <cell r="P132">
            <v>0.35000000000000031</v>
          </cell>
          <cell r="Q132">
            <v>0.35</v>
          </cell>
          <cell r="R132">
            <v>0.34999999999999948</v>
          </cell>
          <cell r="S132">
            <v>0.3500000000000002</v>
          </cell>
          <cell r="T132">
            <v>0.34999999999999992</v>
          </cell>
          <cell r="U132">
            <v>0.34999999999999942</v>
          </cell>
        </row>
        <row r="133">
          <cell r="A133" t="str">
            <v>Equity (Mln Shares)</v>
          </cell>
          <cell r="B133">
            <v>600</v>
          </cell>
          <cell r="C133">
            <v>600</v>
          </cell>
          <cell r="D133">
            <v>630</v>
          </cell>
          <cell r="E133">
            <v>630</v>
          </cell>
          <cell r="F133">
            <v>630</v>
          </cell>
          <cell r="G133">
            <v>630</v>
          </cell>
          <cell r="H133">
            <v>630</v>
          </cell>
          <cell r="I133">
            <v>630</v>
          </cell>
          <cell r="J133">
            <v>630</v>
          </cell>
          <cell r="K133">
            <v>630</v>
          </cell>
          <cell r="L133">
            <v>630</v>
          </cell>
          <cell r="M133">
            <v>630</v>
          </cell>
          <cell r="N133">
            <v>630</v>
          </cell>
          <cell r="O133">
            <v>630</v>
          </cell>
          <cell r="P133">
            <v>630</v>
          </cell>
          <cell r="Q133">
            <v>630</v>
          </cell>
          <cell r="R133">
            <v>630</v>
          </cell>
          <cell r="S133">
            <v>630</v>
          </cell>
          <cell r="T133">
            <v>630</v>
          </cell>
          <cell r="U133">
            <v>630</v>
          </cell>
        </row>
        <row r="134">
          <cell r="A134" t="str">
            <v>Dividend Per Share</v>
          </cell>
          <cell r="B134">
            <v>2</v>
          </cell>
          <cell r="C134">
            <v>2</v>
          </cell>
          <cell r="D134">
            <v>2.9000650793650791</v>
          </cell>
          <cell r="E134">
            <v>3</v>
          </cell>
          <cell r="F134">
            <v>3</v>
          </cell>
          <cell r="G134">
            <v>4.5</v>
          </cell>
          <cell r="H134">
            <v>4.5</v>
          </cell>
          <cell r="I134">
            <v>4.5</v>
          </cell>
          <cell r="J134">
            <v>4.5</v>
          </cell>
          <cell r="K134">
            <v>4.5</v>
          </cell>
          <cell r="L134">
            <v>2.8577432098765416</v>
          </cell>
          <cell r="M134">
            <v>4.1681715117709199</v>
          </cell>
          <cell r="N134">
            <v>4.4407189242953384</v>
          </cell>
          <cell r="O134">
            <v>4.7149378250823286</v>
          </cell>
          <cell r="P134">
            <v>4.9158276509430623</v>
          </cell>
          <cell r="Q134">
            <v>5.045287664693185</v>
          </cell>
          <cell r="R134">
            <v>5.0867302555564526</v>
          </cell>
          <cell r="S134">
            <v>5.2276379062673834</v>
          </cell>
          <cell r="T134">
            <v>5.2639391093908054</v>
          </cell>
          <cell r="U134">
            <v>5.3537757551418554</v>
          </cell>
        </row>
        <row r="135">
          <cell r="A135" t="str">
            <v>Average Basic shares</v>
          </cell>
          <cell r="B135">
            <v>600</v>
          </cell>
          <cell r="C135">
            <v>600</v>
          </cell>
          <cell r="D135">
            <v>615</v>
          </cell>
          <cell r="E135">
            <v>630</v>
          </cell>
          <cell r="F135">
            <v>630</v>
          </cell>
          <cell r="G135">
            <v>630</v>
          </cell>
          <cell r="H135">
            <v>630</v>
          </cell>
          <cell r="I135">
            <v>630</v>
          </cell>
          <cell r="J135">
            <v>630</v>
          </cell>
          <cell r="K135">
            <v>630</v>
          </cell>
          <cell r="L135">
            <v>630</v>
          </cell>
          <cell r="M135">
            <v>630</v>
          </cell>
          <cell r="N135">
            <v>630</v>
          </cell>
          <cell r="O135">
            <v>630</v>
          </cell>
          <cell r="P135">
            <v>630</v>
          </cell>
          <cell r="Q135">
            <v>630</v>
          </cell>
          <cell r="R135">
            <v>630</v>
          </cell>
          <cell r="S135">
            <v>630</v>
          </cell>
          <cell r="T135">
            <v>630</v>
          </cell>
          <cell r="U135">
            <v>630</v>
          </cell>
        </row>
        <row r="136">
          <cell r="A136" t="str">
            <v>Diluted shares</v>
          </cell>
          <cell r="B136">
            <v>600</v>
          </cell>
          <cell r="C136">
            <v>600</v>
          </cell>
          <cell r="D136">
            <v>630</v>
          </cell>
          <cell r="E136">
            <v>630</v>
          </cell>
          <cell r="F136">
            <v>630</v>
          </cell>
          <cell r="G136">
            <v>630</v>
          </cell>
          <cell r="H136">
            <v>630</v>
          </cell>
          <cell r="I136">
            <v>630</v>
          </cell>
          <cell r="J136">
            <v>630</v>
          </cell>
          <cell r="K136">
            <v>630</v>
          </cell>
          <cell r="L136">
            <v>630</v>
          </cell>
          <cell r="M136">
            <v>630</v>
          </cell>
          <cell r="N136">
            <v>630</v>
          </cell>
          <cell r="O136">
            <v>630</v>
          </cell>
          <cell r="P136">
            <v>630</v>
          </cell>
          <cell r="Q136">
            <v>630</v>
          </cell>
          <cell r="R136">
            <v>630</v>
          </cell>
          <cell r="S136">
            <v>630</v>
          </cell>
          <cell r="T136">
            <v>630</v>
          </cell>
          <cell r="U136">
            <v>630</v>
          </cell>
        </row>
        <row r="137">
          <cell r="A137" t="str">
            <v>Average diluted shares</v>
          </cell>
          <cell r="B137">
            <v>600</v>
          </cell>
          <cell r="C137">
            <v>600</v>
          </cell>
          <cell r="D137">
            <v>615</v>
          </cell>
          <cell r="E137">
            <v>630</v>
          </cell>
          <cell r="F137">
            <v>630</v>
          </cell>
          <cell r="G137">
            <v>630</v>
          </cell>
          <cell r="H137">
            <v>630</v>
          </cell>
          <cell r="I137">
            <v>630</v>
          </cell>
          <cell r="J137">
            <v>630</v>
          </cell>
          <cell r="K137">
            <v>630</v>
          </cell>
          <cell r="L137">
            <v>630</v>
          </cell>
          <cell r="M137">
            <v>630</v>
          </cell>
          <cell r="N137">
            <v>630</v>
          </cell>
          <cell r="O137">
            <v>630</v>
          </cell>
          <cell r="P137">
            <v>630</v>
          </cell>
          <cell r="Q137">
            <v>630</v>
          </cell>
          <cell r="R137">
            <v>630</v>
          </cell>
          <cell r="S137">
            <v>630</v>
          </cell>
          <cell r="T137">
            <v>630</v>
          </cell>
          <cell r="U137">
            <v>630</v>
          </cell>
        </row>
        <row r="138">
          <cell r="A138" t="str">
            <v>Fiscal year ends in March  E=Morgan Stanley Estimates</v>
          </cell>
          <cell r="F138">
            <v>20401.477867647056</v>
          </cell>
          <cell r="G138">
            <v>23264.66</v>
          </cell>
          <cell r="H138">
            <v>22056.720000000001</v>
          </cell>
          <cell r="I138">
            <v>18633.780000000002</v>
          </cell>
          <cell r="J138">
            <v>18566.220000000008</v>
          </cell>
          <cell r="K138">
            <v>15469.839999999993</v>
          </cell>
        </row>
        <row r="139">
          <cell r="A139" t="str">
            <v>Source: Company Data</v>
          </cell>
          <cell r="F139">
            <v>20401.477867647056</v>
          </cell>
          <cell r="G139">
            <v>23264.936653080262</v>
          </cell>
          <cell r="H139">
            <v>23277.540560207635</v>
          </cell>
          <cell r="I139">
            <v>23387.88313427976</v>
          </cell>
          <cell r="J139">
            <v>24090.207214926901</v>
          </cell>
          <cell r="K139">
            <v>24583.971633291389</v>
          </cell>
        </row>
        <row r="140">
          <cell r="H140">
            <v>0.94755371354417928</v>
          </cell>
          <cell r="I140">
            <v>0.79672794211496467</v>
          </cell>
          <cell r="J140">
            <v>0.77069573683433945</v>
          </cell>
          <cell r="K140">
            <v>0.62926528840648666</v>
          </cell>
        </row>
        <row r="141">
          <cell r="A141" t="str">
            <v>Net Profit of Core Business</v>
          </cell>
          <cell r="J141">
            <v>10295.862385129003</v>
          </cell>
          <cell r="K141">
            <v>6031.6506729293396</v>
          </cell>
          <cell r="L141">
            <v>4217.3152028360291</v>
          </cell>
          <cell r="M141">
            <v>5712.5220330883694</v>
          </cell>
          <cell r="N141">
            <v>6509.068734203398</v>
          </cell>
          <cell r="O141">
            <v>6930.1196559977061</v>
          </cell>
          <cell r="P141">
            <v>7196.560730095538</v>
          </cell>
          <cell r="Q141">
            <v>7317.9261783012435</v>
          </cell>
          <cell r="R141">
            <v>7247.3844613439469</v>
          </cell>
          <cell r="S141">
            <v>7350.4500876989423</v>
          </cell>
          <cell r="T141">
            <v>7225.6024662858745</v>
          </cell>
        </row>
        <row r="142">
          <cell r="A142" t="str">
            <v>EPS of Core Business</v>
          </cell>
          <cell r="J142">
            <v>16.342638706553974</v>
          </cell>
          <cell r="K142">
            <v>9.5740486871894284</v>
          </cell>
          <cell r="L142">
            <v>6.694151115612744</v>
          </cell>
          <cell r="M142">
            <v>9.0674952906164599</v>
          </cell>
          <cell r="N142">
            <v>10.331855133656187</v>
          </cell>
          <cell r="O142">
            <v>11.000189930155088</v>
          </cell>
          <cell r="P142">
            <v>11.423112269992917</v>
          </cell>
          <cell r="Q142">
            <v>11.615755838573403</v>
          </cell>
          <cell r="R142">
            <v>11.503784859276108</v>
          </cell>
          <cell r="S142">
            <v>11.667381091585622</v>
          </cell>
          <cell r="T142">
            <v>11.469210263945833</v>
          </cell>
        </row>
        <row r="143">
          <cell r="A143" t="str">
            <v>P/E of Core business</v>
          </cell>
          <cell r="J143">
            <v>4.1517163304105695</v>
          </cell>
          <cell r="K143">
            <v>7.086865987091417</v>
          </cell>
          <cell r="L143">
            <v>10.135713823632349</v>
          </cell>
          <cell r="M143">
            <v>7.4827720142534719</v>
          </cell>
          <cell r="N143">
            <v>6.5670684617883879</v>
          </cell>
          <cell r="O143">
            <v>6.1680753178634795</v>
          </cell>
          <cell r="P143">
            <v>5.9397122602246881</v>
          </cell>
          <cell r="Q143">
            <v>5.8412040458602688</v>
          </cell>
          <cell r="R143">
            <v>5.8980588415028441</v>
          </cell>
          <cell r="S143">
            <v>5.8153581739892442</v>
          </cell>
          <cell r="T143">
            <v>5.9158388797954675</v>
          </cell>
        </row>
        <row r="146">
          <cell r="A146" t="str">
            <v>Balance Sheet</v>
          </cell>
        </row>
        <row r="147">
          <cell r="A147" t="str">
            <v>(Rs Millions)</v>
          </cell>
          <cell r="B147" t="str">
            <v>F1996</v>
          </cell>
          <cell r="C147" t="str">
            <v>F1997</v>
          </cell>
          <cell r="D147" t="str">
            <v>F1998</v>
          </cell>
          <cell r="E147" t="str">
            <v>F1999</v>
          </cell>
          <cell r="F147" t="str">
            <v>F2000</v>
          </cell>
          <cell r="G147" t="str">
            <v>F2001</v>
          </cell>
          <cell r="H147" t="str">
            <v>F2002</v>
          </cell>
          <cell r="I147" t="str">
            <v>F2003</v>
          </cell>
          <cell r="J147" t="str">
            <v>F2004</v>
          </cell>
          <cell r="K147" t="str">
            <v>F2005E</v>
          </cell>
          <cell r="L147" t="str">
            <v>F2006E</v>
          </cell>
          <cell r="M147" t="str">
            <v>F2007E</v>
          </cell>
          <cell r="N147" t="str">
            <v>F2008E</v>
          </cell>
          <cell r="O147" t="str">
            <v>F2009E</v>
          </cell>
          <cell r="P147" t="str">
            <v>F2010E</v>
          </cell>
          <cell r="Q147" t="str">
            <v>F2011E</v>
          </cell>
          <cell r="R147" t="str">
            <v>F2012E</v>
          </cell>
          <cell r="S147" t="str">
            <v>F2013E</v>
          </cell>
          <cell r="T147" t="str">
            <v>F2014E</v>
          </cell>
          <cell r="U147" t="str">
            <v>F2015E</v>
          </cell>
        </row>
        <row r="148">
          <cell r="A148" t="str">
            <v>LIABILITIES</v>
          </cell>
        </row>
        <row r="150">
          <cell r="A150" t="str">
            <v>Share Capital</v>
          </cell>
          <cell r="B150">
            <v>6000</v>
          </cell>
          <cell r="C150">
            <v>6000</v>
          </cell>
          <cell r="D150">
            <v>6300</v>
          </cell>
          <cell r="E150">
            <v>6300</v>
          </cell>
          <cell r="F150">
            <v>6300</v>
          </cell>
          <cell r="G150">
            <v>6300</v>
          </cell>
          <cell r="H150">
            <v>6300</v>
          </cell>
          <cell r="I150">
            <v>6300</v>
          </cell>
          <cell r="J150">
            <v>6300</v>
          </cell>
          <cell r="K150">
            <v>6300</v>
          </cell>
          <cell r="L150">
            <v>6300</v>
          </cell>
          <cell r="M150">
            <v>6300</v>
          </cell>
          <cell r="N150">
            <v>6300</v>
          </cell>
          <cell r="O150">
            <v>6300</v>
          </cell>
          <cell r="P150">
            <v>6300</v>
          </cell>
          <cell r="Q150">
            <v>6300</v>
          </cell>
          <cell r="R150">
            <v>6300</v>
          </cell>
          <cell r="S150">
            <v>6300</v>
          </cell>
          <cell r="T150">
            <v>6300</v>
          </cell>
          <cell r="U150">
            <v>6300</v>
          </cell>
        </row>
        <row r="151">
          <cell r="A151" t="str">
            <v>Share Premium</v>
          </cell>
          <cell r="B151">
            <v>0</v>
          </cell>
          <cell r="C151">
            <v>0</v>
          </cell>
          <cell r="D151">
            <v>6649.8866760000001</v>
          </cell>
          <cell r="E151">
            <v>6650.047294</v>
          </cell>
          <cell r="F151">
            <v>6650.05</v>
          </cell>
          <cell r="G151">
            <v>6650.05</v>
          </cell>
          <cell r="H151">
            <v>6650.05</v>
          </cell>
          <cell r="I151">
            <v>6650.05</v>
          </cell>
          <cell r="J151">
            <v>6650.05</v>
          </cell>
          <cell r="K151">
            <v>6650.05</v>
          </cell>
          <cell r="L151">
            <v>6650.05</v>
          </cell>
          <cell r="M151">
            <v>6650.05</v>
          </cell>
          <cell r="N151">
            <v>6650.05</v>
          </cell>
          <cell r="O151">
            <v>6650.05</v>
          </cell>
          <cell r="P151">
            <v>6650.05</v>
          </cell>
          <cell r="Q151">
            <v>6650.05</v>
          </cell>
          <cell r="R151">
            <v>6650.05</v>
          </cell>
          <cell r="S151">
            <v>6650.05</v>
          </cell>
          <cell r="T151">
            <v>6650.05</v>
          </cell>
          <cell r="U151">
            <v>6650.05</v>
          </cell>
        </row>
        <row r="152">
          <cell r="A152" t="str">
            <v>Accumulative Other Comprehensive Income</v>
          </cell>
          <cell r="B152">
            <v>0</v>
          </cell>
          <cell r="C152">
            <v>0</v>
          </cell>
          <cell r="D152">
            <v>0</v>
          </cell>
          <cell r="E152">
            <v>0</v>
          </cell>
          <cell r="F152">
            <v>0</v>
          </cell>
          <cell r="G152">
            <v>0</v>
          </cell>
          <cell r="H152">
            <v>0</v>
          </cell>
          <cell r="I152">
            <v>0</v>
          </cell>
          <cell r="J152">
            <v>0</v>
          </cell>
          <cell r="K152">
            <v>0</v>
          </cell>
          <cell r="L152">
            <v>0</v>
          </cell>
          <cell r="M152">
            <v>0</v>
          </cell>
          <cell r="N152">
            <v>0</v>
          </cell>
        </row>
        <row r="153">
          <cell r="A153" t="str">
            <v>Reserves &amp; Surplus</v>
          </cell>
          <cell r="B153">
            <v>21368.604341999999</v>
          </cell>
          <cell r="C153">
            <v>29376.456247999999</v>
          </cell>
          <cell r="D153">
            <v>38668.007324999999</v>
          </cell>
          <cell r="E153">
            <v>49542.510441999999</v>
          </cell>
          <cell r="F153">
            <v>58253.77</v>
          </cell>
          <cell r="G153">
            <v>70531.44</v>
          </cell>
          <cell r="H153">
            <v>76446.36</v>
          </cell>
          <cell r="I153">
            <v>82019.679999999993</v>
          </cell>
          <cell r="J153">
            <v>90326.23</v>
          </cell>
          <cell r="K153">
            <v>96488.2</v>
          </cell>
          <cell r="L153">
            <v>100249.70449999999</v>
          </cell>
          <cell r="M153">
            <v>105736.06025236846</v>
          </cell>
          <cell r="N153">
            <v>111581.1565364722</v>
          </cell>
          <cell r="O153">
            <v>117787.19344873683</v>
          </cell>
          <cell r="P153">
            <v>124257.65159429064</v>
          </cell>
          <cell r="Q153">
            <v>130898.51148294305</v>
          </cell>
          <cell r="R153">
            <v>137593.92018181924</v>
          </cell>
          <cell r="S153">
            <v>144474.79857594369</v>
          </cell>
          <cell r="T153">
            <v>151403.45842867933</v>
          </cell>
          <cell r="U153">
            <v>158450.36576638478</v>
          </cell>
        </row>
        <row r="154">
          <cell r="A154" t="str">
            <v>Shareholders Funds</v>
          </cell>
          <cell r="B154">
            <v>27368.604341999999</v>
          </cell>
          <cell r="C154">
            <v>35376.456248000002</v>
          </cell>
          <cell r="D154">
            <v>51617.894001000001</v>
          </cell>
          <cell r="E154">
            <v>62492.557736000002</v>
          </cell>
          <cell r="F154">
            <v>71203.819999999992</v>
          </cell>
          <cell r="G154">
            <v>83481.490000000005</v>
          </cell>
          <cell r="H154">
            <v>89396.41</v>
          </cell>
          <cell r="I154">
            <v>94969.73</v>
          </cell>
          <cell r="J154">
            <v>103276.28</v>
          </cell>
          <cell r="K154">
            <v>109438.25</v>
          </cell>
          <cell r="L154">
            <v>113199.7545</v>
          </cell>
          <cell r="M154">
            <v>118686.11025236847</v>
          </cell>
          <cell r="N154">
            <v>124531.20653647221</v>
          </cell>
          <cell r="O154">
            <v>130737.24344873683</v>
          </cell>
          <cell r="P154">
            <v>137207.70159429064</v>
          </cell>
          <cell r="Q154">
            <v>143848.56148294304</v>
          </cell>
          <cell r="R154">
            <v>150543.97018181923</v>
          </cell>
          <cell r="S154">
            <v>157424.84857594367</v>
          </cell>
          <cell r="T154">
            <v>164353.50842867931</v>
          </cell>
          <cell r="U154">
            <v>171400.41576638477</v>
          </cell>
        </row>
        <row r="155">
          <cell r="A155" t="str">
            <v>Deferred Tax Liability</v>
          </cell>
          <cell r="H155">
            <v>4294.4799999999996</v>
          </cell>
          <cell r="I155">
            <v>4874.8</v>
          </cell>
          <cell r="J155">
            <v>5634.57</v>
          </cell>
          <cell r="K155">
            <v>5740.08</v>
          </cell>
          <cell r="L155">
            <v>4841.72</v>
          </cell>
          <cell r="M155">
            <v>6202.488885662041</v>
          </cell>
          <cell r="N155">
            <v>7320.6059637682338</v>
          </cell>
          <cell r="O155">
            <v>8141.1641239925611</v>
          </cell>
          <cell r="P155">
            <v>8710.681834798399</v>
          </cell>
          <cell r="Q155">
            <v>9869.4773403764084</v>
          </cell>
          <cell r="R155">
            <v>11647.713353803818</v>
          </cell>
          <cell r="S155">
            <v>14019.945653265188</v>
          </cell>
          <cell r="T155">
            <v>16987.254773038858</v>
          </cell>
          <cell r="U155">
            <v>20534.255413965922</v>
          </cell>
        </row>
        <row r="157">
          <cell r="A157" t="str">
            <v>Secured &amp; Unsecured Loans</v>
          </cell>
        </row>
        <row r="158">
          <cell r="A158" t="str">
            <v>Loans for DoT</v>
          </cell>
          <cell r="B158">
            <v>53323</v>
          </cell>
          <cell r="C158">
            <v>66283</v>
          </cell>
          <cell r="D158">
            <v>62722.82</v>
          </cell>
          <cell r="E158">
            <v>37959.699999999997</v>
          </cell>
          <cell r="F158">
            <v>30710</v>
          </cell>
          <cell r="G158">
            <v>26190</v>
          </cell>
          <cell r="H158">
            <v>26190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Loans for MTNL</v>
          </cell>
          <cell r="B159">
            <v>16158.264314</v>
          </cell>
          <cell r="C159">
            <v>9757.0777099999978</v>
          </cell>
          <cell r="D159">
            <v>2770.258980999999</v>
          </cell>
          <cell r="E159">
            <v>241.59999999999854</v>
          </cell>
          <cell r="F159">
            <v>192</v>
          </cell>
          <cell r="G159">
            <v>2620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A160" t="str">
            <v>Loan Funds</v>
          </cell>
          <cell r="B160">
            <v>69481.264314</v>
          </cell>
          <cell r="C160">
            <v>76040.077709999998</v>
          </cell>
          <cell r="D160">
            <v>65493.078980999999</v>
          </cell>
          <cell r="E160">
            <v>38201.299999999996</v>
          </cell>
          <cell r="F160">
            <v>30902</v>
          </cell>
          <cell r="G160">
            <v>28810</v>
          </cell>
          <cell r="H160">
            <v>26190</v>
          </cell>
          <cell r="I160">
            <v>0</v>
          </cell>
          <cell r="J160">
            <v>0</v>
          </cell>
          <cell r="K160">
            <v>0</v>
          </cell>
          <cell r="L160">
            <v>0</v>
          </cell>
          <cell r="M160">
            <v>0</v>
          </cell>
          <cell r="N160">
            <v>0</v>
          </cell>
          <cell r="O160">
            <v>0</v>
          </cell>
          <cell r="P160">
            <v>0</v>
          </cell>
          <cell r="Q160">
            <v>0</v>
          </cell>
          <cell r="R160">
            <v>0</v>
          </cell>
          <cell r="S160">
            <v>0</v>
          </cell>
          <cell r="T160">
            <v>0</v>
          </cell>
          <cell r="U160">
            <v>0</v>
          </cell>
        </row>
        <row r="162">
          <cell r="A162" t="str">
            <v>Total Liabilities</v>
          </cell>
          <cell r="B162">
            <v>96849.868656000006</v>
          </cell>
          <cell r="C162">
            <v>111416.533958</v>
          </cell>
          <cell r="D162">
            <v>117110.97298200001</v>
          </cell>
          <cell r="E162">
            <v>100693.85773600001</v>
          </cell>
          <cell r="F162">
            <v>102105.81999999999</v>
          </cell>
          <cell r="G162">
            <v>112291.49</v>
          </cell>
          <cell r="H162">
            <v>119880.89</v>
          </cell>
          <cell r="I162">
            <v>99844.53</v>
          </cell>
          <cell r="J162">
            <v>108910.85</v>
          </cell>
          <cell r="K162">
            <v>115178.33</v>
          </cell>
          <cell r="L162">
            <v>118041.4745</v>
          </cell>
          <cell r="M162">
            <v>124888.59913803051</v>
          </cell>
          <cell r="N162">
            <v>131851.81250024046</v>
          </cell>
          <cell r="O162">
            <v>138878.4075727294</v>
          </cell>
          <cell r="P162">
            <v>145918.38342908904</v>
          </cell>
          <cell r="Q162">
            <v>153718.03882331945</v>
          </cell>
          <cell r="R162">
            <v>162191.68353562304</v>
          </cell>
          <cell r="S162">
            <v>171444.79422920887</v>
          </cell>
          <cell r="T162">
            <v>181340.76320171816</v>
          </cell>
          <cell r="U162">
            <v>191934.67118035071</v>
          </cell>
        </row>
        <row r="164">
          <cell r="A164" t="str">
            <v>ASSETS</v>
          </cell>
        </row>
        <row r="165">
          <cell r="A165" t="str">
            <v>Gross Fixed Assets</v>
          </cell>
          <cell r="B165">
            <v>60110.034824999995</v>
          </cell>
          <cell r="C165">
            <v>69783.385288999998</v>
          </cell>
          <cell r="D165">
            <v>80580.54069899999</v>
          </cell>
          <cell r="E165">
            <v>89461.37373599998</v>
          </cell>
          <cell r="F165">
            <v>98591.773735999974</v>
          </cell>
          <cell r="G165">
            <v>106809.54373599998</v>
          </cell>
          <cell r="H165">
            <v>117322.24373599997</v>
          </cell>
          <cell r="I165">
            <v>126652.06373599997</v>
          </cell>
          <cell r="J165">
            <v>135629.33373599997</v>
          </cell>
          <cell r="K165">
            <v>142522.51373599996</v>
          </cell>
          <cell r="L165">
            <v>156276.87279382208</v>
          </cell>
          <cell r="M165">
            <v>169716.99619772466</v>
          </cell>
          <cell r="N165">
            <v>180490.87629480808</v>
          </cell>
          <cell r="O165">
            <v>190317.05706344431</v>
          </cell>
          <cell r="P165">
            <v>199802.25949598307</v>
          </cell>
          <cell r="Q165">
            <v>209342.31695482138</v>
          </cell>
          <cell r="R165">
            <v>219030.66337496953</v>
          </cell>
          <cell r="S165">
            <v>228802.0916245057</v>
          </cell>
          <cell r="T165">
            <v>238596.38675858057</v>
          </cell>
          <cell r="U165">
            <v>248366.59076112026</v>
          </cell>
        </row>
        <row r="166">
          <cell r="A166" t="str">
            <v>Accumulated Depreciation</v>
          </cell>
          <cell r="B166">
            <v>27445.692757000001</v>
          </cell>
          <cell r="C166">
            <v>31611.108521999999</v>
          </cell>
          <cell r="D166">
            <v>37100.044715999997</v>
          </cell>
          <cell r="E166">
            <v>42996.777382</v>
          </cell>
          <cell r="F166">
            <v>49273.99</v>
          </cell>
          <cell r="G166">
            <v>56530.67</v>
          </cell>
          <cell r="H166">
            <v>64204.26</v>
          </cell>
          <cell r="I166">
            <v>71480.320000000007</v>
          </cell>
          <cell r="J166">
            <v>73526.509999999995</v>
          </cell>
          <cell r="K166">
            <v>77836.23</v>
          </cell>
          <cell r="L166">
            <v>84213.299999999988</v>
          </cell>
          <cell r="M166">
            <v>91170.76315370173</v>
          </cell>
          <cell r="N166">
            <v>98645.00914654971</v>
          </cell>
          <cell r="O166">
            <v>106558.90808403934</v>
          </cell>
          <cell r="P166">
            <v>114884.95660423377</v>
          </cell>
          <cell r="Q166">
            <v>123617.04817392888</v>
          </cell>
          <cell r="R166">
            <v>132759.51835567088</v>
          </cell>
          <cell r="S166">
            <v>142317.30513726949</v>
          </cell>
          <cell r="T166">
            <v>152292.6697093281</v>
          </cell>
          <cell r="U166">
            <v>162685.58594358421</v>
          </cell>
        </row>
        <row r="167">
          <cell r="A167" t="str">
            <v>Net Block</v>
          </cell>
          <cell r="B167">
            <v>32664.342067999994</v>
          </cell>
          <cell r="C167">
            <v>38172.276767000003</v>
          </cell>
          <cell r="D167">
            <v>43480.495982999993</v>
          </cell>
          <cell r="E167">
            <v>46464.596353999979</v>
          </cell>
          <cell r="F167">
            <v>49317.783735999976</v>
          </cell>
          <cell r="G167">
            <v>50278.87373599998</v>
          </cell>
          <cell r="H167">
            <v>53117.983735999973</v>
          </cell>
          <cell r="I167">
            <v>55171.74373599996</v>
          </cell>
          <cell r="J167">
            <v>62102.823735999977</v>
          </cell>
          <cell r="K167">
            <v>64686.283735999968</v>
          </cell>
          <cell r="L167">
            <v>72063.572793822095</v>
          </cell>
          <cell r="M167">
            <v>78546.233044022927</v>
          </cell>
          <cell r="N167">
            <v>81845.867148258374</v>
          </cell>
          <cell r="O167">
            <v>83758.14897940497</v>
          </cell>
          <cell r="P167">
            <v>84917.302891749307</v>
          </cell>
          <cell r="Q167">
            <v>85725.268780892497</v>
          </cell>
          <cell r="R167">
            <v>86271.145019298652</v>
          </cell>
          <cell r="S167">
            <v>86484.786487236212</v>
          </cell>
          <cell r="T167">
            <v>86303.717049252475</v>
          </cell>
          <cell r="U167">
            <v>85681.004817536043</v>
          </cell>
        </row>
        <row r="168">
          <cell r="A168" t="str">
            <v>Capital WIP</v>
          </cell>
          <cell r="B168">
            <v>7882.8250109999999</v>
          </cell>
          <cell r="C168">
            <v>7062.1866879999998</v>
          </cell>
          <cell r="D168">
            <v>5898.1825079999999</v>
          </cell>
          <cell r="E168">
            <v>6924.3917780000002</v>
          </cell>
          <cell r="F168">
            <v>6699.23</v>
          </cell>
          <cell r="G168">
            <v>8155.01</v>
          </cell>
          <cell r="H168">
            <v>7978.05</v>
          </cell>
          <cell r="I168">
            <v>8317.99</v>
          </cell>
          <cell r="J168">
            <v>4818</v>
          </cell>
          <cell r="K168">
            <v>6270.57</v>
          </cell>
          <cell r="L168">
            <v>3438.5897644555275</v>
          </cell>
          <cell r="M168">
            <v>3360.0308509756433</v>
          </cell>
          <cell r="N168">
            <v>2693.4700242708532</v>
          </cell>
          <cell r="O168">
            <v>2456.5451921590584</v>
          </cell>
          <cell r="P168">
            <v>2371.3006081346903</v>
          </cell>
          <cell r="Q168">
            <v>2385.0143647095747</v>
          </cell>
          <cell r="R168">
            <v>2422.0866050370378</v>
          </cell>
          <cell r="S168">
            <v>2442.8570623840405</v>
          </cell>
          <cell r="T168">
            <v>2448.5737835187165</v>
          </cell>
          <cell r="U168">
            <v>2442.5510006349191</v>
          </cell>
        </row>
        <row r="169">
          <cell r="A169" t="str">
            <v>Adv.for acquisition for Capital Assets</v>
          </cell>
          <cell r="B169">
            <v>0</v>
          </cell>
          <cell r="C169">
            <v>750.18605200000002</v>
          </cell>
          <cell r="D169">
            <v>314.63001300000002</v>
          </cell>
          <cell r="E169">
            <v>181.94382999999999</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row>
        <row r="170">
          <cell r="A170" t="str">
            <v>Net Fixed Assets</v>
          </cell>
          <cell r="B170">
            <v>40547.167078999992</v>
          </cell>
          <cell r="C170">
            <v>45984.649507000002</v>
          </cell>
          <cell r="D170">
            <v>49693.308503999993</v>
          </cell>
          <cell r="E170">
            <v>53570.931961999973</v>
          </cell>
          <cell r="F170">
            <v>56017.013735999979</v>
          </cell>
          <cell r="G170">
            <v>58433.883735999982</v>
          </cell>
          <cell r="H170">
            <v>61096.033735999976</v>
          </cell>
          <cell r="I170">
            <v>63489.733735999958</v>
          </cell>
          <cell r="J170">
            <v>66920.823735999977</v>
          </cell>
          <cell r="K170">
            <v>70956.853735999961</v>
          </cell>
          <cell r="L170">
            <v>75502.162558277618</v>
          </cell>
          <cell r="M170">
            <v>81906.26389499857</v>
          </cell>
          <cell r="N170">
            <v>84539.337172529224</v>
          </cell>
          <cell r="O170">
            <v>86214.694171564028</v>
          </cell>
          <cell r="P170">
            <v>87288.60349988399</v>
          </cell>
          <cell r="Q170">
            <v>88110.283145602065</v>
          </cell>
          <cell r="R170">
            <v>88693.231624335691</v>
          </cell>
          <cell r="S170">
            <v>88927.643549620247</v>
          </cell>
          <cell r="T170">
            <v>88752.290832771192</v>
          </cell>
          <cell r="U170">
            <v>88123.555818170964</v>
          </cell>
        </row>
        <row r="171">
          <cell r="A171" t="str">
            <v>Investments</v>
          </cell>
          <cell r="G171">
            <v>0.02</v>
          </cell>
          <cell r="H171">
            <v>1026.77</v>
          </cell>
          <cell r="I171">
            <v>3710.12</v>
          </cell>
          <cell r="J171">
            <v>3806.94</v>
          </cell>
          <cell r="K171">
            <v>3974.65</v>
          </cell>
          <cell r="L171">
            <v>3974.65</v>
          </cell>
          <cell r="M171">
            <v>3974.65</v>
          </cell>
          <cell r="N171">
            <v>3974.65</v>
          </cell>
          <cell r="O171">
            <v>3974.65</v>
          </cell>
          <cell r="P171">
            <v>3974.65</v>
          </cell>
          <cell r="Q171">
            <v>3974.65</v>
          </cell>
          <cell r="R171">
            <v>3974.65</v>
          </cell>
          <cell r="S171">
            <v>3974.65</v>
          </cell>
          <cell r="T171">
            <v>3974.65</v>
          </cell>
          <cell r="U171">
            <v>3974.65</v>
          </cell>
        </row>
        <row r="173">
          <cell r="A173" t="str">
            <v>Current Assets &amp; Liabilities</v>
          </cell>
        </row>
        <row r="174">
          <cell r="A174" t="str">
            <v>Inventories</v>
          </cell>
          <cell r="B174">
            <v>2311.6462150000002</v>
          </cell>
          <cell r="C174">
            <v>2529.2670250000001</v>
          </cell>
          <cell r="D174">
            <v>2558.18478</v>
          </cell>
          <cell r="E174">
            <v>2273.9522390000002</v>
          </cell>
          <cell r="F174">
            <v>2650.82</v>
          </cell>
          <cell r="G174">
            <v>2863.28</v>
          </cell>
          <cell r="H174">
            <v>2772.74</v>
          </cell>
          <cell r="I174">
            <v>1497.63</v>
          </cell>
          <cell r="J174">
            <v>887.88</v>
          </cell>
          <cell r="K174">
            <v>1866.04</v>
          </cell>
          <cell r="L174">
            <v>1321.7067772835067</v>
          </cell>
          <cell r="M174">
            <v>1391.4408605706028</v>
          </cell>
          <cell r="N174">
            <v>1456.4652253940546</v>
          </cell>
          <cell r="O174">
            <v>1491.5308594170615</v>
          </cell>
          <cell r="P174">
            <v>1512.7783725267107</v>
          </cell>
          <cell r="Q174">
            <v>1537.5217495558834</v>
          </cell>
          <cell r="R174">
            <v>1555.6258609659756</v>
          </cell>
          <cell r="S174">
            <v>1577.9157539374498</v>
          </cell>
          <cell r="T174">
            <v>1591.3870728428462</v>
          </cell>
          <cell r="U174">
            <v>1608.5730654953832</v>
          </cell>
        </row>
        <row r="175">
          <cell r="A175" t="str">
            <v>Debtors</v>
          </cell>
          <cell r="B175">
            <v>5409.3634869999996</v>
          </cell>
          <cell r="C175">
            <v>6222.6280230000002</v>
          </cell>
          <cell r="D175">
            <v>6105.6954649999998</v>
          </cell>
          <cell r="E175">
            <v>6549.2772100000002</v>
          </cell>
          <cell r="F175">
            <v>6502.23</v>
          </cell>
          <cell r="G175">
            <v>6073.55</v>
          </cell>
          <cell r="H175">
            <v>7361.46</v>
          </cell>
          <cell r="I175">
            <v>13069.84</v>
          </cell>
          <cell r="J175">
            <v>16502.07</v>
          </cell>
          <cell r="K175">
            <v>17611.48</v>
          </cell>
          <cell r="L175">
            <v>11534.555334769646</v>
          </cell>
          <cell r="M175">
            <v>12143.125750098547</v>
          </cell>
          <cell r="N175">
            <v>12710.594380096707</v>
          </cell>
          <cell r="O175">
            <v>13016.61270650527</v>
          </cell>
          <cell r="P175">
            <v>13202.040079582075</v>
          </cell>
          <cell r="Q175">
            <v>13417.975910749296</v>
          </cell>
          <cell r="R175">
            <v>13575.970768939955</v>
          </cell>
          <cell r="S175">
            <v>13770.495007072399</v>
          </cell>
          <cell r="T175">
            <v>13888.059413956949</v>
          </cell>
          <cell r="U175">
            <v>14038.041835656455</v>
          </cell>
        </row>
        <row r="176">
          <cell r="A176" t="str">
            <v>Loans &amp; Advances to DoT</v>
          </cell>
          <cell r="B176">
            <v>59328.86</v>
          </cell>
          <cell r="C176">
            <v>70332.820000000007</v>
          </cell>
          <cell r="D176">
            <v>62722.82</v>
          </cell>
          <cell r="E176">
            <v>37959.699999999997</v>
          </cell>
          <cell r="F176">
            <v>30710</v>
          </cell>
          <cell r="G176">
            <v>28810</v>
          </cell>
          <cell r="H176">
            <v>50635.76</v>
          </cell>
          <cell r="I176">
            <v>41146.57</v>
          </cell>
          <cell r="J176">
            <v>34853.560000000005</v>
          </cell>
          <cell r="K176">
            <v>37700.710000000006</v>
          </cell>
          <cell r="L176">
            <v>37700.710000000006</v>
          </cell>
          <cell r="M176">
            <v>37700.710000000006</v>
          </cell>
          <cell r="N176">
            <v>37700.710000000006</v>
          </cell>
          <cell r="O176">
            <v>37700.710000000006</v>
          </cell>
          <cell r="P176">
            <v>37700.710000000006</v>
          </cell>
          <cell r="Q176">
            <v>37700.710000000006</v>
          </cell>
          <cell r="R176">
            <v>37700.710000000006</v>
          </cell>
          <cell r="S176">
            <v>37700.710000000006</v>
          </cell>
          <cell r="T176">
            <v>37700.710000000006</v>
          </cell>
          <cell r="U176">
            <v>37700.710000000006</v>
          </cell>
        </row>
        <row r="177">
          <cell r="A177" t="str">
            <v>Other Loans &amp; Advances</v>
          </cell>
          <cell r="B177">
            <v>8801.3391779999947</v>
          </cell>
          <cell r="C177">
            <v>13697.978983999987</v>
          </cell>
          <cell r="D177">
            <v>13546.824086000001</v>
          </cell>
          <cell r="E177">
            <v>17059.880000000005</v>
          </cell>
          <cell r="F177">
            <v>30842.519999999997</v>
          </cell>
          <cell r="G177">
            <v>40704.869999999995</v>
          </cell>
          <cell r="H177">
            <v>40796.730000000003</v>
          </cell>
          <cell r="I177">
            <v>50892.909999999996</v>
          </cell>
          <cell r="J177">
            <v>60826.219999999994</v>
          </cell>
          <cell r="K177">
            <v>63756.87999999999</v>
          </cell>
          <cell r="L177">
            <v>47278.562629079941</v>
          </cell>
          <cell r="M177">
            <v>24773.009416170346</v>
          </cell>
          <cell r="N177">
            <v>28943.880896771807</v>
          </cell>
          <cell r="O177">
            <v>29640.729346728516</v>
          </cell>
          <cell r="P177">
            <v>30062.974573099709</v>
          </cell>
          <cell r="Q177">
            <v>30554.6920169697</v>
          </cell>
          <cell r="R177">
            <v>30914.469398028574</v>
          </cell>
          <cell r="S177">
            <v>31357.429515523716</v>
          </cell>
          <cell r="T177">
            <v>31625.140850557298</v>
          </cell>
          <cell r="U177">
            <v>31966.672742809129</v>
          </cell>
        </row>
        <row r="178">
          <cell r="A178" t="str">
            <v>Cash &amp; Cash Balances</v>
          </cell>
          <cell r="B178">
            <v>3061.7671919999998</v>
          </cell>
          <cell r="C178">
            <v>3721.2172399000001</v>
          </cell>
          <cell r="D178">
            <v>13284.937813</v>
          </cell>
          <cell r="E178">
            <v>13564.210175</v>
          </cell>
          <cell r="F178">
            <v>18350.810000000001</v>
          </cell>
          <cell r="G178">
            <v>24828.34</v>
          </cell>
          <cell r="H178">
            <v>24446.51</v>
          </cell>
          <cell r="I178">
            <v>18154.64</v>
          </cell>
          <cell r="J178">
            <v>25530.69</v>
          </cell>
          <cell r="K178">
            <v>25173.98</v>
          </cell>
          <cell r="L178">
            <v>24543.343280762092</v>
          </cell>
          <cell r="M178">
            <v>49023.600033469877</v>
          </cell>
          <cell r="N178">
            <v>50669.505745214243</v>
          </cell>
          <cell r="O178">
            <v>56529.060337960713</v>
          </cell>
          <cell r="P178">
            <v>62962.044575332817</v>
          </cell>
          <cell r="Q178">
            <v>69346.570337240672</v>
          </cell>
          <cell r="R178">
            <v>76530.771635323516</v>
          </cell>
          <cell r="S178">
            <v>84990.002791802501</v>
          </cell>
          <cell r="T178">
            <v>94410.084264485922</v>
          </cell>
          <cell r="U178">
            <v>105050.00807515957</v>
          </cell>
        </row>
        <row r="179">
          <cell r="A179" t="str">
            <v>Other Current Assets</v>
          </cell>
          <cell r="B179">
            <v>4132.3814689999999</v>
          </cell>
          <cell r="C179">
            <v>4310.0016299999997</v>
          </cell>
          <cell r="D179">
            <v>5392.282185</v>
          </cell>
          <cell r="E179">
            <v>5884.3816559999996</v>
          </cell>
          <cell r="F179">
            <v>6433.26</v>
          </cell>
          <cell r="G179">
            <v>7161.46</v>
          </cell>
          <cell r="H179">
            <v>5746.03</v>
          </cell>
          <cell r="I179">
            <v>567.02</v>
          </cell>
          <cell r="J179">
            <v>685.06</v>
          </cell>
          <cell r="K179">
            <v>849.85</v>
          </cell>
          <cell r="L179">
            <v>900.84100000000012</v>
          </cell>
          <cell r="M179">
            <v>954.89146000000017</v>
          </cell>
          <cell r="N179">
            <v>1012.1849476000002</v>
          </cell>
          <cell r="O179">
            <v>1072.9160444560002</v>
          </cell>
          <cell r="P179">
            <v>1137.2910071233603</v>
          </cell>
          <cell r="Q179">
            <v>1137.2910071233603</v>
          </cell>
          <cell r="R179">
            <v>1137.2910071233603</v>
          </cell>
          <cell r="S179">
            <v>1137.2910071233603</v>
          </cell>
          <cell r="T179">
            <v>1137.2910071233603</v>
          </cell>
          <cell r="U179">
            <v>1137.2910071233603</v>
          </cell>
        </row>
        <row r="180">
          <cell r="A180" t="str">
            <v>Less: Current Liabilities</v>
          </cell>
          <cell r="B180">
            <v>26742.655963999998</v>
          </cell>
          <cell r="C180">
            <v>35382.028449999998</v>
          </cell>
          <cell r="D180">
            <v>36193.079851000002</v>
          </cell>
          <cell r="E180">
            <v>36168.474256000001</v>
          </cell>
          <cell r="F180">
            <v>49400.91</v>
          </cell>
          <cell r="G180">
            <v>56583.909999999989</v>
          </cell>
          <cell r="H180">
            <v>74001.14</v>
          </cell>
          <cell r="I180">
            <v>92683.93</v>
          </cell>
          <cell r="J180">
            <v>101094.9</v>
          </cell>
          <cell r="K180">
            <v>106712.12000000001</v>
          </cell>
          <cell r="L180">
            <v>84715.063344172857</v>
          </cell>
          <cell r="M180">
            <v>86979.098541277475</v>
          </cell>
          <cell r="N180">
            <v>89155.522131365637</v>
          </cell>
          <cell r="O180">
            <v>90762.502157902272</v>
          </cell>
          <cell r="P180">
            <v>91922.714942459686</v>
          </cell>
          <cell r="Q180">
            <v>92061.661607921575</v>
          </cell>
          <cell r="R180">
            <v>91891.043023094069</v>
          </cell>
          <cell r="S180">
            <v>91991.349659870873</v>
          </cell>
          <cell r="T180">
            <v>91738.856504019437</v>
          </cell>
          <cell r="U180">
            <v>91664.837628064182</v>
          </cell>
        </row>
        <row r="181">
          <cell r="A181" t="str">
            <v>Net Current Assets</v>
          </cell>
          <cell r="B181">
            <v>56302.701576999993</v>
          </cell>
          <cell r="C181">
            <v>65431.884451899998</v>
          </cell>
          <cell r="D181">
            <v>67417.664477999992</v>
          </cell>
          <cell r="E181">
            <v>47122.927024000004</v>
          </cell>
          <cell r="F181">
            <v>46088.729999999996</v>
          </cell>
          <cell r="G181">
            <v>53857.590000000011</v>
          </cell>
          <cell r="H181">
            <v>57758.090000000011</v>
          </cell>
          <cell r="I181">
            <v>32644.680000000008</v>
          </cell>
          <cell r="J181">
            <v>38190.580000000016</v>
          </cell>
          <cell r="K181">
            <v>40246.819999999992</v>
          </cell>
          <cell r="L181">
            <v>38564.65567772233</v>
          </cell>
          <cell r="M181">
            <v>39007.678979031902</v>
          </cell>
          <cell r="N181">
            <v>43337.819063711184</v>
          </cell>
          <cell r="O181">
            <v>48689.05713716532</v>
          </cell>
          <cell r="P181">
            <v>54655.123665204999</v>
          </cell>
          <cell r="Q181">
            <v>61633.099413717355</v>
          </cell>
          <cell r="R181">
            <v>69523.795647287334</v>
          </cell>
          <cell r="S181">
            <v>78542.494415588561</v>
          </cell>
          <cell r="T181">
            <v>88613.816104946949</v>
          </cell>
          <cell r="U181">
            <v>99836.459098179737</v>
          </cell>
        </row>
        <row r="183">
          <cell r="A183" t="str">
            <v>Total Assets</v>
          </cell>
          <cell r="B183">
            <v>96849.868655999977</v>
          </cell>
          <cell r="C183">
            <v>111416.53395889999</v>
          </cell>
          <cell r="D183">
            <v>117110.97298199998</v>
          </cell>
          <cell r="E183">
            <v>100693.85898599998</v>
          </cell>
          <cell r="F183">
            <v>102105.74373599997</v>
          </cell>
          <cell r="G183">
            <v>112291.49373599999</v>
          </cell>
          <cell r="H183">
            <v>119880.89373599998</v>
          </cell>
          <cell r="I183">
            <v>99844.533735999954</v>
          </cell>
          <cell r="J183">
            <v>108918.343736</v>
          </cell>
          <cell r="K183">
            <v>115178.32373599995</v>
          </cell>
          <cell r="L183">
            <v>118041.46823599994</v>
          </cell>
          <cell r="M183">
            <v>124888.59287403047</v>
          </cell>
          <cell r="N183">
            <v>131851.8062362404</v>
          </cell>
          <cell r="O183">
            <v>138878.40130872934</v>
          </cell>
          <cell r="P183">
            <v>145918.37716508898</v>
          </cell>
          <cell r="Q183">
            <v>153718.03255931943</v>
          </cell>
          <cell r="R183">
            <v>162191.67727162302</v>
          </cell>
          <cell r="S183">
            <v>171444.78796520879</v>
          </cell>
          <cell r="T183">
            <v>181340.75693771814</v>
          </cell>
          <cell r="U183">
            <v>191934.66491635071</v>
          </cell>
        </row>
        <row r="184">
          <cell r="A184" t="str">
            <v>Diff</v>
          </cell>
          <cell r="B184">
            <v>0</v>
          </cell>
          <cell r="C184">
            <v>8.9999230112880468E-7</v>
          </cell>
          <cell r="D184">
            <v>0</v>
          </cell>
          <cell r="E184">
            <v>1.2499999720603228E-3</v>
          </cell>
          <cell r="F184">
            <v>-7.6264000017545186E-2</v>
          </cell>
          <cell r="G184">
            <v>3.7359999842010438E-3</v>
          </cell>
          <cell r="H184">
            <v>3.7359999842010438E-3</v>
          </cell>
          <cell r="I184">
            <v>3.7359999550972134E-3</v>
          </cell>
          <cell r="J184">
            <v>7.4937359999894397</v>
          </cell>
          <cell r="K184">
            <v>-6.2640000542160124E-3</v>
          </cell>
          <cell r="L184">
            <v>-6.2640000542160124E-3</v>
          </cell>
          <cell r="M184">
            <v>-6.2640000396640971E-3</v>
          </cell>
          <cell r="N184">
            <v>-6.2640000542160124E-3</v>
          </cell>
          <cell r="O184">
            <v>-6.2640000542160124E-3</v>
          </cell>
          <cell r="P184">
            <v>-6.2640000542160124E-3</v>
          </cell>
          <cell r="Q184">
            <v>-6.2640000251121819E-3</v>
          </cell>
          <cell r="R184">
            <v>-6.2640000251121819E-3</v>
          </cell>
          <cell r="S184">
            <v>-6.2640000833198428E-3</v>
          </cell>
          <cell r="T184">
            <v>-6.2640000251121819E-3</v>
          </cell>
          <cell r="U184">
            <v>-6.2639999960083514E-3</v>
          </cell>
        </row>
        <row r="191">
          <cell r="A191" t="str">
            <v>Funds Flow</v>
          </cell>
        </row>
        <row r="192">
          <cell r="A192" t="str">
            <v>(Rs Millions)</v>
          </cell>
          <cell r="B192" t="str">
            <v>F1997</v>
          </cell>
          <cell r="C192" t="str">
            <v>F1998</v>
          </cell>
          <cell r="D192" t="str">
            <v>F1999</v>
          </cell>
          <cell r="E192" t="str">
            <v>F2000</v>
          </cell>
          <cell r="F192" t="str">
            <v>F2001E</v>
          </cell>
          <cell r="G192" t="str">
            <v>F2002E</v>
          </cell>
          <cell r="H192" t="str">
            <v>F2003</v>
          </cell>
          <cell r="I192" t="str">
            <v>F2004</v>
          </cell>
          <cell r="J192" t="str">
            <v>F2005E</v>
          </cell>
          <cell r="K192" t="str">
            <v>F2006E</v>
          </cell>
          <cell r="L192" t="str">
            <v>F2007E</v>
          </cell>
          <cell r="M192" t="str">
            <v>F2008E</v>
          </cell>
          <cell r="N192" t="str">
            <v>F2009E</v>
          </cell>
          <cell r="O192" t="str">
            <v>F2010E</v>
          </cell>
          <cell r="P192" t="str">
            <v>F2011E</v>
          </cell>
          <cell r="Q192" t="str">
            <v>F2012E</v>
          </cell>
          <cell r="R192" t="str">
            <v>F2013E</v>
          </cell>
          <cell r="S192" t="str">
            <v>F2014E</v>
          </cell>
          <cell r="T192" t="str">
            <v>F2015E</v>
          </cell>
        </row>
        <row r="193">
          <cell r="A193" t="str">
            <v>Cash Flows from Operating Activities</v>
          </cell>
        </row>
        <row r="194">
          <cell r="A194" t="str">
            <v>Profit/(Loss) before tax</v>
          </cell>
          <cell r="B194">
            <v>14113.516000000007</v>
          </cell>
          <cell r="C194">
            <v>16719.79199999999</v>
          </cell>
          <cell r="D194">
            <v>18898.447000000004</v>
          </cell>
          <cell r="E194">
            <v>14938.667867647055</v>
          </cell>
          <cell r="F194">
            <v>17202.2</v>
          </cell>
          <cell r="G194">
            <v>18829.8</v>
          </cell>
          <cell r="H194">
            <v>13197.560000000003</v>
          </cell>
          <cell r="I194">
            <v>16881.980000000007</v>
          </cell>
          <cell r="J194">
            <v>12156.669999999993</v>
          </cell>
          <cell r="K194">
            <v>8316.5700000000033</v>
          </cell>
          <cell r="L194">
            <v>12057.924730480168</v>
          </cell>
          <cell r="M194">
            <v>12846.36545956866</v>
          </cell>
          <cell r="N194">
            <v>13639.641565416739</v>
          </cell>
          <cell r="O194">
            <v>14220.787133085281</v>
          </cell>
          <cell r="P194">
            <v>14595.296458576713</v>
          </cell>
          <cell r="Q194">
            <v>14715.18395357404</v>
          </cell>
          <cell r="R194">
            <v>15122.809657416354</v>
          </cell>
          <cell r="S194">
            <v>15227.823852166261</v>
          </cell>
          <cell r="T194">
            <v>15487.708434517528</v>
          </cell>
        </row>
        <row r="195">
          <cell r="A195" t="str">
            <v>Depreciation</v>
          </cell>
          <cell r="B195">
            <v>5150.375</v>
          </cell>
          <cell r="C195">
            <v>5856.1989999999996</v>
          </cell>
          <cell r="D195">
            <v>6570.5140000000001</v>
          </cell>
          <cell r="E195">
            <v>7092.81</v>
          </cell>
          <cell r="F195">
            <v>7692.46</v>
          </cell>
          <cell r="G195">
            <v>8164.56</v>
          </cell>
          <cell r="H195">
            <v>8670.42</v>
          </cell>
          <cell r="I195">
            <v>5437.95</v>
          </cell>
          <cell r="J195">
            <v>5880.07</v>
          </cell>
          <cell r="K195">
            <v>6377.07</v>
          </cell>
          <cell r="L195">
            <v>6957.4631537017476</v>
          </cell>
          <cell r="M195">
            <v>7474.2459928479757</v>
          </cell>
          <cell r="N195">
            <v>7913.8989374896264</v>
          </cell>
          <cell r="O195">
            <v>8326.0485201944284</v>
          </cell>
          <cell r="P195">
            <v>8732.0915696951179</v>
          </cell>
          <cell r="Q195">
            <v>9142.4701817419991</v>
          </cell>
          <cell r="R195">
            <v>9557.7867815985992</v>
          </cell>
          <cell r="S195">
            <v>9975.3645720585919</v>
          </cell>
          <cell r="T195">
            <v>10392.916234256127</v>
          </cell>
        </row>
        <row r="196">
          <cell r="A196" t="str">
            <v>Interest</v>
          </cell>
          <cell r="B196">
            <v>1476.16</v>
          </cell>
          <cell r="C196">
            <v>866.24199999999996</v>
          </cell>
          <cell r="D196">
            <v>729.21500000000003</v>
          </cell>
          <cell r="E196">
            <v>84.16</v>
          </cell>
          <cell r="F196">
            <v>83.03</v>
          </cell>
          <cell r="G196">
            <v>288.35000000000002</v>
          </cell>
          <cell r="H196">
            <v>328.19</v>
          </cell>
          <cell r="I196">
            <v>346.2</v>
          </cell>
          <cell r="J196">
            <v>358.12</v>
          </cell>
          <cell r="K196">
            <v>249.97</v>
          </cell>
          <cell r="L196">
            <v>0</v>
          </cell>
          <cell r="M196">
            <v>0</v>
          </cell>
          <cell r="N196">
            <v>0</v>
          </cell>
          <cell r="O196">
            <v>0</v>
          </cell>
          <cell r="P196">
            <v>0</v>
          </cell>
          <cell r="Q196">
            <v>0</v>
          </cell>
          <cell r="R196">
            <v>0</v>
          </cell>
          <cell r="S196">
            <v>0</v>
          </cell>
          <cell r="T196">
            <v>0</v>
          </cell>
        </row>
        <row r="197">
          <cell r="A197" t="str">
            <v>Direct Taxes Paid</v>
          </cell>
          <cell r="B197">
            <v>-5493.2</v>
          </cell>
          <cell r="C197">
            <v>-5246.6710000000003</v>
          </cell>
          <cell r="D197">
            <v>-6016</v>
          </cell>
          <cell r="E197">
            <v>-1630</v>
          </cell>
          <cell r="F197">
            <v>-1630</v>
          </cell>
          <cell r="G197">
            <v>-4900</v>
          </cell>
          <cell r="H197">
            <v>-3234.2</v>
          </cell>
          <cell r="I197">
            <v>-3753.71</v>
          </cell>
          <cell r="J197">
            <v>-2566.9</v>
          </cell>
          <cell r="K197">
            <v>-2518</v>
          </cell>
          <cell r="L197">
            <v>-2256.6085334820077</v>
          </cell>
          <cell r="M197">
            <v>-2735.7925597644053</v>
          </cell>
          <cell r="N197">
            <v>-3271.3343094006941</v>
          </cell>
          <cell r="O197">
            <v>-3696.7184291197495</v>
          </cell>
          <cell r="P197">
            <v>-3219.7934319950054</v>
          </cell>
          <cell r="Q197">
            <v>-2636.3191726447976</v>
          </cell>
          <cell r="R197">
            <v>-2164.610597763538</v>
          </cell>
          <cell r="S197">
            <v>-1601.0380358762063</v>
          </cell>
          <cell r="T197">
            <v>-1099.3118894281877</v>
          </cell>
        </row>
        <row r="198">
          <cell r="A198" t="str">
            <v>Dec / (Inc) in Inventory</v>
          </cell>
          <cell r="B198">
            <v>-217.62080999999989</v>
          </cell>
          <cell r="C198">
            <v>-28.917754999999943</v>
          </cell>
          <cell r="D198">
            <v>284.23254099999986</v>
          </cell>
          <cell r="E198">
            <v>-376.86776099999997</v>
          </cell>
          <cell r="F198">
            <v>-212.46000000000004</v>
          </cell>
          <cell r="G198">
            <v>90.540000000000418</v>
          </cell>
          <cell r="H198">
            <v>1275.1099999999997</v>
          </cell>
          <cell r="I198">
            <v>609.75000000000011</v>
          </cell>
          <cell r="J198">
            <v>-978.16</v>
          </cell>
          <cell r="K198">
            <v>544.33322271649331</v>
          </cell>
          <cell r="L198">
            <v>-69.734083287096155</v>
          </cell>
          <cell r="M198">
            <v>-65.024364823451833</v>
          </cell>
          <cell r="N198">
            <v>-35.065634023006851</v>
          </cell>
          <cell r="O198">
            <v>-21.247513109649162</v>
          </cell>
          <cell r="P198">
            <v>-24.743377029172734</v>
          </cell>
          <cell r="Q198">
            <v>-18.104111410092173</v>
          </cell>
          <cell r="R198">
            <v>-22.289892971474274</v>
          </cell>
          <cell r="S198">
            <v>-13.471318905396402</v>
          </cell>
          <cell r="T198">
            <v>-17.185992652536925</v>
          </cell>
        </row>
        <row r="199">
          <cell r="A199" t="str">
            <v>Dec / (Inc) in Debtors</v>
          </cell>
          <cell r="B199">
            <v>-813.26453600000059</v>
          </cell>
          <cell r="C199">
            <v>116.93255800000043</v>
          </cell>
          <cell r="D199">
            <v>-443.58174500000041</v>
          </cell>
          <cell r="E199">
            <v>47.047210000000632</v>
          </cell>
          <cell r="F199">
            <v>428.67999999999938</v>
          </cell>
          <cell r="G199">
            <v>-1287.9099999999999</v>
          </cell>
          <cell r="H199">
            <v>-5708.38</v>
          </cell>
          <cell r="I199">
            <v>-3432.2299999999996</v>
          </cell>
          <cell r="J199">
            <v>-1109.4099999999999</v>
          </cell>
          <cell r="K199">
            <v>6076.9246652303536</v>
          </cell>
          <cell r="L199">
            <v>-608.57041532890071</v>
          </cell>
          <cell r="M199">
            <v>-567.4686299981604</v>
          </cell>
          <cell r="N199">
            <v>-306.01832640856264</v>
          </cell>
          <cell r="O199">
            <v>-185.42737307680545</v>
          </cell>
          <cell r="P199">
            <v>-215.93583116722039</v>
          </cell>
          <cell r="Q199">
            <v>-157.99485819065922</v>
          </cell>
          <cell r="R199">
            <v>-194.52423813244422</v>
          </cell>
          <cell r="S199">
            <v>-117.56440688455041</v>
          </cell>
          <cell r="T199">
            <v>-149.98242169950572</v>
          </cell>
        </row>
        <row r="200">
          <cell r="A200" t="str">
            <v>Dec / (Inc) in Loans &amp; Advances</v>
          </cell>
          <cell r="B200">
            <v>-15900.599805999998</v>
          </cell>
          <cell r="C200">
            <v>7761.1548979999934</v>
          </cell>
          <cell r="D200">
            <v>21250.064085999998</v>
          </cell>
          <cell r="E200">
            <v>-6532.9399999999951</v>
          </cell>
          <cell r="F200">
            <v>-7962.3499999999985</v>
          </cell>
          <cell r="G200">
            <v>-21917.62000000001</v>
          </cell>
          <cell r="H200">
            <v>-606.98999999999069</v>
          </cell>
          <cell r="I200">
            <v>-3640.3000000000029</v>
          </cell>
          <cell r="J200">
            <v>-5777.8099999999977</v>
          </cell>
          <cell r="K200">
            <v>16478.317370920049</v>
          </cell>
          <cell r="L200">
            <v>22505.553212909595</v>
          </cell>
          <cell r="M200">
            <v>-4170.8714806014614</v>
          </cell>
          <cell r="N200">
            <v>-696.84844995671301</v>
          </cell>
          <cell r="O200">
            <v>-422.24522637118935</v>
          </cell>
          <cell r="P200">
            <v>-491.71744386998762</v>
          </cell>
          <cell r="Q200">
            <v>-359.7773810588842</v>
          </cell>
          <cell r="R200">
            <v>-442.96011749513855</v>
          </cell>
          <cell r="S200">
            <v>-267.71133503357123</v>
          </cell>
          <cell r="T200">
            <v>-341.53189225183451</v>
          </cell>
        </row>
        <row r="201">
          <cell r="A201" t="str">
            <v>Dec / (Inc) in Other Current Assets</v>
          </cell>
          <cell r="B201">
            <v>-177.62016099999983</v>
          </cell>
          <cell r="C201">
            <v>-1082.2805550000003</v>
          </cell>
          <cell r="D201">
            <v>-492.09947099999954</v>
          </cell>
          <cell r="E201">
            <v>-548.87834400000065</v>
          </cell>
          <cell r="F201">
            <v>-728.19999999999982</v>
          </cell>
          <cell r="G201">
            <v>1415.4300000000003</v>
          </cell>
          <cell r="H201">
            <v>5179.01</v>
          </cell>
          <cell r="I201">
            <v>-118.03999999999996</v>
          </cell>
          <cell r="J201">
            <v>-164.79000000000008</v>
          </cell>
          <cell r="K201">
            <v>-50.991000000000099</v>
          </cell>
          <cell r="L201">
            <v>-54.050460000000044</v>
          </cell>
          <cell r="M201">
            <v>-57.293487600000049</v>
          </cell>
          <cell r="N201">
            <v>-60.731096856000022</v>
          </cell>
          <cell r="O201">
            <v>-64.374962667360023</v>
          </cell>
          <cell r="P201">
            <v>0</v>
          </cell>
          <cell r="Q201">
            <v>0</v>
          </cell>
          <cell r="R201">
            <v>0</v>
          </cell>
          <cell r="S201">
            <v>0</v>
          </cell>
          <cell r="T201">
            <v>0</v>
          </cell>
        </row>
        <row r="202">
          <cell r="A202" t="str">
            <v>Inc / (Dec) in Current Liabilities</v>
          </cell>
          <cell r="B202">
            <v>8639.3724860000002</v>
          </cell>
          <cell r="C202">
            <v>811.05140100000426</v>
          </cell>
          <cell r="D202">
            <v>-24.605595000000903</v>
          </cell>
          <cell r="E202">
            <v>13232.435744000002</v>
          </cell>
          <cell r="F202">
            <v>7182.9999999999854</v>
          </cell>
          <cell r="G202">
            <v>17417.23000000001</v>
          </cell>
          <cell r="H202">
            <v>18682.789999999994</v>
          </cell>
          <cell r="I202">
            <v>8410.9700000000012</v>
          </cell>
          <cell r="J202">
            <v>5617.2200000000157</v>
          </cell>
          <cell r="K202">
            <v>-21997.056655827153</v>
          </cell>
          <cell r="L202">
            <v>2264.0351971046184</v>
          </cell>
          <cell r="M202">
            <v>2176.4235900881613</v>
          </cell>
          <cell r="N202">
            <v>1606.9800265366357</v>
          </cell>
          <cell r="O202">
            <v>1160.2127845574141</v>
          </cell>
          <cell r="P202">
            <v>138.94666546188819</v>
          </cell>
          <cell r="Q202">
            <v>-170.6185848275054</v>
          </cell>
          <cell r="R202">
            <v>100.30663677680423</v>
          </cell>
          <cell r="S202">
            <v>-252.49315585143631</v>
          </cell>
          <cell r="T202">
            <v>-74.018875955254771</v>
          </cell>
        </row>
        <row r="203">
          <cell r="A203" t="str">
            <v>Changes in Working Capital</v>
          </cell>
          <cell r="B203">
            <v>-8469.7328270000071</v>
          </cell>
          <cell r="C203">
            <v>7577.9405470000056</v>
          </cell>
          <cell r="D203">
            <v>20574.009815999991</v>
          </cell>
          <cell r="E203">
            <v>5820.7968490000094</v>
          </cell>
          <cell r="F203">
            <v>-1291.3300000000163</v>
          </cell>
          <cell r="G203">
            <v>-4282.3300000000054</v>
          </cell>
          <cell r="H203">
            <v>18821.540000000008</v>
          </cell>
          <cell r="I203">
            <v>1830.1499999999905</v>
          </cell>
          <cell r="J203">
            <v>-2412.9499999999753</v>
          </cell>
          <cell r="K203">
            <v>1051.5276030397545</v>
          </cell>
          <cell r="L203">
            <v>24037.233451398213</v>
          </cell>
          <cell r="M203">
            <v>-2684.2343729349159</v>
          </cell>
          <cell r="N203">
            <v>508.3165192923334</v>
          </cell>
          <cell r="O203">
            <v>466.91770933242515</v>
          </cell>
          <cell r="P203">
            <v>-593.44998660450074</v>
          </cell>
          <cell r="Q203">
            <v>-706.49493548713508</v>
          </cell>
          <cell r="R203">
            <v>-559.46761182224145</v>
          </cell>
          <cell r="S203">
            <v>-651.24021667496709</v>
          </cell>
          <cell r="T203">
            <v>-582.71918255914352</v>
          </cell>
        </row>
        <row r="204">
          <cell r="A204" t="str">
            <v>Prior period adjustments</v>
          </cell>
          <cell r="B204">
            <v>707.53499999999997</v>
          </cell>
          <cell r="C204">
            <v>-171.827</v>
          </cell>
          <cell r="D204">
            <v>89.781000000000006</v>
          </cell>
          <cell r="E204">
            <v>-2430.2078676470587</v>
          </cell>
          <cell r="F204">
            <v>-170.37</v>
          </cell>
          <cell r="G204">
            <v>-885.76</v>
          </cell>
          <cell r="H204">
            <v>-1192.19</v>
          </cell>
          <cell r="I204">
            <v>-841</v>
          </cell>
          <cell r="J204">
            <v>-94.47</v>
          </cell>
          <cell r="K204">
            <v>-910</v>
          </cell>
          <cell r="L204">
            <v>0</v>
          </cell>
          <cell r="M204">
            <v>0</v>
          </cell>
          <cell r="N204">
            <v>0</v>
          </cell>
          <cell r="O204">
            <v>0</v>
          </cell>
          <cell r="P204">
            <v>0</v>
          </cell>
          <cell r="Q204">
            <v>0</v>
          </cell>
          <cell r="R204">
            <v>0</v>
          </cell>
          <cell r="S204">
            <v>0</v>
          </cell>
          <cell r="T204">
            <v>0</v>
          </cell>
        </row>
        <row r="205">
          <cell r="A205" t="str">
            <v>Total CF from Operating Activities</v>
          </cell>
          <cell r="B205">
            <v>7484.6531729999988</v>
          </cell>
          <cell r="C205">
            <v>25601.675546999995</v>
          </cell>
          <cell r="D205">
            <v>40845.966816</v>
          </cell>
          <cell r="E205">
            <v>23876.226849000006</v>
          </cell>
          <cell r="F205">
            <v>21885.989999999983</v>
          </cell>
          <cell r="G205">
            <v>17214.619999999995</v>
          </cell>
          <cell r="H205">
            <v>36591.320000000007</v>
          </cell>
          <cell r="I205">
            <v>19901.57</v>
          </cell>
          <cell r="J205">
            <v>13320.540000000015</v>
          </cell>
          <cell r="K205">
            <v>12567.137603039757</v>
          </cell>
          <cell r="L205">
            <v>40796.012802098121</v>
          </cell>
          <cell r="M205">
            <v>14900.584519717315</v>
          </cell>
          <cell r="N205">
            <v>18790.522712798003</v>
          </cell>
          <cell r="O205">
            <v>19317.034933492389</v>
          </cell>
          <cell r="P205">
            <v>19514.144609672323</v>
          </cell>
          <cell r="Q205">
            <v>20514.840027184106</v>
          </cell>
          <cell r="R205">
            <v>21956.518229429174</v>
          </cell>
          <cell r="S205">
            <v>22950.91017167368</v>
          </cell>
          <cell r="T205">
            <v>24198.593596786326</v>
          </cell>
        </row>
        <row r="207">
          <cell r="A207" t="str">
            <v>Cash Flows from Investing Activities</v>
          </cell>
        </row>
        <row r="208">
          <cell r="A208" t="str">
            <v>Purchase of Fixed Assets</v>
          </cell>
          <cell r="B208">
            <v>-10587.85742800001</v>
          </cell>
          <cell r="C208">
            <v>-9564.8579969999919</v>
          </cell>
          <cell r="D208">
            <v>-10448.137457999987</v>
          </cell>
          <cell r="E208">
            <v>-9538.8917739999997</v>
          </cell>
          <cell r="F208">
            <v>-10109.330000000002</v>
          </cell>
          <cell r="G208">
            <v>-10826.709999999995</v>
          </cell>
          <cell r="H208">
            <v>-11064.119999999983</v>
          </cell>
          <cell r="I208">
            <v>-8869.0400000000191</v>
          </cell>
          <cell r="J208">
            <v>-9916.099999999984</v>
          </cell>
          <cell r="K208">
            <v>-10922.378822277657</v>
          </cell>
          <cell r="L208">
            <v>-13361.564490422701</v>
          </cell>
          <cell r="M208">
            <v>-10107.31927037863</v>
          </cell>
          <cell r="N208">
            <v>-9589.2559365244306</v>
          </cell>
          <cell r="O208">
            <v>-9399.9578485143902</v>
          </cell>
          <cell r="P208">
            <v>-9553.7712154131932</v>
          </cell>
          <cell r="Q208">
            <v>-9725.4186604756251</v>
          </cell>
          <cell r="R208">
            <v>-9792.198706883155</v>
          </cell>
          <cell r="S208">
            <v>-9800.0118552095373</v>
          </cell>
          <cell r="T208">
            <v>-9764.1812196558985</v>
          </cell>
        </row>
        <row r="209">
          <cell r="A209" t="str">
            <v>Chanige in Investments</v>
          </cell>
          <cell r="G209">
            <v>-1026.75</v>
          </cell>
          <cell r="H209">
            <v>-2683.35</v>
          </cell>
          <cell r="I209">
            <v>-96.820000000000164</v>
          </cell>
          <cell r="J209">
            <v>-167.71000000000004</v>
          </cell>
          <cell r="K209">
            <v>0</v>
          </cell>
          <cell r="L209">
            <v>0</v>
          </cell>
          <cell r="M209">
            <v>0</v>
          </cell>
          <cell r="N209">
            <v>0</v>
          </cell>
          <cell r="O209">
            <v>0</v>
          </cell>
          <cell r="P209">
            <v>0</v>
          </cell>
          <cell r="Q209">
            <v>0</v>
          </cell>
          <cell r="R209">
            <v>0</v>
          </cell>
          <cell r="S209">
            <v>0</v>
          </cell>
          <cell r="T209">
            <v>0</v>
          </cell>
        </row>
        <row r="210">
          <cell r="A210" t="str">
            <v>Total CF from Investing Activities</v>
          </cell>
          <cell r="B210">
            <v>-10587.85742800001</v>
          </cell>
          <cell r="C210">
            <v>-9564.8579969999919</v>
          </cell>
          <cell r="D210">
            <v>-10448.137457999987</v>
          </cell>
          <cell r="E210">
            <v>-9538.8917739999997</v>
          </cell>
          <cell r="F210">
            <v>-10109.330000000002</v>
          </cell>
          <cell r="G210">
            <v>-11853.459999999995</v>
          </cell>
          <cell r="H210">
            <v>-13747.469999999983</v>
          </cell>
          <cell r="I210">
            <v>-8965.8600000000188</v>
          </cell>
          <cell r="J210">
            <v>-10083.809999999983</v>
          </cell>
          <cell r="K210">
            <v>-10922.378822277657</v>
          </cell>
          <cell r="L210">
            <v>-13361.564490422701</v>
          </cell>
          <cell r="M210">
            <v>-10107.31927037863</v>
          </cell>
          <cell r="N210">
            <v>-9589.2559365244306</v>
          </cell>
          <cell r="O210">
            <v>-9399.9578485143902</v>
          </cell>
          <cell r="P210">
            <v>-9553.7712154131932</v>
          </cell>
          <cell r="Q210">
            <v>-9725.4186604756251</v>
          </cell>
          <cell r="R210">
            <v>-9792.198706883155</v>
          </cell>
          <cell r="S210">
            <v>-9800.0118552095373</v>
          </cell>
          <cell r="T210">
            <v>-9764.1812196558985</v>
          </cell>
        </row>
        <row r="212">
          <cell r="A212" t="str">
            <v>Cash flow from Operating+Investing activities</v>
          </cell>
          <cell r="B212">
            <v>-3103.2042550000115</v>
          </cell>
          <cell r="C212">
            <v>16036.817550000003</v>
          </cell>
          <cell r="D212">
            <v>30397.829358000014</v>
          </cell>
          <cell r="E212">
            <v>14337.335075000006</v>
          </cell>
          <cell r="F212">
            <v>11776.659999999982</v>
          </cell>
          <cell r="G212">
            <v>5361.16</v>
          </cell>
          <cell r="H212">
            <v>22843.850000000024</v>
          </cell>
          <cell r="I212">
            <v>10935.709999999981</v>
          </cell>
          <cell r="J212">
            <v>3236.7300000000323</v>
          </cell>
          <cell r="K212">
            <v>1644.7587807621003</v>
          </cell>
          <cell r="L212">
            <v>27434.44831167542</v>
          </cell>
          <cell r="M212">
            <v>4793.265249338685</v>
          </cell>
          <cell r="N212">
            <v>9201.2667762735728</v>
          </cell>
          <cell r="O212">
            <v>9917.0770849779983</v>
          </cell>
          <cell r="P212">
            <v>9960.3733942591298</v>
          </cell>
          <cell r="Q212">
            <v>10789.42136670848</v>
          </cell>
          <cell r="R212">
            <v>12164.319522546019</v>
          </cell>
          <cell r="S212">
            <v>13150.898316464143</v>
          </cell>
          <cell r="T212">
            <v>14434.412377130428</v>
          </cell>
        </row>
        <row r="213">
          <cell r="A213" t="str">
            <v>New Cash post dividend and Interest payment</v>
          </cell>
          <cell r="I213">
            <v>7391.2799999999806</v>
          </cell>
          <cell r="J213">
            <v>-349.20999999996758</v>
          </cell>
          <cell r="K213">
            <v>-630.63671923789866</v>
          </cell>
          <cell r="L213">
            <v>24480.256752707781</v>
          </cell>
          <cell r="M213">
            <v>1645.9057117443635</v>
          </cell>
          <cell r="N213">
            <v>5859.5545927464718</v>
          </cell>
          <cell r="O213">
            <v>6432.9842373721031</v>
          </cell>
          <cell r="P213">
            <v>6384.5257619078347</v>
          </cell>
          <cell r="Q213">
            <v>7184.201298082844</v>
          </cell>
          <cell r="R213">
            <v>8459.2311564790107</v>
          </cell>
          <cell r="S213">
            <v>9420.0814726834105</v>
          </cell>
          <cell r="T213">
            <v>10639.923810673637</v>
          </cell>
        </row>
        <row r="214">
          <cell r="A214" t="str">
            <v>Proceeds from Issue of Share Capital</v>
          </cell>
          <cell r="B214">
            <v>0</v>
          </cell>
          <cell r="C214">
            <v>6949.8866760000001</v>
          </cell>
          <cell r="D214">
            <v>0.1606179999998858</v>
          </cell>
          <cell r="E214">
            <v>2.705999999307096E-3</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Increase in Deferred Tax Liability</v>
          </cell>
          <cell r="H215">
            <v>580.32000000000062</v>
          </cell>
        </row>
        <row r="216">
          <cell r="A216" t="str">
            <v>Repayment of Long Term Borrowings</v>
          </cell>
          <cell r="B216">
            <v>6558.8133959999977</v>
          </cell>
          <cell r="C216">
            <v>-10546.998728999999</v>
          </cell>
          <cell r="D216">
            <v>-27291.778981000003</v>
          </cell>
          <cell r="E216">
            <v>-7299.2999999999956</v>
          </cell>
          <cell r="F216">
            <v>-2092</v>
          </cell>
          <cell r="G216">
            <v>-2620</v>
          </cell>
          <cell r="H216">
            <v>-26190</v>
          </cell>
          <cell r="I216">
            <v>0</v>
          </cell>
          <cell r="J216">
            <v>0</v>
          </cell>
          <cell r="K216">
            <v>0</v>
          </cell>
          <cell r="L216">
            <v>0</v>
          </cell>
          <cell r="M216">
            <v>0</v>
          </cell>
          <cell r="N216">
            <v>0</v>
          </cell>
          <cell r="O216">
            <v>0</v>
          </cell>
          <cell r="P216">
            <v>0</v>
          </cell>
          <cell r="Q216">
            <v>0</v>
          </cell>
          <cell r="R216">
            <v>0</v>
          </cell>
          <cell r="S216">
            <v>0</v>
          </cell>
          <cell r="T216">
            <v>0</v>
          </cell>
        </row>
        <row r="217">
          <cell r="A217" t="str">
            <v>Interest on Long Term Loans</v>
          </cell>
          <cell r="B217">
            <v>-1476.16</v>
          </cell>
          <cell r="C217">
            <v>-866.24199999999996</v>
          </cell>
          <cell r="D217">
            <v>-729.21500000000003</v>
          </cell>
          <cell r="E217">
            <v>-84.16</v>
          </cell>
          <cell r="F217">
            <v>-83.03</v>
          </cell>
          <cell r="G217">
            <v>-288.35000000000002</v>
          </cell>
          <cell r="H217">
            <v>-328.19</v>
          </cell>
          <cell r="I217">
            <v>-346.2</v>
          </cell>
          <cell r="J217">
            <v>-358.12</v>
          </cell>
          <cell r="K217">
            <v>-249.97</v>
          </cell>
          <cell r="L217">
            <v>0</v>
          </cell>
          <cell r="M217">
            <v>0</v>
          </cell>
          <cell r="N217">
            <v>0</v>
          </cell>
          <cell r="O217">
            <v>0</v>
          </cell>
          <cell r="P217">
            <v>0</v>
          </cell>
          <cell r="Q217">
            <v>0</v>
          </cell>
          <cell r="R217">
            <v>0</v>
          </cell>
          <cell r="S217">
            <v>0</v>
          </cell>
          <cell r="T217">
            <v>0</v>
          </cell>
        </row>
        <row r="218">
          <cell r="A218" t="str">
            <v>Dividends Paid</v>
          </cell>
          <cell r="B218">
            <v>-1200</v>
          </cell>
          <cell r="C218">
            <v>-1827.0409999999999</v>
          </cell>
          <cell r="D218">
            <v>-1890</v>
          </cell>
          <cell r="E218">
            <v>-1890</v>
          </cell>
          <cell r="F218">
            <v>-2835</v>
          </cell>
          <cell r="G218">
            <v>-2835</v>
          </cell>
          <cell r="H218">
            <v>-2835</v>
          </cell>
          <cell r="I218">
            <v>-2835</v>
          </cell>
          <cell r="J218">
            <v>-2835</v>
          </cell>
          <cell r="K218">
            <v>-1800.3782222222212</v>
          </cell>
          <cell r="L218">
            <v>-2625.9480524156797</v>
          </cell>
          <cell r="M218">
            <v>-2797.6529223060634</v>
          </cell>
          <cell r="N218">
            <v>-2970.4108298018673</v>
          </cell>
          <cell r="O218">
            <v>-3096.9714200941294</v>
          </cell>
          <cell r="P218">
            <v>-3178.5312287567067</v>
          </cell>
          <cell r="Q218">
            <v>-3204.6400610005653</v>
          </cell>
          <cell r="R218">
            <v>-3293.4118809484517</v>
          </cell>
          <cell r="S218">
            <v>-3316.2816389162076</v>
          </cell>
          <cell r="T218">
            <v>-3372.8787257393687</v>
          </cell>
        </row>
        <row r="219">
          <cell r="A219" t="str">
            <v>Dividend Tax</v>
          </cell>
          <cell r="B219">
            <v>-120</v>
          </cell>
          <cell r="C219">
            <v>-182.70410000000001</v>
          </cell>
          <cell r="D219">
            <v>-207.9</v>
          </cell>
          <cell r="E219">
            <v>-277.2</v>
          </cell>
          <cell r="F219">
            <v>-289.17</v>
          </cell>
          <cell r="G219">
            <v>0</v>
          </cell>
          <cell r="H219">
            <v>-363.23</v>
          </cell>
          <cell r="I219">
            <v>-363.23</v>
          </cell>
          <cell r="J219">
            <v>-392.82</v>
          </cell>
          <cell r="K219">
            <v>-225.04727777777771</v>
          </cell>
          <cell r="L219">
            <v>-328.24350655195985</v>
          </cell>
          <cell r="M219">
            <v>-349.70661528825804</v>
          </cell>
          <cell r="N219">
            <v>-371.30135372523364</v>
          </cell>
          <cell r="O219">
            <v>-387.12142751176634</v>
          </cell>
          <cell r="P219">
            <v>-397.31640359458834</v>
          </cell>
          <cell r="Q219">
            <v>-400.58000762507072</v>
          </cell>
          <cell r="R219">
            <v>-411.67648511855668</v>
          </cell>
          <cell r="S219">
            <v>-414.53520486452589</v>
          </cell>
          <cell r="T219">
            <v>-421.60984071742132</v>
          </cell>
        </row>
        <row r="220">
          <cell r="A220" t="str">
            <v>Total Cash from Financing Activities</v>
          </cell>
          <cell r="B220">
            <v>3762.6533959999979</v>
          </cell>
          <cell r="C220">
            <v>-6473.0991529999992</v>
          </cell>
          <cell r="D220">
            <v>-30118.733363000003</v>
          </cell>
          <cell r="E220">
            <v>-9550.6572939999969</v>
          </cell>
          <cell r="F220">
            <v>-5299.2000000000007</v>
          </cell>
          <cell r="G220">
            <v>-5743.35</v>
          </cell>
          <cell r="H220">
            <v>-29136.1</v>
          </cell>
          <cell r="I220">
            <v>-3544.43</v>
          </cell>
          <cell r="J220">
            <v>-3585.94</v>
          </cell>
          <cell r="K220">
            <v>-2275.3954999999987</v>
          </cell>
          <cell r="L220">
            <v>-2954.1915589676396</v>
          </cell>
          <cell r="M220">
            <v>-3147.3595375943214</v>
          </cell>
          <cell r="N220">
            <v>-3341.7121835271009</v>
          </cell>
          <cell r="O220">
            <v>-3484.0928476058957</v>
          </cell>
          <cell r="P220">
            <v>-3575.847632351295</v>
          </cell>
          <cell r="Q220">
            <v>-3605.220068625636</v>
          </cell>
          <cell r="R220">
            <v>-3705.0883660670083</v>
          </cell>
          <cell r="S220">
            <v>-3730.8168437807335</v>
          </cell>
          <cell r="T220">
            <v>-3794.4885664567901</v>
          </cell>
        </row>
        <row r="222">
          <cell r="A222" t="str">
            <v>Net change in cash &amp; cash equivalents</v>
          </cell>
          <cell r="B222">
            <v>659.44914099998641</v>
          </cell>
          <cell r="C222">
            <v>9563.7183970000042</v>
          </cell>
          <cell r="D222">
            <v>279.09599500001059</v>
          </cell>
          <cell r="E222">
            <v>4786.6777810000094</v>
          </cell>
          <cell r="F222">
            <v>6477.4599999999809</v>
          </cell>
          <cell r="G222">
            <v>-382.19000000000051</v>
          </cell>
          <cell r="H222">
            <v>-6292.2499999999745</v>
          </cell>
          <cell r="I222">
            <v>7391.2799999999806</v>
          </cell>
          <cell r="J222">
            <v>-349.20999999996775</v>
          </cell>
          <cell r="K222">
            <v>-630.63671923789843</v>
          </cell>
          <cell r="L222">
            <v>24480.256752707781</v>
          </cell>
          <cell r="M222">
            <v>1645.9057117443635</v>
          </cell>
          <cell r="N222">
            <v>5859.5545927464718</v>
          </cell>
          <cell r="O222">
            <v>6432.9842373721021</v>
          </cell>
          <cell r="P222">
            <v>6384.5257619078347</v>
          </cell>
          <cell r="Q222">
            <v>7184.201298082844</v>
          </cell>
          <cell r="R222">
            <v>8459.2311564790107</v>
          </cell>
          <cell r="S222">
            <v>9420.0814726834105</v>
          </cell>
          <cell r="T222">
            <v>10639.923810673637</v>
          </cell>
        </row>
        <row r="223">
          <cell r="A223" t="str">
            <v>Check</v>
          </cell>
          <cell r="B223">
            <v>659.4500479000003</v>
          </cell>
          <cell r="C223">
            <v>9563.7205730999995</v>
          </cell>
          <cell r="D223">
            <v>279.2723619999997</v>
          </cell>
          <cell r="E223">
            <v>4786.5998250000011</v>
          </cell>
          <cell r="F223">
            <v>6477.5299999999988</v>
          </cell>
          <cell r="G223">
            <v>-381.83000000000175</v>
          </cell>
          <cell r="H223">
            <v>-6291.869999999999</v>
          </cell>
          <cell r="I223">
            <v>7376.0499999999993</v>
          </cell>
          <cell r="J223">
            <v>-356.70999999999913</v>
          </cell>
          <cell r="K223">
            <v>-630.63671923790025</v>
          </cell>
          <cell r="L223">
            <v>24480.256752707777</v>
          </cell>
          <cell r="M223">
            <v>1645.9057117443663</v>
          </cell>
          <cell r="N223">
            <v>5859.55459274647</v>
          </cell>
          <cell r="O223">
            <v>6432.984237372104</v>
          </cell>
          <cell r="P223">
            <v>6384.5257619078402</v>
          </cell>
          <cell r="Q223">
            <v>7184.201298082844</v>
          </cell>
          <cell r="R223">
            <v>8459.2311564790143</v>
          </cell>
          <cell r="S223">
            <v>9420.0814726834069</v>
          </cell>
          <cell r="T223">
            <v>10639.923810673645</v>
          </cell>
        </row>
        <row r="224">
          <cell r="A224" t="str">
            <v>Net Change in Cash</v>
          </cell>
        </row>
        <row r="225">
          <cell r="A225" t="str">
            <v>Beginning balance</v>
          </cell>
          <cell r="B225">
            <v>3061.7671919999998</v>
          </cell>
          <cell r="C225">
            <v>3721.2172399000001</v>
          </cell>
          <cell r="D225">
            <v>13284.937813</v>
          </cell>
          <cell r="E225">
            <v>13564.210175</v>
          </cell>
          <cell r="F225">
            <v>18350.810000000001</v>
          </cell>
          <cell r="G225">
            <v>24828.34</v>
          </cell>
          <cell r="H225">
            <v>24446.51</v>
          </cell>
          <cell r="I225">
            <v>18154.64</v>
          </cell>
          <cell r="J225">
            <v>25530.69</v>
          </cell>
          <cell r="K225">
            <v>25173.98</v>
          </cell>
          <cell r="L225">
            <v>24543.343280762092</v>
          </cell>
          <cell r="M225">
            <v>49023.600033469877</v>
          </cell>
          <cell r="N225">
            <v>50669.505745214243</v>
          </cell>
          <cell r="O225">
            <v>56529.060337960713</v>
          </cell>
          <cell r="P225">
            <v>62962.044575332817</v>
          </cell>
          <cell r="Q225">
            <v>69346.570337240672</v>
          </cell>
          <cell r="R225">
            <v>76530.771635323516</v>
          </cell>
          <cell r="S225">
            <v>84990.002791802501</v>
          </cell>
          <cell r="T225">
            <v>94410.084264485922</v>
          </cell>
        </row>
        <row r="226">
          <cell r="A226" t="str">
            <v>Ending Balance</v>
          </cell>
          <cell r="B226">
            <v>3721.2172399000001</v>
          </cell>
          <cell r="C226">
            <v>13284.937813</v>
          </cell>
          <cell r="D226">
            <v>13564.210175</v>
          </cell>
          <cell r="E226">
            <v>18350.810000000001</v>
          </cell>
          <cell r="F226">
            <v>24828.34</v>
          </cell>
          <cell r="G226">
            <v>24446.51</v>
          </cell>
          <cell r="H226">
            <v>18154.64</v>
          </cell>
          <cell r="I226">
            <v>25530.69</v>
          </cell>
          <cell r="J226">
            <v>25173.98</v>
          </cell>
          <cell r="K226">
            <v>24543.343280762092</v>
          </cell>
          <cell r="L226">
            <v>49023.600033469877</v>
          </cell>
          <cell r="M226">
            <v>50669.505745214243</v>
          </cell>
          <cell r="N226">
            <v>56529.060337960713</v>
          </cell>
          <cell r="O226">
            <v>62962.044575332817</v>
          </cell>
          <cell r="P226">
            <v>69346.570337240672</v>
          </cell>
          <cell r="Q226">
            <v>76530.771635323516</v>
          </cell>
          <cell r="R226">
            <v>84990.002791802501</v>
          </cell>
          <cell r="S226">
            <v>94410.084264485922</v>
          </cell>
          <cell r="T226">
            <v>105050.00807515957</v>
          </cell>
        </row>
        <row r="229">
          <cell r="A229" t="str">
            <v>Free cash Flow pre dividend</v>
          </cell>
          <cell r="J229">
            <v>3236.7300000000323</v>
          </cell>
          <cell r="K229">
            <v>1644.7587807621003</v>
          </cell>
          <cell r="L229">
            <v>27434.44831167542</v>
          </cell>
          <cell r="M229">
            <v>4793.265249338685</v>
          </cell>
          <cell r="N229">
            <v>9201.2667762735728</v>
          </cell>
          <cell r="O229">
            <v>9917.0770849779983</v>
          </cell>
          <cell r="P229">
            <v>9960.3733942591298</v>
          </cell>
          <cell r="Q229">
            <v>10789.42136670848</v>
          </cell>
          <cell r="R229">
            <v>12164.319522546019</v>
          </cell>
          <cell r="S229">
            <v>13150.898316464143</v>
          </cell>
          <cell r="T229">
            <v>14434.412377130428</v>
          </cell>
        </row>
        <row r="230">
          <cell r="A230" t="str">
            <v>FCF yield</v>
          </cell>
          <cell r="J230">
            <v>3.3178344634592946E-2</v>
          </cell>
          <cell r="K230">
            <v>1.6859723754807265E-2</v>
          </cell>
          <cell r="L230">
            <v>0.28121887860423472</v>
          </cell>
          <cell r="M230">
            <v>4.9133726436117749E-2</v>
          </cell>
          <cell r="N230">
            <v>9.4318278070160813E-2</v>
          </cell>
          <cell r="O230">
            <v>0.10165574554974346</v>
          </cell>
          <cell r="P230">
            <v>0.102099557628828</v>
          </cell>
          <cell r="Q230">
            <v>0.11059777630895727</v>
          </cell>
          <cell r="R230">
            <v>0.12469127340381649</v>
          </cell>
          <cell r="S230">
            <v>0.13480427363361516</v>
          </cell>
          <cell r="T230">
            <v>0.14796103117846177</v>
          </cell>
        </row>
        <row r="231">
          <cell r="A231" t="str">
            <v>FCF pre dividend core</v>
          </cell>
          <cell r="J231">
            <v>-215.87932707062055</v>
          </cell>
          <cell r="K231">
            <v>-834.85601640187497</v>
          </cell>
          <cell r="L231">
            <v>24706.423033427669</v>
          </cell>
          <cell r="M231">
            <v>2309.8781618440203</v>
          </cell>
          <cell r="N231">
            <v>6583.6373364795609</v>
          </cell>
          <cell r="O231">
            <v>7159.0868219138429</v>
          </cell>
          <cell r="P231">
            <v>7061.5920515566731</v>
          </cell>
          <cell r="Q231">
            <v>7736.1770605505953</v>
          </cell>
          <cell r="R231">
            <v>8928.8028500535147</v>
          </cell>
          <cell r="S231">
            <v>9717.0240862336341</v>
          </cell>
          <cell r="T231">
            <v>10775.692841382515</v>
          </cell>
        </row>
        <row r="232">
          <cell r="A232" t="str">
            <v>FCF yield on EV</v>
          </cell>
          <cell r="J232">
            <v>-3.1558135472448973E-3</v>
          </cell>
          <cell r="K232">
            <v>-1.2092789210900559E-2</v>
          </cell>
          <cell r="L232">
            <v>0.5544871609443196</v>
          </cell>
          <cell r="M232">
            <v>5.3829079511681983E-2</v>
          </cell>
          <cell r="N232">
            <v>0.17768743147175703</v>
          </cell>
          <cell r="O232">
            <v>0.23381339417462463</v>
          </cell>
          <cell r="P232">
            <v>0.29138856816974745</v>
          </cell>
          <cell r="Q232">
            <v>0.45373263952721909</v>
          </cell>
          <cell r="R232">
            <v>1.0393390353321064</v>
          </cell>
          <cell r="S232">
            <v>-11.718068707951549</v>
          </cell>
          <cell r="T232">
            <v>-0.93953651791765036</v>
          </cell>
        </row>
        <row r="233">
          <cell r="A233" t="str">
            <v>Operating Ratios</v>
          </cell>
        </row>
        <row r="234">
          <cell r="B234" t="str">
            <v>F1996</v>
          </cell>
          <cell r="C234" t="str">
            <v>F1997</v>
          </cell>
          <cell r="D234" t="str">
            <v>F1998</v>
          </cell>
          <cell r="E234" t="str">
            <v>F1999</v>
          </cell>
          <cell r="F234" t="str">
            <v>F2000</v>
          </cell>
          <cell r="G234" t="str">
            <v>F2001</v>
          </cell>
          <cell r="H234" t="str">
            <v>F2002</v>
          </cell>
          <cell r="I234" t="str">
            <v>F2003</v>
          </cell>
          <cell r="J234" t="str">
            <v>F2004</v>
          </cell>
          <cell r="K234" t="str">
            <v>F2005E</v>
          </cell>
          <cell r="L234" t="str">
            <v>F2006E</v>
          </cell>
          <cell r="M234" t="str">
            <v>F2007E</v>
          </cell>
          <cell r="N234" t="str">
            <v>F2008E</v>
          </cell>
          <cell r="O234" t="str">
            <v>F2009E</v>
          </cell>
          <cell r="P234" t="str">
            <v>F2010E</v>
          </cell>
          <cell r="Q234" t="str">
            <v>F2011E</v>
          </cell>
          <cell r="R234" t="str">
            <v>F2012E</v>
          </cell>
          <cell r="S234" t="str">
            <v>F2013E</v>
          </cell>
          <cell r="T234" t="str">
            <v>F2014E</v>
          </cell>
        </row>
        <row r="235">
          <cell r="A235" t="str">
            <v>Valuations</v>
          </cell>
        </row>
        <row r="236">
          <cell r="A236" t="str">
            <v>EPS (Rs)</v>
          </cell>
          <cell r="B236">
            <v>11.681345000000004</v>
          </cell>
          <cell r="C236">
            <v>14.367193333333343</v>
          </cell>
          <cell r="D236">
            <v>18.21130317460316</v>
          </cell>
          <cell r="E236">
            <v>20.448328571428576</v>
          </cell>
          <cell r="F236">
            <v>21.124869631185803</v>
          </cell>
          <cell r="G236">
            <v>24.71777777777778</v>
          </cell>
          <cell r="H236">
            <v>22.051047619047619</v>
          </cell>
          <cell r="I236">
            <v>14.893714285714291</v>
          </cell>
          <cell r="J236">
            <v>19.632539682539694</v>
          </cell>
          <cell r="K236">
            <v>15.05438095238094</v>
          </cell>
          <cell r="L236">
            <v>10.630047619047625</v>
          </cell>
          <cell r="M236">
            <v>13.397694144977969</v>
          </cell>
          <cell r="N236">
            <v>14.273739399520734</v>
          </cell>
          <cell r="O236">
            <v>15.15515729490749</v>
          </cell>
          <cell r="P236">
            <v>15.800874592316974</v>
          </cell>
          <cell r="Q236">
            <v>16.216996065085237</v>
          </cell>
          <cell r="R236">
            <v>16.35020439286005</v>
          </cell>
          <cell r="S236">
            <v>16.803121841573724</v>
          </cell>
          <cell r="T236">
            <v>16.919804280184735</v>
          </cell>
        </row>
        <row r="237">
          <cell r="A237" t="str">
            <v>EPS Growth</v>
          </cell>
          <cell r="C237">
            <v>0.22992629130749398</v>
          </cell>
          <cell r="D237">
            <v>0.2675616421441962</v>
          </cell>
          <cell r="E237">
            <v>0.12283719486615841</v>
          </cell>
          <cell r="F237">
            <v>3.3085396559136004E-2</v>
          </cell>
          <cell r="G237">
            <v>0.17007954175906059</v>
          </cell>
          <cell r="H237">
            <v>-0.10788713219712054</v>
          </cell>
          <cell r="I237">
            <v>-0.32458019487250345</v>
          </cell>
          <cell r="J237">
            <v>0.31817619875861158</v>
          </cell>
          <cell r="K237">
            <v>-0.2331923838784018</v>
          </cell>
          <cell r="L237">
            <v>-0.29389008736580302</v>
          </cell>
          <cell r="M237">
            <v>0.2603606893511079</v>
          </cell>
          <cell r="N237">
            <v>6.5387763376516972E-2</v>
          </cell>
          <cell r="O237">
            <v>6.1751014973437934E-2</v>
          </cell>
          <cell r="P237">
            <v>4.2607099672034465E-2</v>
          </cell>
          <cell r="Q237">
            <v>2.6335344308763498E-2</v>
          </cell>
          <cell r="R237">
            <v>8.2141185235660163E-3</v>
          </cell>
          <cell r="S237">
            <v>2.7701026716917321E-2</v>
          </cell>
          <cell r="T237">
            <v>6.9440928722137585E-3</v>
          </cell>
        </row>
        <row r="238">
          <cell r="A238" t="str">
            <v>P/E</v>
          </cell>
          <cell r="B238">
            <v>13.25617897596552</v>
          </cell>
          <cell r="C238">
            <v>10.778027162809337</v>
          </cell>
          <cell r="D238">
            <v>8.5029609641526562</v>
          </cell>
          <cell r="E238">
            <v>7.5727460784430143</v>
          </cell>
          <cell r="F238">
            <v>7.3302227518318555</v>
          </cell>
          <cell r="G238">
            <v>6.2647217477299284</v>
          </cell>
          <cell r="H238">
            <v>7.0223420979890809</v>
          </cell>
          <cell r="I238">
            <v>10.397003529772864</v>
          </cell>
          <cell r="J238">
            <v>7.8874156122407681</v>
          </cell>
          <cell r="K238">
            <v>10.286042348058791</v>
          </cell>
          <cell r="L238">
            <v>14.567197208273036</v>
          </cell>
          <cell r="M238">
            <v>11.557959028199225</v>
          </cell>
          <cell r="N238">
            <v>10.848593747283866</v>
          </cell>
          <cell r="O238">
            <v>10.217643867809505</v>
          </cell>
          <cell r="P238">
            <v>9.8000904377340188</v>
          </cell>
          <cell r="Q238">
            <v>9.5486241335032407</v>
          </cell>
          <cell r="R238">
            <v>9.4708296165166743</v>
          </cell>
          <cell r="S238">
            <v>9.2155494353957064</v>
          </cell>
          <cell r="T238">
            <v>9.15199711744593</v>
          </cell>
        </row>
        <row r="239">
          <cell r="A239" t="str">
            <v>CEPS (Rs)</v>
          </cell>
          <cell r="B239">
            <v>19.43870166666667</v>
          </cell>
          <cell r="C239">
            <v>22.951151666666679</v>
          </cell>
          <cell r="D239">
            <v>27.506857142857125</v>
          </cell>
          <cell r="E239">
            <v>30.877715873015877</v>
          </cell>
          <cell r="F239">
            <v>32.383298202614377</v>
          </cell>
          <cell r="G239">
            <v>36.928031746031749</v>
          </cell>
          <cell r="H239">
            <v>35.070412698412696</v>
          </cell>
          <cell r="I239">
            <v>29.577428571428577</v>
          </cell>
          <cell r="J239">
            <v>29.470190476190488</v>
          </cell>
          <cell r="K239">
            <v>24.555301587301575</v>
          </cell>
          <cell r="L239">
            <v>19.326412698412703</v>
          </cell>
          <cell r="M239">
            <v>26.60123706460303</v>
          </cell>
          <cell r="N239">
            <v>27.912410940717827</v>
          </cell>
          <cell r="O239">
            <v>29.019374910326459</v>
          </cell>
          <cell r="P239">
            <v>29.920820990730096</v>
          </cell>
          <cell r="Q239">
            <v>31.916816819487028</v>
          </cell>
          <cell r="R239">
            <v>33.684658670906728</v>
          </cell>
          <cell r="S239">
            <v>35.739660065478439</v>
          </cell>
          <cell r="T239">
            <v>37.463730775156584</v>
          </cell>
        </row>
        <row r="240">
          <cell r="A240" t="str">
            <v>P/CE</v>
          </cell>
          <cell r="B240">
            <v>7.9660670067042352</v>
          </cell>
          <cell r="C240">
            <v>6.746938116613026</v>
          </cell>
          <cell r="D240">
            <v>5.6295053700895394</v>
          </cell>
          <cell r="E240">
            <v>5.0149434834110851</v>
          </cell>
          <cell r="F240">
            <v>4.7817859388855766</v>
          </cell>
          <cell r="G240">
            <v>4.1932914557960439</v>
          </cell>
          <cell r="H240">
            <v>4.4154028448889218</v>
          </cell>
          <cell r="I240">
            <v>5.2354111726123191</v>
          </cell>
          <cell r="J240">
            <v>5.25446213607293</v>
          </cell>
          <cell r="K240">
            <v>6.3061738195094481</v>
          </cell>
          <cell r="L240">
            <v>8.0123508907950605</v>
          </cell>
          <cell r="M240">
            <v>5.8211578515666602</v>
          </cell>
          <cell r="N240">
            <v>5.5477113864825354</v>
          </cell>
          <cell r="O240">
            <v>5.336090128698709</v>
          </cell>
          <cell r="P240">
            <v>5.1753259059293448</v>
          </cell>
          <cell r="Q240">
            <v>4.8516743031045397</v>
          </cell>
          <cell r="R240">
            <v>4.5970482145257172</v>
          </cell>
          <cell r="S240">
            <v>4.3327216799572277</v>
          </cell>
          <cell r="T240">
            <v>4.1333310056425576</v>
          </cell>
        </row>
        <row r="241">
          <cell r="A241" t="str">
            <v>Book Value (Rs)</v>
          </cell>
          <cell r="B241">
            <v>45.614340569999996</v>
          </cell>
          <cell r="C241">
            <v>58.96076041333334</v>
          </cell>
          <cell r="D241">
            <v>81.933165080952378</v>
          </cell>
          <cell r="E241">
            <v>99.194536088888896</v>
          </cell>
          <cell r="F241">
            <v>113.0219365079365</v>
          </cell>
          <cell r="G241">
            <v>132.5103015873016</v>
          </cell>
          <cell r="H241">
            <v>141.8990634920635</v>
          </cell>
          <cell r="I241">
            <v>150.74560317460316</v>
          </cell>
          <cell r="J241">
            <v>163.93060317460316</v>
          </cell>
          <cell r="K241">
            <v>173.71150793650793</v>
          </cell>
          <cell r="L241">
            <v>179.68214999999998</v>
          </cell>
          <cell r="M241">
            <v>188.39065119423566</v>
          </cell>
          <cell r="N241">
            <v>197.66858180392413</v>
          </cell>
          <cell r="O241">
            <v>207.51943404561402</v>
          </cell>
          <cell r="P241">
            <v>217.79000253062006</v>
          </cell>
          <cell r="Q241">
            <v>228.33104997292546</v>
          </cell>
          <cell r="R241">
            <v>238.95868282828448</v>
          </cell>
          <cell r="S241">
            <v>249.88071202530742</v>
          </cell>
          <cell r="T241">
            <v>260.8785848074275</v>
          </cell>
        </row>
        <row r="242">
          <cell r="A242" t="str">
            <v>P/BV</v>
          </cell>
          <cell r="B242">
            <v>3.3947657264137452</v>
          </cell>
          <cell r="C242">
            <v>2.6263229801388781</v>
          </cell>
          <cell r="D242">
            <v>1.8899550608963249</v>
          </cell>
          <cell r="E242">
            <v>1.561073886783823</v>
          </cell>
          <cell r="F242">
            <v>1.3700880093230954</v>
          </cell>
          <cell r="G242">
            <v>1.1685883900730567</v>
          </cell>
          <cell r="H242">
            <v>1.091268653853102</v>
          </cell>
          <cell r="I242">
            <v>1.0272273070587861</v>
          </cell>
          <cell r="J242">
            <v>0.94460702883566294</v>
          </cell>
          <cell r="K242">
            <v>0.89142050425696684</v>
          </cell>
          <cell r="L242">
            <v>0.86179957218900161</v>
          </cell>
          <cell r="M242">
            <v>0.82196223123803325</v>
          </cell>
          <cell r="N242">
            <v>0.78338195471854144</v>
          </cell>
          <cell r="O242">
            <v>0.74619517305527649</v>
          </cell>
          <cell r="P242">
            <v>0.71100600670698344</v>
          </cell>
          <cell r="Q242">
            <v>0.67818196438181078</v>
          </cell>
          <cell r="R242">
            <v>0.64801997637087361</v>
          </cell>
          <cell r="S242">
            <v>0.61969568897465399</v>
          </cell>
          <cell r="T242">
            <v>0.59357114388789511</v>
          </cell>
        </row>
        <row r="243">
          <cell r="A243" t="str">
            <v>DPS (Rs)</v>
          </cell>
          <cell r="B243">
            <v>2</v>
          </cell>
          <cell r="C243">
            <v>2</v>
          </cell>
          <cell r="D243">
            <v>2.9000650793650791</v>
          </cell>
          <cell r="E243">
            <v>3</v>
          </cell>
          <cell r="F243">
            <v>3</v>
          </cell>
          <cell r="G243">
            <v>4.5</v>
          </cell>
          <cell r="H243">
            <v>4.5</v>
          </cell>
          <cell r="I243">
            <v>4.5</v>
          </cell>
          <cell r="J243">
            <v>4.5</v>
          </cell>
          <cell r="K243">
            <v>4.5</v>
          </cell>
          <cell r="L243">
            <v>2.8577432098765416</v>
          </cell>
          <cell r="M243">
            <v>4.1681715117709199</v>
          </cell>
          <cell r="N243">
            <v>4.4407189242953384</v>
          </cell>
          <cell r="O243">
            <v>4.7149378250823286</v>
          </cell>
          <cell r="P243">
            <v>4.9158276509430623</v>
          </cell>
          <cell r="Q243">
            <v>5.045287664693185</v>
          </cell>
          <cell r="R243">
            <v>5.0867302555564526</v>
          </cell>
          <cell r="S243">
            <v>5.2276379062673834</v>
          </cell>
          <cell r="T243">
            <v>5.2639391093908054</v>
          </cell>
        </row>
        <row r="244">
          <cell r="A244" t="str">
            <v>Yield (%)</v>
          </cell>
          <cell r="B244">
            <v>1.2915724895059736E-2</v>
          </cell>
          <cell r="C244">
            <v>1.2915724895059736E-2</v>
          </cell>
          <cell r="D244">
            <v>1.8728221371424471E-2</v>
          </cell>
          <cell r="E244">
            <v>1.9373587342589604E-2</v>
          </cell>
          <cell r="F244">
            <v>1.9373587342589604E-2</v>
          </cell>
          <cell r="G244">
            <v>2.9060381013884404E-2</v>
          </cell>
          <cell r="H244">
            <v>2.9060381013884404E-2</v>
          </cell>
          <cell r="I244">
            <v>2.9060381013884404E-2</v>
          </cell>
          <cell r="J244">
            <v>2.9060381013884404E-2</v>
          </cell>
          <cell r="K244">
            <v>2.9060381013884404E-2</v>
          </cell>
          <cell r="L244">
            <v>1.8454912559745185E-2</v>
          </cell>
          <cell r="M244">
            <v>2.6917478280729223E-2</v>
          </cell>
          <cell r="N244">
            <v>2.8677551981242097E-2</v>
          </cell>
          <cell r="O244">
            <v>3.0448419923037318E-2</v>
          </cell>
          <cell r="P244">
            <v>3.1745738785554166E-2</v>
          </cell>
          <cell r="Q244">
            <v>3.2581773746807784E-2</v>
          </cell>
          <cell r="R244">
            <v>3.2849404298072024E-2</v>
          </cell>
          <cell r="S244">
            <v>3.3759366524167798E-2</v>
          </cell>
          <cell r="T244">
            <v>3.3993794700618703E-2</v>
          </cell>
        </row>
        <row r="245">
          <cell r="A245" t="str">
            <v>EV/EBITDA</v>
          </cell>
          <cell r="B245">
            <v>5.9646667551934005</v>
          </cell>
          <cell r="C245">
            <v>4.9258655085428371</v>
          </cell>
          <cell r="D245">
            <v>3.9216695867750881</v>
          </cell>
          <cell r="E245">
            <v>3.5199931226048466</v>
          </cell>
          <cell r="F245">
            <v>3.8979872152428694</v>
          </cell>
          <cell r="G245">
            <v>3.4566944955971937</v>
          </cell>
          <cell r="H245">
            <v>2.9480334881230235</v>
          </cell>
          <cell r="I245">
            <v>3.9781464843886996</v>
          </cell>
          <cell r="J245">
            <v>3.6892626167736</v>
          </cell>
          <cell r="K245">
            <v>5.0755671599266368</v>
          </cell>
          <cell r="L245">
            <v>5.9917156782441738</v>
          </cell>
          <cell r="M245">
            <v>3.0341625072751977</v>
          </cell>
          <cell r="N245">
            <v>2.6199437701128891</v>
          </cell>
          <cell r="O245">
            <v>2.1295878327394022</v>
          </cell>
          <cell r="P245">
            <v>1.6852155785237672</v>
          </cell>
          <cell r="Q245">
            <v>1.2941412146966849</v>
          </cell>
          <cell r="R245">
            <v>0.89684224732690809</v>
          </cell>
          <cell r="S245">
            <v>0.43954518492662492</v>
          </cell>
          <cell r="T245">
            <v>-4.198103030712047E-2</v>
          </cell>
        </row>
        <row r="247">
          <cell r="A247" t="str">
            <v>Profitability Ratios</v>
          </cell>
        </row>
        <row r="248">
          <cell r="A248" t="str">
            <v>OPM (%)</v>
          </cell>
          <cell r="B248">
            <v>0.51542356172163872</v>
          </cell>
          <cell r="C248">
            <v>0.49832857613580944</v>
          </cell>
          <cell r="D248">
            <v>0.47683776161547231</v>
          </cell>
          <cell r="E248">
            <v>0.47551140161718647</v>
          </cell>
          <cell r="F248">
            <v>0.39305024235178737</v>
          </cell>
          <cell r="G248">
            <v>0.37681996728544948</v>
          </cell>
          <cell r="H248">
            <v>0.40365402729663802</v>
          </cell>
          <cell r="I248">
            <v>0.34373817064580742</v>
          </cell>
          <cell r="J248">
            <v>0.30649839739564239</v>
          </cell>
          <cell r="K248">
            <v>0.24100057488888896</v>
          </cell>
          <cell r="L248">
            <v>0.22484676404297052</v>
          </cell>
          <cell r="M248">
            <v>0.27220910369897555</v>
          </cell>
          <cell r="N248">
            <v>0.29004667162211784</v>
          </cell>
          <cell r="O248">
            <v>0.30086332222042717</v>
          </cell>
          <cell r="P248">
            <v>0.3097742596336488</v>
          </cell>
          <cell r="Q248">
            <v>0.3141340661238935</v>
          </cell>
          <cell r="R248">
            <v>0.31520494613760636</v>
          </cell>
          <cell r="S248">
            <v>0.31947473079095623</v>
          </cell>
          <cell r="T248">
            <v>0.32013722584003806</v>
          </cell>
        </row>
        <row r="249">
          <cell r="A249" t="str">
            <v>NPM (%)</v>
          </cell>
          <cell r="B249">
            <v>0.20326474972298658</v>
          </cell>
          <cell r="C249">
            <v>0.21385721103802149</v>
          </cell>
          <cell r="D249">
            <v>0.24649052794994342</v>
          </cell>
          <cell r="E249">
            <v>0.25598788580657833</v>
          </cell>
          <cell r="F249">
            <v>0.25681516676512017</v>
          </cell>
          <cell r="G249">
            <v>0.26920181959560779</v>
          </cell>
          <cell r="H249">
            <v>0.22612089450520512</v>
          </cell>
          <cell r="I249">
            <v>0.16159461847265066</v>
          </cell>
          <cell r="J249">
            <v>0.19417919276969228</v>
          </cell>
          <cell r="K249">
            <v>0.16959240109541801</v>
          </cell>
          <cell r="L249">
            <v>0.13068582969879702</v>
          </cell>
          <cell r="M249">
            <v>0.15645653683326821</v>
          </cell>
          <cell r="N249">
            <v>0.1592450897487305</v>
          </cell>
          <cell r="O249">
            <v>0.16510362602020609</v>
          </cell>
          <cell r="P249">
            <v>0.16972046992829512</v>
          </cell>
          <cell r="Q249">
            <v>0.17138687091158258</v>
          </cell>
          <cell r="R249">
            <v>0.17078370783705335</v>
          </cell>
          <cell r="S249">
            <v>0.17303524439798829</v>
          </cell>
          <cell r="T249">
            <v>0.17276187765742917</v>
          </cell>
        </row>
        <row r="250">
          <cell r="A250" t="str">
            <v>ROCE (%)</v>
          </cell>
          <cell r="B250">
            <v>0.14208748231634774</v>
          </cell>
          <cell r="C250">
            <v>0.1493485632324891</v>
          </cell>
          <cell r="D250">
            <v>0.15341562365708963</v>
          </cell>
          <cell r="E250">
            <v>0.18015416770440451</v>
          </cell>
          <cell r="F250">
            <v>0.14792526334458175</v>
          </cell>
          <cell r="G250">
            <v>0.16124484024543032</v>
          </cell>
          <cell r="H250">
            <v>0.1646892709632386</v>
          </cell>
          <cell r="I250">
            <v>0.12311502237656438</v>
          </cell>
          <cell r="J250">
            <v>0.16505615328333101</v>
          </cell>
          <cell r="K250">
            <v>0.11169472796500031</v>
          </cell>
          <cell r="L250">
            <v>7.346322940597444E-2</v>
          </cell>
          <cell r="M250">
            <v>9.927074527994964E-2</v>
          </cell>
          <cell r="N250">
            <v>0.10007279631278522</v>
          </cell>
          <cell r="O250">
            <v>0.10076186959653377</v>
          </cell>
          <cell r="P250">
            <v>9.9866203429198622E-2</v>
          </cell>
          <cell r="Q250">
            <v>9.7420042255623326E-2</v>
          </cell>
          <cell r="R250">
            <v>9.3160690615620712E-2</v>
          </cell>
          <cell r="S250">
            <v>9.0654413802293318E-2</v>
          </cell>
          <cell r="T250">
            <v>8.6329066093629767E-2</v>
          </cell>
        </row>
        <row r="251">
          <cell r="A251" t="str">
            <v>RONW (%)</v>
          </cell>
          <cell r="B251">
            <v>0.25608930994132761</v>
          </cell>
          <cell r="C251">
            <v>0.27477273649724931</v>
          </cell>
          <cell r="D251">
            <v>0.26376703698943649</v>
          </cell>
          <cell r="E251">
            <v>0.22578908073541359</v>
          </cell>
          <cell r="F251">
            <v>0.19908793481191633</v>
          </cell>
          <cell r="G251">
            <v>0.20134038584530103</v>
          </cell>
          <cell r="H251">
            <v>0.16071643628248605</v>
          </cell>
          <cell r="I251">
            <v>0.10178702011117662</v>
          </cell>
          <cell r="J251">
            <v>0.12477930829477987</v>
          </cell>
          <cell r="K251">
            <v>8.9173598061213707E-2</v>
          </cell>
          <cell r="L251">
            <v>6.0159809777669875E-2</v>
          </cell>
          <cell r="M251">
            <v>7.2799153327865004E-2</v>
          </cell>
          <cell r="N251">
            <v>7.3945851721612735E-2</v>
          </cell>
          <cell r="O251">
            <v>7.4805555456186931E-2</v>
          </cell>
          <cell r="P251">
            <v>7.4302957956987464E-2</v>
          </cell>
          <cell r="Q251">
            <v>7.2702222744605194E-2</v>
          </cell>
          <cell r="R251">
            <v>6.9978872828415431E-2</v>
          </cell>
          <cell r="S251">
            <v>6.8747003692721131E-2</v>
          </cell>
          <cell r="T251">
            <v>6.6253534238558121E-2</v>
          </cell>
        </row>
        <row r="253">
          <cell r="A253" t="str">
            <v>Other Ratios</v>
          </cell>
        </row>
        <row r="254">
          <cell r="A254" t="str">
            <v>Debt/Equity (%)</v>
          </cell>
          <cell r="B254">
            <v>0.59039416522980848</v>
          </cell>
          <cell r="C254">
            <v>0.27580709728526331</v>
          </cell>
          <cell r="D254">
            <v>5.3668578205579839E-2</v>
          </cell>
          <cell r="E254">
            <v>3.8660603558689096E-3</v>
          </cell>
          <cell r="F254">
            <v>2.6964845425428022E-3</v>
          </cell>
          <cell r="G254">
            <v>3.1384202653785886E-2</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A255" t="str">
            <v>Effective Tax Rate</v>
          </cell>
          <cell r="B255">
            <v>0.42521584932416912</v>
          </cell>
          <cell r="C255">
            <v>0.38921555762575372</v>
          </cell>
          <cell r="D255">
            <v>0.31380001617245018</v>
          </cell>
          <cell r="E255">
            <v>0.31833303551344716</v>
          </cell>
          <cell r="F255">
            <v>0.10911280807910059</v>
          </cell>
          <cell r="G255">
            <v>9.4755321993698474E-2</v>
          </cell>
          <cell r="H255">
            <v>0.2622247713730364</v>
          </cell>
          <cell r="I255">
            <v>0.28903221504581145</v>
          </cell>
          <cell r="J255">
            <v>0.26735489557504499</v>
          </cell>
          <cell r="K255">
            <v>0.21983075957478504</v>
          </cell>
          <cell r="L255">
            <v>0.19474855619564307</v>
          </cell>
          <cell r="M255">
            <v>0.29999999999999982</v>
          </cell>
          <cell r="N255">
            <v>0.3</v>
          </cell>
          <cell r="O255">
            <v>0.3</v>
          </cell>
          <cell r="P255">
            <v>0.30000000000000016</v>
          </cell>
          <cell r="Q255">
            <v>0.3</v>
          </cell>
          <cell r="R255">
            <v>0.29999999999999971</v>
          </cell>
          <cell r="S255">
            <v>0.3000000000000001</v>
          </cell>
          <cell r="T255">
            <v>0.3</v>
          </cell>
        </row>
        <row r="257">
          <cell r="A257" t="str">
            <v>Revenue( Rs Million)</v>
          </cell>
        </row>
        <row r="258">
          <cell r="A258" t="str">
            <v>Wireline</v>
          </cell>
          <cell r="E258">
            <v>18545.079671579359</v>
          </cell>
          <cell r="F258">
            <v>51821.97</v>
          </cell>
          <cell r="G258">
            <v>57418.94</v>
          </cell>
          <cell r="H258">
            <v>59961.549999999996</v>
          </cell>
          <cell r="I258">
            <v>54813.61</v>
          </cell>
          <cell r="J258">
            <v>60423.47</v>
          </cell>
          <cell r="K258">
            <v>50933.91</v>
          </cell>
          <cell r="L258">
            <v>43192</v>
          </cell>
          <cell r="M258">
            <v>43986.706045776671</v>
          </cell>
          <cell r="N258">
            <v>44357.237558660927</v>
          </cell>
          <cell r="O258">
            <v>44623.186373827477</v>
          </cell>
          <cell r="P258">
            <v>44858.836935705454</v>
          </cell>
          <cell r="Q258">
            <v>45334.674958719959</v>
          </cell>
          <cell r="R258">
            <v>45603.983472967666</v>
          </cell>
          <cell r="S258">
            <v>46117.686377875587</v>
          </cell>
          <cell r="T258">
            <v>46399.406482416976</v>
          </cell>
        </row>
        <row r="259">
          <cell r="A259" t="str">
            <v>Wireless</v>
          </cell>
          <cell r="E259">
            <v>0</v>
          </cell>
          <cell r="F259">
            <v>0</v>
          </cell>
          <cell r="G259">
            <v>97.160000000000011</v>
          </cell>
          <cell r="H259">
            <v>638.6400000000001</v>
          </cell>
          <cell r="I259">
            <v>1979.1400000000003</v>
          </cell>
          <cell r="J259">
            <v>2274.56</v>
          </cell>
          <cell r="K259">
            <v>3858.16</v>
          </cell>
          <cell r="L259">
            <v>6354.5</v>
          </cell>
          <cell r="M259">
            <v>8176.8364580045072</v>
          </cell>
          <cell r="N259">
            <v>10301.408561222455</v>
          </cell>
          <cell r="O259">
            <v>11362.893794521206</v>
          </cell>
          <cell r="P259">
            <v>11883.346662110805</v>
          </cell>
          <cell r="Q259">
            <v>12264.950166683864</v>
          </cell>
          <cell r="R259">
            <v>12584.66364876107</v>
          </cell>
          <cell r="S259">
            <v>12809.755940589162</v>
          </cell>
          <cell r="T259">
            <v>12913.716231778704</v>
          </cell>
        </row>
        <row r="260">
          <cell r="A260" t="str">
            <v>GSM</v>
          </cell>
          <cell r="E260">
            <v>0</v>
          </cell>
          <cell r="F260">
            <v>0</v>
          </cell>
          <cell r="G260">
            <v>27.12</v>
          </cell>
          <cell r="H260">
            <v>530.81000000000006</v>
          </cell>
          <cell r="I260">
            <v>1633.2500000000002</v>
          </cell>
          <cell r="J260">
            <v>1851.94</v>
          </cell>
          <cell r="K260">
            <v>2840.02</v>
          </cell>
          <cell r="L260">
            <v>5610</v>
          </cell>
          <cell r="M260">
            <v>7338.3931851848847</v>
          </cell>
          <cell r="N260">
            <v>9129.7422441924518</v>
          </cell>
          <cell r="O260">
            <v>10063.65360198376</v>
          </cell>
          <cell r="P260">
            <v>10478.616305328615</v>
          </cell>
          <cell r="Q260">
            <v>10766.564255608244</v>
          </cell>
          <cell r="R260">
            <v>10998.809714544106</v>
          </cell>
          <cell r="S260">
            <v>11168.99535876862</v>
          </cell>
          <cell r="T260">
            <v>11251.523006892785</v>
          </cell>
        </row>
        <row r="261">
          <cell r="A261" t="str">
            <v>CDMA</v>
          </cell>
          <cell r="E261">
            <v>0</v>
          </cell>
          <cell r="F261">
            <v>0</v>
          </cell>
          <cell r="G261">
            <v>70.040000000000006</v>
          </cell>
          <cell r="H261">
            <v>107.83</v>
          </cell>
          <cell r="I261">
            <v>345.89</v>
          </cell>
          <cell r="J261">
            <v>422.62</v>
          </cell>
          <cell r="K261">
            <v>1018.14</v>
          </cell>
          <cell r="L261">
            <v>744.5</v>
          </cell>
          <cell r="M261">
            <v>838.44327281962205</v>
          </cell>
          <cell r="N261">
            <v>1171.6663170300037</v>
          </cell>
          <cell r="O261">
            <v>1299.2401925374447</v>
          </cell>
          <cell r="P261">
            <v>1404.7303567821918</v>
          </cell>
          <cell r="Q261">
            <v>1498.38591107562</v>
          </cell>
          <cell r="R261">
            <v>1585.8539342169638</v>
          </cell>
          <cell r="S261">
            <v>1640.7605818205425</v>
          </cell>
          <cell r="T261">
            <v>1662.1932248859198</v>
          </cell>
        </row>
        <row r="262">
          <cell r="A262" t="str">
            <v>VAS</v>
          </cell>
          <cell r="E262">
            <v>0</v>
          </cell>
          <cell r="F262">
            <v>0</v>
          </cell>
          <cell r="G262">
            <v>329.72</v>
          </cell>
          <cell r="H262">
            <v>836.68000000000006</v>
          </cell>
          <cell r="I262">
            <v>1272.55</v>
          </cell>
          <cell r="J262">
            <v>998.29</v>
          </cell>
          <cell r="K262">
            <v>1131.7800000000002</v>
          </cell>
          <cell r="L262">
            <v>1698</v>
          </cell>
          <cell r="M262">
            <v>1784.6496406672059</v>
          </cell>
          <cell r="N262">
            <v>1810.6355131457426</v>
          </cell>
          <cell r="O262">
            <v>1842.7472531836859</v>
          </cell>
          <cell r="P262">
            <v>1910.4409050817897</v>
          </cell>
          <cell r="Q262">
            <v>2012.3362031534639</v>
          </cell>
          <cell r="R262">
            <v>2125.237018377748</v>
          </cell>
          <cell r="S262">
            <v>2250.65349098365</v>
          </cell>
          <cell r="T262">
            <v>2387.2757825903918</v>
          </cell>
        </row>
        <row r="263">
          <cell r="A263" t="str">
            <v>Total</v>
          </cell>
          <cell r="E263">
            <v>18545.079671579359</v>
          </cell>
          <cell r="F263">
            <v>51821.97</v>
          </cell>
          <cell r="G263">
            <v>57845.82</v>
          </cell>
          <cell r="H263">
            <v>61436.869999999995</v>
          </cell>
          <cell r="I263">
            <v>58065.3</v>
          </cell>
          <cell r="J263">
            <v>63696.32</v>
          </cell>
          <cell r="K263">
            <v>55923.850000000006</v>
          </cell>
          <cell r="L263">
            <v>51244.5</v>
          </cell>
          <cell r="M263">
            <v>53948.192144448389</v>
          </cell>
          <cell r="N263">
            <v>56469.281633029124</v>
          </cell>
          <cell r="O263">
            <v>57828.827421532369</v>
          </cell>
          <cell r="P263">
            <v>58652.624502898048</v>
          </cell>
          <cell r="Q263">
            <v>59611.961328557285</v>
          </cell>
          <cell r="R263">
            <v>60313.884140106486</v>
          </cell>
          <cell r="S263">
            <v>61178.095809448401</v>
          </cell>
          <cell r="T263">
            <v>61700.398496786074</v>
          </cell>
        </row>
        <row r="265">
          <cell r="A265" t="str">
            <v>Revenue Contribution</v>
          </cell>
        </row>
        <row r="266">
          <cell r="A266" t="str">
            <v>Wireline</v>
          </cell>
          <cell r="E266">
            <v>1</v>
          </cell>
          <cell r="F266">
            <v>1</v>
          </cell>
          <cell r="G266">
            <v>0.99262038294210375</v>
          </cell>
          <cell r="H266">
            <v>0.97598640685959426</v>
          </cell>
          <cell r="I266">
            <v>0.9439994282299411</v>
          </cell>
          <cell r="J266">
            <v>0.94861791073644441</v>
          </cell>
          <cell r="K266">
            <v>0.91077259523441245</v>
          </cell>
          <cell r="L266">
            <v>0.84286118510279151</v>
          </cell>
          <cell r="M266">
            <v>0.8153508819721067</v>
          </cell>
          <cell r="N266">
            <v>0.78551092338876483</v>
          </cell>
          <cell r="O266">
            <v>0.77164259355554876</v>
          </cell>
          <cell r="P266">
            <v>0.76482233004746381</v>
          </cell>
          <cell r="Q266">
            <v>0.76049628209434961</v>
          </cell>
          <cell r="R266">
            <v>0.75611087103976971</v>
          </cell>
          <cell r="S266">
            <v>0.75382677031201628</v>
          </cell>
          <cell r="T266">
            <v>0.75201145556351445</v>
          </cell>
        </row>
        <row r="267">
          <cell r="A267" t="str">
            <v>Wireless</v>
          </cell>
          <cell r="E267">
            <v>0</v>
          </cell>
          <cell r="F267">
            <v>0</v>
          </cell>
          <cell r="G267">
            <v>1.6796373532262142E-3</v>
          </cell>
          <cell r="H267">
            <v>1.03950608160865E-2</v>
          </cell>
          <cell r="I267">
            <v>3.4084728745050835E-2</v>
          </cell>
          <cell r="J267">
            <v>3.5709441298963585E-2</v>
          </cell>
          <cell r="K267">
            <v>6.8989527723860203E-2</v>
          </cell>
          <cell r="L267">
            <v>0.12400355160065958</v>
          </cell>
          <cell r="M267">
            <v>0.15156831272697163</v>
          </cell>
          <cell r="N267">
            <v>0.18242499750868296</v>
          </cell>
          <cell r="O267">
            <v>0.19649185883873327</v>
          </cell>
          <cell r="P267">
            <v>0.20260554003893969</v>
          </cell>
          <cell r="Q267">
            <v>0.2057464625108435</v>
          </cell>
          <cell r="R267">
            <v>0.20865284715418847</v>
          </cell>
          <cell r="S267">
            <v>0.20938467879889147</v>
          </cell>
          <cell r="T267">
            <v>0.20929712848534307</v>
          </cell>
        </row>
        <row r="268">
          <cell r="A268" t="str">
            <v>GSM</v>
          </cell>
          <cell r="E268">
            <v>0</v>
          </cell>
          <cell r="F268">
            <v>0</v>
          </cell>
          <cell r="G268">
            <v>4.6883249299603671E-4</v>
          </cell>
          <cell r="H268">
            <v>8.6399258295547943E-3</v>
          </cell>
          <cell r="I268">
            <v>2.8127814718945741E-2</v>
          </cell>
          <cell r="J268">
            <v>2.9074521102631989E-2</v>
          </cell>
          <cell r="K268">
            <v>5.0783699620108411E-2</v>
          </cell>
          <cell r="L268">
            <v>0.10947516318824459</v>
          </cell>
          <cell r="M268">
            <v>0.13602667473149146</v>
          </cell>
          <cell r="N268">
            <v>0.16167625973220148</v>
          </cell>
          <cell r="O268">
            <v>0.1740248601035371</v>
          </cell>
          <cell r="P268">
            <v>0.17865554004000048</v>
          </cell>
          <cell r="Q268">
            <v>0.1806108038664799</v>
          </cell>
          <cell r="R268">
            <v>0.1823594993317684</v>
          </cell>
          <cell r="S268">
            <v>0.18256526639136861</v>
          </cell>
          <cell r="T268">
            <v>0.18235737987136125</v>
          </cell>
        </row>
        <row r="269">
          <cell r="A269" t="str">
            <v>CDMA</v>
          </cell>
          <cell r="E269">
            <v>0</v>
          </cell>
          <cell r="F269">
            <v>0</v>
          </cell>
          <cell r="G269">
            <v>1.2108048602301775E-3</v>
          </cell>
          <cell r="H269">
            <v>1.7551349865317033E-3</v>
          </cell>
          <cell r="I269">
            <v>5.9569140261050918E-3</v>
          </cell>
          <cell r="J269">
            <v>6.6349201963315932E-3</v>
          </cell>
          <cell r="K269">
            <v>1.8205828103751796E-2</v>
          </cell>
          <cell r="L269">
            <v>1.4528388412414991E-2</v>
          </cell>
          <cell r="M269">
            <v>1.5541637995480136E-2</v>
          </cell>
          <cell r="N269">
            <v>2.074873777648149E-2</v>
          </cell>
          <cell r="O269">
            <v>2.2466998735196159E-2</v>
          </cell>
          <cell r="P269">
            <v>2.394999999893924E-2</v>
          </cell>
          <cell r="Q269">
            <v>2.5135658644363609E-2</v>
          </cell>
          <cell r="R269">
            <v>2.6293347822420047E-2</v>
          </cell>
          <cell r="S269">
            <v>2.6819412407522857E-2</v>
          </cell>
          <cell r="T269">
            <v>2.6939748613981841E-2</v>
          </cell>
        </row>
        <row r="270">
          <cell r="A270" t="str">
            <v>VAS</v>
          </cell>
          <cell r="E270">
            <v>0</v>
          </cell>
          <cell r="F270">
            <v>0</v>
          </cell>
          <cell r="G270">
            <v>5.6999797046701044E-3</v>
          </cell>
          <cell r="H270">
            <v>1.3618532324319258E-2</v>
          </cell>
          <cell r="I270">
            <v>2.1915843025008049E-2</v>
          </cell>
          <cell r="J270">
            <v>1.5672647964591988E-2</v>
          </cell>
          <cell r="K270">
            <v>2.0237877041727279E-2</v>
          </cell>
          <cell r="L270">
            <v>3.3135263296548895E-2</v>
          </cell>
          <cell r="M270">
            <v>3.3080805300921612E-2</v>
          </cell>
          <cell r="N270">
            <v>3.2064079102552177E-2</v>
          </cell>
          <cell r="O270">
            <v>3.1865547605717928E-2</v>
          </cell>
          <cell r="P270">
            <v>3.2572129913596516E-2</v>
          </cell>
          <cell r="Q270">
            <v>3.3757255394806951E-2</v>
          </cell>
          <cell r="R270">
            <v>3.5236281806041811E-2</v>
          </cell>
          <cell r="S270">
            <v>3.6788550889092185E-2</v>
          </cell>
          <cell r="T270">
            <v>3.8691415951142408E-2</v>
          </cell>
        </row>
        <row r="272">
          <cell r="A272" t="str">
            <v>Operating Profit( Rs Million)</v>
          </cell>
          <cell r="L272">
            <v>12.292399409116491</v>
          </cell>
          <cell r="N272">
            <v>17.210076908345055</v>
          </cell>
        </row>
        <row r="273">
          <cell r="A273" t="str">
            <v>Wireline</v>
          </cell>
          <cell r="E273">
            <v>-7849.515328420639</v>
          </cell>
          <cell r="F273">
            <v>20368.637867647056</v>
          </cell>
          <cell r="G273">
            <v>21458.024000000005</v>
          </cell>
          <cell r="H273">
            <v>23898.695999999996</v>
          </cell>
          <cell r="I273">
            <v>18997.816000000006</v>
          </cell>
          <cell r="J273">
            <v>18696.39</v>
          </cell>
          <cell r="K273">
            <v>11641.163999999997</v>
          </cell>
          <cell r="L273">
            <v>7707.3800000000047</v>
          </cell>
          <cell r="M273">
            <v>10507.201391378367</v>
          </cell>
          <cell r="N273">
            <v>11377.81062540011</v>
          </cell>
          <cell r="O273">
            <v>11975.0251443257</v>
          </cell>
          <cell r="P273">
            <v>12507.137056304477</v>
          </cell>
          <cell r="Q273">
            <v>12735.415514861212</v>
          </cell>
          <cell r="R273">
            <v>12828.073567688625</v>
          </cell>
          <cell r="S273">
            <v>13070.561218201001</v>
          </cell>
          <cell r="T273">
            <v>13154.742445720229</v>
          </cell>
        </row>
        <row r="274">
          <cell r="A274" t="str">
            <v>Wireless</v>
          </cell>
          <cell r="E274">
            <v>0</v>
          </cell>
          <cell r="F274">
            <v>0</v>
          </cell>
          <cell r="G274">
            <v>9.7159999999999904</v>
          </cell>
          <cell r="H274">
            <v>63.864000000000011</v>
          </cell>
          <cell r="I274">
            <v>197.91399999999999</v>
          </cell>
          <cell r="J274">
            <v>227.45599999999996</v>
          </cell>
          <cell r="K274">
            <v>1157.4479999999999</v>
          </cell>
          <cell r="L274">
            <v>2795.98</v>
          </cell>
          <cell r="M274">
            <v>3107.1978540417122</v>
          </cell>
          <cell r="N274">
            <v>3914.5352532645325</v>
          </cell>
          <cell r="O274">
            <v>4317.8996419180576</v>
          </cell>
          <cell r="P274">
            <v>4515.6717316021068</v>
          </cell>
          <cell r="Q274">
            <v>4783.3305650067068</v>
          </cell>
          <cell r="R274">
            <v>4908.0188230168169</v>
          </cell>
          <cell r="S274">
            <v>5123.9023762356646</v>
          </cell>
          <cell r="T274">
            <v>5165.4864927114813</v>
          </cell>
        </row>
        <row r="275">
          <cell r="A275" t="str">
            <v>GSM</v>
          </cell>
          <cell r="E275">
            <v>0</v>
          </cell>
          <cell r="F275">
            <v>0</v>
          </cell>
          <cell r="G275">
            <v>2.7120000000000002</v>
          </cell>
          <cell r="H275">
            <v>53.08100000000001</v>
          </cell>
          <cell r="I275">
            <v>163.32500000000005</v>
          </cell>
          <cell r="J275">
            <v>185.19400000000002</v>
          </cell>
          <cell r="K275">
            <v>852.00599999999997</v>
          </cell>
          <cell r="L275">
            <v>2468.4</v>
          </cell>
          <cell r="M275">
            <v>2788.5894103702558</v>
          </cell>
          <cell r="N275">
            <v>3469.3020527931312</v>
          </cell>
          <cell r="O275">
            <v>3824.1883687538284</v>
          </cell>
          <cell r="P275">
            <v>3981.8741960248735</v>
          </cell>
          <cell r="Q275">
            <v>4198.9600596872151</v>
          </cell>
          <cell r="R275">
            <v>4289.5357886722013</v>
          </cell>
          <cell r="S275">
            <v>4467.5981435074473</v>
          </cell>
          <cell r="T275">
            <v>4500.609202757114</v>
          </cell>
        </row>
        <row r="276">
          <cell r="A276" t="str">
            <v>CDMA</v>
          </cell>
          <cell r="E276">
            <v>0</v>
          </cell>
          <cell r="F276">
            <v>0</v>
          </cell>
          <cell r="G276">
            <v>7.0039999999999907</v>
          </cell>
          <cell r="H276">
            <v>10.783000000000001</v>
          </cell>
          <cell r="I276">
            <v>34.588999999999942</v>
          </cell>
          <cell r="J276">
            <v>42.261999999999944</v>
          </cell>
          <cell r="K276">
            <v>305.44199999999989</v>
          </cell>
          <cell r="L276">
            <v>327.57999999999993</v>
          </cell>
          <cell r="M276">
            <v>318.60844367145637</v>
          </cell>
          <cell r="N276">
            <v>445.23320047140135</v>
          </cell>
          <cell r="O276">
            <v>493.71127316422894</v>
          </cell>
          <cell r="P276">
            <v>533.79753557723291</v>
          </cell>
          <cell r="Q276">
            <v>584.37050531949171</v>
          </cell>
          <cell r="R276">
            <v>618.48303434461582</v>
          </cell>
          <cell r="S276">
            <v>656.3042327282169</v>
          </cell>
          <cell r="T276">
            <v>664.87728995436782</v>
          </cell>
        </row>
        <row r="277">
          <cell r="A277" t="str">
            <v>VAS</v>
          </cell>
          <cell r="E277">
            <v>0</v>
          </cell>
          <cell r="F277">
            <v>0</v>
          </cell>
          <cell r="G277">
            <v>0</v>
          </cell>
          <cell r="H277">
            <v>0</v>
          </cell>
          <cell r="I277">
            <v>763.53</v>
          </cell>
          <cell r="J277">
            <v>598.97399999999993</v>
          </cell>
          <cell r="K277">
            <v>679.06799999999998</v>
          </cell>
          <cell r="L277">
            <v>1018.8</v>
          </cell>
          <cell r="M277">
            <v>1070.7897844003235</v>
          </cell>
          <cell r="N277">
            <v>1086.3813078874455</v>
          </cell>
          <cell r="O277">
            <v>1105.6483519102114</v>
          </cell>
          <cell r="P277">
            <v>1146.2645430490736</v>
          </cell>
          <cell r="Q277">
            <v>1207.4017218920783</v>
          </cell>
          <cell r="R277">
            <v>1275.1422110266487</v>
          </cell>
          <cell r="S277">
            <v>1350.39209459019</v>
          </cell>
          <cell r="T277">
            <v>1432.365469554235</v>
          </cell>
        </row>
        <row r="278">
          <cell r="A278" t="str">
            <v>Total Operating Profit</v>
          </cell>
          <cell r="E278">
            <v>-7849.515328420639</v>
          </cell>
          <cell r="F278">
            <v>20368.637867647056</v>
          </cell>
          <cell r="G278">
            <v>21467.740000000005</v>
          </cell>
          <cell r="H278">
            <v>23962.559999999998</v>
          </cell>
          <cell r="I278">
            <v>19959.260000000006</v>
          </cell>
          <cell r="J278">
            <v>19522.819999999996</v>
          </cell>
          <cell r="K278">
            <v>13477.679999999997</v>
          </cell>
          <cell r="L278">
            <v>11522.160000000003</v>
          </cell>
          <cell r="M278">
            <v>14685.189029820402</v>
          </cell>
          <cell r="N278">
            <v>16378.727186552089</v>
          </cell>
          <cell r="O278">
            <v>17398.57313815397</v>
          </cell>
          <cell r="P278">
            <v>18169.073330955656</v>
          </cell>
          <cell r="Q278">
            <v>18726.147801759995</v>
          </cell>
          <cell r="R278">
            <v>19011.234601732092</v>
          </cell>
          <cell r="S278">
            <v>19544.855689026859</v>
          </cell>
          <cell r="T278">
            <v>19752.594407985947</v>
          </cell>
        </row>
        <row r="280">
          <cell r="A280" t="str">
            <v>Operating Profit Contribution</v>
          </cell>
        </row>
        <row r="281">
          <cell r="A281" t="str">
            <v>Wireline</v>
          </cell>
          <cell r="E281">
            <v>1</v>
          </cell>
          <cell r="F281">
            <v>1</v>
          </cell>
          <cell r="G281">
            <v>0.9995474139336511</v>
          </cell>
          <cell r="H281">
            <v>0.99733484235407233</v>
          </cell>
          <cell r="I281">
            <v>0.95182967705215527</v>
          </cell>
          <cell r="J281">
            <v>0.95766851305292999</v>
          </cell>
          <cell r="K281">
            <v>0.86373648877254838</v>
          </cell>
          <cell r="L281">
            <v>0.66891798065640495</v>
          </cell>
          <cell r="M281">
            <v>0.71549650263554476</v>
          </cell>
          <cell r="N281">
            <v>0.69467001286534469</v>
          </cell>
          <cell r="O281">
            <v>0.68827627698188809</v>
          </cell>
          <cell r="P281">
            <v>0.68837506616231081</v>
          </cell>
          <cell r="Q281">
            <v>0.68008731158600921</v>
          </cell>
          <cell r="R281">
            <v>0.67476278297674963</v>
          </cell>
          <cell r="S281">
            <v>0.66874687775460295</v>
          </cell>
          <cell r="T281">
            <v>0.66597542449420133</v>
          </cell>
        </row>
        <row r="282">
          <cell r="A282" t="str">
            <v>Wireless</v>
          </cell>
          <cell r="E282">
            <v>0</v>
          </cell>
          <cell r="F282">
            <v>0</v>
          </cell>
          <cell r="G282">
            <v>4.5258606634885593E-4</v>
          </cell>
          <cell r="H282">
            <v>2.6651576459276478E-3</v>
          </cell>
          <cell r="I282">
            <v>9.9158986856226101E-3</v>
          </cell>
          <cell r="J282">
            <v>1.1650775861274139E-2</v>
          </cell>
          <cell r="K282">
            <v>8.5878875296045029E-2</v>
          </cell>
          <cell r="L282">
            <v>0.24266109826629723</v>
          </cell>
          <cell r="M282">
            <v>0.21158718813439154</v>
          </cell>
          <cell r="N282">
            <v>0.23900118786266855</v>
          </cell>
          <cell r="O282">
            <v>0.2481755031077334</v>
          </cell>
          <cell r="P282">
            <v>0.24853616083482402</v>
          </cell>
          <cell r="Q282">
            <v>0.25543590788902887</v>
          </cell>
          <cell r="R282">
            <v>0.25816412904449942</v>
          </cell>
          <cell r="S282">
            <v>0.26216117723050758</v>
          </cell>
          <cell r="T282">
            <v>0.26150926739138036</v>
          </cell>
        </row>
        <row r="283">
          <cell r="A283" t="str">
            <v>GSM</v>
          </cell>
          <cell r="E283">
            <v>0</v>
          </cell>
          <cell r="F283">
            <v>0</v>
          </cell>
          <cell r="G283">
            <v>1.2632908727234444E-4</v>
          </cell>
          <cell r="H283">
            <v>2.2151639891564178E-3</v>
          </cell>
          <cell r="I283">
            <v>8.1829186051987895E-3</v>
          </cell>
          <cell r="J283">
            <v>9.4860271210818956E-3</v>
          </cell>
          <cell r="K283">
            <v>6.3216072795911474E-2</v>
          </cell>
          <cell r="L283">
            <v>0.21423066508363009</v>
          </cell>
          <cell r="M283">
            <v>0.18989128466154717</v>
          </cell>
          <cell r="N283">
            <v>0.21181756147948022</v>
          </cell>
          <cell r="O283">
            <v>0.21979896502935781</v>
          </cell>
          <cell r="P283">
            <v>0.21915670235315379</v>
          </cell>
          <cell r="Q283">
            <v>0.22422978308932134</v>
          </cell>
          <cell r="R283">
            <v>0.22563162669516404</v>
          </cell>
          <cell r="S283">
            <v>0.22858179229308445</v>
          </cell>
          <cell r="T283">
            <v>0.22784901617468153</v>
          </cell>
        </row>
        <row r="284">
          <cell r="A284" t="str">
            <v>CDMA</v>
          </cell>
          <cell r="E284">
            <v>0</v>
          </cell>
          <cell r="F284">
            <v>0</v>
          </cell>
          <cell r="G284">
            <v>3.2625697907651152E-4</v>
          </cell>
          <cell r="H284">
            <v>4.4999365677122989E-4</v>
          </cell>
          <cell r="I284">
            <v>1.73298008042382E-3</v>
          </cell>
          <cell r="J284">
            <v>2.1647487401922445E-3</v>
          </cell>
          <cell r="K284">
            <v>2.2662802500133552E-2</v>
          </cell>
          <cell r="L284">
            <v>2.8430433182667122E-2</v>
          </cell>
          <cell r="M284">
            <v>2.169590347284436E-2</v>
          </cell>
          <cell r="N284">
            <v>2.7183626383188331E-2</v>
          </cell>
          <cell r="O284">
            <v>2.8376538078375597E-2</v>
          </cell>
          <cell r="P284">
            <v>2.9379458481670194E-2</v>
          </cell>
          <cell r="Q284">
            <v>3.1206124799707555E-2</v>
          </cell>
          <cell r="R284">
            <v>3.2532502349335406E-2</v>
          </cell>
          <cell r="S284">
            <v>3.3579384937423108E-2</v>
          </cell>
          <cell r="T284">
            <v>3.3660251216698849E-2</v>
          </cell>
        </row>
        <row r="285">
          <cell r="A285" t="str">
            <v>VAS</v>
          </cell>
          <cell r="E285">
            <v>0</v>
          </cell>
          <cell r="F285">
            <v>0</v>
          </cell>
          <cell r="G285">
            <v>0</v>
          </cell>
          <cell r="H285">
            <v>0</v>
          </cell>
          <cell r="I285">
            <v>3.8254424262222135E-2</v>
          </cell>
          <cell r="J285">
            <v>3.0680711085796009E-2</v>
          </cell>
          <cell r="K285">
            <v>5.0384635931406602E-2</v>
          </cell>
          <cell r="L285">
            <v>8.8420921077297973E-2</v>
          </cell>
          <cell r="M285">
            <v>7.2916309230063689E-2</v>
          </cell>
          <cell r="N285">
            <v>6.6328799271986733E-2</v>
          </cell>
          <cell r="O285">
            <v>6.3548219910378428E-2</v>
          </cell>
          <cell r="P285">
            <v>6.3088773002865223E-2</v>
          </cell>
          <cell r="Q285">
            <v>6.4476780524961974E-2</v>
          </cell>
          <cell r="R285">
            <v>6.7073087978750834E-2</v>
          </cell>
          <cell r="S285">
            <v>6.90919450148893E-2</v>
          </cell>
          <cell r="T285">
            <v>7.2515308114418198E-2</v>
          </cell>
        </row>
        <row r="287">
          <cell r="A287" t="str">
            <v>Subscribers</v>
          </cell>
        </row>
        <row r="288">
          <cell r="A288" t="str">
            <v>Wireline</v>
          </cell>
          <cell r="E288">
            <v>3653.91</v>
          </cell>
          <cell r="F288">
            <v>4031.6239999999998</v>
          </cell>
          <cell r="G288">
            <v>4335.1899999999996</v>
          </cell>
          <cell r="H288">
            <v>4496.5050000000001</v>
          </cell>
          <cell r="I288">
            <v>4633.6650000000009</v>
          </cell>
          <cell r="J288">
            <v>4367.2340000000004</v>
          </cell>
          <cell r="K288">
            <v>4075.34</v>
          </cell>
          <cell r="L288">
            <v>3877.6080000000002</v>
          </cell>
          <cell r="M288">
            <v>3873.7604758918569</v>
          </cell>
          <cell r="N288">
            <v>3871.0043050381482</v>
          </cell>
          <cell r="O288">
            <v>3868.8449041570666</v>
          </cell>
          <cell r="P288">
            <v>3866.7870774867824</v>
          </cell>
          <cell r="Q288">
            <v>3864.8351350681323</v>
          </cell>
          <cell r="R288">
            <v>3862.9926574606775</v>
          </cell>
          <cell r="S288">
            <v>3861.7626293733474</v>
          </cell>
          <cell r="T288">
            <v>3860.6468607828992</v>
          </cell>
        </row>
        <row r="289">
          <cell r="A289" t="str">
            <v>Wireless</v>
          </cell>
          <cell r="E289">
            <v>0</v>
          </cell>
          <cell r="F289">
            <v>0</v>
          </cell>
          <cell r="G289">
            <v>18.243000000000002</v>
          </cell>
          <cell r="H289">
            <v>200.20699999999999</v>
          </cell>
          <cell r="I289">
            <v>291.91700000000003</v>
          </cell>
          <cell r="J289">
            <v>467.24599999999998</v>
          </cell>
          <cell r="K289">
            <v>1078.1369999999999</v>
          </cell>
          <cell r="L289">
            <v>2046.809</v>
          </cell>
          <cell r="M289">
            <v>2931.7960185527909</v>
          </cell>
          <cell r="N289">
            <v>3742.4823940200476</v>
          </cell>
          <cell r="O289">
            <v>4119.4725053814536</v>
          </cell>
          <cell r="P289">
            <v>4394.3593888523892</v>
          </cell>
          <cell r="Q289">
            <v>4650.3696434720005</v>
          </cell>
          <cell r="R289">
            <v>4891.0435425265541</v>
          </cell>
          <cell r="S289">
            <v>5092.7225679955072</v>
          </cell>
          <cell r="T289">
            <v>5244.6037740453039</v>
          </cell>
        </row>
        <row r="290">
          <cell r="A290" t="str">
            <v>GSM</v>
          </cell>
          <cell r="E290">
            <v>0</v>
          </cell>
          <cell r="F290">
            <v>0</v>
          </cell>
          <cell r="G290">
            <v>18.243000000000002</v>
          </cell>
          <cell r="H290">
            <v>200.20699999999999</v>
          </cell>
          <cell r="I290">
            <v>291.91700000000003</v>
          </cell>
          <cell r="J290">
            <v>360.55</v>
          </cell>
          <cell r="K290">
            <v>881.69599999999991</v>
          </cell>
          <cell r="L290">
            <v>1941.146</v>
          </cell>
          <cell r="M290">
            <v>2584.630116052791</v>
          </cell>
          <cell r="N290">
            <v>3330.5806303200475</v>
          </cell>
          <cell r="O290">
            <v>3643.8552379854536</v>
          </cell>
          <cell r="P290">
            <v>3867.1325634626292</v>
          </cell>
          <cell r="Q290">
            <v>4068.4366866088549</v>
          </cell>
          <cell r="R290">
            <v>4256.6493584301252</v>
          </cell>
          <cell r="S290">
            <v>4423.3745709701525</v>
          </cell>
          <cell r="T290">
            <v>4551.8973986853043</v>
          </cell>
        </row>
        <row r="291">
          <cell r="A291" t="str">
            <v>CDMA</v>
          </cell>
          <cell r="E291">
            <v>0</v>
          </cell>
          <cell r="F291">
            <v>0</v>
          </cell>
          <cell r="G291">
            <v>0</v>
          </cell>
          <cell r="H291">
            <v>0</v>
          </cell>
          <cell r="I291">
            <v>0</v>
          </cell>
          <cell r="J291">
            <v>106.696</v>
          </cell>
          <cell r="K291">
            <v>196.44099999999997</v>
          </cell>
          <cell r="L291">
            <v>105.663</v>
          </cell>
          <cell r="M291">
            <v>347.16590250000007</v>
          </cell>
          <cell r="N291">
            <v>411.90176370000012</v>
          </cell>
          <cell r="O291">
            <v>475.6172673960001</v>
          </cell>
          <cell r="P291">
            <v>527.22682538976017</v>
          </cell>
          <cell r="Q291">
            <v>581.93295686314571</v>
          </cell>
          <cell r="R291">
            <v>634.39418409642872</v>
          </cell>
          <cell r="S291">
            <v>669.34799702535497</v>
          </cell>
          <cell r="T291">
            <v>692.70637535999924</v>
          </cell>
        </row>
        <row r="292">
          <cell r="A292" t="str">
            <v>Total Subscribers</v>
          </cell>
          <cell r="E292">
            <v>3653.91</v>
          </cell>
          <cell r="F292">
            <v>4031.6239999999998</v>
          </cell>
          <cell r="G292">
            <v>4353.433</v>
          </cell>
          <cell r="H292">
            <v>4696.7120000000004</v>
          </cell>
          <cell r="I292">
            <v>4925.5820000000012</v>
          </cell>
          <cell r="J292">
            <v>4834.4800000000005</v>
          </cell>
          <cell r="K292">
            <v>5153.4769999999999</v>
          </cell>
          <cell r="L292">
            <v>5924.4170000000004</v>
          </cell>
          <cell r="M292">
            <v>6805.5564944446478</v>
          </cell>
          <cell r="N292">
            <v>7613.4866990581959</v>
          </cell>
          <cell r="O292">
            <v>7988.3174095385202</v>
          </cell>
          <cell r="P292">
            <v>8261.1464663391707</v>
          </cell>
          <cell r="Q292">
            <v>8515.2047785401337</v>
          </cell>
          <cell r="R292">
            <v>8754.0361999872312</v>
          </cell>
          <cell r="S292">
            <v>8954.4851973688546</v>
          </cell>
          <cell r="T292">
            <v>9105.2506348282041</v>
          </cell>
        </row>
        <row r="294">
          <cell r="A294" t="str">
            <v>ARPUs</v>
          </cell>
        </row>
        <row r="295">
          <cell r="A295" t="str">
            <v>Wireless ARPUs</v>
          </cell>
          <cell r="E295">
            <v>0</v>
          </cell>
          <cell r="F295">
            <v>0</v>
          </cell>
          <cell r="G295">
            <v>235.37795318752396</v>
          </cell>
          <cell r="H295">
            <v>384.73296711680791</v>
          </cell>
          <cell r="I295">
            <v>525.47308537414688</v>
          </cell>
          <cell r="J295">
            <v>449.40791386128848</v>
          </cell>
          <cell r="K295">
            <v>361.98130912342111</v>
          </cell>
          <cell r="L295">
            <v>314.66514951952678</v>
          </cell>
          <cell r="M295">
            <v>262.45571375800517</v>
          </cell>
          <cell r="N295">
            <v>249.47924303730636</v>
          </cell>
          <cell r="O295">
            <v>237.73086726407158</v>
          </cell>
          <cell r="P295">
            <v>230.68372103492749</v>
          </cell>
          <cell r="Q295">
            <v>224.56170841435977</v>
          </cell>
          <cell r="R295">
            <v>218.8055706295782</v>
          </cell>
          <cell r="S295">
            <v>213.27519102235618</v>
          </cell>
          <cell r="T295">
            <v>208.05623349493771</v>
          </cell>
        </row>
        <row r="296">
          <cell r="A296" t="str">
            <v xml:space="preserve">% of Bharti's ARPUs </v>
          </cell>
          <cell r="K296">
            <v>0.70707310103607457</v>
          </cell>
          <cell r="L296">
            <v>0.71240228150959373</v>
          </cell>
          <cell r="M296">
            <v>0.66980060076347714</v>
          </cell>
          <cell r="N296">
            <v>0.75226515932049187</v>
          </cell>
          <cell r="O296">
            <v>0.78159324594844015</v>
          </cell>
          <cell r="P296">
            <v>0.80368736363177584</v>
          </cell>
          <cell r="Q296">
            <v>0.81530645992406914</v>
          </cell>
          <cell r="R296">
            <v>0.8260720216779539</v>
          </cell>
          <cell r="S296">
            <v>0.83744929147726888</v>
          </cell>
          <cell r="T296">
            <v>0.85018608868939016</v>
          </cell>
        </row>
        <row r="297">
          <cell r="A297" t="str">
            <v>Wireline ARPUs</v>
          </cell>
          <cell r="E297">
            <v>0</v>
          </cell>
          <cell r="F297">
            <v>819.78927636326091</v>
          </cell>
          <cell r="G297">
            <v>807.5960880699464</v>
          </cell>
          <cell r="H297">
            <v>816.22081982375221</v>
          </cell>
          <cell r="I297">
            <v>679.35628069721952</v>
          </cell>
          <cell r="J297">
            <v>645.10500562221614</v>
          </cell>
          <cell r="K297">
            <v>606.13031049535357</v>
          </cell>
          <cell r="L297">
            <v>599.14889422136298</v>
          </cell>
          <cell r="M297">
            <v>590.21510011130454</v>
          </cell>
          <cell r="N297">
            <v>581.50465085399776</v>
          </cell>
          <cell r="O297">
            <v>573.01196282812361</v>
          </cell>
          <cell r="P297">
            <v>564.73159200289615</v>
          </cell>
          <cell r="Q297">
            <v>556.65823044829949</v>
          </cell>
          <cell r="R297">
            <v>548.78670293256778</v>
          </cell>
          <cell r="S297">
            <v>541.11196360472945</v>
          </cell>
          <cell r="T297">
            <v>533.62909276008691</v>
          </cell>
        </row>
        <row r="298">
          <cell r="A298" t="str">
            <v xml:space="preserve">% of Bharti's ARPUs </v>
          </cell>
          <cell r="E298">
            <v>0</v>
          </cell>
          <cell r="F298">
            <v>0</v>
          </cell>
          <cell r="G298">
            <v>0</v>
          </cell>
          <cell r="H298">
            <v>0</v>
          </cell>
          <cell r="I298">
            <v>0</v>
          </cell>
          <cell r="J298">
            <v>0.4954723545485531</v>
          </cell>
          <cell r="K298">
            <v>0.48445428840866051</v>
          </cell>
          <cell r="L298">
            <v>0.52751438906610559</v>
          </cell>
          <cell r="M298">
            <v>0.54699865611240861</v>
          </cell>
          <cell r="N298">
            <v>0.56729052541989355</v>
          </cell>
          <cell r="O298">
            <v>0.58842676854235654</v>
          </cell>
          <cell r="P298">
            <v>0.61044594148831044</v>
          </cell>
          <cell r="Q298">
            <v>0.63338847466885861</v>
          </cell>
          <cell r="R298">
            <v>0.65729676747517263</v>
          </cell>
          <cell r="S298">
            <v>0.68221528772648821</v>
          </cell>
          <cell r="T298">
            <v>0.70819067624213849</v>
          </cell>
        </row>
        <row r="300">
          <cell r="A300" t="str">
            <v>Broadband Services</v>
          </cell>
        </row>
        <row r="301">
          <cell r="A301" t="str">
            <v>Broadband  Subscribers</v>
          </cell>
          <cell r="L301">
            <v>458.38</v>
          </cell>
          <cell r="M301">
            <v>750</v>
          </cell>
          <cell r="N301">
            <v>1050</v>
          </cell>
          <cell r="O301">
            <v>1250</v>
          </cell>
          <cell r="P301">
            <v>1450</v>
          </cell>
          <cell r="Q301">
            <v>1650</v>
          </cell>
          <cell r="R301">
            <v>1850</v>
          </cell>
          <cell r="S301">
            <v>2050</v>
          </cell>
          <cell r="T301">
            <v>2250</v>
          </cell>
        </row>
        <row r="302">
          <cell r="A302" t="str">
            <v>ARPUs( Rs.)</v>
          </cell>
          <cell r="L302">
            <v>351</v>
          </cell>
          <cell r="M302">
            <v>333.45</v>
          </cell>
          <cell r="N302">
            <v>325.11374999999998</v>
          </cell>
          <cell r="O302">
            <v>316.98590625000003</v>
          </cell>
          <cell r="P302">
            <v>316.98590625000003</v>
          </cell>
          <cell r="Q302">
            <v>316.98590625000003</v>
          </cell>
          <cell r="R302">
            <v>316.98590625000003</v>
          </cell>
          <cell r="S302">
            <v>316.98590625000003</v>
          </cell>
          <cell r="T302">
            <v>316.98590625000003</v>
          </cell>
        </row>
        <row r="303">
          <cell r="A303" t="str">
            <v>Revenues( Rs  million)</v>
          </cell>
          <cell r="L303">
            <v>965.52890740800001</v>
          </cell>
          <cell r="M303">
            <v>2417.6058660000003</v>
          </cell>
          <cell r="N303">
            <v>3511.2285000000011</v>
          </cell>
          <cell r="O303">
            <v>4374.4055062500001</v>
          </cell>
          <cell r="P303">
            <v>5135.1716812500008</v>
          </cell>
          <cell r="Q303">
            <v>5895.9378562500006</v>
          </cell>
          <cell r="R303">
            <v>6656.7040312500003</v>
          </cell>
          <cell r="S303">
            <v>7417.470206250001</v>
          </cell>
          <cell r="T303">
            <v>8178.2363812500007</v>
          </cell>
        </row>
        <row r="304">
          <cell r="A304" t="str">
            <v>% of Total Revenues</v>
          </cell>
          <cell r="L304">
            <v>1.8841610463718059E-2</v>
          </cell>
          <cell r="M304">
            <v>4.4813473258320989E-2</v>
          </cell>
          <cell r="N304">
            <v>6.2179443379819239E-2</v>
          </cell>
          <cell r="O304">
            <v>7.5644029133836541E-2</v>
          </cell>
          <cell r="P304">
            <v>8.7552291560222845E-2</v>
          </cell>
          <cell r="Q304">
            <v>9.8905282175735659E-2</v>
          </cell>
          <cell r="R304">
            <v>0.11036768939945521</v>
          </cell>
          <cell r="S304">
            <v>0.12124388816142984</v>
          </cell>
          <cell r="T304">
            <v>0.13254754556692205</v>
          </cell>
        </row>
        <row r="308">
          <cell r="A308" t="str">
            <v>FINANCIAL SUMMARY</v>
          </cell>
        </row>
        <row r="310">
          <cell r="A310" t="str">
            <v>Income Statement</v>
          </cell>
          <cell r="L310">
            <v>0.17562860404531219</v>
          </cell>
        </row>
        <row r="311">
          <cell r="A311" t="str">
            <v>(Rs Million)</v>
          </cell>
          <cell r="B311" t="str">
            <v>F1996</v>
          </cell>
          <cell r="C311" t="str">
            <v>F1997</v>
          </cell>
          <cell r="D311" t="str">
            <v>F1998</v>
          </cell>
          <cell r="E311" t="str">
            <v>F1999</v>
          </cell>
          <cell r="F311" t="str">
            <v>F2000</v>
          </cell>
          <cell r="G311" t="str">
            <v>F2001</v>
          </cell>
          <cell r="H311" t="str">
            <v>F2002</v>
          </cell>
          <cell r="I311" t="str">
            <v>F2003</v>
          </cell>
          <cell r="J311" t="str">
            <v>F2004</v>
          </cell>
          <cell r="K311" t="str">
            <v>F2005E</v>
          </cell>
          <cell r="L311" t="str">
            <v>F2006E</v>
          </cell>
          <cell r="M311" t="str">
            <v>F2007E</v>
          </cell>
          <cell r="N311" t="str">
            <v>F2008E</v>
          </cell>
        </row>
        <row r="312">
          <cell r="A312" t="str">
            <v>Wireline Revenues</v>
          </cell>
          <cell r="B312">
            <v>34305.413</v>
          </cell>
          <cell r="C312">
            <v>39700.255000000005</v>
          </cell>
          <cell r="D312">
            <v>45302.365999999995</v>
          </cell>
          <cell r="E312">
            <v>48641.01</v>
          </cell>
          <cell r="F312">
            <v>49642.21</v>
          </cell>
          <cell r="G312">
            <v>54103.01</v>
          </cell>
          <cell r="H312">
            <v>54967.13</v>
          </cell>
          <cell r="I312">
            <v>48991.07</v>
          </cell>
          <cell r="J312">
            <v>47318.26</v>
          </cell>
          <cell r="K312">
            <v>43588.68</v>
          </cell>
          <cell r="L312">
            <v>39139</v>
          </cell>
          <cell r="M312">
            <v>40368.206038518467</v>
          </cell>
          <cell r="N312">
            <v>40511.56650833958</v>
          </cell>
        </row>
        <row r="313">
          <cell r="A313" t="str">
            <v>Wireless Revenues</v>
          </cell>
          <cell r="G313">
            <v>97.160000000000011</v>
          </cell>
          <cell r="H313">
            <v>638.6400000000001</v>
          </cell>
          <cell r="I313">
            <v>1979.1400000000003</v>
          </cell>
          <cell r="J313">
            <v>2274.56</v>
          </cell>
          <cell r="K313">
            <v>3858.16</v>
          </cell>
          <cell r="L313">
            <v>6354.5</v>
          </cell>
          <cell r="M313">
            <v>8176.8364580045072</v>
          </cell>
          <cell r="N313">
            <v>10301.408561222455</v>
          </cell>
        </row>
        <row r="314">
          <cell r="A314" t="str">
            <v>Interconnect Revenues</v>
          </cell>
          <cell r="G314">
            <v>3315.93</v>
          </cell>
          <cell r="H314">
            <v>4994.42</v>
          </cell>
          <cell r="I314">
            <v>5822.54</v>
          </cell>
          <cell r="J314">
            <v>13105.21</v>
          </cell>
          <cell r="K314">
            <v>7345.23</v>
          </cell>
          <cell r="L314">
            <v>4053</v>
          </cell>
          <cell r="M314">
            <v>3618.500007258207</v>
          </cell>
          <cell r="N314">
            <v>3845.671050321348</v>
          </cell>
        </row>
        <row r="315">
          <cell r="A315" t="str">
            <v>VAS &amp; Others</v>
          </cell>
          <cell r="B315">
            <v>175.76</v>
          </cell>
          <cell r="C315">
            <v>608.49099999999999</v>
          </cell>
          <cell r="D315">
            <v>1243.5239999999999</v>
          </cell>
          <cell r="E315">
            <v>1683.43</v>
          </cell>
          <cell r="F315">
            <v>2179.7600000000002</v>
          </cell>
          <cell r="G315">
            <v>329.72</v>
          </cell>
          <cell r="H315">
            <v>836.68000000000006</v>
          </cell>
          <cell r="I315">
            <v>1272.55</v>
          </cell>
          <cell r="J315">
            <v>998.29</v>
          </cell>
          <cell r="K315">
            <v>1131.7800000000002</v>
          </cell>
          <cell r="L315">
            <v>1698</v>
          </cell>
          <cell r="M315">
            <v>1784.6496406672059</v>
          </cell>
          <cell r="N315">
            <v>1810.6355131457426</v>
          </cell>
        </row>
        <row r="316">
          <cell r="A316" t="str">
            <v>Operating Revenues</v>
          </cell>
          <cell r="B316">
            <v>34481.173000000003</v>
          </cell>
          <cell r="C316">
            <v>40308.746000000006</v>
          </cell>
          <cell r="D316">
            <v>46545.889999999992</v>
          </cell>
          <cell r="E316">
            <v>50324.44</v>
          </cell>
          <cell r="F316">
            <v>51821.97</v>
          </cell>
          <cell r="G316">
            <v>57845.820000000007</v>
          </cell>
          <cell r="H316">
            <v>61436.869999999995</v>
          </cell>
          <cell r="I316">
            <v>58065.3</v>
          </cell>
          <cell r="J316">
            <v>63696.32</v>
          </cell>
          <cell r="K316">
            <v>55923.849999999991</v>
          </cell>
          <cell r="L316">
            <v>51244.5</v>
          </cell>
          <cell r="M316">
            <v>53948.192144448389</v>
          </cell>
          <cell r="N316">
            <v>56469.281633029124</v>
          </cell>
        </row>
        <row r="317">
          <cell r="A317" t="str">
            <v xml:space="preserve">Interconnect / Network Ch. </v>
          </cell>
          <cell r="B317">
            <v>7613.8270000000002</v>
          </cell>
          <cell r="C317">
            <v>8822.5419999999995</v>
          </cell>
          <cell r="D317">
            <v>10239.977000000001</v>
          </cell>
          <cell r="E317">
            <v>10911.893</v>
          </cell>
          <cell r="F317">
            <v>10504.17</v>
          </cell>
          <cell r="G317">
            <v>11316.63</v>
          </cell>
          <cell r="H317">
            <v>9875.83</v>
          </cell>
          <cell r="I317">
            <v>8383.14</v>
          </cell>
          <cell r="J317">
            <v>12285.58</v>
          </cell>
          <cell r="K317">
            <v>9278.5400000000009</v>
          </cell>
          <cell r="L317">
            <v>8220.19</v>
          </cell>
          <cell r="M317">
            <v>7988.7097803900124</v>
          </cell>
          <cell r="N317">
            <v>8129.093337838056</v>
          </cell>
        </row>
        <row r="318">
          <cell r="A318" t="str">
            <v>License Fees</v>
          </cell>
          <cell r="B318">
            <v>1986.8019999999999</v>
          </cell>
          <cell r="C318">
            <v>2347.0160000000001</v>
          </cell>
          <cell r="D318">
            <v>2711.0920000000001</v>
          </cell>
          <cell r="E318">
            <v>3066.0659999999998</v>
          </cell>
          <cell r="F318">
            <v>3288.55</v>
          </cell>
          <cell r="G318">
            <v>3615.3</v>
          </cell>
          <cell r="H318">
            <v>6644.88</v>
          </cell>
          <cell r="I318">
            <v>5818.16</v>
          </cell>
          <cell r="J318">
            <v>6429.58</v>
          </cell>
          <cell r="K318">
            <v>4971.63</v>
          </cell>
          <cell r="L318">
            <v>4471.17</v>
          </cell>
          <cell r="M318">
            <v>4709.694716539072</v>
          </cell>
          <cell r="N318">
            <v>4934.9278191910553</v>
          </cell>
        </row>
        <row r="319">
          <cell r="A319" t="str">
            <v>Employee Costs</v>
          </cell>
          <cell r="B319">
            <v>3128.14</v>
          </cell>
          <cell r="C319">
            <v>4284.29</v>
          </cell>
          <cell r="D319">
            <v>5167.0200000000004</v>
          </cell>
          <cell r="E319">
            <v>6164.6729999999998</v>
          </cell>
          <cell r="F319">
            <v>9959.8921323529412</v>
          </cell>
          <cell r="G319">
            <v>12222.89</v>
          </cell>
          <cell r="H319">
            <v>12963.64</v>
          </cell>
          <cell r="I319">
            <v>13738.53</v>
          </cell>
          <cell r="J319">
            <v>16193.7</v>
          </cell>
          <cell r="K319">
            <v>18358.900000000001</v>
          </cell>
          <cell r="L319">
            <v>17365.93</v>
          </cell>
          <cell r="M319">
            <v>16463.554071534389</v>
          </cell>
          <cell r="N319">
            <v>16913.40046913681</v>
          </cell>
        </row>
        <row r="320">
          <cell r="A320" t="str">
            <v>Other Operating Cost</v>
          </cell>
          <cell r="B320">
            <v>3979.9949999999999</v>
          </cell>
          <cell r="C320">
            <v>4767.8980000000001</v>
          </cell>
          <cell r="D320">
            <v>6232.9629999999997</v>
          </cell>
          <cell r="E320">
            <v>6251.9629999999997</v>
          </cell>
          <cell r="F320">
            <v>7700.72</v>
          </cell>
          <cell r="G320">
            <v>8893.5400000000009</v>
          </cell>
          <cell r="H320">
            <v>7153.28</v>
          </cell>
          <cell r="I320">
            <v>10166.209999999999</v>
          </cell>
          <cell r="J320">
            <v>9264.64</v>
          </cell>
          <cell r="K320">
            <v>9837.1</v>
          </cell>
          <cell r="L320">
            <v>9665.0499999999993</v>
          </cell>
          <cell r="M320">
            <v>10101.044546164507</v>
          </cell>
          <cell r="N320">
            <v>10113.132820311115</v>
          </cell>
        </row>
        <row r="321">
          <cell r="A321" t="str">
            <v>Total Operating costs</v>
          </cell>
          <cell r="B321">
            <v>16708.763999999999</v>
          </cell>
          <cell r="C321">
            <v>20221.745999999999</v>
          </cell>
          <cell r="D321">
            <v>24351.052</v>
          </cell>
          <cell r="E321">
            <v>26394.594999999998</v>
          </cell>
          <cell r="F321">
            <v>31453.332132352945</v>
          </cell>
          <cell r="G321">
            <v>36048.36</v>
          </cell>
          <cell r="H321">
            <v>36637.629999999997</v>
          </cell>
          <cell r="I321">
            <v>38106.04</v>
          </cell>
          <cell r="J321">
            <v>44173.5</v>
          </cell>
          <cell r="K321">
            <v>42446.170000000006</v>
          </cell>
          <cell r="L321">
            <v>39722.339999999997</v>
          </cell>
          <cell r="M321">
            <v>39263.00311462798</v>
          </cell>
          <cell r="N321">
            <v>40090.554446477036</v>
          </cell>
        </row>
        <row r="322">
          <cell r="A322" t="str">
            <v>Operating Profit</v>
          </cell>
          <cell r="B322">
            <v>17772.409000000003</v>
          </cell>
          <cell r="C322">
            <v>20087.000000000007</v>
          </cell>
          <cell r="D322">
            <v>22194.837999999992</v>
          </cell>
          <cell r="E322">
            <v>23929.845000000005</v>
          </cell>
          <cell r="F322">
            <v>20368.637867647056</v>
          </cell>
          <cell r="G322">
            <v>21797.460000000006</v>
          </cell>
          <cell r="H322">
            <v>24799.239999999998</v>
          </cell>
          <cell r="I322">
            <v>19959.260000000002</v>
          </cell>
          <cell r="J322">
            <v>19522.82</v>
          </cell>
          <cell r="K322">
            <v>13477.679999999986</v>
          </cell>
          <cell r="L322">
            <v>11522.160000000003</v>
          </cell>
          <cell r="M322">
            <v>14685.189029820409</v>
          </cell>
          <cell r="N322">
            <v>16378.727186552089</v>
          </cell>
        </row>
        <row r="323">
          <cell r="A323" t="str">
            <v>Interest</v>
          </cell>
          <cell r="B323">
            <v>1629.049</v>
          </cell>
          <cell r="C323">
            <v>1476.16</v>
          </cell>
          <cell r="D323">
            <v>866.24199999999996</v>
          </cell>
          <cell r="E323">
            <v>729.21500000000003</v>
          </cell>
          <cell r="F323">
            <v>84.16</v>
          </cell>
          <cell r="G323">
            <v>83.03</v>
          </cell>
          <cell r="H323">
            <v>288.35000000000002</v>
          </cell>
          <cell r="I323">
            <v>328.19</v>
          </cell>
          <cell r="J323">
            <v>346.2</v>
          </cell>
          <cell r="K323">
            <v>358.12</v>
          </cell>
          <cell r="L323">
            <v>249.97</v>
          </cell>
          <cell r="M323">
            <v>0</v>
          </cell>
          <cell r="N323">
            <v>0</v>
          </cell>
        </row>
        <row r="324">
          <cell r="A324" t="str">
            <v>Depreciation</v>
          </cell>
          <cell r="B324">
            <v>4654.4139999999998</v>
          </cell>
          <cell r="C324">
            <v>5150.375</v>
          </cell>
          <cell r="D324">
            <v>5856.1989999999996</v>
          </cell>
          <cell r="E324">
            <v>6570.5140000000001</v>
          </cell>
          <cell r="F324">
            <v>7092.81</v>
          </cell>
          <cell r="G324">
            <v>7692.46</v>
          </cell>
          <cell r="H324">
            <v>8164.56</v>
          </cell>
          <cell r="I324">
            <v>8670.42</v>
          </cell>
          <cell r="J324">
            <v>5437.95</v>
          </cell>
          <cell r="K324">
            <v>5880.07</v>
          </cell>
          <cell r="L324">
            <v>6377.07</v>
          </cell>
          <cell r="M324">
            <v>6957.4631537017476</v>
          </cell>
          <cell r="N324">
            <v>7474.2459928479757</v>
          </cell>
        </row>
        <row r="325">
          <cell r="A325" t="str">
            <v>Non Operating Income</v>
          </cell>
          <cell r="B325">
            <v>704.86099999999999</v>
          </cell>
          <cell r="C325">
            <v>653.05100000000004</v>
          </cell>
          <cell r="D325">
            <v>1247.395</v>
          </cell>
          <cell r="E325">
            <v>2268.3310000000001</v>
          </cell>
          <cell r="F325">
            <v>1747</v>
          </cell>
          <cell r="G325">
            <v>3180.23</v>
          </cell>
          <cell r="H325">
            <v>2483.4699999999998</v>
          </cell>
          <cell r="I325">
            <v>2236.91</v>
          </cell>
          <cell r="J325">
            <v>3143.31</v>
          </cell>
          <cell r="K325">
            <v>4917.18</v>
          </cell>
          <cell r="L325">
            <v>3421.45</v>
          </cell>
          <cell r="M325">
            <v>4330.198854361508</v>
          </cell>
          <cell r="N325">
            <v>3941.8842658645472</v>
          </cell>
        </row>
        <row r="326">
          <cell r="A326" t="str">
            <v>Profit before Tax</v>
          </cell>
          <cell r="B326">
            <v>12193.807000000004</v>
          </cell>
          <cell r="C326">
            <v>14113.516000000007</v>
          </cell>
          <cell r="D326">
            <v>16719.791999999994</v>
          </cell>
          <cell r="E326">
            <v>18898.447000000007</v>
          </cell>
          <cell r="F326">
            <v>14938.667867647055</v>
          </cell>
          <cell r="G326">
            <v>17202.200000000008</v>
          </cell>
          <cell r="H326">
            <v>18829.8</v>
          </cell>
          <cell r="I326">
            <v>13197.560000000003</v>
          </cell>
          <cell r="J326">
            <v>16881.98</v>
          </cell>
          <cell r="K326">
            <v>12156.669999999987</v>
          </cell>
          <cell r="L326">
            <v>8316.5700000000052</v>
          </cell>
          <cell r="M326">
            <v>12057.924730480168</v>
          </cell>
          <cell r="N326">
            <v>12846.36545956866</v>
          </cell>
        </row>
        <row r="327">
          <cell r="A327" t="str">
            <v>Income Tax</v>
          </cell>
          <cell r="B327">
            <v>5185</v>
          </cell>
          <cell r="C327">
            <v>5493.2</v>
          </cell>
          <cell r="D327">
            <v>5246.6710000000003</v>
          </cell>
          <cell r="E327">
            <v>6016</v>
          </cell>
          <cell r="F327">
            <v>1630</v>
          </cell>
          <cell r="G327">
            <v>1630</v>
          </cell>
          <cell r="H327">
            <v>4937.6400000000003</v>
          </cell>
          <cell r="I327">
            <v>3814.52</v>
          </cell>
          <cell r="J327">
            <v>4513.4799999999996</v>
          </cell>
          <cell r="K327">
            <v>2672.4100000000003</v>
          </cell>
          <cell r="L327">
            <v>1619.6399999999999</v>
          </cell>
          <cell r="M327">
            <v>3617.3774191440484</v>
          </cell>
          <cell r="N327">
            <v>3853.9096378705981</v>
          </cell>
        </row>
        <row r="328">
          <cell r="A328" t="str">
            <v>Net Profit</v>
          </cell>
          <cell r="B328">
            <v>7008.8070000000043</v>
          </cell>
          <cell r="C328">
            <v>8620.3160000000062</v>
          </cell>
          <cell r="D328">
            <v>11473.120999999994</v>
          </cell>
          <cell r="E328">
            <v>12882.447000000007</v>
          </cell>
          <cell r="F328">
            <v>13308.667867647055</v>
          </cell>
          <cell r="G328">
            <v>15572.200000000008</v>
          </cell>
          <cell r="H328">
            <v>13892.16</v>
          </cell>
          <cell r="I328">
            <v>9383.0400000000027</v>
          </cell>
          <cell r="J328">
            <v>12368.5</v>
          </cell>
          <cell r="K328">
            <v>9484.2599999999875</v>
          </cell>
          <cell r="L328">
            <v>6696.9300000000057</v>
          </cell>
          <cell r="M328">
            <v>8440.5473113361204</v>
          </cell>
          <cell r="N328">
            <v>8992.4558216980622</v>
          </cell>
        </row>
        <row r="329">
          <cell r="A329" t="str">
            <v>Prior Period / Extraordinary</v>
          </cell>
          <cell r="B329">
            <v>287.07799999999997</v>
          </cell>
          <cell r="C329">
            <v>707.53499999999997</v>
          </cell>
          <cell r="D329">
            <v>-171.827</v>
          </cell>
          <cell r="E329">
            <v>89.781000000000006</v>
          </cell>
          <cell r="F329">
            <v>-2430.2078676470587</v>
          </cell>
          <cell r="G329">
            <v>-170.37</v>
          </cell>
          <cell r="H329">
            <v>-885.76</v>
          </cell>
          <cell r="I329">
            <v>-611.49</v>
          </cell>
          <cell r="J329">
            <v>-841</v>
          </cell>
          <cell r="K329">
            <v>-94.47</v>
          </cell>
          <cell r="L329">
            <v>-910</v>
          </cell>
          <cell r="M329">
            <v>0</v>
          </cell>
          <cell r="N329">
            <v>0</v>
          </cell>
        </row>
        <row r="330">
          <cell r="A330" t="str">
            <v>Reported PAT</v>
          </cell>
          <cell r="B330">
            <v>7295.8850000000039</v>
          </cell>
          <cell r="C330">
            <v>9327.851000000006</v>
          </cell>
          <cell r="D330">
            <v>11301.293999999994</v>
          </cell>
          <cell r="E330">
            <v>12972.228000000008</v>
          </cell>
          <cell r="F330">
            <v>10878.459999999995</v>
          </cell>
          <cell r="G330">
            <v>15401.830000000007</v>
          </cell>
          <cell r="H330">
            <v>13006.4</v>
          </cell>
          <cell r="I330">
            <v>8771.5500000000029</v>
          </cell>
          <cell r="J330">
            <v>11527.5</v>
          </cell>
          <cell r="K330">
            <v>9389.7899999999881</v>
          </cell>
          <cell r="L330">
            <v>5786.9300000000057</v>
          </cell>
          <cell r="M330">
            <v>8440.5473113361204</v>
          </cell>
          <cell r="N330">
            <v>8992.4558216980622</v>
          </cell>
        </row>
        <row r="333">
          <cell r="A333" t="str">
            <v>Balance Sheet</v>
          </cell>
        </row>
        <row r="334">
          <cell r="A334" t="str">
            <v>(Rs Million)</v>
          </cell>
          <cell r="B334" t="str">
            <v>F1996</v>
          </cell>
          <cell r="C334" t="str">
            <v>F1997</v>
          </cell>
          <cell r="D334" t="str">
            <v>F1998</v>
          </cell>
          <cell r="E334" t="str">
            <v>F1999</v>
          </cell>
          <cell r="F334" t="str">
            <v>F2000</v>
          </cell>
          <cell r="G334" t="str">
            <v>F2001</v>
          </cell>
          <cell r="H334" t="str">
            <v>F2002</v>
          </cell>
          <cell r="I334" t="str">
            <v>F2003</v>
          </cell>
          <cell r="J334" t="str">
            <v>F2004</v>
          </cell>
          <cell r="K334" t="str">
            <v>F2005E</v>
          </cell>
          <cell r="L334" t="str">
            <v>F2006E</v>
          </cell>
          <cell r="M334" t="str">
            <v>F2007E</v>
          </cell>
          <cell r="N334" t="str">
            <v>F2008E</v>
          </cell>
        </row>
        <row r="335">
          <cell r="A335" t="str">
            <v>SOURCES OF FUNDS</v>
          </cell>
        </row>
        <row r="336">
          <cell r="A336" t="str">
            <v>Share Capital</v>
          </cell>
          <cell r="B336">
            <v>6000</v>
          </cell>
          <cell r="C336">
            <v>6000</v>
          </cell>
          <cell r="D336">
            <v>6300</v>
          </cell>
          <cell r="E336">
            <v>6300</v>
          </cell>
          <cell r="F336">
            <v>6300</v>
          </cell>
          <cell r="G336">
            <v>6300</v>
          </cell>
          <cell r="H336">
            <v>6300</v>
          </cell>
          <cell r="I336">
            <v>6300</v>
          </cell>
          <cell r="J336">
            <v>6300</v>
          </cell>
          <cell r="K336">
            <v>6300</v>
          </cell>
          <cell r="L336">
            <v>6300</v>
          </cell>
          <cell r="M336">
            <v>6300</v>
          </cell>
          <cell r="N336">
            <v>6300</v>
          </cell>
        </row>
        <row r="337">
          <cell r="A337" t="str">
            <v>Share Premium</v>
          </cell>
          <cell r="B337">
            <v>0</v>
          </cell>
          <cell r="C337">
            <v>0</v>
          </cell>
          <cell r="D337">
            <v>6649.8866760000001</v>
          </cell>
          <cell r="E337">
            <v>6650.047294</v>
          </cell>
          <cell r="F337">
            <v>6650.05</v>
          </cell>
          <cell r="G337">
            <v>6650.05</v>
          </cell>
          <cell r="H337">
            <v>6650.05</v>
          </cell>
          <cell r="I337">
            <v>6650.05</v>
          </cell>
          <cell r="J337">
            <v>6650.05</v>
          </cell>
          <cell r="K337">
            <v>6650.05</v>
          </cell>
          <cell r="L337">
            <v>6650.05</v>
          </cell>
          <cell r="M337">
            <v>6650.05</v>
          </cell>
          <cell r="N337">
            <v>6650.05</v>
          </cell>
        </row>
        <row r="338">
          <cell r="A338" t="str">
            <v>Reserves &amp; Surplus</v>
          </cell>
          <cell r="B338">
            <v>21368.604341999999</v>
          </cell>
          <cell r="C338">
            <v>29376.456247999999</v>
          </cell>
          <cell r="D338">
            <v>38668.007324999999</v>
          </cell>
          <cell r="E338">
            <v>49542.510441999999</v>
          </cell>
          <cell r="F338">
            <v>58253.77</v>
          </cell>
          <cell r="G338">
            <v>70531.44</v>
          </cell>
          <cell r="H338">
            <v>76446.36</v>
          </cell>
          <cell r="I338">
            <v>82019.679999999993</v>
          </cell>
          <cell r="J338">
            <v>90326.23</v>
          </cell>
          <cell r="K338">
            <v>96488.2</v>
          </cell>
          <cell r="L338">
            <v>100249.70449999999</v>
          </cell>
          <cell r="M338">
            <v>105736.06025236846</v>
          </cell>
          <cell r="N338">
            <v>111581.1565364722</v>
          </cell>
        </row>
        <row r="339">
          <cell r="A339" t="str">
            <v>Shareholders' Funds</v>
          </cell>
          <cell r="B339">
            <v>27368.604341999999</v>
          </cell>
          <cell r="C339">
            <v>35376.456248000002</v>
          </cell>
          <cell r="D339">
            <v>51617.894001000001</v>
          </cell>
          <cell r="E339">
            <v>62492.557736000002</v>
          </cell>
          <cell r="F339">
            <v>71203.819999999992</v>
          </cell>
          <cell r="G339">
            <v>83481.490000000005</v>
          </cell>
          <cell r="H339">
            <v>89396.41</v>
          </cell>
          <cell r="I339">
            <v>94969.73</v>
          </cell>
          <cell r="J339">
            <v>103276.28</v>
          </cell>
          <cell r="K339">
            <v>109438.25</v>
          </cell>
          <cell r="L339">
            <v>113199.7545</v>
          </cell>
          <cell r="M339">
            <v>118686.11025236847</v>
          </cell>
          <cell r="N339">
            <v>124531.20653647221</v>
          </cell>
        </row>
        <row r="340">
          <cell r="A340" t="str">
            <v>Deferred Tax Liability</v>
          </cell>
          <cell r="B340">
            <v>0</v>
          </cell>
          <cell r="C340">
            <v>0</v>
          </cell>
          <cell r="D340">
            <v>0</v>
          </cell>
          <cell r="E340">
            <v>0</v>
          </cell>
          <cell r="F340">
            <v>0</v>
          </cell>
          <cell r="G340">
            <v>0</v>
          </cell>
          <cell r="H340">
            <v>4294.4799999999996</v>
          </cell>
          <cell r="I340">
            <v>4874.8</v>
          </cell>
          <cell r="J340">
            <v>5634.57</v>
          </cell>
          <cell r="K340">
            <v>5740.08</v>
          </cell>
          <cell r="L340">
            <v>4841.72</v>
          </cell>
          <cell r="M340">
            <v>6202.488885662041</v>
          </cell>
          <cell r="N340">
            <v>7320.6059637682338</v>
          </cell>
        </row>
        <row r="341">
          <cell r="A341" t="str">
            <v>Loan Funds</v>
          </cell>
          <cell r="B341">
            <v>69481.264314</v>
          </cell>
          <cell r="C341">
            <v>76040.077709999998</v>
          </cell>
          <cell r="D341">
            <v>65493.078980999999</v>
          </cell>
          <cell r="E341">
            <v>38201.299999999996</v>
          </cell>
          <cell r="F341">
            <v>30902</v>
          </cell>
          <cell r="G341">
            <v>28810</v>
          </cell>
          <cell r="H341">
            <v>26190</v>
          </cell>
          <cell r="I341">
            <v>0</v>
          </cell>
          <cell r="J341">
            <v>0</v>
          </cell>
          <cell r="K341">
            <v>0</v>
          </cell>
          <cell r="L341">
            <v>0</v>
          </cell>
          <cell r="M341">
            <v>0</v>
          </cell>
          <cell r="N341">
            <v>0</v>
          </cell>
        </row>
        <row r="342">
          <cell r="A342" t="str">
            <v>Total</v>
          </cell>
          <cell r="B342">
            <v>96849.868656000006</v>
          </cell>
          <cell r="C342">
            <v>111416.533958</v>
          </cell>
          <cell r="D342">
            <v>117110.97298200001</v>
          </cell>
          <cell r="E342">
            <v>100693.85773600001</v>
          </cell>
          <cell r="F342">
            <v>102105.81999999999</v>
          </cell>
          <cell r="G342">
            <v>112291.49</v>
          </cell>
          <cell r="H342">
            <v>119880.89</v>
          </cell>
          <cell r="I342">
            <v>99844.53</v>
          </cell>
          <cell r="J342">
            <v>108910.85</v>
          </cell>
          <cell r="K342">
            <v>115178.33</v>
          </cell>
          <cell r="L342">
            <v>118041.4745</v>
          </cell>
          <cell r="M342">
            <v>124888.59913803051</v>
          </cell>
          <cell r="N342">
            <v>131851.81250024046</v>
          </cell>
        </row>
        <row r="344">
          <cell r="A344" t="str">
            <v>APPLICATION OF FUNDS</v>
          </cell>
        </row>
        <row r="345">
          <cell r="A345" t="str">
            <v>Net Block</v>
          </cell>
          <cell r="B345">
            <v>32664.342067999994</v>
          </cell>
          <cell r="C345">
            <v>38172.276767000003</v>
          </cell>
          <cell r="D345">
            <v>43480.495982999993</v>
          </cell>
          <cell r="E345">
            <v>46464.596353999979</v>
          </cell>
          <cell r="F345">
            <v>49317.783735999976</v>
          </cell>
          <cell r="G345">
            <v>50278.87373599998</v>
          </cell>
          <cell r="H345">
            <v>53117.983735999973</v>
          </cell>
          <cell r="I345">
            <v>55171.74373599996</v>
          </cell>
          <cell r="J345">
            <v>62102.823735999977</v>
          </cell>
          <cell r="K345">
            <v>64686.283735999968</v>
          </cell>
          <cell r="L345">
            <v>72063.572793822095</v>
          </cell>
          <cell r="M345">
            <v>78546.233044022927</v>
          </cell>
          <cell r="N345">
            <v>81845.867148258374</v>
          </cell>
        </row>
        <row r="346">
          <cell r="A346" t="str">
            <v>Capital Work in Progress</v>
          </cell>
          <cell r="B346">
            <v>7882.8250109999999</v>
          </cell>
          <cell r="C346">
            <v>7812.3727399999998</v>
          </cell>
          <cell r="D346">
            <v>6212.8125209999998</v>
          </cell>
          <cell r="E346">
            <v>7106.3356080000003</v>
          </cell>
          <cell r="F346">
            <v>6699.23</v>
          </cell>
          <cell r="G346">
            <v>8155.01</v>
          </cell>
          <cell r="H346">
            <v>7978.05</v>
          </cell>
          <cell r="I346">
            <v>8317.99</v>
          </cell>
          <cell r="J346">
            <v>4818</v>
          </cell>
          <cell r="K346">
            <v>6270.57</v>
          </cell>
          <cell r="L346">
            <v>3438.5897644555275</v>
          </cell>
          <cell r="M346">
            <v>3360.0308509756433</v>
          </cell>
          <cell r="N346">
            <v>2693.4700242708532</v>
          </cell>
        </row>
        <row r="347">
          <cell r="A347" t="str">
            <v>Net Fixed Assets</v>
          </cell>
          <cell r="B347">
            <v>40547.167078999992</v>
          </cell>
          <cell r="C347">
            <v>45984.649507000002</v>
          </cell>
          <cell r="D347">
            <v>49693.308503999993</v>
          </cell>
          <cell r="E347">
            <v>53570.931961999981</v>
          </cell>
          <cell r="F347">
            <v>56017.013735999979</v>
          </cell>
          <cell r="G347">
            <v>58433.883735999982</v>
          </cell>
          <cell r="H347">
            <v>61096.033735999976</v>
          </cell>
          <cell r="I347">
            <v>63489.733735999958</v>
          </cell>
          <cell r="J347">
            <v>66920.823735999977</v>
          </cell>
          <cell r="K347">
            <v>70956.853735999961</v>
          </cell>
          <cell r="L347">
            <v>75502.162558277618</v>
          </cell>
          <cell r="M347">
            <v>81906.26389499857</v>
          </cell>
          <cell r="N347">
            <v>84539.337172529224</v>
          </cell>
        </row>
        <row r="348">
          <cell r="A348" t="str">
            <v>Investments</v>
          </cell>
          <cell r="B348">
            <v>0</v>
          </cell>
          <cell r="C348">
            <v>0</v>
          </cell>
          <cell r="D348">
            <v>0</v>
          </cell>
          <cell r="E348">
            <v>0</v>
          </cell>
          <cell r="F348">
            <v>0</v>
          </cell>
          <cell r="G348">
            <v>0.02</v>
          </cell>
          <cell r="H348">
            <v>1026.77</v>
          </cell>
          <cell r="I348">
            <v>3710.12</v>
          </cell>
          <cell r="J348">
            <v>3806.94</v>
          </cell>
          <cell r="K348">
            <v>3974.65</v>
          </cell>
          <cell r="L348">
            <v>3974.65</v>
          </cell>
          <cell r="M348">
            <v>3974.65</v>
          </cell>
          <cell r="N348">
            <v>3974.65</v>
          </cell>
        </row>
        <row r="349">
          <cell r="A349" t="str">
            <v>Cash &amp; Cash Equivalents</v>
          </cell>
          <cell r="B349">
            <v>3061.7671919999998</v>
          </cell>
          <cell r="C349">
            <v>3721.2172399000001</v>
          </cell>
          <cell r="D349">
            <v>13284.937813</v>
          </cell>
          <cell r="E349">
            <v>13564.210175</v>
          </cell>
          <cell r="F349">
            <v>18350.810000000001</v>
          </cell>
          <cell r="G349">
            <v>24828.34</v>
          </cell>
          <cell r="H349">
            <v>24446.51</v>
          </cell>
          <cell r="I349">
            <v>18154.64</v>
          </cell>
          <cell r="J349">
            <v>25530.69</v>
          </cell>
          <cell r="K349">
            <v>25173.98</v>
          </cell>
          <cell r="L349">
            <v>24543.343280762092</v>
          </cell>
          <cell r="M349">
            <v>49023.600033469877</v>
          </cell>
          <cell r="N349">
            <v>50669.505745214243</v>
          </cell>
        </row>
        <row r="350">
          <cell r="A350" t="str">
            <v>Current Assets (Ex Cash)</v>
          </cell>
          <cell r="B350">
            <v>79983.590348999991</v>
          </cell>
          <cell r="C350">
            <v>97092.695661999998</v>
          </cell>
          <cell r="D350">
            <v>90325.806515999997</v>
          </cell>
          <cell r="E350">
            <v>69727.191105000005</v>
          </cell>
          <cell r="F350">
            <v>77138.83</v>
          </cell>
          <cell r="G350">
            <v>85613.16</v>
          </cell>
          <cell r="H350">
            <v>107312.72</v>
          </cell>
          <cell r="I350">
            <v>107173.97</v>
          </cell>
          <cell r="J350">
            <v>113754.79000000001</v>
          </cell>
          <cell r="K350">
            <v>121784.96000000001</v>
          </cell>
          <cell r="L350">
            <v>98736.375741133103</v>
          </cell>
          <cell r="M350">
            <v>76963.1774868395</v>
          </cell>
          <cell r="N350">
            <v>81823.835449862585</v>
          </cell>
        </row>
        <row r="351">
          <cell r="A351" t="str">
            <v>Current Liabilities</v>
          </cell>
          <cell r="B351">
            <v>26742.655963999998</v>
          </cell>
          <cell r="C351">
            <v>35382.028449999998</v>
          </cell>
          <cell r="D351">
            <v>36193.079851000002</v>
          </cell>
          <cell r="E351">
            <v>36168.474256000001</v>
          </cell>
          <cell r="F351">
            <v>49400.91</v>
          </cell>
          <cell r="G351">
            <v>56583.909999999989</v>
          </cell>
          <cell r="H351">
            <v>74001.14</v>
          </cell>
          <cell r="I351">
            <v>92683.93</v>
          </cell>
          <cell r="J351">
            <v>101094.9</v>
          </cell>
          <cell r="K351">
            <v>106712.12000000001</v>
          </cell>
          <cell r="L351">
            <v>84715.063344172857</v>
          </cell>
          <cell r="M351">
            <v>86979.098541277475</v>
          </cell>
          <cell r="N351">
            <v>89155.522131365637</v>
          </cell>
        </row>
        <row r="352">
          <cell r="A352" t="str">
            <v>Net Current Assets</v>
          </cell>
          <cell r="B352">
            <v>56302.701576999993</v>
          </cell>
          <cell r="C352">
            <v>65431.884451899998</v>
          </cell>
          <cell r="D352">
            <v>67417.664477999992</v>
          </cell>
          <cell r="E352">
            <v>47122.927024000004</v>
          </cell>
          <cell r="F352">
            <v>46088.729999999996</v>
          </cell>
          <cell r="G352">
            <v>53857.590000000011</v>
          </cell>
          <cell r="H352">
            <v>57758.090000000011</v>
          </cell>
          <cell r="I352">
            <v>32644.680000000008</v>
          </cell>
          <cell r="J352">
            <v>38190.580000000016</v>
          </cell>
          <cell r="K352">
            <v>40246.819999999992</v>
          </cell>
          <cell r="L352">
            <v>38564.655677722345</v>
          </cell>
          <cell r="M352">
            <v>39007.678979031902</v>
          </cell>
          <cell r="N352">
            <v>43337.819063711184</v>
          </cell>
        </row>
        <row r="353">
          <cell r="A353" t="str">
            <v>Total Assets</v>
          </cell>
          <cell r="B353">
            <v>96849.868655999977</v>
          </cell>
          <cell r="C353">
            <v>111416.53395889999</v>
          </cell>
          <cell r="D353">
            <v>117110.97298199998</v>
          </cell>
          <cell r="E353">
            <v>100693.85898599998</v>
          </cell>
          <cell r="F353">
            <v>102105.74373599997</v>
          </cell>
          <cell r="G353">
            <v>112291.49373599999</v>
          </cell>
          <cell r="H353">
            <v>119880.89373599998</v>
          </cell>
          <cell r="I353">
            <v>99844.533735999968</v>
          </cell>
          <cell r="J353">
            <v>108918.343736</v>
          </cell>
          <cell r="K353">
            <v>115178.32373599995</v>
          </cell>
          <cell r="L353">
            <v>118041.46823599996</v>
          </cell>
          <cell r="M353">
            <v>124888.59287403047</v>
          </cell>
          <cell r="N353">
            <v>131851.8062362404</v>
          </cell>
        </row>
        <row r="354">
          <cell r="A354">
            <v>0</v>
          </cell>
        </row>
        <row r="356">
          <cell r="A356" t="str">
            <v>Cash Flow Statements</v>
          </cell>
        </row>
        <row r="357">
          <cell r="A357" t="str">
            <v>(Rs Million)</v>
          </cell>
          <cell r="B357" t="str">
            <v>F1997</v>
          </cell>
          <cell r="C357" t="str">
            <v>F1998</v>
          </cell>
          <cell r="D357" t="str">
            <v>F1999</v>
          </cell>
          <cell r="E357" t="str">
            <v>F2000</v>
          </cell>
          <cell r="F357" t="str">
            <v>F2001</v>
          </cell>
          <cell r="G357" t="str">
            <v>F2002</v>
          </cell>
          <cell r="H357" t="str">
            <v>F2003</v>
          </cell>
          <cell r="I357" t="str">
            <v>F2004</v>
          </cell>
          <cell r="J357" t="str">
            <v>F2005E</v>
          </cell>
          <cell r="K357" t="str">
            <v>F2006E</v>
          </cell>
          <cell r="L357" t="str">
            <v>F2007E</v>
          </cell>
        </row>
        <row r="358">
          <cell r="A358" t="str">
            <v>Cash Flows from Operating Activities</v>
          </cell>
        </row>
        <row r="359">
          <cell r="A359" t="str">
            <v>Profit/(Loss) before tax</v>
          </cell>
          <cell r="B359">
            <v>14113.516000000007</v>
          </cell>
          <cell r="C359">
            <v>16719.79199999999</v>
          </cell>
          <cell r="D359">
            <v>18898.447000000004</v>
          </cell>
          <cell r="E359">
            <v>14938.667867647055</v>
          </cell>
          <cell r="F359">
            <v>17202.2</v>
          </cell>
          <cell r="G359">
            <v>18829.8</v>
          </cell>
          <cell r="H359">
            <v>13197.560000000003</v>
          </cell>
          <cell r="I359">
            <v>16881.980000000007</v>
          </cell>
          <cell r="J359">
            <v>12156.669999999993</v>
          </cell>
          <cell r="K359">
            <v>8316.5700000000033</v>
          </cell>
          <cell r="L359">
            <v>12057.924730480168</v>
          </cell>
        </row>
        <row r="360">
          <cell r="A360" t="str">
            <v>Depreciation</v>
          </cell>
          <cell r="B360">
            <v>5150.375</v>
          </cell>
          <cell r="C360">
            <v>5856.1989999999996</v>
          </cell>
          <cell r="D360">
            <v>6570.5140000000001</v>
          </cell>
          <cell r="E360">
            <v>7092.81</v>
          </cell>
          <cell r="F360">
            <v>7692.46</v>
          </cell>
          <cell r="G360">
            <v>8164.56</v>
          </cell>
          <cell r="H360">
            <v>8670.42</v>
          </cell>
          <cell r="I360">
            <v>5437.95</v>
          </cell>
          <cell r="J360">
            <v>5880.07</v>
          </cell>
          <cell r="K360">
            <v>6377.07</v>
          </cell>
          <cell r="L360">
            <v>6957.4631537017476</v>
          </cell>
        </row>
        <row r="361">
          <cell r="A361" t="str">
            <v>Interest</v>
          </cell>
          <cell r="B361">
            <v>1476.16</v>
          </cell>
          <cell r="C361">
            <v>866.24199999999996</v>
          </cell>
          <cell r="D361">
            <v>729.21500000000003</v>
          </cell>
          <cell r="E361">
            <v>84.16</v>
          </cell>
          <cell r="F361">
            <v>83.03</v>
          </cell>
          <cell r="G361">
            <v>288.35000000000002</v>
          </cell>
          <cell r="H361">
            <v>328.19</v>
          </cell>
          <cell r="I361">
            <v>346.2</v>
          </cell>
          <cell r="J361">
            <v>358.12</v>
          </cell>
          <cell r="K361">
            <v>249.97</v>
          </cell>
          <cell r="L361">
            <v>0</v>
          </cell>
        </row>
        <row r="362">
          <cell r="A362" t="str">
            <v>Direct Taxes Paid</v>
          </cell>
          <cell r="B362">
            <v>-5493.2</v>
          </cell>
          <cell r="C362">
            <v>-5246.6710000000003</v>
          </cell>
          <cell r="D362">
            <v>-6016</v>
          </cell>
          <cell r="E362">
            <v>-1630</v>
          </cell>
          <cell r="F362">
            <v>-1630</v>
          </cell>
          <cell r="G362">
            <v>-4900</v>
          </cell>
          <cell r="H362">
            <v>-3234.2</v>
          </cell>
          <cell r="I362">
            <v>-3753.71</v>
          </cell>
          <cell r="J362">
            <v>-2566.9</v>
          </cell>
          <cell r="K362">
            <v>-2518</v>
          </cell>
          <cell r="L362">
            <v>-2256.6085334820077</v>
          </cell>
        </row>
        <row r="363">
          <cell r="A363" t="str">
            <v>Changes in Working Capital</v>
          </cell>
          <cell r="B363">
            <v>-8469.7328270000071</v>
          </cell>
          <cell r="C363">
            <v>7577.9405470000056</v>
          </cell>
          <cell r="D363">
            <v>20574.009815999991</v>
          </cell>
          <cell r="E363">
            <v>5820.7968490000094</v>
          </cell>
          <cell r="F363">
            <v>-1291.3300000000163</v>
          </cell>
          <cell r="G363">
            <v>-4282.3300000000054</v>
          </cell>
          <cell r="H363">
            <v>18821.540000000008</v>
          </cell>
          <cell r="I363">
            <v>1830.1499999999905</v>
          </cell>
          <cell r="J363">
            <v>-2412.9499999999753</v>
          </cell>
          <cell r="K363">
            <v>1051.5276030397545</v>
          </cell>
          <cell r="L363">
            <v>24037.233451398213</v>
          </cell>
        </row>
        <row r="364">
          <cell r="A364" t="str">
            <v>Prior period adjustments</v>
          </cell>
          <cell r="B364">
            <v>707.53499999999997</v>
          </cell>
          <cell r="C364">
            <v>-171.827</v>
          </cell>
          <cell r="D364">
            <v>89.781000000000006</v>
          </cell>
          <cell r="E364">
            <v>-2430.2078676470587</v>
          </cell>
          <cell r="F364">
            <v>-170.37</v>
          </cell>
          <cell r="G364">
            <v>-885.76</v>
          </cell>
          <cell r="H364">
            <v>-1192.19</v>
          </cell>
          <cell r="I364">
            <v>-841</v>
          </cell>
          <cell r="J364">
            <v>-94.47</v>
          </cell>
          <cell r="K364">
            <v>-910</v>
          </cell>
          <cell r="L364">
            <v>0</v>
          </cell>
        </row>
        <row r="365">
          <cell r="A365" t="str">
            <v>Total</v>
          </cell>
          <cell r="B365">
            <v>7484.6531729999988</v>
          </cell>
          <cell r="C365">
            <v>25601.675546999995</v>
          </cell>
          <cell r="D365">
            <v>40845.966816</v>
          </cell>
          <cell r="E365">
            <v>23876.226849000006</v>
          </cell>
          <cell r="F365">
            <v>21885.989999999983</v>
          </cell>
          <cell r="G365">
            <v>17214.619999999995</v>
          </cell>
          <cell r="H365">
            <v>36591.320000000007</v>
          </cell>
          <cell r="I365">
            <v>19901.57</v>
          </cell>
          <cell r="J365">
            <v>13320.540000000015</v>
          </cell>
          <cell r="K365">
            <v>12567.137603039757</v>
          </cell>
          <cell r="L365">
            <v>40796.012802098121</v>
          </cell>
        </row>
        <row r="367">
          <cell r="A367" t="str">
            <v>Cash Flows from Investing Activities</v>
          </cell>
        </row>
        <row r="368">
          <cell r="A368" t="str">
            <v>Purchase of Fixed Assets</v>
          </cell>
          <cell r="B368">
            <v>-10587.85742800001</v>
          </cell>
          <cell r="C368">
            <v>-9564.8579969999919</v>
          </cell>
          <cell r="D368">
            <v>-10448.137457999987</v>
          </cell>
          <cell r="E368">
            <v>-9538.8917739999997</v>
          </cell>
          <cell r="F368">
            <v>-10109.330000000002</v>
          </cell>
          <cell r="G368">
            <v>-10826.709999999995</v>
          </cell>
          <cell r="H368">
            <v>-11064.119999999983</v>
          </cell>
          <cell r="I368">
            <v>-8869.0400000000191</v>
          </cell>
          <cell r="J368">
            <v>-9916.099999999984</v>
          </cell>
          <cell r="K368">
            <v>-10922.378822277657</v>
          </cell>
          <cell r="L368">
            <v>-13361.564490422701</v>
          </cell>
        </row>
        <row r="369">
          <cell r="A369" t="str">
            <v>Purchas of Investments</v>
          </cell>
          <cell r="B369">
            <v>0</v>
          </cell>
          <cell r="C369">
            <v>0</v>
          </cell>
          <cell r="D369">
            <v>0</v>
          </cell>
          <cell r="E369">
            <v>0</v>
          </cell>
          <cell r="F369">
            <v>0</v>
          </cell>
          <cell r="G369">
            <v>-1026.75</v>
          </cell>
          <cell r="H369">
            <v>-2683.35</v>
          </cell>
          <cell r="I369">
            <v>-96.820000000000164</v>
          </cell>
          <cell r="J369">
            <v>-167.71000000000004</v>
          </cell>
          <cell r="K369">
            <v>0</v>
          </cell>
          <cell r="L369">
            <v>0</v>
          </cell>
        </row>
        <row r="370">
          <cell r="A370" t="str">
            <v>Total</v>
          </cell>
          <cell r="B370">
            <v>-10587.85742800001</v>
          </cell>
          <cell r="C370">
            <v>-9564.8579969999919</v>
          </cell>
          <cell r="D370">
            <v>-10448.137457999987</v>
          </cell>
          <cell r="E370">
            <v>-9538.8917739999997</v>
          </cell>
          <cell r="F370">
            <v>-10109.330000000002</v>
          </cell>
          <cell r="G370">
            <v>-11853.459999999995</v>
          </cell>
          <cell r="H370">
            <v>-13747.469999999983</v>
          </cell>
          <cell r="I370">
            <v>-8965.8600000000188</v>
          </cell>
          <cell r="J370">
            <v>-10083.809999999983</v>
          </cell>
          <cell r="K370">
            <v>-10922.378822277657</v>
          </cell>
          <cell r="L370">
            <v>-13361.564490422701</v>
          </cell>
        </row>
        <row r="372">
          <cell r="A372" t="str">
            <v>Cash Flows from Financing Activities</v>
          </cell>
        </row>
        <row r="373">
          <cell r="A373" t="str">
            <v>Issuance of Equity Shares</v>
          </cell>
          <cell r="B373">
            <v>0</v>
          </cell>
          <cell r="C373">
            <v>6949.8866760000001</v>
          </cell>
          <cell r="D373">
            <v>0.1606179999998858</v>
          </cell>
          <cell r="E373">
            <v>2.705999999307096E-3</v>
          </cell>
          <cell r="F373">
            <v>0</v>
          </cell>
          <cell r="G373">
            <v>0</v>
          </cell>
          <cell r="H373">
            <v>0</v>
          </cell>
          <cell r="I373">
            <v>0</v>
          </cell>
          <cell r="J373">
            <v>0</v>
          </cell>
          <cell r="K373">
            <v>0</v>
          </cell>
          <cell r="L373">
            <v>0</v>
          </cell>
        </row>
        <row r="374">
          <cell r="A374" t="str">
            <v>Repayment of L.T. Debt</v>
          </cell>
          <cell r="B374">
            <v>6558.8133959999977</v>
          </cell>
          <cell r="C374">
            <v>-10546.998728999999</v>
          </cell>
          <cell r="D374">
            <v>-27291.778981000003</v>
          </cell>
          <cell r="E374">
            <v>-7299.2999999999956</v>
          </cell>
          <cell r="F374">
            <v>-2092</v>
          </cell>
          <cell r="G374">
            <v>-2620</v>
          </cell>
          <cell r="H374">
            <v>-26190</v>
          </cell>
          <cell r="I374">
            <v>0</v>
          </cell>
          <cell r="J374">
            <v>0</v>
          </cell>
          <cell r="K374">
            <v>0</v>
          </cell>
          <cell r="L374">
            <v>0</v>
          </cell>
        </row>
        <row r="375">
          <cell r="A375" t="str">
            <v>Interest Expense</v>
          </cell>
          <cell r="B375">
            <v>-1476.16</v>
          </cell>
          <cell r="C375">
            <v>-866.24199999999996</v>
          </cell>
          <cell r="D375">
            <v>-729.21500000000003</v>
          </cell>
          <cell r="E375">
            <v>-84.16</v>
          </cell>
          <cell r="F375">
            <v>-83.03</v>
          </cell>
          <cell r="G375">
            <v>-288.35000000000002</v>
          </cell>
          <cell r="H375">
            <v>-328.19</v>
          </cell>
          <cell r="I375">
            <v>-346.2</v>
          </cell>
          <cell r="J375">
            <v>-358.12</v>
          </cell>
          <cell r="K375">
            <v>-249.97</v>
          </cell>
          <cell r="L375">
            <v>0</v>
          </cell>
        </row>
        <row r="376">
          <cell r="A376" t="str">
            <v>Dividends</v>
          </cell>
          <cell r="B376">
            <v>-1200</v>
          </cell>
          <cell r="C376">
            <v>-1827.0409999999999</v>
          </cell>
          <cell r="D376">
            <v>-1890</v>
          </cell>
          <cell r="E376">
            <v>-1890</v>
          </cell>
          <cell r="F376">
            <v>-2835</v>
          </cell>
          <cell r="G376">
            <v>-2835</v>
          </cell>
          <cell r="H376">
            <v>-2835</v>
          </cell>
          <cell r="I376">
            <v>-2835</v>
          </cell>
          <cell r="J376">
            <v>-2835</v>
          </cell>
          <cell r="K376">
            <v>-1800.3782222222212</v>
          </cell>
          <cell r="L376">
            <v>-2625.9480524156797</v>
          </cell>
        </row>
        <row r="377">
          <cell r="A377" t="str">
            <v>Dividend Tax</v>
          </cell>
          <cell r="B377">
            <v>-120</v>
          </cell>
          <cell r="C377">
            <v>-182.70410000000001</v>
          </cell>
          <cell r="D377">
            <v>-207.9</v>
          </cell>
          <cell r="E377">
            <v>-277.2</v>
          </cell>
          <cell r="F377">
            <v>-289.17</v>
          </cell>
          <cell r="G377">
            <v>0</v>
          </cell>
          <cell r="H377">
            <v>-363.23</v>
          </cell>
          <cell r="I377">
            <v>-363.23</v>
          </cell>
          <cell r="J377">
            <v>-392.82</v>
          </cell>
          <cell r="K377">
            <v>-225.04727777777771</v>
          </cell>
          <cell r="L377">
            <v>-328.24350655195985</v>
          </cell>
        </row>
        <row r="378">
          <cell r="A378" t="str">
            <v>Total</v>
          </cell>
          <cell r="B378">
            <v>3762.6533959999979</v>
          </cell>
          <cell r="C378">
            <v>-6473.0991529999992</v>
          </cell>
          <cell r="D378">
            <v>-30118.733363000003</v>
          </cell>
          <cell r="E378">
            <v>-9550.6572939999969</v>
          </cell>
          <cell r="F378">
            <v>-5299.2000000000007</v>
          </cell>
          <cell r="G378">
            <v>-5743.35</v>
          </cell>
          <cell r="H378">
            <v>-29136.1</v>
          </cell>
          <cell r="I378">
            <v>-3544.43</v>
          </cell>
          <cell r="J378">
            <v>-3585.94</v>
          </cell>
          <cell r="K378">
            <v>-2275.3954999999987</v>
          </cell>
          <cell r="L378">
            <v>-2954.1915589676396</v>
          </cell>
        </row>
        <row r="380">
          <cell r="A380" t="str">
            <v xml:space="preserve">Net change in Cash &amp; Cash Eq. </v>
          </cell>
          <cell r="B380">
            <v>659.44914099998641</v>
          </cell>
          <cell r="C380">
            <v>9563.7183970000042</v>
          </cell>
          <cell r="D380">
            <v>279.09599500001059</v>
          </cell>
          <cell r="E380">
            <v>4786.6777810000094</v>
          </cell>
          <cell r="F380">
            <v>6477.4599999999809</v>
          </cell>
          <cell r="G380">
            <v>-382.19000000000051</v>
          </cell>
          <cell r="H380">
            <v>-6292.2499999999745</v>
          </cell>
          <cell r="I380">
            <v>7391.2799999999806</v>
          </cell>
          <cell r="J380">
            <v>-349.20999999996775</v>
          </cell>
          <cell r="K380">
            <v>-630.63671923789843</v>
          </cell>
          <cell r="L380">
            <v>24480.256752707781</v>
          </cell>
        </row>
        <row r="383">
          <cell r="A383" t="str">
            <v>Key Ratios</v>
          </cell>
        </row>
        <row r="384">
          <cell r="A384" t="str">
            <v>(Rs Million)</v>
          </cell>
          <cell r="B384" t="str">
            <v>F1996</v>
          </cell>
          <cell r="C384" t="str">
            <v>F1997</v>
          </cell>
          <cell r="D384" t="str">
            <v>F1998</v>
          </cell>
          <cell r="E384" t="str">
            <v>F1999</v>
          </cell>
          <cell r="F384" t="str">
            <v>F2000</v>
          </cell>
          <cell r="G384" t="str">
            <v>F2001</v>
          </cell>
          <cell r="H384" t="str">
            <v>F2002</v>
          </cell>
          <cell r="I384" t="str">
            <v>F2003</v>
          </cell>
          <cell r="J384" t="str">
            <v>F2004</v>
          </cell>
          <cell r="K384" t="str">
            <v>F2005E</v>
          </cell>
          <cell r="L384" t="str">
            <v>F2006E</v>
          </cell>
          <cell r="M384" t="str">
            <v>F2007E</v>
          </cell>
        </row>
        <row r="385">
          <cell r="A385" t="str">
            <v>Per Share Data (Rs)</v>
          </cell>
        </row>
        <row r="386">
          <cell r="A386" t="str">
            <v>Earnings</v>
          </cell>
          <cell r="B386">
            <v>11.681345000000004</v>
          </cell>
          <cell r="C386">
            <v>14.367193333333343</v>
          </cell>
          <cell r="D386">
            <v>18.21130317460316</v>
          </cell>
          <cell r="E386">
            <v>20.448328571428576</v>
          </cell>
          <cell r="F386">
            <v>21.124869631185803</v>
          </cell>
          <cell r="G386">
            <v>24.71777777777778</v>
          </cell>
          <cell r="H386">
            <v>22.051047619047619</v>
          </cell>
          <cell r="I386">
            <v>14.893714285714291</v>
          </cell>
          <cell r="J386">
            <v>19.632539682539694</v>
          </cell>
          <cell r="K386">
            <v>15.05438095238094</v>
          </cell>
          <cell r="L386">
            <v>10.630047619047625</v>
          </cell>
          <cell r="M386">
            <v>13.397694144977969</v>
          </cell>
        </row>
        <row r="387">
          <cell r="A387" t="str">
            <v>Cash Earnings</v>
          </cell>
          <cell r="B387">
            <v>19.43870166666667</v>
          </cell>
          <cell r="C387">
            <v>22.951151666666679</v>
          </cell>
          <cell r="D387">
            <v>27.506857142857125</v>
          </cell>
          <cell r="E387">
            <v>30.877715873015877</v>
          </cell>
          <cell r="F387">
            <v>32.383298202614377</v>
          </cell>
          <cell r="G387">
            <v>36.928031746031749</v>
          </cell>
          <cell r="H387">
            <v>35.070412698412696</v>
          </cell>
          <cell r="I387">
            <v>29.577428571428577</v>
          </cell>
          <cell r="J387">
            <v>29.470190476190488</v>
          </cell>
          <cell r="K387">
            <v>24.555301587301575</v>
          </cell>
          <cell r="L387">
            <v>19.326412698412703</v>
          </cell>
          <cell r="M387">
            <v>26.60123706460303</v>
          </cell>
        </row>
        <row r="388">
          <cell r="A388" t="str">
            <v>Book Value</v>
          </cell>
          <cell r="B388">
            <v>45.614340569999996</v>
          </cell>
          <cell r="C388">
            <v>58.96076041333334</v>
          </cell>
          <cell r="D388">
            <v>81.933165080952378</v>
          </cell>
          <cell r="E388">
            <v>99.194536088888896</v>
          </cell>
          <cell r="F388">
            <v>113.0219365079365</v>
          </cell>
          <cell r="G388">
            <v>132.5103015873016</v>
          </cell>
          <cell r="H388">
            <v>141.8990634920635</v>
          </cell>
          <cell r="I388">
            <v>150.74560317460316</v>
          </cell>
          <cell r="J388">
            <v>163.93060317460316</v>
          </cell>
          <cell r="K388">
            <v>173.71150793650793</v>
          </cell>
          <cell r="L388">
            <v>179.68214999999998</v>
          </cell>
          <cell r="M388">
            <v>188.39065119423566</v>
          </cell>
        </row>
        <row r="389">
          <cell r="A389" t="str">
            <v>Dividend</v>
          </cell>
          <cell r="B389">
            <v>2</v>
          </cell>
          <cell r="C389">
            <v>2</v>
          </cell>
          <cell r="D389">
            <v>2.9000650793650791</v>
          </cell>
          <cell r="E389">
            <v>3</v>
          </cell>
          <cell r="F389">
            <v>3</v>
          </cell>
          <cell r="G389">
            <v>4.5</v>
          </cell>
          <cell r="H389">
            <v>4.5</v>
          </cell>
          <cell r="I389">
            <v>4.5</v>
          </cell>
          <cell r="J389">
            <v>4.5</v>
          </cell>
          <cell r="K389">
            <v>4.5</v>
          </cell>
          <cell r="L389">
            <v>2.8577432098765416</v>
          </cell>
          <cell r="M389">
            <v>4.1681715117709199</v>
          </cell>
        </row>
        <row r="391">
          <cell r="A391" t="str">
            <v>Valuations</v>
          </cell>
        </row>
        <row r="392">
          <cell r="A392" t="str">
            <v>P/E</v>
          </cell>
          <cell r="B392">
            <v>13.25617897596552</v>
          </cell>
          <cell r="C392">
            <v>10.778027162809337</v>
          </cell>
          <cell r="D392">
            <v>8.5029609641526562</v>
          </cell>
          <cell r="E392">
            <v>7.5727460784430143</v>
          </cell>
          <cell r="F392">
            <v>7.3302227518318555</v>
          </cell>
          <cell r="G392">
            <v>6.2647217477299284</v>
          </cell>
          <cell r="H392">
            <v>7.0223420979890809</v>
          </cell>
          <cell r="I392">
            <v>10.397003529772864</v>
          </cell>
          <cell r="J392">
            <v>7.8874156122407681</v>
          </cell>
          <cell r="K392">
            <v>10.286042348058791</v>
          </cell>
          <cell r="L392">
            <v>14.567197208273036</v>
          </cell>
          <cell r="M392">
            <v>11.557959028199225</v>
          </cell>
        </row>
        <row r="393">
          <cell r="A393" t="str">
            <v>P/CE</v>
          </cell>
          <cell r="B393">
            <v>7.9660670067042352</v>
          </cell>
          <cell r="C393">
            <v>6.746938116613026</v>
          </cell>
          <cell r="D393">
            <v>5.6295053700895394</v>
          </cell>
          <cell r="E393">
            <v>5.0149434834110851</v>
          </cell>
          <cell r="F393">
            <v>4.7817859388855766</v>
          </cell>
          <cell r="G393">
            <v>4.1932914557960439</v>
          </cell>
          <cell r="H393">
            <v>4.4154028448889218</v>
          </cell>
          <cell r="I393">
            <v>5.2354111726123191</v>
          </cell>
          <cell r="J393">
            <v>5.25446213607293</v>
          </cell>
          <cell r="K393">
            <v>6.3061738195094481</v>
          </cell>
          <cell r="L393">
            <v>8.0123508907950605</v>
          </cell>
          <cell r="M393">
            <v>5.8211578515666602</v>
          </cell>
        </row>
        <row r="394">
          <cell r="A394" t="str">
            <v>P/BV</v>
          </cell>
          <cell r="B394">
            <v>3.3947657264137452</v>
          </cell>
          <cell r="C394">
            <v>2.6263229801388781</v>
          </cell>
          <cell r="D394">
            <v>1.8899550608963249</v>
          </cell>
          <cell r="E394">
            <v>1.561073886783823</v>
          </cell>
          <cell r="F394">
            <v>1.3700880093230954</v>
          </cell>
          <cell r="G394">
            <v>1.1685883900730567</v>
          </cell>
          <cell r="H394">
            <v>1.091268653853102</v>
          </cell>
          <cell r="I394">
            <v>1.0272273070587861</v>
          </cell>
          <cell r="J394">
            <v>0.94460702883566294</v>
          </cell>
          <cell r="K394">
            <v>0.89142050425696684</v>
          </cell>
          <cell r="L394">
            <v>0.86179957218900161</v>
          </cell>
          <cell r="M394">
            <v>0.82196223123803325</v>
          </cell>
        </row>
        <row r="395">
          <cell r="A395" t="str">
            <v>Yield</v>
          </cell>
          <cell r="B395">
            <v>1.2915724895059736E-2</v>
          </cell>
          <cell r="C395">
            <v>1.2915724895059736E-2</v>
          </cell>
          <cell r="D395">
            <v>1.8728221371424471E-2</v>
          </cell>
          <cell r="E395">
            <v>1.9373587342589604E-2</v>
          </cell>
          <cell r="F395">
            <v>1.9373587342589604E-2</v>
          </cell>
          <cell r="G395">
            <v>2.9060381013884404E-2</v>
          </cell>
          <cell r="H395">
            <v>2.9060381013884404E-2</v>
          </cell>
          <cell r="I395">
            <v>2.9060381013884404E-2</v>
          </cell>
          <cell r="J395">
            <v>2.9060381013884404E-2</v>
          </cell>
          <cell r="K395">
            <v>2.9060381013884404E-2</v>
          </cell>
          <cell r="L395">
            <v>1.8454912559745185E-2</v>
          </cell>
          <cell r="M395">
            <v>2.6917478280729223E-2</v>
          </cell>
        </row>
        <row r="396">
          <cell r="A396" t="str">
            <v>EV/EBITDA</v>
          </cell>
          <cell r="B396">
            <v>5.9646667551934005</v>
          </cell>
          <cell r="C396">
            <v>4.9258655085428371</v>
          </cell>
          <cell r="D396">
            <v>3.9216695867750881</v>
          </cell>
          <cell r="E396">
            <v>3.5199931226048466</v>
          </cell>
          <cell r="F396">
            <v>3.8979872152428694</v>
          </cell>
          <cell r="G396">
            <v>3.4566944955971937</v>
          </cell>
          <cell r="H396">
            <v>2.9480334881230235</v>
          </cell>
          <cell r="I396">
            <v>3.9781464843886996</v>
          </cell>
          <cell r="J396">
            <v>3.6892626167736</v>
          </cell>
          <cell r="K396">
            <v>5.0755671599266368</v>
          </cell>
          <cell r="L396">
            <v>5.9917156782441738</v>
          </cell>
          <cell r="M396">
            <v>3.0341625072751977</v>
          </cell>
        </row>
        <row r="398">
          <cell r="A398" t="str">
            <v>Profitabliity</v>
          </cell>
        </row>
        <row r="399">
          <cell r="A399" t="str">
            <v>ROE (%)</v>
          </cell>
          <cell r="B399">
            <v>0.25608930994132761</v>
          </cell>
          <cell r="C399">
            <v>0.27477273649724931</v>
          </cell>
          <cell r="D399">
            <v>0.26376703698943649</v>
          </cell>
          <cell r="E399">
            <v>0.22578908073541359</v>
          </cell>
          <cell r="F399">
            <v>0.19908793481191633</v>
          </cell>
          <cell r="G399">
            <v>0.20134038584530103</v>
          </cell>
          <cell r="H399">
            <v>0.16071643628248605</v>
          </cell>
          <cell r="I399">
            <v>0.10178702011117662</v>
          </cell>
          <cell r="J399">
            <v>0.12477930829477987</v>
          </cell>
          <cell r="K399">
            <v>8.9173598061213707E-2</v>
          </cell>
          <cell r="L399">
            <v>6.0159809777669875E-2</v>
          </cell>
          <cell r="M399">
            <v>7.2799153327865004E-2</v>
          </cell>
        </row>
        <row r="400">
          <cell r="A400" t="str">
            <v>ROCE (%)</v>
          </cell>
          <cell r="B400">
            <v>0.14208748231634774</v>
          </cell>
          <cell r="C400">
            <v>0.1493485632324891</v>
          </cell>
          <cell r="D400">
            <v>0.15341562365708963</v>
          </cell>
          <cell r="E400">
            <v>0.18015416770440451</v>
          </cell>
          <cell r="F400">
            <v>0.14792526334458175</v>
          </cell>
          <cell r="G400">
            <v>0.16124484024543032</v>
          </cell>
          <cell r="H400">
            <v>0.1646892709632386</v>
          </cell>
          <cell r="I400">
            <v>0.12311502237656438</v>
          </cell>
          <cell r="J400">
            <v>0.16505615328333101</v>
          </cell>
          <cell r="K400">
            <v>0.11169472796500031</v>
          </cell>
          <cell r="L400">
            <v>7.346322940597444E-2</v>
          </cell>
          <cell r="M400">
            <v>9.927074527994964E-2</v>
          </cell>
        </row>
        <row r="402">
          <cell r="A402" t="str">
            <v>Gearing</v>
          </cell>
        </row>
        <row r="403">
          <cell r="A403" t="str">
            <v>Debt/Equity</v>
          </cell>
          <cell r="B403">
            <v>0.59039416522980848</v>
          </cell>
          <cell r="C403">
            <v>0.27580709728526331</v>
          </cell>
          <cell r="D403">
            <v>5.3668578205579839E-2</v>
          </cell>
          <cell r="E403">
            <v>3.8660603558689096E-3</v>
          </cell>
          <cell r="F403">
            <v>2.6964845425428022E-3</v>
          </cell>
          <cell r="G403">
            <v>3.1384202653785886E-2</v>
          </cell>
          <cell r="H403">
            <v>0</v>
          </cell>
          <cell r="I403">
            <v>0</v>
          </cell>
          <cell r="J403">
            <v>0</v>
          </cell>
          <cell r="K403">
            <v>0</v>
          </cell>
          <cell r="L403">
            <v>0</v>
          </cell>
          <cell r="M403">
            <v>0</v>
          </cell>
        </row>
        <row r="404">
          <cell r="A404" t="str">
            <v>Net Debt/Equity</v>
          </cell>
          <cell r="B404">
            <v>0.4785226516611974</v>
          </cell>
          <cell r="C404">
            <v>0.17061800729238485</v>
          </cell>
          <cell r="D404" t="str">
            <v>Net Cash</v>
          </cell>
          <cell r="E404" t="str">
            <v>Net Cash</v>
          </cell>
          <cell r="F404" t="str">
            <v>Net Cash</v>
          </cell>
          <cell r="G404" t="str">
            <v>Net Cash</v>
          </cell>
          <cell r="H404" t="str">
            <v>Net Cash</v>
          </cell>
          <cell r="I404" t="str">
            <v>Net Cash</v>
          </cell>
          <cell r="J404" t="str">
            <v>Net Cash</v>
          </cell>
          <cell r="K404" t="str">
            <v>Net Cash</v>
          </cell>
          <cell r="L404" t="str">
            <v>Net Cash</v>
          </cell>
          <cell r="M404" t="str">
            <v>Net Cash</v>
          </cell>
        </row>
      </sheetData>
      <sheetData sheetId="3"/>
      <sheetData sheetId="4"/>
      <sheetData sheetId="5"/>
      <sheetData sheetId="6"/>
      <sheetData sheetId="7"/>
      <sheetData sheetId="8" refreshError="1">
        <row r="1">
          <cell r="A1" t="str">
            <v>MAHANAGAR TELEPHONE NIGAM LIMITED</v>
          </cell>
          <cell r="C1" t="str">
            <v>F90</v>
          </cell>
          <cell r="D1" t="str">
            <v>F91</v>
          </cell>
          <cell r="E1" t="str">
            <v>F92</v>
          </cell>
          <cell r="F1" t="str">
            <v>F93</v>
          </cell>
          <cell r="G1" t="str">
            <v>F94</v>
          </cell>
          <cell r="H1" t="str">
            <v>F95</v>
          </cell>
          <cell r="I1" t="str">
            <v>1995/6</v>
          </cell>
          <cell r="J1" t="str">
            <v>1996/7</v>
          </cell>
          <cell r="K1" t="str">
            <v>1997/8</v>
          </cell>
          <cell r="L1" t="str">
            <v>1998/9</v>
          </cell>
          <cell r="M1" t="str">
            <v>1999/0</v>
          </cell>
          <cell r="N1" t="str">
            <v>2000/1</v>
          </cell>
          <cell r="O1" t="str">
            <v>2001/2</v>
          </cell>
          <cell r="P1" t="str">
            <v>2002/3</v>
          </cell>
          <cell r="Q1" t="str">
            <v>2002/4</v>
          </cell>
          <cell r="R1" t="str">
            <v>2002/5</v>
          </cell>
          <cell r="S1" t="str">
            <v>2002/6</v>
          </cell>
          <cell r="T1" t="str">
            <v>2002/7</v>
          </cell>
          <cell r="U1" t="str">
            <v>2002/8</v>
          </cell>
          <cell r="V1" t="str">
            <v>2002/9</v>
          </cell>
          <cell r="W1" t="str">
            <v>2002/10</v>
          </cell>
          <cell r="X1" t="str">
            <v>2002/11</v>
          </cell>
          <cell r="Y1" t="str">
            <v>2002/12</v>
          </cell>
          <cell r="Z1" t="str">
            <v>2002/13</v>
          </cell>
          <cell r="AA1" t="str">
            <v>2002/14</v>
          </cell>
          <cell r="AB1" t="str">
            <v>2002/15</v>
          </cell>
        </row>
        <row r="3">
          <cell r="A3" t="str">
            <v>MTNL - Income Statement</v>
          </cell>
        </row>
        <row r="4">
          <cell r="A4" t="str">
            <v>(Rs million)</v>
          </cell>
          <cell r="I4" t="str">
            <v>1995/6</v>
          </cell>
          <cell r="J4" t="str">
            <v>1996/7</v>
          </cell>
          <cell r="K4" t="str">
            <v>1997/8</v>
          </cell>
          <cell r="L4" t="str">
            <v>1998/9</v>
          </cell>
          <cell r="M4" t="str">
            <v>1999/0</v>
          </cell>
          <cell r="N4" t="str">
            <v>2000/1</v>
          </cell>
          <cell r="O4" t="str">
            <v>2001/2</v>
          </cell>
          <cell r="P4" t="str">
            <v>2002/3</v>
          </cell>
        </row>
        <row r="5">
          <cell r="A5" t="str">
            <v>Revenues</v>
          </cell>
        </row>
        <row r="6">
          <cell r="A6" t="str">
            <v>Income from Fixed line Services</v>
          </cell>
        </row>
        <row r="7">
          <cell r="B7" t="str">
            <v>Telephone</v>
          </cell>
          <cell r="I7">
            <v>33246.212</v>
          </cell>
          <cell r="J7">
            <v>38519.243000000002</v>
          </cell>
          <cell r="K7">
            <v>44189.288999999997</v>
          </cell>
          <cell r="L7">
            <v>47554.19</v>
          </cell>
          <cell r="M7">
            <v>49059.53</v>
          </cell>
          <cell r="N7">
            <v>53488.98</v>
          </cell>
          <cell r="O7">
            <v>53915.24</v>
          </cell>
          <cell r="P7">
            <v>47815.590000000004</v>
          </cell>
          <cell r="Q7">
            <v>46204.43</v>
          </cell>
          <cell r="R7">
            <v>41992.93</v>
          </cell>
          <cell r="S7">
            <v>38485</v>
          </cell>
          <cell r="T7">
            <v>39649.906038518464</v>
          </cell>
          <cell r="U7">
            <v>39721.436508339582</v>
          </cell>
          <cell r="V7">
            <v>39819.915534439577</v>
          </cell>
          <cell r="W7">
            <v>39834.287532515053</v>
          </cell>
          <cell r="X7">
            <v>40089.399875029812</v>
          </cell>
          <cell r="Y7">
            <v>40135.921153624833</v>
          </cell>
          <cell r="Z7">
            <v>40435.222967134177</v>
          </cell>
          <cell r="AA7">
            <v>40515.44210328917</v>
          </cell>
          <cell r="AB7">
            <v>40857.309482521196</v>
          </cell>
        </row>
        <row r="8">
          <cell r="B8" t="str">
            <v>Telex</v>
          </cell>
          <cell r="I8">
            <v>444.04599999999999</v>
          </cell>
          <cell r="J8">
            <v>360.93200000000002</v>
          </cell>
          <cell r="K8">
            <v>266.76799999999997</v>
          </cell>
          <cell r="L8">
            <v>216.3</v>
          </cell>
          <cell r="M8">
            <v>157.21</v>
          </cell>
          <cell r="N8">
            <v>131.31</v>
          </cell>
          <cell r="O8">
            <v>96.71</v>
          </cell>
          <cell r="P8">
            <v>75.599999999999994</v>
          </cell>
          <cell r="Q8">
            <v>60.86</v>
          </cell>
          <cell r="R8">
            <v>13.47</v>
          </cell>
          <cell r="S8">
            <v>1</v>
          </cell>
          <cell r="T8">
            <v>0</v>
          </cell>
          <cell r="U8">
            <v>0</v>
          </cell>
          <cell r="V8">
            <v>0</v>
          </cell>
          <cell r="W8">
            <v>0</v>
          </cell>
          <cell r="X8">
            <v>0</v>
          </cell>
          <cell r="Y8">
            <v>0</v>
          </cell>
          <cell r="Z8">
            <v>0</v>
          </cell>
          <cell r="AA8">
            <v>0</v>
          </cell>
          <cell r="AB8">
            <v>0</v>
          </cell>
        </row>
        <row r="9">
          <cell r="B9" t="str">
            <v>Circuits</v>
          </cell>
          <cell r="I9">
            <v>615.15499999999997</v>
          </cell>
          <cell r="J9">
            <v>820.08</v>
          </cell>
          <cell r="K9">
            <v>846.30899999999997</v>
          </cell>
          <cell r="L9">
            <v>870.52</v>
          </cell>
          <cell r="M9">
            <v>425.47</v>
          </cell>
          <cell r="N9">
            <v>482.72</v>
          </cell>
          <cell r="O9">
            <v>955.18</v>
          </cell>
          <cell r="P9">
            <v>1099.8800000000001</v>
          </cell>
          <cell r="Q9">
            <v>1052.97</v>
          </cell>
          <cell r="R9">
            <v>1582.28</v>
          </cell>
          <cell r="S9">
            <v>653</v>
          </cell>
          <cell r="T9">
            <v>718.30000000000007</v>
          </cell>
          <cell r="U9">
            <v>790.13000000000011</v>
          </cell>
          <cell r="V9">
            <v>869.14300000000014</v>
          </cell>
          <cell r="W9">
            <v>956.05730000000028</v>
          </cell>
          <cell r="X9">
            <v>1051.6630300000004</v>
          </cell>
          <cell r="Y9">
            <v>1156.8293330000006</v>
          </cell>
          <cell r="Z9">
            <v>1272.5122663000006</v>
          </cell>
          <cell r="AA9">
            <v>1399.7634929300009</v>
          </cell>
          <cell r="AB9">
            <v>1539.739842223001</v>
          </cell>
        </row>
        <row r="10">
          <cell r="A10" t="str">
            <v>Total Others</v>
          </cell>
          <cell r="I10">
            <v>175.76</v>
          </cell>
          <cell r="J10">
            <v>608.49099999999999</v>
          </cell>
          <cell r="K10">
            <v>1243.5239999999999</v>
          </cell>
          <cell r="L10">
            <v>50.43</v>
          </cell>
          <cell r="M10">
            <v>196.51</v>
          </cell>
        </row>
        <row r="11">
          <cell r="A11" t="str">
            <v>Gross Interconnect access call ( ADC+ IUC)</v>
          </cell>
          <cell r="I11">
            <v>175.76</v>
          </cell>
          <cell r="J11">
            <v>608.49099999999999</v>
          </cell>
          <cell r="K11">
            <v>1243.5239999999999</v>
          </cell>
          <cell r="L11">
            <v>1683.43</v>
          </cell>
          <cell r="M11">
            <v>2179.7600000000002</v>
          </cell>
          <cell r="N11">
            <v>3315.93</v>
          </cell>
          <cell r="O11">
            <v>4994.42</v>
          </cell>
          <cell r="P11">
            <v>5822.54</v>
          </cell>
          <cell r="Q11">
            <v>13105.21</v>
          </cell>
          <cell r="R11">
            <v>7345.23</v>
          </cell>
          <cell r="S11">
            <v>4053</v>
          </cell>
          <cell r="T11">
            <v>3618.500007258207</v>
          </cell>
          <cell r="U11">
            <v>3845.671050321348</v>
          </cell>
          <cell r="V11">
            <v>3934.1278393878956</v>
          </cell>
          <cell r="W11">
            <v>4068.4921031904014</v>
          </cell>
          <cell r="X11">
            <v>4193.6120536901462</v>
          </cell>
          <cell r="Y11">
            <v>4311.2329863428322</v>
          </cell>
          <cell r="Z11">
            <v>4409.9511444414102</v>
          </cell>
          <cell r="AA11">
            <v>4484.2008861978002</v>
          </cell>
          <cell r="AB11">
            <v>4531.0585357363425</v>
          </cell>
        </row>
        <row r="12">
          <cell r="A12" t="str">
            <v>Value added &amp; other services</v>
          </cell>
          <cell r="N12">
            <v>329.72</v>
          </cell>
          <cell r="O12">
            <v>836.68000000000006</v>
          </cell>
          <cell r="P12">
            <v>1272.55</v>
          </cell>
          <cell r="Q12">
            <v>998.29</v>
          </cell>
          <cell r="R12">
            <v>1131.7800000000002</v>
          </cell>
          <cell r="S12">
            <v>1698</v>
          </cell>
          <cell r="T12">
            <v>1784.6496406672059</v>
          </cell>
          <cell r="U12">
            <v>1810.6355131457426</v>
          </cell>
          <cell r="V12">
            <v>1842.7472531836859</v>
          </cell>
          <cell r="W12">
            <v>1910.4409050817897</v>
          </cell>
          <cell r="X12">
            <v>2012.3362031534639</v>
          </cell>
          <cell r="Y12">
            <v>2125.237018377748</v>
          </cell>
          <cell r="Z12">
            <v>2250.65349098365</v>
          </cell>
          <cell r="AA12">
            <v>2387.2757825903918</v>
          </cell>
          <cell r="AB12">
            <v>2541.1662563669788</v>
          </cell>
        </row>
        <row r="13">
          <cell r="A13" t="str">
            <v>Cellular business</v>
          </cell>
          <cell r="N13">
            <v>27.12</v>
          </cell>
          <cell r="O13">
            <v>530.81000000000006</v>
          </cell>
          <cell r="P13">
            <v>1633.2500000000002</v>
          </cell>
          <cell r="Q13">
            <v>1851.94</v>
          </cell>
          <cell r="R13">
            <v>2840.02</v>
          </cell>
          <cell r="S13">
            <v>5610</v>
          </cell>
          <cell r="T13">
            <v>7338.3931851848847</v>
          </cell>
          <cell r="U13">
            <v>9129.7422441924518</v>
          </cell>
          <cell r="V13">
            <v>10063.65360198376</v>
          </cell>
          <cell r="W13">
            <v>10478.616305328615</v>
          </cell>
          <cell r="X13">
            <v>10766.564255608244</v>
          </cell>
          <cell r="Y13">
            <v>10998.809714544106</v>
          </cell>
          <cell r="Z13">
            <v>11168.99535876862</v>
          </cell>
          <cell r="AA13">
            <v>11251.523006892785</v>
          </cell>
          <cell r="AB13">
            <v>11240.395579282256</v>
          </cell>
        </row>
        <row r="14">
          <cell r="A14" t="str">
            <v>WLL</v>
          </cell>
          <cell r="N14">
            <v>70.040000000000006</v>
          </cell>
          <cell r="O14">
            <v>107.83</v>
          </cell>
          <cell r="P14">
            <v>345.89</v>
          </cell>
          <cell r="Q14">
            <v>422.62</v>
          </cell>
          <cell r="R14">
            <v>1018.14</v>
          </cell>
          <cell r="S14">
            <v>744.5</v>
          </cell>
          <cell r="T14">
            <v>838.44327281962205</v>
          </cell>
          <cell r="U14">
            <v>1171.6663170300037</v>
          </cell>
          <cell r="V14">
            <v>1299.2401925374447</v>
          </cell>
          <cell r="W14">
            <v>1404.7303567821918</v>
          </cell>
          <cell r="X14">
            <v>1498.38591107562</v>
          </cell>
          <cell r="Y14">
            <v>1585.8539342169638</v>
          </cell>
          <cell r="Z14">
            <v>1640.7605818205425</v>
          </cell>
          <cell r="AA14">
            <v>1662.1932248859198</v>
          </cell>
          <cell r="AB14">
            <v>1657.0548085269718</v>
          </cell>
          <cell r="AC14">
            <v>1657.0548085269718</v>
          </cell>
          <cell r="AD14">
            <v>1657.0548085269718</v>
          </cell>
          <cell r="AE14">
            <v>1657.0548085269718</v>
          </cell>
          <cell r="AF14">
            <v>1657.0548085269718</v>
          </cell>
          <cell r="AG14">
            <v>1657.0548085269718</v>
          </cell>
          <cell r="AH14">
            <v>1657.0548085269718</v>
          </cell>
          <cell r="AI14">
            <v>1657.0548085269718</v>
          </cell>
          <cell r="AJ14">
            <v>1657.0548085269718</v>
          </cell>
          <cell r="AK14">
            <v>1657.0548085269718</v>
          </cell>
          <cell r="AL14">
            <v>1657.0548085269718</v>
          </cell>
          <cell r="AM14">
            <v>1657.0548085269718</v>
          </cell>
          <cell r="AN14">
            <v>1657.0548085269718</v>
          </cell>
          <cell r="AO14">
            <v>1657.0548085269718</v>
          </cell>
          <cell r="AP14">
            <v>1657.0548085269718</v>
          </cell>
          <cell r="AQ14">
            <v>1657.0548085269718</v>
          </cell>
          <cell r="AR14">
            <v>1657.0548085269718</v>
          </cell>
          <cell r="AS14">
            <v>1657.0548085269718</v>
          </cell>
          <cell r="AT14">
            <v>1657.0548085269718</v>
          </cell>
          <cell r="AU14">
            <v>1657.0548085269718</v>
          </cell>
          <cell r="AV14">
            <v>1657.0548085269718</v>
          </cell>
        </row>
        <row r="15">
          <cell r="A15" t="str">
            <v>Total Revenues</v>
          </cell>
          <cell r="I15">
            <v>34481.173000000003</v>
          </cell>
          <cell r="J15">
            <v>40308.745999999999</v>
          </cell>
          <cell r="K15">
            <v>46545.89</v>
          </cell>
          <cell r="L15">
            <v>50374.87</v>
          </cell>
          <cell r="M15">
            <v>51821.97</v>
          </cell>
          <cell r="N15">
            <v>57845.820000000007</v>
          </cell>
          <cell r="O15">
            <v>61436.87</v>
          </cell>
          <cell r="P15">
            <v>58065.3</v>
          </cell>
          <cell r="Q15">
            <v>63696.32</v>
          </cell>
          <cell r="R15">
            <v>55923.85</v>
          </cell>
          <cell r="S15">
            <v>51244.5</v>
          </cell>
          <cell r="T15">
            <v>53948.192144448381</v>
          </cell>
          <cell r="U15">
            <v>56469.281633029124</v>
          </cell>
          <cell r="V15">
            <v>57828.827421532362</v>
          </cell>
          <cell r="W15">
            <v>58652.624502898056</v>
          </cell>
          <cell r="X15">
            <v>59611.961328557285</v>
          </cell>
          <cell r="Y15">
            <v>60313.884140106478</v>
          </cell>
          <cell r="Z15">
            <v>61178.095809448401</v>
          </cell>
          <cell r="AA15">
            <v>61700.398496786074</v>
          </cell>
          <cell r="AB15">
            <v>62366.72450465674</v>
          </cell>
        </row>
        <row r="17">
          <cell r="B17" t="str">
            <v>Calls+ PCO</v>
          </cell>
        </row>
        <row r="18">
          <cell r="B18" t="str">
            <v xml:space="preserve">Local </v>
          </cell>
          <cell r="M18">
            <v>13996.629306021765</v>
          </cell>
          <cell r="N18">
            <v>15200.71833597013</v>
          </cell>
          <cell r="O18">
            <v>17733.385200000001</v>
          </cell>
          <cell r="P18">
            <v>17202.445800000001</v>
          </cell>
          <cell r="Q18">
            <v>16847.555</v>
          </cell>
          <cell r="R18">
            <v>13596.7176397</v>
          </cell>
          <cell r="S18">
            <v>10988.641639699998</v>
          </cell>
          <cell r="T18">
            <v>11322.670210470789</v>
          </cell>
          <cell r="U18">
            <v>11500.70272570763</v>
          </cell>
          <cell r="V18">
            <v>11687.024283878331</v>
          </cell>
          <cell r="W18">
            <v>11880.560400706261</v>
          </cell>
          <cell r="X18">
            <v>17523.641177263165</v>
          </cell>
        </row>
        <row r="19">
          <cell r="B19" t="str">
            <v>Long Distance</v>
          </cell>
          <cell r="M19">
            <v>18639.54801522179</v>
          </cell>
          <cell r="N19">
            <v>20979.444205574589</v>
          </cell>
          <cell r="O19">
            <v>18704.113799999999</v>
          </cell>
          <cell r="P19">
            <v>14519.242999999999</v>
          </cell>
          <cell r="Q19">
            <v>13747.413400000001</v>
          </cell>
          <cell r="R19">
            <v>13395.9499744</v>
          </cell>
          <cell r="S19">
            <v>12471.578974399999</v>
          </cell>
          <cell r="T19">
            <v>11273.661767713393</v>
          </cell>
          <cell r="U19">
            <v>10466.005804327886</v>
          </cell>
          <cell r="V19">
            <v>9744.2410940855152</v>
          </cell>
          <cell r="W19">
            <v>9097.4651332540725</v>
          </cell>
          <cell r="X19">
            <v>27566.457865719793</v>
          </cell>
        </row>
        <row r="20">
          <cell r="B20" t="str">
            <v>International long distance</v>
          </cell>
          <cell r="M20">
            <v>4215.2502614259838</v>
          </cell>
          <cell r="N20">
            <v>4645.4051532394815</v>
          </cell>
          <cell r="O20">
            <v>4048.6110000000012</v>
          </cell>
          <cell r="P20">
            <v>2981.6812000000009</v>
          </cell>
          <cell r="Q20">
            <v>2643.9016000000015</v>
          </cell>
          <cell r="R20">
            <v>2600.8323859000011</v>
          </cell>
          <cell r="S20">
            <v>2468.7793859000012</v>
          </cell>
          <cell r="T20">
            <v>2067.5773914712672</v>
          </cell>
          <cell r="U20">
            <v>2067.1431563075803</v>
          </cell>
          <cell r="V20">
            <v>1991.9713545929735</v>
          </cell>
          <cell r="W20">
            <v>1851.4589516153183</v>
          </cell>
          <cell r="X20">
            <v>4375.2649574440929</v>
          </cell>
        </row>
        <row r="21">
          <cell r="B21" t="str">
            <v>Public Phone Rev</v>
          </cell>
        </row>
        <row r="22">
          <cell r="B22" t="str">
            <v xml:space="preserve">Local </v>
          </cell>
          <cell r="M22">
            <v>2069.2104849436219</v>
          </cell>
          <cell r="N22">
            <v>2536.629701346209</v>
          </cell>
          <cell r="O22">
            <v>2074.6200000000003</v>
          </cell>
          <cell r="P22">
            <v>2054.116</v>
          </cell>
          <cell r="Q22">
            <v>2114.538</v>
          </cell>
          <cell r="R22">
            <v>2039.5060000000003</v>
          </cell>
          <cell r="S22">
            <v>1775.4</v>
          </cell>
          <cell r="T22">
            <v>1691.9225883017805</v>
          </cell>
          <cell r="U22">
            <v>1649.6245235942361</v>
          </cell>
          <cell r="V22">
            <v>1608.3839105043799</v>
          </cell>
          <cell r="W22">
            <v>1568.1743127417703</v>
          </cell>
          <cell r="X22">
            <v>6971.8083046917181</v>
          </cell>
        </row>
        <row r="23">
          <cell r="B23" t="str">
            <v>Long Distance</v>
          </cell>
          <cell r="M23">
            <v>7242.2366973026756</v>
          </cell>
          <cell r="N23">
            <v>8878.2039547117311</v>
          </cell>
          <cell r="O23">
            <v>7261.17</v>
          </cell>
          <cell r="P23">
            <v>7189.405999999999</v>
          </cell>
          <cell r="Q23">
            <v>7400.8829999999998</v>
          </cell>
          <cell r="R23">
            <v>7138.2709999999997</v>
          </cell>
          <cell r="S23">
            <v>6213.9</v>
          </cell>
          <cell r="T23">
            <v>5921.7290590562307</v>
          </cell>
          <cell r="U23">
            <v>5773.6858325798248</v>
          </cell>
          <cell r="V23">
            <v>5629.343686765329</v>
          </cell>
          <cell r="W23">
            <v>5488.6100945961962</v>
          </cell>
          <cell r="X23">
            <v>24401.329066421011</v>
          </cell>
        </row>
        <row r="24">
          <cell r="B24" t="str">
            <v>International long distance</v>
          </cell>
          <cell r="M24">
            <v>1034.6052424718118</v>
          </cell>
          <cell r="N24">
            <v>1268.314850673104</v>
          </cell>
          <cell r="O24">
            <v>1037.31</v>
          </cell>
          <cell r="P24">
            <v>1027.0580000000009</v>
          </cell>
          <cell r="Q24">
            <v>1057.2690000000007</v>
          </cell>
          <cell r="R24">
            <v>1019.7530000000006</v>
          </cell>
          <cell r="S24">
            <v>887.70000000000027</v>
          </cell>
          <cell r="T24">
            <v>845.96129415089058</v>
          </cell>
          <cell r="U24">
            <v>824.81226179711848</v>
          </cell>
          <cell r="V24">
            <v>804.19195525219038</v>
          </cell>
          <cell r="W24">
            <v>784.08715637088517</v>
          </cell>
          <cell r="X24">
            <v>3485.90415234586</v>
          </cell>
        </row>
        <row r="26">
          <cell r="B26" t="str">
            <v>Call Revenue</v>
          </cell>
          <cell r="N26">
            <v>0.21130117958393532</v>
          </cell>
          <cell r="O26">
            <v>0.21100749435965729</v>
          </cell>
          <cell r="P26">
            <v>0.23660482250156289</v>
          </cell>
          <cell r="Q26">
            <v>0.25423289759910778</v>
          </cell>
          <cell r="R26">
            <v>0.32828390749206288</v>
          </cell>
          <cell r="S26">
            <v>0.33888378264984537</v>
          </cell>
          <cell r="T26">
            <v>0.30517341577364787</v>
          </cell>
          <cell r="U26">
            <v>0.29951506341182299</v>
          </cell>
        </row>
        <row r="27">
          <cell r="B27" t="str">
            <v xml:space="preserve">Local </v>
          </cell>
          <cell r="M27">
            <v>11927.418821078143</v>
          </cell>
          <cell r="N27">
            <v>12664.08863462392</v>
          </cell>
          <cell r="O27">
            <v>15658.7652</v>
          </cell>
          <cell r="P27">
            <v>15148.329800000001</v>
          </cell>
          <cell r="Q27">
            <v>14733.017</v>
          </cell>
          <cell r="R27">
            <v>11557.211639699999</v>
          </cell>
          <cell r="S27">
            <v>9213.2416396999979</v>
          </cell>
          <cell r="T27">
            <v>9630.7476221690085</v>
          </cell>
          <cell r="U27">
            <v>9851.0782021133928</v>
          </cell>
          <cell r="V27">
            <v>10078.640373373952</v>
          </cell>
          <cell r="W27">
            <v>10312.386087964491</v>
          </cell>
          <cell r="X27">
            <v>10551.832872571447</v>
          </cell>
          <cell r="Y27">
            <v>10797.137429764809</v>
          </cell>
          <cell r="Z27">
            <v>10523.023482845661</v>
          </cell>
          <cell r="AA27">
            <v>10256.832230514663</v>
          </cell>
          <cell r="AB27">
            <v>9997.5212419323543</v>
          </cell>
        </row>
        <row r="28">
          <cell r="B28" t="str">
            <v>Long Distance</v>
          </cell>
          <cell r="M28">
            <v>11397.311317919113</v>
          </cell>
          <cell r="N28">
            <v>12101.240250862857</v>
          </cell>
          <cell r="O28">
            <v>11442.943799999999</v>
          </cell>
          <cell r="P28">
            <v>7329.8370000000004</v>
          </cell>
          <cell r="Q28">
            <v>6346.5304000000006</v>
          </cell>
          <cell r="R28">
            <v>6257.6789744000007</v>
          </cell>
          <cell r="S28">
            <v>6257.6789744000007</v>
          </cell>
          <cell r="T28">
            <v>5351.932708657162</v>
          </cell>
          <cell r="U28">
            <v>4692.3199717480611</v>
          </cell>
          <cell r="V28">
            <v>4114.8974073201862</v>
          </cell>
          <cell r="W28">
            <v>3608.8550386578768</v>
          </cell>
          <cell r="X28">
            <v>3165.1287992987836</v>
          </cell>
          <cell r="Y28">
            <v>2776.0374666635475</v>
          </cell>
          <cell r="Z28">
            <v>2705.5603988543671</v>
          </cell>
          <cell r="AA28">
            <v>2637.1203243831615</v>
          </cell>
          <cell r="AB28">
            <v>2570.4492252603886</v>
          </cell>
        </row>
        <row r="29">
          <cell r="B29" t="str">
            <v>International long distance</v>
          </cell>
          <cell r="M29">
            <v>3180.645018954172</v>
          </cell>
          <cell r="N29">
            <v>3377.0903025663774</v>
          </cell>
          <cell r="O29">
            <v>3011.3010000000013</v>
          </cell>
          <cell r="P29">
            <v>1954.6232</v>
          </cell>
          <cell r="Q29">
            <v>1586.6326000000008</v>
          </cell>
          <cell r="R29">
            <v>1581.0793859000007</v>
          </cell>
          <cell r="S29">
            <v>1581.0793859000007</v>
          </cell>
          <cell r="T29">
            <v>1221.6160973203769</v>
          </cell>
          <cell r="U29">
            <v>1242.3308945104618</v>
          </cell>
          <cell r="V29">
            <v>1187.7793993407831</v>
          </cell>
          <cell r="W29">
            <v>1067.3717952444331</v>
          </cell>
          <cell r="X29">
            <v>889.36080509823296</v>
          </cell>
          <cell r="Y29">
            <v>661.00043431173071</v>
          </cell>
          <cell r="Z29">
            <v>644.21918658351751</v>
          </cell>
          <cell r="AA29">
            <v>627.92296598381108</v>
          </cell>
          <cell r="AB29">
            <v>612.04795492743688</v>
          </cell>
        </row>
        <row r="31">
          <cell r="A31" t="str">
            <v>Telex</v>
          </cell>
          <cell r="M31">
            <v>0</v>
          </cell>
          <cell r="N31">
            <v>131.31</v>
          </cell>
          <cell r="O31">
            <v>96.71</v>
          </cell>
          <cell r="P31">
            <v>75.599999999999994</v>
          </cell>
          <cell r="Q31">
            <v>60.86</v>
          </cell>
          <cell r="R31">
            <v>13.47</v>
          </cell>
          <cell r="S31">
            <v>1</v>
          </cell>
        </row>
        <row r="32">
          <cell r="B32" t="str">
            <v xml:space="preserve">  % Change</v>
          </cell>
          <cell r="M32">
            <v>0</v>
          </cell>
          <cell r="N32" t="e">
            <v>#DIV/0!</v>
          </cell>
          <cell r="O32">
            <v>-0.26349859112024987</v>
          </cell>
          <cell r="P32">
            <v>-0.21828146003515669</v>
          </cell>
          <cell r="Q32">
            <v>-0.21828146003515669</v>
          </cell>
          <cell r="R32">
            <v>-0.21828146003515669</v>
          </cell>
          <cell r="S32">
            <v>-0.21828146003515669</v>
          </cell>
          <cell r="T32">
            <v>-0.21828146003515669</v>
          </cell>
          <cell r="U32">
            <v>-0.21828146003515669</v>
          </cell>
          <cell r="V32">
            <v>-0.21828146003515669</v>
          </cell>
          <cell r="W32">
            <v>-0.21828146003515669</v>
          </cell>
        </row>
        <row r="34">
          <cell r="A34" t="str">
            <v>Leased Lines</v>
          </cell>
          <cell r="M34">
            <v>425.47</v>
          </cell>
          <cell r="N34">
            <v>482.72</v>
          </cell>
          <cell r="O34">
            <v>955.18</v>
          </cell>
          <cell r="P34">
            <v>1099.8800000000001</v>
          </cell>
          <cell r="Q34">
            <v>1052.97</v>
          </cell>
          <cell r="R34">
            <v>1582.28</v>
          </cell>
          <cell r="S34">
            <v>653</v>
          </cell>
          <cell r="T34">
            <v>718.30000000000007</v>
          </cell>
          <cell r="U34">
            <v>790.13000000000011</v>
          </cell>
          <cell r="V34">
            <v>869.14300000000014</v>
          </cell>
          <cell r="W34">
            <v>956.05730000000028</v>
          </cell>
          <cell r="X34">
            <v>1051.6630300000004</v>
          </cell>
          <cell r="Y34">
            <v>1156.8293330000006</v>
          </cell>
          <cell r="Z34">
            <v>1272.5122663000006</v>
          </cell>
          <cell r="AA34">
            <v>1399.7634929300009</v>
          </cell>
          <cell r="AB34">
            <v>1539.739842223001</v>
          </cell>
        </row>
        <row r="35">
          <cell r="B35" t="str">
            <v xml:space="preserve">  % Change</v>
          </cell>
          <cell r="M35" t="e">
            <v>#DIV/0!</v>
          </cell>
          <cell r="N35">
            <v>0.13455707805485706</v>
          </cell>
          <cell r="O35">
            <v>0.97874544249254214</v>
          </cell>
          <cell r="P35">
            <v>0.15148977156138121</v>
          </cell>
          <cell r="Q35">
            <v>-4.2650107284431082E-2</v>
          </cell>
          <cell r="R35">
            <v>0.50268288745168421</v>
          </cell>
          <cell r="S35">
            <v>-0.58730439618777963</v>
          </cell>
          <cell r="T35">
            <v>0.1</v>
          </cell>
          <cell r="U35">
            <v>0.1</v>
          </cell>
          <cell r="V35">
            <v>0.1</v>
          </cell>
          <cell r="W35">
            <v>0.1</v>
          </cell>
          <cell r="X35">
            <v>0.1</v>
          </cell>
          <cell r="Y35">
            <v>0.1</v>
          </cell>
          <cell r="Z35">
            <v>0.1</v>
          </cell>
          <cell r="AA35">
            <v>0.1</v>
          </cell>
          <cell r="AB35">
            <v>0.1</v>
          </cell>
        </row>
        <row r="36">
          <cell r="A36" t="str">
            <v>Expenses</v>
          </cell>
          <cell r="S36">
            <v>0.16041116607635941</v>
          </cell>
          <cell r="T36">
            <v>0.14808113975348666</v>
          </cell>
          <cell r="U36">
            <v>0.14395602534251675</v>
          </cell>
          <cell r="V36">
            <v>0.14428496468288982</v>
          </cell>
        </row>
        <row r="37">
          <cell r="A37" t="str">
            <v>Interconnect Fees</v>
          </cell>
          <cell r="I37">
            <v>7613.8270000000002</v>
          </cell>
          <cell r="J37">
            <v>8822.5419999999995</v>
          </cell>
          <cell r="K37">
            <v>10239.977000000001</v>
          </cell>
          <cell r="L37">
            <v>10911.893</v>
          </cell>
          <cell r="M37">
            <v>10504.17</v>
          </cell>
          <cell r="N37">
            <v>11316.63</v>
          </cell>
          <cell r="O37">
            <v>9875.83</v>
          </cell>
          <cell r="P37">
            <v>8383.14</v>
          </cell>
          <cell r="Q37">
            <v>12285.58</v>
          </cell>
          <cell r="R37">
            <v>9278.5400000000009</v>
          </cell>
          <cell r="S37">
            <v>8220.19</v>
          </cell>
          <cell r="T37">
            <v>7988.7097803900124</v>
          </cell>
          <cell r="U37">
            <v>8129.093337838056</v>
          </cell>
          <cell r="V37">
            <v>8343.8303221687274</v>
          </cell>
          <cell r="W37">
            <v>8427.7777916614541</v>
          </cell>
          <cell r="X37">
            <v>8510.8011629598077</v>
          </cell>
          <cell r="Y37">
            <v>8557.1013983922439</v>
          </cell>
          <cell r="Z37">
            <v>8607.4594275701402</v>
          </cell>
          <cell r="AA37">
            <v>8604.3868712812218</v>
          </cell>
          <cell r="AB37">
            <v>8599.3930549525867</v>
          </cell>
        </row>
        <row r="38">
          <cell r="A38" t="str">
            <v>License Fee</v>
          </cell>
          <cell r="I38">
            <v>1986.8019999999999</v>
          </cell>
          <cell r="J38">
            <v>2347.0160000000001</v>
          </cell>
          <cell r="K38">
            <v>2711.0920000000001</v>
          </cell>
          <cell r="L38">
            <v>3066.0659999999998</v>
          </cell>
          <cell r="M38">
            <v>3288.55</v>
          </cell>
          <cell r="N38">
            <v>3615.3</v>
          </cell>
          <cell r="O38">
            <v>6644.88</v>
          </cell>
          <cell r="P38">
            <v>5818.16</v>
          </cell>
          <cell r="Q38">
            <v>6429.58</v>
          </cell>
          <cell r="R38">
            <v>4971.63</v>
          </cell>
          <cell r="S38">
            <v>4471.17</v>
          </cell>
          <cell r="T38">
            <v>4709.694716539072</v>
          </cell>
          <cell r="U38">
            <v>4934.9278191910553</v>
          </cell>
          <cell r="V38">
            <v>5055.5535064443957</v>
          </cell>
          <cell r="W38">
            <v>5126.5896818755064</v>
          </cell>
          <cell r="X38">
            <v>5208.0508936190708</v>
          </cell>
          <cell r="Y38">
            <v>5266.253278230015</v>
          </cell>
          <cell r="Z38">
            <v>5338.1484569505265</v>
          </cell>
          <cell r="AA38">
            <v>5379.2152185787954</v>
          </cell>
          <cell r="AB38">
            <v>5432.1364078999595</v>
          </cell>
        </row>
        <row r="39">
          <cell r="A39" t="str">
            <v>Staff Costs</v>
          </cell>
          <cell r="I39">
            <v>3128.14</v>
          </cell>
          <cell r="J39">
            <v>4284.29</v>
          </cell>
          <cell r="K39">
            <v>5167.0200000000004</v>
          </cell>
          <cell r="L39">
            <v>6164.6729999999998</v>
          </cell>
          <cell r="M39">
            <v>9959.8921323529412</v>
          </cell>
          <cell r="N39">
            <v>12222.89</v>
          </cell>
          <cell r="O39">
            <v>12963.64</v>
          </cell>
          <cell r="P39">
            <v>13738.53</v>
          </cell>
          <cell r="Q39">
            <v>16193.7</v>
          </cell>
          <cell r="R39">
            <v>18358.900000000001</v>
          </cell>
          <cell r="S39">
            <v>17365.93</v>
          </cell>
          <cell r="T39">
            <v>16463.554071534389</v>
          </cell>
          <cell r="U39">
            <v>16913.40046913681</v>
          </cell>
          <cell r="V39">
            <v>17122.322321474796</v>
          </cell>
          <cell r="W39">
            <v>17331.119391136472</v>
          </cell>
          <cell r="X39">
            <v>17539.654862830306</v>
          </cell>
          <cell r="Y39">
            <v>17747.785158489376</v>
          </cell>
          <cell r="Z39">
            <v>17955.359684642128</v>
          </cell>
          <cell r="AA39">
            <v>18162.220571378464</v>
          </cell>
          <cell r="AB39">
            <v>18368.202402648716</v>
          </cell>
        </row>
        <row r="40">
          <cell r="A40" t="str">
            <v>Admn, Operating &amp; Other Expenses</v>
          </cell>
          <cell r="I40">
            <v>3979.9949999999999</v>
          </cell>
          <cell r="J40">
            <v>4767.8980000000001</v>
          </cell>
          <cell r="K40">
            <v>6232.9629999999997</v>
          </cell>
          <cell r="L40">
            <v>6251.9629999999997</v>
          </cell>
          <cell r="M40">
            <v>7700.72</v>
          </cell>
          <cell r="N40">
            <v>8893.5400000000009</v>
          </cell>
          <cell r="O40">
            <v>7153.28</v>
          </cell>
          <cell r="P40">
            <v>10166.209999999999</v>
          </cell>
          <cell r="Q40">
            <v>9264.64</v>
          </cell>
          <cell r="R40">
            <v>9837.1</v>
          </cell>
          <cell r="S40">
            <v>9665.0499999999993</v>
          </cell>
          <cell r="T40">
            <v>10101.044546164507</v>
          </cell>
          <cell r="U40">
            <v>10113.132820311115</v>
          </cell>
          <cell r="V40">
            <v>9908.5481332904801</v>
          </cell>
          <cell r="W40">
            <v>9598.06430726896</v>
          </cell>
          <cell r="X40">
            <v>9627.3066073881073</v>
          </cell>
          <cell r="Y40">
            <v>9731.50970326276</v>
          </cell>
          <cell r="Z40">
            <v>9732.2725512587513</v>
          </cell>
          <cell r="AA40">
            <v>9801.9814275616409</v>
          </cell>
          <cell r="AB40">
            <v>9893.8592969658239</v>
          </cell>
        </row>
        <row r="41">
          <cell r="B41" t="str">
            <v>Other Telephony</v>
          </cell>
        </row>
        <row r="42">
          <cell r="B42" t="str">
            <v>ISP</v>
          </cell>
        </row>
        <row r="43">
          <cell r="B43" t="str">
            <v>Cellular</v>
          </cell>
        </row>
        <row r="44">
          <cell r="A44" t="str">
            <v>Operating expenses</v>
          </cell>
          <cell r="I44">
            <v>16708.763999999999</v>
          </cell>
          <cell r="J44">
            <v>20221.745999999999</v>
          </cell>
          <cell r="K44">
            <v>24351.052000000003</v>
          </cell>
          <cell r="L44">
            <v>26394.594999999998</v>
          </cell>
          <cell r="M44">
            <v>31453.332132352938</v>
          </cell>
          <cell r="N44">
            <v>36048.36</v>
          </cell>
          <cell r="O44">
            <v>36637.629999999997</v>
          </cell>
          <cell r="P44">
            <v>38106.039999999994</v>
          </cell>
          <cell r="Q44">
            <v>44173.5</v>
          </cell>
          <cell r="R44">
            <v>42446.17</v>
          </cell>
          <cell r="S44">
            <v>39722.340000000004</v>
          </cell>
          <cell r="T44">
            <v>39263.00311462798</v>
          </cell>
          <cell r="U44">
            <v>40090.554446477036</v>
          </cell>
          <cell r="V44">
            <v>40430.254283378395</v>
          </cell>
          <cell r="W44">
            <v>40483.551171942396</v>
          </cell>
          <cell r="X44">
            <v>40885.81352679729</v>
          </cell>
          <cell r="Y44">
            <v>41302.649538374397</v>
          </cell>
          <cell r="Z44">
            <v>41633.240120421542</v>
          </cell>
          <cell r="AA44">
            <v>41947.804088800127</v>
          </cell>
          <cell r="AB44">
            <v>42293.591162467084</v>
          </cell>
        </row>
        <row r="45">
          <cell r="A45" t="str">
            <v>Operating Profit</v>
          </cell>
          <cell r="I45">
            <v>17772.409000000003</v>
          </cell>
          <cell r="J45">
            <v>20087</v>
          </cell>
          <cell r="K45">
            <v>22194.837999999996</v>
          </cell>
          <cell r="L45">
            <v>23980.275000000005</v>
          </cell>
          <cell r="M45">
            <v>20368.637867647063</v>
          </cell>
          <cell r="N45">
            <v>21797.460000000006</v>
          </cell>
          <cell r="O45">
            <v>24799.240000000005</v>
          </cell>
          <cell r="P45">
            <v>19959.260000000009</v>
          </cell>
          <cell r="Q45">
            <v>19522.82</v>
          </cell>
          <cell r="R45">
            <v>13477.68</v>
          </cell>
          <cell r="S45">
            <v>11522.159999999996</v>
          </cell>
          <cell r="T45">
            <v>14685.189029820402</v>
          </cell>
          <cell r="U45">
            <v>16378.727186552089</v>
          </cell>
          <cell r="V45">
            <v>17398.573138153966</v>
          </cell>
          <cell r="W45">
            <v>18169.07333095566</v>
          </cell>
          <cell r="X45">
            <v>18726.147801759995</v>
          </cell>
          <cell r="Y45">
            <v>19011.234601732082</v>
          </cell>
          <cell r="Z45">
            <v>19544.855689026859</v>
          </cell>
          <cell r="AA45">
            <v>19752.594407985947</v>
          </cell>
          <cell r="AB45">
            <v>20073.133342189656</v>
          </cell>
        </row>
        <row r="46">
          <cell r="A46" t="str">
            <v>Profit on Sale of Assets</v>
          </cell>
          <cell r="I46">
            <v>61.701999999999998</v>
          </cell>
          <cell r="J46">
            <v>37.531999999999996</v>
          </cell>
          <cell r="K46">
            <v>56.189</v>
          </cell>
          <cell r="L46">
            <v>8.4380000000000006</v>
          </cell>
          <cell r="M46">
            <v>23.23</v>
          </cell>
        </row>
        <row r="47">
          <cell r="A47" t="str">
            <v>Other Income</v>
          </cell>
          <cell r="I47">
            <v>643.15899999999999</v>
          </cell>
          <cell r="J47">
            <v>615.51900000000001</v>
          </cell>
          <cell r="K47">
            <v>1191.2059999999999</v>
          </cell>
          <cell r="L47">
            <v>2259.893</v>
          </cell>
          <cell r="M47">
            <v>1723.77</v>
          </cell>
          <cell r="N47">
            <v>3180.23</v>
          </cell>
          <cell r="O47">
            <v>2483.4699999999998</v>
          </cell>
          <cell r="P47">
            <v>2236.91</v>
          </cell>
          <cell r="Q47">
            <v>3143.31</v>
          </cell>
          <cell r="R47">
            <v>4917.18</v>
          </cell>
          <cell r="S47">
            <v>3421.45</v>
          </cell>
          <cell r="T47">
            <v>4330.198854361508</v>
          </cell>
          <cell r="U47">
            <v>3941.8842658645472</v>
          </cell>
          <cell r="V47">
            <v>4154.9673647523996</v>
          </cell>
          <cell r="W47">
            <v>4377.7623223240571</v>
          </cell>
          <cell r="X47">
            <v>4601.2402265118362</v>
          </cell>
          <cell r="Y47">
            <v>4846.4195335839431</v>
          </cell>
          <cell r="Z47">
            <v>5135.7407499881019</v>
          </cell>
          <cell r="AA47">
            <v>5450.5940162389043</v>
          </cell>
          <cell r="AB47">
            <v>5807.4913265839832</v>
          </cell>
        </row>
        <row r="48">
          <cell r="A48" t="str">
            <v>Interest &amp; Finance Charges</v>
          </cell>
          <cell r="I48">
            <v>1629.049</v>
          </cell>
          <cell r="J48">
            <v>1476.16</v>
          </cell>
          <cell r="K48">
            <v>866.24199999999996</v>
          </cell>
          <cell r="L48">
            <v>729.21500000000003</v>
          </cell>
          <cell r="M48">
            <v>84.16</v>
          </cell>
          <cell r="N48">
            <v>83.03</v>
          </cell>
          <cell r="O48">
            <v>288.35000000000002</v>
          </cell>
          <cell r="P48">
            <v>328.19</v>
          </cell>
          <cell r="Q48">
            <v>346.2</v>
          </cell>
          <cell r="R48">
            <v>358.12</v>
          </cell>
          <cell r="S48">
            <v>249.97</v>
          </cell>
          <cell r="T48">
            <v>0</v>
          </cell>
          <cell r="U48">
            <v>0</v>
          </cell>
          <cell r="V48">
            <v>0</v>
          </cell>
          <cell r="W48">
            <v>0</v>
          </cell>
          <cell r="X48">
            <v>0</v>
          </cell>
          <cell r="Y48">
            <v>0</v>
          </cell>
          <cell r="Z48">
            <v>0</v>
          </cell>
          <cell r="AA48">
            <v>0</v>
          </cell>
          <cell r="AB48">
            <v>0</v>
          </cell>
        </row>
        <row r="49">
          <cell r="A49" t="str">
            <v>Depreciation</v>
          </cell>
          <cell r="I49">
            <v>4654.4139999999998</v>
          </cell>
          <cell r="J49">
            <v>5150.375</v>
          </cell>
          <cell r="K49">
            <v>5856.1989999999996</v>
          </cell>
          <cell r="L49">
            <v>6570.5140000000001</v>
          </cell>
          <cell r="M49">
            <v>7092.81</v>
          </cell>
          <cell r="N49">
            <v>7692.46</v>
          </cell>
          <cell r="O49">
            <v>8164.56</v>
          </cell>
          <cell r="P49">
            <v>8670.42</v>
          </cell>
          <cell r="Q49">
            <v>5437.95</v>
          </cell>
          <cell r="R49">
            <v>5880.07</v>
          </cell>
          <cell r="S49">
            <v>6377.07</v>
          </cell>
          <cell r="T49">
            <v>6957.4631537017476</v>
          </cell>
          <cell r="U49">
            <v>7474.2459928479757</v>
          </cell>
          <cell r="V49">
            <v>7913.8989374896264</v>
          </cell>
          <cell r="W49">
            <v>8326.0485201944284</v>
          </cell>
          <cell r="X49">
            <v>8732.0915696951179</v>
          </cell>
          <cell r="Y49">
            <v>9142.4701817419991</v>
          </cell>
          <cell r="Z49">
            <v>9557.7867815985992</v>
          </cell>
          <cell r="AA49">
            <v>9975.3645720585919</v>
          </cell>
          <cell r="AB49">
            <v>10392.916234256127</v>
          </cell>
        </row>
        <row r="50">
          <cell r="A50" t="str">
            <v>Profit before Tax</v>
          </cell>
          <cell r="I50">
            <v>12193.807000000004</v>
          </cell>
          <cell r="J50">
            <v>14113.516</v>
          </cell>
          <cell r="K50">
            <v>16719.791999999994</v>
          </cell>
          <cell r="L50">
            <v>18948.877000000004</v>
          </cell>
          <cell r="M50">
            <v>14938.667867647062</v>
          </cell>
          <cell r="N50">
            <v>17202.200000000008</v>
          </cell>
          <cell r="O50">
            <v>18829.800000000007</v>
          </cell>
          <cell r="P50">
            <v>13197.56000000001</v>
          </cell>
          <cell r="Q50">
            <v>16881.98</v>
          </cell>
          <cell r="R50">
            <v>12156.670000000002</v>
          </cell>
          <cell r="S50">
            <v>8316.5699999999979</v>
          </cell>
          <cell r="T50">
            <v>12057.924730480161</v>
          </cell>
          <cell r="U50">
            <v>12846.36545956866</v>
          </cell>
          <cell r="V50">
            <v>13639.641565416739</v>
          </cell>
          <cell r="W50">
            <v>14220.78713308529</v>
          </cell>
          <cell r="X50">
            <v>14595.296458576713</v>
          </cell>
          <cell r="Y50">
            <v>14715.183953574026</v>
          </cell>
          <cell r="Z50">
            <v>15122.809657416361</v>
          </cell>
          <cell r="AA50">
            <v>15227.823852166261</v>
          </cell>
          <cell r="AB50">
            <v>15487.708434517512</v>
          </cell>
        </row>
        <row r="51">
          <cell r="B51" t="str">
            <v>Provision for Income Tax</v>
          </cell>
          <cell r="I51">
            <v>5185</v>
          </cell>
          <cell r="J51">
            <v>5493.2</v>
          </cell>
          <cell r="K51">
            <v>5246.6710000000003</v>
          </cell>
          <cell r="L51">
            <v>6016</v>
          </cell>
          <cell r="M51">
            <v>1630</v>
          </cell>
          <cell r="N51">
            <v>1630</v>
          </cell>
          <cell r="O51">
            <v>4900</v>
          </cell>
          <cell r="P51">
            <v>3234.2</v>
          </cell>
          <cell r="Q51">
            <v>3753.71</v>
          </cell>
          <cell r="R51">
            <v>2566.9</v>
          </cell>
          <cell r="S51">
            <v>2518</v>
          </cell>
          <cell r="T51">
            <v>2256.6085334820077</v>
          </cell>
          <cell r="U51">
            <v>2735.7925597644053</v>
          </cell>
          <cell r="V51">
            <v>3271.3343094006941</v>
          </cell>
          <cell r="W51">
            <v>3696.7184291197495</v>
          </cell>
          <cell r="X51">
            <v>3219.7934319950054</v>
          </cell>
          <cell r="Y51">
            <v>2636.3191726447976</v>
          </cell>
          <cell r="Z51">
            <v>2164.610597763538</v>
          </cell>
          <cell r="AA51">
            <v>1601.0380358762063</v>
          </cell>
          <cell r="AB51">
            <v>1099.3118894281877</v>
          </cell>
        </row>
        <row r="52">
          <cell r="B52" t="str">
            <v>Defered Tax</v>
          </cell>
          <cell r="O52">
            <v>37.64</v>
          </cell>
          <cell r="P52">
            <v>580.32000000000005</v>
          </cell>
          <cell r="Q52">
            <v>759.77</v>
          </cell>
          <cell r="R52">
            <v>105.51</v>
          </cell>
          <cell r="S52">
            <v>-898.36</v>
          </cell>
          <cell r="T52">
            <v>1360.7688856620407</v>
          </cell>
          <cell r="U52">
            <v>1118.1170781061926</v>
          </cell>
          <cell r="V52">
            <v>820.55816022432737</v>
          </cell>
          <cell r="W52">
            <v>569.51771080583762</v>
          </cell>
          <cell r="X52">
            <v>1158.7955055780085</v>
          </cell>
          <cell r="Y52">
            <v>1778.2360134274099</v>
          </cell>
          <cell r="Z52">
            <v>2372.2322994613701</v>
          </cell>
          <cell r="AA52">
            <v>2967.3091197736717</v>
          </cell>
          <cell r="AB52">
            <v>3547.0006409270659</v>
          </cell>
        </row>
        <row r="53">
          <cell r="B53" t="str">
            <v>Overall Tax</v>
          </cell>
          <cell r="O53">
            <v>4937.6400000000003</v>
          </cell>
          <cell r="P53">
            <v>3814.52</v>
          </cell>
          <cell r="Q53">
            <v>4513.4799999999996</v>
          </cell>
          <cell r="R53">
            <v>2672.4100000000003</v>
          </cell>
          <cell r="S53">
            <v>1619.6399999999999</v>
          </cell>
          <cell r="T53">
            <v>3617.3774191440484</v>
          </cell>
          <cell r="U53">
            <v>3853.9096378705981</v>
          </cell>
          <cell r="V53">
            <v>4091.8924696250215</v>
          </cell>
          <cell r="W53">
            <v>4266.2361399255869</v>
          </cell>
          <cell r="X53">
            <v>4378.5889375730139</v>
          </cell>
          <cell r="Y53">
            <v>4414.555186072208</v>
          </cell>
          <cell r="Z53">
            <v>4536.8428972249076</v>
          </cell>
          <cell r="AA53">
            <v>4568.347155649878</v>
          </cell>
          <cell r="AB53">
            <v>4646.3125303552533</v>
          </cell>
        </row>
        <row r="54">
          <cell r="A54" t="str">
            <v>Profit after Tax</v>
          </cell>
          <cell r="I54">
            <v>7008.8070000000043</v>
          </cell>
          <cell r="J54">
            <v>8620.3159999999989</v>
          </cell>
          <cell r="K54">
            <v>11473.120999999994</v>
          </cell>
          <cell r="L54">
            <v>12932.877000000004</v>
          </cell>
          <cell r="M54">
            <v>13308.667867647062</v>
          </cell>
          <cell r="N54">
            <v>15572.200000000008</v>
          </cell>
          <cell r="O54">
            <v>13892.160000000007</v>
          </cell>
          <cell r="P54">
            <v>9383.0400000000118</v>
          </cell>
          <cell r="Q54">
            <v>12368.5</v>
          </cell>
          <cell r="R54">
            <v>9484.260000000002</v>
          </cell>
          <cell r="S54">
            <v>6696.9299999999976</v>
          </cell>
          <cell r="T54">
            <v>8440.5473113361131</v>
          </cell>
          <cell r="U54">
            <v>8992.4558216980622</v>
          </cell>
          <cell r="V54">
            <v>9547.749095791718</v>
          </cell>
          <cell r="W54">
            <v>9954.5509931597026</v>
          </cell>
          <cell r="X54">
            <v>10216.7075210037</v>
          </cell>
          <cell r="Y54">
            <v>10300.628767501817</v>
          </cell>
          <cell r="Z54">
            <v>10585.966760191453</v>
          </cell>
          <cell r="AA54">
            <v>10659.476696516382</v>
          </cell>
          <cell r="AB54">
            <v>10841.395904162258</v>
          </cell>
        </row>
        <row r="55">
          <cell r="A55" t="str">
            <v>Yr/Yr%</v>
          </cell>
          <cell r="J55">
            <v>0.22992629130749265</v>
          </cell>
          <cell r="K55">
            <v>0.33093972425140739</v>
          </cell>
          <cell r="L55">
            <v>0.12723268585766778</v>
          </cell>
          <cell r="M55">
            <v>2.9057020154684698E-2</v>
          </cell>
          <cell r="N55">
            <v>0.17007954175906059</v>
          </cell>
          <cell r="O55">
            <v>-0.10788713219712054</v>
          </cell>
          <cell r="P55">
            <v>-0.32458019487250311</v>
          </cell>
          <cell r="Q55">
            <v>0.31817619875860959</v>
          </cell>
          <cell r="R55">
            <v>-0.23319238387840058</v>
          </cell>
          <cell r="S55">
            <v>-0.29389008736580435</v>
          </cell>
          <cell r="T55">
            <v>0.26036068935110812</v>
          </cell>
          <cell r="U55">
            <v>6.538776337651786E-2</v>
          </cell>
          <cell r="V55">
            <v>6.1751014973437934E-2</v>
          </cell>
          <cell r="W55">
            <v>4.2607099672035575E-2</v>
          </cell>
          <cell r="X55">
            <v>2.6335344308762831E-2</v>
          </cell>
          <cell r="Y55">
            <v>8.214118523564462E-3</v>
          </cell>
          <cell r="Z55">
            <v>2.7701026716919319E-2</v>
          </cell>
          <cell r="AA55">
            <v>6.9440928722128703E-3</v>
          </cell>
          <cell r="AB55">
            <v>1.7066429509183134E-2</v>
          </cell>
        </row>
        <row r="56">
          <cell r="A56" t="str">
            <v>Tax % of PBT</v>
          </cell>
          <cell r="P56">
            <v>0.28903221504581128</v>
          </cell>
          <cell r="Q56">
            <v>0.2673548955750451</v>
          </cell>
          <cell r="R56">
            <v>0.21983075957478487</v>
          </cell>
          <cell r="S56">
            <v>0.19474855619564319</v>
          </cell>
          <cell r="T56">
            <v>0.3</v>
          </cell>
          <cell r="U56">
            <v>0.3</v>
          </cell>
          <cell r="V56">
            <v>0.3</v>
          </cell>
          <cell r="W56">
            <v>0.3</v>
          </cell>
          <cell r="X56">
            <v>0.3</v>
          </cell>
          <cell r="Y56">
            <v>0.30000000000000004</v>
          </cell>
          <cell r="Z56">
            <v>0.29999999999999993</v>
          </cell>
          <cell r="AA56">
            <v>0.3</v>
          </cell>
          <cell r="AB56">
            <v>0.3</v>
          </cell>
        </row>
        <row r="57">
          <cell r="A57" t="str">
            <v>Prior Period Adjustments</v>
          </cell>
          <cell r="I57">
            <v>287.07799999999997</v>
          </cell>
          <cell r="J57">
            <v>707.53499999999997</v>
          </cell>
          <cell r="K57">
            <v>-171.827</v>
          </cell>
          <cell r="L57">
            <v>89.781000000000006</v>
          </cell>
          <cell r="M57">
            <v>-2430.2078676470587</v>
          </cell>
          <cell r="N57">
            <v>-170.37</v>
          </cell>
          <cell r="O57">
            <v>-885.76</v>
          </cell>
          <cell r="P57">
            <v>-611.49</v>
          </cell>
          <cell r="Q57">
            <v>-841</v>
          </cell>
          <cell r="R57">
            <v>-94.47</v>
          </cell>
          <cell r="S57">
            <v>-910</v>
          </cell>
        </row>
        <row r="59">
          <cell r="A59" t="str">
            <v>Reported Profit after Tax</v>
          </cell>
          <cell r="I59">
            <v>7295.8850000000039</v>
          </cell>
          <cell r="J59">
            <v>9327.8509999999987</v>
          </cell>
          <cell r="K59">
            <v>11301.293999999994</v>
          </cell>
          <cell r="L59">
            <v>13022.658000000005</v>
          </cell>
          <cell r="M59">
            <v>10878.460000000003</v>
          </cell>
          <cell r="N59">
            <v>15401.830000000007</v>
          </cell>
          <cell r="O59">
            <v>13006.400000000007</v>
          </cell>
          <cell r="P59">
            <v>8771.550000000012</v>
          </cell>
          <cell r="Q59">
            <v>11527.5</v>
          </cell>
          <cell r="R59">
            <v>9389.7900000000027</v>
          </cell>
          <cell r="S59">
            <v>5786.9299999999976</v>
          </cell>
          <cell r="T59">
            <v>8440.5473113361131</v>
          </cell>
          <cell r="U59">
            <v>8992.4558216980622</v>
          </cell>
          <cell r="V59">
            <v>9547.749095791718</v>
          </cell>
          <cell r="W59">
            <v>9954.5509931597026</v>
          </cell>
          <cell r="X59">
            <v>10216.7075210037</v>
          </cell>
          <cell r="Y59">
            <v>10300.628767501817</v>
          </cell>
          <cell r="Z59">
            <v>10585.966760191453</v>
          </cell>
          <cell r="AA59">
            <v>10659.476696516382</v>
          </cell>
          <cell r="AB59">
            <v>10841.395904162258</v>
          </cell>
        </row>
        <row r="61">
          <cell r="A61" t="str">
            <v>Overall Dividend</v>
          </cell>
          <cell r="I61">
            <v>1200</v>
          </cell>
          <cell r="J61">
            <v>1320</v>
          </cell>
          <cell r="K61">
            <v>2009.7450999999999</v>
          </cell>
          <cell r="L61">
            <v>2097.9</v>
          </cell>
          <cell r="M61">
            <v>2167.1999999999998</v>
          </cell>
          <cell r="N61">
            <v>3124.17</v>
          </cell>
          <cell r="O61">
            <v>2835</v>
          </cell>
          <cell r="P61">
            <v>3198.23</v>
          </cell>
          <cell r="Q61">
            <v>3198.23</v>
          </cell>
          <cell r="R61">
            <v>3286.4265000000009</v>
          </cell>
          <cell r="S61">
            <v>2025.4254999999989</v>
          </cell>
          <cell r="T61">
            <v>2954.1915589676396</v>
          </cell>
          <cell r="U61">
            <v>3147.3595375943214</v>
          </cell>
          <cell r="V61">
            <v>3341.7121835271009</v>
          </cell>
          <cell r="W61">
            <v>3484.0928476058957</v>
          </cell>
          <cell r="X61">
            <v>3575.847632351295</v>
          </cell>
          <cell r="Y61">
            <v>3605.220068625636</v>
          </cell>
          <cell r="Z61">
            <v>3705.0883660670083</v>
          </cell>
          <cell r="AA61">
            <v>3730.8168437807335</v>
          </cell>
          <cell r="AB61">
            <v>3794.4885664567901</v>
          </cell>
        </row>
        <row r="62">
          <cell r="A62" t="str">
            <v>Payout</v>
          </cell>
          <cell r="I62">
            <v>0.17121316081324528</v>
          </cell>
          <cell r="J62">
            <v>0.15312663712095939</v>
          </cell>
          <cell r="K62">
            <v>0.17516986877415491</v>
          </cell>
          <cell r="L62">
            <v>0.16221448638226432</v>
          </cell>
          <cell r="M62">
            <v>0.16284124162932884</v>
          </cell>
          <cell r="N62">
            <v>0.20062483143036941</v>
          </cell>
          <cell r="O62">
            <v>0.21796961495878941</v>
          </cell>
          <cell r="P62">
            <v>0.36461400778653669</v>
          </cell>
          <cell r="Q62">
            <v>0.27744350466276296</v>
          </cell>
          <cell r="R62">
            <v>0.35</v>
          </cell>
          <cell r="S62">
            <v>0.35</v>
          </cell>
          <cell r="T62">
            <v>0.35</v>
          </cell>
          <cell r="U62">
            <v>0.35</v>
          </cell>
          <cell r="V62">
            <v>0.35</v>
          </cell>
          <cell r="W62">
            <v>0.35</v>
          </cell>
          <cell r="X62">
            <v>0.35</v>
          </cell>
          <cell r="Y62">
            <v>0.35</v>
          </cell>
          <cell r="Z62">
            <v>0.35</v>
          </cell>
          <cell r="AA62">
            <v>0.35</v>
          </cell>
          <cell r="AB62">
            <v>0.35</v>
          </cell>
        </row>
        <row r="63">
          <cell r="A63" t="str">
            <v>Dividend</v>
          </cell>
          <cell r="I63">
            <v>1200</v>
          </cell>
          <cell r="J63">
            <v>1200</v>
          </cell>
          <cell r="K63">
            <v>1827.0409999999999</v>
          </cell>
          <cell r="L63">
            <v>1890</v>
          </cell>
          <cell r="M63">
            <v>1890</v>
          </cell>
          <cell r="N63">
            <v>2835</v>
          </cell>
          <cell r="O63">
            <v>2835</v>
          </cell>
          <cell r="P63">
            <v>2835</v>
          </cell>
          <cell r="Q63">
            <v>2835</v>
          </cell>
          <cell r="R63">
            <v>2835</v>
          </cell>
          <cell r="S63">
            <v>1800.3782222222212</v>
          </cell>
          <cell r="T63">
            <v>2625.9480524156797</v>
          </cell>
          <cell r="U63">
            <v>2797.6529223060634</v>
          </cell>
          <cell r="V63">
            <v>2970.4108298018673</v>
          </cell>
          <cell r="W63">
            <v>3096.9714200941294</v>
          </cell>
          <cell r="X63">
            <v>3178.5312287567067</v>
          </cell>
          <cell r="Y63">
            <v>3204.6400610005653</v>
          </cell>
          <cell r="Z63">
            <v>3293.4118809484517</v>
          </cell>
          <cell r="AA63">
            <v>3316.2816389162076</v>
          </cell>
          <cell r="AB63">
            <v>3372.8787257393687</v>
          </cell>
        </row>
        <row r="65">
          <cell r="A65" t="str">
            <v>Dividend Tax</v>
          </cell>
          <cell r="I65">
            <v>0</v>
          </cell>
          <cell r="J65">
            <v>120</v>
          </cell>
          <cell r="K65">
            <v>182.70410000000001</v>
          </cell>
          <cell r="L65">
            <v>207.9</v>
          </cell>
          <cell r="M65">
            <v>277.2</v>
          </cell>
          <cell r="N65">
            <v>289.17</v>
          </cell>
          <cell r="O65">
            <v>0</v>
          </cell>
          <cell r="P65">
            <v>363.23</v>
          </cell>
          <cell r="Q65">
            <v>363.23</v>
          </cell>
          <cell r="R65">
            <v>392.82</v>
          </cell>
          <cell r="S65">
            <v>225.04727777777771</v>
          </cell>
          <cell r="T65">
            <v>328.24350655195985</v>
          </cell>
          <cell r="U65">
            <v>349.70661528825804</v>
          </cell>
          <cell r="V65">
            <v>371.30135372523364</v>
          </cell>
          <cell r="W65">
            <v>387.12142751176634</v>
          </cell>
          <cell r="X65">
            <v>397.31640359458834</v>
          </cell>
          <cell r="Y65">
            <v>400.58000762507072</v>
          </cell>
          <cell r="Z65">
            <v>411.67648511855668</v>
          </cell>
          <cell r="AA65">
            <v>414.53520486452589</v>
          </cell>
          <cell r="AB65">
            <v>421.60984071742132</v>
          </cell>
        </row>
        <row r="66">
          <cell r="I66">
            <v>504.71499999999997</v>
          </cell>
        </row>
        <row r="67">
          <cell r="A67" t="str">
            <v>Tax</v>
          </cell>
          <cell r="N67">
            <v>4605.8890500000016</v>
          </cell>
          <cell r="O67">
            <v>5041.6789500000023</v>
          </cell>
          <cell r="P67">
            <v>3533.6466900000023</v>
          </cell>
          <cell r="Q67">
            <v>4520.1501449999996</v>
          </cell>
        </row>
        <row r="68">
          <cell r="A68" t="str">
            <v>Net Profit</v>
          </cell>
          <cell r="N68">
            <v>12596.310950000006</v>
          </cell>
          <cell r="O68">
            <v>13788.121050000005</v>
          </cell>
          <cell r="P68">
            <v>9663.9133100000072</v>
          </cell>
          <cell r="Q68">
            <v>12361.829855</v>
          </cell>
        </row>
        <row r="69">
          <cell r="A69" t="str">
            <v>Public Phones</v>
          </cell>
          <cell r="I69">
            <v>3063</v>
          </cell>
          <cell r="J69">
            <v>3865</v>
          </cell>
          <cell r="K69">
            <v>6270</v>
          </cell>
          <cell r="L69">
            <v>8398.7163430205255</v>
          </cell>
          <cell r="M69">
            <v>10346.052424718109</v>
          </cell>
          <cell r="N69">
            <v>12683.148506731044</v>
          </cell>
          <cell r="O69">
            <v>10373.1</v>
          </cell>
          <cell r="P69">
            <v>10270.58</v>
          </cell>
          <cell r="Q69">
            <v>10572.69</v>
          </cell>
          <cell r="R69">
            <v>10197.530000000001</v>
          </cell>
          <cell r="S69">
            <v>8877</v>
          </cell>
          <cell r="T69">
            <v>8459.6129415089017</v>
          </cell>
          <cell r="U69">
            <v>8248.1226179711794</v>
          </cell>
          <cell r="V69">
            <v>8041.9195525218993</v>
          </cell>
          <cell r="W69">
            <v>7840.8715637088517</v>
          </cell>
          <cell r="X69">
            <v>7644.8497746161302</v>
          </cell>
          <cell r="Y69">
            <v>7453.7285302507271</v>
          </cell>
          <cell r="Z69">
            <v>7267.3853169944578</v>
          </cell>
          <cell r="AA69">
            <v>7085.7006840695967</v>
          </cell>
          <cell r="AB69">
            <v>6908.5581669678568</v>
          </cell>
        </row>
        <row r="70">
          <cell r="B70" t="str">
            <v>Average Rev/Public Phone (Rs)</v>
          </cell>
          <cell r="J70">
            <v>62878.75706674259</v>
          </cell>
          <cell r="K70">
            <v>87878.511811740958</v>
          </cell>
          <cell r="L70">
            <v>101060.2885835021</v>
          </cell>
          <cell r="M70">
            <v>104092.09724100717</v>
          </cell>
          <cell r="N70">
            <v>104092.09724100717</v>
          </cell>
          <cell r="O70">
            <v>70291.075294683673</v>
          </cell>
          <cell r="P70">
            <v>56192.784531716767</v>
          </cell>
          <cell r="Q70">
            <v>47615.399685196819</v>
          </cell>
          <cell r="R70">
            <v>39264.308954045788</v>
          </cell>
          <cell r="S70">
            <v>29861.139143422275</v>
          </cell>
          <cell r="T70">
            <v>26875.025229080049</v>
          </cell>
          <cell r="U70">
            <v>26203.149598353048</v>
          </cell>
          <cell r="V70">
            <v>25548.070858394221</v>
          </cell>
          <cell r="W70">
            <v>24909.369086934366</v>
          </cell>
          <cell r="X70">
            <v>24286.634859761005</v>
          </cell>
          <cell r="Y70">
            <v>23679.468988266981</v>
          </cell>
          <cell r="Z70">
            <v>23087.482263560305</v>
          </cell>
          <cell r="AA70">
            <v>22510.295206971296</v>
          </cell>
          <cell r="AB70">
            <v>21947.537826797012</v>
          </cell>
        </row>
        <row r="71">
          <cell r="B71" t="str">
            <v>Y-E Public Phones in Service</v>
          </cell>
          <cell r="I71">
            <v>55939</v>
          </cell>
          <cell r="J71">
            <v>66996</v>
          </cell>
          <cell r="K71">
            <v>75701</v>
          </cell>
          <cell r="L71">
            <v>90511</v>
          </cell>
          <cell r="M71">
            <v>108679</v>
          </cell>
          <cell r="N71">
            <v>134032</v>
          </cell>
          <cell r="O71">
            <v>161115</v>
          </cell>
          <cell r="P71">
            <v>204433</v>
          </cell>
          <cell r="Q71">
            <v>239654</v>
          </cell>
          <cell r="R71">
            <v>279776</v>
          </cell>
          <cell r="S71">
            <v>314776</v>
          </cell>
          <cell r="T71">
            <v>314776</v>
          </cell>
          <cell r="U71">
            <v>314776</v>
          </cell>
          <cell r="V71">
            <v>314776</v>
          </cell>
          <cell r="W71">
            <v>314776</v>
          </cell>
          <cell r="X71">
            <v>314776</v>
          </cell>
          <cell r="Y71">
            <v>314776</v>
          </cell>
          <cell r="Z71">
            <v>314776</v>
          </cell>
          <cell r="AA71">
            <v>314776</v>
          </cell>
          <cell r="AB71">
            <v>314776</v>
          </cell>
        </row>
        <row r="72">
          <cell r="B72" t="str">
            <v xml:space="preserve">Average Public Phones </v>
          </cell>
          <cell r="J72">
            <v>61467.5</v>
          </cell>
          <cell r="K72">
            <v>71348.5</v>
          </cell>
          <cell r="L72">
            <v>83106</v>
          </cell>
          <cell r="M72">
            <v>99595</v>
          </cell>
          <cell r="N72">
            <v>121355.5</v>
          </cell>
          <cell r="O72">
            <v>147573.5</v>
          </cell>
          <cell r="P72">
            <v>182774</v>
          </cell>
          <cell r="Q72">
            <v>222043.5</v>
          </cell>
          <cell r="R72">
            <v>259715</v>
          </cell>
          <cell r="S72">
            <v>297276</v>
          </cell>
          <cell r="T72">
            <v>314776</v>
          </cell>
          <cell r="U72">
            <v>314776</v>
          </cell>
          <cell r="V72">
            <v>314776</v>
          </cell>
          <cell r="W72">
            <v>314776</v>
          </cell>
          <cell r="X72">
            <v>314776</v>
          </cell>
          <cell r="Y72">
            <v>314776</v>
          </cell>
          <cell r="Z72">
            <v>314776</v>
          </cell>
          <cell r="AA72">
            <v>314776</v>
          </cell>
          <cell r="AB72">
            <v>314776</v>
          </cell>
        </row>
        <row r="73">
          <cell r="B73" t="str">
            <v>Net Additions</v>
          </cell>
          <cell r="J73">
            <v>11057</v>
          </cell>
          <cell r="K73">
            <v>8705</v>
          </cell>
          <cell r="L73">
            <v>14810</v>
          </cell>
          <cell r="M73">
            <v>18168</v>
          </cell>
          <cell r="N73">
            <v>25353</v>
          </cell>
          <cell r="O73">
            <v>27083</v>
          </cell>
          <cell r="P73">
            <v>43318</v>
          </cell>
          <cell r="Q73">
            <v>35221</v>
          </cell>
          <cell r="S73">
            <v>35000</v>
          </cell>
          <cell r="U73">
            <v>0</v>
          </cell>
          <cell r="V73">
            <v>0</v>
          </cell>
          <cell r="W73">
            <v>0</v>
          </cell>
        </row>
        <row r="75">
          <cell r="A75" t="str">
            <v>% change</v>
          </cell>
          <cell r="O75">
            <v>-7.4890405811625094E-3</v>
          </cell>
          <cell r="P75">
            <v>2.9934148207829692E-2</v>
          </cell>
          <cell r="Q75">
            <v>-5.392848769050218E-4</v>
          </cell>
        </row>
        <row r="76">
          <cell r="A76" t="str">
            <v>Cash Profits</v>
          </cell>
          <cell r="B76" t="str">
            <v>Profit before Tax</v>
          </cell>
          <cell r="I76">
            <v>11950.299000000003</v>
          </cell>
          <cell r="J76">
            <v>14478.225999999999</v>
          </cell>
          <cell r="K76">
            <v>17157.492999999995</v>
          </cell>
          <cell r="L76">
            <v>19593.172000000006</v>
          </cell>
          <cell r="M76">
            <v>17971.270000000004</v>
          </cell>
          <cell r="N76">
            <v>23094.290000000008</v>
          </cell>
          <cell r="O76">
            <v>21170.960000000006</v>
          </cell>
          <cell r="P76">
            <v>17441.970000000012</v>
          </cell>
          <cell r="Q76">
            <v>16965.45</v>
          </cell>
          <cell r="R76">
            <v>15269.860000000002</v>
          </cell>
          <cell r="S76">
            <v>12163.999999999996</v>
          </cell>
          <cell r="T76">
            <v>15398.01046503786</v>
          </cell>
          <cell r="U76">
            <v>16466.701814546039</v>
          </cell>
          <cell r="V76">
            <v>17461.648033281344</v>
          </cell>
          <cell r="W76">
            <v>18280.599513354129</v>
          </cell>
          <cell r="X76">
            <v>18948.79909069882</v>
          </cell>
          <cell r="Y76">
            <v>19443.098949243817</v>
          </cell>
          <cell r="Z76">
            <v>20143.753541790051</v>
          </cell>
          <cell r="AA76">
            <v>20634.841268574972</v>
          </cell>
          <cell r="AB76">
            <v>21234.312138418383</v>
          </cell>
        </row>
        <row r="77">
          <cell r="A77" t="str">
            <v>Growth (yoy) %</v>
          </cell>
          <cell r="J77">
            <v>0.21153671552485798</v>
          </cell>
          <cell r="K77">
            <v>0.18505492316531025</v>
          </cell>
          <cell r="L77">
            <v>0.14196007540262512</v>
          </cell>
          <cell r="M77">
            <v>-8.2778939520359529E-2</v>
          </cell>
          <cell r="N77">
            <v>0.28506722118136363</v>
          </cell>
          <cell r="O77">
            <v>-8.3281625025060313E-2</v>
          </cell>
          <cell r="P77">
            <v>-0.17613702921360175</v>
          </cell>
          <cell r="Q77">
            <v>-2.7320308428463669E-2</v>
          </cell>
          <cell r="R77">
            <v>-9.9943709126489311E-2</v>
          </cell>
          <cell r="S77">
            <v>-0.20339806651796455</v>
          </cell>
          <cell r="T77">
            <v>0.26586735161442498</v>
          </cell>
          <cell r="U77">
            <v>6.9404508584710367E-2</v>
          </cell>
          <cell r="V77">
            <v>6.0421706176546408E-2</v>
          </cell>
          <cell r="W77">
            <v>4.6900010727045416E-2</v>
          </cell>
          <cell r="X77">
            <v>3.6552388605010755E-2</v>
          </cell>
          <cell r="Y77">
            <v>2.6086078393623868E-2</v>
          </cell>
          <cell r="Z77">
            <v>3.6036158349823433E-2</v>
          </cell>
          <cell r="AA77">
            <v>2.4379156832221804E-2</v>
          </cell>
          <cell r="AB77">
            <v>2.9051392353395711E-2</v>
          </cell>
        </row>
        <row r="81">
          <cell r="M81">
            <v>1423.8289999999997</v>
          </cell>
        </row>
        <row r="82">
          <cell r="A82" t="str">
            <v>Fixed-Line Network Data</v>
          </cell>
        </row>
        <row r="83">
          <cell r="A83" t="str">
            <v>Y-E Fixed-Line Capacity (000s)</v>
          </cell>
          <cell r="I83">
            <v>3101.3999999999996</v>
          </cell>
          <cell r="J83">
            <v>3521</v>
          </cell>
          <cell r="K83">
            <v>3809.5</v>
          </cell>
          <cell r="L83">
            <v>4224.7</v>
          </cell>
          <cell r="M83">
            <v>4639</v>
          </cell>
          <cell r="N83">
            <v>5121.0869999999995</v>
          </cell>
          <cell r="O83">
            <v>5650.5969999999998</v>
          </cell>
          <cell r="P83">
            <v>5852.6390000000001</v>
          </cell>
          <cell r="Q83">
            <v>5892.6390000000001</v>
          </cell>
          <cell r="R83">
            <v>5912.6390000000001</v>
          </cell>
          <cell r="S83">
            <v>5932.6390000000001</v>
          </cell>
          <cell r="T83">
            <v>5952.6390000000001</v>
          </cell>
          <cell r="U83">
            <v>5972.6390000000001</v>
          </cell>
          <cell r="V83">
            <v>5992.6390000000001</v>
          </cell>
          <cell r="W83">
            <v>6012.6390000000001</v>
          </cell>
        </row>
        <row r="84">
          <cell r="A84" t="str">
            <v>Y-E Fixed-Lines in Service (000s)</v>
          </cell>
          <cell r="I84">
            <v>2607.7950000000001</v>
          </cell>
          <cell r="J84">
            <v>3012.154</v>
          </cell>
          <cell r="K84">
            <v>3406.7389999999996</v>
          </cell>
          <cell r="L84">
            <v>3653.91</v>
          </cell>
          <cell r="M84">
            <v>4031.6239999999998</v>
          </cell>
          <cell r="N84">
            <v>4335.1899999999996</v>
          </cell>
          <cell r="O84">
            <v>4496.5050000000001</v>
          </cell>
          <cell r="P84">
            <v>4633.6650000000009</v>
          </cell>
          <cell r="Q84">
            <v>4367.2340000000004</v>
          </cell>
          <cell r="R84">
            <v>4075.34</v>
          </cell>
          <cell r="S84">
            <v>4189.8240000000005</v>
          </cell>
          <cell r="T84">
            <v>4139.8240000000005</v>
          </cell>
          <cell r="U84">
            <v>4114.8240000000005</v>
          </cell>
          <cell r="V84">
            <v>4114.8240000000005</v>
          </cell>
          <cell r="W84">
            <v>4114.8240000000005</v>
          </cell>
        </row>
        <row r="85">
          <cell r="B85" t="str">
            <v>Delhi</v>
          </cell>
          <cell r="I85">
            <v>1167.01</v>
          </cell>
          <cell r="J85">
            <v>1370</v>
          </cell>
          <cell r="K85">
            <v>1551.11</v>
          </cell>
          <cell r="L85">
            <v>1641.5</v>
          </cell>
          <cell r="M85">
            <v>1818.2360000000001</v>
          </cell>
          <cell r="N85">
            <v>1979.856</v>
          </cell>
          <cell r="O85">
            <v>2065.8029999999999</v>
          </cell>
          <cell r="P85">
            <v>2170.92</v>
          </cell>
          <cell r="Q85">
            <v>1937.079</v>
          </cell>
          <cell r="R85">
            <v>1719.6960000000001</v>
          </cell>
          <cell r="S85">
            <v>1719.6960000000001</v>
          </cell>
          <cell r="T85">
            <v>1837.079</v>
          </cell>
          <cell r="U85">
            <v>1812.079</v>
          </cell>
          <cell r="V85">
            <v>1799.579</v>
          </cell>
          <cell r="W85">
            <v>1799.579</v>
          </cell>
        </row>
        <row r="86">
          <cell r="B86" t="str">
            <v>Bombay</v>
          </cell>
          <cell r="I86">
            <v>1440.7850000000001</v>
          </cell>
          <cell r="J86">
            <v>1642.154</v>
          </cell>
          <cell r="K86">
            <v>1855.6289999999999</v>
          </cell>
          <cell r="L86">
            <v>2012.41</v>
          </cell>
          <cell r="M86">
            <v>2213.3879999999999</v>
          </cell>
          <cell r="N86">
            <v>2355.3339999999998</v>
          </cell>
          <cell r="O86">
            <v>2430.7020000000002</v>
          </cell>
          <cell r="P86">
            <v>2462.7450000000003</v>
          </cell>
          <cell r="Q86">
            <v>2430.1550000000002</v>
          </cell>
          <cell r="R86">
            <v>2355.6440000000002</v>
          </cell>
          <cell r="S86">
            <v>2355.6440000000002</v>
          </cell>
          <cell r="T86">
            <v>2352.7450000000003</v>
          </cell>
          <cell r="U86">
            <v>2327.7450000000003</v>
          </cell>
          <cell r="V86">
            <v>2315.2450000000003</v>
          </cell>
          <cell r="W86">
            <v>2315.2450000000003</v>
          </cell>
        </row>
        <row r="87">
          <cell r="A87" t="str">
            <v>% Utilization</v>
          </cell>
          <cell r="I87">
            <v>0.84084445734184576</v>
          </cell>
          <cell r="J87">
            <v>0.85548253337120139</v>
          </cell>
          <cell r="K87">
            <v>0.89427457671610433</v>
          </cell>
          <cell r="L87">
            <v>0.86489218169337467</v>
          </cell>
          <cell r="M87">
            <v>0.86907178271179131</v>
          </cell>
          <cell r="N87">
            <v>0.84653707308624127</v>
          </cell>
          <cell r="O87">
            <v>0.79575751022414098</v>
          </cell>
          <cell r="P87">
            <v>0.7917223324384095</v>
          </cell>
          <cell r="Q87">
            <v>0.74113381118374977</v>
          </cell>
          <cell r="R87">
            <v>0.68925906012526728</v>
          </cell>
          <cell r="S87">
            <v>0.70623275746257275</v>
          </cell>
          <cell r="T87">
            <v>0.69546028240583724</v>
          </cell>
          <cell r="U87">
            <v>0.68894570724934157</v>
          </cell>
          <cell r="V87">
            <v>0.68664640069258309</v>
          </cell>
          <cell r="W87">
            <v>0.68436239062415027</v>
          </cell>
        </row>
        <row r="88">
          <cell r="A88" t="str">
            <v>Growth rate of fixed line services</v>
          </cell>
          <cell r="J88">
            <v>0.15505781704466792</v>
          </cell>
          <cell r="K88">
            <v>0.13099761831566359</v>
          </cell>
          <cell r="L88">
            <v>7.2553547542092423E-2</v>
          </cell>
          <cell r="M88">
            <v>0.10337255159541425</v>
          </cell>
          <cell r="N88">
            <v>7.5296208178143642E-2</v>
          </cell>
          <cell r="O88">
            <v>3.7210595152692427E-2</v>
          </cell>
          <cell r="P88">
            <v>3.0503691200165717E-2</v>
          </cell>
          <cell r="Q88">
            <v>-5.7498977591172507E-2</v>
          </cell>
          <cell r="R88">
            <v>-6.6837270455395892E-2</v>
          </cell>
          <cell r="S88">
            <v>2.8091889265680958E-2</v>
          </cell>
          <cell r="T88">
            <v>-1.1933675495677143E-2</v>
          </cell>
          <cell r="U88">
            <v>-6.0389040693517027E-3</v>
          </cell>
          <cell r="V88">
            <v>0</v>
          </cell>
          <cell r="W88">
            <v>0</v>
          </cell>
        </row>
        <row r="89">
          <cell r="A89" t="str">
            <v>Employees per 1,000 Lines</v>
          </cell>
          <cell r="I89">
            <v>24.113475177304963</v>
          </cell>
          <cell r="J89">
            <v>20.859823236129362</v>
          </cell>
          <cell r="K89">
            <v>18.338064641876002</v>
          </cell>
          <cell r="L89">
            <v>16.819242947965332</v>
          </cell>
          <cell r="M89">
            <v>15.156175278250155</v>
          </cell>
          <cell r="N89">
            <v>14.012303958996032</v>
          </cell>
          <cell r="O89">
            <v>12.815953724059019</v>
          </cell>
          <cell r="P89">
            <v>12.532628060077711</v>
          </cell>
          <cell r="Q89">
            <v>12.187118894934413</v>
          </cell>
          <cell r="R89">
            <v>12.574165591091786</v>
          </cell>
          <cell r="S89">
            <v>12.083085112883023</v>
          </cell>
          <cell r="T89">
            <v>12.090055955720299</v>
          </cell>
          <cell r="U89">
            <v>11.911385178049557</v>
          </cell>
          <cell r="V89">
            <v>11.735354855221241</v>
          </cell>
          <cell r="W89">
            <v>11.50524985806004</v>
          </cell>
        </row>
        <row r="90">
          <cell r="B90" t="str">
            <v>Delhi</v>
          </cell>
          <cell r="I90">
            <v>26</v>
          </cell>
          <cell r="J90">
            <v>21</v>
          </cell>
          <cell r="K90">
            <v>19</v>
          </cell>
          <cell r="L90">
            <v>18</v>
          </cell>
          <cell r="M90">
            <v>17</v>
          </cell>
          <cell r="N90">
            <v>16</v>
          </cell>
          <cell r="O90">
            <v>15</v>
          </cell>
          <cell r="P90">
            <v>15</v>
          </cell>
          <cell r="Q90">
            <v>14.25</v>
          </cell>
          <cell r="R90">
            <v>13.5375</v>
          </cell>
          <cell r="S90">
            <v>12.860624999999999</v>
          </cell>
          <cell r="T90">
            <v>12.217593749999999</v>
          </cell>
          <cell r="U90">
            <v>11.606714062499998</v>
          </cell>
          <cell r="V90">
            <v>11.026378359374998</v>
          </cell>
          <cell r="W90">
            <v>11.026378359374998</v>
          </cell>
        </row>
        <row r="91">
          <cell r="B91" t="str">
            <v>Bombay</v>
          </cell>
          <cell r="I91">
            <v>21</v>
          </cell>
          <cell r="J91">
            <v>21</v>
          </cell>
          <cell r="K91">
            <v>18.170000000000002</v>
          </cell>
          <cell r="L91">
            <v>16.32</v>
          </cell>
          <cell r="M91">
            <v>13.641525118957903</v>
          </cell>
          <cell r="N91">
            <v>12.341478533405454</v>
          </cell>
          <cell r="O91">
            <v>10.959778286272854</v>
          </cell>
          <cell r="P91">
            <v>10.35762939321773</v>
          </cell>
          <cell r="Q91">
            <v>10.542794286784174</v>
          </cell>
          <cell r="R91">
            <v>11.870900441662661</v>
          </cell>
          <cell r="S91">
            <v>12.102692355041762</v>
          </cell>
          <cell r="T91">
            <v>11.733536315315764</v>
          </cell>
          <cell r="U91">
            <v>12.020634043772688</v>
          </cell>
          <cell r="V91">
            <v>12.286423624797887</v>
          </cell>
          <cell r="W91">
            <v>11.877464069831204</v>
          </cell>
        </row>
        <row r="93">
          <cell r="A93" t="str">
            <v>Lines per Employee</v>
          </cell>
          <cell r="I93">
            <v>41.470588235294116</v>
          </cell>
          <cell r="J93">
            <v>47.939044769468275</v>
          </cell>
          <cell r="K93">
            <v>54.531381556832542</v>
          </cell>
          <cell r="L93">
            <v>59.455708148919555</v>
          </cell>
          <cell r="M93">
            <v>65.97970672951034</v>
          </cell>
          <cell r="N93">
            <v>71.365851249464981</v>
          </cell>
          <cell r="O93">
            <v>78.027747410068201</v>
          </cell>
          <cell r="P93">
            <v>79.791724066675869</v>
          </cell>
          <cell r="Q93">
            <v>82.05384788817075</v>
          </cell>
          <cell r="R93">
            <v>79.5281398797908</v>
          </cell>
          <cell r="S93">
            <v>82.760320783786995</v>
          </cell>
          <cell r="T93">
            <v>82.712603122970592</v>
          </cell>
          <cell r="U93">
            <v>83.953292169815143</v>
          </cell>
          <cell r="V93">
            <v>85.212591552362355</v>
          </cell>
          <cell r="W93">
            <v>86.916843383409599</v>
          </cell>
        </row>
        <row r="94">
          <cell r="B94" t="str">
            <v>Delhi</v>
          </cell>
          <cell r="I94">
            <v>38.461538461538467</v>
          </cell>
          <cell r="J94">
            <v>47.619047619047613</v>
          </cell>
          <cell r="K94">
            <v>52.631578947368425</v>
          </cell>
          <cell r="L94">
            <v>55.555555555555564</v>
          </cell>
          <cell r="M94">
            <v>58.823529411764696</v>
          </cell>
          <cell r="N94">
            <v>62.5</v>
          </cell>
          <cell r="O94">
            <v>66.666666666666671</v>
          </cell>
          <cell r="P94">
            <v>66.666666666666671</v>
          </cell>
          <cell r="Q94">
            <v>70.175438596491219</v>
          </cell>
          <cell r="R94">
            <v>73.868882733148666</v>
          </cell>
          <cell r="S94">
            <v>77.756718666472281</v>
          </cell>
          <cell r="T94">
            <v>81.849177543655031</v>
          </cell>
          <cell r="U94">
            <v>86.157028993321092</v>
          </cell>
          <cell r="V94">
            <v>90.691609466653773</v>
          </cell>
          <cell r="W94">
            <v>90.691609466653773</v>
          </cell>
        </row>
        <row r="95">
          <cell r="B95" t="str">
            <v>Bombay</v>
          </cell>
          <cell r="I95">
            <v>44.276344053638603</v>
          </cell>
          <cell r="J95">
            <v>48.209318028359213</v>
          </cell>
          <cell r="K95">
            <v>56.227927413898158</v>
          </cell>
          <cell r="L95">
            <v>63.067159735497818</v>
          </cell>
          <cell r="M95">
            <v>73.305586529344865</v>
          </cell>
          <cell r="N95">
            <v>81.027568722275646</v>
          </cell>
          <cell r="O95">
            <v>91.242721693786635</v>
          </cell>
          <cell r="P95">
            <v>96.547188747147985</v>
          </cell>
          <cell r="Q95">
            <v>94.851514010241189</v>
          </cell>
          <cell r="R95">
            <v>84.23960801577897</v>
          </cell>
          <cell r="S95">
            <v>82.626243042806749</v>
          </cell>
          <cell r="T95">
            <v>85.225798354985429</v>
          </cell>
          <cell r="U95">
            <v>83.190287330812808</v>
          </cell>
          <cell r="V95">
            <v>81.390649593237526</v>
          </cell>
          <cell r="W95">
            <v>84.19305620464921</v>
          </cell>
        </row>
        <row r="96">
          <cell r="A96" t="str">
            <v xml:space="preserve">% Increase in Productivity </v>
          </cell>
          <cell r="J96">
            <v>0.1559769660722847</v>
          </cell>
          <cell r="K96">
            <v>0.13751498009745153</v>
          </cell>
          <cell r="L96">
            <v>9.0302619363400602E-2</v>
          </cell>
          <cell r="M96">
            <v>0.10972871711913738</v>
          </cell>
          <cell r="N96">
            <v>8.1633350418419071E-2</v>
          </cell>
          <cell r="O96">
            <v>9.3348513945640962E-2</v>
          </cell>
          <cell r="P96">
            <v>2.260704320140421E-2</v>
          </cell>
          <cell r="Q96">
            <v>2.8350356480636978E-2</v>
          </cell>
          <cell r="R96">
            <v>-3.0781103792014465E-2</v>
          </cell>
          <cell r="S96">
            <v>4.0641977907212898E-2</v>
          </cell>
          <cell r="T96">
            <v>-5.7657655703227987E-4</v>
          </cell>
          <cell r="U96">
            <v>1.4999999999999906E-2</v>
          </cell>
          <cell r="V96">
            <v>1.4999999999999821E-2</v>
          </cell>
          <cell r="W96">
            <v>1.9999999999999969E-2</v>
          </cell>
        </row>
        <row r="98">
          <cell r="A98" t="str">
            <v>No. of Employees</v>
          </cell>
          <cell r="I98">
            <v>62883</v>
          </cell>
          <cell r="J98">
            <v>62833</v>
          </cell>
          <cell r="K98">
            <v>62473</v>
          </cell>
          <cell r="L98">
            <v>61456</v>
          </cell>
          <cell r="M98">
            <v>61104</v>
          </cell>
          <cell r="N98">
            <v>60746</v>
          </cell>
          <cell r="O98">
            <v>57627</v>
          </cell>
          <cell r="P98">
            <v>58072</v>
          </cell>
          <cell r="Q98">
            <v>53224</v>
          </cell>
          <cell r="R98">
            <v>51244</v>
          </cell>
          <cell r="S98">
            <v>50626</v>
          </cell>
          <cell r="T98">
            <v>50050.703806833837</v>
          </cell>
          <cell r="U98">
            <v>49013.253603882593</v>
          </cell>
          <cell r="V98">
            <v>48288.91980678089</v>
          </cell>
          <cell r="W98">
            <v>47342.07824194205</v>
          </cell>
        </row>
        <row r="99">
          <cell r="B99" t="str">
            <v>Delhi</v>
          </cell>
          <cell r="I99">
            <v>30342.26</v>
          </cell>
          <cell r="J99">
            <v>28770.000000000004</v>
          </cell>
          <cell r="K99">
            <v>29471.089999999997</v>
          </cell>
          <cell r="L99">
            <v>29546.999999999996</v>
          </cell>
          <cell r="M99">
            <v>30910.012000000006</v>
          </cell>
          <cell r="N99">
            <v>31677.696</v>
          </cell>
          <cell r="O99">
            <v>30987.044999999998</v>
          </cell>
          <cell r="P99">
            <v>32563.8</v>
          </cell>
          <cell r="Q99">
            <v>27603.375750000003</v>
          </cell>
          <cell r="R99">
            <v>23280.384600000001</v>
          </cell>
          <cell r="S99">
            <v>22116.36537</v>
          </cell>
          <cell r="T99">
            <v>22444.684908656247</v>
          </cell>
          <cell r="U99">
            <v>21032.282811660934</v>
          </cell>
          <cell r="V99">
            <v>19842.838941585702</v>
          </cell>
          <cell r="W99">
            <v>19842.838941585702</v>
          </cell>
        </row>
        <row r="100">
          <cell r="B100" t="str">
            <v>Bombay</v>
          </cell>
          <cell r="I100">
            <v>32540.74</v>
          </cell>
          <cell r="J100">
            <v>34063</v>
          </cell>
          <cell r="K100">
            <v>33001.910000000003</v>
          </cell>
          <cell r="L100">
            <v>31909.000000000004</v>
          </cell>
          <cell r="M100">
            <v>30193.987999999994</v>
          </cell>
          <cell r="N100">
            <v>29068.304</v>
          </cell>
          <cell r="O100">
            <v>26639.955000000002</v>
          </cell>
          <cell r="P100">
            <v>25508.2</v>
          </cell>
          <cell r="Q100">
            <v>25620.624249999997</v>
          </cell>
          <cell r="R100">
            <v>27963.615399999999</v>
          </cell>
          <cell r="S100">
            <v>28509.63463</v>
          </cell>
          <cell r="T100">
            <v>27606.01889817759</v>
          </cell>
          <cell r="U100">
            <v>27980.970792221658</v>
          </cell>
          <cell r="V100">
            <v>28446.080865195188</v>
          </cell>
          <cell r="W100">
            <v>27499.239300356348</v>
          </cell>
        </row>
        <row r="102">
          <cell r="A102" t="str">
            <v>Delhi Penetration</v>
          </cell>
          <cell r="I102">
            <v>0.10241600392449667</v>
          </cell>
          <cell r="J102">
            <v>0.11574078274358267</v>
          </cell>
          <cell r="K102">
            <v>0.12614819613964304</v>
          </cell>
          <cell r="L102">
            <v>0.12851444143255625</v>
          </cell>
          <cell r="M102">
            <v>0.13703575508808988</v>
          </cell>
          <cell r="N102">
            <v>0.14364477980120438</v>
          </cell>
          <cell r="O102">
            <v>0.14482464380790491</v>
          </cell>
          <cell r="P102">
            <v>0.14755780002677713</v>
          </cell>
          <cell r="Q102">
            <v>0.12804288273559222</v>
          </cell>
          <cell r="R102">
            <v>0.11063893489177197</v>
          </cell>
          <cell r="S102">
            <v>0.10774276771810636</v>
          </cell>
          <cell r="T102">
            <v>0.11214291697162819</v>
          </cell>
          <cell r="U102">
            <v>0.1077776506027225</v>
          </cell>
          <cell r="V102">
            <v>0.10428697511891018</v>
          </cell>
          <cell r="W102">
            <v>0.10161027810233979</v>
          </cell>
        </row>
        <row r="103">
          <cell r="B103" t="str">
            <v>Population (mn)</v>
          </cell>
          <cell r="I103">
            <v>11.394801156861631</v>
          </cell>
          <cell r="J103">
            <v>11.836795704372932</v>
          </cell>
          <cell r="K103">
            <v>12.295934840661202</v>
          </cell>
          <cell r="L103">
            <v>12.772883589596047</v>
          </cell>
          <cell r="M103">
            <v>13.26833277075165</v>
          </cell>
          <cell r="N103">
            <v>13.782999999999999</v>
          </cell>
          <cell r="O103">
            <v>14.264167656024593</v>
          </cell>
          <cell r="P103">
            <v>14.712336451248568</v>
          </cell>
          <cell r="Q103">
            <v>15.128361363122824</v>
          </cell>
          <cell r="R103">
            <v>15.543316660470589</v>
          </cell>
          <cell r="S103">
            <v>15.961127010393312</v>
          </cell>
          <cell r="T103">
            <v>16.38158743868572</v>
          </cell>
          <cell r="U103">
            <v>16.813123962772913</v>
          </cell>
          <cell r="V103">
            <v>17.256028357789482</v>
          </cell>
          <cell r="W103">
            <v>17.710600085037665</v>
          </cell>
        </row>
        <row r="105">
          <cell r="A105" t="str">
            <v>Bombay Penetration</v>
          </cell>
          <cell r="I105">
            <v>0.11819936908944405</v>
          </cell>
          <cell r="J105">
            <v>0.13192038652238819</v>
          </cell>
          <cell r="K105">
            <v>0.14597256394039201</v>
          </cell>
          <cell r="L105">
            <v>0.15501674179541222</v>
          </cell>
          <cell r="M105">
            <v>0.16695588858749713</v>
          </cell>
          <cell r="N105">
            <v>0.17397175483432553</v>
          </cell>
          <cell r="O105">
            <v>0.17617457895786362</v>
          </cell>
          <cell r="P105">
            <v>0.17548126879180667</v>
          </cell>
          <cell r="Q105">
            <v>0.17052162481274435</v>
          </cell>
          <cell r="R105">
            <v>0.1628500163203945</v>
          </cell>
          <cell r="S105">
            <v>0.16049033184129419</v>
          </cell>
          <cell r="T105">
            <v>0.1580159844544991</v>
          </cell>
          <cell r="U105">
            <v>0.15411627702243269</v>
          </cell>
          <cell r="V105">
            <v>0.15111132251006132</v>
          </cell>
          <cell r="W105">
            <v>0.14896490062468112</v>
          </cell>
        </row>
        <row r="106">
          <cell r="B106" t="str">
            <v>Population (mn)</v>
          </cell>
          <cell r="I106">
            <v>12.189447465745156</v>
          </cell>
          <cell r="J106">
            <v>12.448068439530459</v>
          </cell>
          <cell r="K106">
            <v>12.712176520772406</v>
          </cell>
          <cell r="L106">
            <v>12.981888128289626</v>
          </cell>
          <cell r="M106">
            <v>13.257322150934629</v>
          </cell>
          <cell r="N106">
            <v>13.538600000000001</v>
          </cell>
          <cell r="O106">
            <v>13.797121096462849</v>
          </cell>
          <cell r="P106">
            <v>14.034232923867414</v>
          </cell>
          <cell r="Q106">
            <v>14.251300987007582</v>
          </cell>
          <cell r="R106">
            <v>14.465113686973524</v>
          </cell>
          <cell r="S106">
            <v>14.677793814579756</v>
          </cell>
          <cell r="T106">
            <v>14.889284828507183</v>
          </cell>
          <cell r="U106">
            <v>15.103823197475638</v>
          </cell>
          <cell r="V106">
            <v>15.321452830550447</v>
          </cell>
          <cell r="W106">
            <v>15.542218269478717</v>
          </cell>
        </row>
        <row r="108">
          <cell r="A108" t="str">
            <v>Revenue Est. - MTNL (Rs MN)</v>
          </cell>
          <cell r="M108">
            <v>53493.47</v>
          </cell>
          <cell r="N108">
            <v>53488.98</v>
          </cell>
        </row>
        <row r="109">
          <cell r="A109" t="str">
            <v>Total Fixed line Revenues (less ISP/Cellular)</v>
          </cell>
          <cell r="I109">
            <v>34481.173000000003</v>
          </cell>
          <cell r="J109">
            <v>40308.745999999999</v>
          </cell>
          <cell r="K109">
            <v>46545.89</v>
          </cell>
          <cell r="L109">
            <v>50374.87</v>
          </cell>
          <cell r="M109">
            <v>49485</v>
          </cell>
          <cell r="N109">
            <v>54103.010000000009</v>
          </cell>
          <cell r="O109">
            <v>54967.13</v>
          </cell>
          <cell r="P109">
            <v>48991.07</v>
          </cell>
          <cell r="Q109">
            <v>47318.26</v>
          </cell>
          <cell r="R109">
            <v>43588.68</v>
          </cell>
          <cell r="S109">
            <v>39139</v>
          </cell>
          <cell r="T109">
            <v>38288.00005594721</v>
          </cell>
          <cell r="U109">
            <v>37709.390503787348</v>
          </cell>
          <cell r="V109">
            <v>37320.823247326749</v>
          </cell>
          <cell r="W109">
            <v>37033.891120920351</v>
          </cell>
        </row>
        <row r="110">
          <cell r="B110" t="str">
            <v>Call Revenue</v>
          </cell>
          <cell r="I110">
            <v>24274</v>
          </cell>
          <cell r="J110">
            <v>27809</v>
          </cell>
          <cell r="K110">
            <v>30276</v>
          </cell>
          <cell r="L110">
            <v>31779.360328420647</v>
          </cell>
          <cell r="M110">
            <v>26505.375157951428</v>
          </cell>
          <cell r="N110">
            <v>28142.419188053154</v>
          </cell>
          <cell r="O110">
            <v>30113.01</v>
          </cell>
          <cell r="P110">
            <v>24432.79</v>
          </cell>
          <cell r="Q110">
            <v>22666.18</v>
          </cell>
          <cell r="R110">
            <v>19395.97</v>
          </cell>
          <cell r="S110">
            <v>17052</v>
          </cell>
          <cell r="T110">
            <v>17844.928465889974</v>
          </cell>
          <cell r="U110">
            <v>17507.41052207617</v>
          </cell>
          <cell r="V110">
            <v>17279.843759334293</v>
          </cell>
          <cell r="W110">
            <v>17107.045321740949</v>
          </cell>
          <cell r="X110">
            <v>28889.511690856674</v>
          </cell>
        </row>
        <row r="111">
          <cell r="B111" t="str">
            <v>Rental Revenue</v>
          </cell>
          <cell r="I111">
            <v>5549</v>
          </cell>
          <cell r="J111">
            <v>6481</v>
          </cell>
          <cell r="K111">
            <v>7328</v>
          </cell>
          <cell r="L111">
            <v>8060.6478207379369</v>
          </cell>
          <cell r="M111">
            <v>11297.734979999999</v>
          </cell>
          <cell r="N111">
            <v>12399.618347999998</v>
          </cell>
          <cell r="O111">
            <v>13138.67</v>
          </cell>
          <cell r="P111">
            <v>12783.04</v>
          </cell>
          <cell r="Q111">
            <v>12172.97</v>
          </cell>
          <cell r="R111">
            <v>11307.83</v>
          </cell>
          <cell r="S111">
            <v>11538</v>
          </cell>
          <cell r="T111">
            <v>11265.158648548328</v>
          </cell>
          <cell r="U111">
            <v>11163.727363739999</v>
          </cell>
          <cell r="V111">
            <v>11129.916935470555</v>
          </cell>
          <cell r="W111">
            <v>11129.916935470555</v>
          </cell>
          <cell r="X111">
            <v>20601.596701619041</v>
          </cell>
        </row>
        <row r="112">
          <cell r="B112" t="str">
            <v>Public Phone Rev</v>
          </cell>
          <cell r="I112">
            <v>3063</v>
          </cell>
          <cell r="J112">
            <v>3865</v>
          </cell>
          <cell r="K112">
            <v>6270</v>
          </cell>
          <cell r="L112">
            <v>8398.7163430205255</v>
          </cell>
          <cell r="M112">
            <v>10346.052424718109</v>
          </cell>
          <cell r="N112">
            <v>12683.148506731044</v>
          </cell>
          <cell r="O112">
            <v>10373.1</v>
          </cell>
          <cell r="P112">
            <v>10270.58</v>
          </cell>
          <cell r="Q112">
            <v>10572.69</v>
          </cell>
          <cell r="R112">
            <v>10197.530000000001</v>
          </cell>
          <cell r="S112">
            <v>8877</v>
          </cell>
          <cell r="T112">
            <v>8459.6129415089017</v>
          </cell>
          <cell r="U112">
            <v>8248.1226179711794</v>
          </cell>
          <cell r="V112">
            <v>8041.9195525218993</v>
          </cell>
          <cell r="W112">
            <v>7840.8715637088517</v>
          </cell>
          <cell r="X112">
            <v>34859.041523458589</v>
          </cell>
        </row>
        <row r="113">
          <cell r="B113" t="str">
            <v>Connection Fees/ Rent and junction charges</v>
          </cell>
          <cell r="I113">
            <v>237</v>
          </cell>
          <cell r="J113">
            <v>282</v>
          </cell>
          <cell r="K113">
            <v>314</v>
          </cell>
          <cell r="L113">
            <v>196.69195230432018</v>
          </cell>
          <cell r="M113">
            <v>312.59749823232033</v>
          </cell>
          <cell r="N113">
            <v>263.79395721580914</v>
          </cell>
          <cell r="O113">
            <v>290.45999999999998</v>
          </cell>
          <cell r="P113">
            <v>329.18</v>
          </cell>
          <cell r="Q113">
            <v>792.59</v>
          </cell>
          <cell r="R113">
            <v>1091.5999999999999</v>
          </cell>
          <cell r="S113">
            <v>1018</v>
          </cell>
          <cell r="T113">
            <v>0</v>
          </cell>
          <cell r="U113">
            <v>0</v>
          </cell>
          <cell r="V113">
            <v>0</v>
          </cell>
          <cell r="W113">
            <v>0</v>
          </cell>
          <cell r="X113">
            <v>465.83271813111685</v>
          </cell>
        </row>
        <row r="114">
          <cell r="B114" t="str">
            <v>Miscleanous</v>
          </cell>
          <cell r="I114">
            <v>123.21199999999953</v>
          </cell>
          <cell r="J114">
            <v>82.243000000002212</v>
          </cell>
          <cell r="K114">
            <v>1.2889999999970314</v>
          </cell>
          <cell r="L114">
            <v>-881.22644448342544</v>
          </cell>
          <cell r="M114">
            <v>597.76993909814337</v>
          </cell>
          <cell r="Q114">
            <v>0</v>
          </cell>
          <cell r="R114">
            <v>0</v>
          </cell>
          <cell r="S114">
            <v>0</v>
          </cell>
          <cell r="T114">
            <v>0</v>
          </cell>
          <cell r="U114">
            <v>0</v>
          </cell>
          <cell r="V114">
            <v>0</v>
          </cell>
          <cell r="W114">
            <v>0</v>
          </cell>
          <cell r="X114">
            <v>0</v>
          </cell>
        </row>
        <row r="115">
          <cell r="A115" t="str">
            <v>Telephone Revenues</v>
          </cell>
          <cell r="I115">
            <v>33246.212</v>
          </cell>
          <cell r="J115">
            <v>38519.243000000002</v>
          </cell>
          <cell r="K115">
            <v>44189.288999999997</v>
          </cell>
          <cell r="L115">
            <v>47554.19</v>
          </cell>
          <cell r="M115">
            <v>49059.53</v>
          </cell>
          <cell r="N115">
            <v>53488.98000000001</v>
          </cell>
          <cell r="O115">
            <v>53915.24</v>
          </cell>
          <cell r="P115">
            <v>47815.590000000004</v>
          </cell>
          <cell r="Q115">
            <v>46204.43</v>
          </cell>
          <cell r="R115">
            <v>41992.93</v>
          </cell>
          <cell r="S115">
            <v>38485</v>
          </cell>
          <cell r="T115">
            <v>37569.700055947207</v>
          </cell>
          <cell r="U115">
            <v>36919.260503787351</v>
          </cell>
          <cell r="V115">
            <v>36451.680247326745</v>
          </cell>
          <cell r="W115">
            <v>36077.83382092035</v>
          </cell>
          <cell r="X115">
            <v>84815.982634065425</v>
          </cell>
        </row>
        <row r="116">
          <cell r="B116" t="str">
            <v>Telegraph &amp; Telex</v>
          </cell>
          <cell r="I116">
            <v>0</v>
          </cell>
          <cell r="J116">
            <v>0</v>
          </cell>
          <cell r="K116">
            <v>0</v>
          </cell>
          <cell r="L116">
            <v>0</v>
          </cell>
          <cell r="M116">
            <v>0</v>
          </cell>
          <cell r="N116">
            <v>131.31</v>
          </cell>
          <cell r="O116">
            <v>96.71</v>
          </cell>
          <cell r="P116">
            <v>75.599999999999994</v>
          </cell>
          <cell r="Q116">
            <v>60.86</v>
          </cell>
          <cell r="R116">
            <v>13.47</v>
          </cell>
          <cell r="S116">
            <v>1</v>
          </cell>
          <cell r="T116">
            <v>0</v>
          </cell>
          <cell r="U116">
            <v>0</v>
          </cell>
          <cell r="V116">
            <v>0</v>
          </cell>
          <cell r="W116">
            <v>0</v>
          </cell>
        </row>
        <row r="117">
          <cell r="A117" t="str">
            <v>Leased Line Revenue RS mn</v>
          </cell>
          <cell r="I117">
            <v>0</v>
          </cell>
          <cell r="J117">
            <v>0</v>
          </cell>
          <cell r="K117">
            <v>0</v>
          </cell>
          <cell r="L117">
            <v>0</v>
          </cell>
          <cell r="M117">
            <v>425.47</v>
          </cell>
          <cell r="N117">
            <v>482.72</v>
          </cell>
          <cell r="O117">
            <v>955.18</v>
          </cell>
          <cell r="P117">
            <v>1099.8800000000001</v>
          </cell>
          <cell r="Q117">
            <v>1052.97</v>
          </cell>
          <cell r="R117">
            <v>1582.28</v>
          </cell>
          <cell r="S117">
            <v>653</v>
          </cell>
          <cell r="T117">
            <v>718.30000000000007</v>
          </cell>
          <cell r="U117">
            <v>790.13000000000011</v>
          </cell>
          <cell r="V117">
            <v>869.14300000000014</v>
          </cell>
          <cell r="W117">
            <v>956.05730000000028</v>
          </cell>
          <cell r="X117">
            <v>1051.6630300000004</v>
          </cell>
          <cell r="Y117">
            <v>1156.8293330000006</v>
          </cell>
          <cell r="Z117">
            <v>1272.5122663000006</v>
          </cell>
          <cell r="AA117">
            <v>1399.7634929300009</v>
          </cell>
          <cell r="AB117">
            <v>1539.739842223001</v>
          </cell>
        </row>
        <row r="118">
          <cell r="M118">
            <v>0</v>
          </cell>
        </row>
        <row r="119">
          <cell r="B119" t="str">
            <v>Other Income Rs mn</v>
          </cell>
          <cell r="I119">
            <v>704.86099999999999</v>
          </cell>
          <cell r="J119">
            <v>653.05100000000004</v>
          </cell>
          <cell r="K119">
            <v>1247.395</v>
          </cell>
          <cell r="L119">
            <v>2268.3310000000001</v>
          </cell>
          <cell r="M119">
            <v>1747</v>
          </cell>
          <cell r="N119">
            <v>3898.8683988024468</v>
          </cell>
          <cell r="O119">
            <v>2818.5079680000003</v>
          </cell>
          <cell r="P119">
            <v>3355.7109299999993</v>
          </cell>
          <cell r="Q119">
            <v>2479.5058749999998</v>
          </cell>
          <cell r="R119">
            <v>5877.2798999999995</v>
          </cell>
          <cell r="S119">
            <v>5107.3769659428917</v>
          </cell>
          <cell r="T119">
            <v>4330.198854361508</v>
          </cell>
          <cell r="U119">
            <v>3941.8842658645472</v>
          </cell>
          <cell r="V119">
            <v>4154.9673647523996</v>
          </cell>
          <cell r="W119">
            <v>4377.7623223240571</v>
          </cell>
          <cell r="X119">
            <v>4601.2402265118362</v>
          </cell>
          <cell r="Y119">
            <v>4846.4195335839431</v>
          </cell>
          <cell r="Z119">
            <v>5135.7407499881019</v>
          </cell>
          <cell r="AA119">
            <v>5450.5940162389043</v>
          </cell>
          <cell r="AB119">
            <v>5807.4913265839832</v>
          </cell>
        </row>
        <row r="120">
          <cell r="L120">
            <v>0.10177433362608568</v>
          </cell>
          <cell r="M120">
            <v>1.4735694331801388</v>
          </cell>
          <cell r="Q120">
            <v>1.8967108560860035E-2</v>
          </cell>
          <cell r="R120">
            <v>1.0985019388373014</v>
          </cell>
          <cell r="S120">
            <v>378.52000000000044</v>
          </cell>
          <cell r="T120">
            <v>75.704000000000093</v>
          </cell>
        </row>
        <row r="121">
          <cell r="B121" t="str">
            <v>Average Lines in Service</v>
          </cell>
          <cell r="I121">
            <v>2607.7950000000001</v>
          </cell>
          <cell r="J121">
            <v>2809.9745000000003</v>
          </cell>
          <cell r="K121">
            <v>3209.4465</v>
          </cell>
          <cell r="L121">
            <v>3530.3244999999997</v>
          </cell>
          <cell r="M121">
            <v>3842.7669999999998</v>
          </cell>
          <cell r="N121">
            <v>4183.4069999999992</v>
          </cell>
          <cell r="O121">
            <v>4415.8474999999999</v>
          </cell>
          <cell r="P121">
            <v>4565.0850000000009</v>
          </cell>
          <cell r="Q121">
            <v>4500.4495000000006</v>
          </cell>
          <cell r="R121">
            <v>4221.2870000000003</v>
          </cell>
          <cell r="S121">
            <v>4132.5820000000003</v>
          </cell>
          <cell r="T121">
            <v>4164.8240000000005</v>
          </cell>
          <cell r="U121">
            <v>4127.3240000000005</v>
          </cell>
          <cell r="V121">
            <v>4114.8240000000005</v>
          </cell>
          <cell r="W121">
            <v>4114.8240000000005</v>
          </cell>
        </row>
        <row r="122">
          <cell r="B122" t="str">
            <v>YoY%</v>
          </cell>
          <cell r="J122">
            <v>7.7528908522334072E-2</v>
          </cell>
          <cell r="K122">
            <v>0.14216214417604145</v>
          </cell>
          <cell r="L122">
            <v>9.9979233179303462E-2</v>
          </cell>
          <cell r="M122">
            <v>8.8502487519206863E-2</v>
          </cell>
          <cell r="N122">
            <v>8.8644458537298521E-2</v>
          </cell>
          <cell r="O122">
            <v>5.5562487704399866E-2</v>
          </cell>
          <cell r="P122">
            <v>3.3795890822769792E-2</v>
          </cell>
          <cell r="Q122">
            <v>-1.4158662982178938E-2</v>
          </cell>
          <cell r="R122">
            <v>-6.2029915011822756E-2</v>
          </cell>
          <cell r="S122">
            <v>-2.1013733489336328E-2</v>
          </cell>
          <cell r="T122">
            <v>7.801902055422083E-3</v>
          </cell>
          <cell r="U122">
            <v>-9.0039819209647431E-3</v>
          </cell>
          <cell r="V122">
            <v>-3.0285967372564171E-3</v>
          </cell>
          <cell r="W122">
            <v>0</v>
          </cell>
        </row>
        <row r="123">
          <cell r="B123" t="str">
            <v>Delhi</v>
          </cell>
          <cell r="I123">
            <v>1167.01</v>
          </cell>
          <cell r="J123">
            <v>1268.5050000000001</v>
          </cell>
          <cell r="K123">
            <v>1460.5549999999998</v>
          </cell>
          <cell r="L123">
            <v>1596.3049999999998</v>
          </cell>
          <cell r="M123">
            <v>1729.8679999999999</v>
          </cell>
          <cell r="N123">
            <v>1899.046</v>
          </cell>
          <cell r="O123">
            <v>2022.8294999999998</v>
          </cell>
          <cell r="P123">
            <v>2118.3615</v>
          </cell>
          <cell r="Q123">
            <v>2053.9994999999999</v>
          </cell>
          <cell r="R123">
            <v>1828.3875</v>
          </cell>
          <cell r="S123">
            <v>1719.6960000000001</v>
          </cell>
          <cell r="T123">
            <v>1778.3875</v>
          </cell>
          <cell r="U123">
            <v>1824.579</v>
          </cell>
          <cell r="V123">
            <v>1805.829</v>
          </cell>
          <cell r="W123">
            <v>1799.579</v>
          </cell>
        </row>
        <row r="124">
          <cell r="B124" t="str">
            <v>Bombay</v>
          </cell>
          <cell r="I124">
            <v>1440.7850000000001</v>
          </cell>
          <cell r="J124">
            <v>1541.4695000000002</v>
          </cell>
          <cell r="K124">
            <v>1748.8915</v>
          </cell>
          <cell r="L124">
            <v>1934.0194999999999</v>
          </cell>
          <cell r="M124">
            <v>2112.8989999999999</v>
          </cell>
          <cell r="N124">
            <v>2284.3609999999999</v>
          </cell>
          <cell r="O124">
            <v>2393.018</v>
          </cell>
          <cell r="P124">
            <v>2446.7235000000001</v>
          </cell>
          <cell r="Q124">
            <v>2446.4500000000003</v>
          </cell>
          <cell r="R124">
            <v>2392.8995000000004</v>
          </cell>
          <cell r="S124">
            <v>2355.6440000000002</v>
          </cell>
          <cell r="T124">
            <v>2354.1945000000005</v>
          </cell>
          <cell r="U124">
            <v>2340.2450000000003</v>
          </cell>
          <cell r="V124">
            <v>2321.4950000000003</v>
          </cell>
          <cell r="W124">
            <v>2315.2450000000003</v>
          </cell>
        </row>
        <row r="125">
          <cell r="Q125">
            <v>876.17655377164726</v>
          </cell>
          <cell r="R125">
            <v>860.49349404577322</v>
          </cell>
          <cell r="S125">
            <v>789.23620471011418</v>
          </cell>
        </row>
        <row r="126">
          <cell r="A126" t="str">
            <v>Average Rev/Line (Rs)</v>
          </cell>
          <cell r="I126">
            <v>13222.347998979982</v>
          </cell>
          <cell r="J126">
            <v>14344.879642146218</v>
          </cell>
          <cell r="K126">
            <v>14502.777971217156</v>
          </cell>
          <cell r="L126">
            <v>14269.189701966492</v>
          </cell>
          <cell r="M126">
            <v>12877.439615776861</v>
          </cell>
          <cell r="N126">
            <v>12932.76269796365</v>
          </cell>
          <cell r="O126">
            <v>12447.696619958004</v>
          </cell>
          <cell r="P126">
            <v>10731.688457060491</v>
          </cell>
          <cell r="Q126">
            <v>10514.118645259767</v>
          </cell>
          <cell r="R126">
            <v>10325.921928549278</v>
          </cell>
          <cell r="S126">
            <v>9470.8344565213702</v>
          </cell>
          <cell r="T126">
            <v>9193.1856078305354</v>
          </cell>
          <cell r="U126">
            <v>9136.5229634958014</v>
          </cell>
          <cell r="V126">
            <v>9069.8467898813506</v>
          </cell>
          <cell r="W126">
            <v>9000.1154656724921</v>
          </cell>
        </row>
        <row r="127">
          <cell r="B127" t="str">
            <v>% Chg.</v>
          </cell>
          <cell r="J127">
            <v>8.4896543583093703E-2</v>
          </cell>
          <cell r="K127">
            <v>1.1007295495670982E-2</v>
          </cell>
          <cell r="L127">
            <v>-1.6106450068687068E-2</v>
          </cell>
          <cell r="M127">
            <v>-9.7535327181040216E-2</v>
          </cell>
          <cell r="N127">
            <v>4.2961243723488186E-3</v>
          </cell>
          <cell r="O127">
            <v>-3.7506763971013157E-2</v>
          </cell>
          <cell r="P127">
            <v>-0.13785748603047995</v>
          </cell>
          <cell r="Q127">
            <v>-2.0273586274076241E-2</v>
          </cell>
          <cell r="R127">
            <v>-1.78994286692148E-2</v>
          </cell>
          <cell r="S127">
            <v>-8.2809794413005205E-2</v>
          </cell>
          <cell r="T127">
            <v>-2.9316197000957285E-2</v>
          </cell>
          <cell r="U127">
            <v>-6.1635483881093602E-3</v>
          </cell>
          <cell r="V127">
            <v>-7.2977623851928995E-3</v>
          </cell>
          <cell r="W127">
            <v>-7.6882582279838825E-3</v>
          </cell>
          <cell r="Y127">
            <v>3.6507936507936507</v>
          </cell>
        </row>
        <row r="128">
          <cell r="B128" t="str">
            <v>% Change in Tariffs</v>
          </cell>
          <cell r="I128">
            <v>0</v>
          </cell>
          <cell r="J128">
            <v>0</v>
          </cell>
          <cell r="K128">
            <v>0</v>
          </cell>
          <cell r="L128">
            <v>0</v>
          </cell>
          <cell r="M128">
            <v>0.04</v>
          </cell>
        </row>
        <row r="129">
          <cell r="B129" t="str">
            <v>% Change in Volume per Line</v>
          </cell>
          <cell r="I129">
            <v>0</v>
          </cell>
          <cell r="J129">
            <v>8.4896543583093703E-2</v>
          </cell>
          <cell r="K129">
            <v>1.1007295495670982E-2</v>
          </cell>
          <cell r="L129">
            <v>-1.6106450068687068E-2</v>
          </cell>
          <cell r="M129">
            <v>-1.6106450068687068E-2</v>
          </cell>
          <cell r="N129">
            <v>-1.6106450068687068E-2</v>
          </cell>
          <cell r="O129">
            <v>-1.6106450068687068E-2</v>
          </cell>
          <cell r="P129">
            <v>-1.6106450068687068E-2</v>
          </cell>
          <cell r="Q129">
            <v>-1.6106450068687068E-2</v>
          </cell>
          <cell r="R129">
            <v>-1.6106450068687068E-2</v>
          </cell>
          <cell r="S129">
            <v>-1.6106450068687068E-2</v>
          </cell>
          <cell r="T129">
            <v>-1.6106450068687068E-2</v>
          </cell>
          <cell r="W129">
            <v>0</v>
          </cell>
        </row>
        <row r="130">
          <cell r="K130">
            <v>-1.1095829523890544E-2</v>
          </cell>
          <cell r="L130">
            <v>0.96708049763675197</v>
          </cell>
          <cell r="M130">
            <v>0</v>
          </cell>
          <cell r="P130">
            <v>0.66615719093302161</v>
          </cell>
          <cell r="Q130">
            <v>-8.5311125117366271E-2</v>
          </cell>
          <cell r="R130">
            <v>0.64027564829093331</v>
          </cell>
        </row>
        <row r="131">
          <cell r="A131" t="str">
            <v>Overa call Revenue</v>
          </cell>
          <cell r="I131">
            <v>24274</v>
          </cell>
          <cell r="J131">
            <v>27809</v>
          </cell>
          <cell r="K131">
            <v>30276</v>
          </cell>
          <cell r="L131">
            <v>31779.360328420647</v>
          </cell>
          <cell r="M131">
            <v>26505.375157951428</v>
          </cell>
          <cell r="N131">
            <v>28142.419188053154</v>
          </cell>
          <cell r="O131">
            <v>30113.01</v>
          </cell>
          <cell r="P131">
            <v>24432.79</v>
          </cell>
          <cell r="Q131">
            <v>22666.18</v>
          </cell>
          <cell r="R131">
            <v>19395.97</v>
          </cell>
          <cell r="S131">
            <v>17052</v>
          </cell>
          <cell r="T131">
            <v>17844.928465889974</v>
          </cell>
          <cell r="U131">
            <v>17507.41052207617</v>
          </cell>
          <cell r="V131">
            <v>17279.843759334293</v>
          </cell>
          <cell r="W131">
            <v>17107.045321740949</v>
          </cell>
        </row>
        <row r="132">
          <cell r="B132" t="str">
            <v>ARPU including internet</v>
          </cell>
          <cell r="I132">
            <v>775.68725046766838</v>
          </cell>
          <cell r="J132">
            <v>824.7109241264169</v>
          </cell>
          <cell r="K132">
            <v>786.11685846765158</v>
          </cell>
          <cell r="L132">
            <v>750.15201219275662</v>
          </cell>
          <cell r="M132">
            <v>574.78927636326091</v>
          </cell>
          <cell r="N132">
            <v>560.59608806994629</v>
          </cell>
          <cell r="O132">
            <v>568.27539900324905</v>
          </cell>
          <cell r="P132">
            <v>446.00830725678338</v>
          </cell>
          <cell r="Q132">
            <v>419.70215049259713</v>
          </cell>
          <cell r="R132">
            <v>382.90000972057413</v>
          </cell>
          <cell r="S132">
            <v>343.85282615081798</v>
          </cell>
          <cell r="T132">
            <v>335.2565054970475</v>
          </cell>
          <cell r="U132">
            <v>326.8750928596213</v>
          </cell>
          <cell r="V132">
            <v>318.70321553813079</v>
          </cell>
          <cell r="W132">
            <v>310.73563514967753</v>
          </cell>
        </row>
        <row r="133">
          <cell r="A133" t="str">
            <v>Call Revenues</v>
          </cell>
          <cell r="I133">
            <v>24274</v>
          </cell>
          <cell r="J133">
            <v>27809</v>
          </cell>
          <cell r="K133">
            <v>30276</v>
          </cell>
          <cell r="L133">
            <v>31779.360328420647</v>
          </cell>
          <cell r="M133">
            <v>26505.375157951428</v>
          </cell>
          <cell r="N133">
            <v>26988.816097160867</v>
          </cell>
          <cell r="O133">
            <v>27063.962766729892</v>
          </cell>
          <cell r="P133">
            <v>21683.425460660001</v>
          </cell>
          <cell r="Q133">
            <v>20649.61896425637</v>
          </cell>
          <cell r="R133">
            <v>18642.397672819134</v>
          </cell>
          <cell r="S133">
            <v>17885.638270589883</v>
          </cell>
          <cell r="T133">
            <v>17844.928465889974</v>
          </cell>
          <cell r="U133">
            <v>17507.41052207617</v>
          </cell>
          <cell r="V133">
            <v>17279.843759334293</v>
          </cell>
          <cell r="W133">
            <v>17107.045321740949</v>
          </cell>
        </row>
        <row r="134">
          <cell r="B134" t="str">
            <v>ARPU per line</v>
          </cell>
          <cell r="I134">
            <v>775.68725046766838</v>
          </cell>
          <cell r="J134">
            <v>824.7109241264169</v>
          </cell>
          <cell r="K134">
            <v>786.11685846765158</v>
          </cell>
          <cell r="L134">
            <v>750.15201219275662</v>
          </cell>
          <cell r="M134">
            <v>574.78927636326091</v>
          </cell>
          <cell r="N134">
            <v>537.61635148020241</v>
          </cell>
          <cell r="O134">
            <v>510.7355339061923</v>
          </cell>
          <cell r="P134">
            <v>395.82003877729903</v>
          </cell>
          <cell r="Q134">
            <v>382.36215745887102</v>
          </cell>
          <cell r="R134">
            <v>368.0235765541633</v>
          </cell>
          <cell r="S134">
            <v>360.66310502308005</v>
          </cell>
          <cell r="T134">
            <v>357.05647397284912</v>
          </cell>
          <cell r="U134">
            <v>353.48590923312071</v>
          </cell>
          <cell r="V134">
            <v>349.95105014078962</v>
          </cell>
          <cell r="W134">
            <v>346.45153963938156</v>
          </cell>
        </row>
        <row r="135">
          <cell r="B135" t="str">
            <v>Est. Ave Pulses per Line/Mth</v>
          </cell>
          <cell r="I135">
            <v>733.63409852448797</v>
          </cell>
          <cell r="J135">
            <v>780</v>
          </cell>
          <cell r="K135">
            <v>743.49827517354129</v>
          </cell>
          <cell r="L135">
            <v>709.48322908435182</v>
          </cell>
          <cell r="M135">
            <v>522.71886386018707</v>
          </cell>
          <cell r="N135">
            <v>488.74213770927491</v>
          </cell>
          <cell r="O135">
            <v>464.30503082381114</v>
          </cell>
          <cell r="P135">
            <v>359.83639888845363</v>
          </cell>
          <cell r="Q135">
            <v>331.04948697737734</v>
          </cell>
          <cell r="R135">
            <v>318.63513121572572</v>
          </cell>
          <cell r="S135">
            <v>312.26242859141121</v>
          </cell>
          <cell r="T135">
            <v>309.13980430549708</v>
          </cell>
          <cell r="U135">
            <v>306.04840626244209</v>
          </cell>
          <cell r="V135">
            <v>302.98792219981766</v>
          </cell>
          <cell r="W135">
            <v>299.9580429778195</v>
          </cell>
        </row>
        <row r="136">
          <cell r="B136" t="str">
            <v>% change</v>
          </cell>
          <cell r="J136">
            <v>6.3200308667174618E-2</v>
          </cell>
          <cell r="K136">
            <v>-4.6797083110844503E-2</v>
          </cell>
          <cell r="L136">
            <v>-4.5749999999999999E-2</v>
          </cell>
          <cell r="M136">
            <v>-0.26323999999999997</v>
          </cell>
          <cell r="N136">
            <v>-6.5000000000000002E-2</v>
          </cell>
          <cell r="O136">
            <v>-0.05</v>
          </cell>
          <cell r="P136">
            <v>-0.22500000000000001</v>
          </cell>
          <cell r="Q136">
            <v>-0.08</v>
          </cell>
          <cell r="R136">
            <v>-3.7500000000000006E-2</v>
          </cell>
          <cell r="S136">
            <v>-0.02</v>
          </cell>
          <cell r="T136">
            <v>-0.01</v>
          </cell>
          <cell r="U136">
            <v>-0.01</v>
          </cell>
          <cell r="V136">
            <v>-0.01</v>
          </cell>
          <cell r="W136">
            <v>-0.01</v>
          </cell>
        </row>
        <row r="137">
          <cell r="B137" t="str">
            <v>Ave Tariff per Pulse (Rs)</v>
          </cell>
          <cell r="I137">
            <v>1.0573216975979705</v>
          </cell>
          <cell r="J137">
            <v>1.0573216975979705</v>
          </cell>
          <cell r="K137">
            <v>1.0573216975979705</v>
          </cell>
          <cell r="L137">
            <v>1.0573216975979705</v>
          </cell>
          <cell r="M137">
            <v>1.0996145655018894</v>
          </cell>
          <cell r="N137">
            <v>1.1000000000000001</v>
          </cell>
          <cell r="O137">
            <v>1.1000000000000001</v>
          </cell>
          <cell r="P137">
            <v>1.1000000000000001</v>
          </cell>
          <cell r="Q137">
            <v>1.1550000000000002</v>
          </cell>
          <cell r="R137">
            <v>1.1550000000000002</v>
          </cell>
          <cell r="S137">
            <v>1.1550000000000002</v>
          </cell>
          <cell r="T137">
            <v>1.1550000000000002</v>
          </cell>
          <cell r="U137">
            <v>1.1550000000000002</v>
          </cell>
          <cell r="V137">
            <v>1.1550000000000002</v>
          </cell>
          <cell r="W137">
            <v>1.1550000000000002</v>
          </cell>
          <cell r="AB137" t="str">
            <v>DEL usage</v>
          </cell>
        </row>
        <row r="138">
          <cell r="B138" t="str">
            <v>% change</v>
          </cell>
          <cell r="J138">
            <v>0</v>
          </cell>
          <cell r="K138">
            <v>0</v>
          </cell>
          <cell r="L138">
            <v>0</v>
          </cell>
          <cell r="M138">
            <v>4.0000000000000126E-2</v>
          </cell>
          <cell r="Q138">
            <v>0.05</v>
          </cell>
          <cell r="Y138" t="str">
            <v>Monthly rental pre tariff balancing</v>
          </cell>
          <cell r="Z138">
            <v>250</v>
          </cell>
        </row>
        <row r="139">
          <cell r="B139" t="str">
            <v>Fall in Domestic Long distance tariffs</v>
          </cell>
          <cell r="P139">
            <v>-0.32894112229266981</v>
          </cell>
          <cell r="Q139">
            <v>-0.3</v>
          </cell>
          <cell r="R139">
            <v>-1.4000000000000002E-2</v>
          </cell>
        </row>
        <row r="140">
          <cell r="B140" t="str">
            <v>Fall in International Long Distance Tariffs</v>
          </cell>
          <cell r="P140">
            <v>-0.32040038647257474</v>
          </cell>
          <cell r="Q140">
            <v>-1.6E-2</v>
          </cell>
          <cell r="R140">
            <v>-3.5000000000000018E-3</v>
          </cell>
        </row>
        <row r="141">
          <cell r="B141" t="str">
            <v>Loss of high-end mkt share</v>
          </cell>
          <cell r="P141">
            <v>-0.05</v>
          </cell>
          <cell r="Q141">
            <v>-0.05</v>
          </cell>
          <cell r="R141">
            <v>-0.02</v>
          </cell>
        </row>
        <row r="142">
          <cell r="B142" t="str">
            <v>Incr due pulse size</v>
          </cell>
          <cell r="Q142">
            <v>7.1999999999999995E-2</v>
          </cell>
        </row>
        <row r="145">
          <cell r="N145">
            <v>0.21435634152994973</v>
          </cell>
          <cell r="Y145" t="str">
            <v>Commercial</v>
          </cell>
          <cell r="Z145">
            <v>0.2</v>
          </cell>
          <cell r="AA145">
            <v>364</v>
          </cell>
          <cell r="AB145">
            <v>0.8</v>
          </cell>
        </row>
        <row r="146">
          <cell r="A146" t="str">
            <v>Monthly Rental Revenue</v>
          </cell>
          <cell r="I146">
            <v>5549</v>
          </cell>
          <cell r="J146">
            <v>6481</v>
          </cell>
          <cell r="K146">
            <v>7328</v>
          </cell>
          <cell r="L146">
            <v>8060.6478207379369</v>
          </cell>
          <cell r="M146">
            <v>11297.734979999999</v>
          </cell>
          <cell r="N146">
            <v>12399.618347999998</v>
          </cell>
          <cell r="O146">
            <v>13139</v>
          </cell>
          <cell r="P146">
            <v>12783</v>
          </cell>
          <cell r="Q146">
            <v>12172.97</v>
          </cell>
          <cell r="R146">
            <v>11417.881705458531</v>
          </cell>
          <cell r="S146">
            <v>11177.949382287257</v>
          </cell>
          <cell r="T146">
            <v>11265.158648548328</v>
          </cell>
          <cell r="U146">
            <v>11163.727363739999</v>
          </cell>
          <cell r="V146">
            <v>11129.916935470555</v>
          </cell>
          <cell r="W146">
            <v>11129.916935470555</v>
          </cell>
          <cell r="Y146" t="str">
            <v>Rural</v>
          </cell>
          <cell r="Z146">
            <v>0.8</v>
          </cell>
          <cell r="AA146">
            <v>250</v>
          </cell>
          <cell r="AB146">
            <v>0.2</v>
          </cell>
        </row>
        <row r="147">
          <cell r="B147" t="str">
            <v>Ave. Chg per Line/Mth (Rs)</v>
          </cell>
          <cell r="I147">
            <v>177.32094227754354</v>
          </cell>
          <cell r="J147">
            <v>192.20221867968314</v>
          </cell>
          <cell r="K147">
            <v>190.27164548985834</v>
          </cell>
          <cell r="L147">
            <v>190.27164548985834</v>
          </cell>
          <cell r="M147">
            <v>245</v>
          </cell>
          <cell r="N147">
            <v>247</v>
          </cell>
          <cell r="O147">
            <v>247.95164839063546</v>
          </cell>
          <cell r="P147">
            <v>233.34724326053069</v>
          </cell>
          <cell r="Q147">
            <v>225.40285512961901</v>
          </cell>
          <cell r="R147">
            <v>225.40285512961901</v>
          </cell>
          <cell r="S147">
            <v>225.40285512961901</v>
          </cell>
          <cell r="T147">
            <v>225.40285512961901</v>
          </cell>
          <cell r="U147">
            <v>225.40285512961901</v>
          </cell>
          <cell r="V147">
            <v>225.40285512961901</v>
          </cell>
          <cell r="W147">
            <v>225.40285512961901</v>
          </cell>
          <cell r="Y147" t="str">
            <v>Monthly rental post tariff balancing</v>
          </cell>
          <cell r="Z147">
            <v>272.8</v>
          </cell>
          <cell r="AA147">
            <v>1.456</v>
          </cell>
        </row>
        <row r="148">
          <cell r="B148" t="str">
            <v>% change</v>
          </cell>
          <cell r="J148">
            <v>8.3922836248227037E-2</v>
          </cell>
          <cell r="K148">
            <v>-1.0044489616648066E-2</v>
          </cell>
          <cell r="L148">
            <v>0</v>
          </cell>
          <cell r="M148">
            <v>0.2876327388100437</v>
          </cell>
          <cell r="N148">
            <v>8.1632653061224497E-3</v>
          </cell>
          <cell r="O148">
            <v>3.8528274924512352E-3</v>
          </cell>
          <cell r="P148">
            <v>-5.8900213912255403E-2</v>
          </cell>
          <cell r="Q148">
            <v>-3.4045348125419324E-2</v>
          </cell>
          <cell r="R148">
            <v>0</v>
          </cell>
          <cell r="S148">
            <v>0</v>
          </cell>
          <cell r="T148">
            <v>0</v>
          </cell>
          <cell r="U148">
            <v>0</v>
          </cell>
          <cell r="V148">
            <v>0</v>
          </cell>
          <cell r="W148">
            <v>0</v>
          </cell>
          <cell r="Z148">
            <v>9.1199999999999948E-2</v>
          </cell>
        </row>
        <row r="150">
          <cell r="A150" t="str">
            <v>Connection Revenues</v>
          </cell>
          <cell r="I150">
            <v>237</v>
          </cell>
          <cell r="J150">
            <v>282</v>
          </cell>
          <cell r="K150">
            <v>314</v>
          </cell>
          <cell r="L150">
            <v>196.69195230432018</v>
          </cell>
          <cell r="M150">
            <v>312.59749823232033</v>
          </cell>
          <cell r="N150">
            <v>263.79395721580914</v>
          </cell>
          <cell r="O150">
            <v>147.18913949085814</v>
          </cell>
          <cell r="P150">
            <v>131.40678480733013</v>
          </cell>
          <cell r="Q150">
            <v>0</v>
          </cell>
          <cell r="R150">
            <v>0</v>
          </cell>
          <cell r="S150">
            <v>0</v>
          </cell>
        </row>
        <row r="151">
          <cell r="B151" t="str">
            <v>Net Additions (000s)</v>
          </cell>
          <cell r="I151">
            <v>400.29500000000007</v>
          </cell>
          <cell r="J151">
            <v>404.35899999999992</v>
          </cell>
          <cell r="K151">
            <v>394.58499999999958</v>
          </cell>
          <cell r="L151">
            <v>247.17100000000028</v>
          </cell>
          <cell r="M151">
            <v>377.71399999999994</v>
          </cell>
          <cell r="N151">
            <v>303.5659999999998</v>
          </cell>
          <cell r="O151">
            <v>161.31500000000051</v>
          </cell>
          <cell r="P151">
            <v>137.16000000000076</v>
          </cell>
          <cell r="V151">
            <v>0</v>
          </cell>
          <cell r="W151">
            <v>0</v>
          </cell>
        </row>
        <row r="152">
          <cell r="B152" t="str">
            <v>Chg per Connection (Rs)</v>
          </cell>
          <cell r="I152">
            <v>592.06335327695808</v>
          </cell>
          <cell r="J152">
            <v>697.40008259986803</v>
          </cell>
          <cell r="K152">
            <v>795.7727739270382</v>
          </cell>
          <cell r="L152">
            <v>795.7727739270382</v>
          </cell>
          <cell r="M152">
            <v>827.60368488411973</v>
          </cell>
          <cell r="N152">
            <v>868.98386912832575</v>
          </cell>
          <cell r="O152">
            <v>912.43306258474206</v>
          </cell>
          <cell r="P152">
            <v>958.05471571397925</v>
          </cell>
          <cell r="Q152">
            <v>910.1519799282803</v>
          </cell>
          <cell r="R152">
            <v>864.64438093186629</v>
          </cell>
          <cell r="S152">
            <v>821.41216188527289</v>
          </cell>
          <cell r="T152">
            <v>780.34155379100923</v>
          </cell>
          <cell r="U152">
            <v>741.32447610145869</v>
          </cell>
          <cell r="V152">
            <v>704.25825229638576</v>
          </cell>
          <cell r="W152">
            <v>669.04533968156647</v>
          </cell>
        </row>
        <row r="153">
          <cell r="B153" t="str">
            <v>% change</v>
          </cell>
          <cell r="J153">
            <v>0.17791462474394198</v>
          </cell>
          <cell r="K153">
            <v>0.14105632302256454</v>
          </cell>
          <cell r="L153">
            <v>0</v>
          </cell>
          <cell r="M153">
            <v>0.04</v>
          </cell>
          <cell r="N153">
            <v>0.05</v>
          </cell>
          <cell r="O153">
            <v>0.05</v>
          </cell>
          <cell r="P153">
            <v>0.05</v>
          </cell>
          <cell r="Q153">
            <v>-0.05</v>
          </cell>
          <cell r="R153">
            <v>-0.05</v>
          </cell>
          <cell r="S153">
            <v>-0.05</v>
          </cell>
          <cell r="T153">
            <v>-0.05</v>
          </cell>
          <cell r="U153">
            <v>-0.05</v>
          </cell>
          <cell r="V153">
            <v>-0.05</v>
          </cell>
          <cell r="W153">
            <v>-0.05</v>
          </cell>
        </row>
        <row r="195">
          <cell r="R195">
            <v>4917.18</v>
          </cell>
          <cell r="S195">
            <v>3421.45</v>
          </cell>
        </row>
        <row r="196">
          <cell r="A196" t="str">
            <v>Other Income</v>
          </cell>
          <cell r="I196">
            <v>704.86099999999999</v>
          </cell>
          <cell r="J196">
            <v>653.05100000000004</v>
          </cell>
          <cell r="K196">
            <v>1247.395</v>
          </cell>
          <cell r="L196">
            <v>2268.3310000000001</v>
          </cell>
          <cell r="M196">
            <v>1747</v>
          </cell>
          <cell r="N196">
            <v>3898.8683988024468</v>
          </cell>
          <cell r="O196">
            <v>2818.5079680000003</v>
          </cell>
          <cell r="P196">
            <v>3355.7109299999993</v>
          </cell>
          <cell r="Q196">
            <v>2479.5058749999998</v>
          </cell>
          <cell r="R196">
            <v>5877.2798999999995</v>
          </cell>
          <cell r="S196">
            <v>5107.3769659428908</v>
          </cell>
          <cell r="T196">
            <v>4330.198854361508</v>
          </cell>
          <cell r="U196">
            <v>3941.8842658645472</v>
          </cell>
          <cell r="V196">
            <v>4154.9673647523996</v>
          </cell>
          <cell r="W196">
            <v>4377.7623223240571</v>
          </cell>
          <cell r="X196">
            <v>4601.2402265118362</v>
          </cell>
          <cell r="Y196">
            <v>4846.4195335839431</v>
          </cell>
          <cell r="Z196">
            <v>5135.7407499881019</v>
          </cell>
          <cell r="AA196">
            <v>5450.5940162389043</v>
          </cell>
          <cell r="AB196">
            <v>5807.4913265839832</v>
          </cell>
        </row>
        <row r="197">
          <cell r="B197" t="str">
            <v xml:space="preserve">  % Change</v>
          </cell>
          <cell r="J197">
            <v>-7.3503853951346357E-2</v>
          </cell>
          <cell r="K197">
            <v>0.91010349880790309</v>
          </cell>
          <cell r="M197">
            <v>0</v>
          </cell>
          <cell r="N197">
            <v>0</v>
          </cell>
          <cell r="O197">
            <v>0</v>
          </cell>
          <cell r="P197">
            <v>0</v>
          </cell>
          <cell r="Q197">
            <v>0</v>
          </cell>
          <cell r="R197">
            <v>0</v>
          </cell>
          <cell r="S197">
            <v>0</v>
          </cell>
          <cell r="T197">
            <v>0</v>
          </cell>
          <cell r="U197">
            <v>0</v>
          </cell>
          <cell r="V197">
            <v>0</v>
          </cell>
          <cell r="W197">
            <v>0</v>
          </cell>
        </row>
        <row r="198">
          <cell r="B198" t="str">
            <v>% of Loan and advance, investment, cash</v>
          </cell>
          <cell r="I198">
            <v>5.941622522937897E-2</v>
          </cell>
          <cell r="J198">
            <v>3.7490306188983746E-2</v>
          </cell>
          <cell r="K198">
            <v>4.64894927398148E-2</v>
          </cell>
          <cell r="L198">
            <v>7.407015153879587E-2</v>
          </cell>
          <cell r="M198">
            <v>7.4368179103435628E-2</v>
          </cell>
          <cell r="N198">
            <v>7.4368179103435628E-2</v>
          </cell>
          <cell r="O198">
            <v>5.3999999999999999E-2</v>
          </cell>
          <cell r="P198">
            <v>5.3999999999999999E-2</v>
          </cell>
          <cell r="Q198">
            <v>5.5E-2</v>
          </cell>
          <cell r="R198">
            <v>4.4999999999999998E-2</v>
          </cell>
          <cell r="S198">
            <v>4.4999999999999998E-2</v>
          </cell>
          <cell r="T198">
            <v>3.7499999999999999E-2</v>
          </cell>
          <cell r="U198">
            <v>3.2500000000000001E-2</v>
          </cell>
          <cell r="V198">
            <v>3.2500000000000001E-2</v>
          </cell>
          <cell r="W198">
            <v>3.2500000000000001E-2</v>
          </cell>
          <cell r="X198">
            <v>3.2500000000000001E-2</v>
          </cell>
          <cell r="Y198">
            <v>3.2500000000000001E-2</v>
          </cell>
          <cell r="Z198">
            <v>3.2500000000000001E-2</v>
          </cell>
          <cell r="AA198">
            <v>3.2500000000000001E-2</v>
          </cell>
          <cell r="AB198">
            <v>3.2500000000000001E-2</v>
          </cell>
        </row>
        <row r="199">
          <cell r="B199" t="str">
            <v>Total ADC</v>
          </cell>
          <cell r="Q199">
            <v>4324.7192999999997</v>
          </cell>
          <cell r="R199">
            <v>4921.3041000000003</v>
          </cell>
        </row>
        <row r="200">
          <cell r="B200" t="str">
            <v>Termination ADC of basic</v>
          </cell>
          <cell r="Q200">
            <v>4323.6225611866548</v>
          </cell>
          <cell r="R200">
            <v>2340</v>
          </cell>
        </row>
        <row r="201">
          <cell r="B201" t="str">
            <v>Interconnect from Basic</v>
          </cell>
          <cell r="Q201">
            <v>8778.2639878638147</v>
          </cell>
          <cell r="R201">
            <v>2223.9232766599998</v>
          </cell>
        </row>
        <row r="202">
          <cell r="L202">
            <v>1864</v>
          </cell>
          <cell r="M202">
            <v>-117</v>
          </cell>
          <cell r="Q202">
            <v>3.3234509495302529</v>
          </cell>
          <cell r="R202">
            <v>39.139421764316396</v>
          </cell>
        </row>
        <row r="203">
          <cell r="A203" t="str">
            <v>Outgoing ADC</v>
          </cell>
          <cell r="Q203">
            <v>3500</v>
          </cell>
        </row>
        <row r="204">
          <cell r="A204" t="str">
            <v>Incoming ADC</v>
          </cell>
          <cell r="Q204">
            <v>4500</v>
          </cell>
          <cell r="R204">
            <v>2400</v>
          </cell>
          <cell r="S204">
            <v>4000</v>
          </cell>
          <cell r="U204">
            <v>0</v>
          </cell>
          <cell r="V204">
            <v>0</v>
          </cell>
          <cell r="W204">
            <v>0</v>
          </cell>
        </row>
        <row r="205">
          <cell r="B205" t="str">
            <v>ILD</v>
          </cell>
          <cell r="R205">
            <v>0.6</v>
          </cell>
          <cell r="S205">
            <v>0.6</v>
          </cell>
          <cell r="T205">
            <v>1</v>
          </cell>
          <cell r="U205">
            <v>1</v>
          </cell>
        </row>
        <row r="206">
          <cell r="B206" t="str">
            <v>NLD</v>
          </cell>
          <cell r="R206">
            <v>0.1</v>
          </cell>
          <cell r="S206">
            <v>0.1</v>
          </cell>
          <cell r="T206">
            <v>0</v>
          </cell>
          <cell r="U206">
            <v>0</v>
          </cell>
        </row>
        <row r="207">
          <cell r="B207" t="str">
            <v>Mobile</v>
          </cell>
          <cell r="R207">
            <v>0.25</v>
          </cell>
          <cell r="S207">
            <v>0.25</v>
          </cell>
          <cell r="T207">
            <v>0</v>
          </cell>
          <cell r="U207">
            <v>0</v>
          </cell>
        </row>
        <row r="208">
          <cell r="B208" t="str">
            <v>Basic</v>
          </cell>
          <cell r="R208">
            <v>5.0000000000000044E-2</v>
          </cell>
          <cell r="S208">
            <v>5.0000000000000044E-2</v>
          </cell>
          <cell r="T208">
            <v>0</v>
          </cell>
          <cell r="U208">
            <v>0</v>
          </cell>
        </row>
        <row r="209">
          <cell r="A209" t="str">
            <v>Gross Interconnect access call ( ADC+ IUC)</v>
          </cell>
          <cell r="Q209">
            <v>3105.2099999999991</v>
          </cell>
          <cell r="R209">
            <v>4945.2299999999996</v>
          </cell>
          <cell r="S209">
            <v>3500</v>
          </cell>
          <cell r="T209">
            <v>3618.500007258207</v>
          </cell>
          <cell r="U209">
            <v>3845.671050321348</v>
          </cell>
          <cell r="V209">
            <v>3934.1278393878956</v>
          </cell>
          <cell r="W209">
            <v>4068.4921031904014</v>
          </cell>
          <cell r="X209">
            <v>4193.6120536901462</v>
          </cell>
          <cell r="Y209">
            <v>4311.2329863428322</v>
          </cell>
          <cell r="Z209">
            <v>4409.9511444414102</v>
          </cell>
          <cell r="AA209">
            <v>4484.2008861978002</v>
          </cell>
          <cell r="AB209">
            <v>4531.0585357363425</v>
          </cell>
        </row>
        <row r="210">
          <cell r="B210" t="str">
            <v>ILD</v>
          </cell>
          <cell r="R210">
            <v>0.45</v>
          </cell>
          <cell r="S210">
            <v>0.45</v>
          </cell>
          <cell r="T210">
            <v>0.45</v>
          </cell>
          <cell r="U210">
            <v>0.45</v>
          </cell>
        </row>
        <row r="211">
          <cell r="B211" t="str">
            <v>NLD</v>
          </cell>
          <cell r="R211">
            <v>0.1</v>
          </cell>
          <cell r="S211">
            <v>0.1</v>
          </cell>
          <cell r="T211">
            <v>0.1</v>
          </cell>
          <cell r="U211">
            <v>0.1</v>
          </cell>
        </row>
        <row r="212">
          <cell r="B212" t="str">
            <v>Mobile</v>
          </cell>
          <cell r="R212">
            <v>0.3</v>
          </cell>
          <cell r="S212">
            <v>0.3</v>
          </cell>
          <cell r="T212">
            <v>0.3</v>
          </cell>
          <cell r="U212">
            <v>0.3</v>
          </cell>
        </row>
        <row r="213">
          <cell r="B213" t="str">
            <v>Basic</v>
          </cell>
          <cell r="R213">
            <v>0.14999999999999997</v>
          </cell>
          <cell r="S213">
            <v>0.14999999999999997</v>
          </cell>
          <cell r="T213">
            <v>0.14999999999999997</v>
          </cell>
          <cell r="U213">
            <v>0.14999999999999997</v>
          </cell>
        </row>
        <row r="214">
          <cell r="A214" t="str">
            <v>Transiting revenue</v>
          </cell>
          <cell r="Q214">
            <v>2000</v>
          </cell>
        </row>
        <row r="216">
          <cell r="A216" t="str">
            <v>Basic Interconnect revenues</v>
          </cell>
          <cell r="O216">
            <v>647.63</v>
          </cell>
          <cell r="P216">
            <v>2860.56</v>
          </cell>
          <cell r="Q216">
            <v>13101.886549050469</v>
          </cell>
          <cell r="R216">
            <v>4563.9232766599998</v>
          </cell>
          <cell r="S216">
            <v>2478.7460307049996</v>
          </cell>
          <cell r="T216">
            <v>2369.5636593559634</v>
          </cell>
          <cell r="U216">
            <v>2305.7428155302641</v>
          </cell>
          <cell r="V216">
            <v>2247.8086070381987</v>
          </cell>
          <cell r="W216">
            <v>2194.9233485177983</v>
          </cell>
        </row>
        <row r="217">
          <cell r="A217" t="str">
            <v>WLL Interconnect revenues+ Dolpin</v>
          </cell>
          <cell r="O217">
            <v>4346.79</v>
          </cell>
          <cell r="P217">
            <v>2961.98</v>
          </cell>
          <cell r="Q217">
            <v>3.3234509495302529</v>
          </cell>
          <cell r="R217">
            <v>39.139421764316396</v>
          </cell>
          <cell r="S217">
            <v>136.42312232902091</v>
          </cell>
          <cell r="T217">
            <v>311.05665872984792</v>
          </cell>
          <cell r="U217">
            <v>526.15131619885267</v>
          </cell>
          <cell r="V217">
            <v>715.52768140948501</v>
          </cell>
          <cell r="W217">
            <v>814.81363949942113</v>
          </cell>
        </row>
        <row r="218">
          <cell r="A218" t="str">
            <v>Interconnect GSM revenues</v>
          </cell>
        </row>
        <row r="219">
          <cell r="A219" t="str">
            <v>Incoming as % of GSM ARPU revenue</v>
          </cell>
          <cell r="Q219">
            <v>0.05</v>
          </cell>
          <cell r="R219">
            <v>2.5000000000000001E-2</v>
          </cell>
          <cell r="S219">
            <v>2.5000000000000001E-2</v>
          </cell>
          <cell r="T219">
            <v>2.5000000000000001E-2</v>
          </cell>
          <cell r="U219">
            <v>2.5000000000000001E-2</v>
          </cell>
          <cell r="V219">
            <v>2.5000000000000001E-2</v>
          </cell>
          <cell r="W219">
            <v>2.5000000000000001E-2</v>
          </cell>
        </row>
        <row r="220">
          <cell r="Q220">
            <v>0</v>
          </cell>
        </row>
        <row r="221">
          <cell r="A221" t="str">
            <v>MTNL - Cost Analysis (Rs mn)</v>
          </cell>
        </row>
        <row r="222">
          <cell r="A222" t="str">
            <v>Salaries Rs mn</v>
          </cell>
          <cell r="I222">
            <v>3128.14</v>
          </cell>
          <cell r="J222">
            <v>4284.29</v>
          </cell>
          <cell r="K222">
            <v>5167.0200000000004</v>
          </cell>
          <cell r="L222">
            <v>6164.6729999999998</v>
          </cell>
          <cell r="M222">
            <v>9959.8921323529412</v>
          </cell>
          <cell r="N222">
            <v>12222.89</v>
          </cell>
          <cell r="O222">
            <v>12963.64</v>
          </cell>
          <cell r="P222">
            <v>13738.53</v>
          </cell>
          <cell r="Q222">
            <v>13693.7</v>
          </cell>
          <cell r="R222">
            <v>15960.228796901958</v>
          </cell>
          <cell r="S222">
            <v>15874.582433771206</v>
          </cell>
          <cell r="T222">
            <v>16473.060424355048</v>
          </cell>
          <cell r="U222">
            <v>17019.636314327574</v>
          </cell>
          <cell r="V222">
            <v>17552.801540484194</v>
          </cell>
          <cell r="W222">
            <v>18113.896787508867</v>
          </cell>
        </row>
        <row r="223">
          <cell r="A223" t="str">
            <v>Total Employees</v>
          </cell>
          <cell r="I223">
            <v>62883</v>
          </cell>
          <cell r="J223">
            <v>62833</v>
          </cell>
          <cell r="K223">
            <v>62473</v>
          </cell>
          <cell r="L223">
            <v>61456</v>
          </cell>
          <cell r="M223">
            <v>61104</v>
          </cell>
          <cell r="N223">
            <v>60746</v>
          </cell>
          <cell r="O223">
            <v>57627</v>
          </cell>
          <cell r="P223">
            <v>58072</v>
          </cell>
          <cell r="Q223">
            <v>53224</v>
          </cell>
          <cell r="R223">
            <v>51244</v>
          </cell>
          <cell r="S223">
            <v>50626</v>
          </cell>
          <cell r="T223">
            <v>50050.703806833837</v>
          </cell>
          <cell r="U223">
            <v>49013.253603882593</v>
          </cell>
          <cell r="V223">
            <v>48288.91980678089</v>
          </cell>
          <cell r="W223">
            <v>47342.07824194205</v>
          </cell>
        </row>
        <row r="224">
          <cell r="B224" t="str">
            <v>Net Hires</v>
          </cell>
          <cell r="J224">
            <v>-50</v>
          </cell>
          <cell r="K224">
            <v>-360</v>
          </cell>
          <cell r="L224">
            <v>-1017</v>
          </cell>
          <cell r="M224">
            <v>-352</v>
          </cell>
          <cell r="N224">
            <v>-358</v>
          </cell>
          <cell r="O224">
            <v>-3119</v>
          </cell>
          <cell r="P224">
            <v>445</v>
          </cell>
          <cell r="Q224">
            <v>-4848</v>
          </cell>
          <cell r="R224">
            <v>-1980</v>
          </cell>
          <cell r="S224">
            <v>-618</v>
          </cell>
          <cell r="T224">
            <v>-575.29619316616299</v>
          </cell>
          <cell r="U224">
            <v>-1037.4502029512441</v>
          </cell>
          <cell r="V224">
            <v>-724.33379710170266</v>
          </cell>
          <cell r="W224">
            <v>-946.84156483883999</v>
          </cell>
        </row>
        <row r="225">
          <cell r="N225">
            <v>-710</v>
          </cell>
        </row>
        <row r="226">
          <cell r="A226" t="str">
            <v>Average Employees</v>
          </cell>
          <cell r="I226">
            <v>62883</v>
          </cell>
          <cell r="J226">
            <v>62858</v>
          </cell>
          <cell r="K226">
            <v>62653</v>
          </cell>
          <cell r="L226">
            <v>61964.5</v>
          </cell>
          <cell r="M226">
            <v>61280</v>
          </cell>
          <cell r="N226">
            <v>60925</v>
          </cell>
          <cell r="O226">
            <v>59186.5</v>
          </cell>
          <cell r="P226">
            <v>57849.5</v>
          </cell>
          <cell r="Q226">
            <v>55648</v>
          </cell>
          <cell r="R226">
            <v>52234</v>
          </cell>
          <cell r="S226">
            <v>50935</v>
          </cell>
          <cell r="T226">
            <v>50338.351903416915</v>
          </cell>
          <cell r="U226">
            <v>49531.978705358211</v>
          </cell>
          <cell r="V226">
            <v>48651.086705331742</v>
          </cell>
          <cell r="W226">
            <v>47815.499024361474</v>
          </cell>
        </row>
        <row r="227">
          <cell r="B227" t="str">
            <v>Wages per Employee (000s)</v>
          </cell>
          <cell r="I227">
            <v>49745.400187650077</v>
          </cell>
          <cell r="J227">
            <v>68158.229660504629</v>
          </cell>
          <cell r="K227">
            <v>82470.432381530016</v>
          </cell>
          <cell r="L227">
            <v>99487.174107755243</v>
          </cell>
          <cell r="M227">
            <v>162530.87683343573</v>
          </cell>
          <cell r="N227">
            <v>200621.91218711532</v>
          </cell>
          <cell r="O227">
            <v>219030.35320554519</v>
          </cell>
          <cell r="P227">
            <v>237487.44587247944</v>
          </cell>
          <cell r="Q227">
            <v>291002.37205290399</v>
          </cell>
          <cell r="R227">
            <v>305552.49065554922</v>
          </cell>
          <cell r="S227">
            <v>311663.54046866018</v>
          </cell>
          <cell r="T227">
            <v>327246.71749209322</v>
          </cell>
          <cell r="U227">
            <v>343609.05336669792</v>
          </cell>
          <cell r="V227">
            <v>360789.50603503286</v>
          </cell>
          <cell r="W227">
            <v>378828.98133678449</v>
          </cell>
        </row>
        <row r="228">
          <cell r="B228" t="str">
            <v>% Chg</v>
          </cell>
          <cell r="J228">
            <v>0.37014134781100361</v>
          </cell>
          <cell r="K228">
            <v>0.20998495401530098</v>
          </cell>
          <cell r="L228">
            <v>0.20633748647638081</v>
          </cell>
          <cell r="M228">
            <v>0.63368673691944877</v>
          </cell>
          <cell r="N228">
            <v>0.23436184001342647</v>
          </cell>
          <cell r="O228">
            <v>9.1756881477935259E-2</v>
          </cell>
          <cell r="P228">
            <v>8.4267282578928723E-2</v>
          </cell>
          <cell r="Q228">
            <v>0.2253379162162524</v>
          </cell>
          <cell r="R228">
            <v>0.05</v>
          </cell>
          <cell r="S228">
            <v>0.02</v>
          </cell>
          <cell r="T228">
            <v>0.05</v>
          </cell>
          <cell r="U228">
            <v>0.05</v>
          </cell>
          <cell r="V228">
            <v>0.05</v>
          </cell>
          <cell r="W228">
            <v>0.05</v>
          </cell>
        </row>
        <row r="229">
          <cell r="B229" t="str">
            <v>% over CPI</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row>
        <row r="231">
          <cell r="A231" t="str">
            <v>Lines per Parent Employee</v>
          </cell>
          <cell r="I231">
            <v>41.470588235294116</v>
          </cell>
          <cell r="J231">
            <v>47.939044769468275</v>
          </cell>
          <cell r="K231">
            <v>54.531381556832542</v>
          </cell>
          <cell r="L231">
            <v>59.455708148919555</v>
          </cell>
          <cell r="M231">
            <v>65.97970672951034</v>
          </cell>
          <cell r="N231">
            <v>72.559778237541323</v>
          </cell>
          <cell r="O231">
            <v>78.344876270869605</v>
          </cell>
          <cell r="P231">
            <v>78.344876270869605</v>
          </cell>
          <cell r="Q231">
            <v>80.303498177641345</v>
          </cell>
          <cell r="R231">
            <v>80.303498177641345</v>
          </cell>
          <cell r="S231">
            <v>80.303498177641345</v>
          </cell>
          <cell r="T231">
            <v>82.712603122970592</v>
          </cell>
          <cell r="U231">
            <v>83.953292169815143</v>
          </cell>
          <cell r="V231">
            <v>85.212591552362355</v>
          </cell>
          <cell r="W231">
            <v>86.916843383409599</v>
          </cell>
        </row>
        <row r="232">
          <cell r="B232" t="str">
            <v>Gain in Productivity</v>
          </cell>
          <cell r="I232" t="e">
            <v>#DIV/0!</v>
          </cell>
          <cell r="J232">
            <v>0.1559769660722847</v>
          </cell>
          <cell r="K232">
            <v>0.13751498009745153</v>
          </cell>
          <cell r="L232">
            <v>9.0302619363400602E-2</v>
          </cell>
          <cell r="M232">
            <v>0.10972871711913738</v>
          </cell>
          <cell r="N232">
            <v>9.9728717119137389E-2</v>
          </cell>
          <cell r="O232">
            <v>7.9728717119137385E-2</v>
          </cell>
          <cell r="Q232">
            <v>2.5000000000000001E-2</v>
          </cell>
          <cell r="T232">
            <v>0.03</v>
          </cell>
          <cell r="U232">
            <v>1.4999999999999999E-2</v>
          </cell>
          <cell r="V232">
            <v>1.4999999999999999E-2</v>
          </cell>
          <cell r="W232">
            <v>0.02</v>
          </cell>
        </row>
        <row r="233">
          <cell r="O233">
            <v>6233.393070000001</v>
          </cell>
        </row>
        <row r="234">
          <cell r="A234" t="str">
            <v>Interconnect  Rs mn</v>
          </cell>
          <cell r="I234">
            <v>7613.8270000000002</v>
          </cell>
          <cell r="J234">
            <v>8822.5419999999995</v>
          </cell>
          <cell r="K234">
            <v>10239.977000000001</v>
          </cell>
          <cell r="L234">
            <v>10911.893</v>
          </cell>
          <cell r="M234">
            <v>10504.17</v>
          </cell>
          <cell r="N234">
            <v>11316.63</v>
          </cell>
          <cell r="O234">
            <v>5828.3</v>
          </cell>
          <cell r="P234">
            <v>8383.14</v>
          </cell>
          <cell r="Q234">
            <v>12285.58</v>
          </cell>
          <cell r="R234">
            <v>6357.6380450229999</v>
          </cell>
          <cell r="S234">
            <v>5782.8747300229998</v>
          </cell>
          <cell r="T234">
            <v>5473.0936640476657</v>
          </cell>
          <cell r="U234">
            <v>5401.6791603837528</v>
          </cell>
          <cell r="V234">
            <v>5166.9126760210838</v>
          </cell>
          <cell r="W234">
            <v>5115.9895078875143</v>
          </cell>
          <cell r="Y234">
            <v>0.44444444444444442</v>
          </cell>
        </row>
        <row r="235">
          <cell r="A235" t="str">
            <v>Average % of Revenues, less other income, cell, ISP</v>
          </cell>
          <cell r="I235">
            <v>0.22081113655849235</v>
          </cell>
          <cell r="J235">
            <v>0.21887413714135384</v>
          </cell>
          <cell r="K235">
            <v>0.21999744768012819</v>
          </cell>
          <cell r="L235">
            <v>0.21683088773566084</v>
          </cell>
          <cell r="M235">
            <v>0.20269723439691698</v>
          </cell>
          <cell r="N235">
            <v>0.19708880031571463</v>
          </cell>
          <cell r="O235">
            <v>9.7200622732401029E-2</v>
          </cell>
          <cell r="P235">
            <v>0.15293902372056867</v>
          </cell>
          <cell r="Q235">
            <v>0.20332463527831154</v>
          </cell>
          <cell r="R235">
            <v>0.12482132326033873</v>
          </cell>
          <cell r="S235">
            <v>0.13388763497923226</v>
          </cell>
          <cell r="T235">
            <v>0.12442608588039882</v>
          </cell>
          <cell r="U235">
            <v>0.12177672591175717</v>
          </cell>
          <cell r="V235">
            <v>0.11578986387784258</v>
          </cell>
          <cell r="W235">
            <v>0.11404641442710779</v>
          </cell>
        </row>
        <row r="237">
          <cell r="A237" t="str">
            <v>License Fees</v>
          </cell>
          <cell r="I237">
            <v>1986.8019999999999</v>
          </cell>
          <cell r="J237">
            <v>2347.0160000000001</v>
          </cell>
          <cell r="K237">
            <v>2711.0920000000001</v>
          </cell>
          <cell r="L237">
            <v>3066.0659999999998</v>
          </cell>
          <cell r="M237">
            <v>3288.55</v>
          </cell>
          <cell r="N237">
            <v>3615.3</v>
          </cell>
          <cell r="O237">
            <v>6644.88</v>
          </cell>
          <cell r="P237">
            <v>5818.16</v>
          </cell>
          <cell r="Q237">
            <v>6429.58</v>
          </cell>
          <cell r="R237">
            <v>4380.5290000000005</v>
          </cell>
          <cell r="S237">
            <v>3741.431</v>
          </cell>
          <cell r="T237">
            <v>3862.108917887349</v>
          </cell>
          <cell r="U237">
            <v>3921.0446050998617</v>
          </cell>
          <cell r="V237">
            <v>3942.134349737988</v>
          </cell>
          <cell r="W237">
            <v>3974.6230405907991</v>
          </cell>
        </row>
        <row r="238">
          <cell r="A238" t="str">
            <v>Rs per prior year DEL</v>
          </cell>
          <cell r="J238">
            <v>900.00019173286239</v>
          </cell>
          <cell r="K238">
            <v>900.05092701103592</v>
          </cell>
          <cell r="L238">
            <v>900.00026418225764</v>
          </cell>
          <cell r="M238">
            <v>900.00848406227851</v>
          </cell>
          <cell r="N238">
            <v>896.73540984972806</v>
          </cell>
          <cell r="O238">
            <v>0.12959881761616174</v>
          </cell>
          <cell r="P238">
            <v>0.11788636253577979</v>
          </cell>
          <cell r="Q238">
            <v>0.12591085712316216</v>
          </cell>
          <cell r="R238">
            <v>0.1</v>
          </cell>
          <cell r="S238">
            <v>0.1</v>
          </cell>
          <cell r="T238">
            <v>0.1</v>
          </cell>
          <cell r="U238">
            <v>0.1</v>
          </cell>
          <cell r="V238">
            <v>0.1</v>
          </cell>
          <cell r="W238">
            <v>0.1</v>
          </cell>
        </row>
        <row r="239">
          <cell r="K239">
            <v>6.2060587895458111E-2</v>
          </cell>
          <cell r="L239">
            <v>6.3072976320317969E-2</v>
          </cell>
          <cell r="M239">
            <v>6.989032842830252E-2</v>
          </cell>
          <cell r="R239">
            <v>1003.0442609670102</v>
          </cell>
          <cell r="S239">
            <v>918.06597731722991</v>
          </cell>
          <cell r="T239">
            <v>921.78309110056853</v>
          </cell>
          <cell r="U239">
            <v>947.15248887388964</v>
          </cell>
          <cell r="V239">
            <v>958.03231188939969</v>
          </cell>
          <cell r="W239">
            <v>965.9278356962044</v>
          </cell>
        </row>
        <row r="240">
          <cell r="A240" t="str">
            <v>Admn, Operating &amp; Other Expenses</v>
          </cell>
          <cell r="I240">
            <v>3979.9949999999999</v>
          </cell>
          <cell r="J240">
            <v>4767.8980000000001</v>
          </cell>
          <cell r="K240">
            <v>6232.9629999999997</v>
          </cell>
          <cell r="L240">
            <v>6251.9629999999997</v>
          </cell>
          <cell r="M240">
            <v>7700.72</v>
          </cell>
          <cell r="N240">
            <v>8893.5400000000009</v>
          </cell>
          <cell r="O240">
            <v>9508.5400000000009</v>
          </cell>
          <cell r="P240">
            <v>10166.209999999999</v>
          </cell>
          <cell r="Q240">
            <v>9264.64</v>
          </cell>
          <cell r="R240">
            <v>9837.1</v>
          </cell>
          <cell r="S240">
            <v>9665.0499999999993</v>
          </cell>
          <cell r="T240">
            <v>9635.502213159245</v>
          </cell>
          <cell r="U240">
            <v>9521.0925737285525</v>
          </cell>
          <cell r="V240">
            <v>9461.1768053237593</v>
          </cell>
          <cell r="W240">
            <v>9302.6923076929615</v>
          </cell>
        </row>
        <row r="241">
          <cell r="B241" t="str">
            <v>Per line</v>
          </cell>
          <cell r="I241">
            <v>1526.1916676732642</v>
          </cell>
          <cell r="J241">
            <v>1696.7762518841362</v>
          </cell>
          <cell r="K241">
            <v>1942.0678923920368</v>
          </cell>
          <cell r="L241">
            <v>1770.9315390129152</v>
          </cell>
          <cell r="M241">
            <v>2003.9518399111894</v>
          </cell>
          <cell r="N241">
            <v>2125.9083804181623</v>
          </cell>
          <cell r="O241">
            <v>2153.2763529537651</v>
          </cell>
          <cell r="P241">
            <v>2226.9486767497206</v>
          </cell>
          <cell r="Q241">
            <v>2058.6032572968543</v>
          </cell>
          <cell r="R241">
            <v>2330.3556474601228</v>
          </cell>
          <cell r="S241">
            <v>2338.7436716319239</v>
          </cell>
          <cell r="T241">
            <v>2313.5436727120386</v>
          </cell>
          <cell r="U241">
            <v>2306.843992312828</v>
          </cell>
          <cell r="V241">
            <v>2299.2907607527704</v>
          </cell>
          <cell r="W241">
            <v>2260.7752622452285</v>
          </cell>
        </row>
        <row r="242">
          <cell r="B242" t="str">
            <v>% of Revenues</v>
          </cell>
          <cell r="I242">
            <v>0.11542516259525161</v>
          </cell>
          <cell r="J242">
            <v>0.11828445370143741</v>
          </cell>
          <cell r="K242">
            <v>0.13391006166172781</v>
          </cell>
          <cell r="L242">
            <v>0.12410876693081291</v>
          </cell>
          <cell r="M242">
            <v>0.14859952255771056</v>
          </cell>
          <cell r="N242">
            <v>0.15374559475516122</v>
          </cell>
          <cell r="O242">
            <v>0.15476927779686694</v>
          </cell>
          <cell r="P242">
            <v>0.17508236416586151</v>
          </cell>
          <cell r="Q242">
            <v>0.14545016101401148</v>
          </cell>
          <cell r="R242">
            <v>0.17590169489403895</v>
          </cell>
          <cell r="S242">
            <v>0.18860658216979381</v>
          </cell>
          <cell r="T242">
            <v>0.1786065821697938</v>
          </cell>
          <cell r="U242">
            <v>0.16860658216979379</v>
          </cell>
          <cell r="V242">
            <v>0.16360658216979379</v>
          </cell>
          <cell r="W242">
            <v>0.15860658216979379</v>
          </cell>
        </row>
        <row r="244">
          <cell r="B244" t="str">
            <v>Interest charges</v>
          </cell>
          <cell r="I244">
            <v>1629.049</v>
          </cell>
          <cell r="J244">
            <v>1476.16</v>
          </cell>
          <cell r="K244">
            <v>866.24199999999996</v>
          </cell>
          <cell r="L244">
            <v>729.21500000000003</v>
          </cell>
          <cell r="M244">
            <v>84.16</v>
          </cell>
          <cell r="N244">
            <v>83.03</v>
          </cell>
          <cell r="O244">
            <v>288.35000000000002</v>
          </cell>
          <cell r="P244">
            <v>328.19</v>
          </cell>
        </row>
        <row r="245">
          <cell r="B245" t="str">
            <v>% of average debt</v>
          </cell>
          <cell r="I245">
            <v>0.10081831614726983</v>
          </cell>
          <cell r="J245">
            <v>0.11392170696670256</v>
          </cell>
          <cell r="K245">
            <v>0.13829627499711625</v>
          </cell>
          <cell r="L245">
            <v>0.48422917845767532</v>
          </cell>
          <cell r="M245">
            <v>0.38819188191882048</v>
          </cell>
          <cell r="N245">
            <v>5.9054054054054055E-2</v>
          </cell>
          <cell r="O245">
            <v>0.2201145038167939</v>
          </cell>
          <cell r="P245" t="e">
            <v>#DIV/0!</v>
          </cell>
          <cell r="Q245" t="e">
            <v>#DIV/0!</v>
          </cell>
          <cell r="R245">
            <v>0</v>
          </cell>
          <cell r="S245">
            <v>0</v>
          </cell>
          <cell r="T245">
            <v>0</v>
          </cell>
          <cell r="U245">
            <v>0</v>
          </cell>
          <cell r="V245">
            <v>0</v>
          </cell>
          <cell r="W245">
            <v>0</v>
          </cell>
        </row>
        <row r="251">
          <cell r="B251" t="str">
            <v>Internet subs</v>
          </cell>
          <cell r="M251">
            <v>265000</v>
          </cell>
          <cell r="N251">
            <v>1070000</v>
          </cell>
          <cell r="O251">
            <v>2305000</v>
          </cell>
          <cell r="P251">
            <v>3280500</v>
          </cell>
          <cell r="Q251">
            <v>3961836.6859504133</v>
          </cell>
          <cell r="R251">
            <v>4973447.6439669421</v>
          </cell>
          <cell r="S251">
            <v>5863433.0118347108</v>
          </cell>
          <cell r="T251">
            <v>6449776.3130181823</v>
          </cell>
          <cell r="U251">
            <v>7094753.9443200007</v>
          </cell>
          <cell r="V251">
            <v>7506925.3639424015</v>
          </cell>
          <cell r="W251">
            <v>7619157.614433025</v>
          </cell>
        </row>
        <row r="252">
          <cell r="B252" t="str">
            <v>usage per month</v>
          </cell>
          <cell r="M252">
            <v>20</v>
          </cell>
          <cell r="N252">
            <v>20</v>
          </cell>
          <cell r="O252">
            <v>22</v>
          </cell>
          <cell r="P252">
            <v>24.2</v>
          </cell>
          <cell r="Q252">
            <v>24.2</v>
          </cell>
          <cell r="R252">
            <v>26.619999999999997</v>
          </cell>
          <cell r="S252">
            <v>29.281999999999996</v>
          </cell>
          <cell r="T252">
            <v>32.210199999999993</v>
          </cell>
          <cell r="U252">
            <v>35.431219999999996</v>
          </cell>
          <cell r="V252">
            <v>38.974341999999993</v>
          </cell>
          <cell r="W252">
            <v>42.871776199999992</v>
          </cell>
        </row>
        <row r="253">
          <cell r="B253" t="str">
            <v>Growth in usage</v>
          </cell>
          <cell r="O253">
            <v>0.1</v>
          </cell>
          <cell r="P253">
            <v>0.1</v>
          </cell>
          <cell r="R253">
            <v>0.1</v>
          </cell>
          <cell r="S253">
            <v>0.1</v>
          </cell>
          <cell r="T253">
            <v>0.1</v>
          </cell>
          <cell r="U253">
            <v>0.1</v>
          </cell>
          <cell r="V253">
            <v>0.1</v>
          </cell>
          <cell r="W253">
            <v>0.1</v>
          </cell>
        </row>
        <row r="254">
          <cell r="B254" t="str">
            <v>Total minutes</v>
          </cell>
          <cell r="M254">
            <v>3816000000</v>
          </cell>
          <cell r="N254">
            <v>15408000000</v>
          </cell>
          <cell r="O254">
            <v>36511200000</v>
          </cell>
          <cell r="P254">
            <v>57159432000</v>
          </cell>
          <cell r="Q254">
            <v>69031042416</v>
          </cell>
          <cell r="R254">
            <v>95323086923.327972</v>
          </cell>
          <cell r="S254">
            <v>123618992725.83167</v>
          </cell>
          <cell r="T254">
            <v>149578981198.25632</v>
          </cell>
          <cell r="U254">
            <v>180990567249.89017</v>
          </cell>
          <cell r="V254">
            <v>210655783081.99121</v>
          </cell>
          <cell r="W254">
            <v>235185710456.51892</v>
          </cell>
        </row>
        <row r="255">
          <cell r="B255" t="str">
            <v>Mumbai and Delhi %</v>
          </cell>
          <cell r="M255">
            <v>0.3</v>
          </cell>
          <cell r="N255">
            <v>0.3</v>
          </cell>
          <cell r="O255">
            <v>0.27999999999999997</v>
          </cell>
          <cell r="P255">
            <v>0.25999999999999995</v>
          </cell>
          <cell r="Q255">
            <v>0.23999999999999996</v>
          </cell>
          <cell r="R255">
            <v>0.21999999999999997</v>
          </cell>
          <cell r="S255">
            <v>0.19999999999999998</v>
          </cell>
          <cell r="T255">
            <v>0.18</v>
          </cell>
          <cell r="U255">
            <v>0.16</v>
          </cell>
          <cell r="V255">
            <v>0.14000000000000001</v>
          </cell>
          <cell r="W255">
            <v>0.12000000000000001</v>
          </cell>
        </row>
        <row r="256">
          <cell r="B256" t="str">
            <v>Minutes usage in Mumbai and Delhi</v>
          </cell>
          <cell r="M256">
            <v>1144800000</v>
          </cell>
          <cell r="N256">
            <v>4622400000</v>
          </cell>
          <cell r="O256">
            <v>10223135999.999998</v>
          </cell>
          <cell r="P256">
            <v>14861452319.999998</v>
          </cell>
          <cell r="Q256">
            <v>16567450179.839998</v>
          </cell>
          <cell r="R256">
            <v>20971079123.132153</v>
          </cell>
          <cell r="S256">
            <v>24723798545.166332</v>
          </cell>
          <cell r="T256">
            <v>26924216615.686134</v>
          </cell>
          <cell r="U256">
            <v>28958490759.982426</v>
          </cell>
          <cell r="V256">
            <v>29491809631.478771</v>
          </cell>
          <cell r="W256">
            <v>28222285254.782272</v>
          </cell>
        </row>
        <row r="257">
          <cell r="B257" t="str">
            <v>MTNL share</v>
          </cell>
          <cell r="M257">
            <v>0</v>
          </cell>
          <cell r="N257">
            <v>0</v>
          </cell>
          <cell r="O257">
            <v>0</v>
          </cell>
          <cell r="P257">
            <v>0</v>
          </cell>
          <cell r="Q257">
            <v>0</v>
          </cell>
          <cell r="R257">
            <v>0</v>
          </cell>
          <cell r="S257">
            <v>0</v>
          </cell>
          <cell r="T257">
            <v>0</v>
          </cell>
          <cell r="U257">
            <v>0</v>
          </cell>
          <cell r="V257">
            <v>0</v>
          </cell>
          <cell r="W257">
            <v>0</v>
          </cell>
        </row>
        <row r="258">
          <cell r="B258" t="str">
            <v>Pulse rate</v>
          </cell>
          <cell r="M258">
            <v>1.0996145655018894</v>
          </cell>
          <cell r="N258">
            <v>1.0996145655018894</v>
          </cell>
          <cell r="O258">
            <v>1.0996145655018894</v>
          </cell>
          <cell r="P258">
            <v>1.0996145655018894</v>
          </cell>
          <cell r="Q258">
            <v>0.93467238067660596</v>
          </cell>
          <cell r="R258">
            <v>0.86625000000000019</v>
          </cell>
          <cell r="S258">
            <v>0.77962500000000023</v>
          </cell>
          <cell r="T258">
            <v>0.77962500000000023</v>
          </cell>
          <cell r="U258">
            <v>0.77962500000000023</v>
          </cell>
          <cell r="V258">
            <v>0.77962500000000023</v>
          </cell>
          <cell r="W258">
            <v>0.77962500000000023</v>
          </cell>
        </row>
        <row r="259">
          <cell r="B259" t="str">
            <v>Revenue for MTNL</v>
          </cell>
          <cell r="M259">
            <v>0</v>
          </cell>
          <cell r="N259">
            <v>0</v>
          </cell>
          <cell r="O259">
            <v>3049.0472332701065</v>
          </cell>
          <cell r="P259">
            <v>2749.3645393400002</v>
          </cell>
          <cell r="Q259">
            <v>0</v>
          </cell>
          <cell r="R259">
            <v>0</v>
          </cell>
          <cell r="S259">
            <v>0</v>
          </cell>
          <cell r="T259">
            <v>0</v>
          </cell>
          <cell r="U259">
            <v>0</v>
          </cell>
          <cell r="V259">
            <v>0</v>
          </cell>
          <cell r="W259">
            <v>0</v>
          </cell>
        </row>
        <row r="260">
          <cell r="B260" t="str">
            <v>% of Calls</v>
          </cell>
          <cell r="M260">
            <v>0</v>
          </cell>
          <cell r="N260">
            <v>0</v>
          </cell>
          <cell r="O260">
            <v>0.10125348589430637</v>
          </cell>
          <cell r="P260">
            <v>0.11252765399858142</v>
          </cell>
          <cell r="Q260">
            <v>0</v>
          </cell>
          <cell r="R260">
            <v>0</v>
          </cell>
          <cell r="S260">
            <v>0</v>
          </cell>
          <cell r="T260">
            <v>0</v>
          </cell>
          <cell r="U260">
            <v>0</v>
          </cell>
          <cell r="V260">
            <v>0</v>
          </cell>
          <cell r="W260">
            <v>0</v>
          </cell>
        </row>
        <row r="261">
          <cell r="B261" t="str">
            <v>YoY%</v>
          </cell>
          <cell r="N261" t="e">
            <v>#DIV/0!</v>
          </cell>
          <cell r="O261" t="e">
            <v>#DIV/0!</v>
          </cell>
          <cell r="P261">
            <v>-9.8287324204124005E-2</v>
          </cell>
          <cell r="Q261">
            <v>-1</v>
          </cell>
          <cell r="R261" t="e">
            <v>#DIV/0!</v>
          </cell>
          <cell r="S261" t="e">
            <v>#DIV/0!</v>
          </cell>
          <cell r="T261" t="e">
            <v>#DIV/0!</v>
          </cell>
          <cell r="U261" t="e">
            <v>#DIV/0!</v>
          </cell>
          <cell r="V261" t="e">
            <v>#DIV/0!</v>
          </cell>
          <cell r="W261" t="e">
            <v>#DIV/0!</v>
          </cell>
        </row>
        <row r="262">
          <cell r="Q262" t="e">
            <v>#DIV/0!</v>
          </cell>
          <cell r="R262" t="e">
            <v>#DIV/0!</v>
          </cell>
        </row>
        <row r="263">
          <cell r="B263" t="str">
            <v>Internet market assumptions (Fiscal year adj)</v>
          </cell>
          <cell r="M263">
            <v>530000</v>
          </cell>
          <cell r="N263">
            <v>1610000</v>
          </cell>
          <cell r="O263">
            <v>3000000</v>
          </cell>
          <cell r="P263">
            <v>3561000</v>
          </cell>
          <cell r="Q263">
            <v>4362673.3719008267</v>
          </cell>
          <cell r="R263">
            <v>5584221.9160330575</v>
          </cell>
        </row>
        <row r="265">
          <cell r="B265" t="str">
            <v>DCF</v>
          </cell>
        </row>
        <row r="266">
          <cell r="B266" t="str">
            <v>OBTIDA</v>
          </cell>
          <cell r="R266">
            <v>13477.68</v>
          </cell>
          <cell r="S266">
            <v>11522.159999999996</v>
          </cell>
          <cell r="T266">
            <v>14685.189029820402</v>
          </cell>
          <cell r="U266">
            <v>16378.727186552089</v>
          </cell>
          <cell r="V266">
            <v>17398.573138153966</v>
          </cell>
          <cell r="W266">
            <v>18169.07333095566</v>
          </cell>
          <cell r="X266">
            <v>18726.147801759995</v>
          </cell>
          <cell r="Y266">
            <v>19011.234601732082</v>
          </cell>
          <cell r="Z266">
            <v>19544.855689026859</v>
          </cell>
          <cell r="AA266">
            <v>19752.594407985947</v>
          </cell>
          <cell r="AB266">
            <v>20073.133342189656</v>
          </cell>
        </row>
        <row r="267">
          <cell r="B267" t="str">
            <v>OBITDA ISP</v>
          </cell>
          <cell r="R267">
            <v>1131.7800000000002</v>
          </cell>
          <cell r="S267">
            <v>1698</v>
          </cell>
          <cell r="T267">
            <v>1784.6496406672059</v>
          </cell>
          <cell r="U267">
            <v>1810.6355131457426</v>
          </cell>
          <cell r="V267">
            <v>1842.7472531836859</v>
          </cell>
          <cell r="W267">
            <v>1910.4409050817897</v>
          </cell>
          <cell r="X267">
            <v>2012.3362031534639</v>
          </cell>
          <cell r="Y267">
            <v>2125.237018377748</v>
          </cell>
          <cell r="Z267">
            <v>2250.65349098365</v>
          </cell>
          <cell r="AA267">
            <v>2387.2757825903918</v>
          </cell>
          <cell r="AB267">
            <v>2541.1662563669788</v>
          </cell>
        </row>
        <row r="268">
          <cell r="B268" t="str">
            <v>OBITDA core</v>
          </cell>
          <cell r="R268">
            <v>12345.9</v>
          </cell>
          <cell r="S268">
            <v>9824.1599999999962</v>
          </cell>
          <cell r="T268">
            <v>12900.539389153197</v>
          </cell>
          <cell r="U268">
            <v>14568.091673406347</v>
          </cell>
          <cell r="V268">
            <v>15555.82588497028</v>
          </cell>
          <cell r="W268">
            <v>16258.63242587387</v>
          </cell>
          <cell r="X268">
            <v>16713.811598606531</v>
          </cell>
          <cell r="Y268">
            <v>16885.997583354332</v>
          </cell>
          <cell r="Z268">
            <v>17294.202198043211</v>
          </cell>
          <cell r="AA268">
            <v>17365.318625395557</v>
          </cell>
          <cell r="AB268">
            <v>17531.967085822678</v>
          </cell>
        </row>
        <row r="269">
          <cell r="B269" t="str">
            <v>WC</v>
          </cell>
          <cell r="J269">
            <v>61710.667212</v>
          </cell>
          <cell r="R269">
            <v>15072.839999999993</v>
          </cell>
          <cell r="S269">
            <v>14021.312396960253</v>
          </cell>
          <cell r="T269">
            <v>-10015.921054437975</v>
          </cell>
          <cell r="U269">
            <v>-7331.6866815030589</v>
          </cell>
          <cell r="V269">
            <v>-7840.0032007954214</v>
          </cell>
          <cell r="W269">
            <v>-8306.9209101278175</v>
          </cell>
          <cell r="X269">
            <v>-7713.4709235233167</v>
          </cell>
          <cell r="Y269">
            <v>-7006.9759880361817</v>
          </cell>
          <cell r="Z269">
            <v>-6447.5083762139693</v>
          </cell>
          <cell r="AA269">
            <v>-5796.2681595390022</v>
          </cell>
          <cell r="AB269">
            <v>-5213.5489769798296</v>
          </cell>
        </row>
        <row r="270">
          <cell r="B270" t="str">
            <v>% of Sales</v>
          </cell>
        </row>
        <row r="271">
          <cell r="B271" t="str">
            <v>Change in WC</v>
          </cell>
          <cell r="R271">
            <v>15072.839999999993</v>
          </cell>
          <cell r="S271">
            <v>-1051.5276030397399</v>
          </cell>
          <cell r="T271">
            <v>-24037.233451398228</v>
          </cell>
          <cell r="U271">
            <v>2684.2343729349159</v>
          </cell>
          <cell r="V271">
            <v>-508.3165192923625</v>
          </cell>
          <cell r="W271">
            <v>-466.91770933239604</v>
          </cell>
          <cell r="X271">
            <v>593.44998660450074</v>
          </cell>
          <cell r="Y271">
            <v>706.49493548713508</v>
          </cell>
          <cell r="Z271">
            <v>559.46761182221235</v>
          </cell>
          <cell r="AA271">
            <v>651.24021667496709</v>
          </cell>
          <cell r="AB271">
            <v>582.71918255917262</v>
          </cell>
        </row>
        <row r="272">
          <cell r="B272" t="str">
            <v>PBT</v>
          </cell>
          <cell r="R272">
            <v>12156.670000000002</v>
          </cell>
          <cell r="S272">
            <v>8316.5699999999979</v>
          </cell>
          <cell r="T272">
            <v>12057.924730480161</v>
          </cell>
          <cell r="U272">
            <v>12846.36545956866</v>
          </cell>
          <cell r="V272">
            <v>13639.641565416739</v>
          </cell>
          <cell r="W272">
            <v>14220.78713308529</v>
          </cell>
          <cell r="X272">
            <v>14595.296458576713</v>
          </cell>
          <cell r="Y272">
            <v>14715.183953574026</v>
          </cell>
          <cell r="Z272">
            <v>15122.809657416361</v>
          </cell>
          <cell r="AA272">
            <v>15227.823852166261</v>
          </cell>
          <cell r="AB272">
            <v>15487.708434517512</v>
          </cell>
        </row>
        <row r="273">
          <cell r="B273" t="str">
            <v xml:space="preserve">Adjusted Tax </v>
          </cell>
          <cell r="R273">
            <v>2385.1433147137714</v>
          </cell>
          <cell r="S273">
            <v>1168.6420504012697</v>
          </cell>
          <cell r="T273">
            <v>2256.6085334820077</v>
          </cell>
          <cell r="U273">
            <v>2735.7925597644053</v>
          </cell>
          <cell r="V273">
            <v>3271.3343094006941</v>
          </cell>
          <cell r="W273">
            <v>3696.7184291197495</v>
          </cell>
          <cell r="X273">
            <v>3219.7934319950054</v>
          </cell>
          <cell r="Y273">
            <v>2636.3191726447976</v>
          </cell>
          <cell r="Z273">
            <v>2164.610597763538</v>
          </cell>
          <cell r="AA273">
            <v>1601.0380358762063</v>
          </cell>
          <cell r="AB273">
            <v>1099.3118894281877</v>
          </cell>
          <cell r="AD273" t="str">
            <v>tg</v>
          </cell>
        </row>
        <row r="274">
          <cell r="B274" t="str">
            <v>Interest shield</v>
          </cell>
          <cell r="R274">
            <v>75.617601530682322</v>
          </cell>
          <cell r="S274">
            <v>75.683179483849727</v>
          </cell>
          <cell r="T274">
            <v>0</v>
          </cell>
          <cell r="U274">
            <v>0</v>
          </cell>
          <cell r="V274">
            <v>0</v>
          </cell>
          <cell r="W274">
            <v>0</v>
          </cell>
          <cell r="X274">
            <v>0</v>
          </cell>
          <cell r="Y274">
            <v>0</v>
          </cell>
          <cell r="Z274">
            <v>0</v>
          </cell>
          <cell r="AA274">
            <v>0</v>
          </cell>
          <cell r="AB274">
            <v>0</v>
          </cell>
          <cell r="AD274">
            <v>0.01</v>
          </cell>
        </row>
        <row r="275">
          <cell r="B275" t="str">
            <v>Adjusted Tax Rate</v>
          </cell>
          <cell r="R275">
            <v>0.19620038338737261</v>
          </cell>
          <cell r="S275">
            <v>0.14051971550786801</v>
          </cell>
          <cell r="T275">
            <v>0.18714733952333659</v>
          </cell>
          <cell r="U275">
            <v>0.21296237977774801</v>
          </cell>
          <cell r="V275">
            <v>0.23984019621858321</v>
          </cell>
          <cell r="W275">
            <v>0.25995174490160045</v>
          </cell>
          <cell r="X275">
            <v>0.22060486685783903</v>
          </cell>
          <cell r="Y275">
            <v>0.17915638574157872</v>
          </cell>
          <cell r="Z275">
            <v>0.14313547857834696</v>
          </cell>
          <cell r="AA275">
            <v>0.10513899106131622</v>
          </cell>
          <cell r="AB275">
            <v>7.0979634855350665E-2</v>
          </cell>
        </row>
        <row r="276">
          <cell r="B276" t="str">
            <v>Capex</v>
          </cell>
          <cell r="R276">
            <v>9916.099999999984</v>
          </cell>
          <cell r="S276">
            <v>10922.378822277657</v>
          </cell>
          <cell r="T276">
            <v>13361.564490422701</v>
          </cell>
          <cell r="U276">
            <v>10107.31927037863</v>
          </cell>
          <cell r="V276">
            <v>9589.2559365244306</v>
          </cell>
          <cell r="W276">
            <v>9399.9578485143902</v>
          </cell>
          <cell r="X276">
            <v>9553.7712154131932</v>
          </cell>
          <cell r="Y276">
            <v>9725.4186604756251</v>
          </cell>
          <cell r="Z276">
            <v>9792.198706883155</v>
          </cell>
          <cell r="AA276">
            <v>9800.0118552095373</v>
          </cell>
          <cell r="AB276">
            <v>9764.1812196558985</v>
          </cell>
          <cell r="AC276" t="str">
            <v>TV</v>
          </cell>
        </row>
        <row r="277">
          <cell r="B277" t="str">
            <v>% of sales</v>
          </cell>
          <cell r="S277">
            <v>0.21314246060118952</v>
          </cell>
          <cell r="T277">
            <v>0.2476739990590712</v>
          </cell>
          <cell r="U277">
            <v>0.17898792012375833</v>
          </cell>
          <cell r="V277">
            <v>0.16582137947611064</v>
          </cell>
          <cell r="W277">
            <v>0.16026491445493515</v>
          </cell>
          <cell r="X277">
            <v>0.16026601041956376</v>
          </cell>
          <cell r="Y277">
            <v>0.1612467643085945</v>
          </cell>
          <cell r="Z277">
            <v>0.16006053436810039</v>
          </cell>
          <cell r="AA277">
            <v>0.15883222951501702</v>
          </cell>
          <cell r="AB277">
            <v>0.15656075090053567</v>
          </cell>
        </row>
        <row r="278">
          <cell r="B278" t="str">
            <v>Cash Flow</v>
          </cell>
          <cell r="S278">
            <v>482.66673036081011</v>
          </cell>
          <cell r="T278">
            <v>23104.249457313919</v>
          </cell>
          <cell r="U278">
            <v>851.38098347413688</v>
          </cell>
          <cell r="V278">
            <v>5046.2994115212041</v>
          </cell>
          <cell r="W278">
            <v>5539.3147626539157</v>
          </cell>
          <cell r="X278">
            <v>5359.1331677472954</v>
          </cell>
          <cell r="Y278">
            <v>5943.0018331245228</v>
          </cell>
          <cell r="Z278">
            <v>7028.5787725579539</v>
          </cell>
          <cell r="AA278">
            <v>7700.304300225238</v>
          </cell>
          <cell r="AB278">
            <v>8626.921050546398</v>
          </cell>
          <cell r="AC278">
            <v>78497.209559025796</v>
          </cell>
          <cell r="AD278">
            <v>9.0990990990991012</v>
          </cell>
        </row>
        <row r="279">
          <cell r="B279" t="str">
            <v>% of growth</v>
          </cell>
          <cell r="T279">
            <v>46.867913829574896</v>
          </cell>
          <cell r="U279">
            <v>-0.96315045918080566</v>
          </cell>
          <cell r="V279">
            <v>4.9271930069771166</v>
          </cell>
          <cell r="W279">
            <v>9.7698394591313464E-2</v>
          </cell>
          <cell r="X279">
            <v>-3.2527776923132357E-2</v>
          </cell>
          <cell r="Y279">
            <v>0.10894834054341218</v>
          </cell>
          <cell r="Z279">
            <v>0.18266474921524489</v>
          </cell>
          <cell r="AA279">
            <v>9.557060529646999E-2</v>
          </cell>
          <cell r="AB279">
            <v>0.12033508212059307</v>
          </cell>
        </row>
        <row r="280">
          <cell r="U280">
            <v>1</v>
          </cell>
          <cell r="V280">
            <v>2</v>
          </cell>
          <cell r="W280">
            <v>3</v>
          </cell>
          <cell r="X280">
            <v>4</v>
          </cell>
          <cell r="Y280">
            <v>5</v>
          </cell>
          <cell r="Z280">
            <v>6</v>
          </cell>
          <cell r="AA280">
            <v>7</v>
          </cell>
          <cell r="AB280">
            <v>8</v>
          </cell>
        </row>
        <row r="281">
          <cell r="B281" t="str">
            <v>WACC</v>
          </cell>
          <cell r="R281">
            <v>0.121</v>
          </cell>
          <cell r="S281">
            <v>0.121</v>
          </cell>
          <cell r="T281">
            <v>0.121</v>
          </cell>
          <cell r="U281">
            <v>0.121</v>
          </cell>
          <cell r="V281">
            <v>0.121</v>
          </cell>
          <cell r="W281">
            <v>0.121</v>
          </cell>
          <cell r="X281">
            <v>0.121</v>
          </cell>
          <cell r="Y281">
            <v>0.121</v>
          </cell>
          <cell r="Z281">
            <v>0.121</v>
          </cell>
          <cell r="AA281">
            <v>0.121</v>
          </cell>
          <cell r="AB281">
            <v>0.121</v>
          </cell>
        </row>
        <row r="282">
          <cell r="B282" t="str">
            <v>Discounting multiplier</v>
          </cell>
          <cell r="R282">
            <v>1</v>
          </cell>
          <cell r="S282">
            <v>1</v>
          </cell>
          <cell r="T282">
            <v>1</v>
          </cell>
          <cell r="U282">
            <v>0.89206066012488849</v>
          </cell>
          <cell r="V282">
            <v>0.79577222134245185</v>
          </cell>
          <cell r="W282">
            <v>0.70987709307979652</v>
          </cell>
          <cell r="X282">
            <v>0.63325342826030029</v>
          </cell>
          <cell r="Y282">
            <v>0.56490047124023213</v>
          </cell>
          <cell r="Z282">
            <v>0.5039254872794221</v>
          </cell>
          <cell r="AA282">
            <v>0.4495321028362374</v>
          </cell>
          <cell r="AB282">
            <v>0.40100990440342327</v>
          </cell>
        </row>
        <row r="283">
          <cell r="B283" t="str">
            <v>PV of Cash flows</v>
          </cell>
          <cell r="R283">
            <v>0</v>
          </cell>
          <cell r="T283">
            <v>23104.249457313919</v>
          </cell>
          <cell r="U283">
            <v>759.48348213571535</v>
          </cell>
          <cell r="V283">
            <v>4015.7048922653362</v>
          </cell>
          <cell r="W283">
            <v>3932.2326613667647</v>
          </cell>
          <cell r="X283">
            <v>3393.6894509794579</v>
          </cell>
          <cell r="Y283">
            <v>3357.2045361136065</v>
          </cell>
          <cell r="Z283">
            <v>3541.8799828430692</v>
          </cell>
          <cell r="AA283">
            <v>3461.5339845591729</v>
          </cell>
          <cell r="AB283">
            <v>3459.4807857754909</v>
          </cell>
        </row>
        <row r="284">
          <cell r="B284" t="str">
            <v>Aggregate Value</v>
          </cell>
          <cell r="T284">
            <v>80503.617734552958</v>
          </cell>
          <cell r="U284">
            <v>127.78352021357613</v>
          </cell>
        </row>
        <row r="286">
          <cell r="B286" t="str">
            <v>Net debt on books</v>
          </cell>
          <cell r="T286">
            <v>-28517.993280762093</v>
          </cell>
          <cell r="U286">
            <v>-45.266656001209675</v>
          </cell>
        </row>
        <row r="287">
          <cell r="B287" t="str">
            <v>Tax cases won - (money to be recd)</v>
          </cell>
          <cell r="U287">
            <v>0</v>
          </cell>
          <cell r="V287">
            <v>-28517.993280762093</v>
          </cell>
        </row>
        <row r="288">
          <cell r="B288" t="str">
            <v>Equity Value Rs mn</v>
          </cell>
          <cell r="T288">
            <v>109021.61101531505</v>
          </cell>
        </row>
        <row r="289">
          <cell r="B289" t="str">
            <v>Equity Value US$ mn</v>
          </cell>
          <cell r="T289">
            <v>2339.5195496848723</v>
          </cell>
        </row>
        <row r="290">
          <cell r="B290" t="str">
            <v>Shares (m)</v>
          </cell>
          <cell r="T290">
            <v>630</v>
          </cell>
        </row>
        <row r="291">
          <cell r="B291" t="str">
            <v>Implied DCF value per share (Rs) March</v>
          </cell>
          <cell r="T291">
            <v>173.05017621478581</v>
          </cell>
          <cell r="U291">
            <v>154.85</v>
          </cell>
          <cell r="V291">
            <v>0.11753423451589162</v>
          </cell>
        </row>
        <row r="292">
          <cell r="B292" t="str">
            <v>Current DCF value</v>
          </cell>
          <cell r="T292">
            <v>144.20848017898817</v>
          </cell>
        </row>
        <row r="294">
          <cell r="B294" t="str">
            <v>Cost of Capital calculation</v>
          </cell>
          <cell r="Y294">
            <v>2598</v>
          </cell>
        </row>
        <row r="295">
          <cell r="B295" t="str">
            <v>Cost of Debt (I)</v>
          </cell>
          <cell r="I295">
            <v>0.15870000000000001</v>
          </cell>
          <cell r="J295">
            <v>0.15440000000000001</v>
          </cell>
          <cell r="K295">
            <v>0.1358</v>
          </cell>
          <cell r="L295">
            <v>0.129583333333333</v>
          </cell>
          <cell r="M295">
            <v>0.13</v>
          </cell>
          <cell r="N295">
            <v>0.13</v>
          </cell>
          <cell r="O295">
            <v>0.115</v>
          </cell>
          <cell r="P295">
            <v>0.09</v>
          </cell>
          <cell r="Q295">
            <v>0.06</v>
          </cell>
          <cell r="R295">
            <v>0.08</v>
          </cell>
          <cell r="S295">
            <v>0.08</v>
          </cell>
          <cell r="T295">
            <v>0.08</v>
          </cell>
          <cell r="U295">
            <v>0.08</v>
          </cell>
          <cell r="V295">
            <v>0.08</v>
          </cell>
          <cell r="W295">
            <v>0.08</v>
          </cell>
        </row>
        <row r="296">
          <cell r="B296" t="str">
            <v>After tax cost of debt (Rd =(1-tx)x I)</v>
          </cell>
          <cell r="I296">
            <v>8.569800000000001E-2</v>
          </cell>
          <cell r="J296">
            <v>8.3376000000000006E-2</v>
          </cell>
          <cell r="K296">
            <v>8.8270000000000001E-2</v>
          </cell>
          <cell r="L296">
            <v>8.4229166666666452E-2</v>
          </cell>
          <cell r="M296">
            <v>8.4500000000000006E-2</v>
          </cell>
          <cell r="N296">
            <v>7.9950000000000007E-2</v>
          </cell>
          <cell r="O296">
            <v>7.3945000000000011E-2</v>
          </cell>
          <cell r="P296">
            <v>5.6925000000000003E-2</v>
          </cell>
          <cell r="Q296">
            <v>3.8579999999999996E-2</v>
          </cell>
          <cell r="R296">
            <v>5.144E-2</v>
          </cell>
          <cell r="S296">
            <v>5.3072000000000001E-2</v>
          </cell>
          <cell r="T296">
            <v>5.3072000000000001E-2</v>
          </cell>
          <cell r="U296">
            <v>5.3072000000000001E-2</v>
          </cell>
          <cell r="V296">
            <v>5.3072000000000001E-2</v>
          </cell>
          <cell r="W296">
            <v>5.3072000000000001E-2</v>
          </cell>
        </row>
        <row r="297">
          <cell r="B297" t="str">
            <v>Tax</v>
          </cell>
          <cell r="I297">
            <v>0.46</v>
          </cell>
          <cell r="J297">
            <v>0.46</v>
          </cell>
          <cell r="K297">
            <v>0.35</v>
          </cell>
          <cell r="L297">
            <v>0.35</v>
          </cell>
          <cell r="M297">
            <v>0.35</v>
          </cell>
          <cell r="N297">
            <v>0.38500000000000001</v>
          </cell>
          <cell r="O297">
            <v>0.35699999999999998</v>
          </cell>
          <cell r="P297">
            <v>0.36749999999999999</v>
          </cell>
          <cell r="Q297">
            <v>0.35699999999999998</v>
          </cell>
          <cell r="R297">
            <v>0.35699999999999998</v>
          </cell>
          <cell r="S297">
            <v>0.33660000000000001</v>
          </cell>
          <cell r="T297">
            <v>0.33660000000000001</v>
          </cell>
          <cell r="U297">
            <v>0.33660000000000001</v>
          </cell>
          <cell r="V297">
            <v>0.33660000000000001</v>
          </cell>
          <cell r="W297">
            <v>0.33660000000000001</v>
          </cell>
        </row>
        <row r="298">
          <cell r="B298" t="str">
            <v>Risk free rate (Rf)</v>
          </cell>
          <cell r="I298">
            <v>0.11</v>
          </cell>
          <cell r="J298">
            <v>0.11</v>
          </cell>
          <cell r="K298">
            <v>0.11</v>
          </cell>
          <cell r="L298">
            <v>0.11</v>
          </cell>
          <cell r="M298">
            <v>0.11</v>
          </cell>
          <cell r="N298">
            <v>9.5000000000000001E-2</v>
          </cell>
          <cell r="O298">
            <v>7.4999999999999997E-2</v>
          </cell>
          <cell r="P298">
            <v>7.4999999999999997E-2</v>
          </cell>
          <cell r="Q298">
            <v>0.06</v>
          </cell>
          <cell r="R298">
            <v>7.4999999999999997E-2</v>
          </cell>
          <cell r="S298">
            <v>7.4999999999999997E-2</v>
          </cell>
          <cell r="T298">
            <v>7.4999999999999997E-2</v>
          </cell>
          <cell r="U298">
            <v>7.4999999999999997E-2</v>
          </cell>
          <cell r="V298">
            <v>7.4999999999999997E-2</v>
          </cell>
          <cell r="W298">
            <v>7.4999999999999997E-2</v>
          </cell>
        </row>
        <row r="299">
          <cell r="B299" t="str">
            <v>Beta (b)</v>
          </cell>
          <cell r="I299">
            <v>0.67</v>
          </cell>
          <cell r="J299">
            <v>0.67</v>
          </cell>
          <cell r="K299">
            <v>0.67</v>
          </cell>
          <cell r="L299">
            <v>0.67</v>
          </cell>
          <cell r="M299">
            <v>0.67</v>
          </cell>
          <cell r="N299">
            <v>1</v>
          </cell>
          <cell r="O299">
            <v>1.0640000000000001</v>
          </cell>
          <cell r="P299">
            <v>1.0640000000000001</v>
          </cell>
          <cell r="Q299">
            <v>1.04</v>
          </cell>
          <cell r="R299">
            <v>1.04</v>
          </cell>
          <cell r="S299">
            <v>1.04</v>
          </cell>
          <cell r="T299">
            <v>1.04</v>
          </cell>
          <cell r="U299">
            <v>1.04</v>
          </cell>
          <cell r="V299">
            <v>1.04</v>
          </cell>
          <cell r="W299">
            <v>1.04</v>
          </cell>
        </row>
        <row r="300">
          <cell r="B300" t="str">
            <v>Risk premium (Rm- Rf)</v>
          </cell>
          <cell r="I300">
            <v>0.08</v>
          </cell>
          <cell r="J300">
            <v>0.08</v>
          </cell>
          <cell r="K300">
            <v>0.08</v>
          </cell>
          <cell r="L300">
            <v>0.08</v>
          </cell>
          <cell r="M300">
            <v>0.08</v>
          </cell>
          <cell r="N300">
            <v>8.5000000000000006E-2</v>
          </cell>
          <cell r="O300">
            <v>8.5000000000000006E-2</v>
          </cell>
          <cell r="P300">
            <v>8.5000000000000006E-2</v>
          </cell>
          <cell r="Q300">
            <v>8.5000000000000006E-2</v>
          </cell>
          <cell r="R300">
            <v>0.06</v>
          </cell>
          <cell r="S300">
            <v>0.06</v>
          </cell>
          <cell r="T300">
            <v>0.06</v>
          </cell>
          <cell r="U300">
            <v>0.06</v>
          </cell>
          <cell r="V300">
            <v>0.06</v>
          </cell>
          <cell r="W300">
            <v>0.06</v>
          </cell>
        </row>
        <row r="301">
          <cell r="B301" t="str">
            <v xml:space="preserve">Cost of equity (Re= Rf +bxRm) </v>
          </cell>
          <cell r="I301">
            <v>0.1636</v>
          </cell>
          <cell r="J301">
            <v>0.1636</v>
          </cell>
          <cell r="K301">
            <v>0.1636</v>
          </cell>
          <cell r="L301">
            <v>0.1636</v>
          </cell>
          <cell r="M301">
            <v>0.1636</v>
          </cell>
          <cell r="N301">
            <v>0.18</v>
          </cell>
          <cell r="O301">
            <v>0.16544</v>
          </cell>
          <cell r="P301">
            <v>0.16544</v>
          </cell>
          <cell r="Q301">
            <v>0.1484</v>
          </cell>
          <cell r="R301">
            <v>0.13739999999999999</v>
          </cell>
          <cell r="S301">
            <v>0.13739999999999999</v>
          </cell>
          <cell r="T301">
            <v>0.13739999999999999</v>
          </cell>
          <cell r="U301">
            <v>0.13739999999999999</v>
          </cell>
          <cell r="V301">
            <v>0.13739999999999999</v>
          </cell>
          <cell r="W301">
            <v>0.13739999999999999</v>
          </cell>
        </row>
        <row r="302">
          <cell r="B302" t="str">
            <v>Wacc</v>
          </cell>
          <cell r="I302">
            <v>0.15253044202535246</v>
          </cell>
          <cell r="J302">
            <v>0.15630587084095271</v>
          </cell>
          <cell r="K302">
            <v>0.16151993989222399</v>
          </cell>
          <cell r="L302">
            <v>0.16340392063432008</v>
          </cell>
          <cell r="M302">
            <v>0.16344462825136191</v>
          </cell>
          <cell r="N302">
            <v>0.17738328233949419</v>
          </cell>
          <cell r="O302">
            <v>0.16544</v>
          </cell>
          <cell r="P302">
            <v>0.16544</v>
          </cell>
          <cell r="Q302">
            <v>0.1484</v>
          </cell>
          <cell r="R302">
            <v>0.13739999999999999</v>
          </cell>
          <cell r="S302">
            <v>0.13739999999999999</v>
          </cell>
          <cell r="T302">
            <v>0.1205344</v>
          </cell>
          <cell r="U302">
            <v>0.13739999999999999</v>
          </cell>
          <cell r="V302">
            <v>0.13739999999999999</v>
          </cell>
          <cell r="W302">
            <v>0.13739999999999999</v>
          </cell>
        </row>
        <row r="304">
          <cell r="B304" t="str">
            <v>MTNL total subscibers</v>
          </cell>
          <cell r="I304">
            <v>2607.7950000000001</v>
          </cell>
          <cell r="J304">
            <v>3012.154</v>
          </cell>
          <cell r="K304">
            <v>3406.7389999999996</v>
          </cell>
          <cell r="L304">
            <v>3653.91</v>
          </cell>
          <cell r="M304">
            <v>4031.6239999999998</v>
          </cell>
          <cell r="N304">
            <v>4335.1899999999996</v>
          </cell>
          <cell r="O304">
            <v>4496.5050000000001</v>
          </cell>
          <cell r="P304">
            <v>4633.6650000000009</v>
          </cell>
          <cell r="Q304">
            <v>4834.4800000000005</v>
          </cell>
          <cell r="R304">
            <v>5153.4769999999999</v>
          </cell>
          <cell r="S304">
            <v>5924.4170000000004</v>
          </cell>
          <cell r="T304">
            <v>6805.5564944446487</v>
          </cell>
          <cell r="U304">
            <v>7613.4866990581959</v>
          </cell>
          <cell r="V304">
            <v>7988.3174095385202</v>
          </cell>
          <cell r="W304">
            <v>8261.1464663391707</v>
          </cell>
          <cell r="X304">
            <v>8515.2047785401337</v>
          </cell>
          <cell r="Y304">
            <v>8754.0361999872312</v>
          </cell>
          <cell r="Z304">
            <v>8954.4851973688565</v>
          </cell>
          <cell r="AA304">
            <v>9105.2506348282022</v>
          </cell>
          <cell r="AB304">
            <v>9200.3959358606735</v>
          </cell>
        </row>
        <row r="305">
          <cell r="B305" t="str">
            <v>Wireline</v>
          </cell>
          <cell r="R305">
            <v>4075.34</v>
          </cell>
          <cell r="S305">
            <v>3877.6080000000002</v>
          </cell>
          <cell r="T305">
            <v>3873.7604758918569</v>
          </cell>
          <cell r="U305">
            <v>3871.0043050381482</v>
          </cell>
          <cell r="V305">
            <v>3868.8449041570666</v>
          </cell>
          <cell r="W305">
            <v>3866.7870774867824</v>
          </cell>
          <cell r="X305">
            <v>3864.8351350681323</v>
          </cell>
          <cell r="Y305">
            <v>3862.9926574606775</v>
          </cell>
          <cell r="Z305">
            <v>3861.7626293733474</v>
          </cell>
          <cell r="AA305">
            <v>3860.6468607828992</v>
          </cell>
          <cell r="AB305">
            <v>3859.5308036728679</v>
          </cell>
        </row>
        <row r="306">
          <cell r="B306" t="str">
            <v>Wireless Subs</v>
          </cell>
          <cell r="R306">
            <v>1078.1369999999999</v>
          </cell>
          <cell r="S306">
            <v>2046.809</v>
          </cell>
          <cell r="T306">
            <v>2931.7960185527909</v>
          </cell>
          <cell r="U306">
            <v>3742.4823940200476</v>
          </cell>
          <cell r="V306">
            <v>4119.4725053814536</v>
          </cell>
          <cell r="W306">
            <v>4394.3593888523892</v>
          </cell>
          <cell r="X306">
            <v>4650.3696434720005</v>
          </cell>
          <cell r="Y306">
            <v>4891.0435425265541</v>
          </cell>
          <cell r="Z306">
            <v>5092.7225679955072</v>
          </cell>
          <cell r="AA306">
            <v>5244.6037740453039</v>
          </cell>
          <cell r="AB306">
            <v>5340.8651321878051</v>
          </cell>
        </row>
        <row r="307">
          <cell r="B307" t="str">
            <v>GSM</v>
          </cell>
          <cell r="R307">
            <v>881.69599999999991</v>
          </cell>
          <cell r="S307">
            <v>1941.146</v>
          </cell>
          <cell r="T307">
            <v>2584.630116052791</v>
          </cell>
          <cell r="U307">
            <v>3330.5806303200475</v>
          </cell>
          <cell r="V307">
            <v>3643.8552379854536</v>
          </cell>
          <cell r="W307">
            <v>3867.1325634626292</v>
          </cell>
          <cell r="X307">
            <v>4068.4366866088549</v>
          </cell>
          <cell r="Y307">
            <v>4256.6493584301252</v>
          </cell>
          <cell r="Z307">
            <v>4423.3745709701525</v>
          </cell>
          <cell r="AA307">
            <v>4551.8973986853043</v>
          </cell>
          <cell r="AB307">
            <v>4637.386272749206</v>
          </cell>
        </row>
        <row r="308">
          <cell r="B308" t="str">
            <v>CDMA</v>
          </cell>
          <cell r="R308">
            <v>196.44099999999997</v>
          </cell>
          <cell r="S308">
            <v>105.663</v>
          </cell>
          <cell r="T308">
            <v>347.16590250000007</v>
          </cell>
          <cell r="U308">
            <v>411.90176370000012</v>
          </cell>
          <cell r="V308">
            <v>475.6172673960001</v>
          </cell>
          <cell r="W308">
            <v>527.22682538976017</v>
          </cell>
          <cell r="X308">
            <v>581.93295686314571</v>
          </cell>
          <cell r="Y308">
            <v>634.39418409642872</v>
          </cell>
          <cell r="Z308">
            <v>669.34799702535497</v>
          </cell>
          <cell r="AA308">
            <v>692.70637535999924</v>
          </cell>
          <cell r="AB308">
            <v>703.47885943859933</v>
          </cell>
        </row>
        <row r="309">
          <cell r="L309" t="str">
            <v>TV</v>
          </cell>
          <cell r="M309" t="str">
            <v>TV / WACC</v>
          </cell>
          <cell r="N309">
            <v>0.13</v>
          </cell>
          <cell r="O309">
            <v>0.14000000000000001</v>
          </cell>
          <cell r="P309">
            <v>0.15</v>
          </cell>
        </row>
        <row r="310">
          <cell r="L310">
            <v>0.01</v>
          </cell>
          <cell r="M310">
            <v>0.01</v>
          </cell>
          <cell r="N310">
            <v>167</v>
          </cell>
          <cell r="O310">
            <v>159</v>
          </cell>
          <cell r="P310">
            <v>153</v>
          </cell>
        </row>
        <row r="311">
          <cell r="L311">
            <v>0.02</v>
          </cell>
          <cell r="M311">
            <v>0.02</v>
          </cell>
          <cell r="N311">
            <v>171</v>
          </cell>
          <cell r="O311">
            <v>0</v>
          </cell>
          <cell r="P311">
            <v>156</v>
          </cell>
          <cell r="R311">
            <v>168</v>
          </cell>
          <cell r="S311">
            <v>118</v>
          </cell>
          <cell r="T311">
            <v>1.423728813559322</v>
          </cell>
        </row>
        <row r="312">
          <cell r="L312">
            <v>0.03</v>
          </cell>
          <cell r="M312">
            <v>0.03</v>
          </cell>
          <cell r="N312">
            <v>177</v>
          </cell>
          <cell r="O312">
            <v>167</v>
          </cell>
          <cell r="P312">
            <v>160</v>
          </cell>
        </row>
        <row r="314">
          <cell r="N314" t="str">
            <v>buy zone</v>
          </cell>
          <cell r="O314">
            <v>0</v>
          </cell>
        </row>
        <row r="315">
          <cell r="N315" t="str">
            <v>Fair price</v>
          </cell>
          <cell r="O315">
            <v>0</v>
          </cell>
        </row>
        <row r="316">
          <cell r="N316" t="str">
            <v>sell zone</v>
          </cell>
          <cell r="O316">
            <v>0</v>
          </cell>
        </row>
        <row r="317">
          <cell r="P317" t="str">
            <v>Re</v>
          </cell>
          <cell r="Q317">
            <v>0.15755000000000002</v>
          </cell>
        </row>
        <row r="318">
          <cell r="P318" t="str">
            <v>RF</v>
          </cell>
          <cell r="Q318">
            <v>7.0000000000000007E-2</v>
          </cell>
        </row>
        <row r="319">
          <cell r="B319" t="str">
            <v>ISP Business Valuation</v>
          </cell>
          <cell r="P319" t="str">
            <v>B</v>
          </cell>
          <cell r="Q319">
            <v>1.03</v>
          </cell>
        </row>
        <row r="320">
          <cell r="B320" t="str">
            <v>ISP</v>
          </cell>
          <cell r="I320">
            <v>37000</v>
          </cell>
          <cell r="P320" t="str">
            <v>rm</v>
          </cell>
          <cell r="Q320">
            <v>8.5000000000000006E-2</v>
          </cell>
        </row>
        <row r="321">
          <cell r="B321" t="str">
            <v>Sify Valuation</v>
          </cell>
        </row>
        <row r="322">
          <cell r="B322" t="str">
            <v>Mn shares</v>
          </cell>
          <cell r="I322">
            <v>88.8</v>
          </cell>
          <cell r="P322" t="str">
            <v>rd</v>
          </cell>
          <cell r="Q322">
            <v>0.08</v>
          </cell>
        </row>
        <row r="323">
          <cell r="B323" t="str">
            <v>Mprice</v>
          </cell>
          <cell r="I323">
            <v>35</v>
          </cell>
          <cell r="P323" t="str">
            <v>debt</v>
          </cell>
        </row>
        <row r="324">
          <cell r="B324" t="str">
            <v>SIFY's M Cap US mn</v>
          </cell>
          <cell r="I324">
            <v>3108</v>
          </cell>
          <cell r="P324" t="str">
            <v>equity</v>
          </cell>
          <cell r="Q324">
            <v>1</v>
          </cell>
          <cell r="R324">
            <v>131</v>
          </cell>
        </row>
        <row r="325">
          <cell r="B325" t="str">
            <v>Subscribers</v>
          </cell>
          <cell r="I325">
            <v>150000</v>
          </cell>
          <cell r="Q325">
            <v>0.15755000000000002</v>
          </cell>
          <cell r="R325">
            <v>181</v>
          </cell>
        </row>
        <row r="326">
          <cell r="B326" t="str">
            <v>Mcap/subscriber</v>
          </cell>
          <cell r="I326">
            <v>20720</v>
          </cell>
          <cell r="R326">
            <v>0.72375690607734811</v>
          </cell>
        </row>
        <row r="327">
          <cell r="B327" t="str">
            <v>% of Sify Valuations</v>
          </cell>
          <cell r="I327">
            <v>0.1</v>
          </cell>
          <cell r="J327">
            <v>0.2</v>
          </cell>
          <cell r="K327">
            <v>0.3</v>
          </cell>
        </row>
        <row r="328">
          <cell r="I328">
            <v>2072</v>
          </cell>
          <cell r="J328">
            <v>4144</v>
          </cell>
          <cell r="K328">
            <v>6216</v>
          </cell>
        </row>
        <row r="329">
          <cell r="B329" t="str">
            <v>RS mn</v>
          </cell>
          <cell r="I329">
            <v>76.664000000000001</v>
          </cell>
          <cell r="J329">
            <v>153.328</v>
          </cell>
          <cell r="K329">
            <v>229.99199999999999</v>
          </cell>
        </row>
        <row r="330">
          <cell r="B330" t="str">
            <v>Incremental Valuation based on ISP business</v>
          </cell>
          <cell r="I330" t="e">
            <v>#DIV/0!</v>
          </cell>
          <cell r="J330" t="e">
            <v>#DIV/0!</v>
          </cell>
          <cell r="K330" t="e">
            <v>#DIV/0!</v>
          </cell>
        </row>
        <row r="333">
          <cell r="L333" t="str">
            <v>Sal Cal</v>
          </cell>
        </row>
        <row r="334">
          <cell r="L334" t="str">
            <v>Normal</v>
          </cell>
          <cell r="M334">
            <v>7705.8412499999995</v>
          </cell>
        </row>
        <row r="335">
          <cell r="L335" t="str">
            <v>Diff</v>
          </cell>
          <cell r="M335">
            <v>3193.2387500000004</v>
          </cell>
        </row>
        <row r="336">
          <cell r="L336" t="str">
            <v>Hike on Pay revising for year</v>
          </cell>
          <cell r="M336">
            <v>2254.0508823529417</v>
          </cell>
        </row>
        <row r="337">
          <cell r="L337" t="str">
            <v>Extarordinary</v>
          </cell>
          <cell r="M337">
            <v>939.18786764705874</v>
          </cell>
        </row>
        <row r="339">
          <cell r="L339" t="str">
            <v>Staff</v>
          </cell>
          <cell r="M339">
            <v>7102.8</v>
          </cell>
        </row>
        <row r="340">
          <cell r="M340">
            <v>10899</v>
          </cell>
        </row>
        <row r="341">
          <cell r="L341" t="str">
            <v>Differential</v>
          </cell>
          <cell r="M341">
            <v>3796.2</v>
          </cell>
        </row>
        <row r="342">
          <cell r="L342" t="str">
            <v>Adminitsration</v>
          </cell>
          <cell r="M342">
            <v>830</v>
          </cell>
        </row>
        <row r="343">
          <cell r="L343" t="str">
            <v>Pre paid acct</v>
          </cell>
          <cell r="M343">
            <v>1491</v>
          </cell>
        </row>
        <row r="344">
          <cell r="M344">
            <v>6117.2</v>
          </cell>
        </row>
        <row r="355">
          <cell r="B355" t="str">
            <v>PBT</v>
          </cell>
          <cell r="N355">
            <v>19842</v>
          </cell>
          <cell r="O355">
            <v>18829.800000000007</v>
          </cell>
          <cell r="P355">
            <v>13197.56000000001</v>
          </cell>
          <cell r="Q355">
            <v>16881.98</v>
          </cell>
          <cell r="R355">
            <v>12156.670000000002</v>
          </cell>
          <cell r="S355">
            <v>8316.5699999999979</v>
          </cell>
          <cell r="T355">
            <v>12057.924730480161</v>
          </cell>
        </row>
        <row r="356">
          <cell r="B356" t="str">
            <v>Taking peccimistic tax rate</v>
          </cell>
          <cell r="N356">
            <v>7549</v>
          </cell>
          <cell r="O356">
            <v>5648.9400000000014</v>
          </cell>
          <cell r="P356">
            <v>3959.2680000000028</v>
          </cell>
          <cell r="Q356">
            <v>5064.5940000000001</v>
          </cell>
          <cell r="R356">
            <v>3647.0010000000007</v>
          </cell>
          <cell r="S356">
            <v>2494.9709999999991</v>
          </cell>
          <cell r="T356">
            <v>3617.3774191440484</v>
          </cell>
        </row>
        <row r="357">
          <cell r="B357" t="str">
            <v>PAT</v>
          </cell>
          <cell r="N357">
            <v>12293</v>
          </cell>
          <cell r="O357">
            <v>13180.860000000004</v>
          </cell>
          <cell r="P357">
            <v>9238.2920000000086</v>
          </cell>
          <cell r="Q357">
            <v>11817.385999999999</v>
          </cell>
          <cell r="R357">
            <v>8509.6690000000017</v>
          </cell>
          <cell r="S357">
            <v>5821.5989999999983</v>
          </cell>
          <cell r="T357">
            <v>8440.5473113361131</v>
          </cell>
        </row>
        <row r="358">
          <cell r="B358" t="str">
            <v>EPS</v>
          </cell>
          <cell r="N358" t="e">
            <v>#DIV/0!</v>
          </cell>
          <cell r="O358" t="e">
            <v>#DIV/0!</v>
          </cell>
          <cell r="P358" t="e">
            <v>#DIV/0!</v>
          </cell>
          <cell r="Q358" t="e">
            <v>#DIV/0!</v>
          </cell>
          <cell r="R358" t="e">
            <v>#DIV/0!</v>
          </cell>
          <cell r="S358" t="e">
            <v>#DIV/0!</v>
          </cell>
          <cell r="T358" t="e">
            <v>#DIV/0!</v>
          </cell>
        </row>
        <row r="359">
          <cell r="B359" t="str">
            <v>P/E</v>
          </cell>
          <cell r="N359" t="e">
            <v>#DIV/0!</v>
          </cell>
          <cell r="O359" t="e">
            <v>#DIV/0!</v>
          </cell>
          <cell r="P359" t="e">
            <v>#DIV/0!</v>
          </cell>
          <cell r="Q359" t="e">
            <v>#DIV/0!</v>
          </cell>
          <cell r="R359" t="e">
            <v>#DIV/0!</v>
          </cell>
          <cell r="S359" t="e">
            <v>#DIV/0!</v>
          </cell>
          <cell r="T359" t="e">
            <v>#DIV/0!</v>
          </cell>
        </row>
        <row r="363">
          <cell r="N363" t="str">
            <v>Indian GAAP</v>
          </cell>
          <cell r="O363" t="str">
            <v>US GAAP</v>
          </cell>
          <cell r="P363" t="str">
            <v>Differences</v>
          </cell>
        </row>
        <row r="364">
          <cell r="M364" t="str">
            <v>Depreciation difference</v>
          </cell>
          <cell r="P364">
            <v>1209</v>
          </cell>
          <cell r="Q364">
            <v>9</v>
          </cell>
        </row>
        <row r="365">
          <cell r="M365" t="str">
            <v>Other expenses</v>
          </cell>
          <cell r="P365">
            <v>1430.799999999992</v>
          </cell>
        </row>
        <row r="366">
          <cell r="M366" t="str">
            <v>PBT</v>
          </cell>
          <cell r="N366">
            <v>17202.200000000008</v>
          </cell>
          <cell r="O366">
            <v>19842</v>
          </cell>
          <cell r="P366">
            <v>2639.799999999992</v>
          </cell>
        </row>
        <row r="367">
          <cell r="M367" t="str">
            <v>Tax</v>
          </cell>
          <cell r="N367">
            <v>1630</v>
          </cell>
          <cell r="O367">
            <v>7549</v>
          </cell>
          <cell r="P367">
            <v>-5919</v>
          </cell>
        </row>
        <row r="368">
          <cell r="M368" t="str">
            <v>PAT</v>
          </cell>
          <cell r="N368">
            <v>15572.200000000008</v>
          </cell>
          <cell r="O368">
            <v>12293</v>
          </cell>
          <cell r="P368">
            <v>-3279.200000000008</v>
          </cell>
        </row>
        <row r="373">
          <cell r="O373">
            <v>0.2</v>
          </cell>
          <cell r="P373">
            <v>0.11</v>
          </cell>
        </row>
        <row r="374">
          <cell r="M374" t="str">
            <v>1999/0</v>
          </cell>
          <cell r="N374" t="str">
            <v>2000/1</v>
          </cell>
          <cell r="O374" t="str">
            <v>2001/2</v>
          </cell>
          <cell r="P374" t="str">
            <v>2002/3</v>
          </cell>
          <cell r="Q374" t="str">
            <v>2002/4</v>
          </cell>
          <cell r="R374" t="str">
            <v>2002/5</v>
          </cell>
          <cell r="S374" t="str">
            <v>2002/6</v>
          </cell>
          <cell r="T374" t="str">
            <v>2002/7</v>
          </cell>
          <cell r="U374" t="str">
            <v>2002/8</v>
          </cell>
          <cell r="V374" t="str">
            <v>2002/9</v>
          </cell>
          <cell r="W374" t="str">
            <v>2002/10</v>
          </cell>
        </row>
        <row r="375">
          <cell r="B375" t="str">
            <v>Monthly rental</v>
          </cell>
          <cell r="M375">
            <v>11297.734979999999</v>
          </cell>
          <cell r="N375">
            <v>12399.618347999998</v>
          </cell>
          <cell r="O375">
            <v>15766.8</v>
          </cell>
          <cell r="P375">
            <v>15339.599999999999</v>
          </cell>
          <cell r="Q375">
            <v>14607.563999999998</v>
          </cell>
          <cell r="R375">
            <v>13701.458046550237</v>
          </cell>
          <cell r="S375">
            <v>13413.539258744708</v>
          </cell>
          <cell r="T375">
            <v>13518.190378257992</v>
          </cell>
          <cell r="U375">
            <v>13396.472836487999</v>
          </cell>
          <cell r="V375">
            <v>13355.900322564667</v>
          </cell>
          <cell r="W375">
            <v>13355.900322564667</v>
          </cell>
        </row>
        <row r="376">
          <cell r="B376" t="str">
            <v>Staff Costs</v>
          </cell>
          <cell r="M376">
            <v>9959.8921323529412</v>
          </cell>
          <cell r="N376">
            <v>12222.89</v>
          </cell>
          <cell r="O376">
            <v>1426.0003999999999</v>
          </cell>
          <cell r="P376">
            <v>1511.2383</v>
          </cell>
          <cell r="Q376">
            <v>1781.307</v>
          </cell>
          <cell r="R376">
            <v>2019.4790000000003</v>
          </cell>
          <cell r="S376">
            <v>1910.2523000000001</v>
          </cell>
          <cell r="T376">
            <v>1810.9909478687828</v>
          </cell>
          <cell r="U376">
            <v>1860.474051605049</v>
          </cell>
          <cell r="V376">
            <v>1883.4554553622277</v>
          </cell>
          <cell r="W376">
            <v>1906.4231330250118</v>
          </cell>
        </row>
        <row r="377">
          <cell r="B377" t="str">
            <v>Admn, Operating &amp; Other Expenses</v>
          </cell>
          <cell r="M377">
            <v>7700.72</v>
          </cell>
          <cell r="N377">
            <v>889.35400000000016</v>
          </cell>
          <cell r="O377">
            <v>715.32799999999997</v>
          </cell>
          <cell r="P377">
            <v>1016.621</v>
          </cell>
          <cell r="Q377">
            <v>926.46399999999994</v>
          </cell>
          <cell r="R377">
            <v>983.71</v>
          </cell>
          <cell r="S377">
            <v>966.505</v>
          </cell>
          <cell r="T377">
            <v>1010.1044546164508</v>
          </cell>
          <cell r="U377">
            <v>1011.3132820311116</v>
          </cell>
          <cell r="V377">
            <v>990.85481332904806</v>
          </cell>
          <cell r="W377">
            <v>959.806430726896</v>
          </cell>
        </row>
        <row r="378">
          <cell r="B378" t="str">
            <v>Opex</v>
          </cell>
        </row>
        <row r="379">
          <cell r="B379" t="str">
            <v>Normalised Tax</v>
          </cell>
          <cell r="M379">
            <v>4033.2913878599998</v>
          </cell>
          <cell r="N379">
            <v>4426.663750235999</v>
          </cell>
          <cell r="O379">
            <v>4864.2933611999997</v>
          </cell>
          <cell r="P379">
            <v>4573.7914298999995</v>
          </cell>
          <cell r="Q379">
            <v>4248.2261009999993</v>
          </cell>
          <cell r="R379">
            <v>3819.2820496184349</v>
          </cell>
          <cell r="S379">
            <v>3761.6311592718607</v>
          </cell>
          <cell r="T379">
            <v>3818.8629063508752</v>
          </cell>
          <cell r="U379">
            <v>3757.3127245181063</v>
          </cell>
          <cell r="V379">
            <v>3741.9276492328004</v>
          </cell>
          <cell r="W379">
            <v>3744.8124608961548</v>
          </cell>
          <cell r="X379" t="str">
            <v>g</v>
          </cell>
          <cell r="Y379">
            <v>0.02</v>
          </cell>
        </row>
        <row r="380">
          <cell r="B380" t="str">
            <v>Cash flows</v>
          </cell>
          <cell r="M380">
            <v>-10396.168540212941</v>
          </cell>
          <cell r="N380">
            <v>-5139.2894022360006</v>
          </cell>
          <cell r="O380">
            <v>8761.1782388000011</v>
          </cell>
          <cell r="P380">
            <v>8237.9492700999981</v>
          </cell>
          <cell r="Q380">
            <v>7651.5668989999976</v>
          </cell>
          <cell r="R380">
            <v>6878.9869969318006</v>
          </cell>
          <cell r="S380">
            <v>6775.1507994728463</v>
          </cell>
          <cell r="T380">
            <v>6878.2320694218834</v>
          </cell>
          <cell r="U380">
            <v>6767.3727783337326</v>
          </cell>
          <cell r="V380">
            <v>6739.6624046405905</v>
          </cell>
          <cell r="W380">
            <v>6744.858297916604</v>
          </cell>
          <cell r="X380">
            <v>45865.036425832899</v>
          </cell>
          <cell r="Y380">
            <v>6.7999999999999989</v>
          </cell>
        </row>
        <row r="382">
          <cell r="M382">
            <v>0</v>
          </cell>
          <cell r="N382">
            <v>0</v>
          </cell>
          <cell r="O382">
            <v>1</v>
          </cell>
          <cell r="P382">
            <v>2</v>
          </cell>
          <cell r="Q382">
            <v>3</v>
          </cell>
          <cell r="R382">
            <v>4</v>
          </cell>
          <cell r="S382">
            <v>5</v>
          </cell>
          <cell r="T382">
            <v>6</v>
          </cell>
          <cell r="U382">
            <v>7</v>
          </cell>
          <cell r="V382">
            <v>8</v>
          </cell>
          <cell r="W382">
            <v>9</v>
          </cell>
        </row>
        <row r="383">
          <cell r="B383" t="str">
            <v>WACC</v>
          </cell>
          <cell r="K383">
            <v>0.2</v>
          </cell>
          <cell r="L383">
            <v>0.2</v>
          </cell>
          <cell r="M383">
            <v>0.17</v>
          </cell>
          <cell r="N383">
            <v>0.17</v>
          </cell>
          <cell r="O383">
            <v>0.17</v>
          </cell>
          <cell r="P383">
            <v>0.17</v>
          </cell>
          <cell r="Q383">
            <v>0.17</v>
          </cell>
          <cell r="R383">
            <v>0.17</v>
          </cell>
          <cell r="S383">
            <v>0.17</v>
          </cell>
          <cell r="T383">
            <v>0.17</v>
          </cell>
          <cell r="U383">
            <v>0.17</v>
          </cell>
          <cell r="V383">
            <v>0.17</v>
          </cell>
          <cell r="W383">
            <v>0.17</v>
          </cell>
        </row>
        <row r="384">
          <cell r="B384" t="str">
            <v>Discounting multiplier</v>
          </cell>
          <cell r="L384">
            <v>1</v>
          </cell>
          <cell r="M384">
            <v>1</v>
          </cell>
          <cell r="N384">
            <v>1</v>
          </cell>
          <cell r="O384">
            <v>0.85470085470085477</v>
          </cell>
          <cell r="P384">
            <v>0.73051355102637161</v>
          </cell>
          <cell r="Q384">
            <v>0.62437055643279626</v>
          </cell>
          <cell r="R384">
            <v>0.53365004823315931</v>
          </cell>
          <cell r="S384">
            <v>0.45611115233603361</v>
          </cell>
          <cell r="T384">
            <v>0.38983859174019969</v>
          </cell>
          <cell r="U384">
            <v>0.33319537755572626</v>
          </cell>
          <cell r="V384">
            <v>0.28478237397925327</v>
          </cell>
          <cell r="W384">
            <v>0.24340373844380622</v>
          </cell>
        </row>
        <row r="385">
          <cell r="B385" t="str">
            <v>PV of Cash flows</v>
          </cell>
          <cell r="N385">
            <v>-5139.2894022360006</v>
          </cell>
          <cell r="O385">
            <v>7488.1865288888903</v>
          </cell>
          <cell r="P385">
            <v>6017.9335744758555</v>
          </cell>
          <cell r="Q385">
            <v>4777.4130823113937</v>
          </cell>
          <cell r="R385">
            <v>3670.9717427079313</v>
          </cell>
          <cell r="S385">
            <v>3090.2218383979593</v>
          </cell>
          <cell r="T385">
            <v>2681.4003036057065</v>
          </cell>
          <cell r="U385">
            <v>2254.8573279372522</v>
          </cell>
          <cell r="V385">
            <v>1919.33705941227</v>
          </cell>
          <cell r="W385">
            <v>1641.7237249866291</v>
          </cell>
        </row>
        <row r="386">
          <cell r="B386" t="str">
            <v>Aggregate Value</v>
          </cell>
          <cell r="O386">
            <v>44705.766512632967</v>
          </cell>
        </row>
        <row r="390">
          <cell r="B390" t="str">
            <v>Net debt</v>
          </cell>
          <cell r="O390">
            <v>0</v>
          </cell>
        </row>
        <row r="391">
          <cell r="B391" t="str">
            <v>Investments/other current assets</v>
          </cell>
        </row>
        <row r="392">
          <cell r="B392" t="str">
            <v>Equity Value Rs mn</v>
          </cell>
          <cell r="O392">
            <v>44705.766512632967</v>
          </cell>
        </row>
        <row r="393">
          <cell r="B393" t="str">
            <v>Equity Value US$ mn</v>
          </cell>
          <cell r="O393">
            <v>923.48282280408773</v>
          </cell>
        </row>
        <row r="394">
          <cell r="B394" t="str">
            <v>Shares (m)</v>
          </cell>
          <cell r="O394">
            <v>0</v>
          </cell>
        </row>
        <row r="395">
          <cell r="B395" t="str">
            <v>Implied DCF value per share (Rs) March</v>
          </cell>
          <cell r="O395" t="e">
            <v>#DIV/0!</v>
          </cell>
        </row>
        <row r="396">
          <cell r="B396" t="str">
            <v>Current DCF value</v>
          </cell>
        </row>
        <row r="399">
          <cell r="M399">
            <v>48.3</v>
          </cell>
        </row>
        <row r="428">
          <cell r="B428" t="str">
            <v>Land</v>
          </cell>
        </row>
        <row r="429">
          <cell r="B429" t="str">
            <v>Physical acres</v>
          </cell>
        </row>
        <row r="430">
          <cell r="B430" t="str">
            <v>Land - stamp duty issue</v>
          </cell>
        </row>
        <row r="434">
          <cell r="B434" t="str">
            <v>ILD Revnues</v>
          </cell>
          <cell r="M434">
            <v>0.09</v>
          </cell>
        </row>
        <row r="435">
          <cell r="B435" t="str">
            <v>Fall in tariffs</v>
          </cell>
          <cell r="M435">
            <v>0.4</v>
          </cell>
        </row>
        <row r="436">
          <cell r="B436" t="str">
            <v>Net revenue</v>
          </cell>
          <cell r="M436">
            <v>0.18</v>
          </cell>
        </row>
        <row r="437">
          <cell r="M437">
            <v>0.48</v>
          </cell>
        </row>
        <row r="438">
          <cell r="M438">
            <v>0.3</v>
          </cell>
        </row>
        <row r="439">
          <cell r="B439" t="str">
            <v>Elasticiity</v>
          </cell>
        </row>
        <row r="440">
          <cell r="B440" t="str">
            <v>Revenue</v>
          </cell>
          <cell r="M440">
            <v>1.6199999999999999E-2</v>
          </cell>
          <cell r="N440">
            <v>873.42688799999996</v>
          </cell>
          <cell r="O440">
            <v>3.5219905448715352E-2</v>
          </cell>
        </row>
        <row r="446">
          <cell r="B446" t="str">
            <v>Risk Free Return</v>
          </cell>
          <cell r="R446">
            <v>7.4999999999999997E-2</v>
          </cell>
        </row>
        <row r="447">
          <cell r="B447" t="str">
            <v>Market premium</v>
          </cell>
          <cell r="R447">
            <v>0.06</v>
          </cell>
        </row>
        <row r="448">
          <cell r="B448" t="str">
            <v>Assumed Beta</v>
          </cell>
          <cell r="R448">
            <v>1.04</v>
          </cell>
        </row>
        <row r="449">
          <cell r="B449" t="str">
            <v>Cost of Equity (Re)</v>
          </cell>
          <cell r="R449">
            <v>0.13739999999999999</v>
          </cell>
        </row>
        <row r="450">
          <cell r="B450" t="str">
            <v>Equity Percentage</v>
          </cell>
          <cell r="R450">
            <v>0.8</v>
          </cell>
        </row>
        <row r="452">
          <cell r="B452" t="str">
            <v>Cost of Debt</v>
          </cell>
          <cell r="R452">
            <v>0.08</v>
          </cell>
        </row>
        <row r="453">
          <cell r="B453" t="str">
            <v>Tax rate</v>
          </cell>
          <cell r="R453">
            <v>0.33660000000000001</v>
          </cell>
        </row>
        <row r="454">
          <cell r="B454" t="str">
            <v>After- tax cost of debt( Rd[1-t])</v>
          </cell>
          <cell r="R454">
            <v>5.3072000000000001E-2</v>
          </cell>
        </row>
        <row r="455">
          <cell r="B455" t="str">
            <v>Debt(%)</v>
          </cell>
          <cell r="R455">
            <v>0.2</v>
          </cell>
        </row>
        <row r="456">
          <cell r="B456" t="str">
            <v>WACC</v>
          </cell>
          <cell r="R456">
            <v>0.1205344</v>
          </cell>
        </row>
        <row r="459">
          <cell r="B459" t="str">
            <v>MTNL DCF Valuation</v>
          </cell>
        </row>
        <row r="460">
          <cell r="B460" t="str">
            <v>Net Debt</v>
          </cell>
          <cell r="R460">
            <v>-28517.993280762093</v>
          </cell>
        </row>
        <row r="461">
          <cell r="B461" t="str">
            <v>Equity Value ( Rs Mn)</v>
          </cell>
          <cell r="R461">
            <v>109021.61101531505</v>
          </cell>
        </row>
        <row r="462">
          <cell r="B462" t="str">
            <v>Equity Value (US $Mn)</v>
          </cell>
          <cell r="R462">
            <v>2339.5195496848723</v>
          </cell>
        </row>
        <row r="463">
          <cell r="B463" t="str">
            <v>Shares</v>
          </cell>
          <cell r="R463">
            <v>630</v>
          </cell>
        </row>
        <row r="464">
          <cell r="B464" t="str">
            <v>Implies DCF Value/share (Rs)</v>
          </cell>
          <cell r="R464">
            <v>173.05017621478581</v>
          </cell>
        </row>
        <row r="465">
          <cell r="S465" t="str">
            <v>Rs share</v>
          </cell>
        </row>
        <row r="466">
          <cell r="B466" t="str">
            <v>Bull case assumption</v>
          </cell>
          <cell r="S466">
            <v>44.698412698412696</v>
          </cell>
          <cell r="T466">
            <v>217.74858891319849</v>
          </cell>
          <cell r="U466">
            <v>1.4061904353451631</v>
          </cell>
        </row>
        <row r="467">
          <cell r="B467" t="str">
            <v>Income tax litigation Section - 80 IA Rs  mn</v>
          </cell>
          <cell r="R467">
            <v>40000</v>
          </cell>
        </row>
        <row r="468">
          <cell r="B468" t="str">
            <v>Assumed 50% received Rs mn</v>
          </cell>
          <cell r="R468">
            <v>20000</v>
          </cell>
          <cell r="S468">
            <v>31.746031746031747</v>
          </cell>
        </row>
        <row r="469">
          <cell r="B469" t="str">
            <v>Assumed tg of 2%</v>
          </cell>
          <cell r="S469">
            <v>7</v>
          </cell>
        </row>
        <row r="470">
          <cell r="B470" t="str">
            <v>assumed rentals of 10 buildings tilll perpetuity</v>
          </cell>
          <cell r="S470">
            <v>5.9523809523809526</v>
          </cell>
        </row>
        <row r="471">
          <cell r="B471" t="str">
            <v>buildings</v>
          </cell>
          <cell r="R471">
            <v>10</v>
          </cell>
        </row>
        <row r="472">
          <cell r="B472" t="str">
            <v>space</v>
          </cell>
          <cell r="R472">
            <v>50000</v>
          </cell>
        </row>
        <row r="473">
          <cell r="B473" t="str">
            <v>Rs/ sqft</v>
          </cell>
          <cell r="R473">
            <v>7500</v>
          </cell>
        </row>
        <row r="474">
          <cell r="B474" t="str">
            <v>Sale price</v>
          </cell>
          <cell r="R474">
            <v>3750</v>
          </cell>
          <cell r="S474">
            <v>5.9523809523809526</v>
          </cell>
        </row>
        <row r="475">
          <cell r="B475" t="str">
            <v>Annuity rental</v>
          </cell>
          <cell r="R475">
            <v>375</v>
          </cell>
        </row>
        <row r="505">
          <cell r="B505" t="str">
            <v>Interest</v>
          </cell>
          <cell r="O505">
            <v>288.35000000000002</v>
          </cell>
        </row>
        <row r="506">
          <cell r="B506" t="str">
            <v>Other Expenditure</v>
          </cell>
          <cell r="O506">
            <v>7153.2969999999996</v>
          </cell>
        </row>
        <row r="507">
          <cell r="B507" t="str">
            <v>Staff Cost</v>
          </cell>
          <cell r="O507">
            <v>13770.638000000001</v>
          </cell>
        </row>
        <row r="508">
          <cell r="B508" t="str">
            <v>Interconnect fee</v>
          </cell>
          <cell r="O508">
            <v>9875.8250000000007</v>
          </cell>
        </row>
        <row r="509">
          <cell r="B509" t="str">
            <v>License fee</v>
          </cell>
          <cell r="O509">
            <v>6644.8789999999999</v>
          </cell>
        </row>
        <row r="514">
          <cell r="B514" t="str">
            <v>Contingent liability on IT paid</v>
          </cell>
          <cell r="I514">
            <v>30438.7</v>
          </cell>
        </row>
        <row r="515">
          <cell r="B515" t="str">
            <v>Section 80-IA</v>
          </cell>
          <cell r="I515">
            <v>12155.41</v>
          </cell>
        </row>
        <row r="516">
          <cell r="B516" t="str">
            <v>License fee paid</v>
          </cell>
          <cell r="I516">
            <v>31573.627999999997</v>
          </cell>
        </row>
        <row r="517">
          <cell r="B517" t="str">
            <v>IT on license fee</v>
          </cell>
          <cell r="I517">
            <v>11050.769799999998</v>
          </cell>
        </row>
        <row r="550">
          <cell r="A550" t="str">
            <v>Network Data by Operator</v>
          </cell>
        </row>
        <row r="551">
          <cell r="A551" t="str">
            <v>Line Capacity (000s)</v>
          </cell>
        </row>
        <row r="552">
          <cell r="A552" t="str">
            <v>MTNL</v>
          </cell>
          <cell r="D552">
            <v>1395.8000000000002</v>
          </cell>
          <cell r="E552">
            <v>1603.9</v>
          </cell>
          <cell r="F552">
            <v>1765.4</v>
          </cell>
          <cell r="G552">
            <v>2106.9</v>
          </cell>
          <cell r="H552">
            <v>2579.8999999999996</v>
          </cell>
          <cell r="I552">
            <v>3101.3999999999996</v>
          </cell>
          <cell r="J552">
            <v>3521</v>
          </cell>
          <cell r="K552">
            <v>3809.5</v>
          </cell>
          <cell r="L552">
            <v>4224.7</v>
          </cell>
          <cell r="M552">
            <v>4639</v>
          </cell>
          <cell r="N552">
            <v>5121.0869999999995</v>
          </cell>
          <cell r="O552">
            <v>5650.5969999999998</v>
          </cell>
          <cell r="P552">
            <v>5852.6390000000001</v>
          </cell>
          <cell r="Q552">
            <v>5892.6390000000001</v>
          </cell>
          <cell r="R552">
            <v>5912.6390000000001</v>
          </cell>
          <cell r="S552">
            <v>5932.6390000000001</v>
          </cell>
          <cell r="T552">
            <v>5952.6390000000001</v>
          </cell>
          <cell r="U552">
            <v>5972.6390000000001</v>
          </cell>
          <cell r="V552">
            <v>5992.6390000000001</v>
          </cell>
          <cell r="W552">
            <v>6012.6390000000001</v>
          </cell>
        </row>
        <row r="553">
          <cell r="B553" t="str">
            <v>Delhi</v>
          </cell>
          <cell r="D553">
            <v>607.70000000000005</v>
          </cell>
          <cell r="E553">
            <v>708.5</v>
          </cell>
          <cell r="F553">
            <v>797.5</v>
          </cell>
          <cell r="G553">
            <v>951.6</v>
          </cell>
          <cell r="H553">
            <v>1152.5999999999999</v>
          </cell>
          <cell r="I553">
            <v>1435.6</v>
          </cell>
          <cell r="J553">
            <v>1636</v>
          </cell>
          <cell r="K553">
            <v>1772.9</v>
          </cell>
          <cell r="L553">
            <v>1912.8</v>
          </cell>
          <cell r="M553">
            <v>2124</v>
          </cell>
          <cell r="N553">
            <v>2429.4470000000001</v>
          </cell>
          <cell r="O553">
            <v>2775.0169999999998</v>
          </cell>
          <cell r="P553">
            <v>2966.8150000000001</v>
          </cell>
          <cell r="Q553">
            <v>2986.8150000000001</v>
          </cell>
          <cell r="R553">
            <v>2996.8150000000001</v>
          </cell>
          <cell r="S553">
            <v>3006.8150000000001</v>
          </cell>
          <cell r="T553">
            <v>3016.8150000000001</v>
          </cell>
          <cell r="U553">
            <v>3026.8150000000001</v>
          </cell>
          <cell r="V553">
            <v>3036.8150000000001</v>
          </cell>
          <cell r="W553">
            <v>3046.8150000000001</v>
          </cell>
        </row>
        <row r="554">
          <cell r="B554" t="str">
            <v>Bombay</v>
          </cell>
          <cell r="D554">
            <v>788.1</v>
          </cell>
          <cell r="E554">
            <v>895.4</v>
          </cell>
          <cell r="F554">
            <v>967.9</v>
          </cell>
          <cell r="G554">
            <v>1155.3</v>
          </cell>
          <cell r="H554">
            <v>1427.3</v>
          </cell>
          <cell r="I554">
            <v>1665.8</v>
          </cell>
          <cell r="J554">
            <v>1885</v>
          </cell>
          <cell r="K554">
            <v>2036.6</v>
          </cell>
          <cell r="L554">
            <v>2311.9</v>
          </cell>
          <cell r="M554">
            <v>2515</v>
          </cell>
          <cell r="N554">
            <v>2691.64</v>
          </cell>
          <cell r="O554">
            <v>2875.58</v>
          </cell>
          <cell r="P554">
            <v>2885.8240000000001</v>
          </cell>
          <cell r="Q554">
            <v>2905.8240000000001</v>
          </cell>
          <cell r="R554">
            <v>2915.8240000000001</v>
          </cell>
          <cell r="S554">
            <v>2925.8240000000001</v>
          </cell>
          <cell r="T554">
            <v>2935.8240000000001</v>
          </cell>
          <cell r="U554">
            <v>2945.8240000000001</v>
          </cell>
          <cell r="V554">
            <v>2955.8240000000001</v>
          </cell>
          <cell r="W554">
            <v>2965.8240000000001</v>
          </cell>
        </row>
        <row r="555">
          <cell r="A555" t="str">
            <v>DOT</v>
          </cell>
          <cell r="D555">
            <v>4428.2269999999999</v>
          </cell>
          <cell r="E555">
            <v>5180.0360000000001</v>
          </cell>
          <cell r="F555">
            <v>5947.6</v>
          </cell>
          <cell r="G555">
            <v>6770.1</v>
          </cell>
          <cell r="H555">
            <v>8008.1</v>
          </cell>
          <cell r="I555">
            <v>9790.6</v>
          </cell>
          <cell r="J555">
            <v>11873</v>
          </cell>
          <cell r="K555">
            <v>17490.5</v>
          </cell>
          <cell r="L555">
            <v>21852.32356875587</v>
          </cell>
          <cell r="M555">
            <v>28418.74530267626</v>
          </cell>
          <cell r="N555">
            <v>34451.791470739183</v>
          </cell>
          <cell r="O555">
            <v>44836.426309095405</v>
          </cell>
          <cell r="P555">
            <v>44902.669499999996</v>
          </cell>
          <cell r="Q555">
            <v>46336.817999999999</v>
          </cell>
          <cell r="R555" t="e">
            <v>#REF!</v>
          </cell>
          <cell r="S555" t="e">
            <v>#REF!</v>
          </cell>
          <cell r="T555" t="e">
            <v>#REF!</v>
          </cell>
          <cell r="U555" t="e">
            <v>#REF!</v>
          </cell>
          <cell r="V555" t="e">
            <v>#REF!</v>
          </cell>
          <cell r="W555" t="e">
            <v>#REF!</v>
          </cell>
        </row>
        <row r="556">
          <cell r="A556" t="str">
            <v xml:space="preserve">Private Operators </v>
          </cell>
          <cell r="D556">
            <v>0</v>
          </cell>
          <cell r="E556">
            <v>0</v>
          </cell>
          <cell r="F556">
            <v>0</v>
          </cell>
          <cell r="G556">
            <v>0</v>
          </cell>
          <cell r="H556">
            <v>0</v>
          </cell>
          <cell r="I556">
            <v>0</v>
          </cell>
          <cell r="J556">
            <v>0</v>
          </cell>
          <cell r="K556">
            <v>0</v>
          </cell>
          <cell r="L556">
            <v>22.976431244130172</v>
          </cell>
          <cell r="M556">
            <v>212.25469732374083</v>
          </cell>
          <cell r="N556">
            <v>337.12152926081819</v>
          </cell>
          <cell r="O556">
            <v>686.15420565746024</v>
          </cell>
          <cell r="P556">
            <v>2071.3615000000018</v>
          </cell>
          <cell r="Q556">
            <v>2732.9143967431987</v>
          </cell>
          <cell r="R556">
            <v>5662.8464101943728</v>
          </cell>
          <cell r="S556">
            <v>6957.1403323437189</v>
          </cell>
          <cell r="T556">
            <v>8278.4258399490755</v>
          </cell>
          <cell r="U556">
            <v>9689.8847777777773</v>
          </cell>
          <cell r="V556">
            <v>11245.440333333334</v>
          </cell>
          <cell r="W556">
            <v>12912.107</v>
          </cell>
        </row>
        <row r="557">
          <cell r="A557" t="str">
            <v>Total Line Capacity</v>
          </cell>
          <cell r="C557">
            <v>5266</v>
          </cell>
          <cell r="D557">
            <v>5824.027</v>
          </cell>
          <cell r="E557">
            <v>6783.9359999999997</v>
          </cell>
          <cell r="F557">
            <v>7713</v>
          </cell>
          <cell r="G557">
            <v>8877</v>
          </cell>
          <cell r="H557">
            <v>10588</v>
          </cell>
          <cell r="I557">
            <v>12892</v>
          </cell>
          <cell r="J557">
            <v>15394</v>
          </cell>
          <cell r="K557">
            <v>21300</v>
          </cell>
          <cell r="L557">
            <v>26100</v>
          </cell>
          <cell r="M557">
            <v>33270</v>
          </cell>
          <cell r="N557">
            <v>39910</v>
          </cell>
          <cell r="O557">
            <v>51173.177514752868</v>
          </cell>
          <cell r="P557">
            <v>52826.67</v>
          </cell>
          <cell r="Q557">
            <v>63362.608999999997</v>
          </cell>
          <cell r="R557" t="e">
            <v>#REF!</v>
          </cell>
          <cell r="S557" t="e">
            <v>#REF!</v>
          </cell>
          <cell r="T557" t="e">
            <v>#REF!</v>
          </cell>
          <cell r="U557" t="e">
            <v>#REF!</v>
          </cell>
          <cell r="V557" t="e">
            <v>#REF!</v>
          </cell>
          <cell r="W557" t="e">
            <v>#REF!</v>
          </cell>
        </row>
        <row r="559">
          <cell r="A559" t="str">
            <v>Total Lines in Service (000s)</v>
          </cell>
          <cell r="R559">
            <v>0.93316272954460411</v>
          </cell>
          <cell r="S559">
            <v>1.028091889265681</v>
          </cell>
        </row>
        <row r="560">
          <cell r="A560" t="str">
            <v>MTNL</v>
          </cell>
          <cell r="D560">
            <v>1219.7</v>
          </cell>
          <cell r="E560">
            <v>1396.5</v>
          </cell>
          <cell r="F560">
            <v>1587.1999999999998</v>
          </cell>
          <cell r="G560">
            <v>1849.5</v>
          </cell>
          <cell r="H560">
            <v>2207.5</v>
          </cell>
          <cell r="I560">
            <v>2607.7950000000001</v>
          </cell>
          <cell r="J560">
            <v>3012.154</v>
          </cell>
          <cell r="K560">
            <v>3406.7389999999996</v>
          </cell>
          <cell r="L560">
            <v>3653.91</v>
          </cell>
          <cell r="M560">
            <v>4031.6239999999998</v>
          </cell>
          <cell r="N560">
            <v>4335.1899999999996</v>
          </cell>
          <cell r="O560">
            <v>4496.5050000000001</v>
          </cell>
          <cell r="P560">
            <v>4633.6650000000009</v>
          </cell>
          <cell r="Q560">
            <v>4367.2340000000004</v>
          </cell>
          <cell r="R560">
            <v>4075.34</v>
          </cell>
          <cell r="S560">
            <v>4189.8240000000005</v>
          </cell>
          <cell r="T560">
            <v>4139.8240000000005</v>
          </cell>
          <cell r="U560">
            <v>4114.8240000000005</v>
          </cell>
          <cell r="V560">
            <v>4114.8240000000005</v>
          </cell>
          <cell r="W560">
            <v>4114.8240000000005</v>
          </cell>
        </row>
        <row r="561">
          <cell r="B561" t="str">
            <v>Delhi</v>
          </cell>
          <cell r="D561">
            <v>520.6</v>
          </cell>
          <cell r="E561">
            <v>605.29999999999995</v>
          </cell>
          <cell r="F561">
            <v>688.8</v>
          </cell>
          <cell r="G561">
            <v>813.9</v>
          </cell>
          <cell r="H561">
            <v>966.9</v>
          </cell>
          <cell r="I561">
            <v>1167.01</v>
          </cell>
          <cell r="J561">
            <v>1370</v>
          </cell>
          <cell r="K561">
            <v>1551.11</v>
          </cell>
          <cell r="L561">
            <v>1641.5</v>
          </cell>
          <cell r="M561">
            <v>1818.2360000000001</v>
          </cell>
          <cell r="N561">
            <v>1979.856</v>
          </cell>
          <cell r="O561">
            <v>2065.8029999999999</v>
          </cell>
          <cell r="P561">
            <v>2170.92</v>
          </cell>
          <cell r="Q561">
            <v>1937.079</v>
          </cell>
          <cell r="R561">
            <v>1719.6960000000001</v>
          </cell>
          <cell r="S561">
            <v>1837.079</v>
          </cell>
          <cell r="T561">
            <v>1812.079</v>
          </cell>
          <cell r="U561">
            <v>1799.579</v>
          </cell>
          <cell r="V561">
            <v>1799.579</v>
          </cell>
          <cell r="W561">
            <v>1799.579</v>
          </cell>
        </row>
        <row r="562">
          <cell r="B562" t="str">
            <v>Bombay</v>
          </cell>
          <cell r="D562">
            <v>699.1</v>
          </cell>
          <cell r="E562">
            <v>791.2</v>
          </cell>
          <cell r="F562">
            <v>898.4</v>
          </cell>
          <cell r="G562">
            <v>1035.5999999999999</v>
          </cell>
          <cell r="H562">
            <v>1240.5999999999999</v>
          </cell>
          <cell r="I562">
            <v>1440.7850000000001</v>
          </cell>
          <cell r="J562">
            <v>1642.154</v>
          </cell>
          <cell r="K562">
            <v>1855.6289999999999</v>
          </cell>
          <cell r="L562">
            <v>2012.41</v>
          </cell>
          <cell r="M562">
            <v>2213.3879999999999</v>
          </cell>
          <cell r="N562">
            <v>2355.3339999999998</v>
          </cell>
          <cell r="O562">
            <v>2430.7020000000002</v>
          </cell>
          <cell r="P562">
            <v>2462.7450000000003</v>
          </cell>
          <cell r="Q562">
            <v>2430.1550000000002</v>
          </cell>
          <cell r="R562">
            <v>2355.6440000000002</v>
          </cell>
          <cell r="S562">
            <v>2352.7450000000003</v>
          </cell>
          <cell r="T562">
            <v>2327.7450000000003</v>
          </cell>
          <cell r="U562">
            <v>2315.2450000000003</v>
          </cell>
          <cell r="V562">
            <v>2315.2450000000003</v>
          </cell>
          <cell r="W562">
            <v>2315.2450000000003</v>
          </cell>
        </row>
        <row r="563">
          <cell r="A563" t="str">
            <v>DOT</v>
          </cell>
          <cell r="D563">
            <v>3855.0340000000006</v>
          </cell>
          <cell r="E563">
            <v>4413.4290000000001</v>
          </cell>
          <cell r="F563">
            <v>5209.5479999999998</v>
          </cell>
          <cell r="G563">
            <v>6176.1</v>
          </cell>
          <cell r="H563">
            <v>7587.8040000000001</v>
          </cell>
          <cell r="I563">
            <v>9370.6</v>
          </cell>
          <cell r="J563">
            <v>11530.496999999998</v>
          </cell>
          <cell r="K563">
            <v>14394.957000000004</v>
          </cell>
          <cell r="L563">
            <v>17919.812000000002</v>
          </cell>
          <cell r="M563">
            <v>22479.876</v>
          </cell>
          <cell r="N563">
            <v>28101.15</v>
          </cell>
          <cell r="O563">
            <v>33217.857000000004</v>
          </cell>
          <cell r="P563">
            <v>36209.262999999999</v>
          </cell>
          <cell r="Q563">
            <v>36113.927000000003</v>
          </cell>
          <cell r="R563" t="e">
            <v>#REF!</v>
          </cell>
          <cell r="S563" t="e">
            <v>#REF!</v>
          </cell>
          <cell r="T563" t="e">
            <v>#REF!</v>
          </cell>
          <cell r="U563" t="e">
            <v>#REF!</v>
          </cell>
          <cell r="V563" t="e">
            <v>#REF!</v>
          </cell>
          <cell r="W563" t="e">
            <v>#REF!</v>
          </cell>
        </row>
        <row r="564">
          <cell r="A564" t="str">
            <v xml:space="preserve">Private Operators </v>
          </cell>
          <cell r="D564">
            <v>0</v>
          </cell>
          <cell r="E564">
            <v>0</v>
          </cell>
          <cell r="F564">
            <v>0</v>
          </cell>
          <cell r="G564">
            <v>0</v>
          </cell>
          <cell r="H564">
            <v>0</v>
          </cell>
          <cell r="I564">
            <v>0</v>
          </cell>
          <cell r="J564">
            <v>0</v>
          </cell>
          <cell r="K564">
            <v>0</v>
          </cell>
          <cell r="L564">
            <v>20</v>
          </cell>
          <cell r="M564">
            <v>186.8</v>
          </cell>
          <cell r="N564">
            <v>295</v>
          </cell>
          <cell r="O564">
            <v>580</v>
          </cell>
          <cell r="P564">
            <v>950.98599999999999</v>
          </cell>
          <cell r="Q564">
            <v>2359.5819999999999</v>
          </cell>
          <cell r="R564">
            <v>4945.8962999999994</v>
          </cell>
          <cell r="S564">
            <v>6145.8962999999994</v>
          </cell>
          <cell r="T564">
            <v>7395.8962999999994</v>
          </cell>
          <cell r="U564">
            <v>8720.8963000000003</v>
          </cell>
          <cell r="V564">
            <v>10120.8963</v>
          </cell>
          <cell r="W564">
            <v>11620.8963</v>
          </cell>
        </row>
        <row r="565">
          <cell r="A565" t="str">
            <v>Total Lines in Service</v>
          </cell>
          <cell r="C565">
            <v>4588.8320000000003</v>
          </cell>
          <cell r="D565">
            <v>5074.7340000000004</v>
          </cell>
          <cell r="E565">
            <v>5809.9290000000001</v>
          </cell>
          <cell r="F565">
            <v>6796.7479999999996</v>
          </cell>
          <cell r="G565">
            <v>8025.6</v>
          </cell>
          <cell r="H565">
            <v>9795.3040000000001</v>
          </cell>
          <cell r="I565">
            <v>11978.395</v>
          </cell>
          <cell r="J565">
            <v>14542.650999999998</v>
          </cell>
          <cell r="K565">
            <v>17801.696000000004</v>
          </cell>
          <cell r="L565">
            <v>21593.722000000002</v>
          </cell>
          <cell r="M565">
            <v>26698.3</v>
          </cell>
          <cell r="N565">
            <v>32731.34</v>
          </cell>
          <cell r="O565">
            <v>38294.362000000001</v>
          </cell>
          <cell r="P565">
            <v>41793.913999999997</v>
          </cell>
          <cell r="Q565">
            <v>42840.743000000002</v>
          </cell>
          <cell r="R565" t="e">
            <v>#REF!</v>
          </cell>
          <cell r="S565" t="e">
            <v>#REF!</v>
          </cell>
          <cell r="T565" t="e">
            <v>#REF!</v>
          </cell>
          <cell r="U565" t="e">
            <v>#REF!</v>
          </cell>
          <cell r="V565" t="e">
            <v>#REF!</v>
          </cell>
          <cell r="W565" t="e">
            <v>#REF!</v>
          </cell>
        </row>
        <row r="566">
          <cell r="B566" t="str">
            <v>% Change</v>
          </cell>
          <cell r="D566">
            <v>0.10588794708544569</v>
          </cell>
          <cell r="E566">
            <v>0.14487360322728238</v>
          </cell>
          <cell r="F566">
            <v>0.16985044051312848</v>
          </cell>
          <cell r="G566">
            <v>0.18079999435023941</v>
          </cell>
          <cell r="H566">
            <v>0.2205073763955343</v>
          </cell>
          <cell r="I566">
            <v>0.22287118398775574</v>
          </cell>
          <cell r="J566">
            <v>0.21407342135569896</v>
          </cell>
          <cell r="K566">
            <v>0.22410253811358105</v>
          </cell>
          <cell r="L566">
            <v>0.21301487229081983</v>
          </cell>
          <cell r="M566">
            <v>0.23639176238352966</v>
          </cell>
          <cell r="N566">
            <v>0.22597094197008794</v>
          </cell>
          <cell r="O566">
            <v>0.16996010551355378</v>
          </cell>
          <cell r="P566">
            <v>9.1385567410680268E-2</v>
          </cell>
          <cell r="Q566">
            <v>2.5047402834776467E-2</v>
          </cell>
          <cell r="R566" t="e">
            <v>#REF!</v>
          </cell>
          <cell r="S566" t="e">
            <v>#REF!</v>
          </cell>
          <cell r="T566" t="e">
            <v>#REF!</v>
          </cell>
          <cell r="U566" t="e">
            <v>#REF!</v>
          </cell>
          <cell r="V566" t="e">
            <v>#REF!</v>
          </cell>
          <cell r="W566" t="e">
            <v>#REF!</v>
          </cell>
        </row>
        <row r="567">
          <cell r="E567">
            <v>0.13174080961235868</v>
          </cell>
          <cell r="F567">
            <v>0.13549039433771481</v>
          </cell>
          <cell r="G567">
            <v>0.1527159394479074</v>
          </cell>
          <cell r="H567">
            <v>0.19795287755890301</v>
          </cell>
          <cell r="I567">
            <v>0.16136143801386438</v>
          </cell>
          <cell r="J567">
            <v>0.13976339287263539</v>
          </cell>
          <cell r="K567">
            <v>0.12999694303944698</v>
          </cell>
          <cell r="L567">
            <v>8.4489410329327885E-2</v>
          </cell>
          <cell r="M567">
            <v>9.9869310925705834E-2</v>
          </cell>
          <cell r="N567">
            <v>6.4130644965997741E-2</v>
          </cell>
          <cell r="O567">
            <v>3.1998858760583504E-2</v>
          </cell>
          <cell r="P567">
            <v>1.3182611443113945E-2</v>
          </cell>
          <cell r="Q567">
            <v>-1.3233201163742159E-2</v>
          </cell>
          <cell r="R567">
            <v>-3.0661007219704106E-2</v>
          </cell>
          <cell r="S567">
            <v>-1.2306613393194832E-3</v>
          </cell>
          <cell r="T567">
            <v>-1.0625885933239654E-2</v>
          </cell>
          <cell r="U567">
            <v>-5.3700040167630192E-3</v>
          </cell>
          <cell r="V567">
            <v>0</v>
          </cell>
          <cell r="W567">
            <v>0</v>
          </cell>
        </row>
        <row r="568">
          <cell r="A568" t="str">
            <v>Line Capacity Added (000s)</v>
          </cell>
        </row>
        <row r="569">
          <cell r="A569" t="str">
            <v>MTNL</v>
          </cell>
          <cell r="E569">
            <v>208.09999999999991</v>
          </cell>
          <cell r="F569">
            <v>161.5</v>
          </cell>
          <cell r="G569">
            <v>341.5</v>
          </cell>
          <cell r="H569">
            <v>472.99999999999989</v>
          </cell>
          <cell r="I569">
            <v>521.5</v>
          </cell>
          <cell r="J569">
            <v>419.60000000000014</v>
          </cell>
          <cell r="K569">
            <v>288.5</v>
          </cell>
          <cell r="L569">
            <v>415.20000000000005</v>
          </cell>
          <cell r="M569">
            <v>414.29999999999995</v>
          </cell>
          <cell r="N569">
            <v>482.08699999999999</v>
          </cell>
          <cell r="O569">
            <v>529.50999999999976</v>
          </cell>
          <cell r="P569">
            <v>202.04200000000037</v>
          </cell>
          <cell r="Q569">
            <v>40</v>
          </cell>
          <cell r="R569">
            <v>20</v>
          </cell>
          <cell r="S569">
            <v>20</v>
          </cell>
          <cell r="T569">
            <v>20</v>
          </cell>
          <cell r="U569">
            <v>20</v>
          </cell>
          <cell r="V569">
            <v>20</v>
          </cell>
          <cell r="W569">
            <v>20</v>
          </cell>
        </row>
        <row r="570">
          <cell r="B570" t="str">
            <v>Delhi</v>
          </cell>
          <cell r="E570">
            <v>100.79999999999995</v>
          </cell>
          <cell r="F570">
            <v>89</v>
          </cell>
          <cell r="G570">
            <v>154.10000000000002</v>
          </cell>
          <cell r="H570">
            <v>200.99999999999989</v>
          </cell>
          <cell r="I570">
            <v>283</v>
          </cell>
          <cell r="J570">
            <v>200.40000000000009</v>
          </cell>
          <cell r="K570">
            <v>136.90000000000009</v>
          </cell>
          <cell r="L570">
            <v>139.89999999999986</v>
          </cell>
          <cell r="M570">
            <v>211.20000000000005</v>
          </cell>
          <cell r="N570">
            <v>305.44700000000012</v>
          </cell>
          <cell r="O570">
            <v>345.56999999999971</v>
          </cell>
          <cell r="P570">
            <v>191.79800000000023</v>
          </cell>
          <cell r="Q570">
            <v>20</v>
          </cell>
          <cell r="R570">
            <v>10</v>
          </cell>
          <cell r="S570">
            <v>10</v>
          </cell>
          <cell r="T570">
            <v>10</v>
          </cell>
          <cell r="U570">
            <v>10</v>
          </cell>
          <cell r="V570">
            <v>10</v>
          </cell>
          <cell r="W570">
            <v>10</v>
          </cell>
        </row>
        <row r="571">
          <cell r="B571" t="str">
            <v>Bombay</v>
          </cell>
          <cell r="E571">
            <v>107.29999999999995</v>
          </cell>
          <cell r="F571">
            <v>72.5</v>
          </cell>
          <cell r="G571">
            <v>187.39999999999998</v>
          </cell>
          <cell r="H571">
            <v>272</v>
          </cell>
          <cell r="I571">
            <v>238.5</v>
          </cell>
          <cell r="J571">
            <v>219.20000000000005</v>
          </cell>
          <cell r="K571">
            <v>151.59999999999991</v>
          </cell>
          <cell r="L571">
            <v>275.30000000000018</v>
          </cell>
          <cell r="M571">
            <v>203.09999999999991</v>
          </cell>
          <cell r="N571">
            <v>176.63999999999987</v>
          </cell>
          <cell r="O571">
            <v>183.94000000000005</v>
          </cell>
          <cell r="P571">
            <v>10.244000000000142</v>
          </cell>
          <cell r="Q571">
            <v>20</v>
          </cell>
          <cell r="R571">
            <v>10</v>
          </cell>
          <cell r="S571">
            <v>10</v>
          </cell>
          <cell r="T571">
            <v>10</v>
          </cell>
          <cell r="U571">
            <v>10</v>
          </cell>
          <cell r="V571">
            <v>10</v>
          </cell>
          <cell r="W571">
            <v>10</v>
          </cell>
        </row>
        <row r="572">
          <cell r="A572" t="str">
            <v>DOT</v>
          </cell>
          <cell r="E572">
            <v>751.8090000000002</v>
          </cell>
          <cell r="F572">
            <v>767.56400000000031</v>
          </cell>
          <cell r="G572">
            <v>822.5</v>
          </cell>
          <cell r="H572">
            <v>1238</v>
          </cell>
          <cell r="I572">
            <v>1782.5</v>
          </cell>
          <cell r="J572">
            <v>2082.3999999999996</v>
          </cell>
          <cell r="K572">
            <v>5617.5</v>
          </cell>
          <cell r="L572">
            <v>4361.8235687558699</v>
          </cell>
          <cell r="M572">
            <v>6566.4217339203897</v>
          </cell>
          <cell r="N572">
            <v>6033.0461680629232</v>
          </cell>
          <cell r="O572">
            <v>10384.634838356222</v>
          </cell>
          <cell r="P572">
            <v>66.243190904591756</v>
          </cell>
          <cell r="Q572">
            <v>1434.148500000003</v>
          </cell>
          <cell r="R572" t="e">
            <v>#REF!</v>
          </cell>
          <cell r="S572" t="e">
            <v>#REF!</v>
          </cell>
          <cell r="T572" t="e">
            <v>#REF!</v>
          </cell>
          <cell r="U572" t="e">
            <v>#REF!</v>
          </cell>
          <cell r="V572" t="e">
            <v>#REF!</v>
          </cell>
          <cell r="W572" t="e">
            <v>#REF!</v>
          </cell>
        </row>
        <row r="573">
          <cell r="A573" t="str">
            <v xml:space="preserve">Private Operators </v>
          </cell>
          <cell r="E573">
            <v>0</v>
          </cell>
          <cell r="F573">
            <v>0</v>
          </cell>
          <cell r="G573">
            <v>0</v>
          </cell>
          <cell r="H573">
            <v>0</v>
          </cell>
          <cell r="I573">
            <v>0</v>
          </cell>
          <cell r="J573">
            <v>0</v>
          </cell>
          <cell r="K573">
            <v>0</v>
          </cell>
          <cell r="L573">
            <v>22.976431244130172</v>
          </cell>
          <cell r="M573">
            <v>189.27826607961066</v>
          </cell>
          <cell r="N573">
            <v>124.86683193707736</v>
          </cell>
          <cell r="O573">
            <v>349.03267639664205</v>
          </cell>
          <cell r="P573">
            <v>1385.2072943425414</v>
          </cell>
          <cell r="Q573">
            <v>661.55289674319692</v>
          </cell>
          <cell r="R573">
            <v>2929.932013451174</v>
          </cell>
          <cell r="S573">
            <v>1294.2939221493461</v>
          </cell>
          <cell r="T573">
            <v>1321.2855076053565</v>
          </cell>
          <cell r="U573">
            <v>1411.4589378287019</v>
          </cell>
          <cell r="V573">
            <v>1555.5555555555566</v>
          </cell>
          <cell r="W573">
            <v>1666.6666666666661</v>
          </cell>
        </row>
        <row r="574">
          <cell r="A574" t="str">
            <v>Total Line Capacity Added</v>
          </cell>
          <cell r="E574">
            <v>959.90900000000011</v>
          </cell>
          <cell r="F574">
            <v>929.06400000000031</v>
          </cell>
          <cell r="G574">
            <v>1164</v>
          </cell>
          <cell r="H574">
            <v>1711</v>
          </cell>
          <cell r="I574">
            <v>2304</v>
          </cell>
          <cell r="J574">
            <v>2502</v>
          </cell>
          <cell r="K574">
            <v>5906</v>
          </cell>
          <cell r="L574">
            <v>4800</v>
          </cell>
          <cell r="M574">
            <v>7170.0000000000009</v>
          </cell>
          <cell r="N574">
            <v>6640</v>
          </cell>
          <cell r="O574">
            <v>11263.177514752864</v>
          </cell>
          <cell r="P574">
            <v>1653.4924852471336</v>
          </cell>
          <cell r="Q574">
            <v>2135.7013967431999</v>
          </cell>
          <cell r="R574" t="e">
            <v>#REF!</v>
          </cell>
          <cell r="S574" t="e">
            <v>#REF!</v>
          </cell>
          <cell r="T574" t="e">
            <v>#REF!</v>
          </cell>
          <cell r="U574" t="e">
            <v>#REF!</v>
          </cell>
          <cell r="V574" t="e">
            <v>#REF!</v>
          </cell>
          <cell r="W574" t="e">
            <v>#REF!</v>
          </cell>
        </row>
        <row r="576">
          <cell r="A576" t="str">
            <v>Lines in Service Added (000s)</v>
          </cell>
        </row>
        <row r="577">
          <cell r="A577" t="str">
            <v>MTNL</v>
          </cell>
          <cell r="E577">
            <v>176.79999999999995</v>
          </cell>
          <cell r="F577">
            <v>190.69999999999993</v>
          </cell>
          <cell r="G577">
            <v>262.29999999999995</v>
          </cell>
          <cell r="H577">
            <v>358</v>
          </cell>
          <cell r="I577">
            <v>400.29500000000019</v>
          </cell>
          <cell r="J577">
            <v>404.35899999999992</v>
          </cell>
          <cell r="K577">
            <v>394.58499999999981</v>
          </cell>
          <cell r="L577">
            <v>247.17100000000028</v>
          </cell>
          <cell r="M577">
            <v>377.71399999999994</v>
          </cell>
          <cell r="N577">
            <v>303.5659999999998</v>
          </cell>
          <cell r="O577">
            <v>161.31500000000028</v>
          </cell>
          <cell r="P577">
            <v>137.16000000000031</v>
          </cell>
          <cell r="Q577">
            <v>-266.43100000000027</v>
          </cell>
          <cell r="R577">
            <v>-291.89399999999978</v>
          </cell>
          <cell r="S577">
            <v>114.48399999999992</v>
          </cell>
          <cell r="T577">
            <v>-50</v>
          </cell>
          <cell r="U577">
            <v>-25</v>
          </cell>
          <cell r="V577">
            <v>0</v>
          </cell>
          <cell r="W577">
            <v>0</v>
          </cell>
        </row>
        <row r="578">
          <cell r="B578" t="str">
            <v>Delhi</v>
          </cell>
          <cell r="E578">
            <v>84.699999999999932</v>
          </cell>
          <cell r="F578">
            <v>83.5</v>
          </cell>
          <cell r="G578">
            <v>125.10000000000002</v>
          </cell>
          <cell r="H578">
            <v>153</v>
          </cell>
          <cell r="I578">
            <v>200.11</v>
          </cell>
          <cell r="J578">
            <v>202.99</v>
          </cell>
          <cell r="K578">
            <v>181.1099999999999</v>
          </cell>
          <cell r="L578">
            <v>90.3900000000001</v>
          </cell>
          <cell r="M578">
            <v>176.7360000000001</v>
          </cell>
          <cell r="N578">
            <v>161.61999999999989</v>
          </cell>
          <cell r="O578">
            <v>85.946999999999889</v>
          </cell>
          <cell r="P578">
            <v>105.11700000000019</v>
          </cell>
          <cell r="Q578">
            <v>-233.84100000000012</v>
          </cell>
          <cell r="R578">
            <v>-217.38299999999981</v>
          </cell>
          <cell r="S578">
            <v>117.38299999999981</v>
          </cell>
          <cell r="T578">
            <v>-25</v>
          </cell>
          <cell r="U578">
            <v>-12.5</v>
          </cell>
          <cell r="V578">
            <v>0</v>
          </cell>
          <cell r="W578">
            <v>0</v>
          </cell>
        </row>
        <row r="579">
          <cell r="B579" t="str">
            <v>Bombay</v>
          </cell>
          <cell r="E579">
            <v>92.100000000000023</v>
          </cell>
          <cell r="F579">
            <v>107.19999999999993</v>
          </cell>
          <cell r="G579">
            <v>137.19999999999993</v>
          </cell>
          <cell r="H579">
            <v>205</v>
          </cell>
          <cell r="I579">
            <v>200.18500000000017</v>
          </cell>
          <cell r="J579">
            <v>201.36899999999991</v>
          </cell>
          <cell r="K579">
            <v>213.47499999999991</v>
          </cell>
          <cell r="L579">
            <v>156.78100000000018</v>
          </cell>
          <cell r="M579">
            <v>200.97799999999984</v>
          </cell>
          <cell r="N579">
            <v>141.94599999999991</v>
          </cell>
          <cell r="O579">
            <v>75.368000000000393</v>
          </cell>
          <cell r="P579">
            <v>32.04300000000012</v>
          </cell>
          <cell r="Q579">
            <v>-32.590000000000146</v>
          </cell>
          <cell r="R579">
            <v>-74.510999999999967</v>
          </cell>
          <cell r="S579">
            <v>-2.8989999999998872</v>
          </cell>
          <cell r="T579">
            <v>-25</v>
          </cell>
          <cell r="U579">
            <v>-12.5</v>
          </cell>
          <cell r="V579">
            <v>0</v>
          </cell>
          <cell r="W579">
            <v>0</v>
          </cell>
        </row>
        <row r="580">
          <cell r="A580" t="str">
            <v>DOT</v>
          </cell>
          <cell r="E580">
            <v>558.39499999999953</v>
          </cell>
          <cell r="F580">
            <v>796.11899999999969</v>
          </cell>
          <cell r="G580">
            <v>966.55200000000059</v>
          </cell>
          <cell r="H580">
            <v>1411.7039999999997</v>
          </cell>
          <cell r="I580">
            <v>1782.7960000000003</v>
          </cell>
          <cell r="J580">
            <v>2159.8969999999972</v>
          </cell>
          <cell r="K580">
            <v>2864.4600000000064</v>
          </cell>
          <cell r="L580">
            <v>3524.8549999999977</v>
          </cell>
          <cell r="M580">
            <v>4560.0639999999985</v>
          </cell>
          <cell r="N580">
            <v>5621.2740000000013</v>
          </cell>
          <cell r="O580">
            <v>5116.7070000000022</v>
          </cell>
          <cell r="P580">
            <v>2991.4059999999954</v>
          </cell>
          <cell r="Q580">
            <v>-95.335999999995693</v>
          </cell>
          <cell r="R580" t="e">
            <v>#REF!</v>
          </cell>
          <cell r="S580" t="e">
            <v>#REF!</v>
          </cell>
          <cell r="T580" t="e">
            <v>#REF!</v>
          </cell>
          <cell r="U580" t="e">
            <v>#REF!</v>
          </cell>
          <cell r="V580" t="e">
            <v>#REF!</v>
          </cell>
          <cell r="W580" t="e">
            <v>#REF!</v>
          </cell>
        </row>
        <row r="581">
          <cell r="A581" t="str">
            <v xml:space="preserve">Private Operators </v>
          </cell>
          <cell r="E581">
            <v>0</v>
          </cell>
          <cell r="F581">
            <v>0</v>
          </cell>
          <cell r="G581">
            <v>0</v>
          </cell>
          <cell r="H581">
            <v>0</v>
          </cell>
          <cell r="I581">
            <v>0</v>
          </cell>
          <cell r="J581">
            <v>0</v>
          </cell>
          <cell r="K581">
            <v>0</v>
          </cell>
          <cell r="L581">
            <v>20</v>
          </cell>
          <cell r="M581">
            <v>166.8</v>
          </cell>
          <cell r="N581">
            <v>108.19999999999999</v>
          </cell>
          <cell r="O581">
            <v>285</v>
          </cell>
          <cell r="P581">
            <v>370.98599999999999</v>
          </cell>
          <cell r="Q581">
            <v>1408.596</v>
          </cell>
          <cell r="R581">
            <v>2586.3142999999995</v>
          </cell>
          <cell r="S581">
            <v>1200</v>
          </cell>
          <cell r="T581">
            <v>1250</v>
          </cell>
          <cell r="U581">
            <v>1325.0000000000009</v>
          </cell>
          <cell r="V581">
            <v>1400</v>
          </cell>
          <cell r="W581">
            <v>1500</v>
          </cell>
        </row>
        <row r="582">
          <cell r="A582" t="str">
            <v>Total Lines in Service Added</v>
          </cell>
          <cell r="E582">
            <v>735.19499999999948</v>
          </cell>
          <cell r="F582">
            <v>986.81899999999962</v>
          </cell>
          <cell r="G582">
            <v>1228.8520000000005</v>
          </cell>
          <cell r="H582">
            <v>1769.7039999999997</v>
          </cell>
          <cell r="I582">
            <v>2183.0910000000003</v>
          </cell>
          <cell r="J582">
            <v>2564.2559999999971</v>
          </cell>
          <cell r="K582">
            <v>3259.0450000000064</v>
          </cell>
          <cell r="L582">
            <v>3792.025999999998</v>
          </cell>
          <cell r="M582">
            <v>5104.5779999999986</v>
          </cell>
          <cell r="N582">
            <v>6033.0400000000009</v>
          </cell>
          <cell r="O582">
            <v>5563.0220000000027</v>
          </cell>
          <cell r="P582">
            <v>3499.5519999999956</v>
          </cell>
          <cell r="Q582">
            <v>1046.829000000004</v>
          </cell>
          <cell r="R582" t="e">
            <v>#REF!</v>
          </cell>
          <cell r="S582" t="e">
            <v>#REF!</v>
          </cell>
          <cell r="T582" t="e">
            <v>#REF!</v>
          </cell>
          <cell r="U582" t="e">
            <v>#REF!</v>
          </cell>
          <cell r="V582" t="e">
            <v>#REF!</v>
          </cell>
          <cell r="W582" t="e">
            <v>#REF!</v>
          </cell>
        </row>
        <row r="584">
          <cell r="A584" t="str">
            <v>Total Line Demand (000s)</v>
          </cell>
          <cell r="L584" t="e">
            <v>#REF!</v>
          </cell>
          <cell r="M584" t="e">
            <v>#REF!</v>
          </cell>
        </row>
        <row r="585">
          <cell r="A585" t="str">
            <v>Delhi</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row>
        <row r="586">
          <cell r="A586" t="str">
            <v>Bombay</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row>
        <row r="587">
          <cell r="A587" t="str">
            <v>Other</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row>
        <row r="588">
          <cell r="A588" t="str">
            <v>Total National Demand</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row>
        <row r="589">
          <cell r="I589" t="e">
            <v>#REF!</v>
          </cell>
          <cell r="J589" t="e">
            <v>#REF!</v>
          </cell>
          <cell r="K589" t="e">
            <v>#REF!</v>
          </cell>
          <cell r="L589" t="e">
            <v>#REF!</v>
          </cell>
          <cell r="M589" t="e">
            <v>#REF!</v>
          </cell>
          <cell r="N589" t="e">
            <v>#REF!</v>
          </cell>
          <cell r="O589" t="e">
            <v>#REF!</v>
          </cell>
        </row>
        <row r="590">
          <cell r="A590" t="str">
            <v>Supply Shortfall (000s)</v>
          </cell>
        </row>
        <row r="591">
          <cell r="A591" t="str">
            <v>Delhi</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row>
        <row r="592">
          <cell r="A592" t="str">
            <v>Bombay</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row>
        <row r="593">
          <cell r="A593" t="str">
            <v>National Shortfall</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row>
        <row r="594">
          <cell r="H594">
            <v>1995</v>
          </cell>
          <cell r="I594">
            <v>1996</v>
          </cell>
          <cell r="J594">
            <v>1997</v>
          </cell>
          <cell r="K594">
            <v>1998</v>
          </cell>
          <cell r="L594">
            <v>1999</v>
          </cell>
          <cell r="M594">
            <v>2000</v>
          </cell>
          <cell r="N594">
            <v>2001</v>
          </cell>
          <cell r="O594">
            <v>2002</v>
          </cell>
          <cell r="P594">
            <v>2003</v>
          </cell>
          <cell r="Q594">
            <v>2004</v>
          </cell>
          <cell r="R594">
            <v>2005</v>
          </cell>
        </row>
        <row r="595">
          <cell r="A595" t="str">
            <v>Delhi Fixed-Line Build-Out</v>
          </cell>
        </row>
        <row r="596">
          <cell r="A596" t="str">
            <v>Total Year-End Lines in Service</v>
          </cell>
          <cell r="D596">
            <v>520.6</v>
          </cell>
          <cell r="E596">
            <v>605.29999999999995</v>
          </cell>
          <cell r="F596">
            <v>688.8</v>
          </cell>
          <cell r="G596">
            <v>813.9</v>
          </cell>
          <cell r="H596">
            <v>966.9</v>
          </cell>
          <cell r="I596">
            <v>1167.01</v>
          </cell>
          <cell r="J596">
            <v>1370</v>
          </cell>
          <cell r="K596">
            <v>1551.11</v>
          </cell>
          <cell r="L596">
            <v>1641.5</v>
          </cell>
          <cell r="M596">
            <v>1818.2360000000001</v>
          </cell>
          <cell r="N596">
            <v>1979.856</v>
          </cell>
          <cell r="O596">
            <v>2065.8029999999999</v>
          </cell>
          <cell r="P596">
            <v>2170.92</v>
          </cell>
          <cell r="Q596">
            <v>3000</v>
          </cell>
          <cell r="R596">
            <v>3100</v>
          </cell>
          <cell r="S596">
            <v>3200</v>
          </cell>
          <cell r="T596">
            <v>3300</v>
          </cell>
          <cell r="U596">
            <v>3400</v>
          </cell>
          <cell r="V596">
            <v>3500</v>
          </cell>
          <cell r="W596">
            <v>3600</v>
          </cell>
        </row>
        <row r="597">
          <cell r="B597" t="str">
            <v>MTNL Lines in Service</v>
          </cell>
          <cell r="D597">
            <v>520.6</v>
          </cell>
          <cell r="E597">
            <v>605.29999999999995</v>
          </cell>
          <cell r="F597">
            <v>688.8</v>
          </cell>
          <cell r="G597">
            <v>813.9</v>
          </cell>
          <cell r="H597">
            <v>966.9</v>
          </cell>
          <cell r="I597">
            <v>1167.01</v>
          </cell>
          <cell r="J597">
            <v>1370</v>
          </cell>
          <cell r="K597">
            <v>1551.11</v>
          </cell>
          <cell r="L597">
            <v>1641.5</v>
          </cell>
          <cell r="M597">
            <v>1818.2360000000001</v>
          </cell>
          <cell r="N597">
            <v>1979.856</v>
          </cell>
          <cell r="O597">
            <v>2065.8029999999999</v>
          </cell>
          <cell r="P597">
            <v>2170.92</v>
          </cell>
          <cell r="Q597">
            <v>1937.079</v>
          </cell>
          <cell r="R597">
            <v>1887.079</v>
          </cell>
          <cell r="S597">
            <v>1837.079</v>
          </cell>
          <cell r="T597">
            <v>1812.079</v>
          </cell>
          <cell r="U597">
            <v>1799.579</v>
          </cell>
          <cell r="V597">
            <v>1799.579</v>
          </cell>
          <cell r="W597">
            <v>1799.579</v>
          </cell>
        </row>
        <row r="598">
          <cell r="B598" t="str">
            <v>Private Operatots Lines in Service</v>
          </cell>
          <cell r="D598">
            <v>0</v>
          </cell>
          <cell r="E598">
            <v>0</v>
          </cell>
          <cell r="F598">
            <v>0</v>
          </cell>
          <cell r="G598">
            <v>0</v>
          </cell>
          <cell r="H598">
            <v>0</v>
          </cell>
          <cell r="I598">
            <v>0</v>
          </cell>
          <cell r="J598">
            <v>0</v>
          </cell>
          <cell r="K598">
            <v>0</v>
          </cell>
          <cell r="L598">
            <v>0</v>
          </cell>
          <cell r="M598">
            <v>0</v>
          </cell>
          <cell r="N598">
            <v>0</v>
          </cell>
          <cell r="O598">
            <v>0</v>
          </cell>
          <cell r="P598">
            <v>94.60530000000017</v>
          </cell>
          <cell r="Q598">
            <v>965.13930000000005</v>
          </cell>
          <cell r="R598">
            <v>1115.1393</v>
          </cell>
          <cell r="S598">
            <v>1265.1393</v>
          </cell>
          <cell r="T598">
            <v>1390.1393</v>
          </cell>
          <cell r="U598">
            <v>1502.6393</v>
          </cell>
          <cell r="V598">
            <v>1602.6393</v>
          </cell>
          <cell r="W598">
            <v>1702.6393</v>
          </cell>
        </row>
        <row r="600">
          <cell r="A600" t="str">
            <v>Total Lines Added</v>
          </cell>
          <cell r="E600">
            <v>84.699999999999932</v>
          </cell>
          <cell r="F600">
            <v>83.5</v>
          </cell>
          <cell r="G600">
            <v>125.10000000000002</v>
          </cell>
          <cell r="H600">
            <v>153</v>
          </cell>
          <cell r="I600">
            <v>200.11</v>
          </cell>
          <cell r="J600">
            <v>202.99</v>
          </cell>
          <cell r="K600">
            <v>181.1099999999999</v>
          </cell>
          <cell r="L600">
            <v>90.3900000000001</v>
          </cell>
          <cell r="M600">
            <v>176.7360000000001</v>
          </cell>
          <cell r="N600">
            <v>161.61999999999989</v>
          </cell>
          <cell r="O600">
            <v>85.946999999999889</v>
          </cell>
          <cell r="P600">
            <v>105.11700000000019</v>
          </cell>
          <cell r="Q600">
            <v>829.07999999999993</v>
          </cell>
          <cell r="R600">
            <v>100</v>
          </cell>
          <cell r="S600">
            <v>100</v>
          </cell>
          <cell r="T600">
            <v>100</v>
          </cell>
          <cell r="U600">
            <v>100</v>
          </cell>
          <cell r="V600">
            <v>100</v>
          </cell>
          <cell r="W600">
            <v>100</v>
          </cell>
        </row>
        <row r="601">
          <cell r="B601" t="str">
            <v>MTNL Lines Added</v>
          </cell>
          <cell r="E601">
            <v>84.699999999999932</v>
          </cell>
          <cell r="F601">
            <v>83.5</v>
          </cell>
          <cell r="G601">
            <v>125.10000000000002</v>
          </cell>
          <cell r="H601">
            <v>153</v>
          </cell>
          <cell r="I601">
            <v>200.11</v>
          </cell>
          <cell r="J601">
            <v>202.99</v>
          </cell>
          <cell r="K601">
            <v>181.1099999999999</v>
          </cell>
          <cell r="L601">
            <v>90.3900000000001</v>
          </cell>
          <cell r="M601">
            <v>176.7360000000001</v>
          </cell>
          <cell r="N601">
            <v>161.61999999999989</v>
          </cell>
          <cell r="O601">
            <v>85.946999999999889</v>
          </cell>
          <cell r="P601">
            <v>10.511700000000017</v>
          </cell>
          <cell r="Q601">
            <v>-41.454000000000001</v>
          </cell>
          <cell r="R601">
            <v>-50</v>
          </cell>
          <cell r="S601">
            <v>-50</v>
          </cell>
          <cell r="T601">
            <v>-25</v>
          </cell>
          <cell r="U601">
            <v>-12.5</v>
          </cell>
          <cell r="V601">
            <v>0</v>
          </cell>
          <cell r="W601">
            <v>0</v>
          </cell>
        </row>
        <row r="602">
          <cell r="B602" t="str">
            <v>Private Lines Added</v>
          </cell>
          <cell r="E602">
            <v>0</v>
          </cell>
          <cell r="F602">
            <v>0</v>
          </cell>
          <cell r="G602">
            <v>0</v>
          </cell>
          <cell r="H602">
            <v>0</v>
          </cell>
          <cell r="I602">
            <v>0</v>
          </cell>
          <cell r="J602">
            <v>0</v>
          </cell>
          <cell r="K602">
            <v>0</v>
          </cell>
          <cell r="L602">
            <v>0</v>
          </cell>
          <cell r="M602">
            <v>0</v>
          </cell>
          <cell r="N602">
            <v>0</v>
          </cell>
          <cell r="O602">
            <v>0</v>
          </cell>
          <cell r="P602">
            <v>94.60530000000017</v>
          </cell>
          <cell r="Q602">
            <v>870.53399999999988</v>
          </cell>
          <cell r="R602">
            <v>150</v>
          </cell>
          <cell r="S602">
            <v>150</v>
          </cell>
          <cell r="T602">
            <v>125</v>
          </cell>
          <cell r="U602">
            <v>112.5</v>
          </cell>
          <cell r="V602">
            <v>100</v>
          </cell>
          <cell r="W602">
            <v>100</v>
          </cell>
        </row>
        <row r="604">
          <cell r="A604" t="str">
            <v>Share of New Lines</v>
          </cell>
        </row>
        <row r="605">
          <cell r="B605" t="str">
            <v>MTNL</v>
          </cell>
          <cell r="E605">
            <v>1</v>
          </cell>
          <cell r="F605">
            <v>1</v>
          </cell>
          <cell r="G605">
            <v>1</v>
          </cell>
          <cell r="H605">
            <v>1</v>
          </cell>
          <cell r="I605">
            <v>1</v>
          </cell>
          <cell r="J605">
            <v>1</v>
          </cell>
          <cell r="K605">
            <v>1</v>
          </cell>
          <cell r="L605">
            <v>1</v>
          </cell>
          <cell r="M605">
            <v>1</v>
          </cell>
          <cell r="N605">
            <v>1</v>
          </cell>
          <cell r="O605">
            <v>1</v>
          </cell>
          <cell r="P605">
            <v>9.9999999999999978E-2</v>
          </cell>
          <cell r="Q605">
            <v>-0.05</v>
          </cell>
          <cell r="R605">
            <v>-0.1</v>
          </cell>
          <cell r="S605">
            <v>-0.1</v>
          </cell>
          <cell r="T605">
            <v>-0.05</v>
          </cell>
          <cell r="V605">
            <v>0</v>
          </cell>
          <cell r="W605">
            <v>0</v>
          </cell>
        </row>
        <row r="606">
          <cell r="B606" t="str">
            <v>Private Operators</v>
          </cell>
          <cell r="E606">
            <v>0</v>
          </cell>
          <cell r="F606">
            <v>0</v>
          </cell>
          <cell r="G606">
            <v>0</v>
          </cell>
          <cell r="H606">
            <v>0</v>
          </cell>
          <cell r="I606">
            <v>0</v>
          </cell>
          <cell r="J606">
            <v>0</v>
          </cell>
          <cell r="K606">
            <v>0</v>
          </cell>
          <cell r="L606">
            <v>0</v>
          </cell>
          <cell r="M606">
            <v>0</v>
          </cell>
          <cell r="N606">
            <v>0</v>
          </cell>
          <cell r="O606">
            <v>0</v>
          </cell>
          <cell r="P606">
            <v>0.9</v>
          </cell>
          <cell r="Q606">
            <v>1.05</v>
          </cell>
          <cell r="R606">
            <v>1.1000000000000001</v>
          </cell>
          <cell r="S606">
            <v>1.1000000000000001</v>
          </cell>
          <cell r="T606">
            <v>1.05</v>
          </cell>
          <cell r="U606">
            <v>1</v>
          </cell>
          <cell r="V606">
            <v>1</v>
          </cell>
          <cell r="W606">
            <v>1</v>
          </cell>
        </row>
        <row r="608">
          <cell r="A608" t="str">
            <v>Share of Total Lines</v>
          </cell>
        </row>
        <row r="609">
          <cell r="B609" t="str">
            <v>MTNL</v>
          </cell>
          <cell r="E609">
            <v>1</v>
          </cell>
          <cell r="F609">
            <v>1</v>
          </cell>
          <cell r="G609">
            <v>1</v>
          </cell>
          <cell r="H609">
            <v>1</v>
          </cell>
          <cell r="I609">
            <v>1</v>
          </cell>
          <cell r="J609">
            <v>1</v>
          </cell>
          <cell r="K609">
            <v>1</v>
          </cell>
          <cell r="L609">
            <v>1</v>
          </cell>
          <cell r="M609">
            <v>1</v>
          </cell>
          <cell r="N609">
            <v>1</v>
          </cell>
          <cell r="O609">
            <v>1</v>
          </cell>
          <cell r="P609">
            <v>1</v>
          </cell>
          <cell r="Q609">
            <v>0.64569299999999996</v>
          </cell>
          <cell r="R609">
            <v>0.60873516129032257</v>
          </cell>
          <cell r="S609">
            <v>0.57408718749999998</v>
          </cell>
          <cell r="T609">
            <v>0.54911484848484848</v>
          </cell>
          <cell r="U609">
            <v>0.5292879411764706</v>
          </cell>
          <cell r="V609">
            <v>0.51416542857142855</v>
          </cell>
          <cell r="W609">
            <v>0.49988305555555557</v>
          </cell>
        </row>
        <row r="610">
          <cell r="B610" t="str">
            <v>Private Operators</v>
          </cell>
          <cell r="E610">
            <v>0</v>
          </cell>
          <cell r="F610">
            <v>0</v>
          </cell>
          <cell r="G610">
            <v>0</v>
          </cell>
          <cell r="H610">
            <v>0</v>
          </cell>
          <cell r="I610">
            <v>0</v>
          </cell>
          <cell r="J610">
            <v>0</v>
          </cell>
          <cell r="K610">
            <v>0</v>
          </cell>
          <cell r="L610">
            <v>0</v>
          </cell>
          <cell r="M610">
            <v>0</v>
          </cell>
          <cell r="N610">
            <v>0</v>
          </cell>
          <cell r="O610">
            <v>0</v>
          </cell>
          <cell r="P610">
            <v>4.3578436791774991E-2</v>
          </cell>
          <cell r="Q610">
            <v>0.32171310000000003</v>
          </cell>
          <cell r="R610">
            <v>0.35972235483870968</v>
          </cell>
          <cell r="S610">
            <v>0.39535603125000002</v>
          </cell>
          <cell r="T610">
            <v>0.42125433333333334</v>
          </cell>
          <cell r="U610">
            <v>0.44195273529411766</v>
          </cell>
          <cell r="V610">
            <v>0.45789694285714289</v>
          </cell>
          <cell r="W610">
            <v>0.47295536111111114</v>
          </cell>
        </row>
        <row r="612">
          <cell r="A612" t="str">
            <v>Bomaby Fixed-Line Build-Out</v>
          </cell>
          <cell r="K612">
            <v>0.12405023434538719</v>
          </cell>
        </row>
        <row r="613">
          <cell r="A613" t="str">
            <v>Total Year-End Lines in Service</v>
          </cell>
          <cell r="D613">
            <v>699.1</v>
          </cell>
          <cell r="E613">
            <v>791.2</v>
          </cell>
          <cell r="F613">
            <v>898.4</v>
          </cell>
          <cell r="G613">
            <v>1035.5999999999999</v>
          </cell>
          <cell r="H613">
            <v>1240.5999999999999</v>
          </cell>
          <cell r="I613">
            <v>1440.7850000000001</v>
          </cell>
          <cell r="J613">
            <v>1642.154</v>
          </cell>
          <cell r="K613">
            <v>1855.6289999999999</v>
          </cell>
          <cell r="L613">
            <v>2012.41</v>
          </cell>
          <cell r="M613">
            <v>2213.3879999999999</v>
          </cell>
          <cell r="N613">
            <v>2409.3339999999998</v>
          </cell>
          <cell r="O613">
            <v>2543.0600000000004</v>
          </cell>
          <cell r="P613">
            <v>3000</v>
          </cell>
          <cell r="Q613">
            <v>3100</v>
          </cell>
          <cell r="R613">
            <v>3200</v>
          </cell>
          <cell r="S613">
            <v>3300</v>
          </cell>
          <cell r="T613">
            <v>3400</v>
          </cell>
          <cell r="U613">
            <v>3500</v>
          </cell>
          <cell r="V613">
            <v>3600</v>
          </cell>
          <cell r="W613">
            <v>3700</v>
          </cell>
        </row>
        <row r="614">
          <cell r="B614" t="str">
            <v>MTNL Lines in Service</v>
          </cell>
          <cell r="D614">
            <v>699.1</v>
          </cell>
          <cell r="E614">
            <v>791.2</v>
          </cell>
          <cell r="F614">
            <v>898.4</v>
          </cell>
          <cell r="G614">
            <v>1035.5999999999999</v>
          </cell>
          <cell r="H614">
            <v>1240.5999999999999</v>
          </cell>
          <cell r="I614">
            <v>1440.7850000000001</v>
          </cell>
          <cell r="J614">
            <v>1642.154</v>
          </cell>
          <cell r="K614">
            <v>1855.6289999999999</v>
          </cell>
          <cell r="L614">
            <v>2012.41</v>
          </cell>
          <cell r="M614">
            <v>2213.3879999999999</v>
          </cell>
          <cell r="N614">
            <v>2355.3339999999998</v>
          </cell>
          <cell r="O614">
            <v>2430.7020000000002</v>
          </cell>
          <cell r="P614">
            <v>2462.7450000000003</v>
          </cell>
          <cell r="Q614">
            <v>2452.7450000000003</v>
          </cell>
          <cell r="R614">
            <v>2402.7450000000003</v>
          </cell>
          <cell r="S614">
            <v>2352.7450000000003</v>
          </cell>
          <cell r="T614">
            <v>2327.7450000000003</v>
          </cell>
          <cell r="U614">
            <v>2315.2450000000003</v>
          </cell>
          <cell r="V614">
            <v>2315.2450000000003</v>
          </cell>
          <cell r="W614">
            <v>2315.2450000000003</v>
          </cell>
        </row>
        <row r="615">
          <cell r="B615" t="str">
            <v>Private Operators Lines in Service</v>
          </cell>
          <cell r="D615">
            <v>0</v>
          </cell>
          <cell r="E615">
            <v>0</v>
          </cell>
          <cell r="F615">
            <v>0</v>
          </cell>
          <cell r="G615">
            <v>0</v>
          </cell>
          <cell r="H615">
            <v>0</v>
          </cell>
          <cell r="I615">
            <v>0</v>
          </cell>
          <cell r="J615">
            <v>0</v>
          </cell>
          <cell r="K615">
            <v>0</v>
          </cell>
          <cell r="L615">
            <v>0</v>
          </cell>
          <cell r="M615">
            <v>17</v>
          </cell>
          <cell r="N615">
            <v>54</v>
          </cell>
          <cell r="O615">
            <v>112.358</v>
          </cell>
          <cell r="P615">
            <v>500.75699999999966</v>
          </cell>
          <cell r="Q615">
            <v>610.75699999999961</v>
          </cell>
          <cell r="R615">
            <v>760.75699999999961</v>
          </cell>
          <cell r="S615">
            <v>910.75699999999961</v>
          </cell>
          <cell r="T615">
            <v>1035.7569999999996</v>
          </cell>
          <cell r="U615">
            <v>1148.2569999999996</v>
          </cell>
          <cell r="V615">
            <v>1248.2569999999996</v>
          </cell>
          <cell r="W615">
            <v>1348.2569999999996</v>
          </cell>
        </row>
        <row r="617">
          <cell r="A617" t="str">
            <v>Total Lines Added</v>
          </cell>
          <cell r="E617">
            <v>92.100000000000023</v>
          </cell>
          <cell r="F617">
            <v>107.19999999999993</v>
          </cell>
          <cell r="G617">
            <v>137.19999999999993</v>
          </cell>
          <cell r="H617">
            <v>205</v>
          </cell>
          <cell r="I617">
            <v>200.18500000000017</v>
          </cell>
          <cell r="J617">
            <v>201.36899999999991</v>
          </cell>
          <cell r="K617">
            <v>213.47499999999991</v>
          </cell>
          <cell r="L617">
            <v>156.78100000000018</v>
          </cell>
          <cell r="M617">
            <v>217.97799999999984</v>
          </cell>
          <cell r="N617">
            <v>195.94599999999991</v>
          </cell>
          <cell r="O617">
            <v>133.72600000000057</v>
          </cell>
          <cell r="P617">
            <v>456.9399999999996</v>
          </cell>
          <cell r="Q617">
            <v>100</v>
          </cell>
          <cell r="R617">
            <v>100</v>
          </cell>
          <cell r="S617">
            <v>100</v>
          </cell>
          <cell r="T617">
            <v>100</v>
          </cell>
          <cell r="U617">
            <v>100</v>
          </cell>
          <cell r="V617">
            <v>100</v>
          </cell>
          <cell r="W617">
            <v>100</v>
          </cell>
        </row>
        <row r="618">
          <cell r="B618" t="str">
            <v>MTNL Lines Added</v>
          </cell>
          <cell r="E618">
            <v>92.100000000000023</v>
          </cell>
          <cell r="F618">
            <v>107.19999999999993</v>
          </cell>
          <cell r="G618">
            <v>137.19999999999993</v>
          </cell>
          <cell r="H618">
            <v>205</v>
          </cell>
          <cell r="I618">
            <v>200.18500000000017</v>
          </cell>
          <cell r="J618">
            <v>201.36899999999991</v>
          </cell>
          <cell r="K618">
            <v>213.47499999999991</v>
          </cell>
          <cell r="L618">
            <v>156.78100000000018</v>
          </cell>
          <cell r="M618">
            <v>200.97799999999984</v>
          </cell>
          <cell r="N618">
            <v>180.66426514602381</v>
          </cell>
          <cell r="O618">
            <v>123.29677319729565</v>
          </cell>
          <cell r="P618">
            <v>68.54099999999994</v>
          </cell>
          <cell r="Q618">
            <v>-10</v>
          </cell>
          <cell r="R618">
            <v>-50</v>
          </cell>
          <cell r="S618">
            <v>-50</v>
          </cell>
          <cell r="T618">
            <v>-25</v>
          </cell>
          <cell r="U618">
            <v>-12.5</v>
          </cell>
          <cell r="V618">
            <v>0</v>
          </cell>
          <cell r="W618">
            <v>0</v>
          </cell>
        </row>
        <row r="619">
          <cell r="B619" t="str">
            <v>Private Lines Added</v>
          </cell>
          <cell r="E619">
            <v>0</v>
          </cell>
          <cell r="F619">
            <v>0</v>
          </cell>
          <cell r="G619">
            <v>0</v>
          </cell>
          <cell r="H619">
            <v>0</v>
          </cell>
          <cell r="I619">
            <v>0</v>
          </cell>
          <cell r="J619">
            <v>0</v>
          </cell>
          <cell r="K619">
            <v>0</v>
          </cell>
          <cell r="L619">
            <v>0</v>
          </cell>
          <cell r="M619">
            <v>17</v>
          </cell>
          <cell r="N619">
            <v>37</v>
          </cell>
          <cell r="O619">
            <v>58.357999999999997</v>
          </cell>
          <cell r="P619">
            <v>388.39899999999966</v>
          </cell>
          <cell r="Q619">
            <v>110</v>
          </cell>
          <cell r="R619">
            <v>150</v>
          </cell>
          <cell r="S619">
            <v>150</v>
          </cell>
          <cell r="T619">
            <v>125</v>
          </cell>
          <cell r="U619">
            <v>112.5</v>
          </cell>
          <cell r="V619">
            <v>100</v>
          </cell>
          <cell r="W619">
            <v>100</v>
          </cell>
        </row>
        <row r="621">
          <cell r="A621" t="str">
            <v>Share of New Lines</v>
          </cell>
        </row>
        <row r="622">
          <cell r="B622" t="str">
            <v>MTNL</v>
          </cell>
          <cell r="E622">
            <v>1</v>
          </cell>
          <cell r="F622">
            <v>1</v>
          </cell>
          <cell r="G622">
            <v>1</v>
          </cell>
          <cell r="H622">
            <v>1</v>
          </cell>
          <cell r="I622">
            <v>1</v>
          </cell>
          <cell r="J622">
            <v>1</v>
          </cell>
          <cell r="K622">
            <v>1</v>
          </cell>
          <cell r="L622">
            <v>1</v>
          </cell>
          <cell r="M622">
            <v>0.92201047812164527</v>
          </cell>
          <cell r="N622">
            <v>0.92201047812164516</v>
          </cell>
          <cell r="O622">
            <v>0.92201047812164516</v>
          </cell>
          <cell r="P622">
            <v>0.15</v>
          </cell>
          <cell r="Q622">
            <v>-0.1</v>
          </cell>
          <cell r="R622">
            <v>-0.1</v>
          </cell>
          <cell r="S622">
            <v>-0.1</v>
          </cell>
          <cell r="T622">
            <v>-0.05</v>
          </cell>
          <cell r="V622">
            <v>0</v>
          </cell>
          <cell r="W622">
            <v>0</v>
          </cell>
        </row>
        <row r="623">
          <cell r="B623" t="str">
            <v>Private Operators</v>
          </cell>
          <cell r="E623">
            <v>0</v>
          </cell>
          <cell r="F623">
            <v>0</v>
          </cell>
          <cell r="G623">
            <v>0</v>
          </cell>
          <cell r="H623">
            <v>0</v>
          </cell>
          <cell r="I623">
            <v>0</v>
          </cell>
          <cell r="J623">
            <v>0</v>
          </cell>
          <cell r="K623">
            <v>0</v>
          </cell>
          <cell r="L623">
            <v>0</v>
          </cell>
          <cell r="M623">
            <v>7.7989521878354728E-2</v>
          </cell>
          <cell r="N623">
            <v>7.7989521878354839E-2</v>
          </cell>
          <cell r="O623">
            <v>7.7989521878354839E-2</v>
          </cell>
          <cell r="P623">
            <v>0.85</v>
          </cell>
          <cell r="Q623">
            <v>1.1000000000000001</v>
          </cell>
          <cell r="R623">
            <v>1.1000000000000001</v>
          </cell>
          <cell r="S623">
            <v>1.1000000000000001</v>
          </cell>
          <cell r="T623">
            <v>1.05</v>
          </cell>
          <cell r="U623">
            <v>1</v>
          </cell>
          <cell r="V623">
            <v>1</v>
          </cell>
          <cell r="W623">
            <v>1</v>
          </cell>
        </row>
        <row r="625">
          <cell r="A625" t="str">
            <v>Share of Total Lines</v>
          </cell>
        </row>
        <row r="626">
          <cell r="B626" t="str">
            <v>MTNL</v>
          </cell>
          <cell r="E626">
            <v>1</v>
          </cell>
          <cell r="F626">
            <v>1</v>
          </cell>
          <cell r="G626">
            <v>1</v>
          </cell>
          <cell r="H626">
            <v>1</v>
          </cell>
          <cell r="I626">
            <v>1</v>
          </cell>
          <cell r="J626">
            <v>1</v>
          </cell>
          <cell r="K626">
            <v>1</v>
          </cell>
          <cell r="L626">
            <v>1</v>
          </cell>
          <cell r="M626">
            <v>1</v>
          </cell>
          <cell r="N626">
            <v>0.97758716724206773</v>
          </cell>
          <cell r="O626">
            <v>0.95581779431079084</v>
          </cell>
          <cell r="P626">
            <v>0.82091500000000006</v>
          </cell>
          <cell r="Q626">
            <v>0.79120806451612913</v>
          </cell>
          <cell r="R626">
            <v>0.75085781250000005</v>
          </cell>
          <cell r="S626">
            <v>0.71295303030303037</v>
          </cell>
          <cell r="T626">
            <v>0.68463088235294123</v>
          </cell>
          <cell r="U626">
            <v>0.66149857142857149</v>
          </cell>
          <cell r="V626">
            <v>0.64312361111111116</v>
          </cell>
          <cell r="W626">
            <v>0.625741891891892</v>
          </cell>
        </row>
        <row r="627">
          <cell r="B627" t="str">
            <v>Private Operators</v>
          </cell>
          <cell r="E627">
            <v>0</v>
          </cell>
          <cell r="F627">
            <v>0</v>
          </cell>
          <cell r="G627">
            <v>0</v>
          </cell>
          <cell r="H627">
            <v>0</v>
          </cell>
          <cell r="I627">
            <v>0</v>
          </cell>
          <cell r="J627">
            <v>0</v>
          </cell>
          <cell r="K627">
            <v>0</v>
          </cell>
          <cell r="L627">
            <v>0</v>
          </cell>
          <cell r="M627">
            <v>7.6805331916500862E-3</v>
          </cell>
          <cell r="N627">
            <v>2.2412832757932277E-2</v>
          </cell>
          <cell r="O627">
            <v>4.418220568920906E-2</v>
          </cell>
          <cell r="P627">
            <v>0.1669189999999999</v>
          </cell>
          <cell r="Q627">
            <v>0.19701838709677408</v>
          </cell>
          <cell r="R627">
            <v>0.23773656249999989</v>
          </cell>
          <cell r="S627">
            <v>0.27598696969696956</v>
          </cell>
          <cell r="T627">
            <v>0.30463441176470579</v>
          </cell>
          <cell r="U627">
            <v>0.32807342857142846</v>
          </cell>
          <cell r="V627">
            <v>0.34673805555555542</v>
          </cell>
          <cell r="W627">
            <v>0.36439378378378368</v>
          </cell>
        </row>
        <row r="629">
          <cell r="A629" t="str">
            <v>National Network Data</v>
          </cell>
          <cell r="B629" t="str">
            <v>National Network Data</v>
          </cell>
        </row>
        <row r="630">
          <cell r="B630" t="str">
            <v>Y-E Fixed-Line Capacity (000s)</v>
          </cell>
          <cell r="C630">
            <v>5266</v>
          </cell>
          <cell r="D630">
            <v>5824.027</v>
          </cell>
          <cell r="E630">
            <v>6783.9359999999997</v>
          </cell>
          <cell r="F630">
            <v>7713</v>
          </cell>
          <cell r="G630">
            <v>8877</v>
          </cell>
          <cell r="H630">
            <v>10588</v>
          </cell>
          <cell r="I630">
            <v>12892</v>
          </cell>
          <cell r="J630">
            <v>15394</v>
          </cell>
          <cell r="K630">
            <v>21300</v>
          </cell>
          <cell r="L630">
            <v>26100</v>
          </cell>
          <cell r="M630">
            <v>33270</v>
          </cell>
          <cell r="N630">
            <v>39910</v>
          </cell>
          <cell r="O630">
            <v>51173.177514752868</v>
          </cell>
          <cell r="P630">
            <v>52826.67</v>
          </cell>
          <cell r="Q630">
            <v>63362.608999999997</v>
          </cell>
          <cell r="R630" t="e">
            <v>#REF!</v>
          </cell>
          <cell r="S630" t="e">
            <v>#REF!</v>
          </cell>
          <cell r="T630" t="e">
            <v>#REF!</v>
          </cell>
          <cell r="U630" t="e">
            <v>#REF!</v>
          </cell>
          <cell r="V630" t="e">
            <v>#REF!</v>
          </cell>
          <cell r="W630" t="e">
            <v>#REF!</v>
          </cell>
        </row>
        <row r="631">
          <cell r="B631" t="str">
            <v>Y-E Fixed-Lines in Service (000s)</v>
          </cell>
          <cell r="C631">
            <v>4588.8320000000003</v>
          </cell>
          <cell r="D631">
            <v>5074.7340000000004</v>
          </cell>
          <cell r="E631">
            <v>5809.9290000000001</v>
          </cell>
          <cell r="F631">
            <v>6796.7479999999996</v>
          </cell>
          <cell r="G631">
            <v>8025.6</v>
          </cell>
          <cell r="H631">
            <v>9795.3040000000001</v>
          </cell>
          <cell r="I631">
            <v>11978.395</v>
          </cell>
          <cell r="J631">
            <v>14542.650999999998</v>
          </cell>
          <cell r="K631">
            <v>17801.696000000004</v>
          </cell>
          <cell r="L631">
            <v>21593.722000000002</v>
          </cell>
          <cell r="M631">
            <v>26698.3</v>
          </cell>
          <cell r="N631">
            <v>32731.34</v>
          </cell>
          <cell r="O631">
            <v>38294.362000000001</v>
          </cell>
          <cell r="P631">
            <v>41793.913999999997</v>
          </cell>
          <cell r="Q631">
            <v>42840.743000000002</v>
          </cell>
          <cell r="R631" t="e">
            <v>#REF!</v>
          </cell>
          <cell r="S631" t="e">
            <v>#REF!</v>
          </cell>
          <cell r="T631" t="e">
            <v>#REF!</v>
          </cell>
          <cell r="U631" t="e">
            <v>#REF!</v>
          </cell>
          <cell r="V631" t="e">
            <v>#REF!</v>
          </cell>
          <cell r="W631" t="e">
            <v>#REF!</v>
          </cell>
        </row>
        <row r="632">
          <cell r="D632">
            <v>0.10588794708544569</v>
          </cell>
          <cell r="E632">
            <v>0.14487360322728238</v>
          </cell>
          <cell r="F632">
            <v>0.16985044051312848</v>
          </cell>
          <cell r="G632">
            <v>0.18079999435023941</v>
          </cell>
          <cell r="H632">
            <v>0.2205073763955343</v>
          </cell>
          <cell r="I632">
            <v>0.22287118398775574</v>
          </cell>
          <cell r="J632">
            <v>0.21407342135569896</v>
          </cell>
          <cell r="K632">
            <v>0.22410253811358105</v>
          </cell>
          <cell r="L632">
            <v>0.21301487229081983</v>
          </cell>
          <cell r="M632">
            <v>0.23639176238352966</v>
          </cell>
          <cell r="N632">
            <v>0.22597094197008794</v>
          </cell>
          <cell r="O632">
            <v>0.16996010551355378</v>
          </cell>
          <cell r="P632">
            <v>9.1385567410680268E-2</v>
          </cell>
          <cell r="Q632">
            <v>2.5047402834776467E-2</v>
          </cell>
          <cell r="R632" t="e">
            <v>#REF!</v>
          </cell>
          <cell r="S632" t="e">
            <v>#REF!</v>
          </cell>
          <cell r="T632" t="e">
            <v>#REF!</v>
          </cell>
          <cell r="U632" t="e">
            <v>#REF!</v>
          </cell>
          <cell r="V632" t="e">
            <v>#REF!</v>
          </cell>
          <cell r="W632" t="e">
            <v>#REF!</v>
          </cell>
        </row>
        <row r="633">
          <cell r="A633" t="str">
            <v>Average Lines in Service</v>
          </cell>
          <cell r="B633" t="str">
            <v>Average Lines in Service</v>
          </cell>
          <cell r="C633">
            <v>12534.0445</v>
          </cell>
          <cell r="D633">
            <v>4831.7830000000004</v>
          </cell>
          <cell r="E633">
            <v>5442.3315000000002</v>
          </cell>
          <cell r="F633">
            <v>6303.3384999999998</v>
          </cell>
          <cell r="G633">
            <v>7411.174</v>
          </cell>
          <cell r="H633">
            <v>8910.4520000000011</v>
          </cell>
          <cell r="I633">
            <v>10886.8495</v>
          </cell>
          <cell r="J633">
            <v>13260.522999999999</v>
          </cell>
          <cell r="K633">
            <v>16172.173500000001</v>
          </cell>
          <cell r="L633">
            <v>19697.709000000003</v>
          </cell>
          <cell r="M633">
            <v>24146.010999999999</v>
          </cell>
          <cell r="N633">
            <v>29714.82</v>
          </cell>
          <cell r="O633">
            <v>35512.851000000002</v>
          </cell>
          <cell r="P633">
            <v>40044.137999999999</v>
          </cell>
          <cell r="Q633">
            <v>42317.328500000003</v>
          </cell>
          <cell r="R633" t="e">
            <v>#REF!</v>
          </cell>
          <cell r="S633" t="e">
            <v>#REF!</v>
          </cell>
          <cell r="T633" t="e">
            <v>#REF!</v>
          </cell>
          <cell r="U633" t="e">
            <v>#REF!</v>
          </cell>
          <cell r="V633" t="e">
            <v>#REF!</v>
          </cell>
          <cell r="W633" t="e">
            <v>#REF!</v>
          </cell>
        </row>
        <row r="635">
          <cell r="C635">
            <v>0.87140751993923293</v>
          </cell>
          <cell r="D635">
            <v>0.87134451814869684</v>
          </cell>
          <cell r="E635">
            <v>0.85642450046698559</v>
          </cell>
          <cell r="F635">
            <v>0.88120679372487998</v>
          </cell>
          <cell r="G635">
            <v>0.90408921933085507</v>
          </cell>
          <cell r="H635">
            <v>0.92513260294673216</v>
          </cell>
          <cell r="I635">
            <v>0.92913395904436868</v>
          </cell>
          <cell r="J635">
            <v>0.9446960504092502</v>
          </cell>
          <cell r="K635">
            <v>0.83576037558685468</v>
          </cell>
          <cell r="L635">
            <v>0.82734567049808438</v>
          </cell>
          <cell r="M635">
            <v>0.80247370003005714</v>
          </cell>
          <cell r="N635">
            <v>0.82012878977699821</v>
          </cell>
          <cell r="O635">
            <v>0.74832878980321293</v>
          </cell>
          <cell r="P635">
            <v>0.79115177996265895</v>
          </cell>
          <cell r="Q635">
            <v>0.67612024940450299</v>
          </cell>
          <cell r="R635" t="e">
            <v>#REF!</v>
          </cell>
          <cell r="S635" t="e">
            <v>#REF!</v>
          </cell>
          <cell r="T635" t="e">
            <v>#REF!</v>
          </cell>
          <cell r="U635" t="e">
            <v>#REF!</v>
          </cell>
          <cell r="V635" t="e">
            <v>#REF!</v>
          </cell>
          <cell r="W635" t="e">
            <v>#REF!</v>
          </cell>
        </row>
        <row r="636">
          <cell r="A636" t="str">
            <v>% Nat'l Utilization</v>
          </cell>
          <cell r="D636">
            <v>0.8566727003455652</v>
          </cell>
          <cell r="E636">
            <v>0.85434015525758633</v>
          </cell>
          <cell r="F636">
            <v>0.86369905956112847</v>
          </cell>
          <cell r="G636">
            <v>0.85529634300126101</v>
          </cell>
          <cell r="H636">
            <v>0.83888599687662679</v>
          </cell>
          <cell r="I636">
            <v>0.81290749512398996</v>
          </cell>
          <cell r="J636">
            <v>0.83740831295843521</v>
          </cell>
          <cell r="K636">
            <v>0.87489988155000276</v>
          </cell>
          <cell r="L636">
            <v>0.85816603931409452</v>
          </cell>
          <cell r="M636">
            <v>0.85604331450094162</v>
          </cell>
          <cell r="N636">
            <v>0.81494101332525459</v>
          </cell>
          <cell r="O636">
            <v>0.74442895304785517</v>
          </cell>
          <cell r="P636">
            <v>0.73173419980686361</v>
          </cell>
          <cell r="Q636">
            <v>0.74173419980686361</v>
          </cell>
          <cell r="R636">
            <v>0.75173419980686362</v>
          </cell>
          <cell r="S636">
            <v>0.76173419980686363</v>
          </cell>
          <cell r="T636">
            <v>0.77173419980686364</v>
          </cell>
          <cell r="U636">
            <v>0.78173419980686365</v>
          </cell>
          <cell r="V636">
            <v>0.79173419980686366</v>
          </cell>
          <cell r="W636">
            <v>0.80173419980686367</v>
          </cell>
        </row>
        <row r="637">
          <cell r="B637" t="str">
            <v>% Delhi</v>
          </cell>
          <cell r="D637">
            <v>0.88707016876030964</v>
          </cell>
          <cell r="E637">
            <v>0.88362742908197456</v>
          </cell>
          <cell r="F637">
            <v>0.92819506147329267</v>
          </cell>
          <cell r="G637">
            <v>0.89639054790963379</v>
          </cell>
          <cell r="H637">
            <v>0.86919358228823651</v>
          </cell>
          <cell r="I637">
            <v>0.8649207587945732</v>
          </cell>
          <cell r="J637">
            <v>0.87116923076923081</v>
          </cell>
          <cell r="K637">
            <v>0.91114062653442007</v>
          </cell>
          <cell r="L637">
            <v>0.87045719970586966</v>
          </cell>
          <cell r="M637">
            <v>0.88007475149105363</v>
          </cell>
          <cell r="N637">
            <v>0.87505535658557609</v>
          </cell>
          <cell r="O637">
            <v>0.84529103693863505</v>
          </cell>
          <cell r="P637">
            <v>0.85339403927613056</v>
          </cell>
          <cell r="Q637">
            <v>0.86339403927613056</v>
          </cell>
          <cell r="R637">
            <v>0.87339403927613057</v>
          </cell>
          <cell r="S637">
            <v>0.88339403927613058</v>
          </cell>
          <cell r="T637">
            <v>0.89339403927613059</v>
          </cell>
          <cell r="U637">
            <v>0.9</v>
          </cell>
          <cell r="V637">
            <v>0.9</v>
          </cell>
          <cell r="W637">
            <v>0.9</v>
          </cell>
        </row>
        <row r="638">
          <cell r="B638" t="str">
            <v>% Bombay</v>
          </cell>
          <cell r="D638">
            <v>0.87055925543112411</v>
          </cell>
          <cell r="E638">
            <v>0.85200739917637636</v>
          </cell>
          <cell r="F638">
            <v>0.87590759297868037</v>
          </cell>
          <cell r="G638">
            <v>0.91226126645101258</v>
          </cell>
          <cell r="H638">
            <v>0.94751613990834282</v>
          </cell>
          <cell r="I638">
            <v>0.95710170980328069</v>
          </cell>
          <cell r="J638">
            <v>0.97115278362671587</v>
          </cell>
          <cell r="K638">
            <v>0.82301575140790739</v>
          </cell>
          <cell r="L638">
            <v>0.82004149094796874</v>
          </cell>
          <cell r="M638">
            <v>0.7910228182340977</v>
          </cell>
          <cell r="N638">
            <v>0.81566585655979751</v>
          </cell>
          <cell r="O638">
            <v>0.74086763229079011</v>
          </cell>
          <cell r="P638">
            <v>0.80639443942191458</v>
          </cell>
          <cell r="Q638">
            <v>0.81639443942191459</v>
          </cell>
          <cell r="R638">
            <v>0.8263944394219146</v>
          </cell>
          <cell r="S638">
            <v>0.8363944394219146</v>
          </cell>
          <cell r="T638">
            <v>0.84639443942191461</v>
          </cell>
          <cell r="U638">
            <v>0.85639443942191462</v>
          </cell>
          <cell r="V638">
            <v>0.86639443942191463</v>
          </cell>
          <cell r="W638">
            <v>0.87639443942191464</v>
          </cell>
        </row>
        <row r="639">
          <cell r="B639" t="str">
            <v>% DoT</v>
          </cell>
        </row>
        <row r="641">
          <cell r="B641" t="str">
            <v>Pvt Operator DELs</v>
          </cell>
          <cell r="D641">
            <v>0</v>
          </cell>
          <cell r="E641">
            <v>0</v>
          </cell>
          <cell r="F641">
            <v>0</v>
          </cell>
          <cell r="G641">
            <v>0</v>
          </cell>
          <cell r="H641">
            <v>0</v>
          </cell>
          <cell r="I641">
            <v>0</v>
          </cell>
          <cell r="J641">
            <v>0</v>
          </cell>
          <cell r="K641">
            <v>0</v>
          </cell>
          <cell r="L641">
            <v>20</v>
          </cell>
          <cell r="M641">
            <v>120</v>
          </cell>
          <cell r="N641">
            <v>470</v>
          </cell>
          <cell r="O641">
            <v>970</v>
          </cell>
          <cell r="P641">
            <v>1570</v>
          </cell>
          <cell r="Q641">
            <v>2270</v>
          </cell>
          <cell r="R641">
            <v>3070</v>
          </cell>
          <cell r="S641">
            <v>3970</v>
          </cell>
          <cell r="T641">
            <v>4970</v>
          </cell>
          <cell r="U641">
            <v>6070</v>
          </cell>
          <cell r="V641">
            <v>7270</v>
          </cell>
          <cell r="W641">
            <v>8570</v>
          </cell>
        </row>
        <row r="642">
          <cell r="D642">
            <v>0</v>
          </cell>
          <cell r="E642">
            <v>0</v>
          </cell>
          <cell r="F642">
            <v>0</v>
          </cell>
          <cell r="G642">
            <v>0</v>
          </cell>
          <cell r="H642">
            <v>0</v>
          </cell>
          <cell r="I642">
            <v>0</v>
          </cell>
          <cell r="J642">
            <v>0</v>
          </cell>
          <cell r="K642">
            <v>0</v>
          </cell>
          <cell r="L642">
            <v>20</v>
          </cell>
          <cell r="M642">
            <v>120</v>
          </cell>
          <cell r="N642">
            <v>470</v>
          </cell>
          <cell r="O642">
            <v>970</v>
          </cell>
          <cell r="P642">
            <v>1570</v>
          </cell>
          <cell r="Q642">
            <v>2270</v>
          </cell>
          <cell r="R642">
            <v>3070</v>
          </cell>
          <cell r="S642">
            <v>3970</v>
          </cell>
          <cell r="T642">
            <v>4970</v>
          </cell>
          <cell r="U642">
            <v>6070</v>
          </cell>
          <cell r="V642">
            <v>7270</v>
          </cell>
          <cell r="W642">
            <v>8570</v>
          </cell>
        </row>
      </sheetData>
      <sheetData sheetId="9" refreshError="1">
        <row r="2">
          <cell r="B2" t="str">
            <v>TABLE FOR REPORT</v>
          </cell>
        </row>
        <row r="4">
          <cell r="B4" t="str">
            <v>(Rs mn)</v>
          </cell>
          <cell r="C4" t="str">
            <v>F2Q07</v>
          </cell>
          <cell r="D4" t="str">
            <v>F2Q06</v>
          </cell>
          <cell r="E4" t="str">
            <v>% Chg</v>
          </cell>
          <cell r="F4" t="str">
            <v>F1Q07</v>
          </cell>
          <cell r="G4" t="str">
            <v>% Chg</v>
          </cell>
          <cell r="H4" t="str">
            <v>FF2007</v>
          </cell>
          <cell r="I4" t="str">
            <v>FF2006</v>
          </cell>
          <cell r="J4" t="str">
            <v>% Chg</v>
          </cell>
        </row>
        <row r="5">
          <cell r="B5" t="str">
            <v>(period ending)</v>
          </cell>
          <cell r="C5">
            <v>38990</v>
          </cell>
          <cell r="D5">
            <v>38625</v>
          </cell>
          <cell r="E5" t="str">
            <v>YoY</v>
          </cell>
          <cell r="F5">
            <v>38898</v>
          </cell>
          <cell r="G5" t="str">
            <v>QoQ</v>
          </cell>
          <cell r="H5">
            <v>38442</v>
          </cell>
          <cell r="I5">
            <v>38077</v>
          </cell>
          <cell r="J5" t="str">
            <v>YoY</v>
          </cell>
        </row>
        <row r="6">
          <cell r="B6" t="str">
            <v>Income from Services</v>
          </cell>
          <cell r="C6">
            <v>12204.16</v>
          </cell>
          <cell r="D6">
            <v>12690</v>
          </cell>
          <cell r="E6">
            <v>-3.8285263987391627E-2</v>
          </cell>
          <cell r="F6">
            <v>12781.89</v>
          </cell>
          <cell r="G6">
            <v>-4.5199105922520078E-2</v>
          </cell>
          <cell r="H6">
            <v>53948.192144448381</v>
          </cell>
          <cell r="I6">
            <v>52494.32</v>
          </cell>
          <cell r="J6">
            <v>2.7695799173098834E-2</v>
          </cell>
        </row>
        <row r="7">
          <cell r="B7" t="str">
            <v xml:space="preserve">Expenditure </v>
          </cell>
          <cell r="C7">
            <v>10275.64</v>
          </cell>
          <cell r="D7">
            <v>10258</v>
          </cell>
          <cell r="E7">
            <v>1.7196334568141403E-3</v>
          </cell>
          <cell r="F7">
            <v>9923.6299999999992</v>
          </cell>
          <cell r="G7">
            <v>3.5471898891836995E-2</v>
          </cell>
          <cell r="H7">
            <v>39263.003114627973</v>
          </cell>
          <cell r="I7">
            <v>39722.340000000004</v>
          </cell>
          <cell r="J7">
            <v>-1.1563691498839956E-2</v>
          </cell>
        </row>
        <row r="8">
          <cell r="B8" t="str">
            <v>Staff Cost</v>
          </cell>
          <cell r="C8">
            <v>4595.8599999999997</v>
          </cell>
          <cell r="D8">
            <v>4641</v>
          </cell>
          <cell r="E8">
            <v>-9.7263520792932878E-3</v>
          </cell>
          <cell r="F8">
            <v>4489.75</v>
          </cell>
          <cell r="G8">
            <v>2.3633832618742634E-2</v>
          </cell>
          <cell r="H8">
            <v>16463.554071534389</v>
          </cell>
          <cell r="I8">
            <v>17365.93</v>
          </cell>
          <cell r="J8">
            <v>-5.196243037174586E-2</v>
          </cell>
        </row>
        <row r="9">
          <cell r="B9" t="str">
            <v>Admn &amp; other operative</v>
          </cell>
          <cell r="C9">
            <v>2326.96</v>
          </cell>
          <cell r="D9">
            <v>2245</v>
          </cell>
          <cell r="E9">
            <v>3.650779510022284E-2</v>
          </cell>
          <cell r="F9">
            <v>2190.4</v>
          </cell>
          <cell r="G9">
            <v>6.2344777209642155E-2</v>
          </cell>
          <cell r="H9">
            <v>10101.044546164507</v>
          </cell>
          <cell r="I9">
            <v>9665.0499999999993</v>
          </cell>
          <cell r="J9">
            <v>4.5110428416253123E-2</v>
          </cell>
        </row>
        <row r="10">
          <cell r="B10" t="str">
            <v>License Fee</v>
          </cell>
          <cell r="C10">
            <v>1097.23</v>
          </cell>
          <cell r="D10">
            <v>1218</v>
          </cell>
          <cell r="E10">
            <v>-9.91543513957307E-2</v>
          </cell>
          <cell r="F10">
            <v>1105.48</v>
          </cell>
          <cell r="G10">
            <v>-7.4628215797662989E-3</v>
          </cell>
          <cell r="H10">
            <v>4709.694716539072</v>
          </cell>
          <cell r="I10">
            <v>4471.17</v>
          </cell>
          <cell r="J10">
            <v>5.3347270745480957E-2</v>
          </cell>
        </row>
        <row r="11">
          <cell r="B11" t="str">
            <v>Interconnect Charges</v>
          </cell>
          <cell r="C11">
            <v>2255.59</v>
          </cell>
          <cell r="D11">
            <v>2154</v>
          </cell>
          <cell r="E11">
            <v>4.7163416898793109E-2</v>
          </cell>
          <cell r="F11">
            <v>2138</v>
          </cell>
          <cell r="G11">
            <v>5.500000000000016E-2</v>
          </cell>
          <cell r="H11">
            <v>7988.7097803900124</v>
          </cell>
          <cell r="I11">
            <v>8220.19</v>
          </cell>
          <cell r="J11">
            <v>-2.8159959758836228E-2</v>
          </cell>
        </row>
        <row r="12">
          <cell r="B12" t="str">
            <v>Operating Profit</v>
          </cell>
          <cell r="C12">
            <v>1928.5200000000004</v>
          </cell>
          <cell r="D12">
            <v>2432</v>
          </cell>
          <cell r="E12">
            <v>-0.20702302631578928</v>
          </cell>
          <cell r="F12">
            <v>2858.26</v>
          </cell>
          <cell r="G12">
            <v>-0.32528181481040908</v>
          </cell>
          <cell r="H12">
            <v>14685.189029820409</v>
          </cell>
          <cell r="I12">
            <v>12771.979999999996</v>
          </cell>
          <cell r="J12">
            <v>0.14979737126274961</v>
          </cell>
        </row>
        <row r="13">
          <cell r="B13" t="str">
            <v>Depreciation</v>
          </cell>
          <cell r="C13">
            <v>1648.11</v>
          </cell>
          <cell r="D13">
            <v>1579</v>
          </cell>
          <cell r="E13">
            <v>4.3768207726408992E-2</v>
          </cell>
          <cell r="F13">
            <v>1695.63</v>
          </cell>
          <cell r="G13">
            <v>-2.8024981865147569E-2</v>
          </cell>
          <cell r="H13">
            <v>6924.2996094196515</v>
          </cell>
          <cell r="I13">
            <v>6377.07</v>
          </cell>
          <cell r="J13">
            <v>8.5812075046949765E-2</v>
          </cell>
        </row>
        <row r="14">
          <cell r="B14" t="str">
            <v>Non Operating Income</v>
          </cell>
          <cell r="C14">
            <v>1563.5</v>
          </cell>
          <cell r="D14">
            <v>1549</v>
          </cell>
          <cell r="E14">
            <v>9.3608779857972113E-3</v>
          </cell>
          <cell r="F14">
            <v>837.02</v>
          </cell>
          <cell r="G14">
            <v>0.86793625002986796</v>
          </cell>
          <cell r="H14">
            <v>4401.1180849873417</v>
          </cell>
          <cell r="I14">
            <v>3421.45</v>
          </cell>
          <cell r="J14">
            <v>0.28633125867317721</v>
          </cell>
        </row>
        <row r="15">
          <cell r="B15" t="str">
            <v>EBIT</v>
          </cell>
          <cell r="C15">
            <v>3492.0200000000004</v>
          </cell>
          <cell r="D15">
            <v>3981</v>
          </cell>
          <cell r="E15">
            <v>-0.12282843506656604</v>
          </cell>
          <cell r="F15">
            <v>3695.28</v>
          </cell>
          <cell r="G15">
            <v>-5.5005304063562077E-2</v>
          </cell>
          <cell r="H15">
            <v>19086.307114807751</v>
          </cell>
          <cell r="I15">
            <v>16193.429999999997</v>
          </cell>
          <cell r="J15">
            <v>0.17864511192550037</v>
          </cell>
        </row>
        <row r="17">
          <cell r="B17" t="str">
            <v>Interest</v>
          </cell>
          <cell r="C17">
            <v>5.0199999999999996</v>
          </cell>
          <cell r="D17">
            <v>91</v>
          </cell>
          <cell r="E17">
            <v>-0.94483516483516483</v>
          </cell>
          <cell r="F17">
            <v>13.9</v>
          </cell>
          <cell r="G17">
            <v>-0.63884892086330947</v>
          </cell>
          <cell r="H17">
            <v>0</v>
          </cell>
          <cell r="I17">
            <v>249.97</v>
          </cell>
          <cell r="J17">
            <v>-1</v>
          </cell>
        </row>
        <row r="18">
          <cell r="B18" t="str">
            <v>PBT</v>
          </cell>
          <cell r="C18">
            <v>1838.8900000000006</v>
          </cell>
          <cell r="D18">
            <v>2311</v>
          </cell>
          <cell r="E18">
            <v>-0.20428818693206385</v>
          </cell>
          <cell r="F18">
            <v>1985.75</v>
          </cell>
          <cell r="G18">
            <v>-7.3956943220445437E-2</v>
          </cell>
          <cell r="H18">
            <v>12162.007505388099</v>
          </cell>
          <cell r="I18">
            <v>9566.3899999999976</v>
          </cell>
          <cell r="J18">
            <v>0.27132674973402748</v>
          </cell>
        </row>
        <row r="19">
          <cell r="B19" t="str">
            <v>Tax incl defered tax</v>
          </cell>
          <cell r="C19">
            <v>628.64</v>
          </cell>
          <cell r="D19">
            <v>632</v>
          </cell>
          <cell r="E19">
            <v>-5.3164556962025378E-3</v>
          </cell>
          <cell r="F19">
            <v>673.81</v>
          </cell>
          <cell r="G19">
            <v>-6.7036701740846749E-2</v>
          </cell>
          <cell r="H19">
            <v>3648.6022516164276</v>
          </cell>
          <cell r="I19">
            <v>2332.44</v>
          </cell>
          <cell r="J19">
            <v>0.56428557717087147</v>
          </cell>
        </row>
        <row r="20">
          <cell r="B20" t="str">
            <v>PAT</v>
          </cell>
          <cell r="C20">
            <v>1210.2500000000005</v>
          </cell>
          <cell r="D20">
            <v>1679</v>
          </cell>
          <cell r="E20">
            <v>-0.27918403811792702</v>
          </cell>
          <cell r="F20">
            <v>1311.94</v>
          </cell>
          <cell r="G20">
            <v>-7.7511166669207099E-2</v>
          </cell>
          <cell r="H20">
            <v>8513.4052537716707</v>
          </cell>
          <cell r="I20">
            <v>7233.9499999999971</v>
          </cell>
          <cell r="J20">
            <v>0.17686813618723862</v>
          </cell>
          <cell r="K20">
            <v>2000</v>
          </cell>
          <cell r="L20">
            <v>0.60512500000000025</v>
          </cell>
        </row>
        <row r="22">
          <cell r="B22" t="str">
            <v>Extraordinary / Prior period items</v>
          </cell>
          <cell r="H22">
            <v>0</v>
          </cell>
          <cell r="I22">
            <v>-1447.1999999999998</v>
          </cell>
        </row>
        <row r="23">
          <cell r="B23" t="str">
            <v>Reported PAT</v>
          </cell>
          <cell r="C23">
            <v>1210.2500000000005</v>
          </cell>
          <cell r="D23">
            <v>1679</v>
          </cell>
          <cell r="E23">
            <v>-0.27918403811792702</v>
          </cell>
          <cell r="F23">
            <v>1311.94</v>
          </cell>
          <cell r="G23">
            <v>-7.7511166669207099E-2</v>
          </cell>
          <cell r="H23">
            <v>8513.4052537716707</v>
          </cell>
          <cell r="I23">
            <v>5786.7499999999973</v>
          </cell>
          <cell r="J23">
            <v>0.47118939884592814</v>
          </cell>
        </row>
        <row r="24">
          <cell r="E24" t="e">
            <v>#DIV/0!</v>
          </cell>
          <cell r="G24" t="e">
            <v>#DIV/0!</v>
          </cell>
        </row>
        <row r="25">
          <cell r="B25" t="str">
            <v>Cash profit</v>
          </cell>
          <cell r="C25">
            <v>2858.3600000000006</v>
          </cell>
          <cell r="D25">
            <v>3258</v>
          </cell>
          <cell r="E25">
            <v>-0.12266421117249826</v>
          </cell>
          <cell r="F25">
            <v>3007.57</v>
          </cell>
          <cell r="G25">
            <v>-4.9611480364546656E-2</v>
          </cell>
          <cell r="H25">
            <v>15437.704863191322</v>
          </cell>
          <cell r="I25">
            <v>12163.819999999996</v>
          </cell>
        </row>
        <row r="26">
          <cell r="B26" t="str">
            <v>GSM Subscribers</v>
          </cell>
          <cell r="C26">
            <v>2290.2550000000001</v>
          </cell>
          <cell r="D26">
            <v>1282.808</v>
          </cell>
          <cell r="E26">
            <v>0.7853451178976123</v>
          </cell>
          <cell r="F26">
            <v>2169.6610000000001</v>
          </cell>
          <cell r="G26">
            <v>5.5581954969002201E-2</v>
          </cell>
        </row>
        <row r="27">
          <cell r="B27" t="str">
            <v>CDMA Subscribers</v>
          </cell>
          <cell r="C27">
            <v>145.35499999999999</v>
          </cell>
          <cell r="D27">
            <v>212.005</v>
          </cell>
          <cell r="E27">
            <v>-0.31437937784486214</v>
          </cell>
          <cell r="F27">
            <v>138.49</v>
          </cell>
          <cell r="G27">
            <v>4.9570366091414408E-2</v>
          </cell>
        </row>
        <row r="28">
          <cell r="B28" t="str">
            <v>Wireless Subscribers</v>
          </cell>
          <cell r="C28">
            <v>2435.61</v>
          </cell>
          <cell r="D28">
            <v>1494.8130000000001</v>
          </cell>
          <cell r="E28">
            <v>0.62937437659426299</v>
          </cell>
          <cell r="F28">
            <v>2308.1509999999998</v>
          </cell>
          <cell r="G28">
            <v>5.5221257188112993E-2</v>
          </cell>
        </row>
        <row r="29">
          <cell r="B29" t="str">
            <v>Wireless Net Adds</v>
          </cell>
          <cell r="C29">
            <v>127.45900000000029</v>
          </cell>
          <cell r="D29">
            <v>202.36500000000001</v>
          </cell>
          <cell r="E29">
            <v>-0.3701529414671495</v>
          </cell>
          <cell r="F29">
            <v>261.3309999999999</v>
          </cell>
          <cell r="G29">
            <v>-0.51226987996066164</v>
          </cell>
        </row>
        <row r="30">
          <cell r="B30" t="str">
            <v>Wireline Subscribers</v>
          </cell>
          <cell r="C30">
            <v>3761.3339999999998</v>
          </cell>
          <cell r="D30">
            <v>3834.5659999999998</v>
          </cell>
          <cell r="E30">
            <v>-1.9097858792885503E-2</v>
          </cell>
          <cell r="F30">
            <v>3851.665</v>
          </cell>
          <cell r="G30">
            <v>-2.3452454977263115E-2</v>
          </cell>
          <cell r="H30">
            <v>4</v>
          </cell>
        </row>
        <row r="31">
          <cell r="B31" t="str">
            <v>Wireline Net Adds</v>
          </cell>
          <cell r="C31">
            <v>-90.331000000000131</v>
          </cell>
          <cell r="D31">
            <v>-128.09700000000021</v>
          </cell>
          <cell r="E31">
            <v>-0.29482345410118904</v>
          </cell>
          <cell r="F31">
            <v>-25.943000000000211</v>
          </cell>
          <cell r="G31">
            <v>2.4819026326947307</v>
          </cell>
        </row>
        <row r="32">
          <cell r="B32" t="str">
            <v>Overall Subs ('000)</v>
          </cell>
          <cell r="C32">
            <v>6196.9439999999995</v>
          </cell>
          <cell r="D32">
            <v>5329.3789999999999</v>
          </cell>
          <cell r="E32">
            <v>0.16278913546962959</v>
          </cell>
          <cell r="F32">
            <v>6159.8159999999998</v>
          </cell>
          <cell r="G32">
            <v>6.0274527680697076E-3</v>
          </cell>
        </row>
        <row r="33">
          <cell r="C33">
            <v>0.36957813399636985</v>
          </cell>
          <cell r="D33">
            <v>0.24070496768948127</v>
          </cell>
          <cell r="F33">
            <v>0.35222821590774789</v>
          </cell>
        </row>
        <row r="34">
          <cell r="B34" t="str">
            <v>License Fee % of Net revenue</v>
          </cell>
          <cell r="C34">
            <v>0.11029022261490848</v>
          </cell>
          <cell r="D34">
            <v>0.11560364464692482</v>
          </cell>
          <cell r="F34">
            <v>0.10386052467659851</v>
          </cell>
          <cell r="H34">
            <v>0.10247492953102073</v>
          </cell>
          <cell r="I34">
            <v>0.10098831981565759</v>
          </cell>
        </row>
        <row r="35">
          <cell r="B35" t="str">
            <v>Network Charges % of Net revenue</v>
          </cell>
          <cell r="C35">
            <v>0.18482140516020767</v>
          </cell>
          <cell r="D35">
            <v>0.16973995271867612</v>
          </cell>
          <cell r="F35">
            <v>0.16726790795414451</v>
          </cell>
          <cell r="H35">
            <v>0.14808113975348666</v>
          </cell>
          <cell r="I35">
            <v>0.15659198938094637</v>
          </cell>
        </row>
        <row r="36">
          <cell r="B36" t="str">
            <v>Staff Costs % of Net revenue</v>
          </cell>
          <cell r="C36">
            <v>0.37658142797210131</v>
          </cell>
          <cell r="D36">
            <v>0.36572104018912527</v>
          </cell>
          <cell r="F36">
            <v>0.35125869491913952</v>
          </cell>
          <cell r="H36">
            <v>0.30517341577364787</v>
          </cell>
          <cell r="I36">
            <v>0.33081541012437155</v>
          </cell>
        </row>
        <row r="37">
          <cell r="B37" t="str">
            <v>Operating margins</v>
          </cell>
          <cell r="C37">
            <v>0.15802152708584619</v>
          </cell>
          <cell r="D37">
            <v>0.19164696611505122</v>
          </cell>
          <cell r="F37">
            <v>0.22361794695463663</v>
          </cell>
          <cell r="H37">
            <v>0.27220910369897555</v>
          </cell>
          <cell r="I37">
            <v>0.2433021324973825</v>
          </cell>
        </row>
        <row r="38">
          <cell r="B38" t="str">
            <v>Net margins</v>
          </cell>
          <cell r="C38">
            <v>9.9167005348995793E-2</v>
          </cell>
          <cell r="D38">
            <v>0.13230890464933018</v>
          </cell>
          <cell r="F38">
            <v>0.1026405328163519</v>
          </cell>
          <cell r="H38">
            <v>0.15780705368173778</v>
          </cell>
          <cell r="I38">
            <v>0.13780443293674435</v>
          </cell>
        </row>
        <row r="39">
          <cell r="B39" t="str">
            <v>Effective tax rate</v>
          </cell>
          <cell r="C39">
            <v>0.34185840371093418</v>
          </cell>
          <cell r="D39">
            <v>0.27347468628299437</v>
          </cell>
          <cell r="F39">
            <v>0.33932267405262495</v>
          </cell>
          <cell r="H39">
            <v>0.29999999999999982</v>
          </cell>
          <cell r="I39">
            <v>0.24381611036137985</v>
          </cell>
        </row>
        <row r="40">
          <cell r="B40" t="str">
            <v>Net work Charges % of Revenues</v>
          </cell>
          <cell r="C40">
            <v>0.18482140516020767</v>
          </cell>
          <cell r="D40">
            <v>0.16973995271867612</v>
          </cell>
          <cell r="F40">
            <v>0.16726790795414451</v>
          </cell>
          <cell r="H40">
            <v>0.14808113975348666</v>
          </cell>
          <cell r="I40">
            <v>0.15659198938094637</v>
          </cell>
        </row>
        <row r="41">
          <cell r="B41" t="str">
            <v>License fee % of Gross Adjusted revenues</v>
          </cell>
          <cell r="C41">
            <v>0.11029022261490848</v>
          </cell>
          <cell r="D41">
            <v>0.11560364464692482</v>
          </cell>
          <cell r="F41">
            <v>0.10386052467659851</v>
          </cell>
          <cell r="H41">
            <v>0.10247492953102073</v>
          </cell>
          <cell r="I41">
            <v>0.10098831981565759</v>
          </cell>
        </row>
        <row r="42">
          <cell r="B42" t="str">
            <v>DELs</v>
          </cell>
        </row>
        <row r="44">
          <cell r="C44">
            <v>0.37349574621033726</v>
          </cell>
        </row>
        <row r="45">
          <cell r="C45">
            <v>0.3972003005898293</v>
          </cell>
        </row>
        <row r="46">
          <cell r="B46" t="str">
            <v>Subscriber Metric</v>
          </cell>
          <cell r="C46">
            <v>2435.61</v>
          </cell>
        </row>
        <row r="47">
          <cell r="C47" t="str">
            <v>F2Q07</v>
          </cell>
          <cell r="D47" t="str">
            <v>F2Q06</v>
          </cell>
          <cell r="E47" t="str">
            <v>% Chg</v>
          </cell>
          <cell r="F47" t="str">
            <v>F1Q07</v>
          </cell>
          <cell r="G47" t="str">
            <v>% Chg</v>
          </cell>
          <cell r="H47" t="str">
            <v>FF2006</v>
          </cell>
          <cell r="I47" t="str">
            <v>F2005E</v>
          </cell>
          <cell r="J47" t="str">
            <v>% Chg</v>
          </cell>
        </row>
        <row r="48">
          <cell r="B48" t="str">
            <v>('000 Subs)</v>
          </cell>
          <cell r="C48">
            <v>38990</v>
          </cell>
          <cell r="D48">
            <v>38625</v>
          </cell>
          <cell r="E48" t="str">
            <v>YoY</v>
          </cell>
          <cell r="F48">
            <v>38898</v>
          </cell>
          <cell r="G48" t="str">
            <v>QoQ</v>
          </cell>
          <cell r="H48">
            <v>38807</v>
          </cell>
          <cell r="I48">
            <v>38442</v>
          </cell>
          <cell r="J48" t="str">
            <v>YoY</v>
          </cell>
        </row>
        <row r="49">
          <cell r="B49" t="str">
            <v>GSM</v>
          </cell>
          <cell r="C49">
            <v>2290.2550000000001</v>
          </cell>
          <cell r="D49">
            <v>1282.808</v>
          </cell>
          <cell r="E49">
            <v>0.7853451178976123</v>
          </cell>
          <cell r="F49">
            <v>2169.6610000000001</v>
          </cell>
          <cell r="G49">
            <v>5.5581954969002201E-2</v>
          </cell>
          <cell r="H49">
            <v>2980.1194340750208</v>
          </cell>
          <cell r="I49">
            <v>1.941155</v>
          </cell>
          <cell r="J49">
            <v>1534.2300223707127</v>
          </cell>
        </row>
        <row r="50">
          <cell r="B50" t="str">
            <v>CDMA</v>
          </cell>
          <cell r="C50">
            <v>145.35499999999999</v>
          </cell>
          <cell r="D50">
            <v>212.005</v>
          </cell>
          <cell r="E50">
            <v>-0.31437937784486214</v>
          </cell>
          <cell r="F50">
            <v>138.49</v>
          </cell>
          <cell r="G50">
            <v>4.9570366091414408E-2</v>
          </cell>
          <cell r="H50">
            <v>499.95263999999997</v>
          </cell>
          <cell r="I50">
            <v>0.10566500000000001</v>
          </cell>
          <cell r="J50">
            <v>4730.487625987791</v>
          </cell>
        </row>
        <row r="51">
          <cell r="B51" t="str">
            <v>Wireline</v>
          </cell>
          <cell r="C51">
            <v>3696.3339999999998</v>
          </cell>
          <cell r="D51">
            <v>3834.5659999999998</v>
          </cell>
          <cell r="E51">
            <v>-3.6048929657228501E-2</v>
          </cell>
          <cell r="F51">
            <v>3851.665</v>
          </cell>
          <cell r="G51">
            <v>-4.0328273616734633E-2</v>
          </cell>
          <cell r="H51">
            <v>3873.7604758918569</v>
          </cell>
          <cell r="I51">
            <v>3.8776080000000004</v>
          </cell>
          <cell r="J51">
            <v>998.00775836336641</v>
          </cell>
        </row>
        <row r="52">
          <cell r="B52" t="str">
            <v>Broadband</v>
          </cell>
          <cell r="C52">
            <v>323.32900000000001</v>
          </cell>
          <cell r="D52">
            <v>82.534000000000006</v>
          </cell>
          <cell r="E52">
            <v>2.9175248988295732</v>
          </cell>
          <cell r="F52">
            <v>266.63200000000001</v>
          </cell>
          <cell r="G52">
            <v>0.21264139338113952</v>
          </cell>
        </row>
        <row r="53">
          <cell r="B53" t="str">
            <v>Total</v>
          </cell>
          <cell r="C53">
            <v>6131.9439999999995</v>
          </cell>
          <cell r="D53">
            <v>5329.3789999999999</v>
          </cell>
          <cell r="E53">
            <v>0.15059259249529822</v>
          </cell>
          <cell r="F53">
            <v>6159.8159999999998</v>
          </cell>
          <cell r="G53">
            <v>-4.5248104813521151E-3</v>
          </cell>
          <cell r="H53">
            <v>7353.8325499668772</v>
          </cell>
          <cell r="I53">
            <v>5.9244280000000007</v>
          </cell>
          <cell r="J53">
            <v>1240.2730055908987</v>
          </cell>
        </row>
        <row r="54">
          <cell r="B54" t="str">
            <v>Wireline ARPU Rs</v>
          </cell>
          <cell r="C54">
            <v>784</v>
          </cell>
          <cell r="D54">
            <v>806</v>
          </cell>
          <cell r="E54">
            <v>-2.7295285359801524E-2</v>
          </cell>
          <cell r="F54">
            <v>800</v>
          </cell>
          <cell r="G54">
            <v>-2.0000000000000018E-2</v>
          </cell>
          <cell r="H54">
            <v>805</v>
          </cell>
          <cell r="I54">
            <v>817.5</v>
          </cell>
          <cell r="J54">
            <v>-1.5290519877675823E-2</v>
          </cell>
        </row>
        <row r="55">
          <cell r="B55" t="str">
            <v>Wireless ARPU Rs</v>
          </cell>
          <cell r="C55">
            <v>250.05929907368395</v>
          </cell>
          <cell r="D55">
            <v>320</v>
          </cell>
          <cell r="E55">
            <v>-0.21856469039473769</v>
          </cell>
          <cell r="F55">
            <v>241.11531190926274</v>
          </cell>
          <cell r="G55">
            <v>3.7094231360084828E-2</v>
          </cell>
          <cell r="H55">
            <v>287</v>
          </cell>
          <cell r="I55">
            <v>302</v>
          </cell>
          <cell r="J55">
            <v>-4.9668874172185462E-2</v>
          </cell>
        </row>
        <row r="57">
          <cell r="B57" t="str">
            <v>Revenue - Key Components</v>
          </cell>
          <cell r="C57">
            <v>0.16772969217053857</v>
          </cell>
          <cell r="D57">
            <v>0.12434988179669031</v>
          </cell>
          <cell r="E57">
            <v>-7.7630824336854722</v>
          </cell>
          <cell r="F57">
            <v>0.15889668898730941</v>
          </cell>
          <cell r="G57">
            <v>-0.17429310830211181</v>
          </cell>
          <cell r="H57">
            <v>0.11779820133702053</v>
          </cell>
          <cell r="I57">
            <v>7.3496713549199219E-2</v>
          </cell>
        </row>
        <row r="58">
          <cell r="C58" t="str">
            <v>F2Q07</v>
          </cell>
          <cell r="D58" t="str">
            <v>F2Q06</v>
          </cell>
          <cell r="E58" t="str">
            <v>% Chg</v>
          </cell>
          <cell r="F58" t="str">
            <v>F1Q07</v>
          </cell>
          <cell r="G58" t="str">
            <v>% Chg</v>
          </cell>
          <cell r="H58" t="str">
            <v>FF2006</v>
          </cell>
          <cell r="I58" t="str">
            <v>F2005E</v>
          </cell>
          <cell r="J58" t="str">
            <v>% Chg</v>
          </cell>
        </row>
        <row r="59">
          <cell r="B59" t="str">
            <v>(Rs Million)</v>
          </cell>
          <cell r="C59">
            <v>38990</v>
          </cell>
          <cell r="D59">
            <v>38625</v>
          </cell>
          <cell r="E59" t="str">
            <v>YoY</v>
          </cell>
          <cell r="F59" t="str">
            <v>YoY</v>
          </cell>
          <cell r="G59" t="str">
            <v>QoQ</v>
          </cell>
          <cell r="H59">
            <v>38807</v>
          </cell>
          <cell r="I59">
            <v>38442</v>
          </cell>
          <cell r="J59" t="str">
            <v>YoY</v>
          </cell>
        </row>
        <row r="60">
          <cell r="B60" t="str">
            <v>Rentals</v>
          </cell>
          <cell r="C60">
            <v>2714</v>
          </cell>
          <cell r="D60">
            <v>2670</v>
          </cell>
          <cell r="E60">
            <v>1.6479400749063622E-2</v>
          </cell>
          <cell r="F60">
            <v>2903</v>
          </cell>
          <cell r="G60">
            <v>-6.5105063727178836E-2</v>
          </cell>
          <cell r="H60">
            <v>11482</v>
          </cell>
          <cell r="I60">
            <v>11308</v>
          </cell>
        </row>
        <row r="61">
          <cell r="B61" t="str">
            <v>Call Charges</v>
          </cell>
          <cell r="C61">
            <v>5962</v>
          </cell>
          <cell r="D61">
            <v>6549</v>
          </cell>
          <cell r="E61">
            <v>-8.9632004886242123E-2</v>
          </cell>
          <cell r="F61">
            <v>6100</v>
          </cell>
          <cell r="G61">
            <v>-2.2622950819672139E-2</v>
          </cell>
          <cell r="H61">
            <v>29066</v>
          </cell>
          <cell r="I61">
            <v>19396</v>
          </cell>
        </row>
        <row r="62">
          <cell r="B62" t="str">
            <v>Access Call Charges</v>
          </cell>
          <cell r="C62">
            <v>608</v>
          </cell>
          <cell r="D62">
            <v>1118</v>
          </cell>
          <cell r="E62">
            <v>-0.45617173524150267</v>
          </cell>
          <cell r="F62">
            <v>947</v>
          </cell>
          <cell r="G62">
            <v>-0.35797254487856389</v>
          </cell>
        </row>
        <row r="63">
          <cell r="B63" t="str">
            <v>Wireless</v>
          </cell>
          <cell r="C63">
            <v>2047</v>
          </cell>
          <cell r="D63">
            <v>1578</v>
          </cell>
          <cell r="E63">
            <v>0.29721166032953095</v>
          </cell>
          <cell r="F63">
            <v>2031</v>
          </cell>
          <cell r="G63">
            <v>7.8778926637124158E-3</v>
          </cell>
          <cell r="H63">
            <v>6355</v>
          </cell>
          <cell r="I63">
            <v>3858.16</v>
          </cell>
        </row>
        <row r="64">
          <cell r="B64" t="str">
            <v>Others</v>
          </cell>
          <cell r="C64">
            <v>873</v>
          </cell>
          <cell r="D64">
            <v>854</v>
          </cell>
          <cell r="E64">
            <v>2.2248243559718883E-2</v>
          </cell>
          <cell r="F64">
            <v>743</v>
          </cell>
          <cell r="G64">
            <v>0.17496635262449534</v>
          </cell>
        </row>
        <row r="65">
          <cell r="B65" t="str">
            <v xml:space="preserve"> Total</v>
          </cell>
          <cell r="C65">
            <v>12204.16</v>
          </cell>
          <cell r="D65">
            <v>12690</v>
          </cell>
          <cell r="E65">
            <v>-3.8285263987391627E-2</v>
          </cell>
          <cell r="F65">
            <v>12781.89</v>
          </cell>
          <cell r="G65">
            <v>-4.5199105922520078E-2</v>
          </cell>
        </row>
        <row r="66">
          <cell r="B66" t="str">
            <v>EBITDA Breakdown</v>
          </cell>
          <cell r="C66">
            <v>1928.5200000000004</v>
          </cell>
          <cell r="D66">
            <v>2432</v>
          </cell>
          <cell r="E66">
            <v>-0.20702302631578928</v>
          </cell>
          <cell r="F66">
            <v>2858.26</v>
          </cell>
          <cell r="G66">
            <v>-0.32528181481040908</v>
          </cell>
        </row>
        <row r="67">
          <cell r="B67" t="str">
            <v>Wireless</v>
          </cell>
          <cell r="C67">
            <v>921.15</v>
          </cell>
          <cell r="D67">
            <v>631.20000000000005</v>
          </cell>
          <cell r="E67">
            <v>0.45936311787072226</v>
          </cell>
          <cell r="F67">
            <v>913.95</v>
          </cell>
          <cell r="G67">
            <v>7.8778926637124158E-3</v>
          </cell>
        </row>
        <row r="68">
          <cell r="B68" t="str">
            <v>Other Services</v>
          </cell>
          <cell r="C68">
            <v>1007.3700000000005</v>
          </cell>
          <cell r="D68">
            <v>1800.8</v>
          </cell>
          <cell r="E68">
            <v>-0.44059862283429563</v>
          </cell>
          <cell r="F68">
            <v>1944.3100000000002</v>
          </cell>
          <cell r="G68">
            <v>-0.48188817626818747</v>
          </cell>
        </row>
        <row r="69">
          <cell r="B69" t="str">
            <v>Wireless EBITDA % of Total</v>
          </cell>
          <cell r="C69">
            <v>0.47764607056188152</v>
          </cell>
          <cell r="D69">
            <v>0.25953947368421054</v>
          </cell>
          <cell r="F69">
            <v>0.31975747482734251</v>
          </cell>
        </row>
        <row r="70">
          <cell r="B70" t="str">
            <v>Cost Breakdown</v>
          </cell>
          <cell r="C70">
            <v>0.16772969217053857</v>
          </cell>
          <cell r="D70">
            <v>0.12434988179669031</v>
          </cell>
        </row>
        <row r="71">
          <cell r="C71">
            <v>0.16772969217053857</v>
          </cell>
          <cell r="D71">
            <v>0.12434988179669031</v>
          </cell>
          <cell r="E71">
            <v>-7.7630824336854722</v>
          </cell>
          <cell r="F71">
            <v>0.15889668898730941</v>
          </cell>
          <cell r="G71">
            <v>-0.17429310830211181</v>
          </cell>
        </row>
        <row r="72">
          <cell r="C72" t="str">
            <v>1Q02</v>
          </cell>
          <cell r="D72" t="str">
            <v>2Q02</v>
          </cell>
          <cell r="E72" t="str">
            <v>3Q02</v>
          </cell>
          <cell r="F72" t="str">
            <v>4Q02</v>
          </cell>
          <cell r="G72" t="str">
            <v>1Q03</v>
          </cell>
          <cell r="H72" t="str">
            <v>2Q03</v>
          </cell>
          <cell r="I72" t="str">
            <v>3Q03</v>
          </cell>
          <cell r="J72" t="str">
            <v>4Q03</v>
          </cell>
          <cell r="K72" t="str">
            <v>1Q04</v>
          </cell>
          <cell r="L72" t="str">
            <v>2Q04</v>
          </cell>
          <cell r="M72" t="str">
            <v>3Q04</v>
          </cell>
          <cell r="N72" t="str">
            <v>4Q04</v>
          </cell>
          <cell r="O72" t="str">
            <v>1Q05</v>
          </cell>
          <cell r="P72" t="str">
            <v>2Q05</v>
          </cell>
          <cell r="Q72" t="str">
            <v>3Q05</v>
          </cell>
          <cell r="R72" t="str">
            <v>4Q05</v>
          </cell>
          <cell r="S72" t="str">
            <v>4Q04</v>
          </cell>
          <cell r="T72" t="str">
            <v>1Q05</v>
          </cell>
          <cell r="U72" t="str">
            <v>2Q05</v>
          </cell>
          <cell r="V72" t="str">
            <v>3Q05</v>
          </cell>
          <cell r="W72" t="str">
            <v>4Q05</v>
          </cell>
          <cell r="X72" t="str">
            <v>1Q06</v>
          </cell>
          <cell r="Y72" t="str">
            <v>2Q06</v>
          </cell>
          <cell r="Z72" t="str">
            <v>3Q06</v>
          </cell>
          <cell r="AA72" t="str">
            <v>4Q06</v>
          </cell>
        </row>
        <row r="73">
          <cell r="C73">
            <v>37072</v>
          </cell>
          <cell r="D73">
            <v>37164</v>
          </cell>
          <cell r="E73">
            <v>37256</v>
          </cell>
          <cell r="F73">
            <v>37346</v>
          </cell>
          <cell r="G73">
            <v>37437</v>
          </cell>
          <cell r="H73">
            <v>37529</v>
          </cell>
          <cell r="I73">
            <v>37621</v>
          </cell>
          <cell r="J73">
            <v>37711</v>
          </cell>
          <cell r="K73">
            <v>37802</v>
          </cell>
          <cell r="L73">
            <v>37894</v>
          </cell>
          <cell r="M73">
            <v>37986</v>
          </cell>
          <cell r="N73">
            <v>38077</v>
          </cell>
          <cell r="O73">
            <v>38168</v>
          </cell>
          <cell r="P73">
            <v>38260</v>
          </cell>
          <cell r="Q73">
            <v>38352</v>
          </cell>
          <cell r="R73">
            <v>38442</v>
          </cell>
          <cell r="S73">
            <v>38077</v>
          </cell>
          <cell r="T73">
            <v>38168</v>
          </cell>
          <cell r="U73">
            <v>38260</v>
          </cell>
          <cell r="V73">
            <v>38352</v>
          </cell>
          <cell r="W73">
            <v>38442</v>
          </cell>
          <cell r="X73">
            <v>38533</v>
          </cell>
          <cell r="Y73">
            <v>38625</v>
          </cell>
          <cell r="Z73">
            <v>38717</v>
          </cell>
          <cell r="AA73">
            <v>38807</v>
          </cell>
        </row>
        <row r="74">
          <cell r="B74" t="str">
            <v>Net Sales</v>
          </cell>
          <cell r="C74">
            <v>14953.15</v>
          </cell>
          <cell r="D74">
            <v>16211.32</v>
          </cell>
          <cell r="E74">
            <v>16501</v>
          </cell>
          <cell r="F74">
            <v>13805.31</v>
          </cell>
          <cell r="G74">
            <v>14936.54</v>
          </cell>
          <cell r="H74">
            <v>14704.41</v>
          </cell>
          <cell r="I74">
            <v>14631.52</v>
          </cell>
          <cell r="J74">
            <v>13564.86</v>
          </cell>
          <cell r="K74">
            <v>14974.9</v>
          </cell>
          <cell r="L74">
            <v>15550.41</v>
          </cell>
          <cell r="M74">
            <v>15259.98</v>
          </cell>
          <cell r="N74">
            <v>14926.8</v>
          </cell>
          <cell r="O74">
            <v>14572.07</v>
          </cell>
          <cell r="P74">
            <v>13717</v>
          </cell>
          <cell r="Q74">
            <v>12614.94</v>
          </cell>
          <cell r="R74">
            <v>13454.19</v>
          </cell>
          <cell r="S74">
            <v>14926.8</v>
          </cell>
          <cell r="T74">
            <v>14572.07</v>
          </cell>
          <cell r="U74">
            <v>13717</v>
          </cell>
          <cell r="V74">
            <v>12614.94</v>
          </cell>
          <cell r="W74">
            <v>13454.19</v>
          </cell>
          <cell r="X74">
            <v>12641.05</v>
          </cell>
          <cell r="Y74">
            <v>12690</v>
          </cell>
          <cell r="Z74">
            <v>12771.55</v>
          </cell>
          <cell r="AA74">
            <v>13192.85</v>
          </cell>
        </row>
        <row r="75">
          <cell r="B75" t="str">
            <v>License Fees</v>
          </cell>
          <cell r="C75">
            <v>1794.37</v>
          </cell>
          <cell r="D75">
            <v>1945.35</v>
          </cell>
          <cell r="E75">
            <v>1383.71</v>
          </cell>
          <cell r="F75">
            <v>1817.93</v>
          </cell>
          <cell r="G75">
            <v>1588.39</v>
          </cell>
          <cell r="H75">
            <v>1595.77</v>
          </cell>
          <cell r="I75">
            <v>1580.38</v>
          </cell>
          <cell r="J75">
            <v>1136.82</v>
          </cell>
          <cell r="K75">
            <v>1915.28</v>
          </cell>
          <cell r="L75">
            <v>1611.51</v>
          </cell>
          <cell r="M75">
            <v>1614.64</v>
          </cell>
          <cell r="N75">
            <v>1630.24</v>
          </cell>
          <cell r="O75">
            <v>1349.92</v>
          </cell>
          <cell r="P75">
            <v>1232</v>
          </cell>
          <cell r="Q75">
            <v>1114.9000000000001</v>
          </cell>
          <cell r="R75">
            <v>1389.55</v>
          </cell>
          <cell r="S75">
            <v>1630.24</v>
          </cell>
          <cell r="T75">
            <v>1349.92</v>
          </cell>
          <cell r="U75">
            <v>1232</v>
          </cell>
          <cell r="V75">
            <v>1114.9000000000001</v>
          </cell>
          <cell r="W75">
            <v>1389.55</v>
          </cell>
          <cell r="X75">
            <v>1166</v>
          </cell>
          <cell r="Y75">
            <v>1218</v>
          </cell>
          <cell r="Z75">
            <v>1081.3699999999999</v>
          </cell>
          <cell r="AA75">
            <v>955.36</v>
          </cell>
        </row>
        <row r="76">
          <cell r="B76" t="str">
            <v>Network Charges</v>
          </cell>
          <cell r="C76">
            <v>2100</v>
          </cell>
          <cell r="D76">
            <v>2249.52</v>
          </cell>
          <cell r="E76">
            <v>2365.0300000000002</v>
          </cell>
          <cell r="F76">
            <v>-886.25</v>
          </cell>
          <cell r="G76">
            <v>2046.56</v>
          </cell>
          <cell r="H76">
            <v>2214.75</v>
          </cell>
          <cell r="I76">
            <v>1877.05</v>
          </cell>
          <cell r="J76">
            <v>2034.36</v>
          </cell>
          <cell r="K76">
            <v>1980.17</v>
          </cell>
          <cell r="L76">
            <v>2404.2199999999998</v>
          </cell>
          <cell r="M76">
            <v>2281.5100000000002</v>
          </cell>
          <cell r="N76">
            <v>1681.9</v>
          </cell>
          <cell r="O76">
            <v>1597.57</v>
          </cell>
          <cell r="P76">
            <v>1901</v>
          </cell>
          <cell r="Q76">
            <v>1931.47</v>
          </cell>
          <cell r="R76">
            <v>2705.8</v>
          </cell>
          <cell r="S76">
            <v>1681.9</v>
          </cell>
          <cell r="T76">
            <v>1597.57</v>
          </cell>
          <cell r="U76">
            <v>1901</v>
          </cell>
          <cell r="V76">
            <v>1931.47</v>
          </cell>
          <cell r="W76">
            <v>2705.8</v>
          </cell>
          <cell r="X76">
            <v>2294</v>
          </cell>
          <cell r="Y76">
            <v>2154</v>
          </cell>
          <cell r="Z76">
            <v>2246.25</v>
          </cell>
          <cell r="AA76">
            <v>1576.4300000000003</v>
          </cell>
        </row>
        <row r="77">
          <cell r="B77" t="str">
            <v>Staff Cost (Adjusted)</v>
          </cell>
          <cell r="C77">
            <v>3191.85</v>
          </cell>
          <cell r="D77">
            <v>3352.45</v>
          </cell>
          <cell r="E77">
            <v>3269.68</v>
          </cell>
          <cell r="F77">
            <v>3509</v>
          </cell>
          <cell r="G77">
            <v>3289.76</v>
          </cell>
          <cell r="H77">
            <v>3311.94</v>
          </cell>
          <cell r="I77">
            <v>3742.04</v>
          </cell>
          <cell r="J77">
            <v>3658.19</v>
          </cell>
          <cell r="K77">
            <v>3363.81</v>
          </cell>
          <cell r="L77">
            <v>3479.04</v>
          </cell>
          <cell r="M77">
            <v>3796.86</v>
          </cell>
          <cell r="N77">
            <v>3203.0600000000004</v>
          </cell>
          <cell r="O77">
            <v>3275.3100000000004</v>
          </cell>
          <cell r="P77">
            <v>4920</v>
          </cell>
          <cell r="Q77">
            <v>3724.8500000000004</v>
          </cell>
          <cell r="R77">
            <v>4252.38</v>
          </cell>
          <cell r="S77">
            <v>3203.0600000000004</v>
          </cell>
          <cell r="T77">
            <v>3275.3100000000004</v>
          </cell>
          <cell r="U77">
            <v>4920</v>
          </cell>
          <cell r="V77">
            <v>3724.8500000000004</v>
          </cell>
          <cell r="W77">
            <v>4252.38</v>
          </cell>
          <cell r="X77">
            <v>4585</v>
          </cell>
          <cell r="Y77">
            <v>4641</v>
          </cell>
          <cell r="Z77">
            <v>4868.8</v>
          </cell>
          <cell r="AA77">
            <v>4176.04</v>
          </cell>
        </row>
        <row r="78">
          <cell r="B78" t="str">
            <v>Staff Cost (Reported)</v>
          </cell>
          <cell r="G78">
            <v>3889.76</v>
          </cell>
          <cell r="H78">
            <v>3311.94</v>
          </cell>
          <cell r="I78">
            <v>3742.04</v>
          </cell>
          <cell r="J78">
            <v>3658.19</v>
          </cell>
          <cell r="K78">
            <v>3363.81</v>
          </cell>
          <cell r="L78">
            <v>3479.04</v>
          </cell>
          <cell r="M78">
            <v>3446.86</v>
          </cell>
          <cell r="N78">
            <v>4265.5600000000004</v>
          </cell>
          <cell r="O78">
            <v>4575.3100000000004</v>
          </cell>
          <cell r="P78">
            <v>4936.57</v>
          </cell>
          <cell r="Q78">
            <v>4124.8500000000004</v>
          </cell>
          <cell r="R78">
            <v>0</v>
          </cell>
          <cell r="S78">
            <v>4265.5600000000004</v>
          </cell>
          <cell r="T78">
            <v>4575.3100000000004</v>
          </cell>
          <cell r="U78">
            <v>4936.57</v>
          </cell>
          <cell r="V78">
            <v>4124.8500000000004</v>
          </cell>
          <cell r="W78">
            <v>0</v>
          </cell>
          <cell r="X78">
            <v>0</v>
          </cell>
          <cell r="Y78">
            <v>0</v>
          </cell>
          <cell r="Z78" t="str">
            <v>Net Profit</v>
          </cell>
          <cell r="AA78">
            <v>0</v>
          </cell>
        </row>
        <row r="79">
          <cell r="B79" t="str">
            <v>Operating Profit</v>
          </cell>
          <cell r="C79">
            <v>5751.7800000000007</v>
          </cell>
          <cell r="D79">
            <v>6249.5</v>
          </cell>
          <cell r="E79">
            <v>7236.6100000000006</v>
          </cell>
          <cell r="F79">
            <v>7431.7099999999991</v>
          </cell>
          <cell r="G79">
            <v>5975.4</v>
          </cell>
          <cell r="H79">
            <v>5081.24</v>
          </cell>
          <cell r="I79">
            <v>5120.4500000000007</v>
          </cell>
          <cell r="J79">
            <v>3748.6900000000005</v>
          </cell>
          <cell r="K79">
            <v>5569.08</v>
          </cell>
          <cell r="L79">
            <v>5704.9500000000007</v>
          </cell>
          <cell r="M79">
            <v>5090.5599999999977</v>
          </cell>
          <cell r="N79">
            <v>6007.9499999999989</v>
          </cell>
          <cell r="O79">
            <v>5901.0099999999984</v>
          </cell>
          <cell r="P79">
            <v>3130</v>
          </cell>
          <cell r="Q79">
            <v>3503.6900000000005</v>
          </cell>
          <cell r="R79">
            <v>2464.8900000000012</v>
          </cell>
          <cell r="S79">
            <v>6007.9499999999989</v>
          </cell>
          <cell r="T79">
            <v>5901.0099999999984</v>
          </cell>
          <cell r="U79">
            <v>3130</v>
          </cell>
          <cell r="V79">
            <v>3503.6900000000005</v>
          </cell>
          <cell r="W79">
            <v>2464.8900000000012</v>
          </cell>
          <cell r="X79">
            <v>2363.6299999999992</v>
          </cell>
          <cell r="Y79">
            <v>2432</v>
          </cell>
          <cell r="Z79">
            <v>2428.4300000000003</v>
          </cell>
          <cell r="AA79">
            <v>3769.1000000000004</v>
          </cell>
        </row>
        <row r="80">
          <cell r="B80" t="str">
            <v>PBT</v>
          </cell>
          <cell r="C80">
            <v>4393.0800000000008</v>
          </cell>
          <cell r="D80">
            <v>5038.6499999999996</v>
          </cell>
          <cell r="E80">
            <v>5649.2300000000014</v>
          </cell>
          <cell r="F80">
            <v>5877.5899999999992</v>
          </cell>
          <cell r="G80">
            <v>4204.0399999999991</v>
          </cell>
          <cell r="H80">
            <v>3667.8500000000004</v>
          </cell>
          <cell r="I80">
            <v>3378.9200000000005</v>
          </cell>
          <cell r="J80">
            <v>1975.9100000000008</v>
          </cell>
          <cell r="K80">
            <v>3699.9999999999995</v>
          </cell>
          <cell r="L80">
            <v>3802.0000000000009</v>
          </cell>
          <cell r="M80">
            <v>4454.3733333333312</v>
          </cell>
          <cell r="N80">
            <v>5411.2499999999982</v>
          </cell>
          <cell r="O80">
            <v>5030.5299999999988</v>
          </cell>
          <cell r="P80">
            <v>2793</v>
          </cell>
          <cell r="Q80">
            <v>3193</v>
          </cell>
          <cell r="R80">
            <v>1831.8300000000015</v>
          </cell>
          <cell r="S80">
            <v>5411.2499999999982</v>
          </cell>
          <cell r="T80">
            <v>5030.5299999999988</v>
          </cell>
          <cell r="U80">
            <v>2793</v>
          </cell>
          <cell r="V80">
            <v>3193</v>
          </cell>
          <cell r="W80">
            <v>1831.8300000000015</v>
          </cell>
          <cell r="X80">
            <v>2147.1999999999989</v>
          </cell>
          <cell r="Y80">
            <v>2311</v>
          </cell>
          <cell r="Z80">
            <v>1619.8300000000004</v>
          </cell>
          <cell r="AA80">
            <v>3057.400000000001</v>
          </cell>
        </row>
        <row r="81">
          <cell r="B81" t="str">
            <v>PAT</v>
          </cell>
          <cell r="C81">
            <v>3773.0800000000008</v>
          </cell>
          <cell r="D81">
            <v>3823.5299999999997</v>
          </cell>
          <cell r="E81">
            <v>4380.0000000000018</v>
          </cell>
          <cell r="F81">
            <v>4161.9399999999987</v>
          </cell>
          <cell r="G81">
            <v>2915.6221926932417</v>
          </cell>
          <cell r="H81">
            <v>2469.2300000000005</v>
          </cell>
          <cell r="I81">
            <v>2170.6300000000006</v>
          </cell>
          <cell r="J81">
            <v>1836.1700000000008</v>
          </cell>
          <cell r="K81">
            <v>2506.1799999999994</v>
          </cell>
          <cell r="L81">
            <v>2433.9460408394789</v>
          </cell>
          <cell r="M81">
            <v>2999.9721773074934</v>
          </cell>
          <cell r="N81">
            <v>3821.2656919935412</v>
          </cell>
          <cell r="O81">
            <v>3776.6599999999989</v>
          </cell>
          <cell r="P81">
            <v>1985</v>
          </cell>
          <cell r="Q81">
            <v>2574.1753389490573</v>
          </cell>
          <cell r="R81">
            <v>3232.7300000000014</v>
          </cell>
          <cell r="S81">
            <v>3821.2656919935412</v>
          </cell>
          <cell r="T81">
            <v>3776.6599999999989</v>
          </cell>
          <cell r="U81">
            <v>1985</v>
          </cell>
          <cell r="V81">
            <v>2574.1753389490573</v>
          </cell>
          <cell r="W81">
            <v>1496.9833880374047</v>
          </cell>
          <cell r="X81">
            <v>1724.859999999999</v>
          </cell>
          <cell r="Y81">
            <v>1679</v>
          </cell>
          <cell r="Z81">
            <v>1270.2800000000004</v>
          </cell>
          <cell r="AA81">
            <v>2287.1100000000006</v>
          </cell>
        </row>
        <row r="82">
          <cell r="B82" t="str">
            <v>Reported PAT</v>
          </cell>
          <cell r="C82">
            <v>3773.0800000000008</v>
          </cell>
          <cell r="D82">
            <v>3823.5299999999997</v>
          </cell>
          <cell r="E82">
            <v>3280.0000000000018</v>
          </cell>
          <cell r="F82">
            <v>4161.9399999999987</v>
          </cell>
          <cell r="G82">
            <v>2499.5399999999991</v>
          </cell>
          <cell r="H82">
            <v>2469.2300000000005</v>
          </cell>
          <cell r="I82">
            <v>2170.6300000000006</v>
          </cell>
          <cell r="J82">
            <v>1836.1700000000008</v>
          </cell>
          <cell r="K82">
            <v>2506.1799999999994</v>
          </cell>
          <cell r="L82">
            <v>2231.1400000000008</v>
          </cell>
          <cell r="M82">
            <v>4826.9099999999989</v>
          </cell>
          <cell r="N82">
            <v>3070.9599999999982</v>
          </cell>
          <cell r="O82">
            <v>2801.6599999999989</v>
          </cell>
          <cell r="P82">
            <v>1985</v>
          </cell>
          <cell r="Q82">
            <v>2009.84</v>
          </cell>
          <cell r="R82" t="e">
            <v>#REF!</v>
          </cell>
          <cell r="S82">
            <v>3070.9599999999982</v>
          </cell>
          <cell r="T82">
            <v>2801.6599999999989</v>
          </cell>
          <cell r="U82">
            <v>1985</v>
          </cell>
          <cell r="V82">
            <v>2009.84</v>
          </cell>
          <cell r="W82">
            <v>3232.7300000000014</v>
          </cell>
          <cell r="X82">
            <v>1724.859999999999</v>
          </cell>
          <cell r="Y82">
            <v>1679</v>
          </cell>
          <cell r="Z82">
            <v>1270.2800000000004</v>
          </cell>
          <cell r="AA82">
            <v>1402.7100000000005</v>
          </cell>
        </row>
        <row r="84">
          <cell r="B84" t="str">
            <v>License Fee (% of net sales)</v>
          </cell>
          <cell r="C84">
            <v>0.11999946499566981</v>
          </cell>
          <cell r="D84">
            <v>0.11999948184355129</v>
          </cell>
          <cell r="E84">
            <v>8.3856129931519308E-2</v>
          </cell>
          <cell r="F84">
            <v>0.13168338849326819</v>
          </cell>
          <cell r="G84">
            <v>0.10634256661850737</v>
          </cell>
          <cell r="H84">
            <v>0.10852322534532158</v>
          </cell>
          <cell r="I84">
            <v>0.10801201789014402</v>
          </cell>
          <cell r="J84">
            <v>8.3806246433800261E-2</v>
          </cell>
          <cell r="K84">
            <v>0.12789935158164661</v>
          </cell>
          <cell r="L84">
            <v>0.10363135119910022</v>
          </cell>
          <cell r="M84">
            <v>0.10580878874022116</v>
          </cell>
          <cell r="N84">
            <v>0.10921563898491304</v>
          </cell>
          <cell r="O84">
            <v>9.2637490761436098E-2</v>
          </cell>
          <cell r="P84">
            <v>8.9815557337610263E-2</v>
          </cell>
          <cell r="Q84">
            <v>8.8379334344832403E-2</v>
          </cell>
          <cell r="R84">
            <v>0.10328009341327868</v>
          </cell>
          <cell r="S84">
            <v>0.10921563898491304</v>
          </cell>
          <cell r="T84">
            <v>9.2637490761436098E-2</v>
          </cell>
          <cell r="U84">
            <v>8.9815557337610263E-2</v>
          </cell>
          <cell r="V84">
            <v>8.8379334344832403E-2</v>
          </cell>
          <cell r="W84">
            <v>0.10328009341327868</v>
          </cell>
          <cell r="X84">
            <v>9.2239173169950284E-2</v>
          </cell>
          <cell r="Y84">
            <v>9.5981087470449172E-2</v>
          </cell>
          <cell r="Z84">
            <v>8.4670224052679585E-2</v>
          </cell>
          <cell r="AA84">
            <v>7.2414982357868085E-2</v>
          </cell>
        </row>
        <row r="85">
          <cell r="B85" t="str">
            <v>Network Charges (% of net sales)</v>
          </cell>
          <cell r="C85">
            <v>0.14043863667521558</v>
          </cell>
          <cell r="D85">
            <v>0.13876229696286299</v>
          </cell>
          <cell r="E85">
            <v>0.14332646506272348</v>
          </cell>
          <cell r="F85">
            <v>-6.419631286801962E-2</v>
          </cell>
          <cell r="G85">
            <v>0.13701700661599003</v>
          </cell>
          <cell r="H85">
            <v>0.15061807988215781</v>
          </cell>
          <cell r="I85">
            <v>0.12828810677222871</v>
          </cell>
          <cell r="J85">
            <v>0.14997279736023814</v>
          </cell>
          <cell r="K85">
            <v>0.13223260255494193</v>
          </cell>
          <cell r="L85">
            <v>0.15460814216474034</v>
          </cell>
          <cell r="M85">
            <v>0.14950937026129787</v>
          </cell>
          <cell r="N85">
            <v>0.11267652812391137</v>
          </cell>
          <cell r="O85">
            <v>0.10963233089053237</v>
          </cell>
          <cell r="P85">
            <v>0.138587154625647</v>
          </cell>
          <cell r="Q85">
            <v>0.153109725452519</v>
          </cell>
          <cell r="R85">
            <v>0.20111206992022559</v>
          </cell>
          <cell r="S85">
            <v>0.11267652812391137</v>
          </cell>
          <cell r="T85">
            <v>0.10963233089053237</v>
          </cell>
          <cell r="U85">
            <v>0.138587154625647</v>
          </cell>
          <cell r="V85">
            <v>0.153109725452519</v>
          </cell>
          <cell r="W85">
            <v>0.20111206992022559</v>
          </cell>
          <cell r="X85">
            <v>0.18147226693985075</v>
          </cell>
          <cell r="Y85">
            <v>0.16973995271867612</v>
          </cell>
          <cell r="Z85">
            <v>0.17587920025368886</v>
          </cell>
          <cell r="AA85">
            <v>0.11949123957295052</v>
          </cell>
        </row>
        <row r="86">
          <cell r="B86" t="str">
            <v>Adj. Staff Cost (% of revenues)</v>
          </cell>
          <cell r="C86">
            <v>0.21345669641513662</v>
          </cell>
          <cell r="D86">
            <v>0.20679685553057986</v>
          </cell>
          <cell r="E86">
            <v>0.19815041512635598</v>
          </cell>
          <cell r="F86">
            <v>0.25417755921453411</v>
          </cell>
          <cell r="G86">
            <v>0.2202491340029217</v>
          </cell>
          <cell r="H86">
            <v>0.22523447047518397</v>
          </cell>
          <cell r="I86">
            <v>0.25575196561942981</v>
          </cell>
          <cell r="J86">
            <v>0.26968136788732061</v>
          </cell>
          <cell r="K86">
            <v>0.22462988066698275</v>
          </cell>
          <cell r="L86">
            <v>0.22372657698414383</v>
          </cell>
          <cell r="M86">
            <v>0.24881159739396777</v>
          </cell>
          <cell r="N86">
            <v>0.21458450572125309</v>
          </cell>
          <cell r="O86">
            <v>0.22476628234698298</v>
          </cell>
          <cell r="P86">
            <v>0.3586790114456514</v>
          </cell>
          <cell r="Q86">
            <v>0.29527290656951205</v>
          </cell>
          <cell r="R86">
            <v>0.31606362032942897</v>
          </cell>
          <cell r="S86">
            <v>0.21458450572125309</v>
          </cell>
          <cell r="T86">
            <v>0.22476628234698298</v>
          </cell>
          <cell r="U86">
            <v>0.3586790114456514</v>
          </cell>
          <cell r="V86">
            <v>0.29527290656951205</v>
          </cell>
          <cell r="W86">
            <v>0.31606362032942897</v>
          </cell>
          <cell r="X86">
            <v>0.36270721182180282</v>
          </cell>
          <cell r="Y86">
            <v>0.36572104018912527</v>
          </cell>
          <cell r="Z86">
            <v>0.38122232618593677</v>
          </cell>
          <cell r="AA86">
            <v>0.31653812481760951</v>
          </cell>
        </row>
        <row r="87">
          <cell r="B87" t="str">
            <v>Reported Staff Cost (% of revenues)</v>
          </cell>
          <cell r="G87">
            <v>0.26041907965298522</v>
          </cell>
          <cell r="H87">
            <v>0.22523447047518397</v>
          </cell>
          <cell r="I87">
            <v>0.25575196561942981</v>
          </cell>
          <cell r="J87">
            <v>0.26968136788732061</v>
          </cell>
          <cell r="K87">
            <v>0.22462988066698275</v>
          </cell>
          <cell r="L87">
            <v>0.22372657698414383</v>
          </cell>
          <cell r="M87">
            <v>0.22587578751741486</v>
          </cell>
          <cell r="N87">
            <v>0.28576520084679907</v>
          </cell>
          <cell r="O87">
            <v>0.31397804155483749</v>
          </cell>
          <cell r="P87">
            <v>0.35988700153094699</v>
          </cell>
          <cell r="Q87">
            <v>0.32698134117165839</v>
          </cell>
          <cell r="R87">
            <v>0</v>
          </cell>
          <cell r="S87">
            <v>0.28576520084679907</v>
          </cell>
          <cell r="T87">
            <v>0.31397804155483749</v>
          </cell>
          <cell r="U87">
            <v>0.35988700153094699</v>
          </cell>
          <cell r="V87">
            <v>0.32698134117165839</v>
          </cell>
          <cell r="W87">
            <v>0</v>
          </cell>
          <cell r="X87">
            <v>0</v>
          </cell>
          <cell r="Y87">
            <v>0</v>
          </cell>
          <cell r="Z87" t="e">
            <v>#VALUE!</v>
          </cell>
          <cell r="AA87">
            <v>0</v>
          </cell>
        </row>
        <row r="90">
          <cell r="B90" t="str">
            <v>MTNL Subscribers('000)</v>
          </cell>
          <cell r="C90" t="str">
            <v>1Q02</v>
          </cell>
          <cell r="D90" t="str">
            <v>2Q02</v>
          </cell>
          <cell r="E90" t="str">
            <v>3Q02</v>
          </cell>
          <cell r="F90" t="str">
            <v>4Q02</v>
          </cell>
          <cell r="G90" t="str">
            <v>1Q03</v>
          </cell>
          <cell r="H90" t="str">
            <v>2Q03</v>
          </cell>
          <cell r="I90" t="str">
            <v>3Q03</v>
          </cell>
          <cell r="J90" t="str">
            <v>4Q03</v>
          </cell>
          <cell r="K90" t="str">
            <v>1Q04</v>
          </cell>
          <cell r="L90" t="str">
            <v>2Q04</v>
          </cell>
          <cell r="M90" t="str">
            <v>3Q04</v>
          </cell>
          <cell r="N90" t="str">
            <v>4Q04</v>
          </cell>
          <cell r="O90" t="str">
            <v>1Q05</v>
          </cell>
          <cell r="P90" t="str">
            <v>2Q05</v>
          </cell>
          <cell r="Q90" t="str">
            <v>3Q05</v>
          </cell>
          <cell r="R90" t="str">
            <v>4Q05</v>
          </cell>
          <cell r="S90" t="str">
            <v>4Q04</v>
          </cell>
          <cell r="T90" t="str">
            <v>1Q05</v>
          </cell>
          <cell r="U90" t="str">
            <v>2Q05</v>
          </cell>
          <cell r="V90" t="str">
            <v>3Q05</v>
          </cell>
          <cell r="W90" t="str">
            <v>4Q05</v>
          </cell>
          <cell r="X90" t="str">
            <v>1Q06</v>
          </cell>
          <cell r="Y90" t="str">
            <v>2Q06</v>
          </cell>
          <cell r="Z90" t="str">
            <v>3Q06</v>
          </cell>
          <cell r="AA90" t="str">
            <v>4Q06</v>
          </cell>
          <cell r="AB90" t="str">
            <v>1Q07</v>
          </cell>
          <cell r="AC90" t="str">
            <v>2Q07</v>
          </cell>
        </row>
        <row r="91">
          <cell r="C91">
            <v>37072</v>
          </cell>
          <cell r="D91">
            <v>37164</v>
          </cell>
          <cell r="E91">
            <v>37256</v>
          </cell>
          <cell r="F91">
            <v>37346</v>
          </cell>
          <cell r="G91">
            <v>37437</v>
          </cell>
          <cell r="H91">
            <v>37529</v>
          </cell>
          <cell r="I91">
            <v>37621</v>
          </cell>
          <cell r="J91">
            <v>37711</v>
          </cell>
          <cell r="K91">
            <v>37802</v>
          </cell>
          <cell r="L91">
            <v>37894</v>
          </cell>
          <cell r="M91">
            <v>37986</v>
          </cell>
          <cell r="N91">
            <v>38077</v>
          </cell>
          <cell r="O91">
            <v>38168</v>
          </cell>
          <cell r="P91">
            <v>38260</v>
          </cell>
          <cell r="Q91">
            <v>38352</v>
          </cell>
          <cell r="R91">
            <v>38442</v>
          </cell>
          <cell r="S91">
            <v>38077</v>
          </cell>
          <cell r="T91">
            <v>38168</v>
          </cell>
          <cell r="U91">
            <v>38260</v>
          </cell>
          <cell r="V91">
            <v>38352</v>
          </cell>
          <cell r="W91">
            <v>38442</v>
          </cell>
          <cell r="X91">
            <v>38533</v>
          </cell>
          <cell r="Y91">
            <v>38625</v>
          </cell>
          <cell r="Z91">
            <v>38717</v>
          </cell>
          <cell r="AA91">
            <v>38807</v>
          </cell>
          <cell r="AB91">
            <v>38898</v>
          </cell>
          <cell r="AC91">
            <v>38899</v>
          </cell>
        </row>
        <row r="92">
          <cell r="B92" t="str">
            <v>GSM</v>
          </cell>
          <cell r="G92">
            <v>201.17400000000001</v>
          </cell>
          <cell r="H92">
            <v>216.65199999999999</v>
          </cell>
          <cell r="I92">
            <v>240.08799999999999</v>
          </cell>
          <cell r="J92">
            <v>291.91699999999997</v>
          </cell>
          <cell r="K92">
            <v>290.84100000000001</v>
          </cell>
          <cell r="L92">
            <v>310.91699999999997</v>
          </cell>
          <cell r="M92">
            <v>324.93299999999999</v>
          </cell>
          <cell r="N92">
            <v>360.55</v>
          </cell>
          <cell r="O92">
            <v>416.87299999999999</v>
          </cell>
          <cell r="P92">
            <v>440.46899999999999</v>
          </cell>
          <cell r="Q92">
            <v>594.74199999999996</v>
          </cell>
          <cell r="R92">
            <v>881.69600000000003</v>
          </cell>
          <cell r="S92">
            <v>1112.98</v>
          </cell>
          <cell r="T92">
            <v>1282.808</v>
          </cell>
          <cell r="U92">
            <v>1526.422</v>
          </cell>
          <cell r="V92">
            <v>1941.155</v>
          </cell>
          <cell r="W92">
            <v>2169.6610000000001</v>
          </cell>
          <cell r="X92">
            <v>1112.98</v>
          </cell>
          <cell r="Y92">
            <v>1282.808</v>
          </cell>
          <cell r="Z92">
            <v>1526.422</v>
          </cell>
          <cell r="AA92">
            <v>1941.155</v>
          </cell>
          <cell r="AB92">
            <v>2169.6610000000001</v>
          </cell>
          <cell r="AC92">
            <v>2237.8000000000002</v>
          </cell>
        </row>
        <row r="93">
          <cell r="B93" t="str">
            <v>CDMA</v>
          </cell>
          <cell r="K93">
            <v>88.995999999999995</v>
          </cell>
          <cell r="L93">
            <v>164.78955914288281</v>
          </cell>
          <cell r="N93">
            <v>106.702</v>
          </cell>
          <cell r="O93">
            <v>120.29600000000001</v>
          </cell>
          <cell r="P93">
            <v>133.97399999999999</v>
          </cell>
          <cell r="Q93">
            <v>181.70400000000001</v>
          </cell>
          <cell r="R93">
            <v>196.447</v>
          </cell>
          <cell r="S93">
            <v>0</v>
          </cell>
          <cell r="T93">
            <v>0</v>
          </cell>
          <cell r="U93">
            <v>0</v>
          </cell>
          <cell r="V93">
            <v>0</v>
          </cell>
          <cell r="W93">
            <v>0</v>
          </cell>
          <cell r="X93">
            <v>179.46799999999999</v>
          </cell>
          <cell r="Y93">
            <v>154.30099999999999</v>
          </cell>
          <cell r="Z93">
            <v>126.02200000000001</v>
          </cell>
          <cell r="AA93">
            <v>105.66500000000001</v>
          </cell>
          <cell r="AB93">
            <v>80.09</v>
          </cell>
          <cell r="AC93">
            <v>80.099999999999994</v>
          </cell>
        </row>
        <row r="94">
          <cell r="B94" t="str">
            <v>FWT</v>
          </cell>
          <cell r="N94">
            <v>36.081000000000003</v>
          </cell>
          <cell r="O94">
            <v>34.953000000000003</v>
          </cell>
          <cell r="P94">
            <v>45.676000000000002</v>
          </cell>
          <cell r="Q94">
            <v>56.622999999999998</v>
          </cell>
          <cell r="R94">
            <v>60.167000000000002</v>
          </cell>
          <cell r="S94">
            <v>0</v>
          </cell>
          <cell r="T94">
            <v>0</v>
          </cell>
          <cell r="U94">
            <v>0</v>
          </cell>
          <cell r="V94">
            <v>0</v>
          </cell>
          <cell r="W94">
            <v>0</v>
          </cell>
          <cell r="X94">
            <v>60.012999999999998</v>
          </cell>
          <cell r="Y94">
            <v>57.704000000000001</v>
          </cell>
          <cell r="Z94">
            <v>55.482999999999997</v>
          </cell>
          <cell r="AA94">
            <v>56.356000000000002</v>
          </cell>
          <cell r="AB94">
            <v>56.356000000000002</v>
          </cell>
          <cell r="AC94">
            <v>56.356000000000002</v>
          </cell>
        </row>
        <row r="95">
          <cell r="B95" t="str">
            <v>Wireline(Including FWT)</v>
          </cell>
          <cell r="M95">
            <v>4688.6673358558983</v>
          </cell>
          <cell r="N95">
            <v>4367.2340000000004</v>
          </cell>
          <cell r="O95">
            <v>4264.6310000000003</v>
          </cell>
          <cell r="P95">
            <v>4120.1440000000002</v>
          </cell>
          <cell r="Q95">
            <v>4081.835</v>
          </cell>
          <cell r="R95">
            <v>4075.34</v>
          </cell>
          <cell r="S95">
            <v>0</v>
          </cell>
          <cell r="T95">
            <v>0</v>
          </cell>
          <cell r="U95">
            <v>0</v>
          </cell>
          <cell r="V95">
            <v>0</v>
          </cell>
          <cell r="W95">
            <v>0</v>
          </cell>
          <cell r="X95">
            <v>3962.663</v>
          </cell>
          <cell r="Y95">
            <v>3892.27</v>
          </cell>
          <cell r="Z95">
            <v>3856.8680000000004</v>
          </cell>
          <cell r="AA95">
            <v>3877.6080000000002</v>
          </cell>
          <cell r="AB95">
            <v>3790.9560000000001</v>
          </cell>
          <cell r="AC95">
            <v>3790.9560000000001</v>
          </cell>
        </row>
        <row r="96">
          <cell r="B96" t="str">
            <v>Total Subscribers</v>
          </cell>
          <cell r="M96">
            <v>5013.6003358558983</v>
          </cell>
          <cell r="N96">
            <v>4834.4860000000008</v>
          </cell>
          <cell r="O96">
            <v>4801.8</v>
          </cell>
          <cell r="P96">
            <v>4694.5870000000004</v>
          </cell>
          <cell r="Q96">
            <v>4858.2809999999999</v>
          </cell>
          <cell r="R96">
            <v>5153.4829999999993</v>
          </cell>
          <cell r="S96">
            <v>1112.98</v>
          </cell>
          <cell r="T96">
            <v>1282.808</v>
          </cell>
          <cell r="U96">
            <v>1526.422</v>
          </cell>
          <cell r="V96">
            <v>1941.155</v>
          </cell>
          <cell r="W96">
            <v>2169.6610000000001</v>
          </cell>
          <cell r="X96">
            <v>5255.1110000000008</v>
          </cell>
          <cell r="Y96">
            <v>5329.3789999999999</v>
          </cell>
          <cell r="Z96">
            <v>5509.3119999999999</v>
          </cell>
          <cell r="AA96">
            <v>5924.4279999999999</v>
          </cell>
          <cell r="AB96">
            <v>6040.7070000000003</v>
          </cell>
          <cell r="AC96">
            <v>6108.8559999999998</v>
          </cell>
        </row>
        <row r="97">
          <cell r="B97" t="str">
            <v>Broadband</v>
          </cell>
        </row>
        <row r="98">
          <cell r="B98" t="str">
            <v>Wireline ARPU Rs</v>
          </cell>
          <cell r="O98">
            <v>0</v>
          </cell>
          <cell r="P98">
            <v>0</v>
          </cell>
          <cell r="Q98">
            <v>1086.6136677804327</v>
          </cell>
          <cell r="R98">
            <v>1063.4058031573829</v>
          </cell>
          <cell r="S98">
            <v>822</v>
          </cell>
          <cell r="T98">
            <v>865</v>
          </cell>
          <cell r="U98">
            <v>860</v>
          </cell>
          <cell r="V98">
            <v>837</v>
          </cell>
          <cell r="W98">
            <v>819</v>
          </cell>
          <cell r="X98">
            <v>823</v>
          </cell>
          <cell r="Y98">
            <v>806</v>
          </cell>
          <cell r="Z98">
            <v>836</v>
          </cell>
          <cell r="AA98">
            <v>805</v>
          </cell>
          <cell r="AB98">
            <v>800</v>
          </cell>
          <cell r="AC98">
            <v>784</v>
          </cell>
        </row>
        <row r="99">
          <cell r="B99" t="str">
            <v>Wireless ARPU Rs</v>
          </cell>
          <cell r="O99">
            <v>0</v>
          </cell>
          <cell r="P99">
            <v>0</v>
          </cell>
          <cell r="Q99">
            <v>497.64281422305515</v>
          </cell>
          <cell r="R99">
            <v>467.49344058776376</v>
          </cell>
          <cell r="S99">
            <v>544.0326419585175</v>
          </cell>
          <cell r="T99">
            <v>312</v>
          </cell>
          <cell r="U99">
            <v>434</v>
          </cell>
          <cell r="V99">
            <v>368</v>
          </cell>
          <cell r="W99">
            <v>398</v>
          </cell>
          <cell r="X99">
            <v>334</v>
          </cell>
          <cell r="Y99">
            <v>320</v>
          </cell>
          <cell r="Z99">
            <v>267</v>
          </cell>
          <cell r="AA99">
            <v>287</v>
          </cell>
          <cell r="AB99">
            <v>241.11531190926274</v>
          </cell>
          <cell r="AC99">
            <v>250.05929907368395</v>
          </cell>
        </row>
      </sheetData>
      <sheetData sheetId="10" refreshError="1">
        <row r="2">
          <cell r="A2" t="str">
            <v>Mahanagar Telephone Nigam</v>
          </cell>
          <cell r="Z2">
            <v>13101.240000000002</v>
          </cell>
          <cell r="AJ2">
            <v>3.9001384048641841E-2</v>
          </cell>
          <cell r="AK2">
            <v>13618.02</v>
          </cell>
          <cell r="BH2" t="str">
            <v>Unadjusted</v>
          </cell>
          <cell r="CK2" t="str">
            <v>Original</v>
          </cell>
        </row>
        <row r="3">
          <cell r="AC3">
            <v>14999.59</v>
          </cell>
          <cell r="AF3">
            <v>4674.1399999999994</v>
          </cell>
          <cell r="AH3" t="str">
            <v>Actuals</v>
          </cell>
          <cell r="AI3" t="str">
            <v>Actuals</v>
          </cell>
          <cell r="AJ3" t="str">
            <v>Estimates</v>
          </cell>
          <cell r="AQ3" t="str">
            <v>Audited</v>
          </cell>
          <cell r="AW3" t="str">
            <v>9Month based on Reported Nos</v>
          </cell>
          <cell r="BA3" t="str">
            <v>adj for audetted</v>
          </cell>
          <cell r="BC3" t="str">
            <v>Audited</v>
          </cell>
          <cell r="BD3" t="str">
            <v>Unaudited</v>
          </cell>
          <cell r="BE3" t="str">
            <v>Unaudited</v>
          </cell>
          <cell r="BF3" t="str">
            <v>Audited</v>
          </cell>
          <cell r="BG3" t="str">
            <v>Unaudited</v>
          </cell>
          <cell r="BH3" t="str">
            <v>Unaudited</v>
          </cell>
          <cell r="BK3" t="str">
            <v>Half Year -------------------------------------&gt;</v>
          </cell>
          <cell r="BP3" t="str">
            <v>Half Year (Reported) -----------------------------&gt;</v>
          </cell>
          <cell r="BU3" t="str">
            <v>Model -------------------------------------&gt;</v>
          </cell>
          <cell r="CA3" t="str">
            <v>Estimates -------------------------------------&gt;</v>
          </cell>
          <cell r="CK3" t="str">
            <v>Resstated Subsequently</v>
          </cell>
        </row>
        <row r="4">
          <cell r="A4" t="str">
            <v>(Rs mn)</v>
          </cell>
          <cell r="B4" t="str">
            <v>1Q99</v>
          </cell>
          <cell r="C4" t="str">
            <v>2Q99</v>
          </cell>
          <cell r="D4" t="str">
            <v>3Q99</v>
          </cell>
          <cell r="E4" t="str">
            <v>4Q99</v>
          </cell>
          <cell r="F4" t="str">
            <v>1Q00</v>
          </cell>
          <cell r="G4" t="str">
            <v>2Q00</v>
          </cell>
          <cell r="H4" t="str">
            <v>3Q00</v>
          </cell>
          <cell r="I4" t="str">
            <v>4Q00</v>
          </cell>
          <cell r="J4" t="str">
            <v>1Q01</v>
          </cell>
          <cell r="K4" t="str">
            <v>2Q01</v>
          </cell>
          <cell r="L4" t="str">
            <v>3Q01</v>
          </cell>
          <cell r="M4" t="str">
            <v>4Q01</v>
          </cell>
          <cell r="N4" t="str">
            <v>1Q02</v>
          </cell>
          <cell r="O4" t="str">
            <v>2Q02</v>
          </cell>
          <cell r="P4" t="str">
            <v>3Q02</v>
          </cell>
          <cell r="Q4" t="str">
            <v>4Q02</v>
          </cell>
          <cell r="R4" t="str">
            <v>1Q03</v>
          </cell>
          <cell r="S4" t="str">
            <v>2Q03</v>
          </cell>
          <cell r="T4" t="str">
            <v>3Q03</v>
          </cell>
          <cell r="U4" t="str">
            <v>4Q03</v>
          </cell>
          <cell r="V4" t="str">
            <v>1Q04</v>
          </cell>
          <cell r="W4" t="str">
            <v>2Q04</v>
          </cell>
          <cell r="X4" t="str">
            <v>3Q04</v>
          </cell>
          <cell r="Y4" t="str">
            <v>4Q04</v>
          </cell>
          <cell r="Z4" t="str">
            <v>1Q05</v>
          </cell>
          <cell r="AA4" t="str">
            <v>2Q05</v>
          </cell>
          <cell r="AB4" t="str">
            <v>3Q05</v>
          </cell>
          <cell r="AC4" t="str">
            <v>4Q05</v>
          </cell>
          <cell r="AD4" t="str">
            <v>1Q06</v>
          </cell>
          <cell r="AE4" t="str">
            <v>2Q06</v>
          </cell>
          <cell r="AF4" t="str">
            <v>3Q06</v>
          </cell>
          <cell r="AG4" t="str">
            <v>4Q06</v>
          </cell>
          <cell r="AH4" t="str">
            <v>1Q07</v>
          </cell>
          <cell r="AI4" t="str">
            <v>2Q07</v>
          </cell>
          <cell r="AJ4" t="str">
            <v>2Q07</v>
          </cell>
          <cell r="AK4" t="str">
            <v>3Q07</v>
          </cell>
          <cell r="AL4" t="str">
            <v>4Q07</v>
          </cell>
          <cell r="AM4" t="str">
            <v>F2007</v>
          </cell>
          <cell r="AN4" t="str">
            <v>% CHANGE</v>
          </cell>
          <cell r="AO4" t="str">
            <v>% Change</v>
          </cell>
          <cell r="AP4" t="str">
            <v>F2006</v>
          </cell>
          <cell r="AQ4" t="str">
            <v>F2006</v>
          </cell>
          <cell r="AS4" t="str">
            <v>9M03</v>
          </cell>
          <cell r="AT4" t="str">
            <v>9M04</v>
          </cell>
          <cell r="AU4" t="str">
            <v>9M05</v>
          </cell>
          <cell r="AW4" t="str">
            <v>9M03</v>
          </cell>
          <cell r="AX4" t="str">
            <v>9M04</v>
          </cell>
          <cell r="AY4" t="str">
            <v>9M05</v>
          </cell>
          <cell r="BA4" t="str">
            <v>4Q02</v>
          </cell>
          <cell r="BC4" t="str">
            <v>F2002</v>
          </cell>
          <cell r="BD4" t="str">
            <v>F2002</v>
          </cell>
          <cell r="BE4" t="str">
            <v>F2003</v>
          </cell>
          <cell r="BF4" t="str">
            <v>F2003</v>
          </cell>
          <cell r="BG4">
            <v>2004</v>
          </cell>
          <cell r="BH4">
            <v>2004</v>
          </cell>
          <cell r="BI4" t="str">
            <v>2005E</v>
          </cell>
          <cell r="BK4" t="str">
            <v>F1H03</v>
          </cell>
          <cell r="BL4" t="str">
            <v>1H04</v>
          </cell>
          <cell r="BM4" t="str">
            <v>1H05</v>
          </cell>
          <cell r="BP4" t="str">
            <v>F1H03</v>
          </cell>
          <cell r="BQ4" t="str">
            <v>F2H03</v>
          </cell>
          <cell r="BR4" t="str">
            <v>F1H04</v>
          </cell>
          <cell r="BS4" t="str">
            <v>F2H04</v>
          </cell>
          <cell r="BU4" t="str">
            <v>F2002</v>
          </cell>
          <cell r="BV4" t="str">
            <v>F2003</v>
          </cell>
          <cell r="BW4" t="str">
            <v>F2004</v>
          </cell>
          <cell r="BX4" t="str">
            <v>F2005E</v>
          </cell>
          <cell r="BY4" t="str">
            <v>F2006</v>
          </cell>
          <cell r="CA4" t="str">
            <v>1Q03E</v>
          </cell>
          <cell r="CB4" t="str">
            <v>1Q03</v>
          </cell>
          <cell r="CD4" t="str">
            <v>2Q03E</v>
          </cell>
          <cell r="CE4" t="str">
            <v>2Q03</v>
          </cell>
          <cell r="CG4" t="str">
            <v>1Q05</v>
          </cell>
          <cell r="CH4" t="str">
            <v>3Q05</v>
          </cell>
          <cell r="CK4" t="str">
            <v>2Q04</v>
          </cell>
          <cell r="CL4" t="str">
            <v>3Q04</v>
          </cell>
        </row>
        <row r="5">
          <cell r="A5" t="str">
            <v>(period ending)</v>
          </cell>
          <cell r="B5">
            <v>35976</v>
          </cell>
          <cell r="C5">
            <v>36068</v>
          </cell>
          <cell r="D5">
            <v>36160</v>
          </cell>
          <cell r="E5">
            <v>36250</v>
          </cell>
          <cell r="F5">
            <v>36341</v>
          </cell>
          <cell r="G5">
            <v>36433</v>
          </cell>
          <cell r="H5">
            <v>36525</v>
          </cell>
          <cell r="I5">
            <v>36616</v>
          </cell>
          <cell r="J5">
            <v>36707</v>
          </cell>
          <cell r="K5">
            <v>36799</v>
          </cell>
          <cell r="L5">
            <v>36891</v>
          </cell>
          <cell r="M5">
            <v>36981</v>
          </cell>
          <cell r="N5">
            <v>37072</v>
          </cell>
          <cell r="O5">
            <v>37164</v>
          </cell>
          <cell r="P5">
            <v>37256</v>
          </cell>
          <cell r="Q5">
            <v>37346</v>
          </cell>
          <cell r="R5">
            <v>37437</v>
          </cell>
          <cell r="S5">
            <v>37529</v>
          </cell>
          <cell r="T5">
            <v>37621</v>
          </cell>
          <cell r="U5">
            <v>37711</v>
          </cell>
          <cell r="V5">
            <v>37802</v>
          </cell>
          <cell r="W5">
            <v>37894</v>
          </cell>
          <cell r="X5">
            <v>37986</v>
          </cell>
          <cell r="Y5">
            <v>38077</v>
          </cell>
          <cell r="Z5">
            <v>38168</v>
          </cell>
          <cell r="AA5">
            <v>38260</v>
          </cell>
          <cell r="AB5">
            <v>38352</v>
          </cell>
          <cell r="AC5">
            <v>38442</v>
          </cell>
          <cell r="AD5">
            <v>38533</v>
          </cell>
          <cell r="AE5">
            <v>38625</v>
          </cell>
          <cell r="AF5">
            <v>38717</v>
          </cell>
          <cell r="AG5">
            <v>38807</v>
          </cell>
          <cell r="AH5">
            <v>38898</v>
          </cell>
          <cell r="AI5">
            <v>38990</v>
          </cell>
          <cell r="AJ5">
            <v>38990</v>
          </cell>
          <cell r="AK5">
            <v>39082</v>
          </cell>
          <cell r="AL5">
            <v>39172</v>
          </cell>
          <cell r="AM5">
            <v>39172</v>
          </cell>
          <cell r="AN5" t="str">
            <v>Sequential</v>
          </cell>
          <cell r="AO5" t="str">
            <v>YoY</v>
          </cell>
          <cell r="AP5">
            <v>38807</v>
          </cell>
          <cell r="AQ5">
            <v>38807</v>
          </cell>
          <cell r="AS5">
            <v>37621</v>
          </cell>
          <cell r="AT5">
            <v>37986</v>
          </cell>
          <cell r="AU5">
            <v>38352</v>
          </cell>
          <cell r="AW5">
            <v>37621</v>
          </cell>
          <cell r="AX5">
            <v>37986</v>
          </cell>
          <cell r="AY5">
            <v>38352</v>
          </cell>
          <cell r="BC5">
            <v>37346</v>
          </cell>
          <cell r="BD5">
            <v>37346</v>
          </cell>
          <cell r="BE5">
            <v>37711</v>
          </cell>
          <cell r="BF5">
            <v>37711</v>
          </cell>
          <cell r="BG5">
            <v>38077</v>
          </cell>
          <cell r="BH5">
            <v>38077</v>
          </cell>
          <cell r="BI5">
            <v>38442</v>
          </cell>
          <cell r="BK5">
            <v>37529</v>
          </cell>
          <cell r="BL5">
            <v>37894</v>
          </cell>
          <cell r="BM5">
            <v>38260</v>
          </cell>
          <cell r="BP5">
            <v>37529</v>
          </cell>
          <cell r="BR5">
            <v>37894</v>
          </cell>
          <cell r="CA5">
            <v>37802</v>
          </cell>
          <cell r="CB5">
            <v>37802</v>
          </cell>
          <cell r="CD5">
            <v>37894</v>
          </cell>
          <cell r="CE5">
            <v>37894</v>
          </cell>
          <cell r="CG5">
            <v>38168</v>
          </cell>
          <cell r="CH5">
            <v>38352</v>
          </cell>
          <cell r="CK5">
            <v>37894</v>
          </cell>
          <cell r="CL5">
            <v>37986</v>
          </cell>
        </row>
        <row r="6">
          <cell r="A6" t="str">
            <v>Income from Services</v>
          </cell>
          <cell r="B6">
            <v>12809.9</v>
          </cell>
          <cell r="C6">
            <v>13227</v>
          </cell>
          <cell r="D6">
            <v>13068.8</v>
          </cell>
          <cell r="E6">
            <v>13362.3</v>
          </cell>
          <cell r="F6">
            <v>12636.7</v>
          </cell>
          <cell r="G6">
            <v>12200</v>
          </cell>
          <cell r="H6">
            <v>12189.7</v>
          </cell>
          <cell r="J6">
            <v>14007.1</v>
          </cell>
          <cell r="K6">
            <v>15212.48</v>
          </cell>
          <cell r="L6">
            <v>14686.59</v>
          </cell>
          <cell r="M6">
            <v>13413.61</v>
          </cell>
          <cell r="N6">
            <v>14953.15</v>
          </cell>
          <cell r="O6">
            <v>16211.32</v>
          </cell>
          <cell r="P6">
            <v>16501</v>
          </cell>
          <cell r="Q6">
            <v>13805.31</v>
          </cell>
          <cell r="R6">
            <v>14936.54</v>
          </cell>
          <cell r="S6">
            <v>14704.41</v>
          </cell>
          <cell r="T6">
            <v>14631.52</v>
          </cell>
          <cell r="U6">
            <v>13564.86</v>
          </cell>
          <cell r="V6">
            <v>14974.9</v>
          </cell>
          <cell r="W6">
            <v>15550.41</v>
          </cell>
          <cell r="X6">
            <v>15259.98</v>
          </cell>
          <cell r="Y6">
            <v>14926.8</v>
          </cell>
          <cell r="Z6">
            <v>14572.07</v>
          </cell>
          <cell r="AA6">
            <v>13717</v>
          </cell>
          <cell r="AB6">
            <v>12614.94</v>
          </cell>
          <cell r="AC6">
            <v>13454.19</v>
          </cell>
          <cell r="AD6">
            <v>12641.05</v>
          </cell>
          <cell r="AE6">
            <v>12690</v>
          </cell>
          <cell r="AF6">
            <v>12771.55</v>
          </cell>
          <cell r="AG6">
            <v>13192.85</v>
          </cell>
          <cell r="AH6">
            <v>12781.89</v>
          </cell>
          <cell r="AI6">
            <v>12204.16</v>
          </cell>
          <cell r="AJ6">
            <v>12680.139131151072</v>
          </cell>
          <cell r="AK6">
            <v>12761.625762052994</v>
          </cell>
          <cell r="AL6">
            <v>15724.537251244314</v>
          </cell>
          <cell r="AM6">
            <v>53948.192144448381</v>
          </cell>
          <cell r="AN6">
            <v>-7.9605495626176026E-3</v>
          </cell>
          <cell r="AO6">
            <v>-7.7705822292573057E-4</v>
          </cell>
          <cell r="AP6">
            <v>52494.32</v>
          </cell>
          <cell r="AQ6">
            <v>55609.85</v>
          </cell>
          <cell r="AS6">
            <v>44272.47</v>
          </cell>
          <cell r="AT6">
            <v>46063.519999999997</v>
          </cell>
          <cell r="AU6">
            <v>40904.01</v>
          </cell>
          <cell r="AX6">
            <v>46083.94</v>
          </cell>
          <cell r="AY6">
            <v>40259.379999999997</v>
          </cell>
          <cell r="BA6">
            <v>13771.769999999997</v>
          </cell>
          <cell r="BC6">
            <v>61437.24</v>
          </cell>
          <cell r="BD6">
            <v>61470.93</v>
          </cell>
          <cell r="BE6">
            <v>57837.33</v>
          </cell>
          <cell r="BF6">
            <v>58065.3</v>
          </cell>
          <cell r="BG6">
            <v>61010.400000000001</v>
          </cell>
          <cell r="BH6">
            <v>61010.400000000001</v>
          </cell>
          <cell r="BI6">
            <v>55654</v>
          </cell>
          <cell r="BK6">
            <v>29640.95</v>
          </cell>
          <cell r="BL6">
            <v>30525.309999999998</v>
          </cell>
          <cell r="BM6">
            <v>28289.07</v>
          </cell>
          <cell r="BP6">
            <v>29556.42</v>
          </cell>
          <cell r="BR6">
            <v>30838.61</v>
          </cell>
          <cell r="BU6">
            <v>61436.87</v>
          </cell>
          <cell r="BV6">
            <v>58065.3</v>
          </cell>
          <cell r="BW6">
            <v>63696.32</v>
          </cell>
          <cell r="BX6">
            <v>55923.85</v>
          </cell>
          <cell r="BY6">
            <v>51244.5</v>
          </cell>
          <cell r="CA6">
            <v>15329.457633575494</v>
          </cell>
          <cell r="CB6">
            <v>14974.9</v>
          </cell>
          <cell r="CC6">
            <v>-2.312917012790594E-2</v>
          </cell>
          <cell r="CD6">
            <v>15975.844716157941</v>
          </cell>
          <cell r="CE6">
            <v>15550.41</v>
          </cell>
          <cell r="CF6">
            <v>-2.6629873018711558E-2</v>
          </cell>
          <cell r="CG6">
            <v>16534.203656986418</v>
          </cell>
          <cell r="CH6">
            <v>15000.315705773151</v>
          </cell>
          <cell r="CK6">
            <v>15550.41</v>
          </cell>
          <cell r="CL6">
            <v>15239.57</v>
          </cell>
        </row>
        <row r="7">
          <cell r="A7" t="str">
            <v>Expenditure</v>
          </cell>
          <cell r="B7">
            <v>6499.1</v>
          </cell>
          <cell r="C7">
            <v>6575.1</v>
          </cell>
          <cell r="D7">
            <v>6873.2</v>
          </cell>
          <cell r="E7">
            <v>7597.4</v>
          </cell>
          <cell r="F7">
            <v>6704.1</v>
          </cell>
          <cell r="G7">
            <v>6870</v>
          </cell>
          <cell r="H7">
            <v>6951.7</v>
          </cell>
          <cell r="I7">
            <v>31449.059602191854</v>
          </cell>
          <cell r="J7">
            <v>8319.7999999999993</v>
          </cell>
          <cell r="K7">
            <v>9371.86</v>
          </cell>
          <cell r="L7">
            <v>8464.19</v>
          </cell>
          <cell r="M7">
            <v>7828.06</v>
          </cell>
          <cell r="N7">
            <v>9201.369999999999</v>
          </cell>
          <cell r="O7">
            <v>9961.82</v>
          </cell>
          <cell r="P7">
            <v>9264.39</v>
          </cell>
          <cell r="Q7">
            <v>6373.6</v>
          </cell>
          <cell r="R7">
            <v>8961.1400000000012</v>
          </cell>
          <cell r="S7">
            <v>9623.17</v>
          </cell>
          <cell r="T7">
            <v>9511.07</v>
          </cell>
          <cell r="U7">
            <v>9816.17</v>
          </cell>
          <cell r="V7">
            <v>9405.82</v>
          </cell>
          <cell r="W7">
            <v>9845.4599999999991</v>
          </cell>
          <cell r="X7">
            <v>10169.420000000002</v>
          </cell>
          <cell r="Y7">
            <v>8918.85</v>
          </cell>
          <cell r="Z7">
            <v>8671.0600000000013</v>
          </cell>
          <cell r="AA7">
            <v>10587</v>
          </cell>
          <cell r="AB7">
            <v>9111.25</v>
          </cell>
          <cell r="AC7">
            <v>10989.3</v>
          </cell>
          <cell r="AD7">
            <v>10277.42</v>
          </cell>
          <cell r="AE7">
            <v>10258</v>
          </cell>
          <cell r="AF7">
            <v>10343.119999999999</v>
          </cell>
          <cell r="AG7">
            <v>9423.75</v>
          </cell>
          <cell r="AH7">
            <v>9923.6299999999992</v>
          </cell>
          <cell r="AI7">
            <v>10275.64</v>
          </cell>
          <cell r="AJ7">
            <v>9373.5422586571694</v>
          </cell>
          <cell r="AK7">
            <v>9215.8457306600649</v>
          </cell>
          <cell r="AL7">
            <v>10749.985125310746</v>
          </cell>
          <cell r="AM7">
            <v>39263.003114627973</v>
          </cell>
          <cell r="AN7">
            <v>-5.5432109151875908E-2</v>
          </cell>
          <cell r="AO7">
            <v>-8.6221265484775822E-2</v>
          </cell>
          <cell r="AP7">
            <v>39722.340000000004</v>
          </cell>
          <cell r="AQ7">
            <v>47485.05</v>
          </cell>
          <cell r="AS7">
            <v>28095.379999999997</v>
          </cell>
          <cell r="AT7">
            <v>29836.85</v>
          </cell>
          <cell r="AU7">
            <v>28369.310000000005</v>
          </cell>
          <cell r="AX7">
            <v>29502.799999999999</v>
          </cell>
          <cell r="AY7">
            <v>26356.62</v>
          </cell>
          <cell r="BA7">
            <v>9017.0499999999993</v>
          </cell>
          <cell r="BC7">
            <v>37444.629999999997</v>
          </cell>
          <cell r="BD7">
            <v>35901.360000000001</v>
          </cell>
          <cell r="BE7">
            <v>38512.15</v>
          </cell>
          <cell r="BF7">
            <v>38710.47</v>
          </cell>
          <cell r="BG7">
            <v>38421.67</v>
          </cell>
          <cell r="BH7">
            <v>39449.17</v>
          </cell>
          <cell r="BI7">
            <v>37520</v>
          </cell>
          <cell r="BK7">
            <v>18584.310000000001</v>
          </cell>
          <cell r="BL7">
            <v>19251.28</v>
          </cell>
          <cell r="BM7">
            <v>19258.060000000001</v>
          </cell>
          <cell r="BP7">
            <v>19297.77</v>
          </cell>
          <cell r="BR7">
            <v>19291.82</v>
          </cell>
          <cell r="BU7">
            <v>36637.629999999997</v>
          </cell>
          <cell r="BV7">
            <v>38106.04</v>
          </cell>
          <cell r="BW7">
            <v>44173.5</v>
          </cell>
          <cell r="BX7">
            <v>42446.17</v>
          </cell>
          <cell r="BY7">
            <v>39722.339999999997</v>
          </cell>
          <cell r="CB7">
            <v>9405.82</v>
          </cell>
          <cell r="CE7">
            <v>10121.459999999999</v>
          </cell>
          <cell r="CK7">
            <v>9806.4599999999991</v>
          </cell>
          <cell r="CL7">
            <v>10188.26</v>
          </cell>
        </row>
        <row r="8">
          <cell r="A8" t="str">
            <v>Staff Cost</v>
          </cell>
          <cell r="J8">
            <v>2664.6</v>
          </cell>
          <cell r="K8">
            <v>3314.17</v>
          </cell>
          <cell r="L8">
            <v>2840.39</v>
          </cell>
          <cell r="M8">
            <v>2199.11</v>
          </cell>
          <cell r="N8">
            <v>3191.85</v>
          </cell>
          <cell r="O8">
            <v>3352.45</v>
          </cell>
          <cell r="P8">
            <v>3269.68</v>
          </cell>
          <cell r="Q8">
            <v>3509</v>
          </cell>
          <cell r="R8">
            <v>3289.76</v>
          </cell>
          <cell r="S8">
            <v>3311.94</v>
          </cell>
          <cell r="T8">
            <v>3742.04</v>
          </cell>
          <cell r="U8">
            <v>3658.19</v>
          </cell>
          <cell r="V8">
            <v>3363.81</v>
          </cell>
          <cell r="W8">
            <v>3479.04</v>
          </cell>
          <cell r="X8">
            <v>3796.86</v>
          </cell>
          <cell r="Y8">
            <v>3203.0600000000004</v>
          </cell>
          <cell r="Z8">
            <v>3275.3100000000004</v>
          </cell>
          <cell r="AA8">
            <v>4920</v>
          </cell>
          <cell r="AB8">
            <v>3724.8500000000004</v>
          </cell>
          <cell r="AC8">
            <v>4252.38</v>
          </cell>
          <cell r="AD8">
            <v>4585</v>
          </cell>
          <cell r="AE8">
            <v>4641</v>
          </cell>
          <cell r="AF8">
            <v>4868.8</v>
          </cell>
          <cell r="AG8">
            <v>4176.04</v>
          </cell>
          <cell r="AH8">
            <v>4489.75</v>
          </cell>
          <cell r="AI8">
            <v>4595.8599999999997</v>
          </cell>
          <cell r="AJ8">
            <v>4411.2507500393749</v>
          </cell>
          <cell r="AK8">
            <v>4143.9609776527068</v>
          </cell>
          <cell r="AL8">
            <v>3418.5923438423069</v>
          </cell>
          <cell r="AM8">
            <v>16463.554071534389</v>
          </cell>
          <cell r="AN8">
            <v>-1.7484102669552914E-2</v>
          </cell>
          <cell r="AO8">
            <v>-4.9504255539889019E-2</v>
          </cell>
          <cell r="AP8">
            <v>17365.93</v>
          </cell>
          <cell r="AQ8">
            <v>19053.12</v>
          </cell>
          <cell r="AS8">
            <v>10343.74</v>
          </cell>
          <cell r="AT8">
            <v>10607.9</v>
          </cell>
          <cell r="AU8">
            <v>11920.160000000002</v>
          </cell>
          <cell r="AX8">
            <v>10831.13</v>
          </cell>
          <cell r="AY8">
            <v>10604.23</v>
          </cell>
          <cell r="BA8">
            <v>3956.6599999999994</v>
          </cell>
          <cell r="BC8">
            <v>13770.64</v>
          </cell>
          <cell r="BD8">
            <v>13623.16</v>
          </cell>
          <cell r="BE8">
            <v>14601.93</v>
          </cell>
          <cell r="BF8">
            <v>14338.53</v>
          </cell>
          <cell r="BG8">
            <v>13934.19</v>
          </cell>
          <cell r="BH8">
            <v>14446.69</v>
          </cell>
          <cell r="BI8">
            <v>14983</v>
          </cell>
          <cell r="BK8">
            <v>6601.7000000000007</v>
          </cell>
          <cell r="BL8">
            <v>6842.85</v>
          </cell>
          <cell r="BM8">
            <v>8195.3100000000013</v>
          </cell>
          <cell r="BP8">
            <v>7191.87</v>
          </cell>
          <cell r="BR8">
            <v>6813.6</v>
          </cell>
          <cell r="BU8">
            <v>12963.64</v>
          </cell>
          <cell r="BV8">
            <v>13738.53</v>
          </cell>
          <cell r="BW8">
            <v>16193.7</v>
          </cell>
          <cell r="BX8">
            <v>18358.900000000001</v>
          </cell>
          <cell r="BY8">
            <v>17365.93</v>
          </cell>
          <cell r="CB8">
            <v>3363.81</v>
          </cell>
          <cell r="CE8">
            <v>3479.04</v>
          </cell>
          <cell r="CK8">
            <v>3479.04</v>
          </cell>
          <cell r="CL8">
            <v>3873.62</v>
          </cell>
        </row>
        <row r="9">
          <cell r="A9" t="str">
            <v>Admn &amp; Opertive Expenses</v>
          </cell>
          <cell r="J9">
            <v>2004.3</v>
          </cell>
          <cell r="K9">
            <v>1978.79</v>
          </cell>
          <cell r="L9">
            <v>1762.88</v>
          </cell>
          <cell r="M9">
            <v>2366.92</v>
          </cell>
          <cell r="N9">
            <v>2115.15</v>
          </cell>
          <cell r="O9">
            <v>2414.5</v>
          </cell>
          <cell r="P9">
            <v>2245.9699999999998</v>
          </cell>
          <cell r="Q9">
            <v>1932.92</v>
          </cell>
          <cell r="R9">
            <v>2036.43</v>
          </cell>
          <cell r="S9">
            <v>2500.71</v>
          </cell>
          <cell r="T9">
            <v>2311.6</v>
          </cell>
          <cell r="U9">
            <v>2986.8</v>
          </cell>
          <cell r="V9">
            <v>2146.56</v>
          </cell>
          <cell r="W9">
            <v>2350.69</v>
          </cell>
          <cell r="X9">
            <v>2476.41</v>
          </cell>
          <cell r="Y9">
            <v>2403.65</v>
          </cell>
          <cell r="Z9">
            <v>2448.2600000000002</v>
          </cell>
          <cell r="AA9">
            <v>2534</v>
          </cell>
          <cell r="AB9">
            <v>2340.0300000000002</v>
          </cell>
          <cell r="AC9">
            <v>2641.57</v>
          </cell>
          <cell r="AD9">
            <v>2357</v>
          </cell>
          <cell r="AE9">
            <v>2245</v>
          </cell>
          <cell r="AF9">
            <v>2146.6999999999998</v>
          </cell>
          <cell r="AG9">
            <v>2715.92</v>
          </cell>
          <cell r="AH9">
            <v>2190.4</v>
          </cell>
          <cell r="AI9">
            <v>2326.96</v>
          </cell>
          <cell r="AJ9">
            <v>1958.4205236255959</v>
          </cell>
          <cell r="AK9">
            <v>2059.9356222154893</v>
          </cell>
          <cell r="AL9">
            <v>3892.2884003234221</v>
          </cell>
          <cell r="AM9">
            <v>10101.044546164507</v>
          </cell>
          <cell r="AN9">
            <v>-0.10590735773119253</v>
          </cell>
          <cell r="AO9">
            <v>-0.12765232800641602</v>
          </cell>
          <cell r="AP9">
            <v>9665.0499999999993</v>
          </cell>
          <cell r="AQ9">
            <v>11579.15</v>
          </cell>
          <cell r="AS9">
            <v>6848.74</v>
          </cell>
          <cell r="AT9">
            <v>7474.86</v>
          </cell>
          <cell r="AU9">
            <v>7322.2900000000009</v>
          </cell>
          <cell r="AX9">
            <v>7254.03</v>
          </cell>
          <cell r="AY9">
            <v>7189.02</v>
          </cell>
          <cell r="BA9">
            <v>377.6599999999994</v>
          </cell>
          <cell r="BC9">
            <v>7153.28</v>
          </cell>
          <cell r="BD9">
            <v>9508.5400000000009</v>
          </cell>
          <cell r="BE9">
            <v>7251.33</v>
          </cell>
          <cell r="BF9">
            <v>10108.200000000001</v>
          </cell>
          <cell r="BG9">
            <v>9757.69</v>
          </cell>
          <cell r="BH9">
            <v>9957.69</v>
          </cell>
          <cell r="BI9">
            <v>9748</v>
          </cell>
          <cell r="BK9">
            <v>4537.1400000000003</v>
          </cell>
          <cell r="BL9">
            <v>4497.25</v>
          </cell>
          <cell r="BM9">
            <v>4982.26</v>
          </cell>
          <cell r="BP9">
            <v>4842.1499999999996</v>
          </cell>
          <cell r="BR9">
            <v>4512.58</v>
          </cell>
          <cell r="BU9">
            <v>7153.28</v>
          </cell>
          <cell r="BV9">
            <v>10166.209999999999</v>
          </cell>
          <cell r="BW9">
            <v>9264.64</v>
          </cell>
          <cell r="BX9">
            <v>9837.1</v>
          </cell>
          <cell r="BY9">
            <v>9665.0499999999993</v>
          </cell>
          <cell r="CB9">
            <v>2146.56</v>
          </cell>
          <cell r="CE9">
            <v>2626.69</v>
          </cell>
          <cell r="CK9">
            <v>2311.69</v>
          </cell>
          <cell r="CL9">
            <v>2397.0300000000002</v>
          </cell>
        </row>
        <row r="10">
          <cell r="A10" t="str">
            <v>License Fee</v>
          </cell>
          <cell r="J10">
            <v>907</v>
          </cell>
          <cell r="K10">
            <v>910.83</v>
          </cell>
          <cell r="L10">
            <v>902.05</v>
          </cell>
          <cell r="M10">
            <v>889.33</v>
          </cell>
          <cell r="N10">
            <v>1794.37</v>
          </cell>
          <cell r="O10">
            <v>1945.35</v>
          </cell>
          <cell r="P10">
            <v>1383.71</v>
          </cell>
          <cell r="Q10">
            <v>1817.93</v>
          </cell>
          <cell r="R10">
            <v>1588.39</v>
          </cell>
          <cell r="S10">
            <v>1595.77</v>
          </cell>
          <cell r="T10">
            <v>1580.38</v>
          </cell>
          <cell r="U10">
            <v>1136.82</v>
          </cell>
          <cell r="V10">
            <v>1915.28</v>
          </cell>
          <cell r="W10">
            <v>1611.51</v>
          </cell>
          <cell r="X10">
            <v>1614.64</v>
          </cell>
          <cell r="Y10">
            <v>1630.24</v>
          </cell>
          <cell r="Z10">
            <v>1349.92</v>
          </cell>
          <cell r="AA10">
            <v>1232</v>
          </cell>
          <cell r="AB10">
            <v>1114.9000000000001</v>
          </cell>
          <cell r="AC10">
            <v>1389.55</v>
          </cell>
          <cell r="AD10">
            <v>1166</v>
          </cell>
          <cell r="AE10">
            <v>1218</v>
          </cell>
          <cell r="AF10">
            <v>1081.3699999999999</v>
          </cell>
          <cell r="AG10">
            <v>955.36</v>
          </cell>
          <cell r="AH10">
            <v>1105.48</v>
          </cell>
          <cell r="AI10">
            <v>1097.23</v>
          </cell>
          <cell r="AJ10">
            <v>1249.8737718934783</v>
          </cell>
          <cell r="AK10">
            <v>1109.6683092877263</v>
          </cell>
          <cell r="AL10">
            <v>1244.6726353578672</v>
          </cell>
          <cell r="AM10">
            <v>4709.694716539072</v>
          </cell>
          <cell r="AN10">
            <v>0.13061635840854491</v>
          </cell>
          <cell r="AO10">
            <v>2.616894244127943E-2</v>
          </cell>
          <cell r="AP10">
            <v>4471.17</v>
          </cell>
          <cell r="AQ10">
            <v>4589.59</v>
          </cell>
          <cell r="AS10">
            <v>4764.54</v>
          </cell>
          <cell r="AT10">
            <v>5177.88</v>
          </cell>
          <cell r="AU10">
            <v>3696.82</v>
          </cell>
          <cell r="AX10">
            <v>5180.78</v>
          </cell>
          <cell r="AY10">
            <v>3638.37</v>
          </cell>
          <cell r="BA10">
            <v>1521.4500000000003</v>
          </cell>
          <cell r="BC10">
            <v>6644.88</v>
          </cell>
          <cell r="BD10">
            <v>6941.36</v>
          </cell>
          <cell r="BE10">
            <v>5901.16</v>
          </cell>
          <cell r="BF10">
            <v>5818.16</v>
          </cell>
          <cell r="BG10">
            <v>6811.02</v>
          </cell>
          <cell r="BH10">
            <v>6811.02</v>
          </cell>
          <cell r="BI10">
            <v>4991</v>
          </cell>
          <cell r="BK10">
            <v>3184.16</v>
          </cell>
          <cell r="BL10">
            <v>3526.79</v>
          </cell>
          <cell r="BM10">
            <v>2581.92</v>
          </cell>
          <cell r="BP10">
            <v>3187.21</v>
          </cell>
          <cell r="BR10">
            <v>3570.06</v>
          </cell>
          <cell r="BU10">
            <v>6644.88</v>
          </cell>
          <cell r="BV10">
            <v>5818.16</v>
          </cell>
          <cell r="BW10">
            <v>6429.58</v>
          </cell>
          <cell r="BX10">
            <v>4971.63</v>
          </cell>
          <cell r="BY10">
            <v>4471.17</v>
          </cell>
          <cell r="CB10">
            <v>1915.28</v>
          </cell>
          <cell r="CE10">
            <v>1611.51</v>
          </cell>
          <cell r="CK10">
            <v>1611.51</v>
          </cell>
          <cell r="CL10">
            <v>1611.75</v>
          </cell>
        </row>
        <row r="11">
          <cell r="A11" t="str">
            <v>Network Charges / Rev. Share</v>
          </cell>
          <cell r="J11">
            <v>2743.9</v>
          </cell>
          <cell r="K11">
            <v>3168.07</v>
          </cell>
          <cell r="L11">
            <v>2958.87</v>
          </cell>
          <cell r="M11">
            <v>2372.6999999999998</v>
          </cell>
          <cell r="N11">
            <v>2100</v>
          </cell>
          <cell r="O11">
            <v>2249.52</v>
          </cell>
          <cell r="P11">
            <v>2365.0300000000002</v>
          </cell>
          <cell r="Q11">
            <v>-886.25</v>
          </cell>
          <cell r="R11">
            <v>2046.56</v>
          </cell>
          <cell r="S11">
            <v>2214.75</v>
          </cell>
          <cell r="T11">
            <v>1877.05</v>
          </cell>
          <cell r="U11">
            <v>2034.36</v>
          </cell>
          <cell r="V11">
            <v>1980.17</v>
          </cell>
          <cell r="W11">
            <v>2404.2199999999998</v>
          </cell>
          <cell r="X11">
            <v>2281.5100000000002</v>
          </cell>
          <cell r="Y11">
            <v>1681.9</v>
          </cell>
          <cell r="Z11">
            <v>1597.57</v>
          </cell>
          <cell r="AA11">
            <v>1901</v>
          </cell>
          <cell r="AB11">
            <v>1931.47</v>
          </cell>
          <cell r="AC11">
            <v>2705.8</v>
          </cell>
          <cell r="AD11">
            <v>2294</v>
          </cell>
          <cell r="AE11">
            <v>2154</v>
          </cell>
          <cell r="AF11">
            <v>2246.25</v>
          </cell>
          <cell r="AG11">
            <v>1576.4300000000003</v>
          </cell>
          <cell r="AH11">
            <v>2138</v>
          </cell>
          <cell r="AI11">
            <v>2255.59</v>
          </cell>
          <cell r="AJ11">
            <v>1753.9972130987212</v>
          </cell>
          <cell r="AK11">
            <v>1902.2808215041425</v>
          </cell>
          <cell r="AL11">
            <v>2194.4317457871493</v>
          </cell>
          <cell r="AM11">
            <v>7988.7097803900124</v>
          </cell>
          <cell r="AN11">
            <v>-0.17960841295663177</v>
          </cell>
          <cell r="AO11">
            <v>-0.18570231518165214</v>
          </cell>
          <cell r="AP11">
            <v>8220.19</v>
          </cell>
          <cell r="AQ11">
            <v>12263.19</v>
          </cell>
          <cell r="AS11">
            <v>6138.3600000000006</v>
          </cell>
          <cell r="AT11">
            <v>6576.21</v>
          </cell>
          <cell r="AU11">
            <v>5430.04</v>
          </cell>
          <cell r="AX11">
            <v>6236.86</v>
          </cell>
          <cell r="AY11">
            <v>4925</v>
          </cell>
          <cell r="BA11">
            <v>3161.2799999999993</v>
          </cell>
          <cell r="BC11">
            <v>9875.83</v>
          </cell>
          <cell r="BD11">
            <v>5828.3</v>
          </cell>
          <cell r="BE11">
            <v>10757.73</v>
          </cell>
          <cell r="BF11">
            <v>8445.58</v>
          </cell>
          <cell r="BG11">
            <v>7918.77</v>
          </cell>
          <cell r="BH11">
            <v>8233.77</v>
          </cell>
          <cell r="BI11">
            <v>7798</v>
          </cell>
          <cell r="BK11">
            <v>4261.3099999999995</v>
          </cell>
          <cell r="BL11">
            <v>4384.3899999999994</v>
          </cell>
          <cell r="BM11">
            <v>3498.5699999999997</v>
          </cell>
          <cell r="BP11">
            <v>4076.54</v>
          </cell>
          <cell r="BR11">
            <v>4395.58</v>
          </cell>
          <cell r="BU11">
            <v>9875.83</v>
          </cell>
          <cell r="BV11">
            <v>8383.14</v>
          </cell>
          <cell r="BW11">
            <v>12285.58</v>
          </cell>
          <cell r="BX11">
            <v>9278.5400000000009</v>
          </cell>
          <cell r="BY11">
            <v>8220.19</v>
          </cell>
          <cell r="CB11">
            <v>1980.17</v>
          </cell>
          <cell r="CE11">
            <v>2404.2199999999998</v>
          </cell>
          <cell r="CK11">
            <v>2404.2199999999998</v>
          </cell>
          <cell r="CL11">
            <v>2305.86</v>
          </cell>
        </row>
        <row r="12">
          <cell r="AS12">
            <v>0</v>
          </cell>
        </row>
        <row r="13">
          <cell r="A13" t="str">
            <v>Operating Profit</v>
          </cell>
          <cell r="B13">
            <v>6310.7999999999993</v>
          </cell>
          <cell r="C13">
            <v>6651.9</v>
          </cell>
          <cell r="D13">
            <v>6195.5999999999995</v>
          </cell>
          <cell r="E13">
            <v>5764.9</v>
          </cell>
          <cell r="F13">
            <v>5932.6</v>
          </cell>
          <cell r="G13">
            <v>5330</v>
          </cell>
          <cell r="H13">
            <v>5238.0000000000009</v>
          </cell>
          <cell r="I13">
            <v>-31449.059602191854</v>
          </cell>
          <cell r="J13">
            <v>5687.3000000000011</v>
          </cell>
          <cell r="K13">
            <v>5840.619999999999</v>
          </cell>
          <cell r="L13">
            <v>6222.4</v>
          </cell>
          <cell r="M13">
            <v>5585.55</v>
          </cell>
          <cell r="N13">
            <v>5751.7800000000007</v>
          </cell>
          <cell r="O13">
            <v>6249.5</v>
          </cell>
          <cell r="P13">
            <v>7236.6100000000006</v>
          </cell>
          <cell r="Q13">
            <v>7431.7099999999991</v>
          </cell>
          <cell r="R13">
            <v>5975.4</v>
          </cell>
          <cell r="S13">
            <v>5081.24</v>
          </cell>
          <cell r="T13">
            <v>5120.4500000000007</v>
          </cell>
          <cell r="U13">
            <v>3748.6900000000005</v>
          </cell>
          <cell r="V13">
            <v>5569.08</v>
          </cell>
          <cell r="W13">
            <v>5704.9500000000007</v>
          </cell>
          <cell r="X13">
            <v>5090.5599999999977</v>
          </cell>
          <cell r="Y13">
            <v>6007.9499999999989</v>
          </cell>
          <cell r="Z13">
            <v>5901.0099999999984</v>
          </cell>
          <cell r="AA13">
            <v>3130</v>
          </cell>
          <cell r="AB13">
            <v>3503.6900000000005</v>
          </cell>
          <cell r="AC13">
            <v>2464.8900000000012</v>
          </cell>
          <cell r="AD13">
            <v>2363.6299999999992</v>
          </cell>
          <cell r="AE13">
            <v>2432</v>
          </cell>
          <cell r="AF13">
            <v>2428.4300000000003</v>
          </cell>
          <cell r="AG13">
            <v>3769.1000000000004</v>
          </cell>
          <cell r="AH13">
            <v>2858.26</v>
          </cell>
          <cell r="AI13">
            <v>1928.5200000000004</v>
          </cell>
          <cell r="AJ13">
            <v>3306.596872493903</v>
          </cell>
          <cell r="AK13">
            <v>3545.7800313929292</v>
          </cell>
          <cell r="AL13">
            <v>4974.5521259335674</v>
          </cell>
          <cell r="AM13">
            <v>14685.189029820409</v>
          </cell>
          <cell r="AN13">
            <v>0.1568565744522552</v>
          </cell>
          <cell r="AO13">
            <v>0.35962042454519039</v>
          </cell>
          <cell r="AP13">
            <v>12771.979999999996</v>
          </cell>
          <cell r="AQ13">
            <v>8124.7999999999956</v>
          </cell>
          <cell r="AS13">
            <v>16177.09</v>
          </cell>
          <cell r="AT13">
            <v>16226.669999999998</v>
          </cell>
          <cell r="AU13">
            <v>12534.699999999997</v>
          </cell>
          <cell r="AX13">
            <v>16581.140000000003</v>
          </cell>
          <cell r="AY13">
            <v>13902.759999999998</v>
          </cell>
          <cell r="BA13">
            <v>4754.7200000000012</v>
          </cell>
          <cell r="BC13">
            <v>23992.61</v>
          </cell>
          <cell r="BD13">
            <v>25569.57</v>
          </cell>
          <cell r="BE13">
            <v>19325.18</v>
          </cell>
          <cell r="BF13">
            <v>19354.830000000002</v>
          </cell>
          <cell r="BG13">
            <v>22588.730000000003</v>
          </cell>
          <cell r="BH13">
            <v>21561.230000000003</v>
          </cell>
          <cell r="BI13">
            <v>18134</v>
          </cell>
          <cell r="BK13">
            <v>11056.64</v>
          </cell>
          <cell r="BL13">
            <v>11274.029999999999</v>
          </cell>
          <cell r="BM13">
            <v>9031.0099999999984</v>
          </cell>
          <cell r="BP13">
            <v>10258.649999999998</v>
          </cell>
          <cell r="BR13">
            <v>11546.79</v>
          </cell>
          <cell r="BU13">
            <v>24799.239999999998</v>
          </cell>
          <cell r="BV13">
            <v>19959.260000000002</v>
          </cell>
          <cell r="BW13">
            <v>19522.820000000007</v>
          </cell>
          <cell r="BX13">
            <v>13477.679999999993</v>
          </cell>
          <cell r="BY13">
            <v>11522.160000000003</v>
          </cell>
          <cell r="CA13">
            <v>5871.0752583952508</v>
          </cell>
          <cell r="CB13">
            <v>5569.08</v>
          </cell>
          <cell r="CC13">
            <v>-5.1437810810450402E-2</v>
          </cell>
          <cell r="CD13">
            <v>5742.8984774471664</v>
          </cell>
          <cell r="CE13">
            <v>5428.95</v>
          </cell>
          <cell r="CF13">
            <v>-5.4667251855499144E-2</v>
          </cell>
          <cell r="CG13">
            <v>5553.1172325829211</v>
          </cell>
          <cell r="CH13">
            <v>4843.2574248293749</v>
          </cell>
          <cell r="CK13">
            <v>5743.95</v>
          </cell>
          <cell r="CL13">
            <v>5051.3100000000004</v>
          </cell>
        </row>
        <row r="14">
          <cell r="AS14">
            <v>0</v>
          </cell>
          <cell r="BA14">
            <v>0</v>
          </cell>
        </row>
        <row r="15">
          <cell r="A15" t="str">
            <v>Other Income</v>
          </cell>
          <cell r="B15">
            <v>195.5</v>
          </cell>
          <cell r="C15">
            <v>658.3</v>
          </cell>
          <cell r="D15">
            <v>559.9</v>
          </cell>
          <cell r="E15">
            <v>557.20000000000005</v>
          </cell>
          <cell r="F15">
            <v>673.6</v>
          </cell>
          <cell r="G15">
            <v>630</v>
          </cell>
          <cell r="H15">
            <v>564.1</v>
          </cell>
          <cell r="I15">
            <v>1741.5998861275502</v>
          </cell>
          <cell r="J15">
            <v>461.5</v>
          </cell>
          <cell r="K15">
            <v>775.04</v>
          </cell>
          <cell r="L15">
            <v>747.28</v>
          </cell>
          <cell r="M15">
            <v>500.67</v>
          </cell>
          <cell r="N15">
            <v>521.14</v>
          </cell>
          <cell r="O15">
            <v>851.27</v>
          </cell>
          <cell r="P15">
            <v>371.76</v>
          </cell>
          <cell r="Q15">
            <v>457.85</v>
          </cell>
          <cell r="R15">
            <v>415.71</v>
          </cell>
          <cell r="S15">
            <v>575.29999999999995</v>
          </cell>
          <cell r="T15">
            <v>574.29999999999995</v>
          </cell>
          <cell r="U15">
            <v>814.26</v>
          </cell>
          <cell r="V15">
            <v>404.37</v>
          </cell>
          <cell r="W15">
            <v>492.58</v>
          </cell>
          <cell r="X15">
            <v>633.51</v>
          </cell>
          <cell r="Y15">
            <v>920.8</v>
          </cell>
          <cell r="Z15">
            <v>657.97</v>
          </cell>
          <cell r="AA15">
            <v>1195</v>
          </cell>
          <cell r="AB15">
            <v>1244.57</v>
          </cell>
          <cell r="AC15">
            <v>997.97</v>
          </cell>
          <cell r="AD15">
            <v>1394.74</v>
          </cell>
          <cell r="AE15">
            <v>1549</v>
          </cell>
          <cell r="AF15">
            <v>848.67</v>
          </cell>
          <cell r="AG15">
            <v>972.3</v>
          </cell>
          <cell r="AH15">
            <v>837.02</v>
          </cell>
          <cell r="AI15">
            <v>1563.5</v>
          </cell>
          <cell r="AJ15">
            <v>1286.2574905984177</v>
          </cell>
          <cell r="AK15">
            <v>1268.4923564771377</v>
          </cell>
          <cell r="AL15">
            <v>1009.3482379117861</v>
          </cell>
          <cell r="AM15">
            <v>4401.1180849873417</v>
          </cell>
          <cell r="AN15">
            <v>0.53671058110728254</v>
          </cell>
          <cell r="AO15">
            <v>-0.16962072911657988</v>
          </cell>
          <cell r="AP15">
            <v>3421.45</v>
          </cell>
          <cell r="AQ15">
            <v>5300.13</v>
          </cell>
          <cell r="AS15">
            <v>1565.31</v>
          </cell>
          <cell r="AT15">
            <v>1483.03</v>
          </cell>
          <cell r="AU15">
            <v>3097.54</v>
          </cell>
          <cell r="AX15">
            <v>1595.21</v>
          </cell>
          <cell r="AY15">
            <v>3148.48</v>
          </cell>
          <cell r="BA15">
            <v>739.29000000000019</v>
          </cell>
          <cell r="BC15">
            <v>2483.46</v>
          </cell>
          <cell r="BD15">
            <v>2202.02</v>
          </cell>
          <cell r="BE15">
            <v>2379.8000000000002</v>
          </cell>
          <cell r="BF15">
            <v>2241.35</v>
          </cell>
          <cell r="BG15">
            <v>2516.0099999999998</v>
          </cell>
          <cell r="BH15">
            <v>2957.81</v>
          </cell>
          <cell r="BI15">
            <v>4365</v>
          </cell>
          <cell r="BK15">
            <v>991.01</v>
          </cell>
          <cell r="BL15">
            <v>896.95</v>
          </cell>
          <cell r="BM15">
            <v>1852.97</v>
          </cell>
          <cell r="BP15">
            <v>1055.67</v>
          </cell>
          <cell r="BR15">
            <v>943.58</v>
          </cell>
          <cell r="BU15">
            <v>2483.4699999999998</v>
          </cell>
          <cell r="BV15">
            <v>2236.91</v>
          </cell>
          <cell r="BW15">
            <v>3143.31</v>
          </cell>
          <cell r="BX15">
            <v>4917.18</v>
          </cell>
          <cell r="BY15">
            <v>3421.45</v>
          </cell>
          <cell r="CA15">
            <v>336.34425377609028</v>
          </cell>
          <cell r="CB15">
            <v>404.37</v>
          </cell>
          <cell r="CC15">
            <v>0.20225035944629388</v>
          </cell>
          <cell r="CD15">
            <v>487.2237584809987</v>
          </cell>
          <cell r="CE15">
            <v>492.58</v>
          </cell>
          <cell r="CF15">
            <v>1.0993391487517545E-2</v>
          </cell>
          <cell r="CG15">
            <v>460.01967697117897</v>
          </cell>
          <cell r="CH15">
            <v>719.6047148572311</v>
          </cell>
          <cell r="CK15">
            <v>492.58</v>
          </cell>
          <cell r="CL15">
            <v>521.33000000000004</v>
          </cell>
        </row>
        <row r="16">
          <cell r="A16" t="str">
            <v>Interest</v>
          </cell>
          <cell r="B16">
            <v>276.10000000000002</v>
          </cell>
          <cell r="C16">
            <v>92.6</v>
          </cell>
          <cell r="D16">
            <v>105.6</v>
          </cell>
          <cell r="E16">
            <v>19.5</v>
          </cell>
          <cell r="F16">
            <v>10.7</v>
          </cell>
          <cell r="G16">
            <v>40</v>
          </cell>
          <cell r="H16">
            <v>6.3</v>
          </cell>
          <cell r="I16">
            <v>81.227469084643786</v>
          </cell>
          <cell r="J16">
            <v>24</v>
          </cell>
          <cell r="K16">
            <v>17.47</v>
          </cell>
          <cell r="L16">
            <v>17.64</v>
          </cell>
          <cell r="M16">
            <v>2.89</v>
          </cell>
          <cell r="N16">
            <v>18.39</v>
          </cell>
          <cell r="O16">
            <v>1.52</v>
          </cell>
          <cell r="P16">
            <v>1.04</v>
          </cell>
          <cell r="Q16">
            <v>10.130000000000001</v>
          </cell>
          <cell r="R16">
            <v>8.56</v>
          </cell>
          <cell r="S16">
            <v>73.95</v>
          </cell>
          <cell r="T16">
            <v>66.97</v>
          </cell>
          <cell r="U16">
            <v>123.62</v>
          </cell>
          <cell r="V16">
            <v>73.14</v>
          </cell>
          <cell r="W16">
            <v>73.58</v>
          </cell>
          <cell r="X16">
            <v>82.38</v>
          </cell>
          <cell r="Y16">
            <v>78.849999999999994</v>
          </cell>
          <cell r="Z16">
            <v>110.33</v>
          </cell>
          <cell r="AA16">
            <v>78</v>
          </cell>
          <cell r="AB16">
            <v>89.51</v>
          </cell>
          <cell r="AC16">
            <v>88.29</v>
          </cell>
          <cell r="AD16">
            <v>75.510000000000005</v>
          </cell>
          <cell r="AE16">
            <v>91</v>
          </cell>
          <cell r="AF16">
            <v>38.19</v>
          </cell>
          <cell r="AG16">
            <v>28.65</v>
          </cell>
          <cell r="AH16">
            <v>13.9</v>
          </cell>
          <cell r="AI16">
            <v>5.0199999999999996</v>
          </cell>
          <cell r="AK16">
            <v>0</v>
          </cell>
          <cell r="AL16">
            <v>0</v>
          </cell>
          <cell r="AM16">
            <v>0</v>
          </cell>
          <cell r="AP16">
            <v>249.97</v>
          </cell>
          <cell r="AQ16">
            <v>244.36</v>
          </cell>
          <cell r="AS16">
            <v>149.48000000000002</v>
          </cell>
          <cell r="AT16">
            <v>233.05</v>
          </cell>
          <cell r="AU16">
            <v>277.83999999999997</v>
          </cell>
          <cell r="AX16">
            <v>243.04</v>
          </cell>
          <cell r="AY16">
            <v>275.83</v>
          </cell>
          <cell r="BA16">
            <v>267.40000000000003</v>
          </cell>
          <cell r="BC16">
            <v>288.35000000000002</v>
          </cell>
          <cell r="BD16">
            <v>31.18</v>
          </cell>
          <cell r="BE16">
            <v>273.10000000000002</v>
          </cell>
          <cell r="BF16">
            <v>328.19</v>
          </cell>
          <cell r="BG16">
            <v>321.89</v>
          </cell>
          <cell r="BH16">
            <v>321.89</v>
          </cell>
          <cell r="BI16">
            <v>367</v>
          </cell>
          <cell r="BK16">
            <v>82.51</v>
          </cell>
          <cell r="BL16">
            <v>146.72</v>
          </cell>
          <cell r="BM16">
            <v>188.32999999999998</v>
          </cell>
          <cell r="BP16">
            <v>89.53</v>
          </cell>
          <cell r="BR16">
            <v>158.5</v>
          </cell>
          <cell r="BU16">
            <v>288.35000000000002</v>
          </cell>
          <cell r="BV16">
            <v>328.19</v>
          </cell>
          <cell r="BW16">
            <v>346.2</v>
          </cell>
          <cell r="BX16">
            <v>358.12</v>
          </cell>
          <cell r="BY16">
            <v>249.97</v>
          </cell>
          <cell r="CA16">
            <v>0</v>
          </cell>
          <cell r="CB16">
            <v>73.14</v>
          </cell>
          <cell r="CD16">
            <v>0</v>
          </cell>
          <cell r="CE16">
            <v>73.58</v>
          </cell>
          <cell r="CG16">
            <v>0</v>
          </cell>
          <cell r="CH16">
            <v>0</v>
          </cell>
          <cell r="CK16">
            <v>73.58</v>
          </cell>
          <cell r="CL16">
            <v>72.400000000000006</v>
          </cell>
        </row>
        <row r="17">
          <cell r="A17" t="str">
            <v>Depreciation</v>
          </cell>
          <cell r="B17">
            <v>1693.8</v>
          </cell>
          <cell r="C17">
            <v>1690.9</v>
          </cell>
          <cell r="D17">
            <v>1604.5</v>
          </cell>
          <cell r="E17">
            <v>1643.8</v>
          </cell>
          <cell r="F17">
            <v>1645.9</v>
          </cell>
          <cell r="G17">
            <v>1950</v>
          </cell>
          <cell r="H17">
            <v>1618.6</v>
          </cell>
          <cell r="I17">
            <v>7092.81</v>
          </cell>
          <cell r="J17">
            <v>1952.4</v>
          </cell>
          <cell r="K17">
            <v>1933.08</v>
          </cell>
          <cell r="L17">
            <v>1673.7</v>
          </cell>
          <cell r="M17">
            <v>1624.88</v>
          </cell>
          <cell r="N17">
            <v>1861.45</v>
          </cell>
          <cell r="O17">
            <v>2060.6</v>
          </cell>
          <cell r="P17">
            <v>1958.1</v>
          </cell>
          <cell r="Q17">
            <v>2001.84</v>
          </cell>
          <cell r="R17">
            <v>2178.5100000000002</v>
          </cell>
          <cell r="S17">
            <v>1914.74</v>
          </cell>
          <cell r="T17">
            <v>2248.86</v>
          </cell>
          <cell r="U17">
            <v>2463.42</v>
          </cell>
          <cell r="V17">
            <v>2200.31</v>
          </cell>
          <cell r="W17">
            <v>2321.9499999999998</v>
          </cell>
          <cell r="X17">
            <v>1187.3166666666668</v>
          </cell>
          <cell r="Y17">
            <v>1438.65</v>
          </cell>
          <cell r="Z17">
            <v>1418.12</v>
          </cell>
          <cell r="AA17">
            <v>1454</v>
          </cell>
          <cell r="AB17">
            <v>1465.75</v>
          </cell>
          <cell r="AC17">
            <v>1542.74</v>
          </cell>
          <cell r="AD17">
            <v>1535.66</v>
          </cell>
          <cell r="AE17">
            <v>1579</v>
          </cell>
          <cell r="AF17">
            <v>1619.08</v>
          </cell>
          <cell r="AG17">
            <v>1655.35</v>
          </cell>
          <cell r="AH17">
            <v>1695.63</v>
          </cell>
          <cell r="AI17">
            <v>1648.11</v>
          </cell>
          <cell r="AJ17">
            <v>1690.658108837903</v>
          </cell>
          <cell r="AK17">
            <v>1733.5723437981453</v>
          </cell>
          <cell r="AL17">
            <v>1804.439156783603</v>
          </cell>
          <cell r="AM17">
            <v>6924.2996094196515</v>
          </cell>
          <cell r="AN17">
            <v>-2.9321792856324969E-3</v>
          </cell>
          <cell r="AO17">
            <v>7.0714445115834801E-2</v>
          </cell>
          <cell r="AP17">
            <v>6377.07</v>
          </cell>
          <cell r="AQ17">
            <v>6466.99</v>
          </cell>
          <cell r="AS17">
            <v>6342.1100000000006</v>
          </cell>
          <cell r="AT17">
            <v>6856.16</v>
          </cell>
          <cell r="AU17">
            <v>4337.87</v>
          </cell>
          <cell r="AX17">
            <v>3833.12</v>
          </cell>
          <cell r="AY17">
            <v>4334.21</v>
          </cell>
          <cell r="BA17">
            <v>2284.4100000000003</v>
          </cell>
          <cell r="BC17">
            <v>8164.56</v>
          </cell>
          <cell r="BD17">
            <v>7881.99</v>
          </cell>
          <cell r="BE17">
            <v>8805.5300000000007</v>
          </cell>
          <cell r="BF17">
            <v>8670.42</v>
          </cell>
          <cell r="BG17">
            <v>5271.77</v>
          </cell>
          <cell r="BH17">
            <v>5271.77</v>
          </cell>
          <cell r="BI17">
            <v>5893</v>
          </cell>
          <cell r="BK17">
            <v>4093.25</v>
          </cell>
          <cell r="BL17">
            <v>4522.26</v>
          </cell>
          <cell r="BM17">
            <v>2872.12</v>
          </cell>
          <cell r="BP17">
            <v>4194.3599999999997</v>
          </cell>
          <cell r="BR17">
            <v>4578.34</v>
          </cell>
          <cell r="BU17">
            <v>8164.56</v>
          </cell>
          <cell r="BV17">
            <v>8670.42</v>
          </cell>
          <cell r="BW17">
            <v>5437.95</v>
          </cell>
          <cell r="BX17">
            <v>5880.07</v>
          </cell>
          <cell r="BY17">
            <v>6377.07</v>
          </cell>
          <cell r="CA17">
            <v>1618.481617294814</v>
          </cell>
          <cell r="CB17">
            <v>2200.31</v>
          </cell>
          <cell r="CC17">
            <v>0.3594902632738417</v>
          </cell>
          <cell r="CD17">
            <v>2237.1662941681334</v>
          </cell>
          <cell r="CE17">
            <v>2321.9499999999998</v>
          </cell>
          <cell r="CF17">
            <v>3.7897811196638154E-2</v>
          </cell>
          <cell r="CG17">
            <v>1282.371907446978</v>
          </cell>
          <cell r="CH17">
            <v>1411.054940629517</v>
          </cell>
          <cell r="CK17">
            <v>2321.9499999999998</v>
          </cell>
          <cell r="CL17">
            <v>1206.0066666666667</v>
          </cell>
        </row>
        <row r="18">
          <cell r="AA18">
            <v>0</v>
          </cell>
        </row>
        <row r="19">
          <cell r="A19" t="str">
            <v>PBT</v>
          </cell>
          <cell r="B19">
            <v>4536.3999999999987</v>
          </cell>
          <cell r="C19">
            <v>5526.6999999999989</v>
          </cell>
          <cell r="D19">
            <v>5045.3999999999987</v>
          </cell>
          <cell r="E19">
            <v>4658.7999999999993</v>
          </cell>
          <cell r="F19">
            <v>4949.6000000000004</v>
          </cell>
          <cell r="G19">
            <v>3970</v>
          </cell>
          <cell r="H19">
            <v>4177.2000000000007</v>
          </cell>
          <cell r="I19">
            <v>-36881.497185148946</v>
          </cell>
          <cell r="J19">
            <v>4172.4000000000015</v>
          </cell>
          <cell r="K19">
            <v>4665.1099999999988</v>
          </cell>
          <cell r="L19">
            <v>5278.3399999999992</v>
          </cell>
          <cell r="M19">
            <v>4458.45</v>
          </cell>
          <cell r="N19">
            <v>4393.0800000000008</v>
          </cell>
          <cell r="O19">
            <v>5038.6499999999996</v>
          </cell>
          <cell r="P19">
            <v>5649.2300000000014</v>
          </cell>
          <cell r="Q19">
            <v>5877.5899999999992</v>
          </cell>
          <cell r="R19">
            <v>4204.0399999999991</v>
          </cell>
          <cell r="S19">
            <v>3667.8500000000004</v>
          </cell>
          <cell r="T19">
            <v>3378.9200000000005</v>
          </cell>
          <cell r="U19">
            <v>1975.9100000000008</v>
          </cell>
          <cell r="V19">
            <v>3699.9999999999995</v>
          </cell>
          <cell r="W19">
            <v>3802.0000000000009</v>
          </cell>
          <cell r="X19">
            <v>4454.3733333333312</v>
          </cell>
          <cell r="Y19">
            <v>5411.2499999999982</v>
          </cell>
          <cell r="Z19">
            <v>5030.5299999999988</v>
          </cell>
          <cell r="AA19">
            <v>2793</v>
          </cell>
          <cell r="AB19">
            <v>3193</v>
          </cell>
          <cell r="AC19">
            <v>1831.8300000000015</v>
          </cell>
          <cell r="AD19">
            <v>2147.1999999999989</v>
          </cell>
          <cell r="AE19">
            <v>2311</v>
          </cell>
          <cell r="AF19">
            <v>1619.8300000000004</v>
          </cell>
          <cell r="AG19">
            <v>3057.400000000001</v>
          </cell>
          <cell r="AH19">
            <v>1985.75</v>
          </cell>
          <cell r="AI19">
            <v>1838.8900000000006</v>
          </cell>
          <cell r="AJ19">
            <v>2902.1962542544175</v>
          </cell>
          <cell r="AK19">
            <v>3080.7000440719221</v>
          </cell>
          <cell r="AL19">
            <v>4179.4612070617504</v>
          </cell>
          <cell r="AM19">
            <v>12162.007505388099</v>
          </cell>
          <cell r="AN19">
            <v>0.46151139582244372</v>
          </cell>
          <cell r="AO19">
            <v>0.25581837051251299</v>
          </cell>
          <cell r="AP19">
            <v>9566.3899999999976</v>
          </cell>
          <cell r="AQ19">
            <v>6713.5799999999963</v>
          </cell>
          <cell r="AS19">
            <v>11250.81</v>
          </cell>
          <cell r="AT19">
            <v>10620.489999999998</v>
          </cell>
          <cell r="AU19">
            <v>11016.529999999999</v>
          </cell>
          <cell r="AX19">
            <v>14100.190000000002</v>
          </cell>
          <cell r="AY19">
            <v>12441.199999999997</v>
          </cell>
          <cell r="BA19">
            <v>2942.1999999999971</v>
          </cell>
          <cell r="BC19">
            <v>18023.16</v>
          </cell>
          <cell r="BD19">
            <v>19858.419999999998</v>
          </cell>
          <cell r="BE19">
            <v>12626.35</v>
          </cell>
          <cell r="BF19">
            <v>12597.570000000002</v>
          </cell>
          <cell r="BG19">
            <v>19511.080000000002</v>
          </cell>
          <cell r="BH19">
            <v>18925.380000000005</v>
          </cell>
          <cell r="BI19">
            <v>16239</v>
          </cell>
          <cell r="BK19">
            <v>7871.8899999999994</v>
          </cell>
          <cell r="BL19">
            <v>7502</v>
          </cell>
          <cell r="BM19">
            <v>7823.5299999999979</v>
          </cell>
          <cell r="BP19">
            <v>7030.4299999999976</v>
          </cell>
          <cell r="BR19">
            <v>7753.5300000000007</v>
          </cell>
          <cell r="BU19">
            <v>18829.8</v>
          </cell>
          <cell r="BV19">
            <v>13197.560000000003</v>
          </cell>
          <cell r="BW19">
            <v>16881.980000000007</v>
          </cell>
          <cell r="BX19">
            <v>12156.669999999995</v>
          </cell>
          <cell r="BY19">
            <v>8316.5700000000052</v>
          </cell>
          <cell r="CA19">
            <v>4588.937894876527</v>
          </cell>
          <cell r="CB19">
            <v>3700</v>
          </cell>
          <cell r="CC19">
            <v>-0.19371321103931505</v>
          </cell>
          <cell r="CD19">
            <v>3992.9559417600321</v>
          </cell>
          <cell r="CE19">
            <v>3526</v>
          </cell>
          <cell r="CF19">
            <v>-0.11694492715945304</v>
          </cell>
          <cell r="CG19">
            <v>4730.7650021071222</v>
          </cell>
          <cell r="CH19">
            <v>4151.8071990570888</v>
          </cell>
          <cell r="CK19">
            <v>3841</v>
          </cell>
          <cell r="CL19">
            <v>4294.2333333333336</v>
          </cell>
        </row>
        <row r="20">
          <cell r="A20" t="str">
            <v>Tax</v>
          </cell>
          <cell r="B20">
            <v>1537.5</v>
          </cell>
          <cell r="C20">
            <v>1777</v>
          </cell>
          <cell r="D20">
            <v>1640</v>
          </cell>
          <cell r="E20">
            <v>1640</v>
          </cell>
          <cell r="F20">
            <v>1699</v>
          </cell>
          <cell r="G20">
            <v>740</v>
          </cell>
          <cell r="H20">
            <v>535.20000000000005</v>
          </cell>
          <cell r="I20" t="e">
            <v>#VALUE!</v>
          </cell>
          <cell r="J20">
            <v>481.9</v>
          </cell>
          <cell r="K20">
            <v>190.85</v>
          </cell>
          <cell r="L20">
            <v>511.4</v>
          </cell>
          <cell r="M20">
            <v>405.02</v>
          </cell>
          <cell r="N20">
            <v>620</v>
          </cell>
          <cell r="O20">
            <v>1215.1199999999999</v>
          </cell>
          <cell r="P20">
            <v>1269.23</v>
          </cell>
          <cell r="Q20">
            <v>1715.65</v>
          </cell>
          <cell r="R20">
            <v>1288.4178073067574</v>
          </cell>
          <cell r="S20">
            <v>1198.6199999999999</v>
          </cell>
          <cell r="T20">
            <v>1208.29</v>
          </cell>
          <cell r="U20">
            <v>139.74</v>
          </cell>
          <cell r="V20">
            <v>1193.82</v>
          </cell>
          <cell r="W20">
            <v>1368.0539591605218</v>
          </cell>
          <cell r="X20">
            <v>1454.4011560258377</v>
          </cell>
          <cell r="Y20">
            <v>1589.984308006457</v>
          </cell>
          <cell r="Z20">
            <v>1253.8699999999999</v>
          </cell>
          <cell r="AA20">
            <v>808</v>
          </cell>
          <cell r="AB20">
            <v>618.82466105094261</v>
          </cell>
          <cell r="AC20">
            <v>334.84661196259691</v>
          </cell>
          <cell r="AD20">
            <v>422.34</v>
          </cell>
          <cell r="AE20">
            <v>632</v>
          </cell>
          <cell r="AF20">
            <v>349.54999999999995</v>
          </cell>
          <cell r="AG20">
            <v>770.29000000000019</v>
          </cell>
          <cell r="AH20">
            <v>673.81</v>
          </cell>
          <cell r="AI20">
            <v>628.64</v>
          </cell>
          <cell r="AJ20">
            <v>986.74672644650195</v>
          </cell>
          <cell r="AK20">
            <v>1047.4380149844535</v>
          </cell>
          <cell r="AL20">
            <v>940.60751018547217</v>
          </cell>
          <cell r="AM20">
            <v>3648.6022516164276</v>
          </cell>
          <cell r="AN20">
            <v>0.46442873576602017</v>
          </cell>
          <cell r="AO20">
            <v>0.56130811146598414</v>
          </cell>
          <cell r="AP20">
            <v>2332.44</v>
          </cell>
          <cell r="AQ20">
            <v>936.95</v>
          </cell>
          <cell r="AS20">
            <v>3695.3278073067572</v>
          </cell>
          <cell r="AT20">
            <v>3585.349421353093</v>
          </cell>
          <cell r="AU20">
            <v>2680.6946610509426</v>
          </cell>
          <cell r="AX20">
            <v>4710.5813333023125</v>
          </cell>
          <cell r="AY20">
            <v>2528.234661050943</v>
          </cell>
          <cell r="BA20">
            <v>1833.2800000000002</v>
          </cell>
          <cell r="BC20">
            <v>4937.63</v>
          </cell>
          <cell r="BD20">
            <v>5270</v>
          </cell>
          <cell r="BE20">
            <v>3651.16</v>
          </cell>
          <cell r="BF20">
            <v>3600.32</v>
          </cell>
          <cell r="BG20">
            <v>6339.2434215976982</v>
          </cell>
          <cell r="BH20">
            <v>6148.95</v>
          </cell>
          <cell r="BI20">
            <v>3198.6646610509424</v>
          </cell>
          <cell r="BK20">
            <v>2487.0378073067573</v>
          </cell>
          <cell r="BL20">
            <v>2561.8739591605217</v>
          </cell>
          <cell r="BM20">
            <v>2061.87</v>
          </cell>
          <cell r="BP20">
            <v>2215.9899999999998</v>
          </cell>
          <cell r="BR20">
            <v>2632.573959160522</v>
          </cell>
          <cell r="BU20">
            <v>4900</v>
          </cell>
          <cell r="BV20">
            <v>3814.52</v>
          </cell>
          <cell r="BW20">
            <v>4513.4799999999996</v>
          </cell>
          <cell r="BX20">
            <v>2672.41</v>
          </cell>
          <cell r="BY20">
            <v>1619.64</v>
          </cell>
          <cell r="CA20">
            <v>1330.4004662736127</v>
          </cell>
          <cell r="CB20">
            <v>1193.82</v>
          </cell>
          <cell r="CD20">
            <v>1460.4264787867767</v>
          </cell>
          <cell r="CE20">
            <v>1255.8599999999999</v>
          </cell>
          <cell r="CG20">
            <v>1037.7963680443686</v>
          </cell>
          <cell r="CH20">
            <v>941.45991586033972</v>
          </cell>
          <cell r="CK20">
            <v>1368.0539591605218</v>
          </cell>
          <cell r="CL20">
            <v>1428.9699512736602</v>
          </cell>
        </row>
        <row r="21">
          <cell r="A21" t="str">
            <v>Normal Tax</v>
          </cell>
          <cell r="AA21">
            <v>681</v>
          </cell>
          <cell r="AD21">
            <v>851.13</v>
          </cell>
          <cell r="AE21">
            <v>454</v>
          </cell>
          <cell r="AF21">
            <v>460.34</v>
          </cell>
          <cell r="AG21">
            <v>1218.5700000000002</v>
          </cell>
          <cell r="AH21">
            <v>935</v>
          </cell>
          <cell r="AI21">
            <v>750.65</v>
          </cell>
          <cell r="AP21">
            <v>3230.8</v>
          </cell>
          <cell r="AQ21">
            <v>560.76</v>
          </cell>
        </row>
        <row r="22">
          <cell r="A22" t="str">
            <v>Defered tax</v>
          </cell>
          <cell r="AA22">
            <v>127</v>
          </cell>
          <cell r="AD22">
            <v>-428.79</v>
          </cell>
          <cell r="AE22">
            <v>178</v>
          </cell>
          <cell r="AF22">
            <v>-110.79</v>
          </cell>
          <cell r="AG22">
            <v>-448.28</v>
          </cell>
          <cell r="AH22">
            <v>-261.19</v>
          </cell>
          <cell r="AI22">
            <v>-122.01</v>
          </cell>
          <cell r="AP22">
            <v>-898.36</v>
          </cell>
          <cell r="AQ22">
            <v>376.19</v>
          </cell>
        </row>
        <row r="23">
          <cell r="A23" t="str">
            <v>PAT</v>
          </cell>
          <cell r="B23">
            <v>2998.8999999999987</v>
          </cell>
          <cell r="C23">
            <v>3749.6999999999989</v>
          </cell>
          <cell r="D23">
            <v>3405.3999999999987</v>
          </cell>
          <cell r="E23">
            <v>3018.7999999999993</v>
          </cell>
          <cell r="F23">
            <v>3250.6000000000004</v>
          </cell>
          <cell r="G23">
            <v>3230</v>
          </cell>
          <cell r="H23">
            <v>3642.0000000000009</v>
          </cell>
          <cell r="I23" t="e">
            <v>#VALUE!</v>
          </cell>
          <cell r="J23">
            <v>3690.5000000000014</v>
          </cell>
          <cell r="K23">
            <v>4474.2599999999984</v>
          </cell>
          <cell r="L23">
            <v>4766.9399999999996</v>
          </cell>
          <cell r="M23">
            <v>4053.43</v>
          </cell>
          <cell r="N23">
            <v>3773.0800000000008</v>
          </cell>
          <cell r="O23">
            <v>3823.5299999999997</v>
          </cell>
          <cell r="P23">
            <v>4380.0000000000018</v>
          </cell>
          <cell r="Q23">
            <v>4161.9399999999987</v>
          </cell>
          <cell r="R23">
            <v>2915.6221926932417</v>
          </cell>
          <cell r="S23">
            <v>2469.2300000000005</v>
          </cell>
          <cell r="T23">
            <v>2170.6300000000006</v>
          </cell>
          <cell r="U23">
            <v>1836.1700000000008</v>
          </cell>
          <cell r="V23">
            <v>2506.1799999999994</v>
          </cell>
          <cell r="W23">
            <v>2433.9460408394789</v>
          </cell>
          <cell r="X23">
            <v>2999.9721773074934</v>
          </cell>
          <cell r="Y23">
            <v>3821.2656919935412</v>
          </cell>
          <cell r="Z23">
            <v>3776.6599999999989</v>
          </cell>
          <cell r="AA23">
            <v>1985</v>
          </cell>
          <cell r="AB23">
            <v>2574.1753389490573</v>
          </cell>
          <cell r="AC23">
            <v>1496.9833880374047</v>
          </cell>
          <cell r="AD23">
            <v>1724.859999999999</v>
          </cell>
          <cell r="AE23">
            <v>1679</v>
          </cell>
          <cell r="AF23">
            <v>1270.2800000000004</v>
          </cell>
          <cell r="AG23">
            <v>2287.1100000000006</v>
          </cell>
          <cell r="AH23">
            <v>1311.94</v>
          </cell>
          <cell r="AI23">
            <v>1210.2500000000005</v>
          </cell>
          <cell r="AJ23">
            <v>1915.4495278079155</v>
          </cell>
          <cell r="AK23">
            <v>2033.2620290874686</v>
          </cell>
          <cell r="AL23">
            <v>3238.8536968762783</v>
          </cell>
          <cell r="AM23">
            <v>8513.4052537716743</v>
          </cell>
          <cell r="AN23">
            <v>0.46001305532868542</v>
          </cell>
          <cell r="AO23">
            <v>0.14082759250024757</v>
          </cell>
          <cell r="AP23">
            <v>7233.9499999999971</v>
          </cell>
          <cell r="AQ23">
            <v>5776.6299999999965</v>
          </cell>
          <cell r="AS23">
            <v>7555.4821926932418</v>
          </cell>
          <cell r="AT23">
            <v>7035.1405786469049</v>
          </cell>
          <cell r="AU23">
            <v>8335.8353389490567</v>
          </cell>
          <cell r="AX23">
            <v>9389.6086666976898</v>
          </cell>
          <cell r="AY23">
            <v>9912.9653389490541</v>
          </cell>
          <cell r="BA23">
            <v>1108.9199999999955</v>
          </cell>
          <cell r="BC23">
            <v>13085.529999999999</v>
          </cell>
          <cell r="BD23">
            <v>14588.419999999998</v>
          </cell>
          <cell r="BE23">
            <v>8975.19</v>
          </cell>
          <cell r="BF23">
            <v>8997.2500000000018</v>
          </cell>
          <cell r="BG23">
            <v>13171.836578402304</v>
          </cell>
          <cell r="BH23">
            <v>12776.430000000004</v>
          </cell>
          <cell r="BI23">
            <v>13040.335338949058</v>
          </cell>
          <cell r="BK23">
            <v>5384.8521926932426</v>
          </cell>
          <cell r="BL23">
            <v>4940.1260408394783</v>
          </cell>
          <cell r="BM23">
            <v>5761.659999999998</v>
          </cell>
          <cell r="BP23">
            <v>4814.4399999999978</v>
          </cell>
          <cell r="BR23">
            <v>5120.9560408394791</v>
          </cell>
          <cell r="BU23">
            <v>13929.8</v>
          </cell>
          <cell r="BV23">
            <v>9383.0400000000027</v>
          </cell>
          <cell r="BW23">
            <v>12368.500000000007</v>
          </cell>
          <cell r="BX23">
            <v>9484.2599999999948</v>
          </cell>
          <cell r="BY23">
            <v>6696.9300000000057</v>
          </cell>
          <cell r="CA23">
            <v>3258.5374286029146</v>
          </cell>
          <cell r="CB23">
            <v>2506.1799999999998</v>
          </cell>
          <cell r="CC23">
            <v>-0.23088807328062055</v>
          </cell>
          <cell r="CD23">
            <v>2532.5294629732552</v>
          </cell>
          <cell r="CE23">
            <v>2270.14</v>
          </cell>
          <cell r="CF23">
            <v>-0.10360766451467196</v>
          </cell>
          <cell r="CG23">
            <v>3692.9686340627536</v>
          </cell>
          <cell r="CH23">
            <v>3210.3472831967492</v>
          </cell>
          <cell r="CK23">
            <v>2472.9460408394789</v>
          </cell>
          <cell r="CL23">
            <v>2865.2633820596734</v>
          </cell>
        </row>
        <row r="24">
          <cell r="BA24">
            <v>0</v>
          </cell>
        </row>
        <row r="25">
          <cell r="A25" t="str">
            <v xml:space="preserve">Prior Period / Extraordinary </v>
          </cell>
          <cell r="I25">
            <v>-2430.2078676470587</v>
          </cell>
          <cell r="M25">
            <v>-450</v>
          </cell>
          <cell r="P25">
            <v>-1100</v>
          </cell>
          <cell r="R25">
            <v>-600</v>
          </cell>
          <cell r="W25">
            <v>-315</v>
          </cell>
          <cell r="X25">
            <v>2733.8066666666673</v>
          </cell>
          <cell r="Y25">
            <v>-1062.5</v>
          </cell>
          <cell r="Z25">
            <v>-1300</v>
          </cell>
          <cell r="AB25">
            <v>-700</v>
          </cell>
          <cell r="AC25">
            <v>2124</v>
          </cell>
          <cell r="AD25">
            <v>0</v>
          </cell>
          <cell r="AG25">
            <v>-884.4</v>
          </cell>
          <cell r="AJ25">
            <v>-469</v>
          </cell>
          <cell r="AK25">
            <v>-469</v>
          </cell>
          <cell r="AL25">
            <v>-469</v>
          </cell>
          <cell r="AP25">
            <v>-1447.1999999999998</v>
          </cell>
          <cell r="AQ25">
            <v>26.29</v>
          </cell>
          <cell r="AS25">
            <v>-600</v>
          </cell>
          <cell r="AT25">
            <v>3704.8100000000004</v>
          </cell>
          <cell r="AU25">
            <v>-2000</v>
          </cell>
          <cell r="AX25">
            <v>476.8</v>
          </cell>
          <cell r="AY25">
            <v>-2000</v>
          </cell>
          <cell r="BA25">
            <v>1021.24</v>
          </cell>
          <cell r="BC25">
            <v>-78.760000000000005</v>
          </cell>
          <cell r="BD25">
            <v>0</v>
          </cell>
          <cell r="BF25">
            <v>-225.69</v>
          </cell>
          <cell r="BG25">
            <v>-585.70000000000005</v>
          </cell>
          <cell r="BH25">
            <v>0</v>
          </cell>
          <cell r="BI25">
            <v>-4040</v>
          </cell>
          <cell r="BJ25">
            <v>0</v>
          </cell>
          <cell r="BK25">
            <v>-600</v>
          </cell>
          <cell r="BL25">
            <v>-315</v>
          </cell>
          <cell r="BM25">
            <v>-1300</v>
          </cell>
          <cell r="BP25">
            <v>0</v>
          </cell>
          <cell r="BR25">
            <v>-315</v>
          </cell>
          <cell r="BU25">
            <v>-885.76</v>
          </cell>
          <cell r="BV25">
            <v>-611.49</v>
          </cell>
          <cell r="BW25">
            <v>-841</v>
          </cell>
          <cell r="BX25">
            <v>-94.47</v>
          </cell>
          <cell r="BY25">
            <v>-910</v>
          </cell>
          <cell r="CK25">
            <v>-315</v>
          </cell>
          <cell r="CL25">
            <v>2642.4666666666672</v>
          </cell>
        </row>
        <row r="26">
          <cell r="A26" t="str">
            <v>Staff</v>
          </cell>
        </row>
        <row r="27">
          <cell r="A27" t="str">
            <v>Others</v>
          </cell>
          <cell r="AG27">
            <v>375</v>
          </cell>
        </row>
        <row r="28">
          <cell r="A28" t="str">
            <v>Pior period taxes</v>
          </cell>
          <cell r="R28">
            <v>-183.91780730675725</v>
          </cell>
          <cell r="W28">
            <v>-112.19395916052184</v>
          </cell>
          <cell r="X28">
            <v>906.86884397416213</v>
          </cell>
          <cell r="Y28">
            <v>-312.19430800645705</v>
          </cell>
          <cell r="Z28">
            <v>-325</v>
          </cell>
          <cell r="AA28">
            <v>0</v>
          </cell>
          <cell r="AB28">
            <v>-135.66466105094267</v>
          </cell>
          <cell r="AC28">
            <v>388.253388037403</v>
          </cell>
          <cell r="AD28">
            <v>0</v>
          </cell>
          <cell r="AS28">
            <v>-183.91780730675725</v>
          </cell>
          <cell r="AT28">
            <v>1232.8305786469073</v>
          </cell>
          <cell r="AU28">
            <v>-460.66466105094264</v>
          </cell>
          <cell r="AX28">
            <v>160.58866669768724</v>
          </cell>
          <cell r="AY28">
            <v>-460.66466105094264</v>
          </cell>
          <cell r="BG28">
            <v>-190.2934215976988</v>
          </cell>
          <cell r="BH28">
            <v>0</v>
          </cell>
          <cell r="BI28">
            <v>-460.66466105094264</v>
          </cell>
          <cell r="BL28">
            <v>-112.19395916052184</v>
          </cell>
          <cell r="BM28">
            <v>-325</v>
          </cell>
          <cell r="BR28">
            <v>-112.19395916052184</v>
          </cell>
          <cell r="CK28">
            <v>-112.19395916052184</v>
          </cell>
          <cell r="CL28">
            <v>879.32004872633979</v>
          </cell>
        </row>
        <row r="29">
          <cell r="A29" t="str">
            <v>Reported PAT</v>
          </cell>
          <cell r="F29">
            <v>3250.6000000000004</v>
          </cell>
          <cell r="G29">
            <v>3230</v>
          </cell>
          <cell r="H29">
            <v>3642.0000000000009</v>
          </cell>
          <cell r="I29" t="e">
            <v>#VALUE!</v>
          </cell>
          <cell r="J29">
            <v>3690.5000000000014</v>
          </cell>
          <cell r="K29">
            <v>4474.2599999999984</v>
          </cell>
          <cell r="L29">
            <v>4766.9399999999996</v>
          </cell>
          <cell r="M29">
            <v>3603.43</v>
          </cell>
          <cell r="N29">
            <v>3773.0800000000008</v>
          </cell>
          <cell r="O29">
            <v>3823.5299999999997</v>
          </cell>
          <cell r="P29">
            <v>3280.0000000000018</v>
          </cell>
          <cell r="Q29">
            <v>4161.9399999999987</v>
          </cell>
          <cell r="R29">
            <v>2499.5399999999991</v>
          </cell>
          <cell r="S29">
            <v>2469.2300000000005</v>
          </cell>
          <cell r="T29">
            <v>2170.6300000000006</v>
          </cell>
          <cell r="U29">
            <v>1836.1700000000008</v>
          </cell>
          <cell r="V29">
            <v>2506.1799999999994</v>
          </cell>
          <cell r="W29">
            <v>2231.1400000000008</v>
          </cell>
          <cell r="X29">
            <v>4826.9099999999989</v>
          </cell>
          <cell r="Y29">
            <v>3070.9599999999982</v>
          </cell>
          <cell r="Z29">
            <v>2801.6599999999989</v>
          </cell>
          <cell r="AA29">
            <v>1985</v>
          </cell>
          <cell r="AB29">
            <v>2009.84</v>
          </cell>
          <cell r="AC29">
            <v>3232.7300000000014</v>
          </cell>
          <cell r="AD29">
            <v>1724.859999999999</v>
          </cell>
          <cell r="AE29">
            <v>1679</v>
          </cell>
          <cell r="AF29">
            <v>1270.2800000000004</v>
          </cell>
          <cell r="AG29">
            <v>1402.7100000000005</v>
          </cell>
          <cell r="AH29">
            <v>1311.94</v>
          </cell>
          <cell r="AI29">
            <v>1210.2500000000005</v>
          </cell>
          <cell r="AJ29">
            <v>1446.4495278079155</v>
          </cell>
          <cell r="AK29">
            <v>1564.2620290874686</v>
          </cell>
          <cell r="AL29">
            <v>2769.8536968762783</v>
          </cell>
          <cell r="AM29">
            <v>8513.4052537716743</v>
          </cell>
          <cell r="AN29">
            <v>0.10252719469481497</v>
          </cell>
          <cell r="AO29">
            <v>-0.13850534377134271</v>
          </cell>
          <cell r="AP29">
            <v>5786.7499999999973</v>
          </cell>
          <cell r="AQ29">
            <v>5802.9199999999964</v>
          </cell>
          <cell r="AS29">
            <v>7139.4</v>
          </cell>
          <cell r="AT29">
            <v>9507.119999999999</v>
          </cell>
          <cell r="AU29">
            <v>6796.4999999999991</v>
          </cell>
          <cell r="AX29">
            <v>9705.8200000000015</v>
          </cell>
          <cell r="AY29">
            <v>8373.6299999999974</v>
          </cell>
          <cell r="BA29">
            <v>2130.1599999999971</v>
          </cell>
          <cell r="BC29">
            <v>13006.769999999999</v>
          </cell>
          <cell r="BD29">
            <v>14588.419999999998</v>
          </cell>
          <cell r="BE29">
            <v>8975.19</v>
          </cell>
          <cell r="BF29">
            <v>8771.5600000000013</v>
          </cell>
          <cell r="BG29">
            <v>12776.430000000002</v>
          </cell>
          <cell r="BH29">
            <v>12776.430000000004</v>
          </cell>
          <cell r="BI29">
            <v>9461.0000000000018</v>
          </cell>
          <cell r="BK29">
            <v>4784.8521926932426</v>
          </cell>
          <cell r="BL29">
            <v>4737.32</v>
          </cell>
          <cell r="BM29">
            <v>4786.659999999998</v>
          </cell>
          <cell r="BP29">
            <v>4814.4399999999978</v>
          </cell>
          <cell r="BR29">
            <v>4918.1500000000005</v>
          </cell>
          <cell r="BU29">
            <v>13044.039999999999</v>
          </cell>
          <cell r="BV29">
            <v>8771.5500000000029</v>
          </cell>
          <cell r="BW29">
            <v>11527.500000000007</v>
          </cell>
          <cell r="BX29">
            <v>9389.7899999999954</v>
          </cell>
          <cell r="BY29">
            <v>5786.9300000000057</v>
          </cell>
          <cell r="CB29">
            <v>2506.1799999999998</v>
          </cell>
          <cell r="CH29">
            <v>3210.3472831967492</v>
          </cell>
          <cell r="CK29">
            <v>2270.14</v>
          </cell>
          <cell r="CL29">
            <v>4628.41</v>
          </cell>
        </row>
        <row r="30">
          <cell r="P30">
            <v>10876.610000000002</v>
          </cell>
          <cell r="AJ30">
            <v>0.19516589779625271</v>
          </cell>
          <cell r="BC30">
            <v>2835</v>
          </cell>
          <cell r="BE30">
            <v>2835</v>
          </cell>
        </row>
        <row r="31">
          <cell r="AG31">
            <v>9148.4400000000023</v>
          </cell>
          <cell r="AS31">
            <v>4124.8500000000004</v>
          </cell>
          <cell r="AT31">
            <v>4936.57</v>
          </cell>
          <cell r="BC31">
            <v>0.21796341443725079</v>
          </cell>
          <cell r="BE31">
            <v>0.31587075036851586</v>
          </cell>
        </row>
        <row r="32">
          <cell r="A32" t="str">
            <v>Operating margins</v>
          </cell>
          <cell r="B32">
            <v>0.49265021584867952</v>
          </cell>
          <cell r="C32">
            <v>0.50290315264232255</v>
          </cell>
          <cell r="D32">
            <v>0.47407566111655236</v>
          </cell>
          <cell r="E32">
            <v>0.43143021785171715</v>
          </cell>
          <cell r="F32">
            <v>0.46947383414973848</v>
          </cell>
          <cell r="G32">
            <v>0.43688524590163935</v>
          </cell>
          <cell r="H32">
            <v>0.42970704775343121</v>
          </cell>
          <cell r="I32" t="e">
            <v>#DIV/0!</v>
          </cell>
          <cell r="J32">
            <v>0.40602979917327647</v>
          </cell>
          <cell r="K32">
            <v>0.38393608405730029</v>
          </cell>
          <cell r="L32">
            <v>0.42367901602754621</v>
          </cell>
          <cell r="M32">
            <v>0.41640915458254713</v>
          </cell>
          <cell r="N32">
            <v>0.38465340078846266</v>
          </cell>
          <cell r="O32">
            <v>0.38550222930643524</v>
          </cell>
          <cell r="P32">
            <v>0.43855584510029699</v>
          </cell>
          <cell r="Q32">
            <v>0.53832257298097608</v>
          </cell>
          <cell r="R32">
            <v>0.40005248872898269</v>
          </cell>
          <cell r="S32">
            <v>0.34555891735880595</v>
          </cell>
          <cell r="T32">
            <v>0.34996022286132955</v>
          </cell>
          <cell r="U32">
            <v>0.27635301801861578</v>
          </cell>
          <cell r="V32">
            <v>0.37189430313391075</v>
          </cell>
          <cell r="W32">
            <v>0.3668681404541746</v>
          </cell>
          <cell r="X32">
            <v>0.33358890378624334</v>
          </cell>
          <cell r="Y32">
            <v>0.40249417155719908</v>
          </cell>
          <cell r="Z32">
            <v>0.40495344861780092</v>
          </cell>
          <cell r="AA32">
            <v>0.22818400524896115</v>
          </cell>
          <cell r="AB32">
            <v>0.27774131307798533</v>
          </cell>
          <cell r="AC32">
            <v>0.18320612389151641</v>
          </cell>
          <cell r="AD32">
            <v>0.18698051190367884</v>
          </cell>
          <cell r="AE32">
            <v>0.19164696611505122</v>
          </cell>
          <cell r="AF32">
            <v>0.19014371787292852</v>
          </cell>
          <cell r="AG32">
            <v>0.28569262896189984</v>
          </cell>
          <cell r="AH32">
            <v>0.22361794695463663</v>
          </cell>
          <cell r="AI32">
            <v>0.15802152708584619</v>
          </cell>
          <cell r="AJ32">
            <v>0.26076976272055608</v>
          </cell>
          <cell r="AK32">
            <v>0.27784704688147122</v>
          </cell>
          <cell r="AL32">
            <v>0.3163560266639911</v>
          </cell>
          <cell r="AM32">
            <v>0.27220910369897555</v>
          </cell>
          <cell r="AP32">
            <v>0.2433021324973825</v>
          </cell>
          <cell r="AT32">
            <v>0.16442995845293379</v>
          </cell>
          <cell r="BC32">
            <v>0.39052226304436854</v>
          </cell>
          <cell r="BD32">
            <v>0.4159619839816967</v>
          </cell>
          <cell r="BE32">
            <v>0.33412987771046831</v>
          </cell>
          <cell r="BF32">
            <v>0.33332868339610749</v>
          </cell>
          <cell r="BG32">
            <v>0.370243925625795</v>
          </cell>
          <cell r="BH32">
            <v>0.35340253464983024</v>
          </cell>
          <cell r="BI32">
            <v>0.32583462105149674</v>
          </cell>
          <cell r="CK32">
            <v>0.36937611291277855</v>
          </cell>
          <cell r="CL32">
            <v>0.33146013962336207</v>
          </cell>
        </row>
        <row r="33">
          <cell r="A33" t="str">
            <v xml:space="preserve">Net margins </v>
          </cell>
          <cell r="B33">
            <v>0.23410799459792808</v>
          </cell>
          <cell r="C33">
            <v>0.28348831934679058</v>
          </cell>
          <cell r="D33">
            <v>0.260574804113614</v>
          </cell>
          <cell r="E33">
            <v>0.22591919055851159</v>
          </cell>
          <cell r="F33">
            <v>0.25723487935932643</v>
          </cell>
          <cell r="G33">
            <v>0.26475409836065572</v>
          </cell>
          <cell r="H33">
            <v>0.2987768361813663</v>
          </cell>
          <cell r="I33" t="e">
            <v>#VALUE!</v>
          </cell>
          <cell r="J33">
            <v>0.26347352414132841</v>
          </cell>
          <cell r="K33">
            <v>0.2941177243947074</v>
          </cell>
          <cell r="L33">
            <v>0.32457772702853416</v>
          </cell>
          <cell r="M33">
            <v>0.30218785248713803</v>
          </cell>
          <cell r="N33">
            <v>0.25232676726977266</v>
          </cell>
          <cell r="O33">
            <v>0.23585556265621799</v>
          </cell>
          <cell r="P33">
            <v>0.26543845827525614</v>
          </cell>
          <cell r="Q33">
            <v>0.30147385317678477</v>
          </cell>
          <cell r="R33">
            <v>0.19520064169434431</v>
          </cell>
          <cell r="S33">
            <v>0.16792445259619396</v>
          </cell>
          <cell r="T33">
            <v>0.14835300775312479</v>
          </cell>
          <cell r="U33">
            <v>0.13536225217215664</v>
          </cell>
          <cell r="V33">
            <v>0.16735871358072504</v>
          </cell>
          <cell r="W33">
            <v>0.15651973426034935</v>
          </cell>
          <cell r="X33">
            <v>0.1965908328390662</v>
          </cell>
          <cell r="Y33">
            <v>0.25600032773223608</v>
          </cell>
          <cell r="Z33">
            <v>0.25917114040764277</v>
          </cell>
          <cell r="AA33">
            <v>0.14471094262593862</v>
          </cell>
          <cell r="AB33">
            <v>0.20405767597381019</v>
          </cell>
          <cell r="AC33">
            <v>0.11126521834739993</v>
          </cell>
          <cell r="AD33">
            <v>0.13644910826236736</v>
          </cell>
          <cell r="AE33">
            <v>0.13230890464933018</v>
          </cell>
          <cell r="AF33">
            <v>9.9461694156151803E-2</v>
          </cell>
          <cell r="AG33">
            <v>0.17335981232258385</v>
          </cell>
          <cell r="AH33">
            <v>0.1026405328163519</v>
          </cell>
          <cell r="AI33">
            <v>9.9167005348995793E-2</v>
          </cell>
          <cell r="AJ33">
            <v>0.15105903081948563</v>
          </cell>
          <cell r="AK33">
            <v>0.15932625411516321</v>
          </cell>
          <cell r="AL33">
            <v>0.2059744999249489</v>
          </cell>
          <cell r="AM33">
            <v>0.15780705368173786</v>
          </cell>
          <cell r="AP33">
            <v>0.13780443293674435</v>
          </cell>
          <cell r="BC33">
            <v>0.21299019942953165</v>
          </cell>
          <cell r="BD33">
            <v>0.2373222594810262</v>
          </cell>
          <cell r="BE33">
            <v>0.15517988122895715</v>
          </cell>
          <cell r="BF33">
            <v>0.15495054705650366</v>
          </cell>
          <cell r="BG33">
            <v>0.21589493886947642</v>
          </cell>
          <cell r="BH33">
            <v>0.20941396876598095</v>
          </cell>
          <cell r="BI33">
            <v>0.23431083729739208</v>
          </cell>
          <cell r="CK33">
            <v>0.15902770671895333</v>
          </cell>
          <cell r="CL33">
            <v>0.18801471314870916</v>
          </cell>
        </row>
        <row r="34">
          <cell r="A34" t="str">
            <v>Staff % of Revenue</v>
          </cell>
          <cell r="F34">
            <v>0</v>
          </cell>
          <cell r="G34">
            <v>0</v>
          </cell>
          <cell r="H34">
            <v>0</v>
          </cell>
          <cell r="I34" t="e">
            <v>#DIV/0!</v>
          </cell>
          <cell r="J34">
            <v>0.19023209657959178</v>
          </cell>
          <cell r="K34">
            <v>0.21785862660131683</v>
          </cell>
          <cell r="L34">
            <v>0.19340023790410163</v>
          </cell>
          <cell r="M34">
            <v>0.16394617109040743</v>
          </cell>
          <cell r="N34">
            <v>0.21345669641513662</v>
          </cell>
          <cell r="O34">
            <v>0.20679685553057986</v>
          </cell>
          <cell r="P34">
            <v>0.19815041512635598</v>
          </cell>
          <cell r="Q34">
            <v>0.25417755921453411</v>
          </cell>
          <cell r="R34">
            <v>0.2202491340029217</v>
          </cell>
          <cell r="S34">
            <v>0.22523447047518397</v>
          </cell>
          <cell r="T34">
            <v>0.25575196561942981</v>
          </cell>
          <cell r="U34">
            <v>0.26968136788732061</v>
          </cell>
          <cell r="V34">
            <v>0.22462988066698275</v>
          </cell>
          <cell r="W34">
            <v>0.22372657698414383</v>
          </cell>
          <cell r="X34">
            <v>0.24881159739396777</v>
          </cell>
          <cell r="Y34">
            <v>0.21458450572125309</v>
          </cell>
          <cell r="Z34">
            <v>0.22476628234698298</v>
          </cell>
          <cell r="AA34">
            <v>0.3586790114456514</v>
          </cell>
          <cell r="AB34">
            <v>0.29527290656951205</v>
          </cell>
          <cell r="AC34">
            <v>0.31606362032942897</v>
          </cell>
          <cell r="AD34">
            <v>0.36270721182180282</v>
          </cell>
          <cell r="AE34">
            <v>0.36572104018912527</v>
          </cell>
          <cell r="AF34">
            <v>0.38122232618593677</v>
          </cell>
          <cell r="AG34">
            <v>0.31653812481760951</v>
          </cell>
          <cell r="AH34">
            <v>0.35125869491913952</v>
          </cell>
          <cell r="AI34">
            <v>0.37658142797210131</v>
          </cell>
          <cell r="AJ34">
            <v>0.34788662051840846</v>
          </cell>
          <cell r="AK34">
            <v>0.32472045920472575</v>
          </cell>
          <cell r="AL34">
            <v>0.2174049569294503</v>
          </cell>
          <cell r="AM34">
            <v>0.30517341577364787</v>
          </cell>
          <cell r="AP34">
            <v>0.33081541012437155</v>
          </cell>
          <cell r="BC34">
            <v>0.22414157927667325</v>
          </cell>
          <cell r="BD34">
            <v>0.22161955252669838</v>
          </cell>
          <cell r="BE34">
            <v>0.25246549244233785</v>
          </cell>
          <cell r="BF34">
            <v>0.24693801633677945</v>
          </cell>
          <cell r="BG34">
            <v>0.22839040557019788</v>
          </cell>
          <cell r="BH34">
            <v>0.23679061274799051</v>
          </cell>
          <cell r="BI34">
            <v>0.26921694756890791</v>
          </cell>
          <cell r="CK34">
            <v>0.22372657698414383</v>
          </cell>
          <cell r="CL34">
            <v>0.25418171247613941</v>
          </cell>
        </row>
        <row r="35">
          <cell r="A35" t="str">
            <v>Admin % of Revenue</v>
          </cell>
          <cell r="F35">
            <v>0</v>
          </cell>
          <cell r="G35">
            <v>0</v>
          </cell>
          <cell r="H35">
            <v>0</v>
          </cell>
          <cell r="I35" t="e">
            <v>#DIV/0!</v>
          </cell>
          <cell r="J35">
            <v>0.14309171777170149</v>
          </cell>
          <cell r="K35">
            <v>0.13007675277140873</v>
          </cell>
          <cell r="L35">
            <v>0.12003330929780161</v>
          </cell>
          <cell r="M35">
            <v>0.17645659893198029</v>
          </cell>
          <cell r="N35">
            <v>0.14145180112551536</v>
          </cell>
          <cell r="O35">
            <v>0.14893913635657061</v>
          </cell>
          <cell r="P35">
            <v>0.1361111447791043</v>
          </cell>
          <cell r="Q35">
            <v>0.14001279217924117</v>
          </cell>
          <cell r="R35">
            <v>0.13633880403359813</v>
          </cell>
          <cell r="S35">
            <v>0.1700653069385307</v>
          </cell>
          <cell r="T35">
            <v>0.1579876868568679</v>
          </cell>
          <cell r="U35">
            <v>0.22018657030002523</v>
          </cell>
          <cell r="V35">
            <v>0.14334386206251795</v>
          </cell>
          <cell r="W35">
            <v>0.1511657891978411</v>
          </cell>
          <cell r="X35">
            <v>0.16228133981826975</v>
          </cell>
          <cell r="Y35">
            <v>0.16102915561272343</v>
          </cell>
          <cell r="Z35">
            <v>0.16801044738324755</v>
          </cell>
          <cell r="AA35">
            <v>0.18473427134213019</v>
          </cell>
          <cell r="AB35">
            <v>0.18549672055515129</v>
          </cell>
          <cell r="AC35">
            <v>0.19633809244555042</v>
          </cell>
          <cell r="AD35">
            <v>0.18645603015572285</v>
          </cell>
          <cell r="AE35">
            <v>0.17691095350669819</v>
          </cell>
          <cell r="AF35">
            <v>0.16808453163476633</v>
          </cell>
          <cell r="AG35">
            <v>0.20586302428967207</v>
          </cell>
          <cell r="AH35">
            <v>0.17136745817715535</v>
          </cell>
          <cell r="AI35">
            <v>0.1906694110860559</v>
          </cell>
          <cell r="AJ35">
            <v>0.15444787343179689</v>
          </cell>
          <cell r="AK35">
            <v>0.16141639479358172</v>
          </cell>
          <cell r="AL35">
            <v>0.24752959900396546</v>
          </cell>
          <cell r="AM35">
            <v>0.18723601560398109</v>
          </cell>
          <cell r="AP35">
            <v>0.18411611008581499</v>
          </cell>
          <cell r="BC35">
            <v>0.11643231369117493</v>
          </cell>
          <cell r="BD35">
            <v>0.15468352276433756</v>
          </cell>
          <cell r="BE35">
            <v>0.12537456345235853</v>
          </cell>
          <cell r="BF35">
            <v>0.17408331654189335</v>
          </cell>
          <cell r="BG35">
            <v>0.1599348635642448</v>
          </cell>
          <cell r="BH35">
            <v>0.16321299319460289</v>
          </cell>
          <cell r="BI35">
            <v>0.17515362777158874</v>
          </cell>
          <cell r="CK35">
            <v>0.14865781673923711</v>
          </cell>
          <cell r="CL35">
            <v>0.15728987103966846</v>
          </cell>
        </row>
        <row r="36">
          <cell r="A36" t="str">
            <v>Cash Flow</v>
          </cell>
          <cell r="B36">
            <v>4692.6999999999989</v>
          </cell>
          <cell r="C36">
            <v>5440.5999999999985</v>
          </cell>
          <cell r="D36">
            <v>5009.8999999999987</v>
          </cell>
          <cell r="E36">
            <v>4662.5999999999995</v>
          </cell>
          <cell r="F36">
            <v>4896.5</v>
          </cell>
          <cell r="G36">
            <v>5180</v>
          </cell>
          <cell r="H36">
            <v>5260.6</v>
          </cell>
          <cell r="I36" t="e">
            <v>#VALUE!</v>
          </cell>
          <cell r="J36">
            <v>5642.9000000000015</v>
          </cell>
          <cell r="K36">
            <v>6407.3399999999983</v>
          </cell>
          <cell r="L36">
            <v>6440.6399999999994</v>
          </cell>
          <cell r="M36">
            <v>5678.3099999999995</v>
          </cell>
          <cell r="N36">
            <v>5634.5300000000007</v>
          </cell>
          <cell r="O36">
            <v>5884.1299999999992</v>
          </cell>
          <cell r="P36">
            <v>6338.1000000000022</v>
          </cell>
          <cell r="Q36">
            <v>6163.7799999999988</v>
          </cell>
          <cell r="R36">
            <v>5094.1321926932414</v>
          </cell>
          <cell r="S36">
            <v>4383.97</v>
          </cell>
          <cell r="T36">
            <v>4419.4900000000007</v>
          </cell>
          <cell r="U36">
            <v>4299.5900000000011</v>
          </cell>
          <cell r="V36">
            <v>4706.49</v>
          </cell>
          <cell r="W36">
            <v>4755.8960408394787</v>
          </cell>
          <cell r="X36">
            <v>4187.28884397416</v>
          </cell>
          <cell r="Y36">
            <v>5259.9156919935413</v>
          </cell>
          <cell r="Z36">
            <v>5194.7799999999988</v>
          </cell>
          <cell r="AA36">
            <v>3439</v>
          </cell>
          <cell r="AB36">
            <v>4039.9253389490573</v>
          </cell>
          <cell r="AC36">
            <v>3039.7233880374047</v>
          </cell>
          <cell r="AD36">
            <v>2831.7299999999991</v>
          </cell>
          <cell r="AE36">
            <v>3436</v>
          </cell>
          <cell r="AF36">
            <v>2778.5700000000006</v>
          </cell>
          <cell r="AG36">
            <v>3494.1800000000003</v>
          </cell>
          <cell r="AH36">
            <v>2746.38</v>
          </cell>
          <cell r="AI36">
            <v>2736.3500000000004</v>
          </cell>
          <cell r="AJ36">
            <v>3606.1076366458183</v>
          </cell>
          <cell r="AK36">
            <v>3766.8343728856139</v>
          </cell>
          <cell r="AL36">
            <v>5043.2928536598811</v>
          </cell>
          <cell r="AM36">
            <v>15437.704863191326</v>
          </cell>
          <cell r="AP36">
            <v>13611.019999999997</v>
          </cell>
          <cell r="BC36">
            <v>21250.09</v>
          </cell>
          <cell r="BD36">
            <v>22470.409999999996</v>
          </cell>
          <cell r="BE36">
            <v>17780.72</v>
          </cell>
          <cell r="BF36">
            <v>17667.670000000002</v>
          </cell>
          <cell r="BG36">
            <v>18443.606578402305</v>
          </cell>
          <cell r="BH36">
            <v>18048.200000000004</v>
          </cell>
          <cell r="BI36">
            <v>18933.335338949058</v>
          </cell>
          <cell r="CK36">
            <v>4794.8960408394787</v>
          </cell>
          <cell r="CL36">
            <v>4071.2700487263401</v>
          </cell>
        </row>
        <row r="37">
          <cell r="A37" t="str">
            <v>PBT % of tax</v>
          </cell>
          <cell r="B37">
            <v>0.33892513887664238</v>
          </cell>
          <cell r="C37">
            <v>0.32153002696003047</v>
          </cell>
          <cell r="D37">
            <v>0.3250485590835217</v>
          </cell>
          <cell r="E37">
            <v>0.35202197990898948</v>
          </cell>
          <cell r="F37">
            <v>0.34326006141910453</v>
          </cell>
          <cell r="G37">
            <v>0.18639798488664988</v>
          </cell>
          <cell r="H37">
            <v>0.12812410226946278</v>
          </cell>
          <cell r="I37" t="e">
            <v>#VALUE!</v>
          </cell>
          <cell r="J37">
            <v>0.11549707602339176</v>
          </cell>
          <cell r="K37">
            <v>4.0910075003590493E-2</v>
          </cell>
          <cell r="L37">
            <v>9.6886521141116344E-2</v>
          </cell>
          <cell r="M37">
            <v>9.084323027060974E-2</v>
          </cell>
          <cell r="N37">
            <v>0.14113105156291256</v>
          </cell>
          <cell r="O37">
            <v>0.24115983447947367</v>
          </cell>
          <cell r="P37">
            <v>0.22467309704154367</v>
          </cell>
          <cell r="Q37">
            <v>0.29189684887853701</v>
          </cell>
          <cell r="R37">
            <v>0.30647134834748424</v>
          </cell>
          <cell r="S37">
            <v>0.32679089930068017</v>
          </cell>
          <cell r="T37">
            <v>0.35759651012749627</v>
          </cell>
          <cell r="U37">
            <v>7.0721844618428953E-2</v>
          </cell>
          <cell r="V37">
            <v>0.32265405405405406</v>
          </cell>
          <cell r="W37">
            <v>0.35982481829577101</v>
          </cell>
          <cell r="X37">
            <v>0.32651083490064559</v>
          </cell>
          <cell r="Y37">
            <v>0.29382939394898733</v>
          </cell>
          <cell r="Z37">
            <v>0.249252066879633</v>
          </cell>
          <cell r="AA37">
            <v>0.28929466523451486</v>
          </cell>
          <cell r="AB37">
            <v>0.19380665864420377</v>
          </cell>
          <cell r="AC37">
            <v>0.18279349719275076</v>
          </cell>
          <cell r="AD37">
            <v>0.19669336810730262</v>
          </cell>
          <cell r="AE37">
            <v>0.27347468628299437</v>
          </cell>
          <cell r="AF37">
            <v>0.21579425001389027</v>
          </cell>
          <cell r="AG37">
            <v>0.25194282723883038</v>
          </cell>
          <cell r="AH37">
            <v>0.33932267405262495</v>
          </cell>
          <cell r="AI37">
            <v>0.34185840371093418</v>
          </cell>
          <cell r="AJ37">
            <v>0.34</v>
          </cell>
          <cell r="AK37">
            <v>0.34</v>
          </cell>
          <cell r="AL37">
            <v>0.22505472920676756</v>
          </cell>
          <cell r="AM37">
            <v>0.29999999999999982</v>
          </cell>
          <cell r="AP37">
            <v>0.24381611036137985</v>
          </cell>
          <cell r="BC37">
            <v>0.27396028221466157</v>
          </cell>
          <cell r="BD37">
            <v>0.26537861521712203</v>
          </cell>
          <cell r="BE37">
            <v>0.28916987094449303</v>
          </cell>
          <cell r="BF37">
            <v>0.28579480010827485</v>
          </cell>
          <cell r="BG37">
            <v>0.32490479366584002</v>
          </cell>
          <cell r="BH37">
            <v>0.32490496888305537</v>
          </cell>
          <cell r="BI37">
            <v>0.19697423862620497</v>
          </cell>
          <cell r="CK37">
            <v>0.35617129892229143</v>
          </cell>
          <cell r="CL37">
            <v>0.33276485937117067</v>
          </cell>
        </row>
        <row r="38">
          <cell r="A38" t="str">
            <v>License fee % of net revenue</v>
          </cell>
          <cell r="E38">
            <v>0</v>
          </cell>
          <cell r="F38">
            <v>0</v>
          </cell>
          <cell r="G38">
            <v>0</v>
          </cell>
          <cell r="H38">
            <v>0</v>
          </cell>
          <cell r="I38" t="e">
            <v>#DIV/0!</v>
          </cell>
          <cell r="J38">
            <v>8.0527736344910852E-2</v>
          </cell>
          <cell r="K38">
            <v>7.5622633238157794E-2</v>
          </cell>
          <cell r="L38">
            <v>7.6916058705357893E-2</v>
          </cell>
          <cell r="M38">
            <v>8.0548614199373064E-2</v>
          </cell>
          <cell r="N38">
            <v>0.13960546636427645</v>
          </cell>
          <cell r="O38">
            <v>0.13933375352748212</v>
          </cell>
          <cell r="P38">
            <v>9.7885748201220021E-2</v>
          </cell>
          <cell r="Q38">
            <v>0.12373975261987155</v>
          </cell>
          <cell r="R38">
            <v>0.12322672339289897</v>
          </cell>
          <cell r="S38">
            <v>0.12776728910154481</v>
          </cell>
          <cell r="T38">
            <v>0.1239079318858408</v>
          </cell>
          <cell r="U38">
            <v>9.8592428775855334E-2</v>
          </cell>
          <cell r="V38">
            <v>0.14738897999419764</v>
          </cell>
          <cell r="W38">
            <v>0.12258380565015414</v>
          </cell>
          <cell r="X38">
            <v>0.12440911756162322</v>
          </cell>
          <cell r="Y38">
            <v>0.12308435699778783</v>
          </cell>
          <cell r="Z38">
            <v>0.1040440864773209</v>
          </cell>
          <cell r="AA38">
            <v>0.10426540284360189</v>
          </cell>
          <cell r="AB38">
            <v>0.10435747935829838</v>
          </cell>
          <cell r="AC38">
            <v>0.12927982702525681</v>
          </cell>
          <cell r="AD38">
            <v>0.11268912395320406</v>
          </cell>
          <cell r="AE38">
            <v>0.11560364464692482</v>
          </cell>
          <cell r="AF38">
            <v>0.10274006441621616</v>
          </cell>
          <cell r="AG38">
            <v>8.2242205429900087E-2</v>
          </cell>
          <cell r="AH38">
            <v>0.10386052467659851</v>
          </cell>
          <cell r="AI38">
            <v>0.11029022261490848</v>
          </cell>
          <cell r="AJ38">
            <v>0.11439296517176079</v>
          </cell>
          <cell r="AK38">
            <v>0.10218556601367537</v>
          </cell>
          <cell r="AL38">
            <v>9.1992825544179771E-2</v>
          </cell>
          <cell r="AM38">
            <v>0.10247492953102073</v>
          </cell>
          <cell r="AP38">
            <v>0.10098831981565759</v>
          </cell>
          <cell r="BC38">
            <v>0.12887312429974279</v>
          </cell>
          <cell r="BD38">
            <v>0.12474895597134787</v>
          </cell>
          <cell r="BE38">
            <v>0.12534431048692002</v>
          </cell>
          <cell r="BF38">
            <v>0.11725499458682959</v>
          </cell>
          <cell r="BG38">
            <v>0.12828801828084765</v>
          </cell>
          <cell r="BH38">
            <v>0.12905371184177541</v>
          </cell>
          <cell r="BI38">
            <v>0.10429204279505182</v>
          </cell>
          <cell r="CK38">
            <v>0.12258380565015414</v>
          </cell>
          <cell r="CL38">
            <v>0.1246162160741195</v>
          </cell>
        </row>
        <row r="39">
          <cell r="A39" t="str">
            <v>Network % of Revenue</v>
          </cell>
          <cell r="F39">
            <v>0</v>
          </cell>
          <cell r="G39">
            <v>0</v>
          </cell>
          <cell r="H39">
            <v>0</v>
          </cell>
          <cell r="I39" t="e">
            <v>#DIV/0!</v>
          </cell>
          <cell r="J39">
            <v>0.19589351114791784</v>
          </cell>
          <cell r="K39">
            <v>0.20825466985001789</v>
          </cell>
          <cell r="L39">
            <v>0.20146746113291103</v>
          </cell>
          <cell r="M39">
            <v>0.1768875045569388</v>
          </cell>
          <cell r="N39">
            <v>0.14043863667521558</v>
          </cell>
          <cell r="O39">
            <v>0.13876229696286299</v>
          </cell>
          <cell r="P39">
            <v>0.14332646506272348</v>
          </cell>
          <cell r="Q39">
            <v>-6.419631286801962E-2</v>
          </cell>
          <cell r="R39">
            <v>0.13701700661599003</v>
          </cell>
          <cell r="S39">
            <v>0.15061807988215781</v>
          </cell>
          <cell r="T39">
            <v>0.12828810677222871</v>
          </cell>
          <cell r="U39">
            <v>0.14997279736023814</v>
          </cell>
          <cell r="V39">
            <v>0.13223260255494193</v>
          </cell>
          <cell r="W39">
            <v>0.15460814216474034</v>
          </cell>
          <cell r="X39">
            <v>0.14950937026129787</v>
          </cell>
          <cell r="Y39">
            <v>0.11267652812391137</v>
          </cell>
          <cell r="Z39">
            <v>0.10963233089053237</v>
          </cell>
          <cell r="AA39">
            <v>0.138587154625647</v>
          </cell>
          <cell r="AB39">
            <v>0.153109725452519</v>
          </cell>
          <cell r="AC39">
            <v>0.20111206992022559</v>
          </cell>
          <cell r="AD39">
            <v>0.18147226693985075</v>
          </cell>
          <cell r="AE39">
            <v>0.16973995271867612</v>
          </cell>
          <cell r="AF39">
            <v>0.17587920025368886</v>
          </cell>
          <cell r="AG39">
            <v>0.11949123957295052</v>
          </cell>
          <cell r="AH39">
            <v>0.16726790795414451</v>
          </cell>
          <cell r="AI39">
            <v>0.18482140516020767</v>
          </cell>
          <cell r="AJ39">
            <v>0.13832633813849152</v>
          </cell>
          <cell r="AK39">
            <v>0.14906257689836205</v>
          </cell>
          <cell r="AL39">
            <v>0.13955461523126855</v>
          </cell>
          <cell r="AM39">
            <v>0.14808113975348666</v>
          </cell>
          <cell r="AP39">
            <v>0.15659198938094637</v>
          </cell>
          <cell r="BC39">
            <v>0.16074664161345789</v>
          </cell>
          <cell r="BD39">
            <v>9.4813922613502022E-2</v>
          </cell>
          <cell r="BE39">
            <v>0.18599976866152015</v>
          </cell>
          <cell r="BF39">
            <v>0.14544969198471375</v>
          </cell>
          <cell r="BG39">
            <v>0.12979377286495417</v>
          </cell>
          <cell r="BH39">
            <v>0.13495682703276818</v>
          </cell>
          <cell r="BI39">
            <v>0.1401157149531031</v>
          </cell>
          <cell r="CK39">
            <v>0.15460814216474034</v>
          </cell>
          <cell r="CL39">
            <v>0.15130741877887632</v>
          </cell>
        </row>
        <row r="40">
          <cell r="A40" t="str">
            <v>Future Estimates</v>
          </cell>
        </row>
        <row r="41">
          <cell r="A41" t="str">
            <v>Net Sales</v>
          </cell>
          <cell r="B41">
            <v>0.24414690859190363</v>
          </cell>
          <cell r="C41">
            <v>0.25209651597163985</v>
          </cell>
          <cell r="D41">
            <v>0.24908134481969962</v>
          </cell>
          <cell r="E41">
            <v>0.25467523061675684</v>
          </cell>
          <cell r="F41">
            <v>0.3412889181773005</v>
          </cell>
          <cell r="G41">
            <v>0.32949463085798242</v>
          </cell>
          <cell r="H41">
            <v>0.32921645096471708</v>
          </cell>
          <cell r="I41">
            <v>0</v>
          </cell>
          <cell r="J41">
            <v>0.24436765109705585</v>
          </cell>
          <cell r="K41">
            <v>0.26539669203196525</v>
          </cell>
          <cell r="L41">
            <v>0.2562220231829222</v>
          </cell>
          <cell r="M41">
            <v>0.23401363368805675</v>
          </cell>
          <cell r="N41">
            <v>0.24325622677961789</v>
          </cell>
          <cell r="O41">
            <v>0.2637240002485734</v>
          </cell>
          <cell r="P41">
            <v>0.26843648315508606</v>
          </cell>
          <cell r="Q41">
            <v>0.22458328981672268</v>
          </cell>
          <cell r="R41">
            <v>0.25825085632410766</v>
          </cell>
          <cell r="S41">
            <v>0.25423735846727363</v>
          </cell>
          <cell r="T41">
            <v>0.2529770997381795</v>
          </cell>
          <cell r="U41">
            <v>0.23453468547043926</v>
          </cell>
          <cell r="V41">
            <v>0.25825085632410766</v>
          </cell>
          <cell r="W41">
            <v>0.25423735846727363</v>
          </cell>
          <cell r="X41">
            <v>0.2529770997381795</v>
          </cell>
          <cell r="Y41">
            <v>0.23453468547043921</v>
          </cell>
          <cell r="Z41">
            <v>0.26056986419926381</v>
          </cell>
          <cell r="AA41">
            <v>0.24527996552454812</v>
          </cell>
          <cell r="AB41">
            <v>0.22557352542788098</v>
          </cell>
          <cell r="AC41">
            <v>0.26857664484830707</v>
          </cell>
          <cell r="AD41">
            <v>0.22731674334672725</v>
          </cell>
          <cell r="AE41">
            <v>0.22819698308842767</v>
          </cell>
          <cell r="AF41">
            <v>0.22966344991040255</v>
          </cell>
          <cell r="AG41">
            <v>0.31482282365444247</v>
          </cell>
          <cell r="AH41">
            <v>1</v>
          </cell>
          <cell r="AJ41">
            <v>0.22819698308842767</v>
          </cell>
          <cell r="AK41">
            <v>0.22966344991040255</v>
          </cell>
          <cell r="AL41">
            <v>0.31482282365444247</v>
          </cell>
          <cell r="AM41" t="e">
            <v>#REF!</v>
          </cell>
          <cell r="AP41">
            <v>1</v>
          </cell>
          <cell r="CH41">
            <v>0.2529770997381795</v>
          </cell>
          <cell r="CK41">
            <v>0.25423735846727363</v>
          </cell>
          <cell r="CL41">
            <v>0.2529770997381795</v>
          </cell>
        </row>
        <row r="42">
          <cell r="A42" t="str">
            <v>Operating Profit</v>
          </cell>
          <cell r="F42">
            <v>-0.39687032362385483</v>
          </cell>
          <cell r="G42">
            <v>-0.35655847771889998</v>
          </cell>
          <cell r="H42">
            <v>-0.35040399742806727</v>
          </cell>
          <cell r="I42">
            <v>2.1038327987708221</v>
          </cell>
          <cell r="J42">
            <v>0.24371493327653956</v>
          </cell>
          <cell r="K42">
            <v>0.25028507615100698</v>
          </cell>
          <cell r="L42">
            <v>0.26664529756122229</v>
          </cell>
          <cell r="M42">
            <v>0.23935469301123122</v>
          </cell>
          <cell r="N42">
            <v>0.21566802651708317</v>
          </cell>
          <cell r="O42">
            <v>0.23433047364789875</v>
          </cell>
          <cell r="P42">
            <v>0.27134302726700066</v>
          </cell>
          <cell r="Q42">
            <v>0.27865847256801751</v>
          </cell>
          <cell r="R42">
            <v>0.2998828653131772</v>
          </cell>
          <cell r="S42">
            <v>0.2550083359346535</v>
          </cell>
          <cell r="T42">
            <v>0.25697613844978723</v>
          </cell>
          <cell r="U42">
            <v>0.18813266030238218</v>
          </cell>
          <cell r="V42">
            <v>0.26988286531317718</v>
          </cell>
          <cell r="W42">
            <v>0.24</v>
          </cell>
          <cell r="X42">
            <v>1.24</v>
          </cell>
          <cell r="Y42">
            <v>-0.74988286531317716</v>
          </cell>
          <cell r="Z42">
            <v>0.4378357402757746</v>
          </cell>
          <cell r="AA42">
            <v>0.23223581506609459</v>
          </cell>
          <cell r="AB42">
            <v>0.25996239708911345</v>
          </cell>
          <cell r="AC42">
            <v>0.13592643652806888</v>
          </cell>
          <cell r="AD42">
            <v>0.29091546868846008</v>
          </cell>
          <cell r="AE42">
            <v>0.29933044505710926</v>
          </cell>
          <cell r="AF42">
            <v>0.29889104962583712</v>
          </cell>
          <cell r="AG42">
            <v>0.11086303662859354</v>
          </cell>
          <cell r="AH42">
            <v>0.35179450571091003</v>
          </cell>
          <cell r="AJ42">
            <v>0.29933044505710926</v>
          </cell>
          <cell r="AK42">
            <v>0.29889104962583712</v>
          </cell>
          <cell r="AL42">
            <v>0.11086303662859354</v>
          </cell>
          <cell r="AM42" t="e">
            <v>#REF!</v>
          </cell>
          <cell r="AP42">
            <v>1</v>
          </cell>
          <cell r="CH42">
            <v>0.25697613844978723</v>
          </cell>
          <cell r="CK42">
            <v>0.24</v>
          </cell>
          <cell r="CL42">
            <v>1.24</v>
          </cell>
        </row>
        <row r="43">
          <cell r="A43" t="str">
            <v>Other Income</v>
          </cell>
          <cell r="F43">
            <v>0.18662899211811171</v>
          </cell>
          <cell r="G43">
            <v>0.17454908704633368</v>
          </cell>
          <cell r="H43">
            <v>0.15629069841720133</v>
          </cell>
          <cell r="I43">
            <v>0.48253122241835333</v>
          </cell>
          <cell r="J43">
            <v>0.18575240793885267</v>
          </cell>
          <cell r="K43">
            <v>0.31195134615152409</v>
          </cell>
          <cell r="L43">
            <v>0.30077802687875582</v>
          </cell>
          <cell r="M43">
            <v>0.20151821903086753</v>
          </cell>
          <cell r="N43">
            <v>0.23666451712518505</v>
          </cell>
          <cell r="O43">
            <v>0.38658595289779385</v>
          </cell>
          <cell r="P43">
            <v>0.16882680447952333</v>
          </cell>
          <cell r="Q43">
            <v>0.20792272549749777</v>
          </cell>
          <cell r="R43">
            <v>0.17469963060552959</v>
          </cell>
          <cell r="S43">
            <v>0.24176636955416317</v>
          </cell>
          <cell r="T43">
            <v>0.24134612556050045</v>
          </cell>
          <cell r="U43">
            <v>0.3421878742798069</v>
          </cell>
          <cell r="V43">
            <v>0.17469963060552959</v>
          </cell>
          <cell r="W43">
            <v>0.24176636955416317</v>
          </cell>
          <cell r="X43">
            <v>0.24134612556050045</v>
          </cell>
          <cell r="Y43">
            <v>0.34218787427980668</v>
          </cell>
          <cell r="Z43">
            <v>0.13381043606294665</v>
          </cell>
          <cell r="AA43">
            <v>0.24302547395051635</v>
          </cell>
          <cell r="AB43">
            <v>0.25310645532602016</v>
          </cell>
          <cell r="AC43">
            <v>0.37005763466051689</v>
          </cell>
          <cell r="AD43">
            <v>0.2631520358934592</v>
          </cell>
          <cell r="AE43">
            <v>0.29225698237590397</v>
          </cell>
          <cell r="AF43">
            <v>0.16012248756162584</v>
          </cell>
          <cell r="AG43">
            <v>0.28446849416901093</v>
          </cell>
          <cell r="AH43">
            <v>0.15792442826874056</v>
          </cell>
          <cell r="AJ43">
            <v>0.29225698237590397</v>
          </cell>
          <cell r="AK43">
            <v>0.16012248756162584</v>
          </cell>
          <cell r="AL43">
            <v>0.28446849416901093</v>
          </cell>
          <cell r="AM43" t="e">
            <v>#REF!</v>
          </cell>
          <cell r="AP43">
            <v>1</v>
          </cell>
          <cell r="CH43">
            <v>0.24134612556050045</v>
          </cell>
          <cell r="CK43">
            <v>0.24176636955416317</v>
          </cell>
          <cell r="CL43">
            <v>0.24134612556050045</v>
          </cell>
        </row>
        <row r="44">
          <cell r="A44" t="str">
            <v>Net Profit</v>
          </cell>
          <cell r="B44">
            <v>0.22765505200030356</v>
          </cell>
          <cell r="C44">
            <v>0.28465042131632878</v>
          </cell>
          <cell r="D44">
            <v>0.25851362635694214</v>
          </cell>
          <cell r="E44">
            <v>0.22916571775601605</v>
          </cell>
          <cell r="F44" t="e">
            <v>#VALUE!</v>
          </cell>
          <cell r="G44" t="e">
            <v>#VALUE!</v>
          </cell>
          <cell r="H44" t="e">
            <v>#VALUE!</v>
          </cell>
          <cell r="I44" t="e">
            <v>#VALUE!</v>
          </cell>
          <cell r="J44">
            <v>0.21727828989239417</v>
          </cell>
          <cell r="K44">
            <v>0.26342218163770298</v>
          </cell>
          <cell r="L44">
            <v>0.28065372475806777</v>
          </cell>
          <cell r="M44">
            <v>0.23864580371183497</v>
          </cell>
          <cell r="N44">
            <v>0.2337929987514368</v>
          </cell>
          <cell r="O44">
            <v>0.23691905406619551</v>
          </cell>
          <cell r="P44">
            <v>0.27139984695031472</v>
          </cell>
          <cell r="Q44">
            <v>0.25788810023205294</v>
          </cell>
          <cell r="R44">
            <v>0.3104482718133037</v>
          </cell>
          <cell r="S44">
            <v>0.26291753030644327</v>
          </cell>
          <cell r="T44">
            <v>0.23112333756234738</v>
          </cell>
          <cell r="U44">
            <v>0.19551086031790563</v>
          </cell>
          <cell r="V44">
            <v>0.2504482718133037</v>
          </cell>
          <cell r="W44">
            <v>0.25</v>
          </cell>
          <cell r="X44">
            <v>1.25</v>
          </cell>
          <cell r="Y44">
            <v>-0.75044827181330365</v>
          </cell>
          <cell r="Z44">
            <v>0.29837302005689159</v>
          </cell>
          <cell r="AA44">
            <v>0.21139982896316115</v>
          </cell>
          <cell r="AB44">
            <v>0.21404525553819637</v>
          </cell>
          <cell r="AC44">
            <v>0.27618189544175087</v>
          </cell>
          <cell r="AD44">
            <v>0.2972400102017605</v>
          </cell>
          <cell r="AE44">
            <v>0.28933709236039806</v>
          </cell>
          <cell r="AF44">
            <v>0.21890358647026001</v>
          </cell>
          <cell r="AG44">
            <v>0.19451931096758146</v>
          </cell>
          <cell r="AH44">
            <v>0.22608273076313321</v>
          </cell>
          <cell r="AJ44">
            <v>0.28933709236039806</v>
          </cell>
          <cell r="AK44">
            <v>0.21890358647026001</v>
          </cell>
          <cell r="AL44">
            <v>0.19451931096758146</v>
          </cell>
          <cell r="AM44" t="e">
            <v>#REF!</v>
          </cell>
          <cell r="AP44">
            <v>1</v>
          </cell>
          <cell r="CH44">
            <v>0.23112333756234738</v>
          </cell>
          <cell r="CK44">
            <v>0.25</v>
          </cell>
          <cell r="CL44">
            <v>1.25</v>
          </cell>
        </row>
        <row r="45">
          <cell r="A45" t="str">
            <v>Other Income</v>
          </cell>
          <cell r="AD45">
            <v>0.2631520358934592</v>
          </cell>
          <cell r="AE45">
            <v>0.29225698237590397</v>
          </cell>
          <cell r="AF45">
            <v>0.16012248756162584</v>
          </cell>
          <cell r="AG45">
            <v>0.28446849416901093</v>
          </cell>
          <cell r="AH45">
            <v>0.15792442826874056</v>
          </cell>
          <cell r="AJ45">
            <v>0.29225698237590397</v>
          </cell>
          <cell r="AK45">
            <v>0.16012248756162584</v>
          </cell>
          <cell r="AL45">
            <v>0.28446849416901093</v>
          </cell>
          <cell r="AM45" t="e">
            <v>#REF!</v>
          </cell>
          <cell r="AP45">
            <v>1</v>
          </cell>
          <cell r="BD45">
            <v>0.56000000000000005</v>
          </cell>
          <cell r="BE45">
            <v>0.62</v>
          </cell>
        </row>
        <row r="46">
          <cell r="A46" t="str">
            <v>Depreciation</v>
          </cell>
          <cell r="AD46">
            <v>0.23746132281014817</v>
          </cell>
          <cell r="AE46">
            <v>0.24416304957947979</v>
          </cell>
          <cell r="AF46">
            <v>0.25036067784239652</v>
          </cell>
          <cell r="AG46">
            <v>0.26801494976797546</v>
          </cell>
          <cell r="AH46">
            <v>0.26219771485652527</v>
          </cell>
          <cell r="AJ46">
            <v>0.24416304957947979</v>
          </cell>
          <cell r="AK46">
            <v>0.25036067784239652</v>
          </cell>
          <cell r="AL46">
            <v>0.26801494976797546</v>
          </cell>
          <cell r="AM46" t="e">
            <v>#REF!</v>
          </cell>
          <cell r="AP46">
            <v>1</v>
          </cell>
          <cell r="BD46">
            <v>0.32999999999999996</v>
          </cell>
          <cell r="BE46">
            <v>0.28000000000000003</v>
          </cell>
        </row>
        <row r="47">
          <cell r="A47" t="str">
            <v>Tax % of PBT</v>
          </cell>
          <cell r="Z47">
            <v>0.249252066879633</v>
          </cell>
          <cell r="AA47">
            <v>0.28929466523451486</v>
          </cell>
          <cell r="AB47">
            <v>0.19380665864420377</v>
          </cell>
          <cell r="AC47">
            <v>0.18279349719275076</v>
          </cell>
          <cell r="AD47">
            <v>0.19669336810730262</v>
          </cell>
          <cell r="AE47">
            <v>0.27347468628299437</v>
          </cell>
          <cell r="AF47">
            <v>0.21579425001389027</v>
          </cell>
          <cell r="AG47">
            <v>0.25194282723883038</v>
          </cell>
          <cell r="AH47">
            <v>0.33932267405262495</v>
          </cell>
          <cell r="AJ47">
            <v>0.3</v>
          </cell>
          <cell r="AK47">
            <v>0.3</v>
          </cell>
          <cell r="AL47">
            <v>0.3</v>
          </cell>
          <cell r="AM47">
            <v>0.29999999999999982</v>
          </cell>
          <cell r="BD47">
            <v>0.11</v>
          </cell>
          <cell r="BE47">
            <v>9.9999999999999978E-2</v>
          </cell>
        </row>
        <row r="49">
          <cell r="AD49">
            <v>5859</v>
          </cell>
        </row>
        <row r="50">
          <cell r="A50" t="str">
            <v>telephones</v>
          </cell>
          <cell r="V50">
            <v>14288</v>
          </cell>
          <cell r="W50">
            <v>14727</v>
          </cell>
          <cell r="X50">
            <v>14315</v>
          </cell>
          <cell r="Y50">
            <v>14727</v>
          </cell>
          <cell r="Z50">
            <v>13222</v>
          </cell>
          <cell r="AA50">
            <v>12339</v>
          </cell>
          <cell r="AB50">
            <v>10841</v>
          </cell>
          <cell r="AC50">
            <v>12941</v>
          </cell>
          <cell r="AD50">
            <v>10259</v>
          </cell>
          <cell r="AE50">
            <v>10337</v>
          </cell>
          <cell r="AF50">
            <v>11140</v>
          </cell>
          <cell r="AG50">
            <v>12028</v>
          </cell>
          <cell r="AP50">
            <v>43788</v>
          </cell>
          <cell r="AR50">
            <v>0</v>
          </cell>
          <cell r="CK50">
            <v>14727</v>
          </cell>
          <cell r="CL50">
            <v>14196</v>
          </cell>
        </row>
        <row r="51">
          <cell r="A51" t="str">
            <v>telex</v>
          </cell>
          <cell r="V51">
            <v>13.97</v>
          </cell>
          <cell r="W51">
            <v>9</v>
          </cell>
          <cell r="X51">
            <v>14</v>
          </cell>
          <cell r="Y51">
            <v>10</v>
          </cell>
          <cell r="Z51">
            <v>6</v>
          </cell>
          <cell r="AA51">
            <v>2</v>
          </cell>
          <cell r="AC51">
            <v>2</v>
          </cell>
          <cell r="AD51">
            <v>1</v>
          </cell>
          <cell r="AG51">
            <v>1</v>
          </cell>
          <cell r="AP51">
            <v>1</v>
          </cell>
          <cell r="CK51">
            <v>9</v>
          </cell>
          <cell r="CL51">
            <v>14</v>
          </cell>
        </row>
        <row r="52">
          <cell r="A52" t="str">
            <v>ckt</v>
          </cell>
          <cell r="V52">
            <v>271.73</v>
          </cell>
          <cell r="W52">
            <v>376</v>
          </cell>
          <cell r="X52">
            <v>362</v>
          </cell>
          <cell r="Y52">
            <v>65</v>
          </cell>
          <cell r="Z52">
            <v>399</v>
          </cell>
          <cell r="AA52">
            <v>290</v>
          </cell>
          <cell r="AC52">
            <v>570</v>
          </cell>
          <cell r="AD52">
            <v>346</v>
          </cell>
          <cell r="AG52">
            <v>153</v>
          </cell>
          <cell r="AP52">
            <v>653</v>
          </cell>
          <cell r="CK52">
            <v>376</v>
          </cell>
          <cell r="CL52">
            <v>362</v>
          </cell>
        </row>
        <row r="53">
          <cell r="A53" t="str">
            <v>wll</v>
          </cell>
          <cell r="V53">
            <v>70.67</v>
          </cell>
          <cell r="W53">
            <v>88</v>
          </cell>
          <cell r="X53">
            <v>116</v>
          </cell>
          <cell r="Y53">
            <v>150</v>
          </cell>
          <cell r="Z53">
            <v>153</v>
          </cell>
          <cell r="AA53">
            <v>175</v>
          </cell>
          <cell r="AB53">
            <v>296</v>
          </cell>
          <cell r="AC53">
            <v>365</v>
          </cell>
          <cell r="AD53">
            <v>273</v>
          </cell>
          <cell r="AE53">
            <v>214</v>
          </cell>
          <cell r="AF53">
            <v>112</v>
          </cell>
          <cell r="AG53">
            <v>149</v>
          </cell>
          <cell r="AH53">
            <v>236</v>
          </cell>
          <cell r="AI53">
            <v>175</v>
          </cell>
          <cell r="AP53">
            <v>745</v>
          </cell>
          <cell r="BI53">
            <v>1018.14</v>
          </cell>
          <cell r="CK53">
            <v>88</v>
          </cell>
          <cell r="CL53">
            <v>116</v>
          </cell>
        </row>
        <row r="54">
          <cell r="A54" t="str">
            <v>cell</v>
          </cell>
          <cell r="V54">
            <v>117.01999999999998</v>
          </cell>
          <cell r="W54">
            <v>476</v>
          </cell>
          <cell r="X54">
            <v>440</v>
          </cell>
          <cell r="Y54">
            <v>570</v>
          </cell>
          <cell r="Z54">
            <v>525</v>
          </cell>
          <cell r="AA54">
            <v>653</v>
          </cell>
          <cell r="AB54">
            <v>682</v>
          </cell>
          <cell r="AC54">
            <v>899</v>
          </cell>
          <cell r="AD54">
            <v>1230</v>
          </cell>
          <cell r="AE54">
            <v>1364</v>
          </cell>
          <cell r="AF54">
            <v>1465</v>
          </cell>
          <cell r="AG54">
            <v>1566</v>
          </cell>
          <cell r="AH54">
            <v>1795</v>
          </cell>
          <cell r="AI54">
            <v>1872</v>
          </cell>
          <cell r="AP54">
            <v>5610</v>
          </cell>
          <cell r="BI54">
            <v>2840.02</v>
          </cell>
          <cell r="CK54">
            <v>476</v>
          </cell>
          <cell r="CL54">
            <v>440</v>
          </cell>
        </row>
        <row r="55">
          <cell r="A55" t="str">
            <v>VAS</v>
          </cell>
          <cell r="V55">
            <v>60.4</v>
          </cell>
          <cell r="W55">
            <v>-125</v>
          </cell>
          <cell r="X55">
            <v>152</v>
          </cell>
          <cell r="Y55">
            <v>270</v>
          </cell>
          <cell r="Z55">
            <v>266</v>
          </cell>
          <cell r="AA55">
            <v>144</v>
          </cell>
          <cell r="AB55">
            <v>221</v>
          </cell>
          <cell r="AC55">
            <v>177</v>
          </cell>
          <cell r="AD55">
            <v>181</v>
          </cell>
          <cell r="AG55">
            <v>524</v>
          </cell>
          <cell r="AP55">
            <v>1536</v>
          </cell>
          <cell r="CK55">
            <v>-125</v>
          </cell>
          <cell r="CL55">
            <v>170</v>
          </cell>
        </row>
        <row r="56">
          <cell r="A56" t="str">
            <v>othres</v>
          </cell>
          <cell r="X56">
            <v>-58</v>
          </cell>
          <cell r="AA56">
            <v>122</v>
          </cell>
          <cell r="AB56">
            <v>614</v>
          </cell>
          <cell r="AD56">
            <v>211</v>
          </cell>
          <cell r="AE56">
            <v>854</v>
          </cell>
          <cell r="AF56">
            <v>55</v>
          </cell>
          <cell r="AG56">
            <v>32</v>
          </cell>
          <cell r="AH56">
            <v>743</v>
          </cell>
          <cell r="AI56">
            <v>873</v>
          </cell>
          <cell r="AP56">
            <v>162</v>
          </cell>
          <cell r="CL56">
            <v>-58</v>
          </cell>
        </row>
        <row r="57">
          <cell r="V57">
            <v>14821.789999999999</v>
          </cell>
          <cell r="W57">
            <v>15551</v>
          </cell>
          <cell r="X57">
            <v>15399</v>
          </cell>
          <cell r="Y57">
            <v>14926.8</v>
          </cell>
          <cell r="Z57">
            <v>14571</v>
          </cell>
          <cell r="AA57">
            <v>13725</v>
          </cell>
          <cell r="AB57">
            <v>12654</v>
          </cell>
          <cell r="AC57">
            <v>14954</v>
          </cell>
          <cell r="AD57">
            <v>12501</v>
          </cell>
          <cell r="AE57">
            <v>12769</v>
          </cell>
          <cell r="AF57">
            <v>12772</v>
          </cell>
          <cell r="AG57">
            <v>14453</v>
          </cell>
          <cell r="AP57">
            <v>52495</v>
          </cell>
          <cell r="CK57">
            <v>15551</v>
          </cell>
          <cell r="CL57">
            <v>15240</v>
          </cell>
        </row>
        <row r="58">
          <cell r="A58" t="str">
            <v>cell% of total</v>
          </cell>
          <cell r="V58">
            <v>1.2663112889873625E-2</v>
          </cell>
          <cell r="W58">
            <v>3.6267764130924057E-2</v>
          </cell>
          <cell r="X58">
            <v>3.6106240664978244E-2</v>
          </cell>
          <cell r="Y58">
            <v>4.8235388696840582E-2</v>
          </cell>
          <cell r="Z58">
            <v>4.653078031706815E-2</v>
          </cell>
          <cell r="AA58">
            <v>6.032786885245902E-2</v>
          </cell>
          <cell r="AB58">
            <v>7.7287814129919391E-2</v>
          </cell>
          <cell r="AC58">
            <v>8.4525879363381032E-2</v>
          </cell>
          <cell r="AD58">
            <v>0.12023038156947444</v>
          </cell>
          <cell r="AE58">
            <v>0.123580546636385</v>
          </cell>
          <cell r="AF58">
            <v>0.12347322267460069</v>
          </cell>
          <cell r="AG58">
            <v>0.11866048571230886</v>
          </cell>
          <cell r="AP58">
            <v>0.12105914849033242</v>
          </cell>
        </row>
        <row r="59">
          <cell r="A59" t="str">
            <v>Rental</v>
          </cell>
          <cell r="V59">
            <v>3018</v>
          </cell>
          <cell r="W59">
            <v>2986</v>
          </cell>
          <cell r="X59">
            <v>2920</v>
          </cell>
          <cell r="Y59">
            <v>3180</v>
          </cell>
          <cell r="Z59">
            <v>2657</v>
          </cell>
          <cell r="AA59">
            <v>2862</v>
          </cell>
          <cell r="AB59">
            <v>2743</v>
          </cell>
          <cell r="AC59">
            <v>2848</v>
          </cell>
          <cell r="AD59">
            <v>2658</v>
          </cell>
          <cell r="AE59">
            <v>2670</v>
          </cell>
          <cell r="AF59">
            <v>3371</v>
          </cell>
          <cell r="AG59">
            <v>2827</v>
          </cell>
          <cell r="AH59">
            <v>2903</v>
          </cell>
          <cell r="AI59">
            <v>2714</v>
          </cell>
          <cell r="AP59">
            <v>11538</v>
          </cell>
          <cell r="BI59">
            <v>11308</v>
          </cell>
          <cell r="CK59">
            <v>2986</v>
          </cell>
          <cell r="CL59">
            <v>2978</v>
          </cell>
        </row>
        <row r="60">
          <cell r="A60" t="str">
            <v>call cahrges</v>
          </cell>
          <cell r="V60">
            <v>5425.8</v>
          </cell>
          <cell r="W60">
            <v>6303</v>
          </cell>
          <cell r="X60">
            <v>5671</v>
          </cell>
          <cell r="Y60">
            <v>5380</v>
          </cell>
          <cell r="Z60">
            <v>5579</v>
          </cell>
          <cell r="AA60">
            <v>5461</v>
          </cell>
          <cell r="AB60">
            <v>6969</v>
          </cell>
          <cell r="AC60">
            <v>6442</v>
          </cell>
          <cell r="AD60">
            <v>6894</v>
          </cell>
          <cell r="AE60">
            <v>6549</v>
          </cell>
          <cell r="AF60">
            <v>6773</v>
          </cell>
          <cell r="AG60">
            <v>7827</v>
          </cell>
          <cell r="AH60">
            <v>6100</v>
          </cell>
          <cell r="AI60">
            <v>5962</v>
          </cell>
          <cell r="AP60">
            <v>17052</v>
          </cell>
          <cell r="BI60">
            <v>19396</v>
          </cell>
          <cell r="CK60">
            <v>6303</v>
          </cell>
          <cell r="CL60">
            <v>5691</v>
          </cell>
        </row>
        <row r="61">
          <cell r="A61" t="str">
            <v>Franchise</v>
          </cell>
          <cell r="V61">
            <v>2568.8000000000002</v>
          </cell>
          <cell r="W61">
            <v>2482</v>
          </cell>
          <cell r="X61">
            <v>2737</v>
          </cell>
          <cell r="Y61">
            <v>2850</v>
          </cell>
          <cell r="Z61">
            <v>2673</v>
          </cell>
          <cell r="AA61">
            <v>2712</v>
          </cell>
          <cell r="AP61">
            <v>8877</v>
          </cell>
          <cell r="CK61">
            <v>2482</v>
          </cell>
          <cell r="CL61">
            <v>2737</v>
          </cell>
        </row>
        <row r="62">
          <cell r="A62" t="str">
            <v>Rent and Jn charges</v>
          </cell>
          <cell r="V62">
            <v>334.6</v>
          </cell>
          <cell r="W62">
            <v>352.03</v>
          </cell>
          <cell r="X62">
            <v>331</v>
          </cell>
          <cell r="Y62">
            <v>160</v>
          </cell>
          <cell r="Z62">
            <v>236</v>
          </cell>
          <cell r="AA62">
            <v>256</v>
          </cell>
          <cell r="AP62">
            <v>2268</v>
          </cell>
          <cell r="CK62">
            <v>352.03</v>
          </cell>
          <cell r="CL62">
            <v>193</v>
          </cell>
        </row>
        <row r="63">
          <cell r="A63" t="str">
            <v>Access Call</v>
          </cell>
          <cell r="V63">
            <v>2940.8</v>
          </cell>
          <cell r="W63">
            <v>2603</v>
          </cell>
          <cell r="X63">
            <v>2656</v>
          </cell>
          <cell r="Y63">
            <v>2270</v>
          </cell>
          <cell r="Z63">
            <v>2078</v>
          </cell>
          <cell r="AA63">
            <v>1048</v>
          </cell>
          <cell r="AB63">
            <v>1129</v>
          </cell>
          <cell r="AC63">
            <v>3651</v>
          </cell>
          <cell r="AD63">
            <v>707</v>
          </cell>
          <cell r="AE63">
            <v>1118</v>
          </cell>
          <cell r="AF63">
            <v>996</v>
          </cell>
          <cell r="AG63">
            <v>1374</v>
          </cell>
          <cell r="AH63">
            <v>947</v>
          </cell>
          <cell r="AI63">
            <v>608</v>
          </cell>
          <cell r="AP63">
            <v>4053</v>
          </cell>
          <cell r="BI63">
            <v>7345</v>
          </cell>
          <cell r="CK63">
            <v>2603</v>
          </cell>
          <cell r="CL63">
            <v>2597</v>
          </cell>
        </row>
        <row r="64">
          <cell r="A64" t="str">
            <v>Mobile</v>
          </cell>
          <cell r="V64">
            <v>672.2</v>
          </cell>
          <cell r="W64">
            <v>273</v>
          </cell>
          <cell r="AG64">
            <v>13192.85</v>
          </cell>
          <cell r="AP64">
            <v>52494.32</v>
          </cell>
          <cell r="CK64">
            <v>273</v>
          </cell>
        </row>
        <row r="65">
          <cell r="A65" t="str">
            <v>Basic</v>
          </cell>
          <cell r="V65">
            <v>2201</v>
          </cell>
          <cell r="W65">
            <v>2184</v>
          </cell>
          <cell r="AG65">
            <v>-1260.1499999999996</v>
          </cell>
          <cell r="AP65">
            <v>-0.68000000000029104</v>
          </cell>
          <cell r="CK65">
            <v>2184</v>
          </cell>
        </row>
        <row r="66">
          <cell r="A66" t="str">
            <v>Dolphin</v>
          </cell>
          <cell r="V66">
            <v>67.5</v>
          </cell>
          <cell r="W66">
            <v>147</v>
          </cell>
          <cell r="CK66">
            <v>147</v>
          </cell>
        </row>
        <row r="67">
          <cell r="A67" t="str">
            <v>Incoming call</v>
          </cell>
        </row>
        <row r="68">
          <cell r="V68">
            <v>14288</v>
          </cell>
          <cell r="W68">
            <v>14726.029999999999</v>
          </cell>
          <cell r="Y68">
            <v>13840</v>
          </cell>
          <cell r="Z68">
            <v>13223</v>
          </cell>
          <cell r="CK68">
            <v>14726.03</v>
          </cell>
        </row>
        <row r="69">
          <cell r="A69" t="str">
            <v>vcc</v>
          </cell>
          <cell r="AA69">
            <v>194</v>
          </cell>
          <cell r="AB69">
            <v>205</v>
          </cell>
          <cell r="AC69">
            <v>175</v>
          </cell>
          <cell r="AD69">
            <v>171</v>
          </cell>
        </row>
        <row r="70">
          <cell r="A70" t="str">
            <v>internet</v>
          </cell>
          <cell r="X70">
            <v>41</v>
          </cell>
          <cell r="AA70">
            <v>46</v>
          </cell>
          <cell r="AB70">
            <v>45</v>
          </cell>
          <cell r="AC70">
            <v>51</v>
          </cell>
          <cell r="AD70">
            <v>41</v>
          </cell>
        </row>
        <row r="71">
          <cell r="A71" t="str">
            <v>Wirelien Revenues</v>
          </cell>
          <cell r="V71">
            <v>14288</v>
          </cell>
          <cell r="W71">
            <v>14727</v>
          </cell>
          <cell r="X71">
            <v>14315</v>
          </cell>
          <cell r="Y71">
            <v>14727</v>
          </cell>
          <cell r="Z71">
            <v>13222</v>
          </cell>
          <cell r="AA71">
            <v>12339</v>
          </cell>
          <cell r="AB71">
            <v>10841</v>
          </cell>
          <cell r="AC71">
            <v>12941</v>
          </cell>
          <cell r="AD71">
            <v>10259</v>
          </cell>
          <cell r="AE71">
            <v>10337</v>
          </cell>
          <cell r="AF71">
            <v>11140</v>
          </cell>
        </row>
        <row r="72">
          <cell r="A72" t="str">
            <v>Wierless reveneus</v>
          </cell>
          <cell r="V72">
            <v>187.69</v>
          </cell>
          <cell r="W72">
            <v>564</v>
          </cell>
          <cell r="X72">
            <v>556</v>
          </cell>
          <cell r="Y72">
            <v>720</v>
          </cell>
          <cell r="Z72">
            <v>678</v>
          </cell>
          <cell r="AA72">
            <v>828</v>
          </cell>
          <cell r="AB72">
            <v>978</v>
          </cell>
          <cell r="AC72">
            <v>1264</v>
          </cell>
          <cell r="AD72">
            <v>1503</v>
          </cell>
          <cell r="AE72">
            <v>1578</v>
          </cell>
        </row>
        <row r="74">
          <cell r="V74">
            <v>0.92306749969374002</v>
          </cell>
          <cell r="W74">
            <v>0.92277877131125907</v>
          </cell>
          <cell r="X74">
            <v>0.91485128205128219</v>
          </cell>
          <cell r="Y74">
            <v>0.90385644318228586</v>
          </cell>
          <cell r="Z74">
            <v>0.88811629991254226</v>
          </cell>
          <cell r="AA74">
            <v>0.87764144512610776</v>
          </cell>
          <cell r="AB74">
            <v>0.84018772384833895</v>
          </cell>
          <cell r="AC74">
            <v>0.78835449330919094</v>
          </cell>
          <cell r="AD74">
            <v>0.7540588581287816</v>
          </cell>
          <cell r="AE74">
            <v>0.71951460010631629</v>
          </cell>
          <cell r="AF74">
            <v>0.68999268874226038</v>
          </cell>
          <cell r="AG74">
            <v>0.65451179421878369</v>
          </cell>
          <cell r="AJ74">
            <v>0.5926624649513017</v>
          </cell>
          <cell r="AK74">
            <v>0.55878041442649917</v>
          </cell>
          <cell r="AL74">
            <v>0.52676756637724975</v>
          </cell>
          <cell r="AM74">
            <v>0.52676756637724975</v>
          </cell>
        </row>
        <row r="75">
          <cell r="A75" t="str">
            <v>Subscribers (000)</v>
          </cell>
          <cell r="V75">
            <v>7.6932500306259949E-2</v>
          </cell>
          <cell r="W75">
            <v>7.7221228688740887E-2</v>
          </cell>
          <cell r="X75">
            <v>8.5148717948717964E-2</v>
          </cell>
          <cell r="Y75">
            <v>9.6143556817714124E-2</v>
          </cell>
          <cell r="Z75">
            <v>0.11188370008745779</v>
          </cell>
          <cell r="AA75">
            <v>0.1223585548738923</v>
          </cell>
          <cell r="AB75">
            <v>0.15981227615166113</v>
          </cell>
          <cell r="AC75">
            <v>0.21164550669080912</v>
          </cell>
          <cell r="AD75">
            <v>0.24594114187121829</v>
          </cell>
          <cell r="AE75">
            <v>0.28048539989368371</v>
          </cell>
          <cell r="AF75">
            <v>0.31000731125773967</v>
          </cell>
          <cell r="AG75">
            <v>0.34548820578121636</v>
          </cell>
          <cell r="AJ75">
            <v>0.40733753504869835</v>
          </cell>
          <cell r="AK75">
            <v>0.44121958557350088</v>
          </cell>
          <cell r="AL75">
            <v>0.4732324336227503</v>
          </cell>
          <cell r="AM75">
            <v>0.4732324336227503</v>
          </cell>
        </row>
        <row r="76">
          <cell r="A76" t="str">
            <v>Wireless</v>
          </cell>
          <cell r="W76">
            <v>377.78099999999995</v>
          </cell>
          <cell r="X76">
            <v>415.09999999999997</v>
          </cell>
          <cell r="Y76">
            <v>467.2</v>
          </cell>
          <cell r="Z76">
            <v>537.173</v>
          </cell>
          <cell r="AA76">
            <v>574.4</v>
          </cell>
          <cell r="AB76">
            <v>776.40000000000009</v>
          </cell>
          <cell r="AC76">
            <v>1077.933</v>
          </cell>
          <cell r="AD76">
            <v>1292.4480000000001</v>
          </cell>
          <cell r="AE76">
            <v>1494.8130000000001</v>
          </cell>
          <cell r="AF76">
            <v>1707.9270000000001</v>
          </cell>
          <cell r="AG76">
            <v>2046.82</v>
          </cell>
          <cell r="AH76">
            <v>2308.1509999999998</v>
          </cell>
          <cell r="AI76">
            <v>2435.61</v>
          </cell>
          <cell r="AJ76">
            <v>2585.1688113583405</v>
          </cell>
          <cell r="AK76">
            <v>2975.8091693833476</v>
          </cell>
          <cell r="AL76">
            <v>3480.0720740750207</v>
          </cell>
          <cell r="AM76">
            <v>3480.0720740750207</v>
          </cell>
          <cell r="AP76">
            <v>2046.82</v>
          </cell>
        </row>
        <row r="77">
          <cell r="A77" t="str">
            <v>GSM</v>
          </cell>
          <cell r="V77">
            <v>290.8</v>
          </cell>
          <cell r="W77">
            <v>300.23399999999998</v>
          </cell>
          <cell r="X77">
            <v>324.89999999999998</v>
          </cell>
          <cell r="Y77">
            <v>360.5</v>
          </cell>
          <cell r="Z77">
            <v>416.87299999999999</v>
          </cell>
          <cell r="AA77">
            <v>440.5</v>
          </cell>
          <cell r="AB77">
            <v>594.70000000000005</v>
          </cell>
          <cell r="AC77">
            <v>881.7</v>
          </cell>
          <cell r="AD77">
            <v>1112.98</v>
          </cell>
          <cell r="AE77">
            <v>1282.808</v>
          </cell>
          <cell r="AF77">
            <v>1526.422</v>
          </cell>
          <cell r="AG77">
            <v>1941.155</v>
          </cell>
          <cell r="AH77">
            <v>2169.6610000000001</v>
          </cell>
          <cell r="AI77">
            <v>2290.2550000000001</v>
          </cell>
          <cell r="AJ77">
            <v>2439.8138113583404</v>
          </cell>
          <cell r="AK77">
            <v>2709.9666227166808</v>
          </cell>
          <cell r="AL77">
            <v>2980.1194340750208</v>
          </cell>
          <cell r="AM77">
            <v>2980.1194340750208</v>
          </cell>
          <cell r="AP77">
            <v>1941.155</v>
          </cell>
          <cell r="BB77">
            <v>311</v>
          </cell>
          <cell r="BI77">
            <v>881696</v>
          </cell>
          <cell r="CH77">
            <v>594.70000000000005</v>
          </cell>
          <cell r="CK77">
            <v>300.23399999999998</v>
          </cell>
          <cell r="CL77">
            <v>324.89999999999998</v>
          </cell>
        </row>
        <row r="78">
          <cell r="A78" t="str">
            <v>CDMA</v>
          </cell>
          <cell r="V78">
            <v>86</v>
          </cell>
          <cell r="W78">
            <v>77.546999999999997</v>
          </cell>
          <cell r="X78">
            <v>90.2</v>
          </cell>
          <cell r="Y78">
            <v>106.69999999999999</v>
          </cell>
          <cell r="Z78">
            <v>120.3</v>
          </cell>
          <cell r="AA78">
            <v>133.9</v>
          </cell>
          <cell r="AB78">
            <v>181.7</v>
          </cell>
          <cell r="AC78">
            <v>196.233</v>
          </cell>
          <cell r="AD78">
            <v>179.46799999999999</v>
          </cell>
          <cell r="AE78">
            <v>212.005</v>
          </cell>
          <cell r="AF78">
            <v>181.505</v>
          </cell>
          <cell r="AG78">
            <v>105.66500000000001</v>
          </cell>
          <cell r="AH78">
            <v>138.49</v>
          </cell>
          <cell r="AI78">
            <v>145.35499999999999</v>
          </cell>
          <cell r="AJ78">
            <v>145.35499999999999</v>
          </cell>
          <cell r="AK78">
            <v>265.84254666666664</v>
          </cell>
          <cell r="AL78">
            <v>499.95263999999997</v>
          </cell>
          <cell r="AM78">
            <v>499.95263999999997</v>
          </cell>
          <cell r="AP78">
            <v>105.66500000000001</v>
          </cell>
          <cell r="BB78">
            <v>77.5</v>
          </cell>
          <cell r="BI78">
            <v>256614</v>
          </cell>
          <cell r="CH78">
            <v>181.7</v>
          </cell>
          <cell r="CK78">
            <v>77.546999999999997</v>
          </cell>
          <cell r="CL78">
            <v>90.2</v>
          </cell>
        </row>
        <row r="79">
          <cell r="A79" t="str">
            <v>Delhi</v>
          </cell>
          <cell r="X79">
            <v>54.5</v>
          </cell>
          <cell r="Y79">
            <v>65.599999999999994</v>
          </cell>
          <cell r="Z79">
            <v>81</v>
          </cell>
          <cell r="AA79">
            <v>91</v>
          </cell>
          <cell r="AB79">
            <v>119.4</v>
          </cell>
          <cell r="AC79">
            <v>135.4</v>
          </cell>
          <cell r="AD79">
            <v>124.96299999999999</v>
          </cell>
          <cell r="CH79">
            <v>119.4</v>
          </cell>
          <cell r="CL79">
            <v>54.5</v>
          </cell>
        </row>
        <row r="80">
          <cell r="A80" t="str">
            <v>Mumbai</v>
          </cell>
          <cell r="X80">
            <v>35.700000000000003</v>
          </cell>
          <cell r="Y80">
            <v>41.1</v>
          </cell>
          <cell r="Z80">
            <v>39.299999999999997</v>
          </cell>
          <cell r="AA80">
            <v>42.9</v>
          </cell>
          <cell r="AB80">
            <v>62.3</v>
          </cell>
          <cell r="AC80">
            <v>60.832999999999998</v>
          </cell>
          <cell r="AD80">
            <v>54.505000000000003</v>
          </cell>
          <cell r="CH80">
            <v>62.3</v>
          </cell>
          <cell r="CL80">
            <v>35.700000000000003</v>
          </cell>
        </row>
        <row r="81">
          <cell r="A81" t="str">
            <v>Wireline</v>
          </cell>
          <cell r="V81">
            <v>4521</v>
          </cell>
          <cell r="W81">
            <v>4514.41</v>
          </cell>
          <cell r="X81">
            <v>4459.8999999999996</v>
          </cell>
          <cell r="Y81">
            <v>4392.2</v>
          </cell>
          <cell r="Z81">
            <v>4264</v>
          </cell>
          <cell r="AA81">
            <v>4120</v>
          </cell>
          <cell r="AB81">
            <v>4081.8</v>
          </cell>
          <cell r="AC81">
            <v>4015.1729999999998</v>
          </cell>
          <cell r="AD81">
            <v>3962.663</v>
          </cell>
          <cell r="AE81">
            <v>3834.5659999999998</v>
          </cell>
          <cell r="AF81">
            <v>3801.3850000000002</v>
          </cell>
          <cell r="AG81">
            <v>3877.6080000000002</v>
          </cell>
          <cell r="AH81">
            <v>3851.665</v>
          </cell>
          <cell r="AI81">
            <v>3761.3339999999998</v>
          </cell>
          <cell r="AJ81">
            <v>3761.3339999999998</v>
          </cell>
          <cell r="AK81">
            <v>3768.699158630619</v>
          </cell>
          <cell r="AL81">
            <v>3873.7604758918569</v>
          </cell>
          <cell r="AM81">
            <v>3873.7604758918569</v>
          </cell>
          <cell r="AP81">
            <v>3877.6080000000002</v>
          </cell>
          <cell r="BB81">
            <v>4509</v>
          </cell>
          <cell r="BI81">
            <v>4015173</v>
          </cell>
          <cell r="CH81">
            <v>4081.8</v>
          </cell>
          <cell r="CK81">
            <v>4514.41</v>
          </cell>
          <cell r="CL81">
            <v>4459.8999999999996</v>
          </cell>
        </row>
        <row r="82">
          <cell r="A82" t="str">
            <v>Total</v>
          </cell>
          <cell r="V82">
            <v>4897.8</v>
          </cell>
          <cell r="W82">
            <v>4892.1909999999998</v>
          </cell>
          <cell r="X82">
            <v>4874.9999999999991</v>
          </cell>
          <cell r="Y82">
            <v>4859.3999999999996</v>
          </cell>
          <cell r="Z82">
            <v>4801.1729999999998</v>
          </cell>
          <cell r="AA82">
            <v>4694.3999999999996</v>
          </cell>
          <cell r="AB82">
            <v>4858.2</v>
          </cell>
          <cell r="AC82">
            <v>5093.1059999999998</v>
          </cell>
          <cell r="AD82">
            <v>5255.1110000000008</v>
          </cell>
          <cell r="AE82">
            <v>5329.3789999999999</v>
          </cell>
          <cell r="AF82">
            <v>5509.3119999999999</v>
          </cell>
          <cell r="AG82">
            <v>5924.4279999999999</v>
          </cell>
          <cell r="AJ82">
            <v>6346.5028113583403</v>
          </cell>
          <cell r="AK82">
            <v>6744.5083280139661</v>
          </cell>
          <cell r="AL82">
            <v>7353.8325499668772</v>
          </cell>
          <cell r="AM82">
            <v>7353.8325499668772</v>
          </cell>
          <cell r="BB82">
            <v>4897.5</v>
          </cell>
          <cell r="CH82">
            <v>4858.2</v>
          </cell>
          <cell r="CK82">
            <v>4892.1909999999998</v>
          </cell>
          <cell r="CL82">
            <v>4875</v>
          </cell>
        </row>
        <row r="83">
          <cell r="A83" t="str">
            <v>Broadband</v>
          </cell>
          <cell r="X83">
            <v>4459.8999999999996</v>
          </cell>
          <cell r="Y83">
            <v>4392.2</v>
          </cell>
          <cell r="AC83">
            <v>5374</v>
          </cell>
          <cell r="AD83">
            <v>43070</v>
          </cell>
          <cell r="AE83">
            <v>82534</v>
          </cell>
          <cell r="AF83">
            <v>144983</v>
          </cell>
          <cell r="AG83">
            <v>211935</v>
          </cell>
          <cell r="AH83">
            <v>266632</v>
          </cell>
          <cell r="AI83">
            <v>323329</v>
          </cell>
          <cell r="AK83">
            <v>6.2712572338787131E-2</v>
          </cell>
          <cell r="AL83">
            <v>9.0343757071516206E-2</v>
          </cell>
          <cell r="BB83">
            <v>-4897.5</v>
          </cell>
          <cell r="CL83">
            <v>4459.8999999999996</v>
          </cell>
        </row>
        <row r="84">
          <cell r="A84" t="str">
            <v>Delhi</v>
          </cell>
          <cell r="X84">
            <v>2099.5</v>
          </cell>
          <cell r="Y84">
            <v>1962.1000000000001</v>
          </cell>
          <cell r="AC84">
            <v>234.90599999999995</v>
          </cell>
          <cell r="AD84">
            <v>162.00500000000102</v>
          </cell>
          <cell r="AE84">
            <v>74.26799999999912</v>
          </cell>
          <cell r="AF84">
            <v>179.93299999999999</v>
          </cell>
          <cell r="AG84">
            <v>415.11599999999999</v>
          </cell>
          <cell r="AK84">
            <v>398.0055166556258</v>
          </cell>
          <cell r="AL84">
            <v>609.3242219529111</v>
          </cell>
          <cell r="CL84">
            <v>2099.5</v>
          </cell>
        </row>
        <row r="85">
          <cell r="A85" t="str">
            <v>Mumbai</v>
          </cell>
          <cell r="X85">
            <v>2360.4</v>
          </cell>
          <cell r="Y85">
            <v>2430.1</v>
          </cell>
          <cell r="CL85">
            <v>2360.4</v>
          </cell>
        </row>
        <row r="86">
          <cell r="A86" t="str">
            <v>Extra-ordinaries</v>
          </cell>
          <cell r="R86">
            <v>-600</v>
          </cell>
          <cell r="W86">
            <v>-315</v>
          </cell>
          <cell r="X86">
            <v>2733.8066666666673</v>
          </cell>
          <cell r="Y86">
            <v>-1062.5</v>
          </cell>
          <cell r="Z86">
            <v>-1300</v>
          </cell>
          <cell r="AA86">
            <v>-2040</v>
          </cell>
          <cell r="AB86">
            <v>-700</v>
          </cell>
          <cell r="AC86">
            <v>2124</v>
          </cell>
          <cell r="AG86">
            <v>-1320</v>
          </cell>
          <cell r="AP86">
            <v>-2160</v>
          </cell>
          <cell r="AT86">
            <v>3704.8100000000004</v>
          </cell>
          <cell r="AU86">
            <v>-4040</v>
          </cell>
          <cell r="AX86">
            <v>476.8</v>
          </cell>
          <cell r="AY86">
            <v>-4040</v>
          </cell>
          <cell r="BG86">
            <v>-585.70000000000005</v>
          </cell>
          <cell r="BI86">
            <v>-4040</v>
          </cell>
          <cell r="CK86">
            <v>-315</v>
          </cell>
          <cell r="CL86">
            <v>2642.4666666666672</v>
          </cell>
        </row>
        <row r="87">
          <cell r="A87" t="str">
            <v>Tax on extra-ordinary</v>
          </cell>
          <cell r="AG87">
            <v>-435.6</v>
          </cell>
          <cell r="AP87">
            <v>-712.80000000000007</v>
          </cell>
        </row>
        <row r="88">
          <cell r="A88" t="str">
            <v>Losses</v>
          </cell>
        </row>
        <row r="89">
          <cell r="A89" t="str">
            <v>Network related</v>
          </cell>
          <cell r="W89">
            <v>-240</v>
          </cell>
          <cell r="AA89">
            <v>-540</v>
          </cell>
          <cell r="AG89">
            <v>4100</v>
          </cell>
          <cell r="AP89">
            <v>4100</v>
          </cell>
          <cell r="AU89">
            <v>-540</v>
          </cell>
          <cell r="AX89">
            <v>-240</v>
          </cell>
          <cell r="AY89">
            <v>-540</v>
          </cell>
          <cell r="BG89">
            <v>-240</v>
          </cell>
          <cell r="BI89">
            <v>-540</v>
          </cell>
          <cell r="CK89">
            <v>-240</v>
          </cell>
        </row>
        <row r="90">
          <cell r="A90" t="str">
            <v xml:space="preserve">Pension liability </v>
          </cell>
          <cell r="R90">
            <v>-600</v>
          </cell>
          <cell r="W90">
            <v>-400</v>
          </cell>
          <cell r="Z90">
            <v>-700</v>
          </cell>
          <cell r="AA90">
            <v>-1500</v>
          </cell>
          <cell r="AB90">
            <v>-400</v>
          </cell>
          <cell r="AU90">
            <v>-2600</v>
          </cell>
          <cell r="AX90">
            <v>-400</v>
          </cell>
          <cell r="AY90">
            <v>-2600</v>
          </cell>
          <cell r="BG90">
            <v>-400</v>
          </cell>
          <cell r="BI90">
            <v>-2600</v>
          </cell>
          <cell r="CK90">
            <v>-400</v>
          </cell>
        </row>
        <row r="91">
          <cell r="A91" t="str">
            <v>Doubtful debt</v>
          </cell>
          <cell r="W91">
            <v>-200</v>
          </cell>
          <cell r="AB91">
            <v>-300</v>
          </cell>
          <cell r="AU91">
            <v>-300</v>
          </cell>
          <cell r="AX91">
            <v>-200</v>
          </cell>
          <cell r="AY91">
            <v>-300</v>
          </cell>
          <cell r="BG91">
            <v>-200</v>
          </cell>
          <cell r="BI91">
            <v>-300</v>
          </cell>
          <cell r="CK91">
            <v>-200</v>
          </cell>
        </row>
        <row r="92">
          <cell r="A92" t="str">
            <v>Medical Reinmbursement</v>
          </cell>
          <cell r="W92">
            <v>-100</v>
          </cell>
          <cell r="AU92">
            <v>0</v>
          </cell>
          <cell r="AX92">
            <v>-100</v>
          </cell>
          <cell r="AY92">
            <v>0</v>
          </cell>
          <cell r="BG92">
            <v>-100</v>
          </cell>
          <cell r="BI92">
            <v>0</v>
          </cell>
          <cell r="CK92">
            <v>-100</v>
          </cell>
        </row>
        <row r="93">
          <cell r="A93" t="str">
            <v>Decomissioning</v>
          </cell>
          <cell r="W93">
            <v>-75</v>
          </cell>
          <cell r="AU93">
            <v>0</v>
          </cell>
          <cell r="AX93">
            <v>-75</v>
          </cell>
          <cell r="AY93">
            <v>0</v>
          </cell>
          <cell r="BG93">
            <v>-75</v>
          </cell>
          <cell r="BI93">
            <v>0</v>
          </cell>
          <cell r="CK93">
            <v>-75</v>
          </cell>
        </row>
        <row r="94">
          <cell r="A94" t="str">
            <v>Staff Cost Provision</v>
          </cell>
          <cell r="Y94">
            <v>-1462.5</v>
          </cell>
          <cell r="Z94">
            <v>-600</v>
          </cell>
          <cell r="AU94">
            <v>-600</v>
          </cell>
          <cell r="AX94">
            <v>0</v>
          </cell>
          <cell r="AY94">
            <v>-600</v>
          </cell>
          <cell r="BG94">
            <v>-1462.5</v>
          </cell>
          <cell r="BI94">
            <v>-600</v>
          </cell>
        </row>
        <row r="95">
          <cell r="A95" t="str">
            <v>Gain</v>
          </cell>
          <cell r="BI95">
            <v>0</v>
          </cell>
        </row>
        <row r="96">
          <cell r="A96" t="str">
            <v>Staff write back</v>
          </cell>
          <cell r="W96">
            <v>700</v>
          </cell>
          <cell r="X96">
            <v>350</v>
          </cell>
          <cell r="Y96">
            <v>400</v>
          </cell>
          <cell r="AG96">
            <v>1000</v>
          </cell>
          <cell r="AP96">
            <v>1890</v>
          </cell>
          <cell r="AT96">
            <v>350</v>
          </cell>
          <cell r="AU96">
            <v>0</v>
          </cell>
          <cell r="AX96">
            <v>1050</v>
          </cell>
          <cell r="AY96">
            <v>0</v>
          </cell>
          <cell r="BG96">
            <v>1450</v>
          </cell>
          <cell r="BI96">
            <v>0</v>
          </cell>
          <cell r="CK96">
            <v>700</v>
          </cell>
          <cell r="CL96">
            <v>350</v>
          </cell>
        </row>
        <row r="97">
          <cell r="A97" t="str">
            <v>Depreciation write back</v>
          </cell>
          <cell r="X97">
            <v>1942.0066666666669</v>
          </cell>
          <cell r="AT97">
            <v>2913.01</v>
          </cell>
          <cell r="AU97">
            <v>0</v>
          </cell>
          <cell r="AY97">
            <v>0</v>
          </cell>
          <cell r="BI97">
            <v>0</v>
          </cell>
          <cell r="CL97">
            <v>1850.6666666666667</v>
          </cell>
        </row>
        <row r="98">
          <cell r="A98" t="str">
            <v>Unlinked credit written back</v>
          </cell>
          <cell r="X98">
            <v>441.8</v>
          </cell>
          <cell r="AT98">
            <v>441.8</v>
          </cell>
          <cell r="AU98">
            <v>0</v>
          </cell>
          <cell r="AX98">
            <v>441.8</v>
          </cell>
          <cell r="AY98">
            <v>0</v>
          </cell>
          <cell r="BG98">
            <v>441.8</v>
          </cell>
          <cell r="BI98">
            <v>0</v>
          </cell>
          <cell r="CL98">
            <v>441.8</v>
          </cell>
        </row>
        <row r="99">
          <cell r="A99" t="str">
            <v>ADC from RELI</v>
          </cell>
          <cell r="AC99">
            <v>2360</v>
          </cell>
        </row>
        <row r="100">
          <cell r="A100" t="str">
            <v>Bad Debt collected</v>
          </cell>
          <cell r="AG100">
            <v>660</v>
          </cell>
        </row>
        <row r="101">
          <cell r="A101" t="str">
            <v>Life time cellular services</v>
          </cell>
          <cell r="AG101">
            <v>600</v>
          </cell>
        </row>
        <row r="102">
          <cell r="A102" t="str">
            <v>Other Income</v>
          </cell>
          <cell r="AG102">
            <v>520</v>
          </cell>
          <cell r="AP102">
            <v>1940</v>
          </cell>
        </row>
        <row r="103">
          <cell r="A103" t="str">
            <v>ARPU Rs/month</v>
          </cell>
          <cell r="AE103">
            <v>-4.1916167664670656E-2</v>
          </cell>
          <cell r="AF103">
            <v>-0.16562500000000002</v>
          </cell>
          <cell r="AG103">
            <v>7.4906367041198463E-2</v>
          </cell>
        </row>
        <row r="104">
          <cell r="A104" t="str">
            <v>Wireless</v>
          </cell>
          <cell r="W104">
            <v>497.64281422305515</v>
          </cell>
          <cell r="X104">
            <v>467.49344058776376</v>
          </cell>
          <cell r="Y104">
            <v>544.0326419585175</v>
          </cell>
          <cell r="Z104">
            <v>312</v>
          </cell>
          <cell r="AA104">
            <v>434</v>
          </cell>
          <cell r="AB104">
            <v>368</v>
          </cell>
          <cell r="AC104">
            <v>398</v>
          </cell>
          <cell r="AD104">
            <v>334</v>
          </cell>
          <cell r="AE104">
            <v>320</v>
          </cell>
          <cell r="AF104">
            <v>267</v>
          </cell>
          <cell r="AG104">
            <v>287</v>
          </cell>
          <cell r="AH104">
            <v>241.11531190926274</v>
          </cell>
          <cell r="AI104">
            <v>250.05929907368395</v>
          </cell>
          <cell r="AM104">
            <v>262.45571375800517</v>
          </cell>
          <cell r="AP104">
            <v>302</v>
          </cell>
          <cell r="BI104">
            <v>398</v>
          </cell>
        </row>
        <row r="105">
          <cell r="A105" t="str">
            <v>Wireline</v>
          </cell>
          <cell r="W105">
            <v>1086.6136677804327</v>
          </cell>
          <cell r="X105">
            <v>1063.4058031573829</v>
          </cell>
          <cell r="Y105">
            <v>822</v>
          </cell>
          <cell r="Z105">
            <v>865</v>
          </cell>
          <cell r="AA105">
            <v>860</v>
          </cell>
          <cell r="AB105">
            <v>837</v>
          </cell>
          <cell r="AC105">
            <v>819</v>
          </cell>
          <cell r="AD105">
            <v>823</v>
          </cell>
          <cell r="AE105">
            <v>806</v>
          </cell>
          <cell r="AF105">
            <v>836</v>
          </cell>
          <cell r="AG105">
            <v>805</v>
          </cell>
          <cell r="AH105">
            <v>800</v>
          </cell>
          <cell r="AI105">
            <v>784</v>
          </cell>
          <cell r="AM105">
            <v>590.21510011130454</v>
          </cell>
          <cell r="AP105">
            <v>817.5</v>
          </cell>
          <cell r="BI105">
            <v>819</v>
          </cell>
        </row>
        <row r="106">
          <cell r="A106" t="str">
            <v>Post</v>
          </cell>
          <cell r="Q106" t="str">
            <v>Delhi</v>
          </cell>
          <cell r="T106">
            <v>37.700000000000003</v>
          </cell>
          <cell r="X106">
            <v>54.5</v>
          </cell>
          <cell r="AH106">
            <v>350</v>
          </cell>
          <cell r="AI106">
            <v>312</v>
          </cell>
          <cell r="CL106">
            <v>54.5</v>
          </cell>
        </row>
        <row r="107">
          <cell r="A107" t="str">
            <v>Pre</v>
          </cell>
          <cell r="Q107" t="str">
            <v>Mumbai</v>
          </cell>
          <cell r="T107">
            <v>42.7</v>
          </cell>
          <cell r="X107">
            <v>35.799999999999997</v>
          </cell>
          <cell r="AH107">
            <v>206</v>
          </cell>
          <cell r="AI107">
            <v>230</v>
          </cell>
          <cell r="CL107">
            <v>35.799999999999997</v>
          </cell>
        </row>
        <row r="108">
          <cell r="A108" t="str">
            <v>Post</v>
          </cell>
          <cell r="AH108">
            <v>1640</v>
          </cell>
          <cell r="AI108">
            <v>1730</v>
          </cell>
        </row>
        <row r="109">
          <cell r="A109" t="str">
            <v>Pre</v>
          </cell>
          <cell r="AH109">
            <v>528.9</v>
          </cell>
          <cell r="AI109">
            <v>560.25500000000011</v>
          </cell>
        </row>
        <row r="111">
          <cell r="AF111" t="str">
            <v>For Sales</v>
          </cell>
        </row>
        <row r="113">
          <cell r="AF113" t="str">
            <v>F2Q07</v>
          </cell>
          <cell r="AG113" t="str">
            <v>Actuals</v>
          </cell>
          <cell r="AH113" t="str">
            <v>MS Estimates</v>
          </cell>
          <cell r="AI113" t="str">
            <v>%</v>
          </cell>
        </row>
        <row r="114">
          <cell r="AF114" t="str">
            <v>Revenue</v>
          </cell>
          <cell r="AH114">
            <v>12680.139131151072</v>
          </cell>
          <cell r="AI114">
            <v>-1</v>
          </cell>
        </row>
        <row r="115">
          <cell r="AF115" t="str">
            <v>EBITDA</v>
          </cell>
          <cell r="AH115">
            <v>3306.596872493903</v>
          </cell>
          <cell r="AI115">
            <v>-1</v>
          </cell>
        </row>
        <row r="116">
          <cell r="AF116" t="str">
            <v>Net Profit</v>
          </cell>
          <cell r="AH116">
            <v>1915.4495278079155</v>
          </cell>
          <cell r="AI116">
            <v>-1</v>
          </cell>
        </row>
        <row r="117">
          <cell r="AF117" t="str">
            <v>Reported PAT</v>
          </cell>
          <cell r="AH117">
            <v>1446.4495278079155</v>
          </cell>
        </row>
        <row r="118">
          <cell r="A118" t="str">
            <v>Income from Basic Services</v>
          </cell>
          <cell r="O118">
            <v>14673.2</v>
          </cell>
          <cell r="P118">
            <v>14080.59</v>
          </cell>
          <cell r="Q118">
            <v>14276.46</v>
          </cell>
          <cell r="R118">
            <v>13180.36</v>
          </cell>
          <cell r="S118">
            <v>14684.11</v>
          </cell>
          <cell r="T118">
            <v>14276.46</v>
          </cell>
          <cell r="U118">
            <v>13180.36</v>
          </cell>
          <cell r="V118">
            <v>14568.71</v>
          </cell>
          <cell r="W118">
            <v>15162.57</v>
          </cell>
          <cell r="X118">
            <v>14858.13</v>
          </cell>
          <cell r="Y118">
            <v>14376.56</v>
          </cell>
          <cell r="Z118">
            <v>14047.2</v>
          </cell>
          <cell r="AG118" t="str">
            <v>F2Q07</v>
          </cell>
          <cell r="AH118" t="str">
            <v>F2Q06</v>
          </cell>
          <cell r="AI118" t="str">
            <v>%change</v>
          </cell>
          <cell r="AJ118" t="str">
            <v>F1Q07</v>
          </cell>
          <cell r="AK118" t="str">
            <v>%change</v>
          </cell>
          <cell r="CK118">
            <v>15162.57</v>
          </cell>
          <cell r="CL118">
            <v>14858.13</v>
          </cell>
        </row>
        <row r="119">
          <cell r="A119" t="str">
            <v>% of total revenues</v>
          </cell>
          <cell r="O119">
            <v>0.90512061941902333</v>
          </cell>
          <cell r="P119">
            <v>0.85331737470456337</v>
          </cell>
          <cell r="Q119">
            <v>1.0341281724206119</v>
          </cell>
          <cell r="R119">
            <v>0.88242390808045235</v>
          </cell>
          <cell r="S119">
            <v>0.99861946178051353</v>
          </cell>
          <cell r="T119">
            <v>0.97573321158703941</v>
          </cell>
          <cell r="U119">
            <v>0.97165470192836489</v>
          </cell>
          <cell r="V119">
            <v>0.97287527796512829</v>
          </cell>
          <cell r="W119">
            <v>0.97505917850397517</v>
          </cell>
          <cell r="X119">
            <v>0.97366641371744911</v>
          </cell>
          <cell r="Y119">
            <v>0.96313744406034785</v>
          </cell>
          <cell r="Z119">
            <v>0.96398109534197962</v>
          </cell>
          <cell r="AF119" t="str">
            <v>Revenue</v>
          </cell>
          <cell r="AG119">
            <v>0</v>
          </cell>
          <cell r="AH119">
            <v>12690</v>
          </cell>
          <cell r="AI119">
            <v>-1</v>
          </cell>
          <cell r="AJ119">
            <v>12781.89</v>
          </cell>
          <cell r="AK119">
            <v>-1</v>
          </cell>
          <cell r="CK119">
            <v>0.97505917850397517</v>
          </cell>
          <cell r="CL119">
            <v>0.97497042239380771</v>
          </cell>
        </row>
        <row r="120">
          <cell r="AF120" t="str">
            <v>EBITDA</v>
          </cell>
          <cell r="AG120">
            <v>0</v>
          </cell>
          <cell r="AH120">
            <v>2432</v>
          </cell>
          <cell r="AI120">
            <v>-1</v>
          </cell>
          <cell r="AJ120">
            <v>2858.26</v>
          </cell>
          <cell r="AK120">
            <v>-1</v>
          </cell>
        </row>
        <row r="121">
          <cell r="A121" t="str">
            <v>Reported Staff Cost</v>
          </cell>
          <cell r="R121">
            <v>3889.76</v>
          </cell>
          <cell r="S121">
            <v>3311.94</v>
          </cell>
          <cell r="T121">
            <v>3742.04</v>
          </cell>
          <cell r="U121">
            <v>3658.19</v>
          </cell>
          <cell r="V121">
            <v>3363.81</v>
          </cell>
          <cell r="W121">
            <v>3479.04</v>
          </cell>
          <cell r="X121">
            <v>3446.86</v>
          </cell>
          <cell r="Y121">
            <v>4265.5600000000004</v>
          </cell>
          <cell r="Z121">
            <v>4575.3100000000004</v>
          </cell>
          <cell r="AA121">
            <v>4936.57</v>
          </cell>
          <cell r="AB121">
            <v>4124.8500000000004</v>
          </cell>
          <cell r="AF121" t="str">
            <v>Net Profit</v>
          </cell>
          <cell r="AG121">
            <v>0</v>
          </cell>
          <cell r="AH121">
            <v>1679</v>
          </cell>
          <cell r="AI121">
            <v>-1</v>
          </cell>
          <cell r="AJ121">
            <v>1311.94</v>
          </cell>
          <cell r="AK121">
            <v>-1</v>
          </cell>
        </row>
        <row r="122">
          <cell r="AF122" t="str">
            <v>Reported PAT</v>
          </cell>
          <cell r="AG122">
            <v>0</v>
          </cell>
          <cell r="AH122">
            <v>1679</v>
          </cell>
        </row>
        <row r="126">
          <cell r="A126" t="str">
            <v>Net Adds</v>
          </cell>
          <cell r="V126" t="str">
            <v>1Q04</v>
          </cell>
          <cell r="W126" t="str">
            <v>2Q04</v>
          </cell>
          <cell r="X126" t="str">
            <v>3Q04</v>
          </cell>
          <cell r="Y126" t="str">
            <v>4Q04</v>
          </cell>
          <cell r="Z126" t="str">
            <v>1Q05</v>
          </cell>
          <cell r="AA126" t="str">
            <v>2Q05</v>
          </cell>
          <cell r="AB126" t="str">
            <v>3Q05</v>
          </cell>
          <cell r="AC126" t="str">
            <v>4Q05</v>
          </cell>
          <cell r="AD126" t="str">
            <v>1Q06</v>
          </cell>
          <cell r="AE126" t="str">
            <v>2Q06</v>
          </cell>
          <cell r="AF126" t="str">
            <v>3Q06</v>
          </cell>
          <cell r="AG126" t="str">
            <v>4Q06</v>
          </cell>
          <cell r="AP126" t="str">
            <v>F2006</v>
          </cell>
          <cell r="AS126" t="str">
            <v>F2005</v>
          </cell>
        </row>
        <row r="127">
          <cell r="A127" t="str">
            <v>MTNL</v>
          </cell>
          <cell r="V127">
            <v>37802</v>
          </cell>
          <cell r="W127">
            <v>37894</v>
          </cell>
          <cell r="X127">
            <v>37986</v>
          </cell>
          <cell r="Y127">
            <v>38077</v>
          </cell>
          <cell r="Z127">
            <v>38168</v>
          </cell>
          <cell r="AA127">
            <v>38260</v>
          </cell>
          <cell r="AB127">
            <v>38352</v>
          </cell>
          <cell r="AC127">
            <v>38442</v>
          </cell>
          <cell r="AD127">
            <v>38533</v>
          </cell>
          <cell r="AE127">
            <v>38625</v>
          </cell>
          <cell r="AF127">
            <v>38717</v>
          </cell>
          <cell r="AG127">
            <v>38807</v>
          </cell>
          <cell r="AP127">
            <v>38807</v>
          </cell>
        </row>
        <row r="128">
          <cell r="A128" t="str">
            <v>Delhi</v>
          </cell>
          <cell r="Y128">
            <v>38.358000000000004</v>
          </cell>
          <cell r="Z128">
            <v>35.59099999999998</v>
          </cell>
          <cell r="AA128">
            <v>34.496000000000038</v>
          </cell>
          <cell r="AB128">
            <v>87.602999999999952</v>
          </cell>
          <cell r="AC128">
            <v>144.88</v>
          </cell>
          <cell r="AD128">
            <v>109.25099999999998</v>
          </cell>
          <cell r="AE128">
            <v>60.146000000000072</v>
          </cell>
          <cell r="AF128">
            <v>67.513000000000034</v>
          </cell>
          <cell r="AG128">
            <v>297.03500000000003</v>
          </cell>
          <cell r="AP128">
            <v>533.94500000000005</v>
          </cell>
          <cell r="AS128">
            <v>302.56999999999994</v>
          </cell>
        </row>
        <row r="129">
          <cell r="A129" t="str">
            <v>Mumbai</v>
          </cell>
          <cell r="Y129">
            <v>-37.50055914288285</v>
          </cell>
          <cell r="Z129">
            <v>33.198000000000064</v>
          </cell>
          <cell r="AA129">
            <v>13.500999999999976</v>
          </cell>
          <cell r="AB129">
            <v>125.34699999999992</v>
          </cell>
          <cell r="AC129">
            <v>160.36100000000005</v>
          </cell>
          <cell r="AD129">
            <v>104.9</v>
          </cell>
          <cell r="AE129">
            <v>82.206000000000017</v>
          </cell>
          <cell r="AF129">
            <v>145.601</v>
          </cell>
          <cell r="AG129">
            <v>98.214000000000055</v>
          </cell>
          <cell r="AP129">
            <v>430.92100000000005</v>
          </cell>
          <cell r="AS129">
            <v>332.40700000000004</v>
          </cell>
        </row>
        <row r="130">
          <cell r="A130" t="str">
            <v>Total</v>
          </cell>
          <cell r="Y130">
            <v>0.85744085711715456</v>
          </cell>
          <cell r="Z130">
            <v>68.789000000000044</v>
          </cell>
          <cell r="AA130">
            <v>47.997000000000014</v>
          </cell>
          <cell r="AB130">
            <v>212.94999999999987</v>
          </cell>
          <cell r="AC130">
            <v>305.24100000000004</v>
          </cell>
          <cell r="AD130">
            <v>214.15099999999995</v>
          </cell>
          <cell r="AE130">
            <v>142.35200000000009</v>
          </cell>
          <cell r="AF130">
            <v>213.11400000000003</v>
          </cell>
          <cell r="AG130">
            <v>395.24900000000002</v>
          </cell>
          <cell r="AP130">
            <v>964.8660000000001</v>
          </cell>
          <cell r="AS130">
            <v>634.97699999999998</v>
          </cell>
        </row>
        <row r="131">
          <cell r="A131" t="str">
            <v>Total Subscriber Net Adds</v>
          </cell>
        </row>
        <row r="132">
          <cell r="A132" t="str">
            <v>Delhi</v>
          </cell>
          <cell r="Y132">
            <v>521.1919999999991</v>
          </cell>
          <cell r="Z132">
            <v>327.85100000000057</v>
          </cell>
          <cell r="AA132">
            <v>418.44700000000012</v>
          </cell>
          <cell r="AB132">
            <v>555.66100000000006</v>
          </cell>
          <cell r="AC132">
            <v>348.3760000000002</v>
          </cell>
          <cell r="AD132">
            <v>448.32600000000002</v>
          </cell>
          <cell r="AE132">
            <v>660.37399999999889</v>
          </cell>
          <cell r="AF132">
            <v>710.054000000001</v>
          </cell>
          <cell r="AG132">
            <v>1042.8390000000009</v>
          </cell>
          <cell r="AP132">
            <v>2861.5930000000008</v>
          </cell>
          <cell r="AS132">
            <v>1650.3350000000009</v>
          </cell>
        </row>
        <row r="133">
          <cell r="A133" t="str">
            <v>Mumbai</v>
          </cell>
          <cell r="Y133">
            <v>412.8455933220348</v>
          </cell>
          <cell r="Z133">
            <v>426.72</v>
          </cell>
          <cell r="AA133">
            <v>418.18299999999999</v>
          </cell>
          <cell r="AB133">
            <v>477.50399999999991</v>
          </cell>
          <cell r="AC133">
            <v>418.63400000000001</v>
          </cell>
          <cell r="AD133">
            <v>373.98800000000028</v>
          </cell>
          <cell r="AE133">
            <v>502.60500000000002</v>
          </cell>
          <cell r="AF133">
            <v>821.14100000000053</v>
          </cell>
          <cell r="AG133">
            <v>848.24600000000009</v>
          </cell>
          <cell r="AP133">
            <v>2545.9800000000005</v>
          </cell>
          <cell r="AS133">
            <v>1741.0410000000002</v>
          </cell>
        </row>
        <row r="134">
          <cell r="A134" t="str">
            <v>Total</v>
          </cell>
          <cell r="Y134">
            <v>934.0375933220339</v>
          </cell>
          <cell r="Z134">
            <v>754.57100000000082</v>
          </cell>
          <cell r="AA134">
            <v>836.63000000000011</v>
          </cell>
          <cell r="AB134">
            <v>1033.165</v>
          </cell>
          <cell r="AC134">
            <v>767.01000000000022</v>
          </cell>
          <cell r="AD134">
            <v>822.31400000000031</v>
          </cell>
          <cell r="AE134">
            <v>1162.9789999999985</v>
          </cell>
          <cell r="AF134">
            <v>1531.1950000000015</v>
          </cell>
          <cell r="AG134">
            <v>1891.0850000000009</v>
          </cell>
          <cell r="AP134">
            <v>5407.5730000000012</v>
          </cell>
          <cell r="AS134">
            <v>3391.3760000000011</v>
          </cell>
        </row>
        <row r="136">
          <cell r="A136" t="str">
            <v>% Net Adds Market Share</v>
          </cell>
          <cell r="Y136">
            <v>9.1799394718958531E-4</v>
          </cell>
          <cell r="Z136">
            <v>9.1163058214535103E-2</v>
          </cell>
          <cell r="AA136">
            <v>5.736944646976562E-2</v>
          </cell>
          <cell r="AB136">
            <v>0.20611422183291137</v>
          </cell>
          <cell r="AC136">
            <v>0.39796221692024869</v>
          </cell>
          <cell r="AD136">
            <v>0.26042484987486514</v>
          </cell>
          <cell r="AE136">
            <v>0.12240289807468603</v>
          </cell>
          <cell r="AF136">
            <v>0.13918148896776689</v>
          </cell>
          <cell r="AG136">
            <v>0.20900646983081131</v>
          </cell>
          <cell r="AP136">
            <v>0.17842865921551126</v>
          </cell>
          <cell r="AS136">
            <v>0.18723285179820809</v>
          </cell>
        </row>
        <row r="139">
          <cell r="AD139" t="str">
            <v>1Q06</v>
          </cell>
          <cell r="AE139" t="str">
            <v>2Q06</v>
          </cell>
          <cell r="AF139" t="str">
            <v>3Q06</v>
          </cell>
          <cell r="AG139" t="str">
            <v>4Q06</v>
          </cell>
          <cell r="AH139" t="str">
            <v>1Q07</v>
          </cell>
          <cell r="AP139" t="str">
            <v>FY2006</v>
          </cell>
          <cell r="AS139" t="str">
            <v>FY2005</v>
          </cell>
        </row>
        <row r="140">
          <cell r="A140" t="str">
            <v>Cellular</v>
          </cell>
          <cell r="AD140">
            <v>1152</v>
          </cell>
          <cell r="AE140">
            <v>1364</v>
          </cell>
          <cell r="AF140">
            <v>1529</v>
          </cell>
          <cell r="AG140">
            <v>1566</v>
          </cell>
          <cell r="AH140">
            <v>1746</v>
          </cell>
          <cell r="AP140">
            <v>5727</v>
          </cell>
          <cell r="AS140">
            <v>2874</v>
          </cell>
        </row>
        <row r="141">
          <cell r="A141" t="str">
            <v>WLL</v>
          </cell>
          <cell r="AD141">
            <v>273</v>
          </cell>
          <cell r="AE141">
            <v>214</v>
          </cell>
          <cell r="AF141">
            <v>109</v>
          </cell>
          <cell r="AG141">
            <v>149</v>
          </cell>
          <cell r="AH141">
            <v>147</v>
          </cell>
          <cell r="AP141">
            <v>674</v>
          </cell>
          <cell r="AS141">
            <v>1018</v>
          </cell>
        </row>
        <row r="142">
          <cell r="A142" t="str">
            <v>Other Services</v>
          </cell>
          <cell r="AD142">
            <v>724</v>
          </cell>
          <cell r="AE142">
            <v>854</v>
          </cell>
          <cell r="AF142">
            <v>64</v>
          </cell>
          <cell r="AG142">
            <v>710</v>
          </cell>
          <cell r="AH142">
            <v>783</v>
          </cell>
          <cell r="AP142">
            <v>2327</v>
          </cell>
          <cell r="AS142">
            <v>2380</v>
          </cell>
        </row>
        <row r="144">
          <cell r="A144" t="str">
            <v>EBITDA</v>
          </cell>
          <cell r="AD144">
            <v>601.20000000000005</v>
          </cell>
          <cell r="AE144">
            <v>631.20000000000005</v>
          </cell>
          <cell r="AF144">
            <v>709.65</v>
          </cell>
          <cell r="AG144">
            <v>771.75</v>
          </cell>
          <cell r="AH144">
            <v>913.95</v>
          </cell>
          <cell r="AI144">
            <v>921.15</v>
          </cell>
        </row>
        <row r="145">
          <cell r="A145" t="str">
            <v>wireless</v>
          </cell>
          <cell r="AD145">
            <v>1762.4299999999992</v>
          </cell>
          <cell r="AE145">
            <v>1800.8</v>
          </cell>
          <cell r="AF145">
            <v>1718.7800000000002</v>
          </cell>
          <cell r="AG145">
            <v>2997.3500000000004</v>
          </cell>
          <cell r="AH145">
            <v>1944.3100000000002</v>
          </cell>
          <cell r="AI145">
            <v>1007.3700000000005</v>
          </cell>
        </row>
        <row r="146">
          <cell r="A146" t="str">
            <v>Others</v>
          </cell>
          <cell r="AD146">
            <v>2363.6299999999992</v>
          </cell>
          <cell r="AE146">
            <v>2432</v>
          </cell>
          <cell r="AF146">
            <v>2428.4300000000003</v>
          </cell>
          <cell r="AG146">
            <v>3769.1000000000004</v>
          </cell>
          <cell r="AH146">
            <v>2858.26</v>
          </cell>
          <cell r="AI146">
            <v>1928.5200000000004</v>
          </cell>
        </row>
        <row r="147">
          <cell r="AD147">
            <v>0.2543545309545065</v>
          </cell>
          <cell r="AE147">
            <v>0.25953947368421054</v>
          </cell>
          <cell r="AF147">
            <v>0.29222584138723368</v>
          </cell>
          <cell r="AG147">
            <v>0.20475710381788753</v>
          </cell>
          <cell r="AH147">
            <v>0.31975747482734251</v>
          </cell>
          <cell r="AI147">
            <v>0.47764607056188152</v>
          </cell>
        </row>
        <row r="172">
          <cell r="E172" t="str">
            <v>F2002</v>
          </cell>
          <cell r="F172" t="str">
            <v>Q4F2002</v>
          </cell>
        </row>
      </sheetData>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QP_TTPW.BO"/>
      <sheetName val="QP_RLIN.BO"/>
      <sheetName val="Cover Sheet"/>
      <sheetName val="Val'n summary"/>
      <sheetName val="Val Calcs"/>
      <sheetName val="D&amp;A"/>
      <sheetName val="EBIT"/>
      <sheetName val="Financials"/>
      <sheetName val="Project Details"/>
      <sheetName val="Consolidated P&amp;L"/>
      <sheetName val="SOTP"/>
      <sheetName val="Mumbai licence area"/>
      <sheetName val="BYPL"/>
      <sheetName val="BRPL"/>
      <sheetName val="WRSS"/>
      <sheetName val="EPC"/>
      <sheetName val="Delhi Metro"/>
      <sheetName val="Delhi Metro (2)"/>
      <sheetName val="Mumbai Metro"/>
      <sheetName val="Roads"/>
      <sheetName val="P&amp;L"/>
      <sheetName val="Qtrly"/>
      <sheetName val="Quest"/>
      <sheetName val="Quarterly"/>
      <sheetName val="Proforma"/>
      <sheetName val="Datastream"/>
      <sheetName val="RegReturn"/>
      <sheetName val="Factsheet"/>
      <sheetName val="XLink"/>
      <sheetName val="Tables"/>
      <sheetName val="wireline"/>
      <sheetName val="Workings"/>
      <sheetName val="INPUT"/>
      <sheetName val="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A2" t="str">
            <v xml:space="preserve"> Quarterly Results</v>
          </cell>
          <cell r="AS2" t="str">
            <v>Half Yearly Results</v>
          </cell>
          <cell r="AX2" t="str">
            <v>Annual</v>
          </cell>
          <cell r="BG2" t="str">
            <v>For Report</v>
          </cell>
          <cell r="BR2" t="str">
            <v>Annual Reported</v>
          </cell>
        </row>
        <row r="3">
          <cell r="A3" t="str">
            <v>(Rs mn)</v>
          </cell>
          <cell r="B3" t="str">
            <v>1Q02</v>
          </cell>
          <cell r="C3" t="str">
            <v>2Q02</v>
          </cell>
          <cell r="D3" t="str">
            <v>3Q02</v>
          </cell>
          <cell r="E3" t="str">
            <v>4Q02</v>
          </cell>
          <cell r="F3" t="str">
            <v>1Q03</v>
          </cell>
          <cell r="G3" t="str">
            <v>2Q03</v>
          </cell>
          <cell r="H3" t="str">
            <v>3Q03</v>
          </cell>
          <cell r="I3" t="str">
            <v>4Q03</v>
          </cell>
          <cell r="J3" t="str">
            <v>1Q04</v>
          </cell>
          <cell r="K3" t="str">
            <v>2Q04</v>
          </cell>
          <cell r="L3" t="str">
            <v>3Q04</v>
          </cell>
          <cell r="M3" t="str">
            <v>4Q04</v>
          </cell>
          <cell r="N3" t="str">
            <v>1Q05</v>
          </cell>
          <cell r="O3" t="str">
            <v>2Q05</v>
          </cell>
          <cell r="P3" t="str">
            <v>3Q05</v>
          </cell>
          <cell r="Q3" t="str">
            <v>4Q05</v>
          </cell>
          <cell r="R3" t="str">
            <v>1Q06</v>
          </cell>
          <cell r="S3" t="str">
            <v>2Q06</v>
          </cell>
          <cell r="T3" t="str">
            <v>3Q06</v>
          </cell>
          <cell r="U3" t="str">
            <v>4Q06</v>
          </cell>
          <cell r="Y3" t="str">
            <v>1Q08</v>
          </cell>
          <cell r="Z3" t="str">
            <v>2Q08</v>
          </cell>
          <cell r="AA3" t="str">
            <v>3Q08</v>
          </cell>
          <cell r="AB3" t="str">
            <v>4Q08</v>
          </cell>
          <cell r="AC3" t="str">
            <v>FY2008</v>
          </cell>
          <cell r="AD3" t="str">
            <v>1Q09</v>
          </cell>
          <cell r="AE3" t="str">
            <v>2Q09</v>
          </cell>
          <cell r="AF3" t="str">
            <v>3Q09</v>
          </cell>
          <cell r="AG3" t="str">
            <v>4Q09</v>
          </cell>
          <cell r="AH3" t="str">
            <v>FY2009</v>
          </cell>
          <cell r="AI3" t="str">
            <v>1Q10</v>
          </cell>
          <cell r="AJ3" t="str">
            <v>2Q10</v>
          </cell>
          <cell r="AK3" t="str">
            <v>3Q10</v>
          </cell>
          <cell r="AM3" t="str">
            <v>1H02</v>
          </cell>
          <cell r="AN3" t="str">
            <v>2H02</v>
          </cell>
          <cell r="AO3" t="str">
            <v>1H03</v>
          </cell>
          <cell r="AP3" t="str">
            <v>2H03</v>
          </cell>
          <cell r="AQ3" t="str">
            <v>1H04</v>
          </cell>
          <cell r="AR3" t="str">
            <v>2H04</v>
          </cell>
          <cell r="AS3" t="str">
            <v>1H05</v>
          </cell>
          <cell r="AT3" t="str">
            <v>2H05</v>
          </cell>
          <cell r="AU3" t="str">
            <v>1H06</v>
          </cell>
          <cell r="AV3" t="str">
            <v>2H06</v>
          </cell>
          <cell r="AX3" t="str">
            <v>F2003</v>
          </cell>
          <cell r="AY3" t="str">
            <v>F2004</v>
          </cell>
          <cell r="AZ3" t="str">
            <v>F2005</v>
          </cell>
          <cell r="BA3" t="str">
            <v>F2006</v>
          </cell>
          <cell r="BB3" t="str">
            <v>F2007</v>
          </cell>
          <cell r="BC3" t="str">
            <v>F2008</v>
          </cell>
          <cell r="BD3" t="str">
            <v>F2009</v>
          </cell>
          <cell r="BG3" t="str">
            <v>3Q06</v>
          </cell>
          <cell r="BH3" t="str">
            <v>3Q05</v>
          </cell>
          <cell r="BJ3" t="str">
            <v>2Q06</v>
          </cell>
          <cell r="BL3" t="str">
            <v>F9M06</v>
          </cell>
          <cell r="BM3" t="str">
            <v>F9M05</v>
          </cell>
          <cell r="BR3" t="str">
            <v>F2005</v>
          </cell>
          <cell r="BS3" t="str">
            <v>F2006</v>
          </cell>
          <cell r="BV3" t="str">
            <v>2Q09E</v>
          </cell>
          <cell r="BW3" t="str">
            <v>3Q09E</v>
          </cell>
        </row>
        <row r="4">
          <cell r="A4" t="str">
            <v>(period ending)</v>
          </cell>
          <cell r="B4">
            <v>37072</v>
          </cell>
          <cell r="C4">
            <v>37164</v>
          </cell>
          <cell r="D4">
            <v>37256</v>
          </cell>
          <cell r="E4">
            <v>37346</v>
          </cell>
          <cell r="F4">
            <v>37437</v>
          </cell>
          <cell r="G4">
            <v>37529</v>
          </cell>
          <cell r="H4">
            <v>37621</v>
          </cell>
          <cell r="I4">
            <v>37711</v>
          </cell>
          <cell r="J4">
            <v>37802</v>
          </cell>
          <cell r="K4">
            <v>37894</v>
          </cell>
          <cell r="L4">
            <v>37986</v>
          </cell>
          <cell r="M4">
            <v>38077</v>
          </cell>
          <cell r="N4">
            <v>38168</v>
          </cell>
          <cell r="O4">
            <v>38260</v>
          </cell>
          <cell r="P4">
            <v>38352</v>
          </cell>
          <cell r="Q4">
            <v>38442</v>
          </cell>
          <cell r="R4">
            <v>38533</v>
          </cell>
          <cell r="S4">
            <v>38625</v>
          </cell>
          <cell r="T4">
            <v>38717</v>
          </cell>
          <cell r="U4">
            <v>38807</v>
          </cell>
          <cell r="Y4">
            <v>39172</v>
          </cell>
          <cell r="Z4">
            <v>39263</v>
          </cell>
          <cell r="AA4">
            <v>39355</v>
          </cell>
          <cell r="AB4">
            <v>39447</v>
          </cell>
          <cell r="AD4">
            <v>39538</v>
          </cell>
          <cell r="AE4">
            <v>39629</v>
          </cell>
          <cell r="AF4">
            <v>39721</v>
          </cell>
          <cell r="AG4">
            <v>39812</v>
          </cell>
          <cell r="AS4">
            <v>38260</v>
          </cell>
          <cell r="AT4">
            <v>38442</v>
          </cell>
          <cell r="AU4">
            <v>38625</v>
          </cell>
          <cell r="AV4">
            <v>38807</v>
          </cell>
          <cell r="BG4">
            <v>38717</v>
          </cell>
          <cell r="BH4">
            <v>38352</v>
          </cell>
          <cell r="BI4" t="str">
            <v>YoY</v>
          </cell>
          <cell r="BJ4">
            <v>38625</v>
          </cell>
          <cell r="BK4" t="str">
            <v>QoQ</v>
          </cell>
          <cell r="BL4">
            <v>38717</v>
          </cell>
          <cell r="BM4">
            <v>38352</v>
          </cell>
          <cell r="BN4" t="str">
            <v>YoY</v>
          </cell>
          <cell r="BV4">
            <v>39721</v>
          </cell>
          <cell r="BW4">
            <v>39812</v>
          </cell>
        </row>
        <row r="5">
          <cell r="A5" t="str">
            <v>Operating Data (Million Units)</v>
          </cell>
        </row>
        <row r="6">
          <cell r="A6" t="str">
            <v xml:space="preserve"> Generation </v>
          </cell>
          <cell r="B6">
            <v>2881</v>
          </cell>
          <cell r="C6">
            <v>3271</v>
          </cell>
          <cell r="D6">
            <v>2895</v>
          </cell>
          <cell r="E6">
            <v>2747</v>
          </cell>
          <cell r="F6">
            <v>3336</v>
          </cell>
          <cell r="G6">
            <v>3480</v>
          </cell>
          <cell r="H6">
            <v>3440</v>
          </cell>
          <cell r="I6">
            <v>2740</v>
          </cell>
          <cell r="J6">
            <v>3135</v>
          </cell>
          <cell r="K6">
            <v>3182</v>
          </cell>
          <cell r="L6">
            <v>3339</v>
          </cell>
          <cell r="M6" t="e">
            <v>#REF!</v>
          </cell>
          <cell r="N6">
            <v>3529</v>
          </cell>
          <cell r="O6">
            <v>3203</v>
          </cell>
          <cell r="P6">
            <v>3241</v>
          </cell>
          <cell r="Q6">
            <v>3310</v>
          </cell>
          <cell r="R6">
            <v>3751</v>
          </cell>
          <cell r="S6">
            <v>3420</v>
          </cell>
          <cell r="T6">
            <v>3208</v>
          </cell>
          <cell r="U6">
            <v>3367</v>
          </cell>
          <cell r="Y6">
            <v>3336</v>
          </cell>
          <cell r="Z6">
            <v>3860</v>
          </cell>
          <cell r="AA6">
            <v>3684</v>
          </cell>
          <cell r="AB6">
            <v>3672</v>
          </cell>
          <cell r="AD6">
            <v>-5259.5468959999998</v>
          </cell>
          <cell r="AE6">
            <v>3935</v>
          </cell>
          <cell r="AM6">
            <v>6152</v>
          </cell>
          <cell r="AN6">
            <v>5642</v>
          </cell>
          <cell r="AO6">
            <v>6816</v>
          </cell>
          <cell r="AP6">
            <v>6180</v>
          </cell>
          <cell r="AQ6">
            <v>6317</v>
          </cell>
          <cell r="AR6" t="e">
            <v>#REF!</v>
          </cell>
          <cell r="AS6">
            <v>6732</v>
          </cell>
          <cell r="AT6">
            <v>6551</v>
          </cell>
          <cell r="AU6">
            <v>7171</v>
          </cell>
          <cell r="AV6">
            <v>6575</v>
          </cell>
          <cell r="AX6" t="e">
            <v>#REF!</v>
          </cell>
          <cell r="AY6" t="e">
            <v>#REF!</v>
          </cell>
          <cell r="AZ6" t="e">
            <v>#REF!</v>
          </cell>
          <cell r="BA6" t="e">
            <v>#REF!</v>
          </cell>
          <cell r="BB6" t="e">
            <v>#REF!</v>
          </cell>
          <cell r="BC6">
            <v>5956.4531040000002</v>
          </cell>
          <cell r="BD6">
            <v>14807</v>
          </cell>
          <cell r="BG6">
            <v>3208</v>
          </cell>
          <cell r="BH6">
            <v>3241</v>
          </cell>
          <cell r="BI6">
            <v>-1.0182042579450767E-2</v>
          </cell>
          <cell r="BJ6">
            <v>3420</v>
          </cell>
          <cell r="BK6">
            <v>-6.1988304093567259E-2</v>
          </cell>
          <cell r="BL6">
            <v>10379</v>
          </cell>
          <cell r="BM6">
            <v>9973</v>
          </cell>
          <cell r="BN6">
            <v>4.0709916775293342E-2</v>
          </cell>
          <cell r="BP6">
            <v>3935</v>
          </cell>
          <cell r="BR6">
            <v>13283</v>
          </cell>
          <cell r="BS6">
            <v>13746</v>
          </cell>
          <cell r="BV6">
            <v>3755.5803108808291</v>
          </cell>
          <cell r="BW6">
            <v>3720.1972500000002</v>
          </cell>
          <cell r="BY6">
            <v>-1</v>
          </cell>
        </row>
        <row r="7">
          <cell r="A7" t="str">
            <v>Non-license area</v>
          </cell>
          <cell r="AB7">
            <v>775</v>
          </cell>
        </row>
        <row r="8">
          <cell r="A8" t="str">
            <v>Mumbai</v>
          </cell>
          <cell r="AB8">
            <v>2897</v>
          </cell>
        </row>
        <row r="9">
          <cell r="A9" t="str">
            <v xml:space="preserve"> Sales </v>
          </cell>
          <cell r="B9">
            <v>2713</v>
          </cell>
          <cell r="C9">
            <v>3062</v>
          </cell>
          <cell r="D9">
            <v>2723</v>
          </cell>
          <cell r="E9">
            <v>2609</v>
          </cell>
          <cell r="F9">
            <v>3157</v>
          </cell>
          <cell r="G9">
            <v>3315</v>
          </cell>
          <cell r="H9">
            <v>3235</v>
          </cell>
          <cell r="I9">
            <v>2611</v>
          </cell>
          <cell r="J9">
            <v>2993</v>
          </cell>
          <cell r="K9">
            <v>2996</v>
          </cell>
          <cell r="L9">
            <v>3174</v>
          </cell>
          <cell r="M9" t="e">
            <v>#REF!</v>
          </cell>
          <cell r="N9">
            <v>3373</v>
          </cell>
          <cell r="O9">
            <v>3027</v>
          </cell>
          <cell r="P9">
            <v>3056</v>
          </cell>
          <cell r="Q9">
            <v>3207</v>
          </cell>
          <cell r="R9">
            <v>3617</v>
          </cell>
          <cell r="S9">
            <v>3341</v>
          </cell>
          <cell r="T9">
            <v>3352</v>
          </cell>
          <cell r="U9">
            <v>3306</v>
          </cell>
          <cell r="Y9">
            <v>3415</v>
          </cell>
          <cell r="Z9">
            <v>4056</v>
          </cell>
          <cell r="AA9">
            <v>3811</v>
          </cell>
          <cell r="AB9">
            <v>3614</v>
          </cell>
          <cell r="AD9" t="e">
            <v>#REF!</v>
          </cell>
          <cell r="AE9">
            <v>4115</v>
          </cell>
          <cell r="AM9">
            <v>5775</v>
          </cell>
          <cell r="AN9">
            <v>5332</v>
          </cell>
          <cell r="AO9">
            <v>6472</v>
          </cell>
          <cell r="AP9">
            <v>5846</v>
          </cell>
          <cell r="AQ9">
            <v>5989</v>
          </cell>
          <cell r="AR9" t="e">
            <v>#REF!</v>
          </cell>
          <cell r="AS9">
            <v>6400</v>
          </cell>
          <cell r="AT9">
            <v>6263</v>
          </cell>
          <cell r="AU9">
            <v>6958</v>
          </cell>
          <cell r="AV9">
            <v>6658</v>
          </cell>
          <cell r="AX9" t="e">
            <v>#REF!</v>
          </cell>
          <cell r="AY9" t="e">
            <v>#REF!</v>
          </cell>
          <cell r="AZ9" t="e">
            <v>#REF!</v>
          </cell>
          <cell r="BA9" t="e">
            <v>#REF!</v>
          </cell>
          <cell r="BB9" t="e">
            <v>#REF!</v>
          </cell>
          <cell r="BC9" t="e">
            <v>#REF!</v>
          </cell>
          <cell r="BD9">
            <v>14703</v>
          </cell>
          <cell r="BG9">
            <v>3352</v>
          </cell>
          <cell r="BH9">
            <v>3056</v>
          </cell>
          <cell r="BI9">
            <v>9.6858638743455572E-2</v>
          </cell>
          <cell r="BJ9">
            <v>3341</v>
          </cell>
          <cell r="BK9">
            <v>3.2924274169410239E-3</v>
          </cell>
          <cell r="BL9">
            <v>10310</v>
          </cell>
          <cell r="BM9">
            <v>9456</v>
          </cell>
          <cell r="BN9">
            <v>9.0313028764805514E-2</v>
          </cell>
          <cell r="BP9">
            <v>4115</v>
          </cell>
          <cell r="BR9">
            <v>12663</v>
          </cell>
          <cell r="BS9">
            <v>13616</v>
          </cell>
          <cell r="BV9">
            <v>3866.436143984221</v>
          </cell>
          <cell r="BW9">
            <v>3661.4359644607844</v>
          </cell>
          <cell r="BY9">
            <v>-1</v>
          </cell>
        </row>
        <row r="10">
          <cell r="A10" t="str">
            <v>Non-license area</v>
          </cell>
          <cell r="AB10">
            <v>756</v>
          </cell>
        </row>
        <row r="11">
          <cell r="A11" t="str">
            <v>Mumbai</v>
          </cell>
          <cell r="R11">
            <v>2983</v>
          </cell>
          <cell r="S11">
            <v>2731</v>
          </cell>
          <cell r="T11">
            <v>2840</v>
          </cell>
          <cell r="AB11">
            <v>2858</v>
          </cell>
        </row>
        <row r="12">
          <cell r="A12" t="str">
            <v>Derived Tariff (Rs/Unit)</v>
          </cell>
          <cell r="N12">
            <v>3.0811147346575751</v>
          </cell>
          <cell r="O12">
            <v>2.9256029071688139</v>
          </cell>
          <cell r="P12">
            <v>2.8455824607329845</v>
          </cell>
          <cell r="Q12">
            <v>2.6845650140318051</v>
          </cell>
          <cell r="R12">
            <v>2.8882499308819463</v>
          </cell>
          <cell r="S12">
            <v>2.9331038611194251</v>
          </cell>
          <cell r="T12">
            <v>3.4678699284009546</v>
          </cell>
          <cell r="U12">
            <v>3.3460677555958864</v>
          </cell>
          <cell r="Y12">
            <v>3.76398243045388</v>
          </cell>
          <cell r="Z12">
            <v>3.1051528599605525</v>
          </cell>
          <cell r="AA12">
            <v>3.2259511939123588</v>
          </cell>
          <cell r="AB12">
            <v>3.1699225235196455</v>
          </cell>
          <cell r="AD12" t="e">
            <v>#REF!</v>
          </cell>
          <cell r="AE12">
            <v>4.8623815309842042</v>
          </cell>
          <cell r="AS12">
            <v>3.0075625000000001</v>
          </cell>
          <cell r="AT12">
            <v>2.7631326840172443</v>
          </cell>
          <cell r="AU12">
            <v>2.9097872951997701</v>
          </cell>
          <cell r="AV12">
            <v>3.4073896064884353</v>
          </cell>
          <cell r="BC12" t="e">
            <v>#REF!</v>
          </cell>
          <cell r="BD12">
            <v>4.7728708426851663</v>
          </cell>
          <cell r="BG12">
            <v>3.4678699284009546</v>
          </cell>
          <cell r="BH12">
            <v>2.8455824607329845</v>
          </cell>
          <cell r="BI12">
            <v>0.21868544533679657</v>
          </cell>
          <cell r="BJ12">
            <v>2.9331038611194251</v>
          </cell>
          <cell r="BK12">
            <v>0.18232087665570584</v>
          </cell>
          <cell r="BL12">
            <v>3.0912318137730357</v>
          </cell>
          <cell r="BM12">
            <v>2.9552136209813873</v>
          </cell>
          <cell r="BN12">
            <v>4.602651795658641E-2</v>
          </cell>
          <cell r="BP12">
            <v>9.6388821385176193</v>
          </cell>
          <cell r="BR12">
            <v>2.8866698254757956</v>
          </cell>
          <cell r="BS12">
            <v>3.1531066392479432</v>
          </cell>
          <cell r="BV12">
            <v>4.6823319179081233</v>
          </cell>
          <cell r="BW12">
            <v>4.9855826177080251</v>
          </cell>
          <cell r="BY12">
            <v>-1</v>
          </cell>
        </row>
        <row r="13">
          <cell r="A13" t="str">
            <v>Fuel Cost (Rs/Unit)</v>
          </cell>
          <cell r="B13">
            <v>1.5999305796598402</v>
          </cell>
          <cell r="C13">
            <v>1.6204218893304798</v>
          </cell>
          <cell r="D13">
            <v>1.4719516407599309</v>
          </cell>
          <cell r="E13">
            <v>1.2789588642155079</v>
          </cell>
          <cell r="F13">
            <v>1.5755095923261391</v>
          </cell>
          <cell r="G13">
            <v>1.6001436781609195</v>
          </cell>
          <cell r="H13">
            <v>1.7527034883720931</v>
          </cell>
          <cell r="I13">
            <v>1.3885766423357664</v>
          </cell>
          <cell r="J13">
            <v>1.6533333333333333</v>
          </cell>
          <cell r="K13">
            <v>1.4533312382149592</v>
          </cell>
          <cell r="L13">
            <v>1.2351602276130578</v>
          </cell>
          <cell r="M13" t="e">
            <v>#REF!</v>
          </cell>
          <cell r="N13">
            <v>1.4533862283933126</v>
          </cell>
          <cell r="O13">
            <v>1.3489853262566345</v>
          </cell>
          <cell r="P13">
            <v>1.4099352051835854</v>
          </cell>
          <cell r="Q13">
            <v>1.3958912386706948</v>
          </cell>
          <cell r="R13">
            <v>1.6105838443081846</v>
          </cell>
          <cell r="S13">
            <v>1.4927485380116958</v>
          </cell>
          <cell r="T13">
            <v>2.0116271820448879</v>
          </cell>
          <cell r="U13">
            <v>1.8904959904959906</v>
          </cell>
          <cell r="Y13">
            <v>0.87431055155875292</v>
          </cell>
          <cell r="Z13">
            <v>0.5755440414507772</v>
          </cell>
          <cell r="AA13">
            <v>0.6327904451682953</v>
          </cell>
          <cell r="AB13">
            <v>1.2169934640522877</v>
          </cell>
          <cell r="AD13">
            <v>-0.67897483768343225</v>
          </cell>
          <cell r="AE13">
            <v>0.84216010165184241</v>
          </cell>
          <cell r="AS13">
            <v>1.4037136066547831</v>
          </cell>
          <cell r="AT13">
            <v>1.402839261181499</v>
          </cell>
          <cell r="AU13">
            <v>1.5543857202621671</v>
          </cell>
          <cell r="AV13">
            <v>1.9495969581749051</v>
          </cell>
          <cell r="BC13">
            <v>0.31822629455893725</v>
          </cell>
          <cell r="BD13">
            <v>3.2508070507192541</v>
          </cell>
          <cell r="BG13">
            <v>2.0116271820448879</v>
          </cell>
          <cell r="BH13">
            <v>1.4099352051835854</v>
          </cell>
          <cell r="BI13">
            <v>0.4267515093241161</v>
          </cell>
          <cell r="BJ13">
            <v>1.4927485380116958</v>
          </cell>
          <cell r="BK13">
            <v>0.34759949905851228</v>
          </cell>
          <cell r="BL13">
            <v>1.695712496386935</v>
          </cell>
          <cell r="BM13">
            <v>1.4057354858116915</v>
          </cell>
          <cell r="BN13">
            <v>0.20628134773720008</v>
          </cell>
          <cell r="BP13">
            <v>2.335679796696315</v>
          </cell>
          <cell r="BV13">
            <v>3</v>
          </cell>
          <cell r="BW13">
            <v>3.2904845276872967</v>
          </cell>
          <cell r="BY13">
            <v>-1</v>
          </cell>
        </row>
        <row r="14">
          <cell r="A14" t="str">
            <v>Cost of Power Purchased (Rs/unit)</v>
          </cell>
          <cell r="AE14">
            <v>26.276068376068377</v>
          </cell>
          <cell r="BD14" t="e">
            <v>#REF!</v>
          </cell>
        </row>
        <row r="15">
          <cell r="A15" t="str">
            <v>Power purchased (Million Units)</v>
          </cell>
          <cell r="AE15">
            <v>117</v>
          </cell>
          <cell r="BD15" t="e">
            <v>#REF!</v>
          </cell>
        </row>
        <row r="16">
          <cell r="Y16">
            <v>0.23228337743683999</v>
          </cell>
          <cell r="Z16">
            <v>0.18535127493146628</v>
          </cell>
          <cell r="AA16">
            <v>0.1961562364497095</v>
          </cell>
          <cell r="AB16">
            <v>0.38391899329483575</v>
          </cell>
          <cell r="AD16" t="e">
            <v>#REF!</v>
          </cell>
          <cell r="AE16">
            <v>0.17319909930666816</v>
          </cell>
          <cell r="BW16">
            <v>0.66</v>
          </cell>
        </row>
        <row r="17">
          <cell r="A17" t="str">
            <v>Net sales of electricity energy</v>
          </cell>
          <cell r="N17">
            <v>10392.6</v>
          </cell>
          <cell r="O17">
            <v>8855.7999999999993</v>
          </cell>
          <cell r="P17">
            <v>8696.1</v>
          </cell>
          <cell r="Q17">
            <v>8609.4</v>
          </cell>
          <cell r="R17">
            <v>10446.799999999999</v>
          </cell>
          <cell r="S17">
            <v>9799.5</v>
          </cell>
          <cell r="T17">
            <v>11624.3</v>
          </cell>
          <cell r="U17">
            <v>11062.1</v>
          </cell>
          <cell r="Y17">
            <v>12854</v>
          </cell>
          <cell r="Z17">
            <v>12594.5</v>
          </cell>
          <cell r="AA17">
            <v>12294.1</v>
          </cell>
          <cell r="AB17">
            <v>11456.099999999999</v>
          </cell>
          <cell r="AC17">
            <v>49198.7</v>
          </cell>
          <cell r="AD17">
            <v>17637.3</v>
          </cell>
          <cell r="AE17">
            <v>20008.7</v>
          </cell>
          <cell r="AF17">
            <v>19655.3</v>
          </cell>
          <cell r="AG17">
            <v>14529.599999999991</v>
          </cell>
          <cell r="AH17">
            <v>71830.899999999994</v>
          </cell>
          <cell r="AI17">
            <v>18552.900000000001</v>
          </cell>
          <cell r="AJ17">
            <v>16438</v>
          </cell>
          <cell r="AK17">
            <v>16003</v>
          </cell>
          <cell r="AS17">
            <v>19248.400000000001</v>
          </cell>
          <cell r="AT17">
            <v>17305.5</v>
          </cell>
          <cell r="AU17">
            <v>20246.3</v>
          </cell>
          <cell r="AV17">
            <v>22686.400000000001</v>
          </cell>
          <cell r="BA17" t="e">
            <v>#REF!</v>
          </cell>
          <cell r="BB17" t="e">
            <v>#REF!</v>
          </cell>
          <cell r="BC17">
            <v>43121.1</v>
          </cell>
          <cell r="BD17">
            <v>70175.520000000004</v>
          </cell>
          <cell r="BG17">
            <v>11624.3</v>
          </cell>
          <cell r="BH17">
            <v>8696.1</v>
          </cell>
          <cell r="BI17">
            <v>0.3367256586285805</v>
          </cell>
          <cell r="BJ17">
            <v>9799.5</v>
          </cell>
          <cell r="BK17">
            <v>0.18621358232562879</v>
          </cell>
          <cell r="BL17">
            <v>31870.6</v>
          </cell>
          <cell r="BM17">
            <v>27944.5</v>
          </cell>
          <cell r="BN17">
            <v>0.14049634096154873</v>
          </cell>
          <cell r="BP17">
            <v>39664</v>
          </cell>
          <cell r="BQ17">
            <v>79328</v>
          </cell>
          <cell r="BR17">
            <v>36553.9</v>
          </cell>
          <cell r="BS17">
            <v>42932.7</v>
          </cell>
          <cell r="BV17">
            <v>18103.937365530925</v>
          </cell>
          <cell r="BW17">
            <v>18254.391500266705</v>
          </cell>
        </row>
        <row r="18">
          <cell r="A18" t="str">
            <v>Income from EPC and contracts division</v>
          </cell>
          <cell r="N18">
            <v>475.9</v>
          </cell>
          <cell r="O18">
            <v>548.1</v>
          </cell>
          <cell r="P18">
            <v>712.9</v>
          </cell>
          <cell r="Q18">
            <v>1013.6</v>
          </cell>
          <cell r="R18">
            <v>452.50000000000006</v>
          </cell>
          <cell r="S18">
            <v>816.2</v>
          </cell>
          <cell r="T18">
            <v>689.4</v>
          </cell>
          <cell r="U18">
            <v>648.9</v>
          </cell>
          <cell r="Y18">
            <v>3386.1</v>
          </cell>
          <cell r="Z18">
            <v>2822.8</v>
          </cell>
          <cell r="AA18">
            <v>2760.8</v>
          </cell>
          <cell r="AB18">
            <v>4963.2999999999993</v>
          </cell>
          <cell r="AC18">
            <v>13933</v>
          </cell>
          <cell r="AD18">
            <v>4343.8</v>
          </cell>
          <cell r="AE18">
            <v>4339.3999999999996</v>
          </cell>
          <cell r="AF18">
            <v>6817.2</v>
          </cell>
          <cell r="AG18">
            <v>8867.1999999999971</v>
          </cell>
          <cell r="AH18">
            <v>24367.599999999999</v>
          </cell>
          <cell r="AI18">
            <v>5519.3</v>
          </cell>
          <cell r="AJ18">
            <v>9280.7999999999993</v>
          </cell>
          <cell r="AK18">
            <v>6348.4</v>
          </cell>
          <cell r="AS18">
            <v>1024</v>
          </cell>
          <cell r="AT18">
            <v>1726.5</v>
          </cell>
          <cell r="AU18">
            <v>1268.7</v>
          </cell>
          <cell r="AV18">
            <v>1338.3</v>
          </cell>
          <cell r="BA18" t="e">
            <v>#REF!</v>
          </cell>
          <cell r="BB18" t="e">
            <v>#REF!</v>
          </cell>
          <cell r="BC18">
            <v>6077.5999999999985</v>
          </cell>
          <cell r="BD18">
            <v>2187.1</v>
          </cell>
          <cell r="BG18">
            <v>689.4</v>
          </cell>
          <cell r="BH18">
            <v>712.9</v>
          </cell>
          <cell r="BI18">
            <v>-3.2963950063122471E-2</v>
          </cell>
          <cell r="BJ18">
            <v>816.2</v>
          </cell>
          <cell r="BK18">
            <v>-0.15535407988238181</v>
          </cell>
          <cell r="BL18">
            <v>1958.1</v>
          </cell>
          <cell r="BM18">
            <v>1736.9</v>
          </cell>
          <cell r="BN18">
            <v>0.12735333064655419</v>
          </cell>
          <cell r="BP18">
            <v>11156.599999999999</v>
          </cell>
          <cell r="BR18">
            <v>2750.5</v>
          </cell>
          <cell r="BS18">
            <v>2607</v>
          </cell>
        </row>
        <row r="19">
          <cell r="A19" t="str">
            <v>Other operating income</v>
          </cell>
          <cell r="Y19">
            <v>3599.2</v>
          </cell>
          <cell r="Z19">
            <v>213.5</v>
          </cell>
          <cell r="AA19">
            <v>259.89999999999998</v>
          </cell>
          <cell r="AB19">
            <v>-2720.1</v>
          </cell>
          <cell r="AC19">
            <v>1352.5</v>
          </cell>
          <cell r="AD19">
            <v>921.8</v>
          </cell>
          <cell r="AE19">
            <v>384.2</v>
          </cell>
          <cell r="AF19">
            <v>703.8</v>
          </cell>
          <cell r="AG19">
            <v>477.79999999999995</v>
          </cell>
          <cell r="AH19">
            <v>2487.6</v>
          </cell>
          <cell r="AI19">
            <v>391.1</v>
          </cell>
          <cell r="AJ19">
            <v>776.8</v>
          </cell>
          <cell r="AK19">
            <v>523.5</v>
          </cell>
        </row>
        <row r="20">
          <cell r="A20" t="str">
            <v>Net Sales/Income from Operations</v>
          </cell>
          <cell r="B20">
            <v>9328</v>
          </cell>
          <cell r="C20">
            <v>11044.8</v>
          </cell>
          <cell r="D20">
            <v>9288.2000000000007</v>
          </cell>
          <cell r="E20">
            <v>8356.7999999999993</v>
          </cell>
          <cell r="F20">
            <v>10403.9</v>
          </cell>
          <cell r="G20">
            <v>12021.4</v>
          </cell>
          <cell r="H20">
            <v>11479.1</v>
          </cell>
          <cell r="I20">
            <v>9100.6</v>
          </cell>
          <cell r="J20">
            <v>10757.400000000001</v>
          </cell>
          <cell r="K20">
            <v>10619.3</v>
          </cell>
          <cell r="L20">
            <v>10274.5</v>
          </cell>
          <cell r="M20">
            <v>10420.799999999999</v>
          </cell>
          <cell r="N20">
            <v>10868.5</v>
          </cell>
          <cell r="O20">
            <v>9403.9</v>
          </cell>
          <cell r="P20">
            <v>9409</v>
          </cell>
          <cell r="Q20">
            <v>9623</v>
          </cell>
          <cell r="R20">
            <v>10899.3</v>
          </cell>
          <cell r="S20">
            <v>10615.7</v>
          </cell>
          <cell r="T20">
            <v>12313.699999999999</v>
          </cell>
          <cell r="U20">
            <v>11711</v>
          </cell>
          <cell r="Y20">
            <v>19839.3</v>
          </cell>
          <cell r="Z20">
            <v>15630.8</v>
          </cell>
          <cell r="AA20">
            <v>15314.800000000001</v>
          </cell>
          <cell r="AB20">
            <v>14194</v>
          </cell>
          <cell r="AC20">
            <v>64484.2</v>
          </cell>
          <cell r="AD20">
            <v>22902.899999999998</v>
          </cell>
          <cell r="AE20">
            <v>24732.3</v>
          </cell>
          <cell r="AF20">
            <v>27176.3</v>
          </cell>
          <cell r="AG20">
            <v>23874.599999999988</v>
          </cell>
          <cell r="AH20">
            <v>98686.1</v>
          </cell>
          <cell r="AI20">
            <v>24463.3</v>
          </cell>
          <cell r="AJ20">
            <v>26495.599999999999</v>
          </cell>
          <cell r="AK20">
            <v>22874.9</v>
          </cell>
          <cell r="AM20">
            <v>20372.8</v>
          </cell>
          <cell r="AN20">
            <v>17645</v>
          </cell>
          <cell r="AO20">
            <v>22425.3</v>
          </cell>
          <cell r="AP20">
            <v>20579.7</v>
          </cell>
          <cell r="AQ20">
            <v>21376.7</v>
          </cell>
          <cell r="AR20">
            <v>20695.3</v>
          </cell>
          <cell r="AS20">
            <v>20272.400000000001</v>
          </cell>
          <cell r="AT20">
            <v>19032</v>
          </cell>
          <cell r="AU20">
            <v>21515</v>
          </cell>
          <cell r="AV20">
            <v>24024.699999999997</v>
          </cell>
          <cell r="AX20" t="e">
            <v>#REF!</v>
          </cell>
          <cell r="AY20" t="e">
            <v>#REF!</v>
          </cell>
          <cell r="AZ20" t="e">
            <v>#REF!</v>
          </cell>
          <cell r="BA20" t="e">
            <v>#REF!</v>
          </cell>
          <cell r="BB20" t="e">
            <v>#REF!</v>
          </cell>
          <cell r="BC20">
            <v>49198.7</v>
          </cell>
          <cell r="BD20">
            <v>72362.62000000001</v>
          </cell>
          <cell r="BG20">
            <v>12313.699999999999</v>
          </cell>
          <cell r="BH20">
            <v>9409</v>
          </cell>
          <cell r="BI20">
            <v>0.30871506004888927</v>
          </cell>
          <cell r="BJ20">
            <v>10615.7</v>
          </cell>
          <cell r="BK20">
            <v>0.15995176954887547</v>
          </cell>
          <cell r="BL20">
            <v>33828.699999999997</v>
          </cell>
          <cell r="BM20">
            <v>29681.4</v>
          </cell>
          <cell r="BN20">
            <v>0.13972723658587527</v>
          </cell>
          <cell r="BP20">
            <v>51908.6</v>
          </cell>
          <cell r="BQ20">
            <v>103817.2</v>
          </cell>
          <cell r="BR20">
            <v>39304.400000000001</v>
          </cell>
          <cell r="BS20">
            <v>45539.7</v>
          </cell>
          <cell r="BU20">
            <v>18322</v>
          </cell>
          <cell r="BV20">
            <v>18103.937365530925</v>
          </cell>
          <cell r="BW20">
            <v>18254.391500266705</v>
          </cell>
          <cell r="BX20">
            <v>-1.1901682920482215E-2</v>
          </cell>
          <cell r="BY20">
            <v>0.50112649261273079</v>
          </cell>
          <cell r="CA20">
            <v>74</v>
          </cell>
        </row>
        <row r="22">
          <cell r="A22" t="str">
            <v> Expenditure</v>
          </cell>
          <cell r="B22">
            <v>7237.3999999999987</v>
          </cell>
          <cell r="C22">
            <v>8075.4999999999991</v>
          </cell>
          <cell r="D22">
            <v>7232.7000000000007</v>
          </cell>
          <cell r="E22">
            <v>6425.2999999999993</v>
          </cell>
          <cell r="F22">
            <v>7844.8</v>
          </cell>
          <cell r="G22">
            <v>8322.6</v>
          </cell>
          <cell r="H22">
            <v>8320.3000000000011</v>
          </cell>
          <cell r="I22">
            <v>6562.9000000000005</v>
          </cell>
          <cell r="J22">
            <v>7957.1999999999989</v>
          </cell>
          <cell r="K22">
            <v>7564.5</v>
          </cell>
          <cell r="L22">
            <v>6714.4</v>
          </cell>
          <cell r="M22">
            <v>7605.8000000000011</v>
          </cell>
          <cell r="N22">
            <v>7742.4</v>
          </cell>
          <cell r="O22">
            <v>7205.1</v>
          </cell>
          <cell r="P22">
            <v>7172.3</v>
          </cell>
          <cell r="Q22">
            <v>8054.4</v>
          </cell>
          <cell r="R22">
            <v>8577.1</v>
          </cell>
          <cell r="S22">
            <v>8212.5</v>
          </cell>
          <cell r="T22">
            <v>10345.500000000002</v>
          </cell>
          <cell r="U22">
            <v>10138.200000000001</v>
          </cell>
          <cell r="Y22">
            <v>15864.199999999997</v>
          </cell>
          <cell r="Z22">
            <v>13305.8</v>
          </cell>
          <cell r="AA22">
            <v>13750.500000000002</v>
          </cell>
          <cell r="AB22">
            <v>13936</v>
          </cell>
          <cell r="AC22">
            <v>56856.500000000015</v>
          </cell>
          <cell r="AD22">
            <v>20044.599999999999</v>
          </cell>
          <cell r="AE22">
            <v>21960.399999999998</v>
          </cell>
          <cell r="AF22">
            <v>24056.300000000003</v>
          </cell>
          <cell r="AG22">
            <v>22315.500000000004</v>
          </cell>
          <cell r="AH22">
            <v>88376.799999999988</v>
          </cell>
          <cell r="AI22">
            <v>21468.100000000002</v>
          </cell>
          <cell r="AJ22">
            <v>23366.399999999994</v>
          </cell>
          <cell r="AK22">
            <v>20521.2</v>
          </cell>
          <cell r="AM22">
            <v>15312.899999999998</v>
          </cell>
          <cell r="AN22">
            <v>13658</v>
          </cell>
          <cell r="AO22">
            <v>16167.400000000001</v>
          </cell>
          <cell r="AP22">
            <v>14883.2</v>
          </cell>
          <cell r="AQ22">
            <v>15521.699999999999</v>
          </cell>
          <cell r="AR22">
            <v>14320.2</v>
          </cell>
          <cell r="AS22">
            <v>14947.5</v>
          </cell>
          <cell r="AT22">
            <v>15226.7</v>
          </cell>
          <cell r="AU22">
            <v>16789.599999999999</v>
          </cell>
          <cell r="AV22">
            <v>20483.700000000004</v>
          </cell>
          <cell r="AX22" t="e">
            <v>#REF!</v>
          </cell>
          <cell r="AY22" t="e">
            <v>#REF!</v>
          </cell>
          <cell r="AZ22" t="e">
            <v>#REF!</v>
          </cell>
          <cell r="BA22" t="e">
            <v>#REF!</v>
          </cell>
          <cell r="BB22" t="e">
            <v>#REF!</v>
          </cell>
          <cell r="BC22" t="e">
            <v>#REF!</v>
          </cell>
          <cell r="BD22">
            <v>61172.6</v>
          </cell>
          <cell r="BG22">
            <v>10345.500000000002</v>
          </cell>
          <cell r="BH22">
            <v>7172.3</v>
          </cell>
          <cell r="BI22">
            <v>0.44242432692441769</v>
          </cell>
          <cell r="BJ22">
            <v>8212.5</v>
          </cell>
          <cell r="BK22">
            <v>0.25972602739726058</v>
          </cell>
          <cell r="BL22">
            <v>27135.1</v>
          </cell>
          <cell r="BM22">
            <v>22119.8</v>
          </cell>
          <cell r="BN22">
            <v>0.22673351476957304</v>
          </cell>
          <cell r="BP22">
            <v>46016.7</v>
          </cell>
          <cell r="BR22">
            <v>30174.2</v>
          </cell>
          <cell r="BS22">
            <v>37273.299999999996</v>
          </cell>
          <cell r="BV22">
            <v>14588.78545328898</v>
          </cell>
          <cell r="BW22">
            <v>14841.90149106983</v>
          </cell>
          <cell r="BY22">
            <v>0.6489583781339805</v>
          </cell>
        </row>
        <row r="23">
          <cell r="A23" t="str">
            <v>Cost of electricty purchased</v>
          </cell>
          <cell r="B23">
            <v>344.4</v>
          </cell>
          <cell r="C23">
            <v>336.5</v>
          </cell>
          <cell r="D23">
            <v>361.2</v>
          </cell>
          <cell r="E23">
            <v>326.39999999999998</v>
          </cell>
          <cell r="F23">
            <v>351.1</v>
          </cell>
          <cell r="G23">
            <v>460.2</v>
          </cell>
          <cell r="H23">
            <v>386.8</v>
          </cell>
          <cell r="I23">
            <v>456.1</v>
          </cell>
          <cell r="J23">
            <v>467.4</v>
          </cell>
          <cell r="K23">
            <v>627.20000000000005</v>
          </cell>
          <cell r="L23">
            <v>420</v>
          </cell>
          <cell r="M23">
            <v>654.6</v>
          </cell>
          <cell r="N23">
            <v>399.5</v>
          </cell>
          <cell r="O23">
            <v>355.5</v>
          </cell>
          <cell r="P23">
            <v>367.4</v>
          </cell>
          <cell r="Q23">
            <v>651.6</v>
          </cell>
          <cell r="R23">
            <v>379</v>
          </cell>
          <cell r="S23">
            <v>425.7</v>
          </cell>
          <cell r="T23">
            <v>447.3</v>
          </cell>
          <cell r="U23">
            <v>484.8</v>
          </cell>
          <cell r="Y23">
            <v>6711</v>
          </cell>
          <cell r="Z23">
            <v>6492.2</v>
          </cell>
          <cell r="AA23">
            <v>6481.7</v>
          </cell>
          <cell r="AB23">
            <v>5192</v>
          </cell>
          <cell r="AC23">
            <v>24876.9</v>
          </cell>
          <cell r="AD23">
            <v>10822.6</v>
          </cell>
          <cell r="AE23">
            <v>12177</v>
          </cell>
          <cell r="AF23">
            <v>12339</v>
          </cell>
          <cell r="AG23">
            <v>7201.3000000000029</v>
          </cell>
          <cell r="AH23">
            <v>42539.9</v>
          </cell>
          <cell r="AI23">
            <v>9848.2999999999993</v>
          </cell>
          <cell r="AJ23">
            <v>8810.7999999999993</v>
          </cell>
          <cell r="AK23">
            <v>8910.1</v>
          </cell>
          <cell r="AM23">
            <v>680.9</v>
          </cell>
          <cell r="AN23">
            <v>687.59999999999991</v>
          </cell>
          <cell r="AO23">
            <v>811.3</v>
          </cell>
          <cell r="AP23">
            <v>842.90000000000009</v>
          </cell>
          <cell r="AQ23">
            <v>1094.5999999999999</v>
          </cell>
          <cell r="AR23">
            <v>1074.5999999999999</v>
          </cell>
          <cell r="AS23">
            <v>755</v>
          </cell>
          <cell r="AT23">
            <v>1019</v>
          </cell>
          <cell r="AU23">
            <v>804.7</v>
          </cell>
          <cell r="AV23">
            <v>932.1</v>
          </cell>
          <cell r="AX23" t="e">
            <v>#REF!</v>
          </cell>
          <cell r="AY23" t="e">
            <v>#REF!</v>
          </cell>
          <cell r="AZ23" t="e">
            <v>#REF!</v>
          </cell>
          <cell r="BA23" t="e">
            <v>#REF!</v>
          </cell>
          <cell r="BB23" t="e">
            <v>#REF!</v>
          </cell>
          <cell r="BC23" t="e">
            <v>#REF!</v>
          </cell>
          <cell r="BD23">
            <v>2919</v>
          </cell>
          <cell r="BG23">
            <v>447.3</v>
          </cell>
          <cell r="BH23">
            <v>367.4</v>
          </cell>
          <cell r="BI23">
            <v>0.21747414262384335</v>
          </cell>
          <cell r="BJ23">
            <v>425.7</v>
          </cell>
          <cell r="BK23">
            <v>5.0739957716702033E-2</v>
          </cell>
          <cell r="BL23">
            <v>1252</v>
          </cell>
          <cell r="BM23">
            <v>1122.4000000000001</v>
          </cell>
          <cell r="BN23">
            <v>0.11546685673556656</v>
          </cell>
          <cell r="BP23">
            <v>24516</v>
          </cell>
          <cell r="BQ23">
            <v>49032</v>
          </cell>
          <cell r="BR23">
            <v>1774</v>
          </cell>
          <cell r="BS23">
            <v>1736.8</v>
          </cell>
          <cell r="BV23">
            <v>700</v>
          </cell>
          <cell r="BW23">
            <v>750</v>
          </cell>
          <cell r="BY23">
            <v>16.627142857142857</v>
          </cell>
        </row>
        <row r="24">
          <cell r="A24" t="str">
            <v>Cost of fuel</v>
          </cell>
          <cell r="B24">
            <v>1000.2</v>
          </cell>
          <cell r="C24">
            <v>986.9</v>
          </cell>
          <cell r="D24">
            <v>998.3</v>
          </cell>
          <cell r="E24">
            <v>1004.9</v>
          </cell>
          <cell r="F24">
            <v>996.6</v>
          </cell>
          <cell r="G24">
            <v>1080</v>
          </cell>
          <cell r="H24">
            <v>990.6</v>
          </cell>
          <cell r="I24">
            <v>1001.8</v>
          </cell>
          <cell r="J24">
            <v>1090</v>
          </cell>
          <cell r="K24">
            <v>1004.7</v>
          </cell>
          <cell r="L24">
            <v>998.1</v>
          </cell>
          <cell r="M24">
            <v>1002.1</v>
          </cell>
          <cell r="N24">
            <v>1104.9000000000001</v>
          </cell>
          <cell r="O24">
            <v>1028</v>
          </cell>
          <cell r="P24">
            <v>1034</v>
          </cell>
          <cell r="Q24">
            <v>990.1</v>
          </cell>
          <cell r="R24">
            <v>1110.7</v>
          </cell>
          <cell r="S24">
            <v>1335.5</v>
          </cell>
          <cell r="T24">
            <v>2080.8000000000002</v>
          </cell>
          <cell r="U24">
            <v>1305</v>
          </cell>
          <cell r="Y24">
            <v>2722.4</v>
          </cell>
          <cell r="Z24">
            <v>1990.9</v>
          </cell>
          <cell r="AA24">
            <v>2499</v>
          </cell>
          <cell r="AB24">
            <v>2942.9000000000005</v>
          </cell>
          <cell r="AC24">
            <v>10155.200000000001</v>
          </cell>
          <cell r="AD24">
            <v>2967.9</v>
          </cell>
          <cell r="AE24">
            <v>3074.3</v>
          </cell>
          <cell r="AF24">
            <v>2581.6999999999998</v>
          </cell>
          <cell r="AG24">
            <v>3043.8999999999978</v>
          </cell>
          <cell r="AH24">
            <v>11667.8</v>
          </cell>
          <cell r="AI24">
            <v>3234.2</v>
          </cell>
          <cell r="AJ24">
            <v>3055.9</v>
          </cell>
          <cell r="AK24">
            <v>2705.1</v>
          </cell>
          <cell r="AM24">
            <v>1987.1</v>
          </cell>
          <cell r="AN24">
            <v>2003.1999999999998</v>
          </cell>
          <cell r="AO24">
            <v>2076.6</v>
          </cell>
          <cell r="AP24">
            <v>1992.4</v>
          </cell>
          <cell r="AQ24">
            <v>2094.6999999999998</v>
          </cell>
          <cell r="AR24">
            <v>2000.2</v>
          </cell>
          <cell r="AS24">
            <v>2132.9</v>
          </cell>
          <cell r="AT24">
            <v>2024.1</v>
          </cell>
          <cell r="AU24">
            <v>2446.1999999999998</v>
          </cell>
          <cell r="AV24">
            <v>3385.8</v>
          </cell>
          <cell r="AX24" t="e">
            <v>#REF!</v>
          </cell>
          <cell r="AY24" t="e">
            <v>#REF!</v>
          </cell>
          <cell r="AZ24" t="e">
            <v>#REF!</v>
          </cell>
          <cell r="BA24" t="e">
            <v>#REF!</v>
          </cell>
          <cell r="BB24" t="e">
            <v>#REF!</v>
          </cell>
          <cell r="BC24">
            <v>32195</v>
          </cell>
          <cell r="BD24">
            <v>4935</v>
          </cell>
          <cell r="BG24">
            <v>2080.8000000000002</v>
          </cell>
          <cell r="BH24">
            <v>1034</v>
          </cell>
          <cell r="BI24">
            <v>1.0123791102514508</v>
          </cell>
          <cell r="BJ24">
            <v>1335.5</v>
          </cell>
          <cell r="BK24">
            <v>0.55806813927368037</v>
          </cell>
          <cell r="BL24">
            <v>4527</v>
          </cell>
          <cell r="BM24">
            <v>3166.9</v>
          </cell>
          <cell r="BN24">
            <v>0.42947361773343018</v>
          </cell>
          <cell r="BP24">
            <v>5656</v>
          </cell>
          <cell r="BQ24">
            <v>11312</v>
          </cell>
          <cell r="BR24">
            <v>4157</v>
          </cell>
          <cell r="BS24">
            <v>5832</v>
          </cell>
          <cell r="BV24">
            <v>1622.0445206464917</v>
          </cell>
          <cell r="BW24">
            <v>650.65</v>
          </cell>
          <cell r="BY24">
            <v>0.59163325490660523</v>
          </cell>
        </row>
        <row r="25">
          <cell r="A25" t="str">
            <v>Tax on electricity</v>
          </cell>
          <cell r="Y25">
            <v>353</v>
          </cell>
          <cell r="Z25">
            <v>337</v>
          </cell>
          <cell r="AA25">
            <v>330.5</v>
          </cell>
          <cell r="AB25">
            <v>295.29999999999995</v>
          </cell>
          <cell r="AC25">
            <v>1315.8</v>
          </cell>
          <cell r="AD25">
            <v>370.4</v>
          </cell>
          <cell r="AE25">
            <v>416</v>
          </cell>
          <cell r="AF25">
            <v>388.1</v>
          </cell>
          <cell r="AG25">
            <v>355.09999999999991</v>
          </cell>
          <cell r="AH25">
            <v>1529.6</v>
          </cell>
          <cell r="AI25">
            <v>422.5</v>
          </cell>
          <cell r="AJ25">
            <v>399</v>
          </cell>
          <cell r="AK25">
            <v>386.6</v>
          </cell>
        </row>
        <row r="26">
          <cell r="A26" t="str">
            <v>Cost of materials</v>
          </cell>
          <cell r="B26">
            <v>4609.3999999999996</v>
          </cell>
          <cell r="C26">
            <v>5300.4</v>
          </cell>
          <cell r="D26">
            <v>4261.3</v>
          </cell>
          <cell r="E26">
            <v>3513.3</v>
          </cell>
          <cell r="F26">
            <v>5255.9</v>
          </cell>
          <cell r="G26">
            <v>5568.5</v>
          </cell>
          <cell r="H26">
            <v>6029.3</v>
          </cell>
          <cell r="I26">
            <v>3804.7</v>
          </cell>
          <cell r="J26">
            <v>5183.2</v>
          </cell>
          <cell r="K26">
            <v>4624.5</v>
          </cell>
          <cell r="L26">
            <v>4124.2</v>
          </cell>
          <cell r="M26">
            <v>4223.1000000000004</v>
          </cell>
          <cell r="N26">
            <v>5129</v>
          </cell>
          <cell r="O26">
            <v>4320.8</v>
          </cell>
          <cell r="P26">
            <v>4569.6000000000004</v>
          </cell>
          <cell r="Q26">
            <v>4620.3999999999996</v>
          </cell>
          <cell r="R26">
            <v>6041.3</v>
          </cell>
          <cell r="S26">
            <v>5105.2</v>
          </cell>
          <cell r="T26">
            <v>6453.3</v>
          </cell>
          <cell r="U26">
            <v>6365.3</v>
          </cell>
          <cell r="Y26">
            <v>2916.7</v>
          </cell>
          <cell r="Z26">
            <v>2221.6</v>
          </cell>
          <cell r="AA26">
            <v>2331.1999999999998</v>
          </cell>
          <cell r="AB26">
            <v>4468.8</v>
          </cell>
          <cell r="AC26">
            <v>11938.3</v>
          </cell>
          <cell r="AD26">
            <v>3571.1</v>
          </cell>
          <cell r="AE26">
            <v>3313.9</v>
          </cell>
          <cell r="AF26">
            <v>5877</v>
          </cell>
          <cell r="AG26">
            <v>6902.9000000000015</v>
          </cell>
          <cell r="AH26">
            <v>19664.900000000001</v>
          </cell>
          <cell r="AI26">
            <v>4407.3999999999996</v>
          </cell>
          <cell r="AJ26">
            <v>8116</v>
          </cell>
          <cell r="AK26">
            <v>5013.8</v>
          </cell>
          <cell r="AM26">
            <v>9909.7999999999993</v>
          </cell>
          <cell r="AN26">
            <v>7774.6</v>
          </cell>
          <cell r="AO26">
            <v>10824.4</v>
          </cell>
          <cell r="AP26">
            <v>9834</v>
          </cell>
          <cell r="AQ26">
            <v>9807.7000000000007</v>
          </cell>
          <cell r="AR26">
            <v>8347.2999999999993</v>
          </cell>
          <cell r="AS26">
            <v>9449.7999999999993</v>
          </cell>
          <cell r="AT26">
            <v>9190</v>
          </cell>
          <cell r="AU26">
            <v>11146.5</v>
          </cell>
          <cell r="AV26">
            <v>12818.6</v>
          </cell>
          <cell r="AX26" t="e">
            <v>#REF!</v>
          </cell>
          <cell r="AY26" t="e">
            <v>#REF!</v>
          </cell>
          <cell r="AZ26" t="e">
            <v>#REF!</v>
          </cell>
          <cell r="BA26" t="e">
            <v>#REF!</v>
          </cell>
          <cell r="BB26" t="e">
            <v>#REF!</v>
          </cell>
          <cell r="BC26">
            <v>1895.5</v>
          </cell>
          <cell r="BD26">
            <v>48134.7</v>
          </cell>
          <cell r="BG26">
            <v>6453.3</v>
          </cell>
          <cell r="BH26">
            <v>4569.6000000000004</v>
          </cell>
          <cell r="BI26">
            <v>0.41222426470588225</v>
          </cell>
          <cell r="BJ26">
            <v>5105.2</v>
          </cell>
          <cell r="BK26">
            <v>0.26406409151453425</v>
          </cell>
          <cell r="BL26">
            <v>17599.8</v>
          </cell>
          <cell r="BM26">
            <v>14019.4</v>
          </cell>
          <cell r="BN26">
            <v>0.25538896101117015</v>
          </cell>
          <cell r="BP26">
            <v>9190.9</v>
          </cell>
          <cell r="BQ26">
            <v>18381.8</v>
          </cell>
          <cell r="BR26">
            <v>18639.8</v>
          </cell>
          <cell r="BS26">
            <v>23965.1</v>
          </cell>
          <cell r="BV26">
            <v>11266.740932642488</v>
          </cell>
          <cell r="BW26">
            <v>12241.25149106983</v>
          </cell>
          <cell r="BY26">
            <v>-0.47837621942891206</v>
          </cell>
        </row>
        <row r="27">
          <cell r="A27" t="str">
            <v>Employee costs</v>
          </cell>
          <cell r="Y27">
            <v>996.3</v>
          </cell>
          <cell r="Z27">
            <v>1043.8</v>
          </cell>
          <cell r="AA27">
            <v>937.4</v>
          </cell>
          <cell r="AB27">
            <v>994.90000000000009</v>
          </cell>
          <cell r="AC27">
            <v>3972.4</v>
          </cell>
          <cell r="AD27">
            <v>1245.0999999999999</v>
          </cell>
          <cell r="AE27">
            <v>1372.1</v>
          </cell>
          <cell r="AF27">
            <v>1435.8</v>
          </cell>
          <cell r="AG27">
            <v>1313.1999999999998</v>
          </cell>
          <cell r="AH27">
            <v>5366.2</v>
          </cell>
          <cell r="AI27">
            <v>1549.4</v>
          </cell>
          <cell r="AJ27">
            <v>1610.1</v>
          </cell>
          <cell r="AK27">
            <v>1721.6</v>
          </cell>
          <cell r="BP27">
            <v>2807.8999999999996</v>
          </cell>
        </row>
        <row r="28">
          <cell r="A28" t="str">
            <v xml:space="preserve"> Other expenditure</v>
          </cell>
          <cell r="B28">
            <v>1283.4000000000001</v>
          </cell>
          <cell r="C28">
            <v>1451.7</v>
          </cell>
          <cell r="D28">
            <v>1611.9</v>
          </cell>
          <cell r="E28">
            <v>1580.7</v>
          </cell>
          <cell r="F28">
            <v>1241.2</v>
          </cell>
          <cell r="G28">
            <v>1213.9000000000001</v>
          </cell>
          <cell r="H28">
            <v>913.6</v>
          </cell>
          <cell r="I28">
            <v>1300.3</v>
          </cell>
          <cell r="J28">
            <v>1216.5999999999999</v>
          </cell>
          <cell r="K28">
            <v>1308.1000000000001</v>
          </cell>
          <cell r="L28">
            <v>1172.0999999999999</v>
          </cell>
          <cell r="M28">
            <v>1725.9999999999998</v>
          </cell>
          <cell r="N28">
            <v>1109</v>
          </cell>
          <cell r="O28">
            <v>1500.8000000000002</v>
          </cell>
          <cell r="P28">
            <v>1201.3</v>
          </cell>
          <cell r="Q28">
            <v>1792.3000000000002</v>
          </cell>
          <cell r="R28">
            <v>1046.0999999999999</v>
          </cell>
          <cell r="S28">
            <v>1346.1</v>
          </cell>
          <cell r="T28">
            <v>1364.1</v>
          </cell>
          <cell r="U28">
            <v>1983.1</v>
          </cell>
          <cell r="Y28">
            <v>2164.8000000000002</v>
          </cell>
          <cell r="Z28">
            <v>1220.3</v>
          </cell>
          <cell r="AA28">
            <v>1170.7</v>
          </cell>
          <cell r="AB28">
            <v>42.099999999999454</v>
          </cell>
          <cell r="AC28">
            <v>4597.8999999999996</v>
          </cell>
          <cell r="AD28">
            <v>1067.5</v>
          </cell>
          <cell r="AE28">
            <v>1607.1</v>
          </cell>
          <cell r="AF28">
            <v>1434.7</v>
          </cell>
          <cell r="AG28">
            <v>3499.0999999999995</v>
          </cell>
          <cell r="AH28">
            <v>7608.4</v>
          </cell>
          <cell r="AI28">
            <v>2006.3</v>
          </cell>
          <cell r="AJ28">
            <v>1374.6</v>
          </cell>
          <cell r="AK28">
            <v>1784</v>
          </cell>
          <cell r="AM28">
            <v>2735.1000000000004</v>
          </cell>
          <cell r="AN28">
            <v>3192.6000000000004</v>
          </cell>
          <cell r="AO28">
            <v>3192.6000000000004</v>
          </cell>
          <cell r="AP28">
            <v>2821.9</v>
          </cell>
          <cell r="AQ28">
            <v>2455.1000000000004</v>
          </cell>
          <cell r="AR28">
            <v>2127.5</v>
          </cell>
          <cell r="AS28">
            <v>2213.9</v>
          </cell>
          <cell r="AT28">
            <v>2516.8999999999996</v>
          </cell>
          <cell r="AU28">
            <v>2524.6999999999998</v>
          </cell>
          <cell r="AV28">
            <v>2480.1999999999998</v>
          </cell>
          <cell r="AX28" t="e">
            <v>#REF!</v>
          </cell>
          <cell r="AY28" t="e">
            <v>#REF!</v>
          </cell>
          <cell r="AZ28" t="e">
            <v>#REF!</v>
          </cell>
          <cell r="BA28" t="e">
            <v>#REF!</v>
          </cell>
          <cell r="BB28" t="e">
            <v>#REF!</v>
          </cell>
          <cell r="BC28" t="e">
            <v>#REF!</v>
          </cell>
          <cell r="BD28">
            <v>5183.8999999999996</v>
          </cell>
          <cell r="BG28">
            <v>1364.1</v>
          </cell>
          <cell r="BH28">
            <v>1201.3</v>
          </cell>
          <cell r="BI28">
            <v>0.13551985349205031</v>
          </cell>
          <cell r="BJ28">
            <v>1346.1</v>
          </cell>
          <cell r="BK28">
            <v>1.3371963449966495E-2</v>
          </cell>
          <cell r="BL28">
            <v>3756.2999999999997</v>
          </cell>
          <cell r="BM28">
            <v>3811.1000000000004</v>
          </cell>
          <cell r="BN28">
            <v>-1.4379050667786331E-2</v>
          </cell>
          <cell r="BP28">
            <v>3041.8</v>
          </cell>
          <cell r="BQ28">
            <v>6083.6</v>
          </cell>
          <cell r="BR28">
            <v>5603.4000000000005</v>
          </cell>
          <cell r="BS28">
            <v>5739.4</v>
          </cell>
          <cell r="BV28">
            <v>1000</v>
          </cell>
          <cell r="BW28">
            <v>1200</v>
          </cell>
          <cell r="BY28">
            <v>0.43470000000000009</v>
          </cell>
        </row>
        <row r="29">
          <cell r="A29" t="str">
            <v>EBITDA</v>
          </cell>
          <cell r="B29">
            <v>2090.6000000000013</v>
          </cell>
          <cell r="C29">
            <v>2969.3</v>
          </cell>
          <cell r="D29">
            <v>2055.5</v>
          </cell>
          <cell r="E29">
            <v>1931.5</v>
          </cell>
          <cell r="F29">
            <v>2559.0999999999995</v>
          </cell>
          <cell r="G29">
            <v>3698.7999999999993</v>
          </cell>
          <cell r="H29">
            <v>3158.7999999999993</v>
          </cell>
          <cell r="I29">
            <v>2537.6999999999998</v>
          </cell>
          <cell r="J29">
            <v>2800.2000000000025</v>
          </cell>
          <cell r="K29">
            <v>3054.7999999999993</v>
          </cell>
          <cell r="L29">
            <v>3560.1000000000004</v>
          </cell>
          <cell r="M29">
            <v>2814.9999999999982</v>
          </cell>
          <cell r="N29">
            <v>3126.1000000000004</v>
          </cell>
          <cell r="O29">
            <v>2198.7999999999993</v>
          </cell>
          <cell r="P29">
            <v>2236.6999999999998</v>
          </cell>
          <cell r="Q29">
            <v>1568.6000000000004</v>
          </cell>
          <cell r="R29">
            <v>2322.1999999999989</v>
          </cell>
          <cell r="S29">
            <v>2403.2000000000007</v>
          </cell>
          <cell r="T29">
            <v>1968.1999999999971</v>
          </cell>
          <cell r="U29">
            <v>1572.7999999999993</v>
          </cell>
          <cell r="Y29">
            <v>3975.1000000000022</v>
          </cell>
          <cell r="Z29">
            <v>2325</v>
          </cell>
          <cell r="AA29">
            <v>1564.2999999999993</v>
          </cell>
          <cell r="AB29">
            <v>258</v>
          </cell>
          <cell r="AC29">
            <v>7627.6999999999825</v>
          </cell>
          <cell r="AD29">
            <v>2858.2999999999993</v>
          </cell>
          <cell r="AE29">
            <v>2771.9000000000015</v>
          </cell>
          <cell r="AF29">
            <v>3119.9999999999964</v>
          </cell>
          <cell r="AG29">
            <v>1559.099999999984</v>
          </cell>
          <cell r="AH29">
            <v>10309.300000000017</v>
          </cell>
          <cell r="AI29">
            <v>2995.1999999999971</v>
          </cell>
          <cell r="AJ29">
            <v>3129.2000000000044</v>
          </cell>
          <cell r="AK29">
            <v>2353.7000000000007</v>
          </cell>
          <cell r="AM29">
            <v>5059.9000000000015</v>
          </cell>
          <cell r="AN29">
            <v>3987</v>
          </cell>
          <cell r="AO29">
            <v>6257.8999999999987</v>
          </cell>
          <cell r="AP29">
            <v>5696.4999999999991</v>
          </cell>
          <cell r="AQ29">
            <v>5855.0000000000018</v>
          </cell>
          <cell r="AR29">
            <v>6375.0999999999985</v>
          </cell>
          <cell r="AS29">
            <v>5324.9</v>
          </cell>
          <cell r="AT29">
            <v>3805.3</v>
          </cell>
          <cell r="AU29">
            <v>4725.3999999999996</v>
          </cell>
          <cell r="AV29">
            <v>3540.9999999999964</v>
          </cell>
          <cell r="AX29" t="e">
            <v>#REF!</v>
          </cell>
          <cell r="AY29" t="e">
            <v>#REF!</v>
          </cell>
          <cell r="AZ29" t="e">
            <v>#REF!</v>
          </cell>
          <cell r="BA29" t="e">
            <v>#REF!</v>
          </cell>
          <cell r="BB29" t="e">
            <v>#REF!</v>
          </cell>
          <cell r="BC29" t="e">
            <v>#REF!</v>
          </cell>
          <cell r="BD29">
            <v>11190.020000000011</v>
          </cell>
          <cell r="BG29">
            <v>1968.1999999999971</v>
          </cell>
          <cell r="BH29">
            <v>2236.6999999999998</v>
          </cell>
          <cell r="BI29">
            <v>-0.12004292037376618</v>
          </cell>
          <cell r="BJ29">
            <v>2403.2000000000007</v>
          </cell>
          <cell r="BK29">
            <v>-0.18100865512649944</v>
          </cell>
          <cell r="BL29">
            <v>6693.5999999999967</v>
          </cell>
          <cell r="BM29">
            <v>7561.5999999999995</v>
          </cell>
          <cell r="BN29">
            <v>-0.11479052052475702</v>
          </cell>
          <cell r="BP29">
            <v>5891.8999999999978</v>
          </cell>
          <cell r="BR29">
            <v>9130.2000000000007</v>
          </cell>
          <cell r="BS29">
            <v>8266.4000000000015</v>
          </cell>
          <cell r="BU29">
            <v>3249</v>
          </cell>
          <cell r="BV29">
            <v>3515.151912241945</v>
          </cell>
          <cell r="BW29">
            <v>3412.4900091968757</v>
          </cell>
          <cell r="BX29">
            <v>8.1918101644181229E-2</v>
          </cell>
          <cell r="BY29">
            <v>-0.11241389336995189</v>
          </cell>
        </row>
        <row r="30">
          <cell r="A30" t="str">
            <v>Margin</v>
          </cell>
          <cell r="Y30">
            <v>0.20036493223047197</v>
          </cell>
          <cell r="Z30">
            <v>0.14874478593546075</v>
          </cell>
          <cell r="AA30">
            <v>0.10214302504766626</v>
          </cell>
          <cell r="AB30">
            <v>1.8176694377906158E-2</v>
          </cell>
          <cell r="AC30">
            <v>0.11828789067709583</v>
          </cell>
          <cell r="AD30">
            <v>0.12480078941968045</v>
          </cell>
          <cell r="AE30">
            <v>0.11207611099655113</v>
          </cell>
          <cell r="AF30">
            <v>0.11480591544838688</v>
          </cell>
          <cell r="AG30">
            <v>6.5303711894648911E-2</v>
          </cell>
          <cell r="AH30">
            <v>0.10446557316582596</v>
          </cell>
          <cell r="AI30">
            <v>0.12243646605323064</v>
          </cell>
          <cell r="AJ30">
            <v>0.11810262836093557</v>
          </cell>
          <cell r="AK30">
            <v>0.10289443888279295</v>
          </cell>
          <cell r="BD30">
            <v>0.15463812670132743</v>
          </cell>
          <cell r="BP30">
            <v>0.11350527658230039</v>
          </cell>
          <cell r="BV30">
            <v>0.19416505046767532</v>
          </cell>
          <cell r="BW30">
            <v>0.18694077034268808</v>
          </cell>
        </row>
        <row r="31">
          <cell r="A31" t="str">
            <v>Depreciation</v>
          </cell>
          <cell r="B31">
            <v>700.6</v>
          </cell>
          <cell r="C31">
            <v>700.6</v>
          </cell>
          <cell r="D31">
            <v>700.5</v>
          </cell>
          <cell r="E31">
            <v>714.8</v>
          </cell>
          <cell r="F31">
            <v>823.5</v>
          </cell>
          <cell r="G31">
            <v>804.4</v>
          </cell>
          <cell r="H31">
            <v>808</v>
          </cell>
          <cell r="I31">
            <v>744.5</v>
          </cell>
          <cell r="J31">
            <v>815.4</v>
          </cell>
          <cell r="K31">
            <v>820.9</v>
          </cell>
          <cell r="L31">
            <v>859.1</v>
          </cell>
          <cell r="M31">
            <v>844.1</v>
          </cell>
          <cell r="N31">
            <v>1208.9000000000001</v>
          </cell>
          <cell r="O31">
            <v>751.2</v>
          </cell>
          <cell r="P31">
            <v>607.5</v>
          </cell>
          <cell r="Q31">
            <v>703.69999999999993</v>
          </cell>
          <cell r="R31">
            <v>656.1</v>
          </cell>
          <cell r="S31">
            <v>681.5</v>
          </cell>
          <cell r="T31">
            <v>711.8</v>
          </cell>
          <cell r="U31">
            <v>734</v>
          </cell>
          <cell r="Y31">
            <v>581.29999999999995</v>
          </cell>
          <cell r="Z31">
            <v>555.79999999999995</v>
          </cell>
          <cell r="AA31">
            <v>566</v>
          </cell>
          <cell r="AB31">
            <v>526.30000000000018</v>
          </cell>
          <cell r="AC31">
            <v>2229.4</v>
          </cell>
          <cell r="AD31">
            <v>612.1</v>
          </cell>
          <cell r="AE31">
            <v>620</v>
          </cell>
          <cell r="AF31">
            <v>589.4</v>
          </cell>
          <cell r="AG31">
            <v>627.30000000000018</v>
          </cell>
          <cell r="AH31">
            <v>2448.8000000000002</v>
          </cell>
          <cell r="AI31">
            <v>722</v>
          </cell>
          <cell r="AJ31">
            <v>739.6</v>
          </cell>
          <cell r="AK31">
            <v>830.2</v>
          </cell>
          <cell r="AM31">
            <v>1401.2</v>
          </cell>
          <cell r="AN31">
            <v>1415.3</v>
          </cell>
          <cell r="AO31">
            <v>1627.9</v>
          </cell>
          <cell r="AP31">
            <v>1552.5</v>
          </cell>
          <cell r="AQ31">
            <v>1636.3</v>
          </cell>
          <cell r="AR31">
            <v>1703.2</v>
          </cell>
          <cell r="AS31">
            <v>1960.1000000000001</v>
          </cell>
          <cell r="AT31">
            <v>1311.1999999999998</v>
          </cell>
          <cell r="AU31">
            <v>1337.6</v>
          </cell>
          <cell r="AV31">
            <v>1445.8</v>
          </cell>
          <cell r="AX31" t="e">
            <v>#REF!</v>
          </cell>
          <cell r="AY31" t="e">
            <v>#REF!</v>
          </cell>
          <cell r="AZ31" t="e">
            <v>#REF!</v>
          </cell>
          <cell r="BA31" t="e">
            <v>#REF!</v>
          </cell>
          <cell r="BB31" t="e">
            <v>#REF!</v>
          </cell>
          <cell r="BC31" t="e">
            <v>#REF!</v>
          </cell>
          <cell r="BD31">
            <v>3288.5</v>
          </cell>
          <cell r="BG31">
            <v>711.8</v>
          </cell>
          <cell r="BH31">
            <v>607.5</v>
          </cell>
          <cell r="BI31">
            <v>0.17168724279835379</v>
          </cell>
          <cell r="BJ31">
            <v>681.5</v>
          </cell>
          <cell r="BK31">
            <v>4.446074834922964E-2</v>
          </cell>
          <cell r="BL31">
            <v>2049.3999999999996</v>
          </cell>
          <cell r="BM31">
            <v>2567.6000000000004</v>
          </cell>
          <cell r="BN31">
            <v>-0.20182271381835204</v>
          </cell>
          <cell r="BP31">
            <v>1209.4000000000001</v>
          </cell>
          <cell r="BQ31">
            <v>2418.8000000000002</v>
          </cell>
          <cell r="BR31">
            <v>3271.3</v>
          </cell>
          <cell r="BS31">
            <v>2783.3999999999996</v>
          </cell>
          <cell r="BV31">
            <v>700</v>
          </cell>
          <cell r="BW31">
            <v>800</v>
          </cell>
        </row>
        <row r="32">
          <cell r="A32" t="str">
            <v>Financial charges</v>
          </cell>
          <cell r="B32">
            <v>602.4</v>
          </cell>
          <cell r="C32">
            <v>890.3</v>
          </cell>
          <cell r="D32">
            <v>717.8</v>
          </cell>
          <cell r="E32">
            <v>854.3</v>
          </cell>
          <cell r="F32">
            <v>795.7</v>
          </cell>
          <cell r="G32">
            <v>1031.8</v>
          </cell>
          <cell r="H32">
            <v>845.1</v>
          </cell>
          <cell r="I32">
            <v>731.8</v>
          </cell>
          <cell r="J32">
            <v>778.7</v>
          </cell>
          <cell r="K32">
            <v>617.4</v>
          </cell>
          <cell r="L32">
            <v>570.20000000000005</v>
          </cell>
          <cell r="M32">
            <v>870.9</v>
          </cell>
          <cell r="N32">
            <v>597.4</v>
          </cell>
          <cell r="O32">
            <v>487.4</v>
          </cell>
          <cell r="P32">
            <v>428.8</v>
          </cell>
          <cell r="Q32">
            <v>400.8</v>
          </cell>
          <cell r="R32">
            <v>378.5</v>
          </cell>
          <cell r="S32">
            <v>430.3</v>
          </cell>
          <cell r="T32">
            <v>424.2</v>
          </cell>
          <cell r="U32">
            <v>419.8</v>
          </cell>
          <cell r="Y32">
            <v>692.9</v>
          </cell>
          <cell r="Z32">
            <v>854.3</v>
          </cell>
          <cell r="AA32">
            <v>854.4</v>
          </cell>
          <cell r="AB32">
            <v>686</v>
          </cell>
          <cell r="AC32">
            <v>3087.6</v>
          </cell>
          <cell r="AD32">
            <v>774.2</v>
          </cell>
          <cell r="AE32">
            <v>652.79999999999995</v>
          </cell>
          <cell r="AF32">
            <v>865.4</v>
          </cell>
          <cell r="AG32">
            <v>1012.5999999999999</v>
          </cell>
          <cell r="AH32">
            <v>3305</v>
          </cell>
          <cell r="AI32">
            <v>1036.7</v>
          </cell>
          <cell r="AJ32">
            <v>739.6</v>
          </cell>
          <cell r="AK32">
            <v>565.29999999999995</v>
          </cell>
          <cell r="AM32">
            <v>1492.6999999999998</v>
          </cell>
          <cell r="AN32">
            <v>1572.1</v>
          </cell>
          <cell r="AO32">
            <v>1827.5</v>
          </cell>
          <cell r="AP32">
            <v>1576.9</v>
          </cell>
          <cell r="AQ32">
            <v>1396.1</v>
          </cell>
          <cell r="AR32">
            <v>1441.1</v>
          </cell>
          <cell r="AS32">
            <v>1084.8</v>
          </cell>
          <cell r="AT32">
            <v>829.6</v>
          </cell>
          <cell r="AU32">
            <v>808.8</v>
          </cell>
          <cell r="AV32">
            <v>844</v>
          </cell>
          <cell r="AX32" t="e">
            <v>#REF!</v>
          </cell>
          <cell r="AY32" t="e">
            <v>#REF!</v>
          </cell>
          <cell r="AZ32" t="e">
            <v>#REF!</v>
          </cell>
          <cell r="BA32" t="e">
            <v>#REF!</v>
          </cell>
          <cell r="BB32" t="e">
            <v>#REF!</v>
          </cell>
          <cell r="BC32">
            <v>3032.8610666666668</v>
          </cell>
          <cell r="BD32">
            <v>3057.9</v>
          </cell>
          <cell r="BG32">
            <v>424.2</v>
          </cell>
          <cell r="BH32">
            <v>428.8</v>
          </cell>
          <cell r="BI32">
            <v>-1.0727611940298587E-2</v>
          </cell>
          <cell r="BJ32">
            <v>430.3</v>
          </cell>
          <cell r="BK32">
            <v>-1.4176156170113918E-2</v>
          </cell>
          <cell r="BL32">
            <v>1233</v>
          </cell>
          <cell r="BM32">
            <v>1513.6</v>
          </cell>
          <cell r="BN32">
            <v>-0.1853858350951374</v>
          </cell>
          <cell r="BP32">
            <v>1518.1999999999998</v>
          </cell>
          <cell r="BQ32">
            <v>3036.3999999999996</v>
          </cell>
          <cell r="BR32">
            <v>1914.3999999999999</v>
          </cell>
          <cell r="BS32">
            <v>1652.8</v>
          </cell>
          <cell r="BT32">
            <v>2530.7999999999997</v>
          </cell>
          <cell r="BV32">
            <v>700</v>
          </cell>
          <cell r="BW32">
            <v>800</v>
          </cell>
        </row>
        <row r="33">
          <cell r="A33" t="str">
            <v>Other Income</v>
          </cell>
          <cell r="B33">
            <v>306.39999999999998</v>
          </cell>
          <cell r="C33">
            <v>984.6</v>
          </cell>
          <cell r="D33">
            <v>647.9</v>
          </cell>
          <cell r="E33">
            <v>700.1</v>
          </cell>
          <cell r="F33">
            <v>297.39999999999998</v>
          </cell>
          <cell r="G33">
            <v>564.6</v>
          </cell>
          <cell r="H33">
            <v>326.10000000000002</v>
          </cell>
          <cell r="I33">
            <v>332.2</v>
          </cell>
          <cell r="J33">
            <v>241.5</v>
          </cell>
          <cell r="K33">
            <v>407</v>
          </cell>
          <cell r="L33">
            <v>378.6</v>
          </cell>
          <cell r="M33">
            <v>489.8</v>
          </cell>
          <cell r="N33">
            <v>174.7</v>
          </cell>
          <cell r="O33">
            <v>473.79999999999995</v>
          </cell>
          <cell r="P33">
            <v>404.7</v>
          </cell>
          <cell r="Q33">
            <v>383.79999999999995</v>
          </cell>
          <cell r="R33">
            <v>315.2</v>
          </cell>
          <cell r="S33">
            <v>421</v>
          </cell>
          <cell r="T33">
            <v>445.89999999999986</v>
          </cell>
          <cell r="U33">
            <v>530</v>
          </cell>
          <cell r="Y33">
            <v>0</v>
          </cell>
          <cell r="Z33">
            <v>2069.9</v>
          </cell>
          <cell r="AA33">
            <v>2656.2</v>
          </cell>
          <cell r="AB33">
            <v>4480.1999999999989</v>
          </cell>
          <cell r="AC33">
            <v>9206.2999999999993</v>
          </cell>
          <cell r="AD33">
            <v>1102.5999999999999</v>
          </cell>
          <cell r="AE33">
            <v>2016.3</v>
          </cell>
          <cell r="AF33">
            <v>1435.8</v>
          </cell>
          <cell r="AG33">
            <v>2824.1000000000004</v>
          </cell>
          <cell r="AH33">
            <v>7378.8</v>
          </cell>
          <cell r="AI33">
            <v>2441.8000000000002</v>
          </cell>
          <cell r="AJ33">
            <v>1632.6</v>
          </cell>
          <cell r="AK33">
            <v>2155.8000000000002</v>
          </cell>
          <cell r="AM33">
            <v>1291</v>
          </cell>
          <cell r="AN33">
            <v>1348</v>
          </cell>
          <cell r="AO33">
            <v>862</v>
          </cell>
          <cell r="AP33">
            <v>658.3</v>
          </cell>
          <cell r="AQ33">
            <v>648.5</v>
          </cell>
          <cell r="AR33">
            <v>868.40000000000009</v>
          </cell>
          <cell r="AS33">
            <v>648.5</v>
          </cell>
          <cell r="AT33">
            <v>788.5</v>
          </cell>
          <cell r="AU33">
            <v>736.2</v>
          </cell>
          <cell r="AV33">
            <v>975.89999999999986</v>
          </cell>
          <cell r="AX33" t="e">
            <v>#REF!</v>
          </cell>
          <cell r="AY33" t="e">
            <v>#REF!</v>
          </cell>
          <cell r="AZ33" t="e">
            <v>#REF!</v>
          </cell>
          <cell r="BA33" t="e">
            <v>#REF!</v>
          </cell>
          <cell r="BB33" t="e">
            <v>#REF!</v>
          </cell>
          <cell r="BC33" t="e">
            <v>#REF!</v>
          </cell>
          <cell r="BD33">
            <v>6323.5</v>
          </cell>
          <cell r="BG33">
            <v>445.89999999999986</v>
          </cell>
          <cell r="BH33">
            <v>404.7</v>
          </cell>
          <cell r="BI33">
            <v>0.10180380528786714</v>
          </cell>
          <cell r="BJ33">
            <v>421</v>
          </cell>
          <cell r="BK33">
            <v>5.914489311163873E-2</v>
          </cell>
          <cell r="BL33">
            <v>1182.0999999999999</v>
          </cell>
          <cell r="BM33">
            <v>1053.2</v>
          </cell>
          <cell r="BN33">
            <v>0.12238890998860597</v>
          </cell>
          <cell r="BP33">
            <v>3452.1</v>
          </cell>
          <cell r="BQ33">
            <v>6904.2</v>
          </cell>
          <cell r="BR33">
            <v>1437</v>
          </cell>
          <cell r="BS33">
            <v>1712.1</v>
          </cell>
          <cell r="BT33">
            <v>6.5928998938435776E-2</v>
          </cell>
          <cell r="BV33">
            <v>500</v>
          </cell>
          <cell r="BW33">
            <v>400</v>
          </cell>
        </row>
        <row r="34">
          <cell r="A34" t="str">
            <v>Profit before tax</v>
          </cell>
          <cell r="B34">
            <v>1094.0000000000014</v>
          </cell>
          <cell r="C34">
            <v>2363.0000000000005</v>
          </cell>
          <cell r="D34">
            <v>1285.0999999999999</v>
          </cell>
          <cell r="E34">
            <v>1062.5</v>
          </cell>
          <cell r="F34">
            <v>1237.2999999999993</v>
          </cell>
          <cell r="G34">
            <v>2427.1999999999994</v>
          </cell>
          <cell r="H34">
            <v>1831.7999999999993</v>
          </cell>
          <cell r="I34">
            <v>1393.6</v>
          </cell>
          <cell r="J34">
            <v>1447.6000000000024</v>
          </cell>
          <cell r="K34">
            <v>2023.4999999999991</v>
          </cell>
          <cell r="L34">
            <v>2509.4</v>
          </cell>
          <cell r="M34">
            <v>1589.7999999999981</v>
          </cell>
          <cell r="N34">
            <v>1494.5000000000002</v>
          </cell>
          <cell r="O34">
            <v>1433.9999999999991</v>
          </cell>
          <cell r="P34">
            <v>1605.1</v>
          </cell>
          <cell r="Q34">
            <v>847.90000000000032</v>
          </cell>
          <cell r="R34">
            <v>1602.799999999999</v>
          </cell>
          <cell r="S34">
            <v>1712.4000000000008</v>
          </cell>
          <cell r="T34">
            <v>1278.099999999997</v>
          </cell>
          <cell r="U34">
            <v>948.99999999999932</v>
          </cell>
          <cell r="Y34">
            <v>2700.9000000000019</v>
          </cell>
          <cell r="Z34">
            <v>2984.8</v>
          </cell>
          <cell r="AA34">
            <v>2800.099999999999</v>
          </cell>
          <cell r="AB34">
            <v>3525.8999999999987</v>
          </cell>
          <cell r="AC34">
            <v>11516.999999999982</v>
          </cell>
          <cell r="AD34">
            <v>2574.5999999999995</v>
          </cell>
          <cell r="AE34">
            <v>3515.4000000000015</v>
          </cell>
          <cell r="AF34">
            <v>3100.9999999999964</v>
          </cell>
          <cell r="AG34">
            <v>2743.2999999999843</v>
          </cell>
          <cell r="AH34">
            <v>11934.300000000017</v>
          </cell>
          <cell r="AI34">
            <v>3678.2999999999975</v>
          </cell>
          <cell r="AJ34">
            <v>3282.6000000000045</v>
          </cell>
          <cell r="AK34">
            <v>3114.0000000000009</v>
          </cell>
          <cell r="AM34">
            <v>3457.0000000000018</v>
          </cell>
          <cell r="AN34">
            <v>2347.6</v>
          </cell>
          <cell r="AO34">
            <v>3664.4999999999986</v>
          </cell>
          <cell r="AP34">
            <v>3225.3999999999992</v>
          </cell>
          <cell r="AQ34">
            <v>3471.1000000000013</v>
          </cell>
          <cell r="AR34">
            <v>4099.199999999998</v>
          </cell>
          <cell r="AS34">
            <v>2928.4999999999991</v>
          </cell>
          <cell r="AT34">
            <v>2453</v>
          </cell>
          <cell r="AU34">
            <v>3315.2</v>
          </cell>
          <cell r="AV34">
            <v>2227.0999999999963</v>
          </cell>
          <cell r="AX34" t="e">
            <v>#REF!</v>
          </cell>
          <cell r="AY34" t="e">
            <v>#REF!</v>
          </cell>
          <cell r="AZ34" t="e">
            <v>#REF!</v>
          </cell>
          <cell r="BA34" t="e">
            <v>#REF!</v>
          </cell>
          <cell r="BB34" t="e">
            <v>#REF!</v>
          </cell>
          <cell r="BC34" t="e">
            <v>#REF!</v>
          </cell>
          <cell r="BD34">
            <v>11167.120000000012</v>
          </cell>
          <cell r="BG34">
            <v>1278.099999999997</v>
          </cell>
          <cell r="BH34">
            <v>1605.1</v>
          </cell>
          <cell r="BI34">
            <v>-0.20372562457167964</v>
          </cell>
          <cell r="BJ34">
            <v>1712.4000000000008</v>
          </cell>
          <cell r="BK34">
            <v>-0.25362064938098783</v>
          </cell>
          <cell r="BL34">
            <v>4593.2999999999965</v>
          </cell>
          <cell r="BM34">
            <v>4533.5999999999985</v>
          </cell>
          <cell r="BN34">
            <v>1.3168343038644448E-2</v>
          </cell>
          <cell r="BP34">
            <v>6616.3999999999978</v>
          </cell>
          <cell r="BR34">
            <v>5381.5000000000009</v>
          </cell>
          <cell r="BS34">
            <v>5542.300000000002</v>
          </cell>
          <cell r="BU34">
            <v>2391</v>
          </cell>
          <cell r="BV34">
            <v>2615.151912241945</v>
          </cell>
          <cell r="BW34">
            <v>2212.4900091968757</v>
          </cell>
          <cell r="BX34">
            <v>9.3748185797551287E-2</v>
          </cell>
        </row>
        <row r="35">
          <cell r="A35" t="str">
            <v>Tax</v>
          </cell>
          <cell r="B35">
            <v>450</v>
          </cell>
          <cell r="C35">
            <v>576.9</v>
          </cell>
          <cell r="D35">
            <v>195.3</v>
          </cell>
          <cell r="E35">
            <v>413.9</v>
          </cell>
          <cell r="F35">
            <v>400</v>
          </cell>
          <cell r="G35">
            <v>957.2</v>
          </cell>
          <cell r="H35">
            <v>372.1</v>
          </cell>
          <cell r="I35">
            <v>514.5</v>
          </cell>
          <cell r="J35">
            <v>516.6</v>
          </cell>
          <cell r="K35">
            <v>745.6</v>
          </cell>
          <cell r="L35">
            <v>664.5</v>
          </cell>
          <cell r="M35">
            <v>325.2</v>
          </cell>
          <cell r="N35">
            <v>536.65000000000009</v>
          </cell>
          <cell r="O35">
            <v>425.90000000000003</v>
          </cell>
          <cell r="P35">
            <v>475</v>
          </cell>
          <cell r="Q35">
            <v>54.5</v>
          </cell>
          <cell r="R35">
            <v>507</v>
          </cell>
          <cell r="S35">
            <v>455.7</v>
          </cell>
          <cell r="T35">
            <v>321.29999999999995</v>
          </cell>
          <cell r="U35">
            <v>85.100000000000009</v>
          </cell>
          <cell r="Y35">
            <v>485.3</v>
          </cell>
          <cell r="Z35">
            <v>484</v>
          </cell>
          <cell r="AA35">
            <v>-215.89999999999998</v>
          </cell>
          <cell r="AB35">
            <v>-82.699999999999932</v>
          </cell>
          <cell r="AC35">
            <v>670.7</v>
          </cell>
          <cell r="AD35">
            <v>49.199999999999989</v>
          </cell>
          <cell r="AE35">
            <v>625.70000000000005</v>
          </cell>
          <cell r="AF35">
            <v>589</v>
          </cell>
          <cell r="AG35">
            <v>-718.4</v>
          </cell>
          <cell r="AH35">
            <v>545.50000000000011</v>
          </cell>
          <cell r="AI35">
            <v>512.6</v>
          </cell>
          <cell r="AJ35">
            <v>213.59999999999997</v>
          </cell>
          <cell r="AK35">
            <v>342.7</v>
          </cell>
          <cell r="AM35">
            <v>1026.9000000000001</v>
          </cell>
          <cell r="AN35">
            <v>609.20000000000005</v>
          </cell>
          <cell r="AO35">
            <v>1357.2</v>
          </cell>
          <cell r="AP35">
            <v>886.6</v>
          </cell>
          <cell r="AQ35">
            <v>1262.2</v>
          </cell>
          <cell r="AR35">
            <v>989.7</v>
          </cell>
          <cell r="AS35">
            <v>962.55000000000018</v>
          </cell>
          <cell r="AT35">
            <v>529.5</v>
          </cell>
          <cell r="AU35">
            <v>962.7</v>
          </cell>
          <cell r="AV35">
            <v>406.4</v>
          </cell>
          <cell r="AX35" t="e">
            <v>#REF!</v>
          </cell>
          <cell r="AY35" t="e">
            <v>#REF!</v>
          </cell>
          <cell r="AZ35" t="e">
            <v>#REF!</v>
          </cell>
          <cell r="BA35" t="e">
            <v>#REF!</v>
          </cell>
          <cell r="BB35" t="e">
            <v>#REF!</v>
          </cell>
          <cell r="BC35">
            <v>1177.572199999998</v>
          </cell>
          <cell r="BD35">
            <v>1944.8</v>
          </cell>
          <cell r="BG35">
            <v>321.29999999999995</v>
          </cell>
          <cell r="BH35">
            <v>475</v>
          </cell>
          <cell r="BI35">
            <v>-0.32357894736842119</v>
          </cell>
          <cell r="BJ35">
            <v>455.7</v>
          </cell>
          <cell r="BK35">
            <v>-0.29493087557603692</v>
          </cell>
          <cell r="BL35">
            <v>1284</v>
          </cell>
          <cell r="BM35">
            <v>1437.5500000000002</v>
          </cell>
          <cell r="BN35">
            <v>-0.10681367604605063</v>
          </cell>
          <cell r="BP35">
            <v>1214.7</v>
          </cell>
          <cell r="BQ35">
            <v>2429.4</v>
          </cell>
          <cell r="BR35">
            <v>1492.0500000000002</v>
          </cell>
          <cell r="BS35">
            <v>1369.1</v>
          </cell>
          <cell r="BV35">
            <v>392.27278683629174</v>
          </cell>
          <cell r="BW35">
            <v>442.49800183937515</v>
          </cell>
        </row>
        <row r="36">
          <cell r="A36" t="str">
            <v xml:space="preserve">Current </v>
          </cell>
          <cell r="H36">
            <v>515</v>
          </cell>
          <cell r="L36">
            <v>685.9</v>
          </cell>
          <cell r="M36">
            <v>363.4</v>
          </cell>
          <cell r="N36">
            <v>502.75000000000006</v>
          </cell>
          <cell r="O36">
            <v>254.40000000000003</v>
          </cell>
          <cell r="P36">
            <v>352.40000000000003</v>
          </cell>
          <cell r="Q36">
            <v>96.5</v>
          </cell>
          <cell r="R36">
            <v>574.9</v>
          </cell>
          <cell r="S36">
            <v>526.4</v>
          </cell>
          <cell r="T36">
            <v>365.59999999999997</v>
          </cell>
          <cell r="U36">
            <v>176.9</v>
          </cell>
          <cell r="Y36">
            <v>0</v>
          </cell>
          <cell r="Z36">
            <v>0</v>
          </cell>
          <cell r="AM36">
            <v>0</v>
          </cell>
          <cell r="AN36">
            <v>0</v>
          </cell>
          <cell r="AO36">
            <v>0</v>
          </cell>
          <cell r="AP36">
            <v>515</v>
          </cell>
          <cell r="AQ36">
            <v>0</v>
          </cell>
          <cell r="AR36">
            <v>1049.3</v>
          </cell>
          <cell r="AS36">
            <v>757.15000000000009</v>
          </cell>
          <cell r="AT36">
            <v>448.90000000000003</v>
          </cell>
          <cell r="AU36">
            <v>1101.3</v>
          </cell>
          <cell r="AV36">
            <v>542.5</v>
          </cell>
          <cell r="AX36" t="e">
            <v>#REF!</v>
          </cell>
          <cell r="AY36" t="e">
            <v>#REF!</v>
          </cell>
          <cell r="AZ36" t="e">
            <v>#REF!</v>
          </cell>
          <cell r="BA36" t="e">
            <v>#REF!</v>
          </cell>
          <cell r="BB36" t="e">
            <v>#REF!</v>
          </cell>
          <cell r="BC36">
            <v>1177.572199999998</v>
          </cell>
          <cell r="BD36">
            <v>0</v>
          </cell>
          <cell r="BG36">
            <v>365.59999999999997</v>
          </cell>
          <cell r="BH36">
            <v>352.40000000000003</v>
          </cell>
          <cell r="BI36">
            <v>3.7457434733257466E-2</v>
          </cell>
          <cell r="BJ36">
            <v>526.4</v>
          </cell>
          <cell r="BK36">
            <v>-0.30547112462006087</v>
          </cell>
          <cell r="BL36">
            <v>1466.8999999999999</v>
          </cell>
          <cell r="BM36">
            <v>1109.5500000000002</v>
          </cell>
          <cell r="BN36">
            <v>0.32206750484430602</v>
          </cell>
          <cell r="BR36">
            <v>1206.0500000000002</v>
          </cell>
          <cell r="BS36">
            <v>1643.8</v>
          </cell>
        </row>
        <row r="37">
          <cell r="A37" t="str">
            <v>Deferred</v>
          </cell>
          <cell r="H37">
            <v>142.9</v>
          </cell>
          <cell r="L37">
            <v>-21.4</v>
          </cell>
          <cell r="M37">
            <v>-38.200000000000003</v>
          </cell>
          <cell r="N37">
            <v>33.900000000000006</v>
          </cell>
          <cell r="O37">
            <v>171.5</v>
          </cell>
          <cell r="P37">
            <v>122.6</v>
          </cell>
          <cell r="Q37">
            <v>-42</v>
          </cell>
          <cell r="R37">
            <v>-67.900000000000006</v>
          </cell>
          <cell r="S37">
            <v>-70.7</v>
          </cell>
          <cell r="T37">
            <v>-44.3</v>
          </cell>
          <cell r="U37">
            <v>-91.8</v>
          </cell>
          <cell r="Y37">
            <v>0</v>
          </cell>
          <cell r="Z37">
            <v>0</v>
          </cell>
          <cell r="AM37">
            <v>0</v>
          </cell>
          <cell r="AN37">
            <v>0</v>
          </cell>
          <cell r="AO37">
            <v>0</v>
          </cell>
          <cell r="AP37">
            <v>142.9</v>
          </cell>
          <cell r="AQ37">
            <v>0</v>
          </cell>
          <cell r="AR37">
            <v>-59.6</v>
          </cell>
          <cell r="AS37">
            <v>205.4</v>
          </cell>
          <cell r="AT37">
            <v>80.599999999999994</v>
          </cell>
          <cell r="AU37">
            <v>-138.60000000000002</v>
          </cell>
          <cell r="AV37">
            <v>-136.1</v>
          </cell>
          <cell r="AX37" t="e">
            <v>#REF!</v>
          </cell>
          <cell r="AY37" t="e">
            <v>#REF!</v>
          </cell>
          <cell r="AZ37" t="e">
            <v>#REF!</v>
          </cell>
          <cell r="BA37" t="e">
            <v>#REF!</v>
          </cell>
          <cell r="BB37" t="e">
            <v>#REF!</v>
          </cell>
          <cell r="BC37">
            <v>0</v>
          </cell>
          <cell r="BD37">
            <v>0</v>
          </cell>
          <cell r="BG37">
            <v>-44.3</v>
          </cell>
          <cell r="BH37">
            <v>122.6</v>
          </cell>
          <cell r="BI37">
            <v>-1.3613376835236541</v>
          </cell>
          <cell r="BJ37">
            <v>-70.7</v>
          </cell>
          <cell r="BK37">
            <v>-0.37340876944837342</v>
          </cell>
          <cell r="BL37">
            <v>-182.90000000000003</v>
          </cell>
          <cell r="BM37">
            <v>328</v>
          </cell>
          <cell r="BN37">
            <v>-1.5576219512195122</v>
          </cell>
          <cell r="BR37">
            <v>286</v>
          </cell>
          <cell r="BS37">
            <v>-274.70000000000005</v>
          </cell>
        </row>
        <row r="38">
          <cell r="A38" t="str">
            <v>FBT</v>
          </cell>
          <cell r="Y38">
            <v>0</v>
          </cell>
          <cell r="Z38">
            <v>0</v>
          </cell>
        </row>
        <row r="39">
          <cell r="A39" t="str">
            <v>Effective tax rate</v>
          </cell>
          <cell r="Y39">
            <v>0.17968084712503227</v>
          </cell>
          <cell r="Z39">
            <v>0.16215491825247921</v>
          </cell>
          <cell r="AA39">
            <v>-7.7104389128959699E-2</v>
          </cell>
          <cell r="AB39">
            <v>-2.3455004396040716E-2</v>
          </cell>
          <cell r="AC39">
            <v>5.8235651645393863E-2</v>
          </cell>
          <cell r="AD39">
            <v>1.9109764623630857E-2</v>
          </cell>
          <cell r="AE39">
            <v>0.17798828013881771</v>
          </cell>
          <cell r="AF39">
            <v>0.18993872944211568</v>
          </cell>
          <cell r="AG39">
            <v>-0.26187438486494519</v>
          </cell>
          <cell r="AH39">
            <v>4.5708587851822004E-2</v>
          </cell>
          <cell r="AI39">
            <v>0.13935785553108784</v>
          </cell>
          <cell r="AJ39">
            <v>6.5070371047340425E-2</v>
          </cell>
          <cell r="AK39">
            <v>0.11005138086062938</v>
          </cell>
          <cell r="BD39">
            <v>0.1741541238922836</v>
          </cell>
          <cell r="BP39">
            <v>0.18358926304334691</v>
          </cell>
          <cell r="BV39">
            <v>0.15</v>
          </cell>
          <cell r="BW39">
            <v>0.2</v>
          </cell>
        </row>
        <row r="40">
          <cell r="A40" t="str">
            <v>Net Profit</v>
          </cell>
          <cell r="B40">
            <v>644.00000000000136</v>
          </cell>
          <cell r="C40">
            <v>1786.1000000000004</v>
          </cell>
          <cell r="D40">
            <v>1089.8</v>
          </cell>
          <cell r="E40">
            <v>648.6</v>
          </cell>
          <cell r="F40">
            <v>837.29999999999927</v>
          </cell>
          <cell r="G40">
            <v>1469.9999999999993</v>
          </cell>
          <cell r="H40">
            <v>1459.6999999999994</v>
          </cell>
          <cell r="I40">
            <v>879.0999999999998</v>
          </cell>
          <cell r="J40">
            <v>931.00000000000239</v>
          </cell>
          <cell r="K40">
            <v>1277.899999999999</v>
          </cell>
          <cell r="L40">
            <v>1844.9</v>
          </cell>
          <cell r="M40">
            <v>1264.5999999999981</v>
          </cell>
          <cell r="N40">
            <v>957.85000000000014</v>
          </cell>
          <cell r="O40">
            <v>1008.099999999999</v>
          </cell>
          <cell r="P40">
            <v>1130.0999999999999</v>
          </cell>
          <cell r="Q40">
            <v>793.40000000000032</v>
          </cell>
          <cell r="R40">
            <v>1095.799999999999</v>
          </cell>
          <cell r="S40">
            <v>1256.7000000000007</v>
          </cell>
          <cell r="T40">
            <v>956.799999999997</v>
          </cell>
          <cell r="U40">
            <v>863.8999999999993</v>
          </cell>
          <cell r="Y40">
            <v>2215.6000000000017</v>
          </cell>
          <cell r="Z40">
            <v>2500.8000000000002</v>
          </cell>
          <cell r="AA40">
            <v>3015.9999999999991</v>
          </cell>
          <cell r="AB40">
            <v>3608.5999999999985</v>
          </cell>
          <cell r="AC40">
            <v>10846.299999999981</v>
          </cell>
          <cell r="AD40">
            <v>2525.3999999999996</v>
          </cell>
          <cell r="AE40">
            <v>2889.7000000000016</v>
          </cell>
          <cell r="AF40">
            <v>2511.9999999999964</v>
          </cell>
          <cell r="AG40">
            <v>3461.6999999999844</v>
          </cell>
          <cell r="AH40">
            <v>11388.800000000017</v>
          </cell>
          <cell r="AI40">
            <v>3165.6999999999975</v>
          </cell>
          <cell r="AJ40">
            <v>3069.0000000000045</v>
          </cell>
          <cell r="AK40">
            <v>2771.3000000000011</v>
          </cell>
          <cell r="AM40">
            <v>2430.1000000000017</v>
          </cell>
          <cell r="AN40">
            <v>1738.4</v>
          </cell>
          <cell r="AO40">
            <v>2307.2999999999984</v>
          </cell>
          <cell r="AP40">
            <v>2338.7999999999993</v>
          </cell>
          <cell r="AQ40">
            <v>2208.9000000000015</v>
          </cell>
          <cell r="AR40">
            <v>3109.4999999999982</v>
          </cell>
          <cell r="AS40">
            <v>1965.9499999999991</v>
          </cell>
          <cell r="AT40">
            <v>1923.5000000000002</v>
          </cell>
          <cell r="AU40">
            <v>2352.5</v>
          </cell>
          <cell r="AV40">
            <v>1820.6999999999962</v>
          </cell>
          <cell r="AX40" t="e">
            <v>#REF!</v>
          </cell>
          <cell r="AY40" t="e">
            <v>#REF!</v>
          </cell>
          <cell r="AZ40" t="e">
            <v>#REF!</v>
          </cell>
          <cell r="BA40" t="e">
            <v>#REF!</v>
          </cell>
          <cell r="BB40" t="e">
            <v>#REF!</v>
          </cell>
          <cell r="BC40" t="e">
            <v>#REF!</v>
          </cell>
          <cell r="BD40">
            <v>9222.3200000000124</v>
          </cell>
          <cell r="BG40">
            <v>956.799999999997</v>
          </cell>
          <cell r="BH40">
            <v>1130.0999999999999</v>
          </cell>
          <cell r="BI40">
            <v>-0.15334926112733649</v>
          </cell>
          <cell r="BJ40">
            <v>1256.7000000000007</v>
          </cell>
          <cell r="BK40">
            <v>-0.23864088485716839</v>
          </cell>
          <cell r="BL40">
            <v>3309.299999999997</v>
          </cell>
          <cell r="BM40">
            <v>3096.0499999999993</v>
          </cell>
          <cell r="BN40">
            <v>6.8878086594208021E-2</v>
          </cell>
          <cell r="BP40">
            <v>5401.699999999998</v>
          </cell>
          <cell r="BQ40">
            <v>10803.399999999996</v>
          </cell>
          <cell r="BR40">
            <v>3889.4500000000007</v>
          </cell>
          <cell r="BS40">
            <v>4173.2000000000025</v>
          </cell>
          <cell r="BU40">
            <v>1834</v>
          </cell>
          <cell r="BV40">
            <v>2222.8791254056532</v>
          </cell>
          <cell r="BW40">
            <v>1769.9920073575006</v>
          </cell>
          <cell r="BX40">
            <v>0.2120387815734206</v>
          </cell>
        </row>
        <row r="42">
          <cell r="A42" t="str">
            <v>Extraordinary gain</v>
          </cell>
          <cell r="B42">
            <v>221.7</v>
          </cell>
          <cell r="C42">
            <v>662</v>
          </cell>
          <cell r="E42">
            <v>30</v>
          </cell>
          <cell r="G42">
            <v>429.5</v>
          </cell>
          <cell r="I42">
            <v>673.6</v>
          </cell>
          <cell r="J42">
            <v>63.3</v>
          </cell>
          <cell r="K42">
            <v>512.5</v>
          </cell>
          <cell r="M42">
            <v>0</v>
          </cell>
          <cell r="N42">
            <v>397</v>
          </cell>
          <cell r="O42">
            <v>513.5</v>
          </cell>
          <cell r="P42">
            <v>383.8</v>
          </cell>
          <cell r="Q42">
            <v>1537</v>
          </cell>
          <cell r="R42">
            <v>88.2</v>
          </cell>
          <cell r="T42">
            <v>1319.7</v>
          </cell>
          <cell r="U42">
            <v>524.29999999999995</v>
          </cell>
          <cell r="Z42">
            <v>388.9</v>
          </cell>
          <cell r="AA42">
            <v>940.9</v>
          </cell>
          <cell r="AE42">
            <v>388.9</v>
          </cell>
          <cell r="AF42">
            <v>766</v>
          </cell>
          <cell r="AG42">
            <v>208.9</v>
          </cell>
          <cell r="AM42">
            <v>883.7</v>
          </cell>
          <cell r="AN42">
            <v>30</v>
          </cell>
          <cell r="AO42">
            <v>429.5</v>
          </cell>
          <cell r="AP42">
            <v>673.6</v>
          </cell>
          <cell r="AQ42">
            <v>575.79999999999995</v>
          </cell>
          <cell r="AR42">
            <v>0</v>
          </cell>
          <cell r="AS42">
            <v>910.5</v>
          </cell>
          <cell r="AT42">
            <v>1920.8</v>
          </cell>
          <cell r="AU42">
            <v>88.2</v>
          </cell>
          <cell r="AV42">
            <v>1844</v>
          </cell>
          <cell r="BG42">
            <v>1319.7</v>
          </cell>
          <cell r="BH42">
            <v>383.8</v>
          </cell>
          <cell r="BI42">
            <v>2.438509640437728</v>
          </cell>
          <cell r="BJ42">
            <v>0</v>
          </cell>
          <cell r="BK42" t="e">
            <v>#DIV/0!</v>
          </cell>
          <cell r="BL42">
            <v>1407.9</v>
          </cell>
          <cell r="BM42">
            <v>1294.3</v>
          </cell>
          <cell r="BN42">
            <v>8.7769450668315097E-2</v>
          </cell>
          <cell r="BR42">
            <v>2831.3</v>
          </cell>
          <cell r="BS42">
            <v>1932.2</v>
          </cell>
        </row>
        <row r="43">
          <cell r="A43" t="str">
            <v>Tax on extraordinary gain</v>
          </cell>
          <cell r="N43">
            <v>138.94999999999999</v>
          </cell>
          <cell r="O43">
            <v>102.7</v>
          </cell>
          <cell r="P43">
            <v>141.19999999999999</v>
          </cell>
          <cell r="BG43">
            <v>0</v>
          </cell>
          <cell r="BH43">
            <v>141.19999999999999</v>
          </cell>
          <cell r="BJ43">
            <v>0</v>
          </cell>
          <cell r="BL43">
            <v>0</v>
          </cell>
          <cell r="BM43">
            <v>382.84999999999997</v>
          </cell>
          <cell r="BR43">
            <v>382.84999999999997</v>
          </cell>
          <cell r="BS43">
            <v>0</v>
          </cell>
        </row>
        <row r="44">
          <cell r="A44" t="str">
            <v>Extraordinary loss</v>
          </cell>
          <cell r="G44">
            <v>550</v>
          </cell>
          <cell r="J44">
            <v>0</v>
          </cell>
          <cell r="K44">
            <v>82.300000000000011</v>
          </cell>
          <cell r="M44">
            <v>721.1</v>
          </cell>
          <cell r="N44">
            <v>199.5</v>
          </cell>
          <cell r="Q44">
            <v>624.9</v>
          </cell>
          <cell r="AM44">
            <v>0</v>
          </cell>
          <cell r="AN44">
            <v>0</v>
          </cell>
          <cell r="AO44">
            <v>550</v>
          </cell>
          <cell r="AP44">
            <v>0</v>
          </cell>
          <cell r="AQ44">
            <v>82.300000000000011</v>
          </cell>
          <cell r="AR44">
            <v>721.1</v>
          </cell>
          <cell r="AS44">
            <v>199.5</v>
          </cell>
          <cell r="AT44">
            <v>624.9</v>
          </cell>
          <cell r="AU44">
            <v>0</v>
          </cell>
          <cell r="AV44">
            <v>0</v>
          </cell>
          <cell r="BG44">
            <v>0</v>
          </cell>
          <cell r="BH44">
            <v>0</v>
          </cell>
          <cell r="BJ44">
            <v>0</v>
          </cell>
          <cell r="BL44">
            <v>0</v>
          </cell>
          <cell r="BM44">
            <v>199.5</v>
          </cell>
          <cell r="BR44">
            <v>824.4</v>
          </cell>
          <cell r="BS44">
            <v>0</v>
          </cell>
        </row>
        <row r="45">
          <cell r="A45" t="str">
            <v>Tax on extraordinary loss</v>
          </cell>
          <cell r="BG45">
            <v>0</v>
          </cell>
          <cell r="BH45">
            <v>0</v>
          </cell>
          <cell r="BR45">
            <v>0</v>
          </cell>
          <cell r="BS45">
            <v>0</v>
          </cell>
        </row>
        <row r="46">
          <cell r="A46" t="str">
            <v>Profit before tax</v>
          </cell>
          <cell r="B46">
            <v>1315.7000000000014</v>
          </cell>
          <cell r="C46">
            <v>3025.0000000000005</v>
          </cell>
          <cell r="D46">
            <v>1285.0999999999999</v>
          </cell>
          <cell r="E46">
            <v>1092.5</v>
          </cell>
          <cell r="F46">
            <v>1237.2999999999993</v>
          </cell>
          <cell r="G46">
            <v>2306.6999999999994</v>
          </cell>
          <cell r="H46">
            <v>1831.7999999999993</v>
          </cell>
          <cell r="I46">
            <v>2067.1999999999998</v>
          </cell>
          <cell r="J46">
            <v>1510.9000000000024</v>
          </cell>
          <cell r="K46">
            <v>2453.6999999999989</v>
          </cell>
          <cell r="L46">
            <v>2509.4</v>
          </cell>
          <cell r="M46">
            <v>868.69999999999811</v>
          </cell>
          <cell r="N46">
            <v>1692.0000000000002</v>
          </cell>
          <cell r="O46">
            <v>1947.4999999999991</v>
          </cell>
          <cell r="P46">
            <v>1988.8999999999999</v>
          </cell>
          <cell r="U46">
            <v>948.99999999999932</v>
          </cell>
          <cell r="AM46">
            <v>4340.7000000000016</v>
          </cell>
          <cell r="AN46">
            <v>2377.6</v>
          </cell>
          <cell r="AO46">
            <v>3543.9999999999986</v>
          </cell>
          <cell r="AP46">
            <v>3898.9999999999991</v>
          </cell>
          <cell r="AQ46">
            <v>3964.6000000000013</v>
          </cell>
          <cell r="AR46">
            <v>3378.0999999999981</v>
          </cell>
          <cell r="AS46">
            <v>3639.4999999999991</v>
          </cell>
          <cell r="AT46">
            <v>1988.8999999999999</v>
          </cell>
          <cell r="AU46">
            <v>0</v>
          </cell>
          <cell r="AV46">
            <v>948.99999999999932</v>
          </cell>
          <cell r="BG46">
            <v>0</v>
          </cell>
          <cell r="BH46">
            <v>1988.8999999999999</v>
          </cell>
          <cell r="BI46">
            <v>-1</v>
          </cell>
          <cell r="BJ46">
            <v>0</v>
          </cell>
          <cell r="BK46" t="e">
            <v>#DIV/0!</v>
          </cell>
          <cell r="BL46">
            <v>0</v>
          </cell>
          <cell r="BM46">
            <v>5628.3999999999987</v>
          </cell>
          <cell r="BN46">
            <v>-1</v>
          </cell>
        </row>
        <row r="47">
          <cell r="A47" t="str">
            <v>Extraordinary Items (Net)</v>
          </cell>
          <cell r="Q47">
            <v>912.1</v>
          </cell>
          <cell r="R47">
            <v>88.2</v>
          </cell>
          <cell r="S47">
            <v>0</v>
          </cell>
          <cell r="T47">
            <v>1319.7</v>
          </cell>
          <cell r="U47">
            <v>524.29999999999995</v>
          </cell>
          <cell r="Z47">
            <v>378.7</v>
          </cell>
          <cell r="AA47">
            <v>940.9</v>
          </cell>
          <cell r="AD47">
            <v>0</v>
          </cell>
          <cell r="AE47">
            <v>388.9</v>
          </cell>
          <cell r="AF47">
            <v>766</v>
          </cell>
          <cell r="AG47">
            <v>208.9</v>
          </cell>
          <cell r="AX47" t="e">
            <v>#REF!</v>
          </cell>
          <cell r="AY47" t="e">
            <v>#REF!</v>
          </cell>
          <cell r="AZ47" t="e">
            <v>#REF!</v>
          </cell>
          <cell r="BA47" t="e">
            <v>#REF!</v>
          </cell>
          <cell r="BB47" t="e">
            <v>#REF!</v>
          </cell>
          <cell r="BC47" t="e">
            <v>#REF!</v>
          </cell>
          <cell r="BD47" t="e">
            <v>#REF!</v>
          </cell>
          <cell r="BG47">
            <v>1319.7</v>
          </cell>
          <cell r="BH47">
            <v>242.60000000000002</v>
          </cell>
          <cell r="BJ47">
            <v>0</v>
          </cell>
          <cell r="BL47">
            <v>1407.9</v>
          </cell>
          <cell r="BM47">
            <v>711.95</v>
          </cell>
        </row>
        <row r="48">
          <cell r="A48" t="str">
            <v>Reported PAT</v>
          </cell>
          <cell r="B48">
            <v>865.70000000000141</v>
          </cell>
          <cell r="C48">
            <v>2448.1000000000004</v>
          </cell>
          <cell r="D48">
            <v>1089.8</v>
          </cell>
          <cell r="E48">
            <v>678.6</v>
          </cell>
          <cell r="F48">
            <v>837.29999999999927</v>
          </cell>
          <cell r="G48">
            <v>1349.4999999999993</v>
          </cell>
          <cell r="H48">
            <v>1459.6999999999994</v>
          </cell>
          <cell r="I48">
            <v>1552.6999999999998</v>
          </cell>
          <cell r="J48">
            <v>994.30000000000234</v>
          </cell>
          <cell r="K48">
            <v>1708.099999999999</v>
          </cell>
          <cell r="L48">
            <v>1844.9</v>
          </cell>
          <cell r="M48">
            <v>543.49999999999818</v>
          </cell>
          <cell r="N48">
            <v>1016.4000000000001</v>
          </cell>
          <cell r="O48">
            <v>1418.899999999999</v>
          </cell>
          <cell r="P48">
            <v>1372.6999999999998</v>
          </cell>
          <cell r="Q48">
            <v>1705.5000000000005</v>
          </cell>
          <cell r="R48">
            <v>1183.9999999999991</v>
          </cell>
          <cell r="S48">
            <v>1256.7000000000007</v>
          </cell>
          <cell r="T48">
            <v>2276.4999999999973</v>
          </cell>
          <cell r="U48">
            <v>1388.1999999999994</v>
          </cell>
          <cell r="V48">
            <v>0</v>
          </cell>
          <cell r="W48">
            <v>0</v>
          </cell>
          <cell r="X48">
            <v>0</v>
          </cell>
          <cell r="Y48">
            <v>2215.6000000000017</v>
          </cell>
          <cell r="Z48">
            <v>2879.5</v>
          </cell>
          <cell r="AA48">
            <v>3956.8999999999992</v>
          </cell>
          <cell r="AB48">
            <v>3608.5999999999985</v>
          </cell>
          <cell r="AD48">
            <v>2525.3999999999996</v>
          </cell>
          <cell r="AE48">
            <v>3278.6000000000017</v>
          </cell>
          <cell r="AF48">
            <v>3277.9999999999964</v>
          </cell>
          <cell r="AG48">
            <v>3670.5999999999844</v>
          </cell>
          <cell r="AI48">
            <v>3165.6999999999975</v>
          </cell>
          <cell r="AJ48">
            <v>3069.0000000000045</v>
          </cell>
          <cell r="AK48">
            <v>2771.3000000000011</v>
          </cell>
          <cell r="AM48">
            <v>3313.800000000002</v>
          </cell>
          <cell r="AN48">
            <v>1768.4</v>
          </cell>
          <cell r="AO48">
            <v>2186.7999999999984</v>
          </cell>
          <cell r="AP48">
            <v>3012.3999999999992</v>
          </cell>
          <cell r="AQ48">
            <v>2702.4000000000015</v>
          </cell>
          <cell r="AR48">
            <v>2388.3999999999983</v>
          </cell>
          <cell r="AS48">
            <v>2435.2999999999993</v>
          </cell>
          <cell r="AT48">
            <v>3078.2000000000003</v>
          </cell>
          <cell r="AU48">
            <v>2440.6999999999998</v>
          </cell>
          <cell r="AV48">
            <v>3664.6999999999966</v>
          </cell>
          <cell r="AX48" t="e">
            <v>#REF!</v>
          </cell>
          <cell r="AY48" t="e">
            <v>#REF!</v>
          </cell>
          <cell r="AZ48" t="e">
            <v>#REF!</v>
          </cell>
          <cell r="BA48" t="e">
            <v>#REF!</v>
          </cell>
          <cell r="BB48" t="e">
            <v>#REF!</v>
          </cell>
          <cell r="BC48" t="e">
            <v>#REF!</v>
          </cell>
          <cell r="BD48" t="e">
            <v>#REF!</v>
          </cell>
          <cell r="BG48">
            <v>2276.4999999999973</v>
          </cell>
          <cell r="BH48">
            <v>1372.6999999999998</v>
          </cell>
          <cell r="BI48">
            <v>0.65841043199533589</v>
          </cell>
          <cell r="BJ48">
            <v>1256.7000000000007</v>
          </cell>
          <cell r="BK48">
            <v>0.81149041139491995</v>
          </cell>
          <cell r="BL48">
            <v>4717.1999999999971</v>
          </cell>
          <cell r="BM48">
            <v>3807.9999999999991</v>
          </cell>
          <cell r="BN48">
            <v>0.23876050420168027</v>
          </cell>
          <cell r="BP48">
            <v>6556.5999999999985</v>
          </cell>
          <cell r="BR48">
            <v>5513.5000000000009</v>
          </cell>
          <cell r="BS48">
            <v>6105.4000000000024</v>
          </cell>
          <cell r="BV48">
            <v>2222.8791254056532</v>
          </cell>
          <cell r="BW48">
            <v>1769.9920073575006</v>
          </cell>
        </row>
        <row r="49">
          <cell r="N49">
            <v>0.40000000000009095</v>
          </cell>
        </row>
        <row r="50">
          <cell r="A50" t="str">
            <v>Operating margins</v>
          </cell>
          <cell r="B50">
            <v>0.22412092624356789</v>
          </cell>
          <cell r="C50">
            <v>0.26884144574822544</v>
          </cell>
          <cell r="D50">
            <v>0.22130229753881267</v>
          </cell>
          <cell r="E50">
            <v>0.23112914034080032</v>
          </cell>
          <cell r="F50">
            <v>0.24597506704216685</v>
          </cell>
          <cell r="G50">
            <v>0.30768462907814392</v>
          </cell>
          <cell r="H50">
            <v>0.27517836764206244</v>
          </cell>
          <cell r="I50">
            <v>0.27884974617058211</v>
          </cell>
          <cell r="J50">
            <v>0.2603045345529591</v>
          </cell>
          <cell r="K50">
            <v>0.28766491199984928</v>
          </cell>
          <cell r="L50">
            <v>0.34649861307119573</v>
          </cell>
          <cell r="M50">
            <v>0.27013281130047584</v>
          </cell>
          <cell r="N50">
            <v>0.28762938767999269</v>
          </cell>
          <cell r="O50">
            <v>0.2338178840693754</v>
          </cell>
          <cell r="P50">
            <v>0.23771920501647356</v>
          </cell>
          <cell r="Q50">
            <v>0.1630052998025564</v>
          </cell>
          <cell r="R50">
            <v>0.2130595542833025</v>
          </cell>
          <cell r="S50">
            <v>0.22638167996458081</v>
          </cell>
          <cell r="T50">
            <v>0.15983822896448649</v>
          </cell>
          <cell r="U50">
            <v>0.13430108445051656</v>
          </cell>
          <cell r="V50" t="e">
            <v>#DIV/0!</v>
          </cell>
          <cell r="W50" t="e">
            <v>#DIV/0!</v>
          </cell>
          <cell r="X50" t="e">
            <v>#DIV/0!</v>
          </cell>
          <cell r="Y50">
            <v>0.20036493223047197</v>
          </cell>
          <cell r="Z50">
            <v>0.14874478593546075</v>
          </cell>
          <cell r="AA50">
            <v>0.10214302504766626</v>
          </cell>
          <cell r="AB50">
            <v>1.8176694377906158E-2</v>
          </cell>
          <cell r="AD50">
            <v>0.12480078941968045</v>
          </cell>
          <cell r="AE50">
            <v>0.11207611099655113</v>
          </cell>
          <cell r="AF50">
            <v>0.11480591544838688</v>
          </cell>
          <cell r="AG50">
            <v>6.5303711894648911E-2</v>
          </cell>
          <cell r="AJ50">
            <v>0.11810262836093557</v>
          </cell>
          <cell r="BB50" t="e">
            <v>#REF!</v>
          </cell>
          <cell r="BC50" t="e">
            <v>#REF!</v>
          </cell>
          <cell r="BD50">
            <v>0.15463812670132743</v>
          </cell>
          <cell r="BG50">
            <v>0.15983822896448649</v>
          </cell>
          <cell r="BH50">
            <v>0.23771920501647356</v>
          </cell>
          <cell r="BJ50">
            <v>0.22638167996458081</v>
          </cell>
          <cell r="BL50">
            <v>0.19786749121308231</v>
          </cell>
          <cell r="BM50">
            <v>0.25475887255991964</v>
          </cell>
          <cell r="BP50">
            <v>0.11350527658230039</v>
          </cell>
          <cell r="BR50">
            <v>0.23229460314875688</v>
          </cell>
          <cell r="BS50">
            <v>0.18152073904746852</v>
          </cell>
          <cell r="BV50">
            <v>0.19416505046767532</v>
          </cell>
          <cell r="BW50">
            <v>0.18694077034268808</v>
          </cell>
        </row>
        <row r="51">
          <cell r="A51" t="str">
            <v>Net margins</v>
          </cell>
          <cell r="B51">
            <v>6.9039451114922962E-2</v>
          </cell>
          <cell r="C51">
            <v>0.1617141098073302</v>
          </cell>
          <cell r="D51">
            <v>0.11733166813806764</v>
          </cell>
          <cell r="E51">
            <v>7.7613440551407245E-2</v>
          </cell>
          <cell r="F51">
            <v>8.0479435596266719E-2</v>
          </cell>
          <cell r="G51">
            <v>0.12228193055717299</v>
          </cell>
          <cell r="H51">
            <v>0.12716153705429861</v>
          </cell>
          <cell r="I51">
            <v>9.6598026503746978E-2</v>
          </cell>
          <cell r="J51">
            <v>8.6545075947719916E-2</v>
          </cell>
          <cell r="K51">
            <v>0.12033749870518763</v>
          </cell>
          <cell r="L51">
            <v>0.17956104919947444</v>
          </cell>
          <cell r="M51">
            <v>0.12135344695224917</v>
          </cell>
          <cell r="N51">
            <v>8.8130836822008563E-2</v>
          </cell>
          <cell r="O51">
            <v>0.10720020417060996</v>
          </cell>
          <cell r="P51">
            <v>0.12010840684451056</v>
          </cell>
          <cell r="Q51">
            <v>8.2448300945651073E-2</v>
          </cell>
          <cell r="R51">
            <v>0.10053856669694376</v>
          </cell>
          <cell r="S51">
            <v>0.11838126548414148</v>
          </cell>
          <cell r="T51">
            <v>7.7702071676262793E-2</v>
          </cell>
          <cell r="U51">
            <v>7.37682520707027E-2</v>
          </cell>
          <cell r="V51" t="e">
            <v>#DIV/0!</v>
          </cell>
          <cell r="W51" t="e">
            <v>#DIV/0!</v>
          </cell>
          <cell r="X51" t="e">
            <v>#DIV/0!</v>
          </cell>
          <cell r="Y51">
            <v>0.11167732732505692</v>
          </cell>
          <cell r="Z51">
            <v>0.15999181103974205</v>
          </cell>
          <cell r="AA51">
            <v>0.19693368506281497</v>
          </cell>
          <cell r="AB51">
            <v>0.25423418345779897</v>
          </cell>
          <cell r="AD51">
            <v>0.11026551222770915</v>
          </cell>
          <cell r="AE51">
            <v>0.11683911322440702</v>
          </cell>
          <cell r="AF51">
            <v>9.2433480643060187E-2</v>
          </cell>
          <cell r="AG51">
            <v>0.14499509939433483</v>
          </cell>
          <cell r="AJ51">
            <v>0.11583055299747901</v>
          </cell>
          <cell r="BB51" t="e">
            <v>#REF!</v>
          </cell>
          <cell r="BC51" t="e">
            <v>#REF!</v>
          </cell>
          <cell r="BD51">
            <v>0.12744591060964916</v>
          </cell>
          <cell r="BG51">
            <v>7.7702071676262793E-2</v>
          </cell>
          <cell r="BH51">
            <v>0.12010840684451056</v>
          </cell>
          <cell r="BJ51">
            <v>0.11838126548414148</v>
          </cell>
          <cell r="BL51">
            <v>9.7825219414284237E-2</v>
          </cell>
          <cell r="BM51">
            <v>0.10430943284346422</v>
          </cell>
          <cell r="BP51">
            <v>0.10406175469960659</v>
          </cell>
          <cell r="BR51">
            <v>9.8957114216220082E-2</v>
          </cell>
          <cell r="BS51">
            <v>9.1638724014431419E-2</v>
          </cell>
          <cell r="BV51">
            <v>0.12278429164464047</v>
          </cell>
          <cell r="BW51">
            <v>9.6962531308241104E-2</v>
          </cell>
        </row>
        <row r="52">
          <cell r="A52" t="str">
            <v>Tax % of Reported PBT</v>
          </cell>
          <cell r="B52">
            <v>0.34202325758151519</v>
          </cell>
          <cell r="C52">
            <v>0.19071074380165284</v>
          </cell>
          <cell r="D52">
            <v>0.15197260913547586</v>
          </cell>
          <cell r="E52">
            <v>0.37885583524027455</v>
          </cell>
          <cell r="F52">
            <v>0.32328457124383758</v>
          </cell>
          <cell r="G52">
            <v>0.41496510166038075</v>
          </cell>
          <cell r="H52">
            <v>0.20313352986133867</v>
          </cell>
          <cell r="I52">
            <v>0.24888738390092882</v>
          </cell>
          <cell r="J52">
            <v>0.34191541465351727</v>
          </cell>
          <cell r="K52">
            <v>0.30386762847943938</v>
          </cell>
          <cell r="L52">
            <v>0.26480433569777634</v>
          </cell>
          <cell r="M52">
            <v>0.37435248071831551</v>
          </cell>
          <cell r="N52">
            <v>0.31716903073286051</v>
          </cell>
          <cell r="O52">
            <v>0.2970013947001397</v>
          </cell>
          <cell r="P52">
            <v>0.29593171764999066</v>
          </cell>
          <cell r="Q52">
            <v>6.4276447694303546E-2</v>
          </cell>
          <cell r="R52">
            <v>0.3163214374844025</v>
          </cell>
          <cell r="S52">
            <v>0.26611772950245255</v>
          </cell>
          <cell r="T52">
            <v>0.2513887802206406</v>
          </cell>
          <cell r="U52">
            <v>8.9673340358271944E-2</v>
          </cell>
          <cell r="V52" t="e">
            <v>#DIV/0!</v>
          </cell>
          <cell r="W52" t="e">
            <v>#REF!</v>
          </cell>
          <cell r="X52">
            <v>0</v>
          </cell>
          <cell r="Y52">
            <v>0</v>
          </cell>
          <cell r="Z52">
            <v>0.2513887802206406</v>
          </cell>
          <cell r="AA52">
            <v>-7.7104389128959699E-2</v>
          </cell>
          <cell r="AB52">
            <v>-2.3455004396040716E-2</v>
          </cell>
          <cell r="AD52">
            <v>1.9109764623630857E-2</v>
          </cell>
          <cell r="AE52">
            <v>0.17798828013881771</v>
          </cell>
          <cell r="AF52">
            <v>0.18993872944211568</v>
          </cell>
          <cell r="AG52">
            <v>-0.26187438486494519</v>
          </cell>
          <cell r="AJ52">
            <v>6.5070371047340425E-2</v>
          </cell>
          <cell r="BB52" t="e">
            <v>#REF!</v>
          </cell>
          <cell r="BC52" t="e">
            <v>#REF!</v>
          </cell>
          <cell r="BD52">
            <v>0.1741541238922836</v>
          </cell>
          <cell r="BG52">
            <v>0.2513887802206406</v>
          </cell>
          <cell r="BH52">
            <v>0.29593171764999066</v>
          </cell>
          <cell r="BJ52">
            <v>0.26611772950245255</v>
          </cell>
          <cell r="BL52">
            <v>0.27953758735549628</v>
          </cell>
          <cell r="BM52">
            <v>0.31708796541379936</v>
          </cell>
          <cell r="BP52">
            <v>0.18358926304334691</v>
          </cell>
          <cell r="BR52">
            <v>0.27725541205983462</v>
          </cell>
          <cell r="BS52">
            <v>0.24702740739404208</v>
          </cell>
          <cell r="BV52">
            <v>0.27953758735549628</v>
          </cell>
          <cell r="BW52">
            <v>0.2</v>
          </cell>
        </row>
        <row r="53">
          <cell r="AD53">
            <v>3020.3999999999996</v>
          </cell>
          <cell r="AE53">
            <v>2804.7000000000016</v>
          </cell>
          <cell r="AF53">
            <v>3395.9999999999964</v>
          </cell>
          <cell r="AG53">
            <v>1944.3999999999837</v>
          </cell>
          <cell r="AH53">
            <v>11165.500000000018</v>
          </cell>
          <cell r="AI53">
            <v>3309.8999999999969</v>
          </cell>
          <cell r="AJ53">
            <v>3129.2000000000044</v>
          </cell>
        </row>
        <row r="54">
          <cell r="A54" t="str">
            <v>Cost Breakdown (% of sales)</v>
          </cell>
        </row>
        <row r="55">
          <cell r="A55" t="str">
            <v xml:space="preserve"> Staff Cost</v>
          </cell>
          <cell r="N55">
            <v>3.6757602245020012E-2</v>
          </cell>
          <cell r="O55">
            <v>3.7803464520039562E-2</v>
          </cell>
          <cell r="P55">
            <v>3.904772026782867E-2</v>
          </cell>
          <cell r="Q55">
            <v>6.7712771484983891E-2</v>
          </cell>
          <cell r="R55">
            <v>3.4772875322268408E-2</v>
          </cell>
          <cell r="S55">
            <v>4.0100982507041451E-2</v>
          </cell>
          <cell r="T55">
            <v>3.6325393667216196E-2</v>
          </cell>
          <cell r="U55">
            <v>4.1396977200922211E-2</v>
          </cell>
          <cell r="V55" t="e">
            <v>#DIV/0!</v>
          </cell>
          <cell r="W55" t="e">
            <v>#DIV/0!</v>
          </cell>
          <cell r="X55" t="e">
            <v>#DIV/0!</v>
          </cell>
          <cell r="Y55">
            <v>0.3382679832453766</v>
          </cell>
          <cell r="Z55">
            <v>0.41534662333341865</v>
          </cell>
          <cell r="AA55">
            <v>0.42323112283542713</v>
          </cell>
          <cell r="AB55">
            <v>0.36578836127941383</v>
          </cell>
          <cell r="AD55">
            <v>0.47254277842543962</v>
          </cell>
          <cell r="AE55">
            <v>0.49235210635484772</v>
          </cell>
          <cell r="AF55">
            <v>0.45403531753770748</v>
          </cell>
          <cell r="AG55">
            <v>0.30163018438005273</v>
          </cell>
          <cell r="BB55" t="e">
            <v>#REF!</v>
          </cell>
          <cell r="BC55" t="e">
            <v>#REF!</v>
          </cell>
          <cell r="BD55">
            <v>4.0338506261934678E-2</v>
          </cell>
          <cell r="BV55">
            <v>3.8665622061462068E-2</v>
          </cell>
          <cell r="BW55">
            <v>4.1086003879616702E-2</v>
          </cell>
        </row>
        <row r="56">
          <cell r="A56" t="str">
            <v xml:space="preserve"> Cost of Power Purchased</v>
          </cell>
          <cell r="N56">
            <v>0.10166076275474997</v>
          </cell>
          <cell r="O56">
            <v>0.10931634747285701</v>
          </cell>
          <cell r="P56">
            <v>0.10989478159209268</v>
          </cell>
          <cell r="Q56">
            <v>0.10288891198171049</v>
          </cell>
          <cell r="R56">
            <v>0.10190562696686944</v>
          </cell>
          <cell r="S56">
            <v>0.12580423335248733</v>
          </cell>
          <cell r="T56">
            <v>0.16898251540966569</v>
          </cell>
          <cell r="U56">
            <v>0.11143369481683887</v>
          </cell>
          <cell r="V56" t="e">
            <v>#DIV/0!</v>
          </cell>
          <cell r="W56" t="e">
            <v>#DIV/0!</v>
          </cell>
          <cell r="X56" t="e">
            <v>#DIV/0!</v>
          </cell>
          <cell r="Y56">
            <v>0.13722258345808572</v>
          </cell>
          <cell r="Z56">
            <v>0.12737032013716509</v>
          </cell>
          <cell r="AA56">
            <v>0.1631754903753232</v>
          </cell>
          <cell r="AB56">
            <v>0.2073340848245738</v>
          </cell>
          <cell r="AD56">
            <v>0.12958620960664372</v>
          </cell>
          <cell r="AE56">
            <v>0.12430303691933223</v>
          </cell>
          <cell r="AF56">
            <v>9.4998215356763061E-2</v>
          </cell>
          <cell r="AG56">
            <v>0.12749532976468714</v>
          </cell>
          <cell r="BB56" t="e">
            <v>#REF!</v>
          </cell>
          <cell r="BC56">
            <v>0.65438720941813511</v>
          </cell>
          <cell r="BD56">
            <v>6.819819403996151E-2</v>
          </cell>
          <cell r="BV56">
            <v>8.9596229145975217E-2</v>
          </cell>
          <cell r="BW56">
            <v>3.5643477899030142E-2</v>
          </cell>
        </row>
        <row r="57">
          <cell r="A57" t="str">
            <v xml:space="preserve"> Cost of Fuel</v>
          </cell>
          <cell r="N57">
            <v>0.47191424759626444</v>
          </cell>
          <cell r="O57">
            <v>0.45946894373610953</v>
          </cell>
          <cell r="P57">
            <v>0.48566266340737596</v>
          </cell>
          <cell r="Q57">
            <v>0.48014132806816995</v>
          </cell>
          <cell r="R57">
            <v>0.55428330259741454</v>
          </cell>
          <cell r="S57">
            <v>0.48091034976497071</v>
          </cell>
          <cell r="T57">
            <v>0.52407481098288899</v>
          </cell>
          <cell r="U57">
            <v>0.54353172231235591</v>
          </cell>
          <cell r="V57" t="e">
            <v>#DIV/0!</v>
          </cell>
          <cell r="W57" t="e">
            <v>#DIV/0!</v>
          </cell>
          <cell r="X57" t="e">
            <v>#DIV/0!</v>
          </cell>
          <cell r="Y57">
            <v>0.14701627577585902</v>
          </cell>
          <cell r="Z57">
            <v>0.14212964147708371</v>
          </cell>
          <cell r="AA57">
            <v>0.15221876877269044</v>
          </cell>
          <cell r="AB57">
            <v>0.31483725517824435</v>
          </cell>
          <cell r="AD57">
            <v>0.15592348567212014</v>
          </cell>
          <cell r="AE57">
            <v>0.13399077319941938</v>
          </cell>
          <cell r="AF57">
            <v>0.21625460419556747</v>
          </cell>
          <cell r="AG57">
            <v>0.28913154565940391</v>
          </cell>
          <cell r="BB57" t="e">
            <v>#REF!</v>
          </cell>
          <cell r="BC57">
            <v>3.8527440765711289E-2</v>
          </cell>
          <cell r="BD57">
            <v>0.66518735778223603</v>
          </cell>
          <cell r="BV57">
            <v>0.62233649537994151</v>
          </cell>
          <cell r="BW57">
            <v>0.67059214167127834</v>
          </cell>
        </row>
        <row r="58">
          <cell r="A58" t="str">
            <v xml:space="preserve"> Other expenditure</v>
          </cell>
          <cell r="N58">
            <v>0.10203799972397296</v>
          </cell>
          <cell r="O58">
            <v>0.15959336020161849</v>
          </cell>
          <cell r="P58">
            <v>0.12767562971622914</v>
          </cell>
          <cell r="Q58">
            <v>0.18625168866257927</v>
          </cell>
          <cell r="R58">
            <v>9.5978640830145054E-2</v>
          </cell>
          <cell r="S58">
            <v>0.12680275441091965</v>
          </cell>
          <cell r="T58">
            <v>0.11077905097574246</v>
          </cell>
          <cell r="U58">
            <v>0.1693365212193664</v>
          </cell>
          <cell r="V58" t="e">
            <v>#DIV/0!</v>
          </cell>
          <cell r="W58" t="e">
            <v>#DIV/0!</v>
          </cell>
          <cell r="X58" t="e">
            <v>#DIV/0!</v>
          </cell>
          <cell r="Y58">
            <v>0.1091167531112489</v>
          </cell>
          <cell r="Z58">
            <v>7.8070220334211946E-2</v>
          </cell>
          <cell r="AA58">
            <v>7.6442395591192827E-2</v>
          </cell>
          <cell r="AB58">
            <v>2.9660419895730207E-3</v>
          </cell>
          <cell r="AD58">
            <v>4.660981797065001E-2</v>
          </cell>
          <cell r="AE58">
            <v>6.4979803738431124E-2</v>
          </cell>
          <cell r="AF58">
            <v>5.2792322722372068E-2</v>
          </cell>
          <cell r="AG58">
            <v>0.14656161778626664</v>
          </cell>
          <cell r="BB58" t="e">
            <v>#REF!</v>
          </cell>
          <cell r="BC58" t="e">
            <v>#REF!</v>
          </cell>
          <cell r="BD58">
            <v>7.163781521454031E-2</v>
          </cell>
          <cell r="BV58">
            <v>5.5236602944945812E-2</v>
          </cell>
          <cell r="BW58">
            <v>6.5737606207386723E-2</v>
          </cell>
        </row>
        <row r="60">
          <cell r="A60" t="str">
            <v>Proportions</v>
          </cell>
        </row>
        <row r="61">
          <cell r="A61" t="str">
            <v>Revenue</v>
          </cell>
          <cell r="R61">
            <v>0.23933622751138017</v>
          </cell>
          <cell r="S61">
            <v>0.23310869417233757</v>
          </cell>
          <cell r="T61">
            <v>0.2703948423024306</v>
          </cell>
          <cell r="U61">
            <v>0.25716023601385168</v>
          </cell>
          <cell r="V61">
            <v>0</v>
          </cell>
          <cell r="W61">
            <v>0</v>
          </cell>
          <cell r="X61">
            <v>0</v>
          </cell>
          <cell r="Y61">
            <v>1</v>
          </cell>
          <cell r="Z61">
            <v>0.11794453495031568</v>
          </cell>
          <cell r="AA61">
            <v>0.11556010977410593</v>
          </cell>
          <cell r="AB61">
            <v>0.10710294604785302</v>
          </cell>
          <cell r="AD61">
            <v>0.17281725116523688</v>
          </cell>
          <cell r="AF61">
            <v>1492.2000000000014</v>
          </cell>
          <cell r="AG61">
            <v>-276.69999999999868</v>
          </cell>
        </row>
        <row r="62">
          <cell r="A62" t="str">
            <v>Depreciation</v>
          </cell>
          <cell r="R62">
            <v>0.23571890493640874</v>
          </cell>
          <cell r="S62">
            <v>0.24484443486383564</v>
          </cell>
          <cell r="T62">
            <v>0.25573040166702593</v>
          </cell>
          <cell r="U62">
            <v>0.26370625853272978</v>
          </cell>
          <cell r="V62">
            <v>0</v>
          </cell>
          <cell r="W62">
            <v>0</v>
          </cell>
          <cell r="X62">
            <v>0</v>
          </cell>
          <cell r="Y62">
            <v>1</v>
          </cell>
          <cell r="Z62">
            <v>0.12379722024233783</v>
          </cell>
          <cell r="AA62">
            <v>0.12606913756236635</v>
          </cell>
          <cell r="AB62">
            <v>0.11722647897362796</v>
          </cell>
          <cell r="AD62">
            <v>0.13633731290092657</v>
          </cell>
          <cell r="AF62">
            <v>1111.9000000000005</v>
          </cell>
          <cell r="AG62">
            <v>570.90000000000055</v>
          </cell>
        </row>
        <row r="63">
          <cell r="A63" t="str">
            <v>Interest</v>
          </cell>
          <cell r="R63">
            <v>0.2290053242981607</v>
          </cell>
          <cell r="S63">
            <v>0.26034607938044529</v>
          </cell>
          <cell r="T63">
            <v>0.25665537270087124</v>
          </cell>
          <cell r="U63">
            <v>0.25399322362052279</v>
          </cell>
          <cell r="V63">
            <v>0</v>
          </cell>
          <cell r="W63">
            <v>0</v>
          </cell>
          <cell r="X63">
            <v>0</v>
          </cell>
          <cell r="Y63">
            <v>1</v>
          </cell>
          <cell r="Z63">
            <v>0.13654599216814514</v>
          </cell>
          <cell r="AA63">
            <v>0.13656197554543276</v>
          </cell>
          <cell r="AB63">
            <v>0.10964596819307922</v>
          </cell>
          <cell r="AD63">
            <v>0.12374330696076083</v>
          </cell>
        </row>
        <row r="64">
          <cell r="A64" t="str">
            <v>Non-Operating Income</v>
          </cell>
          <cell r="R64">
            <v>0.18410139594649846</v>
          </cell>
          <cell r="S64">
            <v>0.24589685181940307</v>
          </cell>
          <cell r="T64">
            <v>0.26044039483675013</v>
          </cell>
          <cell r="U64">
            <v>0.3095613573973483</v>
          </cell>
          <cell r="V64" t="e">
            <v>#DIV/0!</v>
          </cell>
          <cell r="W64" t="e">
            <v>#DIV/0!</v>
          </cell>
          <cell r="X64" t="e">
            <v>#DIV/0!</v>
          </cell>
          <cell r="Y64" t="e">
            <v>#DIV/0!</v>
          </cell>
          <cell r="Z64">
            <v>0.10606604082971224</v>
          </cell>
          <cell r="AA64">
            <v>0.13610928916946791</v>
          </cell>
          <cell r="AB64">
            <v>0.22957489546609819</v>
          </cell>
          <cell r="AD64">
            <v>5.6499549069443308E-2</v>
          </cell>
        </row>
        <row r="65">
          <cell r="A65" t="str">
            <v>Tax</v>
          </cell>
          <cell r="R65">
            <v>0.37031626616025126</v>
          </cell>
          <cell r="S65">
            <v>0.33284639544226136</v>
          </cell>
          <cell r="T65">
            <v>0.23467971660214737</v>
          </cell>
          <cell r="U65">
            <v>6.2157621795340012E-2</v>
          </cell>
          <cell r="V65">
            <v>0</v>
          </cell>
          <cell r="W65">
            <v>0</v>
          </cell>
          <cell r="X65">
            <v>0</v>
          </cell>
          <cell r="Y65">
            <v>1</v>
          </cell>
          <cell r="Z65">
            <v>0.53462940461725383</v>
          </cell>
          <cell r="AA65">
            <v>-0.2384844802827791</v>
          </cell>
          <cell r="AB65">
            <v>-9.1350933392245565E-2</v>
          </cell>
          <cell r="AD65">
            <v>5.4346625428034881E-2</v>
          </cell>
        </row>
        <row r="69">
          <cell r="A69" t="str">
            <v>Note:</v>
          </cell>
        </row>
        <row r="70">
          <cell r="A70" t="str">
            <v>other Income break up</v>
          </cell>
          <cell r="Q70" t="str">
            <v>4QF05</v>
          </cell>
          <cell r="R70" t="str">
            <v>Full Year</v>
          </cell>
        </row>
        <row r="71">
          <cell r="A71" t="str">
            <v>Profit on Sale of Wadi Power plant</v>
          </cell>
          <cell r="R71">
            <v>327.5</v>
          </cell>
        </row>
        <row r="72">
          <cell r="A72" t="str">
            <v>Interest on Sale Consideration</v>
          </cell>
          <cell r="R72">
            <v>61.3</v>
          </cell>
        </row>
        <row r="73">
          <cell r="A73" t="str">
            <v>Profit on Sale of Tata Petordyne</v>
          </cell>
          <cell r="Q73">
            <v>1810</v>
          </cell>
          <cell r="R73">
            <v>1810</v>
          </cell>
        </row>
        <row r="74">
          <cell r="A74" t="str">
            <v>Loss on Sale of Long Term Investments</v>
          </cell>
          <cell r="Q74">
            <v>-272.8</v>
          </cell>
          <cell r="R74">
            <v>-272.8</v>
          </cell>
        </row>
        <row r="75">
          <cell r="Q75">
            <v>1537.2</v>
          </cell>
          <cell r="R75">
            <v>1926.0000000000002</v>
          </cell>
        </row>
        <row r="77">
          <cell r="A77" t="str">
            <v>SEGMENT INFORMATION</v>
          </cell>
        </row>
        <row r="79">
          <cell r="A79" t="str">
            <v>Total Revenue</v>
          </cell>
          <cell r="AY79">
            <v>42390.8</v>
          </cell>
          <cell r="AZ79">
            <v>39304.400000000001</v>
          </cell>
          <cell r="BA79">
            <v>45627.9</v>
          </cell>
          <cell r="BB79">
            <v>47153.2</v>
          </cell>
          <cell r="BC79">
            <v>59159.1</v>
          </cell>
        </row>
        <row r="80">
          <cell r="A80" t="str">
            <v>Electrical energy</v>
          </cell>
          <cell r="R80">
            <v>10597.7</v>
          </cell>
          <cell r="U80">
            <v>11143.3</v>
          </cell>
          <cell r="Y80">
            <v>12985.8</v>
          </cell>
          <cell r="Z80">
            <v>12759.9</v>
          </cell>
          <cell r="AA80">
            <v>12509.7</v>
          </cell>
          <cell r="AB80">
            <v>11785.000000000007</v>
          </cell>
          <cell r="AC80">
            <v>50040.4</v>
          </cell>
          <cell r="AD80">
            <v>18368.400000000001</v>
          </cell>
          <cell r="AE80">
            <v>20294.400000000001</v>
          </cell>
          <cell r="AF80">
            <v>20312.3</v>
          </cell>
          <cell r="AG80">
            <v>14721.299999999988</v>
          </cell>
          <cell r="AH80">
            <v>73696.399999999994</v>
          </cell>
          <cell r="AI80">
            <v>18804.900000000001</v>
          </cell>
          <cell r="AJ80">
            <v>16753.599999999999</v>
          </cell>
          <cell r="AK80">
            <v>16237.4</v>
          </cell>
          <cell r="AY80">
            <v>40429.300000000003</v>
          </cell>
          <cell r="AZ80">
            <v>36831.1</v>
          </cell>
          <cell r="BA80">
            <v>43301.9</v>
          </cell>
          <cell r="BB80">
            <v>46056.7</v>
          </cell>
          <cell r="BC80">
            <v>58385.1</v>
          </cell>
        </row>
        <row r="81">
          <cell r="A81" t="str">
            <v>EPC and contracts</v>
          </cell>
          <cell r="R81">
            <v>406.9</v>
          </cell>
          <cell r="U81">
            <v>569.9</v>
          </cell>
          <cell r="Y81">
            <v>3397.7</v>
          </cell>
          <cell r="Z81">
            <v>2870.9</v>
          </cell>
          <cell r="AA81">
            <v>2805.1</v>
          </cell>
          <cell r="AB81">
            <v>5369.9</v>
          </cell>
          <cell r="AC81">
            <v>14443.6</v>
          </cell>
          <cell r="AD81">
            <v>4439.3</v>
          </cell>
          <cell r="AE81">
            <v>4437.8999999999996</v>
          </cell>
          <cell r="AF81">
            <v>6864</v>
          </cell>
          <cell r="AG81">
            <v>9248.5</v>
          </cell>
          <cell r="AH81">
            <v>24989.7</v>
          </cell>
          <cell r="AI81">
            <v>5658.4</v>
          </cell>
          <cell r="AJ81">
            <v>9742</v>
          </cell>
          <cell r="AK81">
            <v>6637.5</v>
          </cell>
          <cell r="AY81">
            <v>1988.4</v>
          </cell>
          <cell r="AZ81">
            <v>2579.3000000000002</v>
          </cell>
          <cell r="BA81">
            <v>2368.9</v>
          </cell>
          <cell r="BB81">
            <v>1109</v>
          </cell>
          <cell r="BC81">
            <v>774</v>
          </cell>
        </row>
        <row r="82">
          <cell r="A82" t="str">
            <v>Others</v>
          </cell>
          <cell r="R82">
            <v>-17.100000000000001</v>
          </cell>
          <cell r="U82">
            <v>-2.2000000000000002</v>
          </cell>
          <cell r="Y82">
            <v>3455.6</v>
          </cell>
          <cell r="AC82">
            <v>0.2</v>
          </cell>
          <cell r="AE82">
            <v>0</v>
          </cell>
          <cell r="AY82">
            <v>-26.9</v>
          </cell>
          <cell r="AZ82">
            <v>-106</v>
          </cell>
          <cell r="BA82">
            <v>-42.9</v>
          </cell>
          <cell r="BB82">
            <v>-12.5</v>
          </cell>
          <cell r="BC82">
            <v>0</v>
          </cell>
        </row>
        <row r="83">
          <cell r="A83" t="str">
            <v>Total</v>
          </cell>
          <cell r="V83">
            <v>0</v>
          </cell>
          <cell r="W83">
            <v>0</v>
          </cell>
          <cell r="X83">
            <v>0</v>
          </cell>
          <cell r="Y83">
            <v>19839.099999999999</v>
          </cell>
          <cell r="Z83">
            <v>15630.8</v>
          </cell>
          <cell r="AA83">
            <v>15314.800000000001</v>
          </cell>
          <cell r="AB83">
            <v>17154.900000000009</v>
          </cell>
          <cell r="AC83">
            <v>64484.2</v>
          </cell>
          <cell r="AD83">
            <v>22807.7</v>
          </cell>
          <cell r="AE83">
            <v>24732.300000000003</v>
          </cell>
          <cell r="AF83">
            <v>27176.3</v>
          </cell>
          <cell r="AG83">
            <v>23969.799999999988</v>
          </cell>
          <cell r="AH83">
            <v>98686.099999999991</v>
          </cell>
          <cell r="AI83">
            <v>24463.300000000003</v>
          </cell>
          <cell r="AJ83">
            <v>26495.599999999999</v>
          </cell>
          <cell r="AK83">
            <v>22874.9</v>
          </cell>
        </row>
        <row r="84">
          <cell r="A84" t="str">
            <v>Less: Inter segment revenue</v>
          </cell>
          <cell r="R84">
            <v>10987.5</v>
          </cell>
          <cell r="U84">
            <v>11710.999999999998</v>
          </cell>
          <cell r="AE84">
            <v>0</v>
          </cell>
        </row>
        <row r="85">
          <cell r="A85" t="str">
            <v>Net sales</v>
          </cell>
          <cell r="V85">
            <v>0</v>
          </cell>
          <cell r="W85">
            <v>0</v>
          </cell>
          <cell r="X85">
            <v>0</v>
          </cell>
          <cell r="Y85">
            <v>19839.099999999999</v>
          </cell>
          <cell r="Z85">
            <v>15630.8</v>
          </cell>
          <cell r="AA85">
            <v>15314.800000000001</v>
          </cell>
          <cell r="AB85">
            <v>17154.900000000009</v>
          </cell>
          <cell r="AC85">
            <v>64484.2</v>
          </cell>
          <cell r="AD85">
            <v>22807.7</v>
          </cell>
          <cell r="AE85">
            <v>24732.300000000003</v>
          </cell>
          <cell r="AF85">
            <v>27176.3</v>
          </cell>
          <cell r="AG85">
            <v>23969.799999999988</v>
          </cell>
          <cell r="AH85">
            <v>98686.099999999991</v>
          </cell>
          <cell r="AI85">
            <v>24463.300000000003</v>
          </cell>
          <cell r="AJ85">
            <v>26495.599999999999</v>
          </cell>
          <cell r="AK85">
            <v>22874.9</v>
          </cell>
        </row>
        <row r="87">
          <cell r="A87" t="str">
            <v>Segment Results (EBIT)</v>
          </cell>
          <cell r="AY87">
            <v>8750</v>
          </cell>
          <cell r="AZ87">
            <v>6277.3</v>
          </cell>
          <cell r="BA87">
            <v>6376.1</v>
          </cell>
          <cell r="BB87">
            <v>4601.7999999999993</v>
          </cell>
          <cell r="BC87">
            <v>7053.4</v>
          </cell>
        </row>
        <row r="88">
          <cell r="A88" t="str">
            <v>Electrical energy</v>
          </cell>
          <cell r="R88">
            <v>1781.8</v>
          </cell>
          <cell r="U88">
            <v>1433.9</v>
          </cell>
          <cell r="Y88">
            <v>888.9</v>
          </cell>
          <cell r="Z88">
            <v>1517.2</v>
          </cell>
          <cell r="AA88">
            <v>973.3</v>
          </cell>
          <cell r="AB88">
            <v>1183</v>
          </cell>
          <cell r="AC88">
            <v>4562.3999999999996</v>
          </cell>
          <cell r="AD88">
            <v>1776.1</v>
          </cell>
          <cell r="AE88">
            <v>1805.4</v>
          </cell>
          <cell r="AF88">
            <v>2229.9</v>
          </cell>
          <cell r="AG88">
            <v>431</v>
          </cell>
          <cell r="AH88">
            <v>6242.4</v>
          </cell>
          <cell r="AI88">
            <v>1768.9</v>
          </cell>
          <cell r="AJ88">
            <v>1482.6</v>
          </cell>
          <cell r="AK88">
            <v>1492.2</v>
          </cell>
          <cell r="AY88">
            <v>8582.2000000000007</v>
          </cell>
          <cell r="AZ88">
            <v>6168.7</v>
          </cell>
          <cell r="BA88">
            <v>6349</v>
          </cell>
          <cell r="BB88">
            <v>4772.8999999999996</v>
          </cell>
          <cell r="BC88">
            <v>7179.4</v>
          </cell>
        </row>
        <row r="89">
          <cell r="A89" t="str">
            <v>EPC and contracts</v>
          </cell>
          <cell r="R89">
            <v>-16.100000000000001</v>
          </cell>
          <cell r="U89">
            <v>96.4</v>
          </cell>
          <cell r="Y89">
            <v>172.4</v>
          </cell>
          <cell r="Z89">
            <v>334.8</v>
          </cell>
          <cell r="AA89">
            <v>253.7</v>
          </cell>
          <cell r="AB89">
            <v>559.39999999999986</v>
          </cell>
          <cell r="AC89">
            <v>1320.3</v>
          </cell>
          <cell r="AD89">
            <v>473.9</v>
          </cell>
          <cell r="AE89">
            <v>352.7</v>
          </cell>
          <cell r="AF89">
            <v>398</v>
          </cell>
          <cell r="AG89">
            <v>817.80000000000018</v>
          </cell>
          <cell r="AH89">
            <v>2042.4</v>
          </cell>
          <cell r="AI89">
            <v>541</v>
          </cell>
          <cell r="AJ89">
            <v>918.1</v>
          </cell>
          <cell r="AK89">
            <v>397.7</v>
          </cell>
          <cell r="AY89">
            <v>167.8</v>
          </cell>
          <cell r="AZ89">
            <v>108.6</v>
          </cell>
          <cell r="BA89">
            <v>27.1</v>
          </cell>
          <cell r="BB89">
            <v>-171.1</v>
          </cell>
          <cell r="BC89">
            <v>-126</v>
          </cell>
        </row>
        <row r="90">
          <cell r="A90" t="str">
            <v>Others</v>
          </cell>
          <cell r="Y90">
            <v>-0.6</v>
          </cell>
          <cell r="Z90">
            <v>-0.2</v>
          </cell>
          <cell r="AA90">
            <v>-0.2</v>
          </cell>
          <cell r="AB90">
            <v>-8.8000000000000007</v>
          </cell>
          <cell r="AC90">
            <v>-9.8000000000000007</v>
          </cell>
          <cell r="AE90">
            <v>0</v>
          </cell>
          <cell r="AF90">
            <v>-0.1</v>
          </cell>
          <cell r="AG90">
            <v>0.1</v>
          </cell>
          <cell r="AI90">
            <v>0</v>
          </cell>
        </row>
        <row r="91">
          <cell r="A91" t="str">
            <v>Total</v>
          </cell>
          <cell r="V91">
            <v>0</v>
          </cell>
          <cell r="W91">
            <v>0</v>
          </cell>
          <cell r="X91">
            <v>0</v>
          </cell>
          <cell r="Y91">
            <v>1060.7</v>
          </cell>
          <cell r="Z91">
            <v>1851.8</v>
          </cell>
          <cell r="AA91">
            <v>1226.8</v>
          </cell>
          <cell r="AB91">
            <v>1733.6</v>
          </cell>
          <cell r="AC91">
            <v>5872.9</v>
          </cell>
          <cell r="AD91">
            <v>2250</v>
          </cell>
          <cell r="AE91">
            <v>2158.1</v>
          </cell>
          <cell r="AF91">
            <v>2627.8</v>
          </cell>
          <cell r="AG91">
            <v>1248.9000000000001</v>
          </cell>
          <cell r="AH91">
            <v>8284.7999999999993</v>
          </cell>
          <cell r="AI91">
            <v>2309.9</v>
          </cell>
          <cell r="AJ91">
            <v>2400.6999999999998</v>
          </cell>
          <cell r="AK91">
            <v>1889.9</v>
          </cell>
        </row>
        <row r="92">
          <cell r="A92" t="str">
            <v xml:space="preserve">Less: </v>
          </cell>
        </row>
        <row r="93">
          <cell r="A93" t="str">
            <v>Interest</v>
          </cell>
          <cell r="Y93">
            <v>-692.9</v>
          </cell>
          <cell r="Z93">
            <v>-854.3</v>
          </cell>
          <cell r="AA93">
            <v>-854.4</v>
          </cell>
          <cell r="AB93">
            <v>-686</v>
          </cell>
          <cell r="AC93">
            <v>-3087.6</v>
          </cell>
          <cell r="AD93">
            <v>-774.2</v>
          </cell>
          <cell r="AE93">
            <v>-652.79999999999995</v>
          </cell>
          <cell r="AF93">
            <v>-865.4</v>
          </cell>
          <cell r="AG93">
            <v>-1012.5999999999999</v>
          </cell>
          <cell r="AH93">
            <v>-3305</v>
          </cell>
          <cell r="AI93">
            <v>-1036.7</v>
          </cell>
          <cell r="AJ93">
            <v>-739.6</v>
          </cell>
          <cell r="AK93">
            <v>-565.29999999999995</v>
          </cell>
        </row>
        <row r="94">
          <cell r="A94" t="str">
            <v>Interest income</v>
          </cell>
          <cell r="Y94">
            <v>1425.7</v>
          </cell>
          <cell r="Z94">
            <v>1248.5999999999999</v>
          </cell>
          <cell r="AA94">
            <v>1347.7</v>
          </cell>
          <cell r="AB94">
            <v>1136.1000000000004</v>
          </cell>
          <cell r="AC94">
            <v>5158.1000000000004</v>
          </cell>
          <cell r="AD94">
            <v>1190.7</v>
          </cell>
          <cell r="AE94">
            <v>866.1</v>
          </cell>
          <cell r="AF94">
            <v>599.20000000000005</v>
          </cell>
          <cell r="AG94">
            <v>732.09999999999991</v>
          </cell>
          <cell r="AH94">
            <v>3388.1</v>
          </cell>
          <cell r="AI94">
            <v>367.4</v>
          </cell>
          <cell r="AJ94">
            <v>720</v>
          </cell>
          <cell r="AK94">
            <v>899.4</v>
          </cell>
        </row>
        <row r="95">
          <cell r="A95" t="str">
            <v>Other unallocable expenditure</v>
          </cell>
          <cell r="B95" t="str">
            <v>segment</v>
          </cell>
          <cell r="C95" t="str">
            <v>revenue</v>
          </cell>
          <cell r="Q95" t="e">
            <v>#DIV/0!</v>
          </cell>
          <cell r="R95">
            <v>0.1681308208384838</v>
          </cell>
          <cell r="U95">
            <v>0.12867821919898056</v>
          </cell>
          <cell r="Y95">
            <v>907.4</v>
          </cell>
          <cell r="Z95">
            <v>738.7</v>
          </cell>
          <cell r="AA95">
            <v>1080</v>
          </cell>
          <cell r="AB95">
            <v>847.5</v>
          </cell>
          <cell r="AC95">
            <v>3573.6</v>
          </cell>
          <cell r="AD95">
            <v>-91.9</v>
          </cell>
          <cell r="AE95">
            <v>1144.0999999999999</v>
          </cell>
          <cell r="AF95">
            <v>739.4</v>
          </cell>
          <cell r="AG95">
            <v>1774.8000000000002</v>
          </cell>
          <cell r="AH95">
            <v>3566.4</v>
          </cell>
          <cell r="AI95">
            <v>2037.7</v>
          </cell>
          <cell r="AJ95">
            <v>901.5</v>
          </cell>
          <cell r="AK95">
            <v>890</v>
          </cell>
          <cell r="AY95">
            <v>0.21227673988913981</v>
          </cell>
          <cell r="AZ95">
            <v>0.16748617336978802</v>
          </cell>
          <cell r="BA95">
            <v>0.14662174177114629</v>
          </cell>
          <cell r="BB95">
            <v>0.10363095923068739</v>
          </cell>
          <cell r="BC95">
            <v>0.12296630475926221</v>
          </cell>
        </row>
        <row r="96">
          <cell r="A96" t="str">
            <v>Profit before tax</v>
          </cell>
          <cell r="Q96" t="e">
            <v>#DIV/0!</v>
          </cell>
          <cell r="R96">
            <v>-3.9567461292700917E-2</v>
          </cell>
          <cell r="U96">
            <v>0.1691524828917354</v>
          </cell>
          <cell r="V96">
            <v>0</v>
          </cell>
          <cell r="W96">
            <v>0</v>
          </cell>
          <cell r="X96">
            <v>0</v>
          </cell>
          <cell r="Y96">
            <v>2700.9</v>
          </cell>
          <cell r="Z96">
            <v>2984.8</v>
          </cell>
          <cell r="AA96">
            <v>2800.1</v>
          </cell>
          <cell r="AB96">
            <v>3031.2000000000003</v>
          </cell>
          <cell r="AC96">
            <v>11517</v>
          </cell>
          <cell r="AD96">
            <v>2574.6</v>
          </cell>
          <cell r="AE96">
            <v>3515.5</v>
          </cell>
          <cell r="AF96">
            <v>3101.0000000000005</v>
          </cell>
          <cell r="AG96">
            <v>2743.2000000000003</v>
          </cell>
          <cell r="AH96">
            <v>11934.3</v>
          </cell>
          <cell r="AI96">
            <v>3678.3</v>
          </cell>
          <cell r="AJ96">
            <v>3282.6</v>
          </cell>
          <cell r="AK96">
            <v>3114</v>
          </cell>
          <cell r="AY96">
            <v>8.4389458861396094E-2</v>
          </cell>
          <cell r="AZ96">
            <v>4.2104446942969019E-2</v>
          </cell>
          <cell r="BA96">
            <v>1.1439908818438939E-2</v>
          </cell>
          <cell r="BB96">
            <v>-0.15428313796212803</v>
          </cell>
          <cell r="BC96">
            <v>-0.16279069767441862</v>
          </cell>
        </row>
        <row r="98">
          <cell r="A98" t="str">
            <v>Capital Employed</v>
          </cell>
        </row>
        <row r="99">
          <cell r="A99" t="str">
            <v>Electrical energy</v>
          </cell>
          <cell r="Y99">
            <v>30336</v>
          </cell>
          <cell r="Z99">
            <v>35704.6</v>
          </cell>
          <cell r="AA99">
            <v>33458.800000000003</v>
          </cell>
          <cell r="AB99">
            <v>35704.6</v>
          </cell>
          <cell r="AC99">
            <v>35704.6</v>
          </cell>
          <cell r="AD99">
            <v>36468.800000000003</v>
          </cell>
          <cell r="AE99">
            <v>43916.9</v>
          </cell>
          <cell r="AF99">
            <v>48421.8</v>
          </cell>
          <cell r="AG99">
            <v>51177.8</v>
          </cell>
          <cell r="AH99">
            <v>51177.8</v>
          </cell>
          <cell r="AI99">
            <v>52398.7</v>
          </cell>
          <cell r="AJ99">
            <v>52629</v>
          </cell>
          <cell r="AK99">
            <v>54403.6</v>
          </cell>
        </row>
        <row r="100">
          <cell r="A100" t="str">
            <v>EPC and contracts</v>
          </cell>
          <cell r="Y100">
            <v>4531.3</v>
          </cell>
          <cell r="Z100">
            <v>5972.7</v>
          </cell>
          <cell r="AA100">
            <v>3111.9</v>
          </cell>
          <cell r="AB100">
            <v>5972.7</v>
          </cell>
          <cell r="AC100">
            <v>5972.7</v>
          </cell>
          <cell r="AD100">
            <v>-8405.1</v>
          </cell>
          <cell r="AE100">
            <v>-8031.7</v>
          </cell>
          <cell r="AF100">
            <v>-10151.1</v>
          </cell>
          <cell r="AG100">
            <v>1550.6</v>
          </cell>
          <cell r="AH100">
            <v>1550.6</v>
          </cell>
          <cell r="AI100">
            <v>2798.5</v>
          </cell>
          <cell r="AJ100">
            <v>3030.3</v>
          </cell>
          <cell r="AK100">
            <v>2516.3000000000002</v>
          </cell>
        </row>
        <row r="101">
          <cell r="A101" t="str">
            <v>Others</v>
          </cell>
          <cell r="Y101">
            <v>17.3</v>
          </cell>
          <cell r="Z101">
            <v>8.4</v>
          </cell>
          <cell r="AA101">
            <v>17.2</v>
          </cell>
          <cell r="AB101">
            <v>8.4</v>
          </cell>
          <cell r="AC101">
            <v>8.4</v>
          </cell>
          <cell r="AE101">
            <v>8.3000000000000007</v>
          </cell>
          <cell r="AF101">
            <v>8.1999999999999993</v>
          </cell>
          <cell r="AG101">
            <v>66346</v>
          </cell>
          <cell r="AH101">
            <v>66346</v>
          </cell>
          <cell r="AI101">
            <v>66526.2</v>
          </cell>
          <cell r="AJ101">
            <v>78990.3</v>
          </cell>
          <cell r="AK101">
            <v>80400.600000000006</v>
          </cell>
        </row>
        <row r="102">
          <cell r="A102" t="str">
            <v>Unallocated corporate assets</v>
          </cell>
          <cell r="Y102">
            <v>48027.9</v>
          </cell>
          <cell r="Z102">
            <v>75183.899999999994</v>
          </cell>
          <cell r="AA102">
            <v>72332</v>
          </cell>
          <cell r="AB102">
            <v>75183.899999999994</v>
          </cell>
          <cell r="AC102">
            <v>75183.899999999994</v>
          </cell>
          <cell r="AD102">
            <v>87313.5</v>
          </cell>
          <cell r="AE102">
            <v>81847.8</v>
          </cell>
          <cell r="AF102">
            <v>80190</v>
          </cell>
          <cell r="AG102">
            <v>0</v>
          </cell>
        </row>
        <row r="103">
          <cell r="V103">
            <v>0</v>
          </cell>
          <cell r="W103">
            <v>0</v>
          </cell>
          <cell r="X103">
            <v>0</v>
          </cell>
          <cell r="Y103">
            <v>82912.5</v>
          </cell>
          <cell r="Z103">
            <v>116869.59999999999</v>
          </cell>
          <cell r="AA103">
            <v>108919.9</v>
          </cell>
          <cell r="AB103">
            <v>116869.59999999999</v>
          </cell>
          <cell r="AC103">
            <v>116869.59999999999</v>
          </cell>
          <cell r="AD103">
            <v>115377.20000000001</v>
          </cell>
          <cell r="AE103">
            <v>117741.30000000002</v>
          </cell>
          <cell r="AF103">
            <v>118468.9</v>
          </cell>
          <cell r="AG103">
            <v>119074.4</v>
          </cell>
          <cell r="AH103">
            <v>119074.4</v>
          </cell>
          <cell r="AI103">
            <v>121723.4</v>
          </cell>
          <cell r="AJ103">
            <v>134649.60000000001</v>
          </cell>
          <cell r="AK103">
            <v>137320.5</v>
          </cell>
        </row>
        <row r="104">
          <cell r="AY104">
            <v>3339.5</v>
          </cell>
          <cell r="AZ104">
            <v>3596.2</v>
          </cell>
          <cell r="BA104">
            <v>3596.2</v>
          </cell>
        </row>
        <row r="105">
          <cell r="U105">
            <v>0.12867821919898056</v>
          </cell>
          <cell r="AY105">
            <v>3192.2</v>
          </cell>
          <cell r="AZ105">
            <v>3535</v>
          </cell>
          <cell r="BA105">
            <v>3535</v>
          </cell>
        </row>
        <row r="106">
          <cell r="A106" t="str">
            <v>Segment margins</v>
          </cell>
          <cell r="U106">
            <v>0.1691524828917354</v>
          </cell>
          <cell r="AY106">
            <v>147.30000000000001</v>
          </cell>
          <cell r="AZ106">
            <v>61.2</v>
          </cell>
          <cell r="BA106">
            <v>61.2</v>
          </cell>
        </row>
        <row r="107">
          <cell r="A107" t="str">
            <v>Electrical energy</v>
          </cell>
          <cell r="Y107">
            <v>5.0740206610354069E-2</v>
          </cell>
          <cell r="Z107">
            <v>0.11661848200912606</v>
          </cell>
          <cell r="AA107">
            <v>9.0442408470286256E-2</v>
          </cell>
          <cell r="AB107">
            <v>0.10417326207191939</v>
          </cell>
          <cell r="AC107">
            <v>9.1410728627212043E-2</v>
          </cell>
          <cell r="AD107">
            <v>0.10675106435699321</v>
          </cell>
          <cell r="AE107">
            <v>7.9474526239888238E-2</v>
          </cell>
          <cell r="AF107">
            <v>5.7983682983682984E-2</v>
          </cell>
          <cell r="AG107">
            <v>8.8425150024328283E-2</v>
          </cell>
          <cell r="AH107">
            <v>8.1729672625121555E-2</v>
          </cell>
          <cell r="AI107">
            <v>9.5610066449879835E-2</v>
          </cell>
          <cell r="AJ107">
            <v>9.4241428864709514E-2</v>
          </cell>
          <cell r="AK107">
            <v>5.9917137476459506E-2</v>
          </cell>
        </row>
        <row r="108">
          <cell r="A108" t="str">
            <v>EPC and contracts</v>
          </cell>
        </row>
        <row r="109">
          <cell r="AB109">
            <v>119.3311111111111</v>
          </cell>
          <cell r="AC109">
            <v>320.9688888888889</v>
          </cell>
          <cell r="AD109">
            <v>98.651111111111121</v>
          </cell>
          <cell r="AE109">
            <v>98.61999999999999</v>
          </cell>
          <cell r="AF109">
            <v>152.53333333333333</v>
          </cell>
          <cell r="AG109">
            <v>205.52222222222221</v>
          </cell>
          <cell r="AH109">
            <v>555.32666666666671</v>
          </cell>
        </row>
      </sheetData>
      <sheetData sheetId="22" refreshError="1"/>
      <sheetData sheetId="23" refreshError="1"/>
      <sheetData sheetId="24" refreshError="1"/>
      <sheetData sheetId="25" refreshError="1"/>
      <sheetData sheetId="26" refreshError="1"/>
      <sheetData sheetId="27" refreshError="1"/>
      <sheetData sheetId="28" refreshError="1">
        <row r="1">
          <cell r="A1" t="str">
            <v>Tata Power –  Financial Snapshot</v>
          </cell>
        </row>
        <row r="2">
          <cell r="A2" t="str">
            <v>(Rs. Million)</v>
          </cell>
          <cell r="B2" t="str">
            <v>F2Q07</v>
          </cell>
          <cell r="C2" t="str">
            <v>F2Q06</v>
          </cell>
          <cell r="E2" t="str">
            <v>F1Q07</v>
          </cell>
          <cell r="I2" t="str">
            <v>Jul-Sep</v>
          </cell>
          <cell r="J2" t="str">
            <v>Jul-Sep</v>
          </cell>
        </row>
        <row r="3">
          <cell r="A3" t="str">
            <v>(Period Ending)</v>
          </cell>
          <cell r="B3">
            <v>38990</v>
          </cell>
          <cell r="C3" t="str">
            <v>9/301/2005</v>
          </cell>
          <cell r="D3" t="str">
            <v>YoY</v>
          </cell>
          <cell r="E3">
            <v>38898</v>
          </cell>
          <cell r="F3" t="str">
            <v>QoQ</v>
          </cell>
          <cell r="I3" t="str">
            <v>F2006</v>
          </cell>
          <cell r="J3" t="str">
            <v>F2007E</v>
          </cell>
        </row>
        <row r="4">
          <cell r="A4" t="str">
            <v>Income from Operations</v>
          </cell>
          <cell r="B4">
            <v>0</v>
          </cell>
          <cell r="C4">
            <v>10615.7</v>
          </cell>
          <cell r="D4">
            <v>-1</v>
          </cell>
          <cell r="E4">
            <v>0</v>
          </cell>
          <cell r="F4" t="e">
            <v>#DIV/0!</v>
          </cell>
          <cell r="H4" t="str">
            <v>Sales</v>
          </cell>
          <cell r="I4">
            <v>10615.7</v>
          </cell>
          <cell r="J4">
            <v>0</v>
          </cell>
        </row>
        <row r="5">
          <cell r="A5" t="str">
            <v>Expenditure</v>
          </cell>
          <cell r="B5">
            <v>0</v>
          </cell>
          <cell r="C5">
            <v>8212.5</v>
          </cell>
          <cell r="D5">
            <v>-1</v>
          </cell>
          <cell r="E5">
            <v>0</v>
          </cell>
          <cell r="F5" t="e">
            <v>#DIV/0!</v>
          </cell>
          <cell r="H5" t="str">
            <v>EBITDA</v>
          </cell>
          <cell r="I5">
            <v>2403.2000000000007</v>
          </cell>
          <cell r="J5">
            <v>0</v>
          </cell>
        </row>
        <row r="6">
          <cell r="A6" t="str">
            <v xml:space="preserve">  Staff Cost</v>
          </cell>
          <cell r="B6">
            <v>0</v>
          </cell>
          <cell r="C6">
            <v>425.7</v>
          </cell>
          <cell r="D6">
            <v>-1</v>
          </cell>
          <cell r="E6">
            <v>0</v>
          </cell>
          <cell r="F6" t="e">
            <v>#DIV/0!</v>
          </cell>
          <cell r="H6" t="str">
            <v>Other Income</v>
          </cell>
          <cell r="I6">
            <v>421</v>
          </cell>
          <cell r="J6">
            <v>0</v>
          </cell>
        </row>
        <row r="7">
          <cell r="A7" t="str">
            <v xml:space="preserve">  Cost of Power Purchased</v>
          </cell>
          <cell r="B7">
            <v>0</v>
          </cell>
          <cell r="C7">
            <v>1335.5</v>
          </cell>
          <cell r="D7">
            <v>-1</v>
          </cell>
          <cell r="E7">
            <v>0</v>
          </cell>
          <cell r="F7" t="e">
            <v>#DIV/0!</v>
          </cell>
          <cell r="H7" t="str">
            <v>Depreciation</v>
          </cell>
          <cell r="I7">
            <v>681.5</v>
          </cell>
          <cell r="J7">
            <v>0</v>
          </cell>
        </row>
        <row r="8">
          <cell r="A8" t="str">
            <v xml:space="preserve">  Cost of Fuel</v>
          </cell>
          <cell r="B8">
            <v>0</v>
          </cell>
          <cell r="C8">
            <v>5105.2</v>
          </cell>
          <cell r="D8">
            <v>-1</v>
          </cell>
          <cell r="E8">
            <v>0</v>
          </cell>
          <cell r="F8" t="e">
            <v>#DIV/0!</v>
          </cell>
          <cell r="H8" t="str">
            <v>Interest</v>
          </cell>
          <cell r="I8">
            <v>430.3</v>
          </cell>
          <cell r="J8">
            <v>0</v>
          </cell>
        </row>
        <row r="9">
          <cell r="A9" t="str">
            <v xml:space="preserve">  Other expenditure</v>
          </cell>
          <cell r="B9">
            <v>0</v>
          </cell>
          <cell r="C9">
            <v>1346.1</v>
          </cell>
          <cell r="D9">
            <v>-1</v>
          </cell>
          <cell r="E9">
            <v>0</v>
          </cell>
          <cell r="F9" t="e">
            <v>#DIV/0!</v>
          </cell>
          <cell r="H9" t="str">
            <v>Tax</v>
          </cell>
          <cell r="I9">
            <v>455.7</v>
          </cell>
          <cell r="J9">
            <v>0</v>
          </cell>
        </row>
        <row r="10">
          <cell r="A10" t="str">
            <v>Operating profit</v>
          </cell>
          <cell r="B10">
            <v>0</v>
          </cell>
          <cell r="C10">
            <v>2403.2000000000007</v>
          </cell>
          <cell r="D10">
            <v>-1</v>
          </cell>
          <cell r="E10">
            <v>0</v>
          </cell>
          <cell r="F10" t="e">
            <v>#DIV/0!</v>
          </cell>
          <cell r="H10" t="str">
            <v>Net Profit</v>
          </cell>
          <cell r="I10">
            <v>1256.7000000000007</v>
          </cell>
          <cell r="J10">
            <v>0</v>
          </cell>
        </row>
        <row r="11">
          <cell r="A11" t="str">
            <v>Depreciation</v>
          </cell>
          <cell r="B11">
            <v>0</v>
          </cell>
          <cell r="C11">
            <v>681.5</v>
          </cell>
          <cell r="D11">
            <v>-1</v>
          </cell>
          <cell r="E11">
            <v>0</v>
          </cell>
          <cell r="F11" t="e">
            <v>#DIV/0!</v>
          </cell>
        </row>
        <row r="12">
          <cell r="A12" t="str">
            <v>Finance Charges</v>
          </cell>
          <cell r="B12">
            <v>0</v>
          </cell>
          <cell r="C12">
            <v>430.3</v>
          </cell>
          <cell r="D12">
            <v>-1</v>
          </cell>
          <cell r="E12">
            <v>0</v>
          </cell>
          <cell r="F12" t="e">
            <v>#DIV/0!</v>
          </cell>
        </row>
        <row r="13">
          <cell r="A13" t="str">
            <v>Non Operating Income</v>
          </cell>
          <cell r="B13">
            <v>0</v>
          </cell>
          <cell r="C13">
            <v>421</v>
          </cell>
          <cell r="D13">
            <v>-1</v>
          </cell>
          <cell r="E13">
            <v>0</v>
          </cell>
          <cell r="F13" t="e">
            <v>#DIV/0!</v>
          </cell>
        </row>
        <row r="14">
          <cell r="A14" t="str">
            <v>Profit before tax</v>
          </cell>
          <cell r="B14">
            <v>0</v>
          </cell>
          <cell r="C14">
            <v>1712.4000000000008</v>
          </cell>
          <cell r="D14">
            <v>-1</v>
          </cell>
          <cell r="E14">
            <v>0</v>
          </cell>
          <cell r="F14" t="e">
            <v>#DIV/0!</v>
          </cell>
        </row>
        <row r="15">
          <cell r="A15" t="str">
            <v>Tax</v>
          </cell>
          <cell r="B15">
            <v>0</v>
          </cell>
          <cell r="C15">
            <v>455.7</v>
          </cell>
          <cell r="D15">
            <v>-1</v>
          </cell>
          <cell r="E15">
            <v>0</v>
          </cell>
          <cell r="F15" t="e">
            <v>#DIV/0!</v>
          </cell>
        </row>
        <row r="16">
          <cell r="A16" t="str">
            <v xml:space="preserve">  Current </v>
          </cell>
          <cell r="B16">
            <v>0</v>
          </cell>
          <cell r="C16">
            <v>526.4</v>
          </cell>
          <cell r="D16">
            <v>-1</v>
          </cell>
          <cell r="E16">
            <v>0</v>
          </cell>
          <cell r="F16" t="e">
            <v>#DIV/0!</v>
          </cell>
        </row>
        <row r="17">
          <cell r="A17" t="str">
            <v xml:space="preserve">  Deferred</v>
          </cell>
          <cell r="B17">
            <v>0</v>
          </cell>
          <cell r="C17">
            <v>-70.7</v>
          </cell>
          <cell r="D17">
            <v>-1</v>
          </cell>
          <cell r="E17">
            <v>0</v>
          </cell>
          <cell r="F17" t="e">
            <v>#DIV/0!</v>
          </cell>
        </row>
        <row r="18">
          <cell r="A18" t="str">
            <v>Net Profit</v>
          </cell>
          <cell r="B18">
            <v>0</v>
          </cell>
          <cell r="C18">
            <v>1256.7000000000007</v>
          </cell>
          <cell r="D18">
            <v>-1</v>
          </cell>
          <cell r="E18">
            <v>0</v>
          </cell>
          <cell r="F18" t="e">
            <v>#DIV/0!</v>
          </cell>
        </row>
        <row r="19">
          <cell r="A19" t="str">
            <v>Extraordinary Items (Net)</v>
          </cell>
          <cell r="B19">
            <v>0</v>
          </cell>
          <cell r="C19">
            <v>0</v>
          </cell>
          <cell r="D19" t="e">
            <v>#DIV/0!</v>
          </cell>
          <cell r="E19">
            <v>0</v>
          </cell>
          <cell r="F19" t="e">
            <v>#DIV/0!</v>
          </cell>
        </row>
        <row r="20">
          <cell r="A20" t="str">
            <v>Reported PAT</v>
          </cell>
          <cell r="B20">
            <v>0</v>
          </cell>
          <cell r="C20">
            <v>1256.7000000000007</v>
          </cell>
          <cell r="D20">
            <v>-1</v>
          </cell>
          <cell r="E20">
            <v>0</v>
          </cell>
          <cell r="F20" t="e">
            <v>#DIV/0!</v>
          </cell>
        </row>
        <row r="21">
          <cell r="A21" t="str">
            <v>Margins</v>
          </cell>
        </row>
        <row r="22">
          <cell r="A22" t="str">
            <v>Operating margins</v>
          </cell>
          <cell r="B22" t="e">
            <v>#DIV/0!</v>
          </cell>
          <cell r="C22">
            <v>0.22638167996458081</v>
          </cell>
          <cell r="E22" t="e">
            <v>#DIV/0!</v>
          </cell>
        </row>
        <row r="23">
          <cell r="A23" t="str">
            <v>Net margins</v>
          </cell>
          <cell r="B23" t="e">
            <v>#DIV/0!</v>
          </cell>
          <cell r="C23">
            <v>0.11838126548414148</v>
          </cell>
          <cell r="E23" t="e">
            <v>#DIV/0!</v>
          </cell>
        </row>
        <row r="24">
          <cell r="A24" t="str">
            <v>Tax % of PBT</v>
          </cell>
          <cell r="B24" t="e">
            <v>#REF!</v>
          </cell>
          <cell r="C24">
            <v>0.26611772950245255</v>
          </cell>
          <cell r="E24" t="e">
            <v>#DIV/0!</v>
          </cell>
        </row>
        <row r="25">
          <cell r="A25" t="str">
            <v>Operating Metrics</v>
          </cell>
        </row>
        <row r="26">
          <cell r="A26" t="str">
            <v>Generation (mn units)</v>
          </cell>
          <cell r="B26">
            <v>0</v>
          </cell>
          <cell r="C26">
            <v>3420</v>
          </cell>
          <cell r="D26">
            <v>-1</v>
          </cell>
          <cell r="E26">
            <v>0</v>
          </cell>
          <cell r="F26" t="e">
            <v>#DIV/0!</v>
          </cell>
        </row>
        <row r="27">
          <cell r="A27" t="str">
            <v>Sales (mn units)</v>
          </cell>
          <cell r="B27">
            <v>0</v>
          </cell>
          <cell r="C27">
            <v>3341</v>
          </cell>
          <cell r="D27">
            <v>-1</v>
          </cell>
          <cell r="E27">
            <v>0</v>
          </cell>
          <cell r="F27" t="e">
            <v>#DIV/0!</v>
          </cell>
        </row>
        <row r="28">
          <cell r="A28" t="str">
            <v>Tariff (Rs/Unit)</v>
          </cell>
          <cell r="B28">
            <v>0</v>
          </cell>
          <cell r="C28">
            <v>2.9331038611194251</v>
          </cell>
          <cell r="D28">
            <v>-1</v>
          </cell>
          <cell r="E28">
            <v>0</v>
          </cell>
          <cell r="F28" t="e">
            <v>#DIV/0!</v>
          </cell>
        </row>
        <row r="29">
          <cell r="A29" t="str">
            <v>Fuel Cost (Rs/Unit)</v>
          </cell>
          <cell r="B29">
            <v>0</v>
          </cell>
          <cell r="C29">
            <v>1.4927485380116958</v>
          </cell>
          <cell r="D29">
            <v>-1</v>
          </cell>
          <cell r="E29">
            <v>0</v>
          </cell>
          <cell r="F29" t="e">
            <v>#DIV/0!</v>
          </cell>
        </row>
        <row r="31">
          <cell r="A31" t="str">
            <v>Tata Power –  Financial Snapshot</v>
          </cell>
        </row>
        <row r="32">
          <cell r="A32" t="str">
            <v>(Rs. Million)</v>
          </cell>
          <cell r="B32" t="str">
            <v>F1Q07</v>
          </cell>
          <cell r="C32" t="str">
            <v>F1Q06</v>
          </cell>
          <cell r="E32" t="str">
            <v>F4Q06</v>
          </cell>
        </row>
        <row r="33">
          <cell r="A33" t="str">
            <v>(Period Ending)</v>
          </cell>
          <cell r="B33">
            <v>38898</v>
          </cell>
          <cell r="C33">
            <v>38533</v>
          </cell>
          <cell r="D33" t="str">
            <v>YoY</v>
          </cell>
          <cell r="E33">
            <v>38807</v>
          </cell>
          <cell r="F33" t="str">
            <v>QoQ</v>
          </cell>
        </row>
        <row r="34">
          <cell r="A34" t="str">
            <v>Income from Operations</v>
          </cell>
          <cell r="B34">
            <v>0</v>
          </cell>
          <cell r="C34">
            <v>10899.3</v>
          </cell>
          <cell r="D34">
            <v>-1</v>
          </cell>
          <cell r="E34">
            <v>11711</v>
          </cell>
          <cell r="F34">
            <v>-1</v>
          </cell>
        </row>
        <row r="35">
          <cell r="A35" t="str">
            <v>Expenditure</v>
          </cell>
          <cell r="B35">
            <v>0</v>
          </cell>
          <cell r="C35">
            <v>8577.1</v>
          </cell>
          <cell r="D35">
            <v>-1</v>
          </cell>
          <cell r="E35">
            <v>10138.200000000001</v>
          </cell>
          <cell r="F35">
            <v>-1</v>
          </cell>
        </row>
        <row r="36">
          <cell r="A36" t="str">
            <v xml:space="preserve">  Staff Cost</v>
          </cell>
          <cell r="B36">
            <v>0</v>
          </cell>
          <cell r="C36">
            <v>379</v>
          </cell>
          <cell r="D36">
            <v>-1</v>
          </cell>
          <cell r="E36">
            <v>484.8</v>
          </cell>
          <cell r="F36">
            <v>-1</v>
          </cell>
        </row>
        <row r="37">
          <cell r="A37" t="str">
            <v xml:space="preserve">  Cost of Power Purchased</v>
          </cell>
          <cell r="B37">
            <v>0</v>
          </cell>
          <cell r="C37">
            <v>1110.7</v>
          </cell>
          <cell r="D37">
            <v>-1</v>
          </cell>
          <cell r="E37">
            <v>1305</v>
          </cell>
          <cell r="F37">
            <v>-1</v>
          </cell>
        </row>
        <row r="38">
          <cell r="A38" t="str">
            <v xml:space="preserve">  Cost of Fuel</v>
          </cell>
          <cell r="B38">
            <v>0</v>
          </cell>
          <cell r="C38">
            <v>6041.3</v>
          </cell>
          <cell r="D38">
            <v>-1</v>
          </cell>
          <cell r="E38">
            <v>6365.3</v>
          </cell>
          <cell r="F38">
            <v>-1</v>
          </cell>
        </row>
        <row r="39">
          <cell r="A39" t="str">
            <v xml:space="preserve">  Other expenditure</v>
          </cell>
          <cell r="B39">
            <v>0</v>
          </cell>
          <cell r="C39">
            <v>1046.0999999999999</v>
          </cell>
          <cell r="D39">
            <v>-1</v>
          </cell>
          <cell r="E39">
            <v>1983.1</v>
          </cell>
          <cell r="F39">
            <v>-1</v>
          </cell>
        </row>
        <row r="40">
          <cell r="A40" t="str">
            <v>Operating profit</v>
          </cell>
          <cell r="B40">
            <v>0</v>
          </cell>
          <cell r="C40">
            <v>2322.1999999999989</v>
          </cell>
          <cell r="D40">
            <v>-1</v>
          </cell>
          <cell r="E40">
            <v>1572.7999999999993</v>
          </cell>
          <cell r="F40">
            <v>-1</v>
          </cell>
        </row>
        <row r="41">
          <cell r="A41" t="str">
            <v>Depreciation</v>
          </cell>
          <cell r="B41">
            <v>0</v>
          </cell>
          <cell r="C41">
            <v>656.1</v>
          </cell>
          <cell r="D41">
            <v>-1</v>
          </cell>
          <cell r="E41">
            <v>734</v>
          </cell>
          <cell r="F41">
            <v>-1</v>
          </cell>
        </row>
        <row r="42">
          <cell r="A42" t="str">
            <v>Finance Charges</v>
          </cell>
          <cell r="B42">
            <v>0</v>
          </cell>
          <cell r="C42">
            <v>378.5</v>
          </cell>
          <cell r="D42">
            <v>-1</v>
          </cell>
          <cell r="E42">
            <v>419.8</v>
          </cell>
          <cell r="F42">
            <v>-1</v>
          </cell>
        </row>
        <row r="43">
          <cell r="A43" t="str">
            <v>Non Operating Income</v>
          </cell>
          <cell r="B43">
            <v>0</v>
          </cell>
          <cell r="C43">
            <v>315.2</v>
          </cell>
          <cell r="D43">
            <v>-1</v>
          </cell>
          <cell r="E43">
            <v>530</v>
          </cell>
          <cell r="F43">
            <v>-1</v>
          </cell>
        </row>
        <row r="44">
          <cell r="A44" t="str">
            <v>Profit before tax</v>
          </cell>
          <cell r="B44">
            <v>0</v>
          </cell>
          <cell r="C44">
            <v>1602.7999999999988</v>
          </cell>
          <cell r="D44">
            <v>-1</v>
          </cell>
          <cell r="E44">
            <v>948.99999999999932</v>
          </cell>
          <cell r="F44">
            <v>-1</v>
          </cell>
        </row>
        <row r="45">
          <cell r="A45" t="str">
            <v>Tax</v>
          </cell>
          <cell r="B45">
            <v>0</v>
          </cell>
          <cell r="C45">
            <v>507</v>
          </cell>
          <cell r="D45">
            <v>-1</v>
          </cell>
          <cell r="E45">
            <v>85.100000000000009</v>
          </cell>
          <cell r="F45">
            <v>-1</v>
          </cell>
        </row>
        <row r="46">
          <cell r="A46" t="str">
            <v xml:space="preserve">  Current </v>
          </cell>
          <cell r="B46">
            <v>0</v>
          </cell>
          <cell r="C46">
            <v>574.9</v>
          </cell>
          <cell r="D46">
            <v>-1</v>
          </cell>
          <cell r="E46">
            <v>176.9</v>
          </cell>
          <cell r="F46">
            <v>-1</v>
          </cell>
        </row>
        <row r="47">
          <cell r="A47" t="str">
            <v xml:space="preserve">  Deferred</v>
          </cell>
          <cell r="B47">
            <v>0</v>
          </cell>
          <cell r="C47">
            <v>-67.900000000000006</v>
          </cell>
          <cell r="D47">
            <v>-1</v>
          </cell>
          <cell r="E47">
            <v>-91.8</v>
          </cell>
          <cell r="F47">
            <v>-1</v>
          </cell>
        </row>
        <row r="48">
          <cell r="A48" t="str">
            <v>Net Profit</v>
          </cell>
          <cell r="B48">
            <v>0</v>
          </cell>
          <cell r="C48">
            <v>1095.7999999999988</v>
          </cell>
          <cell r="D48">
            <v>-1</v>
          </cell>
          <cell r="E48">
            <v>863.8999999999993</v>
          </cell>
          <cell r="F48">
            <v>-1</v>
          </cell>
        </row>
        <row r="49">
          <cell r="A49" t="str">
            <v>Extraordinary Items (Net)</v>
          </cell>
          <cell r="B49">
            <v>0</v>
          </cell>
          <cell r="C49">
            <v>88.2</v>
          </cell>
          <cell r="D49">
            <v>-1</v>
          </cell>
          <cell r="E49">
            <v>524.29999999999995</v>
          </cell>
          <cell r="F49">
            <v>-1</v>
          </cell>
        </row>
        <row r="50">
          <cell r="A50" t="str">
            <v>Reported PAT</v>
          </cell>
          <cell r="B50">
            <v>0</v>
          </cell>
          <cell r="C50">
            <v>1183.9999999999989</v>
          </cell>
          <cell r="D50">
            <v>-1</v>
          </cell>
          <cell r="E50">
            <v>1388.1999999999994</v>
          </cell>
          <cell r="F50">
            <v>-1</v>
          </cell>
        </row>
        <row r="51">
          <cell r="A51" t="str">
            <v>Margins</v>
          </cell>
        </row>
        <row r="52">
          <cell r="A52" t="str">
            <v>Operating margins</v>
          </cell>
          <cell r="B52" t="e">
            <v>#DIV/0!</v>
          </cell>
          <cell r="C52">
            <v>0.2130595542833025</v>
          </cell>
          <cell r="E52">
            <v>0.13430108445051656</v>
          </cell>
        </row>
        <row r="53">
          <cell r="A53" t="str">
            <v>Net margins</v>
          </cell>
          <cell r="B53" t="e">
            <v>#DIV/0!</v>
          </cell>
          <cell r="C53">
            <v>0.10053856669694376</v>
          </cell>
          <cell r="E53">
            <v>7.37682520707027E-2</v>
          </cell>
        </row>
        <row r="54">
          <cell r="A54" t="str">
            <v>Tax % of PBT</v>
          </cell>
          <cell r="B54" t="e">
            <v>#DIV/0!</v>
          </cell>
          <cell r="C54">
            <v>0.3163214374844025</v>
          </cell>
          <cell r="E54">
            <v>8.9673340358271944E-2</v>
          </cell>
        </row>
        <row r="55">
          <cell r="A55" t="str">
            <v>Operating Metrics</v>
          </cell>
        </row>
        <row r="56">
          <cell r="A56" t="str">
            <v>Generation (mn units)</v>
          </cell>
          <cell r="B56">
            <v>0</v>
          </cell>
          <cell r="C56">
            <v>3751</v>
          </cell>
          <cell r="D56">
            <v>-1</v>
          </cell>
          <cell r="E56">
            <v>3367</v>
          </cell>
          <cell r="F56">
            <v>-1</v>
          </cell>
        </row>
        <row r="57">
          <cell r="A57" t="str">
            <v>Sales (mn units)</v>
          </cell>
          <cell r="B57">
            <v>0</v>
          </cell>
          <cell r="C57">
            <v>3617</v>
          </cell>
          <cell r="D57">
            <v>-1</v>
          </cell>
          <cell r="E57">
            <v>3306</v>
          </cell>
          <cell r="F57">
            <v>-1</v>
          </cell>
        </row>
        <row r="58">
          <cell r="A58" t="str">
            <v>Tariff (Rs/Unit)</v>
          </cell>
          <cell r="B58">
            <v>0</v>
          </cell>
          <cell r="C58">
            <v>2.8882499308819463</v>
          </cell>
          <cell r="D58">
            <v>-1</v>
          </cell>
          <cell r="E58">
            <v>3.3460677555958864</v>
          </cell>
          <cell r="F58">
            <v>-1</v>
          </cell>
        </row>
        <row r="59">
          <cell r="A59" t="str">
            <v>Fuel Cost (Rs/Unit)</v>
          </cell>
          <cell r="B59">
            <v>0</v>
          </cell>
          <cell r="C59">
            <v>1.6105838443081846</v>
          </cell>
          <cell r="D59">
            <v>-1</v>
          </cell>
          <cell r="E59">
            <v>1.8904959904959906</v>
          </cell>
          <cell r="F59">
            <v>-1</v>
          </cell>
        </row>
        <row r="64">
          <cell r="A64" t="str">
            <v>Exhibit 1</v>
          </cell>
        </row>
        <row r="65">
          <cell r="A65" t="str">
            <v>Tata Power –  Financial Snapshot</v>
          </cell>
        </row>
        <row r="66">
          <cell r="A66" t="str">
            <v>(Rs mn)</v>
          </cell>
          <cell r="B66" t="str">
            <v>F4Q06</v>
          </cell>
          <cell r="C66" t="str">
            <v>F4Q05</v>
          </cell>
          <cell r="E66" t="str">
            <v>F2006</v>
          </cell>
          <cell r="F66" t="str">
            <v>F2005</v>
          </cell>
        </row>
        <row r="67">
          <cell r="A67" t="str">
            <v>(period ending)</v>
          </cell>
          <cell r="B67">
            <v>38807</v>
          </cell>
          <cell r="C67">
            <v>38442</v>
          </cell>
          <cell r="D67" t="str">
            <v>YoY</v>
          </cell>
          <cell r="E67">
            <v>38807</v>
          </cell>
          <cell r="F67">
            <v>38442</v>
          </cell>
          <cell r="G67" t="str">
            <v>YoY</v>
          </cell>
        </row>
        <row r="69">
          <cell r="A69" t="str">
            <v>Operating Metrics</v>
          </cell>
          <cell r="J69" t="str">
            <v>F4Q06</v>
          </cell>
          <cell r="K69" t="str">
            <v>F4Q05</v>
          </cell>
        </row>
        <row r="70">
          <cell r="A70" t="str">
            <v>Generation (mn units)</v>
          </cell>
          <cell r="B70">
            <v>3367</v>
          </cell>
          <cell r="C70">
            <v>3310</v>
          </cell>
          <cell r="D70">
            <v>1.7220543806646615E-2</v>
          </cell>
          <cell r="E70">
            <v>13746</v>
          </cell>
          <cell r="F70">
            <v>13283</v>
          </cell>
          <cell r="G70">
            <v>3.4856583603101621E-2</v>
          </cell>
          <cell r="J70">
            <v>38807</v>
          </cell>
          <cell r="K70">
            <v>38442</v>
          </cell>
        </row>
        <row r="71">
          <cell r="A71" t="str">
            <v>Sales (mn units)</v>
          </cell>
          <cell r="B71">
            <v>3306</v>
          </cell>
          <cell r="C71">
            <v>3207</v>
          </cell>
          <cell r="D71">
            <v>3.0869971936389184E-2</v>
          </cell>
          <cell r="E71">
            <v>13616</v>
          </cell>
          <cell r="F71">
            <v>12663</v>
          </cell>
          <cell r="G71">
            <v>7.5258627497433395E-2</v>
          </cell>
          <cell r="I71" t="str">
            <v>Revenues</v>
          </cell>
          <cell r="J71">
            <v>11711</v>
          </cell>
          <cell r="K71">
            <v>9623</v>
          </cell>
          <cell r="M71">
            <v>9623</v>
          </cell>
        </row>
        <row r="72">
          <cell r="A72" t="str">
            <v>Tariff (Rs/Unit)</v>
          </cell>
          <cell r="B72">
            <v>3.3460677555958864</v>
          </cell>
          <cell r="C72">
            <v>2.6845650140318051</v>
          </cell>
          <cell r="D72">
            <v>0.2464096559802087</v>
          </cell>
          <cell r="E72">
            <v>3.1531066392479432</v>
          </cell>
          <cell r="F72">
            <v>2.8866698254757956</v>
          </cell>
          <cell r="G72">
            <v>9.2299026172219856E-2</v>
          </cell>
          <cell r="I72" t="str">
            <v>Expenditure</v>
          </cell>
          <cell r="J72">
            <v>10138.200000000001</v>
          </cell>
          <cell r="K72">
            <v>8054.4</v>
          </cell>
          <cell r="M72">
            <v>8354.4</v>
          </cell>
          <cell r="N72">
            <v>-300</v>
          </cell>
        </row>
        <row r="73">
          <cell r="I73" t="str">
            <v>Operating Profit</v>
          </cell>
          <cell r="J73">
            <v>1572.7999999999993</v>
          </cell>
          <cell r="K73">
            <v>1568.6000000000004</v>
          </cell>
          <cell r="M73">
            <v>1268.5999999999999</v>
          </cell>
        </row>
        <row r="74">
          <cell r="A74" t="str">
            <v>Income from Operations</v>
          </cell>
          <cell r="B74">
            <v>11711</v>
          </cell>
          <cell r="C74">
            <v>9623</v>
          </cell>
          <cell r="D74">
            <v>0.21698015171983798</v>
          </cell>
          <cell r="E74">
            <v>45539.7</v>
          </cell>
          <cell r="F74">
            <v>39304.400000000001</v>
          </cell>
          <cell r="G74">
            <v>0.15864127171512599</v>
          </cell>
          <cell r="I74" t="str">
            <v>Other Income</v>
          </cell>
          <cell r="J74">
            <v>530</v>
          </cell>
          <cell r="K74">
            <v>383.79999999999995</v>
          </cell>
          <cell r="M74">
            <v>1920.8</v>
          </cell>
        </row>
        <row r="75">
          <cell r="A75" t="str">
            <v>Expenditure</v>
          </cell>
          <cell r="B75">
            <v>10138.200000000001</v>
          </cell>
          <cell r="C75">
            <v>8054.4</v>
          </cell>
          <cell r="D75">
            <v>0.25871573301549478</v>
          </cell>
          <cell r="E75">
            <v>37273.299999999996</v>
          </cell>
          <cell r="F75">
            <v>30174.2</v>
          </cell>
          <cell r="G75">
            <v>0.23527052912753255</v>
          </cell>
          <cell r="I75" t="str">
            <v>Interest</v>
          </cell>
          <cell r="J75">
            <v>419.8</v>
          </cell>
          <cell r="K75">
            <v>400.8</v>
          </cell>
          <cell r="M75">
            <v>400.8</v>
          </cell>
        </row>
        <row r="76">
          <cell r="A76" t="str">
            <v xml:space="preserve">  Staff Cost</v>
          </cell>
          <cell r="B76">
            <v>484.8</v>
          </cell>
          <cell r="C76">
            <v>651.6</v>
          </cell>
          <cell r="D76">
            <v>-0.2559852670349908</v>
          </cell>
          <cell r="E76">
            <v>1736.8</v>
          </cell>
          <cell r="F76">
            <v>1774</v>
          </cell>
          <cell r="G76">
            <v>-2.0969560315670877E-2</v>
          </cell>
          <cell r="I76" t="str">
            <v>Depreciation</v>
          </cell>
          <cell r="J76">
            <v>734</v>
          </cell>
          <cell r="K76">
            <v>703.69999999999993</v>
          </cell>
          <cell r="M76">
            <v>704</v>
          </cell>
        </row>
        <row r="77">
          <cell r="A77" t="str">
            <v xml:space="preserve">  Cost of Power Purchased</v>
          </cell>
          <cell r="B77">
            <v>1305</v>
          </cell>
          <cell r="C77">
            <v>990.1</v>
          </cell>
          <cell r="D77">
            <v>0.31804868195131797</v>
          </cell>
          <cell r="E77">
            <v>5832</v>
          </cell>
          <cell r="F77">
            <v>4157</v>
          </cell>
          <cell r="G77">
            <v>0.40293480875631471</v>
          </cell>
          <cell r="I77" t="str">
            <v>Pre-tax Profit</v>
          </cell>
          <cell r="J77">
            <v>948.99999999999932</v>
          </cell>
          <cell r="K77">
            <v>847.90000000000043</v>
          </cell>
          <cell r="M77">
            <v>2084.6</v>
          </cell>
        </row>
        <row r="78">
          <cell r="A78" t="str">
            <v xml:space="preserve">  Cost of Fuel</v>
          </cell>
          <cell r="B78">
            <v>6365.3</v>
          </cell>
          <cell r="C78">
            <v>4620.3999999999996</v>
          </cell>
          <cell r="D78">
            <v>0.37765128560297834</v>
          </cell>
          <cell r="E78">
            <v>23965.1</v>
          </cell>
          <cell r="F78">
            <v>18639.8</v>
          </cell>
          <cell r="G78">
            <v>0.28569512548417908</v>
          </cell>
          <cell r="I78" t="str">
            <v>Tax</v>
          </cell>
          <cell r="J78">
            <v>85.100000000000009</v>
          </cell>
          <cell r="K78">
            <v>54.5</v>
          </cell>
          <cell r="M78">
            <v>54.5</v>
          </cell>
        </row>
        <row r="79">
          <cell r="A79" t="str">
            <v xml:space="preserve">  Other expenditure</v>
          </cell>
          <cell r="B79">
            <v>1983.1</v>
          </cell>
          <cell r="C79">
            <v>1792.3000000000002</v>
          </cell>
          <cell r="D79">
            <v>0.10645539251241409</v>
          </cell>
          <cell r="E79">
            <v>5739.4</v>
          </cell>
          <cell r="F79">
            <v>5603.4000000000005</v>
          </cell>
          <cell r="G79">
            <v>2.4270978334582471E-2</v>
          </cell>
          <cell r="I79" t="str">
            <v>Net Profit</v>
          </cell>
          <cell r="J79">
            <v>863.8999999999993</v>
          </cell>
          <cell r="K79">
            <v>793.40000000000043</v>
          </cell>
          <cell r="M79">
            <v>2030.1</v>
          </cell>
        </row>
        <row r="80">
          <cell r="A80" t="str">
            <v>Operating profit</v>
          </cell>
          <cell r="B80">
            <v>1572.7999999999993</v>
          </cell>
          <cell r="C80">
            <v>1568.6000000000004</v>
          </cell>
          <cell r="D80">
            <v>2.677546857069224E-3</v>
          </cell>
          <cell r="E80">
            <v>8266.4000000000015</v>
          </cell>
          <cell r="F80">
            <v>9130.2000000000007</v>
          </cell>
          <cell r="G80">
            <v>-9.4609099472081626E-2</v>
          </cell>
          <cell r="I80" t="str">
            <v>Raw Material Cost</v>
          </cell>
          <cell r="J80">
            <v>6365.3</v>
          </cell>
          <cell r="K80">
            <v>4620.3999999999996</v>
          </cell>
          <cell r="M80">
            <v>6276.9</v>
          </cell>
        </row>
        <row r="81">
          <cell r="A81" t="str">
            <v>Depreciation</v>
          </cell>
          <cell r="B81">
            <v>734</v>
          </cell>
          <cell r="C81">
            <v>703.69999999999993</v>
          </cell>
          <cell r="D81">
            <v>4.3058121358533485E-2</v>
          </cell>
          <cell r="E81">
            <v>2783.3999999999996</v>
          </cell>
          <cell r="F81">
            <v>3271.3</v>
          </cell>
          <cell r="G81">
            <v>-0.14914559960871843</v>
          </cell>
        </row>
        <row r="82">
          <cell r="A82" t="str">
            <v>Finance Charges</v>
          </cell>
          <cell r="B82">
            <v>419.8</v>
          </cell>
          <cell r="C82">
            <v>400.8</v>
          </cell>
          <cell r="D82">
            <v>4.740518962075857E-2</v>
          </cell>
          <cell r="E82">
            <v>1652.8</v>
          </cell>
          <cell r="F82">
            <v>1914.3999999999999</v>
          </cell>
          <cell r="G82">
            <v>-0.13664855829502709</v>
          </cell>
          <cell r="I82" t="str">
            <v>Tax paid</v>
          </cell>
          <cell r="J82">
            <v>85.100000000000009</v>
          </cell>
          <cell r="K82">
            <v>54.5</v>
          </cell>
        </row>
        <row r="83">
          <cell r="A83" t="str">
            <v>Non Operating Income</v>
          </cell>
          <cell r="B83">
            <v>530</v>
          </cell>
          <cell r="C83">
            <v>383.79999999999995</v>
          </cell>
          <cell r="D83">
            <v>0.38092756644085468</v>
          </cell>
          <cell r="E83">
            <v>1712.1</v>
          </cell>
          <cell r="F83">
            <v>1437</v>
          </cell>
          <cell r="G83">
            <v>0.19144050104384136</v>
          </cell>
          <cell r="I83" t="str">
            <v>Extraordinary</v>
          </cell>
        </row>
        <row r="84">
          <cell r="A84" t="str">
            <v>Profit before tax</v>
          </cell>
          <cell r="B84">
            <v>948.99999999999932</v>
          </cell>
          <cell r="C84">
            <v>847.90000000000032</v>
          </cell>
          <cell r="D84">
            <v>0.11923575893383531</v>
          </cell>
          <cell r="E84">
            <v>5542.300000000002</v>
          </cell>
          <cell r="F84">
            <v>5381.5000000000009</v>
          </cell>
          <cell r="G84">
            <v>2.9880144941001774E-2</v>
          </cell>
          <cell r="I84" t="str">
            <v>Tax Effect of Extr</v>
          </cell>
        </row>
        <row r="85">
          <cell r="A85" t="str">
            <v>Tax</v>
          </cell>
          <cell r="B85">
            <v>85.100000000000009</v>
          </cell>
          <cell r="C85">
            <v>54.5</v>
          </cell>
          <cell r="D85">
            <v>0.56146788990825702</v>
          </cell>
          <cell r="E85">
            <v>1369.1</v>
          </cell>
          <cell r="F85">
            <v>1492.0500000000002</v>
          </cell>
          <cell r="G85">
            <v>-8.2403404711638539E-2</v>
          </cell>
          <cell r="I85" t="str">
            <v>Extr Net of Tax</v>
          </cell>
          <cell r="J85">
            <v>524.29999999999995</v>
          </cell>
          <cell r="K85">
            <v>912.1</v>
          </cell>
        </row>
        <row r="86">
          <cell r="A86" t="str">
            <v xml:space="preserve">  Current </v>
          </cell>
          <cell r="B86">
            <v>176.9</v>
          </cell>
          <cell r="C86">
            <v>96.5</v>
          </cell>
          <cell r="D86">
            <v>0.83316062176165806</v>
          </cell>
          <cell r="E86">
            <v>1643.8</v>
          </cell>
          <cell r="F86">
            <v>1206.0500000000002</v>
          </cell>
          <cell r="G86">
            <v>0.36296173458811798</v>
          </cell>
          <cell r="I86" t="str">
            <v>Reported Profit</v>
          </cell>
          <cell r="J86">
            <v>1388.1999999999994</v>
          </cell>
          <cell r="K86">
            <v>1705.5000000000005</v>
          </cell>
        </row>
        <row r="87">
          <cell r="A87" t="str">
            <v xml:space="preserve">  Deferred</v>
          </cell>
          <cell r="B87">
            <v>-91.8</v>
          </cell>
          <cell r="C87">
            <v>-42</v>
          </cell>
          <cell r="D87">
            <v>1.1857142857142855</v>
          </cell>
          <cell r="E87">
            <v>-274.70000000000005</v>
          </cell>
          <cell r="F87">
            <v>286</v>
          </cell>
          <cell r="G87">
            <v>-1.9604895104895106</v>
          </cell>
        </row>
        <row r="88">
          <cell r="A88" t="str">
            <v>Net Profit</v>
          </cell>
          <cell r="B88">
            <v>863.8999999999993</v>
          </cell>
          <cell r="C88">
            <v>793.40000000000032</v>
          </cell>
          <cell r="D88">
            <v>8.8858079153010916E-2</v>
          </cell>
          <cell r="E88">
            <v>4173.2000000000025</v>
          </cell>
          <cell r="F88">
            <v>3889.4500000000007</v>
          </cell>
          <cell r="G88">
            <v>7.2953759528982642E-2</v>
          </cell>
        </row>
        <row r="89">
          <cell r="A89" t="str">
            <v>Extraordinary Items (Net)</v>
          </cell>
          <cell r="B89">
            <v>524.29999999999995</v>
          </cell>
          <cell r="C89">
            <v>912.1</v>
          </cell>
          <cell r="D89">
            <v>-0.42517267843438222</v>
          </cell>
          <cell r="E89">
            <v>1932.2</v>
          </cell>
          <cell r="F89">
            <v>1624.0500000000002</v>
          </cell>
          <cell r="G89">
            <v>0.18974169514485384</v>
          </cell>
        </row>
        <row r="90">
          <cell r="A90" t="str">
            <v>Reported PAT</v>
          </cell>
          <cell r="B90">
            <v>1388.1999999999994</v>
          </cell>
          <cell r="C90">
            <v>1705.5000000000005</v>
          </cell>
          <cell r="D90">
            <v>-0.18604514805042571</v>
          </cell>
          <cell r="E90">
            <v>6105.4000000000024</v>
          </cell>
          <cell r="F90">
            <v>5513.5000000000009</v>
          </cell>
          <cell r="G90">
            <v>0.10735467488890937</v>
          </cell>
        </row>
        <row r="92">
          <cell r="A92" t="str">
            <v>Operating margins</v>
          </cell>
          <cell r="B92">
            <v>0.13430108445051656</v>
          </cell>
          <cell r="C92">
            <v>0.1630052998025564</v>
          </cell>
          <cell r="E92">
            <v>0.18152073904746852</v>
          </cell>
          <cell r="F92">
            <v>0.23229460314875688</v>
          </cell>
        </row>
        <row r="93">
          <cell r="A93" t="str">
            <v>Net margins</v>
          </cell>
          <cell r="B93">
            <v>7.37682520707027E-2</v>
          </cell>
          <cell r="C93">
            <v>8.2448300945651073E-2</v>
          </cell>
          <cell r="E93">
            <v>9.1638724014431419E-2</v>
          </cell>
          <cell r="F93">
            <v>9.8957114216220082E-2</v>
          </cell>
        </row>
        <row r="94">
          <cell r="A94" t="str">
            <v>Tax % of PBT</v>
          </cell>
          <cell r="B94">
            <v>8.9673340358271944E-2</v>
          </cell>
          <cell r="C94">
            <v>6.4276447694303546E-2</v>
          </cell>
          <cell r="E94">
            <v>0.24702740739404208</v>
          </cell>
          <cell r="F94">
            <v>0.27726571646256482</v>
          </cell>
        </row>
        <row r="96">
          <cell r="A96" t="str">
            <v>Source: Company data, Morgan Stanley Research</v>
          </cell>
        </row>
        <row r="98">
          <cell r="A98" t="str">
            <v xml:space="preserve">F2006 Stand-alone Net Profit </v>
          </cell>
        </row>
        <row r="99">
          <cell r="A99" t="str">
            <v>(Rs Million)</v>
          </cell>
          <cell r="B99" t="str">
            <v>MS</v>
          </cell>
          <cell r="C99" t="str">
            <v>Actual</v>
          </cell>
          <cell r="D99" t="str">
            <v>Remark</v>
          </cell>
        </row>
        <row r="100">
          <cell r="A100" t="str">
            <v>Adjusted Net Profit</v>
          </cell>
          <cell r="B100">
            <v>4250</v>
          </cell>
          <cell r="C100">
            <v>4173</v>
          </cell>
          <cell r="D100" t="str">
            <v>In line, after adjusting for extraordinaries</v>
          </cell>
        </row>
        <row r="101">
          <cell r="A101" t="str">
            <v>Reported Net Profit</v>
          </cell>
          <cell r="B101">
            <v>5514</v>
          </cell>
          <cell r="C101">
            <v>6105</v>
          </cell>
          <cell r="D101" t="str">
            <v>Due to sale of PSD* (Rs224 mn) + write-back of prov. for contingency (Rs300 mn)</v>
          </cell>
        </row>
        <row r="102">
          <cell r="A102" t="str">
            <v>*PSD is Power Systems Division</v>
          </cell>
        </row>
        <row r="104">
          <cell r="A104" t="str">
            <v>Profit and Loss Statements</v>
          </cell>
        </row>
        <row r="105">
          <cell r="A105" t="str">
            <v>(Rs Million)</v>
          </cell>
          <cell r="B105" t="str">
            <v>F2005</v>
          </cell>
          <cell r="C105" t="str">
            <v>F2006E</v>
          </cell>
          <cell r="D105" t="str">
            <v>F2007E</v>
          </cell>
          <cell r="E105" t="str">
            <v>F2008E</v>
          </cell>
          <cell r="F105" t="str">
            <v>F2009E</v>
          </cell>
        </row>
        <row r="106">
          <cell r="A106" t="str">
            <v>Net Revenues</v>
          </cell>
          <cell r="B106" t="e">
            <v>#REF!</v>
          </cell>
          <cell r="C106" t="e">
            <v>#REF!</v>
          </cell>
          <cell r="D106" t="e">
            <v>#REF!</v>
          </cell>
          <cell r="E106">
            <v>49198.7</v>
          </cell>
          <cell r="F106">
            <v>71831</v>
          </cell>
        </row>
        <row r="107">
          <cell r="A107" t="str">
            <v>Operating Expenses</v>
          </cell>
          <cell r="B107" t="e">
            <v>#REF!</v>
          </cell>
          <cell r="C107" t="e">
            <v>#REF!</v>
          </cell>
          <cell r="D107" t="e">
            <v>#REF!</v>
          </cell>
          <cell r="E107" t="e">
            <v>#REF!</v>
          </cell>
          <cell r="F107" t="e">
            <v>#REF!</v>
          </cell>
        </row>
        <row r="108">
          <cell r="A108" t="str">
            <v>Operating Profit</v>
          </cell>
          <cell r="B108" t="e">
            <v>#REF!</v>
          </cell>
          <cell r="C108" t="e">
            <v>#REF!</v>
          </cell>
          <cell r="D108" t="e">
            <v>#REF!</v>
          </cell>
          <cell r="E108" t="e">
            <v>#REF!</v>
          </cell>
          <cell r="F108" t="e">
            <v>#REF!</v>
          </cell>
        </row>
        <row r="109">
          <cell r="A109" t="str">
            <v>Non-Operating Income</v>
          </cell>
          <cell r="B109" t="e">
            <v>#REF!</v>
          </cell>
          <cell r="C109" t="e">
            <v>#REF!</v>
          </cell>
          <cell r="D109" t="e">
            <v>#REF!</v>
          </cell>
          <cell r="E109" t="e">
            <v>#REF!</v>
          </cell>
          <cell r="F109" t="e">
            <v>#REF!</v>
          </cell>
        </row>
        <row r="110">
          <cell r="A110" t="str">
            <v>Interest Expense</v>
          </cell>
          <cell r="B110" t="e">
            <v>#REF!</v>
          </cell>
          <cell r="C110" t="e">
            <v>#REF!</v>
          </cell>
          <cell r="D110" t="e">
            <v>#REF!</v>
          </cell>
          <cell r="E110">
            <v>7574.9252666666598</v>
          </cell>
          <cell r="F110">
            <v>8295.4440741964718</v>
          </cell>
        </row>
        <row r="111">
          <cell r="A111" t="str">
            <v>Depr'n &amp; Amortization</v>
          </cell>
          <cell r="B111" t="e">
            <v>#REF!</v>
          </cell>
          <cell r="C111" t="e">
            <v>#REF!</v>
          </cell>
          <cell r="D111" t="e">
            <v>#REF!</v>
          </cell>
          <cell r="E111" t="e">
            <v>#REF!</v>
          </cell>
          <cell r="F111" t="e">
            <v>#REF!</v>
          </cell>
        </row>
        <row r="112">
          <cell r="A112" t="str">
            <v>Profit Before tax</v>
          </cell>
          <cell r="B112" t="e">
            <v>#REF!</v>
          </cell>
          <cell r="C112" t="e">
            <v>#REF!</v>
          </cell>
          <cell r="D112" t="e">
            <v>#REF!</v>
          </cell>
          <cell r="E112" t="e">
            <v>#REF!</v>
          </cell>
          <cell r="F112" t="e">
            <v>#REF!</v>
          </cell>
        </row>
        <row r="113">
          <cell r="A113" t="str">
            <v>Tax</v>
          </cell>
          <cell r="B113" t="e">
            <v>#REF!</v>
          </cell>
          <cell r="C113" t="e">
            <v>#REF!</v>
          </cell>
          <cell r="D113" t="e">
            <v>#REF!</v>
          </cell>
          <cell r="E113">
            <v>2355.144399999996</v>
          </cell>
          <cell r="F113">
            <v>1709.9376296785888</v>
          </cell>
        </row>
        <row r="114">
          <cell r="A114" t="str">
            <v>PAT - Stand Alone</v>
          </cell>
          <cell r="B114" t="e">
            <v>#REF!</v>
          </cell>
          <cell r="C114" t="e">
            <v>#REF!</v>
          </cell>
          <cell r="D114" t="e">
            <v>#REF!</v>
          </cell>
          <cell r="E114" t="e">
            <v>#REF!</v>
          </cell>
          <cell r="F114" t="e">
            <v>#REF!</v>
          </cell>
        </row>
        <row r="115">
          <cell r="A115" t="str">
            <v>Share of Profits*</v>
          </cell>
          <cell r="B115" t="e">
            <v>#REF!</v>
          </cell>
          <cell r="C115" t="e">
            <v>#REF!</v>
          </cell>
          <cell r="D115" t="e">
            <v>#REF!</v>
          </cell>
          <cell r="E115" t="e">
            <v>#REF!</v>
          </cell>
          <cell r="F115" t="e">
            <v>#REF!</v>
          </cell>
        </row>
        <row r="116">
          <cell r="A116" t="str">
            <v>Net Profit</v>
          </cell>
          <cell r="B116" t="e">
            <v>#REF!</v>
          </cell>
          <cell r="C116" t="e">
            <v>#REF!</v>
          </cell>
          <cell r="D116" t="e">
            <v>#REF!</v>
          </cell>
          <cell r="E116" t="e">
            <v>#REF!</v>
          </cell>
          <cell r="F116" t="e">
            <v>#REF!</v>
          </cell>
        </row>
        <row r="117">
          <cell r="A117" t="str">
            <v>Extraordinary</v>
          </cell>
          <cell r="B117" t="e">
            <v>#REF!</v>
          </cell>
          <cell r="C117" t="e">
            <v>#REF!</v>
          </cell>
          <cell r="D117" t="e">
            <v>#REF!</v>
          </cell>
          <cell r="E117" t="e">
            <v>#REF!</v>
          </cell>
          <cell r="F117" t="e">
            <v>#REF!</v>
          </cell>
        </row>
        <row r="118">
          <cell r="A118" t="str">
            <v>Reported Net Profit #</v>
          </cell>
          <cell r="B118" t="e">
            <v>#REF!</v>
          </cell>
          <cell r="C118" t="e">
            <v>#REF!</v>
          </cell>
          <cell r="D118" t="e">
            <v>#REF!</v>
          </cell>
          <cell r="E118" t="e">
            <v>#REF!</v>
          </cell>
          <cell r="F118" t="e">
            <v>#REF!</v>
          </cell>
        </row>
        <row r="119">
          <cell r="A119" t="str">
            <v xml:space="preserve">Reported Net Profit </v>
          </cell>
          <cell r="B119" t="e">
            <v>#REF!</v>
          </cell>
          <cell r="C119" t="e">
            <v>#REF!</v>
          </cell>
          <cell r="D119" t="e">
            <v>#REF!</v>
          </cell>
          <cell r="E119" t="e">
            <v>#REF!</v>
          </cell>
          <cell r="F119" t="e">
            <v>#REF!</v>
          </cell>
        </row>
        <row r="120">
          <cell r="A120" t="str">
            <v>*NDPL &amp; Powerlinks,#Stand Alone</v>
          </cell>
          <cell r="B120" t="e">
            <v>#REF!</v>
          </cell>
          <cell r="C120" t="e">
            <v>#REF!</v>
          </cell>
          <cell r="D120" t="e">
            <v>#REF!</v>
          </cell>
          <cell r="E120" t="e">
            <v>#REF!</v>
          </cell>
        </row>
        <row r="121">
          <cell r="B121" t="e">
            <v>#REF!</v>
          </cell>
          <cell r="C121" t="e">
            <v>#REF!</v>
          </cell>
          <cell r="D121" t="e">
            <v>#REF!</v>
          </cell>
          <cell r="E121" t="e">
            <v>#REF!</v>
          </cell>
          <cell r="F121" t="e">
            <v>#REF!</v>
          </cell>
        </row>
        <row r="123">
          <cell r="A123" t="str">
            <v>Balance Sheet</v>
          </cell>
        </row>
        <row r="124">
          <cell r="A124" t="str">
            <v>(Rs Million)</v>
          </cell>
          <cell r="B124" t="str">
            <v>F2005</v>
          </cell>
          <cell r="C124" t="str">
            <v>F2006E</v>
          </cell>
          <cell r="D124" t="str">
            <v>F2007E</v>
          </cell>
          <cell r="E124" t="str">
            <v>F2008E</v>
          </cell>
          <cell r="F124" t="str">
            <v>F2009E</v>
          </cell>
        </row>
        <row r="125">
          <cell r="A125" t="str">
            <v xml:space="preserve">SOURCES </v>
          </cell>
        </row>
        <row r="126">
          <cell r="A126" t="str">
            <v>Equity Capital</v>
          </cell>
          <cell r="B126" t="e">
            <v>#REF!</v>
          </cell>
          <cell r="C126" t="e">
            <v>#REF!</v>
          </cell>
          <cell r="D126" t="e">
            <v>#REF!</v>
          </cell>
          <cell r="E126" t="e">
            <v>#REF!</v>
          </cell>
          <cell r="F126" t="e">
            <v>#REF!</v>
          </cell>
        </row>
        <row r="127">
          <cell r="A127" t="str">
            <v>Share Premium</v>
          </cell>
          <cell r="B127" t="e">
            <v>#REF!</v>
          </cell>
          <cell r="C127" t="e">
            <v>#REF!</v>
          </cell>
          <cell r="D127" t="e">
            <v>#REF!</v>
          </cell>
          <cell r="E127" t="e">
            <v>#REF!</v>
          </cell>
          <cell r="F127" t="e">
            <v>#REF!</v>
          </cell>
        </row>
        <row r="128">
          <cell r="A128" t="str">
            <v>Reserves and Surplus</v>
          </cell>
          <cell r="B128" t="e">
            <v>#REF!</v>
          </cell>
          <cell r="C128" t="e">
            <v>#REF!</v>
          </cell>
          <cell r="D128" t="e">
            <v>#REF!</v>
          </cell>
          <cell r="E128" t="e">
            <v>#REF!</v>
          </cell>
          <cell r="F128" t="e">
            <v>#REF!</v>
          </cell>
        </row>
        <row r="129">
          <cell r="A129" t="str">
            <v>Profits in Associates#</v>
          </cell>
          <cell r="B129" t="e">
            <v>#REF!</v>
          </cell>
          <cell r="C129" t="e">
            <v>#REF!</v>
          </cell>
          <cell r="D129" t="e">
            <v>#REF!</v>
          </cell>
          <cell r="E129" t="e">
            <v>#REF!</v>
          </cell>
          <cell r="F129" t="e">
            <v>#REF!</v>
          </cell>
        </row>
        <row r="130">
          <cell r="A130" t="str">
            <v>Shareholders' Equity</v>
          </cell>
          <cell r="B130" t="e">
            <v>#REF!</v>
          </cell>
          <cell r="C130" t="e">
            <v>#REF!</v>
          </cell>
          <cell r="D130" t="e">
            <v>#REF!</v>
          </cell>
          <cell r="E130" t="e">
            <v>#REF!</v>
          </cell>
          <cell r="F130" t="e">
            <v>#REF!</v>
          </cell>
        </row>
        <row r="131">
          <cell r="A131" t="str">
            <v>Statutory Reserves</v>
          </cell>
          <cell r="B131" t="e">
            <v>#REF!</v>
          </cell>
          <cell r="C131" t="e">
            <v>#REF!</v>
          </cell>
          <cell r="D131" t="e">
            <v>#REF!</v>
          </cell>
          <cell r="E131" t="e">
            <v>#REF!</v>
          </cell>
          <cell r="F131" t="e">
            <v>#REF!</v>
          </cell>
        </row>
        <row r="132">
          <cell r="A132" t="str">
            <v>Loan Funds</v>
          </cell>
          <cell r="B132" t="e">
            <v>#REF!</v>
          </cell>
          <cell r="C132" t="e">
            <v>#REF!</v>
          </cell>
          <cell r="D132" t="e">
            <v>#REF!</v>
          </cell>
          <cell r="E132" t="e">
            <v>#REF!</v>
          </cell>
          <cell r="F132" t="e">
            <v>#REF!</v>
          </cell>
        </row>
        <row r="133">
          <cell r="A133" t="str">
            <v>Appropr'n &amp; Contrib'ns*</v>
          </cell>
          <cell r="B133" t="e">
            <v>#REF!</v>
          </cell>
          <cell r="C133" t="e">
            <v>#REF!</v>
          </cell>
          <cell r="D133" t="e">
            <v>#REF!</v>
          </cell>
          <cell r="E133" t="e">
            <v>#REF!</v>
          </cell>
          <cell r="F133" t="e">
            <v>#REF!</v>
          </cell>
        </row>
        <row r="134">
          <cell r="A134" t="str">
            <v>Deferred Tax Liability</v>
          </cell>
          <cell r="B134" t="e">
            <v>#REF!</v>
          </cell>
          <cell r="C134" t="e">
            <v>#REF!</v>
          </cell>
          <cell r="D134" t="e">
            <v>#REF!</v>
          </cell>
          <cell r="E134" t="e">
            <v>#REF!</v>
          </cell>
          <cell r="F134" t="e">
            <v>#REF!</v>
          </cell>
        </row>
        <row r="135">
          <cell r="A135" t="str">
            <v>TOTAL LIABILITIES</v>
          </cell>
          <cell r="B135" t="e">
            <v>#REF!</v>
          </cell>
          <cell r="C135" t="e">
            <v>#REF!</v>
          </cell>
          <cell r="D135" t="e">
            <v>#REF!</v>
          </cell>
          <cell r="E135" t="e">
            <v>#REF!</v>
          </cell>
          <cell r="F135" t="e">
            <v>#REF!</v>
          </cell>
        </row>
        <row r="136">
          <cell r="A136" t="str">
            <v xml:space="preserve">APPLICATION </v>
          </cell>
        </row>
        <row r="137">
          <cell r="A137" t="str">
            <v>Gross Block</v>
          </cell>
          <cell r="B137" t="e">
            <v>#REF!</v>
          </cell>
          <cell r="C137" t="e">
            <v>#REF!</v>
          </cell>
          <cell r="D137" t="e">
            <v>#REF!</v>
          </cell>
          <cell r="E137" t="e">
            <v>#REF!</v>
          </cell>
          <cell r="F137" t="e">
            <v>#REF!</v>
          </cell>
        </row>
        <row r="138">
          <cell r="A138" t="str">
            <v>Less: Acc. Depr'n</v>
          </cell>
          <cell r="B138" t="e">
            <v>#REF!</v>
          </cell>
          <cell r="C138" t="e">
            <v>#REF!</v>
          </cell>
          <cell r="D138" t="e">
            <v>#REF!</v>
          </cell>
          <cell r="E138" t="e">
            <v>#REF!</v>
          </cell>
          <cell r="F138" t="e">
            <v>#REF!</v>
          </cell>
        </row>
        <row r="139">
          <cell r="A139" t="str">
            <v>Net Block</v>
          </cell>
          <cell r="B139" t="e">
            <v>#REF!</v>
          </cell>
          <cell r="C139" t="e">
            <v>#REF!</v>
          </cell>
          <cell r="D139" t="e">
            <v>#REF!</v>
          </cell>
          <cell r="E139" t="e">
            <v>#REF!</v>
          </cell>
          <cell r="F139" t="e">
            <v>#REF!</v>
          </cell>
        </row>
        <row r="140">
          <cell r="A140" t="str">
            <v>Capital WIP</v>
          </cell>
          <cell r="B140" t="e">
            <v>#REF!</v>
          </cell>
          <cell r="C140" t="e">
            <v>#REF!</v>
          </cell>
          <cell r="D140" t="e">
            <v>#REF!</v>
          </cell>
          <cell r="E140" t="e">
            <v>#REF!</v>
          </cell>
          <cell r="F140" t="e">
            <v>#REF!</v>
          </cell>
        </row>
        <row r="141">
          <cell r="A141" t="str">
            <v>Net Fixed Assets</v>
          </cell>
          <cell r="B141" t="e">
            <v>#REF!</v>
          </cell>
          <cell r="C141" t="e">
            <v>#REF!</v>
          </cell>
          <cell r="D141" t="e">
            <v>#REF!</v>
          </cell>
          <cell r="E141" t="e">
            <v>#REF!</v>
          </cell>
          <cell r="F141" t="e">
            <v>#REF!</v>
          </cell>
        </row>
        <row r="142">
          <cell r="A142" t="str">
            <v>Intangible Assets</v>
          </cell>
          <cell r="B142" t="e">
            <v>#REF!</v>
          </cell>
          <cell r="C142" t="e">
            <v>#REF!</v>
          </cell>
          <cell r="D142" t="e">
            <v>#REF!</v>
          </cell>
          <cell r="E142" t="e">
            <v>#REF!</v>
          </cell>
          <cell r="F142" t="e">
            <v>#REF!</v>
          </cell>
        </row>
        <row r="143">
          <cell r="A143" t="str">
            <v>Investments</v>
          </cell>
          <cell r="B143" t="e">
            <v>#REF!</v>
          </cell>
          <cell r="C143" t="e">
            <v>#REF!</v>
          </cell>
          <cell r="D143" t="e">
            <v>#REF!</v>
          </cell>
          <cell r="E143" t="e">
            <v>#REF!</v>
          </cell>
          <cell r="F143" t="e">
            <v>#REF!</v>
          </cell>
        </row>
        <row r="144">
          <cell r="A144" t="str">
            <v>Current Assets</v>
          </cell>
          <cell r="B144" t="e">
            <v>#REF!</v>
          </cell>
          <cell r="C144" t="e">
            <v>#REF!</v>
          </cell>
          <cell r="D144" t="e">
            <v>#REF!</v>
          </cell>
          <cell r="E144" t="e">
            <v>#REF!</v>
          </cell>
          <cell r="F144" t="e">
            <v>#REF!</v>
          </cell>
        </row>
        <row r="145">
          <cell r="A145" t="str">
            <v>Cash / Cash Equiv.</v>
          </cell>
          <cell r="B145" t="e">
            <v>#REF!</v>
          </cell>
          <cell r="C145" t="e">
            <v>#REF!</v>
          </cell>
          <cell r="D145" t="e">
            <v>#REF!</v>
          </cell>
          <cell r="E145" t="e">
            <v>#REF!</v>
          </cell>
          <cell r="F145" t="e">
            <v>#REF!</v>
          </cell>
        </row>
        <row r="146">
          <cell r="A146" t="str">
            <v>Current Liab. / Prov</v>
          </cell>
          <cell r="B146" t="e">
            <v>#REF!</v>
          </cell>
          <cell r="C146" t="e">
            <v>#REF!</v>
          </cell>
          <cell r="D146" t="e">
            <v>#REF!</v>
          </cell>
          <cell r="E146" t="e">
            <v>#REF!</v>
          </cell>
          <cell r="F146" t="e">
            <v>#REF!</v>
          </cell>
        </row>
        <row r="147">
          <cell r="A147" t="str">
            <v>Net Current assets</v>
          </cell>
          <cell r="B147" t="e">
            <v>#REF!</v>
          </cell>
          <cell r="C147" t="e">
            <v>#REF!</v>
          </cell>
          <cell r="D147" t="e">
            <v>#REF!</v>
          </cell>
          <cell r="E147" t="e">
            <v>#REF!</v>
          </cell>
          <cell r="F147" t="e">
            <v>#REF!</v>
          </cell>
        </row>
        <row r="148">
          <cell r="A148" t="str">
            <v>Misc. Exp</v>
          </cell>
          <cell r="B148" t="e">
            <v>#REF!</v>
          </cell>
          <cell r="C148" t="e">
            <v>#REF!</v>
          </cell>
          <cell r="D148" t="e">
            <v>#REF!</v>
          </cell>
          <cell r="E148" t="e">
            <v>#REF!</v>
          </cell>
          <cell r="F148" t="e">
            <v>#REF!</v>
          </cell>
        </row>
        <row r="149">
          <cell r="A149" t="str">
            <v>TOTAL ASSETS</v>
          </cell>
          <cell r="B149" t="e">
            <v>#REF!</v>
          </cell>
          <cell r="C149" t="e">
            <v>#REF!</v>
          </cell>
          <cell r="D149" t="e">
            <v>#REF!</v>
          </cell>
          <cell r="E149" t="e">
            <v>#REF!</v>
          </cell>
          <cell r="F149" t="e">
            <v>#REF!</v>
          </cell>
        </row>
        <row r="150">
          <cell r="A150" t="str">
            <v>#Tata Power's Share of Profits in Associates.*Includes Special Appropriation Towards Project Costs &amp; Capital  Contributions from Consumers of Rs 5,336 mn &amp; Rs.418 mn each year respectively.</v>
          </cell>
        </row>
        <row r="152">
          <cell r="A152" t="str">
            <v>Cash Flows</v>
          </cell>
        </row>
        <row r="153">
          <cell r="A153" t="str">
            <v>(Rs Million)</v>
          </cell>
          <cell r="B153" t="str">
            <v>F2005</v>
          </cell>
          <cell r="C153" t="str">
            <v>F2006E</v>
          </cell>
          <cell r="D153" t="str">
            <v>F2007E</v>
          </cell>
          <cell r="E153" t="str">
            <v>F2008E</v>
          </cell>
          <cell r="F153" t="str">
            <v>F2009E</v>
          </cell>
        </row>
        <row r="154">
          <cell r="A154" t="str">
            <v>Reported Net Profit</v>
          </cell>
          <cell r="B154" t="e">
            <v>#REF!</v>
          </cell>
          <cell r="C154" t="e">
            <v>#REF!</v>
          </cell>
          <cell r="D154" t="e">
            <v>#REF!</v>
          </cell>
          <cell r="E154" t="e">
            <v>#REF!</v>
          </cell>
          <cell r="F154" t="e">
            <v>#REF!</v>
          </cell>
        </row>
        <row r="155">
          <cell r="A155" t="str">
            <v>Add: Deferred Tax</v>
          </cell>
          <cell r="B155" t="e">
            <v>#REF!</v>
          </cell>
          <cell r="C155" t="e">
            <v>#REF!</v>
          </cell>
          <cell r="D155" t="e">
            <v>#REF!</v>
          </cell>
          <cell r="E155" t="e">
            <v>#REF!</v>
          </cell>
          <cell r="F155" t="e">
            <v>#REF!</v>
          </cell>
        </row>
        <row r="156">
          <cell r="A156" t="str">
            <v>Depr'n &amp; Amortization</v>
          </cell>
          <cell r="B156" t="e">
            <v>#REF!</v>
          </cell>
          <cell r="C156" t="e">
            <v>#REF!</v>
          </cell>
          <cell r="D156" t="e">
            <v>#REF!</v>
          </cell>
          <cell r="E156" t="e">
            <v>#REF!</v>
          </cell>
          <cell r="F156" t="e">
            <v>#REF!</v>
          </cell>
        </row>
        <row r="157">
          <cell r="A157" t="str">
            <v>Change in Net W. Capital</v>
          </cell>
          <cell r="B157" t="e">
            <v>#REF!</v>
          </cell>
          <cell r="C157" t="e">
            <v>#REF!</v>
          </cell>
          <cell r="D157" t="e">
            <v>#REF!</v>
          </cell>
          <cell r="E157" t="e">
            <v>#REF!</v>
          </cell>
          <cell r="F157" t="e">
            <v>#REF!</v>
          </cell>
        </row>
        <row r="158">
          <cell r="A158" t="str">
            <v>Other Cash Flows</v>
          </cell>
          <cell r="B158" t="e">
            <v>#REF!</v>
          </cell>
          <cell r="C158" t="e">
            <v>#REF!</v>
          </cell>
          <cell r="D158" t="e">
            <v>#REF!</v>
          </cell>
          <cell r="E158" t="e">
            <v>#REF!</v>
          </cell>
          <cell r="F158" t="e">
            <v>#REF!</v>
          </cell>
        </row>
        <row r="159">
          <cell r="A159" t="str">
            <v xml:space="preserve">Operating Cash Flows </v>
          </cell>
          <cell r="B159" t="e">
            <v>#REF!</v>
          </cell>
          <cell r="C159" t="e">
            <v>#REF!</v>
          </cell>
          <cell r="D159" t="e">
            <v>#REF!</v>
          </cell>
          <cell r="E159" t="e">
            <v>#REF!</v>
          </cell>
          <cell r="F159" t="e">
            <v>#REF!</v>
          </cell>
        </row>
        <row r="160">
          <cell r="A160" t="str">
            <v>Capex</v>
          </cell>
          <cell r="B160" t="e">
            <v>#REF!</v>
          </cell>
          <cell r="C160" t="e">
            <v>#REF!</v>
          </cell>
          <cell r="D160" t="e">
            <v>#REF!</v>
          </cell>
          <cell r="E160" t="e">
            <v>#REF!</v>
          </cell>
          <cell r="F160" t="e">
            <v>#REF!</v>
          </cell>
        </row>
        <row r="161">
          <cell r="A161" t="str">
            <v>Chng in Intangibles</v>
          </cell>
          <cell r="B161" t="e">
            <v>#REF!</v>
          </cell>
          <cell r="C161" t="e">
            <v>#REF!</v>
          </cell>
          <cell r="D161" t="e">
            <v>#REF!</v>
          </cell>
          <cell r="E161" t="e">
            <v>#REF!</v>
          </cell>
          <cell r="F161" t="e">
            <v>#REF!</v>
          </cell>
        </row>
        <row r="162">
          <cell r="A162" t="str">
            <v>Change of  Investments</v>
          </cell>
          <cell r="B162" t="e">
            <v>#REF!</v>
          </cell>
          <cell r="C162" t="e">
            <v>#REF!</v>
          </cell>
          <cell r="D162" t="e">
            <v>#REF!</v>
          </cell>
          <cell r="E162" t="e">
            <v>#REF!</v>
          </cell>
          <cell r="F162" t="e">
            <v>#REF!</v>
          </cell>
        </row>
        <row r="163">
          <cell r="A163" t="str">
            <v>Investing Cash Flows</v>
          </cell>
          <cell r="B163" t="e">
            <v>#REF!</v>
          </cell>
          <cell r="C163" t="e">
            <v>#REF!</v>
          </cell>
          <cell r="D163" t="e">
            <v>#REF!</v>
          </cell>
          <cell r="E163" t="e">
            <v>#REF!</v>
          </cell>
          <cell r="F163" t="e">
            <v>#REF!</v>
          </cell>
        </row>
        <row r="164">
          <cell r="A164" t="str">
            <v>Incr/(Decr) of Equity</v>
          </cell>
          <cell r="B164" t="e">
            <v>#REF!</v>
          </cell>
          <cell r="C164" t="e">
            <v>#REF!</v>
          </cell>
          <cell r="D164" t="e">
            <v>#REF!</v>
          </cell>
          <cell r="E164" t="e">
            <v>#REF!</v>
          </cell>
          <cell r="F164" t="e">
            <v>#REF!</v>
          </cell>
        </row>
        <row r="165">
          <cell r="A165" t="str">
            <v>Incr/(Decr) of Debt</v>
          </cell>
          <cell r="B165" t="e">
            <v>#REF!</v>
          </cell>
          <cell r="C165" t="e">
            <v>#REF!</v>
          </cell>
          <cell r="D165" t="e">
            <v>#REF!</v>
          </cell>
          <cell r="E165" t="e">
            <v>#REF!</v>
          </cell>
          <cell r="F165" t="e">
            <v>#REF!</v>
          </cell>
        </row>
        <row r="166">
          <cell r="A166" t="str">
            <v>Dividends</v>
          </cell>
          <cell r="B166" t="e">
            <v>#REF!</v>
          </cell>
          <cell r="C166" t="e">
            <v>#REF!</v>
          </cell>
          <cell r="D166" t="e">
            <v>#REF!</v>
          </cell>
          <cell r="E166" t="e">
            <v>#REF!</v>
          </cell>
          <cell r="F166" t="e">
            <v>#REF!</v>
          </cell>
        </row>
        <row r="167">
          <cell r="A167" t="str">
            <v>Chng in Special App.</v>
          </cell>
          <cell r="B167" t="e">
            <v>#REF!</v>
          </cell>
          <cell r="C167" t="e">
            <v>#REF!</v>
          </cell>
          <cell r="D167" t="e">
            <v>#REF!</v>
          </cell>
          <cell r="E167" t="e">
            <v>#REF!</v>
          </cell>
          <cell r="F167" t="e">
            <v>#REF!</v>
          </cell>
        </row>
        <row r="168">
          <cell r="A168" t="str">
            <v>(Incr)/decr of  Misc. Exp.</v>
          </cell>
          <cell r="B168" t="e">
            <v>#REF!</v>
          </cell>
          <cell r="C168" t="e">
            <v>#REF!</v>
          </cell>
          <cell r="D168" t="e">
            <v>#REF!</v>
          </cell>
          <cell r="E168" t="e">
            <v>#REF!</v>
          </cell>
          <cell r="F168" t="e">
            <v>#REF!</v>
          </cell>
        </row>
        <row r="169">
          <cell r="A169" t="str">
            <v>Financing Cash Flows</v>
          </cell>
          <cell r="B169" t="e">
            <v>#REF!</v>
          </cell>
          <cell r="C169" t="e">
            <v>#REF!</v>
          </cell>
          <cell r="D169" t="e">
            <v>#REF!</v>
          </cell>
          <cell r="E169" t="e">
            <v>#REF!</v>
          </cell>
          <cell r="F169" t="e">
            <v>#REF!</v>
          </cell>
        </row>
        <row r="170">
          <cell r="A170" t="str">
            <v>Net change in cash</v>
          </cell>
          <cell r="B170" t="e">
            <v>#REF!</v>
          </cell>
          <cell r="C170" t="e">
            <v>#REF!</v>
          </cell>
          <cell r="D170" t="e">
            <v>#REF!</v>
          </cell>
          <cell r="E170" t="e">
            <v>#REF!</v>
          </cell>
          <cell r="F170" t="e">
            <v>#REF!</v>
          </cell>
        </row>
        <row r="172">
          <cell r="A172" t="str">
            <v>Ratios</v>
          </cell>
        </row>
        <row r="173">
          <cell r="B173" t="str">
            <v>F2005</v>
          </cell>
          <cell r="C173" t="str">
            <v>F2006E</v>
          </cell>
          <cell r="D173" t="str">
            <v>F2007E</v>
          </cell>
          <cell r="E173" t="str">
            <v>F2008E</v>
          </cell>
          <cell r="F173" t="str">
            <v>F2009E</v>
          </cell>
        </row>
        <row r="174">
          <cell r="A174" t="str">
            <v>Valuation</v>
          </cell>
        </row>
        <row r="175">
          <cell r="A175" t="str">
            <v>EPS (Rs)</v>
          </cell>
          <cell r="B175" t="e">
            <v>#REF!</v>
          </cell>
          <cell r="C175" t="e">
            <v>#REF!</v>
          </cell>
          <cell r="D175" t="e">
            <v>#REF!</v>
          </cell>
          <cell r="E175" t="e">
            <v>#REF!</v>
          </cell>
          <cell r="F175" t="e">
            <v>#REF!</v>
          </cell>
        </row>
        <row r="176">
          <cell r="A176" t="str">
            <v>P/E</v>
          </cell>
          <cell r="B176" t="e">
            <v>#REF!</v>
          </cell>
          <cell r="C176" t="e">
            <v>#REF!</v>
          </cell>
          <cell r="D176" t="e">
            <v>#REF!</v>
          </cell>
          <cell r="E176" t="e">
            <v>#REF!</v>
          </cell>
          <cell r="F176" t="e">
            <v>#REF!</v>
          </cell>
        </row>
        <row r="177">
          <cell r="A177" t="str">
            <v>BVPS (Rs)</v>
          </cell>
          <cell r="B177" t="e">
            <v>#REF!</v>
          </cell>
          <cell r="C177" t="e">
            <v>#REF!</v>
          </cell>
          <cell r="D177" t="e">
            <v>#REF!</v>
          </cell>
          <cell r="E177" t="e">
            <v>#REF!</v>
          </cell>
          <cell r="F177" t="e">
            <v>#REF!</v>
          </cell>
        </row>
        <row r="178">
          <cell r="A178" t="str">
            <v>P/BV</v>
          </cell>
          <cell r="B178" t="e">
            <v>#REF!</v>
          </cell>
          <cell r="C178" t="e">
            <v>#REF!</v>
          </cell>
          <cell r="D178" t="e">
            <v>#REF!</v>
          </cell>
          <cell r="E178" t="e">
            <v>#REF!</v>
          </cell>
          <cell r="F178" t="e">
            <v>#REF!</v>
          </cell>
        </row>
        <row r="179">
          <cell r="A179" t="str">
            <v>DPS (Rs)</v>
          </cell>
          <cell r="B179" t="e">
            <v>#REF!</v>
          </cell>
          <cell r="C179" t="e">
            <v>#REF!</v>
          </cell>
          <cell r="D179" t="e">
            <v>#REF!</v>
          </cell>
          <cell r="E179" t="e">
            <v>#REF!</v>
          </cell>
          <cell r="F179" t="e">
            <v>#REF!</v>
          </cell>
        </row>
        <row r="180">
          <cell r="A180" t="str">
            <v>Yield (%)</v>
          </cell>
          <cell r="B180" t="e">
            <v>#REF!</v>
          </cell>
          <cell r="C180" t="e">
            <v>#REF!</v>
          </cell>
          <cell r="D180" t="e">
            <v>#REF!</v>
          </cell>
          <cell r="E180" t="e">
            <v>#REF!</v>
          </cell>
          <cell r="F180" t="e">
            <v>#REF!</v>
          </cell>
        </row>
        <row r="181">
          <cell r="A181" t="str">
            <v>EV/EBITDA</v>
          </cell>
          <cell r="B181" t="e">
            <v>#REF!</v>
          </cell>
          <cell r="C181" t="e">
            <v>#REF!</v>
          </cell>
          <cell r="D181" t="e">
            <v>#REF!</v>
          </cell>
          <cell r="E181" t="e">
            <v>#REF!</v>
          </cell>
          <cell r="F181" t="e">
            <v>#REF!</v>
          </cell>
        </row>
        <row r="182">
          <cell r="A182" t="str">
            <v>EV/EBITDA MW*</v>
          </cell>
          <cell r="B182" t="e">
            <v>#REF!</v>
          </cell>
          <cell r="C182" t="e">
            <v>#REF!</v>
          </cell>
          <cell r="D182" t="e">
            <v>#REF!</v>
          </cell>
          <cell r="E182" t="e">
            <v>#REF!</v>
          </cell>
          <cell r="F182" t="e">
            <v>#REF!</v>
          </cell>
        </row>
        <row r="183">
          <cell r="A183" t="str">
            <v>Profitability ratios</v>
          </cell>
        </row>
        <row r="184">
          <cell r="A184" t="str">
            <v>NPM (%)</v>
          </cell>
          <cell r="B184" t="e">
            <v>#REF!</v>
          </cell>
          <cell r="C184" t="e">
            <v>#REF!</v>
          </cell>
          <cell r="D184" t="e">
            <v>#REF!</v>
          </cell>
          <cell r="E184" t="e">
            <v>#REF!</v>
          </cell>
          <cell r="F184" t="e">
            <v>#REF!</v>
          </cell>
        </row>
        <row r="185">
          <cell r="A185" t="str">
            <v>ROCE (%)</v>
          </cell>
          <cell r="B185" t="e">
            <v>#REF!</v>
          </cell>
          <cell r="C185" t="e">
            <v>#REF!</v>
          </cell>
          <cell r="D185" t="e">
            <v>#REF!</v>
          </cell>
          <cell r="E185" t="e">
            <v>#REF!</v>
          </cell>
          <cell r="F185" t="e">
            <v>#REF!</v>
          </cell>
        </row>
        <row r="186">
          <cell r="A186" t="str">
            <v>RONW (%)</v>
          </cell>
          <cell r="B186" t="e">
            <v>#REF!</v>
          </cell>
          <cell r="C186" t="e">
            <v>#REF!</v>
          </cell>
          <cell r="D186" t="e">
            <v>#REF!</v>
          </cell>
          <cell r="E186" t="e">
            <v>#REF!</v>
          </cell>
          <cell r="F186" t="e">
            <v>#REF!</v>
          </cell>
        </row>
        <row r="187">
          <cell r="A187" t="str">
            <v>Gearing Ratios</v>
          </cell>
        </row>
        <row r="188">
          <cell r="A188" t="str">
            <v>Debt/Equity</v>
          </cell>
          <cell r="B188" t="e">
            <v>#REF!</v>
          </cell>
          <cell r="C188" t="e">
            <v>#REF!</v>
          </cell>
          <cell r="D188" t="e">
            <v>#REF!</v>
          </cell>
          <cell r="E188" t="e">
            <v>#REF!</v>
          </cell>
          <cell r="F188" t="e">
            <v>#REF!</v>
          </cell>
        </row>
        <row r="189">
          <cell r="A189" t="str">
            <v>Net Debt/Equity</v>
          </cell>
          <cell r="B189" t="e">
            <v>#REF!</v>
          </cell>
          <cell r="C189" t="e">
            <v>#REF!</v>
          </cell>
          <cell r="D189" t="e">
            <v>#REF!</v>
          </cell>
          <cell r="E189" t="e">
            <v>#REF!</v>
          </cell>
          <cell r="F189" t="e">
            <v>#REF!</v>
          </cell>
        </row>
        <row r="190">
          <cell r="A190" t="str">
            <v>Interest Coverage</v>
          </cell>
          <cell r="B190" t="e">
            <v>#REF!</v>
          </cell>
          <cell r="C190" t="e">
            <v>#REF!</v>
          </cell>
          <cell r="D190" t="e">
            <v>#REF!</v>
          </cell>
          <cell r="E190" t="e">
            <v>#REF!</v>
          </cell>
          <cell r="F190" t="e">
            <v>#REF!</v>
          </cell>
        </row>
        <row r="191">
          <cell r="A191" t="str">
            <v>Other Ratios</v>
          </cell>
        </row>
        <row r="192">
          <cell r="A192" t="str">
            <v>Effective Tax Rate (%)</v>
          </cell>
          <cell r="B192" t="e">
            <v>#REF!</v>
          </cell>
          <cell r="C192" t="e">
            <v>#REF!</v>
          </cell>
          <cell r="D192" t="e">
            <v>#REF!</v>
          </cell>
          <cell r="E192" t="e">
            <v>#REF!</v>
          </cell>
          <cell r="F192" t="e">
            <v>#REF!</v>
          </cell>
        </row>
        <row r="195">
          <cell r="B195" t="str">
            <v>F2004</v>
          </cell>
          <cell r="C195" t="str">
            <v>F2005</v>
          </cell>
          <cell r="D195" t="str">
            <v>F2006E</v>
          </cell>
          <cell r="E195" t="str">
            <v>F2007E</v>
          </cell>
          <cell r="F195" t="str">
            <v>F2008E</v>
          </cell>
          <cell r="G195" t="str">
            <v>F2009E</v>
          </cell>
        </row>
        <row r="197">
          <cell r="A197" t="str">
            <v>Tata Power-Sum of Parts Valuations</v>
          </cell>
        </row>
        <row r="198">
          <cell r="A198" t="str">
            <v>Business</v>
          </cell>
          <cell r="B198" t="str">
            <v>Basis</v>
          </cell>
          <cell r="C198" t="str">
            <v>Rs/Share</v>
          </cell>
        </row>
        <row r="199">
          <cell r="A199" t="str">
            <v>Mumbai</v>
          </cell>
          <cell r="B199" t="str">
            <v>DCF</v>
          </cell>
          <cell r="C199" t="e">
            <v>#REF!</v>
          </cell>
        </row>
        <row r="200">
          <cell r="A200" t="str">
            <v>Delhi Distribution</v>
          </cell>
          <cell r="B200" t="str">
            <v>RI Model</v>
          </cell>
          <cell r="C200" t="e">
            <v>#REF!</v>
          </cell>
        </row>
        <row r="201">
          <cell r="A201" t="str">
            <v>Inv. in Tata Group's Telecom Biz</v>
          </cell>
          <cell r="B201" t="str">
            <v>Mkt /Comp.Value</v>
          </cell>
          <cell r="C201" t="e">
            <v>#REF!</v>
          </cell>
          <cell r="E201" t="e">
            <v>#REF!</v>
          </cell>
          <cell r="F201" t="e">
            <v>#REF!</v>
          </cell>
        </row>
        <row r="202">
          <cell r="A202" t="str">
            <v>Inv. in Other Group Cos.</v>
          </cell>
          <cell r="B202" t="str">
            <v>Market Cap</v>
          </cell>
          <cell r="C202" t="e">
            <v>#REF!</v>
          </cell>
          <cell r="E202" t="e">
            <v>#REF!</v>
          </cell>
        </row>
        <row r="203">
          <cell r="A203" t="str">
            <v xml:space="preserve">Maithon Generation Project </v>
          </cell>
          <cell r="B203" t="str">
            <v>RI Model</v>
          </cell>
          <cell r="C203" t="e">
            <v>#DIV/0!</v>
          </cell>
        </row>
        <row r="204">
          <cell r="A204" t="str">
            <v>Powerlinks Transmission (Tala )</v>
          </cell>
          <cell r="B204" t="str">
            <v>RI Model</v>
          </cell>
          <cell r="C204" t="e">
            <v>#DIV/0!</v>
          </cell>
        </row>
        <row r="205">
          <cell r="A205" t="str">
            <v>Coastal - Maharashtra  Projects</v>
          </cell>
          <cell r="B205" t="str">
            <v>RI Model</v>
          </cell>
          <cell r="C205" t="e">
            <v>#DIV/0!</v>
          </cell>
        </row>
        <row r="206">
          <cell r="A206" t="str">
            <v>Net Cash on Book (F2006)</v>
          </cell>
          <cell r="C206" t="e">
            <v>#REF!</v>
          </cell>
          <cell r="E206" t="str">
            <v>Proposed Generation Projects*</v>
          </cell>
        </row>
        <row r="207">
          <cell r="A207" t="str">
            <v xml:space="preserve">Total </v>
          </cell>
          <cell r="C207" t="e">
            <v>#REF!</v>
          </cell>
        </row>
        <row r="208">
          <cell r="A208" t="str">
            <v>Upside/Downside to Current Price (%)</v>
          </cell>
          <cell r="C208" t="e">
            <v>#REF!</v>
          </cell>
        </row>
        <row r="209">
          <cell r="A209" t="str">
            <v>*JVs / Subsidiaries / Self</v>
          </cell>
        </row>
        <row r="210">
          <cell r="A210" t="str">
            <v>Tata Power-Value of Mumbai Business</v>
          </cell>
        </row>
        <row r="211">
          <cell r="A211" t="str">
            <v>Assumptions</v>
          </cell>
        </row>
        <row r="212">
          <cell r="A212" t="str">
            <v>Terminal Growth Post F2008E (%)</v>
          </cell>
          <cell r="B212">
            <v>2</v>
          </cell>
        </row>
        <row r="213">
          <cell r="A213" t="str">
            <v>Return on Incremental Capital Employed (%)</v>
          </cell>
          <cell r="B213">
            <v>14</v>
          </cell>
        </row>
        <row r="214">
          <cell r="A214" t="str">
            <v>WACC (%)</v>
          </cell>
          <cell r="B214">
            <v>0</v>
          </cell>
          <cell r="H214">
            <v>19872</v>
          </cell>
          <cell r="I214">
            <v>14506.56</v>
          </cell>
        </row>
        <row r="215">
          <cell r="A215" t="str">
            <v>DCF Value Rs Per Share</v>
          </cell>
          <cell r="B215" t="e">
            <v>#REF!</v>
          </cell>
          <cell r="H215">
            <v>27221.917808219179</v>
          </cell>
        </row>
        <row r="219">
          <cell r="A219" t="str">
            <v xml:space="preserve">Tata Power-Fair Value of Key Investments </v>
          </cell>
        </row>
        <row r="220">
          <cell r="B220" t="str">
            <v>Shares Held</v>
          </cell>
          <cell r="C220" t="str">
            <v>Market Value</v>
          </cell>
          <cell r="D220" t="str">
            <v>Book Value</v>
          </cell>
          <cell r="E220" t="str">
            <v>Book Value</v>
          </cell>
          <cell r="F220" t="str">
            <v>Est. Value</v>
          </cell>
          <cell r="G220" t="str">
            <v>Discount</v>
          </cell>
          <cell r="H220" t="str">
            <v>Fair Value</v>
          </cell>
          <cell r="I220" t="str">
            <v>Value for TTPW</v>
          </cell>
          <cell r="K220" t="str">
            <v>Market Value</v>
          </cell>
        </row>
        <row r="221">
          <cell r="B221" t="str">
            <v>(Mn)</v>
          </cell>
          <cell r="C221" t="str">
            <v>(Rs/share)</v>
          </cell>
          <cell r="D221" t="str">
            <v>(Rs Mn)</v>
          </cell>
          <cell r="E221" t="str">
            <v>(Rs/share)</v>
          </cell>
          <cell r="F221" t="str">
            <v>(Rs/share)</v>
          </cell>
          <cell r="G221" t="str">
            <v>Factor</v>
          </cell>
          <cell r="H221" t="str">
            <v>(Rs/share)</v>
          </cell>
          <cell r="I221" t="str">
            <v>(Rs/share)</v>
          </cell>
          <cell r="K221" t="str">
            <v>(Rs/share)</v>
          </cell>
        </row>
        <row r="222">
          <cell r="A222" t="str">
            <v>TELECOM INVESTMENTS</v>
          </cell>
        </row>
        <row r="223">
          <cell r="A223" t="str">
            <v>Tata Teleservices (Direct holding)</v>
          </cell>
          <cell r="B223">
            <v>684</v>
          </cell>
          <cell r="C223" t="str">
            <v>Not Listed</v>
          </cell>
          <cell r="D223">
            <v>6840</v>
          </cell>
          <cell r="E223">
            <v>10</v>
          </cell>
          <cell r="F223">
            <v>19.196096433132141</v>
          </cell>
          <cell r="G223">
            <v>0.2</v>
          </cell>
          <cell r="H223">
            <v>15.356877146505713</v>
          </cell>
          <cell r="I223" t="e">
            <v>#REF!</v>
          </cell>
          <cell r="K223" t="str">
            <v>Not Listed</v>
          </cell>
        </row>
        <row r="224">
          <cell r="A224" t="str">
            <v>TTSL (Maharashtra)</v>
          </cell>
          <cell r="B224">
            <v>161.56569300000001</v>
          </cell>
          <cell r="C224">
            <v>25.85</v>
          </cell>
          <cell r="D224" t="e">
            <v>#REF!</v>
          </cell>
          <cell r="E224" t="e">
            <v>#REF!</v>
          </cell>
          <cell r="F224">
            <v>19.75</v>
          </cell>
          <cell r="G224">
            <v>0.2</v>
          </cell>
          <cell r="H224">
            <v>15.8</v>
          </cell>
          <cell r="I224" t="e">
            <v>#REF!</v>
          </cell>
          <cell r="K224">
            <v>25.85</v>
          </cell>
        </row>
        <row r="225">
          <cell r="A225" t="str">
            <v>Panatone Finvest</v>
          </cell>
          <cell r="B225">
            <v>500</v>
          </cell>
          <cell r="C225" t="str">
            <v>Not Listed</v>
          </cell>
          <cell r="D225">
            <v>5000</v>
          </cell>
          <cell r="E225">
            <v>10</v>
          </cell>
          <cell r="F225">
            <v>37.667578458160001</v>
          </cell>
          <cell r="G225">
            <v>0.2</v>
          </cell>
          <cell r="H225">
            <v>30.134062766528004</v>
          </cell>
          <cell r="I225" t="e">
            <v>#REF!</v>
          </cell>
          <cell r="K225" t="str">
            <v>Not Listed</v>
          </cell>
        </row>
        <row r="226">
          <cell r="A226" t="str">
            <v>VSNL</v>
          </cell>
          <cell r="B226">
            <v>2.5758369999999999</v>
          </cell>
          <cell r="C226">
            <v>481.15</v>
          </cell>
          <cell r="D226">
            <v>1215.7950639999999</v>
          </cell>
          <cell r="E226">
            <v>10</v>
          </cell>
          <cell r="F226">
            <v>391.1</v>
          </cell>
          <cell r="G226">
            <v>0.2</v>
          </cell>
          <cell r="H226">
            <v>312.88000000000005</v>
          </cell>
          <cell r="I226" t="e">
            <v>#REF!</v>
          </cell>
          <cell r="K226">
            <v>481.15</v>
          </cell>
        </row>
        <row r="227">
          <cell r="A227" t="str">
            <v>Total Value to TTPW Shareholders</v>
          </cell>
          <cell r="I227" t="e">
            <v>#REF!</v>
          </cell>
        </row>
        <row r="228">
          <cell r="A228" t="str">
            <v>NON-TELECOM INVESTMENTS</v>
          </cell>
        </row>
        <row r="229">
          <cell r="A229" t="str">
            <v>TCS (Effective Holding via Tata Sons - 1.8%)</v>
          </cell>
          <cell r="B229">
            <v>15.363673887999999</v>
          </cell>
          <cell r="C229">
            <v>1996.85</v>
          </cell>
          <cell r="D229">
            <v>15.363673887999999</v>
          </cell>
          <cell r="E229">
            <v>1</v>
          </cell>
          <cell r="F229">
            <v>973.05</v>
          </cell>
          <cell r="G229">
            <v>0.5</v>
          </cell>
          <cell r="H229">
            <v>486.52499999999998</v>
          </cell>
          <cell r="I229" t="e">
            <v>#REF!</v>
          </cell>
          <cell r="K229">
            <v>1996.85</v>
          </cell>
        </row>
        <row r="230">
          <cell r="A230" t="str">
            <v>PTC India</v>
          </cell>
          <cell r="B230">
            <v>15.705299999999999</v>
          </cell>
          <cell r="C230">
            <v>71.3</v>
          </cell>
          <cell r="D230">
            <v>176.3</v>
          </cell>
          <cell r="E230">
            <v>11.225509859728882</v>
          </cell>
          <cell r="F230">
            <v>53.75</v>
          </cell>
          <cell r="G230">
            <v>0.2</v>
          </cell>
          <cell r="H230">
            <v>43</v>
          </cell>
          <cell r="I230" t="e">
            <v>#REF!</v>
          </cell>
          <cell r="K230">
            <v>71.3</v>
          </cell>
        </row>
        <row r="231">
          <cell r="A231" t="str">
            <v>Titan Industries</v>
          </cell>
          <cell r="B231">
            <v>0.3483</v>
          </cell>
          <cell r="C231">
            <v>752.3</v>
          </cell>
          <cell r="D231">
            <v>8.5</v>
          </cell>
          <cell r="E231">
            <v>24.404249210450761</v>
          </cell>
          <cell r="F231">
            <v>740.75</v>
          </cell>
          <cell r="G231">
            <v>0.2</v>
          </cell>
          <cell r="H231">
            <v>592.6</v>
          </cell>
          <cell r="I231" t="e">
            <v>#REF!</v>
          </cell>
          <cell r="K231">
            <v>752.3</v>
          </cell>
        </row>
        <row r="232">
          <cell r="A232" t="str">
            <v>Total Value to TTPW Shareholders</v>
          </cell>
          <cell r="I232" t="e">
            <v>#REF!</v>
          </cell>
        </row>
        <row r="235">
          <cell r="A235" t="str">
            <v>Tata Power-Valuing Tata Teleservices</v>
          </cell>
        </row>
        <row r="236">
          <cell r="A236" t="str">
            <v>Discount to Bharti (%)</v>
          </cell>
          <cell r="B236">
            <v>0</v>
          </cell>
          <cell r="C236">
            <v>0.1</v>
          </cell>
          <cell r="D236">
            <v>0.15000000000000002</v>
          </cell>
          <cell r="E236">
            <v>0.2</v>
          </cell>
          <cell r="F236">
            <v>0.25</v>
          </cell>
          <cell r="G236">
            <v>0</v>
          </cell>
        </row>
        <row r="237">
          <cell r="A237" t="str">
            <v>TTSL EV (US$million) based on per</v>
          </cell>
        </row>
        <row r="238">
          <cell r="A238" t="str">
            <v>Subscribers</v>
          </cell>
          <cell r="B238">
            <v>3145</v>
          </cell>
          <cell r="C238">
            <v>2831</v>
          </cell>
          <cell r="D238">
            <v>2516</v>
          </cell>
          <cell r="E238">
            <v>2202</v>
          </cell>
          <cell r="F238">
            <v>1887</v>
          </cell>
          <cell r="G238">
            <v>1887</v>
          </cell>
          <cell r="K238">
            <v>270000</v>
          </cell>
        </row>
        <row r="239">
          <cell r="A239" t="str">
            <v>Capacity</v>
          </cell>
          <cell r="B239">
            <v>5590</v>
          </cell>
          <cell r="C239">
            <v>5031</v>
          </cell>
          <cell r="D239">
            <v>4472</v>
          </cell>
          <cell r="E239">
            <v>3913</v>
          </cell>
          <cell r="F239">
            <v>3354</v>
          </cell>
          <cell r="G239">
            <v>3354</v>
          </cell>
        </row>
        <row r="240">
          <cell r="A240" t="str">
            <v>Avg.</v>
          </cell>
          <cell r="B240">
            <v>4367.5</v>
          </cell>
          <cell r="C240">
            <v>3931</v>
          </cell>
          <cell r="D240">
            <v>3494</v>
          </cell>
          <cell r="E240">
            <v>3057</v>
          </cell>
          <cell r="F240">
            <v>2621</v>
          </cell>
          <cell r="G240">
            <v>2621</v>
          </cell>
        </row>
        <row r="241">
          <cell r="A241" t="str">
            <v>TTSL Equity value (US$million) based on per</v>
          </cell>
          <cell r="I241">
            <v>56</v>
          </cell>
        </row>
        <row r="242">
          <cell r="A242" t="str">
            <v>Subscribers</v>
          </cell>
          <cell r="B242">
            <v>1582</v>
          </cell>
          <cell r="C242">
            <v>1267</v>
          </cell>
          <cell r="D242">
            <v>953</v>
          </cell>
          <cell r="E242">
            <v>638</v>
          </cell>
          <cell r="F242">
            <v>324</v>
          </cell>
          <cell r="G242">
            <v>324</v>
          </cell>
        </row>
        <row r="243">
          <cell r="A243" t="str">
            <v>Capacity</v>
          </cell>
          <cell r="B243">
            <v>4027</v>
          </cell>
          <cell r="C243">
            <v>3468</v>
          </cell>
          <cell r="D243">
            <v>2909</v>
          </cell>
          <cell r="E243">
            <v>2350</v>
          </cell>
          <cell r="F243">
            <v>1791</v>
          </cell>
          <cell r="G243">
            <v>1791</v>
          </cell>
        </row>
        <row r="244">
          <cell r="A244" t="str">
            <v>Avg.</v>
          </cell>
          <cell r="B244">
            <v>2804</v>
          </cell>
          <cell r="C244">
            <v>2367</v>
          </cell>
          <cell r="D244">
            <v>1931</v>
          </cell>
          <cell r="E244">
            <v>1494</v>
          </cell>
          <cell r="F244">
            <v>1057</v>
          </cell>
          <cell r="G244">
            <v>1057</v>
          </cell>
        </row>
        <row r="246">
          <cell r="A246" t="str">
            <v>Tata Power-Valuing Tata Teleservices</v>
          </cell>
        </row>
        <row r="247">
          <cell r="A247" t="str">
            <v>Discount to Bharti (%)</v>
          </cell>
          <cell r="B247">
            <v>0</v>
          </cell>
          <cell r="C247">
            <v>0.1</v>
          </cell>
          <cell r="D247">
            <v>0.15000000000000002</v>
          </cell>
          <cell r="E247">
            <v>0.2</v>
          </cell>
          <cell r="F247">
            <v>0.25</v>
          </cell>
        </row>
        <row r="248">
          <cell r="A248" t="str">
            <v xml:space="preserve">TTSL EV based on EV/Sub  (US$ million) </v>
          </cell>
        </row>
        <row r="249">
          <cell r="A249" t="str">
            <v>Derived EV/Sub</v>
          </cell>
          <cell r="B249">
            <v>543</v>
          </cell>
          <cell r="C249">
            <v>488.7</v>
          </cell>
          <cell r="D249">
            <v>461.55</v>
          </cell>
          <cell r="E249">
            <v>434.40000000000003</v>
          </cell>
          <cell r="F249">
            <v>407.25</v>
          </cell>
        </row>
        <row r="250">
          <cell r="A250" t="str">
            <v>Derived EV (Rs Million)</v>
          </cell>
          <cell r="B250">
            <v>211590.81</v>
          </cell>
          <cell r="C250">
            <v>190431.72900000002</v>
          </cell>
          <cell r="D250">
            <v>179852.18850000002</v>
          </cell>
          <cell r="E250">
            <v>169272.64800000004</v>
          </cell>
          <cell r="F250">
            <v>158693.10750000001</v>
          </cell>
        </row>
        <row r="251">
          <cell r="A251" t="str">
            <v>Derived M. Cap (Rs Million)</v>
          </cell>
          <cell r="B251">
            <v>123985.49674</v>
          </cell>
          <cell r="C251">
            <v>102826.41574000003</v>
          </cell>
          <cell r="D251">
            <v>92246.875240000023</v>
          </cell>
          <cell r="E251">
            <v>81667.334740000049</v>
          </cell>
          <cell r="F251">
            <v>71087.794240000017</v>
          </cell>
        </row>
        <row r="252">
          <cell r="A252" t="str">
            <v>Derived Equity Value / Share</v>
          </cell>
          <cell r="B252">
            <v>21.0023164840871</v>
          </cell>
          <cell r="C252">
            <v>17.418109239216133</v>
          </cell>
          <cell r="D252">
            <v>15.626005616780647</v>
          </cell>
          <cell r="E252">
            <v>13.833901994345167</v>
          </cell>
          <cell r="F252">
            <v>12.041798371909675</v>
          </cell>
        </row>
        <row r="253">
          <cell r="A253" t="str">
            <v xml:space="preserve">TTSL EV based on EV/Capacity  (US$ million) </v>
          </cell>
        </row>
        <row r="254">
          <cell r="A254" t="str">
            <v>Derived EV/Cap</v>
          </cell>
          <cell r="B254">
            <v>418</v>
          </cell>
          <cell r="C254">
            <v>376.2</v>
          </cell>
          <cell r="D254">
            <v>355.3</v>
          </cell>
          <cell r="E254">
            <v>334.40000000000003</v>
          </cell>
          <cell r="F254">
            <v>313.5</v>
          </cell>
        </row>
        <row r="255">
          <cell r="A255" t="str">
            <v>Derived M. Cap (Rs Million)</v>
          </cell>
          <cell r="B255">
            <v>173575.48684</v>
          </cell>
          <cell r="C255">
            <v>147457.40682999999</v>
          </cell>
          <cell r="D255">
            <v>134398.36682500003</v>
          </cell>
          <cell r="E255">
            <v>121339.32682000005</v>
          </cell>
          <cell r="F255">
            <v>108280.28681500003</v>
          </cell>
        </row>
        <row r="256">
          <cell r="A256" t="str">
            <v>Derived Equity Value / Share</v>
          </cell>
          <cell r="B256">
            <v>29.402530169620025</v>
          </cell>
          <cell r="C256">
            <v>24.978301556195763</v>
          </cell>
          <cell r="D256">
            <v>22.766187249483636</v>
          </cell>
          <cell r="E256">
            <v>20.554072942771509</v>
          </cell>
          <cell r="F256">
            <v>18.341958636059374</v>
          </cell>
        </row>
        <row r="257">
          <cell r="A257" t="str">
            <v>Source: Morgan Stanley Research</v>
          </cell>
        </row>
        <row r="260">
          <cell r="A260" t="str">
            <v>Tata Power - Value of Delhi Distribution Subsidiary</v>
          </cell>
        </row>
        <row r="261">
          <cell r="A261" t="str">
            <v>Rs Million</v>
          </cell>
          <cell r="B261" t="str">
            <v>F2006E</v>
          </cell>
          <cell r="C261" t="str">
            <v>F2007E</v>
          </cell>
          <cell r="D261" t="str">
            <v>F2008E</v>
          </cell>
          <cell r="E261" t="str">
            <v>F2009E</v>
          </cell>
          <cell r="F261" t="str">
            <v>F2009E</v>
          </cell>
          <cell r="G261" t="str">
            <v>F2009E</v>
          </cell>
          <cell r="H261" t="str">
            <v>F2009E</v>
          </cell>
          <cell r="I261" t="str">
            <v>F2009E</v>
          </cell>
          <cell r="J261" t="str">
            <v>F2009E</v>
          </cell>
          <cell r="K261" t="str">
            <v>F2009E</v>
          </cell>
        </row>
        <row r="262">
          <cell r="A262" t="str">
            <v>Book Value</v>
          </cell>
          <cell r="B262" t="e">
            <v>#REF!</v>
          </cell>
          <cell r="C262">
            <v>9670</v>
          </cell>
          <cell r="D262">
            <v>8921</v>
          </cell>
          <cell r="E262">
            <v>8920.7000000000007</v>
          </cell>
          <cell r="F262">
            <v>9820.7000000000007</v>
          </cell>
          <cell r="G262">
            <v>10720.7</v>
          </cell>
          <cell r="H262">
            <v>11410.52</v>
          </cell>
          <cell r="I262">
            <v>11860.52</v>
          </cell>
          <cell r="J262">
            <v>12310.52</v>
          </cell>
          <cell r="K262">
            <v>12760.52</v>
          </cell>
        </row>
        <row r="263">
          <cell r="A263" t="str">
            <v>PAT</v>
          </cell>
          <cell r="B263" t="e">
            <v>#REF!</v>
          </cell>
          <cell r="C263" t="e">
            <v>#REF!</v>
          </cell>
          <cell r="D263">
            <v>1902.5653095054888</v>
          </cell>
          <cell r="E263">
            <v>1933.9687997330313</v>
          </cell>
          <cell r="F263">
            <v>2007.588137691836</v>
          </cell>
          <cell r="G263">
            <v>1939.5643773975271</v>
          </cell>
          <cell r="H263">
            <v>2305.5996631987191</v>
          </cell>
          <cell r="I263">
            <v>2633.2869013395948</v>
          </cell>
          <cell r="J263">
            <v>2968.4466303686927</v>
          </cell>
          <cell r="K263">
            <v>2873.4752116495129</v>
          </cell>
        </row>
        <row r="264">
          <cell r="A264" t="str">
            <v>RoE (%)</v>
          </cell>
          <cell r="B264" t="e">
            <v>#REF!</v>
          </cell>
          <cell r="C264" t="e">
            <v>#REF!</v>
          </cell>
          <cell r="D264">
            <v>0.21326816606944163</v>
          </cell>
          <cell r="E264">
            <v>0.21679563259979948</v>
          </cell>
          <cell r="F264">
            <v>0.20442413857381203</v>
          </cell>
          <cell r="G264">
            <v>0.18091769916120468</v>
          </cell>
          <cell r="H264">
            <v>0.2020591229145314</v>
          </cell>
          <cell r="I264">
            <v>0.22202120154424887</v>
          </cell>
          <cell r="J264">
            <v>0.24113088889573248</v>
          </cell>
          <cell r="K264">
            <v>0.22518480529394669</v>
          </cell>
        </row>
        <row r="265">
          <cell r="A265" t="str">
            <v>Residual Income</v>
          </cell>
          <cell r="B265">
            <v>0</v>
          </cell>
          <cell r="C265">
            <v>0</v>
          </cell>
          <cell r="D265">
            <v>0</v>
          </cell>
          <cell r="E265">
            <v>595.86379973303133</v>
          </cell>
          <cell r="F265">
            <v>534.48313769183596</v>
          </cell>
          <cell r="G265">
            <v>331.45937739752708</v>
          </cell>
          <cell r="H265">
            <v>594.02166319871912</v>
          </cell>
          <cell r="I265">
            <v>854.20890133959483</v>
          </cell>
          <cell r="J265">
            <v>1121.8686303686927</v>
          </cell>
          <cell r="K265">
            <v>959.39721164951288</v>
          </cell>
        </row>
        <row r="266">
          <cell r="A266" t="str">
            <v>Residual Income (Discounted)</v>
          </cell>
          <cell r="C266">
            <v>0</v>
          </cell>
          <cell r="D266">
            <v>0</v>
          </cell>
          <cell r="E266">
            <v>595.86379973303133</v>
          </cell>
          <cell r="F266">
            <v>464.76794581898781</v>
          </cell>
          <cell r="G266">
            <v>250.63090918527573</v>
          </cell>
          <cell r="H266">
            <v>390.4293582599658</v>
          </cell>
          <cell r="I266">
            <v>488.20973584799526</v>
          </cell>
          <cell r="J266">
            <v>557.55344972663329</v>
          </cell>
          <cell r="K266">
            <v>414.61509960550563</v>
          </cell>
        </row>
        <row r="267">
          <cell r="A267" t="str">
            <v>Terminal Value</v>
          </cell>
          <cell r="B267">
            <v>3480.141818181819</v>
          </cell>
        </row>
        <row r="268">
          <cell r="A268" t="str">
            <v>Terminal Value (Discounted)</v>
          </cell>
          <cell r="B268">
            <v>1503.9853452418286</v>
          </cell>
        </row>
        <row r="269">
          <cell r="A269" t="str">
            <v>Perpetual ROE (%)</v>
          </cell>
          <cell r="B269">
            <v>0.18</v>
          </cell>
        </row>
        <row r="270">
          <cell r="A270" t="str">
            <v>Perpetual Growth (%)</v>
          </cell>
          <cell r="B270">
            <v>0.04</v>
          </cell>
        </row>
        <row r="271">
          <cell r="A271" t="str">
            <v>Cost of equity (%) Tata Power</v>
          </cell>
          <cell r="B271">
            <v>0.15</v>
          </cell>
        </row>
        <row r="272">
          <cell r="A272" t="str">
            <v>Per Share Value of TTPW's stake (51%)</v>
          </cell>
          <cell r="B272" t="e">
            <v>#REF!</v>
          </cell>
        </row>
        <row r="273">
          <cell r="A273" t="str">
            <v>E = Morgan Stanley Research estimates</v>
          </cell>
        </row>
        <row r="276">
          <cell r="A276" t="str">
            <v xml:space="preserve">Tata Power-Value of Proposed ‘Big-Ticket’ Investments </v>
          </cell>
        </row>
        <row r="278">
          <cell r="B278" t="str">
            <v xml:space="preserve">Maithon Project* </v>
          </cell>
          <cell r="C278" t="str">
            <v xml:space="preserve"> Coastal - Maharashtra Projects</v>
          </cell>
          <cell r="D278" t="str">
            <v>Powerlinks Transmission**</v>
          </cell>
        </row>
        <row r="279">
          <cell r="A279" t="str">
            <v>Capacity (MW)</v>
          </cell>
          <cell r="B279">
            <v>1000</v>
          </cell>
          <cell r="C279">
            <v>1000</v>
          </cell>
          <cell r="D279">
            <v>400</v>
          </cell>
        </row>
        <row r="280">
          <cell r="A280" t="str">
            <v>Commissioning (Month/Yr)</v>
          </cell>
          <cell r="B280">
            <v>40238</v>
          </cell>
          <cell r="C280">
            <v>40603</v>
          </cell>
          <cell r="D280">
            <v>38899</v>
          </cell>
        </row>
        <row r="281">
          <cell r="A281" t="str">
            <v>Cost per MW (Rs million)#</v>
          </cell>
          <cell r="B281">
            <v>38</v>
          </cell>
          <cell r="C281">
            <v>40</v>
          </cell>
          <cell r="D281">
            <v>16.714285714285715</v>
          </cell>
        </row>
        <row r="282">
          <cell r="A282" t="str">
            <v>Cost of Project (Rs Million)</v>
          </cell>
          <cell r="B282">
            <v>38000</v>
          </cell>
          <cell r="C282">
            <v>40000</v>
          </cell>
          <cell r="D282">
            <v>6685.7142857142862</v>
          </cell>
        </row>
        <row r="283">
          <cell r="A283" t="str">
            <v>Equity Component (Rs Million)</v>
          </cell>
          <cell r="B283">
            <v>11400</v>
          </cell>
          <cell r="C283">
            <v>12000</v>
          </cell>
          <cell r="D283">
            <v>4680</v>
          </cell>
        </row>
        <row r="284">
          <cell r="A284" t="str">
            <v>Yrs to Commissioning (financial year)</v>
          </cell>
          <cell r="B284">
            <v>4</v>
          </cell>
          <cell r="C284">
            <v>5</v>
          </cell>
          <cell r="D284">
            <v>-3</v>
          </cell>
        </row>
        <row r="285">
          <cell r="A285" t="str">
            <v>Perpetual RoE</v>
          </cell>
          <cell r="B285">
            <v>0.16</v>
          </cell>
          <cell r="C285">
            <v>0.16</v>
          </cell>
          <cell r="D285">
            <v>0.14000000000000001</v>
          </cell>
        </row>
        <row r="286">
          <cell r="A286" t="str">
            <v>Cost of Equity</v>
          </cell>
          <cell r="B286">
            <v>0</v>
          </cell>
          <cell r="C286">
            <v>0</v>
          </cell>
          <cell r="D286">
            <v>0</v>
          </cell>
        </row>
        <row r="287">
          <cell r="A287" t="str">
            <v>Terminal Growth</v>
          </cell>
          <cell r="B287">
            <v>0</v>
          </cell>
          <cell r="C287">
            <v>0</v>
          </cell>
          <cell r="D287">
            <v>0</v>
          </cell>
          <cell r="F287">
            <v>2386.8000000000002</v>
          </cell>
        </row>
        <row r="288">
          <cell r="A288" t="str">
            <v>Derived P/B on RI model</v>
          </cell>
          <cell r="B288" t="e">
            <v>#DIV/0!</v>
          </cell>
          <cell r="C288" t="e">
            <v>#DIV/0!</v>
          </cell>
          <cell r="D288" t="e">
            <v>#DIV/0!</v>
          </cell>
        </row>
        <row r="289">
          <cell r="A289" t="str">
            <v>Present Value of Investment (Rs/share)</v>
          </cell>
          <cell r="B289" t="e">
            <v>#DIV/0!</v>
          </cell>
          <cell r="C289" t="e">
            <v>#DIV/0!</v>
          </cell>
          <cell r="D289" t="e">
            <v>#DIV/0!</v>
          </cell>
        </row>
        <row r="290">
          <cell r="A290" t="str">
            <v>Implied Value (Rs/share)</v>
          </cell>
          <cell r="B290" t="e">
            <v>#DIV/0!</v>
          </cell>
          <cell r="C290" t="e">
            <v>#DIV/0!</v>
          </cell>
          <cell r="D290" t="e">
            <v>#DIV/0!</v>
          </cell>
        </row>
        <row r="291">
          <cell r="A291" t="str">
            <v>Book Value - based on RI  (Rs Million)</v>
          </cell>
          <cell r="B291" t="e">
            <v>#DIV/0!</v>
          </cell>
          <cell r="C291" t="e">
            <v>#DIV/0!</v>
          </cell>
          <cell r="D291" t="e">
            <v>#DIV/0!</v>
          </cell>
        </row>
        <row r="292">
          <cell r="A292" t="str">
            <v>TTPW's equity stake in the JV</v>
          </cell>
          <cell r="B292">
            <v>0.74</v>
          </cell>
          <cell r="C292">
            <v>0</v>
          </cell>
          <cell r="D292">
            <v>0.51</v>
          </cell>
        </row>
        <row r="293">
          <cell r="A293" t="str">
            <v xml:space="preserve">Discount Factor </v>
          </cell>
          <cell r="B293">
            <v>0</v>
          </cell>
          <cell r="C293">
            <v>0.5</v>
          </cell>
          <cell r="D293">
            <v>0</v>
          </cell>
        </row>
        <row r="294">
          <cell r="A294" t="str">
            <v>Value  to TTPW shareholders (Rs/share)</v>
          </cell>
          <cell r="B294" t="e">
            <v>#DIV/0!</v>
          </cell>
          <cell r="C294" t="e">
            <v>#DIV/0!</v>
          </cell>
          <cell r="D294" t="e">
            <v>#DIV/0!</v>
          </cell>
        </row>
        <row r="295">
          <cell r="A295" t="str">
            <v>*JV with Damodar Valley Corp.</v>
          </cell>
        </row>
        <row r="296">
          <cell r="A296" t="str">
            <v>**JV with PGCIL</v>
          </cell>
        </row>
        <row r="297">
          <cell r="A297" t="str">
            <v># Cost per kVA (Rs million)</v>
          </cell>
        </row>
        <row r="298">
          <cell r="A298" t="str">
            <v>Tata Power - Delhi Distribution AT&amp;C loss levels &amp; Earnings</v>
          </cell>
        </row>
        <row r="299">
          <cell r="A299" t="str">
            <v>Rs Million</v>
          </cell>
          <cell r="B299" t="str">
            <v>F2005</v>
          </cell>
          <cell r="C299" t="str">
            <v>F2006E</v>
          </cell>
          <cell r="D299" t="str">
            <v>F2007E</v>
          </cell>
          <cell r="E299" t="str">
            <v>F2008E</v>
          </cell>
          <cell r="F299" t="str">
            <v>F2009E</v>
          </cell>
          <cell r="G299" t="str">
            <v>F2009E</v>
          </cell>
          <cell r="H299" t="str">
            <v>F2009E</v>
          </cell>
          <cell r="I299" t="str">
            <v>F2009E</v>
          </cell>
          <cell r="J299" t="str">
            <v>F2009E</v>
          </cell>
        </row>
        <row r="300">
          <cell r="A300" t="str">
            <v>Stipulated Minimum Achievement</v>
          </cell>
          <cell r="B300">
            <v>0.40849999999999997</v>
          </cell>
          <cell r="C300">
            <v>0.35349999999999998</v>
          </cell>
          <cell r="D300">
            <v>0.311</v>
          </cell>
          <cell r="E300">
            <v>0.27339999999999998</v>
          </cell>
          <cell r="F300">
            <v>0.2346</v>
          </cell>
          <cell r="G300">
            <v>0.20230000000000001</v>
          </cell>
          <cell r="H300">
            <v>0.17</v>
          </cell>
          <cell r="I300">
            <v>0.15</v>
          </cell>
          <cell r="J300">
            <v>0.14499999999999999</v>
          </cell>
        </row>
        <row r="301">
          <cell r="A301" t="str">
            <v>Original Base Bid Levels</v>
          </cell>
          <cell r="B301">
            <v>0.371</v>
          </cell>
          <cell r="C301">
            <v>0.32850000000000001</v>
          </cell>
          <cell r="D301">
            <v>0.28850000000000003</v>
          </cell>
          <cell r="E301">
            <v>0.27339999999999998</v>
          </cell>
          <cell r="F301">
            <v>0.2346</v>
          </cell>
          <cell r="G301">
            <v>0.20230000000000001</v>
          </cell>
          <cell r="H301">
            <v>0.17</v>
          </cell>
          <cell r="I301">
            <v>0.15</v>
          </cell>
          <cell r="J301">
            <v>0.14499999999999999</v>
          </cell>
        </row>
        <row r="302">
          <cell r="A302" t="str">
            <v xml:space="preserve">Possible Achievement </v>
          </cell>
          <cell r="B302">
            <v>0.33789999999999998</v>
          </cell>
          <cell r="C302">
            <v>0.28399999999999997</v>
          </cell>
          <cell r="D302">
            <v>0.23730000000000001</v>
          </cell>
          <cell r="E302">
            <v>0.27510000000000001</v>
          </cell>
          <cell r="F302">
            <v>0.2059</v>
          </cell>
          <cell r="G302">
            <v>0.1736</v>
          </cell>
          <cell r="H302">
            <v>0.15360000000000001</v>
          </cell>
          <cell r="I302">
            <v>0.1361</v>
          </cell>
          <cell r="J302">
            <v>0.12609999999999999</v>
          </cell>
        </row>
        <row r="303">
          <cell r="A303" t="str">
            <v>TTPW's Share of Regulated Profit</v>
          </cell>
          <cell r="B303" t="e">
            <v>#REF!</v>
          </cell>
          <cell r="C303" t="e">
            <v>#REF!</v>
          </cell>
          <cell r="D303" t="e">
            <v>#REF!</v>
          </cell>
          <cell r="E303">
            <v>961.61780165768948</v>
          </cell>
          <cell r="F303">
            <v>947.64471186918536</v>
          </cell>
          <cell r="G303">
            <v>983.71818746899953</v>
          </cell>
          <cell r="H303">
            <v>950.38654492478827</v>
          </cell>
          <cell r="I303">
            <v>1129.7438349673723</v>
          </cell>
          <cell r="J303">
            <v>1290.3105816564014</v>
          </cell>
        </row>
        <row r="304">
          <cell r="A304" t="str">
            <v>ROE @16%</v>
          </cell>
          <cell r="B304" t="e">
            <v>#REF!</v>
          </cell>
          <cell r="C304" t="e">
            <v>#REF!</v>
          </cell>
          <cell r="D304" t="e">
            <v>#REF!</v>
          </cell>
          <cell r="E304">
            <v>728.7672</v>
          </cell>
          <cell r="F304">
            <v>699.39464000000009</v>
          </cell>
          <cell r="G304">
            <v>734.66287999999997</v>
          </cell>
          <cell r="H304">
            <v>805.22288000000003</v>
          </cell>
          <cell r="I304">
            <v>867.54382400000009</v>
          </cell>
          <cell r="J304">
            <v>912.22476800000004</v>
          </cell>
        </row>
        <row r="305">
          <cell r="A305" t="str">
            <v>Incentives</v>
          </cell>
          <cell r="B305">
            <v>167.42536856003116</v>
          </cell>
          <cell r="C305">
            <v>255.98113106695672</v>
          </cell>
          <cell r="D305">
            <v>311.29523516888656</v>
          </cell>
          <cell r="E305">
            <v>232.85060165768945</v>
          </cell>
          <cell r="F305">
            <v>248.25007186918532</v>
          </cell>
          <cell r="G305">
            <v>249.0553074689995</v>
          </cell>
          <cell r="H305">
            <v>145.16366492478826</v>
          </cell>
          <cell r="I305">
            <v>262.20001096737218</v>
          </cell>
          <cell r="J305">
            <v>378.08581365640134</v>
          </cell>
        </row>
        <row r="306">
          <cell r="A306" t="str">
            <v>TTPW's Share of Accounting Profit</v>
          </cell>
          <cell r="B306">
            <v>209.09999999999951</v>
          </cell>
          <cell r="C306">
            <v>551.5</v>
          </cell>
          <cell r="D306">
            <v>0</v>
          </cell>
          <cell r="E306">
            <v>795.61299999999937</v>
          </cell>
          <cell r="F306">
            <v>947.64471186918536</v>
          </cell>
          <cell r="G306">
            <v>0</v>
          </cell>
          <cell r="H306">
            <v>0</v>
          </cell>
          <cell r="I306">
            <v>0</v>
          </cell>
          <cell r="J306">
            <v>0</v>
          </cell>
        </row>
        <row r="307">
          <cell r="A307" t="str">
            <v>Financial/Regulated Return Adjustment Factor</v>
          </cell>
          <cell r="B307" t="e">
            <v>#REF!</v>
          </cell>
          <cell r="C307" t="e">
            <v>#REF!</v>
          </cell>
          <cell r="D307" t="e">
            <v>#REF!</v>
          </cell>
          <cell r="E307">
            <v>0.85342668232609986</v>
          </cell>
          <cell r="F307">
            <v>1</v>
          </cell>
          <cell r="G307">
            <v>1</v>
          </cell>
          <cell r="H307">
            <v>1</v>
          </cell>
          <cell r="I307">
            <v>1</v>
          </cell>
          <cell r="J307">
            <v>1</v>
          </cell>
        </row>
        <row r="308">
          <cell r="A308" t="str">
            <v>*Accounting Profits,#Financial/Regulated Return Adjustment Factor</v>
          </cell>
        </row>
        <row r="310">
          <cell r="A310" t="str">
            <v>Tata Power-Sensitivity of DCF Value to Terminal Growth &amp; WACC-Mumbai Business</v>
          </cell>
        </row>
        <row r="311">
          <cell r="A311" t="str">
            <v xml:space="preserve">WACC </v>
          </cell>
          <cell r="C311" t="str">
            <v>Terminal Growth Rate</v>
          </cell>
        </row>
        <row r="312">
          <cell r="A312" t="str">
            <v>In Rs.</v>
          </cell>
          <cell r="B312" t="e">
            <v>#REF!</v>
          </cell>
          <cell r="C312" t="e">
            <v>#REF!</v>
          </cell>
          <cell r="D312" t="e">
            <v>#REF!</v>
          </cell>
        </row>
        <row r="313">
          <cell r="A313" t="e">
            <v>#REF!</v>
          </cell>
          <cell r="B313" t="e">
            <v>#REF!</v>
          </cell>
          <cell r="C313" t="e">
            <v>#REF!</v>
          </cell>
          <cell r="D313" t="e">
            <v>#REF!</v>
          </cell>
        </row>
        <row r="314">
          <cell r="A314" t="e">
            <v>#REF!</v>
          </cell>
          <cell r="B314" t="e">
            <v>#REF!</v>
          </cell>
          <cell r="C314" t="e">
            <v>#REF!</v>
          </cell>
          <cell r="D314" t="e">
            <v>#REF!</v>
          </cell>
        </row>
        <row r="315">
          <cell r="A315" t="e">
            <v>#REF!</v>
          </cell>
          <cell r="B315" t="e">
            <v>#REF!</v>
          </cell>
          <cell r="C315" t="e">
            <v>#REF!</v>
          </cell>
          <cell r="D315" t="e">
            <v>#REF!</v>
          </cell>
        </row>
        <row r="319">
          <cell r="A319" t="str">
            <v>Tata Power-Fuel Cost Mix</v>
          </cell>
        </row>
        <row r="320">
          <cell r="B320" t="str">
            <v>F2004</v>
          </cell>
          <cell r="C320" t="str">
            <v>F2005</v>
          </cell>
          <cell r="D320" t="str">
            <v>F2006E</v>
          </cell>
          <cell r="E320" t="str">
            <v>F2007E</v>
          </cell>
          <cell r="F320" t="str">
            <v>F2008E</v>
          </cell>
          <cell r="G320" t="str">
            <v>F2009E</v>
          </cell>
        </row>
        <row r="321">
          <cell r="A321" t="str">
            <v>Coal</v>
          </cell>
          <cell r="B321" t="e">
            <v>#REF!</v>
          </cell>
          <cell r="C321" t="e">
            <v>#REF!</v>
          </cell>
          <cell r="D321" t="e">
            <v>#REF!</v>
          </cell>
          <cell r="E321" t="e">
            <v>#REF!</v>
          </cell>
          <cell r="F321" t="e">
            <v>#REF!</v>
          </cell>
          <cell r="G321" t="e">
            <v>#REF!</v>
          </cell>
        </row>
        <row r="322">
          <cell r="A322" t="str">
            <v>Oil</v>
          </cell>
          <cell r="B322" t="e">
            <v>#REF!</v>
          </cell>
          <cell r="C322" t="e">
            <v>#REF!</v>
          </cell>
          <cell r="D322" t="e">
            <v>#REF!</v>
          </cell>
          <cell r="E322" t="e">
            <v>#REF!</v>
          </cell>
          <cell r="F322" t="e">
            <v>#REF!</v>
          </cell>
          <cell r="G322" t="e">
            <v>#REF!</v>
          </cell>
        </row>
        <row r="323">
          <cell r="A323" t="str">
            <v>Gas</v>
          </cell>
          <cell r="B323" t="e">
            <v>#REF!</v>
          </cell>
          <cell r="C323" t="e">
            <v>#REF!</v>
          </cell>
          <cell r="D323" t="e">
            <v>#REF!</v>
          </cell>
          <cell r="E323" t="e">
            <v>#REF!</v>
          </cell>
          <cell r="F323" t="e">
            <v>#REF!</v>
          </cell>
          <cell r="G323" t="e">
            <v>#REF!</v>
          </cell>
        </row>
        <row r="324">
          <cell r="A324" t="str">
            <v>Fuel Cost (Rs/Unit)</v>
          </cell>
          <cell r="B324" t="e">
            <v>#REF!</v>
          </cell>
          <cell r="C324" t="e">
            <v>#REF!</v>
          </cell>
          <cell r="D324" t="e">
            <v>#REF!</v>
          </cell>
          <cell r="E324" t="e">
            <v>#REF!</v>
          </cell>
          <cell r="F324" t="e">
            <v>#REF!</v>
          </cell>
          <cell r="G324" t="e">
            <v>#REF!</v>
          </cell>
        </row>
        <row r="330">
          <cell r="B330" t="str">
            <v>F'04</v>
          </cell>
          <cell r="C330" t="str">
            <v>F'05</v>
          </cell>
          <cell r="D330" t="str">
            <v>F'06E</v>
          </cell>
          <cell r="E330" t="str">
            <v>F'07E</v>
          </cell>
          <cell r="F330" t="str">
            <v>F'08E</v>
          </cell>
          <cell r="G330" t="str">
            <v>F'09E</v>
          </cell>
        </row>
        <row r="331">
          <cell r="A331" t="str">
            <v>Based on Cost</v>
          </cell>
        </row>
        <row r="332">
          <cell r="A332" t="str">
            <v>Coal</v>
          </cell>
          <cell r="B332" t="e">
            <v>#REF!</v>
          </cell>
          <cell r="C332" t="e">
            <v>#REF!</v>
          </cell>
          <cell r="D332" t="e">
            <v>#REF!</v>
          </cell>
          <cell r="E332" t="e">
            <v>#REF!</v>
          </cell>
          <cell r="F332" t="e">
            <v>#REF!</v>
          </cell>
          <cell r="G332" t="e">
            <v>#REF!</v>
          </cell>
        </row>
        <row r="333">
          <cell r="A333" t="str">
            <v>Oil</v>
          </cell>
          <cell r="B333" t="e">
            <v>#REF!</v>
          </cell>
          <cell r="C333" t="e">
            <v>#REF!</v>
          </cell>
          <cell r="D333" t="e">
            <v>#REF!</v>
          </cell>
          <cell r="E333" t="e">
            <v>#REF!</v>
          </cell>
          <cell r="F333" t="e">
            <v>#REF!</v>
          </cell>
          <cell r="G333" t="e">
            <v>#REF!</v>
          </cell>
        </row>
        <row r="334">
          <cell r="A334" t="str">
            <v>Gas</v>
          </cell>
          <cell r="B334" t="e">
            <v>#REF!</v>
          </cell>
          <cell r="C334" t="e">
            <v>#REF!</v>
          </cell>
          <cell r="D334" t="e">
            <v>#REF!</v>
          </cell>
          <cell r="E334" t="e">
            <v>#REF!</v>
          </cell>
          <cell r="F334" t="e">
            <v>#REF!</v>
          </cell>
          <cell r="G334" t="e">
            <v>#REF!</v>
          </cell>
        </row>
        <row r="335">
          <cell r="A335" t="str">
            <v>Based on Units Generated</v>
          </cell>
        </row>
        <row r="336">
          <cell r="A336" t="str">
            <v>Coal</v>
          </cell>
          <cell r="B336" t="e">
            <v>#REF!</v>
          </cell>
          <cell r="C336" t="e">
            <v>#REF!</v>
          </cell>
          <cell r="D336" t="e">
            <v>#REF!</v>
          </cell>
          <cell r="E336" t="e">
            <v>#REF!</v>
          </cell>
          <cell r="F336" t="e">
            <v>#REF!</v>
          </cell>
          <cell r="G336" t="e">
            <v>#REF!</v>
          </cell>
        </row>
        <row r="337">
          <cell r="A337" t="str">
            <v>Oil</v>
          </cell>
          <cell r="B337" t="e">
            <v>#REF!</v>
          </cell>
          <cell r="C337" t="e">
            <v>#REF!</v>
          </cell>
          <cell r="D337" t="e">
            <v>#REF!</v>
          </cell>
          <cell r="E337" t="e">
            <v>#REF!</v>
          </cell>
          <cell r="F337" t="e">
            <v>#REF!</v>
          </cell>
          <cell r="G337" t="e">
            <v>#REF!</v>
          </cell>
        </row>
        <row r="338">
          <cell r="A338" t="str">
            <v>Gas</v>
          </cell>
          <cell r="B338" t="e">
            <v>#REF!</v>
          </cell>
          <cell r="C338" t="e">
            <v>#REF!</v>
          </cell>
          <cell r="D338" t="e">
            <v>#REF!</v>
          </cell>
          <cell r="E338" t="e">
            <v>#REF!</v>
          </cell>
          <cell r="F338" t="e">
            <v>#REF!</v>
          </cell>
          <cell r="G338" t="e">
            <v>#REF!</v>
          </cell>
        </row>
        <row r="339">
          <cell r="A339" t="str">
            <v>Hydro</v>
          </cell>
          <cell r="B339" t="e">
            <v>#REF!</v>
          </cell>
          <cell r="C339" t="e">
            <v>#REF!</v>
          </cell>
          <cell r="D339" t="e">
            <v>#REF!</v>
          </cell>
          <cell r="E339" t="e">
            <v>#REF!</v>
          </cell>
          <cell r="F339" t="e">
            <v>#REF!</v>
          </cell>
          <cell r="G339" t="e">
            <v>#REF!</v>
          </cell>
        </row>
        <row r="342">
          <cell r="A342" t="str">
            <v>Tata Power-Common Size Operating Profit</v>
          </cell>
        </row>
        <row r="343">
          <cell r="A343" t="str">
            <v>(%)</v>
          </cell>
          <cell r="B343" t="str">
            <v>F2005</v>
          </cell>
          <cell r="C343" t="str">
            <v>F2006E</v>
          </cell>
          <cell r="D343" t="str">
            <v>F2007E</v>
          </cell>
          <cell r="E343" t="str">
            <v>F2008E</v>
          </cell>
          <cell r="F343" t="str">
            <v>F2009E</v>
          </cell>
        </row>
        <row r="344">
          <cell r="A344" t="str">
            <v>Revenues</v>
          </cell>
          <cell r="B344" t="e">
            <v>#REF!</v>
          </cell>
          <cell r="C344" t="e">
            <v>#REF!</v>
          </cell>
          <cell r="D344" t="e">
            <v>#REF!</v>
          </cell>
          <cell r="E344" t="e">
            <v>#REF!</v>
          </cell>
          <cell r="F344" t="e">
            <v>#REF!</v>
          </cell>
        </row>
        <row r="345">
          <cell r="A345" t="str">
            <v>Cost of Power Purchased</v>
          </cell>
          <cell r="B345" t="e">
            <v>#REF!</v>
          </cell>
          <cell r="C345" t="e">
            <v>#REF!</v>
          </cell>
          <cell r="D345" t="e">
            <v>#REF!</v>
          </cell>
          <cell r="E345">
            <v>0.65438720941813511</v>
          </cell>
          <cell r="F345">
            <v>0.77678439670894173</v>
          </cell>
        </row>
        <row r="346">
          <cell r="A346" t="str">
            <v>Cost of Fuel</v>
          </cell>
          <cell r="B346" t="e">
            <v>#REF!</v>
          </cell>
          <cell r="C346" t="e">
            <v>#REF!</v>
          </cell>
          <cell r="D346" t="e">
            <v>#REF!</v>
          </cell>
          <cell r="E346">
            <v>3.8527440765711289E-2</v>
          </cell>
          <cell r="F346">
            <v>3.0854366499143825E-2</v>
          </cell>
        </row>
        <row r="347">
          <cell r="A347" t="str">
            <v>Tax on Electricity</v>
          </cell>
          <cell r="B347" t="e">
            <v>#REF!</v>
          </cell>
          <cell r="C347" t="e">
            <v>#REF!</v>
          </cell>
          <cell r="D347" t="e">
            <v>#REF!</v>
          </cell>
          <cell r="E347" t="e">
            <v>#REF!</v>
          </cell>
          <cell r="F347" t="e">
            <v>#REF!</v>
          </cell>
        </row>
        <row r="348">
          <cell r="A348" t="str">
            <v>Salaries &amp; Benefits</v>
          </cell>
          <cell r="B348" t="e">
            <v>#REF!</v>
          </cell>
          <cell r="C348" t="e">
            <v>#REF!</v>
          </cell>
          <cell r="D348" t="e">
            <v>#REF!</v>
          </cell>
          <cell r="E348" t="e">
            <v>#REF!</v>
          </cell>
          <cell r="F348" t="e">
            <v>#REF!</v>
          </cell>
        </row>
        <row r="349">
          <cell r="A349" t="str">
            <v>Other Expenses</v>
          </cell>
          <cell r="B349" t="e">
            <v>#REF!</v>
          </cell>
          <cell r="C349" t="e">
            <v>#REF!</v>
          </cell>
          <cell r="D349" t="e">
            <v>#REF!</v>
          </cell>
          <cell r="E349">
            <v>0.10385843528385923</v>
          </cell>
          <cell r="F349">
            <v>7.6816764735853041E-2</v>
          </cell>
        </row>
        <row r="350">
          <cell r="A350" t="str">
            <v>Provisions/Write-Offs</v>
          </cell>
          <cell r="B350" t="e">
            <v>#REF!</v>
          </cell>
          <cell r="C350" t="e">
            <v>#REF!</v>
          </cell>
          <cell r="D350" t="e">
            <v>#REF!</v>
          </cell>
          <cell r="E350" t="e">
            <v>#REF!</v>
          </cell>
          <cell r="F350" t="e">
            <v>#REF!</v>
          </cell>
        </row>
        <row r="351">
          <cell r="A351" t="str">
            <v>Total Cost</v>
          </cell>
          <cell r="B351" t="e">
            <v>#REF!</v>
          </cell>
          <cell r="C351" t="e">
            <v>#REF!</v>
          </cell>
          <cell r="D351" t="e">
            <v>#REF!</v>
          </cell>
          <cell r="E351" t="e">
            <v>#REF!</v>
          </cell>
          <cell r="F351" t="e">
            <v>#REF!</v>
          </cell>
        </row>
        <row r="352">
          <cell r="A352" t="str">
            <v>Operating Profit</v>
          </cell>
          <cell r="B352" t="e">
            <v>#REF!</v>
          </cell>
          <cell r="C352" t="e">
            <v>#REF!</v>
          </cell>
          <cell r="D352" t="e">
            <v>#REF!</v>
          </cell>
          <cell r="E352" t="e">
            <v>#REF!</v>
          </cell>
          <cell r="F352" t="e">
            <v>#REF!</v>
          </cell>
        </row>
        <row r="354">
          <cell r="A354" t="str">
            <v>Rs. Million</v>
          </cell>
          <cell r="B354" t="str">
            <v>F2004</v>
          </cell>
          <cell r="C354" t="str">
            <v>F2005</v>
          </cell>
          <cell r="D354" t="str">
            <v>F2006E</v>
          </cell>
          <cell r="E354" t="str">
            <v>F2007E</v>
          </cell>
          <cell r="F354" t="str">
            <v>F2008E</v>
          </cell>
          <cell r="G354" t="str">
            <v>F2009E</v>
          </cell>
        </row>
        <row r="355">
          <cell r="A355" t="str">
            <v>Revenues</v>
          </cell>
          <cell r="B355" t="e">
            <v>#REF!</v>
          </cell>
          <cell r="C355" t="e">
            <v>#REF!</v>
          </cell>
          <cell r="D355" t="e">
            <v>#REF!</v>
          </cell>
          <cell r="E355" t="e">
            <v>#REF!</v>
          </cell>
          <cell r="F355">
            <v>49198.7</v>
          </cell>
          <cell r="G355">
            <v>71831</v>
          </cell>
        </row>
        <row r="356">
          <cell r="A356" t="str">
            <v>Cost of power purchased</v>
          </cell>
          <cell r="B356" t="e">
            <v>#REF!</v>
          </cell>
          <cell r="C356" t="e">
            <v>#REF!</v>
          </cell>
          <cell r="D356" t="e">
            <v>#REF!</v>
          </cell>
          <cell r="E356" t="e">
            <v>#REF!</v>
          </cell>
          <cell r="F356">
            <v>32195</v>
          </cell>
          <cell r="G356">
            <v>55797.2</v>
          </cell>
        </row>
        <row r="357">
          <cell r="A357" t="str">
            <v>Cost of fuel</v>
          </cell>
          <cell r="B357" t="e">
            <v>#REF!</v>
          </cell>
          <cell r="C357" t="e">
            <v>#REF!</v>
          </cell>
          <cell r="D357" t="e">
            <v>#REF!</v>
          </cell>
          <cell r="E357" t="e">
            <v>#REF!</v>
          </cell>
          <cell r="F357">
            <v>1895.5</v>
          </cell>
          <cell r="G357">
            <v>2216.3000000000002</v>
          </cell>
        </row>
        <row r="358">
          <cell r="A358" t="str">
            <v>Tax on electricity</v>
          </cell>
          <cell r="B358" t="e">
            <v>#REF!</v>
          </cell>
          <cell r="C358" t="e">
            <v>#REF!</v>
          </cell>
          <cell r="D358" t="e">
            <v>#REF!</v>
          </cell>
          <cell r="E358" t="e">
            <v>#REF!</v>
          </cell>
          <cell r="F358" t="e">
            <v>#REF!</v>
          </cell>
          <cell r="G358" t="e">
            <v>#REF!</v>
          </cell>
        </row>
        <row r="359">
          <cell r="A359" t="str">
            <v>Salaries and benefits</v>
          </cell>
          <cell r="B359" t="e">
            <v>#REF!</v>
          </cell>
          <cell r="C359" t="e">
            <v>#REF!</v>
          </cell>
          <cell r="D359" t="e">
            <v>#REF!</v>
          </cell>
          <cell r="E359" t="e">
            <v>#REF!</v>
          </cell>
          <cell r="F359" t="e">
            <v>#REF!</v>
          </cell>
          <cell r="G359" t="e">
            <v>#REF!</v>
          </cell>
        </row>
        <row r="360">
          <cell r="A360" t="str">
            <v>Other expenses</v>
          </cell>
          <cell r="B360" t="e">
            <v>#REF!</v>
          </cell>
          <cell r="C360" t="e">
            <v>#REF!</v>
          </cell>
          <cell r="D360" t="e">
            <v>#REF!</v>
          </cell>
          <cell r="E360" t="e">
            <v>#REF!</v>
          </cell>
          <cell r="F360">
            <v>5109.7000000000044</v>
          </cell>
          <cell r="G360">
            <v>5517.8250277410598</v>
          </cell>
        </row>
        <row r="361">
          <cell r="A361" t="str">
            <v>Provisions/write-offs</v>
          </cell>
          <cell r="B361" t="e">
            <v>#REF!</v>
          </cell>
          <cell r="C361" t="e">
            <v>#REF!</v>
          </cell>
          <cell r="D361" t="e">
            <v>#REF!</v>
          </cell>
          <cell r="E361" t="e">
            <v>#REF!</v>
          </cell>
          <cell r="F361" t="e">
            <v>#REF!</v>
          </cell>
          <cell r="G361" t="e">
            <v>#REF!</v>
          </cell>
        </row>
        <row r="362">
          <cell r="A362" t="str">
            <v>Total Cost</v>
          </cell>
          <cell r="B362" t="e">
            <v>#REF!</v>
          </cell>
          <cell r="C362" t="e">
            <v>#REF!</v>
          </cell>
          <cell r="D362" t="e">
            <v>#REF!</v>
          </cell>
          <cell r="E362" t="e">
            <v>#REF!</v>
          </cell>
          <cell r="F362" t="e">
            <v>#REF!</v>
          </cell>
          <cell r="G362" t="e">
            <v>#REF!</v>
          </cell>
        </row>
        <row r="363">
          <cell r="A363" t="str">
            <v>Operating Profit</v>
          </cell>
          <cell r="B363" t="e">
            <v>#REF!</v>
          </cell>
          <cell r="C363" t="e">
            <v>#REF!</v>
          </cell>
          <cell r="D363" t="e">
            <v>#REF!</v>
          </cell>
          <cell r="E363" t="e">
            <v>#REF!</v>
          </cell>
          <cell r="F363" t="e">
            <v>#REF!</v>
          </cell>
          <cell r="G363" t="e">
            <v>#REF!</v>
          </cell>
        </row>
        <row r="367">
          <cell r="A367" t="str">
            <v>Tata Power-Geneartion Capacity &amp; PLF(%)</v>
          </cell>
        </row>
        <row r="368">
          <cell r="B368" t="str">
            <v>F2005</v>
          </cell>
          <cell r="C368" t="str">
            <v>F2006E</v>
          </cell>
          <cell r="D368" t="str">
            <v>F2007E</v>
          </cell>
          <cell r="E368" t="str">
            <v>F2008E</v>
          </cell>
          <cell r="F368" t="str">
            <v>F2009E</v>
          </cell>
        </row>
        <row r="369">
          <cell r="A369" t="str">
            <v>Generation (MUs)</v>
          </cell>
          <cell r="B369" t="e">
            <v>#REF!</v>
          </cell>
          <cell r="C369" t="e">
            <v>#REF!</v>
          </cell>
          <cell r="D369" t="e">
            <v>#REF!</v>
          </cell>
          <cell r="E369" t="e">
            <v>#REF!</v>
          </cell>
          <cell r="F369" t="e">
            <v>#REF!</v>
          </cell>
        </row>
        <row r="370">
          <cell r="A370" t="str">
            <v>Trombay</v>
          </cell>
          <cell r="B370" t="e">
            <v>#REF!</v>
          </cell>
          <cell r="C370" t="e">
            <v>#REF!</v>
          </cell>
          <cell r="D370" t="e">
            <v>#REF!</v>
          </cell>
          <cell r="E370" t="e">
            <v>#REF!</v>
          </cell>
          <cell r="F370" t="e">
            <v>#REF!</v>
          </cell>
        </row>
        <row r="371">
          <cell r="A371" t="str">
            <v xml:space="preserve">Mumbai - Hydro* </v>
          </cell>
          <cell r="B371" t="e">
            <v>#REF!</v>
          </cell>
          <cell r="C371" t="e">
            <v>#REF!</v>
          </cell>
          <cell r="D371" t="e">
            <v>#REF!</v>
          </cell>
          <cell r="E371" t="e">
            <v>#REF!</v>
          </cell>
          <cell r="F371" t="e">
            <v>#REF!</v>
          </cell>
        </row>
        <row r="372">
          <cell r="A372" t="str">
            <v>Jojobera. Jharkhand</v>
          </cell>
          <cell r="B372" t="e">
            <v>#REF!</v>
          </cell>
          <cell r="C372" t="e">
            <v>#REF!</v>
          </cell>
          <cell r="D372" t="e">
            <v>#REF!</v>
          </cell>
          <cell r="E372">
            <v>0</v>
          </cell>
          <cell r="F372">
            <v>0</v>
          </cell>
        </row>
        <row r="373">
          <cell r="A373" t="str">
            <v>Belgaum, Karnataka</v>
          </cell>
          <cell r="B373" t="e">
            <v>#REF!</v>
          </cell>
          <cell r="C373" t="e">
            <v>#REF!</v>
          </cell>
          <cell r="D373" t="e">
            <v>#REF!</v>
          </cell>
          <cell r="E373">
            <v>0</v>
          </cell>
          <cell r="F373">
            <v>0</v>
          </cell>
        </row>
        <row r="374">
          <cell r="A374" t="str">
            <v>Wadi, Karnataka</v>
          </cell>
          <cell r="B374" t="e">
            <v>#REF!</v>
          </cell>
          <cell r="C374" t="e">
            <v>#REF!</v>
          </cell>
          <cell r="D374" t="e">
            <v>#REF!</v>
          </cell>
          <cell r="E374">
            <v>4458.84</v>
          </cell>
          <cell r="F374">
            <v>4423.3620000000001</v>
          </cell>
        </row>
        <row r="375">
          <cell r="A375" t="str">
            <v>Ahmednagar, Maharashtra</v>
          </cell>
          <cell r="B375" t="e">
            <v>#REF!</v>
          </cell>
          <cell r="C375" t="e">
            <v>#REF!</v>
          </cell>
          <cell r="D375" t="e">
            <v>#REF!</v>
          </cell>
          <cell r="E375">
            <v>1170.7740000000003</v>
          </cell>
          <cell r="F375">
            <v>1011.78</v>
          </cell>
        </row>
        <row r="376">
          <cell r="A376" t="str">
            <v>Capacity (MW)</v>
          </cell>
          <cell r="B376" t="e">
            <v>#REF!</v>
          </cell>
          <cell r="C376" t="e">
            <v>#REF!</v>
          </cell>
          <cell r="D376" t="e">
            <v>#REF!</v>
          </cell>
          <cell r="E376" t="e">
            <v>#REF!</v>
          </cell>
          <cell r="F376" t="e">
            <v>#REF!</v>
          </cell>
        </row>
        <row r="377">
          <cell r="A377" t="str">
            <v>Trombay (Thermal)</v>
          </cell>
          <cell r="B377" t="e">
            <v>#REF!</v>
          </cell>
          <cell r="C377" t="e">
            <v>#REF!</v>
          </cell>
          <cell r="D377" t="e">
            <v>#REF!</v>
          </cell>
          <cell r="E377" t="e">
            <v>#REF!</v>
          </cell>
          <cell r="F377" t="e">
            <v>#REF!</v>
          </cell>
        </row>
        <row r="378">
          <cell r="A378" t="str">
            <v>Mumbai (Hydro*)</v>
          </cell>
          <cell r="B378" t="e">
            <v>#REF!</v>
          </cell>
          <cell r="C378" t="e">
            <v>#REF!</v>
          </cell>
          <cell r="D378" t="e">
            <v>#REF!</v>
          </cell>
          <cell r="E378" t="e">
            <v>#REF!</v>
          </cell>
          <cell r="F378" t="e">
            <v>#REF!</v>
          </cell>
        </row>
        <row r="379">
          <cell r="A379" t="str">
            <v>Jojobera (Coal)</v>
          </cell>
          <cell r="B379" t="e">
            <v>#REF!</v>
          </cell>
          <cell r="C379" t="e">
            <v>#REF!</v>
          </cell>
          <cell r="D379" t="e">
            <v>#REF!</v>
          </cell>
          <cell r="E379">
            <v>48</v>
          </cell>
          <cell r="F379">
            <v>48</v>
          </cell>
        </row>
        <row r="380">
          <cell r="A380" t="str">
            <v>Belgaum (CCP)</v>
          </cell>
          <cell r="B380" t="e">
            <v>#REF!</v>
          </cell>
          <cell r="C380" t="e">
            <v>#REF!</v>
          </cell>
          <cell r="D380" t="e">
            <v>#REF!</v>
          </cell>
          <cell r="E380">
            <v>0</v>
          </cell>
          <cell r="F380">
            <v>0</v>
          </cell>
        </row>
        <row r="381">
          <cell r="A381" t="str">
            <v>Wadi</v>
          </cell>
          <cell r="B381" t="e">
            <v>#REF!</v>
          </cell>
          <cell r="C381" t="e">
            <v>#REF!</v>
          </cell>
          <cell r="D381" t="e">
            <v>#REF!</v>
          </cell>
          <cell r="E381" t="e">
            <v>#REF!</v>
          </cell>
          <cell r="F381" t="e">
            <v>#REF!</v>
          </cell>
        </row>
        <row r="382">
          <cell r="A382" t="str">
            <v>Ahmednagar (Wind)</v>
          </cell>
          <cell r="B382" t="e">
            <v>#REF!</v>
          </cell>
          <cell r="C382" t="e">
            <v>#REF!</v>
          </cell>
          <cell r="D382" t="e">
            <v>#REF!</v>
          </cell>
          <cell r="E382" t="e">
            <v>#REF!</v>
          </cell>
          <cell r="F382" t="e">
            <v>#REF!</v>
          </cell>
        </row>
        <row r="383">
          <cell r="A383" t="str">
            <v>PLF (%)</v>
          </cell>
          <cell r="B383" t="e">
            <v>#REF!</v>
          </cell>
          <cell r="C383" t="e">
            <v>#REF!</v>
          </cell>
          <cell r="D383" t="e">
            <v>#REF!</v>
          </cell>
          <cell r="E383" t="e">
            <v>#REF!</v>
          </cell>
          <cell r="F383" t="e">
            <v>#REF!</v>
          </cell>
        </row>
        <row r="384">
          <cell r="A384" t="str">
            <v>Trombay (Thermal)</v>
          </cell>
          <cell r="B384" t="e">
            <v>#REF!</v>
          </cell>
          <cell r="C384" t="e">
            <v>#REF!</v>
          </cell>
          <cell r="D384" t="e">
            <v>#REF!</v>
          </cell>
          <cell r="E384" t="e">
            <v>#REF!</v>
          </cell>
          <cell r="F384" t="e">
            <v>#REF!</v>
          </cell>
        </row>
        <row r="385">
          <cell r="A385" t="str">
            <v>Mumbai (Hydro*)</v>
          </cell>
          <cell r="B385" t="e">
            <v>#REF!</v>
          </cell>
          <cell r="C385" t="e">
            <v>#REF!</v>
          </cell>
          <cell r="D385" t="e">
            <v>#REF!</v>
          </cell>
          <cell r="E385" t="e">
            <v>#REF!</v>
          </cell>
          <cell r="F385" t="e">
            <v>#REF!</v>
          </cell>
        </row>
        <row r="386">
          <cell r="A386" t="str">
            <v>Jojobera (Coal)</v>
          </cell>
          <cell r="B386" t="e">
            <v>#REF!</v>
          </cell>
          <cell r="C386" t="e">
            <v>#REF!</v>
          </cell>
          <cell r="D386" t="e">
            <v>#REF!</v>
          </cell>
          <cell r="E386">
            <v>0</v>
          </cell>
          <cell r="F386">
            <v>0</v>
          </cell>
        </row>
        <row r="387">
          <cell r="A387" t="str">
            <v>Belgaum (CCP)</v>
          </cell>
          <cell r="B387" t="e">
            <v>#REF!</v>
          </cell>
          <cell r="C387" t="e">
            <v>#REF!</v>
          </cell>
          <cell r="D387" t="e">
            <v>#REF!</v>
          </cell>
          <cell r="E387" t="e">
            <v>#DIV/0!</v>
          </cell>
          <cell r="F387" t="e">
            <v>#DIV/0!</v>
          </cell>
        </row>
        <row r="388">
          <cell r="A388" t="str">
            <v>Wadi</v>
          </cell>
          <cell r="B388" t="e">
            <v>#REF!</v>
          </cell>
        </row>
        <row r="389">
          <cell r="A389" t="str">
            <v>Ahmednagar (Wind)</v>
          </cell>
          <cell r="B389" t="e">
            <v>#REF!</v>
          </cell>
          <cell r="C389" t="e">
            <v>#REF!</v>
          </cell>
          <cell r="D389" t="e">
            <v>#REF!</v>
          </cell>
          <cell r="E389" t="e">
            <v>#REF!</v>
          </cell>
          <cell r="F389" t="e">
            <v>#REF!</v>
          </cell>
        </row>
        <row r="390">
          <cell r="A390" t="str">
            <v>Based on installed Capacity conversion factor of 8.76.*Includes Khopoli, Bhivpuri, Bhira.Maha. =Maharashtra</v>
          </cell>
        </row>
        <row r="392">
          <cell r="A392" t="str">
            <v>Tata Power-Non Operating Income As % of PBT</v>
          </cell>
        </row>
        <row r="393">
          <cell r="B393" t="str">
            <v>F2005</v>
          </cell>
          <cell r="C393" t="str">
            <v>F2006E</v>
          </cell>
          <cell r="D393" t="str">
            <v>F2007E</v>
          </cell>
          <cell r="E393" t="str">
            <v>F2008E</v>
          </cell>
          <cell r="F393" t="str">
            <v>F2009E</v>
          </cell>
        </row>
        <row r="394">
          <cell r="A394" t="str">
            <v>Non Op. Income (NOI)</v>
          </cell>
          <cell r="B394" t="e">
            <v>#REF!</v>
          </cell>
          <cell r="C394" t="e">
            <v>#REF!</v>
          </cell>
          <cell r="D394" t="e">
            <v>#REF!</v>
          </cell>
          <cell r="E394" t="e">
            <v>#REF!</v>
          </cell>
          <cell r="F394" t="e">
            <v>#REF!</v>
          </cell>
        </row>
        <row r="395">
          <cell r="A395" t="str">
            <v>PBT (Stand-alone)</v>
          </cell>
          <cell r="B395" t="e">
            <v>#REF!</v>
          </cell>
          <cell r="C395" t="e">
            <v>#REF!</v>
          </cell>
          <cell r="D395" t="e">
            <v>#REF!</v>
          </cell>
          <cell r="E395">
            <v>3032.8610666666668</v>
          </cell>
          <cell r="F395">
            <v>4020.6</v>
          </cell>
        </row>
        <row r="396">
          <cell r="A396" t="str">
            <v>NOI as % of PBT</v>
          </cell>
          <cell r="B396" t="e">
            <v>#REF!</v>
          </cell>
          <cell r="C396" t="e">
            <v>#REF!</v>
          </cell>
          <cell r="D396" t="e">
            <v>#REF!</v>
          </cell>
          <cell r="E396" t="e">
            <v>#REF!</v>
          </cell>
          <cell r="F396" t="e">
            <v>#REF!</v>
          </cell>
        </row>
        <row r="399">
          <cell r="B399" t="str">
            <v>F2005</v>
          </cell>
          <cell r="C399" t="str">
            <v>F2006E</v>
          </cell>
          <cell r="D399" t="str">
            <v>F2007E</v>
          </cell>
          <cell r="E399" t="str">
            <v>F2008E</v>
          </cell>
          <cell r="F399" t="str">
            <v>F2009E</v>
          </cell>
        </row>
        <row r="400">
          <cell r="A400" t="str">
            <v>Fin Assets (% of Cap. Employed) - LHS</v>
          </cell>
          <cell r="B400" t="e">
            <v>#REF!</v>
          </cell>
          <cell r="C400" t="e">
            <v>#REF!</v>
          </cell>
          <cell r="D400" t="e">
            <v>#REF!</v>
          </cell>
          <cell r="E400" t="e">
            <v>#REF!</v>
          </cell>
          <cell r="F400" t="e">
            <v>#REF!</v>
          </cell>
        </row>
        <row r="401">
          <cell r="A401" t="str">
            <v>Non-Operating Income (% of PBT) - RHS</v>
          </cell>
          <cell r="B401" t="e">
            <v>#REF!</v>
          </cell>
          <cell r="C401" t="e">
            <v>#REF!</v>
          </cell>
          <cell r="D401" t="e">
            <v>#REF!</v>
          </cell>
          <cell r="E401" t="e">
            <v>#REF!</v>
          </cell>
          <cell r="F401" t="e">
            <v>#REF!</v>
          </cell>
        </row>
        <row r="403">
          <cell r="A403" t="str">
            <v>Fin Assets</v>
          </cell>
          <cell r="B403" t="e">
            <v>#REF!</v>
          </cell>
          <cell r="C403" t="e">
            <v>#REF!</v>
          </cell>
          <cell r="D403" t="e">
            <v>#REF!</v>
          </cell>
          <cell r="E403" t="e">
            <v>#REF!</v>
          </cell>
          <cell r="F403" t="e">
            <v>#REF!</v>
          </cell>
        </row>
        <row r="404">
          <cell r="A404" t="str">
            <v>Group Co.</v>
          </cell>
          <cell r="B404" t="e">
            <v>#REF!</v>
          </cell>
          <cell r="C404" t="e">
            <v>#REF!</v>
          </cell>
          <cell r="D404" t="e">
            <v>#REF!</v>
          </cell>
          <cell r="E404" t="e">
            <v>#REF!</v>
          </cell>
          <cell r="F404" t="e">
            <v>#REF!</v>
          </cell>
        </row>
        <row r="405">
          <cell r="A405" t="str">
            <v>Telecom</v>
          </cell>
          <cell r="B405" t="e">
            <v>#REF!</v>
          </cell>
          <cell r="C405" t="e">
            <v>#REF!</v>
          </cell>
          <cell r="D405" t="e">
            <v>#REF!</v>
          </cell>
          <cell r="E405" t="e">
            <v>#REF!</v>
          </cell>
          <cell r="F405" t="e">
            <v>#REF!</v>
          </cell>
        </row>
        <row r="406">
          <cell r="B406" t="e">
            <v>#REF!</v>
          </cell>
          <cell r="C406" t="e">
            <v>#REF!</v>
          </cell>
          <cell r="D406" t="e">
            <v>#REF!</v>
          </cell>
          <cell r="E406" t="e">
            <v>#REF!</v>
          </cell>
          <cell r="F406" t="e">
            <v>#REF!</v>
          </cell>
        </row>
        <row r="407">
          <cell r="B407" t="e">
            <v>#REF!</v>
          </cell>
          <cell r="C407" t="e">
            <v>#REF!</v>
          </cell>
          <cell r="D407" t="e">
            <v>#REF!</v>
          </cell>
          <cell r="E407" t="e">
            <v>#REF!</v>
          </cell>
          <cell r="F407" t="e">
            <v>#REF!</v>
          </cell>
        </row>
        <row r="408">
          <cell r="B408" t="e">
            <v>#REF!</v>
          </cell>
          <cell r="C408" t="e">
            <v>#REF!</v>
          </cell>
          <cell r="D408" t="e">
            <v>#REF!</v>
          </cell>
          <cell r="E408" t="e">
            <v>#REF!</v>
          </cell>
          <cell r="F408" t="e">
            <v>#REF!</v>
          </cell>
        </row>
        <row r="410">
          <cell r="A410" t="str">
            <v>Tata Power- Net Earnings Estimates:MS vs. Consensus</v>
          </cell>
        </row>
        <row r="411">
          <cell r="A411" t="str">
            <v>Rs mn (Y/E March 31)</v>
          </cell>
          <cell r="B411" t="str">
            <v>F2006E</v>
          </cell>
          <cell r="C411" t="str">
            <v>F2007E</v>
          </cell>
          <cell r="D411" t="str">
            <v>F2008E</v>
          </cell>
          <cell r="E411" t="str">
            <v>F2009E</v>
          </cell>
        </row>
        <row r="412">
          <cell r="A412" t="str">
            <v xml:space="preserve">Consensus </v>
          </cell>
          <cell r="B412">
            <v>4541.2079999999996</v>
          </cell>
          <cell r="C412">
            <v>4693.1360000000004</v>
          </cell>
          <cell r="D412">
            <v>4978.1019999999999</v>
          </cell>
        </row>
        <row r="413">
          <cell r="A413" t="str">
            <v xml:space="preserve">MS </v>
          </cell>
          <cell r="B413" t="e">
            <v>#REF!</v>
          </cell>
          <cell r="C413" t="e">
            <v>#REF!</v>
          </cell>
          <cell r="D413" t="e">
            <v>#REF!</v>
          </cell>
          <cell r="E413" t="e">
            <v>#REF!</v>
          </cell>
        </row>
        <row r="414">
          <cell r="A414" t="str">
            <v>MS vs. Consensus</v>
          </cell>
          <cell r="B414" t="e">
            <v>#REF!</v>
          </cell>
          <cell r="C414" t="e">
            <v>#REF!</v>
          </cell>
          <cell r="D414" t="e">
            <v>#REF!</v>
          </cell>
        </row>
        <row r="415">
          <cell r="A415" t="str">
            <v>Source: IBES, Morgan Stanley Research estimates</v>
          </cell>
        </row>
        <row r="418">
          <cell r="A418" t="str">
            <v xml:space="preserve">Tata Power-Delhi Distribution AT&amp;C Loss Levels </v>
          </cell>
        </row>
        <row r="419">
          <cell r="A419" t="str">
            <v>In %</v>
          </cell>
          <cell r="B419">
            <v>37408</v>
          </cell>
          <cell r="C419" t="str">
            <v>F03</v>
          </cell>
          <cell r="D419" t="str">
            <v>F04</v>
          </cell>
          <cell r="E419" t="str">
            <v>F05</v>
          </cell>
          <cell r="F419" t="str">
            <v>F06</v>
          </cell>
          <cell r="G419" t="str">
            <v>F07e</v>
          </cell>
          <cell r="H419" t="str">
            <v>F08e</v>
          </cell>
          <cell r="I419" t="str">
            <v>F09e</v>
          </cell>
        </row>
        <row r="420">
          <cell r="A420" t="str">
            <v>BYPL *</v>
          </cell>
          <cell r="B420">
            <v>0.57199999999999995</v>
          </cell>
          <cell r="C420">
            <v>0.61890000000000001</v>
          </cell>
          <cell r="D420">
            <v>0.54290000000000005</v>
          </cell>
          <cell r="E420">
            <v>0.50119999999999998</v>
          </cell>
          <cell r="F420">
            <v>0.43890000000000001</v>
          </cell>
          <cell r="G420">
            <v>0.38619999999999999</v>
          </cell>
          <cell r="H420">
            <v>0.3412</v>
          </cell>
          <cell r="I420">
            <v>0.3</v>
          </cell>
        </row>
        <row r="421">
          <cell r="A421" t="str">
            <v>BRPL*</v>
          </cell>
          <cell r="B421">
            <v>0.48099999999999998</v>
          </cell>
          <cell r="C421">
            <v>0.47399999999999998</v>
          </cell>
          <cell r="D421">
            <v>0.4506</v>
          </cell>
          <cell r="E421">
            <v>0.40639999999999998</v>
          </cell>
          <cell r="F421">
            <v>0.3553</v>
          </cell>
          <cell r="G421">
            <v>0.28639999999999999</v>
          </cell>
          <cell r="H421">
            <v>0.2414</v>
          </cell>
          <cell r="I421">
            <v>0.2064</v>
          </cell>
        </row>
        <row r="422">
          <cell r="A422" t="str">
            <v>NDPL#</v>
          </cell>
          <cell r="B422">
            <v>0.48099999999999998</v>
          </cell>
          <cell r="C422">
            <v>0.47789999999999999</v>
          </cell>
          <cell r="D422">
            <v>0.4486</v>
          </cell>
          <cell r="E422">
            <v>0.33789999999999998</v>
          </cell>
          <cell r="F422">
            <v>0.26519999999999999</v>
          </cell>
          <cell r="G422">
            <v>0.23730000000000001</v>
          </cell>
          <cell r="H422">
            <v>0.27510000000000001</v>
          </cell>
          <cell r="I422">
            <v>0.2059</v>
          </cell>
        </row>
        <row r="423">
          <cell r="A423" t="str">
            <v>*RELE Controlled, #TTPW Controlled</v>
          </cell>
        </row>
        <row r="424">
          <cell r="A424" t="str">
            <v>Source,Economic Survey 2006</v>
          </cell>
        </row>
        <row r="426">
          <cell r="A426" t="str">
            <v>AT&amp;C Loss Levels Since the Beginning of Privitisation Process (In %)</v>
          </cell>
        </row>
        <row r="440">
          <cell r="A440" t="str">
            <v>Source,Economic Survey 2006</v>
          </cell>
        </row>
        <row r="450">
          <cell r="A450" t="str">
            <v>YoY</v>
          </cell>
          <cell r="B450" t="str">
            <v>F2006</v>
          </cell>
          <cell r="C450" t="str">
            <v>F2007</v>
          </cell>
          <cell r="D450" t="str">
            <v>F2008</v>
          </cell>
          <cell r="E450" t="str">
            <v>F2009</v>
          </cell>
        </row>
        <row r="451">
          <cell r="A451" t="str">
            <v>Tariff / unit</v>
          </cell>
          <cell r="B451" t="e">
            <v>#REF!</v>
          </cell>
          <cell r="C451" t="e">
            <v>#REF!</v>
          </cell>
          <cell r="D451" t="e">
            <v>#REF!</v>
          </cell>
          <cell r="E451" t="e">
            <v>#REF!</v>
          </cell>
        </row>
        <row r="452">
          <cell r="A452" t="str">
            <v>Power Purchase / unit</v>
          </cell>
          <cell r="B452" t="e">
            <v>#REF!</v>
          </cell>
          <cell r="C452" t="e">
            <v>#REF!</v>
          </cell>
          <cell r="D452">
            <v>0</v>
          </cell>
          <cell r="E452">
            <v>0</v>
          </cell>
        </row>
        <row r="453">
          <cell r="A453" t="str">
            <v>Fuel Cost / unit</v>
          </cell>
          <cell r="B453" t="e">
            <v>#REF!</v>
          </cell>
          <cell r="C453" t="e">
            <v>#REF!</v>
          </cell>
          <cell r="D453" t="e">
            <v>#REF!</v>
          </cell>
          <cell r="E453" t="e">
            <v>#REF!</v>
          </cell>
        </row>
        <row r="457">
          <cell r="H457" t="str">
            <v>Dividend Payout</v>
          </cell>
        </row>
        <row r="458">
          <cell r="A458" t="str">
            <v xml:space="preserve">Dividend Payout </v>
          </cell>
        </row>
        <row r="459">
          <cell r="B459" t="str">
            <v>F2004</v>
          </cell>
          <cell r="C459" t="str">
            <v>F2005</v>
          </cell>
          <cell r="D459" t="str">
            <v>F2006E</v>
          </cell>
          <cell r="E459" t="str">
            <v>F2007E</v>
          </cell>
          <cell r="F459" t="str">
            <v>F2008E</v>
          </cell>
          <cell r="G459" t="str">
            <v>F2009E</v>
          </cell>
        </row>
        <row r="460">
          <cell r="A460" t="str">
            <v>DPS (Rs) - LHS</v>
          </cell>
          <cell r="B460" t="e">
            <v>#REF!</v>
          </cell>
          <cell r="C460" t="e">
            <v>#REF!</v>
          </cell>
          <cell r="D460" t="e">
            <v>#REF!</v>
          </cell>
          <cell r="E460" t="e">
            <v>#REF!</v>
          </cell>
          <cell r="F460" t="e">
            <v>#REF!</v>
          </cell>
          <cell r="G460" t="e">
            <v>#REF!</v>
          </cell>
        </row>
        <row r="461">
          <cell r="A461" t="str">
            <v>Dividend payout (%) - RHS</v>
          </cell>
          <cell r="B461" t="e">
            <v>#REF!</v>
          </cell>
          <cell r="C461" t="e">
            <v>#REF!</v>
          </cell>
          <cell r="D461" t="e">
            <v>#REF!</v>
          </cell>
          <cell r="E461" t="e">
            <v>#REF!</v>
          </cell>
          <cell r="F461" t="e">
            <v>#REF!</v>
          </cell>
          <cell r="G461" t="e">
            <v>#REF!</v>
          </cell>
        </row>
        <row r="478">
          <cell r="A478" t="str">
            <v xml:space="preserve">Capex BreakDown  </v>
          </cell>
        </row>
        <row r="479">
          <cell r="C479" t="str">
            <v>F2006E</v>
          </cell>
          <cell r="D479" t="str">
            <v>F2007E</v>
          </cell>
          <cell r="E479" t="str">
            <v>F2008E</v>
          </cell>
          <cell r="F479" t="str">
            <v>F2009E</v>
          </cell>
        </row>
        <row r="480">
          <cell r="A480" t="str">
            <v xml:space="preserve">Maintenance </v>
          </cell>
          <cell r="C480" t="e">
            <v>#REF!</v>
          </cell>
          <cell r="D480" t="e">
            <v>#REF!</v>
          </cell>
          <cell r="E480" t="e">
            <v>#REF!</v>
          </cell>
          <cell r="F480" t="e">
            <v>#REF!</v>
          </cell>
        </row>
        <row r="481">
          <cell r="A481" t="str">
            <v>Capacity Addition</v>
          </cell>
          <cell r="C481" t="e">
            <v>#REF!</v>
          </cell>
          <cell r="D481" t="e">
            <v>#REF!</v>
          </cell>
          <cell r="E481" t="e">
            <v>#REF!</v>
          </cell>
          <cell r="F481" t="e">
            <v>#REF!</v>
          </cell>
        </row>
        <row r="483">
          <cell r="D483" t="e">
            <v>#REF!</v>
          </cell>
        </row>
        <row r="484">
          <cell r="A484" t="str">
            <v>Conversion Rs/$</v>
          </cell>
          <cell r="B484">
            <v>46.470588235294123</v>
          </cell>
        </row>
        <row r="498">
          <cell r="A498" t="str">
            <v>Rs Million</v>
          </cell>
          <cell r="B498" t="str">
            <v>F2005</v>
          </cell>
          <cell r="C498" t="str">
            <v>F2006E</v>
          </cell>
          <cell r="D498" t="str">
            <v>F2007E</v>
          </cell>
          <cell r="E498" t="str">
            <v>F2008E</v>
          </cell>
          <cell r="F498" t="str">
            <v>F2009E</v>
          </cell>
        </row>
        <row r="499">
          <cell r="A499" t="str">
            <v>Profits from Subsidiaries</v>
          </cell>
          <cell r="B499" t="e">
            <v>#REF!</v>
          </cell>
          <cell r="C499" t="e">
            <v>#REF!</v>
          </cell>
          <cell r="D499" t="e">
            <v>#REF!</v>
          </cell>
          <cell r="E499" t="e">
            <v>#REF!</v>
          </cell>
          <cell r="F499" t="e">
            <v>#REF!</v>
          </cell>
        </row>
        <row r="500">
          <cell r="A500" t="str">
            <v>Consolidated Net Profit</v>
          </cell>
          <cell r="B500" t="e">
            <v>#REF!</v>
          </cell>
          <cell r="C500" t="e">
            <v>#REF!</v>
          </cell>
          <cell r="D500" t="e">
            <v>#REF!</v>
          </cell>
          <cell r="E500" t="e">
            <v>#REF!</v>
          </cell>
          <cell r="F500" t="e">
            <v>#REF!</v>
          </cell>
        </row>
        <row r="501">
          <cell r="A501" t="str">
            <v>Share of Subsidiaries</v>
          </cell>
          <cell r="B501" t="e">
            <v>#REF!</v>
          </cell>
          <cell r="C501" t="e">
            <v>#REF!</v>
          </cell>
          <cell r="D501" t="e">
            <v>#REF!</v>
          </cell>
          <cell r="E501" t="e">
            <v>#REF!</v>
          </cell>
          <cell r="F501" t="e">
            <v>#REF!</v>
          </cell>
        </row>
        <row r="503">
          <cell r="A503" t="str">
            <v>Investments in Group Co as  a % of Total Assets</v>
          </cell>
          <cell r="B503" t="e">
            <v>#REF!</v>
          </cell>
          <cell r="C503" t="e">
            <v>#REF!</v>
          </cell>
          <cell r="D503" t="e">
            <v>#REF!</v>
          </cell>
          <cell r="E503" t="e">
            <v>#REF!</v>
          </cell>
          <cell r="F503" t="e">
            <v>#REF!</v>
          </cell>
        </row>
        <row r="505">
          <cell r="A505" t="str">
            <v>*Subsidiaries included are NDPL (49%), Powerlinks (51%)</v>
          </cell>
        </row>
        <row r="527">
          <cell r="A527" t="str">
            <v>Average Billing Rate (Rs/kWh)</v>
          </cell>
        </row>
        <row r="528">
          <cell r="A528" t="str">
            <v>MSEB</v>
          </cell>
          <cell r="B528">
            <v>2.2999999999999998</v>
          </cell>
        </row>
        <row r="529">
          <cell r="A529" t="str">
            <v>BEST</v>
          </cell>
          <cell r="B529">
            <v>2.56</v>
          </cell>
        </row>
        <row r="530">
          <cell r="A530" t="str">
            <v>RELE</v>
          </cell>
          <cell r="B530">
            <v>2.66</v>
          </cell>
        </row>
        <row r="531">
          <cell r="A531" t="str">
            <v>Residential</v>
          </cell>
          <cell r="B531">
            <v>2.98</v>
          </cell>
        </row>
        <row r="532">
          <cell r="A532" t="str">
            <v>Railways</v>
          </cell>
          <cell r="B532">
            <v>3.43</v>
          </cell>
        </row>
        <row r="533">
          <cell r="A533" t="str">
            <v>HT Industry</v>
          </cell>
          <cell r="B533">
            <v>3.97</v>
          </cell>
        </row>
        <row r="534">
          <cell r="A534" t="str">
            <v xml:space="preserve">LT I </v>
          </cell>
          <cell r="B534">
            <v>4</v>
          </cell>
        </row>
        <row r="535">
          <cell r="A535" t="str">
            <v>LT II</v>
          </cell>
          <cell r="B535">
            <v>4.62</v>
          </cell>
        </row>
        <row r="537">
          <cell r="A537" t="str">
            <v>Source:Tariff Order ,Maharashtra Electricity Regulatory Commission</v>
          </cell>
        </row>
        <row r="538">
          <cell r="A538" t="str">
            <v>LT = Low Tension and HT = High Tension</v>
          </cell>
        </row>
        <row r="543">
          <cell r="A543" t="str">
            <v>commercial and industrial consumers having Contract</v>
          </cell>
        </row>
        <row r="544">
          <cell r="A544" t="str">
            <v>Demand less than 100 kVA are LT1  Contract</v>
          </cell>
        </row>
        <row r="545">
          <cell r="A545" t="str">
            <v>Demand more than 100 kVA and less than 1000 kVA</v>
          </cell>
        </row>
        <row r="547">
          <cell r="A547" t="str">
            <v>F1997</v>
          </cell>
          <cell r="B547">
            <v>8.3000000000000007</v>
          </cell>
        </row>
        <row r="548">
          <cell r="A548" t="str">
            <v>F1998</v>
          </cell>
          <cell r="B548">
            <v>11.6</v>
          </cell>
        </row>
        <row r="549">
          <cell r="A549" t="str">
            <v>F1999</v>
          </cell>
          <cell r="B549">
            <v>12</v>
          </cell>
        </row>
        <row r="550">
          <cell r="A550" t="str">
            <v>F2000</v>
          </cell>
          <cell r="B550">
            <v>13.1</v>
          </cell>
        </row>
        <row r="551">
          <cell r="A551" t="str">
            <v>F2001</v>
          </cell>
          <cell r="B551">
            <v>14.3</v>
          </cell>
        </row>
        <row r="552">
          <cell r="A552" t="str">
            <v>F2002</v>
          </cell>
          <cell r="B552">
            <v>14.8</v>
          </cell>
        </row>
        <row r="553">
          <cell r="A553" t="str">
            <v>F2003</v>
          </cell>
          <cell r="B553">
            <v>15.5</v>
          </cell>
        </row>
        <row r="554">
          <cell r="A554" t="str">
            <v>F2004</v>
          </cell>
          <cell r="B554">
            <v>13.5</v>
          </cell>
        </row>
        <row r="555">
          <cell r="A555" t="str">
            <v>F2005</v>
          </cell>
          <cell r="B555">
            <v>14.1</v>
          </cell>
        </row>
        <row r="566">
          <cell r="A566" t="str">
            <v>Investment in Telecom Companies</v>
          </cell>
        </row>
        <row r="567">
          <cell r="A567" t="str">
            <v>Name</v>
          </cell>
          <cell r="B567" t="str">
            <v>Stake Held</v>
          </cell>
          <cell r="C567" t="str">
            <v>Book Value (Rs Mn)</v>
          </cell>
        </row>
        <row r="568">
          <cell r="A568" t="str">
            <v xml:space="preserve">Tata Teleservices </v>
          </cell>
          <cell r="B568">
            <v>0.11586503948312993</v>
          </cell>
          <cell r="C568">
            <v>6840</v>
          </cell>
        </row>
        <row r="569">
          <cell r="A569" t="str">
            <v>TTSL (Maharashtra)</v>
          </cell>
          <cell r="B569">
            <v>0.16079680000000002</v>
          </cell>
          <cell r="C569" t="e">
            <v>#REF!</v>
          </cell>
          <cell r="E569">
            <v>5.4496800000000012E-2</v>
          </cell>
        </row>
        <row r="570">
          <cell r="A570" t="str">
            <v>Panatone Finvest</v>
          </cell>
          <cell r="B570">
            <v>0.4</v>
          </cell>
          <cell r="C570">
            <v>5000</v>
          </cell>
        </row>
        <row r="571">
          <cell r="A571" t="str">
            <v>VSNL</v>
          </cell>
          <cell r="B571">
            <v>0.17798105263157896</v>
          </cell>
          <cell r="C571">
            <v>1215.7950639999999</v>
          </cell>
          <cell r="E571">
            <v>5.5510940416367546E-2</v>
          </cell>
        </row>
        <row r="573">
          <cell r="A573" t="str">
            <v>Total Shares O/s VSNL</v>
          </cell>
        </row>
        <row r="576">
          <cell r="A576" t="str">
            <v>TTPW - Intrinsic  Valuations Residual In come Model</v>
          </cell>
          <cell r="I576">
            <v>65.289999999999992</v>
          </cell>
        </row>
        <row r="577">
          <cell r="A577" t="str">
            <v>Assumptions</v>
          </cell>
          <cell r="B577" t="str">
            <v>Period 1</v>
          </cell>
          <cell r="C577" t="str">
            <v>Period 2</v>
          </cell>
        </row>
        <row r="578">
          <cell r="A578" t="str">
            <v>Time Period</v>
          </cell>
          <cell r="B578" t="str">
            <v>F2010-15</v>
          </cell>
          <cell r="C578" t="str">
            <v>Perpetuity</v>
          </cell>
        </row>
        <row r="579">
          <cell r="A579" t="str">
            <v>Growth Rate (g)</v>
          </cell>
          <cell r="B579">
            <v>0</v>
          </cell>
          <cell r="C579">
            <v>0</v>
          </cell>
        </row>
        <row r="580">
          <cell r="A580" t="str">
            <v>ROIC (r )</v>
          </cell>
          <cell r="B580">
            <v>0</v>
          </cell>
          <cell r="C580">
            <v>0</v>
          </cell>
        </row>
        <row r="581">
          <cell r="A581" t="str">
            <v>WACC (k)</v>
          </cell>
          <cell r="B581">
            <v>0</v>
          </cell>
        </row>
        <row r="582">
          <cell r="A582" t="str">
            <v>Time Period (yrs)</v>
          </cell>
          <cell r="B582">
            <v>0</v>
          </cell>
        </row>
        <row r="583">
          <cell r="A583" t="str">
            <v>NOPLAT (t+1) yr</v>
          </cell>
          <cell r="B583">
            <v>0</v>
          </cell>
        </row>
        <row r="584">
          <cell r="A584" t="str">
            <v xml:space="preserve">Terminal Value </v>
          </cell>
          <cell r="B584">
            <v>0</v>
          </cell>
        </row>
        <row r="585">
          <cell r="A585" t="str">
            <v>Terminal Value - Discounted</v>
          </cell>
          <cell r="B585" t="e">
            <v>#REF!</v>
          </cell>
        </row>
        <row r="586">
          <cell r="A586" t="str">
            <v>Explicit FCF - Discounted</v>
          </cell>
          <cell r="B586" t="e">
            <v>#REF!</v>
          </cell>
        </row>
        <row r="587">
          <cell r="A587" t="str">
            <v>Aggregate Value</v>
          </cell>
          <cell r="B587" t="e">
            <v>#REF!</v>
          </cell>
        </row>
        <row r="588">
          <cell r="A588" t="str">
            <v>Less: Estimated Debt for Mumbai Biz. (F2006)</v>
          </cell>
          <cell r="B588" t="e">
            <v>#REF!</v>
          </cell>
        </row>
        <row r="589">
          <cell r="A589" t="str">
            <v xml:space="preserve">Net Equity Value </v>
          </cell>
          <cell r="B589" t="e">
            <v>#REF!</v>
          </cell>
        </row>
        <row r="590">
          <cell r="A590" t="str">
            <v>Shares o/s (million)</v>
          </cell>
          <cell r="B590" t="e">
            <v>#REF!</v>
          </cell>
        </row>
        <row r="591">
          <cell r="A591" t="str">
            <v>DCF Value / Share (Rs)</v>
          </cell>
          <cell r="B591" t="e">
            <v>#REF!</v>
          </cell>
        </row>
        <row r="594">
          <cell r="A594" t="str">
            <v>Cost of Capital calculation</v>
          </cell>
        </row>
        <row r="595">
          <cell r="A595" t="str">
            <v>Cost of Debt (I)</v>
          </cell>
          <cell r="B595">
            <v>0</v>
          </cell>
        </row>
        <row r="596">
          <cell r="A596" t="str">
            <v>After tax cost of debt (Rd =(1-tx)x I)</v>
          </cell>
          <cell r="B596">
            <v>0</v>
          </cell>
        </row>
        <row r="597">
          <cell r="A597" t="str">
            <v>Tax</v>
          </cell>
          <cell r="B597">
            <v>0</v>
          </cell>
        </row>
        <row r="598">
          <cell r="A598" t="str">
            <v>Risk free rate (Rf)</v>
          </cell>
          <cell r="B598">
            <v>0</v>
          </cell>
        </row>
        <row r="599">
          <cell r="A599" t="str">
            <v>Beta (b)</v>
          </cell>
          <cell r="B599">
            <v>0</v>
          </cell>
        </row>
        <row r="600">
          <cell r="A600" t="str">
            <v>Risk premium (Rm- Rf)</v>
          </cell>
          <cell r="B600">
            <v>0</v>
          </cell>
        </row>
        <row r="601">
          <cell r="A601" t="str">
            <v xml:space="preserve">Cost of equity (Re= Rf +bxRm) </v>
          </cell>
          <cell r="B601">
            <v>0</v>
          </cell>
        </row>
        <row r="602">
          <cell r="A602" t="str">
            <v xml:space="preserve">WACC - Book Value </v>
          </cell>
          <cell r="B602">
            <v>0</v>
          </cell>
        </row>
        <row r="606">
          <cell r="A606" t="str">
            <v>Valuing Tata Teleservices</v>
          </cell>
        </row>
        <row r="607">
          <cell r="A607" t="str">
            <v>Discount to Bharti (%)</v>
          </cell>
        </row>
        <row r="608">
          <cell r="A608" t="str">
            <v>TTSL EV (US$million)</v>
          </cell>
        </row>
        <row r="609">
          <cell r="A609" t="str">
            <v>based on per</v>
          </cell>
        </row>
        <row r="610">
          <cell r="A610" t="str">
            <v xml:space="preserve">Subscribers </v>
          </cell>
        </row>
        <row r="611">
          <cell r="A611" t="str">
            <v xml:space="preserve">Capacity </v>
          </cell>
        </row>
        <row r="612">
          <cell r="A612" t="str">
            <v xml:space="preserve">Avg. </v>
          </cell>
        </row>
        <row r="613">
          <cell r="A613" t="str">
            <v>TTSL Equity value</v>
          </cell>
        </row>
        <row r="614">
          <cell r="A614" t="str">
            <v>(US$million) based on per</v>
          </cell>
        </row>
        <row r="615">
          <cell r="A615" t="str">
            <v xml:space="preserve">Subscribers </v>
          </cell>
        </row>
        <row r="616">
          <cell r="A616" t="str">
            <v xml:space="preserve">Capacity </v>
          </cell>
        </row>
        <row r="617">
          <cell r="A617" t="str">
            <v xml:space="preserve">Avg. </v>
          </cell>
        </row>
        <row r="621">
          <cell r="A621" t="str">
            <v>Ultra Mega Power Project</v>
          </cell>
        </row>
        <row r="622">
          <cell r="A622" t="str">
            <v>Capacity (MW)</v>
          </cell>
          <cell r="B622">
            <v>4000</v>
          </cell>
        </row>
        <row r="623">
          <cell r="A623" t="str">
            <v>Cost per MW (Rs million)</v>
          </cell>
          <cell r="B623">
            <v>40</v>
          </cell>
        </row>
        <row r="624">
          <cell r="A624" t="str">
            <v>Cost of Project (Rs Million)</v>
          </cell>
          <cell r="B624">
            <v>160000</v>
          </cell>
        </row>
        <row r="625">
          <cell r="A625" t="str">
            <v>Equity Component (Rs Million)</v>
          </cell>
          <cell r="B625">
            <v>48000</v>
          </cell>
        </row>
        <row r="626">
          <cell r="A626" t="str">
            <v>Yrs to Commissioning (financial year)</v>
          </cell>
          <cell r="B626">
            <v>5.7424657534246579</v>
          </cell>
        </row>
        <row r="627">
          <cell r="A627" t="str">
            <v>Assumed Perpetual RoE</v>
          </cell>
          <cell r="B627">
            <v>0.2</v>
          </cell>
        </row>
        <row r="628">
          <cell r="A628" t="str">
            <v>Cost of Equity</v>
          </cell>
          <cell r="B628">
            <v>0</v>
          </cell>
        </row>
        <row r="629">
          <cell r="A629" t="str">
            <v>Terminal Growth</v>
          </cell>
          <cell r="B629">
            <v>0</v>
          </cell>
        </row>
        <row r="630">
          <cell r="A630" t="str">
            <v>Derived P/B on RI model</v>
          </cell>
          <cell r="B630" t="e">
            <v>#DIV/0!</v>
          </cell>
        </row>
        <row r="631">
          <cell r="A631" t="str">
            <v>Present Value of Investment (Rs/share)</v>
          </cell>
          <cell r="B631" t="e">
            <v>#DIV/0!</v>
          </cell>
        </row>
        <row r="632">
          <cell r="A632" t="str">
            <v>Implied Value (Rs/share)</v>
          </cell>
          <cell r="B632" t="e">
            <v>#DIV/0!</v>
          </cell>
        </row>
        <row r="633">
          <cell r="A633" t="str">
            <v>Book Value - based on RI  (Rs Million)</v>
          </cell>
          <cell r="B633" t="e">
            <v>#DIV/0!</v>
          </cell>
        </row>
        <row r="634">
          <cell r="A634" t="str">
            <v>TTPW's equity stake in the JV</v>
          </cell>
          <cell r="B634">
            <v>0.74</v>
          </cell>
        </row>
        <row r="635">
          <cell r="A635" t="str">
            <v xml:space="preserve">Discount Factor </v>
          </cell>
          <cell r="B635">
            <v>0</v>
          </cell>
        </row>
        <row r="636">
          <cell r="A636" t="str">
            <v>Value attributable to TTPW shareholders (Rs/share)</v>
          </cell>
          <cell r="B636" t="e">
            <v>#DIV/0!</v>
          </cell>
        </row>
        <row r="639">
          <cell r="A639" t="str">
            <v>Tata Power - Capex Announcement</v>
          </cell>
        </row>
        <row r="640">
          <cell r="A640" t="str">
            <v>Location</v>
          </cell>
          <cell r="B640" t="str">
            <v>Fuel</v>
          </cell>
          <cell r="C640" t="str">
            <v>MW</v>
          </cell>
          <cell r="D640" t="str">
            <v>Expected</v>
          </cell>
          <cell r="E640" t="str">
            <v>Cost (Rs Bn)</v>
          </cell>
        </row>
        <row r="641">
          <cell r="A641" t="str">
            <v>Maithon (74% owned)</v>
          </cell>
          <cell r="B641" t="str">
            <v>Coal</v>
          </cell>
          <cell r="C641">
            <v>1000</v>
          </cell>
          <cell r="D641">
            <v>40468</v>
          </cell>
          <cell r="E641">
            <v>40</v>
          </cell>
        </row>
        <row r="642">
          <cell r="A642" t="str">
            <v xml:space="preserve">Trombay Unit I </v>
          </cell>
          <cell r="B642" t="str">
            <v xml:space="preserve">Coal </v>
          </cell>
          <cell r="C642">
            <v>250</v>
          </cell>
          <cell r="D642" t="str">
            <v>F2009</v>
          </cell>
          <cell r="E642">
            <v>10</v>
          </cell>
        </row>
        <row r="643">
          <cell r="A643" t="str">
            <v xml:space="preserve">Trombay Unit II </v>
          </cell>
          <cell r="B643" t="str">
            <v>Coal</v>
          </cell>
          <cell r="C643">
            <v>250</v>
          </cell>
          <cell r="D643" t="str">
            <v>F2010</v>
          </cell>
          <cell r="E643">
            <v>10</v>
          </cell>
        </row>
        <row r="644">
          <cell r="A644" t="str">
            <v>Maharshtra</v>
          </cell>
          <cell r="B644" t="str">
            <v>Coal</v>
          </cell>
          <cell r="C644">
            <v>1500</v>
          </cell>
          <cell r="E644">
            <v>60</v>
          </cell>
        </row>
        <row r="645">
          <cell r="A645" t="str">
            <v>Chola - UP</v>
          </cell>
          <cell r="B645" t="str">
            <v>Coal</v>
          </cell>
          <cell r="C645">
            <v>1000</v>
          </cell>
          <cell r="E645">
            <v>40</v>
          </cell>
        </row>
        <row r="646">
          <cell r="A646" t="str">
            <v>Mumbai (DG)</v>
          </cell>
          <cell r="B646" t="str">
            <v>Diesel</v>
          </cell>
          <cell r="C646">
            <v>100</v>
          </cell>
          <cell r="D646" t="str">
            <v>F2007</v>
          </cell>
        </row>
        <row r="647">
          <cell r="A647" t="str">
            <v>Jamshedpur</v>
          </cell>
          <cell r="B647" t="str">
            <v>Coal</v>
          </cell>
          <cell r="C647">
            <v>120</v>
          </cell>
          <cell r="D647" t="str">
            <v>F2009</v>
          </cell>
          <cell r="E647">
            <v>4.8</v>
          </cell>
        </row>
        <row r="648">
          <cell r="A648" t="str">
            <v>Khandke</v>
          </cell>
          <cell r="B648" t="str">
            <v>Wind</v>
          </cell>
          <cell r="C648">
            <v>50.4</v>
          </cell>
          <cell r="D648" t="str">
            <v>F2007</v>
          </cell>
          <cell r="E648">
            <v>2.52</v>
          </cell>
        </row>
        <row r="649">
          <cell r="A649" t="str">
            <v>South Africa (Partly Owned)</v>
          </cell>
          <cell r="B649" t="str">
            <v>Coal</v>
          </cell>
          <cell r="C649">
            <v>300</v>
          </cell>
          <cell r="E649">
            <v>12</v>
          </cell>
        </row>
        <row r="650">
          <cell r="A650" t="str">
            <v>Next 5 yrs</v>
          </cell>
          <cell r="C650">
            <v>4570.3999999999996</v>
          </cell>
          <cell r="E650">
            <v>179.32000000000002</v>
          </cell>
        </row>
        <row r="652">
          <cell r="A652" t="str">
            <v>In Addition</v>
          </cell>
        </row>
        <row r="653">
          <cell r="A653" t="str">
            <v>MoU Signed with Orissa</v>
          </cell>
          <cell r="C653">
            <v>1000</v>
          </cell>
          <cell r="E653">
            <v>43.48</v>
          </cell>
        </row>
      </sheetData>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Val'n summary"/>
      <sheetName val="Val Calcs"/>
      <sheetName val="D&amp;A"/>
      <sheetName val="R&amp;D"/>
      <sheetName val="_SUZL.BO"/>
      <sheetName val="QP_SUZL.BO"/>
      <sheetName val="EBIT"/>
      <sheetName val="Financials"/>
      <sheetName val="Sales-All"/>
      <sheetName val="Senstivity"/>
      <sheetName val="Consolidated"/>
      <sheetName val="Stand-alone"/>
      <sheetName val="Hansen"/>
      <sheetName val="REpower"/>
      <sheetName val="WTG"/>
      <sheetName val="Workings"/>
      <sheetName val="Qtrly"/>
      <sheetName val="Quarterly"/>
      <sheetName val="OrderBk"/>
      <sheetName val="Factsheet"/>
      <sheetName val="Prices"/>
      <sheetName val="Datastream"/>
      <sheetName val="X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Y/E March (Rs mn)</v>
          </cell>
          <cell r="B1">
            <v>2001</v>
          </cell>
          <cell r="C1">
            <v>2002</v>
          </cell>
          <cell r="D1">
            <v>2003</v>
          </cell>
          <cell r="E1">
            <v>2004</v>
          </cell>
          <cell r="F1">
            <v>2005</v>
          </cell>
          <cell r="G1">
            <v>2006</v>
          </cell>
          <cell r="H1">
            <v>2007</v>
          </cell>
          <cell r="I1">
            <v>2008</v>
          </cell>
          <cell r="J1">
            <v>2009</v>
          </cell>
          <cell r="K1">
            <v>2010</v>
          </cell>
          <cell r="L1">
            <v>2011</v>
          </cell>
          <cell r="M1">
            <v>2012</v>
          </cell>
          <cell r="N1">
            <v>2013</v>
          </cell>
          <cell r="O1">
            <v>2014</v>
          </cell>
          <cell r="P1">
            <v>2015</v>
          </cell>
          <cell r="S1" t="str">
            <v>FY07</v>
          </cell>
          <cell r="W1" t="str">
            <v>FY07</v>
          </cell>
          <cell r="AB1" t="str">
            <v>F9m08</v>
          </cell>
          <cell r="AH1" t="str">
            <v>FY08</v>
          </cell>
        </row>
        <row r="2">
          <cell r="A2" t="str">
            <v>Consolidated P&amp;L A/C</v>
          </cell>
          <cell r="S2" t="str">
            <v>Rs Mn</v>
          </cell>
          <cell r="V2">
            <v>39.75</v>
          </cell>
          <cell r="W2" t="str">
            <v>US$ mn</v>
          </cell>
          <cell r="AB2" t="str">
            <v>Rs Mn</v>
          </cell>
          <cell r="AH2" t="str">
            <v>Rs Mn</v>
          </cell>
        </row>
        <row r="3">
          <cell r="S3" t="str">
            <v>Wind</v>
          </cell>
          <cell r="T3" t="str">
            <v>Hansen</v>
          </cell>
          <cell r="U3" t="str">
            <v>Cons</v>
          </cell>
          <cell r="W3" t="str">
            <v>Wind</v>
          </cell>
          <cell r="X3" t="str">
            <v>Hansen</v>
          </cell>
          <cell r="Y3" t="str">
            <v>Cons</v>
          </cell>
          <cell r="AB3" t="str">
            <v>Wind</v>
          </cell>
          <cell r="AC3" t="str">
            <v>Hansen</v>
          </cell>
          <cell r="AD3" t="str">
            <v>Repower</v>
          </cell>
          <cell r="AE3" t="str">
            <v>Elim</v>
          </cell>
          <cell r="AF3" t="str">
            <v>Cons</v>
          </cell>
          <cell r="AH3" t="str">
            <v>Wind</v>
          </cell>
          <cell r="AI3" t="str">
            <v>Hansen</v>
          </cell>
          <cell r="AJ3" t="str">
            <v>REpower</v>
          </cell>
          <cell r="AK3" t="str">
            <v>Elim</v>
          </cell>
          <cell r="AL3" t="str">
            <v>Cons</v>
          </cell>
        </row>
        <row r="4">
          <cell r="A4" t="str">
            <v>REVENUE BUILD-UP</v>
          </cell>
        </row>
        <row r="5">
          <cell r="A5" t="str">
            <v>Suzlon</v>
          </cell>
          <cell r="H5">
            <v>61306.999999999985</v>
          </cell>
          <cell r="I5">
            <v>112639.05519261758</v>
          </cell>
          <cell r="J5">
            <v>159936.33627772491</v>
          </cell>
          <cell r="K5">
            <v>219985.30933381838</v>
          </cell>
          <cell r="L5">
            <v>277429.84286146663</v>
          </cell>
          <cell r="M5">
            <v>340462.98033032619</v>
          </cell>
          <cell r="N5">
            <v>431631.34424264799</v>
          </cell>
          <cell r="O5">
            <v>502978.18821274716</v>
          </cell>
          <cell r="P5">
            <v>567982.9615893591</v>
          </cell>
        </row>
        <row r="6">
          <cell r="A6" t="str">
            <v>Hansen</v>
          </cell>
          <cell r="H6">
            <v>18550.300000000017</v>
          </cell>
          <cell r="I6">
            <v>24048.099717000001</v>
          </cell>
          <cell r="J6">
            <v>38207.583000999999</v>
          </cell>
          <cell r="K6">
            <v>44318.789900000003</v>
          </cell>
          <cell r="L6">
            <v>57647.470238204492</v>
          </cell>
          <cell r="M6">
            <v>69119.196207665649</v>
          </cell>
          <cell r="N6">
            <v>73550.655295809498</v>
          </cell>
          <cell r="O6">
            <v>86080.929004772421</v>
          </cell>
          <cell r="P6">
            <v>100862.39639351216</v>
          </cell>
        </row>
        <row r="7">
          <cell r="A7" t="str">
            <v>Less: Hansen sales to Suzlon</v>
          </cell>
          <cell r="I7">
            <v>-1943.38577314908</v>
          </cell>
          <cell r="J7">
            <v>-5645.8723783000005</v>
          </cell>
          <cell r="K7">
            <v>-15993.34611875</v>
          </cell>
          <cell r="L7">
            <v>-26358.36092484041</v>
          </cell>
          <cell r="M7">
            <v>-35413.257511579563</v>
          </cell>
          <cell r="N7">
            <v>-38233.209291087638</v>
          </cell>
          <cell r="O7">
            <v>-45015.232873757857</v>
          </cell>
          <cell r="P7">
            <v>-52999.476215962066</v>
          </cell>
        </row>
        <row r="8">
          <cell r="J8">
            <v>3.5300748470917222E-2</v>
          </cell>
          <cell r="K8">
            <v>7.2701882535623208E-2</v>
          </cell>
          <cell r="L8">
            <v>9.5009104474756675E-2</v>
          </cell>
          <cell r="M8">
            <v>0.1040150017990816</v>
          </cell>
          <cell r="N8">
            <v>8.8578389408147967E-2</v>
          </cell>
          <cell r="O8">
            <v>8.9497385629608142E-2</v>
          </cell>
          <cell r="P8">
            <v>9.3311736090914088E-2</v>
          </cell>
        </row>
        <row r="9">
          <cell r="A9" t="str">
            <v>Other Revenues</v>
          </cell>
          <cell r="I9">
            <v>-2050.9448073824169</v>
          </cell>
        </row>
        <row r="10">
          <cell r="A10" t="str">
            <v>Net Revenue</v>
          </cell>
          <cell r="B10">
            <v>3875.37</v>
          </cell>
          <cell r="C10">
            <v>5249.0940000000001</v>
          </cell>
          <cell r="D10">
            <v>2617.36</v>
          </cell>
          <cell r="E10">
            <v>8574.99</v>
          </cell>
          <cell r="F10">
            <v>19424.82</v>
          </cell>
          <cell r="G10">
            <v>38410.300000000003</v>
          </cell>
          <cell r="H10">
            <v>79857.3</v>
          </cell>
          <cell r="I10">
            <v>136794.29999999999</v>
          </cell>
          <cell r="J10">
            <v>192498.0469004249</v>
          </cell>
          <cell r="K10">
            <v>248310.75311506836</v>
          </cell>
          <cell r="L10">
            <v>308718.95217483072</v>
          </cell>
          <cell r="M10">
            <v>374168.9190264123</v>
          </cell>
          <cell r="N10">
            <v>466948.79024736985</v>
          </cell>
          <cell r="O10">
            <v>544043.88434376172</v>
          </cell>
          <cell r="P10">
            <v>615845.88176690915</v>
          </cell>
          <cell r="S10">
            <v>62628.399999999987</v>
          </cell>
          <cell r="T10">
            <v>17228.900000000016</v>
          </cell>
          <cell r="U10">
            <v>79857.3</v>
          </cell>
          <cell r="W10">
            <v>1575.5572327044022</v>
          </cell>
          <cell r="X10">
            <v>433.43144654088093</v>
          </cell>
          <cell r="Y10">
            <v>2008.988679245283</v>
          </cell>
          <cell r="AB10">
            <v>72730</v>
          </cell>
          <cell r="AC10">
            <v>15400</v>
          </cell>
          <cell r="AE10">
            <v>-570</v>
          </cell>
          <cell r="AF10">
            <v>87560</v>
          </cell>
          <cell r="AH10">
            <v>114689.60000000001</v>
          </cell>
          <cell r="AI10">
            <v>24048.1</v>
          </cell>
          <cell r="AK10">
            <v>-1943.4</v>
          </cell>
          <cell r="AL10">
            <v>136794.30000000002</v>
          </cell>
          <cell r="AN10">
            <v>114689.60000000001</v>
          </cell>
          <cell r="AO10">
            <v>22104.699999999997</v>
          </cell>
        </row>
        <row r="11">
          <cell r="A11" t="str">
            <v>YoY</v>
          </cell>
          <cell r="C11">
            <v>0.35447557265499818</v>
          </cell>
          <cell r="D11">
            <v>-0.50136918866379609</v>
          </cell>
          <cell r="E11">
            <v>2.2761981538649629</v>
          </cell>
          <cell r="F11">
            <v>1.2652877729303476</v>
          </cell>
          <cell r="G11">
            <v>0.97738254460015606</v>
          </cell>
          <cell r="H11">
            <v>1.0790595230966691</v>
          </cell>
          <cell r="I11">
            <v>0.71298428571965222</v>
          </cell>
          <cell r="J11">
            <v>0.40720809931718582</v>
          </cell>
          <cell r="K11">
            <v>0.28993907789367945</v>
          </cell>
          <cell r="L11">
            <v>0.2432766132837143</v>
          </cell>
          <cell r="M11">
            <v>0.21200501747789224</v>
          </cell>
          <cell r="N11">
            <v>0.24796252842799138</v>
          </cell>
          <cell r="O11">
            <v>0.16510395937753719</v>
          </cell>
          <cell r="P11">
            <v>0.13197831919341696</v>
          </cell>
        </row>
        <row r="12">
          <cell r="A12" t="str">
            <v>Cost of Materials</v>
          </cell>
          <cell r="B12">
            <v>2421.0169999999998</v>
          </cell>
          <cell r="C12">
            <v>3152.1480000000001</v>
          </cell>
          <cell r="D12">
            <v>2094.1950000000002</v>
          </cell>
          <cell r="E12">
            <v>5471.54</v>
          </cell>
          <cell r="F12">
            <v>12033.760000000002</v>
          </cell>
          <cell r="G12">
            <v>25478.7</v>
          </cell>
          <cell r="H12">
            <v>59142.000000000007</v>
          </cell>
          <cell r="I12">
            <v>95381.4</v>
          </cell>
          <cell r="J12">
            <v>126980.10425309415</v>
          </cell>
          <cell r="K12">
            <v>161303.75541291229</v>
          </cell>
          <cell r="L12">
            <v>196618.77300795467</v>
          </cell>
          <cell r="M12">
            <v>236239.2865590328</v>
          </cell>
          <cell r="N12">
            <v>295829.60348503385</v>
          </cell>
          <cell r="O12">
            <v>343897.84656565031</v>
          </cell>
          <cell r="P12">
            <v>387490.85347102443</v>
          </cell>
          <cell r="S12">
            <v>38756.25</v>
          </cell>
          <cell r="T12">
            <v>9357.4500000000116</v>
          </cell>
          <cell r="U12">
            <v>48113.700000000012</v>
          </cell>
          <cell r="W12">
            <v>975</v>
          </cell>
          <cell r="X12">
            <v>235.40754716981161</v>
          </cell>
          <cell r="Y12">
            <v>1210.4075471698116</v>
          </cell>
          <cell r="AB12">
            <v>49550</v>
          </cell>
          <cell r="AC12">
            <v>7840</v>
          </cell>
          <cell r="AF12">
            <v>57390</v>
          </cell>
          <cell r="AH12">
            <v>78237</v>
          </cell>
          <cell r="AI12">
            <v>12384</v>
          </cell>
          <cell r="AK12">
            <v>-1919</v>
          </cell>
          <cell r="AL12">
            <v>88702</v>
          </cell>
          <cell r="AN12">
            <v>76318</v>
          </cell>
          <cell r="AO12">
            <v>12384</v>
          </cell>
        </row>
        <row r="13">
          <cell r="A13" t="str">
            <v>% of sales</v>
          </cell>
          <cell r="B13">
            <v>0.62471893006345203</v>
          </cell>
          <cell r="C13">
            <v>0.6005127742044627</v>
          </cell>
          <cell r="D13">
            <v>0.80011729376165297</v>
          </cell>
          <cell r="E13">
            <v>0.63808121059033307</v>
          </cell>
          <cell r="F13">
            <v>0.61950432487920104</v>
          </cell>
          <cell r="G13">
            <v>0.66332988807689597</v>
          </cell>
          <cell r="H13">
            <v>0.74059603818310915</v>
          </cell>
          <cell r="I13">
            <v>0.69726150870321357</v>
          </cell>
          <cell r="J13">
            <v>0.65964359793623373</v>
          </cell>
          <cell r="K13">
            <v>0.64960439042349238</v>
          </cell>
          <cell r="L13">
            <v>0.63688598196785617</v>
          </cell>
          <cell r="M13">
            <v>0.6313706845927437</v>
          </cell>
          <cell r="N13">
            <v>0.63353757342066519</v>
          </cell>
          <cell r="O13">
            <v>0.63211416663651654</v>
          </cell>
          <cell r="P13">
            <v>0.62920101431754871</v>
          </cell>
          <cell r="AB13">
            <v>0.68128695173930975</v>
          </cell>
          <cell r="AC13">
            <v>0.50909090909090904</v>
          </cell>
          <cell r="AF13">
            <v>0.6554362722704431</v>
          </cell>
          <cell r="AH13">
            <v>0.68216298600744962</v>
          </cell>
          <cell r="AI13">
            <v>0.51496791846341294</v>
          </cell>
          <cell r="AK13">
            <v>0.98744468457342793</v>
          </cell>
          <cell r="AL13">
            <v>0.64843345080898829</v>
          </cell>
          <cell r="AN13">
            <v>0.66543086731490908</v>
          </cell>
          <cell r="AO13">
            <v>0.56024284428198534</v>
          </cell>
        </row>
        <row r="14">
          <cell r="A14" t="str">
            <v>Increase/Decrease in Stocks</v>
          </cell>
          <cell r="B14">
            <v>-5.9657</v>
          </cell>
          <cell r="C14">
            <v>-1.2749999999999999</v>
          </cell>
          <cell r="D14">
            <v>-523.90899999999999</v>
          </cell>
          <cell r="E14">
            <v>69.829999999999927</v>
          </cell>
          <cell r="F14">
            <v>-656.90000000000009</v>
          </cell>
          <cell r="G14">
            <v>-2199.6999999999998</v>
          </cell>
          <cell r="H14">
            <v>-11028.3</v>
          </cell>
          <cell r="I14">
            <v>-6679.6</v>
          </cell>
          <cell r="J14">
            <v>0</v>
          </cell>
          <cell r="K14">
            <v>0</v>
          </cell>
          <cell r="L14">
            <v>0</v>
          </cell>
          <cell r="M14">
            <v>0</v>
          </cell>
          <cell r="N14">
            <v>0</v>
          </cell>
          <cell r="O14">
            <v>0</v>
          </cell>
          <cell r="P14">
            <v>0</v>
          </cell>
        </row>
        <row r="15">
          <cell r="A15" t="str">
            <v>% of sales</v>
          </cell>
          <cell r="B15">
            <v>-1.5393884970983417E-3</v>
          </cell>
          <cell r="C15">
            <v>-2.4289906029497659E-4</v>
          </cell>
          <cell r="D15">
            <v>-0.20016696212977961</v>
          </cell>
          <cell r="E15">
            <v>8.143449729970522E-3</v>
          </cell>
          <cell r="F15">
            <v>-3.3817559184589618E-2</v>
          </cell>
          <cell r="G15">
            <v>-5.7268493086489812E-2</v>
          </cell>
          <cell r="H15">
            <v>-0.13810008602845325</v>
          </cell>
          <cell r="I15">
            <v>-4.882951994344794E-2</v>
          </cell>
          <cell r="J15">
            <v>0</v>
          </cell>
          <cell r="K15">
            <v>0</v>
          </cell>
          <cell r="L15">
            <v>0</v>
          </cell>
          <cell r="M15">
            <v>0</v>
          </cell>
          <cell r="N15">
            <v>0</v>
          </cell>
          <cell r="O15">
            <v>0</v>
          </cell>
          <cell r="P15">
            <v>0</v>
          </cell>
        </row>
        <row r="16">
          <cell r="A16" t="str">
            <v>Gross Margin</v>
          </cell>
          <cell r="D16">
            <v>0.40004966836812672</v>
          </cell>
          <cell r="E16">
            <v>0.35377533967969643</v>
          </cell>
          <cell r="F16">
            <v>0.41431323430538858</v>
          </cell>
          <cell r="G16">
            <v>0.39393860500959388</v>
          </cell>
          <cell r="H16">
            <v>0.39750404784534399</v>
          </cell>
          <cell r="I16">
            <v>0.3515680112402344</v>
          </cell>
          <cell r="J16">
            <v>0.34035640206376627</v>
          </cell>
          <cell r="K16">
            <v>0.35039560957650762</v>
          </cell>
          <cell r="L16">
            <v>0.36311401803214383</v>
          </cell>
          <cell r="M16">
            <v>0.3686293154072563</v>
          </cell>
          <cell r="N16">
            <v>0.36646242657933481</v>
          </cell>
          <cell r="O16">
            <v>0.36788583336348346</v>
          </cell>
          <cell r="P16">
            <v>0.37079898568245129</v>
          </cell>
        </row>
        <row r="17">
          <cell r="A17" t="str">
            <v>Employees Remuneration</v>
          </cell>
          <cell r="B17">
            <v>36.685000000000002</v>
          </cell>
          <cell r="C17">
            <v>83.36</v>
          </cell>
          <cell r="D17">
            <v>122.17</v>
          </cell>
          <cell r="E17">
            <v>269.37099999999998</v>
          </cell>
          <cell r="F17">
            <v>617.9</v>
          </cell>
          <cell r="G17">
            <v>1215.8</v>
          </cell>
          <cell r="H17">
            <v>6495.9</v>
          </cell>
          <cell r="I17">
            <v>10430.1</v>
          </cell>
          <cell r="J17">
            <v>13712.916133582514</v>
          </cell>
          <cell r="K17">
            <v>16909.315606323493</v>
          </cell>
          <cell r="L17">
            <v>20503.470016049756</v>
          </cell>
          <cell r="M17">
            <v>24350.279841300246</v>
          </cell>
          <cell r="N17">
            <v>28303.161797243258</v>
          </cell>
          <cell r="O17">
            <v>32503.372311311919</v>
          </cell>
          <cell r="P17">
            <v>37090.217913381915</v>
          </cell>
          <cell r="S17">
            <v>2464.5</v>
          </cell>
          <cell r="T17">
            <v>4031.3999999999996</v>
          </cell>
          <cell r="U17">
            <v>6495.9</v>
          </cell>
          <cell r="W17">
            <v>62</v>
          </cell>
          <cell r="X17">
            <v>101.4188679245283</v>
          </cell>
          <cell r="Y17">
            <v>163.41886792452829</v>
          </cell>
          <cell r="AB17">
            <v>3220</v>
          </cell>
          <cell r="AC17">
            <v>3740</v>
          </cell>
          <cell r="AF17">
            <v>6960</v>
          </cell>
          <cell r="AH17">
            <v>5179</v>
          </cell>
          <cell r="AI17">
            <v>5251</v>
          </cell>
          <cell r="AL17">
            <v>10430</v>
          </cell>
        </row>
        <row r="18">
          <cell r="A18" t="str">
            <v>% of sales</v>
          </cell>
          <cell r="B18">
            <v>1.8885631887451211E-3</v>
          </cell>
          <cell r="C18">
            <v>4.2914168574020245E-3</v>
          </cell>
          <cell r="D18">
            <v>6.2893761692515045E-3</v>
          </cell>
          <cell r="E18">
            <v>1.3867361447879568E-2</v>
          </cell>
          <cell r="F18">
            <v>3.1809818572321388E-2</v>
          </cell>
          <cell r="G18">
            <v>3.1652968084081613E-2</v>
          </cell>
          <cell r="H18">
            <v>8.1343847087241863E-2</v>
          </cell>
          <cell r="I18">
            <v>7.6246597994214682E-2</v>
          </cell>
          <cell r="J18">
            <v>7.1236650731713189E-2</v>
          </cell>
          <cell r="K18">
            <v>6.8097395679387426E-2</v>
          </cell>
          <cell r="L18">
            <v>6.6414678695975976E-2</v>
          </cell>
          <cell r="M18">
            <v>6.5078307157793017E-2</v>
          </cell>
          <cell r="N18">
            <v>6.0612988808150532E-2</v>
          </cell>
          <cell r="O18">
            <v>5.9744026624834204E-2</v>
          </cell>
          <cell r="P18">
            <v>6.0226460891428274E-2</v>
          </cell>
          <cell r="S18">
            <v>3.9351156983093938E-2</v>
          </cell>
          <cell r="T18">
            <v>0.23399056236904248</v>
          </cell>
          <cell r="U18">
            <v>8.1343847087241863E-2</v>
          </cell>
          <cell r="W18">
            <v>3.9351156983093938E-2</v>
          </cell>
          <cell r="X18">
            <v>0.23399056236904248</v>
          </cell>
          <cell r="Y18">
            <v>8.1343847087241863E-2</v>
          </cell>
          <cell r="AB18">
            <v>4.4273339749759381E-2</v>
          </cell>
          <cell r="AC18">
            <v>0.24285714285714285</v>
          </cell>
          <cell r="AF18">
            <v>7.9488350845134767E-2</v>
          </cell>
          <cell r="AH18">
            <v>4.515666634115037E-2</v>
          </cell>
          <cell r="AI18">
            <v>0.21835404876060896</v>
          </cell>
          <cell r="AL18">
            <v>7.6245866969603254E-2</v>
          </cell>
        </row>
        <row r="19">
          <cell r="A19" t="str">
            <v>Manufacturing Expenses (A)</v>
          </cell>
          <cell r="B19">
            <v>352.47399999999999</v>
          </cell>
          <cell r="C19">
            <v>538.78</v>
          </cell>
          <cell r="D19">
            <v>296.125</v>
          </cell>
          <cell r="E19">
            <v>615.58000000000015</v>
          </cell>
          <cell r="F19">
            <v>1371.3</v>
          </cell>
          <cell r="G19">
            <v>2896.4</v>
          </cell>
          <cell r="H19">
            <v>4835.2</v>
          </cell>
          <cell r="I19">
            <v>9639.8426830355274</v>
          </cell>
          <cell r="J19">
            <v>13980.996205966079</v>
          </cell>
          <cell r="K19">
            <v>18780.876760098596</v>
          </cell>
          <cell r="L19">
            <v>23263.690919556608</v>
          </cell>
          <cell r="M19">
            <v>28233.391494340336</v>
          </cell>
          <cell r="N19">
            <v>34620.242437706678</v>
          </cell>
          <cell r="O19">
            <v>40738.657627105596</v>
          </cell>
          <cell r="P19">
            <v>47736.030742695693</v>
          </cell>
          <cell r="S19">
            <v>4835</v>
          </cell>
          <cell r="AF19">
            <v>6198</v>
          </cell>
        </row>
        <row r="20">
          <cell r="A20" t="str">
            <v>% of sales</v>
          </cell>
          <cell r="B20">
            <v>1.8145547809452031E-2</v>
          </cell>
          <cell r="C20">
            <v>2.7736679155842884E-2</v>
          </cell>
          <cell r="D20">
            <v>1.5244671507895569E-2</v>
          </cell>
          <cell r="E20">
            <v>3.1690383746155702E-2</v>
          </cell>
          <cell r="F20">
            <v>7.0595248759061854E-2</v>
          </cell>
          <cell r="G20">
            <v>7.5406857014915271E-2</v>
          </cell>
          <cell r="H20">
            <v>6.0548002499458402E-2</v>
          </cell>
          <cell r="I20">
            <v>7.0469622513770883E-2</v>
          </cell>
          <cell r="J20">
            <v>7.2629288614019794E-2</v>
          </cell>
        </row>
        <row r="21">
          <cell r="A21" t="str">
            <v>Selling &amp; Admin costs (B)</v>
          </cell>
          <cell r="B21">
            <v>131.85900000000001</v>
          </cell>
          <cell r="C21">
            <v>233.31399999999999</v>
          </cell>
          <cell r="D21">
            <v>336.70800000000003</v>
          </cell>
          <cell r="E21">
            <v>697.45999999999981</v>
          </cell>
          <cell r="F21">
            <v>1366.1</v>
          </cell>
          <cell r="G21">
            <v>2225</v>
          </cell>
          <cell r="H21">
            <v>7196.4000000000015</v>
          </cell>
          <cell r="I21">
            <v>8332.8578637349619</v>
          </cell>
          <cell r="J21">
            <v>11909.514798190286</v>
          </cell>
          <cell r="K21">
            <v>16407.468672271312</v>
          </cell>
          <cell r="L21">
            <v>20614.195503506307</v>
          </cell>
          <cell r="M21">
            <v>24593.549013620712</v>
          </cell>
          <cell r="N21">
            <v>29473.51604676346</v>
          </cell>
          <cell r="O21">
            <v>33652.744264244931</v>
          </cell>
          <cell r="P21">
            <v>38243.338129333541</v>
          </cell>
          <cell r="AF21">
            <v>6432</v>
          </cell>
        </row>
        <row r="22">
          <cell r="A22" t="str">
            <v>% of sales</v>
          </cell>
          <cell r="B22">
            <v>6.7881710100788587E-3</v>
          </cell>
          <cell r="C22">
            <v>1.2011128031044817E-2</v>
          </cell>
          <cell r="D22">
            <v>1.7333905796810475E-2</v>
          </cell>
          <cell r="E22">
            <v>3.5905609421348551E-2</v>
          </cell>
          <cell r="F22">
            <v>7.0327550010759424E-2</v>
          </cell>
          <cell r="G22">
            <v>5.7927170576642199E-2</v>
          </cell>
          <cell r="H22">
            <v>9.0115743958285602E-2</v>
          </cell>
          <cell r="I22">
            <v>6.0915241817348843E-2</v>
          </cell>
          <cell r="J22">
            <v>6.186823705463787E-2</v>
          </cell>
        </row>
        <row r="23">
          <cell r="A23" t="str">
            <v>Other Opex (A+B)</v>
          </cell>
          <cell r="B23">
            <v>484.33299999999997</v>
          </cell>
          <cell r="C23">
            <v>772.09399999999994</v>
          </cell>
          <cell r="D23">
            <v>632.83300000000008</v>
          </cell>
          <cell r="E23">
            <v>1313.04</v>
          </cell>
          <cell r="F23">
            <v>2737.3999999999996</v>
          </cell>
          <cell r="G23">
            <v>5121.3999999999996</v>
          </cell>
          <cell r="H23">
            <v>12031.600000000002</v>
          </cell>
          <cell r="I23">
            <v>17972.7</v>
          </cell>
          <cell r="J23">
            <v>25890.511004156368</v>
          </cell>
          <cell r="K23">
            <v>35188.345432369912</v>
          </cell>
          <cell r="L23">
            <v>43877.886423062911</v>
          </cell>
          <cell r="M23">
            <v>52826.940507961044</v>
          </cell>
          <cell r="N23">
            <v>64093.758484470134</v>
          </cell>
          <cell r="O23">
            <v>74391.401891350528</v>
          </cell>
          <cell r="P23">
            <v>85979.368872029241</v>
          </cell>
          <cell r="S23">
            <v>9897.75</v>
          </cell>
          <cell r="T23">
            <v>2133.8500000000022</v>
          </cell>
          <cell r="U23">
            <v>12031.600000000002</v>
          </cell>
          <cell r="W23">
            <v>249</v>
          </cell>
          <cell r="X23">
            <v>53.681761006289364</v>
          </cell>
          <cell r="Y23">
            <v>302.68176100628938</v>
          </cell>
          <cell r="AB23">
            <v>10430</v>
          </cell>
          <cell r="AC23">
            <v>2200</v>
          </cell>
          <cell r="AF23">
            <v>12630</v>
          </cell>
          <cell r="AH23">
            <v>15198</v>
          </cell>
          <cell r="AI23">
            <v>3220</v>
          </cell>
          <cell r="AL23">
            <v>18418</v>
          </cell>
        </row>
        <row r="24">
          <cell r="A24" t="str">
            <v>% of sales</v>
          </cell>
          <cell r="B24">
            <v>0.12497722798081215</v>
          </cell>
          <cell r="C24">
            <v>0.14709090749756051</v>
          </cell>
          <cell r="D24">
            <v>0.24178294158999911</v>
          </cell>
          <cell r="E24">
            <v>0.15312437682143071</v>
          </cell>
          <cell r="F24">
            <v>0.14092279876982128</v>
          </cell>
          <cell r="G24">
            <v>0.13333402759155746</v>
          </cell>
          <cell r="H24">
            <v>0.15066374645774402</v>
          </cell>
          <cell r="I24">
            <v>0.13138486033409288</v>
          </cell>
          <cell r="J24">
            <v>0.13449752566865766</v>
          </cell>
          <cell r="K24">
            <v>0.14171092065458585</v>
          </cell>
          <cell r="L24">
            <v>0.14212890434473363</v>
          </cell>
          <cell r="M24">
            <v>0.14118473721819752</v>
          </cell>
          <cell r="N24">
            <v>0.13726078709940753</v>
          </cell>
          <cell r="O24">
            <v>0.13673786992584827</v>
          </cell>
          <cell r="P24">
            <v>0.13961182727299862</v>
          </cell>
          <cell r="AB24">
            <v>0.14340712223291627</v>
          </cell>
          <cell r="AC24">
            <v>0.14285714285714285</v>
          </cell>
          <cell r="AF24">
            <v>0.1442439470077661</v>
          </cell>
          <cell r="AH24">
            <v>0.13251419483545152</v>
          </cell>
          <cell r="AI24">
            <v>0.13389831213276726</v>
          </cell>
        </row>
        <row r="25">
          <cell r="A25" t="str">
            <v>Total Costs</v>
          </cell>
          <cell r="B25">
            <v>2936.0692999999997</v>
          </cell>
          <cell r="C25">
            <v>4006.3270000000002</v>
          </cell>
          <cell r="D25">
            <v>2325.2890000000002</v>
          </cell>
          <cell r="E25">
            <v>7123.7809999999999</v>
          </cell>
          <cell r="F25">
            <v>14732.160000000002</v>
          </cell>
          <cell r="G25">
            <v>29616.199999999997</v>
          </cell>
          <cell r="H25">
            <v>66641.200000000012</v>
          </cell>
          <cell r="I25">
            <v>117104.59999999999</v>
          </cell>
          <cell r="J25">
            <v>166583.53139083303</v>
          </cell>
          <cell r="K25">
            <v>213401.41645160568</v>
          </cell>
          <cell r="L25">
            <v>261000.12944706733</v>
          </cell>
          <cell r="M25">
            <v>313416.5069082941</v>
          </cell>
          <cell r="N25">
            <v>388226.52376674727</v>
          </cell>
          <cell r="O25">
            <v>450792.62076831271</v>
          </cell>
          <cell r="P25">
            <v>510560.4402564356</v>
          </cell>
          <cell r="S25">
            <v>51118.5</v>
          </cell>
          <cell r="T25">
            <v>15522.700000000012</v>
          </cell>
          <cell r="U25">
            <v>66641.200000000012</v>
          </cell>
          <cell r="W25">
            <v>1286</v>
          </cell>
          <cell r="X25">
            <v>390.50817610062927</v>
          </cell>
          <cell r="Y25">
            <v>1676.5081761006293</v>
          </cell>
          <cell r="AH25">
            <v>98614</v>
          </cell>
          <cell r="AI25">
            <v>20855</v>
          </cell>
          <cell r="AK25">
            <v>-1919</v>
          </cell>
          <cell r="AL25">
            <v>117550</v>
          </cell>
        </row>
        <row r="26">
          <cell r="R26" t="str">
            <v>Sentivity</v>
          </cell>
        </row>
        <row r="27">
          <cell r="A27" t="str">
            <v>EBITDA</v>
          </cell>
          <cell r="B27">
            <v>939.30070000000023</v>
          </cell>
          <cell r="C27">
            <v>1242.7669999999998</v>
          </cell>
          <cell r="D27">
            <v>292.07099999999991</v>
          </cell>
          <cell r="E27">
            <v>1451.2089999999998</v>
          </cell>
          <cell r="F27">
            <v>4692.659999999998</v>
          </cell>
          <cell r="G27">
            <v>8794.1000000000058</v>
          </cell>
          <cell r="H27">
            <v>13216.099999999991</v>
          </cell>
          <cell r="I27">
            <v>19689.699999999997</v>
          </cell>
          <cell r="J27">
            <v>25914.515509591874</v>
          </cell>
          <cell r="K27">
            <v>34909.336663462687</v>
          </cell>
          <cell r="L27">
            <v>47718.822727763385</v>
          </cell>
          <cell r="M27">
            <v>60752.412118118198</v>
          </cell>
          <cell r="N27">
            <v>78722.26648062258</v>
          </cell>
          <cell r="O27">
            <v>93251.263575449004</v>
          </cell>
          <cell r="P27">
            <v>105285.44151047355</v>
          </cell>
          <cell r="R27">
            <v>0</v>
          </cell>
          <cell r="S27">
            <v>11509.899999999987</v>
          </cell>
          <cell r="T27">
            <v>1706.2000000000044</v>
          </cell>
          <cell r="U27">
            <v>13216.099999999991</v>
          </cell>
          <cell r="W27">
            <v>289.55723270440217</v>
          </cell>
          <cell r="X27">
            <v>42.923270440251656</v>
          </cell>
          <cell r="Y27">
            <v>332.48050314465377</v>
          </cell>
          <cell r="AB27">
            <v>9530</v>
          </cell>
          <cell r="AC27">
            <v>1620</v>
          </cell>
          <cell r="AF27">
            <v>11150</v>
          </cell>
          <cell r="AH27">
            <v>16075.600000000006</v>
          </cell>
          <cell r="AI27">
            <v>3193.0999999999985</v>
          </cell>
          <cell r="AK27">
            <v>-24.400000000000091</v>
          </cell>
          <cell r="AL27">
            <v>19244.300000000017</v>
          </cell>
        </row>
        <row r="28">
          <cell r="A28" t="str">
            <v>EBITDA Margin</v>
          </cell>
          <cell r="B28">
            <v>0.24237703754738263</v>
          </cell>
          <cell r="C28">
            <v>0.23675838154165268</v>
          </cell>
          <cell r="D28">
            <v>0.11158992267017143</v>
          </cell>
          <cell r="E28">
            <v>0.16923739852757844</v>
          </cell>
          <cell r="F28">
            <v>0.2415806169632459</v>
          </cell>
          <cell r="G28">
            <v>0.22895160933395484</v>
          </cell>
          <cell r="H28">
            <v>0.16549645430035814</v>
          </cell>
          <cell r="I28">
            <v>0.14393655291192689</v>
          </cell>
          <cell r="J28">
            <v>0.13462222566339541</v>
          </cell>
          <cell r="K28">
            <v>0.14058729324253444</v>
          </cell>
          <cell r="L28">
            <v>0.1545704349914343</v>
          </cell>
          <cell r="M28">
            <v>0.16236627103126577</v>
          </cell>
          <cell r="N28">
            <v>0.16858865067177672</v>
          </cell>
          <cell r="O28">
            <v>0.17140393681280111</v>
          </cell>
          <cell r="P28">
            <v>0.17096069751802437</v>
          </cell>
          <cell r="S28">
            <v>0.18378084064098699</v>
          </cell>
          <cell r="T28">
            <v>9.9031278839624287E-2</v>
          </cell>
          <cell r="U28">
            <v>0.16549645430035814</v>
          </cell>
          <cell r="W28">
            <v>0.18378084064098699</v>
          </cell>
          <cell r="X28">
            <v>9.9031278839624218E-2</v>
          </cell>
          <cell r="Y28">
            <v>0.16549645430035811</v>
          </cell>
          <cell r="AB28">
            <v>0.13103258627801456</v>
          </cell>
          <cell r="AC28">
            <v>0.10519480519480519</v>
          </cell>
          <cell r="AF28">
            <v>0.127341251713111</v>
          </cell>
          <cell r="AH28">
            <v>0.14016615281594849</v>
          </cell>
          <cell r="AI28">
            <v>0.13277972064321084</v>
          </cell>
          <cell r="AL28">
            <v>0.14068056929272649</v>
          </cell>
        </row>
        <row r="30">
          <cell r="A30" t="str">
            <v>Depreciation &amp; amortization</v>
          </cell>
          <cell r="B30">
            <v>29.667999999999999</v>
          </cell>
          <cell r="C30">
            <v>39.325000000000003</v>
          </cell>
          <cell r="D30">
            <v>99.781999999999996</v>
          </cell>
          <cell r="E30">
            <v>135.02000000000001</v>
          </cell>
          <cell r="F30">
            <v>492</v>
          </cell>
          <cell r="G30">
            <v>714.1</v>
          </cell>
          <cell r="H30">
            <v>1718</v>
          </cell>
          <cell r="I30">
            <v>2893.6</v>
          </cell>
          <cell r="J30">
            <v>5064.0474482182863</v>
          </cell>
          <cell r="K30">
            <v>7437.1318093107266</v>
          </cell>
          <cell r="L30">
            <v>8244.7016627133489</v>
          </cell>
          <cell r="M30">
            <v>9129.5020199350547</v>
          </cell>
          <cell r="N30">
            <v>10181.614250118524</v>
          </cell>
          <cell r="O30">
            <v>11285.23807166078</v>
          </cell>
          <cell r="P30">
            <v>12636.454241346488</v>
          </cell>
          <cell r="S30">
            <v>993.75</v>
          </cell>
          <cell r="T30">
            <v>724.25</v>
          </cell>
          <cell r="U30">
            <v>1718</v>
          </cell>
          <cell r="W30">
            <v>25</v>
          </cell>
          <cell r="X30">
            <v>18.220125786163521</v>
          </cell>
          <cell r="Y30">
            <v>43.220125786163521</v>
          </cell>
          <cell r="AB30">
            <v>1170</v>
          </cell>
          <cell r="AC30">
            <v>740</v>
          </cell>
          <cell r="AF30">
            <v>1910</v>
          </cell>
        </row>
        <row r="31">
          <cell r="A31" t="str">
            <v>% of average gross block</v>
          </cell>
          <cell r="C31">
            <v>0.10558322481910566</v>
          </cell>
          <cell r="D31">
            <v>0.11923223531464226</v>
          </cell>
          <cell r="E31">
            <v>9.1404045891573624E-2</v>
          </cell>
          <cell r="F31">
            <v>0.18653922347361054</v>
          </cell>
          <cell r="G31">
            <v>0.15321075328799161</v>
          </cell>
          <cell r="H31">
            <v>0.11114741265256083</v>
          </cell>
          <cell r="I31">
            <v>8.7179077744419131E-2</v>
          </cell>
          <cell r="J31">
            <v>8.2221368712563539E-2</v>
          </cell>
          <cell r="K31">
            <v>8.4550502773197062E-2</v>
          </cell>
          <cell r="L31">
            <v>8.4386381782237327E-2</v>
          </cell>
          <cell r="M31">
            <v>8.6749725032785052E-2</v>
          </cell>
          <cell r="N31">
            <v>8.9090166498276502E-2</v>
          </cell>
          <cell r="O31">
            <v>8.8903252963019444E-2</v>
          </cell>
          <cell r="P31">
            <v>8.8859006320705425E-2</v>
          </cell>
        </row>
        <row r="32">
          <cell r="A32" t="str">
            <v>Amortization of Goodwill</v>
          </cell>
          <cell r="C32">
            <v>0</v>
          </cell>
          <cell r="D32">
            <v>0</v>
          </cell>
          <cell r="E32">
            <v>1.1000000000000001</v>
          </cell>
          <cell r="F32">
            <v>1.2999999999999998</v>
          </cell>
          <cell r="G32">
            <v>1.8000000000000003</v>
          </cell>
          <cell r="H32">
            <v>0</v>
          </cell>
          <cell r="I32">
            <v>0</v>
          </cell>
          <cell r="J32">
            <v>0</v>
          </cell>
          <cell r="K32">
            <v>0</v>
          </cell>
          <cell r="L32">
            <v>0</v>
          </cell>
          <cell r="M32">
            <v>0</v>
          </cell>
          <cell r="N32">
            <v>0</v>
          </cell>
          <cell r="O32">
            <v>0</v>
          </cell>
          <cell r="P32">
            <v>0</v>
          </cell>
        </row>
        <row r="33">
          <cell r="A33" t="str">
            <v>Prelimnary Expenses</v>
          </cell>
          <cell r="B33">
            <v>0.193</v>
          </cell>
          <cell r="C33">
            <v>0.18234</v>
          </cell>
          <cell r="D33">
            <v>0.193</v>
          </cell>
          <cell r="E33">
            <v>0.87</v>
          </cell>
          <cell r="F33">
            <v>1.8129999999999999</v>
          </cell>
          <cell r="G33">
            <v>1.8</v>
          </cell>
          <cell r="H33">
            <v>17.100000000000001</v>
          </cell>
          <cell r="I33">
            <v>0</v>
          </cell>
          <cell r="J33">
            <v>0</v>
          </cell>
          <cell r="K33">
            <v>0</v>
          </cell>
          <cell r="L33">
            <v>0</v>
          </cell>
          <cell r="M33">
            <v>0</v>
          </cell>
          <cell r="N33">
            <v>0</v>
          </cell>
          <cell r="O33">
            <v>0</v>
          </cell>
          <cell r="P33">
            <v>0</v>
          </cell>
        </row>
        <row r="35">
          <cell r="A35" t="str">
            <v>EBIT</v>
          </cell>
          <cell r="B35">
            <v>909.43970000000024</v>
          </cell>
          <cell r="C35">
            <v>1203.2596599999997</v>
          </cell>
          <cell r="D35">
            <v>192.09599999999992</v>
          </cell>
          <cell r="E35">
            <v>1314.2190000000001</v>
          </cell>
          <cell r="F35">
            <v>4197.5469999999978</v>
          </cell>
          <cell r="G35">
            <v>8076.4000000000051</v>
          </cell>
          <cell r="H35">
            <v>11480.999999999991</v>
          </cell>
          <cell r="I35">
            <v>16796.099999999999</v>
          </cell>
          <cell r="J35">
            <v>20850.468061373587</v>
          </cell>
          <cell r="K35">
            <v>27472.204854151962</v>
          </cell>
          <cell r="L35">
            <v>39474.121065050036</v>
          </cell>
          <cell r="M35">
            <v>51622.910098183143</v>
          </cell>
          <cell r="N35">
            <v>68540.652230504056</v>
          </cell>
          <cell r="O35">
            <v>81966.025503788231</v>
          </cell>
          <cell r="P35">
            <v>92648.987269127072</v>
          </cell>
          <cell r="S35">
            <v>10516.149999999987</v>
          </cell>
          <cell r="T35">
            <v>981.95000000000437</v>
          </cell>
          <cell r="U35">
            <v>11480.999999999991</v>
          </cell>
          <cell r="W35">
            <v>0</v>
          </cell>
          <cell r="X35">
            <v>0</v>
          </cell>
          <cell r="Y35">
            <v>0</v>
          </cell>
          <cell r="AB35">
            <v>9530</v>
          </cell>
          <cell r="AC35">
            <v>1620</v>
          </cell>
          <cell r="AF35">
            <v>11150</v>
          </cell>
        </row>
        <row r="36">
          <cell r="A36" t="str">
            <v>EBIT Margin</v>
          </cell>
          <cell r="B36">
            <v>0.23467170876587276</v>
          </cell>
          <cell r="C36">
            <v>0.22923187506262979</v>
          </cell>
          <cell r="D36">
            <v>7.3393037258917354E-2</v>
          </cell>
          <cell r="E36">
            <v>0.15326186969314251</v>
          </cell>
          <cell r="F36">
            <v>0.21609193804627264</v>
          </cell>
          <cell r="G36">
            <v>0.21026651705401947</v>
          </cell>
          <cell r="H36">
            <v>0.14376894786074648</v>
          </cell>
          <cell r="I36">
            <v>0.12278362475629467</v>
          </cell>
          <cell r="J36">
            <v>0.10831521876250041</v>
          </cell>
          <cell r="K36">
            <v>0.11063638811252452</v>
          </cell>
          <cell r="L36">
            <v>0.12786426225849404</v>
          </cell>
          <cell r="M36">
            <v>0.13796685794348174</v>
          </cell>
          <cell r="N36">
            <v>0.1467840878101303</v>
          </cell>
          <cell r="O36">
            <v>0.15066068723970225</v>
          </cell>
          <cell r="P36">
            <v>0.15044183944741177</v>
          </cell>
          <cell r="S36">
            <v>0.16791343863167491</v>
          </cell>
          <cell r="T36">
            <v>5.6994352512348641E-2</v>
          </cell>
          <cell r="U36">
            <v>0.14376894786074648</v>
          </cell>
          <cell r="W36">
            <v>0</v>
          </cell>
          <cell r="X36">
            <v>0</v>
          </cell>
          <cell r="Y36">
            <v>0</v>
          </cell>
          <cell r="AB36">
            <v>0.13103258627801456</v>
          </cell>
          <cell r="AC36">
            <v>0.10519480519480519</v>
          </cell>
          <cell r="AF36">
            <v>0.127341251713111</v>
          </cell>
        </row>
        <row r="38">
          <cell r="A38" t="str">
            <v>Interest &amp; Finance Charges</v>
          </cell>
          <cell r="B38">
            <v>34.701999999999998</v>
          </cell>
          <cell r="C38">
            <v>47.273000000000003</v>
          </cell>
          <cell r="D38">
            <v>80.302000000000007</v>
          </cell>
          <cell r="E38">
            <v>275.63</v>
          </cell>
          <cell r="F38">
            <v>458.3</v>
          </cell>
          <cell r="G38">
            <v>647.69999999999993</v>
          </cell>
          <cell r="H38">
            <v>2763.4</v>
          </cell>
          <cell r="I38">
            <v>5765.5</v>
          </cell>
          <cell r="J38">
            <v>7251.9365908668751</v>
          </cell>
          <cell r="K38">
            <v>8819.0324542622584</v>
          </cell>
          <cell r="L38">
            <v>8486.6161667433607</v>
          </cell>
          <cell r="M38">
            <v>7474.6815855635459</v>
          </cell>
          <cell r="N38">
            <v>6512.2805918457498</v>
          </cell>
          <cell r="O38">
            <v>5571.2218681611748</v>
          </cell>
          <cell r="P38">
            <v>4640.4595793450571</v>
          </cell>
          <cell r="S38">
            <v>1192.5</v>
          </cell>
          <cell r="T38">
            <v>1570.9</v>
          </cell>
          <cell r="U38">
            <v>2763.4</v>
          </cell>
          <cell r="W38">
            <v>30</v>
          </cell>
          <cell r="X38">
            <v>39.519496855345913</v>
          </cell>
          <cell r="Y38">
            <v>69.51949685534592</v>
          </cell>
          <cell r="AB38">
            <v>1420</v>
          </cell>
          <cell r="AC38">
            <v>1480</v>
          </cell>
          <cell r="AD38">
            <v>1140</v>
          </cell>
          <cell r="AF38">
            <v>4040</v>
          </cell>
        </row>
        <row r="39">
          <cell r="A39" t="str">
            <v>Cost of Funds (%)</v>
          </cell>
          <cell r="C39">
            <v>0.14468632116978217</v>
          </cell>
          <cell r="D39">
            <v>0.1060174284086626</v>
          </cell>
          <cell r="E39">
            <v>0.15969954722921603</v>
          </cell>
          <cell r="F39">
            <v>0.14453446530447481</v>
          </cell>
          <cell r="G39">
            <v>0.15302813548790267</v>
          </cell>
          <cell r="H39">
            <v>9.8468840530649929E-2</v>
          </cell>
          <cell r="I39">
            <v>7.638174045178564E-2</v>
          </cell>
          <cell r="J39">
            <v>6.3237122895489759E-2</v>
          </cell>
          <cell r="K39">
            <v>6.6397978146577885E-2</v>
          </cell>
          <cell r="L39">
            <v>6.832183077835155E-2</v>
          </cell>
          <cell r="M39">
            <v>7.1900013133914281E-2</v>
          </cell>
          <cell r="N39">
            <v>7.3280499999999998E-2</v>
          </cell>
          <cell r="O39">
            <v>7.2952449999999988E-2</v>
          </cell>
          <cell r="P39">
            <v>7.2657204999999989E-2</v>
          </cell>
        </row>
        <row r="40">
          <cell r="A40" t="str">
            <v>Non Operating income</v>
          </cell>
          <cell r="B40">
            <v>65.884</v>
          </cell>
          <cell r="C40">
            <v>81.617999999999995</v>
          </cell>
          <cell r="D40">
            <v>69.394999999999996</v>
          </cell>
          <cell r="E40">
            <v>173.63</v>
          </cell>
          <cell r="F40">
            <v>234.29999999999998</v>
          </cell>
          <cell r="G40">
            <v>744.6</v>
          </cell>
          <cell r="H40">
            <v>964.99999999999989</v>
          </cell>
          <cell r="I40">
            <v>2645.5</v>
          </cell>
          <cell r="J40">
            <v>2573.3202978637746</v>
          </cell>
          <cell r="K40">
            <v>2781.3768732556323</v>
          </cell>
          <cell r="L40">
            <v>3143.1059993116805</v>
          </cell>
          <cell r="M40">
            <v>3404.5880509021235</v>
          </cell>
          <cell r="N40">
            <v>3429.758039105006</v>
          </cell>
          <cell r="O40">
            <v>4166.5276987585521</v>
          </cell>
          <cell r="P40">
            <v>5411.28152651447</v>
          </cell>
          <cell r="S40">
            <v>795</v>
          </cell>
          <cell r="T40">
            <v>169.99999999999989</v>
          </cell>
          <cell r="U40">
            <v>964.99999999999989</v>
          </cell>
          <cell r="W40">
            <v>20</v>
          </cell>
          <cell r="X40">
            <v>4.2767295597484249</v>
          </cell>
          <cell r="Y40">
            <v>24.276729559748425</v>
          </cell>
          <cell r="AB40">
            <v>680</v>
          </cell>
          <cell r="AC40">
            <v>280</v>
          </cell>
          <cell r="AD40">
            <v>730</v>
          </cell>
          <cell r="AF40">
            <v>1690</v>
          </cell>
        </row>
        <row r="41">
          <cell r="A41" t="str">
            <v>Profit Before Tax</v>
          </cell>
          <cell r="B41">
            <v>940.62170000000026</v>
          </cell>
          <cell r="C41">
            <v>1237.6046599999997</v>
          </cell>
          <cell r="D41">
            <v>181.18899999999988</v>
          </cell>
          <cell r="E41">
            <v>1212.2190000000001</v>
          </cell>
          <cell r="F41">
            <v>3973.5469999999978</v>
          </cell>
          <cell r="G41">
            <v>8173.3000000000056</v>
          </cell>
          <cell r="H41">
            <v>9682.5999999999913</v>
          </cell>
          <cell r="I41">
            <v>13676.099999999997</v>
          </cell>
          <cell r="J41">
            <v>16171.851768370485</v>
          </cell>
          <cell r="K41">
            <v>21434.549273145334</v>
          </cell>
          <cell r="L41">
            <v>34130.610897618353</v>
          </cell>
          <cell r="M41">
            <v>47552.816563521723</v>
          </cell>
          <cell r="N41">
            <v>65458.129677763318</v>
          </cell>
          <cell r="O41">
            <v>80561.331334385613</v>
          </cell>
          <cell r="P41">
            <v>93419.809216296475</v>
          </cell>
          <cell r="S41">
            <v>10118.649999999987</v>
          </cell>
          <cell r="T41">
            <v>-418.94999999999584</v>
          </cell>
          <cell r="U41">
            <v>9699.6999999999916</v>
          </cell>
          <cell r="W41">
            <v>254.55723270440217</v>
          </cell>
          <cell r="X41">
            <v>-10.539622641509354</v>
          </cell>
          <cell r="Y41">
            <v>244.01761006289274</v>
          </cell>
          <cell r="AB41">
            <v>7630</v>
          </cell>
          <cell r="AC41">
            <v>-310</v>
          </cell>
          <cell r="AD41">
            <v>-410</v>
          </cell>
          <cell r="AF41">
            <v>6910</v>
          </cell>
        </row>
        <row r="42">
          <cell r="B42">
            <v>939.10770000000025</v>
          </cell>
          <cell r="S42">
            <v>0.16156647782795008</v>
          </cell>
          <cell r="T42">
            <v>-2.4316700427769355E-2</v>
          </cell>
          <cell r="U42">
            <v>0.12146290946475766</v>
          </cell>
          <cell r="W42">
            <v>0.16156647782795008</v>
          </cell>
          <cell r="X42">
            <v>-2.431670042776941E-2</v>
          </cell>
          <cell r="Y42">
            <v>0.12146290946475759</v>
          </cell>
          <cell r="AB42">
            <v>0.10490856592877768</v>
          </cell>
          <cell r="AC42">
            <v>-2.012987012987013E-2</v>
          </cell>
          <cell r="AF42">
            <v>7.8917313841936954E-2</v>
          </cell>
        </row>
        <row r="43">
          <cell r="A43" t="str">
            <v>Current Tax</v>
          </cell>
          <cell r="B43">
            <v>108</v>
          </cell>
          <cell r="C43">
            <v>125</v>
          </cell>
          <cell r="D43">
            <v>29</v>
          </cell>
          <cell r="E43">
            <v>123.96000000000001</v>
          </cell>
          <cell r="F43">
            <v>489.7</v>
          </cell>
          <cell r="G43">
            <v>1136.3</v>
          </cell>
          <cell r="H43">
            <v>1272.0999999999999</v>
          </cell>
          <cell r="I43">
            <v>1555.2</v>
          </cell>
          <cell r="J43">
            <v>1829.7548614895263</v>
          </cell>
          <cell r="K43">
            <v>2563.201759944915</v>
          </cell>
          <cell r="L43">
            <v>4354.4517999818436</v>
          </cell>
          <cell r="M43">
            <v>6785.1291898948666</v>
          </cell>
          <cell r="N43">
            <v>9822.0226305840915</v>
          </cell>
          <cell r="O43">
            <v>12493.636548280459</v>
          </cell>
          <cell r="P43">
            <v>15079.449147334206</v>
          </cell>
        </row>
        <row r="44">
          <cell r="A44" t="str">
            <v>Deferred Tax</v>
          </cell>
          <cell r="B44">
            <v>-0.14499999999999999</v>
          </cell>
          <cell r="C44">
            <v>-0.14499999999999999</v>
          </cell>
          <cell r="D44">
            <v>-0.14499999999999999</v>
          </cell>
          <cell r="E44">
            <v>-94.048000000000002</v>
          </cell>
          <cell r="F44">
            <v>-167.41</v>
          </cell>
          <cell r="G44">
            <v>-568.20000000000005</v>
          </cell>
          <cell r="H44">
            <v>-125.7</v>
          </cell>
          <cell r="I44">
            <v>-42.3</v>
          </cell>
          <cell r="J44">
            <v>-39.738586619228641</v>
          </cell>
          <cell r="K44">
            <v>-46.266183821061198</v>
          </cell>
          <cell r="L44">
            <v>-61.974968507642778</v>
          </cell>
          <cell r="M44">
            <v>-72.889109471676861</v>
          </cell>
          <cell r="N44">
            <v>-59.101627679849535</v>
          </cell>
          <cell r="O44">
            <v>0</v>
          </cell>
          <cell r="P44">
            <v>103.52407527684895</v>
          </cell>
        </row>
        <row r="45">
          <cell r="A45" t="str">
            <v>Total Tax</v>
          </cell>
          <cell r="B45">
            <v>107.855</v>
          </cell>
          <cell r="C45">
            <v>124.855</v>
          </cell>
          <cell r="D45">
            <v>28.855</v>
          </cell>
          <cell r="E45">
            <v>29.912000000000006</v>
          </cell>
          <cell r="F45">
            <v>322.28999999999996</v>
          </cell>
          <cell r="G45">
            <v>568.09999999999991</v>
          </cell>
          <cell r="H45">
            <v>1146.3999999999999</v>
          </cell>
          <cell r="I45">
            <v>1512.9</v>
          </cell>
          <cell r="J45">
            <v>1790.0162748702976</v>
          </cell>
          <cell r="K45">
            <v>2516.9355761238539</v>
          </cell>
          <cell r="L45">
            <v>4292.4768314742005</v>
          </cell>
          <cell r="M45">
            <v>6712.2400804231902</v>
          </cell>
          <cell r="N45">
            <v>9762.9210029042424</v>
          </cell>
          <cell r="O45">
            <v>12493.636548280459</v>
          </cell>
          <cell r="P45">
            <v>15182.973222611055</v>
          </cell>
          <cell r="S45">
            <v>516.75</v>
          </cell>
          <cell r="T45">
            <v>517.84999999999991</v>
          </cell>
          <cell r="U45">
            <v>1034.5999999999999</v>
          </cell>
          <cell r="W45">
            <v>13</v>
          </cell>
          <cell r="X45">
            <v>13.02767295597484</v>
          </cell>
          <cell r="Y45">
            <v>26.02767295597484</v>
          </cell>
          <cell r="AB45">
            <v>1020</v>
          </cell>
          <cell r="AC45">
            <v>220</v>
          </cell>
          <cell r="AD45">
            <v>0</v>
          </cell>
          <cell r="AF45">
            <v>1240</v>
          </cell>
        </row>
        <row r="46">
          <cell r="A46" t="str">
            <v>Effective Tax rate</v>
          </cell>
          <cell r="B46">
            <v>0.11466352519828106</v>
          </cell>
          <cell r="C46">
            <v>0.10088439712242198</v>
          </cell>
          <cell r="D46">
            <v>0.15925359707267009</v>
          </cell>
          <cell r="E46">
            <v>2.467540931135381E-2</v>
          </cell>
          <cell r="F46">
            <v>8.110889338920621E-2</v>
          </cell>
          <cell r="G46">
            <v>6.9506808755337449E-2</v>
          </cell>
          <cell r="H46">
            <v>0.11839795096358426</v>
          </cell>
          <cell r="I46">
            <v>0.1106236427051572</v>
          </cell>
          <cell r="J46">
            <v>0.11068715571405859</v>
          </cell>
          <cell r="K46">
            <v>0.1174242361735706</v>
          </cell>
          <cell r="L46">
            <v>0.12576618813974205</v>
          </cell>
          <cell r="M46">
            <v>0.14115336515255381</v>
          </cell>
          <cell r="N46">
            <v>0.14914757037766066</v>
          </cell>
          <cell r="O46">
            <v>0.15508229992405623</v>
          </cell>
          <cell r="P46">
            <v>0.16252413005316313</v>
          </cell>
          <cell r="AB46">
            <v>0.13368283093053734</v>
          </cell>
          <cell r="AC46">
            <v>-0.70967741935483875</v>
          </cell>
          <cell r="AF46">
            <v>0.17945007235890015</v>
          </cell>
        </row>
        <row r="48">
          <cell r="A48" t="str">
            <v>Profit before Minority Interest (PATMI)</v>
          </cell>
          <cell r="B48">
            <v>832.76670000000024</v>
          </cell>
          <cell r="C48">
            <v>1112.7496599999997</v>
          </cell>
          <cell r="D48">
            <v>152.33399999999989</v>
          </cell>
          <cell r="E48">
            <v>1182.307</v>
          </cell>
          <cell r="F48">
            <v>3651.2569999999978</v>
          </cell>
          <cell r="G48">
            <v>7605.2000000000062</v>
          </cell>
          <cell r="H48">
            <v>8536.1999999999916</v>
          </cell>
          <cell r="I48">
            <v>12163.199999999997</v>
          </cell>
          <cell r="J48">
            <v>14381.835493500188</v>
          </cell>
          <cell r="K48">
            <v>18917.613697021479</v>
          </cell>
          <cell r="L48">
            <v>29838.134066144154</v>
          </cell>
          <cell r="M48">
            <v>40840.576483098535</v>
          </cell>
          <cell r="N48">
            <v>55695.208674859074</v>
          </cell>
          <cell r="O48">
            <v>68067.694786105159</v>
          </cell>
          <cell r="P48">
            <v>78236.835993685425</v>
          </cell>
          <cell r="AB48">
            <v>6550</v>
          </cell>
          <cell r="AC48">
            <v>-530</v>
          </cell>
          <cell r="AD48">
            <v>-410</v>
          </cell>
          <cell r="AF48">
            <v>5610</v>
          </cell>
        </row>
        <row r="49">
          <cell r="A49" t="str">
            <v xml:space="preserve">Minority interest in share of loss/ (profit) </v>
          </cell>
          <cell r="B49">
            <v>13.836</v>
          </cell>
          <cell r="C49">
            <v>5.4189999999999996</v>
          </cell>
          <cell r="D49">
            <v>0</v>
          </cell>
          <cell r="E49">
            <v>0</v>
          </cell>
          <cell r="F49">
            <v>2.1054999999999984</v>
          </cell>
          <cell r="G49">
            <v>-10.199999999999999</v>
          </cell>
          <cell r="H49">
            <v>-7.7</v>
          </cell>
          <cell r="I49">
            <v>-428</v>
          </cell>
          <cell r="J49">
            <v>-1097.7341991661738</v>
          </cell>
          <cell r="K49">
            <v>-1612.8799306277547</v>
          </cell>
          <cell r="L49">
            <v>-2562.7868155788269</v>
          </cell>
          <cell r="M49">
            <v>-3525.7812929581978</v>
          </cell>
          <cell r="N49">
            <v>-3927.4628603212441</v>
          </cell>
          <cell r="O49">
            <v>-4381.6527233175302</v>
          </cell>
          <cell r="P49">
            <v>-4764.7137131080763</v>
          </cell>
          <cell r="AB49">
            <v>-50</v>
          </cell>
          <cell r="AC49">
            <v>0</v>
          </cell>
          <cell r="AD49">
            <v>100</v>
          </cell>
          <cell r="AF49">
            <v>50</v>
          </cell>
        </row>
        <row r="50">
          <cell r="A50" t="str">
            <v>Share of profits in Associates</v>
          </cell>
          <cell r="I50">
            <v>557.5</v>
          </cell>
          <cell r="J50">
            <v>1066.384611229859</v>
          </cell>
          <cell r="K50">
            <v>2533.1222988025838</v>
          </cell>
          <cell r="L50">
            <v>3776.0627973584778</v>
          </cell>
          <cell r="M50">
            <v>4402.1889156115085</v>
          </cell>
          <cell r="N50">
            <v>5303.7253022254645</v>
          </cell>
          <cell r="O50">
            <v>6345.8061916600436</v>
          </cell>
          <cell r="P50">
            <v>7595.3906602498564</v>
          </cell>
        </row>
        <row r="51">
          <cell r="A51" t="str">
            <v>Consolidated Net Income</v>
          </cell>
          <cell r="B51">
            <v>846.60270000000025</v>
          </cell>
          <cell r="C51">
            <v>1118.1686599999998</v>
          </cell>
          <cell r="D51">
            <v>152.33399999999989</v>
          </cell>
          <cell r="E51">
            <v>1182.307</v>
          </cell>
          <cell r="F51">
            <v>3653.3624999999979</v>
          </cell>
          <cell r="G51">
            <v>7595.0000000000064</v>
          </cell>
          <cell r="H51">
            <v>8528.4999999999909</v>
          </cell>
          <cell r="I51">
            <v>12292.699999999997</v>
          </cell>
          <cell r="J51">
            <v>14350.485905563874</v>
          </cell>
          <cell r="K51">
            <v>19837.856065196309</v>
          </cell>
          <cell r="L51">
            <v>31051.410047923804</v>
          </cell>
          <cell r="M51">
            <v>41716.984105751842</v>
          </cell>
          <cell r="N51">
            <v>57071.4711167633</v>
          </cell>
          <cell r="O51">
            <v>70031.848254447672</v>
          </cell>
          <cell r="P51">
            <v>81067.512940827204</v>
          </cell>
        </row>
        <row r="52">
          <cell r="A52" t="str">
            <v>Extraordinary / Prior Period Items</v>
          </cell>
          <cell r="E52">
            <v>266.93</v>
          </cell>
          <cell r="F52">
            <v>0</v>
          </cell>
          <cell r="G52">
            <v>0</v>
          </cell>
          <cell r="H52">
            <v>111.8</v>
          </cell>
          <cell r="I52">
            <v>-1991.7</v>
          </cell>
        </row>
        <row r="53">
          <cell r="A53" t="str">
            <v>Net Profit Reported (PAT)</v>
          </cell>
          <cell r="B53">
            <v>846.60270000000025</v>
          </cell>
          <cell r="C53">
            <v>1118.1686599999998</v>
          </cell>
          <cell r="D53">
            <v>152.33399999999989</v>
          </cell>
          <cell r="E53">
            <v>1449.2370000000001</v>
          </cell>
          <cell r="F53">
            <v>3653.3624999999979</v>
          </cell>
          <cell r="G53">
            <v>7595.0000000000064</v>
          </cell>
          <cell r="H53">
            <v>8640.2999999999902</v>
          </cell>
          <cell r="I53">
            <v>10300.999999999996</v>
          </cell>
          <cell r="J53">
            <v>14350.485905563874</v>
          </cell>
          <cell r="K53">
            <v>19837.856065196309</v>
          </cell>
          <cell r="L53">
            <v>31051.410047923804</v>
          </cell>
          <cell r="M53">
            <v>41716.984105751842</v>
          </cell>
          <cell r="N53">
            <v>57071.4711167633</v>
          </cell>
          <cell r="O53">
            <v>70031.848254447672</v>
          </cell>
          <cell r="P53">
            <v>81067.512940827204</v>
          </cell>
          <cell r="S53">
            <v>9601.8999999999869</v>
          </cell>
          <cell r="T53">
            <v>-936.79999999999575</v>
          </cell>
          <cell r="U53">
            <v>8640.2999999999902</v>
          </cell>
          <cell r="W53">
            <v>241.55723270440217</v>
          </cell>
          <cell r="X53">
            <v>-23.567295597484193</v>
          </cell>
          <cell r="Y53">
            <v>217.36603773584881</v>
          </cell>
          <cell r="AB53">
            <v>6500</v>
          </cell>
          <cell r="AC53">
            <v>-530</v>
          </cell>
          <cell r="AD53">
            <v>-310</v>
          </cell>
          <cell r="AE53">
            <v>0</v>
          </cell>
          <cell r="AF53">
            <v>5660</v>
          </cell>
        </row>
        <row r="54">
          <cell r="A54" t="str">
            <v>Growth</v>
          </cell>
          <cell r="C54">
            <v>0.32077143151090759</v>
          </cell>
          <cell r="D54">
            <v>-0.86376473831774181</v>
          </cell>
          <cell r="E54">
            <v>6.7612811322488797</v>
          </cell>
          <cell r="F54">
            <v>2.0900286473817697</v>
          </cell>
          <cell r="G54">
            <v>1.0789067605527816</v>
          </cell>
          <cell r="H54">
            <v>0.12290980908492211</v>
          </cell>
          <cell r="I54">
            <v>0.44136718062965463</v>
          </cell>
          <cell r="J54">
            <v>0.16739901775556842</v>
          </cell>
          <cell r="K54">
            <v>0.38238218522655809</v>
          </cell>
          <cell r="L54">
            <v>0.56526037621578684</v>
          </cell>
          <cell r="M54">
            <v>0.34348115081946728</v>
          </cell>
          <cell r="N54">
            <v>0.3680632083107469</v>
          </cell>
          <cell r="O54">
            <v>0.22709029369802924</v>
          </cell>
          <cell r="P54">
            <v>0.15758065739295501</v>
          </cell>
          <cell r="S54">
            <v>0.1533154287831078</v>
          </cell>
          <cell r="T54">
            <v>-5.4373755724393021E-2</v>
          </cell>
          <cell r="U54">
            <v>0.10819674594558031</v>
          </cell>
          <cell r="W54">
            <v>0.1533154287831078</v>
          </cell>
          <cell r="X54">
            <v>-5.4373755724393069E-2</v>
          </cell>
          <cell r="Y54">
            <v>0.10819674594558031</v>
          </cell>
          <cell r="AB54">
            <v>8.9371648563178877E-2</v>
          </cell>
          <cell r="AC54">
            <v>-3.4415584415584413E-2</v>
          </cell>
          <cell r="AD54" t="e">
            <v>#DIV/0!</v>
          </cell>
          <cell r="AF54">
            <v>6.4641388761991783E-2</v>
          </cell>
        </row>
        <row r="55">
          <cell r="A55" t="str">
            <v>Net Profit Margin</v>
          </cell>
          <cell r="B55">
            <v>0.21845725698449445</v>
          </cell>
          <cell r="C55">
            <v>0.21302126805121033</v>
          </cell>
          <cell r="D55">
            <v>5.8201393770822465E-2</v>
          </cell>
          <cell r="E55">
            <v>0.13787852813822524</v>
          </cell>
          <cell r="F55">
            <v>0.18807703237404505</v>
          </cell>
          <cell r="G55">
            <v>0.19773342046274062</v>
          </cell>
          <cell r="H55">
            <v>0.1067967487004944</v>
          </cell>
          <cell r="I55">
            <v>8.986266240625522E-2</v>
          </cell>
          <cell r="J55">
            <v>7.4548735099567373E-2</v>
          </cell>
          <cell r="K55">
            <v>7.9891248430966469E-2</v>
          </cell>
          <cell r="L55">
            <v>0.10058148302582691</v>
          </cell>
          <cell r="M55">
            <v>0.11149238214200008</v>
          </cell>
          <cell r="N55">
            <v>0.12222212008843461</v>
          </cell>
          <cell r="O55">
            <v>0.12872463098987263</v>
          </cell>
          <cell r="P55">
            <v>0.1316360396991505</v>
          </cell>
        </row>
        <row r="57">
          <cell r="A57" t="str">
            <v>Dividend Payout - Forecast based on Stand Alone A/c</v>
          </cell>
        </row>
        <row r="58">
          <cell r="A58" t="str">
            <v>DPS</v>
          </cell>
          <cell r="B58">
            <v>9.9999178570548466</v>
          </cell>
          <cell r="C58">
            <v>2.8000065714356124</v>
          </cell>
          <cell r="D58">
            <v>0.99999178570548464</v>
          </cell>
          <cell r="E58">
            <v>2.0000000000000004</v>
          </cell>
          <cell r="F58">
            <v>0.80018407731247121</v>
          </cell>
          <cell r="G58">
            <v>0.99996042171118849</v>
          </cell>
          <cell r="H58">
            <v>0.9999833892111466</v>
          </cell>
          <cell r="I58">
            <v>1</v>
          </cell>
          <cell r="J58">
            <v>1.2</v>
          </cell>
          <cell r="K58">
            <v>1.75</v>
          </cell>
          <cell r="L58">
            <v>3.5</v>
          </cell>
          <cell r="M58">
            <v>5</v>
          </cell>
          <cell r="N58">
            <v>7.5</v>
          </cell>
          <cell r="O58">
            <v>10</v>
          </cell>
          <cell r="P58">
            <v>12.5</v>
          </cell>
        </row>
        <row r="59">
          <cell r="A59" t="str">
            <v>Diluted DPS</v>
          </cell>
          <cell r="B59">
            <v>2.4999794642637116</v>
          </cell>
          <cell r="C59">
            <v>1.3964185970100214</v>
          </cell>
          <cell r="D59">
            <v>0.49999178577295877</v>
          </cell>
          <cell r="E59">
            <v>2.0000000000000004</v>
          </cell>
          <cell r="F59">
            <v>0.80018407731247121</v>
          </cell>
          <cell r="G59">
            <v>0.99996042171118849</v>
          </cell>
          <cell r="H59">
            <v>0.99975617567275266</v>
          </cell>
          <cell r="I59">
            <v>0.96428459159605329</v>
          </cell>
          <cell r="J59">
            <v>1.2</v>
          </cell>
          <cell r="K59">
            <v>1.75</v>
          </cell>
          <cell r="L59">
            <v>3.5</v>
          </cell>
          <cell r="M59">
            <v>5</v>
          </cell>
          <cell r="N59">
            <v>7.5</v>
          </cell>
          <cell r="O59">
            <v>10</v>
          </cell>
          <cell r="P59">
            <v>12.5</v>
          </cell>
        </row>
        <row r="60">
          <cell r="A60" t="str">
            <v>Payout (%)</v>
          </cell>
          <cell r="B60">
            <v>7.1897951660206127E-2</v>
          </cell>
          <cell r="C60">
            <v>0.15242333835398322</v>
          </cell>
          <cell r="D60">
            <v>0.39957593183399664</v>
          </cell>
          <cell r="E60">
            <v>0.18853304238955376</v>
          </cell>
          <cell r="F60">
            <v>0.10911504045350491</v>
          </cell>
          <cell r="G60">
            <v>0.19962269554514642</v>
          </cell>
          <cell r="H60">
            <v>0.15460695130275601</v>
          </cell>
          <cell r="I60">
            <v>0.13421930107570912</v>
          </cell>
        </row>
        <row r="61">
          <cell r="A61" t="str">
            <v>Payout (%) - Based on Consolidated</v>
          </cell>
          <cell r="E61">
            <v>0.19071202542181415</v>
          </cell>
          <cell r="F61">
            <v>0.10912805885752279</v>
          </cell>
          <cell r="G61">
            <v>0.21707019171201128</v>
          </cell>
          <cell r="H61">
            <v>0.19190033068392806</v>
          </cell>
          <cell r="I61">
            <v>0.17034525031699282</v>
          </cell>
          <cell r="J61">
            <v>0.14684492133022817</v>
          </cell>
          <cell r="K61">
            <v>0.155426421201629</v>
          </cell>
          <cell r="L61">
            <v>0.20510952274074157</v>
          </cell>
          <cell r="M61">
            <v>0.21806453861891228</v>
          </cell>
          <cell r="N61">
            <v>0.23906412740418317</v>
          </cell>
          <cell r="O61">
            <v>0.25974584598354333</v>
          </cell>
          <cell r="P61">
            <v>0.28047268223254462</v>
          </cell>
        </row>
        <row r="63">
          <cell r="A63" t="str">
            <v>Dividend on Equity Shares (Rs Million)</v>
          </cell>
          <cell r="C63">
            <v>170</v>
          </cell>
          <cell r="D63">
            <v>60.869</v>
          </cell>
          <cell r="E63">
            <v>243.48000000000002</v>
          </cell>
          <cell r="F63">
            <v>347.76</v>
          </cell>
          <cell r="G63">
            <v>1439.1</v>
          </cell>
          <cell r="H63">
            <v>1445.4</v>
          </cell>
          <cell r="I63">
            <v>1496.9343999999999</v>
          </cell>
          <cell r="J63">
            <v>1798.6882799999998</v>
          </cell>
          <cell r="K63">
            <v>2632.7925749999999</v>
          </cell>
          <cell r="L63">
            <v>5440.2841499999995</v>
          </cell>
          <cell r="M63">
            <v>7771.8344999999999</v>
          </cell>
          <cell r="N63">
            <v>11657.751749999999</v>
          </cell>
          <cell r="O63">
            <v>15543.669</v>
          </cell>
          <cell r="P63">
            <v>19429.58625</v>
          </cell>
        </row>
        <row r="64">
          <cell r="A64" t="str">
            <v>Dividend Tax on Equity Shares (Rs Million)</v>
          </cell>
          <cell r="D64">
            <v>7.97</v>
          </cell>
          <cell r="E64">
            <v>31.871677138714354</v>
          </cell>
          <cell r="F64">
            <v>48.487225609756095</v>
          </cell>
          <cell r="G64">
            <v>205.43036339905203</v>
          </cell>
          <cell r="H64">
            <v>208.94253282275713</v>
          </cell>
          <cell r="I64">
            <v>254.40400128000002</v>
          </cell>
          <cell r="J64">
            <v>305.68707318600002</v>
          </cell>
          <cell r="K64">
            <v>447.44309812125005</v>
          </cell>
          <cell r="L64">
            <v>924.57629129250006</v>
          </cell>
          <cell r="M64">
            <v>1320.823273275</v>
          </cell>
          <cell r="N64">
            <v>1981.2349099125001</v>
          </cell>
          <cell r="O64">
            <v>2641.64654655</v>
          </cell>
          <cell r="P64">
            <v>3302.0581831875006</v>
          </cell>
        </row>
        <row r="65">
          <cell r="A65" t="str">
            <v>Dividend of Pref Shares (Rs Million)</v>
          </cell>
          <cell r="D65">
            <v>1.333</v>
          </cell>
          <cell r="E65">
            <v>4.8</v>
          </cell>
          <cell r="F65">
            <v>19.600000000000001</v>
          </cell>
          <cell r="G65">
            <v>16.600000000000001</v>
          </cell>
          <cell r="H65">
            <v>17</v>
          </cell>
          <cell r="I65">
            <v>17</v>
          </cell>
          <cell r="J65">
            <v>17</v>
          </cell>
          <cell r="K65">
            <v>17</v>
          </cell>
          <cell r="L65">
            <v>17</v>
          </cell>
          <cell r="M65">
            <v>17</v>
          </cell>
          <cell r="N65">
            <v>17</v>
          </cell>
          <cell r="O65">
            <v>17</v>
          </cell>
          <cell r="P65">
            <v>17</v>
          </cell>
        </row>
        <row r="66">
          <cell r="A66" t="str">
            <v>Dividend Tax on Pref. Shares (Rs Million)</v>
          </cell>
          <cell r="E66">
            <v>0.62832286128564618</v>
          </cell>
          <cell r="F66">
            <v>2.7327743902439039</v>
          </cell>
          <cell r="G66">
            <v>2.3696366009479846</v>
          </cell>
          <cell r="H66">
            <v>2.4574671772428758</v>
          </cell>
          <cell r="I66">
            <v>2.8891500000000003</v>
          </cell>
          <cell r="J66">
            <v>2.8891500000000003</v>
          </cell>
          <cell r="K66">
            <v>2.8891500000000003</v>
          </cell>
          <cell r="L66">
            <v>2.8891500000000003</v>
          </cell>
          <cell r="M66">
            <v>2.8891500000000003</v>
          </cell>
          <cell r="N66">
            <v>2.8891500000000003</v>
          </cell>
          <cell r="O66">
            <v>2.8891500000000003</v>
          </cell>
          <cell r="P66">
            <v>2.8891500000000003</v>
          </cell>
        </row>
        <row r="67">
          <cell r="A67" t="str">
            <v>Dividends (incl. Dividend Tax) Paid</v>
          </cell>
          <cell r="C67">
            <v>170</v>
          </cell>
          <cell r="D67">
            <v>70.171999999999997</v>
          </cell>
          <cell r="E67">
            <v>280.78000000000003</v>
          </cell>
          <cell r="F67">
            <v>418.58</v>
          </cell>
          <cell r="G67">
            <v>1663.5</v>
          </cell>
          <cell r="H67">
            <v>1673.8000000000002</v>
          </cell>
          <cell r="I67">
            <v>1771.2275512799999</v>
          </cell>
          <cell r="J67">
            <v>2124.2645031859997</v>
          </cell>
          <cell r="K67">
            <v>3100.1248231212498</v>
          </cell>
          <cell r="L67">
            <v>6384.7495912924996</v>
          </cell>
          <cell r="M67">
            <v>9112.5469232750002</v>
          </cell>
          <cell r="N67">
            <v>13658.875809912501</v>
          </cell>
          <cell r="O67">
            <v>18205.204696549998</v>
          </cell>
          <cell r="P67">
            <v>22751.533583187502</v>
          </cell>
        </row>
        <row r="68">
          <cell r="A68" t="str">
            <v>Div Tax</v>
          </cell>
          <cell r="D68">
            <v>0.12813092826597217</v>
          </cell>
          <cell r="E68">
            <v>0.13090059610117608</v>
          </cell>
          <cell r="F68">
            <v>0.13942726480836237</v>
          </cell>
          <cell r="G68">
            <v>0.14274919282819265</v>
          </cell>
          <cell r="H68">
            <v>0.14455689277899342</v>
          </cell>
          <cell r="I68">
            <v>0.16995000000000002</v>
          </cell>
          <cell r="J68">
            <v>0.16995000000000002</v>
          </cell>
          <cell r="K68">
            <v>0.16995000000000002</v>
          </cell>
          <cell r="L68">
            <v>0.16995000000000002</v>
          </cell>
          <cell r="M68">
            <v>0.16995000000000002</v>
          </cell>
          <cell r="N68">
            <v>0.16995000000000002</v>
          </cell>
          <cell r="O68">
            <v>0.16995000000000002</v>
          </cell>
          <cell r="P68">
            <v>0.16995000000000002</v>
          </cell>
        </row>
        <row r="70">
          <cell r="A70" t="str">
            <v>Consolidated Balance Sheet</v>
          </cell>
        </row>
        <row r="72">
          <cell r="A72" t="str">
            <v>(Rs m, Year Ending Mar)</v>
          </cell>
          <cell r="B72">
            <v>2001</v>
          </cell>
          <cell r="C72">
            <v>2002</v>
          </cell>
          <cell r="D72">
            <v>2003</v>
          </cell>
          <cell r="E72">
            <v>2004</v>
          </cell>
          <cell r="F72">
            <v>2005</v>
          </cell>
          <cell r="G72">
            <v>2006</v>
          </cell>
          <cell r="H72">
            <v>2007</v>
          </cell>
          <cell r="I72">
            <v>2008</v>
          </cell>
          <cell r="J72">
            <v>2009</v>
          </cell>
          <cell r="K72">
            <v>2010</v>
          </cell>
          <cell r="L72">
            <v>2011</v>
          </cell>
          <cell r="M72">
            <v>2012</v>
          </cell>
          <cell r="N72">
            <v>2013</v>
          </cell>
          <cell r="O72">
            <v>2014</v>
          </cell>
          <cell r="P72">
            <v>2015</v>
          </cell>
          <cell r="S72">
            <v>39326</v>
          </cell>
        </row>
        <row r="73">
          <cell r="A73" t="str">
            <v>Share Capital</v>
          </cell>
          <cell r="B73">
            <v>60.870000000000005</v>
          </cell>
          <cell r="C73">
            <v>121.739</v>
          </cell>
          <cell r="D73">
            <v>121.739</v>
          </cell>
          <cell r="E73">
            <v>243.48</v>
          </cell>
          <cell r="F73">
            <v>869.2</v>
          </cell>
          <cell r="G73">
            <v>2875.3137999999999</v>
          </cell>
          <cell r="H73">
            <v>2877.6478000000002</v>
          </cell>
          <cell r="I73">
            <v>2993.9</v>
          </cell>
          <cell r="J73">
            <v>2997.8450000000003</v>
          </cell>
          <cell r="K73">
            <v>3008.9370000000004</v>
          </cell>
          <cell r="L73">
            <v>3108.7650000000003</v>
          </cell>
          <cell r="M73">
            <v>3108.7650000000003</v>
          </cell>
          <cell r="N73">
            <v>3108.7650000000003</v>
          </cell>
          <cell r="O73">
            <v>3108.7650000000003</v>
          </cell>
          <cell r="P73">
            <v>3108.7650000000003</v>
          </cell>
          <cell r="S73">
            <v>2879.75</v>
          </cell>
        </row>
        <row r="74">
          <cell r="A74" t="str">
            <v>Reserves &amp; Surplus</v>
          </cell>
          <cell r="B74">
            <v>1256.123</v>
          </cell>
          <cell r="C74">
            <v>2124.4739999999997</v>
          </cell>
          <cell r="D74">
            <v>2438.6689999999999</v>
          </cell>
          <cell r="E74">
            <v>3490.3199999999997</v>
          </cell>
          <cell r="F74">
            <v>7023.6</v>
          </cell>
          <cell r="G74">
            <v>24217.1</v>
          </cell>
          <cell r="H74">
            <v>31225.9</v>
          </cell>
          <cell r="I74">
            <v>77916.700000000012</v>
          </cell>
          <cell r="J74">
            <v>90239.573902377873</v>
          </cell>
          <cell r="K74">
            <v>108988.24386445293</v>
          </cell>
          <cell r="L74">
            <v>151753.35280108423</v>
          </cell>
          <cell r="M74">
            <v>184357.78998356109</v>
          </cell>
          <cell r="N74">
            <v>227770.38529041188</v>
          </cell>
          <cell r="O74">
            <v>279597.02884830959</v>
          </cell>
          <cell r="P74">
            <v>337913.00820594933</v>
          </cell>
          <cell r="S74">
            <v>35971.35</v>
          </cell>
        </row>
        <row r="75">
          <cell r="A75" t="str">
            <v>Less: Misc. + Pre-Op Expenditure</v>
          </cell>
          <cell r="B75">
            <v>-1.9079999999999999</v>
          </cell>
          <cell r="C75">
            <v>0.19299999999999995</v>
          </cell>
          <cell r="D75">
            <v>-2.3140000000000001</v>
          </cell>
          <cell r="E75">
            <v>-2.08</v>
          </cell>
          <cell r="F75">
            <v>-4.1150000000000002</v>
          </cell>
          <cell r="G75">
            <v>-25.2</v>
          </cell>
          <cell r="H75">
            <v>-38.6</v>
          </cell>
          <cell r="I75">
            <v>0</v>
          </cell>
          <cell r="J75">
            <v>-100</v>
          </cell>
          <cell r="K75">
            <v>-75</v>
          </cell>
          <cell r="L75">
            <v>-56.25</v>
          </cell>
          <cell r="M75">
            <v>-42.1875</v>
          </cell>
          <cell r="N75">
            <v>-31.640625</v>
          </cell>
          <cell r="O75">
            <v>-23.73046875</v>
          </cell>
          <cell r="P75">
            <v>-17.7978515625</v>
          </cell>
          <cell r="S75">
            <v>-161.9</v>
          </cell>
        </row>
        <row r="76">
          <cell r="A76" t="str">
            <v>Employee Stock Options</v>
          </cell>
          <cell r="B76">
            <v>0</v>
          </cell>
          <cell r="C76">
            <v>0</v>
          </cell>
          <cell r="D76">
            <v>0</v>
          </cell>
          <cell r="E76">
            <v>0</v>
          </cell>
          <cell r="F76">
            <v>0</v>
          </cell>
          <cell r="G76">
            <v>103.60000000000001</v>
          </cell>
          <cell r="H76">
            <v>117.10000000000001</v>
          </cell>
          <cell r="I76">
            <v>102.2</v>
          </cell>
          <cell r="J76">
            <v>0</v>
          </cell>
          <cell r="K76">
            <v>0</v>
          </cell>
          <cell r="L76">
            <v>0</v>
          </cell>
          <cell r="M76">
            <v>0</v>
          </cell>
          <cell r="N76">
            <v>0</v>
          </cell>
          <cell r="O76">
            <v>0</v>
          </cell>
          <cell r="P76">
            <v>0</v>
          </cell>
          <cell r="S76">
            <v>83.83</v>
          </cell>
        </row>
        <row r="77">
          <cell r="A77" t="str">
            <v>Share App. of Sub Pending Allotment</v>
          </cell>
          <cell r="F77">
            <v>0.5</v>
          </cell>
          <cell r="G77">
            <v>1.9</v>
          </cell>
          <cell r="H77">
            <v>0.02</v>
          </cell>
          <cell r="I77">
            <v>0</v>
          </cell>
          <cell r="J77">
            <v>0</v>
          </cell>
          <cell r="K77">
            <v>0</v>
          </cell>
          <cell r="L77">
            <v>0</v>
          </cell>
          <cell r="M77">
            <v>0</v>
          </cell>
          <cell r="N77">
            <v>0</v>
          </cell>
          <cell r="O77">
            <v>0</v>
          </cell>
          <cell r="P77">
            <v>0</v>
          </cell>
          <cell r="S77">
            <v>9.16</v>
          </cell>
        </row>
        <row r="78">
          <cell r="A78" t="str">
            <v>Shareholders' Funds</v>
          </cell>
          <cell r="B78">
            <v>1315.085</v>
          </cell>
          <cell r="C78">
            <v>2246.4059999999999</v>
          </cell>
          <cell r="D78">
            <v>2558.0940000000001</v>
          </cell>
          <cell r="E78">
            <v>3731.72</v>
          </cell>
          <cell r="F78">
            <v>7889.1850000000004</v>
          </cell>
          <cell r="G78">
            <v>27172.713799999998</v>
          </cell>
          <cell r="H78">
            <v>34182.067799999997</v>
          </cell>
          <cell r="I78">
            <v>81012.800000000003</v>
          </cell>
          <cell r="J78">
            <v>93137.418902377874</v>
          </cell>
          <cell r="K78">
            <v>111922.18086445294</v>
          </cell>
          <cell r="L78">
            <v>154805.86780108424</v>
          </cell>
          <cell r="M78">
            <v>187424.3674835611</v>
          </cell>
          <cell r="N78">
            <v>230847.5096654119</v>
          </cell>
          <cell r="O78">
            <v>282682.06337955961</v>
          </cell>
          <cell r="P78">
            <v>341003.97535438684</v>
          </cell>
          <cell r="S78">
            <v>38782.19</v>
          </cell>
        </row>
        <row r="80">
          <cell r="A80" t="str">
            <v>Preference Share Capital</v>
          </cell>
          <cell r="B80">
            <v>10.25</v>
          </cell>
          <cell r="C80">
            <v>10.25</v>
          </cell>
          <cell r="D80">
            <v>40.25</v>
          </cell>
          <cell r="E80">
            <v>150</v>
          </cell>
          <cell r="F80">
            <v>1150</v>
          </cell>
          <cell r="G80">
            <v>150</v>
          </cell>
          <cell r="H80">
            <v>0</v>
          </cell>
          <cell r="I80">
            <v>0</v>
          </cell>
          <cell r="J80">
            <v>0</v>
          </cell>
          <cell r="K80">
            <v>0</v>
          </cell>
          <cell r="L80">
            <v>0</v>
          </cell>
          <cell r="M80">
            <v>0</v>
          </cell>
          <cell r="N80">
            <v>0</v>
          </cell>
          <cell r="O80">
            <v>0</v>
          </cell>
          <cell r="P80">
            <v>0</v>
          </cell>
          <cell r="S80">
            <v>0</v>
          </cell>
        </row>
        <row r="81">
          <cell r="A81" t="str">
            <v>Preference Share Capital - Suzlon Structures</v>
          </cell>
          <cell r="E81">
            <v>30</v>
          </cell>
          <cell r="F81">
            <v>3</v>
          </cell>
          <cell r="G81">
            <v>25</v>
          </cell>
          <cell r="H81">
            <v>25</v>
          </cell>
          <cell r="I81">
            <v>25</v>
          </cell>
          <cell r="J81">
            <v>25</v>
          </cell>
          <cell r="K81">
            <v>25</v>
          </cell>
          <cell r="L81">
            <v>25</v>
          </cell>
          <cell r="M81">
            <v>25</v>
          </cell>
          <cell r="N81">
            <v>25</v>
          </cell>
          <cell r="O81">
            <v>25</v>
          </cell>
          <cell r="P81">
            <v>25</v>
          </cell>
          <cell r="S81">
            <v>25</v>
          </cell>
        </row>
        <row r="82">
          <cell r="A82" t="str">
            <v>Management Option Certificates</v>
          </cell>
          <cell r="H82">
            <v>890</v>
          </cell>
          <cell r="I82">
            <v>0</v>
          </cell>
          <cell r="J82">
            <v>0</v>
          </cell>
          <cell r="K82">
            <v>0</v>
          </cell>
          <cell r="L82">
            <v>0</v>
          </cell>
          <cell r="M82">
            <v>0</v>
          </cell>
          <cell r="N82">
            <v>0</v>
          </cell>
          <cell r="O82">
            <v>0</v>
          </cell>
          <cell r="P82">
            <v>0</v>
          </cell>
          <cell r="S82">
            <v>756.38</v>
          </cell>
        </row>
        <row r="83">
          <cell r="A83" t="str">
            <v>Minority Interest</v>
          </cell>
          <cell r="B83">
            <v>0</v>
          </cell>
          <cell r="C83">
            <v>0</v>
          </cell>
          <cell r="D83">
            <v>8.15</v>
          </cell>
          <cell r="E83">
            <v>0</v>
          </cell>
          <cell r="F83">
            <v>64.5</v>
          </cell>
          <cell r="G83">
            <v>74.7</v>
          </cell>
          <cell r="H83">
            <v>141.1</v>
          </cell>
          <cell r="I83">
            <v>10243.799999999999</v>
          </cell>
          <cell r="J83">
            <v>11341.534199166173</v>
          </cell>
          <cell r="K83">
            <v>12954.414129793928</v>
          </cell>
          <cell r="L83">
            <v>15517.200945372755</v>
          </cell>
          <cell r="M83">
            <v>19042.982238330951</v>
          </cell>
          <cell r="N83">
            <v>22970.445098652195</v>
          </cell>
          <cell r="O83">
            <v>27352.097821969724</v>
          </cell>
          <cell r="P83">
            <v>32116.811535077803</v>
          </cell>
          <cell r="S83">
            <v>198.27</v>
          </cell>
        </row>
        <row r="84">
          <cell r="A84" t="str">
            <v>Deferred Tax Liability</v>
          </cell>
          <cell r="B84">
            <v>0</v>
          </cell>
          <cell r="C84">
            <v>0</v>
          </cell>
          <cell r="D84">
            <v>-11.256</v>
          </cell>
          <cell r="E84">
            <v>-105.3</v>
          </cell>
          <cell r="F84">
            <v>-241.05500000000001</v>
          </cell>
          <cell r="G84">
            <v>-817.61379999999997</v>
          </cell>
          <cell r="H84">
            <v>176.93220000000002</v>
          </cell>
          <cell r="I84">
            <v>219.2</v>
          </cell>
          <cell r="J84">
            <v>179.46141338077135</v>
          </cell>
          <cell r="K84">
            <v>133.19522955971016</v>
          </cell>
          <cell r="L84">
            <v>71.220261052067372</v>
          </cell>
          <cell r="M84">
            <v>-1.668848419609489</v>
          </cell>
          <cell r="N84">
            <v>-60.770476099459025</v>
          </cell>
          <cell r="O84">
            <v>-60.770476099459025</v>
          </cell>
          <cell r="P84">
            <v>42.753599177389923</v>
          </cell>
          <cell r="S84">
            <v>197.47</v>
          </cell>
        </row>
        <row r="86">
          <cell r="A86" t="str">
            <v>Loan Funds</v>
          </cell>
          <cell r="B86">
            <v>206.79900000000001</v>
          </cell>
          <cell r="C86">
            <v>446.65600000000001</v>
          </cell>
          <cell r="D86">
            <v>1068.2269999999999</v>
          </cell>
          <cell r="E86">
            <v>2383.63</v>
          </cell>
          <cell r="F86">
            <v>3958.1099999999997</v>
          </cell>
          <cell r="G86">
            <v>4507</v>
          </cell>
          <cell r="H86">
            <v>51620.399999999994</v>
          </cell>
          <cell r="I86">
            <v>99345</v>
          </cell>
          <cell r="J86">
            <v>130011.94284675</v>
          </cell>
          <cell r="K86">
            <v>135629.65349203211</v>
          </cell>
          <cell r="L86">
            <v>112800.93070222014</v>
          </cell>
          <cell r="M86">
            <v>95117.851500000004</v>
          </cell>
          <cell r="N86">
            <v>82617.851500000004</v>
          </cell>
          <cell r="O86">
            <v>70117.851500000004</v>
          </cell>
          <cell r="P86">
            <v>57617.851500000004</v>
          </cell>
          <cell r="S86">
            <v>103529.77</v>
          </cell>
        </row>
        <row r="87">
          <cell r="A87" t="str">
            <v>Secured Loans</v>
          </cell>
          <cell r="E87">
            <v>1878.55</v>
          </cell>
          <cell r="F87">
            <v>3567.18</v>
          </cell>
          <cell r="G87">
            <v>3898.9</v>
          </cell>
          <cell r="H87">
            <v>19844.3</v>
          </cell>
          <cell r="I87">
            <v>71065.2</v>
          </cell>
          <cell r="J87">
            <v>100065.2</v>
          </cell>
          <cell r="K87">
            <v>106065.2</v>
          </cell>
          <cell r="L87">
            <v>101065.2</v>
          </cell>
          <cell r="M87">
            <v>88565.2</v>
          </cell>
          <cell r="N87">
            <v>76065.2</v>
          </cell>
          <cell r="O87">
            <v>63565.2</v>
          </cell>
          <cell r="P87">
            <v>51065.2</v>
          </cell>
          <cell r="S87">
            <v>86433.74</v>
          </cell>
        </row>
        <row r="88">
          <cell r="A88" t="str">
            <v>Unsecured Loans</v>
          </cell>
          <cell r="E88">
            <v>505.08</v>
          </cell>
          <cell r="F88">
            <v>390.93</v>
          </cell>
          <cell r="G88">
            <v>608.1</v>
          </cell>
          <cell r="H88">
            <v>31776.1</v>
          </cell>
          <cell r="I88">
            <v>28279.8</v>
          </cell>
          <cell r="J88">
            <v>29946.742846749999</v>
          </cell>
          <cell r="K88">
            <v>29564.45349203212</v>
          </cell>
          <cell r="L88">
            <v>11735.730702220138</v>
          </cell>
          <cell r="M88">
            <v>6552.6515000000036</v>
          </cell>
          <cell r="N88">
            <v>6552.6515000000036</v>
          </cell>
          <cell r="O88">
            <v>6552.6515000000036</v>
          </cell>
          <cell r="P88">
            <v>6552.6515000000036</v>
          </cell>
          <cell r="S88">
            <v>17096.03</v>
          </cell>
        </row>
        <row r="90">
          <cell r="A90" t="str">
            <v>TOTAL LIABILITIES</v>
          </cell>
          <cell r="B90">
            <v>1532.134</v>
          </cell>
          <cell r="C90">
            <v>2703.3119999999999</v>
          </cell>
          <cell r="D90">
            <v>3663.4649999999997</v>
          </cell>
          <cell r="E90">
            <v>6190.05</v>
          </cell>
          <cell r="F90">
            <v>12823.74</v>
          </cell>
          <cell r="G90">
            <v>31111.8</v>
          </cell>
          <cell r="H90">
            <v>87035.499999999985</v>
          </cell>
          <cell r="I90">
            <v>190845.8</v>
          </cell>
          <cell r="J90">
            <v>234695.3573616748</v>
          </cell>
          <cell r="K90">
            <v>260664.44371583869</v>
          </cell>
          <cell r="L90">
            <v>283220.21970972919</v>
          </cell>
          <cell r="M90">
            <v>301608.53237347241</v>
          </cell>
          <cell r="N90">
            <v>336400.03578796465</v>
          </cell>
          <cell r="O90">
            <v>380116.24222542986</v>
          </cell>
          <cell r="P90">
            <v>430806.39198864205</v>
          </cell>
          <cell r="S90">
            <v>143489.08000000002</v>
          </cell>
        </row>
        <row r="92">
          <cell r="A92" t="str">
            <v>Gross Fixed Assets (Excl. Goodwill)</v>
          </cell>
          <cell r="B92">
            <v>178.99299999999999</v>
          </cell>
          <cell r="C92">
            <v>565.91700000000003</v>
          </cell>
          <cell r="D92">
            <v>1107.825</v>
          </cell>
          <cell r="E92">
            <v>1846.5300000000004</v>
          </cell>
          <cell r="F92">
            <v>3428.5</v>
          </cell>
          <cell r="G92">
            <v>5893.2999999999993</v>
          </cell>
          <cell r="H92">
            <v>25020.6</v>
          </cell>
          <cell r="I92">
            <v>41362.300000000003</v>
          </cell>
          <cell r="J92">
            <v>81818.511205457165</v>
          </cell>
          <cell r="K92">
            <v>94103.13480203021</v>
          </cell>
          <cell r="L92">
            <v>101300.47152841194</v>
          </cell>
          <cell r="M92">
            <v>109178.62835310979</v>
          </cell>
          <cell r="N92">
            <v>119390.12733140209</v>
          </cell>
          <cell r="O92">
            <v>134486.70384270654</v>
          </cell>
          <cell r="P92">
            <v>149929.13118789546</v>
          </cell>
          <cell r="S92">
            <v>28929.449999999993</v>
          </cell>
        </row>
        <row r="93">
          <cell r="A93" t="str">
            <v xml:space="preserve">Less: Acc. Depreciation </v>
          </cell>
          <cell r="B93">
            <v>-38.384</v>
          </cell>
          <cell r="C93">
            <v>-77.551000000000002</v>
          </cell>
          <cell r="D93">
            <v>-195.41800000000188</v>
          </cell>
          <cell r="E93">
            <v>-304.12</v>
          </cell>
          <cell r="F93">
            <v>-780.3</v>
          </cell>
          <cell r="G93">
            <v>-1427.7</v>
          </cell>
          <cell r="H93">
            <v>-6788</v>
          </cell>
          <cell r="I93">
            <v>-9919.2999999999993</v>
          </cell>
          <cell r="J93">
            <v>-14846.532448218286</v>
          </cell>
          <cell r="K93">
            <v>-22147.280757529013</v>
          </cell>
          <cell r="L93">
            <v>-30256.530420242365</v>
          </cell>
          <cell r="M93">
            <v>-39254.511940177421</v>
          </cell>
          <cell r="N93">
            <v>-49311.537190295945</v>
          </cell>
          <cell r="O93">
            <v>-60482.117761956724</v>
          </cell>
          <cell r="P93">
            <v>-72996.414503303211</v>
          </cell>
          <cell r="S93">
            <v>-7860.44</v>
          </cell>
        </row>
        <row r="94">
          <cell r="A94" t="str">
            <v>Net Block</v>
          </cell>
          <cell r="D94">
            <v>912.40699999999811</v>
          </cell>
          <cell r="E94">
            <v>1542.4100000000003</v>
          </cell>
          <cell r="F94">
            <v>2648.2</v>
          </cell>
          <cell r="G94">
            <v>4465.5999999999995</v>
          </cell>
          <cell r="H94">
            <v>18232.599999999999</v>
          </cell>
          <cell r="I94">
            <v>31443.000000000004</v>
          </cell>
          <cell r="J94">
            <v>66971.978757238874</v>
          </cell>
          <cell r="K94">
            <v>71955.854044501204</v>
          </cell>
          <cell r="L94">
            <v>71043.941108169587</v>
          </cell>
          <cell r="M94">
            <v>69924.116412932373</v>
          </cell>
          <cell r="N94">
            <v>70078.59014110615</v>
          </cell>
          <cell r="O94">
            <v>74004.58608074981</v>
          </cell>
          <cell r="P94">
            <v>76932.716684592247</v>
          </cell>
          <cell r="S94">
            <v>21069.009999999995</v>
          </cell>
        </row>
        <row r="95">
          <cell r="A95" t="str">
            <v>Add: Capital Work in Progress</v>
          </cell>
          <cell r="B95">
            <v>12.427</v>
          </cell>
          <cell r="C95">
            <v>5.0039999999999996</v>
          </cell>
          <cell r="D95">
            <v>17.279</v>
          </cell>
          <cell r="E95">
            <v>124.27</v>
          </cell>
          <cell r="F95">
            <v>289.39999999999998</v>
          </cell>
          <cell r="G95">
            <v>1651.6</v>
          </cell>
          <cell r="H95">
            <v>4498.2</v>
          </cell>
          <cell r="I95">
            <v>11196.7</v>
          </cell>
          <cell r="J95">
            <v>11296.063735152389</v>
          </cell>
          <cell r="K95">
            <v>5606.9853554816109</v>
          </cell>
          <cell r="L95">
            <v>3933.1455130927689</v>
          </cell>
          <cell r="M95">
            <v>5618.2695168421787</v>
          </cell>
          <cell r="N95">
            <v>6940.5372681870058</v>
          </cell>
          <cell r="O95">
            <v>11032.254150392251</v>
          </cell>
          <cell r="P95">
            <v>8923.0748549535601</v>
          </cell>
          <cell r="S95">
            <v>8444.8799999999992</v>
          </cell>
        </row>
        <row r="96">
          <cell r="A96" t="str">
            <v>Net Fixed Assets</v>
          </cell>
          <cell r="B96">
            <v>153.03599999999997</v>
          </cell>
          <cell r="C96">
            <v>493.37</v>
          </cell>
          <cell r="D96">
            <v>929.6859999999981</v>
          </cell>
          <cell r="E96">
            <v>1666.6800000000003</v>
          </cell>
          <cell r="F96">
            <v>2937.6</v>
          </cell>
          <cell r="G96">
            <v>6117.1999999999989</v>
          </cell>
          <cell r="H96">
            <v>22730.799999999999</v>
          </cell>
          <cell r="I96">
            <v>42639.700000000004</v>
          </cell>
          <cell r="J96">
            <v>78268.042492391265</v>
          </cell>
          <cell r="K96">
            <v>77562.839399982811</v>
          </cell>
          <cell r="L96">
            <v>74977.086621262351</v>
          </cell>
          <cell r="M96">
            <v>75542.385929774551</v>
          </cell>
          <cell r="N96">
            <v>77019.127409293156</v>
          </cell>
          <cell r="O96">
            <v>85036.840231142065</v>
          </cell>
          <cell r="P96">
            <v>85855.791539545811</v>
          </cell>
          <cell r="S96">
            <v>29513.889999999992</v>
          </cell>
        </row>
        <row r="98">
          <cell r="A98" t="str">
            <v>Gross Intangibles (Excl. Goodwill)</v>
          </cell>
          <cell r="D98">
            <v>17.581</v>
          </cell>
          <cell r="E98">
            <v>54.74</v>
          </cell>
          <cell r="F98">
            <v>155.74</v>
          </cell>
          <cell r="G98">
            <v>381.2</v>
          </cell>
          <cell r="H98">
            <v>546.90000000000009</v>
          </cell>
          <cell r="I98">
            <v>712.09999999999991</v>
          </cell>
          <cell r="J98">
            <v>862.09999999999991</v>
          </cell>
          <cell r="K98">
            <v>962.09999999999991</v>
          </cell>
          <cell r="L98">
            <v>1062.0999999999999</v>
          </cell>
          <cell r="M98">
            <v>1162.0999999999999</v>
          </cell>
          <cell r="N98">
            <v>1262.0999999999999</v>
          </cell>
          <cell r="O98">
            <v>1362.1</v>
          </cell>
          <cell r="P98">
            <v>1462.1</v>
          </cell>
          <cell r="S98">
            <v>564.91</v>
          </cell>
        </row>
        <row r="99">
          <cell r="A99" t="str">
            <v>Less: Acc Amortization</v>
          </cell>
          <cell r="D99">
            <v>-5.5960000000000001</v>
          </cell>
          <cell r="E99">
            <v>-9.81</v>
          </cell>
          <cell r="F99">
            <v>-25</v>
          </cell>
          <cell r="G99">
            <v>-103.8</v>
          </cell>
          <cell r="H99">
            <v>-227.8</v>
          </cell>
          <cell r="I99">
            <v>-398.19999999999993</v>
          </cell>
          <cell r="J99">
            <v>-535.01499999999987</v>
          </cell>
          <cell r="K99">
            <v>-671.3984999999999</v>
          </cell>
          <cell r="L99">
            <v>-806.8504999999999</v>
          </cell>
          <cell r="M99">
            <v>-938.37099999999987</v>
          </cell>
          <cell r="N99">
            <v>-1062.9599999999998</v>
          </cell>
          <cell r="O99">
            <v>-1177.6174999999998</v>
          </cell>
          <cell r="P99">
            <v>-1299.7749999999999</v>
          </cell>
          <cell r="S99">
            <v>-285.58999999999997</v>
          </cell>
        </row>
        <row r="100">
          <cell r="A100" t="str">
            <v>Net Intangibles</v>
          </cell>
          <cell r="D100">
            <v>11.984999999999999</v>
          </cell>
          <cell r="E100">
            <v>44.93</v>
          </cell>
          <cell r="F100">
            <v>130.74</v>
          </cell>
          <cell r="G100">
            <v>277.39999999999998</v>
          </cell>
          <cell r="H100">
            <v>319.10000000000008</v>
          </cell>
          <cell r="I100">
            <v>313.89999999999998</v>
          </cell>
          <cell r="J100">
            <v>327.08500000000004</v>
          </cell>
          <cell r="K100">
            <v>290.70150000000001</v>
          </cell>
          <cell r="L100">
            <v>255.24950000000001</v>
          </cell>
          <cell r="M100">
            <v>223.72900000000004</v>
          </cell>
          <cell r="N100">
            <v>199.1400000000001</v>
          </cell>
          <cell r="O100">
            <v>184.48250000000007</v>
          </cell>
          <cell r="P100">
            <v>162.32500000000005</v>
          </cell>
          <cell r="S100">
            <v>279.32</v>
          </cell>
        </row>
        <row r="102">
          <cell r="A102" t="str">
            <v>Goodwill - Gross</v>
          </cell>
          <cell r="E102">
            <v>10.95</v>
          </cell>
          <cell r="F102">
            <v>12.7</v>
          </cell>
          <cell r="G102">
            <v>18.2</v>
          </cell>
          <cell r="H102">
            <v>17643.2</v>
          </cell>
          <cell r="I102">
            <v>13923.1</v>
          </cell>
          <cell r="J102">
            <v>13923.1</v>
          </cell>
          <cell r="K102">
            <v>13923.1</v>
          </cell>
          <cell r="L102">
            <v>13923.1</v>
          </cell>
          <cell r="M102">
            <v>13923.1</v>
          </cell>
          <cell r="N102">
            <v>13923.1</v>
          </cell>
          <cell r="O102">
            <v>13923.1</v>
          </cell>
          <cell r="P102">
            <v>13923.1</v>
          </cell>
          <cell r="S102">
            <v>17643.240000000002</v>
          </cell>
        </row>
        <row r="103">
          <cell r="A103" t="str">
            <v xml:space="preserve">Less: Acc. Amortization </v>
          </cell>
          <cell r="E103">
            <v>-1.1000000000000001</v>
          </cell>
          <cell r="F103">
            <v>-2.4</v>
          </cell>
          <cell r="G103">
            <v>-4.2</v>
          </cell>
          <cell r="H103">
            <v>0</v>
          </cell>
          <cell r="I103">
            <v>0</v>
          </cell>
          <cell r="J103">
            <v>0</v>
          </cell>
          <cell r="K103">
            <v>0</v>
          </cell>
          <cell r="L103">
            <v>0</v>
          </cell>
          <cell r="M103">
            <v>0</v>
          </cell>
          <cell r="N103">
            <v>0</v>
          </cell>
          <cell r="O103">
            <v>0</v>
          </cell>
          <cell r="P103">
            <v>0</v>
          </cell>
          <cell r="S103">
            <v>0</v>
          </cell>
        </row>
        <row r="104">
          <cell r="A104" t="str">
            <v>Goodwill - Net</v>
          </cell>
          <cell r="E104">
            <v>9.85</v>
          </cell>
          <cell r="F104">
            <v>10.299999999999999</v>
          </cell>
          <cell r="G104">
            <v>14</v>
          </cell>
          <cell r="H104">
            <v>17643.2</v>
          </cell>
          <cell r="I104">
            <v>13923.1</v>
          </cell>
          <cell r="J104">
            <v>13923.1</v>
          </cell>
          <cell r="K104">
            <v>13923.1</v>
          </cell>
          <cell r="L104">
            <v>13923.1</v>
          </cell>
          <cell r="M104">
            <v>13923.1</v>
          </cell>
          <cell r="N104">
            <v>13923.1</v>
          </cell>
          <cell r="O104">
            <v>13923.1</v>
          </cell>
          <cell r="P104">
            <v>13923.1</v>
          </cell>
          <cell r="S104">
            <v>17643.240000000002</v>
          </cell>
        </row>
        <row r="105">
          <cell r="G105">
            <v>16506.900000000001</v>
          </cell>
          <cell r="H105">
            <v>25567.5</v>
          </cell>
          <cell r="I105">
            <v>42074.400000000001</v>
          </cell>
        </row>
        <row r="107">
          <cell r="A107" t="str">
            <v>Investments</v>
          </cell>
          <cell r="B107">
            <v>100.07899999999999</v>
          </cell>
          <cell r="C107">
            <v>68.891999999999996</v>
          </cell>
          <cell r="D107">
            <v>95.32</v>
          </cell>
          <cell r="E107">
            <v>142.73999999999998</v>
          </cell>
          <cell r="F107">
            <v>77.599999999999994</v>
          </cell>
          <cell r="G107">
            <v>76</v>
          </cell>
          <cell r="H107">
            <v>155.70000000000002</v>
          </cell>
          <cell r="I107">
            <v>31417.8</v>
          </cell>
          <cell r="J107">
            <v>59385.790796910456</v>
          </cell>
          <cell r="K107">
            <v>78097.081209798271</v>
          </cell>
          <cell r="L107">
            <v>81883.144007156749</v>
          </cell>
          <cell r="M107">
            <v>86295.332922768255</v>
          </cell>
          <cell r="N107">
            <v>91609.058224993714</v>
          </cell>
          <cell r="O107">
            <v>97964.864416653756</v>
          </cell>
          <cell r="P107">
            <v>105570.25507690362</v>
          </cell>
          <cell r="S107">
            <v>25117.39</v>
          </cell>
        </row>
        <row r="108">
          <cell r="A108" t="str">
            <v>Cash and Marketable Securities</v>
          </cell>
          <cell r="B108">
            <v>1002.2740000000002</v>
          </cell>
          <cell r="C108">
            <v>451.10299999999904</v>
          </cell>
          <cell r="D108">
            <v>513.41900000000055</v>
          </cell>
          <cell r="E108">
            <v>680.64</v>
          </cell>
          <cell r="F108">
            <v>1544.6</v>
          </cell>
          <cell r="G108">
            <v>5514.9</v>
          </cell>
          <cell r="H108">
            <v>15383</v>
          </cell>
          <cell r="I108">
            <v>69602</v>
          </cell>
          <cell r="J108">
            <v>38122.242111705942</v>
          </cell>
          <cell r="K108">
            <v>29441.897299202788</v>
          </cell>
          <cell r="L108">
            <v>37569.179835442963</v>
          </cell>
          <cell r="M108">
            <v>35096.253169428113</v>
          </cell>
          <cell r="N108">
            <v>42239.778584170919</v>
          </cell>
          <cell r="O108">
            <v>57295.089066063934</v>
          </cell>
          <cell r="P108">
            <v>86667.168864672814</v>
          </cell>
          <cell r="S108">
            <v>37889.72</v>
          </cell>
        </row>
        <row r="111">
          <cell r="A111" t="str">
            <v>Sundry Debtors</v>
          </cell>
          <cell r="B111">
            <v>709.13199999999995</v>
          </cell>
          <cell r="C111">
            <v>2141.1260000000002</v>
          </cell>
          <cell r="D111">
            <v>1827.2820000000002</v>
          </cell>
          <cell r="E111">
            <v>3442.8</v>
          </cell>
          <cell r="F111">
            <v>6928.9</v>
          </cell>
          <cell r="G111">
            <v>16473.099999999999</v>
          </cell>
          <cell r="H111">
            <v>25704</v>
          </cell>
          <cell r="I111">
            <v>46905.9</v>
          </cell>
          <cell r="J111">
            <v>58013.110024785587</v>
          </cell>
          <cell r="K111">
            <v>74833.377651116491</v>
          </cell>
          <cell r="L111">
            <v>93038.588326661309</v>
          </cell>
          <cell r="M111">
            <v>112763.23587097357</v>
          </cell>
          <cell r="N111">
            <v>140724.29295126215</v>
          </cell>
          <cell r="O111">
            <v>163958.43089811996</v>
          </cell>
          <cell r="P111">
            <v>185597.38902564385</v>
          </cell>
          <cell r="S111">
            <v>35799.1</v>
          </cell>
        </row>
        <row r="112">
          <cell r="A112" t="str">
            <v>Days</v>
          </cell>
          <cell r="E112">
            <v>146.54501054811726</v>
          </cell>
          <cell r="F112">
            <v>97.44415907071469</v>
          </cell>
          <cell r="G112">
            <v>111.19061814148809</v>
          </cell>
          <cell r="H112">
            <v>96.388442258879266</v>
          </cell>
          <cell r="I112">
            <v>96.870313675350502</v>
          </cell>
          <cell r="J112">
            <v>110</v>
          </cell>
          <cell r="K112">
            <v>110</v>
          </cell>
          <cell r="L112">
            <v>110</v>
          </cell>
          <cell r="M112">
            <v>110</v>
          </cell>
          <cell r="N112">
            <v>110</v>
          </cell>
          <cell r="O112">
            <v>110</v>
          </cell>
          <cell r="P112">
            <v>110</v>
          </cell>
          <cell r="S112">
            <v>0</v>
          </cell>
        </row>
        <row r="113">
          <cell r="A113" t="str">
            <v>Loans &amp; Advances</v>
          </cell>
          <cell r="B113">
            <v>436.57299999999998</v>
          </cell>
          <cell r="C113">
            <v>984.8</v>
          </cell>
          <cell r="D113">
            <v>1347.14</v>
          </cell>
          <cell r="E113">
            <v>1784.56</v>
          </cell>
          <cell r="F113">
            <v>3247.3</v>
          </cell>
          <cell r="G113">
            <v>5897.1</v>
          </cell>
          <cell r="H113">
            <v>12075.5</v>
          </cell>
          <cell r="I113">
            <v>18250</v>
          </cell>
          <cell r="J113">
            <v>22061.70469004249</v>
          </cell>
          <cell r="K113">
            <v>27208.431493555472</v>
          </cell>
          <cell r="L113">
            <v>32616.785339028815</v>
          </cell>
          <cell r="M113">
            <v>38313.1055011196</v>
          </cell>
          <cell r="N113">
            <v>47116.074179418923</v>
          </cell>
          <cell r="O113">
            <v>54430.86875339305</v>
          </cell>
          <cell r="P113">
            <v>61243.453487963365</v>
          </cell>
          <cell r="S113">
            <v>11660.96</v>
          </cell>
        </row>
        <row r="115">
          <cell r="A115" t="str">
            <v>Inventory</v>
          </cell>
          <cell r="B115">
            <v>361.68700000000001</v>
          </cell>
          <cell r="C115">
            <v>308.78800000000001</v>
          </cell>
          <cell r="D115">
            <v>1348.4940000000001</v>
          </cell>
          <cell r="E115">
            <v>2211.17</v>
          </cell>
          <cell r="F115">
            <v>5755.7</v>
          </cell>
          <cell r="G115">
            <v>13802</v>
          </cell>
          <cell r="H115">
            <v>31363</v>
          </cell>
          <cell r="I115">
            <v>40848.300000000003</v>
          </cell>
          <cell r="J115">
            <v>57929.219366737074</v>
          </cell>
          <cell r="K115">
            <v>74007.383084798988</v>
          </cell>
          <cell r="L115">
            <v>87350.567861614065</v>
          </cell>
          <cell r="M115">
            <v>101441.57514375955</v>
          </cell>
          <cell r="N115">
            <v>122221.17588923279</v>
          </cell>
          <cell r="O115">
            <v>136993.82341111853</v>
          </cell>
          <cell r="P115">
            <v>149050.30281291783</v>
          </cell>
          <cell r="S115">
            <v>33565.46</v>
          </cell>
        </row>
        <row r="116">
          <cell r="A116" t="str">
            <v>Days</v>
          </cell>
          <cell r="E116">
            <v>112.21699687983298</v>
          </cell>
          <cell r="F116">
            <v>114.05204947223754</v>
          </cell>
          <cell r="G116">
            <v>136.36010337950898</v>
          </cell>
          <cell r="H116">
            <v>155.67108098562952</v>
          </cell>
          <cell r="I116">
            <v>134.00795319715942</v>
          </cell>
          <cell r="J116">
            <v>150</v>
          </cell>
          <cell r="K116">
            <v>150</v>
          </cell>
          <cell r="L116">
            <v>145</v>
          </cell>
          <cell r="M116">
            <v>140</v>
          </cell>
          <cell r="N116">
            <v>135</v>
          </cell>
          <cell r="O116">
            <v>130</v>
          </cell>
          <cell r="P116">
            <v>125</v>
          </cell>
          <cell r="S116">
            <v>0</v>
          </cell>
        </row>
        <row r="117">
          <cell r="A117" t="str">
            <v>Sundry Creditors / Acceptances</v>
          </cell>
          <cell r="B117">
            <v>1051.394</v>
          </cell>
          <cell r="C117">
            <v>1512.384</v>
          </cell>
          <cell r="D117">
            <v>2244.3850000000002</v>
          </cell>
          <cell r="E117">
            <v>2612.67</v>
          </cell>
          <cell r="F117">
            <v>5205.8</v>
          </cell>
          <cell r="G117">
            <v>7252.9</v>
          </cell>
          <cell r="H117">
            <v>16029</v>
          </cell>
          <cell r="I117">
            <v>30478.100000000002</v>
          </cell>
          <cell r="J117">
            <v>31310.162692543763</v>
          </cell>
          <cell r="K117">
            <v>39773.528731950973</v>
          </cell>
          <cell r="L117">
            <v>48481.341289632663</v>
          </cell>
          <cell r="M117">
            <v>58250.782987158767</v>
          </cell>
          <cell r="N117">
            <v>72944.285790830269</v>
          </cell>
          <cell r="O117">
            <v>84796.729290160351</v>
          </cell>
          <cell r="P117">
            <v>95545.689896964919</v>
          </cell>
          <cell r="S117">
            <v>21253.52</v>
          </cell>
        </row>
        <row r="118">
          <cell r="A118" t="str">
            <v>Days</v>
          </cell>
          <cell r="E118">
            <v>0</v>
          </cell>
          <cell r="F118">
            <v>125.41868098930635</v>
          </cell>
          <cell r="G118">
            <v>97.672268997809184</v>
          </cell>
          <cell r="H118">
            <v>88.310538370568025</v>
          </cell>
          <cell r="I118">
            <v>95.686285396688717</v>
          </cell>
          <cell r="J118">
            <v>90</v>
          </cell>
          <cell r="K118">
            <v>90</v>
          </cell>
          <cell r="L118">
            <v>90</v>
          </cell>
          <cell r="M118">
            <v>90</v>
          </cell>
          <cell r="N118">
            <v>90</v>
          </cell>
          <cell r="O118">
            <v>90</v>
          </cell>
          <cell r="P118">
            <v>90</v>
          </cell>
          <cell r="S118">
            <v>0</v>
          </cell>
        </row>
        <row r="119">
          <cell r="A119" t="str">
            <v>Other Current Liabilities and Provisions</v>
          </cell>
          <cell r="B119">
            <v>179.25299999999999</v>
          </cell>
          <cell r="C119">
            <v>232.38300000000001</v>
          </cell>
          <cell r="D119">
            <v>165.476</v>
          </cell>
          <cell r="E119">
            <v>1180.6500000000001</v>
          </cell>
          <cell r="F119">
            <v>2603.1999999999998</v>
          </cell>
          <cell r="G119">
            <v>9807</v>
          </cell>
          <cell r="H119">
            <v>22309.8</v>
          </cell>
          <cell r="I119">
            <v>42576.800000000003</v>
          </cell>
          <cell r="J119">
            <v>62024.774428354227</v>
          </cell>
          <cell r="K119">
            <v>74926.839190665138</v>
          </cell>
          <cell r="L119">
            <v>89912.14049180437</v>
          </cell>
          <cell r="M119">
            <v>103739.40217719243</v>
          </cell>
          <cell r="N119">
            <v>125707.42565957672</v>
          </cell>
          <cell r="O119">
            <v>144874.52776090108</v>
          </cell>
          <cell r="P119">
            <v>161717.70392204035</v>
          </cell>
          <cell r="S119">
            <v>26726.48</v>
          </cell>
        </row>
        <row r="121">
          <cell r="A121" t="str">
            <v>Net Current Assets</v>
          </cell>
          <cell r="B121">
            <v>276.74499999999983</v>
          </cell>
          <cell r="C121">
            <v>1689.9470000000003</v>
          </cell>
          <cell r="D121">
            <v>2113.0550000000007</v>
          </cell>
          <cell r="E121">
            <v>3645.2100000000005</v>
          </cell>
          <cell r="F121">
            <v>8122.9000000000024</v>
          </cell>
          <cell r="G121">
            <v>19112.299999999996</v>
          </cell>
          <cell r="H121">
            <v>30803.7</v>
          </cell>
          <cell r="I121">
            <v>32949.300000000003</v>
          </cell>
          <cell r="J121">
            <v>44669.096960667172</v>
          </cell>
          <cell r="K121">
            <v>61348.824306854833</v>
          </cell>
          <cell r="L121">
            <v>74612.459745867149</v>
          </cell>
          <cell r="M121">
            <v>90527.731351501527</v>
          </cell>
          <cell r="N121">
            <v>111409.83156950684</v>
          </cell>
          <cell r="O121">
            <v>125711.86601157009</v>
          </cell>
          <cell r="P121">
            <v>138627.75150751974</v>
          </cell>
          <cell r="S121">
            <v>33045.51999999999</v>
          </cell>
        </row>
        <row r="122">
          <cell r="A122" t="str">
            <v>Net Working Cycle</v>
          </cell>
          <cell r="E122">
            <v>122.55213854476801</v>
          </cell>
          <cell r="F122">
            <v>110.56370535222464</v>
          </cell>
          <cell r="G122">
            <v>129.40341522976908</v>
          </cell>
          <cell r="H122">
            <v>114.07435513096486</v>
          </cell>
          <cell r="I122">
            <v>85.054146992966821</v>
          </cell>
          <cell r="J122">
            <v>73.587019055051471</v>
          </cell>
          <cell r="K122">
            <v>77.919584184727938</v>
          </cell>
          <cell r="L122">
            <v>80.373861613685264</v>
          </cell>
          <cell r="M122">
            <v>80.546735291881248</v>
          </cell>
          <cell r="N122">
            <v>78.924297487869154</v>
          </cell>
          <cell r="O122">
            <v>79.542682224514834</v>
          </cell>
          <cell r="P122">
            <v>78.334501578258426</v>
          </cell>
          <cell r="S122">
            <v>192.59017953516295</v>
          </cell>
        </row>
        <row r="123">
          <cell r="I123">
            <v>0.24086749228586282</v>
          </cell>
          <cell r="J123">
            <v>0.23204961130734764</v>
          </cell>
          <cell r="K123">
            <v>0.24706471039707853</v>
          </cell>
          <cell r="L123">
            <v>0.24168409234433183</v>
          </cell>
          <cell r="M123">
            <v>0.24194348260420648</v>
          </cell>
          <cell r="N123">
            <v>0.2385911129794053</v>
          </cell>
          <cell r="O123">
            <v>0.23106934868536688</v>
          </cell>
          <cell r="P123">
            <v>0.2251013696962397</v>
          </cell>
        </row>
        <row r="125">
          <cell r="A125" t="str">
            <v>Total ASSETS</v>
          </cell>
          <cell r="B125">
            <v>1532.134</v>
          </cell>
          <cell r="C125">
            <v>2703.3119999999994</v>
          </cell>
          <cell r="D125">
            <v>3663.4649999999997</v>
          </cell>
          <cell r="E125">
            <v>6190.0500000000011</v>
          </cell>
          <cell r="F125">
            <v>12823.74</v>
          </cell>
          <cell r="G125">
            <v>31111.799999999996</v>
          </cell>
          <cell r="H125">
            <v>87035.5</v>
          </cell>
          <cell r="I125">
            <v>190845.8</v>
          </cell>
          <cell r="J125">
            <v>234695.35736167483</v>
          </cell>
          <cell r="K125">
            <v>260664.44371583872</v>
          </cell>
          <cell r="L125">
            <v>283220.21970972914</v>
          </cell>
          <cell r="M125">
            <v>301608.53237347241</v>
          </cell>
          <cell r="N125">
            <v>336400.03578796459</v>
          </cell>
          <cell r="O125">
            <v>380116.2422254298</v>
          </cell>
          <cell r="P125">
            <v>430806.39198864199</v>
          </cell>
          <cell r="S125">
            <v>143489.07999999999</v>
          </cell>
        </row>
        <row r="126">
          <cell r="A126" t="str">
            <v>Check</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R126">
            <v>0</v>
          </cell>
          <cell r="S126">
            <v>0</v>
          </cell>
        </row>
        <row r="128">
          <cell r="A128" t="str">
            <v>Consolidated Cash Flow</v>
          </cell>
        </row>
        <row r="130">
          <cell r="A130" t="str">
            <v>(Rs m, Year Ending Mar)</v>
          </cell>
          <cell r="B130">
            <v>2001</v>
          </cell>
          <cell r="C130">
            <v>2002</v>
          </cell>
          <cell r="D130">
            <v>2003</v>
          </cell>
          <cell r="E130">
            <v>2004</v>
          </cell>
          <cell r="F130">
            <v>2005</v>
          </cell>
          <cell r="G130">
            <v>2006</v>
          </cell>
          <cell r="H130">
            <v>2007</v>
          </cell>
          <cell r="I130">
            <v>2008</v>
          </cell>
          <cell r="J130">
            <v>2009</v>
          </cell>
          <cell r="K130">
            <v>2010</v>
          </cell>
          <cell r="L130">
            <v>2011</v>
          </cell>
          <cell r="M130">
            <v>2012</v>
          </cell>
          <cell r="N130">
            <v>2013</v>
          </cell>
          <cell r="O130">
            <v>2014</v>
          </cell>
          <cell r="P130">
            <v>2015</v>
          </cell>
        </row>
        <row r="131">
          <cell r="A131" t="str">
            <v xml:space="preserve">Reported PAT </v>
          </cell>
          <cell r="C131">
            <v>1118.1686599999998</v>
          </cell>
          <cell r="D131">
            <v>152.33399999999989</v>
          </cell>
          <cell r="E131">
            <v>1449.2370000000001</v>
          </cell>
          <cell r="F131">
            <v>3653.3624999999979</v>
          </cell>
          <cell r="G131">
            <v>7595.0000000000064</v>
          </cell>
          <cell r="H131">
            <v>8640.2999999999902</v>
          </cell>
          <cell r="I131">
            <v>10300.999999999996</v>
          </cell>
          <cell r="J131">
            <v>14350.485905563874</v>
          </cell>
          <cell r="K131">
            <v>19837.856065196309</v>
          </cell>
          <cell r="L131">
            <v>31051.410047923804</v>
          </cell>
          <cell r="M131">
            <v>41716.984105751842</v>
          </cell>
          <cell r="N131">
            <v>57071.4711167633</v>
          </cell>
          <cell r="O131">
            <v>70031.848254447672</v>
          </cell>
          <cell r="P131">
            <v>81067.512940827204</v>
          </cell>
        </row>
        <row r="132">
          <cell r="A132" t="str">
            <v>Add: Minority Interest</v>
          </cell>
          <cell r="D132">
            <v>0</v>
          </cell>
          <cell r="E132">
            <v>0</v>
          </cell>
          <cell r="F132">
            <v>-2.1054999999999984</v>
          </cell>
          <cell r="G132">
            <v>10.199999999999999</v>
          </cell>
          <cell r="H132">
            <v>7.7</v>
          </cell>
          <cell r="I132">
            <v>428</v>
          </cell>
          <cell r="J132">
            <v>1097.7341991661738</v>
          </cell>
          <cell r="K132">
            <v>1612.8799306277547</v>
          </cell>
          <cell r="L132">
            <v>2562.7868155788269</v>
          </cell>
          <cell r="M132">
            <v>3525.7812929581978</v>
          </cell>
          <cell r="N132">
            <v>3927.4628603212441</v>
          </cell>
          <cell r="O132">
            <v>4381.6527233175302</v>
          </cell>
          <cell r="P132">
            <v>4764.7137131080763</v>
          </cell>
        </row>
        <row r="133">
          <cell r="A133" t="str">
            <v>Add: Depreciation &amp; Amortization</v>
          </cell>
          <cell r="C133">
            <v>39.325000000000003</v>
          </cell>
          <cell r="D133">
            <v>99.781999999999996</v>
          </cell>
          <cell r="E133">
            <v>136.12</v>
          </cell>
          <cell r="F133">
            <v>493.3</v>
          </cell>
          <cell r="G133">
            <v>715.9</v>
          </cell>
          <cell r="H133">
            <v>1718</v>
          </cell>
          <cell r="I133">
            <v>2893.6</v>
          </cell>
          <cell r="J133">
            <v>5064.0474482182863</v>
          </cell>
          <cell r="K133">
            <v>7437.1318093107266</v>
          </cell>
          <cell r="L133">
            <v>8244.7016627133489</v>
          </cell>
          <cell r="M133">
            <v>9129.5020199350547</v>
          </cell>
          <cell r="N133">
            <v>10181.614250118524</v>
          </cell>
          <cell r="O133">
            <v>11285.23807166078</v>
          </cell>
          <cell r="P133">
            <v>12636.454241346488</v>
          </cell>
        </row>
        <row r="134">
          <cell r="A134" t="str">
            <v>Add: Deferred Tax</v>
          </cell>
          <cell r="C134">
            <v>-0.14499999999999999</v>
          </cell>
          <cell r="D134">
            <v>-0.14499999999999999</v>
          </cell>
          <cell r="E134">
            <v>-94.048000000000002</v>
          </cell>
          <cell r="F134">
            <v>-167.41</v>
          </cell>
          <cell r="G134">
            <v>-568.20000000000005</v>
          </cell>
          <cell r="H134">
            <v>-125.7</v>
          </cell>
          <cell r="I134">
            <v>-42.3</v>
          </cell>
          <cell r="J134">
            <v>-39.738586619228641</v>
          </cell>
          <cell r="K134">
            <v>-46.266183821061198</v>
          </cell>
          <cell r="L134">
            <v>-61.974968507642778</v>
          </cell>
          <cell r="M134">
            <v>-72.889109471676861</v>
          </cell>
          <cell r="N134">
            <v>-59.101627679849535</v>
          </cell>
          <cell r="O134">
            <v>0</v>
          </cell>
          <cell r="P134">
            <v>103.52407527684895</v>
          </cell>
        </row>
        <row r="135">
          <cell r="A135" t="str">
            <v>Less: Preliminary / Misc Expenditure w/off</v>
          </cell>
          <cell r="D135">
            <v>2.5070000000000001</v>
          </cell>
          <cell r="E135">
            <v>-0.23399999999999999</v>
          </cell>
          <cell r="F135">
            <v>2.0350000000000001</v>
          </cell>
          <cell r="G135">
            <v>21.085000000000001</v>
          </cell>
          <cell r="H135">
            <v>13.400000000000002</v>
          </cell>
          <cell r="I135">
            <v>38.6</v>
          </cell>
          <cell r="J135">
            <v>-100</v>
          </cell>
          <cell r="K135">
            <v>25</v>
          </cell>
          <cell r="L135">
            <v>18.75</v>
          </cell>
          <cell r="M135">
            <v>14.0625</v>
          </cell>
          <cell r="N135">
            <v>10.546875</v>
          </cell>
          <cell r="O135">
            <v>7.91015625</v>
          </cell>
          <cell r="P135">
            <v>5.9326171875</v>
          </cell>
        </row>
        <row r="136">
          <cell r="A136" t="str">
            <v>Less: Increase in Working Capital</v>
          </cell>
          <cell r="C136">
            <v>-1413.2020000000005</v>
          </cell>
          <cell r="D136">
            <v>-423.1080000000004</v>
          </cell>
          <cell r="E136">
            <v>-1532.1549999999997</v>
          </cell>
          <cell r="F136">
            <v>-4477.6900000000023</v>
          </cell>
          <cell r="G136">
            <v>-10989.399999999994</v>
          </cell>
          <cell r="H136">
            <v>-11691.400000000005</v>
          </cell>
          <cell r="I136">
            <v>-2145.6000000000022</v>
          </cell>
          <cell r="J136">
            <v>-11719.796960667169</v>
          </cell>
          <cell r="K136">
            <v>-16679.727346187661</v>
          </cell>
          <cell r="L136">
            <v>-13263.635439012316</v>
          </cell>
          <cell r="M136">
            <v>-15915.271605634378</v>
          </cell>
          <cell r="N136">
            <v>-20882.100218005318</v>
          </cell>
          <cell r="O136">
            <v>-14302.034442063246</v>
          </cell>
          <cell r="P136">
            <v>-12915.885495949653</v>
          </cell>
        </row>
        <row r="137">
          <cell r="A137" t="str">
            <v>Increase / (Decrease) in Receivables</v>
          </cell>
          <cell r="C137">
            <v>-1431.9940000000001</v>
          </cell>
          <cell r="D137">
            <v>313.84400000000005</v>
          </cell>
          <cell r="E137">
            <v>-1615.518</v>
          </cell>
          <cell r="F137">
            <v>-3486.0999999999995</v>
          </cell>
          <cell r="G137">
            <v>-9544.1999999999989</v>
          </cell>
          <cell r="H137">
            <v>-9230.9000000000015</v>
          </cell>
          <cell r="I137">
            <v>-21201.9</v>
          </cell>
          <cell r="J137">
            <v>-11107.210024785585</v>
          </cell>
          <cell r="K137">
            <v>-16820.267626330904</v>
          </cell>
          <cell r="L137">
            <v>-18205.210675544819</v>
          </cell>
          <cell r="M137">
            <v>-19724.647544312262</v>
          </cell>
          <cell r="N137">
            <v>-27961.057080288578</v>
          </cell>
          <cell r="O137">
            <v>-23234.137946857809</v>
          </cell>
          <cell r="P137">
            <v>-21638.958127523889</v>
          </cell>
        </row>
        <row r="138">
          <cell r="A138" t="str">
            <v>Increase / (Decrease) in Loans and advances</v>
          </cell>
          <cell r="C138">
            <v>-548.22699999999998</v>
          </cell>
          <cell r="D138">
            <v>-362.34000000000015</v>
          </cell>
          <cell r="E138">
            <v>-437.41999999999985</v>
          </cell>
          <cell r="F138">
            <v>-1462.7400000000002</v>
          </cell>
          <cell r="G138">
            <v>-2649.8</v>
          </cell>
          <cell r="H138">
            <v>-6178.4</v>
          </cell>
          <cell r="I138">
            <v>-6174.5</v>
          </cell>
          <cell r="J138">
            <v>-3811.7046900424903</v>
          </cell>
          <cell r="K138">
            <v>-5146.7268035129819</v>
          </cell>
          <cell r="L138">
            <v>-5408.3538454733425</v>
          </cell>
          <cell r="M138">
            <v>-5696.3201620907857</v>
          </cell>
          <cell r="N138">
            <v>-8802.9686782993231</v>
          </cell>
          <cell r="O138">
            <v>-7314.7945739741263</v>
          </cell>
          <cell r="P138">
            <v>-6812.584734570315</v>
          </cell>
        </row>
        <row r="139">
          <cell r="A139" t="str">
            <v>Increase / (Decrease) in inventories</v>
          </cell>
          <cell r="C139">
            <v>52.899000000000001</v>
          </cell>
          <cell r="D139">
            <v>-1039.7060000000001</v>
          </cell>
          <cell r="E139">
            <v>-862.67599999999993</v>
          </cell>
          <cell r="F139">
            <v>-3544.5299999999997</v>
          </cell>
          <cell r="G139">
            <v>-8046.3</v>
          </cell>
          <cell r="H139">
            <v>-17561</v>
          </cell>
          <cell r="I139">
            <v>-9485.3000000000029</v>
          </cell>
          <cell r="J139">
            <v>-17080.919366737071</v>
          </cell>
          <cell r="K139">
            <v>-16078.163718061915</v>
          </cell>
          <cell r="L139">
            <v>-13343.184776815076</v>
          </cell>
          <cell r="M139">
            <v>-14091.007282145481</v>
          </cell>
          <cell r="N139">
            <v>-20779.600745473246</v>
          </cell>
          <cell r="O139">
            <v>-14772.647521885738</v>
          </cell>
          <cell r="P139">
            <v>-12056.479401799297</v>
          </cell>
        </row>
        <row r="140">
          <cell r="A140" t="str">
            <v>Decrease / (Increase) in Creditors</v>
          </cell>
          <cell r="C140">
            <v>460.99</v>
          </cell>
          <cell r="D140">
            <v>732.0010000000002</v>
          </cell>
          <cell r="E140">
            <v>368.28499999999985</v>
          </cell>
          <cell r="F140">
            <v>2593.13</v>
          </cell>
          <cell r="G140">
            <v>2047.0999999999995</v>
          </cell>
          <cell r="H140">
            <v>8776.1</v>
          </cell>
          <cell r="I140">
            <v>14449.100000000002</v>
          </cell>
          <cell r="J140">
            <v>832.06269254376093</v>
          </cell>
          <cell r="K140">
            <v>8463.3660394072103</v>
          </cell>
          <cell r="L140">
            <v>8707.8125576816892</v>
          </cell>
          <cell r="M140">
            <v>9769.4416975261047</v>
          </cell>
          <cell r="N140">
            <v>14693.502803671501</v>
          </cell>
          <cell r="O140">
            <v>11852.443499330082</v>
          </cell>
          <cell r="P140">
            <v>10748.960606804569</v>
          </cell>
        </row>
        <row r="141">
          <cell r="A141" t="str">
            <v>Decrease / (Increase) in Other Liabilities</v>
          </cell>
          <cell r="C141">
            <v>53.130000000000024</v>
          </cell>
          <cell r="D141">
            <v>-66.907000000000011</v>
          </cell>
          <cell r="E141">
            <v>1015.1740000000001</v>
          </cell>
          <cell r="F141">
            <v>1422.5499999999997</v>
          </cell>
          <cell r="G141">
            <v>7203.8</v>
          </cell>
          <cell r="H141">
            <v>12502.8</v>
          </cell>
          <cell r="I141">
            <v>20267.000000000004</v>
          </cell>
          <cell r="J141">
            <v>19447.974428354224</v>
          </cell>
          <cell r="K141">
            <v>12902.064762310911</v>
          </cell>
          <cell r="L141">
            <v>14985.301301139232</v>
          </cell>
          <cell r="M141">
            <v>13827.261685388061</v>
          </cell>
          <cell r="N141">
            <v>21968.023482384291</v>
          </cell>
          <cell r="O141">
            <v>19167.102101324359</v>
          </cell>
          <cell r="P141">
            <v>16843.176161139272</v>
          </cell>
        </row>
        <row r="142">
          <cell r="A142" t="str">
            <v>Others</v>
          </cell>
          <cell r="C142">
            <v>87.24</v>
          </cell>
          <cell r="D142">
            <v>166.05897999999999</v>
          </cell>
          <cell r="E142">
            <v>-1.6429999999990059</v>
          </cell>
          <cell r="F142">
            <v>95.94300000000419</v>
          </cell>
          <cell r="G142">
            <v>-47.041800000013154</v>
          </cell>
          <cell r="H142">
            <v>1071.6660000000247</v>
          </cell>
          <cell r="I142">
            <v>0</v>
          </cell>
          <cell r="J142">
            <v>0</v>
          </cell>
          <cell r="K142">
            <v>0</v>
          </cell>
          <cell r="L142">
            <v>0</v>
          </cell>
          <cell r="M142">
            <v>0</v>
          </cell>
          <cell r="N142">
            <v>0</v>
          </cell>
          <cell r="O142">
            <v>0</v>
          </cell>
          <cell r="P142">
            <v>0</v>
          </cell>
        </row>
        <row r="143">
          <cell r="A143" t="str">
            <v>Operating cash flow</v>
          </cell>
          <cell r="C143">
            <v>-168.61334000000056</v>
          </cell>
          <cell r="D143">
            <v>-2.5710200000005443</v>
          </cell>
          <cell r="E143">
            <v>-42.722999999998706</v>
          </cell>
          <cell r="F143">
            <v>-402.56500000000017</v>
          </cell>
          <cell r="G143">
            <v>-3262.4568000000013</v>
          </cell>
          <cell r="H143">
            <v>-366.03399999999056</v>
          </cell>
          <cell r="I143">
            <v>11473.299999999996</v>
          </cell>
          <cell r="J143">
            <v>8652.7320056619392</v>
          </cell>
          <cell r="K143">
            <v>12186.874275126065</v>
          </cell>
          <cell r="L143">
            <v>28552.038118696015</v>
          </cell>
          <cell r="M143">
            <v>38398.169203539044</v>
          </cell>
          <cell r="N143">
            <v>50249.893256517898</v>
          </cell>
          <cell r="O143">
            <v>71404.614763612743</v>
          </cell>
          <cell r="P143">
            <v>85662.252091796472</v>
          </cell>
        </row>
        <row r="145">
          <cell r="A145" t="str">
            <v>Capital Expenditure</v>
          </cell>
          <cell r="C145">
            <v>-379.65900000000005</v>
          </cell>
          <cell r="D145">
            <v>-548.08299999999815</v>
          </cell>
          <cell r="E145">
            <v>-906.05900000000213</v>
          </cell>
          <cell r="F145">
            <v>-1850.0299999999995</v>
          </cell>
          <cell r="G145">
            <v>-4042.1599999999989</v>
          </cell>
          <cell r="H145">
            <v>-18373.3</v>
          </cell>
          <cell r="I145">
            <v>-22797.300000000007</v>
          </cell>
          <cell r="J145">
            <v>-40705.574940609542</v>
          </cell>
          <cell r="K145">
            <v>-6695.5452169022728</v>
          </cell>
          <cell r="L145">
            <v>-5623.4968839928888</v>
          </cell>
          <cell r="M145">
            <v>-9663.280828447254</v>
          </cell>
          <cell r="N145">
            <v>-11633.766729637129</v>
          </cell>
          <cell r="O145">
            <v>-19288.293393509688</v>
          </cell>
          <cell r="P145">
            <v>-13433.248049750235</v>
          </cell>
        </row>
        <row r="146">
          <cell r="A146" t="str">
            <v>Acquisition of Goodwill</v>
          </cell>
          <cell r="E146">
            <v>-10.95</v>
          </cell>
          <cell r="F146">
            <v>-1.75</v>
          </cell>
          <cell r="G146">
            <v>-5.5</v>
          </cell>
          <cell r="H146">
            <v>-17625</v>
          </cell>
          <cell r="I146">
            <v>3720.1000000000004</v>
          </cell>
          <cell r="J146">
            <v>0</v>
          </cell>
          <cell r="K146">
            <v>0</v>
          </cell>
          <cell r="L146">
            <v>0</v>
          </cell>
          <cell r="M146">
            <v>0</v>
          </cell>
          <cell r="N146">
            <v>0</v>
          </cell>
          <cell r="O146">
            <v>0</v>
          </cell>
          <cell r="P146">
            <v>0</v>
          </cell>
        </row>
        <row r="147">
          <cell r="A147" t="str">
            <v>Investments</v>
          </cell>
          <cell r="C147">
            <v>31.186999999999998</v>
          </cell>
          <cell r="D147">
            <v>-26.427999999999997</v>
          </cell>
          <cell r="E147">
            <v>-47.419999999999987</v>
          </cell>
          <cell r="F147">
            <v>65.139999999999986</v>
          </cell>
          <cell r="G147">
            <v>1.5999999999999943</v>
          </cell>
          <cell r="H147">
            <v>-79.700000000000017</v>
          </cell>
          <cell r="I147">
            <v>-31262.1</v>
          </cell>
          <cell r="J147">
            <v>-27967.990796910457</v>
          </cell>
          <cell r="K147">
            <v>-18711.290412887814</v>
          </cell>
          <cell r="L147">
            <v>-3786.0627973584778</v>
          </cell>
          <cell r="M147">
            <v>-4412.1889156115067</v>
          </cell>
          <cell r="N147">
            <v>-5313.725302225459</v>
          </cell>
          <cell r="O147">
            <v>-6355.8061916600418</v>
          </cell>
          <cell r="P147">
            <v>-7605.390660249861</v>
          </cell>
        </row>
        <row r="148">
          <cell r="A148" t="str">
            <v>Investing cash flows</v>
          </cell>
          <cell r="C148">
            <v>-348.47200000000004</v>
          </cell>
          <cell r="D148">
            <v>-574.51099999999815</v>
          </cell>
          <cell r="E148">
            <v>-964.42900000000213</v>
          </cell>
          <cell r="F148">
            <v>-1786.6399999999994</v>
          </cell>
          <cell r="G148">
            <v>-4046.059999999999</v>
          </cell>
          <cell r="H148">
            <v>-36078</v>
          </cell>
          <cell r="I148">
            <v>-50339.3</v>
          </cell>
          <cell r="J148">
            <v>-68673.565737519995</v>
          </cell>
          <cell r="K148">
            <v>-25406.835629790086</v>
          </cell>
          <cell r="L148">
            <v>-9409.5596813513657</v>
          </cell>
          <cell r="M148">
            <v>-14075.469744058761</v>
          </cell>
          <cell r="N148">
            <v>-16947.492031862588</v>
          </cell>
          <cell r="O148">
            <v>-25644.09958516973</v>
          </cell>
          <cell r="P148">
            <v>-21038.638710000094</v>
          </cell>
        </row>
        <row r="149">
          <cell r="A149" t="str">
            <v>Free cash flow</v>
          </cell>
          <cell r="C149">
            <v>-517.08534000000054</v>
          </cell>
          <cell r="D149">
            <v>-577.08201999999869</v>
          </cell>
          <cell r="E149">
            <v>-1007.1520000000008</v>
          </cell>
          <cell r="F149">
            <v>-2189.2049999999995</v>
          </cell>
          <cell r="G149">
            <v>-7308.5168000000003</v>
          </cell>
          <cell r="H149">
            <v>-36444.033999999992</v>
          </cell>
          <cell r="I149">
            <v>-38866.000000000007</v>
          </cell>
          <cell r="J149">
            <v>-60020.83373185806</v>
          </cell>
          <cell r="K149">
            <v>-13219.961354664021</v>
          </cell>
          <cell r="L149">
            <v>19142.478437344649</v>
          </cell>
          <cell r="M149">
            <v>24322.699459480282</v>
          </cell>
          <cell r="N149">
            <v>33302.40122465531</v>
          </cell>
          <cell r="O149">
            <v>45760.515178443013</v>
          </cell>
          <cell r="P149">
            <v>64623.613381796378</v>
          </cell>
        </row>
        <row r="151">
          <cell r="A151" t="str">
            <v>Equity Issuance</v>
          </cell>
          <cell r="E151">
            <v>0</v>
          </cell>
          <cell r="F151">
            <v>46.265000000000001</v>
          </cell>
          <cell r="G151">
            <v>267.6268</v>
          </cell>
          <cell r="H151">
            <v>2.3340000000000001</v>
          </cell>
          <cell r="I151">
            <v>116.22099999999999</v>
          </cell>
          <cell r="J151">
            <v>3.9450000000000012</v>
          </cell>
          <cell r="K151">
            <v>11.092000000000002</v>
          </cell>
          <cell r="L151">
            <v>99.828000000000003</v>
          </cell>
          <cell r="M151">
            <v>0</v>
          </cell>
          <cell r="N151">
            <v>0</v>
          </cell>
          <cell r="O151">
            <v>0</v>
          </cell>
          <cell r="P151">
            <v>0</v>
          </cell>
        </row>
        <row r="152">
          <cell r="A152" t="str">
            <v>Change in Paid-in Capital</v>
          </cell>
          <cell r="C152">
            <v>0</v>
          </cell>
          <cell r="D152">
            <v>0</v>
          </cell>
          <cell r="E152">
            <v>0</v>
          </cell>
          <cell r="F152">
            <v>878</v>
          </cell>
          <cell r="G152">
            <v>13103.8</v>
          </cell>
          <cell r="H152">
            <v>130.19999999999999</v>
          </cell>
          <cell r="I152">
            <v>21324.1</v>
          </cell>
          <cell r="J152">
            <v>-5.547499999999971</v>
          </cell>
          <cell r="K152">
            <v>2010.9387200000001</v>
          </cell>
          <cell r="L152">
            <v>18098.448479999999</v>
          </cell>
          <cell r="M152">
            <v>0</v>
          </cell>
          <cell r="N152">
            <v>0</v>
          </cell>
          <cell r="O152">
            <v>0</v>
          </cell>
          <cell r="P152">
            <v>0</v>
          </cell>
        </row>
        <row r="153">
          <cell r="A153" t="str">
            <v>Net issuance of Preference Capital &amp; Debt</v>
          </cell>
          <cell r="D153">
            <v>651.57099999999991</v>
          </cell>
          <cell r="E153">
            <v>1455.1530000000002</v>
          </cell>
          <cell r="F153">
            <v>2547.4799999999996</v>
          </cell>
          <cell r="G153">
            <v>-429.10999999999967</v>
          </cell>
          <cell r="H153">
            <v>47853.399999999994</v>
          </cell>
          <cell r="I153">
            <v>46834.600000000006</v>
          </cell>
          <cell r="J153">
            <v>30666.942846749997</v>
          </cell>
          <cell r="K153">
            <v>5617.7106452821172</v>
          </cell>
          <cell r="L153">
            <v>-22828.722789811975</v>
          </cell>
          <cell r="M153">
            <v>-17683.079202220135</v>
          </cell>
          <cell r="N153">
            <v>-12500</v>
          </cell>
          <cell r="O153">
            <v>-12500</v>
          </cell>
          <cell r="P153">
            <v>-12500</v>
          </cell>
        </row>
        <row r="154">
          <cell r="A154" t="str">
            <v>Dividend Paid</v>
          </cell>
          <cell r="C154">
            <v>-34.087000000000003</v>
          </cell>
          <cell r="D154">
            <v>-12.1738</v>
          </cell>
          <cell r="E154">
            <v>-280.78000000000003</v>
          </cell>
          <cell r="F154">
            <v>-418.58</v>
          </cell>
          <cell r="G154">
            <v>-1663.5</v>
          </cell>
          <cell r="H154">
            <v>-1673.8000000000002</v>
          </cell>
          <cell r="I154">
            <v>-1771.2275512799999</v>
          </cell>
          <cell r="J154">
            <v>-2124.2645031859997</v>
          </cell>
          <cell r="K154">
            <v>-3100.1248231212498</v>
          </cell>
          <cell r="L154">
            <v>-6384.7495912924996</v>
          </cell>
          <cell r="M154">
            <v>-9112.5469232750002</v>
          </cell>
          <cell r="N154">
            <v>-13658.875809912501</v>
          </cell>
          <cell r="O154">
            <v>-18205.204696549998</v>
          </cell>
          <cell r="P154">
            <v>-22751.533583187502</v>
          </cell>
        </row>
        <row r="155">
          <cell r="A155" t="str">
            <v>Other Financing Cash Flows</v>
          </cell>
          <cell r="C155">
            <v>0</v>
          </cell>
          <cell r="D155">
            <v>0</v>
          </cell>
          <cell r="E155">
            <v>0</v>
          </cell>
          <cell r="F155">
            <v>0</v>
          </cell>
          <cell r="G155">
            <v>0</v>
          </cell>
          <cell r="H155">
            <v>0</v>
          </cell>
          <cell r="I155">
            <v>26581.306551280002</v>
          </cell>
          <cell r="J155">
            <v>0</v>
          </cell>
          <cell r="K155">
            <v>0</v>
          </cell>
          <cell r="L155">
            <v>0</v>
          </cell>
          <cell r="M155">
            <v>0</v>
          </cell>
          <cell r="N155">
            <v>0</v>
          </cell>
          <cell r="O155">
            <v>0</v>
          </cell>
          <cell r="P155">
            <v>0</v>
          </cell>
        </row>
        <row r="156">
          <cell r="A156" t="str">
            <v>Financing Cash Flows</v>
          </cell>
          <cell r="C156">
            <v>-34.087000000000003</v>
          </cell>
          <cell r="D156">
            <v>639.39719999999988</v>
          </cell>
          <cell r="E156">
            <v>1174.3730000000003</v>
          </cell>
          <cell r="F156">
            <v>3053.1649999999995</v>
          </cell>
          <cell r="G156">
            <v>11278.816800000001</v>
          </cell>
          <cell r="H156">
            <v>46312.133999999991</v>
          </cell>
          <cell r="I156">
            <v>93085</v>
          </cell>
          <cell r="J156">
            <v>28541.075843563995</v>
          </cell>
          <cell r="K156">
            <v>4539.6165421608675</v>
          </cell>
          <cell r="L156">
            <v>-11015.195901104475</v>
          </cell>
          <cell r="M156">
            <v>-26795.626125495135</v>
          </cell>
          <cell r="N156">
            <v>-26158.875809912501</v>
          </cell>
          <cell r="O156">
            <v>-30705.204696549998</v>
          </cell>
          <cell r="P156">
            <v>-35251.533583187498</v>
          </cell>
        </row>
        <row r="158">
          <cell r="A158" t="str">
            <v>Net Change in Cash</v>
          </cell>
          <cell r="C158">
            <v>-551.17234000000053</v>
          </cell>
          <cell r="D158">
            <v>62.315180000001192</v>
          </cell>
          <cell r="E158">
            <v>167.22099999999944</v>
          </cell>
          <cell r="F158">
            <v>863.95999999999992</v>
          </cell>
          <cell r="G158">
            <v>3970.2999999999997</v>
          </cell>
          <cell r="H158">
            <v>9868.1</v>
          </cell>
          <cell r="I158">
            <v>54218.999999999993</v>
          </cell>
          <cell r="J158">
            <v>-31479.757888294062</v>
          </cell>
          <cell r="K158">
            <v>-8680.3448125031537</v>
          </cell>
          <cell r="L158">
            <v>8127.2825362401745</v>
          </cell>
          <cell r="M158">
            <v>-2472.9266660148496</v>
          </cell>
          <cell r="N158">
            <v>7143.5254147428059</v>
          </cell>
          <cell r="O158">
            <v>15055.310481893015</v>
          </cell>
          <cell r="P158">
            <v>29372.07979860888</v>
          </cell>
        </row>
        <row r="160">
          <cell r="A160" t="str">
            <v>Cash &amp; Cash Equivalents</v>
          </cell>
        </row>
        <row r="161">
          <cell r="A161" t="str">
            <v>Opening Balance</v>
          </cell>
          <cell r="C161">
            <v>1002.2740000000002</v>
          </cell>
          <cell r="D161">
            <v>451.10299999999904</v>
          </cell>
          <cell r="E161">
            <v>513.41900000000055</v>
          </cell>
          <cell r="F161">
            <v>680.64</v>
          </cell>
          <cell r="G161">
            <v>1544.6</v>
          </cell>
          <cell r="H161">
            <v>5514.9</v>
          </cell>
          <cell r="I161">
            <v>15383</v>
          </cell>
          <cell r="J161">
            <v>69602</v>
          </cell>
          <cell r="K161">
            <v>38122.242111705942</v>
          </cell>
          <cell r="L161">
            <v>29441.897299202788</v>
          </cell>
          <cell r="M161">
            <v>37569.179835442963</v>
          </cell>
          <cell r="N161">
            <v>35096.253169428113</v>
          </cell>
          <cell r="O161">
            <v>42239.778584170919</v>
          </cell>
          <cell r="P161">
            <v>57295.089066063934</v>
          </cell>
        </row>
        <row r="162">
          <cell r="A162" t="str">
            <v>Closing Balance</v>
          </cell>
          <cell r="C162">
            <v>451.10299999999904</v>
          </cell>
          <cell r="D162">
            <v>513.41900000000055</v>
          </cell>
          <cell r="E162">
            <v>680.64</v>
          </cell>
          <cell r="F162">
            <v>1544.6</v>
          </cell>
          <cell r="G162">
            <v>5514.9</v>
          </cell>
          <cell r="H162">
            <v>15383</v>
          </cell>
          <cell r="I162">
            <v>69602</v>
          </cell>
          <cell r="J162">
            <v>38122.242111705942</v>
          </cell>
          <cell r="K162">
            <v>29441.897299202788</v>
          </cell>
          <cell r="L162">
            <v>37569.179835442963</v>
          </cell>
          <cell r="M162">
            <v>35096.253169428113</v>
          </cell>
          <cell r="N162">
            <v>42239.778584170919</v>
          </cell>
          <cell r="O162">
            <v>57295.089066063934</v>
          </cell>
          <cell r="P162">
            <v>86667.168864672814</v>
          </cell>
        </row>
        <row r="163">
          <cell r="A163" t="str">
            <v>Net Change in Cash</v>
          </cell>
          <cell r="C163">
            <v>-551.17100000000119</v>
          </cell>
          <cell r="D163">
            <v>62.316000000001509</v>
          </cell>
          <cell r="E163">
            <v>167.22099999999944</v>
          </cell>
          <cell r="F163">
            <v>863.95999999999992</v>
          </cell>
          <cell r="G163">
            <v>3970.2999999999997</v>
          </cell>
          <cell r="H163">
            <v>9868.1</v>
          </cell>
          <cell r="I163">
            <v>54219</v>
          </cell>
          <cell r="J163">
            <v>-31479.757888294058</v>
          </cell>
          <cell r="K163">
            <v>-8680.3448125031537</v>
          </cell>
          <cell r="L163">
            <v>8127.2825362401745</v>
          </cell>
          <cell r="M163">
            <v>-2472.9266660148496</v>
          </cell>
          <cell r="N163">
            <v>7143.5254147428059</v>
          </cell>
          <cell r="O163">
            <v>15055.310481893015</v>
          </cell>
          <cell r="P163">
            <v>29372.07979860888</v>
          </cell>
        </row>
        <row r="164">
          <cell r="A164" t="str">
            <v>Check</v>
          </cell>
          <cell r="C164">
            <v>1.3399999993453093E-3</v>
          </cell>
          <cell r="D164">
            <v>8.2000000031712261E-4</v>
          </cell>
          <cell r="E164">
            <v>0</v>
          </cell>
          <cell r="F164">
            <v>0</v>
          </cell>
          <cell r="G164">
            <v>0</v>
          </cell>
          <cell r="H164">
            <v>0</v>
          </cell>
          <cell r="I164">
            <v>0</v>
          </cell>
          <cell r="J164">
            <v>0</v>
          </cell>
          <cell r="K164">
            <v>0</v>
          </cell>
          <cell r="L164">
            <v>0</v>
          </cell>
          <cell r="M164">
            <v>0</v>
          </cell>
          <cell r="N164">
            <v>0</v>
          </cell>
          <cell r="O164">
            <v>0</v>
          </cell>
          <cell r="P164">
            <v>0</v>
          </cell>
        </row>
        <row r="166">
          <cell r="A166" t="str">
            <v>Net Debt / (Cash)</v>
          </cell>
          <cell r="C166">
            <v>-4.4469999999990364</v>
          </cell>
          <cell r="D166">
            <v>554.80799999999931</v>
          </cell>
          <cell r="E166">
            <v>1882.9900000000002</v>
          </cell>
          <cell r="F166">
            <v>3566.5099999999998</v>
          </cell>
          <cell r="G166">
            <v>-832.89999999999964</v>
          </cell>
          <cell r="H166">
            <v>36262.399999999994</v>
          </cell>
          <cell r="I166">
            <v>29768</v>
          </cell>
          <cell r="J166">
            <v>91914.700735044054</v>
          </cell>
          <cell r="K166">
            <v>106212.75619282933</v>
          </cell>
          <cell r="L166">
            <v>75256.750866777176</v>
          </cell>
          <cell r="M166">
            <v>60046.598330571891</v>
          </cell>
          <cell r="N166">
            <v>40403.072915829085</v>
          </cell>
          <cell r="O166">
            <v>12847.76243393607</v>
          </cell>
          <cell r="P166">
            <v>-29024.31736467281</v>
          </cell>
        </row>
        <row r="167">
          <cell r="A167" t="str">
            <v>Loan Funds</v>
          </cell>
          <cell r="C167">
            <v>446.65600000000001</v>
          </cell>
          <cell r="D167">
            <v>1068.2269999999999</v>
          </cell>
          <cell r="E167">
            <v>2383.63</v>
          </cell>
          <cell r="F167">
            <v>3958.1099999999997</v>
          </cell>
          <cell r="G167">
            <v>4507</v>
          </cell>
          <cell r="H167">
            <v>51620.399999999994</v>
          </cell>
          <cell r="I167">
            <v>99345</v>
          </cell>
          <cell r="J167">
            <v>130011.94284675</v>
          </cell>
          <cell r="K167">
            <v>135629.65349203211</v>
          </cell>
          <cell r="L167">
            <v>112800.93070222014</v>
          </cell>
          <cell r="M167">
            <v>95117.851500000004</v>
          </cell>
          <cell r="N167">
            <v>82617.851500000004</v>
          </cell>
          <cell r="O167">
            <v>70117.851500000004</v>
          </cell>
          <cell r="P167">
            <v>57617.851500000004</v>
          </cell>
        </row>
        <row r="168">
          <cell r="A168" t="str">
            <v>Preference Share Capital</v>
          </cell>
          <cell r="E168">
            <v>180</v>
          </cell>
          <cell r="F168">
            <v>1153</v>
          </cell>
          <cell r="G168">
            <v>175</v>
          </cell>
          <cell r="H168">
            <v>25</v>
          </cell>
          <cell r="I168">
            <v>25</v>
          </cell>
          <cell r="J168">
            <v>25</v>
          </cell>
          <cell r="K168">
            <v>25</v>
          </cell>
          <cell r="L168">
            <v>25</v>
          </cell>
          <cell r="M168">
            <v>25</v>
          </cell>
          <cell r="N168">
            <v>25</v>
          </cell>
          <cell r="O168">
            <v>25</v>
          </cell>
          <cell r="P168">
            <v>25</v>
          </cell>
        </row>
        <row r="169">
          <cell r="A169" t="str">
            <v>Less: Cash &amp; Cash Equivalents</v>
          </cell>
          <cell r="C169">
            <v>451.10299999999904</v>
          </cell>
          <cell r="D169">
            <v>513.41900000000055</v>
          </cell>
          <cell r="E169">
            <v>680.64</v>
          </cell>
          <cell r="F169">
            <v>1544.6</v>
          </cell>
          <cell r="G169">
            <v>5514.9</v>
          </cell>
          <cell r="H169">
            <v>15383</v>
          </cell>
          <cell r="I169">
            <v>69602</v>
          </cell>
          <cell r="J169">
            <v>38122.242111705942</v>
          </cell>
          <cell r="K169">
            <v>29441.897299202788</v>
          </cell>
          <cell r="L169">
            <v>37569.179835442963</v>
          </cell>
          <cell r="M169">
            <v>35096.253169428113</v>
          </cell>
          <cell r="N169">
            <v>42239.778584170919</v>
          </cell>
          <cell r="O169">
            <v>57295.089066063934</v>
          </cell>
          <cell r="P169">
            <v>86667.168864672814</v>
          </cell>
        </row>
        <row r="171">
          <cell r="A171" t="str">
            <v>Ratio Analysis</v>
          </cell>
        </row>
        <row r="172">
          <cell r="A172" t="str">
            <v>(Rs m, Year Ending Mar)</v>
          </cell>
          <cell r="E172">
            <v>2004</v>
          </cell>
          <cell r="F172">
            <v>2005</v>
          </cell>
          <cell r="G172">
            <v>2006</v>
          </cell>
          <cell r="H172">
            <v>2007</v>
          </cell>
          <cell r="I172">
            <v>2008</v>
          </cell>
          <cell r="J172">
            <v>2009</v>
          </cell>
          <cell r="K172">
            <v>2010</v>
          </cell>
        </row>
        <row r="173">
          <cell r="A173" t="str">
            <v>Net sales growth</v>
          </cell>
          <cell r="E173">
            <v>2.2761981538649629</v>
          </cell>
          <cell r="F173">
            <v>1.2652877729303476</v>
          </cell>
          <cell r="G173">
            <v>0.97738254460015606</v>
          </cell>
          <cell r="H173">
            <v>1.0790595230966691</v>
          </cell>
          <cell r="I173">
            <v>0.71298428571965222</v>
          </cell>
          <cell r="J173">
            <v>0.40720809931718582</v>
          </cell>
          <cell r="K173">
            <v>0.28993907789367945</v>
          </cell>
        </row>
        <row r="174">
          <cell r="A174" t="str">
            <v>EBITDA margin</v>
          </cell>
          <cell r="E174">
            <v>0.16923739852757844</v>
          </cell>
          <cell r="F174">
            <v>0.2415806169632459</v>
          </cell>
          <cell r="G174">
            <v>0.22895160933395484</v>
          </cell>
          <cell r="H174">
            <v>0.16549645430035814</v>
          </cell>
          <cell r="I174">
            <v>0.14393655291192689</v>
          </cell>
          <cell r="J174">
            <v>0.13462222566339541</v>
          </cell>
          <cell r="K174">
            <v>0.14058729324253444</v>
          </cell>
        </row>
        <row r="175">
          <cell r="A175" t="str">
            <v>Effective Tax rate (%)</v>
          </cell>
          <cell r="E175">
            <v>2.467540931135381E-2</v>
          </cell>
          <cell r="F175">
            <v>8.110889338920621E-2</v>
          </cell>
          <cell r="G175">
            <v>6.9506808755337449E-2</v>
          </cell>
          <cell r="H175">
            <v>0.11839795096358426</v>
          </cell>
          <cell r="I175">
            <v>0.1106236427051572</v>
          </cell>
          <cell r="J175">
            <v>0.11068715571405859</v>
          </cell>
          <cell r="K175">
            <v>0.1174242361735706</v>
          </cell>
        </row>
        <row r="176">
          <cell r="A176" t="str">
            <v>Dividend payout ratio (%)</v>
          </cell>
          <cell r="E176">
            <v>0.19071202542181415</v>
          </cell>
          <cell r="F176">
            <v>0.10912805885752279</v>
          </cell>
          <cell r="G176">
            <v>0.21707019171201128</v>
          </cell>
          <cell r="H176">
            <v>0.19190033068392806</v>
          </cell>
          <cell r="I176">
            <v>0.17034525031699282</v>
          </cell>
          <cell r="J176">
            <v>0.14684492133022817</v>
          </cell>
          <cell r="K176">
            <v>0.155426421201629</v>
          </cell>
        </row>
        <row r="178">
          <cell r="A178" t="str">
            <v>ROE (%)</v>
          </cell>
          <cell r="E178">
            <v>0.37594339037688551</v>
          </cell>
          <cell r="F178">
            <v>0.62839460437891848</v>
          </cell>
          <cell r="G178">
            <v>0.43381563807377183</v>
          </cell>
          <cell r="H178">
            <v>0.27825704133873053</v>
          </cell>
          <cell r="I178">
            <v>0.21117607463411658</v>
          </cell>
          <cell r="J178">
            <v>0.16516586179615553</v>
          </cell>
          <cell r="K178">
            <v>0.18450844260431917</v>
          </cell>
        </row>
        <row r="179">
          <cell r="A179" t="str">
            <v>ROCE (%) Post Tax</v>
          </cell>
          <cell r="E179">
            <v>0.29592083611116066</v>
          </cell>
          <cell r="F179">
            <v>0.4322672994488902</v>
          </cell>
          <cell r="G179">
            <v>0.37568014324803906</v>
          </cell>
          <cell r="H179">
            <v>0.19127432991024423</v>
          </cell>
          <cell r="I179">
            <v>0.12903395945958207</v>
          </cell>
          <cell r="J179">
            <v>0.10167274781248088</v>
          </cell>
          <cell r="K179">
            <v>0.11198167684500487</v>
          </cell>
        </row>
        <row r="181">
          <cell r="A181" t="str">
            <v>Sales/Total assets (x)</v>
          </cell>
          <cell r="E181">
            <v>4.6981947405360707</v>
          </cell>
          <cell r="F181">
            <v>5.2418265202449703</v>
          </cell>
          <cell r="G181">
            <v>4.029058082598719</v>
          </cell>
          <cell r="H181">
            <v>2.5453093774203732</v>
          </cell>
          <cell r="I181">
            <v>1.643297158467057</v>
          </cell>
          <cell r="J181">
            <v>1.4856034437453414</v>
          </cell>
          <cell r="K181">
            <v>1.7284342723474955</v>
          </cell>
        </row>
        <row r="182">
          <cell r="A182" t="str">
            <v>Sales/Net FA (x)</v>
          </cell>
          <cell r="E182">
            <v>6.6053784404818163</v>
          </cell>
          <cell r="F182">
            <v>8.4377231619275967</v>
          </cell>
          <cell r="G182">
            <v>8.4839643062243244</v>
          </cell>
          <cell r="H182">
            <v>5.5364184692179705</v>
          </cell>
          <cell r="I182">
            <v>4.1851997460628265</v>
          </cell>
          <cell r="J182">
            <v>3.1842137307714404</v>
          </cell>
          <cell r="K182">
            <v>3.1869261098909303</v>
          </cell>
        </row>
        <row r="184">
          <cell r="A184" t="str">
            <v>Debtor turnover (days)</v>
          </cell>
          <cell r="E184">
            <v>146.54501054811726</v>
          </cell>
          <cell r="F184">
            <v>130.19675343194945</v>
          </cell>
          <cell r="G184">
            <v>156.53825926899813</v>
          </cell>
          <cell r="H184">
            <v>117.484062195942</v>
          </cell>
          <cell r="I184">
            <v>125.15619071847294</v>
          </cell>
          <cell r="J184">
            <v>110</v>
          </cell>
          <cell r="K184">
            <v>110</v>
          </cell>
        </row>
        <row r="185">
          <cell r="A185" t="str">
            <v>Inventory turnover (days)</v>
          </cell>
          <cell r="E185">
            <v>94.119882355547944</v>
          </cell>
          <cell r="F185">
            <v>108.1518644703014</v>
          </cell>
          <cell r="G185">
            <v>131.15570563104166</v>
          </cell>
          <cell r="H185">
            <v>143.34938696900596</v>
          </cell>
          <cell r="I185">
            <v>108.99306111438855</v>
          </cell>
          <cell r="J185">
            <v>109.84093298253801</v>
          </cell>
          <cell r="K185">
            <v>108.78584389550711</v>
          </cell>
        </row>
        <row r="186">
          <cell r="A186" t="str">
            <v>Working capital turnover (days)</v>
          </cell>
          <cell r="E186">
            <v>155.16072321950233</v>
          </cell>
          <cell r="F186">
            <v>152.63248256611905</v>
          </cell>
          <cell r="G186">
            <v>181.61767807072576</v>
          </cell>
          <cell r="H186">
            <v>140.79302080085353</v>
          </cell>
          <cell r="I186">
            <v>87.916634684339925</v>
          </cell>
          <cell r="J186">
            <v>84.698108127181882</v>
          </cell>
          <cell r="K186">
            <v>90.178619294933668</v>
          </cell>
        </row>
        <row r="187">
          <cell r="A187" t="str">
            <v>Working Capital (% of Sales)</v>
          </cell>
          <cell r="E187">
            <v>0.42509787183425296</v>
          </cell>
          <cell r="F187">
            <v>0.41817118511265494</v>
          </cell>
          <cell r="G187">
            <v>0.49758267964582403</v>
          </cell>
          <cell r="H187">
            <v>0.38573430356398225</v>
          </cell>
          <cell r="I187">
            <v>0.24086749228586282</v>
          </cell>
          <cell r="J187">
            <v>0.23204961130734764</v>
          </cell>
          <cell r="K187">
            <v>0.24706471039707853</v>
          </cell>
        </row>
        <row r="189">
          <cell r="A189" t="str">
            <v>Total debt/Equity</v>
          </cell>
          <cell r="E189">
            <v>0.6789442937840996</v>
          </cell>
          <cell r="F189">
            <v>0.64748259801234209</v>
          </cell>
          <cell r="G189">
            <v>0.17138516359746153</v>
          </cell>
          <cell r="H189">
            <v>1.5101602484095475</v>
          </cell>
          <cell r="I189">
            <v>1.2262876977465289</v>
          </cell>
          <cell r="J189">
            <v>1.3959152441514642</v>
          </cell>
          <cell r="K189">
            <v>1.2118210389081936</v>
          </cell>
        </row>
        <row r="190">
          <cell r="A190" t="str">
            <v>Net debt/Equity</v>
          </cell>
          <cell r="E190">
            <v>0.49655118819204025</v>
          </cell>
          <cell r="F190">
            <v>0.45169558072221649</v>
          </cell>
          <cell r="G190">
            <v>-3.1572113345557692E-2</v>
          </cell>
          <cell r="H190">
            <v>1.060128960366757</v>
          </cell>
          <cell r="I190">
            <v>0.36713951375585091</v>
          </cell>
          <cell r="J190">
            <v>0.98660347063470144</v>
          </cell>
          <cell r="K190">
            <v>0.94876418036771037</v>
          </cell>
        </row>
        <row r="192">
          <cell r="A192" t="str">
            <v>Year End Equity Shares (o/s)</v>
          </cell>
          <cell r="B192">
            <v>6.0869499999999999</v>
          </cell>
          <cell r="C192">
            <v>60.869500000000002</v>
          </cell>
          <cell r="D192">
            <v>60.869500000000002</v>
          </cell>
          <cell r="E192">
            <v>121.74</v>
          </cell>
          <cell r="F192">
            <v>434.6</v>
          </cell>
          <cell r="G192">
            <v>1437.6569</v>
          </cell>
          <cell r="H192">
            <v>1438.8239000000001</v>
          </cell>
        </row>
        <row r="193">
          <cell r="A193" t="str">
            <v>Diluted Equity Shares (o/s)</v>
          </cell>
          <cell r="B193">
            <v>121.74</v>
          </cell>
          <cell r="C193">
            <v>121.74</v>
          </cell>
          <cell r="D193">
            <v>121.74</v>
          </cell>
          <cell r="E193">
            <v>121.74</v>
          </cell>
          <cell r="F193">
            <v>434.6</v>
          </cell>
          <cell r="G193">
            <v>1437.6569</v>
          </cell>
          <cell r="H193">
            <v>1439.1508999999999</v>
          </cell>
        </row>
        <row r="194">
          <cell r="A194" t="str">
            <v>Basic EPS</v>
          </cell>
          <cell r="B194">
            <v>0.58887673408029428</v>
          </cell>
          <cell r="C194">
            <v>0.77777156705469841</v>
          </cell>
          <cell r="D194">
            <v>0.10595991296671681</v>
          </cell>
          <cell r="E194">
            <v>0.82238467328331266</v>
          </cell>
          <cell r="F194">
            <v>2.5411921996131333</v>
          </cell>
          <cell r="G194">
            <v>5.2829016436397351</v>
          </cell>
          <cell r="H194">
            <v>5.9274105747061823</v>
          </cell>
        </row>
        <row r="195">
          <cell r="A195" t="str">
            <v>Diluted EPS</v>
          </cell>
          <cell r="B195">
            <v>0.58887673408029428</v>
          </cell>
          <cell r="C195">
            <v>0.77777156705469841</v>
          </cell>
          <cell r="D195">
            <v>0.10595991296671681</v>
          </cell>
          <cell r="E195">
            <v>0.82238467328331266</v>
          </cell>
          <cell r="F195">
            <v>2.5411921996131333</v>
          </cell>
          <cell r="G195">
            <v>5.2829016436397351</v>
          </cell>
          <cell r="H195">
            <v>5.9260637644044083</v>
          </cell>
        </row>
        <row r="196">
          <cell r="A196" t="str">
            <v>Reported EPS - Basic</v>
          </cell>
          <cell r="B196">
            <v>139.08487830522679</v>
          </cell>
          <cell r="C196">
            <v>18.369933382071476</v>
          </cell>
          <cell r="D196">
            <v>2.5026326813921567</v>
          </cell>
          <cell r="E196">
            <v>11.904361754558897</v>
          </cell>
          <cell r="F196">
            <v>8.4062643810400317</v>
          </cell>
          <cell r="G196">
            <v>5.2829016436397351</v>
          </cell>
          <cell r="H196">
            <v>6.0051129259112175</v>
          </cell>
        </row>
        <row r="197">
          <cell r="A197" t="str">
            <v>Reported EPS - Diluted</v>
          </cell>
          <cell r="B197">
            <v>6.9541867915229201</v>
          </cell>
          <cell r="C197">
            <v>9.1848912436339738</v>
          </cell>
          <cell r="D197">
            <v>1.2513060620995555</v>
          </cell>
          <cell r="E197">
            <v>11.904361754558897</v>
          </cell>
          <cell r="F197">
            <v>8.4062643810400317</v>
          </cell>
          <cell r="G197">
            <v>5.2829016436397351</v>
          </cell>
          <cell r="H197">
            <v>6.0037484602900157</v>
          </cell>
        </row>
        <row r="198">
          <cell r="A198" t="str">
            <v>Book value (Rs/share)</v>
          </cell>
          <cell r="B198">
            <v>4.5737094852047102</v>
          </cell>
          <cell r="C198">
            <v>7.8127333440962161</v>
          </cell>
          <cell r="D198">
            <v>8.8967472002534116</v>
          </cell>
          <cell r="E198">
            <v>12.978479079396481</v>
          </cell>
          <cell r="F198">
            <v>27.437648718550303</v>
          </cell>
          <cell r="G198">
            <v>94.503472281877535</v>
          </cell>
          <cell r="H198">
            <v>118.78475121243119</v>
          </cell>
          <cell r="I198">
            <v>270.59287217341932</v>
          </cell>
          <cell r="J198">
            <v>310.68123569556752</v>
          </cell>
          <cell r="K198">
            <v>371.96584994784848</v>
          </cell>
        </row>
        <row r="199">
          <cell r="A199" t="str">
            <v>Shares Outstanding</v>
          </cell>
          <cell r="B199">
            <v>6.0870000000000006</v>
          </cell>
          <cell r="C199">
            <v>12.1739</v>
          </cell>
          <cell r="D199">
            <v>12.1739</v>
          </cell>
          <cell r="E199">
            <v>24.347999999999999</v>
          </cell>
          <cell r="F199">
            <v>86.92</v>
          </cell>
          <cell r="G199">
            <v>287.53138000000001</v>
          </cell>
          <cell r="H199">
            <v>287.76478000000003</v>
          </cell>
          <cell r="I199">
            <v>299.39</v>
          </cell>
          <cell r="J199">
            <v>299.78450000000004</v>
          </cell>
          <cell r="K199">
            <v>300.89370000000002</v>
          </cell>
        </row>
        <row r="201">
          <cell r="A201" t="str">
            <v>Misc Schedules</v>
          </cell>
        </row>
        <row r="202">
          <cell r="A202" t="str">
            <v>DIVIDEND</v>
          </cell>
        </row>
        <row r="203">
          <cell r="A203" t="str">
            <v>Dividend on Equity Shares</v>
          </cell>
          <cell r="E203">
            <v>243.48000000000002</v>
          </cell>
          <cell r="F203">
            <v>347.76</v>
          </cell>
          <cell r="G203">
            <v>1439.1</v>
          </cell>
          <cell r="H203">
            <v>1445.4</v>
          </cell>
          <cell r="I203">
            <v>1496.9343999999999</v>
          </cell>
          <cell r="J203">
            <v>1798.6882799999998</v>
          </cell>
          <cell r="K203">
            <v>2632.7925749999999</v>
          </cell>
          <cell r="L203">
            <v>5440.2841499999995</v>
          </cell>
          <cell r="M203">
            <v>7771.8344999999999</v>
          </cell>
          <cell r="N203">
            <v>11657.751749999999</v>
          </cell>
          <cell r="O203">
            <v>15543.669</v>
          </cell>
          <cell r="P203">
            <v>19429.58625</v>
          </cell>
        </row>
        <row r="204">
          <cell r="A204" t="str">
            <v>Dividend Tax</v>
          </cell>
          <cell r="E204">
            <v>31.871677138714354</v>
          </cell>
          <cell r="F204">
            <v>48.487225609756095</v>
          </cell>
          <cell r="G204">
            <v>205.43036339905203</v>
          </cell>
          <cell r="H204">
            <v>208.94253282275713</v>
          </cell>
          <cell r="I204">
            <v>254.40400128000002</v>
          </cell>
          <cell r="J204">
            <v>305.68707318600002</v>
          </cell>
          <cell r="K204">
            <v>447.44309812125005</v>
          </cell>
          <cell r="L204">
            <v>924.57629129250006</v>
          </cell>
          <cell r="M204">
            <v>1320.823273275</v>
          </cell>
          <cell r="N204">
            <v>1981.2349099125001</v>
          </cell>
          <cell r="O204">
            <v>2641.64654655</v>
          </cell>
          <cell r="P204">
            <v>3302.0581831875006</v>
          </cell>
        </row>
        <row r="205">
          <cell r="A205" t="str">
            <v>Dividend of Pref Shares</v>
          </cell>
          <cell r="E205">
            <v>4.8</v>
          </cell>
          <cell r="F205">
            <v>19.600000000000001</v>
          </cell>
          <cell r="G205">
            <v>16.600000000000001</v>
          </cell>
          <cell r="H205">
            <v>17</v>
          </cell>
          <cell r="I205">
            <v>17</v>
          </cell>
          <cell r="J205">
            <v>17</v>
          </cell>
          <cell r="K205">
            <v>17</v>
          </cell>
          <cell r="L205">
            <v>17</v>
          </cell>
          <cell r="M205">
            <v>17</v>
          </cell>
          <cell r="N205">
            <v>17</v>
          </cell>
          <cell r="O205">
            <v>17</v>
          </cell>
          <cell r="P205">
            <v>17</v>
          </cell>
        </row>
        <row r="206">
          <cell r="A206" t="str">
            <v>Dividend tax on pref shares</v>
          </cell>
          <cell r="E206">
            <v>0.62832286128564618</v>
          </cell>
          <cell r="F206">
            <v>2.7327743902439039</v>
          </cell>
          <cell r="G206">
            <v>2.3696366009479846</v>
          </cell>
          <cell r="H206">
            <v>2.4574671772428758</v>
          </cell>
          <cell r="I206">
            <v>2.8891500000000003</v>
          </cell>
          <cell r="J206">
            <v>2.8891500000000003</v>
          </cell>
          <cell r="K206">
            <v>2.8891500000000003</v>
          </cell>
          <cell r="L206">
            <v>2.8891500000000003</v>
          </cell>
          <cell r="M206">
            <v>2.8891500000000003</v>
          </cell>
          <cell r="N206">
            <v>2.8891500000000003</v>
          </cell>
          <cell r="O206">
            <v>2.8891500000000003</v>
          </cell>
          <cell r="P206">
            <v>2.8891500000000003</v>
          </cell>
        </row>
        <row r="207">
          <cell r="A207" t="str">
            <v>Total</v>
          </cell>
          <cell r="E207">
            <v>280.78000000000003</v>
          </cell>
          <cell r="F207">
            <v>418.58</v>
          </cell>
          <cell r="G207">
            <v>1663.5</v>
          </cell>
          <cell r="H207">
            <v>1673.8000000000002</v>
          </cell>
          <cell r="I207">
            <v>1771.2275512799999</v>
          </cell>
          <cell r="J207">
            <v>2124.2645031859997</v>
          </cell>
          <cell r="K207">
            <v>3100.1248231212498</v>
          </cell>
          <cell r="L207">
            <v>6384.7495912924996</v>
          </cell>
          <cell r="M207">
            <v>9112.5469232750002</v>
          </cell>
          <cell r="N207">
            <v>13658.875809912501</v>
          </cell>
          <cell r="O207">
            <v>18205.204696549998</v>
          </cell>
          <cell r="P207">
            <v>22751.533583187502</v>
          </cell>
        </row>
        <row r="209">
          <cell r="A209" t="str">
            <v>COST OF GOODS SOLD</v>
          </cell>
        </row>
        <row r="210">
          <cell r="A210" t="str">
            <v>Consumption of raw materials</v>
          </cell>
        </row>
        <row r="211">
          <cell r="A211" t="str">
            <v>Opening stock</v>
          </cell>
          <cell r="E211">
            <v>770.22</v>
          </cell>
          <cell r="F211">
            <v>1703.66</v>
          </cell>
          <cell r="G211">
            <v>4591.3</v>
          </cell>
          <cell r="H211">
            <v>10430.299999999999</v>
          </cell>
        </row>
        <row r="212">
          <cell r="A212" t="str">
            <v>Add: Purchases</v>
          </cell>
          <cell r="E212">
            <v>5764.33</v>
          </cell>
          <cell r="F212">
            <v>14760.7</v>
          </cell>
          <cell r="G212">
            <v>31556.3</v>
          </cell>
          <cell r="H212">
            <v>65644.800000000003</v>
          </cell>
        </row>
        <row r="213">
          <cell r="A213" t="str">
            <v>Less: Closing stock</v>
          </cell>
          <cell r="E213">
            <v>1703.66</v>
          </cell>
          <cell r="F213">
            <v>4591.3</v>
          </cell>
          <cell r="G213">
            <v>10430.299999999999</v>
          </cell>
          <cell r="H213">
            <v>16933.099999999999</v>
          </cell>
        </row>
        <row r="214">
          <cell r="E214">
            <v>4830.8900000000003</v>
          </cell>
          <cell r="F214">
            <v>11873.060000000001</v>
          </cell>
          <cell r="G214">
            <v>25717.3</v>
          </cell>
          <cell r="H214">
            <v>59142.000000000007</v>
          </cell>
          <cell r="I214">
            <v>95381.4</v>
          </cell>
        </row>
        <row r="215">
          <cell r="A215" t="str">
            <v>Trading purchases</v>
          </cell>
          <cell r="E215">
            <v>640.65</v>
          </cell>
          <cell r="F215">
            <v>160.69999999999999</v>
          </cell>
          <cell r="G215">
            <v>1131</v>
          </cell>
          <cell r="H215">
            <v>0</v>
          </cell>
        </row>
        <row r="216">
          <cell r="A216" t="str">
            <v>(Increase) / Decrease in stocks</v>
          </cell>
        </row>
        <row r="217">
          <cell r="A217" t="str">
            <v>Opening balance</v>
          </cell>
          <cell r="E217">
            <v>577.33999999999992</v>
          </cell>
          <cell r="F217">
            <v>507.5</v>
          </cell>
          <cell r="G217">
            <v>1164.4000000000001</v>
          </cell>
          <cell r="H217">
            <v>3364.1</v>
          </cell>
        </row>
        <row r="218">
          <cell r="A218" t="str">
            <v>Semi finished goods and work-in-progress</v>
          </cell>
          <cell r="E218">
            <v>82.16</v>
          </cell>
          <cell r="F218">
            <v>303.7</v>
          </cell>
          <cell r="G218">
            <v>1028.7</v>
          </cell>
          <cell r="H218">
            <v>2970</v>
          </cell>
        </row>
        <row r="219">
          <cell r="A219" t="str">
            <v>Finished goods</v>
          </cell>
          <cell r="E219">
            <v>492.53</v>
          </cell>
          <cell r="F219">
            <v>193</v>
          </cell>
          <cell r="G219">
            <v>31</v>
          </cell>
          <cell r="H219">
            <v>0</v>
          </cell>
        </row>
        <row r="220">
          <cell r="A220" t="str">
            <v>Land and land lease rights</v>
          </cell>
          <cell r="E220">
            <v>2.65</v>
          </cell>
          <cell r="F220">
            <v>10.8</v>
          </cell>
          <cell r="G220">
            <v>104.7</v>
          </cell>
          <cell r="H220">
            <v>394.1</v>
          </cell>
        </row>
        <row r="222">
          <cell r="A222" t="str">
            <v>Closing balance</v>
          </cell>
          <cell r="E222">
            <v>507.51</v>
          </cell>
          <cell r="F222">
            <v>1164.4000000000001</v>
          </cell>
          <cell r="G222">
            <v>3364.1</v>
          </cell>
          <cell r="H222">
            <v>14392.4</v>
          </cell>
        </row>
        <row r="223">
          <cell r="A223" t="str">
            <v>Semi finished goods and work-in-progress</v>
          </cell>
          <cell r="E223">
            <v>303.68</v>
          </cell>
          <cell r="F223">
            <v>1028.7</v>
          </cell>
          <cell r="G223">
            <v>2970</v>
          </cell>
          <cell r="H223">
            <v>14228</v>
          </cell>
        </row>
        <row r="224">
          <cell r="A224" t="str">
            <v>Finished goods</v>
          </cell>
          <cell r="E224">
            <v>192.96</v>
          </cell>
          <cell r="F224">
            <v>31</v>
          </cell>
          <cell r="G224">
            <v>0</v>
          </cell>
          <cell r="H224">
            <v>0</v>
          </cell>
        </row>
        <row r="225">
          <cell r="A225" t="str">
            <v>Land and land lease rights</v>
          </cell>
          <cell r="E225">
            <v>10.87</v>
          </cell>
          <cell r="F225">
            <v>104.7</v>
          </cell>
          <cell r="G225">
            <v>394.1</v>
          </cell>
          <cell r="H225">
            <v>164.4</v>
          </cell>
        </row>
        <row r="226">
          <cell r="A226" t="str">
            <v>(Increase)/Decrease in stocks</v>
          </cell>
          <cell r="E226">
            <v>69.829999999999927</v>
          </cell>
          <cell r="F226">
            <v>-656.90000000000009</v>
          </cell>
          <cell r="G226">
            <v>-2199.6999999999998</v>
          </cell>
          <cell r="H226">
            <v>-11028.3</v>
          </cell>
          <cell r="I226">
            <v>-6679.6</v>
          </cell>
        </row>
        <row r="228">
          <cell r="A228" t="str">
            <v>Less:Transfer to designs and drawings</v>
          </cell>
          <cell r="G228">
            <v>238.6</v>
          </cell>
          <cell r="H228">
            <v>0</v>
          </cell>
        </row>
        <row r="229">
          <cell r="E229">
            <v>5541.37</v>
          </cell>
          <cell r="F229">
            <v>11376.860000000002</v>
          </cell>
          <cell r="G229">
            <v>23279</v>
          </cell>
          <cell r="H229">
            <v>48113.700000000012</v>
          </cell>
        </row>
        <row r="231">
          <cell r="A231" t="str">
            <v>OPERATING AND OTHER EXPENSES</v>
          </cell>
          <cell r="E231">
            <v>2004</v>
          </cell>
          <cell r="F231">
            <v>2005</v>
          </cell>
          <cell r="G231">
            <v>2006</v>
          </cell>
          <cell r="H231">
            <v>2007</v>
          </cell>
        </row>
        <row r="232">
          <cell r="A232" t="str">
            <v>Stores and spares</v>
          </cell>
          <cell r="E232">
            <v>34.909999999999997</v>
          </cell>
          <cell r="F232">
            <v>70.099999999999994</v>
          </cell>
          <cell r="G232">
            <v>177.8</v>
          </cell>
          <cell r="H232">
            <v>1093.7</v>
          </cell>
        </row>
        <row r="233">
          <cell r="A233" t="str">
            <v xml:space="preserve">Power and fuel </v>
          </cell>
          <cell r="E233">
            <v>6.44</v>
          </cell>
          <cell r="F233">
            <v>12.5</v>
          </cell>
          <cell r="G233">
            <v>40.700000000000003</v>
          </cell>
          <cell r="H233">
            <v>306.5</v>
          </cell>
        </row>
        <row r="234">
          <cell r="A234" t="str">
            <v>Factory expenses</v>
          </cell>
          <cell r="E234">
            <v>18.05</v>
          </cell>
          <cell r="F234">
            <v>25.8</v>
          </cell>
          <cell r="G234">
            <v>171.6</v>
          </cell>
          <cell r="H234">
            <v>212.7</v>
          </cell>
        </row>
        <row r="235">
          <cell r="A235" t="str">
            <v>Repairs and maintenance:</v>
          </cell>
        </row>
        <row r="236">
          <cell r="A236" t="str">
            <v xml:space="preserve">Plant and machinery </v>
          </cell>
          <cell r="E236">
            <v>5.2</v>
          </cell>
          <cell r="F236">
            <v>4.5</v>
          </cell>
          <cell r="G236">
            <v>14.8</v>
          </cell>
          <cell r="H236">
            <v>13.6</v>
          </cell>
        </row>
        <row r="237">
          <cell r="A237" t="str">
            <v>Building</v>
          </cell>
          <cell r="E237">
            <v>3.08</v>
          </cell>
          <cell r="F237">
            <v>14.7</v>
          </cell>
          <cell r="G237">
            <v>19.3</v>
          </cell>
          <cell r="H237">
            <v>34.4</v>
          </cell>
        </row>
        <row r="238">
          <cell r="A238" t="str">
            <v>Others</v>
          </cell>
          <cell r="E238">
            <v>1.1499999999999999</v>
          </cell>
          <cell r="F238">
            <v>17.2</v>
          </cell>
          <cell r="G238">
            <v>30.6</v>
          </cell>
          <cell r="H238">
            <v>94.1</v>
          </cell>
        </row>
        <row r="239">
          <cell r="A239" t="str">
            <v xml:space="preserve">Design change and technological upgradation charges </v>
          </cell>
          <cell r="E239">
            <v>0</v>
          </cell>
          <cell r="F239">
            <v>32.799999999999997</v>
          </cell>
          <cell r="G239">
            <v>51.6</v>
          </cell>
          <cell r="H239">
            <v>551.1</v>
          </cell>
        </row>
        <row r="240">
          <cell r="A240" t="str">
            <v>Operating and Maintenance charges</v>
          </cell>
          <cell r="E240">
            <v>0</v>
          </cell>
          <cell r="F240">
            <v>70.3</v>
          </cell>
          <cell r="G240">
            <v>146.69999999999999</v>
          </cell>
          <cell r="H240">
            <v>183.1</v>
          </cell>
        </row>
        <row r="241">
          <cell r="A241" t="str">
            <v xml:space="preserve">Operating lease charges </v>
          </cell>
          <cell r="E241">
            <v>0.95</v>
          </cell>
          <cell r="F241">
            <v>3.9</v>
          </cell>
        </row>
        <row r="242">
          <cell r="A242" t="str">
            <v xml:space="preserve">Provision for operation, maintenance and warranty </v>
          </cell>
          <cell r="E242">
            <v>407.85</v>
          </cell>
          <cell r="F242">
            <v>34</v>
          </cell>
          <cell r="G242">
            <v>857.7</v>
          </cell>
          <cell r="H242">
            <v>859.1</v>
          </cell>
        </row>
        <row r="243">
          <cell r="A243" t="str">
            <v xml:space="preserve">Provision for performance guarantee </v>
          </cell>
          <cell r="E243">
            <v>0</v>
          </cell>
          <cell r="F243">
            <v>49.8</v>
          </cell>
          <cell r="G243">
            <v>1065.0999999999999</v>
          </cell>
          <cell r="H243">
            <v>1027</v>
          </cell>
          <cell r="I243">
            <v>4505.5622077047037</v>
          </cell>
          <cell r="J243">
            <v>4798.0900883317472</v>
          </cell>
          <cell r="K243">
            <v>6049.5960066800053</v>
          </cell>
          <cell r="L243">
            <v>7629.3206786903329</v>
          </cell>
          <cell r="M243">
            <v>9362.7319590839707</v>
          </cell>
          <cell r="N243">
            <v>11869.861966672819</v>
          </cell>
          <cell r="O243">
            <v>13831.900175850547</v>
          </cell>
          <cell r="P243">
            <v>15619.531443707376</v>
          </cell>
        </row>
        <row r="244">
          <cell r="A244" t="str">
            <v>Quality assurance expenses</v>
          </cell>
          <cell r="E244">
            <v>15.99</v>
          </cell>
          <cell r="F244">
            <v>6.6</v>
          </cell>
          <cell r="G244">
            <v>165.6</v>
          </cell>
          <cell r="H244">
            <v>147.80000000000001</v>
          </cell>
        </row>
        <row r="245">
          <cell r="A245" t="str">
            <v>WTG -  O&amp;M</v>
          </cell>
          <cell r="E245">
            <v>51.08</v>
          </cell>
          <cell r="F245">
            <v>0</v>
          </cell>
          <cell r="G245">
            <v>0</v>
          </cell>
          <cell r="H245">
            <v>0</v>
          </cell>
        </row>
        <row r="246">
          <cell r="A246" t="str">
            <v>Other manufacturing &amp; operating exp</v>
          </cell>
          <cell r="E246">
            <v>0.97</v>
          </cell>
          <cell r="F246">
            <v>0</v>
          </cell>
          <cell r="G246">
            <v>0</v>
          </cell>
          <cell r="H246">
            <v>0</v>
          </cell>
        </row>
        <row r="247">
          <cell r="A247" t="str">
            <v xml:space="preserve">R &amp; D, certification and product development </v>
          </cell>
          <cell r="E247">
            <v>54.22</v>
          </cell>
          <cell r="F247">
            <v>578.4</v>
          </cell>
          <cell r="G247">
            <v>95.3</v>
          </cell>
          <cell r="H247">
            <v>117.5</v>
          </cell>
        </row>
        <row r="248">
          <cell r="A248" t="str">
            <v xml:space="preserve">Insurance </v>
          </cell>
          <cell r="E248">
            <v>15.69</v>
          </cell>
          <cell r="F248">
            <v>450.7</v>
          </cell>
          <cell r="G248">
            <v>59.6</v>
          </cell>
          <cell r="H248">
            <v>194.6</v>
          </cell>
        </row>
        <row r="249">
          <cell r="A249" t="str">
            <v xml:space="preserve">Advertisement and sales promotion </v>
          </cell>
          <cell r="E249">
            <v>56.1</v>
          </cell>
          <cell r="F249">
            <v>61</v>
          </cell>
          <cell r="G249">
            <v>155.5</v>
          </cell>
          <cell r="H249">
            <v>390</v>
          </cell>
        </row>
        <row r="250">
          <cell r="A250" t="str">
            <v xml:space="preserve">Infrastructure development expenses </v>
          </cell>
          <cell r="E250">
            <v>17.37</v>
          </cell>
          <cell r="F250">
            <v>146.30000000000001</v>
          </cell>
        </row>
        <row r="251">
          <cell r="A251" t="str">
            <v xml:space="preserve">Freight outward and packing expenses </v>
          </cell>
          <cell r="E251">
            <v>148.46</v>
          </cell>
          <cell r="F251">
            <v>245.9</v>
          </cell>
          <cell r="G251">
            <v>796.4</v>
          </cell>
          <cell r="H251">
            <v>2286.4</v>
          </cell>
        </row>
        <row r="252">
          <cell r="A252" t="str">
            <v xml:space="preserve">Sales commission </v>
          </cell>
          <cell r="E252">
            <v>92.88</v>
          </cell>
          <cell r="F252">
            <v>97.8</v>
          </cell>
          <cell r="G252">
            <v>232.5</v>
          </cell>
          <cell r="H252">
            <v>238.2</v>
          </cell>
        </row>
        <row r="253">
          <cell r="A253" t="str">
            <v>Travelling, conveyance and vehicle expenses</v>
          </cell>
          <cell r="E253">
            <v>87.97</v>
          </cell>
          <cell r="F253">
            <v>160.19999999999999</v>
          </cell>
          <cell r="G253">
            <v>335.2</v>
          </cell>
          <cell r="H253">
            <v>872.2</v>
          </cell>
        </row>
        <row r="254">
          <cell r="A254" t="str">
            <v xml:space="preserve">Communication expenses </v>
          </cell>
          <cell r="E254">
            <v>17.14</v>
          </cell>
          <cell r="F254">
            <v>26.6</v>
          </cell>
          <cell r="G254">
            <v>55.5</v>
          </cell>
          <cell r="H254">
            <v>217.3</v>
          </cell>
        </row>
        <row r="255">
          <cell r="A255" t="str">
            <v xml:space="preserve">Auditors' remuneration and expenses </v>
          </cell>
          <cell r="E255">
            <v>1.28</v>
          </cell>
          <cell r="F255">
            <v>12.6</v>
          </cell>
          <cell r="G255">
            <v>30.4</v>
          </cell>
          <cell r="H255">
            <v>58.3</v>
          </cell>
        </row>
        <row r="256">
          <cell r="A256" t="str">
            <v xml:space="preserve">Consultancy charges </v>
          </cell>
          <cell r="E256">
            <v>50.54</v>
          </cell>
          <cell r="F256">
            <v>78.7</v>
          </cell>
          <cell r="G256">
            <v>161.9</v>
          </cell>
          <cell r="H256">
            <v>761</v>
          </cell>
        </row>
        <row r="257">
          <cell r="A257" t="str">
            <v>Charity and donations</v>
          </cell>
          <cell r="E257">
            <v>15.91</v>
          </cell>
          <cell r="F257">
            <v>51.7</v>
          </cell>
          <cell r="G257">
            <v>21.1</v>
          </cell>
          <cell r="H257">
            <v>167.6</v>
          </cell>
        </row>
        <row r="258">
          <cell r="A258" t="str">
            <v xml:space="preserve">Other selling and administrative expenses </v>
          </cell>
          <cell r="E258">
            <v>143.28</v>
          </cell>
          <cell r="F258">
            <v>233.5</v>
          </cell>
          <cell r="G258">
            <v>250.1</v>
          </cell>
          <cell r="H258">
            <v>1360.6</v>
          </cell>
        </row>
        <row r="259">
          <cell r="A259" t="str">
            <v>Exchange differences, net</v>
          </cell>
          <cell r="E259">
            <v>-6.07</v>
          </cell>
          <cell r="F259">
            <v>36.5</v>
          </cell>
          <cell r="G259">
            <v>32.700000000000003</v>
          </cell>
          <cell r="H259">
            <v>492</v>
          </cell>
        </row>
        <row r="260">
          <cell r="A260" t="str">
            <v>Provision for doubtful debts and advances</v>
          </cell>
          <cell r="E260">
            <v>44.1</v>
          </cell>
          <cell r="F260">
            <v>93.3</v>
          </cell>
          <cell r="G260">
            <v>5.7</v>
          </cell>
          <cell r="H260">
            <v>39.799999999999997</v>
          </cell>
        </row>
        <row r="261">
          <cell r="A261" t="str">
            <v>Loss on sale of investments, net</v>
          </cell>
          <cell r="E261">
            <v>0</v>
          </cell>
          <cell r="F261">
            <v>0.1</v>
          </cell>
          <cell r="G261">
            <v>0</v>
          </cell>
          <cell r="H261">
            <v>-76.5</v>
          </cell>
        </row>
        <row r="262">
          <cell r="A262" t="str">
            <v>Loss on assets sold / discarded, net</v>
          </cell>
          <cell r="E262">
            <v>6.56</v>
          </cell>
          <cell r="F262">
            <v>4.8</v>
          </cell>
          <cell r="G262">
            <v>5.3</v>
          </cell>
          <cell r="H262">
            <v>15.8</v>
          </cell>
        </row>
        <row r="263">
          <cell r="A263" t="str">
            <v>Bad Debts Written off</v>
          </cell>
          <cell r="E263">
            <v>3.93</v>
          </cell>
          <cell r="G263">
            <v>0</v>
          </cell>
          <cell r="H263">
            <v>3.1</v>
          </cell>
        </row>
        <row r="264">
          <cell r="A264" t="str">
            <v xml:space="preserve">Rent </v>
          </cell>
          <cell r="E264">
            <v>15.45</v>
          </cell>
          <cell r="F264">
            <v>31.1</v>
          </cell>
          <cell r="G264">
            <v>91.5</v>
          </cell>
          <cell r="H264">
            <v>283</v>
          </cell>
        </row>
        <row r="265">
          <cell r="A265" t="str">
            <v xml:space="preserve">Rates and taxes </v>
          </cell>
          <cell r="E265">
            <v>2.56</v>
          </cell>
          <cell r="F265">
            <v>86</v>
          </cell>
          <cell r="G265">
            <v>51.2</v>
          </cell>
          <cell r="H265">
            <v>87.6</v>
          </cell>
        </row>
        <row r="266">
          <cell r="E266">
            <v>1313.0400000000002</v>
          </cell>
          <cell r="F266">
            <v>2737.3999999999996</v>
          </cell>
          <cell r="G266">
            <v>5121.3999999999996</v>
          </cell>
          <cell r="H266">
            <v>12031.599999999999</v>
          </cell>
        </row>
        <row r="267">
          <cell r="A267" t="str">
            <v>Selling &amp; Admin costs</v>
          </cell>
          <cell r="E267">
            <v>697.45999999999981</v>
          </cell>
          <cell r="F267">
            <v>1366.1</v>
          </cell>
          <cell r="G267">
            <v>2225</v>
          </cell>
          <cell r="H267">
            <v>7196.4000000000015</v>
          </cell>
          <cell r="I267">
            <v>9639.8426830355274</v>
          </cell>
          <cell r="J267">
            <v>13980.996205966079</v>
          </cell>
          <cell r="K267">
            <v>18780.876760098596</v>
          </cell>
          <cell r="L267">
            <v>23263.690919556608</v>
          </cell>
          <cell r="M267">
            <v>28233.391494340336</v>
          </cell>
          <cell r="N267">
            <v>34620.242437706678</v>
          </cell>
          <cell r="O267">
            <v>40738.657627105596</v>
          </cell>
          <cell r="P267">
            <v>47736.030742695693</v>
          </cell>
        </row>
        <row r="268">
          <cell r="A268" t="str">
            <v>Manufacturing and Operating Expenses</v>
          </cell>
          <cell r="E268">
            <v>615.58000000000015</v>
          </cell>
          <cell r="F268">
            <v>1371.3</v>
          </cell>
          <cell r="G268">
            <v>2896.4</v>
          </cell>
          <cell r="H268">
            <v>4835.2</v>
          </cell>
          <cell r="I268">
            <v>8332.8578637349619</v>
          </cell>
          <cell r="J268">
            <v>11909.514798190286</v>
          </cell>
          <cell r="K268">
            <v>16407.468672271312</v>
          </cell>
          <cell r="L268">
            <v>20614.195503506307</v>
          </cell>
          <cell r="M268">
            <v>24593.549013620712</v>
          </cell>
          <cell r="N268">
            <v>29473.51604676346</v>
          </cell>
          <cell r="O268">
            <v>33652.744264244931</v>
          </cell>
          <cell r="P268">
            <v>38243.338129333541</v>
          </cell>
        </row>
        <row r="269">
          <cell r="A269" t="str">
            <v>Excl Guarantee / warranty provisions</v>
          </cell>
          <cell r="E269">
            <v>207.73000000000013</v>
          </cell>
          <cell r="F269">
            <v>1287.5</v>
          </cell>
          <cell r="G269">
            <v>973.60000000000014</v>
          </cell>
          <cell r="H269">
            <v>2949.1</v>
          </cell>
          <cell r="I269">
            <v>3827.2956560302582</v>
          </cell>
          <cell r="J269">
            <v>7111.4247098585392</v>
          </cell>
          <cell r="K269">
            <v>10357.872665591307</v>
          </cell>
          <cell r="L269">
            <v>12984.874824815975</v>
          </cell>
          <cell r="M269">
            <v>15230.817054536741</v>
          </cell>
          <cell r="N269">
            <v>17603.65408009064</v>
          </cell>
          <cell r="O269">
            <v>19820.844088394384</v>
          </cell>
          <cell r="P269">
            <v>22623.806685626165</v>
          </cell>
        </row>
        <row r="270">
          <cell r="A270" t="str">
            <v>% of sales</v>
          </cell>
          <cell r="E270">
            <v>2.4225101137144198E-2</v>
          </cell>
          <cell r="F270">
            <v>6.6281180469111176E-2</v>
          </cell>
          <cell r="G270">
            <v>2.5347367763334315E-2</v>
          </cell>
          <cell r="H270">
            <v>3.6929623215410483E-2</v>
          </cell>
          <cell r="I270">
            <v>2.7978473196838306E-2</v>
          </cell>
          <cell r="J270">
            <v>3.6942840846261295E-2</v>
          </cell>
          <cell r="K270">
            <v>4.1713347229837529E-2</v>
          </cell>
          <cell r="L270">
            <v>4.2060504330367468E-2</v>
          </cell>
          <cell r="M270">
            <v>4.0705724821204645E-2</v>
          </cell>
          <cell r="N270">
            <v>3.7699324739153869E-2</v>
          </cell>
          <cell r="O270">
            <v>3.6432436166988151E-2</v>
          </cell>
          <cell r="P270">
            <v>3.6736149993756108E-2</v>
          </cell>
        </row>
        <row r="274">
          <cell r="A274" t="str">
            <v>Guarantee / warranty provisions</v>
          </cell>
        </row>
        <row r="275">
          <cell r="A275" t="str">
            <v>% of WTG sales</v>
          </cell>
          <cell r="E275">
            <v>4.7562737682492931E-2</v>
          </cell>
          <cell r="F275">
            <v>4.3140682899506918E-3</v>
          </cell>
          <cell r="G275">
            <v>5.0059489251580949E-2</v>
          </cell>
          <cell r="H275">
            <v>3.0764839251635222E-2</v>
          </cell>
          <cell r="I275">
            <v>0.04</v>
          </cell>
          <cell r="J275">
            <v>0.03</v>
          </cell>
          <cell r="K275">
            <v>2.75E-2</v>
          </cell>
          <cell r="L275">
            <v>2.75E-2</v>
          </cell>
          <cell r="M275">
            <v>2.75E-2</v>
          </cell>
          <cell r="N275">
            <v>2.75E-2</v>
          </cell>
          <cell r="O275">
            <v>2.75E-2</v>
          </cell>
          <cell r="P275">
            <v>2.75E-2</v>
          </cell>
        </row>
        <row r="276">
          <cell r="A276" t="str">
            <v>% of Total Sales</v>
          </cell>
          <cell r="E276">
            <v>4.7562737682492931E-2</v>
          </cell>
          <cell r="F276">
            <v>4.3140682899506918E-3</v>
          </cell>
          <cell r="G276">
            <v>5.0059489251580949E-2</v>
          </cell>
          <cell r="H276">
            <v>2.3618379284047919E-2</v>
          </cell>
          <cell r="I276">
            <v>3.2936768620510537E-2</v>
          </cell>
          <cell r="J276">
            <v>2.4925396208376575E-2</v>
          </cell>
          <cell r="K276">
            <v>2.4363004544859942E-2</v>
          </cell>
          <cell r="L276">
            <v>2.4712835493072582E-2</v>
          </cell>
          <cell r="M276">
            <v>2.5022741021477155E-2</v>
          </cell>
          <cell r="N276">
            <v>2.5420050794830552E-2</v>
          </cell>
          <cell r="O276">
            <v>2.5424236121199862E-2</v>
          </cell>
          <cell r="P276">
            <v>2.5362727763793336E-2</v>
          </cell>
        </row>
        <row r="277">
          <cell r="A277" t="str">
            <v>Maintenance, Warranty Provision</v>
          </cell>
        </row>
        <row r="278">
          <cell r="A278" t="str">
            <v>% of WTG sales</v>
          </cell>
          <cell r="E278">
            <v>4.7562737682492931E-2</v>
          </cell>
          <cell r="F278">
            <v>1.7503379696697319E-3</v>
          </cell>
          <cell r="G278">
            <v>2.2329947956667873E-2</v>
          </cell>
          <cell r="H278">
            <v>1.4013081703557509E-2</v>
          </cell>
        </row>
        <row r="279">
          <cell r="A279" t="str">
            <v>% of Total Sales</v>
          </cell>
          <cell r="E279">
            <v>4.7562737682492931E-2</v>
          </cell>
          <cell r="F279">
            <v>1.7503379696697319E-3</v>
          </cell>
          <cell r="G279">
            <v>2.2329947956667873E-2</v>
          </cell>
          <cell r="H279">
            <v>1.0757939474537707E-2</v>
          </cell>
        </row>
        <row r="280">
          <cell r="A280" t="str">
            <v>Provision for performance guarantee</v>
          </cell>
        </row>
        <row r="281">
          <cell r="A281" t="str">
            <v>% of WTG sales</v>
          </cell>
          <cell r="E281">
            <v>0</v>
          </cell>
          <cell r="F281">
            <v>2.5637303202809599E-3</v>
          </cell>
          <cell r="G281">
            <v>2.772954129491308E-2</v>
          </cell>
          <cell r="H281">
            <v>1.6751757548077711E-2</v>
          </cell>
        </row>
        <row r="282">
          <cell r="A282" t="str">
            <v>% of Total Sales</v>
          </cell>
          <cell r="E282">
            <v>0</v>
          </cell>
          <cell r="F282">
            <v>2.5637303202809599E-3</v>
          </cell>
          <cell r="G282">
            <v>2.772954129491308E-2</v>
          </cell>
          <cell r="H282">
            <v>1.2860439809510214E-2</v>
          </cell>
        </row>
        <row r="284">
          <cell r="A284" t="str">
            <v>Share Capital</v>
          </cell>
        </row>
        <row r="285">
          <cell r="A285" t="str">
            <v>Equity Shares O/s (mn)</v>
          </cell>
          <cell r="E285">
            <v>24.347799999999999</v>
          </cell>
          <cell r="F285">
            <v>86.922899999999998</v>
          </cell>
          <cell r="G285">
            <v>287.53138000000001</v>
          </cell>
          <cell r="H285">
            <v>287.76477999999997</v>
          </cell>
        </row>
        <row r="286">
          <cell r="A286" t="str">
            <v>EquityCapital</v>
          </cell>
          <cell r="E286">
            <v>243.48</v>
          </cell>
          <cell r="F286">
            <v>869.2</v>
          </cell>
          <cell r="G286">
            <v>2875.3</v>
          </cell>
          <cell r="H286">
            <v>2877.634</v>
          </cell>
        </row>
        <row r="288">
          <cell r="A288" t="str">
            <v>Preference Capital</v>
          </cell>
          <cell r="E288">
            <v>150</v>
          </cell>
          <cell r="F288">
            <v>1150</v>
          </cell>
          <cell r="G288">
            <v>150</v>
          </cell>
          <cell r="H288">
            <v>0</v>
          </cell>
        </row>
        <row r="289">
          <cell r="A289" t="str">
            <v>10% Cumulative Preference Shares</v>
          </cell>
          <cell r="E289">
            <v>150</v>
          </cell>
          <cell r="F289">
            <v>150</v>
          </cell>
          <cell r="G289">
            <v>150</v>
          </cell>
          <cell r="H289">
            <v>0</v>
          </cell>
        </row>
        <row r="290">
          <cell r="A290" t="str">
            <v>0.01% Cumulative Preference Shares</v>
          </cell>
          <cell r="F290">
            <v>1000</v>
          </cell>
          <cell r="G290">
            <v>0</v>
          </cell>
          <cell r="H290">
            <v>0</v>
          </cell>
        </row>
        <row r="292">
          <cell r="A292" t="str">
            <v>Reserves &amp; Surplus</v>
          </cell>
        </row>
        <row r="293">
          <cell r="A293" t="str">
            <v>Capital Reserve (on consolidation)</v>
          </cell>
          <cell r="E293">
            <v>0</v>
          </cell>
          <cell r="F293">
            <v>0</v>
          </cell>
          <cell r="G293">
            <v>0.3</v>
          </cell>
          <cell r="H293">
            <v>0.3</v>
          </cell>
          <cell r="I293">
            <v>0.3</v>
          </cell>
        </row>
        <row r="294">
          <cell r="A294" t="str">
            <v>Capital Redemption Reserve</v>
          </cell>
          <cell r="H294">
            <v>150</v>
          </cell>
          <cell r="I294">
            <v>150</v>
          </cell>
        </row>
        <row r="295">
          <cell r="A295" t="str">
            <v>F/x Translation Reserve (Net Inv. In non-integral ops)</v>
          </cell>
          <cell r="G295">
            <v>0</v>
          </cell>
          <cell r="H295">
            <v>-45.2</v>
          </cell>
          <cell r="I295">
            <v>4765.8</v>
          </cell>
        </row>
        <row r="296">
          <cell r="A296" t="str">
            <v>Securities premium account</v>
          </cell>
          <cell r="E296">
            <v>0</v>
          </cell>
          <cell r="F296">
            <v>298.50000000000006</v>
          </cell>
          <cell r="G296">
            <v>13110.199999999999</v>
          </cell>
          <cell r="H296">
            <v>13226.9</v>
          </cell>
          <cell r="I296">
            <v>34565.9</v>
          </cell>
        </row>
        <row r="297">
          <cell r="A297" t="str">
            <v xml:space="preserve">As per last balance sheet </v>
          </cell>
          <cell r="E297">
            <v>0</v>
          </cell>
          <cell r="F297">
            <v>0</v>
          </cell>
          <cell r="G297">
            <v>298.50000000000006</v>
          </cell>
          <cell r="H297">
            <v>13110.199999999999</v>
          </cell>
          <cell r="I297">
            <v>13226.9</v>
          </cell>
        </row>
        <row r="298">
          <cell r="A298" t="str">
            <v xml:space="preserve">Add: Addition during the year </v>
          </cell>
          <cell r="E298">
            <v>0</v>
          </cell>
          <cell r="F298">
            <v>953.7</v>
          </cell>
          <cell r="G298">
            <v>13381.3</v>
          </cell>
          <cell r="H298">
            <v>116.7</v>
          </cell>
          <cell r="I298">
            <v>21339</v>
          </cell>
          <cell r="J298">
            <v>96.652500000000032</v>
          </cell>
          <cell r="K298">
            <v>2010.9387200000001</v>
          </cell>
          <cell r="L298">
            <v>18098.448479999999</v>
          </cell>
          <cell r="M298">
            <v>0</v>
          </cell>
          <cell r="N298">
            <v>0</v>
          </cell>
          <cell r="O298">
            <v>0</v>
          </cell>
          <cell r="P298">
            <v>0</v>
          </cell>
        </row>
        <row r="299">
          <cell r="A299" t="str">
            <v xml:space="preserve">Less: Capitalisation by way of issue of bonus shares </v>
          </cell>
          <cell r="E299">
            <v>0</v>
          </cell>
          <cell r="F299">
            <v>579.5</v>
          </cell>
          <cell r="G299">
            <v>188.5</v>
          </cell>
          <cell r="H299">
            <v>0</v>
          </cell>
        </row>
        <row r="300">
          <cell r="A300" t="str">
            <v xml:space="preserve">Less: Share issue expenses [Net of tax benefit Rs. 2.56 crore (Rs. Nil)] </v>
          </cell>
          <cell r="E300">
            <v>0</v>
          </cell>
          <cell r="F300">
            <v>75.7</v>
          </cell>
          <cell r="G300">
            <v>381.1</v>
          </cell>
          <cell r="H300">
            <v>0</v>
          </cell>
        </row>
        <row r="302">
          <cell r="A302" t="str">
            <v>General reserve</v>
          </cell>
          <cell r="E302">
            <v>708.49</v>
          </cell>
          <cell r="F302">
            <v>1708.5</v>
          </cell>
          <cell r="G302">
            <v>3158.5</v>
          </cell>
          <cell r="H302">
            <v>6263.5</v>
          </cell>
          <cell r="I302">
            <v>21533.5</v>
          </cell>
        </row>
        <row r="303">
          <cell r="A303" t="str">
            <v>As per last Balance Sheet</v>
          </cell>
          <cell r="E303">
            <v>330.23</v>
          </cell>
          <cell r="F303">
            <v>708.5</v>
          </cell>
          <cell r="G303">
            <v>1708.5</v>
          </cell>
          <cell r="H303">
            <v>3158.5</v>
          </cell>
          <cell r="I303">
            <v>6263.5</v>
          </cell>
        </row>
        <row r="304">
          <cell r="A304" t="str">
            <v xml:space="preserve">Unrealized gain equity dilution in Hansen </v>
          </cell>
          <cell r="I304">
            <v>12002.5</v>
          </cell>
        </row>
        <row r="305">
          <cell r="A305" t="str">
            <v xml:space="preserve">Add: Transfer from consolidated profit and loss account </v>
          </cell>
          <cell r="E305">
            <v>500</v>
          </cell>
          <cell r="F305">
            <v>1000</v>
          </cell>
          <cell r="G305">
            <v>3000</v>
          </cell>
          <cell r="H305">
            <v>3284.2</v>
          </cell>
          <cell r="I305">
            <v>3267.5</v>
          </cell>
        </row>
        <row r="306">
          <cell r="A306" t="str">
            <v>Less: Adj. for employee benefits provision</v>
          </cell>
          <cell r="G306">
            <v>0</v>
          </cell>
          <cell r="H306">
            <v>29.2</v>
          </cell>
        </row>
        <row r="307">
          <cell r="A307" t="str">
            <v>Less: Capitalisation on bonus share issuance</v>
          </cell>
          <cell r="E307">
            <v>111.49</v>
          </cell>
          <cell r="F307">
            <v>0</v>
          </cell>
          <cell r="G307">
            <v>1550</v>
          </cell>
          <cell r="H307">
            <v>0</v>
          </cell>
        </row>
        <row r="308">
          <cell r="A308" t="str">
            <v>Less:Transfer to Capital Redemption Reserve</v>
          </cell>
          <cell r="E308">
            <v>10.25</v>
          </cell>
          <cell r="F308">
            <v>0</v>
          </cell>
          <cell r="G308">
            <v>0</v>
          </cell>
          <cell r="H308">
            <v>150</v>
          </cell>
        </row>
        <row r="309">
          <cell r="A309" t="str">
            <v>Profit and loss account</v>
          </cell>
          <cell r="E309">
            <v>2781.83</v>
          </cell>
          <cell r="F309">
            <v>5016.6000000000004</v>
          </cell>
          <cell r="G309">
            <v>7948.1</v>
          </cell>
          <cell r="H309">
            <v>11630.4</v>
          </cell>
          <cell r="I309">
            <v>16901.2</v>
          </cell>
        </row>
        <row r="311">
          <cell r="A311" t="str">
            <v>Reserves &amp; Surplus</v>
          </cell>
          <cell r="E311">
            <v>3490.3199999999997</v>
          </cell>
          <cell r="F311">
            <v>7023.6</v>
          </cell>
          <cell r="G311">
            <v>24217.1</v>
          </cell>
          <cell r="H311">
            <v>31225.9</v>
          </cell>
          <cell r="I311">
            <v>77916.700000000012</v>
          </cell>
        </row>
        <row r="314">
          <cell r="A314" t="str">
            <v>Changes in Shares o/s (mn)</v>
          </cell>
        </row>
        <row r="315">
          <cell r="A315" t="str">
            <v>Nos os  Shares O/S Beginning</v>
          </cell>
          <cell r="E315">
            <v>60.869500000000002</v>
          </cell>
          <cell r="F315">
            <v>121.74</v>
          </cell>
          <cell r="G315">
            <v>434.6</v>
          </cell>
          <cell r="H315">
            <v>1437.6569</v>
          </cell>
          <cell r="I315">
            <v>1438.8238999999999</v>
          </cell>
          <cell r="J315">
            <v>1496.9343999999999</v>
          </cell>
          <cell r="K315">
            <v>1498.9069</v>
          </cell>
          <cell r="L315">
            <v>1504.4529</v>
          </cell>
          <cell r="M315">
            <v>1554.3669</v>
          </cell>
          <cell r="N315">
            <v>1554.3669</v>
          </cell>
          <cell r="O315">
            <v>1554.3669</v>
          </cell>
          <cell r="P315">
            <v>1554.3669</v>
          </cell>
        </row>
        <row r="316">
          <cell r="A316" t="str">
            <v>Bonus Shares Issued</v>
          </cell>
          <cell r="E316">
            <v>60.869500000000002</v>
          </cell>
          <cell r="F316">
            <v>289.745</v>
          </cell>
          <cell r="G316">
            <v>869.2</v>
          </cell>
          <cell r="H316">
            <v>0</v>
          </cell>
          <cell r="I316">
            <v>0</v>
          </cell>
          <cell r="J316">
            <v>0</v>
          </cell>
          <cell r="K316">
            <v>0</v>
          </cell>
          <cell r="L316">
            <v>0</v>
          </cell>
          <cell r="M316">
            <v>0</v>
          </cell>
          <cell r="N316">
            <v>0</v>
          </cell>
          <cell r="O316">
            <v>0</v>
          </cell>
          <cell r="P316">
            <v>0</v>
          </cell>
        </row>
        <row r="317">
          <cell r="A317" t="str">
            <v>Pre IPO - A</v>
          </cell>
          <cell r="G317">
            <v>1303.8000000000002</v>
          </cell>
          <cell r="H317">
            <v>1437.6569</v>
          </cell>
          <cell r="I317">
            <v>1438.8238999999999</v>
          </cell>
          <cell r="J317">
            <v>1496.9343999999999</v>
          </cell>
          <cell r="K317">
            <v>1498.9069</v>
          </cell>
          <cell r="L317">
            <v>1504.4529</v>
          </cell>
          <cell r="M317">
            <v>1554.3669</v>
          </cell>
          <cell r="N317">
            <v>1554.3669</v>
          </cell>
          <cell r="O317">
            <v>1554.3669</v>
          </cell>
          <cell r="P317">
            <v>1554.3669</v>
          </cell>
        </row>
        <row r="318">
          <cell r="A318" t="str">
            <v>Total Issue Size (Secondary + Fresh)</v>
          </cell>
          <cell r="G318">
            <v>29.34</v>
          </cell>
          <cell r="H318">
            <v>0</v>
          </cell>
          <cell r="I318">
            <v>0</v>
          </cell>
          <cell r="J318">
            <v>0</v>
          </cell>
          <cell r="K318">
            <v>0</v>
          </cell>
          <cell r="L318">
            <v>0</v>
          </cell>
          <cell r="M318">
            <v>0</v>
          </cell>
          <cell r="N318">
            <v>0</v>
          </cell>
          <cell r="O318">
            <v>0</v>
          </cell>
          <cell r="P318">
            <v>0</v>
          </cell>
        </row>
        <row r="319">
          <cell r="A319" t="str">
            <v>Face Value - Rs/share</v>
          </cell>
          <cell r="E319">
            <v>2</v>
          </cell>
          <cell r="F319">
            <v>2</v>
          </cell>
          <cell r="G319">
            <v>2</v>
          </cell>
          <cell r="H319">
            <v>2</v>
          </cell>
          <cell r="I319">
            <v>2</v>
          </cell>
          <cell r="J319">
            <v>2</v>
          </cell>
          <cell r="K319">
            <v>2</v>
          </cell>
          <cell r="L319">
            <v>2</v>
          </cell>
          <cell r="M319">
            <v>2</v>
          </cell>
          <cell r="N319">
            <v>2</v>
          </cell>
          <cell r="O319">
            <v>2</v>
          </cell>
          <cell r="P319">
            <v>2</v>
          </cell>
        </row>
        <row r="320">
          <cell r="A320" t="str">
            <v>Share Premium (Rs/share)</v>
          </cell>
          <cell r="F320">
            <v>41.229222954717386</v>
          </cell>
          <cell r="G320">
            <v>500</v>
          </cell>
          <cell r="H320">
            <v>0</v>
          </cell>
          <cell r="I320">
            <v>0</v>
          </cell>
          <cell r="J320">
            <v>0</v>
          </cell>
          <cell r="K320">
            <v>0</v>
          </cell>
          <cell r="L320">
            <v>0</v>
          </cell>
          <cell r="M320">
            <v>0</v>
          </cell>
          <cell r="N320">
            <v>0</v>
          </cell>
          <cell r="O320">
            <v>0</v>
          </cell>
          <cell r="P320">
            <v>0</v>
          </cell>
        </row>
        <row r="321">
          <cell r="A321" t="str">
            <v>Fresh Issue Size (Million Shares) - B</v>
          </cell>
          <cell r="E321">
            <v>0</v>
          </cell>
          <cell r="F321">
            <v>23.1325</v>
          </cell>
          <cell r="G321">
            <v>133.8134</v>
          </cell>
          <cell r="H321">
            <v>1.167</v>
          </cell>
          <cell r="I321">
            <v>1.1804999999999999</v>
          </cell>
          <cell r="J321">
            <v>1.9725000000000006</v>
          </cell>
          <cell r="K321">
            <v>0</v>
          </cell>
          <cell r="L321">
            <v>0</v>
          </cell>
          <cell r="M321">
            <v>0</v>
          </cell>
          <cell r="N321">
            <v>0</v>
          </cell>
          <cell r="O321">
            <v>0</v>
          </cell>
          <cell r="P321">
            <v>0</v>
          </cell>
        </row>
        <row r="322">
          <cell r="A322" t="str">
            <v>QIB Issue (mn shares) - C</v>
          </cell>
          <cell r="I322">
            <v>56.929999999999993</v>
          </cell>
        </row>
        <row r="323">
          <cell r="A323" t="str">
            <v>Share Premium (Rs/share)</v>
          </cell>
          <cell r="I323">
            <v>381.4</v>
          </cell>
        </row>
        <row r="324">
          <cell r="A324" t="str">
            <v>FCCB Conversion - D</v>
          </cell>
          <cell r="I324">
            <v>0</v>
          </cell>
          <cell r="J324">
            <v>0</v>
          </cell>
          <cell r="K324">
            <v>5.5460000000000012</v>
          </cell>
          <cell r="L324">
            <v>49.914000000000001</v>
          </cell>
          <cell r="M324">
            <v>0</v>
          </cell>
          <cell r="N324">
            <v>0</v>
          </cell>
          <cell r="O324">
            <v>0</v>
          </cell>
          <cell r="P324">
            <v>0</v>
          </cell>
        </row>
        <row r="325">
          <cell r="A325" t="str">
            <v>YE Shares outstanding (A+ B+C+D)</v>
          </cell>
          <cell r="E325">
            <v>121.739</v>
          </cell>
          <cell r="F325">
            <v>434.61750000000001</v>
          </cell>
          <cell r="G325">
            <v>1437.6134000000002</v>
          </cell>
          <cell r="H325">
            <v>1438.8238999999999</v>
          </cell>
          <cell r="I325">
            <v>1496.9343999999999</v>
          </cell>
          <cell r="J325">
            <v>1498.9069</v>
          </cell>
          <cell r="K325">
            <v>1504.4529</v>
          </cell>
          <cell r="L325">
            <v>1554.3669</v>
          </cell>
          <cell r="M325">
            <v>1554.3669</v>
          </cell>
          <cell r="N325">
            <v>1554.3669</v>
          </cell>
          <cell r="O325">
            <v>1554.3669</v>
          </cell>
          <cell r="P325">
            <v>1554.3669</v>
          </cell>
        </row>
        <row r="326">
          <cell r="A326" t="str">
            <v>Cash inflow (Only Equity Value)</v>
          </cell>
          <cell r="E326">
            <v>0</v>
          </cell>
          <cell r="F326">
            <v>46.265000000000001</v>
          </cell>
          <cell r="G326">
            <v>267.6268</v>
          </cell>
          <cell r="H326">
            <v>2.3340000000000001</v>
          </cell>
          <cell r="I326">
            <v>116.22099999999999</v>
          </cell>
          <cell r="J326">
            <v>3.9450000000000012</v>
          </cell>
          <cell r="K326">
            <v>11.092000000000002</v>
          </cell>
          <cell r="L326">
            <v>99.828000000000003</v>
          </cell>
          <cell r="M326">
            <v>0</v>
          </cell>
          <cell r="N326">
            <v>0</v>
          </cell>
          <cell r="O326">
            <v>0</v>
          </cell>
          <cell r="P326">
            <v>0</v>
          </cell>
        </row>
        <row r="328">
          <cell r="A328" t="str">
            <v>Basic Shares O/S (Mn)</v>
          </cell>
          <cell r="E328">
            <v>121.739</v>
          </cell>
          <cell r="F328">
            <v>434.61450000000002</v>
          </cell>
          <cell r="G328">
            <v>1437.6569</v>
          </cell>
          <cell r="H328">
            <v>1438.8238999999999</v>
          </cell>
          <cell r="I328">
            <v>1496.9343999999999</v>
          </cell>
          <cell r="J328">
            <v>1498.9069</v>
          </cell>
          <cell r="K328">
            <v>1504.4529</v>
          </cell>
          <cell r="L328">
            <v>1554.3669</v>
          </cell>
          <cell r="M328">
            <v>1554.3669</v>
          </cell>
          <cell r="N328">
            <v>1554.3669</v>
          </cell>
          <cell r="O328">
            <v>1554.3669</v>
          </cell>
          <cell r="P328">
            <v>1554.3669</v>
          </cell>
        </row>
        <row r="329">
          <cell r="A329" t="str">
            <v>Diluted Shares O/S (Mn)</v>
          </cell>
          <cell r="E329">
            <v>121.739</v>
          </cell>
          <cell r="F329">
            <v>434.61450000000002</v>
          </cell>
          <cell r="G329">
            <v>1437.6569</v>
          </cell>
          <cell r="H329">
            <v>1439.1508999999999</v>
          </cell>
          <cell r="I329">
            <v>1552.3943999999999</v>
          </cell>
          <cell r="J329">
            <v>1554.3669</v>
          </cell>
          <cell r="K329">
            <v>1554.3669</v>
          </cell>
          <cell r="L329">
            <v>1554.3669</v>
          </cell>
          <cell r="M329">
            <v>1554.3669</v>
          </cell>
          <cell r="N329">
            <v>1554.3669</v>
          </cell>
          <cell r="O329">
            <v>1554.3669</v>
          </cell>
          <cell r="P329">
            <v>1554.3669</v>
          </cell>
        </row>
        <row r="331">
          <cell r="A331" t="str">
            <v>EquityCapital</v>
          </cell>
          <cell r="B331">
            <v>60.870000000000005</v>
          </cell>
          <cell r="C331">
            <v>121.739</v>
          </cell>
          <cell r="D331">
            <v>121.739</v>
          </cell>
          <cell r="E331">
            <v>243.48</v>
          </cell>
          <cell r="F331">
            <v>869.2</v>
          </cell>
          <cell r="G331">
            <v>2875.3137999999999</v>
          </cell>
          <cell r="H331">
            <v>2877.6478000000002</v>
          </cell>
          <cell r="I331">
            <v>2993.9</v>
          </cell>
          <cell r="J331">
            <v>2997.8450000000003</v>
          </cell>
          <cell r="K331">
            <v>3008.9370000000004</v>
          </cell>
          <cell r="L331">
            <v>3108.7650000000003</v>
          </cell>
          <cell r="M331">
            <v>3108.7650000000003</v>
          </cell>
          <cell r="N331">
            <v>3108.7650000000003</v>
          </cell>
          <cell r="O331">
            <v>3108.7650000000003</v>
          </cell>
          <cell r="P331">
            <v>3108.7650000000003</v>
          </cell>
        </row>
        <row r="332">
          <cell r="H332">
            <v>116.2521999999999</v>
          </cell>
          <cell r="J332">
            <v>3.7049051715292269E-2</v>
          </cell>
        </row>
        <row r="334">
          <cell r="A334" t="str">
            <v>Employee Stock Options</v>
          </cell>
        </row>
        <row r="335">
          <cell r="A335" t="str">
            <v>ESOP outstanding</v>
          </cell>
          <cell r="F335">
            <v>0</v>
          </cell>
          <cell r="G335">
            <v>224.4</v>
          </cell>
          <cell r="H335">
            <v>156.9</v>
          </cell>
          <cell r="I335">
            <v>102.2</v>
          </cell>
          <cell r="J335">
            <v>0</v>
          </cell>
          <cell r="K335">
            <v>0</v>
          </cell>
        </row>
        <row r="336">
          <cell r="A336" t="str">
            <v>Less : Deferred employee compensation expenses outstanding</v>
          </cell>
          <cell r="F336">
            <v>0</v>
          </cell>
          <cell r="G336">
            <v>120.8</v>
          </cell>
          <cell r="H336">
            <v>39.799999999999997</v>
          </cell>
        </row>
        <row r="337">
          <cell r="F337">
            <v>0</v>
          </cell>
          <cell r="G337">
            <v>103.60000000000001</v>
          </cell>
          <cell r="H337">
            <v>117.10000000000001</v>
          </cell>
          <cell r="I337">
            <v>102.2</v>
          </cell>
          <cell r="J337">
            <v>0</v>
          </cell>
          <cell r="K337">
            <v>0</v>
          </cell>
        </row>
        <row r="339">
          <cell r="A339" t="str">
            <v>Face Value (Rs./Share)</v>
          </cell>
          <cell r="G339">
            <v>2</v>
          </cell>
          <cell r="H339">
            <v>2</v>
          </cell>
          <cell r="I339">
            <v>2</v>
          </cell>
          <cell r="J339">
            <v>2</v>
          </cell>
        </row>
        <row r="340">
          <cell r="A340" t="str">
            <v>Excersice Price (Rs./Share)</v>
          </cell>
          <cell r="G340">
            <v>51</v>
          </cell>
          <cell r="H340">
            <v>51</v>
          </cell>
          <cell r="I340">
            <v>51</v>
          </cell>
          <cell r="J340">
            <v>51</v>
          </cell>
        </row>
        <row r="341">
          <cell r="A341" t="str">
            <v>Premium (Rs./Share)</v>
          </cell>
          <cell r="G341">
            <v>49</v>
          </cell>
          <cell r="H341">
            <v>49</v>
          </cell>
          <cell r="I341">
            <v>49</v>
          </cell>
          <cell r="J341">
            <v>49</v>
          </cell>
        </row>
        <row r="343">
          <cell r="A343" t="str">
            <v xml:space="preserve">ESOP outstanding (mn) </v>
          </cell>
          <cell r="H343">
            <v>4.4450000000000003</v>
          </cell>
          <cell r="I343">
            <v>3.1530000000000005</v>
          </cell>
          <cell r="J343">
            <v>1.9725000000000006</v>
          </cell>
        </row>
        <row r="344">
          <cell r="A344" t="str">
            <v>Previously vested yet to exercise</v>
          </cell>
          <cell r="H344">
            <v>0.16049999999999998</v>
          </cell>
          <cell r="I344">
            <v>0.32699999999999985</v>
          </cell>
          <cell r="J344">
            <v>0</v>
          </cell>
        </row>
        <row r="345">
          <cell r="A345" t="str">
            <v>Expected to vest in current period</v>
          </cell>
          <cell r="H345">
            <v>1.3334999999999999</v>
          </cell>
          <cell r="I345">
            <v>0.85349999999999993</v>
          </cell>
          <cell r="J345">
            <v>1.9725000000000006</v>
          </cell>
        </row>
        <row r="346">
          <cell r="A346" t="str">
            <v>Options exercised</v>
          </cell>
          <cell r="H346">
            <v>1.167</v>
          </cell>
          <cell r="I346">
            <v>1.1804999999999999</v>
          </cell>
          <cell r="J346">
            <v>1.9725000000000006</v>
          </cell>
        </row>
        <row r="347">
          <cell r="A347" t="str">
            <v>EOP- options yet to  be exercised</v>
          </cell>
          <cell r="H347">
            <v>0.32699999999999985</v>
          </cell>
          <cell r="I347">
            <v>0</v>
          </cell>
          <cell r="J347">
            <v>0</v>
          </cell>
        </row>
        <row r="348">
          <cell r="A348" t="str">
            <v>Cancelled in current period</v>
          </cell>
          <cell r="H348">
            <v>0.125</v>
          </cell>
          <cell r="I348">
            <v>0</v>
          </cell>
          <cell r="J348">
            <v>0</v>
          </cell>
        </row>
        <row r="349">
          <cell r="A349" t="str">
            <v>ESOP remaining</v>
          </cell>
        </row>
        <row r="351">
          <cell r="A351" t="str">
            <v>Increase in Share Capital</v>
          </cell>
          <cell r="H351">
            <v>2.3340000000000001</v>
          </cell>
          <cell r="I351">
            <v>2.3609999999999998</v>
          </cell>
          <cell r="J351">
            <v>3.9450000000000012</v>
          </cell>
        </row>
        <row r="352">
          <cell r="A352" t="str">
            <v>Increase in Share Premium</v>
          </cell>
          <cell r="H352">
            <v>57.183</v>
          </cell>
          <cell r="I352">
            <v>57.844499999999996</v>
          </cell>
          <cell r="J352">
            <v>96.652500000000032</v>
          </cell>
        </row>
        <row r="507">
          <cell r="A507" t="str">
            <v>Discounted Cash Flows</v>
          </cell>
        </row>
        <row r="508">
          <cell r="A508" t="str">
            <v>Y/E March (Rs m)</v>
          </cell>
          <cell r="B508">
            <v>2001</v>
          </cell>
          <cell r="C508">
            <v>2002</v>
          </cell>
          <cell r="D508">
            <v>2003</v>
          </cell>
          <cell r="E508">
            <v>2004</v>
          </cell>
          <cell r="F508">
            <v>2005</v>
          </cell>
          <cell r="G508">
            <v>2006</v>
          </cell>
          <cell r="H508">
            <v>2007</v>
          </cell>
          <cell r="I508">
            <v>2008</v>
          </cell>
          <cell r="J508">
            <v>2009</v>
          </cell>
          <cell r="K508">
            <v>2010</v>
          </cell>
          <cell r="L508">
            <v>2011</v>
          </cell>
          <cell r="M508">
            <v>2012</v>
          </cell>
          <cell r="N508" t="e">
            <v>#REF!</v>
          </cell>
          <cell r="O508" t="e">
            <v>#REF!</v>
          </cell>
        </row>
        <row r="509">
          <cell r="A509" t="str">
            <v>EV</v>
          </cell>
          <cell r="B509" t="e">
            <v>#REF!</v>
          </cell>
          <cell r="C509" t="e">
            <v>#REF!</v>
          </cell>
          <cell r="D509" t="e">
            <v>#REF!</v>
          </cell>
          <cell r="E509" t="e">
            <v>#REF!</v>
          </cell>
          <cell r="F509" t="e">
            <v>#REF!</v>
          </cell>
          <cell r="G509" t="e">
            <v>#REF!</v>
          </cell>
          <cell r="H509" t="e">
            <v>#REF!</v>
          </cell>
          <cell r="I509" t="e">
            <v>#REF!</v>
          </cell>
          <cell r="J509" t="e">
            <v>#REF!</v>
          </cell>
          <cell r="K509" t="e">
            <v>#REF!</v>
          </cell>
        </row>
        <row r="510">
          <cell r="A510" t="str">
            <v>Free Cash Flow</v>
          </cell>
          <cell r="H510">
            <v>-18207.926875012923</v>
          </cell>
          <cell r="I510">
            <v>-7111.2457652401026</v>
          </cell>
          <cell r="J510">
            <v>-28818.735396705102</v>
          </cell>
          <cell r="K510">
            <v>-33141.545706210862</v>
          </cell>
          <cell r="L510">
            <v>-38112.777562142488</v>
          </cell>
          <cell r="M510">
            <v>-43829.694196463861</v>
          </cell>
          <cell r="N510" t="e">
            <v>#REF!</v>
          </cell>
          <cell r="O510" t="e">
            <v>#REF!</v>
          </cell>
        </row>
        <row r="511">
          <cell r="A511" t="str">
            <v>Current Price</v>
          </cell>
          <cell r="G511" t="e">
            <v>#REF!</v>
          </cell>
        </row>
        <row r="512">
          <cell r="A512" t="str">
            <v>Market Cap</v>
          </cell>
          <cell r="G512" t="e">
            <v>#REF!</v>
          </cell>
        </row>
        <row r="514">
          <cell r="B514" t="str">
            <v>WACC</v>
          </cell>
          <cell r="C514" t="str">
            <v>Period</v>
          </cell>
          <cell r="D514" t="str">
            <v>No of Years</v>
          </cell>
          <cell r="E514" t="str">
            <v>Growth</v>
          </cell>
          <cell r="F514" t="str">
            <v>Terminal</v>
          </cell>
          <cell r="H514" t="str">
            <v>Premium to DCF</v>
          </cell>
        </row>
        <row r="515">
          <cell r="A515" t="str">
            <v>Stage1</v>
          </cell>
          <cell r="B515">
            <v>0.10343689928785445</v>
          </cell>
          <cell r="C515" t="str">
            <v>F2007-9</v>
          </cell>
          <cell r="D515">
            <v>3</v>
          </cell>
          <cell r="E515" t="e">
            <v>#REF!</v>
          </cell>
          <cell r="G515">
            <v>-43791.865266490393</v>
          </cell>
          <cell r="H515">
            <v>0.1</v>
          </cell>
          <cell r="I515">
            <v>0.2</v>
          </cell>
          <cell r="J515">
            <v>0.30000000000000004</v>
          </cell>
        </row>
        <row r="516">
          <cell r="A516" t="str">
            <v>Stage2</v>
          </cell>
          <cell r="B516">
            <v>0.10343689928785445</v>
          </cell>
          <cell r="C516" t="str">
            <v>F2010-14</v>
          </cell>
          <cell r="D516">
            <v>5</v>
          </cell>
          <cell r="E516">
            <v>0.15</v>
          </cell>
          <cell r="G516">
            <v>-69936.132912484347</v>
          </cell>
        </row>
        <row r="517">
          <cell r="A517" t="str">
            <v>Stage3</v>
          </cell>
          <cell r="B517">
            <v>0.10343689928785445</v>
          </cell>
          <cell r="C517" t="str">
            <v>F2015 onwards</v>
          </cell>
          <cell r="F517">
            <v>0.06</v>
          </cell>
          <cell r="G517" t="e">
            <v>#REF!</v>
          </cell>
        </row>
        <row r="518">
          <cell r="A518" t="str">
            <v>EV</v>
          </cell>
          <cell r="G518" t="e">
            <v>#REF!</v>
          </cell>
        </row>
        <row r="519">
          <cell r="A519" t="str">
            <v>Net Debt</v>
          </cell>
          <cell r="G519">
            <v>-857.89999999999964</v>
          </cell>
        </row>
        <row r="520">
          <cell r="A520" t="str">
            <v>Value of Equity</v>
          </cell>
          <cell r="G520" t="e">
            <v>#REF!</v>
          </cell>
        </row>
        <row r="521">
          <cell r="A521" t="str">
            <v>sh o/s</v>
          </cell>
          <cell r="G521">
            <v>287.76478000000003</v>
          </cell>
        </row>
        <row r="522">
          <cell r="A522" t="str">
            <v>DCF value (Rs. per share)</v>
          </cell>
          <cell r="G522" t="e">
            <v>#REF!</v>
          </cell>
          <cell r="H522" t="e">
            <v>#REF!</v>
          </cell>
          <cell r="I522" t="e">
            <v>#REF!</v>
          </cell>
          <cell r="J522" t="e">
            <v>#REF!</v>
          </cell>
        </row>
        <row r="524">
          <cell r="A524" t="str">
            <v>DCF Valuations</v>
          </cell>
        </row>
        <row r="526">
          <cell r="A526" t="str">
            <v>Growth rate in the period F2010-14</v>
          </cell>
          <cell r="B526">
            <v>0.15</v>
          </cell>
          <cell r="H526" t="e">
            <v>#REF!</v>
          </cell>
          <cell r="I526">
            <v>0.04</v>
          </cell>
          <cell r="J526">
            <v>0.05</v>
          </cell>
          <cell r="K526">
            <v>6.0000000000000005E-2</v>
          </cell>
          <cell r="L526">
            <v>7.0000000000000007E-2</v>
          </cell>
          <cell r="M526">
            <v>0.08</v>
          </cell>
        </row>
        <row r="527">
          <cell r="A527" t="str">
            <v>Growth rate in the period post F2014</v>
          </cell>
          <cell r="B527">
            <v>0.06</v>
          </cell>
          <cell r="H527">
            <v>0.1</v>
          </cell>
          <cell r="I527" t="e">
            <v>#REF!</v>
          </cell>
          <cell r="J527" t="e">
            <v>#REF!</v>
          </cell>
          <cell r="K527" t="e">
            <v>#REF!</v>
          </cell>
          <cell r="L527" t="e">
            <v>#REF!</v>
          </cell>
          <cell r="M527" t="e">
            <v>#REF!</v>
          </cell>
        </row>
        <row r="528">
          <cell r="A528" t="str">
            <v>Weighted Average Cost of Capital</v>
          </cell>
          <cell r="B528">
            <v>0.10343689928785445</v>
          </cell>
          <cell r="H528">
            <v>0.11</v>
          </cell>
          <cell r="I528" t="e">
            <v>#REF!</v>
          </cell>
          <cell r="J528" t="e">
            <v>#REF!</v>
          </cell>
          <cell r="K528" t="e">
            <v>#REF!</v>
          </cell>
          <cell r="L528" t="e">
            <v>#REF!</v>
          </cell>
          <cell r="M528" t="e">
            <v>#REF!</v>
          </cell>
        </row>
        <row r="529">
          <cell r="A529" t="str">
            <v>No. of years in the first period</v>
          </cell>
          <cell r="B529">
            <v>3</v>
          </cell>
          <cell r="C529">
            <v>571</v>
          </cell>
          <cell r="H529">
            <v>0.1166</v>
          </cell>
          <cell r="I529" t="e">
            <v>#REF!</v>
          </cell>
          <cell r="J529" t="e">
            <v>#REF!</v>
          </cell>
          <cell r="K529" t="e">
            <v>#REF!</v>
          </cell>
          <cell r="L529" t="e">
            <v>#REF!</v>
          </cell>
          <cell r="M529" t="e">
            <v>#REF!</v>
          </cell>
        </row>
        <row r="530">
          <cell r="A530" t="str">
            <v>Discounted value of cash flows of F2007-09 (I)</v>
          </cell>
          <cell r="B530">
            <v>-43791.865266490393</v>
          </cell>
          <cell r="H530">
            <v>0.13</v>
          </cell>
          <cell r="I530" t="e">
            <v>#REF!</v>
          </cell>
          <cell r="J530" t="e">
            <v>#REF!</v>
          </cell>
          <cell r="K530" t="e">
            <v>#REF!</v>
          </cell>
          <cell r="L530" t="e">
            <v>#REF!</v>
          </cell>
          <cell r="M530" t="e">
            <v>#REF!</v>
          </cell>
        </row>
        <row r="531">
          <cell r="A531" t="str">
            <v>Discounted value of cash flows of F2010-14 (II)</v>
          </cell>
          <cell r="B531">
            <v>-69936.132912484347</v>
          </cell>
          <cell r="H531">
            <v>0.14000000000000001</v>
          </cell>
          <cell r="I531" t="e">
            <v>#REF!</v>
          </cell>
          <cell r="J531" t="e">
            <v>#REF!</v>
          </cell>
          <cell r="K531" t="e">
            <v>#REF!</v>
          </cell>
          <cell r="L531" t="e">
            <v>#REF!</v>
          </cell>
          <cell r="M531" t="e">
            <v>#REF!</v>
          </cell>
        </row>
        <row r="532">
          <cell r="A532" t="str">
            <v>Discounted value of cash flows post F2014 (III)</v>
          </cell>
          <cell r="B532" t="e">
            <v>#REF!</v>
          </cell>
          <cell r="I532">
            <v>0.02</v>
          </cell>
          <cell r="J532">
            <v>0.03</v>
          </cell>
          <cell r="K532">
            <v>0.04</v>
          </cell>
          <cell r="L532">
            <v>0.05</v>
          </cell>
          <cell r="M532">
            <v>6.0000000000000005E-2</v>
          </cell>
        </row>
        <row r="533">
          <cell r="A533" t="str">
            <v>Total terminal value (IV=II+III)</v>
          </cell>
          <cell r="B533" t="e">
            <v>#REF!</v>
          </cell>
          <cell r="H533">
            <v>0.1</v>
          </cell>
          <cell r="I533" t="e">
            <v>#REF!</v>
          </cell>
          <cell r="J533" t="e">
            <v>#REF!</v>
          </cell>
          <cell r="K533" t="e">
            <v>#REF!</v>
          </cell>
          <cell r="L533" t="e">
            <v>#REF!</v>
          </cell>
          <cell r="M533" t="e">
            <v>#REF!</v>
          </cell>
        </row>
        <row r="534">
          <cell r="A534" t="str">
            <v>Total (I+V)</v>
          </cell>
          <cell r="B534" t="e">
            <v>#REF!</v>
          </cell>
          <cell r="H534">
            <v>0.11</v>
          </cell>
          <cell r="I534" t="e">
            <v>#REF!</v>
          </cell>
          <cell r="J534" t="e">
            <v>#REF!</v>
          </cell>
          <cell r="K534" t="e">
            <v>#REF!</v>
          </cell>
          <cell r="L534" t="e">
            <v>#REF!</v>
          </cell>
          <cell r="M534" t="e">
            <v>#REF!</v>
          </cell>
        </row>
        <row r="535">
          <cell r="A535" t="str">
            <v>Net Debt</v>
          </cell>
          <cell r="B535">
            <v>-857.89999999999964</v>
          </cell>
          <cell r="H535">
            <v>0.11700000000000001</v>
          </cell>
          <cell r="I535" t="e">
            <v>#REF!</v>
          </cell>
          <cell r="J535" t="e">
            <v>#REF!</v>
          </cell>
          <cell r="K535" t="e">
            <v>#REF!</v>
          </cell>
          <cell r="L535" t="e">
            <v>#REF!</v>
          </cell>
          <cell r="M535" t="e">
            <v>#REF!</v>
          </cell>
        </row>
        <row r="536">
          <cell r="A536" t="str">
            <v>Enterprise Value</v>
          </cell>
          <cell r="B536" t="e">
            <v>#REF!</v>
          </cell>
          <cell r="H536">
            <v>0.13</v>
          </cell>
          <cell r="I536" t="e">
            <v>#REF!</v>
          </cell>
          <cell r="J536" t="e">
            <v>#REF!</v>
          </cell>
          <cell r="K536" t="e">
            <v>#REF!</v>
          </cell>
          <cell r="L536" t="e">
            <v>#REF!</v>
          </cell>
          <cell r="M536" t="e">
            <v>#REF!</v>
          </cell>
        </row>
        <row r="537">
          <cell r="A537" t="str">
            <v>Shares Outstanding</v>
          </cell>
          <cell r="B537">
            <v>287.53138000000001</v>
          </cell>
          <cell r="H537">
            <v>0.14000000000000001</v>
          </cell>
          <cell r="I537" t="e">
            <v>#REF!</v>
          </cell>
          <cell r="J537" t="e">
            <v>#REF!</v>
          </cell>
          <cell r="K537" t="e">
            <v>#REF!</v>
          </cell>
          <cell r="L537" t="e">
            <v>#REF!</v>
          </cell>
          <cell r="M537" t="e">
            <v>#REF!</v>
          </cell>
        </row>
        <row r="538">
          <cell r="A538" t="str">
            <v>DCF value (Rs. per share)</v>
          </cell>
          <cell r="B538" t="e">
            <v>#REF!</v>
          </cell>
        </row>
        <row r="540">
          <cell r="A540" t="str">
            <v>DISCOUNTED CASH FLOW to the FIRM - EXPLICIT ROIC METHOD</v>
          </cell>
        </row>
        <row r="541">
          <cell r="A541" t="str">
            <v>FREE CASH FLOW CALCULATION</v>
          </cell>
          <cell r="G541">
            <v>2006</v>
          </cell>
          <cell r="H541">
            <v>2007</v>
          </cell>
          <cell r="I541">
            <v>2008</v>
          </cell>
          <cell r="J541">
            <v>2009</v>
          </cell>
          <cell r="K541">
            <v>2010</v>
          </cell>
        </row>
        <row r="542">
          <cell r="A542" t="str">
            <v>EBITDA</v>
          </cell>
          <cell r="G542">
            <v>8794.1000000000058</v>
          </cell>
          <cell r="H542">
            <v>13216.099999999991</v>
          </cell>
          <cell r="I542">
            <v>19689.699999999997</v>
          </cell>
          <cell r="J542">
            <v>25914.515509591874</v>
          </cell>
          <cell r="K542">
            <v>34909.336663462687</v>
          </cell>
        </row>
        <row r="543">
          <cell r="A543" t="str">
            <v>Less: Depreciation</v>
          </cell>
          <cell r="G543">
            <v>715.9</v>
          </cell>
          <cell r="H543">
            <v>1718</v>
          </cell>
          <cell r="I543">
            <v>2893.6</v>
          </cell>
          <cell r="J543">
            <v>5064.0474482182863</v>
          </cell>
          <cell r="K543">
            <v>7437.1318093107266</v>
          </cell>
          <cell r="L543" t="str">
            <v>Various Growth Rates and Risk Premiums</v>
          </cell>
        </row>
        <row r="544">
          <cell r="A544" t="str">
            <v>EBIT</v>
          </cell>
          <cell r="G544">
            <v>8078.2000000000062</v>
          </cell>
          <cell r="H544">
            <v>11498.099999999991</v>
          </cell>
          <cell r="I544">
            <v>16796.099999999999</v>
          </cell>
          <cell r="J544">
            <v>20850.468061373587</v>
          </cell>
          <cell r="K544">
            <v>27472.204854151962</v>
          </cell>
          <cell r="L544" t="str">
            <v>Risk Premium</v>
          </cell>
          <cell r="M544" t="str">
            <v>Suzlon - WTG Business</v>
          </cell>
        </row>
        <row r="545">
          <cell r="A545" t="str">
            <v>Less Adjusted taxes</v>
          </cell>
          <cell r="G545">
            <v>561.36479023160769</v>
          </cell>
          <cell r="H545">
            <v>1359.3268750129098</v>
          </cell>
          <cell r="I545">
            <v>1858.0457652400905</v>
          </cell>
          <cell r="J545">
            <v>2307.8790050202633</v>
          </cell>
          <cell r="K545">
            <v>3225.9026710026528</v>
          </cell>
          <cell r="L545" t="str">
            <v>Growth (+) / Equity Risk Premium --&gt;</v>
          </cell>
          <cell r="M545">
            <v>0.03</v>
          </cell>
        </row>
        <row r="546">
          <cell r="A546" t="str">
            <v>Tax</v>
          </cell>
          <cell r="G546">
            <v>568.09999999999991</v>
          </cell>
          <cell r="H546">
            <v>1146.3999999999999</v>
          </cell>
          <cell r="I546">
            <v>1512.9</v>
          </cell>
          <cell r="J546">
            <v>1790.0162748702976</v>
          </cell>
          <cell r="K546">
            <v>2516.9355761238539</v>
          </cell>
          <cell r="L546" t="str">
            <v>Base case (15% for 10 yrs, 6% terminal)</v>
          </cell>
          <cell r="M546">
            <v>1371</v>
          </cell>
        </row>
        <row r="547">
          <cell r="A547" t="str">
            <v>Other income</v>
          </cell>
          <cell r="G547">
            <v>744.6</v>
          </cell>
          <cell r="H547">
            <v>964.99999999999989</v>
          </cell>
          <cell r="I547">
            <v>2645.5</v>
          </cell>
          <cell r="J547">
            <v>2573.3202978637746</v>
          </cell>
          <cell r="K547">
            <v>2781.3768732556323</v>
          </cell>
          <cell r="L547" t="str">
            <v xml:space="preserve"> + 1% (16% for 10 yrs, 7% terminal)</v>
          </cell>
          <cell r="M547">
            <v>1581</v>
          </cell>
        </row>
        <row r="548">
          <cell r="A548" t="str">
            <v>Interest</v>
          </cell>
          <cell r="G548">
            <v>647.69999999999993</v>
          </cell>
          <cell r="H548">
            <v>2763.4</v>
          </cell>
          <cell r="I548">
            <v>5765.5</v>
          </cell>
          <cell r="J548">
            <v>7251.9365908668751</v>
          </cell>
          <cell r="K548">
            <v>8819.0324542622584</v>
          </cell>
          <cell r="L548" t="str">
            <v xml:space="preserve"> + 2% (17% for 10 yrs, 8% terminal)</v>
          </cell>
          <cell r="M548">
            <v>1912</v>
          </cell>
        </row>
        <row r="549">
          <cell r="A549" t="str">
            <v>Marginal tax rate</v>
          </cell>
          <cell r="G549">
            <v>6.9506808755337449E-2</v>
          </cell>
          <cell r="H549">
            <v>0.11839795096358426</v>
          </cell>
          <cell r="I549">
            <v>0.1106236427051572</v>
          </cell>
          <cell r="J549">
            <v>0.11068715571405859</v>
          </cell>
          <cell r="K549">
            <v>0.1174242361735706</v>
          </cell>
          <cell r="L549" t="str">
            <v xml:space="preserve"> + 3% (18% for 10 yrs, 9% terminal)</v>
          </cell>
          <cell r="M549">
            <v>2549</v>
          </cell>
        </row>
        <row r="550">
          <cell r="A550" t="str">
            <v>NOPLAT</v>
          </cell>
          <cell r="G550">
            <v>7516.8352097683983</v>
          </cell>
          <cell r="H550">
            <v>10138.773124987081</v>
          </cell>
          <cell r="I550">
            <v>14938.054234759908</v>
          </cell>
          <cell r="J550">
            <v>18542.589056353325</v>
          </cell>
          <cell r="K550">
            <v>24246.30218314931</v>
          </cell>
        </row>
        <row r="551">
          <cell r="A551" t="str">
            <v>Less: Increase in NWC</v>
          </cell>
          <cell r="G551">
            <v>10989.399999999994</v>
          </cell>
          <cell r="H551">
            <v>11691.400000000005</v>
          </cell>
          <cell r="I551">
            <v>2145.6000000000022</v>
          </cell>
          <cell r="J551">
            <v>11719.796960667169</v>
          </cell>
          <cell r="K551">
            <v>16679.727346187661</v>
          </cell>
          <cell r="L551" t="str">
            <v>Growth Rates Increases in Period A &amp; B</v>
          </cell>
        </row>
        <row r="552">
          <cell r="A552" t="str">
            <v>FCF from Operations</v>
          </cell>
          <cell r="G552">
            <v>-3472.5647902315959</v>
          </cell>
          <cell r="H552">
            <v>-1552.6268750129238</v>
          </cell>
          <cell r="I552">
            <v>12792.454234759905</v>
          </cell>
          <cell r="J552">
            <v>6822.7920956861562</v>
          </cell>
          <cell r="K552">
            <v>7566.5748369616485</v>
          </cell>
          <cell r="L552" t="str">
            <v>Growth (+)</v>
          </cell>
          <cell r="M552" t="str">
            <v>Period A</v>
          </cell>
        </row>
        <row r="553">
          <cell r="A553" t="str">
            <v>Capex</v>
          </cell>
          <cell r="G553">
            <v>4042.1599999999989</v>
          </cell>
          <cell r="H553">
            <v>18373.3</v>
          </cell>
          <cell r="I553">
            <v>22797.300000000007</v>
          </cell>
          <cell r="J553">
            <v>40705.574940609542</v>
          </cell>
          <cell r="K553">
            <v>6695.5452169022728</v>
          </cell>
          <cell r="L553" t="str">
            <v>Base case</v>
          </cell>
          <cell r="M553">
            <v>0.15</v>
          </cell>
        </row>
        <row r="554">
          <cell r="A554" t="str">
            <v>Less: Depreciation</v>
          </cell>
          <cell r="G554">
            <v>715.9</v>
          </cell>
          <cell r="H554">
            <v>1718</v>
          </cell>
          <cell r="I554">
            <v>2893.6</v>
          </cell>
          <cell r="J554">
            <v>5064.0474482182863</v>
          </cell>
          <cell r="K554">
            <v>7437.1318093107266</v>
          </cell>
          <cell r="L554" t="str">
            <v xml:space="preserve"> + 1%</v>
          </cell>
          <cell r="M554">
            <v>0.16</v>
          </cell>
        </row>
        <row r="555">
          <cell r="A555" t="str">
            <v>Net Investment</v>
          </cell>
          <cell r="G555">
            <v>3326.2599999999989</v>
          </cell>
          <cell r="H555">
            <v>16655.3</v>
          </cell>
          <cell r="I555">
            <v>19903.700000000008</v>
          </cell>
          <cell r="J555">
            <v>35641.527492391258</v>
          </cell>
          <cell r="K555">
            <v>-741.58659240845373</v>
          </cell>
          <cell r="L555" t="str">
            <v xml:space="preserve"> + 2%</v>
          </cell>
          <cell r="M555">
            <v>0.17</v>
          </cell>
        </row>
        <row r="556">
          <cell r="A556" t="str">
            <v>Free Cash Flows</v>
          </cell>
          <cell r="G556">
            <v>-6798.8247902315943</v>
          </cell>
          <cell r="H556">
            <v>-18207.926875012923</v>
          </cell>
          <cell r="I556">
            <v>-7111.2457652401026</v>
          </cell>
          <cell r="J556">
            <v>-28818.735396705102</v>
          </cell>
          <cell r="K556">
            <v>8308.1614293701023</v>
          </cell>
          <cell r="L556" t="str">
            <v xml:space="preserve"> + 3%</v>
          </cell>
          <cell r="M556">
            <v>0.18</v>
          </cell>
        </row>
        <row r="557">
          <cell r="H557">
            <v>0.34880875289262425</v>
          </cell>
          <cell r="I557">
            <v>0.4733591580173504</v>
          </cell>
          <cell r="J557">
            <v>0.24129881743272108</v>
          </cell>
        </row>
        <row r="558">
          <cell r="G558" t="str">
            <v>Period A</v>
          </cell>
          <cell r="H558" t="str">
            <v>Perpetual</v>
          </cell>
        </row>
        <row r="559">
          <cell r="A559" t="str">
            <v>Growth Rate (g)</v>
          </cell>
          <cell r="G559">
            <v>0.15</v>
          </cell>
          <cell r="H559">
            <v>0.06</v>
          </cell>
          <cell r="J559" t="str">
            <v>Risk Premium</v>
          </cell>
          <cell r="K559" t="str">
            <v>Growth</v>
          </cell>
          <cell r="L559" t="str">
            <v>ROIC Increases in Period A &amp; B</v>
          </cell>
        </row>
        <row r="560">
          <cell r="A560" t="str">
            <v>Return on Incremental Capital (r )</v>
          </cell>
          <cell r="G560">
            <v>0.3</v>
          </cell>
          <cell r="H560">
            <v>0.15</v>
          </cell>
          <cell r="J560">
            <v>0.05</v>
          </cell>
          <cell r="K560">
            <v>0</v>
          </cell>
          <cell r="L560" t="str">
            <v>ROIC (+)</v>
          </cell>
          <cell r="M560" t="str">
            <v>Period A</v>
          </cell>
        </row>
        <row r="561">
          <cell r="A561" t="str">
            <v>WACC (k)</v>
          </cell>
          <cell r="G561">
            <v>0.10343689928785445</v>
          </cell>
          <cell r="L561" t="str">
            <v>Base case</v>
          </cell>
          <cell r="M561">
            <v>0.3</v>
          </cell>
        </row>
        <row r="562">
          <cell r="A562" t="str">
            <v>Time Period (yrs)</v>
          </cell>
          <cell r="G562">
            <v>10</v>
          </cell>
          <cell r="K562" t="str">
            <v>ROIC</v>
          </cell>
          <cell r="L562" t="str">
            <v xml:space="preserve"> + 1%</v>
          </cell>
          <cell r="M562">
            <v>0.31</v>
          </cell>
        </row>
        <row r="563">
          <cell r="A563" t="str">
            <v>NOPLAT (t+1) yr</v>
          </cell>
          <cell r="G563">
            <v>40238</v>
          </cell>
          <cell r="K563">
            <v>0</v>
          </cell>
          <cell r="L563" t="str">
            <v xml:space="preserve"> + 2%</v>
          </cell>
          <cell r="M563">
            <v>0.32</v>
          </cell>
        </row>
        <row r="564">
          <cell r="L564" t="str">
            <v xml:space="preserve"> + 3%</v>
          </cell>
          <cell r="M564">
            <v>0.33</v>
          </cell>
        </row>
        <row r="565">
          <cell r="A565" t="str">
            <v xml:space="preserve">Terminal Value </v>
          </cell>
          <cell r="G565">
            <v>530463.30303591688</v>
          </cell>
          <cell r="I565">
            <v>103182.19986839361</v>
          </cell>
          <cell r="J565">
            <v>427281.10316752328</v>
          </cell>
        </row>
        <row r="566">
          <cell r="A566" t="str">
            <v>Terminal Value - Discounted</v>
          </cell>
          <cell r="G566">
            <v>378975.50203118823</v>
          </cell>
          <cell r="I566">
            <v>73715.798570818821</v>
          </cell>
          <cell r="J566">
            <v>305259.70346036943</v>
          </cell>
        </row>
        <row r="567">
          <cell r="A567" t="str">
            <v>Explicit FCF - Discounted</v>
          </cell>
          <cell r="G567">
            <v>-46385.621614467615</v>
          </cell>
          <cell r="H567">
            <v>-17481.388204974606</v>
          </cell>
          <cell r="I567">
            <v>-6185.8087070039874</v>
          </cell>
          <cell r="J567">
            <v>-22718.424702489021</v>
          </cell>
        </row>
        <row r="568">
          <cell r="A568" t="str">
            <v>Aggregate Value</v>
          </cell>
          <cell r="G568">
            <v>332589.88041672064</v>
          </cell>
          <cell r="L568" t="str">
            <v>Decrease Risk Premium (5% to 3%)</v>
          </cell>
        </row>
        <row r="569">
          <cell r="A569" t="str">
            <v>Less: F2006 Net Debt</v>
          </cell>
          <cell r="E569">
            <v>0.1</v>
          </cell>
          <cell r="F569">
            <v>254.92526115141175</v>
          </cell>
          <cell r="G569">
            <v>-857.89999999999964</v>
          </cell>
          <cell r="L569" t="str">
            <v>Rs</v>
          </cell>
          <cell r="M569" t="str">
            <v>Risk Premium</v>
          </cell>
        </row>
        <row r="570">
          <cell r="A570" t="str">
            <v xml:space="preserve">Net Equity Value </v>
          </cell>
          <cell r="E570">
            <v>0.2</v>
          </cell>
          <cell r="F570">
            <v>278.10028489244917</v>
          </cell>
          <cell r="G570">
            <v>333447.78041672066</v>
          </cell>
          <cell r="L570" t="str">
            <v>Base case</v>
          </cell>
          <cell r="M570">
            <v>0.05</v>
          </cell>
        </row>
        <row r="571">
          <cell r="A571" t="str">
            <v>Shares o/s (million)</v>
          </cell>
          <cell r="E571">
            <v>0.3</v>
          </cell>
          <cell r="F571">
            <v>301.27530863348659</v>
          </cell>
          <cell r="G571">
            <v>1438.8239000000001</v>
          </cell>
          <cell r="L571" t="str">
            <v xml:space="preserve"> + 1%</v>
          </cell>
          <cell r="M571">
            <v>0.04</v>
          </cell>
        </row>
        <row r="572">
          <cell r="A572" t="str">
            <v>DCF Value / Share (Rs)</v>
          </cell>
          <cell r="E572">
            <v>0.4</v>
          </cell>
          <cell r="F572">
            <v>324.45033237452401</v>
          </cell>
          <cell r="G572">
            <v>231.7502374103743</v>
          </cell>
          <cell r="L572" t="str">
            <v xml:space="preserve"> + 2%</v>
          </cell>
          <cell r="M572">
            <v>0.03</v>
          </cell>
        </row>
        <row r="574">
          <cell r="A574" t="str">
            <v>DISCOUNTED CASH FLOW to the FIRM - NORMAL METHOD</v>
          </cell>
        </row>
        <row r="575">
          <cell r="A575" t="str">
            <v>DCF</v>
          </cell>
          <cell r="G575">
            <v>2006</v>
          </cell>
          <cell r="H575">
            <v>2007</v>
          </cell>
          <cell r="I575">
            <v>2008</v>
          </cell>
          <cell r="J575">
            <v>2009</v>
          </cell>
          <cell r="K575">
            <v>2010</v>
          </cell>
        </row>
        <row r="576">
          <cell r="A576" t="str">
            <v>OBTIDA</v>
          </cell>
          <cell r="G576">
            <v>8794.1000000000058</v>
          </cell>
          <cell r="H576">
            <v>13216.099999999991</v>
          </cell>
          <cell r="I576">
            <v>19689.699999999997</v>
          </cell>
          <cell r="J576">
            <v>25914.515509591874</v>
          </cell>
          <cell r="K576">
            <v>34909.336663462687</v>
          </cell>
        </row>
        <row r="577">
          <cell r="A577" t="str">
            <v>Less: Increase in Net Working Capital</v>
          </cell>
          <cell r="G577">
            <v>10989.399999999994</v>
          </cell>
          <cell r="H577">
            <v>11691.400000000005</v>
          </cell>
          <cell r="I577">
            <v>2145.6000000000022</v>
          </cell>
          <cell r="J577">
            <v>11719.796960667169</v>
          </cell>
          <cell r="K577">
            <v>16679.727346187661</v>
          </cell>
        </row>
        <row r="578">
          <cell r="A578" t="str">
            <v>PBT</v>
          </cell>
          <cell r="G578">
            <v>8173.3000000000056</v>
          </cell>
          <cell r="H578">
            <v>9682.5999999999913</v>
          </cell>
          <cell r="I578">
            <v>13676.099999999997</v>
          </cell>
          <cell r="J578">
            <v>16171.851768370485</v>
          </cell>
          <cell r="K578">
            <v>21434.549273145334</v>
          </cell>
        </row>
        <row r="579">
          <cell r="A579" t="str">
            <v xml:space="preserve">Adjusted Tax </v>
          </cell>
          <cell r="G579">
            <v>613.11956003083196</v>
          </cell>
          <cell r="H579">
            <v>1473.5808976927685</v>
          </cell>
          <cell r="I579">
            <v>2150.7006120165838</v>
          </cell>
          <cell r="J579">
            <v>2592.7125095320584</v>
          </cell>
          <cell r="K579">
            <v>3552.5037258555294</v>
          </cell>
        </row>
        <row r="580">
          <cell r="A580" t="str">
            <v>Interest shield</v>
          </cell>
          <cell r="G580">
            <v>45.019560030832061</v>
          </cell>
          <cell r="H580">
            <v>327.18089769276872</v>
          </cell>
          <cell r="I580">
            <v>637.80061201658384</v>
          </cell>
          <cell r="J580">
            <v>802.69623466176097</v>
          </cell>
          <cell r="K580">
            <v>1035.5681497316755</v>
          </cell>
        </row>
        <row r="581">
          <cell r="A581" t="str">
            <v>Capex</v>
          </cell>
          <cell r="G581">
            <v>4042.1599999999989</v>
          </cell>
          <cell r="H581">
            <v>18373.3</v>
          </cell>
          <cell r="I581">
            <v>22797.300000000007</v>
          </cell>
          <cell r="J581">
            <v>40705.574940609542</v>
          </cell>
          <cell r="K581">
            <v>6695.5452169022728</v>
          </cell>
        </row>
        <row r="582">
          <cell r="A582" t="str">
            <v>Cash Flow</v>
          </cell>
          <cell r="G582">
            <v>-6850.5795600308193</v>
          </cell>
          <cell r="H582">
            <v>-18322.180897692782</v>
          </cell>
          <cell r="I582">
            <v>-7403.9006120165959</v>
          </cell>
          <cell r="J582">
            <v>-29103.568901216895</v>
          </cell>
          <cell r="K582">
            <v>7981.5603745172239</v>
          </cell>
        </row>
        <row r="583">
          <cell r="G583">
            <v>38807</v>
          </cell>
          <cell r="H583">
            <v>39172</v>
          </cell>
          <cell r="I583">
            <v>39538</v>
          </cell>
          <cell r="J583">
            <v>39903</v>
          </cell>
          <cell r="K583">
            <v>40268</v>
          </cell>
          <cell r="L583">
            <v>40633</v>
          </cell>
        </row>
        <row r="584">
          <cell r="A584" t="str">
            <v>WACC</v>
          </cell>
          <cell r="G584">
            <v>0.10343689928785445</v>
          </cell>
          <cell r="H584">
            <v>0.10343689928785445</v>
          </cell>
          <cell r="I584">
            <v>0.10343689928785445</v>
          </cell>
          <cell r="J584">
            <v>0.10343689928785445</v>
          </cell>
          <cell r="K584">
            <v>0.10343689928785445</v>
          </cell>
          <cell r="L584">
            <v>0.10343689928785445</v>
          </cell>
        </row>
        <row r="585">
          <cell r="A585" t="str">
            <v>Discounting multiplier - 1 yr fwd</v>
          </cell>
          <cell r="F585">
            <v>39021</v>
          </cell>
          <cell r="G585">
            <v>1.059407198225073</v>
          </cell>
          <cell r="H585">
            <v>0.96009767201803953</v>
          </cell>
          <cell r="I585">
            <v>0.86986287792784944</v>
          </cell>
          <cell r="J585">
            <v>0.78832136073141013</v>
          </cell>
          <cell r="K585">
            <v>0.71442359888470619</v>
          </cell>
        </row>
        <row r="586">
          <cell r="A586" t="str">
            <v>Discounting multiplier - F2006</v>
          </cell>
          <cell r="G586">
            <v>1</v>
          </cell>
          <cell r="H586">
            <v>2.584184252669691E-5</v>
          </cell>
          <cell r="I586">
            <v>2.3413096569625327E-5</v>
          </cell>
          <cell r="J586">
            <v>2.1218337527715344E-5</v>
          </cell>
          <cell r="K586">
            <v>1.9229316639138518E-5</v>
          </cell>
          <cell r="L586">
            <v>1.7426747874345036E-5</v>
          </cell>
        </row>
        <row r="587">
          <cell r="A587" t="str">
            <v>Discounting multiplier - F2007</v>
          </cell>
          <cell r="H587">
            <v>1</v>
          </cell>
          <cell r="I587">
            <v>2.3413096569625327E-5</v>
          </cell>
          <cell r="J587">
            <v>2.1218337527715344E-5</v>
          </cell>
          <cell r="K587">
            <v>1.9229316639138518E-5</v>
          </cell>
        </row>
        <row r="588">
          <cell r="A588" t="str">
            <v>Discounting multiplier - F2008</v>
          </cell>
          <cell r="I588">
            <v>1</v>
          </cell>
        </row>
        <row r="589">
          <cell r="A589" t="str">
            <v>PV of Cash flows - F2006</v>
          </cell>
        </row>
        <row r="590">
          <cell r="A590" t="str">
            <v>PV of Cash flows - F2007</v>
          </cell>
        </row>
        <row r="591">
          <cell r="A591" t="str">
            <v>PV of Cash flows - F2008</v>
          </cell>
        </row>
        <row r="592">
          <cell r="A592" t="str">
            <v>PV of Cash Flows - 1 yr fwd</v>
          </cell>
          <cell r="G592">
            <v>-7257.5532979102036</v>
          </cell>
          <cell r="H592">
            <v>-17591.083226168234</v>
          </cell>
          <cell r="I592">
            <v>-6440.3782942605221</v>
          </cell>
          <cell r="J592">
            <v>-22942.965038347655</v>
          </cell>
        </row>
        <row r="594">
          <cell r="A594" t="str">
            <v>Aggregate Value</v>
          </cell>
          <cell r="H594">
            <v>-606856.5392179687</v>
          </cell>
        </row>
        <row r="595">
          <cell r="A595" t="str">
            <v>Net debt</v>
          </cell>
          <cell r="H595">
            <v>-857.89999999999964</v>
          </cell>
        </row>
        <row r="596">
          <cell r="A596" t="str">
            <v>Investments/other current assets</v>
          </cell>
        </row>
        <row r="597">
          <cell r="A597" t="str">
            <v>Equity Value Rs mn</v>
          </cell>
          <cell r="H597">
            <v>-605998.63921796868</v>
          </cell>
        </row>
        <row r="599">
          <cell r="A599" t="str">
            <v>Shares (m)</v>
          </cell>
          <cell r="H599">
            <v>1438.8239000000001</v>
          </cell>
        </row>
        <row r="600">
          <cell r="A600" t="str">
            <v>Implied DCF value per share (Rs)</v>
          </cell>
          <cell r="H600">
            <v>-421.17637830311872</v>
          </cell>
        </row>
        <row r="601">
          <cell r="A601" t="str">
            <v>Terminal Growth Rate (g)</v>
          </cell>
          <cell r="H601">
            <v>0.06</v>
          </cell>
        </row>
        <row r="602">
          <cell r="A602" t="str">
            <v>Terminal Value (Rs Million)</v>
          </cell>
          <cell r="H602">
            <v>-559882.11265919229</v>
          </cell>
        </row>
        <row r="603">
          <cell r="A603" t="str">
            <v>TV (% of aggregate Value)</v>
          </cell>
          <cell r="H603">
            <v>0.92259385287450235</v>
          </cell>
        </row>
        <row r="605">
          <cell r="A605" t="str">
            <v>Cost of Capital calculation</v>
          </cell>
          <cell r="G605" t="str">
            <v>LT - WACC</v>
          </cell>
        </row>
        <row r="606">
          <cell r="A606" t="str">
            <v>Cost of Debt (I)</v>
          </cell>
          <cell r="G606">
            <v>7.9362567959308447E-2</v>
          </cell>
          <cell r="H606">
            <v>7.9362567959308447E-2</v>
          </cell>
        </row>
        <row r="607">
          <cell r="A607" t="str">
            <v>After tax cost of debt (Rd =(1-tx)x I)</v>
          </cell>
          <cell r="G607">
            <v>7.0375848389553727E-2</v>
          </cell>
          <cell r="H607">
            <v>7.0375848389553727E-2</v>
          </cell>
        </row>
        <row r="608">
          <cell r="A608" t="str">
            <v>Tax</v>
          </cell>
          <cell r="G608">
            <v>0.11323624979426668</v>
          </cell>
          <cell r="H608">
            <v>0.11323624979426668</v>
          </cell>
        </row>
        <row r="609">
          <cell r="A609" t="str">
            <v>Risk free rate (Rf)</v>
          </cell>
          <cell r="G609">
            <v>7.5999999999999998E-2</v>
          </cell>
          <cell r="H609">
            <v>7.5999999999999998E-2</v>
          </cell>
        </row>
        <row r="610">
          <cell r="A610" t="str">
            <v>Beta (b)</v>
          </cell>
          <cell r="G610">
            <v>1.1000000000000001</v>
          </cell>
          <cell r="H610">
            <v>1.1000000000000001</v>
          </cell>
        </row>
        <row r="611">
          <cell r="A611" t="str">
            <v>Risk premium (Rm- Rf)</v>
          </cell>
          <cell r="G611">
            <v>0.05</v>
          </cell>
          <cell r="H611">
            <v>0.05</v>
          </cell>
        </row>
        <row r="612">
          <cell r="A612" t="str">
            <v xml:space="preserve">Cost of equity (Re= Rf +bxRm) </v>
          </cell>
          <cell r="G612">
            <v>0.13100000000000001</v>
          </cell>
          <cell r="H612">
            <v>0.13100000000000001</v>
          </cell>
        </row>
        <row r="613">
          <cell r="A613" t="str">
            <v xml:space="preserve">WACC - Book Value </v>
          </cell>
          <cell r="G613">
            <v>0.10343689928785445</v>
          </cell>
          <cell r="H613">
            <v>9.5026649360523671E-2</v>
          </cell>
        </row>
        <row r="614">
          <cell r="A614" t="str">
            <v xml:space="preserve">WACC - Market Value </v>
          </cell>
          <cell r="G614" t="e">
            <v>#REF!</v>
          </cell>
          <cell r="H614">
            <v>429.91809369591937</v>
          </cell>
        </row>
        <row r="615">
          <cell r="A615" t="str">
            <v>Debt (% of (Loan Funds + Networth))</v>
          </cell>
          <cell r="G615">
            <v>0.45465544638477218</v>
          </cell>
        </row>
        <row r="616">
          <cell r="A616" t="str">
            <v>Debt (% of (Loan Funds + Mkt Cap))</v>
          </cell>
          <cell r="G616" t="e">
            <v>#REF!</v>
          </cell>
        </row>
        <row r="618">
          <cell r="G618">
            <v>0.15048952487480635</v>
          </cell>
          <cell r="H618">
            <v>0.59338315974516154</v>
          </cell>
          <cell r="I618">
            <v>0.52068214233690235</v>
          </cell>
          <cell r="J618">
            <v>0.55406695858221833</v>
          </cell>
        </row>
        <row r="620">
          <cell r="A620" t="str">
            <v>Hansen - Valuation</v>
          </cell>
        </row>
        <row r="621">
          <cell r="A621" t="str">
            <v>Europe Capital Goods</v>
          </cell>
        </row>
        <row r="622">
          <cell r="A622" t="str">
            <v>Avearge Multiple</v>
          </cell>
          <cell r="H622" t="str">
            <v>F2007E</v>
          </cell>
          <cell r="I622" t="str">
            <v>F2008E</v>
          </cell>
          <cell r="J622" t="str">
            <v>F2009E</v>
          </cell>
        </row>
        <row r="623">
          <cell r="A623" t="str">
            <v>P/E</v>
          </cell>
          <cell r="H623">
            <v>9.8651345040404603</v>
          </cell>
          <cell r="I623">
            <v>15</v>
          </cell>
        </row>
        <row r="624">
          <cell r="A624" t="str">
            <v>EV/EBITDA</v>
          </cell>
          <cell r="H624">
            <v>8.3021505257377548</v>
          </cell>
          <cell r="I624">
            <v>8.4917891687472284</v>
          </cell>
        </row>
        <row r="625">
          <cell r="A625" t="str">
            <v>P/B</v>
          </cell>
          <cell r="H625">
            <v>1.4353037556850357</v>
          </cell>
          <cell r="I625">
            <v>1.2808767719133953</v>
          </cell>
        </row>
        <row r="626">
          <cell r="A626" t="str">
            <v>EV/NOA</v>
          </cell>
          <cell r="H626">
            <v>1.1745662236177379</v>
          </cell>
          <cell r="I626">
            <v>1.0967239654937433</v>
          </cell>
        </row>
        <row r="627">
          <cell r="A627" t="str">
            <v>Exchange Rate (Euro/Rs.)</v>
          </cell>
          <cell r="H627">
            <v>58.25</v>
          </cell>
          <cell r="I627">
            <v>59.04</v>
          </cell>
          <cell r="J627">
            <v>60.544666115702462</v>
          </cell>
        </row>
        <row r="628">
          <cell r="A628" t="str">
            <v>Hansen Valuation</v>
          </cell>
        </row>
        <row r="630">
          <cell r="A630" t="str">
            <v>Price Target Basis</v>
          </cell>
        </row>
        <row r="631">
          <cell r="A631" t="str">
            <v>In Millions</v>
          </cell>
          <cell r="H631" t="str">
            <v>F2007E</v>
          </cell>
          <cell r="I631" t="str">
            <v>F2008E</v>
          </cell>
          <cell r="J631" t="str">
            <v>F2009E</v>
          </cell>
        </row>
        <row r="632">
          <cell r="A632" t="str">
            <v>P/E</v>
          </cell>
        </row>
        <row r="633">
          <cell r="A633" t="str">
            <v>Hansen - Net Profit (EUR)</v>
          </cell>
          <cell r="H633" t="e">
            <v>#REF!</v>
          </cell>
          <cell r="I633" t="e">
            <v>#REF!</v>
          </cell>
          <cell r="J633" t="e">
            <v>#REF!</v>
          </cell>
        </row>
        <row r="634">
          <cell r="A634" t="str">
            <v>Less: Post Tax Cost of Debt taken for acquisition</v>
          </cell>
          <cell r="H634" t="e">
            <v>#REF!</v>
          </cell>
          <cell r="I634" t="e">
            <v>#REF!</v>
          </cell>
          <cell r="J634" t="e">
            <v>#REF!</v>
          </cell>
        </row>
        <row r="635">
          <cell r="A635" t="str">
            <v>Derived Market Cap (EUR)</v>
          </cell>
          <cell r="G635">
            <v>103.2</v>
          </cell>
          <cell r="H635" t="e">
            <v>#REF!</v>
          </cell>
          <cell r="I635" t="e">
            <v>#REF!</v>
          </cell>
        </row>
        <row r="636">
          <cell r="A636" t="str">
            <v>Derived Market Cap (INR)</v>
          </cell>
          <cell r="G636">
            <v>3.923954372623574E-2</v>
          </cell>
          <cell r="H636" t="e">
            <v>#REF!</v>
          </cell>
          <cell r="I636" t="e">
            <v>#REF!</v>
          </cell>
        </row>
        <row r="637">
          <cell r="A637" t="str">
            <v>Price (Rs /Share)</v>
          </cell>
          <cell r="H637" t="e">
            <v>#REF!</v>
          </cell>
          <cell r="I637" t="e">
            <v>#REF!</v>
          </cell>
        </row>
        <row r="638">
          <cell r="A638" t="str">
            <v>EV/EBITDA</v>
          </cell>
        </row>
        <row r="639">
          <cell r="A639" t="str">
            <v>Hansen - EBITDA  (EUR)</v>
          </cell>
          <cell r="H639" t="e">
            <v>#REF!</v>
          </cell>
          <cell r="I639" t="e">
            <v>#REF!</v>
          </cell>
        </row>
        <row r="640">
          <cell r="A640" t="str">
            <v>Derived EV  (EUR)</v>
          </cell>
          <cell r="H640" t="e">
            <v>#REF!</v>
          </cell>
          <cell r="I640" t="e">
            <v>#REF!</v>
          </cell>
        </row>
        <row r="641">
          <cell r="A641" t="str">
            <v>Derived Market Cap (EUR)</v>
          </cell>
          <cell r="H641" t="e">
            <v>#REF!</v>
          </cell>
          <cell r="I641" t="e">
            <v>#REF!</v>
          </cell>
        </row>
        <row r="642">
          <cell r="A642" t="str">
            <v>Derived Market Cap (INR)</v>
          </cell>
          <cell r="H642" t="e">
            <v>#REF!</v>
          </cell>
          <cell r="I642" t="e">
            <v>#REF!</v>
          </cell>
        </row>
        <row r="643">
          <cell r="A643" t="str">
            <v>Price (Rs /Share)</v>
          </cell>
          <cell r="H643" t="e">
            <v>#REF!</v>
          </cell>
          <cell r="I643" t="e">
            <v>#REF!</v>
          </cell>
        </row>
        <row r="644">
          <cell r="A644" t="str">
            <v>P/B</v>
          </cell>
        </row>
        <row r="645">
          <cell r="A645" t="str">
            <v>Hansen - Book Value  (EUR)</v>
          </cell>
          <cell r="H645" t="e">
            <v>#REF!</v>
          </cell>
          <cell r="I645" t="e">
            <v>#REF!</v>
          </cell>
        </row>
        <row r="646">
          <cell r="A646" t="str">
            <v>Derived Market Cap (EUR)</v>
          </cell>
          <cell r="H646" t="e">
            <v>#REF!</v>
          </cell>
          <cell r="I646" t="e">
            <v>#REF!</v>
          </cell>
        </row>
        <row r="647">
          <cell r="A647" t="str">
            <v>Derived Market Cap (INR)</v>
          </cell>
          <cell r="H647" t="e">
            <v>#REF!</v>
          </cell>
          <cell r="I647" t="e">
            <v>#REF!</v>
          </cell>
        </row>
        <row r="648">
          <cell r="A648" t="str">
            <v>Price (Rs /Share)</v>
          </cell>
          <cell r="H648" t="e">
            <v>#REF!</v>
          </cell>
          <cell r="I648" t="e">
            <v>#REF!</v>
          </cell>
        </row>
        <row r="649">
          <cell r="A649" t="str">
            <v>Average Price -1</v>
          </cell>
          <cell r="H649" t="e">
            <v>#REF!</v>
          </cell>
          <cell r="I649" t="e">
            <v>#REF!</v>
          </cell>
        </row>
        <row r="650">
          <cell r="A650" t="str">
            <v>EV/NOA</v>
          </cell>
        </row>
        <row r="651">
          <cell r="A651" t="str">
            <v>Net Operating Assets (EUR)</v>
          </cell>
          <cell r="H651" t="e">
            <v>#REF!</v>
          </cell>
          <cell r="I651" t="e">
            <v>#REF!</v>
          </cell>
        </row>
        <row r="652">
          <cell r="A652" t="str">
            <v>Derived EV  (EUR)</v>
          </cell>
          <cell r="H652" t="e">
            <v>#REF!</v>
          </cell>
          <cell r="I652" t="e">
            <v>#REF!</v>
          </cell>
        </row>
        <row r="653">
          <cell r="A653" t="str">
            <v>Derived Market Cap (EUR)</v>
          </cell>
          <cell r="H653" t="e">
            <v>#REF!</v>
          </cell>
          <cell r="I653" t="e">
            <v>#REF!</v>
          </cell>
        </row>
        <row r="654">
          <cell r="A654" t="str">
            <v>Derived Market Cap (INR)</v>
          </cell>
          <cell r="H654" t="e">
            <v>#REF!</v>
          </cell>
          <cell r="I654" t="e">
            <v>#REF!</v>
          </cell>
        </row>
        <row r="655">
          <cell r="A655" t="str">
            <v>Price (Rs /Share)</v>
          </cell>
          <cell r="H655" t="e">
            <v>#REF!</v>
          </cell>
          <cell r="I655" t="e">
            <v>#REF!</v>
          </cell>
        </row>
        <row r="656">
          <cell r="A656" t="str">
            <v>Average Price - 2</v>
          </cell>
          <cell r="H656" t="e">
            <v>#REF!</v>
          </cell>
          <cell r="I656" t="e">
            <v>#REF!</v>
          </cell>
        </row>
        <row r="658">
          <cell r="A658" t="str">
            <v>Debt for Hansen Acquisiton (Million EUR)</v>
          </cell>
          <cell r="F658">
            <v>431.43</v>
          </cell>
          <cell r="H658">
            <v>450</v>
          </cell>
        </row>
        <row r="659">
          <cell r="A659" t="str">
            <v>Debt for Hansen Acquisiton (Million INR)</v>
          </cell>
          <cell r="H659">
            <v>26212.5</v>
          </cell>
          <cell r="I659">
            <v>26568</v>
          </cell>
        </row>
        <row r="660">
          <cell r="A660" t="str">
            <v>Debt (Rs /Share)</v>
          </cell>
          <cell r="H660">
            <v>91.090021509929031</v>
          </cell>
          <cell r="I660">
            <v>88.740438892414574</v>
          </cell>
        </row>
        <row r="662">
          <cell r="A662" t="str">
            <v>Net Price - 1</v>
          </cell>
          <cell r="H662" t="e">
            <v>#REF!</v>
          </cell>
          <cell r="I662" t="e">
            <v>#REF!</v>
          </cell>
        </row>
        <row r="663">
          <cell r="A663" t="str">
            <v>Net Price - 2</v>
          </cell>
          <cell r="H663" t="e">
            <v>#REF!</v>
          </cell>
          <cell r="I663" t="e">
            <v>#REF!</v>
          </cell>
        </row>
        <row r="664">
          <cell r="A664" t="str">
            <v>Net Price - Based on EV/EBITDA</v>
          </cell>
          <cell r="H664" t="e">
            <v>#REF!</v>
          </cell>
          <cell r="I664" t="e">
            <v>#REF!</v>
          </cell>
        </row>
        <row r="665">
          <cell r="A665" t="str">
            <v>Net Price - Based on EV/NOA</v>
          </cell>
          <cell r="H665" t="e">
            <v>#REF!</v>
          </cell>
          <cell r="I665" t="e">
            <v>#REF!</v>
          </cell>
        </row>
        <row r="677">
          <cell r="F677" t="str">
            <v>Current</v>
          </cell>
          <cell r="H677" t="str">
            <v>F2008E</v>
          </cell>
          <cell r="J677" t="str">
            <v>F2009E</v>
          </cell>
          <cell r="L677" t="str">
            <v>Implied Growth CAGR (F2009-15E)</v>
          </cell>
        </row>
        <row r="678">
          <cell r="F678" t="str">
            <v>BSE Sensex</v>
          </cell>
          <cell r="G678" t="str">
            <v>Suzlon</v>
          </cell>
          <cell r="H678" t="str">
            <v>BSE Sensex</v>
          </cell>
          <cell r="I678" t="str">
            <v>Suzlon</v>
          </cell>
          <cell r="J678" t="str">
            <v>BSE Sensex</v>
          </cell>
          <cell r="K678" t="str">
            <v>Suzlon</v>
          </cell>
          <cell r="L678" t="str">
            <v>BSE Sensex</v>
          </cell>
          <cell r="M678" t="str">
            <v>Suzlon</v>
          </cell>
        </row>
        <row r="679">
          <cell r="E679" t="str">
            <v>Price</v>
          </cell>
          <cell r="F679">
            <v>12900</v>
          </cell>
          <cell r="G679" t="e">
            <v>#REF!</v>
          </cell>
          <cell r="H679">
            <v>12900</v>
          </cell>
          <cell r="I679" t="e">
            <v>#REF!</v>
          </cell>
          <cell r="J679">
            <v>12900</v>
          </cell>
          <cell r="K679" t="e">
            <v>#REF!</v>
          </cell>
          <cell r="L679">
            <v>12900</v>
          </cell>
          <cell r="M679" t="e">
            <v>#REF!</v>
          </cell>
        </row>
        <row r="680">
          <cell r="E680" t="str">
            <v>EPS</v>
          </cell>
          <cell r="F680">
            <v>641.79104477611941</v>
          </cell>
          <cell r="G680" t="e">
            <v>#REF!</v>
          </cell>
          <cell r="H680" t="e">
            <v>#REF!</v>
          </cell>
          <cell r="I680" t="e">
            <v>#REF!</v>
          </cell>
          <cell r="K680" t="e">
            <v>#REF!</v>
          </cell>
          <cell r="L680" t="e">
            <v>#REF!</v>
          </cell>
          <cell r="M680" t="e">
            <v>#REF!</v>
          </cell>
        </row>
        <row r="681">
          <cell r="E681" t="str">
            <v>PE</v>
          </cell>
          <cell r="F681">
            <v>20.100000000000001</v>
          </cell>
          <cell r="G681" t="e">
            <v>#REF!</v>
          </cell>
          <cell r="H681" t="e">
            <v>#REF!</v>
          </cell>
          <cell r="I681" t="e">
            <v>#REF!</v>
          </cell>
          <cell r="K681" t="e">
            <v>#REF!</v>
          </cell>
          <cell r="L681" t="e">
            <v>#REF!</v>
          </cell>
          <cell r="M681" t="e">
            <v>#REF!</v>
          </cell>
        </row>
      </sheetData>
      <sheetData sheetId="12" refreshError="1"/>
      <sheetData sheetId="13" refreshError="1"/>
      <sheetData sheetId="14" refreshError="1"/>
      <sheetData sheetId="15" refreshError="1">
        <row r="1">
          <cell r="A1" t="str">
            <v xml:space="preserve">Y/E March </v>
          </cell>
          <cell r="B1">
            <v>2001</v>
          </cell>
          <cell r="C1">
            <v>2002</v>
          </cell>
          <cell r="D1">
            <v>2003</v>
          </cell>
          <cell r="E1">
            <v>2004</v>
          </cell>
          <cell r="F1">
            <v>2005</v>
          </cell>
          <cell r="G1">
            <v>2006</v>
          </cell>
          <cell r="H1">
            <v>2007</v>
          </cell>
          <cell r="I1">
            <v>2008</v>
          </cell>
          <cell r="J1">
            <v>2009</v>
          </cell>
          <cell r="K1">
            <v>2010</v>
          </cell>
          <cell r="L1">
            <v>2011</v>
          </cell>
          <cell r="M1">
            <v>2012</v>
          </cell>
          <cell r="N1">
            <v>2013</v>
          </cell>
          <cell r="O1">
            <v>2014</v>
          </cell>
          <cell r="P1">
            <v>2015</v>
          </cell>
        </row>
        <row r="3">
          <cell r="A3" t="str">
            <v>Avg. Exchange Rate (INR/USD)</v>
          </cell>
          <cell r="F3">
            <v>44.927</v>
          </cell>
          <cell r="G3">
            <v>44.268999999999998</v>
          </cell>
          <cell r="H3">
            <v>45.24</v>
          </cell>
          <cell r="I3">
            <v>40.270000000000003</v>
          </cell>
          <cell r="J3">
            <v>39.515000000000001</v>
          </cell>
          <cell r="K3">
            <v>38.5</v>
          </cell>
          <cell r="L3">
            <v>37.814250000000001</v>
          </cell>
          <cell r="M3">
            <v>37.247036250000001</v>
          </cell>
          <cell r="N3">
            <v>40.154944631250004</v>
          </cell>
          <cell r="O3">
            <v>39.552620461781252</v>
          </cell>
          <cell r="P3">
            <v>38.959331154854539</v>
          </cell>
        </row>
        <row r="4">
          <cell r="A4" t="str">
            <v>EUR/USD - CY end F/x Rate [Eco Team]</v>
          </cell>
          <cell r="E4">
            <v>1.3576999999999999</v>
          </cell>
          <cell r="F4">
            <v>1.1816</v>
          </cell>
          <cell r="G4">
            <v>1.31925</v>
          </cell>
          <cell r="H4">
            <v>1.3311500000000001</v>
          </cell>
          <cell r="I4">
            <v>1.47</v>
          </cell>
          <cell r="J4">
            <v>1.51</v>
          </cell>
          <cell r="K4">
            <v>1.4</v>
          </cell>
          <cell r="L4">
            <v>1.3398030749337169</v>
          </cell>
          <cell r="M4">
            <v>1.2821944854298879</v>
          </cell>
          <cell r="N4">
            <v>1.18</v>
          </cell>
          <cell r="O4">
            <v>1.18</v>
          </cell>
          <cell r="P4">
            <v>1.18</v>
          </cell>
          <cell r="S4">
            <v>0</v>
          </cell>
        </row>
        <row r="5">
          <cell r="A5" t="str">
            <v>Avg. Exchange Rate (INR/EUR)</v>
          </cell>
          <cell r="F5">
            <v>53.085743199999996</v>
          </cell>
          <cell r="G5">
            <v>58.401878249999996</v>
          </cell>
          <cell r="H5">
            <v>60.221226000000009</v>
          </cell>
          <cell r="I5">
            <v>57.121377000000003</v>
          </cell>
          <cell r="J5">
            <v>59.667650000000002</v>
          </cell>
          <cell r="K5">
            <v>53.9</v>
          </cell>
          <cell r="L5">
            <v>50.663648426312307</v>
          </cell>
          <cell r="M5">
            <v>47.757944478357132</v>
          </cell>
          <cell r="N5">
            <v>47.382834664874999</v>
          </cell>
          <cell r="O5">
            <v>46.672092144901875</v>
          </cell>
          <cell r="P5">
            <v>45.972010762728353</v>
          </cell>
        </row>
        <row r="6">
          <cell r="N6">
            <v>-4.2997803618773589E-2</v>
          </cell>
        </row>
        <row r="7">
          <cell r="A7" t="str">
            <v>REVENUE MODEL - Summary</v>
          </cell>
        </row>
        <row r="8">
          <cell r="A8" t="str">
            <v>Stand-alone Revenues (Rs Million)</v>
          </cell>
        </row>
        <row r="9">
          <cell r="A9" t="str">
            <v xml:space="preserve">Domestic </v>
          </cell>
          <cell r="B9">
            <v>3875.37</v>
          </cell>
          <cell r="C9">
            <v>5249.0940000000001</v>
          </cell>
          <cell r="D9">
            <v>3325.9810000000002</v>
          </cell>
          <cell r="E9">
            <v>7911.51</v>
          </cell>
          <cell r="F9">
            <v>19162.49033591733</v>
          </cell>
          <cell r="G9">
            <v>35304.699999999997</v>
          </cell>
          <cell r="H9">
            <v>35377.599999999991</v>
          </cell>
          <cell r="I9">
            <v>40188.784609613067</v>
          </cell>
          <cell r="J9">
            <v>31467.777480502711</v>
          </cell>
          <cell r="K9">
            <v>35711.832142253101</v>
          </cell>
          <cell r="L9">
            <v>38595.114285869407</v>
          </cell>
          <cell r="M9">
            <v>40198.608833708553</v>
          </cell>
          <cell r="N9">
            <v>41081.013704159122</v>
          </cell>
          <cell r="O9">
            <v>41590.196007948049</v>
          </cell>
          <cell r="P9">
            <v>41452.833354717986</v>
          </cell>
        </row>
        <row r="10">
          <cell r="A10" t="str">
            <v>Exports</v>
          </cell>
          <cell r="C10" t="e">
            <v>#REF!</v>
          </cell>
          <cell r="D10" t="e">
            <v>#REF!</v>
          </cell>
          <cell r="E10">
            <v>0</v>
          </cell>
          <cell r="F10">
            <v>0</v>
          </cell>
          <cell r="G10">
            <v>2332.7249999999995</v>
          </cell>
          <cell r="H10">
            <v>12533.605719999998</v>
          </cell>
          <cell r="I10">
            <v>39615.678351667302</v>
          </cell>
          <cell r="J10">
            <v>60927.580648349685</v>
          </cell>
          <cell r="K10">
            <v>88451.623065590466</v>
          </cell>
          <cell r="L10">
            <v>113986.5242295112</v>
          </cell>
          <cell r="M10">
            <v>142337.93590745211</v>
          </cell>
          <cell r="N10">
            <v>186455.9931546961</v>
          </cell>
          <cell r="O10">
            <v>217017.43665767612</v>
          </cell>
          <cell r="P10">
            <v>246586.88114377134</v>
          </cell>
        </row>
        <row r="11">
          <cell r="A11" t="str">
            <v>USA</v>
          </cell>
          <cell r="G11">
            <v>2332.7249999999995</v>
          </cell>
          <cell r="H11">
            <v>11937.749999999998</v>
          </cell>
          <cell r="I11">
            <v>18940.440177559303</v>
          </cell>
          <cell r="J11">
            <v>31362.755040413002</v>
          </cell>
          <cell r="K11">
            <v>43635.620564641933</v>
          </cell>
          <cell r="L11">
            <v>53414.419547801925</v>
          </cell>
          <cell r="M11">
            <v>63087.018852881622</v>
          </cell>
          <cell r="N11">
            <v>78197.795669086103</v>
          </cell>
          <cell r="O11">
            <v>86253.019415018833</v>
          </cell>
          <cell r="P11">
            <v>93102.259902852355</v>
          </cell>
        </row>
        <row r="12">
          <cell r="A12" t="str">
            <v>Australia</v>
          </cell>
          <cell r="G12">
            <v>0</v>
          </cell>
          <cell r="H12">
            <v>135.85572000000002</v>
          </cell>
          <cell r="I12">
            <v>7541.5264123080005</v>
          </cell>
          <cell r="J12">
            <v>17482.817748467929</v>
          </cell>
          <cell r="K12">
            <v>25039.606996698531</v>
          </cell>
          <cell r="L12">
            <v>32795.578030121796</v>
          </cell>
          <cell r="M12">
            <v>41384.844862060381</v>
          </cell>
          <cell r="N12">
            <v>54895.27483928491</v>
          </cell>
          <cell r="O12">
            <v>65284.183644509641</v>
          </cell>
          <cell r="P12">
            <v>76305.762445987901</v>
          </cell>
        </row>
        <row r="13">
          <cell r="A13" t="str">
            <v>Others</v>
          </cell>
          <cell r="H13">
            <v>460</v>
          </cell>
          <cell r="I13">
            <v>13133.711761800001</v>
          </cell>
          <cell r="J13">
            <v>12082.007859468751</v>
          </cell>
          <cell r="K13">
            <v>19776.395504250002</v>
          </cell>
          <cell r="L13">
            <v>27776.526651587468</v>
          </cell>
          <cell r="M13">
            <v>37866.072192510095</v>
          </cell>
          <cell r="N13">
            <v>53362.922646325089</v>
          </cell>
          <cell r="O13">
            <v>65480.233598147643</v>
          </cell>
          <cell r="P13">
            <v>77178.85879493109</v>
          </cell>
        </row>
        <row r="14">
          <cell r="A14" t="str">
            <v>Other (including Tubular Towers)</v>
          </cell>
          <cell r="C14" t="e">
            <v>#REF!</v>
          </cell>
          <cell r="D14" t="e">
            <v>#REF!</v>
          </cell>
          <cell r="E14">
            <v>0</v>
          </cell>
          <cell r="F14">
            <v>12.509664082670497</v>
          </cell>
          <cell r="G14">
            <v>247.175000000002</v>
          </cell>
          <cell r="H14">
            <v>5892.4942800000081</v>
          </cell>
          <cell r="I14">
            <v>0</v>
          </cell>
          <cell r="J14">
            <v>0</v>
          </cell>
          <cell r="K14">
            <v>0</v>
          </cell>
          <cell r="L14">
            <v>0</v>
          </cell>
          <cell r="M14">
            <v>0</v>
          </cell>
          <cell r="N14">
            <v>0</v>
          </cell>
          <cell r="O14">
            <v>0</v>
          </cell>
          <cell r="P14">
            <v>0</v>
          </cell>
        </row>
        <row r="15">
          <cell r="A15" t="str">
            <v>Total</v>
          </cell>
          <cell r="B15">
            <v>3875.37</v>
          </cell>
          <cell r="C15" t="e">
            <v>#REF!</v>
          </cell>
          <cell r="D15" t="e">
            <v>#REF!</v>
          </cell>
          <cell r="E15">
            <v>7911.51</v>
          </cell>
          <cell r="F15">
            <v>19175</v>
          </cell>
          <cell r="G15">
            <v>37884.6</v>
          </cell>
          <cell r="H15">
            <v>53803.7</v>
          </cell>
          <cell r="I15">
            <v>79804.462961280369</v>
          </cell>
          <cell r="J15">
            <v>92395.3581288524</v>
          </cell>
          <cell r="K15">
            <v>124163.45520784357</v>
          </cell>
          <cell r="L15">
            <v>152581.63851538062</v>
          </cell>
          <cell r="M15">
            <v>182536.54474116064</v>
          </cell>
          <cell r="N15">
            <v>227537.00685885522</v>
          </cell>
          <cell r="O15">
            <v>258607.63266562417</v>
          </cell>
          <cell r="P15">
            <v>288039.71449848934</v>
          </cell>
        </row>
        <row r="16">
          <cell r="C16" t="e">
            <v>#REF!</v>
          </cell>
          <cell r="D16" t="e">
            <v>#REF!</v>
          </cell>
          <cell r="F16">
            <v>1.4236839743614049</v>
          </cell>
          <cell r="G16">
            <v>0.97572881355932206</v>
          </cell>
          <cell r="H16">
            <v>0.42019976454812769</v>
          </cell>
          <cell r="I16">
            <v>0.48325232207599811</v>
          </cell>
          <cell r="J16">
            <v>0.15777181751954017</v>
          </cell>
          <cell r="K16">
            <v>0.34382784722462056</v>
          </cell>
          <cell r="L16">
            <v>0.2288771946622008</v>
          </cell>
          <cell r="M16">
            <v>0.19632051744391577</v>
          </cell>
          <cell r="N16">
            <v>0.24652850847760854</v>
          </cell>
          <cell r="O16">
            <v>0.1365519668017896</v>
          </cell>
          <cell r="P16">
            <v>0.11380979567188731</v>
          </cell>
        </row>
        <row r="18">
          <cell r="A18" t="str">
            <v>Consolidated Revenues (Rs Million)</v>
          </cell>
        </row>
        <row r="19">
          <cell r="A19" t="str">
            <v>Domestic - WTG Sales &amp; Service</v>
          </cell>
          <cell r="E19">
            <v>7911.51</v>
          </cell>
          <cell r="F19">
            <v>19162.49033591733</v>
          </cell>
          <cell r="G19">
            <v>35300</v>
          </cell>
          <cell r="H19">
            <v>41209.999999999993</v>
          </cell>
          <cell r="I19">
            <v>54033.599999999999</v>
          </cell>
          <cell r="J19">
            <v>45437.640349410671</v>
          </cell>
          <cell r="K19">
            <v>53837.329934100882</v>
          </cell>
          <cell r="L19">
            <v>60220.017631397219</v>
          </cell>
          <cell r="M19">
            <v>65875.492792880628</v>
          </cell>
          <cell r="N19">
            <v>71122.922598264035</v>
          </cell>
          <cell r="O19">
            <v>76309.943722637385</v>
          </cell>
          <cell r="P19">
            <v>81032.417348242685</v>
          </cell>
        </row>
        <row r="20">
          <cell r="A20" t="str">
            <v>WTG</v>
          </cell>
          <cell r="B20">
            <v>3875.37</v>
          </cell>
          <cell r="C20">
            <v>5249.0940000000001</v>
          </cell>
          <cell r="D20">
            <v>3325.9810000000002</v>
          </cell>
          <cell r="E20">
            <v>7911.51</v>
          </cell>
          <cell r="F20">
            <v>19162.49033591733</v>
          </cell>
          <cell r="G20">
            <v>35300</v>
          </cell>
          <cell r="H20">
            <v>40715.189999999995</v>
          </cell>
          <cell r="I20">
            <v>52858.671901721049</v>
          </cell>
          <cell r="J20">
            <v>43393.800349410674</v>
          </cell>
          <cell r="K20">
            <v>50322.253934100881</v>
          </cell>
          <cell r="L20">
            <v>55178.436622661953</v>
          </cell>
          <cell r="M20">
            <v>59168.602822938454</v>
          </cell>
          <cell r="N20">
            <v>62440.606430604043</v>
          </cell>
          <cell r="O20">
            <v>65339.056402288435</v>
          </cell>
          <cell r="P20">
            <v>67450.847249061073</v>
          </cell>
        </row>
        <row r="21">
          <cell r="A21" t="str">
            <v>O&amp;M/EPC External Sales</v>
          </cell>
          <cell r="H21">
            <v>494.81</v>
          </cell>
          <cell r="I21">
            <v>1174.9280982789503</v>
          </cell>
          <cell r="J21">
            <v>2043.84</v>
          </cell>
          <cell r="K21">
            <v>3515.076</v>
          </cell>
          <cell r="L21">
            <v>5041.5810087352666</v>
          </cell>
          <cell r="M21">
            <v>6706.8899699421781</v>
          </cell>
          <cell r="N21">
            <v>8682.3161676599921</v>
          </cell>
          <cell r="O21">
            <v>10970.887320348946</v>
          </cell>
          <cell r="P21">
            <v>13581.570099181605</v>
          </cell>
        </row>
        <row r="23">
          <cell r="A23" t="str">
            <v>International - WTG Sales &amp; Service</v>
          </cell>
          <cell r="D23">
            <v>0</v>
          </cell>
          <cell r="E23">
            <v>0</v>
          </cell>
          <cell r="F23">
            <v>0</v>
          </cell>
          <cell r="G23">
            <v>3110.2999999999993</v>
          </cell>
          <cell r="H23">
            <v>20096.999999999996</v>
          </cell>
          <cell r="I23">
            <v>58605.455192617577</v>
          </cell>
          <cell r="J23">
            <v>103408.62432320307</v>
          </cell>
          <cell r="K23">
            <v>155694.23123890752</v>
          </cell>
          <cell r="L23">
            <v>205528.01974118224</v>
          </cell>
          <cell r="M23">
            <v>258872.03139126085</v>
          </cell>
          <cell r="N23">
            <v>338243.20644091116</v>
          </cell>
          <cell r="O23">
            <v>400117.18821083562</v>
          </cell>
          <cell r="P23">
            <v>455942.60754741961</v>
          </cell>
        </row>
        <row r="24">
          <cell r="A24" t="str">
            <v>China</v>
          </cell>
          <cell r="D24">
            <v>0</v>
          </cell>
          <cell r="E24">
            <v>0</v>
          </cell>
          <cell r="F24">
            <v>0</v>
          </cell>
          <cell r="G24">
            <v>0</v>
          </cell>
          <cell r="H24">
            <v>3000</v>
          </cell>
          <cell r="I24">
            <v>5925.586963205903</v>
          </cell>
          <cell r="J24">
            <v>22554.265378702472</v>
          </cell>
          <cell r="K24">
            <v>36675.490932308086</v>
          </cell>
          <cell r="L24">
            <v>49883.252104305539</v>
          </cell>
          <cell r="M24">
            <v>62821.720618859785</v>
          </cell>
          <cell r="N24">
            <v>79116.104404376543</v>
          </cell>
          <cell r="O24">
            <v>95651.370224891245</v>
          </cell>
          <cell r="P24">
            <v>106005.63105173573</v>
          </cell>
        </row>
        <row r="25">
          <cell r="A25" t="str">
            <v xml:space="preserve">USA </v>
          </cell>
          <cell r="D25">
            <v>0</v>
          </cell>
          <cell r="E25">
            <v>0</v>
          </cell>
          <cell r="F25">
            <v>0</v>
          </cell>
          <cell r="G25">
            <v>3110.2999999999993</v>
          </cell>
          <cell r="H25">
            <v>15916.999999999996</v>
          </cell>
          <cell r="I25">
            <v>25253.920236745733</v>
          </cell>
          <cell r="J25">
            <v>41817.006720550664</v>
          </cell>
          <cell r="K25">
            <v>58180.827419522575</v>
          </cell>
          <cell r="L25">
            <v>71219.2260637359</v>
          </cell>
          <cell r="M25">
            <v>84116.025137175486</v>
          </cell>
          <cell r="N25">
            <v>104263.72755878147</v>
          </cell>
          <cell r="O25">
            <v>115004.02588669177</v>
          </cell>
          <cell r="P25">
            <v>124136.34653713646</v>
          </cell>
        </row>
        <row r="26">
          <cell r="A26" t="str">
            <v>Australia</v>
          </cell>
          <cell r="D26">
            <v>0</v>
          </cell>
          <cell r="E26">
            <v>0</v>
          </cell>
          <cell r="F26">
            <v>0</v>
          </cell>
          <cell r="G26">
            <v>0</v>
          </cell>
          <cell r="H26">
            <v>135.85572000000002</v>
          </cell>
          <cell r="I26">
            <v>7541.5264123080005</v>
          </cell>
          <cell r="J26">
            <v>17482.817748467929</v>
          </cell>
          <cell r="K26">
            <v>25039.606996698531</v>
          </cell>
          <cell r="L26">
            <v>32795.578030121796</v>
          </cell>
          <cell r="M26">
            <v>41384.844862060381</v>
          </cell>
          <cell r="N26">
            <v>54895.27483928491</v>
          </cell>
          <cell r="O26">
            <v>65284.183644509641</v>
          </cell>
          <cell r="P26">
            <v>76305.762445987901</v>
          </cell>
        </row>
        <row r="27">
          <cell r="A27" t="str">
            <v>Europe</v>
          </cell>
          <cell r="G27">
            <v>0</v>
          </cell>
          <cell r="H27">
            <v>460</v>
          </cell>
          <cell r="I27">
            <v>13133.711761800001</v>
          </cell>
          <cell r="J27">
            <v>12082.007859468751</v>
          </cell>
          <cell r="K27">
            <v>19776.395504250002</v>
          </cell>
          <cell r="L27">
            <v>27776.526651587468</v>
          </cell>
          <cell r="M27">
            <v>37866.072192510095</v>
          </cell>
          <cell r="N27">
            <v>53362.922646325089</v>
          </cell>
          <cell r="O27">
            <v>65480.233598147643</v>
          </cell>
          <cell r="P27">
            <v>77178.85879493109</v>
          </cell>
        </row>
        <row r="28">
          <cell r="A28" t="str">
            <v>Rest of World</v>
          </cell>
          <cell r="G28">
            <v>0</v>
          </cell>
          <cell r="H28">
            <v>584.14427999999998</v>
          </cell>
          <cell r="I28">
            <v>6750.709818557938</v>
          </cell>
          <cell r="J28">
            <v>9472.5266160132414</v>
          </cell>
          <cell r="K28">
            <v>16021.910386128331</v>
          </cell>
          <cell r="L28">
            <v>23853.436891431549</v>
          </cell>
          <cell r="M28">
            <v>32683.368580655093</v>
          </cell>
          <cell r="N28">
            <v>46605.176992143126</v>
          </cell>
          <cell r="O28">
            <v>58697.374856595379</v>
          </cell>
          <cell r="P28">
            <v>72316.008717628458</v>
          </cell>
        </row>
        <row r="30">
          <cell r="A30" t="str">
            <v>Wind business Revenues</v>
          </cell>
          <cell r="B30" t="e">
            <v>#REF!</v>
          </cell>
          <cell r="C30" t="e">
            <v>#REF!</v>
          </cell>
          <cell r="D30" t="e">
            <v>#REF!</v>
          </cell>
          <cell r="E30">
            <v>7911.51</v>
          </cell>
          <cell r="F30">
            <v>19162.49033591733</v>
          </cell>
          <cell r="G30">
            <v>38410.300000000003</v>
          </cell>
          <cell r="H30">
            <v>61306.999999999985</v>
          </cell>
          <cell r="I30">
            <v>112639.05519261758</v>
          </cell>
          <cell r="J30">
            <v>148846.26467261373</v>
          </cell>
          <cell r="K30">
            <v>209531.56117300841</v>
          </cell>
          <cell r="L30">
            <v>265748.03737257945</v>
          </cell>
          <cell r="M30">
            <v>324747.52418414148</v>
          </cell>
          <cell r="N30">
            <v>409366.12903917523</v>
          </cell>
          <cell r="O30">
            <v>476427.13193347299</v>
          </cell>
          <cell r="P30">
            <v>536975.02489566233</v>
          </cell>
          <cell r="S30">
            <v>0</v>
          </cell>
        </row>
        <row r="31">
          <cell r="A31" t="str">
            <v>YoY</v>
          </cell>
          <cell r="H31">
            <v>0.59610833552458531</v>
          </cell>
          <cell r="I31">
            <v>0.83729517335080184</v>
          </cell>
          <cell r="J31">
            <v>0.32144454175401482</v>
          </cell>
          <cell r="K31">
            <v>0.40770453080479752</v>
          </cell>
          <cell r="L31">
            <v>0.26829598311995384</v>
          </cell>
          <cell r="M31">
            <v>0.22201287879633358</v>
          </cell>
          <cell r="N31">
            <v>0.26056735942058329</v>
          </cell>
          <cell r="O31">
            <v>0.16381668667043092</v>
          </cell>
          <cell r="P31">
            <v>0.12708741569034765</v>
          </cell>
          <cell r="S31" t="str">
            <v>Y</v>
          </cell>
        </row>
        <row r="32">
          <cell r="A32" t="str">
            <v>Less: Eliminations</v>
          </cell>
          <cell r="B32" t="e">
            <v>#REF!</v>
          </cell>
          <cell r="C32" t="e">
            <v>#REF!</v>
          </cell>
          <cell r="D32" t="e">
            <v>#REF!</v>
          </cell>
          <cell r="E32">
            <v>-663.47999999999956</v>
          </cell>
          <cell r="F32">
            <v>-262.32966408267021</v>
          </cell>
          <cell r="G32">
            <v>0</v>
          </cell>
        </row>
        <row r="33">
          <cell r="A33" t="str">
            <v>Reported Net Revenues</v>
          </cell>
          <cell r="B33">
            <v>3875.37</v>
          </cell>
          <cell r="C33">
            <v>5249.0940000000001</v>
          </cell>
          <cell r="D33">
            <v>2617.36</v>
          </cell>
          <cell r="E33">
            <v>8574.99</v>
          </cell>
          <cell r="F33">
            <v>19424.82</v>
          </cell>
          <cell r="G33">
            <v>38410.300000000003</v>
          </cell>
        </row>
        <row r="35">
          <cell r="A35" t="str">
            <v>Realization (Rs million/MW)</v>
          </cell>
        </row>
        <row r="36">
          <cell r="A36" t="str">
            <v>Domestic</v>
          </cell>
          <cell r="E36">
            <v>35.597345331833523</v>
          </cell>
          <cell r="F36">
            <v>37.743727271848201</v>
          </cell>
          <cell r="G36">
            <v>39.997733839442525</v>
          </cell>
          <cell r="H36">
            <v>43.169914100146649</v>
          </cell>
          <cell r="I36">
            <v>55.379317413139283</v>
          </cell>
          <cell r="J36">
            <v>56.210007174336369</v>
          </cell>
          <cell r="K36">
            <v>56.772107246079734</v>
          </cell>
          <cell r="L36">
            <v>57.197898050425337</v>
          </cell>
          <cell r="M36">
            <v>57.626882285803532</v>
          </cell>
          <cell r="N36">
            <v>58.059083902947044</v>
          </cell>
          <cell r="O36">
            <v>58.49452703221916</v>
          </cell>
          <cell r="P36">
            <v>58.933235984960824</v>
          </cell>
        </row>
        <row r="37">
          <cell r="A37" t="str">
            <v xml:space="preserve">International </v>
          </cell>
          <cell r="B37">
            <v>0</v>
          </cell>
          <cell r="C37">
            <v>0</v>
          </cell>
          <cell r="D37">
            <v>0</v>
          </cell>
          <cell r="E37">
            <v>0</v>
          </cell>
          <cell r="F37">
            <v>0</v>
          </cell>
          <cell r="G37">
            <v>38.280615384615373</v>
          </cell>
          <cell r="H37">
            <v>40.061796072959226</v>
          </cell>
          <cell r="I37">
            <v>43.876211119725667</v>
          </cell>
          <cell r="J37">
            <v>50.067238626608017</v>
          </cell>
          <cell r="K37">
            <v>50.992587677288611</v>
          </cell>
          <cell r="L37">
            <v>51.509466452497733</v>
          </cell>
          <cell r="M37">
            <v>51.52839717470431</v>
          </cell>
          <cell r="N37">
            <v>54.647461424895866</v>
          </cell>
          <cell r="O37">
            <v>54.060424659566294</v>
          </cell>
          <cell r="P37">
            <v>53.600122671728421</v>
          </cell>
        </row>
        <row r="38">
          <cell r="A38" t="str">
            <v>China</v>
          </cell>
          <cell r="H38">
            <v>30</v>
          </cell>
          <cell r="I38">
            <v>44.303453930511424</v>
          </cell>
          <cell r="J38">
            <v>44.968005739469106</v>
          </cell>
          <cell r="K38">
            <v>45.417685796863793</v>
          </cell>
          <cell r="L38">
            <v>45.758318440340275</v>
          </cell>
          <cell r="M38">
            <v>46.101505828642829</v>
          </cell>
          <cell r="N38">
            <v>46.447267122357651</v>
          </cell>
          <cell r="O38">
            <v>46.79562162577534</v>
          </cell>
          <cell r="P38">
            <v>47.146588787968653</v>
          </cell>
        </row>
        <row r="39">
          <cell r="A39" t="str">
            <v>USA</v>
          </cell>
          <cell r="G39">
            <v>38.280615384615373</v>
          </cell>
          <cell r="H39">
            <v>42.519032990516884</v>
          </cell>
          <cell r="I39">
            <v>42.590303122937399</v>
          </cell>
          <cell r="J39">
            <v>52.2397513006851</v>
          </cell>
          <cell r="K39">
            <v>53.442792517529931</v>
          </cell>
          <cell r="L39">
            <v>54.065612739342512</v>
          </cell>
          <cell r="M39">
            <v>53.787174833734895</v>
          </cell>
          <cell r="N39">
            <v>57.986386160321381</v>
          </cell>
          <cell r="O39">
            <v>57.116590367916544</v>
          </cell>
          <cell r="P39">
            <v>56.259841512397806</v>
          </cell>
        </row>
        <row r="40">
          <cell r="A40" t="str">
            <v>Australia</v>
          </cell>
          <cell r="H40">
            <v>64.693200000000004</v>
          </cell>
          <cell r="I40">
            <v>52.811809609999997</v>
          </cell>
          <cell r="J40">
            <v>54.412753652250011</v>
          </cell>
          <cell r="K40">
            <v>55.66583743875001</v>
          </cell>
          <cell r="L40">
            <v>57.408051637315992</v>
          </cell>
          <cell r="M40">
            <v>57.67786948001136</v>
          </cell>
          <cell r="N40">
            <v>62.180830707525651</v>
          </cell>
          <cell r="O40">
            <v>61.248118246912753</v>
          </cell>
          <cell r="P40">
            <v>60.32939647320908</v>
          </cell>
        </row>
        <row r="41">
          <cell r="A41" t="str">
            <v>Europe</v>
          </cell>
          <cell r="H41">
            <v>43.80952380952381</v>
          </cell>
          <cell r="I41">
            <v>44.043299000000005</v>
          </cell>
          <cell r="J41">
            <v>54.021944375000004</v>
          </cell>
          <cell r="K41">
            <v>55.266028124999998</v>
          </cell>
          <cell r="L41">
            <v>54.281646857812504</v>
          </cell>
          <cell r="M41">
            <v>53.467422154945318</v>
          </cell>
          <cell r="N41">
            <v>57.641670112947551</v>
          </cell>
          <cell r="O41">
            <v>56.777045061253332</v>
          </cell>
          <cell r="P41">
            <v>55.92538938533454</v>
          </cell>
        </row>
        <row r="42">
          <cell r="A42" t="str">
            <v>Rest of World</v>
          </cell>
          <cell r="H42">
            <v>39.737706122448976</v>
          </cell>
          <cell r="I42">
            <v>40.182796539035344</v>
          </cell>
          <cell r="J42">
            <v>43.372374615445246</v>
          </cell>
          <cell r="K42">
            <v>45.850247213050388</v>
          </cell>
          <cell r="L42">
            <v>47.735591514718351</v>
          </cell>
          <cell r="M42">
            <v>48.665242159467496</v>
          </cell>
          <cell r="N42">
            <v>52.989225563512818</v>
          </cell>
          <cell r="O42">
            <v>52.194387180060126</v>
          </cell>
          <cell r="P42">
            <v>51.41147137235923</v>
          </cell>
        </row>
        <row r="43">
          <cell r="A43" t="str">
            <v>Overall</v>
          </cell>
          <cell r="B43">
            <v>41.052648305084752</v>
          </cell>
          <cell r="C43">
            <v>41.429313338595108</v>
          </cell>
          <cell r="D43">
            <v>34.898133333333334</v>
          </cell>
          <cell r="E43">
            <v>38.582632170978627</v>
          </cell>
          <cell r="F43">
            <v>38.260429387433526</v>
          </cell>
          <cell r="G43">
            <v>39.852977796223286</v>
          </cell>
          <cell r="H43">
            <v>42.099227467811147</v>
          </cell>
          <cell r="I43">
            <v>48.731961232420858</v>
          </cell>
          <cell r="J43">
            <v>51.795133422397122</v>
          </cell>
          <cell r="K43">
            <v>52.362235682123313</v>
          </cell>
          <cell r="L43">
            <v>52.697065148696154</v>
          </cell>
          <cell r="M43">
            <v>52.658833504646445</v>
          </cell>
          <cell r="N43">
            <v>55.211118577526655</v>
          </cell>
          <cell r="O43">
            <v>54.724870940930877</v>
          </cell>
          <cell r="P43">
            <v>54.342223012858867</v>
          </cell>
        </row>
        <row r="44">
          <cell r="A44" t="str">
            <v>YoY</v>
          </cell>
          <cell r="F44">
            <v>-8.3509798428801352E-3</v>
          </cell>
          <cell r="G44">
            <v>4.1623903188938716E-2</v>
          </cell>
          <cell r="H44">
            <v>5.6363408603327336E-2</v>
          </cell>
          <cell r="I44">
            <v>0.15755001133170587</v>
          </cell>
          <cell r="J44">
            <v>6.2857560264542922E-2</v>
          </cell>
          <cell r="K44">
            <v>1.0948948718818574E-2</v>
          </cell>
          <cell r="L44">
            <v>6.3944837765426144E-3</v>
          </cell>
          <cell r="M44">
            <v>-7.2549854421366522E-4</v>
          </cell>
          <cell r="N44">
            <v>4.8468317716438003E-2</v>
          </cell>
          <cell r="O44">
            <v>-8.8070600473887373E-3</v>
          </cell>
          <cell r="P44">
            <v>-6.992212525910424E-3</v>
          </cell>
        </row>
        <row r="45">
          <cell r="A45" t="str">
            <v>Overall (US$)</v>
          </cell>
          <cell r="F45">
            <v>0.85161327013674459</v>
          </cell>
          <cell r="G45">
            <v>0.90024572039628836</v>
          </cell>
          <cell r="H45">
            <v>0.93057531980130737</v>
          </cell>
          <cell r="I45">
            <v>1.2101306489302421</v>
          </cell>
          <cell r="J45">
            <v>1.3107714392609673</v>
          </cell>
          <cell r="K45">
            <v>1.3600580696655407</v>
          </cell>
          <cell r="L45">
            <v>1.3935768962413946</v>
          </cell>
          <cell r="M45">
            <v>1.4137724449055042</v>
          </cell>
          <cell r="N45">
            <v>1.3749519289477341</v>
          </cell>
          <cell r="O45">
            <v>1.3835965936519985</v>
          </cell>
          <cell r="P45">
            <v>1.3948448651970129</v>
          </cell>
        </row>
        <row r="46">
          <cell r="A46" t="str">
            <v>YoY</v>
          </cell>
          <cell r="G46">
            <v>5.7106261685817561E-2</v>
          </cell>
          <cell r="H46">
            <v>3.3690356663587329E-2</v>
          </cell>
          <cell r="I46">
            <v>0.30041128663139727</v>
          </cell>
          <cell r="J46">
            <v>8.3165227175835854E-2</v>
          </cell>
          <cell r="K46">
            <v>3.760123918504199E-2</v>
          </cell>
          <cell r="L46">
            <v>2.4645143706324868E-2</v>
          </cell>
          <cell r="M46">
            <v>1.4491879650544437E-2</v>
          </cell>
          <cell r="N46">
            <v>-2.745881495827629E-2</v>
          </cell>
          <cell r="O46">
            <v>6.2872486828542407E-3</v>
          </cell>
          <cell r="P46">
            <v>8.1297334762329143E-3</v>
          </cell>
        </row>
        <row r="47">
          <cell r="J47">
            <v>0.86806055580196506</v>
          </cell>
          <cell r="K47">
            <v>0.97147004976110052</v>
          </cell>
          <cell r="L47">
            <v>1.0401356156839228</v>
          </cell>
          <cell r="M47">
            <v>1.1026193459500815</v>
          </cell>
          <cell r="N47">
            <v>1.1652134991082492</v>
          </cell>
          <cell r="O47">
            <v>1.1725394861457614</v>
          </cell>
          <cell r="P47">
            <v>1.1820719196584855</v>
          </cell>
        </row>
        <row r="48">
          <cell r="A48" t="str">
            <v>Order Book (Rs Million)</v>
          </cell>
          <cell r="I48">
            <v>39587</v>
          </cell>
        </row>
        <row r="49">
          <cell r="A49" t="str">
            <v>Domestic</v>
          </cell>
          <cell r="G49">
            <v>7200</v>
          </cell>
          <cell r="H49">
            <v>14083</v>
          </cell>
          <cell r="I49">
            <v>8864.9</v>
          </cell>
          <cell r="J49">
            <v>55.37101811367895</v>
          </cell>
        </row>
        <row r="50">
          <cell r="A50" t="str">
            <v>International</v>
          </cell>
          <cell r="G50">
            <v>25830</v>
          </cell>
          <cell r="H50">
            <v>80780</v>
          </cell>
          <cell r="I50">
            <v>159057.06</v>
          </cell>
          <cell r="J50">
            <v>53.3927693856999</v>
          </cell>
        </row>
        <row r="51">
          <cell r="A51" t="str">
            <v>Total</v>
          </cell>
          <cell r="G51">
            <v>33030</v>
          </cell>
          <cell r="H51">
            <v>94863</v>
          </cell>
          <cell r="I51">
            <v>167921.96</v>
          </cell>
          <cell r="J51">
            <v>53.493663788984101</v>
          </cell>
        </row>
        <row r="53">
          <cell r="A53" t="str">
            <v>OPERATING DATA</v>
          </cell>
        </row>
        <row r="54">
          <cell r="A54" t="str">
            <v>Order Book &amp; Unit Sales</v>
          </cell>
        </row>
        <row r="55">
          <cell r="A55" t="str">
            <v>Order Book (MW)</v>
          </cell>
          <cell r="I55">
            <v>39587</v>
          </cell>
        </row>
        <row r="56">
          <cell r="A56" t="str">
            <v>Domestic</v>
          </cell>
          <cell r="G56">
            <v>180</v>
          </cell>
          <cell r="H56">
            <v>266.5</v>
          </cell>
          <cell r="I56">
            <v>160.1</v>
          </cell>
        </row>
        <row r="57">
          <cell r="A57" t="str">
            <v>International</v>
          </cell>
          <cell r="G57">
            <v>591</v>
          </cell>
          <cell r="H57">
            <v>1691.85</v>
          </cell>
          <cell r="I57">
            <v>2979</v>
          </cell>
        </row>
        <row r="58">
          <cell r="A58" t="str">
            <v>Total</v>
          </cell>
          <cell r="G58">
            <v>771</v>
          </cell>
          <cell r="H58">
            <v>1958.35</v>
          </cell>
          <cell r="I58">
            <v>3139.1</v>
          </cell>
        </row>
        <row r="60">
          <cell r="A60" t="str">
            <v>International Order Book (MW)</v>
          </cell>
          <cell r="H60">
            <v>1691.85</v>
          </cell>
          <cell r="I60">
            <v>2979</v>
          </cell>
        </row>
        <row r="61">
          <cell r="A61" t="str">
            <v>USA</v>
          </cell>
          <cell r="H61">
            <v>973</v>
          </cell>
          <cell r="I61">
            <v>1595</v>
          </cell>
        </row>
        <row r="62">
          <cell r="A62" t="str">
            <v>China</v>
          </cell>
          <cell r="H62">
            <v>134</v>
          </cell>
          <cell r="I62">
            <v>586</v>
          </cell>
        </row>
        <row r="63">
          <cell r="A63" t="str">
            <v>Australia</v>
          </cell>
          <cell r="H63">
            <v>181</v>
          </cell>
          <cell r="I63">
            <v>317</v>
          </cell>
        </row>
        <row r="64">
          <cell r="A64" t="str">
            <v>Europe</v>
          </cell>
          <cell r="H64">
            <v>179</v>
          </cell>
          <cell r="I64">
            <v>267</v>
          </cell>
        </row>
        <row r="65">
          <cell r="A65" t="str">
            <v>Others</v>
          </cell>
          <cell r="H65">
            <v>224.85</v>
          </cell>
          <cell r="I65">
            <v>214</v>
          </cell>
        </row>
        <row r="67">
          <cell r="A67" t="str">
            <v>Sales (Units)</v>
          </cell>
        </row>
        <row r="68">
          <cell r="A68" t="str">
            <v>Domestic</v>
          </cell>
          <cell r="B68">
            <v>266</v>
          </cell>
          <cell r="C68">
            <v>245</v>
          </cell>
          <cell r="D68">
            <v>94</v>
          </cell>
          <cell r="E68">
            <v>195</v>
          </cell>
          <cell r="F68">
            <v>451</v>
          </cell>
          <cell r="G68">
            <v>760</v>
          </cell>
          <cell r="H68">
            <v>887</v>
          </cell>
          <cell r="I68">
            <v>795</v>
          </cell>
          <cell r="J68">
            <v>645.65</v>
          </cell>
          <cell r="K68">
            <v>738.57999999999993</v>
          </cell>
          <cell r="L68">
            <v>808.10799999999995</v>
          </cell>
          <cell r="M68">
            <v>864.40572000000009</v>
          </cell>
          <cell r="N68">
            <v>915.25577040000007</v>
          </cell>
          <cell r="O68">
            <v>970.91720146252806</v>
          </cell>
          <cell r="P68">
            <v>1019.7826134006939</v>
          </cell>
        </row>
        <row r="69">
          <cell r="A69" t="str">
            <v>International</v>
          </cell>
          <cell r="B69">
            <v>0</v>
          </cell>
          <cell r="C69">
            <v>0</v>
          </cell>
          <cell r="D69">
            <v>0</v>
          </cell>
          <cell r="E69">
            <v>0</v>
          </cell>
          <cell r="F69">
            <v>0</v>
          </cell>
          <cell r="G69">
            <v>65.300000000000011</v>
          </cell>
          <cell r="H69">
            <v>283</v>
          </cell>
          <cell r="I69">
            <v>700</v>
          </cell>
          <cell r="J69">
            <v>1173.8000000000002</v>
          </cell>
          <cell r="K69">
            <v>1753.3205</v>
          </cell>
          <cell r="L69">
            <v>2298.9075549999998</v>
          </cell>
          <cell r="M69">
            <v>2888.0134514459996</v>
          </cell>
          <cell r="N69">
            <v>3561.5646554216528</v>
          </cell>
          <cell r="O69">
            <v>4256.3984305215381</v>
          </cell>
          <cell r="P69">
            <v>4855.5314980916837</v>
          </cell>
        </row>
        <row r="70">
          <cell r="A70" t="str">
            <v>China</v>
          </cell>
          <cell r="B70">
            <v>0</v>
          </cell>
          <cell r="C70">
            <v>0</v>
          </cell>
          <cell r="D70">
            <v>0</v>
          </cell>
          <cell r="E70">
            <v>0</v>
          </cell>
          <cell r="F70">
            <v>0</v>
          </cell>
          <cell r="G70">
            <v>0</v>
          </cell>
          <cell r="H70">
            <v>80</v>
          </cell>
          <cell r="I70">
            <v>107</v>
          </cell>
          <cell r="J70">
            <v>401.25</v>
          </cell>
          <cell r="K70">
            <v>646.01249999999993</v>
          </cell>
          <cell r="L70">
            <v>872.11687499999994</v>
          </cell>
          <cell r="M70">
            <v>1090.1460937499999</v>
          </cell>
          <cell r="N70">
            <v>1362.6826171874998</v>
          </cell>
          <cell r="O70">
            <v>1635.2191406249997</v>
          </cell>
          <cell r="P70">
            <v>1798.7410546874999</v>
          </cell>
        </row>
        <row r="71">
          <cell r="A71" t="str">
            <v>USA</v>
          </cell>
          <cell r="B71">
            <v>0</v>
          </cell>
          <cell r="C71">
            <v>0</v>
          </cell>
          <cell r="D71">
            <v>0</v>
          </cell>
          <cell r="E71">
            <v>0</v>
          </cell>
          <cell r="F71">
            <v>0</v>
          </cell>
          <cell r="G71">
            <v>65</v>
          </cell>
          <cell r="H71">
            <v>190</v>
          </cell>
          <cell r="I71">
            <v>303</v>
          </cell>
          <cell r="J71">
            <v>409.05000000000007</v>
          </cell>
          <cell r="K71">
            <v>556.30799999999999</v>
          </cell>
          <cell r="L71">
            <v>673.13268000000005</v>
          </cell>
          <cell r="M71">
            <v>799.14311769599999</v>
          </cell>
          <cell r="N71">
            <v>918.82279100215305</v>
          </cell>
          <cell r="O71">
            <v>1028.9051119465389</v>
          </cell>
          <cell r="P71">
            <v>1127.5219628682119</v>
          </cell>
        </row>
        <row r="72">
          <cell r="A72" t="str">
            <v>Australia</v>
          </cell>
          <cell r="B72">
            <v>0</v>
          </cell>
          <cell r="C72">
            <v>0</v>
          </cell>
          <cell r="D72">
            <v>0</v>
          </cell>
          <cell r="E72">
            <v>0</v>
          </cell>
          <cell r="F72">
            <v>0</v>
          </cell>
          <cell r="G72">
            <v>0</v>
          </cell>
          <cell r="H72">
            <v>1</v>
          </cell>
          <cell r="I72">
            <v>68</v>
          </cell>
          <cell r="J72">
            <v>153</v>
          </cell>
          <cell r="K72">
            <v>214.2</v>
          </cell>
          <cell r="L72">
            <v>272.03399999999999</v>
          </cell>
          <cell r="M72">
            <v>341.67470399999996</v>
          </cell>
          <cell r="N72">
            <v>420.39655580159996</v>
          </cell>
          <cell r="O72">
            <v>507.56998561261975</v>
          </cell>
          <cell r="P72">
            <v>602.29472660758938</v>
          </cell>
        </row>
        <row r="73">
          <cell r="A73" t="str">
            <v>Europe</v>
          </cell>
          <cell r="B73">
            <v>0</v>
          </cell>
          <cell r="C73">
            <v>0</v>
          </cell>
          <cell r="D73">
            <v>0</v>
          </cell>
          <cell r="E73">
            <v>0</v>
          </cell>
          <cell r="F73">
            <v>0</v>
          </cell>
          <cell r="G73">
            <v>0.30000000000001137</v>
          </cell>
          <cell r="H73">
            <v>5</v>
          </cell>
          <cell r="I73">
            <v>142</v>
          </cell>
          <cell r="J73">
            <v>106.5</v>
          </cell>
          <cell r="K73">
            <v>170.4</v>
          </cell>
          <cell r="L73">
            <v>243.672</v>
          </cell>
          <cell r="M73">
            <v>337.24204799999995</v>
          </cell>
          <cell r="N73">
            <v>440.84280514559993</v>
          </cell>
          <cell r="O73">
            <v>549.18433293818259</v>
          </cell>
          <cell r="P73">
            <v>657.15836626849284</v>
          </cell>
        </row>
        <row r="74">
          <cell r="A74" t="str">
            <v>Others</v>
          </cell>
          <cell r="B74">
            <v>0</v>
          </cell>
          <cell r="C74">
            <v>0</v>
          </cell>
          <cell r="D74">
            <v>0</v>
          </cell>
          <cell r="E74">
            <v>0</v>
          </cell>
          <cell r="F74">
            <v>0</v>
          </cell>
          <cell r="G74">
            <v>0</v>
          </cell>
          <cell r="H74">
            <v>7</v>
          </cell>
          <cell r="I74">
            <v>80</v>
          </cell>
          <cell r="J74">
            <v>104</v>
          </cell>
          <cell r="K74">
            <v>166.4</v>
          </cell>
          <cell r="L74">
            <v>237.952</v>
          </cell>
          <cell r="M74">
            <v>319.80748800000003</v>
          </cell>
          <cell r="N74">
            <v>418.81988628480008</v>
          </cell>
          <cell r="O74">
            <v>535.51985939919678</v>
          </cell>
          <cell r="P74">
            <v>669.81538765988978</v>
          </cell>
        </row>
        <row r="75">
          <cell r="A75" t="str">
            <v>Total</v>
          </cell>
          <cell r="B75">
            <v>266</v>
          </cell>
          <cell r="C75">
            <v>245</v>
          </cell>
          <cell r="D75">
            <v>94</v>
          </cell>
          <cell r="E75">
            <v>195</v>
          </cell>
          <cell r="F75">
            <v>451</v>
          </cell>
          <cell r="G75">
            <v>825.3</v>
          </cell>
          <cell r="H75">
            <v>1170</v>
          </cell>
          <cell r="I75">
            <v>1495</v>
          </cell>
          <cell r="J75">
            <v>1819.4500000000003</v>
          </cell>
          <cell r="K75">
            <v>2491.9004999999997</v>
          </cell>
          <cell r="L75">
            <v>3107.0155549999999</v>
          </cell>
          <cell r="M75">
            <v>3752.4191714459998</v>
          </cell>
          <cell r="N75">
            <v>4476.8204258216529</v>
          </cell>
          <cell r="O75">
            <v>5227.3156319840664</v>
          </cell>
          <cell r="P75">
            <v>5875.3141114923774</v>
          </cell>
        </row>
        <row r="76">
          <cell r="A76" t="str">
            <v>International (% of Total)</v>
          </cell>
          <cell r="B76">
            <v>0</v>
          </cell>
          <cell r="C76">
            <v>0</v>
          </cell>
          <cell r="D76">
            <v>0</v>
          </cell>
          <cell r="E76">
            <v>0</v>
          </cell>
          <cell r="F76">
            <v>0</v>
          </cell>
          <cell r="G76">
            <v>7.9122743244880667E-2</v>
          </cell>
          <cell r="H76">
            <v>0.24188034188034188</v>
          </cell>
          <cell r="I76">
            <v>0.4682274247491639</v>
          </cell>
          <cell r="J76">
            <v>0.64514001483964933</v>
          </cell>
          <cell r="K76">
            <v>0.70360774838321205</v>
          </cell>
          <cell r="L76">
            <v>0.73990860821422566</v>
          </cell>
          <cell r="M76">
            <v>0.7696404158208956</v>
          </cell>
          <cell r="N76">
            <v>0.79555673818834971</v>
          </cell>
          <cell r="O76">
            <v>0.81426084250167818</v>
          </cell>
          <cell r="P76">
            <v>0.82642926079374157</v>
          </cell>
        </row>
        <row r="78">
          <cell r="A78" t="str">
            <v>Sales (Units)</v>
          </cell>
        </row>
        <row r="79">
          <cell r="A79" t="str">
            <v>Up to 1 MW</v>
          </cell>
          <cell r="F79">
            <v>63</v>
          </cell>
          <cell r="G79">
            <v>83</v>
          </cell>
          <cell r="H79">
            <v>271</v>
          </cell>
          <cell r="I79">
            <v>196</v>
          </cell>
          <cell r="J79">
            <v>144.80000000000001</v>
          </cell>
          <cell r="K79">
            <v>137.56</v>
          </cell>
          <cell r="L79">
            <v>130.68199999999999</v>
          </cell>
          <cell r="M79">
            <v>117.6138</v>
          </cell>
          <cell r="N79">
            <v>105.85242</v>
          </cell>
          <cell r="O79">
            <v>105.85242</v>
          </cell>
          <cell r="P79">
            <v>105.85242</v>
          </cell>
        </row>
        <row r="80">
          <cell r="A80" t="str">
            <v>Above 1 MW up to 2 MW</v>
          </cell>
          <cell r="F80">
            <v>388</v>
          </cell>
          <cell r="G80">
            <v>742</v>
          </cell>
          <cell r="H80">
            <v>725</v>
          </cell>
          <cell r="I80">
            <v>756</v>
          </cell>
          <cell r="J80">
            <v>970.94999999999993</v>
          </cell>
          <cell r="K80">
            <v>1340.6684999999998</v>
          </cell>
          <cell r="L80">
            <v>1660.842435</v>
          </cell>
          <cell r="M80">
            <v>1967.8472513819997</v>
          </cell>
          <cell r="N80">
            <v>2320.835308647268</v>
          </cell>
          <cell r="O80">
            <v>2664.5391226329848</v>
          </cell>
          <cell r="P80">
            <v>2889.8688875905582</v>
          </cell>
        </row>
        <row r="81">
          <cell r="A81" t="str">
            <v>Above 2 MW</v>
          </cell>
          <cell r="F81">
            <v>0</v>
          </cell>
          <cell r="G81">
            <v>0</v>
          </cell>
          <cell r="H81">
            <v>174</v>
          </cell>
          <cell r="I81">
            <v>543</v>
          </cell>
          <cell r="J81">
            <v>703.7</v>
          </cell>
          <cell r="K81">
            <v>1013.672</v>
          </cell>
          <cell r="L81">
            <v>1315.4911199999999</v>
          </cell>
          <cell r="M81">
            <v>1666.958120064</v>
          </cell>
          <cell r="N81">
            <v>2050.1326971743847</v>
          </cell>
          <cell r="O81">
            <v>2456.924089351081</v>
          </cell>
          <cell r="P81">
            <v>2879.5928039018195</v>
          </cell>
        </row>
        <row r="82">
          <cell r="A82" t="str">
            <v>Total</v>
          </cell>
          <cell r="F82">
            <v>451</v>
          </cell>
          <cell r="G82">
            <v>825</v>
          </cell>
          <cell r="H82">
            <v>1170</v>
          </cell>
          <cell r="I82">
            <v>1495</v>
          </cell>
          <cell r="J82">
            <v>1819.45</v>
          </cell>
          <cell r="K82">
            <v>2491.9004999999997</v>
          </cell>
          <cell r="L82">
            <v>3107.0155549999999</v>
          </cell>
          <cell r="M82">
            <v>3752.4191714459998</v>
          </cell>
          <cell r="N82">
            <v>4476.8204258216529</v>
          </cell>
          <cell r="O82">
            <v>5227.3156319840655</v>
          </cell>
          <cell r="P82">
            <v>5875.3141114923783</v>
          </cell>
        </row>
        <row r="84">
          <cell r="A84" t="str">
            <v>Sales (MW)</v>
          </cell>
        </row>
        <row r="85">
          <cell r="A85" t="str">
            <v>Domestic</v>
          </cell>
          <cell r="B85">
            <v>94.399999999999991</v>
          </cell>
          <cell r="C85">
            <v>126.69999999999999</v>
          </cell>
          <cell r="D85">
            <v>75</v>
          </cell>
          <cell r="E85">
            <v>222.25</v>
          </cell>
          <cell r="F85">
            <v>507.7</v>
          </cell>
          <cell r="G85">
            <v>882.55</v>
          </cell>
          <cell r="H85">
            <v>954.6</v>
          </cell>
          <cell r="I85">
            <v>975.7</v>
          </cell>
          <cell r="J85">
            <v>808.3549999999999</v>
          </cell>
          <cell r="K85">
            <v>948.30599999999993</v>
          </cell>
          <cell r="L85">
            <v>1052.8362</v>
          </cell>
          <cell r="M85">
            <v>1143.13824</v>
          </cell>
          <cell r="N85">
            <v>1225.0093838400003</v>
          </cell>
          <cell r="O85">
            <v>1304.5655310727682</v>
          </cell>
          <cell r="P85">
            <v>1374.9867285231264</v>
          </cell>
        </row>
        <row r="86">
          <cell r="A86" t="str">
            <v>International</v>
          </cell>
          <cell r="B86">
            <v>0</v>
          </cell>
          <cell r="C86">
            <v>0</v>
          </cell>
          <cell r="D86">
            <v>0</v>
          </cell>
          <cell r="E86">
            <v>0</v>
          </cell>
          <cell r="F86">
            <v>0</v>
          </cell>
          <cell r="G86">
            <v>81.25</v>
          </cell>
          <cell r="H86">
            <v>501.65000000000003</v>
          </cell>
          <cell r="I86">
            <v>1335.7</v>
          </cell>
          <cell r="J86">
            <v>2065.395</v>
          </cell>
          <cell r="K86">
            <v>3053.2718250000003</v>
          </cell>
          <cell r="L86">
            <v>3990.10189575</v>
          </cell>
          <cell r="M86">
            <v>5023.8712163619002</v>
          </cell>
          <cell r="N86">
            <v>6189.5502118752938</v>
          </cell>
          <cell r="O86">
            <v>7401.2956933003425</v>
          </cell>
          <cell r="P86">
            <v>8506.3724637314717</v>
          </cell>
        </row>
        <row r="87">
          <cell r="A87" t="str">
            <v>China</v>
          </cell>
          <cell r="B87">
            <v>0</v>
          </cell>
          <cell r="C87">
            <v>0</v>
          </cell>
          <cell r="D87">
            <v>0</v>
          </cell>
          <cell r="E87">
            <v>0</v>
          </cell>
          <cell r="F87">
            <v>0</v>
          </cell>
          <cell r="G87">
            <v>0</v>
          </cell>
          <cell r="H87">
            <v>100</v>
          </cell>
          <cell r="I87">
            <v>133.75</v>
          </cell>
          <cell r="J87">
            <v>501.5625</v>
          </cell>
          <cell r="K87">
            <v>807.51562499999989</v>
          </cell>
          <cell r="L87">
            <v>1090.1460937499999</v>
          </cell>
          <cell r="M87">
            <v>1362.6826171874998</v>
          </cell>
          <cell r="N87">
            <v>1703.3532714843748</v>
          </cell>
          <cell r="O87">
            <v>2044.0239257812495</v>
          </cell>
          <cell r="P87">
            <v>2248.4263183593748</v>
          </cell>
        </row>
        <row r="88">
          <cell r="A88" t="str">
            <v>USA</v>
          </cell>
          <cell r="B88">
            <v>0</v>
          </cell>
          <cell r="C88">
            <v>0</v>
          </cell>
          <cell r="D88">
            <v>0</v>
          </cell>
          <cell r="E88">
            <v>0</v>
          </cell>
          <cell r="F88">
            <v>0</v>
          </cell>
          <cell r="G88">
            <v>81.25</v>
          </cell>
          <cell r="H88">
            <v>374.35</v>
          </cell>
          <cell r="I88">
            <v>592.95000000000005</v>
          </cell>
          <cell r="J88">
            <v>800.48250000000007</v>
          </cell>
          <cell r="K88">
            <v>1088.6562000000001</v>
          </cell>
          <cell r="L88">
            <v>1317.2740020000001</v>
          </cell>
          <cell r="M88">
            <v>1563.8676951744001</v>
          </cell>
          <cell r="N88">
            <v>1798.0725212037185</v>
          </cell>
          <cell r="O88">
            <v>2013.4959938240936</v>
          </cell>
          <cell r="P88">
            <v>2206.4823362465554</v>
          </cell>
        </row>
        <row r="89">
          <cell r="A89" t="str">
            <v>Australia</v>
          </cell>
          <cell r="B89">
            <v>0</v>
          </cell>
          <cell r="C89">
            <v>0</v>
          </cell>
          <cell r="D89">
            <v>0</v>
          </cell>
          <cell r="E89">
            <v>0</v>
          </cell>
          <cell r="F89">
            <v>0</v>
          </cell>
          <cell r="G89">
            <v>0</v>
          </cell>
          <cell r="H89">
            <v>2.1</v>
          </cell>
          <cell r="I89">
            <v>142.80000000000001</v>
          </cell>
          <cell r="J89">
            <v>321.3</v>
          </cell>
          <cell r="K89">
            <v>449.82</v>
          </cell>
          <cell r="L89">
            <v>571.27139999999997</v>
          </cell>
          <cell r="M89">
            <v>717.5168784</v>
          </cell>
          <cell r="N89">
            <v>882.83276718335992</v>
          </cell>
          <cell r="O89">
            <v>1065.8969697865016</v>
          </cell>
          <cell r="P89">
            <v>1264.8189258759378</v>
          </cell>
        </row>
        <row r="90">
          <cell r="A90" t="str">
            <v>Europe</v>
          </cell>
          <cell r="B90">
            <v>0</v>
          </cell>
          <cell r="C90">
            <v>0</v>
          </cell>
          <cell r="D90">
            <v>0</v>
          </cell>
          <cell r="E90">
            <v>0</v>
          </cell>
          <cell r="F90">
            <v>0</v>
          </cell>
          <cell r="G90">
            <v>0</v>
          </cell>
          <cell r="H90">
            <v>10.5</v>
          </cell>
          <cell r="I90">
            <v>298.2</v>
          </cell>
          <cell r="J90">
            <v>223.65</v>
          </cell>
          <cell r="K90">
            <v>357.84000000000003</v>
          </cell>
          <cell r="L90">
            <v>511.71120000000002</v>
          </cell>
          <cell r="M90">
            <v>708.20830079999996</v>
          </cell>
          <cell r="N90">
            <v>925.76989080575993</v>
          </cell>
          <cell r="O90">
            <v>1153.2870991701834</v>
          </cell>
          <cell r="P90">
            <v>1380.032569163835</v>
          </cell>
        </row>
        <row r="91">
          <cell r="A91" t="str">
            <v>Others</v>
          </cell>
          <cell r="B91">
            <v>0</v>
          </cell>
          <cell r="C91">
            <v>0</v>
          </cell>
          <cell r="D91">
            <v>0</v>
          </cell>
          <cell r="E91">
            <v>0</v>
          </cell>
          <cell r="F91">
            <v>0</v>
          </cell>
          <cell r="G91">
            <v>0</v>
          </cell>
          <cell r="H91">
            <v>14.700000000000001</v>
          </cell>
          <cell r="I91">
            <v>168</v>
          </cell>
          <cell r="J91">
            <v>218.4</v>
          </cell>
          <cell r="K91">
            <v>349.44000000000005</v>
          </cell>
          <cell r="L91">
            <v>499.69920000000002</v>
          </cell>
          <cell r="M91">
            <v>671.59572480000008</v>
          </cell>
          <cell r="N91">
            <v>879.52176119808018</v>
          </cell>
          <cell r="O91">
            <v>1124.5917047383132</v>
          </cell>
          <cell r="P91">
            <v>1406.6123140857685</v>
          </cell>
        </row>
        <row r="92">
          <cell r="A92" t="str">
            <v>Total</v>
          </cell>
          <cell r="B92">
            <v>94.399999999999991</v>
          </cell>
          <cell r="C92">
            <v>126.69999999999999</v>
          </cell>
          <cell r="D92">
            <v>75</v>
          </cell>
          <cell r="E92">
            <v>222.25</v>
          </cell>
          <cell r="F92">
            <v>507.7</v>
          </cell>
          <cell r="G92">
            <v>963.8</v>
          </cell>
          <cell r="H92">
            <v>1456.25</v>
          </cell>
          <cell r="I92">
            <v>2311.4</v>
          </cell>
          <cell r="J92">
            <v>2873.75</v>
          </cell>
          <cell r="K92">
            <v>4001.5778250000003</v>
          </cell>
          <cell r="L92">
            <v>5042.9380957499998</v>
          </cell>
          <cell r="M92">
            <v>6167.0094563619004</v>
          </cell>
          <cell r="N92">
            <v>7414.5595957152946</v>
          </cell>
          <cell r="O92">
            <v>8705.8612243731113</v>
          </cell>
          <cell r="P92">
            <v>9881.3591922545984</v>
          </cell>
        </row>
        <row r="93">
          <cell r="A93" t="str">
            <v>YoY</v>
          </cell>
          <cell r="H93">
            <v>0.5109462544096286</v>
          </cell>
          <cell r="I93">
            <v>0.58722746781115887</v>
          </cell>
          <cell r="J93">
            <v>0.24329410746733582</v>
          </cell>
          <cell r="K93">
            <v>0.39245857329273615</v>
          </cell>
          <cell r="L93">
            <v>0.26023741541250645</v>
          </cell>
          <cell r="M93">
            <v>0.22290009103209618</v>
          </cell>
          <cell r="N93">
            <v>0.20229418297168622</v>
          </cell>
          <cell r="O93">
            <v>0.17415756283138251</v>
          </cell>
          <cell r="P93">
            <v>0.13502374292281827</v>
          </cell>
        </row>
        <row r="95">
          <cell r="A95" t="str">
            <v>Breakdown</v>
          </cell>
        </row>
        <row r="96">
          <cell r="A96" t="str">
            <v>Domestic</v>
          </cell>
          <cell r="E96">
            <v>1</v>
          </cell>
          <cell r="F96">
            <v>1</v>
          </cell>
          <cell r="G96">
            <v>0.9156982776509649</v>
          </cell>
          <cell r="H96">
            <v>0.65551931330472102</v>
          </cell>
          <cell r="I96">
            <v>0.42212511897551269</v>
          </cell>
          <cell r="J96">
            <v>0.28128925619834705</v>
          </cell>
          <cell r="K96">
            <v>0.23698302056639367</v>
          </cell>
          <cell r="L96">
            <v>0.20877436526283974</v>
          </cell>
          <cell r="M96">
            <v>0.18536346475368803</v>
          </cell>
          <cell r="N96">
            <v>0.16521674254906593</v>
          </cell>
          <cell r="O96">
            <v>0.149849107107345</v>
          </cell>
          <cell r="P96">
            <v>0.13914955440552101</v>
          </cell>
        </row>
        <row r="97">
          <cell r="A97" t="str">
            <v>International</v>
          </cell>
          <cell r="B97">
            <v>0</v>
          </cell>
          <cell r="C97">
            <v>0</v>
          </cell>
          <cell r="D97">
            <v>0</v>
          </cell>
          <cell r="E97">
            <v>0</v>
          </cell>
          <cell r="F97">
            <v>0</v>
          </cell>
          <cell r="G97">
            <v>8.4301722349035074E-2</v>
          </cell>
          <cell r="H97">
            <v>0.34448068669527898</v>
          </cell>
          <cell r="I97">
            <v>0.57787488102448736</v>
          </cell>
          <cell r="J97">
            <v>0.7187107438016529</v>
          </cell>
          <cell r="K97">
            <v>0.76301697943360625</v>
          </cell>
          <cell r="L97">
            <v>0.79122563473716034</v>
          </cell>
          <cell r="M97">
            <v>0.81463653524631197</v>
          </cell>
          <cell r="N97">
            <v>0.83478325745093396</v>
          </cell>
          <cell r="O97">
            <v>0.85015089289265489</v>
          </cell>
          <cell r="P97">
            <v>0.86085044559447899</v>
          </cell>
        </row>
        <row r="98">
          <cell r="A98" t="str">
            <v>China</v>
          </cell>
          <cell r="E98">
            <v>0</v>
          </cell>
          <cell r="F98">
            <v>0</v>
          </cell>
          <cell r="G98">
            <v>0</v>
          </cell>
          <cell r="H98">
            <v>6.8669527896995708E-2</v>
          </cell>
          <cell r="I98">
            <v>5.7865362983473216E-2</v>
          </cell>
          <cell r="J98">
            <v>0.17453240539364942</v>
          </cell>
          <cell r="K98">
            <v>0.20179930525279732</v>
          </cell>
          <cell r="L98">
            <v>0.21617280899575872</v>
          </cell>
          <cell r="M98">
            <v>0.22096327674376329</v>
          </cell>
          <cell r="N98">
            <v>0.22973087605482378</v>
          </cell>
          <cell r="O98">
            <v>0.23478710182730197</v>
          </cell>
          <cell r="P98">
            <v>0.2275422110069413</v>
          </cell>
        </row>
        <row r="99">
          <cell r="A99" t="str">
            <v>USA</v>
          </cell>
          <cell r="E99">
            <v>0</v>
          </cell>
          <cell r="F99">
            <v>0</v>
          </cell>
          <cell r="G99">
            <v>8.4301722349035074E-2</v>
          </cell>
          <cell r="H99">
            <v>0.25706437768240342</v>
          </cell>
          <cell r="I99">
            <v>0.25653283724149867</v>
          </cell>
          <cell r="J99">
            <v>0.27854980426272297</v>
          </cell>
          <cell r="K99">
            <v>0.27205673552031945</v>
          </cell>
          <cell r="L99">
            <v>0.26121161453680136</v>
          </cell>
          <cell r="M99">
            <v>0.25358607056473875</v>
          </cell>
          <cell r="N99">
            <v>0.24250564015194964</v>
          </cell>
          <cell r="O99">
            <v>0.23128050653817775</v>
          </cell>
          <cell r="P99">
            <v>0.22329745263951986</v>
          </cell>
        </row>
        <row r="100">
          <cell r="A100" t="str">
            <v>Australia</v>
          </cell>
          <cell r="E100">
            <v>0</v>
          </cell>
          <cell r="F100">
            <v>0</v>
          </cell>
          <cell r="G100">
            <v>0</v>
          </cell>
          <cell r="H100">
            <v>1.4420600858369098E-3</v>
          </cell>
          <cell r="I100">
            <v>6.1780738946093282E-2</v>
          </cell>
          <cell r="J100">
            <v>0.11180513266637669</v>
          </cell>
          <cell r="K100">
            <v>0.11241065891302512</v>
          </cell>
          <cell r="L100">
            <v>0.11328146194803505</v>
          </cell>
          <cell r="M100">
            <v>0.11634762091370041</v>
          </cell>
          <cell r="N100">
            <v>0.1190674585303123</v>
          </cell>
          <cell r="O100">
            <v>0.12243440853414871</v>
          </cell>
          <cell r="P100">
            <v>0.12800050086908621</v>
          </cell>
        </row>
        <row r="101">
          <cell r="A101" t="str">
            <v>Europe</v>
          </cell>
          <cell r="E101">
            <v>0</v>
          </cell>
          <cell r="F101">
            <v>0</v>
          </cell>
          <cell r="G101">
            <v>0</v>
          </cell>
          <cell r="H101">
            <v>7.2103004291845492E-3</v>
          </cell>
          <cell r="I101">
            <v>0.12901271956390065</v>
          </cell>
          <cell r="J101">
            <v>7.7825141365811229E-2</v>
          </cell>
          <cell r="K101">
            <v>8.942472585798078E-2</v>
          </cell>
          <cell r="L101">
            <v>0.10147084701104127</v>
          </cell>
          <cell r="M101">
            <v>0.11483820574807303</v>
          </cell>
          <cell r="N101">
            <v>0.12485837882276127</v>
          </cell>
          <cell r="O101">
            <v>0.13247248829804645</v>
          </cell>
          <cell r="P101">
            <v>0.13966019677187316</v>
          </cell>
        </row>
        <row r="102">
          <cell r="A102" t="str">
            <v>Others</v>
          </cell>
          <cell r="E102">
            <v>0</v>
          </cell>
          <cell r="F102">
            <v>0</v>
          </cell>
          <cell r="G102">
            <v>0</v>
          </cell>
          <cell r="H102">
            <v>1.009442060085837E-2</v>
          </cell>
          <cell r="I102">
            <v>7.2683222289521496E-2</v>
          </cell>
          <cell r="J102">
            <v>7.5998260113092644E-2</v>
          </cell>
          <cell r="K102">
            <v>8.7325553889483584E-2</v>
          </cell>
          <cell r="L102">
            <v>9.9088902245523872E-2</v>
          </cell>
          <cell r="M102">
            <v>0.10890136127603639</v>
          </cell>
          <cell r="N102">
            <v>0.11862090389108691</v>
          </cell>
          <cell r="O102">
            <v>0.12917638769497988</v>
          </cell>
          <cell r="P102">
            <v>0.14235008430705839</v>
          </cell>
        </row>
        <row r="104">
          <cell r="A104" t="str">
            <v>Capacity Utilization</v>
          </cell>
        </row>
        <row r="105">
          <cell r="A105" t="str">
            <v>Effective Capacity (MW)</v>
          </cell>
          <cell r="F105">
            <v>960</v>
          </cell>
          <cell r="G105">
            <v>1500</v>
          </cell>
          <cell r="H105">
            <v>2695</v>
          </cell>
          <cell r="I105">
            <v>2695</v>
          </cell>
          <cell r="J105">
            <v>4044.9749999999999</v>
          </cell>
          <cell r="K105">
            <v>6094.9750000000004</v>
          </cell>
          <cell r="L105">
            <v>7464.9750000000004</v>
          </cell>
          <cell r="M105">
            <v>9684.9750000000004</v>
          </cell>
          <cell r="N105">
            <v>11184.975</v>
          </cell>
          <cell r="O105">
            <v>12684.975</v>
          </cell>
          <cell r="P105">
            <v>12684.975</v>
          </cell>
        </row>
        <row r="106">
          <cell r="A106" t="str">
            <v>Sales (MW)</v>
          </cell>
          <cell r="F106">
            <v>507.7</v>
          </cell>
          <cell r="G106">
            <v>963.8</v>
          </cell>
          <cell r="H106">
            <v>1456.25</v>
          </cell>
          <cell r="I106">
            <v>2311.4</v>
          </cell>
          <cell r="J106">
            <v>2873.75</v>
          </cell>
          <cell r="K106">
            <v>4001.5778250000003</v>
          </cell>
          <cell r="L106">
            <v>5042.9380957499998</v>
          </cell>
          <cell r="M106">
            <v>6167.0094563619004</v>
          </cell>
          <cell r="N106">
            <v>7414.5595957152946</v>
          </cell>
          <cell r="O106">
            <v>8705.8612243731113</v>
          </cell>
          <cell r="P106">
            <v>9881.3591922545984</v>
          </cell>
        </row>
        <row r="107">
          <cell r="A107" t="str">
            <v>Production (1.025x sales)</v>
          </cell>
          <cell r="F107">
            <v>501.45</v>
          </cell>
          <cell r="G107">
            <v>980.5</v>
          </cell>
          <cell r="H107">
            <v>1575.45</v>
          </cell>
          <cell r="I107">
            <v>2369.1849999999999</v>
          </cell>
          <cell r="J107">
            <v>2945.5937499999995</v>
          </cell>
          <cell r="K107">
            <v>4101.6172706249999</v>
          </cell>
          <cell r="L107">
            <v>5169.0115481437497</v>
          </cell>
          <cell r="M107">
            <v>6321.1846927709475</v>
          </cell>
          <cell r="N107">
            <v>7599.9235856081759</v>
          </cell>
          <cell r="O107">
            <v>8923.5077549824382</v>
          </cell>
          <cell r="P107">
            <v>10128.393172060962</v>
          </cell>
        </row>
        <row r="108">
          <cell r="A108" t="str">
            <v>Utilization</v>
          </cell>
          <cell r="F108">
            <v>0.52234375</v>
          </cell>
          <cell r="G108">
            <v>0.65366666666666662</v>
          </cell>
          <cell r="H108">
            <v>0.58458256029684608</v>
          </cell>
          <cell r="I108">
            <v>0.87910389610389605</v>
          </cell>
          <cell r="J108">
            <v>0.72821061934869802</v>
          </cell>
          <cell r="K108">
            <v>0.67295063074499895</v>
          </cell>
          <cell r="L108">
            <v>0.69243521219344328</v>
          </cell>
          <cell r="M108">
            <v>0.65267950539582675</v>
          </cell>
          <cell r="N108">
            <v>0.67947613522678196</v>
          </cell>
          <cell r="O108">
            <v>0.70347066154899307</v>
          </cell>
          <cell r="P108">
            <v>0.79845590330772909</v>
          </cell>
        </row>
        <row r="111">
          <cell r="A111" t="str">
            <v>REVENUE BUILD-UP</v>
          </cell>
        </row>
        <row r="112">
          <cell r="A112" t="str">
            <v xml:space="preserve"> DOMESTIC </v>
          </cell>
        </row>
        <row r="113">
          <cell r="A113" t="str">
            <v>Revenues (Rs Mn)</v>
          </cell>
          <cell r="B113">
            <v>3875.37</v>
          </cell>
          <cell r="C113">
            <v>5249.0940000000001</v>
          </cell>
          <cell r="D113">
            <v>3325.9810000000002</v>
          </cell>
          <cell r="E113">
            <v>7911.51</v>
          </cell>
          <cell r="F113">
            <v>19162.49033591733</v>
          </cell>
          <cell r="G113">
            <v>35300</v>
          </cell>
          <cell r="H113">
            <v>41209.999999999993</v>
          </cell>
          <cell r="I113">
            <v>54033.599999999999</v>
          </cell>
          <cell r="J113">
            <v>45437.640349410671</v>
          </cell>
          <cell r="K113">
            <v>53837.329934100882</v>
          </cell>
          <cell r="L113">
            <v>60220.017631397219</v>
          </cell>
          <cell r="M113">
            <v>65875.492792880628</v>
          </cell>
          <cell r="N113">
            <v>71122.922598264035</v>
          </cell>
          <cell r="O113">
            <v>76309.943722637385</v>
          </cell>
          <cell r="P113">
            <v>81032.41734824267</v>
          </cell>
        </row>
        <row r="114">
          <cell r="C114">
            <v>0.35447557265499818</v>
          </cell>
          <cell r="D114">
            <v>-0.36637046316945354</v>
          </cell>
          <cell r="E114">
            <v>1.3786996979237101</v>
          </cell>
          <cell r="F114">
            <v>1.4221027763242833</v>
          </cell>
          <cell r="G114">
            <v>0.8421405245974336</v>
          </cell>
          <cell r="H114">
            <v>0.16742209631728033</v>
          </cell>
          <cell r="I114">
            <v>0.31117689881096844</v>
          </cell>
          <cell r="J114">
            <v>-0.15908545147073905</v>
          </cell>
          <cell r="K114">
            <v>0.18486192328865414</v>
          </cell>
          <cell r="L114">
            <v>0.11855505659565613</v>
          </cell>
          <cell r="M114">
            <v>9.3913542106550008E-2</v>
          </cell>
          <cell r="N114">
            <v>7.9656782559211603E-2</v>
          </cell>
          <cell r="O114">
            <v>7.2930370897046792E-2</v>
          </cell>
          <cell r="P114">
            <v>6.1885429279963766E-2</v>
          </cell>
        </row>
        <row r="115">
          <cell r="A115" t="str">
            <v>Sales (MW)</v>
          </cell>
          <cell r="B115">
            <v>94.399999999999991</v>
          </cell>
          <cell r="C115">
            <v>126.69999999999999</v>
          </cell>
          <cell r="D115">
            <v>93</v>
          </cell>
          <cell r="E115">
            <v>222.25</v>
          </cell>
          <cell r="F115">
            <v>507.7</v>
          </cell>
          <cell r="G115">
            <v>882.55</v>
          </cell>
          <cell r="H115">
            <v>954.6</v>
          </cell>
          <cell r="I115">
            <v>975.7</v>
          </cell>
          <cell r="J115">
            <v>808.3549999999999</v>
          </cell>
          <cell r="K115">
            <v>948.30599999999993</v>
          </cell>
          <cell r="L115">
            <v>1052.8362</v>
          </cell>
          <cell r="M115">
            <v>1143.13824</v>
          </cell>
          <cell r="N115">
            <v>1225.0093838400003</v>
          </cell>
          <cell r="O115">
            <v>1304.5655310727682</v>
          </cell>
          <cell r="P115">
            <v>1374.9867285231264</v>
          </cell>
        </row>
        <row r="116">
          <cell r="C116">
            <v>0.34216101694915246</v>
          </cell>
          <cell r="D116">
            <v>-0.26598263614838191</v>
          </cell>
          <cell r="E116">
            <v>1.389784946236559</v>
          </cell>
          <cell r="F116">
            <v>1.2843644544431947</v>
          </cell>
          <cell r="G116">
            <v>0.73832972227693516</v>
          </cell>
          <cell r="H116">
            <v>8.1638434083054934E-2</v>
          </cell>
          <cell r="I116">
            <v>2.2103498847684921E-2</v>
          </cell>
          <cell r="J116">
            <v>-0.17151276006969374</v>
          </cell>
          <cell r="K116">
            <v>0.17313061711747935</v>
          </cell>
          <cell r="L116">
            <v>0.11022834401553938</v>
          </cell>
          <cell r="M116">
            <v>8.5770265118163769E-2</v>
          </cell>
          <cell r="N116">
            <v>7.1619635294503325E-2</v>
          </cell>
          <cell r="O116">
            <v>6.4943296175728582E-2</v>
          </cell>
          <cell r="P116">
            <v>5.3980574967705586E-2</v>
          </cell>
        </row>
        <row r="117">
          <cell r="A117" t="str">
            <v xml:space="preserve">Realization (Rs m / MW) </v>
          </cell>
          <cell r="B117">
            <v>41.052648305084752</v>
          </cell>
          <cell r="C117">
            <v>41.429313338595108</v>
          </cell>
          <cell r="D117">
            <v>35.763236559139784</v>
          </cell>
          <cell r="E117">
            <v>35.597345331833523</v>
          </cell>
          <cell r="F117">
            <v>37.743727271848201</v>
          </cell>
          <cell r="G117">
            <v>39.997733839442525</v>
          </cell>
          <cell r="H117">
            <v>43.169914100146649</v>
          </cell>
          <cell r="I117">
            <v>55.379317413139283</v>
          </cell>
          <cell r="J117">
            <v>56.210007174336369</v>
          </cell>
          <cell r="K117">
            <v>56.772107246079734</v>
          </cell>
          <cell r="L117">
            <v>57.197898050425337</v>
          </cell>
          <cell r="M117">
            <v>57.626882285803532</v>
          </cell>
          <cell r="N117">
            <v>58.059083902947044</v>
          </cell>
          <cell r="O117">
            <v>58.49452703221916</v>
          </cell>
          <cell r="P117">
            <v>58.933235984960824</v>
          </cell>
        </row>
        <row r="118">
          <cell r="A118" t="str">
            <v>Realization (US$/MW)</v>
          </cell>
          <cell r="H118">
            <v>0.95424213307132288</v>
          </cell>
          <cell r="I118">
            <v>1.3752003330801907</v>
          </cell>
          <cell r="J118">
            <v>1.4224979672108407</v>
          </cell>
          <cell r="K118">
            <v>1.4746001882098632</v>
          </cell>
          <cell r="L118">
            <v>1.5126016792723731</v>
          </cell>
          <cell r="M118">
            <v>1.5471534942811331</v>
          </cell>
          <cell r="N118">
            <v>1.4458763282109821</v>
          </cell>
          <cell r="O118">
            <v>1.47890396007367</v>
          </cell>
          <cell r="P118">
            <v>1.5126860302276373</v>
          </cell>
        </row>
        <row r="121">
          <cell r="A121" t="str">
            <v>Turbine Sales (units)</v>
          </cell>
        </row>
        <row r="122">
          <cell r="A122" t="str">
            <v>0.35 MW</v>
          </cell>
          <cell r="B122">
            <v>264</v>
          </cell>
          <cell r="C122">
            <v>182</v>
          </cell>
          <cell r="D122">
            <v>20</v>
          </cell>
          <cell r="E122">
            <v>20</v>
          </cell>
          <cell r="F122">
            <v>62</v>
          </cell>
          <cell r="G122">
            <v>55</v>
          </cell>
          <cell r="H122">
            <v>81</v>
          </cell>
          <cell r="I122">
            <v>15</v>
          </cell>
          <cell r="J122">
            <v>0</v>
          </cell>
          <cell r="K122">
            <v>0</v>
          </cell>
          <cell r="L122">
            <v>0</v>
          </cell>
          <cell r="M122">
            <v>0</v>
          </cell>
          <cell r="N122">
            <v>0</v>
          </cell>
          <cell r="O122">
            <v>0</v>
          </cell>
          <cell r="P122">
            <v>0</v>
          </cell>
        </row>
        <row r="123">
          <cell r="J123">
            <v>-1</v>
          </cell>
          <cell r="K123">
            <v>0</v>
          </cell>
          <cell r="L123">
            <v>0</v>
          </cell>
          <cell r="M123">
            <v>0</v>
          </cell>
          <cell r="N123">
            <v>0</v>
          </cell>
          <cell r="O123">
            <v>0</v>
          </cell>
          <cell r="P123">
            <v>0</v>
          </cell>
        </row>
        <row r="124">
          <cell r="A124" t="str">
            <v>0.60 MW</v>
          </cell>
          <cell r="E124">
            <v>0</v>
          </cell>
          <cell r="F124">
            <v>0</v>
          </cell>
          <cell r="G124">
            <v>28</v>
          </cell>
          <cell r="H124">
            <v>190</v>
          </cell>
          <cell r="I124">
            <v>181</v>
          </cell>
          <cell r="J124">
            <v>144.80000000000001</v>
          </cell>
          <cell r="K124">
            <v>137.56</v>
          </cell>
          <cell r="L124">
            <v>130.68199999999999</v>
          </cell>
          <cell r="M124">
            <v>117.6138</v>
          </cell>
          <cell r="N124">
            <v>105.85242</v>
          </cell>
          <cell r="O124">
            <v>105.85242</v>
          </cell>
          <cell r="P124">
            <v>105.85242</v>
          </cell>
          <cell r="S124" t="str">
            <v>Volume</v>
          </cell>
        </row>
        <row r="125">
          <cell r="J125">
            <v>-0.2</v>
          </cell>
          <cell r="K125">
            <v>-0.05</v>
          </cell>
          <cell r="L125">
            <v>-0.05</v>
          </cell>
          <cell r="M125">
            <v>-0.1</v>
          </cell>
          <cell r="N125">
            <v>-0.1</v>
          </cell>
          <cell r="O125">
            <v>0</v>
          </cell>
          <cell r="P125">
            <v>0</v>
          </cell>
          <cell r="S125">
            <v>0</v>
          </cell>
        </row>
        <row r="126">
          <cell r="A126" t="str">
            <v>1.00 MW</v>
          </cell>
          <cell r="B126">
            <v>2</v>
          </cell>
          <cell r="C126">
            <v>63</v>
          </cell>
          <cell r="D126">
            <v>26</v>
          </cell>
          <cell r="E126">
            <v>14</v>
          </cell>
          <cell r="F126">
            <v>1</v>
          </cell>
          <cell r="G126">
            <v>0</v>
          </cell>
          <cell r="H126">
            <v>0</v>
          </cell>
          <cell r="I126">
            <v>0</v>
          </cell>
          <cell r="S126" t="str">
            <v>Revenues</v>
          </cell>
        </row>
        <row r="127">
          <cell r="S127">
            <v>0</v>
          </cell>
        </row>
        <row r="128">
          <cell r="A128" t="str">
            <v>1.25 MW</v>
          </cell>
          <cell r="D128">
            <v>48</v>
          </cell>
          <cell r="E128">
            <v>161</v>
          </cell>
          <cell r="F128">
            <v>388</v>
          </cell>
          <cell r="G128">
            <v>676</v>
          </cell>
          <cell r="H128">
            <v>447</v>
          </cell>
          <cell r="I128">
            <v>149</v>
          </cell>
          <cell r="J128">
            <v>119.2</v>
          </cell>
          <cell r="K128">
            <v>143.04</v>
          </cell>
          <cell r="L128">
            <v>171.648</v>
          </cell>
          <cell r="M128">
            <v>199.11168000000001</v>
          </cell>
          <cell r="N128">
            <v>224.59797504000002</v>
          </cell>
          <cell r="O128">
            <v>247.59680768409604</v>
          </cell>
          <cell r="P128">
            <v>267.8799381695772</v>
          </cell>
        </row>
        <row r="129">
          <cell r="J129">
            <v>-0.2</v>
          </cell>
          <cell r="K129">
            <v>0.2</v>
          </cell>
          <cell r="L129">
            <v>0.2</v>
          </cell>
          <cell r="M129">
            <v>0.16000000000000003</v>
          </cell>
          <cell r="N129">
            <v>0.12800000000000003</v>
          </cell>
          <cell r="O129">
            <v>0.10240000000000003</v>
          </cell>
          <cell r="P129">
            <v>8.1920000000000034E-2</v>
          </cell>
        </row>
        <row r="130">
          <cell r="A130" t="str">
            <v>1.50 MW</v>
          </cell>
          <cell r="G130">
            <v>1</v>
          </cell>
          <cell r="H130">
            <v>169</v>
          </cell>
          <cell r="I130">
            <v>449</v>
          </cell>
          <cell r="J130">
            <v>381.65</v>
          </cell>
          <cell r="K130">
            <v>457.97999999999996</v>
          </cell>
          <cell r="L130">
            <v>503.77800000000002</v>
          </cell>
          <cell r="M130">
            <v>544.08024</v>
          </cell>
          <cell r="N130">
            <v>578.90137536000009</v>
          </cell>
          <cell r="O130">
            <v>608.54112577843205</v>
          </cell>
          <cell r="P130">
            <v>633.46697029031668</v>
          </cell>
        </row>
        <row r="131">
          <cell r="J131">
            <v>-0.15</v>
          </cell>
          <cell r="K131">
            <v>0.2</v>
          </cell>
          <cell r="L131">
            <v>0.1</v>
          </cell>
          <cell r="M131">
            <v>8.0000000000000016E-2</v>
          </cell>
          <cell r="N131">
            <v>6.4000000000000015E-2</v>
          </cell>
          <cell r="O131">
            <v>5.1200000000000016E-2</v>
          </cell>
          <cell r="P131">
            <v>4.0960000000000017E-2</v>
          </cell>
        </row>
        <row r="132">
          <cell r="A132" t="str">
            <v>2.10 MW</v>
          </cell>
          <cell r="G132">
            <v>0</v>
          </cell>
          <cell r="H132">
            <v>0</v>
          </cell>
          <cell r="I132">
            <v>1</v>
          </cell>
          <cell r="J132">
            <v>0</v>
          </cell>
          <cell r="K132">
            <v>0</v>
          </cell>
          <cell r="L132">
            <v>2</v>
          </cell>
          <cell r="M132">
            <v>3.6</v>
          </cell>
          <cell r="N132">
            <v>5.9040000000000008</v>
          </cell>
          <cell r="O132">
            <v>8.9268480000000014</v>
          </cell>
          <cell r="P132">
            <v>12.583284940800004</v>
          </cell>
        </row>
        <row r="133">
          <cell r="L133">
            <v>1</v>
          </cell>
          <cell r="M133">
            <v>0.8</v>
          </cell>
          <cell r="N133">
            <v>0.64000000000000012</v>
          </cell>
          <cell r="O133">
            <v>0.51200000000000012</v>
          </cell>
          <cell r="P133">
            <v>0.40960000000000013</v>
          </cell>
        </row>
        <row r="134">
          <cell r="A134" t="str">
            <v>Total (MW)</v>
          </cell>
          <cell r="B134">
            <v>94.399999999999991</v>
          </cell>
          <cell r="C134">
            <v>126.69999999999999</v>
          </cell>
          <cell r="D134">
            <v>93</v>
          </cell>
          <cell r="E134">
            <v>222.25</v>
          </cell>
          <cell r="F134">
            <v>507.7</v>
          </cell>
          <cell r="G134">
            <v>882.55</v>
          </cell>
          <cell r="H134">
            <v>954.6</v>
          </cell>
          <cell r="I134">
            <v>975.7</v>
          </cell>
          <cell r="J134">
            <v>808.3549999999999</v>
          </cell>
          <cell r="K134">
            <v>948.30599999999993</v>
          </cell>
          <cell r="L134">
            <v>1052.8362</v>
          </cell>
          <cell r="M134">
            <v>1143.13824</v>
          </cell>
          <cell r="N134">
            <v>1225.0093838400003</v>
          </cell>
          <cell r="O134">
            <v>1304.5655310727682</v>
          </cell>
          <cell r="P134">
            <v>1374.9867285231264</v>
          </cell>
        </row>
        <row r="136">
          <cell r="A136" t="str">
            <v>YoY Change in Realization</v>
          </cell>
          <cell r="J136">
            <v>1.4999999999999999E-2</v>
          </cell>
          <cell r="K136">
            <v>0.01</v>
          </cell>
          <cell r="L136">
            <v>7.4999999999999997E-3</v>
          </cell>
          <cell r="M136">
            <v>7.4999999999999997E-3</v>
          </cell>
          <cell r="N136">
            <v>7.4999999999999997E-3</v>
          </cell>
          <cell r="O136">
            <v>7.4999999999999997E-3</v>
          </cell>
          <cell r="P136">
            <v>7.4999999999999997E-3</v>
          </cell>
        </row>
        <row r="137">
          <cell r="A137" t="str">
            <v>Realization (Rs milion / MW)</v>
          </cell>
          <cell r="G137">
            <v>39.997733839442525</v>
          </cell>
          <cell r="H137">
            <v>43.169914100146656</v>
          </cell>
          <cell r="I137">
            <v>55.379317413139283</v>
          </cell>
          <cell r="J137">
            <v>56.210007174336369</v>
          </cell>
          <cell r="K137">
            <v>56.772107246079734</v>
          </cell>
          <cell r="L137">
            <v>57.197898050425337</v>
          </cell>
          <cell r="M137">
            <v>57.626882285803532</v>
          </cell>
          <cell r="N137">
            <v>58.059083902947059</v>
          </cell>
          <cell r="O137">
            <v>58.494527032219167</v>
          </cell>
          <cell r="P137">
            <v>58.933235984960817</v>
          </cell>
        </row>
        <row r="138">
          <cell r="A138" t="str">
            <v>Revenue per turbine (Rs m)</v>
          </cell>
        </row>
        <row r="139">
          <cell r="A139" t="str">
            <v>0.35 MW</v>
          </cell>
          <cell r="F139">
            <v>12</v>
          </cell>
          <cell r="G139">
            <v>13.999206843804883</v>
          </cell>
          <cell r="H139">
            <v>15.109469935051328</v>
          </cell>
          <cell r="I139">
            <v>19.382761094598749</v>
          </cell>
          <cell r="J139">
            <v>19.673502511017727</v>
          </cell>
          <cell r="K139">
            <v>19.870237536127906</v>
          </cell>
          <cell r="L139">
            <v>20.019264317648865</v>
          </cell>
          <cell r="M139">
            <v>20.169408800031235</v>
          </cell>
          <cell r="N139">
            <v>20.32067936603147</v>
          </cell>
          <cell r="O139">
            <v>20.473084461276706</v>
          </cell>
          <cell r="P139">
            <v>20.626632594736286</v>
          </cell>
        </row>
        <row r="140">
          <cell r="A140" t="str">
            <v>0.60 MW</v>
          </cell>
          <cell r="G140">
            <v>23.998640303665514</v>
          </cell>
          <cell r="H140">
            <v>25.901948460087993</v>
          </cell>
          <cell r="I140">
            <v>33.227590447883571</v>
          </cell>
          <cell r="J140">
            <v>33.726004304601823</v>
          </cell>
          <cell r="K140">
            <v>34.063264347647838</v>
          </cell>
          <cell r="L140">
            <v>34.318738830255199</v>
          </cell>
          <cell r="M140">
            <v>34.576129371482118</v>
          </cell>
          <cell r="N140">
            <v>34.835450341768237</v>
          </cell>
          <cell r="O140">
            <v>35.096716219331498</v>
          </cell>
          <cell r="P140">
            <v>35.35994159097649</v>
          </cell>
        </row>
        <row r="141">
          <cell r="A141" t="str">
            <v>1.00 MW</v>
          </cell>
          <cell r="G141">
            <v>39.997733839442525</v>
          </cell>
          <cell r="H141">
            <v>43.169914100146656</v>
          </cell>
          <cell r="I141">
            <v>55.379317413139283</v>
          </cell>
          <cell r="J141">
            <v>56.210007174336369</v>
          </cell>
          <cell r="K141">
            <v>56.772107246079734</v>
          </cell>
          <cell r="L141">
            <v>57.197898050425337</v>
          </cell>
          <cell r="M141">
            <v>57.626882285803532</v>
          </cell>
          <cell r="N141">
            <v>58.059083902947059</v>
          </cell>
          <cell r="O141">
            <v>58.494527032219167</v>
          </cell>
          <cell r="P141">
            <v>58.933235984960817</v>
          </cell>
        </row>
        <row r="142">
          <cell r="A142" t="str">
            <v>1.25 MW</v>
          </cell>
          <cell r="F142">
            <v>47.470335917312703</v>
          </cell>
          <cell r="G142">
            <v>49.997167299303158</v>
          </cell>
          <cell r="H142">
            <v>53.96239262518332</v>
          </cell>
          <cell r="I142">
            <v>69.224146766424099</v>
          </cell>
          <cell r="J142">
            <v>70.262508967920468</v>
          </cell>
          <cell r="K142">
            <v>70.96513405759967</v>
          </cell>
          <cell r="L142">
            <v>71.497372563031675</v>
          </cell>
          <cell r="M142">
            <v>72.033602857254408</v>
          </cell>
          <cell r="N142">
            <v>72.573854878683818</v>
          </cell>
          <cell r="O142">
            <v>73.118158790273952</v>
          </cell>
          <cell r="P142">
            <v>73.666544981201014</v>
          </cell>
        </row>
        <row r="143">
          <cell r="A143" t="str">
            <v>1.50 MW</v>
          </cell>
          <cell r="F143">
            <v>59</v>
          </cell>
          <cell r="G143">
            <v>59.996600759163783</v>
          </cell>
          <cell r="H143">
            <v>64.754871150219984</v>
          </cell>
          <cell r="I143">
            <v>83.068976119708921</v>
          </cell>
          <cell r="J143">
            <v>84.315010761504553</v>
          </cell>
          <cell r="K143">
            <v>85.158160869119598</v>
          </cell>
          <cell r="L143">
            <v>85.796847075637999</v>
          </cell>
          <cell r="M143">
            <v>86.440323428705298</v>
          </cell>
          <cell r="N143">
            <v>87.088625854420584</v>
          </cell>
          <cell r="O143">
            <v>87.741790548328751</v>
          </cell>
          <cell r="P143">
            <v>88.399853977441225</v>
          </cell>
        </row>
        <row r="144">
          <cell r="A144" t="str">
            <v>2.10 MW</v>
          </cell>
          <cell r="G144">
            <v>83.995241062829308</v>
          </cell>
          <cell r="H144">
            <v>90.656819610307977</v>
          </cell>
          <cell r="I144">
            <v>116.29656656759249</v>
          </cell>
          <cell r="J144">
            <v>118.04101506610638</v>
          </cell>
          <cell r="K144">
            <v>119.22142521676744</v>
          </cell>
          <cell r="L144">
            <v>120.11558590589321</v>
          </cell>
          <cell r="M144">
            <v>121.01645280018742</v>
          </cell>
          <cell r="N144">
            <v>121.92407619618884</v>
          </cell>
          <cell r="O144">
            <v>122.83850676766026</v>
          </cell>
          <cell r="P144">
            <v>123.75979556841772</v>
          </cell>
        </row>
        <row r="146">
          <cell r="A146" t="str">
            <v>WTG Revenues</v>
          </cell>
        </row>
        <row r="147">
          <cell r="A147" t="str">
            <v>0.35 MW</v>
          </cell>
          <cell r="F147">
            <v>744</v>
          </cell>
          <cell r="G147">
            <v>769.95637640926861</v>
          </cell>
          <cell r="H147">
            <v>1223.8670647391575</v>
          </cell>
          <cell r="I147">
            <v>290.7414164189812</v>
          </cell>
          <cell r="J147">
            <v>0</v>
          </cell>
          <cell r="K147">
            <v>0</v>
          </cell>
          <cell r="L147">
            <v>0</v>
          </cell>
          <cell r="M147">
            <v>0</v>
          </cell>
          <cell r="N147">
            <v>0</v>
          </cell>
          <cell r="O147">
            <v>0</v>
          </cell>
          <cell r="P147">
            <v>0</v>
          </cell>
        </row>
        <row r="148">
          <cell r="A148" t="str">
            <v>0.60 MW</v>
          </cell>
          <cell r="F148">
            <v>0</v>
          </cell>
          <cell r="G148">
            <v>671.96192850263435</v>
          </cell>
          <cell r="H148">
            <v>4921.3702074167186</v>
          </cell>
          <cell r="I148">
            <v>6014.1938710669265</v>
          </cell>
          <cell r="J148">
            <v>4883.5254233063442</v>
          </cell>
          <cell r="K148">
            <v>4685.7426436624364</v>
          </cell>
          <cell r="L148">
            <v>4484.8414278154096</v>
          </cell>
          <cell r="M148">
            <v>4066.6299646716234</v>
          </cell>
          <cell r="N148">
            <v>3687.4167204659948</v>
          </cell>
          <cell r="O148">
            <v>3715.0723458694897</v>
          </cell>
          <cell r="P148">
            <v>3742.9353884635116</v>
          </cell>
        </row>
        <row r="149">
          <cell r="A149" t="str">
            <v>1.00 MW</v>
          </cell>
          <cell r="F149">
            <v>0</v>
          </cell>
          <cell r="G149">
            <v>0</v>
          </cell>
          <cell r="H149">
            <v>0</v>
          </cell>
          <cell r="I149">
            <v>0</v>
          </cell>
          <cell r="J149">
            <v>0</v>
          </cell>
          <cell r="K149">
            <v>0</v>
          </cell>
          <cell r="L149">
            <v>0</v>
          </cell>
          <cell r="M149">
            <v>0</v>
          </cell>
          <cell r="N149">
            <v>0</v>
          </cell>
          <cell r="O149">
            <v>0</v>
          </cell>
          <cell r="P149">
            <v>0</v>
          </cell>
        </row>
        <row r="150">
          <cell r="A150" t="str">
            <v>1.25 MW</v>
          </cell>
          <cell r="F150">
            <v>18418.49033591733</v>
          </cell>
          <cell r="G150">
            <v>33798.085094328933</v>
          </cell>
          <cell r="H150">
            <v>24121.189503456942</v>
          </cell>
          <cell r="I150">
            <v>10314.397868197191</v>
          </cell>
          <cell r="J150">
            <v>8375.2910689761193</v>
          </cell>
          <cell r="K150">
            <v>10150.852775599056</v>
          </cell>
          <cell r="L150">
            <v>12272.381005699261</v>
          </cell>
          <cell r="M150">
            <v>14342.731681360727</v>
          </cell>
          <cell r="N150">
            <v>16299.940846599213</v>
          </cell>
          <cell r="O150">
            <v>18103.822700210654</v>
          </cell>
          <cell r="P150">
            <v>19733.789514730506</v>
          </cell>
        </row>
        <row r="151">
          <cell r="A151" t="str">
            <v>1.50 MW</v>
          </cell>
          <cell r="F151">
            <v>0</v>
          </cell>
          <cell r="G151">
            <v>59.996600759163783</v>
          </cell>
          <cell r="H151">
            <v>10943.573224387177</v>
          </cell>
          <cell r="I151">
            <v>37297.970277749308</v>
          </cell>
          <cell r="J151">
            <v>32178.823857128209</v>
          </cell>
          <cell r="K151">
            <v>39000.734514839387</v>
          </cell>
          <cell r="L151">
            <v>43222.564026070759</v>
          </cell>
          <cell r="M151">
            <v>47030.471916767601</v>
          </cell>
          <cell r="N151">
            <v>50415.725285336543</v>
          </cell>
          <cell r="O151">
            <v>53394.48799809537</v>
          </cell>
          <cell r="P151">
            <v>55998.387673196092</v>
          </cell>
        </row>
        <row r="152">
          <cell r="A152" t="str">
            <v>2.10 MW</v>
          </cell>
          <cell r="F152">
            <v>0</v>
          </cell>
          <cell r="G152">
            <v>0</v>
          </cell>
          <cell r="H152">
            <v>0</v>
          </cell>
          <cell r="I152">
            <v>116.29656656759249</v>
          </cell>
          <cell r="J152">
            <v>0</v>
          </cell>
          <cell r="K152">
            <v>0</v>
          </cell>
          <cell r="L152">
            <v>240.23117181178642</v>
          </cell>
          <cell r="M152">
            <v>435.65923008067472</v>
          </cell>
          <cell r="N152">
            <v>719.83974586229897</v>
          </cell>
          <cell r="O152">
            <v>1096.5606784618747</v>
          </cell>
          <cell r="P152">
            <v>1557.3047718525577</v>
          </cell>
        </row>
        <row r="153">
          <cell r="A153" t="str">
            <v>Total Rev</v>
          </cell>
          <cell r="F153">
            <v>19162.49033591733</v>
          </cell>
          <cell r="G153">
            <v>35300</v>
          </cell>
          <cell r="H153">
            <v>41209.999999999993</v>
          </cell>
          <cell r="I153">
            <v>54033.599999999999</v>
          </cell>
          <cell r="J153">
            <v>45437.640349410671</v>
          </cell>
          <cell r="K153">
            <v>53837.329934100882</v>
          </cell>
          <cell r="L153">
            <v>60220.017631397219</v>
          </cell>
          <cell r="M153">
            <v>65875.492792880628</v>
          </cell>
          <cell r="N153">
            <v>71122.922598264035</v>
          </cell>
          <cell r="O153">
            <v>76309.943722637385</v>
          </cell>
          <cell r="P153">
            <v>81032.41734824267</v>
          </cell>
        </row>
        <row r="154">
          <cell r="A154" t="str">
            <v>Reported / Actuals</v>
          </cell>
          <cell r="G154">
            <v>35300</v>
          </cell>
          <cell r="H154">
            <v>41210</v>
          </cell>
          <cell r="I154">
            <v>54033.599999999999</v>
          </cell>
        </row>
        <row r="155">
          <cell r="A155" t="str">
            <v>Balance of Plant / O&amp;M (Revenues)</v>
          </cell>
          <cell r="G155">
            <v>4.6999999999970896</v>
          </cell>
          <cell r="H155">
            <v>483.19999999999709</v>
          </cell>
          <cell r="I155">
            <v>0</v>
          </cell>
          <cell r="J155">
            <v>0</v>
          </cell>
          <cell r="K155">
            <v>0</v>
          </cell>
          <cell r="L155">
            <v>0</v>
          </cell>
          <cell r="M155">
            <v>0</v>
          </cell>
          <cell r="N155">
            <v>0</v>
          </cell>
          <cell r="O155">
            <v>0</v>
          </cell>
          <cell r="P155">
            <v>0</v>
          </cell>
        </row>
        <row r="156">
          <cell r="A156" t="str">
            <v>% of WTG Revenues</v>
          </cell>
          <cell r="G156">
            <v>1.3314447592059744E-4</v>
          </cell>
          <cell r="H156">
            <v>1.1725309390924463E-2</v>
          </cell>
          <cell r="I156">
            <v>0</v>
          </cell>
          <cell r="J156">
            <v>0</v>
          </cell>
          <cell r="K156">
            <v>0</v>
          </cell>
          <cell r="L156">
            <v>0</v>
          </cell>
          <cell r="M156">
            <v>0</v>
          </cell>
          <cell r="N156">
            <v>0</v>
          </cell>
          <cell r="O156">
            <v>0</v>
          </cell>
          <cell r="P156">
            <v>0</v>
          </cell>
        </row>
        <row r="159">
          <cell r="A159" t="str">
            <v>INTERNATIONAL</v>
          </cell>
        </row>
        <row r="160">
          <cell r="A160" t="str">
            <v>USA</v>
          </cell>
        </row>
        <row r="161">
          <cell r="A161" t="str">
            <v>WTG - India</v>
          </cell>
        </row>
        <row r="162">
          <cell r="A162" t="str">
            <v>No of turbines</v>
          </cell>
          <cell r="I162">
            <v>0.71946847086481558</v>
          </cell>
          <cell r="J162">
            <v>0.87551212928085997</v>
          </cell>
          <cell r="K162">
            <v>0.99151748641057391</v>
          </cell>
          <cell r="L162">
            <v>1.0671480325381262</v>
          </cell>
          <cell r="M162">
            <v>1.1262455999987622</v>
          </cell>
          <cell r="N162">
            <v>1.2237846589475325</v>
          </cell>
          <cell r="O162">
            <v>1.2237846589475325</v>
          </cell>
          <cell r="P162">
            <v>1.2237846589475325</v>
          </cell>
        </row>
        <row r="163">
          <cell r="A163" t="str">
            <v>0.6 MW</v>
          </cell>
        </row>
        <row r="164">
          <cell r="A164" t="str">
            <v>1.25 MW</v>
          </cell>
          <cell r="G164">
            <v>65</v>
          </cell>
          <cell r="H164">
            <v>29</v>
          </cell>
          <cell r="I164">
            <v>51</v>
          </cell>
          <cell r="J164">
            <v>68.850000000000009</v>
          </cell>
          <cell r="K164">
            <v>93.63600000000001</v>
          </cell>
          <cell r="L164">
            <v>113.29956000000001</v>
          </cell>
          <cell r="M164">
            <v>134.50923763200001</v>
          </cell>
          <cell r="N164">
            <v>154.65334105976834</v>
          </cell>
          <cell r="O164">
            <v>173.18204854545704</v>
          </cell>
          <cell r="P164">
            <v>189.78092444316434</v>
          </cell>
        </row>
        <row r="165">
          <cell r="A165" t="str">
            <v>1.50 MW</v>
          </cell>
          <cell r="G165">
            <v>0</v>
          </cell>
          <cell r="H165">
            <v>0</v>
          </cell>
          <cell r="I165">
            <v>0</v>
          </cell>
          <cell r="J165">
            <v>0</v>
          </cell>
          <cell r="K165">
            <v>0</v>
          </cell>
          <cell r="L165">
            <v>0</v>
          </cell>
          <cell r="M165">
            <v>0</v>
          </cell>
          <cell r="N165">
            <v>0</v>
          </cell>
          <cell r="O165">
            <v>0</v>
          </cell>
          <cell r="P165">
            <v>0</v>
          </cell>
        </row>
        <row r="166">
          <cell r="A166" t="str">
            <v>2.10 MW</v>
          </cell>
          <cell r="G166">
            <v>0</v>
          </cell>
          <cell r="H166">
            <v>161</v>
          </cell>
          <cell r="I166">
            <v>252</v>
          </cell>
          <cell r="J166">
            <v>340.20000000000005</v>
          </cell>
          <cell r="K166">
            <v>462.67200000000003</v>
          </cell>
          <cell r="L166">
            <v>559.83312000000001</v>
          </cell>
          <cell r="M166">
            <v>664.63388006399998</v>
          </cell>
          <cell r="N166">
            <v>764.16944994238474</v>
          </cell>
          <cell r="O166">
            <v>855.72306340108196</v>
          </cell>
          <cell r="P166">
            <v>937.74103842504746</v>
          </cell>
        </row>
        <row r="167">
          <cell r="A167" t="str">
            <v>Total MW</v>
          </cell>
          <cell r="F167">
            <v>0</v>
          </cell>
          <cell r="G167">
            <v>81.25</v>
          </cell>
          <cell r="H167">
            <v>374.35</v>
          </cell>
          <cell r="I167">
            <v>592.95000000000005</v>
          </cell>
          <cell r="J167">
            <v>800.48250000000007</v>
          </cell>
          <cell r="K167">
            <v>1088.6562000000001</v>
          </cell>
          <cell r="L167">
            <v>1317.2740020000001</v>
          </cell>
          <cell r="M167">
            <v>1563.8676951744001</v>
          </cell>
          <cell r="N167">
            <v>1798.0725212037185</v>
          </cell>
          <cell r="O167">
            <v>2013.4959938240936</v>
          </cell>
          <cell r="P167">
            <v>2206.4823362465554</v>
          </cell>
        </row>
        <row r="168">
          <cell r="A168" t="str">
            <v>YoY Growth</v>
          </cell>
          <cell r="J168">
            <v>0.35</v>
          </cell>
          <cell r="K168">
            <v>0.36</v>
          </cell>
          <cell r="L168">
            <v>0.21</v>
          </cell>
          <cell r="M168">
            <v>0.18720000000000001</v>
          </cell>
          <cell r="N168">
            <v>0.14976</v>
          </cell>
          <cell r="O168">
            <v>0.11980800000000001</v>
          </cell>
          <cell r="P168">
            <v>9.5846400000000012E-2</v>
          </cell>
        </row>
        <row r="170">
          <cell r="A170" t="str">
            <v>Realization (US$/MW) - Full WTG</v>
          </cell>
          <cell r="F170">
            <v>0.95</v>
          </cell>
          <cell r="G170">
            <v>0.86472735739717155</v>
          </cell>
          <cell r="H170">
            <v>0.93985484063918856</v>
          </cell>
          <cell r="I170">
            <v>1.0576186521712789</v>
          </cell>
          <cell r="J170">
            <v>1.3220233152140985</v>
          </cell>
          <cell r="K170">
            <v>1.3881244809748035</v>
          </cell>
          <cell r="L170">
            <v>1.4297682154040476</v>
          </cell>
          <cell r="M170">
            <v>1.4440658975580882</v>
          </cell>
          <cell r="N170">
            <v>1.4440658975580882</v>
          </cell>
          <cell r="O170">
            <v>1.4440658975580882</v>
          </cell>
          <cell r="P170">
            <v>1.4440658975580882</v>
          </cell>
        </row>
        <row r="171">
          <cell r="A171" t="str">
            <v>YoY Change in Realization</v>
          </cell>
          <cell r="I171">
            <v>0.12529999999999999</v>
          </cell>
          <cell r="J171">
            <v>0.25</v>
          </cell>
          <cell r="K171">
            <v>0.05</v>
          </cell>
          <cell r="L171">
            <v>0.03</v>
          </cell>
          <cell r="M171">
            <v>0.01</v>
          </cell>
          <cell r="N171">
            <v>0</v>
          </cell>
          <cell r="O171">
            <v>0</v>
          </cell>
          <cell r="P171">
            <v>0</v>
          </cell>
        </row>
        <row r="172">
          <cell r="A172" t="str">
            <v>Realization (% of WTG)</v>
          </cell>
          <cell r="G172">
            <v>0.75</v>
          </cell>
          <cell r="H172">
            <v>0.75</v>
          </cell>
          <cell r="I172">
            <v>0.75</v>
          </cell>
          <cell r="J172">
            <v>0.75</v>
          </cell>
          <cell r="K172">
            <v>0.75</v>
          </cell>
          <cell r="L172">
            <v>0.75</v>
          </cell>
          <cell r="M172">
            <v>0.75</v>
          </cell>
          <cell r="N172">
            <v>0.75</v>
          </cell>
          <cell r="O172">
            <v>0.75</v>
          </cell>
          <cell r="P172">
            <v>0.75</v>
          </cell>
        </row>
        <row r="173">
          <cell r="A173" t="str">
            <v>Revenue per turbine (US$ m)</v>
          </cell>
        </row>
        <row r="174">
          <cell r="A174" t="str">
            <v>1.25 MW</v>
          </cell>
          <cell r="G174">
            <v>0.81068189755984821</v>
          </cell>
          <cell r="H174">
            <v>0.88111391309923925</v>
          </cell>
          <cell r="I174">
            <v>0.99151748641057391</v>
          </cell>
          <cell r="J174">
            <v>1.2393968580132173</v>
          </cell>
          <cell r="K174">
            <v>1.3013667009138783</v>
          </cell>
          <cell r="L174">
            <v>1.3404077019412948</v>
          </cell>
          <cell r="M174">
            <v>1.3538117789607078</v>
          </cell>
          <cell r="N174">
            <v>1.3538117789607078</v>
          </cell>
          <cell r="O174">
            <v>1.3538117789607078</v>
          </cell>
          <cell r="P174">
            <v>1.3538117789607078</v>
          </cell>
        </row>
        <row r="175">
          <cell r="A175" t="str">
            <v>1.50 MW</v>
          </cell>
          <cell r="G175">
            <v>0.97281827707181778</v>
          </cell>
          <cell r="H175">
            <v>1.0573366957190871</v>
          </cell>
          <cell r="I175">
            <v>1.1898209836926887</v>
          </cell>
          <cell r="J175">
            <v>1.4872762296158608</v>
          </cell>
          <cell r="K175">
            <v>1.561640041096654</v>
          </cell>
          <cell r="L175">
            <v>1.6084892423295536</v>
          </cell>
          <cell r="M175">
            <v>1.6245741347528493</v>
          </cell>
          <cell r="N175">
            <v>1.6245741347528493</v>
          </cell>
          <cell r="O175">
            <v>1.6245741347528493</v>
          </cell>
          <cell r="P175">
            <v>1.6245741347528493</v>
          </cell>
        </row>
        <row r="176">
          <cell r="A176" t="str">
            <v>2.10 MW</v>
          </cell>
          <cell r="G176">
            <v>1.3619455879005449</v>
          </cell>
          <cell r="H176">
            <v>1.4802713740067219</v>
          </cell>
          <cell r="I176">
            <v>1.6657493771697645</v>
          </cell>
          <cell r="J176">
            <v>2.0821867214622052</v>
          </cell>
          <cell r="K176">
            <v>2.1862960575353156</v>
          </cell>
          <cell r="L176">
            <v>2.2518849392613753</v>
          </cell>
          <cell r="M176">
            <v>2.2744037886539892</v>
          </cell>
          <cell r="N176">
            <v>2.2744037886539892</v>
          </cell>
          <cell r="O176">
            <v>2.2744037886539892</v>
          </cell>
          <cell r="P176">
            <v>2.2744037886539892</v>
          </cell>
        </row>
        <row r="178">
          <cell r="A178" t="str">
            <v>Total Revenue (Rs m)</v>
          </cell>
        </row>
        <row r="179">
          <cell r="A179" t="str">
            <v>1.25 MW</v>
          </cell>
          <cell r="G179">
            <v>2332.7249999999995</v>
          </cell>
          <cell r="H179">
            <v>1155.986209429678</v>
          </cell>
          <cell r="I179">
            <v>2036.3488680654445</v>
          </cell>
          <cell r="J179">
            <v>3371.9126972364093</v>
          </cell>
          <cell r="K179">
            <v>4691.4087376607185</v>
          </cell>
          <cell r="L179">
            <v>5742.759501091783</v>
          </cell>
          <cell r="M179">
            <v>6782.6923886857303</v>
          </cell>
          <cell r="N179">
            <v>8407.3015834458874</v>
          </cell>
          <cell r="O179">
            <v>9273.3451179820404</v>
          </cell>
          <cell r="P179">
            <v>10009.729435545722</v>
          </cell>
        </row>
        <row r="180">
          <cell r="A180" t="str">
            <v>1.50 MW</v>
          </cell>
          <cell r="G180">
            <v>0</v>
          </cell>
          <cell r="H180">
            <v>0</v>
          </cell>
          <cell r="I180">
            <v>0</v>
          </cell>
          <cell r="J180">
            <v>0</v>
          </cell>
          <cell r="K180">
            <v>0</v>
          </cell>
          <cell r="L180">
            <v>0</v>
          </cell>
          <cell r="M180">
            <v>0</v>
          </cell>
          <cell r="N180">
            <v>0</v>
          </cell>
          <cell r="O180">
            <v>0</v>
          </cell>
          <cell r="P180">
            <v>0</v>
          </cell>
        </row>
        <row r="181">
          <cell r="A181" t="str">
            <v>2.10 MW</v>
          </cell>
          <cell r="G181">
            <v>0</v>
          </cell>
          <cell r="H181">
            <v>10781.76379057032</v>
          </cell>
          <cell r="I181">
            <v>16904.091309493859</v>
          </cell>
          <cell r="J181">
            <v>27990.842343176591</v>
          </cell>
          <cell r="K181">
            <v>38944.211826981213</v>
          </cell>
          <cell r="L181">
            <v>47671.660046710145</v>
          </cell>
          <cell r="M181">
            <v>56304.326464195889</v>
          </cell>
          <cell r="N181">
            <v>69790.49408564021</v>
          </cell>
          <cell r="O181">
            <v>76979.674297036792</v>
          </cell>
          <cell r="P181">
            <v>83092.530467306628</v>
          </cell>
        </row>
        <row r="182">
          <cell r="A182" t="str">
            <v>Total Sales</v>
          </cell>
          <cell r="G182">
            <v>2332.7249999999995</v>
          </cell>
          <cell r="H182">
            <v>11937.749999999998</v>
          </cell>
          <cell r="I182">
            <v>18940.440177559303</v>
          </cell>
          <cell r="J182">
            <v>31362.755040413002</v>
          </cell>
          <cell r="K182">
            <v>43635.620564641933</v>
          </cell>
          <cell r="L182">
            <v>53414.419547801925</v>
          </cell>
          <cell r="M182">
            <v>63087.018852881622</v>
          </cell>
          <cell r="N182">
            <v>78197.795669086103</v>
          </cell>
          <cell r="O182">
            <v>86253.019415018833</v>
          </cell>
          <cell r="P182">
            <v>93102.259902852355</v>
          </cell>
        </row>
        <row r="184">
          <cell r="A184" t="str">
            <v>Rotor Blades &amp; Towers - US</v>
          </cell>
        </row>
        <row r="185">
          <cell r="A185" t="str">
            <v>Revenues (Rs Million)</v>
          </cell>
          <cell r="G185">
            <v>777.57499999999982</v>
          </cell>
          <cell r="H185">
            <v>3979.2499999999986</v>
          </cell>
          <cell r="I185">
            <v>6313.4800591864314</v>
          </cell>
          <cell r="J185">
            <v>10454.251680137664</v>
          </cell>
          <cell r="K185">
            <v>14545.206854880642</v>
          </cell>
          <cell r="L185">
            <v>17804.806515933971</v>
          </cell>
          <cell r="M185">
            <v>21029.006284293868</v>
          </cell>
          <cell r="N185">
            <v>26065.931889695363</v>
          </cell>
          <cell r="O185">
            <v>28751.006471672943</v>
          </cell>
          <cell r="P185">
            <v>31034.086634284107</v>
          </cell>
        </row>
        <row r="186">
          <cell r="H186">
            <v>4.1175127801176732</v>
          </cell>
          <cell r="I186">
            <v>0.58660050491585936</v>
          </cell>
          <cell r="J186">
            <v>0.6558619940402286</v>
          </cell>
          <cell r="K186">
            <v>0.39131975199291413</v>
          </cell>
          <cell r="L186">
            <v>0.22410129285714286</v>
          </cell>
          <cell r="M186">
            <v>0.1810859199999999</v>
          </cell>
          <cell r="N186">
            <v>0.23952275905511855</v>
          </cell>
          <cell r="O186">
            <v>0.10301088000000003</v>
          </cell>
          <cell r="P186">
            <v>7.9408704000000219E-2</v>
          </cell>
        </row>
        <row r="187">
          <cell r="A187" t="str">
            <v>Sales (MW)</v>
          </cell>
          <cell r="G187">
            <v>81.849999999999994</v>
          </cell>
          <cell r="H187">
            <v>374.35</v>
          </cell>
          <cell r="I187">
            <v>592.95000000000005</v>
          </cell>
          <cell r="J187">
            <v>800.48250000000007</v>
          </cell>
          <cell r="K187">
            <v>1088.6562000000001</v>
          </cell>
          <cell r="L187">
            <v>1317.2740020000001</v>
          </cell>
          <cell r="M187">
            <v>1563.8676951744001</v>
          </cell>
          <cell r="N187">
            <v>1798.0725212037185</v>
          </cell>
          <cell r="O187">
            <v>2013.4959938240936</v>
          </cell>
          <cell r="P187">
            <v>2206.4823362465554</v>
          </cell>
        </row>
        <row r="188">
          <cell r="H188">
            <v>3.5736102626756265</v>
          </cell>
          <cell r="I188">
            <v>0.58394550554294122</v>
          </cell>
          <cell r="J188">
            <v>0.35000000000000009</v>
          </cell>
          <cell r="K188">
            <v>0.3600000000000001</v>
          </cell>
          <cell r="L188">
            <v>0.20999999999999996</v>
          </cell>
          <cell r="M188">
            <v>0.18720000000000003</v>
          </cell>
          <cell r="N188">
            <v>0.14976000000000012</v>
          </cell>
          <cell r="O188">
            <v>0.11980800000000014</v>
          </cell>
          <cell r="P188">
            <v>9.5846400000000109E-2</v>
          </cell>
        </row>
        <row r="189">
          <cell r="A189" t="str">
            <v>Realization (Rs million / MW)</v>
          </cell>
          <cell r="G189">
            <v>9.4999999999999982</v>
          </cell>
          <cell r="H189">
            <v>10.629758247629219</v>
          </cell>
          <cell r="I189">
            <v>10.647575780734346</v>
          </cell>
          <cell r="J189">
            <v>13.059937825171273</v>
          </cell>
          <cell r="K189">
            <v>13.360698129382481</v>
          </cell>
          <cell r="L189">
            <v>13.516403184835625</v>
          </cell>
          <cell r="M189">
            <v>13.446793708433722</v>
          </cell>
          <cell r="N189">
            <v>14.496596540080342</v>
          </cell>
          <cell r="O189">
            <v>14.279147591979136</v>
          </cell>
          <cell r="P189">
            <v>14.06496037809945</v>
          </cell>
        </row>
        <row r="191">
          <cell r="A191" t="str">
            <v>No of turbines</v>
          </cell>
        </row>
        <row r="192">
          <cell r="A192" t="str">
            <v>0.6 MW</v>
          </cell>
          <cell r="G192">
            <v>1</v>
          </cell>
        </row>
        <row r="193">
          <cell r="A193" t="str">
            <v>1.25 MW</v>
          </cell>
          <cell r="G193">
            <v>65</v>
          </cell>
          <cell r="H193">
            <v>29</v>
          </cell>
          <cell r="I193">
            <v>51</v>
          </cell>
          <cell r="J193">
            <v>68.850000000000009</v>
          </cell>
          <cell r="K193">
            <v>93.63600000000001</v>
          </cell>
          <cell r="L193">
            <v>113.29956000000001</v>
          </cell>
          <cell r="M193">
            <v>134.50923763200001</v>
          </cell>
          <cell r="N193">
            <v>154.65334105976834</v>
          </cell>
          <cell r="O193">
            <v>173.18204854545704</v>
          </cell>
          <cell r="P193">
            <v>189.78092444316434</v>
          </cell>
        </row>
        <row r="194">
          <cell r="A194" t="str">
            <v>1.50 MW</v>
          </cell>
          <cell r="G194">
            <v>0</v>
          </cell>
          <cell r="H194">
            <v>0</v>
          </cell>
          <cell r="I194">
            <v>0</v>
          </cell>
          <cell r="J194">
            <v>0</v>
          </cell>
          <cell r="K194">
            <v>0</v>
          </cell>
          <cell r="L194">
            <v>0</v>
          </cell>
          <cell r="M194">
            <v>0</v>
          </cell>
          <cell r="N194">
            <v>0</v>
          </cell>
          <cell r="O194">
            <v>0</v>
          </cell>
          <cell r="P194">
            <v>0</v>
          </cell>
        </row>
        <row r="195">
          <cell r="A195" t="str">
            <v>2.10 MW</v>
          </cell>
          <cell r="G195">
            <v>0</v>
          </cell>
          <cell r="H195">
            <v>161</v>
          </cell>
          <cell r="I195">
            <v>252</v>
          </cell>
          <cell r="J195">
            <v>340.20000000000005</v>
          </cell>
          <cell r="K195">
            <v>462.67200000000003</v>
          </cell>
          <cell r="L195">
            <v>559.83312000000001</v>
          </cell>
          <cell r="M195">
            <v>664.63388006399998</v>
          </cell>
          <cell r="N195">
            <v>764.16944994238474</v>
          </cell>
          <cell r="O195">
            <v>855.72306340108196</v>
          </cell>
          <cell r="P195">
            <v>937.74103842504746</v>
          </cell>
        </row>
        <row r="196">
          <cell r="A196" t="str">
            <v>Total</v>
          </cell>
          <cell r="G196">
            <v>81.849999999999994</v>
          </cell>
          <cell r="H196">
            <v>374.35</v>
          </cell>
          <cell r="I196">
            <v>592.95000000000005</v>
          </cell>
          <cell r="J196">
            <v>800.48250000000007</v>
          </cell>
          <cell r="K196">
            <v>1088.6562000000001</v>
          </cell>
          <cell r="L196">
            <v>1317.2740020000001</v>
          </cell>
          <cell r="M196">
            <v>1563.8676951744001</v>
          </cell>
          <cell r="N196">
            <v>1798.0725212037185</v>
          </cell>
          <cell r="O196">
            <v>2013.4959938240936</v>
          </cell>
          <cell r="P196">
            <v>2206.4823362465554</v>
          </cell>
        </row>
        <row r="198">
          <cell r="A198" t="str">
            <v>Revenue per turbine (US$ m)</v>
          </cell>
        </row>
        <row r="199">
          <cell r="A199" t="str">
            <v>1.25 MW</v>
          </cell>
          <cell r="G199">
            <v>0.27022729918661603</v>
          </cell>
          <cell r="H199">
            <v>0.29370463769974636</v>
          </cell>
          <cell r="I199">
            <v>0.33050582880352458</v>
          </cell>
          <cell r="J199">
            <v>0.41313228600440566</v>
          </cell>
          <cell r="K199">
            <v>0.43378890030462602</v>
          </cell>
          <cell r="L199">
            <v>0.44680256731376483</v>
          </cell>
          <cell r="M199">
            <v>0.45127059298690253</v>
          </cell>
          <cell r="N199">
            <v>0.45127059298690253</v>
          </cell>
          <cell r="O199">
            <v>0.45127059298690253</v>
          </cell>
          <cell r="P199">
            <v>0.45127059298690253</v>
          </cell>
        </row>
        <row r="200">
          <cell r="A200" t="str">
            <v>1.50 MW</v>
          </cell>
          <cell r="G200">
            <v>0.32427275902393926</v>
          </cell>
          <cell r="H200">
            <v>0.35244556523969567</v>
          </cell>
          <cell r="I200">
            <v>0.39660699456422954</v>
          </cell>
          <cell r="J200">
            <v>0.49575874320528684</v>
          </cell>
          <cell r="K200">
            <v>0.52054668036555118</v>
          </cell>
          <cell r="L200">
            <v>0.53616308077651786</v>
          </cell>
          <cell r="M200">
            <v>0.54152471158428306</v>
          </cell>
          <cell r="N200">
            <v>0.54152471158428306</v>
          </cell>
          <cell r="O200">
            <v>0.54152471158428306</v>
          </cell>
          <cell r="P200">
            <v>0.54152471158428306</v>
          </cell>
        </row>
        <row r="201">
          <cell r="A201" t="str">
            <v>2.10 MW</v>
          </cell>
          <cell r="G201">
            <v>0.45398186263351498</v>
          </cell>
          <cell r="H201">
            <v>0.4934237913355739</v>
          </cell>
          <cell r="I201">
            <v>0.55524979238992134</v>
          </cell>
          <cell r="J201">
            <v>0.69406224048740151</v>
          </cell>
          <cell r="K201">
            <v>0.72876535251177177</v>
          </cell>
          <cell r="L201">
            <v>0.75062831308712497</v>
          </cell>
          <cell r="M201">
            <v>0.75813459621799628</v>
          </cell>
          <cell r="N201">
            <v>0.75813459621799628</v>
          </cell>
          <cell r="O201">
            <v>0.75813459621799628</v>
          </cell>
          <cell r="P201">
            <v>0.75813459621799628</v>
          </cell>
        </row>
        <row r="203">
          <cell r="A203" t="str">
            <v>Revenues  (Rs m)</v>
          </cell>
        </row>
        <row r="204">
          <cell r="A204" t="str">
            <v>1.25 MW</v>
          </cell>
          <cell r="G204">
            <v>777.57499999999982</v>
          </cell>
          <cell r="H204">
            <v>385.32873647655924</v>
          </cell>
          <cell r="I204">
            <v>678.7829560218147</v>
          </cell>
          <cell r="J204">
            <v>1123.9708990788026</v>
          </cell>
          <cell r="K204">
            <v>1563.8029125535727</v>
          </cell>
          <cell r="L204">
            <v>1914.2531670305941</v>
          </cell>
          <cell r="M204">
            <v>2260.8974628952433</v>
          </cell>
          <cell r="N204">
            <v>2802.4338611486287</v>
          </cell>
          <cell r="O204">
            <v>3091.115039327346</v>
          </cell>
          <cell r="P204">
            <v>3336.5764785152401</v>
          </cell>
        </row>
        <row r="205">
          <cell r="A205" t="str">
            <v>1.50 MW</v>
          </cell>
          <cell r="G205">
            <v>0</v>
          </cell>
          <cell r="H205">
            <v>0</v>
          </cell>
          <cell r="I205">
            <v>0</v>
          </cell>
          <cell r="J205">
            <v>0</v>
          </cell>
          <cell r="K205">
            <v>0</v>
          </cell>
          <cell r="L205">
            <v>0</v>
          </cell>
          <cell r="M205">
            <v>0</v>
          </cell>
          <cell r="N205">
            <v>0</v>
          </cell>
          <cell r="O205">
            <v>0</v>
          </cell>
          <cell r="P205">
            <v>0</v>
          </cell>
        </row>
        <row r="206">
          <cell r="A206" t="str">
            <v>2.10 MW</v>
          </cell>
          <cell r="G206">
            <v>0</v>
          </cell>
          <cell r="H206">
            <v>3593.9212635234394</v>
          </cell>
          <cell r="I206">
            <v>5634.6971031646171</v>
          </cell>
          <cell r="J206">
            <v>9330.280781058862</v>
          </cell>
          <cell r="K206">
            <v>12981.40394232707</v>
          </cell>
          <cell r="L206">
            <v>15890.553348903379</v>
          </cell>
          <cell r="M206">
            <v>18768.108821398626</v>
          </cell>
          <cell r="N206">
            <v>23263.498028546735</v>
          </cell>
          <cell r="O206">
            <v>25659.891432345597</v>
          </cell>
          <cell r="P206">
            <v>27697.510155768869</v>
          </cell>
        </row>
        <row r="207">
          <cell r="A207" t="str">
            <v>Total</v>
          </cell>
          <cell r="G207">
            <v>777.57499999999982</v>
          </cell>
          <cell r="H207">
            <v>3979.2499999999986</v>
          </cell>
          <cell r="I207">
            <v>6313.4800591864314</v>
          </cell>
          <cell r="J207">
            <v>10454.251680137664</v>
          </cell>
          <cell r="K207">
            <v>14545.206854880642</v>
          </cell>
          <cell r="L207">
            <v>17804.806515933971</v>
          </cell>
          <cell r="M207">
            <v>21029.006284293868</v>
          </cell>
          <cell r="N207">
            <v>26065.931889695363</v>
          </cell>
          <cell r="O207">
            <v>28751.006471672943</v>
          </cell>
          <cell r="P207">
            <v>31034.086634284107</v>
          </cell>
        </row>
        <row r="208">
          <cell r="A208" t="str">
            <v>Total Revenue - US</v>
          </cell>
          <cell r="G208">
            <v>3110.2999999999993</v>
          </cell>
          <cell r="H208">
            <v>15916.999999999996</v>
          </cell>
          <cell r="I208">
            <v>25253.920236745733</v>
          </cell>
          <cell r="J208">
            <v>41817.006720550664</v>
          </cell>
          <cell r="K208">
            <v>58180.827419522575</v>
          </cell>
          <cell r="L208">
            <v>71219.2260637359</v>
          </cell>
          <cell r="M208">
            <v>84116.025137175486</v>
          </cell>
          <cell r="N208">
            <v>104263.72755878147</v>
          </cell>
          <cell r="O208">
            <v>115004.02588669177</v>
          </cell>
          <cell r="P208">
            <v>124136.34653713646</v>
          </cell>
        </row>
        <row r="209">
          <cell r="A209" t="str">
            <v>Reported / Actuals</v>
          </cell>
          <cell r="G209">
            <v>3110.3</v>
          </cell>
          <cell r="H209">
            <v>15917</v>
          </cell>
        </row>
        <row r="210">
          <cell r="A210" t="str">
            <v>Technical Revenue</v>
          </cell>
          <cell r="G210">
            <v>0</v>
          </cell>
          <cell r="H210">
            <v>600.5</v>
          </cell>
          <cell r="I210">
            <v>0</v>
          </cell>
          <cell r="J210">
            <v>0</v>
          </cell>
          <cell r="K210">
            <v>0</v>
          </cell>
          <cell r="L210">
            <v>0</v>
          </cell>
          <cell r="M210">
            <v>0</v>
          </cell>
          <cell r="N210">
            <v>0</v>
          </cell>
          <cell r="O210">
            <v>0</v>
          </cell>
          <cell r="P210">
            <v>0</v>
          </cell>
        </row>
        <row r="211">
          <cell r="A211" t="str">
            <v>% of WTG Revenues</v>
          </cell>
          <cell r="H211">
            <v>3.77269585977257E-2</v>
          </cell>
          <cell r="I211">
            <v>0</v>
          </cell>
          <cell r="J211">
            <v>0</v>
          </cell>
          <cell r="K211">
            <v>0</v>
          </cell>
          <cell r="L211">
            <v>0</v>
          </cell>
          <cell r="M211">
            <v>0</v>
          </cell>
          <cell r="N211">
            <v>0</v>
          </cell>
          <cell r="O211">
            <v>0</v>
          </cell>
          <cell r="P211">
            <v>0</v>
          </cell>
        </row>
        <row r="214">
          <cell r="A214" t="str">
            <v>CHINA - Excl. Tower &amp; Electricals</v>
          </cell>
        </row>
        <row r="215">
          <cell r="A215" t="str">
            <v>Revenues (Rs Million)</v>
          </cell>
          <cell r="E215">
            <v>0</v>
          </cell>
          <cell r="F215">
            <v>0</v>
          </cell>
          <cell r="G215">
            <v>0</v>
          </cell>
          <cell r="H215">
            <v>3000</v>
          </cell>
          <cell r="I215">
            <v>5925.586963205903</v>
          </cell>
          <cell r="J215">
            <v>22554.265378702472</v>
          </cell>
          <cell r="K215">
            <v>36675.490932308086</v>
          </cell>
          <cell r="L215">
            <v>49883.252104305539</v>
          </cell>
          <cell r="M215">
            <v>62821.720618859785</v>
          </cell>
          <cell r="N215">
            <v>79116.104404376543</v>
          </cell>
          <cell r="O215">
            <v>95651.370224891245</v>
          </cell>
          <cell r="P215">
            <v>106005.63105173573</v>
          </cell>
        </row>
        <row r="216">
          <cell r="I216">
            <v>0.97519565440196776</v>
          </cell>
          <cell r="J216">
            <v>2.8062500000000008</v>
          </cell>
          <cell r="K216">
            <v>0.62609999999999988</v>
          </cell>
          <cell r="L216">
            <v>0.36012500000000003</v>
          </cell>
          <cell r="M216">
            <v>0.25937499999999991</v>
          </cell>
          <cell r="N216">
            <v>0.25937500000000013</v>
          </cell>
          <cell r="O216">
            <v>0.20900000000000007</v>
          </cell>
          <cell r="P216">
            <v>0.10825000000000018</v>
          </cell>
        </row>
        <row r="217">
          <cell r="A217" t="str">
            <v>Sales (MW)</v>
          </cell>
          <cell r="H217">
            <v>100</v>
          </cell>
          <cell r="I217">
            <v>133.75</v>
          </cell>
          <cell r="J217">
            <v>501.5625</v>
          </cell>
          <cell r="K217">
            <v>807.51562499999989</v>
          </cell>
          <cell r="L217">
            <v>1090.1460937499999</v>
          </cell>
          <cell r="M217">
            <v>1362.6826171874998</v>
          </cell>
          <cell r="N217">
            <v>1703.3532714843748</v>
          </cell>
          <cell r="O217">
            <v>2044.0239257812495</v>
          </cell>
          <cell r="P217">
            <v>2248.4263183593748</v>
          </cell>
        </row>
        <row r="218">
          <cell r="I218">
            <v>0.33749999999999991</v>
          </cell>
          <cell r="J218">
            <v>2.75</v>
          </cell>
          <cell r="K218">
            <v>0.60999999999999988</v>
          </cell>
          <cell r="L218">
            <v>0.35000000000000009</v>
          </cell>
          <cell r="M218">
            <v>0.25</v>
          </cell>
          <cell r="N218">
            <v>0.25</v>
          </cell>
          <cell r="O218">
            <v>0.19999999999999996</v>
          </cell>
          <cell r="P218">
            <v>0.10000000000000009</v>
          </cell>
        </row>
        <row r="219">
          <cell r="A219" t="str">
            <v>Realization (Rs million / MW)</v>
          </cell>
          <cell r="H219">
            <v>30</v>
          </cell>
          <cell r="I219">
            <v>44.303453930511424</v>
          </cell>
          <cell r="J219">
            <v>44.968005739469106</v>
          </cell>
          <cell r="K219">
            <v>45.417685796863793</v>
          </cell>
          <cell r="L219">
            <v>45.758318440340275</v>
          </cell>
          <cell r="M219">
            <v>46.101505828642829</v>
          </cell>
          <cell r="N219">
            <v>46.447267122357651</v>
          </cell>
          <cell r="O219">
            <v>46.79562162577534</v>
          </cell>
          <cell r="P219">
            <v>47.146588787968653</v>
          </cell>
        </row>
        <row r="221">
          <cell r="A221" t="str">
            <v>No of turbines</v>
          </cell>
        </row>
        <row r="222">
          <cell r="A222" t="str">
            <v>1.25 MW</v>
          </cell>
          <cell r="H222">
            <v>80</v>
          </cell>
          <cell r="I222">
            <v>107</v>
          </cell>
          <cell r="J222">
            <v>401.25</v>
          </cell>
          <cell r="K222">
            <v>646.01249999999993</v>
          </cell>
          <cell r="L222">
            <v>872.11687499999994</v>
          </cell>
          <cell r="M222">
            <v>1090.1460937499999</v>
          </cell>
          <cell r="N222">
            <v>1362.6826171874998</v>
          </cell>
          <cell r="O222">
            <v>1635.2191406249997</v>
          </cell>
          <cell r="P222">
            <v>1798.7410546874999</v>
          </cell>
        </row>
        <row r="223">
          <cell r="A223" t="str">
            <v>1.50 MW</v>
          </cell>
          <cell r="I223">
            <v>0</v>
          </cell>
          <cell r="J223">
            <v>0</v>
          </cell>
          <cell r="K223">
            <v>0</v>
          </cell>
          <cell r="L223">
            <v>0</v>
          </cell>
          <cell r="M223">
            <v>0</v>
          </cell>
          <cell r="N223">
            <v>0</v>
          </cell>
          <cell r="O223">
            <v>0</v>
          </cell>
          <cell r="P223">
            <v>0</v>
          </cell>
        </row>
        <row r="224">
          <cell r="A224" t="str">
            <v>2.10 MW</v>
          </cell>
          <cell r="H224">
            <v>0</v>
          </cell>
          <cell r="I224">
            <v>0</v>
          </cell>
          <cell r="J224">
            <v>0</v>
          </cell>
          <cell r="K224">
            <v>0</v>
          </cell>
          <cell r="L224">
            <v>0</v>
          </cell>
          <cell r="M224">
            <v>0</v>
          </cell>
          <cell r="N224">
            <v>0</v>
          </cell>
          <cell r="O224">
            <v>0</v>
          </cell>
          <cell r="P224">
            <v>0</v>
          </cell>
        </row>
        <row r="225">
          <cell r="A225" t="str">
            <v>Total (MW)</v>
          </cell>
          <cell r="H225">
            <v>100</v>
          </cell>
          <cell r="I225">
            <v>133.75</v>
          </cell>
          <cell r="J225">
            <v>501.5625</v>
          </cell>
          <cell r="K225">
            <v>807.51562499999989</v>
          </cell>
          <cell r="L225">
            <v>1090.1460937499999</v>
          </cell>
          <cell r="M225">
            <v>1362.6826171874998</v>
          </cell>
          <cell r="N225">
            <v>1703.3532714843748</v>
          </cell>
          <cell r="O225">
            <v>2044.0239257812495</v>
          </cell>
          <cell r="P225">
            <v>2248.4263183593748</v>
          </cell>
        </row>
        <row r="226">
          <cell r="A226" t="str">
            <v>YoY Growth</v>
          </cell>
          <cell r="J226">
            <v>2.75</v>
          </cell>
          <cell r="K226">
            <v>0.61</v>
          </cell>
          <cell r="L226">
            <v>0.35</v>
          </cell>
          <cell r="M226">
            <v>0.25</v>
          </cell>
          <cell r="N226">
            <v>0.25</v>
          </cell>
          <cell r="O226">
            <v>0.2</v>
          </cell>
          <cell r="P226">
            <v>0.1</v>
          </cell>
        </row>
        <row r="228">
          <cell r="A228" t="str">
            <v>Discount to Adj. Domestic Realization</v>
          </cell>
          <cell r="H228">
            <v>0.10255869934481907</v>
          </cell>
          <cell r="I228">
            <v>0.2</v>
          </cell>
          <cell r="J228">
            <v>0.2</v>
          </cell>
          <cell r="K228">
            <v>0.2</v>
          </cell>
          <cell r="L228">
            <v>0.2</v>
          </cell>
          <cell r="M228">
            <v>0.2</v>
          </cell>
          <cell r="N228">
            <v>0.2</v>
          </cell>
          <cell r="O228">
            <v>0.2</v>
          </cell>
          <cell r="P228">
            <v>0.2</v>
          </cell>
        </row>
        <row r="229">
          <cell r="A229" t="str">
            <v>Revenue per turbine (Rs m)</v>
          </cell>
        </row>
        <row r="230">
          <cell r="A230" t="str">
            <v>1.25 MW</v>
          </cell>
          <cell r="H230">
            <v>37.5</v>
          </cell>
          <cell r="I230">
            <v>55.379317413139283</v>
          </cell>
          <cell r="J230">
            <v>56.210007174336376</v>
          </cell>
          <cell r="K230">
            <v>56.772107246079742</v>
          </cell>
          <cell r="L230">
            <v>57.197898050425344</v>
          </cell>
          <cell r="M230">
            <v>57.626882285803532</v>
          </cell>
          <cell r="N230">
            <v>58.059083902947059</v>
          </cell>
          <cell r="O230">
            <v>58.494527032219167</v>
          </cell>
          <cell r="P230">
            <v>58.933235984960817</v>
          </cell>
        </row>
        <row r="231">
          <cell r="A231" t="str">
            <v>1.50 MW</v>
          </cell>
          <cell r="H231">
            <v>58.113695788812073</v>
          </cell>
          <cell r="I231">
            <v>66.455180895767143</v>
          </cell>
          <cell r="J231">
            <v>67.452008609203645</v>
          </cell>
          <cell r="K231">
            <v>68.126528695295676</v>
          </cell>
          <cell r="L231">
            <v>68.637477660510399</v>
          </cell>
          <cell r="M231">
            <v>69.152258742964236</v>
          </cell>
          <cell r="N231">
            <v>69.670900683536473</v>
          </cell>
          <cell r="O231">
            <v>70.19343243866301</v>
          </cell>
          <cell r="P231">
            <v>70.71988318195298</v>
          </cell>
        </row>
        <row r="232">
          <cell r="A232" t="str">
            <v>2.10 MW</v>
          </cell>
          <cell r="H232">
            <v>81.359174104336901</v>
          </cell>
          <cell r="I232">
            <v>93.037253254074002</v>
          </cell>
          <cell r="J232">
            <v>94.432812052885112</v>
          </cell>
          <cell r="K232">
            <v>95.377140173413963</v>
          </cell>
          <cell r="L232">
            <v>96.092468724714578</v>
          </cell>
          <cell r="M232">
            <v>96.81316224014995</v>
          </cell>
          <cell r="N232">
            <v>97.539260956951068</v>
          </cell>
          <cell r="O232">
            <v>98.270805414128219</v>
          </cell>
          <cell r="P232">
            <v>99.007836454734175</v>
          </cell>
        </row>
        <row r="234">
          <cell r="A234" t="str">
            <v>Revenues</v>
          </cell>
        </row>
        <row r="235">
          <cell r="A235" t="str">
            <v>1.25 MW</v>
          </cell>
          <cell r="H235">
            <v>3000</v>
          </cell>
          <cell r="I235">
            <v>5925.586963205903</v>
          </cell>
          <cell r="J235">
            <v>22554.265378702472</v>
          </cell>
          <cell r="K235">
            <v>36675.490932308086</v>
          </cell>
          <cell r="L235">
            <v>49883.252104305539</v>
          </cell>
          <cell r="M235">
            <v>62821.720618859785</v>
          </cell>
          <cell r="N235">
            <v>79116.104404376543</v>
          </cell>
          <cell r="O235">
            <v>95651.370224891245</v>
          </cell>
          <cell r="P235">
            <v>106005.63105173573</v>
          </cell>
        </row>
        <row r="236">
          <cell r="A236" t="str">
            <v>1.50 MW</v>
          </cell>
          <cell r="H236">
            <v>0</v>
          </cell>
          <cell r="I236">
            <v>0</v>
          </cell>
          <cell r="J236">
            <v>0</v>
          </cell>
          <cell r="K236">
            <v>0</v>
          </cell>
          <cell r="L236">
            <v>0</v>
          </cell>
          <cell r="M236">
            <v>0</v>
          </cell>
          <cell r="N236">
            <v>0</v>
          </cell>
          <cell r="O236">
            <v>0</v>
          </cell>
          <cell r="P236">
            <v>0</v>
          </cell>
        </row>
        <row r="237">
          <cell r="A237" t="str">
            <v>2.10 MW</v>
          </cell>
          <cell r="H237">
            <v>0</v>
          </cell>
          <cell r="I237">
            <v>0</v>
          </cell>
          <cell r="J237">
            <v>0</v>
          </cell>
          <cell r="K237">
            <v>0</v>
          </cell>
          <cell r="L237">
            <v>0</v>
          </cell>
          <cell r="M237">
            <v>0</v>
          </cell>
          <cell r="N237">
            <v>0</v>
          </cell>
          <cell r="O237">
            <v>0</v>
          </cell>
          <cell r="P237">
            <v>0</v>
          </cell>
        </row>
        <row r="238">
          <cell r="A238" t="str">
            <v>Total</v>
          </cell>
          <cell r="H238">
            <v>3000</v>
          </cell>
          <cell r="I238">
            <v>5925.586963205903</v>
          </cell>
          <cell r="J238">
            <v>22554.265378702472</v>
          </cell>
          <cell r="K238">
            <v>36675.490932308086</v>
          </cell>
          <cell r="L238">
            <v>49883.252104305539</v>
          </cell>
          <cell r="M238">
            <v>62821.720618859785</v>
          </cell>
          <cell r="N238">
            <v>79116.104404376543</v>
          </cell>
          <cell r="O238">
            <v>95651.370224891245</v>
          </cell>
          <cell r="P238">
            <v>106005.63105173573</v>
          </cell>
        </row>
        <row r="239">
          <cell r="A239" t="str">
            <v>Reported / Actuals</v>
          </cell>
          <cell r="H239">
            <v>3000</v>
          </cell>
        </row>
        <row r="240">
          <cell r="A240" t="str">
            <v>Technical Revenue</v>
          </cell>
          <cell r="H240">
            <v>142.90000000000009</v>
          </cell>
          <cell r="I240">
            <v>177.76760889617708</v>
          </cell>
          <cell r="J240">
            <v>608.96516522496677</v>
          </cell>
          <cell r="K240">
            <v>891.21442965508641</v>
          </cell>
          <cell r="L240">
            <v>1090.9467235211621</v>
          </cell>
          <cell r="M240">
            <v>1236.5199269410173</v>
          </cell>
          <cell r="N240">
            <v>1401.5180546922095</v>
          </cell>
          <cell r="O240">
            <v>1524.991795310593</v>
          </cell>
          <cell r="P240">
            <v>1521.0649414376685</v>
          </cell>
        </row>
        <row r="241">
          <cell r="A241" t="str">
            <v>% of WTG Revenues</v>
          </cell>
          <cell r="H241">
            <v>4.7633333333333361E-2</v>
          </cell>
          <cell r="I241">
            <v>0.03</v>
          </cell>
          <cell r="J241">
            <v>2.7E-2</v>
          </cell>
          <cell r="K241">
            <v>2.4299999999999999E-2</v>
          </cell>
          <cell r="L241">
            <v>2.1870000000000001E-2</v>
          </cell>
          <cell r="M241">
            <v>1.9683000000000003E-2</v>
          </cell>
          <cell r="N241">
            <v>1.7714700000000003E-2</v>
          </cell>
          <cell r="O241">
            <v>1.5943230000000003E-2</v>
          </cell>
          <cell r="P241">
            <v>1.4348907000000003E-2</v>
          </cell>
        </row>
        <row r="243">
          <cell r="A243" t="str">
            <v>EUROPE</v>
          </cell>
        </row>
        <row r="244">
          <cell r="A244" t="str">
            <v>No of turbines</v>
          </cell>
          <cell r="I244">
            <v>0.74401360544217676</v>
          </cell>
          <cell r="J244">
            <v>0.90538079470198674</v>
          </cell>
          <cell r="K244">
            <v>1.02534375</v>
          </cell>
          <cell r="L244">
            <v>1.0714121178375535</v>
          </cell>
          <cell r="M244">
            <v>1.1195503227567845</v>
          </cell>
          <cell r="N244">
            <v>1.2165095338983052</v>
          </cell>
          <cell r="O244">
            <v>1.2165095338983052</v>
          </cell>
          <cell r="P244">
            <v>1.2165095338983052</v>
          </cell>
        </row>
        <row r="245">
          <cell r="A245" t="str">
            <v>1.25 MW</v>
          </cell>
          <cell r="H245">
            <v>0</v>
          </cell>
          <cell r="I245">
            <v>0</v>
          </cell>
          <cell r="J245">
            <v>0</v>
          </cell>
          <cell r="K245">
            <v>0</v>
          </cell>
          <cell r="L245">
            <v>0</v>
          </cell>
          <cell r="M245">
            <v>0</v>
          </cell>
          <cell r="N245">
            <v>0</v>
          </cell>
          <cell r="O245">
            <v>0</v>
          </cell>
          <cell r="P245">
            <v>0</v>
          </cell>
        </row>
        <row r="246">
          <cell r="A246" t="str">
            <v>1.50 MW</v>
          </cell>
          <cell r="I246">
            <v>0</v>
          </cell>
          <cell r="J246">
            <v>0</v>
          </cell>
          <cell r="K246">
            <v>0</v>
          </cell>
          <cell r="L246">
            <v>0</v>
          </cell>
          <cell r="M246">
            <v>0</v>
          </cell>
          <cell r="N246">
            <v>0</v>
          </cell>
          <cell r="O246">
            <v>0</v>
          </cell>
          <cell r="P246">
            <v>0</v>
          </cell>
        </row>
        <row r="247">
          <cell r="A247" t="str">
            <v>2.10 MW</v>
          </cell>
          <cell r="H247">
            <v>5</v>
          </cell>
          <cell r="I247">
            <v>142</v>
          </cell>
          <cell r="J247">
            <v>106.5</v>
          </cell>
          <cell r="K247">
            <v>170.4</v>
          </cell>
          <cell r="L247">
            <v>243.672</v>
          </cell>
          <cell r="M247">
            <v>337.24204799999995</v>
          </cell>
          <cell r="N247">
            <v>440.84280514559993</v>
          </cell>
          <cell r="O247">
            <v>549.18433293818259</v>
          </cell>
          <cell r="P247">
            <v>657.15836626849284</v>
          </cell>
        </row>
        <row r="248">
          <cell r="A248" t="str">
            <v>Total MW</v>
          </cell>
          <cell r="F248">
            <v>0</v>
          </cell>
          <cell r="G248">
            <v>0</v>
          </cell>
          <cell r="H248">
            <v>10.5</v>
          </cell>
          <cell r="I248">
            <v>298.2</v>
          </cell>
          <cell r="J248">
            <v>223.65</v>
          </cell>
          <cell r="K248">
            <v>357.84000000000003</v>
          </cell>
          <cell r="L248">
            <v>511.71120000000002</v>
          </cell>
          <cell r="M248">
            <v>708.20830079999996</v>
          </cell>
          <cell r="N248">
            <v>925.76989080575993</v>
          </cell>
          <cell r="O248">
            <v>1153.2870991701834</v>
          </cell>
          <cell r="P248">
            <v>1380.032569163835</v>
          </cell>
          <cell r="U248">
            <v>198</v>
          </cell>
        </row>
        <row r="249">
          <cell r="G249">
            <v>185.1</v>
          </cell>
          <cell r="I249">
            <v>5</v>
          </cell>
          <cell r="J249">
            <v>-0.25</v>
          </cell>
          <cell r="K249">
            <v>0.6</v>
          </cell>
          <cell r="L249">
            <v>0.43</v>
          </cell>
          <cell r="M249">
            <v>0.38400000000000001</v>
          </cell>
          <cell r="N249">
            <v>0.30720000000000003</v>
          </cell>
          <cell r="O249">
            <v>0.24576000000000003</v>
          </cell>
          <cell r="P249">
            <v>0.19660800000000003</v>
          </cell>
        </row>
        <row r="250">
          <cell r="A250" t="str">
            <v>Realization (Rs Million / MW)</v>
          </cell>
          <cell r="H250">
            <v>43.80952380952381</v>
          </cell>
          <cell r="I250">
            <v>44.043298999999998</v>
          </cell>
          <cell r="J250">
            <v>54.021944374999997</v>
          </cell>
          <cell r="K250">
            <v>55.266028124999998</v>
          </cell>
          <cell r="L250">
            <v>54.281646857812504</v>
          </cell>
          <cell r="M250">
            <v>53.467422154945318</v>
          </cell>
          <cell r="N250">
            <v>57.641670112947544</v>
          </cell>
          <cell r="O250">
            <v>56.777045061253332</v>
          </cell>
          <cell r="P250">
            <v>55.92538938533454</v>
          </cell>
        </row>
        <row r="251">
          <cell r="A251" t="str">
            <v xml:space="preserve">Realization (US$/MW) </v>
          </cell>
          <cell r="H251">
            <v>0.96838027872510624</v>
          </cell>
          <cell r="I251">
            <v>1.0936999999999999</v>
          </cell>
          <cell r="J251">
            <v>1.3671249999999999</v>
          </cell>
          <cell r="K251">
            <v>1.43548125</v>
          </cell>
          <cell r="L251">
            <v>1.43548125</v>
          </cell>
          <cell r="M251">
            <v>1.43548125</v>
          </cell>
          <cell r="N251">
            <v>1.43548125</v>
          </cell>
          <cell r="O251">
            <v>1.43548125</v>
          </cell>
          <cell r="P251">
            <v>1.43548125</v>
          </cell>
        </row>
        <row r="252">
          <cell r="A252" t="str">
            <v>Change in YoY Realization</v>
          </cell>
          <cell r="I252">
            <v>7.4999999999999997E-2</v>
          </cell>
          <cell r="J252">
            <v>0.25</v>
          </cell>
          <cell r="K252">
            <v>0.05</v>
          </cell>
          <cell r="L252">
            <v>0</v>
          </cell>
          <cell r="M252">
            <v>0</v>
          </cell>
          <cell r="N252">
            <v>0</v>
          </cell>
          <cell r="O252">
            <v>0</v>
          </cell>
          <cell r="P252">
            <v>0</v>
          </cell>
        </row>
        <row r="253">
          <cell r="A253" t="str">
            <v>Revenue per turbine (US$ m)</v>
          </cell>
        </row>
        <row r="254">
          <cell r="A254" t="str">
            <v>1.25 MW</v>
          </cell>
          <cell r="H254">
            <v>1.2104753484063828</v>
          </cell>
          <cell r="I254">
            <v>1.3671249999999999</v>
          </cell>
          <cell r="J254">
            <v>1.7089062499999998</v>
          </cell>
          <cell r="K254">
            <v>1.7943515625000002</v>
          </cell>
          <cell r="L254">
            <v>1.7943515625000002</v>
          </cell>
          <cell r="M254">
            <v>1.7943515625000002</v>
          </cell>
          <cell r="N254">
            <v>1.7943515625000002</v>
          </cell>
          <cell r="O254">
            <v>1.7943515625000002</v>
          </cell>
          <cell r="P254">
            <v>1.7943515625000002</v>
          </cell>
        </row>
        <row r="255">
          <cell r="A255" t="str">
            <v>1.50 MW</v>
          </cell>
          <cell r="H255">
            <v>1.4525704180876593</v>
          </cell>
          <cell r="I255">
            <v>1.6405499999999997</v>
          </cell>
          <cell r="J255">
            <v>2.0506875</v>
          </cell>
          <cell r="K255">
            <v>2.1532218749999998</v>
          </cell>
          <cell r="L255">
            <v>2.1532218749999998</v>
          </cell>
          <cell r="M255">
            <v>2.1532218749999998</v>
          </cell>
          <cell r="N255">
            <v>2.1532218749999998</v>
          </cell>
          <cell r="O255">
            <v>2.1532218749999998</v>
          </cell>
          <cell r="P255">
            <v>2.1532218749999998</v>
          </cell>
        </row>
        <row r="256">
          <cell r="A256" t="str">
            <v>2.10 MW</v>
          </cell>
          <cell r="H256">
            <v>2.0335985853227232</v>
          </cell>
          <cell r="I256">
            <v>2.29677</v>
          </cell>
          <cell r="J256">
            <v>2.8709625000000001</v>
          </cell>
          <cell r="K256">
            <v>3.0145106250000002</v>
          </cell>
          <cell r="L256">
            <v>3.0145106250000002</v>
          </cell>
          <cell r="M256">
            <v>3.0145106250000002</v>
          </cell>
          <cell r="N256">
            <v>3.0145106250000002</v>
          </cell>
          <cell r="O256">
            <v>3.0145106250000002</v>
          </cell>
          <cell r="P256">
            <v>3.0145106250000002</v>
          </cell>
        </row>
        <row r="259">
          <cell r="A259" t="str">
            <v>Total Revenue (Rs m)</v>
          </cell>
        </row>
        <row r="260">
          <cell r="A260" t="str">
            <v>1.25 MW</v>
          </cell>
          <cell r="H260">
            <v>0</v>
          </cell>
          <cell r="I260">
            <v>0</v>
          </cell>
          <cell r="J260">
            <v>0</v>
          </cell>
          <cell r="K260">
            <v>0</v>
          </cell>
          <cell r="L260">
            <v>0</v>
          </cell>
          <cell r="M260">
            <v>0</v>
          </cell>
          <cell r="N260">
            <v>0</v>
          </cell>
          <cell r="O260">
            <v>0</v>
          </cell>
          <cell r="P260">
            <v>0</v>
          </cell>
        </row>
        <row r="261">
          <cell r="A261" t="str">
            <v>1.50 MW</v>
          </cell>
          <cell r="H261">
            <v>0</v>
          </cell>
          <cell r="I261">
            <v>0</v>
          </cell>
          <cell r="J261">
            <v>0</v>
          </cell>
          <cell r="K261">
            <v>0</v>
          </cell>
          <cell r="L261">
            <v>0</v>
          </cell>
          <cell r="M261">
            <v>0</v>
          </cell>
          <cell r="N261">
            <v>0</v>
          </cell>
          <cell r="O261">
            <v>0</v>
          </cell>
          <cell r="P261">
            <v>0</v>
          </cell>
        </row>
        <row r="262">
          <cell r="A262" t="str">
            <v>2.10 MW</v>
          </cell>
          <cell r="H262">
            <v>460</v>
          </cell>
          <cell r="I262">
            <v>13133.711761800001</v>
          </cell>
          <cell r="J262">
            <v>12082.007859468751</v>
          </cell>
          <cell r="K262">
            <v>19776.395504250002</v>
          </cell>
          <cell r="L262">
            <v>27776.526651587468</v>
          </cell>
          <cell r="M262">
            <v>37866.072192510095</v>
          </cell>
          <cell r="N262">
            <v>53362.922646325089</v>
          </cell>
          <cell r="O262">
            <v>65480.233598147643</v>
          </cell>
          <cell r="P262">
            <v>77178.85879493109</v>
          </cell>
        </row>
        <row r="263">
          <cell r="A263" t="str">
            <v>Total Revenue</v>
          </cell>
          <cell r="H263">
            <v>460</v>
          </cell>
          <cell r="I263">
            <v>13133.711761800001</v>
          </cell>
          <cell r="J263">
            <v>12082.007859468751</v>
          </cell>
          <cell r="K263">
            <v>19776.395504250002</v>
          </cell>
          <cell r="L263">
            <v>27776.526651587468</v>
          </cell>
          <cell r="M263">
            <v>37866.072192510095</v>
          </cell>
          <cell r="N263">
            <v>53362.922646325089</v>
          </cell>
          <cell r="O263">
            <v>65480.233598147643</v>
          </cell>
          <cell r="P263">
            <v>77178.85879493109</v>
          </cell>
        </row>
        <row r="264">
          <cell r="A264" t="str">
            <v>Reported / Actuals</v>
          </cell>
          <cell r="H264">
            <v>460</v>
          </cell>
        </row>
        <row r="265">
          <cell r="J265">
            <v>0.90538079470198674</v>
          </cell>
          <cell r="K265">
            <v>1.02534375</v>
          </cell>
          <cell r="L265">
            <v>1.0714121178375535</v>
          </cell>
          <cell r="M265">
            <v>1.1195503227567845</v>
          </cell>
          <cell r="N265">
            <v>1.2165095338983052</v>
          </cell>
          <cell r="O265">
            <v>1.2165095338983052</v>
          </cell>
          <cell r="P265">
            <v>1.2165095338983052</v>
          </cell>
        </row>
        <row r="266">
          <cell r="A266" t="str">
            <v>AUSTRALIA</v>
          </cell>
        </row>
        <row r="267">
          <cell r="A267" t="str">
            <v>No of turbines</v>
          </cell>
        </row>
        <row r="268">
          <cell r="A268" t="str">
            <v>1.25 MW</v>
          </cell>
          <cell r="H268">
            <v>0</v>
          </cell>
          <cell r="I268">
            <v>0</v>
          </cell>
          <cell r="J268">
            <v>0</v>
          </cell>
          <cell r="K268">
            <v>0</v>
          </cell>
          <cell r="L268">
            <v>0</v>
          </cell>
          <cell r="M268">
            <v>0</v>
          </cell>
          <cell r="N268">
            <v>0</v>
          </cell>
          <cell r="O268">
            <v>0</v>
          </cell>
          <cell r="P268">
            <v>0</v>
          </cell>
        </row>
        <row r="269">
          <cell r="A269" t="str">
            <v>1.50 MW</v>
          </cell>
          <cell r="H269">
            <v>0</v>
          </cell>
          <cell r="I269">
            <v>0</v>
          </cell>
          <cell r="J269">
            <v>0</v>
          </cell>
          <cell r="K269">
            <v>0</v>
          </cell>
          <cell r="L269">
            <v>0</v>
          </cell>
          <cell r="M269">
            <v>0</v>
          </cell>
          <cell r="N269">
            <v>0</v>
          </cell>
          <cell r="O269">
            <v>0</v>
          </cell>
          <cell r="P269">
            <v>0</v>
          </cell>
        </row>
        <row r="270">
          <cell r="A270" t="str">
            <v>2.10 MW</v>
          </cell>
          <cell r="H270">
            <v>1</v>
          </cell>
          <cell r="I270">
            <v>68</v>
          </cell>
          <cell r="J270">
            <v>153</v>
          </cell>
          <cell r="K270">
            <v>214.2</v>
          </cell>
          <cell r="L270">
            <v>272.03399999999999</v>
          </cell>
          <cell r="M270">
            <v>341.67470399999996</v>
          </cell>
          <cell r="N270">
            <v>420.39655580159996</v>
          </cell>
          <cell r="O270">
            <v>507.56998561261975</v>
          </cell>
          <cell r="P270">
            <v>602.29472660758938</v>
          </cell>
        </row>
        <row r="271">
          <cell r="A271" t="str">
            <v>Total (MW)</v>
          </cell>
          <cell r="G271">
            <v>0.30000000000001137</v>
          </cell>
          <cell r="H271">
            <v>2.1</v>
          </cell>
          <cell r="I271">
            <v>142.80000000000001</v>
          </cell>
          <cell r="J271">
            <v>321.3</v>
          </cell>
          <cell r="K271">
            <v>449.82</v>
          </cell>
          <cell r="L271">
            <v>571.27139999999997</v>
          </cell>
          <cell r="M271">
            <v>717.5168784</v>
          </cell>
          <cell r="N271">
            <v>882.83276718335992</v>
          </cell>
          <cell r="O271">
            <v>1065.8969697865016</v>
          </cell>
          <cell r="P271">
            <v>1264.8189258759378</v>
          </cell>
        </row>
        <row r="272">
          <cell r="A272" t="str">
            <v>YoY Growth</v>
          </cell>
          <cell r="G272">
            <v>0.24000000000000909</v>
          </cell>
          <cell r="J272">
            <v>1.25</v>
          </cell>
          <cell r="K272">
            <v>0.4</v>
          </cell>
          <cell r="L272">
            <v>0.27</v>
          </cell>
          <cell r="M272">
            <v>0.25600000000000006</v>
          </cell>
          <cell r="N272">
            <v>0.23040000000000005</v>
          </cell>
          <cell r="O272">
            <v>0.20736000000000004</v>
          </cell>
          <cell r="P272">
            <v>0.18662400000000004</v>
          </cell>
        </row>
        <row r="274">
          <cell r="A274" t="str">
            <v>Realization (Rs Million / MW)</v>
          </cell>
          <cell r="H274">
            <v>64.693200000000004</v>
          </cell>
          <cell r="I274">
            <v>52.811809609999997</v>
          </cell>
          <cell r="J274">
            <v>54.412753652250004</v>
          </cell>
          <cell r="K274">
            <v>55.66583743875001</v>
          </cell>
          <cell r="L274">
            <v>57.408051637315985</v>
          </cell>
          <cell r="M274">
            <v>57.677869480011374</v>
          </cell>
          <cell r="N274">
            <v>62.180830707525651</v>
          </cell>
          <cell r="O274">
            <v>61.24811824691276</v>
          </cell>
          <cell r="P274">
            <v>60.32939647320908</v>
          </cell>
        </row>
        <row r="275">
          <cell r="A275" t="str">
            <v xml:space="preserve">Realization (US$/MW) </v>
          </cell>
          <cell r="H275">
            <v>1.43</v>
          </cell>
          <cell r="I275">
            <v>1.3114429999999999</v>
          </cell>
          <cell r="J275">
            <v>1.3770151500000001</v>
          </cell>
          <cell r="K275">
            <v>1.4458659075000002</v>
          </cell>
          <cell r="L275">
            <v>1.5181592028750004</v>
          </cell>
          <cell r="M275">
            <v>1.5485223869325004</v>
          </cell>
          <cell r="N275">
            <v>1.5485223869325004</v>
          </cell>
          <cell r="O275">
            <v>1.5485223869325004</v>
          </cell>
          <cell r="P275">
            <v>1.5485223869325004</v>
          </cell>
        </row>
        <row r="276">
          <cell r="A276" t="str">
            <v>Change in YoY Realization</v>
          </cell>
          <cell r="J276">
            <v>0.05</v>
          </cell>
          <cell r="K276">
            <v>0.05</v>
          </cell>
          <cell r="L276">
            <v>0.05</v>
          </cell>
          <cell r="M276">
            <v>0.02</v>
          </cell>
          <cell r="N276">
            <v>0</v>
          </cell>
          <cell r="O276">
            <v>0</v>
          </cell>
          <cell r="P276">
            <v>0</v>
          </cell>
        </row>
        <row r="277">
          <cell r="A277" t="str">
            <v>Revenue per turbine (US$ m)</v>
          </cell>
        </row>
        <row r="278">
          <cell r="A278" t="str">
            <v>1.25 MW</v>
          </cell>
          <cell r="H278">
            <v>1.7874999999999999</v>
          </cell>
          <cell r="I278">
            <v>1.6393037499999998</v>
          </cell>
          <cell r="J278">
            <v>1.7212689375000001</v>
          </cell>
          <cell r="K278">
            <v>1.8073323843750002</v>
          </cell>
          <cell r="L278">
            <v>1.8976990035937504</v>
          </cell>
          <cell r="M278">
            <v>1.9356529836656255</v>
          </cell>
          <cell r="N278">
            <v>1.9356529836656255</v>
          </cell>
          <cell r="O278">
            <v>1.9356529836656255</v>
          </cell>
          <cell r="P278">
            <v>1.9356529836656255</v>
          </cell>
        </row>
        <row r="279">
          <cell r="A279" t="str">
            <v>1.50 MW</v>
          </cell>
          <cell r="H279">
            <v>2.145</v>
          </cell>
          <cell r="I279">
            <v>1.9671645</v>
          </cell>
          <cell r="J279">
            <v>2.0655227250000001</v>
          </cell>
          <cell r="K279">
            <v>2.1687988612500004</v>
          </cell>
          <cell r="L279">
            <v>2.2772388043125007</v>
          </cell>
          <cell r="M279">
            <v>2.3227835803987507</v>
          </cell>
          <cell r="N279">
            <v>2.3227835803987507</v>
          </cell>
          <cell r="O279">
            <v>2.3227835803987507</v>
          </cell>
          <cell r="P279">
            <v>2.3227835803987507</v>
          </cell>
        </row>
        <row r="280">
          <cell r="A280" t="str">
            <v>2.10 MW</v>
          </cell>
          <cell r="H280">
            <v>3.0030000000000001</v>
          </cell>
          <cell r="I280">
            <v>2.7540303000000002</v>
          </cell>
          <cell r="J280">
            <v>2.8917318150000004</v>
          </cell>
          <cell r="K280">
            <v>3.0363184057500008</v>
          </cell>
          <cell r="L280">
            <v>3.1881343260375008</v>
          </cell>
          <cell r="M280">
            <v>3.2518970125582509</v>
          </cell>
          <cell r="N280">
            <v>3.2518970125582509</v>
          </cell>
          <cell r="O280">
            <v>3.2518970125582509</v>
          </cell>
          <cell r="P280">
            <v>3.2518970125582509</v>
          </cell>
        </row>
        <row r="282">
          <cell r="A282" t="str">
            <v>Total Revenue (Rs m)</v>
          </cell>
        </row>
        <row r="283">
          <cell r="A283" t="str">
            <v>1.25 MW</v>
          </cell>
          <cell r="H283">
            <v>0</v>
          </cell>
          <cell r="I283">
            <v>0</v>
          </cell>
          <cell r="J283">
            <v>0</v>
          </cell>
          <cell r="K283">
            <v>0</v>
          </cell>
          <cell r="L283">
            <v>0</v>
          </cell>
          <cell r="M283">
            <v>0</v>
          </cell>
          <cell r="N283">
            <v>0</v>
          </cell>
          <cell r="O283">
            <v>0</v>
          </cell>
          <cell r="P283">
            <v>0</v>
          </cell>
        </row>
        <row r="284">
          <cell r="A284" t="str">
            <v>1.50 MW</v>
          </cell>
          <cell r="H284">
            <v>0</v>
          </cell>
          <cell r="I284">
            <v>0</v>
          </cell>
          <cell r="J284">
            <v>0</v>
          </cell>
          <cell r="K284">
            <v>0</v>
          </cell>
          <cell r="L284">
            <v>0</v>
          </cell>
          <cell r="M284">
            <v>0</v>
          </cell>
          <cell r="N284">
            <v>0</v>
          </cell>
          <cell r="O284">
            <v>0</v>
          </cell>
          <cell r="P284">
            <v>0</v>
          </cell>
        </row>
        <row r="285">
          <cell r="A285" t="str">
            <v>2.10 MW</v>
          </cell>
          <cell r="H285">
            <v>135.85572000000002</v>
          </cell>
          <cell r="I285">
            <v>7541.5264123080005</v>
          </cell>
          <cell r="J285">
            <v>17482.817748467929</v>
          </cell>
          <cell r="K285">
            <v>25039.606996698531</v>
          </cell>
          <cell r="L285">
            <v>32795.578030121796</v>
          </cell>
          <cell r="M285">
            <v>41384.844862060381</v>
          </cell>
          <cell r="N285">
            <v>54895.27483928491</v>
          </cell>
          <cell r="O285">
            <v>65284.183644509641</v>
          </cell>
          <cell r="P285">
            <v>76305.762445987901</v>
          </cell>
        </row>
        <row r="286">
          <cell r="A286" t="str">
            <v>Total Revenue</v>
          </cell>
          <cell r="H286">
            <v>135.85572000000002</v>
          </cell>
          <cell r="I286">
            <v>7541.5264123080005</v>
          </cell>
          <cell r="J286">
            <v>17482.817748467929</v>
          </cell>
          <cell r="K286">
            <v>25039.606996698531</v>
          </cell>
          <cell r="L286">
            <v>32795.578030121796</v>
          </cell>
          <cell r="M286">
            <v>41384.844862060381</v>
          </cell>
          <cell r="N286">
            <v>54895.27483928491</v>
          </cell>
          <cell r="O286">
            <v>65284.183644509641</v>
          </cell>
          <cell r="P286">
            <v>76305.762445987901</v>
          </cell>
        </row>
        <row r="288">
          <cell r="A288" t="str">
            <v>REST OF THE WORLD (Ex. Australia)</v>
          </cell>
        </row>
        <row r="289">
          <cell r="A289" t="str">
            <v>Revenues (Rs Million)</v>
          </cell>
          <cell r="H289">
            <v>584.14427999999998</v>
          </cell>
          <cell r="I289">
            <v>6750.709818557938</v>
          </cell>
          <cell r="J289">
            <v>9472.5266160132414</v>
          </cell>
          <cell r="K289">
            <v>16021.910386128331</v>
          </cell>
          <cell r="L289">
            <v>23853.436891431549</v>
          </cell>
          <cell r="M289">
            <v>32683.368580655093</v>
          </cell>
          <cell r="N289">
            <v>46605.176992143126</v>
          </cell>
          <cell r="O289">
            <v>58697.374856595379</v>
          </cell>
          <cell r="P289">
            <v>72316.008717628458</v>
          </cell>
        </row>
        <row r="290">
          <cell r="I290">
            <v>10.55657951244158</v>
          </cell>
          <cell r="J290">
            <v>0.4031897193940901</v>
          </cell>
          <cell r="K290">
            <v>0.69140832595217017</v>
          </cell>
          <cell r="L290">
            <v>0.48880104285714299</v>
          </cell>
          <cell r="M290">
            <v>0.37017440000000024</v>
          </cell>
          <cell r="N290">
            <v>0.42596002236220509</v>
          </cell>
          <cell r="O290">
            <v>0.25946040000000004</v>
          </cell>
          <cell r="P290">
            <v>0.2320143600000002</v>
          </cell>
        </row>
        <row r="291">
          <cell r="A291" t="str">
            <v>Sales (MW)</v>
          </cell>
          <cell r="H291">
            <v>14.700000000000001</v>
          </cell>
          <cell r="I291">
            <v>168</v>
          </cell>
          <cell r="J291">
            <v>218.4</v>
          </cell>
          <cell r="K291">
            <v>349.44000000000005</v>
          </cell>
          <cell r="L291">
            <v>499.69920000000002</v>
          </cell>
          <cell r="M291">
            <v>671.59572480000008</v>
          </cell>
          <cell r="N291">
            <v>879.52176119808018</v>
          </cell>
          <cell r="O291">
            <v>1124.5917047383132</v>
          </cell>
          <cell r="P291">
            <v>1406.6123140857685</v>
          </cell>
        </row>
        <row r="292">
          <cell r="I292">
            <v>10.428571428571427</v>
          </cell>
          <cell r="J292">
            <v>0.30000000000000004</v>
          </cell>
          <cell r="K292">
            <v>0.60000000000000031</v>
          </cell>
          <cell r="L292">
            <v>0.42999999999999994</v>
          </cell>
          <cell r="M292">
            <v>0.34400000000000008</v>
          </cell>
          <cell r="N292">
            <v>0.3096000000000001</v>
          </cell>
          <cell r="O292">
            <v>0.27864</v>
          </cell>
          <cell r="P292">
            <v>0.25077600000000011</v>
          </cell>
        </row>
        <row r="293">
          <cell r="A293" t="str">
            <v>Realization (Rs million / MW)</v>
          </cell>
          <cell r="H293">
            <v>39.737706122448976</v>
          </cell>
          <cell r="I293">
            <v>40.182796539035344</v>
          </cell>
          <cell r="J293">
            <v>43.372374615445246</v>
          </cell>
          <cell r="K293">
            <v>45.850247213050388</v>
          </cell>
          <cell r="L293">
            <v>47.735591514718351</v>
          </cell>
          <cell r="M293">
            <v>48.665242159467496</v>
          </cell>
          <cell r="N293">
            <v>52.989225563512818</v>
          </cell>
          <cell r="O293">
            <v>52.194387180060126</v>
          </cell>
          <cell r="P293">
            <v>51.41147137235923</v>
          </cell>
        </row>
        <row r="295">
          <cell r="A295" t="str">
            <v>No of turbines</v>
          </cell>
        </row>
        <row r="296">
          <cell r="A296" t="str">
            <v>1.25 MW</v>
          </cell>
          <cell r="H296">
            <v>0</v>
          </cell>
          <cell r="I296">
            <v>0</v>
          </cell>
          <cell r="J296">
            <v>0</v>
          </cell>
          <cell r="K296">
            <v>0</v>
          </cell>
          <cell r="L296">
            <v>0</v>
          </cell>
          <cell r="M296">
            <v>0</v>
          </cell>
          <cell r="N296">
            <v>0</v>
          </cell>
          <cell r="O296">
            <v>0</v>
          </cell>
          <cell r="P296">
            <v>0</v>
          </cell>
        </row>
        <row r="297">
          <cell r="A297" t="str">
            <v>1.50 MW</v>
          </cell>
          <cell r="H297">
            <v>0</v>
          </cell>
          <cell r="I297">
            <v>0</v>
          </cell>
          <cell r="J297">
            <v>0</v>
          </cell>
          <cell r="K297">
            <v>0</v>
          </cell>
          <cell r="L297">
            <v>0</v>
          </cell>
          <cell r="M297">
            <v>0</v>
          </cell>
          <cell r="N297">
            <v>0</v>
          </cell>
          <cell r="O297">
            <v>0</v>
          </cell>
          <cell r="P297">
            <v>0</v>
          </cell>
        </row>
        <row r="298">
          <cell r="A298" t="str">
            <v>2.10 MW</v>
          </cell>
          <cell r="H298">
            <v>7</v>
          </cell>
          <cell r="I298">
            <v>80</v>
          </cell>
          <cell r="J298">
            <v>104</v>
          </cell>
          <cell r="K298">
            <v>166.4</v>
          </cell>
          <cell r="L298">
            <v>237.952</v>
          </cell>
          <cell r="M298">
            <v>319.80748800000003</v>
          </cell>
          <cell r="N298">
            <v>418.81988628480008</v>
          </cell>
          <cell r="O298">
            <v>535.51985939919678</v>
          </cell>
          <cell r="P298">
            <v>669.81538765988978</v>
          </cell>
        </row>
        <row r="299">
          <cell r="A299" t="str">
            <v>Total</v>
          </cell>
          <cell r="H299">
            <v>14.700000000000001</v>
          </cell>
          <cell r="I299">
            <v>168</v>
          </cell>
          <cell r="J299">
            <v>218.4</v>
          </cell>
          <cell r="K299">
            <v>349.44000000000005</v>
          </cell>
          <cell r="L299">
            <v>499.69920000000002</v>
          </cell>
          <cell r="M299">
            <v>671.59572480000008</v>
          </cell>
          <cell r="N299">
            <v>879.52176119808018</v>
          </cell>
          <cell r="O299">
            <v>1124.5917047383132</v>
          </cell>
          <cell r="P299">
            <v>1406.6123140857685</v>
          </cell>
        </row>
        <row r="300">
          <cell r="A300" t="str">
            <v>YoY Growth</v>
          </cell>
          <cell r="J300">
            <v>0.3</v>
          </cell>
          <cell r="K300">
            <v>0.6</v>
          </cell>
          <cell r="L300">
            <v>0.43</v>
          </cell>
          <cell r="M300">
            <v>0.34400000000000003</v>
          </cell>
          <cell r="N300">
            <v>0.30960000000000004</v>
          </cell>
          <cell r="O300">
            <v>0.27864000000000005</v>
          </cell>
          <cell r="P300">
            <v>0.25077600000000005</v>
          </cell>
        </row>
        <row r="302">
          <cell r="A302" t="str">
            <v>Realization (Rs Million / MW)</v>
          </cell>
          <cell r="H302">
            <v>39.737706122448976</v>
          </cell>
          <cell r="I302">
            <v>40.270000000000003</v>
          </cell>
          <cell r="J302">
            <v>43.466500000000003</v>
          </cell>
          <cell r="K302">
            <v>45.949750000000002</v>
          </cell>
          <cell r="L302">
            <v>47.83918581750001</v>
          </cell>
          <cell r="M302">
            <v>48.770853961295821</v>
          </cell>
          <cell r="N302">
            <v>53.104221140251383</v>
          </cell>
          <cell r="O302">
            <v>52.307657823147615</v>
          </cell>
          <cell r="P302">
            <v>51.523042955800406</v>
          </cell>
        </row>
        <row r="303">
          <cell r="A303" t="str">
            <v xml:space="preserve">Realization (US$/MW) </v>
          </cell>
          <cell r="H303">
            <v>0.87837546689763424</v>
          </cell>
          <cell r="I303">
            <v>1</v>
          </cell>
          <cell r="J303">
            <v>1.1000000000000001</v>
          </cell>
          <cell r="K303">
            <v>1.1935</v>
          </cell>
          <cell r="L303">
            <v>1.2651100000000002</v>
          </cell>
          <cell r="M303">
            <v>1.3093888500000002</v>
          </cell>
          <cell r="N303">
            <v>1.3224827385000002</v>
          </cell>
          <cell r="O303">
            <v>1.3224827385000002</v>
          </cell>
          <cell r="P303">
            <v>1.3224827385000002</v>
          </cell>
        </row>
        <row r="304">
          <cell r="A304" t="str">
            <v>Change in YoY Realization</v>
          </cell>
          <cell r="I304">
            <v>0.13600000000000001</v>
          </cell>
          <cell r="J304">
            <v>0.1</v>
          </cell>
          <cell r="K304">
            <v>8.5000000000000006E-2</v>
          </cell>
          <cell r="L304">
            <v>6.0000000000000005E-2</v>
          </cell>
          <cell r="M304">
            <v>3.5000000000000003E-2</v>
          </cell>
          <cell r="N304">
            <v>1.0000000000000002E-2</v>
          </cell>
          <cell r="O304">
            <v>0</v>
          </cell>
          <cell r="P304">
            <v>0</v>
          </cell>
        </row>
        <row r="305">
          <cell r="A305" t="str">
            <v>Revenue per turbine (Rs m)</v>
          </cell>
        </row>
        <row r="306">
          <cell r="A306" t="str">
            <v>1.25 MW</v>
          </cell>
          <cell r="H306">
            <v>1.0979693336220429</v>
          </cell>
          <cell r="I306">
            <v>1.2472931629946409</v>
          </cell>
          <cell r="J306">
            <v>1.3720224792941051</v>
          </cell>
          <cell r="K306">
            <v>1.488644390034104</v>
          </cell>
          <cell r="L306">
            <v>1.5779630534361504</v>
          </cell>
          <cell r="M306">
            <v>1.6331917603064154</v>
          </cell>
          <cell r="N306">
            <v>1.6495236779094795</v>
          </cell>
          <cell r="O306">
            <v>1.6495236779094795</v>
          </cell>
          <cell r="P306">
            <v>1.6495236779094795</v>
          </cell>
        </row>
        <row r="307">
          <cell r="A307" t="str">
            <v>1.50 MW</v>
          </cell>
          <cell r="H307">
            <v>1.3175632003464512</v>
          </cell>
          <cell r="I307">
            <v>1.4967517955935687</v>
          </cell>
          <cell r="J307">
            <v>1.6464269751529257</v>
          </cell>
          <cell r="K307">
            <v>1.7863732680409243</v>
          </cell>
          <cell r="L307">
            <v>1.8935556641233799</v>
          </cell>
          <cell r="M307">
            <v>1.959830112367698</v>
          </cell>
          <cell r="N307">
            <v>1.9794284134913749</v>
          </cell>
          <cell r="O307">
            <v>1.9794284134913749</v>
          </cell>
          <cell r="P307">
            <v>1.9794284134913749</v>
          </cell>
        </row>
        <row r="308">
          <cell r="A308" t="str">
            <v>2.10 MW</v>
          </cell>
          <cell r="H308">
            <v>1.8445884804850319</v>
          </cell>
          <cell r="I308">
            <v>2.0954525138309963</v>
          </cell>
          <cell r="J308">
            <v>2.3049977652140963</v>
          </cell>
          <cell r="K308">
            <v>2.5009225752572943</v>
          </cell>
          <cell r="L308">
            <v>2.6509779297727323</v>
          </cell>
          <cell r="M308">
            <v>2.7437621573147779</v>
          </cell>
          <cell r="N308">
            <v>2.7711997788879259</v>
          </cell>
          <cell r="O308">
            <v>2.7711997788879259</v>
          </cell>
          <cell r="P308">
            <v>2.7711997788879259</v>
          </cell>
        </row>
        <row r="310">
          <cell r="A310" t="str">
            <v>Total Revenue (Rs m)</v>
          </cell>
        </row>
        <row r="311">
          <cell r="A311" t="str">
            <v>1.25 MW</v>
          </cell>
          <cell r="H311">
            <v>0</v>
          </cell>
          <cell r="I311">
            <v>0</v>
          </cell>
          <cell r="J311">
            <v>0</v>
          </cell>
          <cell r="K311">
            <v>0</v>
          </cell>
          <cell r="L311">
            <v>0</v>
          </cell>
          <cell r="M311">
            <v>0</v>
          </cell>
          <cell r="N311">
            <v>0</v>
          </cell>
          <cell r="O311">
            <v>0</v>
          </cell>
          <cell r="P311">
            <v>0</v>
          </cell>
        </row>
        <row r="312">
          <cell r="A312" t="str">
            <v>1.50 MW</v>
          </cell>
          <cell r="H312">
            <v>0</v>
          </cell>
          <cell r="I312">
            <v>0</v>
          </cell>
          <cell r="J312">
            <v>0</v>
          </cell>
          <cell r="K312">
            <v>0</v>
          </cell>
          <cell r="L312">
            <v>0</v>
          </cell>
          <cell r="M312">
            <v>0</v>
          </cell>
          <cell r="N312">
            <v>0</v>
          </cell>
          <cell r="O312">
            <v>0</v>
          </cell>
          <cell r="P312">
            <v>0</v>
          </cell>
        </row>
        <row r="313">
          <cell r="A313" t="str">
            <v>2.10 MW</v>
          </cell>
          <cell r="H313">
            <v>584.14427999999998</v>
          </cell>
          <cell r="I313">
            <v>6750.709818557938</v>
          </cell>
          <cell r="J313">
            <v>9472.5266160132414</v>
          </cell>
          <cell r="K313">
            <v>16021.910386128331</v>
          </cell>
          <cell r="L313">
            <v>23853.436891431549</v>
          </cell>
          <cell r="M313">
            <v>32683.368580655093</v>
          </cell>
          <cell r="N313">
            <v>46605.176992143126</v>
          </cell>
          <cell r="O313">
            <v>58697.374856595379</v>
          </cell>
          <cell r="P313">
            <v>72316.008717628458</v>
          </cell>
        </row>
        <row r="314">
          <cell r="A314" t="str">
            <v>Total</v>
          </cell>
          <cell r="H314">
            <v>584.14427999999998</v>
          </cell>
          <cell r="I314">
            <v>6750.709818557938</v>
          </cell>
          <cell r="J314">
            <v>9472.5266160132414</v>
          </cell>
          <cell r="K314">
            <v>16021.910386128331</v>
          </cell>
          <cell r="L314">
            <v>23853.436891431549</v>
          </cell>
          <cell r="M314">
            <v>32683.368580655093</v>
          </cell>
          <cell r="N314">
            <v>46605.176992143126</v>
          </cell>
          <cell r="O314">
            <v>58697.374856595379</v>
          </cell>
          <cell r="P314">
            <v>72316.008717628458</v>
          </cell>
        </row>
        <row r="315">
          <cell r="A315" t="str">
            <v>Reported / Actuals (RoW)</v>
          </cell>
          <cell r="H315">
            <v>720</v>
          </cell>
        </row>
        <row r="318">
          <cell r="A318" t="str">
            <v>DOMESTIC SUBSIDIARIES - BASIC A/C</v>
          </cell>
          <cell r="E318">
            <v>2004</v>
          </cell>
          <cell r="F318">
            <v>2005</v>
          </cell>
          <cell r="G318">
            <v>2006</v>
          </cell>
          <cell r="H318">
            <v>2007</v>
          </cell>
          <cell r="I318">
            <v>2008</v>
          </cell>
          <cell r="J318">
            <v>2009</v>
          </cell>
          <cell r="K318">
            <v>2010</v>
          </cell>
          <cell r="L318">
            <v>2011</v>
          </cell>
          <cell r="M318">
            <v>2012</v>
          </cell>
          <cell r="N318">
            <v>2013</v>
          </cell>
          <cell r="O318">
            <v>2014</v>
          </cell>
          <cell r="P318">
            <v>2015</v>
          </cell>
        </row>
        <row r="319">
          <cell r="A319" t="str">
            <v>SUZLON INFRASTRUCTURE SERVICES (O&amp;M services, 100% subsidiary)</v>
          </cell>
        </row>
        <row r="320">
          <cell r="A320" t="str">
            <v>Revenues</v>
          </cell>
          <cell r="D320">
            <v>186.7</v>
          </cell>
          <cell r="E320">
            <v>270.42</v>
          </cell>
          <cell r="F320">
            <v>479.83</v>
          </cell>
          <cell r="G320">
            <v>793.6</v>
          </cell>
          <cell r="H320">
            <v>1284.0999999999999</v>
          </cell>
          <cell r="I320">
            <v>3049.1</v>
          </cell>
          <cell r="J320">
            <v>5109.5999999999995</v>
          </cell>
          <cell r="K320">
            <v>7811.28</v>
          </cell>
          <cell r="L320">
            <v>10083.162017470533</v>
          </cell>
          <cell r="M320">
            <v>12775.028514175578</v>
          </cell>
          <cell r="N320">
            <v>15786.029395745438</v>
          </cell>
          <cell r="O320">
            <v>19079.804035389468</v>
          </cell>
          <cell r="P320">
            <v>22635.950165302671</v>
          </cell>
        </row>
        <row r="321">
          <cell r="A321" t="str">
            <v>External i.e. Non-SEL</v>
          </cell>
          <cell r="H321">
            <v>494.81</v>
          </cell>
          <cell r="I321">
            <v>1174.9280982789503</v>
          </cell>
          <cell r="J321">
            <v>2043.84</v>
          </cell>
          <cell r="K321">
            <v>3515.076</v>
          </cell>
          <cell r="L321">
            <v>5041.5810087352666</v>
          </cell>
          <cell r="M321">
            <v>6706.8899699421781</v>
          </cell>
          <cell r="N321">
            <v>8682.3161676599921</v>
          </cell>
          <cell r="O321">
            <v>10970.887320348946</v>
          </cell>
          <cell r="P321">
            <v>13581.570099181605</v>
          </cell>
        </row>
        <row r="322">
          <cell r="A322" t="str">
            <v>External (% of total reveneus)</v>
          </cell>
          <cell r="H322">
            <v>0.3853360330192353</v>
          </cell>
          <cell r="I322">
            <v>0.3853360330192353</v>
          </cell>
          <cell r="J322">
            <v>0.4</v>
          </cell>
          <cell r="K322">
            <v>0.45</v>
          </cell>
          <cell r="L322">
            <v>0.5</v>
          </cell>
          <cell r="M322">
            <v>0.52500000000000002</v>
          </cell>
          <cell r="N322">
            <v>0.55000000000000004</v>
          </cell>
          <cell r="O322">
            <v>0.57500000000000007</v>
          </cell>
          <cell r="P322">
            <v>0.60000000000000009</v>
          </cell>
        </row>
        <row r="323">
          <cell r="A323" t="str">
            <v>Operating Cost</v>
          </cell>
          <cell r="D323">
            <v>140.02499999999998</v>
          </cell>
          <cell r="E323">
            <v>202.815</v>
          </cell>
          <cell r="F323">
            <v>359.8725</v>
          </cell>
          <cell r="G323">
            <v>595.20000000000005</v>
          </cell>
          <cell r="H323">
            <v>995.1774999999999</v>
          </cell>
          <cell r="I323">
            <v>2439.2799999999997</v>
          </cell>
          <cell r="J323">
            <v>4087.6799999999994</v>
          </cell>
          <cell r="K323">
            <v>6249.0239999999994</v>
          </cell>
          <cell r="L323">
            <v>8066.5296139764268</v>
          </cell>
          <cell r="M323">
            <v>10220.022811340463</v>
          </cell>
          <cell r="N323">
            <v>12628.823516596351</v>
          </cell>
          <cell r="O323">
            <v>15263.843228311574</v>
          </cell>
          <cell r="P323">
            <v>18108.760132242136</v>
          </cell>
        </row>
        <row r="324">
          <cell r="A324" t="str">
            <v>Operating Profit</v>
          </cell>
          <cell r="D324">
            <v>46.674999999999997</v>
          </cell>
          <cell r="E324">
            <v>67.605000000000004</v>
          </cell>
          <cell r="F324">
            <v>119.9575</v>
          </cell>
          <cell r="G324">
            <v>198.4</v>
          </cell>
          <cell r="H324">
            <v>288.92250000000001</v>
          </cell>
          <cell r="I324">
            <v>609.82000000000005</v>
          </cell>
          <cell r="J324">
            <v>1021.92</v>
          </cell>
          <cell r="K324">
            <v>1562.2560000000001</v>
          </cell>
          <cell r="L324">
            <v>2016.6324034941067</v>
          </cell>
          <cell r="M324">
            <v>2555.0057028351157</v>
          </cell>
          <cell r="N324">
            <v>3157.2058791490877</v>
          </cell>
          <cell r="O324">
            <v>3815.9608070778941</v>
          </cell>
          <cell r="P324">
            <v>4527.190033060534</v>
          </cell>
        </row>
        <row r="325">
          <cell r="A325" t="str">
            <v>OPM</v>
          </cell>
          <cell r="D325">
            <v>0.25</v>
          </cell>
          <cell r="E325">
            <v>0.25</v>
          </cell>
          <cell r="F325">
            <v>0.25</v>
          </cell>
          <cell r="G325">
            <v>0.25</v>
          </cell>
          <cell r="H325">
            <v>0.22500000000000001</v>
          </cell>
          <cell r="I325">
            <v>0.2</v>
          </cell>
          <cell r="J325">
            <v>0.2</v>
          </cell>
          <cell r="K325">
            <v>0.2</v>
          </cell>
          <cell r="L325">
            <v>0.2</v>
          </cell>
          <cell r="M325">
            <v>0.2</v>
          </cell>
          <cell r="N325">
            <v>0.2</v>
          </cell>
          <cell r="O325">
            <v>0.2</v>
          </cell>
          <cell r="P325">
            <v>0.2</v>
          </cell>
        </row>
        <row r="326">
          <cell r="A326" t="str">
            <v>Pre-tax Profit</v>
          </cell>
          <cell r="G326">
            <v>84</v>
          </cell>
          <cell r="H326">
            <v>71.8</v>
          </cell>
          <cell r="I326">
            <v>243.928</v>
          </cell>
          <cell r="J326">
            <v>408.76799999999997</v>
          </cell>
          <cell r="K326">
            <v>624.90239999999994</v>
          </cell>
          <cell r="L326">
            <v>806.65296139764268</v>
          </cell>
          <cell r="M326">
            <v>1022.0022811340463</v>
          </cell>
          <cell r="N326">
            <v>1262.8823516596351</v>
          </cell>
          <cell r="O326">
            <v>1526.3843228311575</v>
          </cell>
          <cell r="P326">
            <v>1810.8760132242137</v>
          </cell>
        </row>
        <row r="327">
          <cell r="A327" t="str">
            <v>Pre-tax Profit Margin</v>
          </cell>
          <cell r="G327">
            <v>0.10584677419354839</v>
          </cell>
          <cell r="H327">
            <v>5.5914648391869791E-2</v>
          </cell>
          <cell r="I327">
            <v>0.08</v>
          </cell>
          <cell r="J327">
            <v>0.08</v>
          </cell>
          <cell r="K327">
            <v>0.08</v>
          </cell>
          <cell r="L327">
            <v>0.08</v>
          </cell>
          <cell r="M327">
            <v>0.08</v>
          </cell>
          <cell r="N327">
            <v>0.08</v>
          </cell>
          <cell r="O327">
            <v>0.08</v>
          </cell>
          <cell r="P327">
            <v>0.08</v>
          </cell>
        </row>
        <row r="328">
          <cell r="A328" t="str">
            <v>Tax</v>
          </cell>
          <cell r="G328">
            <v>52.2</v>
          </cell>
          <cell r="H328">
            <v>15.7</v>
          </cell>
          <cell r="I328">
            <v>106.71850000000001</v>
          </cell>
          <cell r="J328">
            <v>182.18742169612958</v>
          </cell>
          <cell r="K328">
            <v>275.95653607195698</v>
          </cell>
          <cell r="L328">
            <v>357.87088197110654</v>
          </cell>
          <cell r="M328">
            <v>452.36301602728793</v>
          </cell>
          <cell r="N328">
            <v>559.62951727898906</v>
          </cell>
          <cell r="O328">
            <v>676.00583066909201</v>
          </cell>
          <cell r="P328">
            <v>802.23363431127814</v>
          </cell>
        </row>
        <row r="329">
          <cell r="A329" t="str">
            <v>Net Profit</v>
          </cell>
          <cell r="D329">
            <v>13.18</v>
          </cell>
          <cell r="E329">
            <v>34.17</v>
          </cell>
          <cell r="F329">
            <v>37.44</v>
          </cell>
          <cell r="G329">
            <v>31.8</v>
          </cell>
          <cell r="H329">
            <v>56.1</v>
          </cell>
          <cell r="I329">
            <v>137.20949999999999</v>
          </cell>
          <cell r="J329">
            <v>226.5805783038704</v>
          </cell>
          <cell r="K329">
            <v>348.94586392804297</v>
          </cell>
          <cell r="L329">
            <v>448.78207942653614</v>
          </cell>
          <cell r="M329">
            <v>569.63926510675833</v>
          </cell>
          <cell r="N329">
            <v>703.25283438064605</v>
          </cell>
          <cell r="O329">
            <v>850.37849216206553</v>
          </cell>
          <cell r="P329">
            <v>1008.6423789129356</v>
          </cell>
        </row>
        <row r="330">
          <cell r="A330" t="str">
            <v>NPM</v>
          </cell>
          <cell r="D330">
            <v>7.0594536689876808E-2</v>
          </cell>
          <cell r="E330">
            <v>0.12635899711559795</v>
          </cell>
          <cell r="F330">
            <v>7.8027634787320513E-2</v>
          </cell>
          <cell r="G330">
            <v>4.0070564516129031E-2</v>
          </cell>
          <cell r="H330">
            <v>4.368818627832724E-2</v>
          </cell>
          <cell r="I330">
            <v>4.4999999999999998E-2</v>
          </cell>
          <cell r="J330">
            <v>4.4344093139163619E-2</v>
          </cell>
          <cell r="K330">
            <v>4.4672046569581805E-2</v>
          </cell>
          <cell r="L330">
            <v>4.4508069854372709E-2</v>
          </cell>
          <cell r="M330">
            <v>4.4590058211977257E-2</v>
          </cell>
          <cell r="N330">
            <v>4.4549064033174983E-2</v>
          </cell>
          <cell r="O330">
            <v>4.4569561122576123E-2</v>
          </cell>
          <cell r="P330">
            <v>4.4559312577875557E-2</v>
          </cell>
        </row>
        <row r="331">
          <cell r="A331" t="str">
            <v>Revenue / Cum. Dom. Sales (Rs million)</v>
          </cell>
          <cell r="D331">
            <v>0.63053022627490718</v>
          </cell>
          <cell r="E331">
            <v>0.52169383621105447</v>
          </cell>
          <cell r="F331">
            <v>0.4676477754495395</v>
          </cell>
          <cell r="G331">
            <v>0.41580215865031966</v>
          </cell>
          <cell r="H331">
            <v>0.44848421346744899</v>
          </cell>
          <cell r="I331">
            <v>0.79426398186980651</v>
          </cell>
          <cell r="J331">
            <v>1.0994877621305481</v>
          </cell>
          <cell r="K331">
            <v>1.3959779904106133</v>
          </cell>
          <cell r="L331">
            <v>1.5166305071951078</v>
          </cell>
          <cell r="M331">
            <v>1.6396034661655314</v>
          </cell>
          <cell r="N331">
            <v>1.7507847744522638</v>
          </cell>
          <cell r="O331">
            <v>1.8486193228529557</v>
          </cell>
          <cell r="P331">
            <v>1.9353421918290918</v>
          </cell>
        </row>
        <row r="332">
          <cell r="A332" t="str">
            <v>Incr. Rev / Incr. Dom Sales (Rs m)</v>
          </cell>
          <cell r="H332">
            <v>0.96612172542840236</v>
          </cell>
          <cell r="I332">
            <v>1.9998866919721263</v>
          </cell>
          <cell r="J332">
            <v>2.1584957050073323</v>
          </cell>
          <cell r="K332">
            <v>2.7689658706569644</v>
          </cell>
          <cell r="L332">
            <v>2.8105003587168182</v>
          </cell>
          <cell r="M332">
            <v>2.8386053623039871</v>
          </cell>
          <cell r="N332">
            <v>2.8598949025212663</v>
          </cell>
          <cell r="O332">
            <v>2.8813441142901759</v>
          </cell>
          <cell r="P332">
            <v>2.9029541951473528</v>
          </cell>
        </row>
        <row r="333">
          <cell r="A333" t="str">
            <v>% of incremental WTG reallzation</v>
          </cell>
          <cell r="I333">
            <v>0.05</v>
          </cell>
          <cell r="J333">
            <v>0.05</v>
          </cell>
          <cell r="K333">
            <v>0.05</v>
          </cell>
          <cell r="L333">
            <v>0.05</v>
          </cell>
          <cell r="M333">
            <v>0.05</v>
          </cell>
          <cell r="N333">
            <v>0.05</v>
          </cell>
          <cell r="O333">
            <v>0.05</v>
          </cell>
          <cell r="P333">
            <v>0.05</v>
          </cell>
        </row>
        <row r="334">
          <cell r="A334" t="str">
            <v>Revenues / SEL Domestic Sales</v>
          </cell>
          <cell r="E334">
            <v>3.4180579939859776E-2</v>
          </cell>
          <cell r="F334">
            <v>2.5040064813529363E-2</v>
          </cell>
          <cell r="G334">
            <v>2.2481586402266291E-2</v>
          </cell>
          <cell r="H334">
            <v>2.7303389970697922E-2</v>
          </cell>
          <cell r="I334">
            <v>5.1448183620359231E-2</v>
          </cell>
          <cell r="J334">
            <v>0.10500200338277585</v>
          </cell>
          <cell r="K334">
            <v>0.13839811147592043</v>
          </cell>
          <cell r="L334">
            <v>0.16288561515161351</v>
          </cell>
          <cell r="M334">
            <v>0.19240290264702922</v>
          </cell>
          <cell r="N334">
            <v>0.22516239076985634</v>
          </cell>
          <cell r="O334">
            <v>0.25985660902033719</v>
          </cell>
          <cell r="P334">
            <v>0.29828346662280236</v>
          </cell>
        </row>
        <row r="336">
          <cell r="A336" t="str">
            <v>SUZLON STRUCTURES (75% subsidiary, manufactures WTG)</v>
          </cell>
        </row>
        <row r="337">
          <cell r="A337" t="str">
            <v>Revenues</v>
          </cell>
          <cell r="F337">
            <v>18.37</v>
          </cell>
          <cell r="G337">
            <v>1556.8</v>
          </cell>
          <cell r="H337">
            <v>2728.7</v>
          </cell>
          <cell r="I337">
            <v>4076.7670836491352</v>
          </cell>
          <cell r="J337">
            <v>4124.2031383800713</v>
          </cell>
          <cell r="K337">
            <v>5635.1443008831284</v>
          </cell>
          <cell r="L337">
            <v>7195.0753072454436</v>
          </cell>
          <cell r="M337">
            <v>9023.5219499752056</v>
          </cell>
          <cell r="N337">
            <v>11114.614361606657</v>
          </cell>
          <cell r="O337">
            <v>13466.907623584619</v>
          </cell>
          <cell r="P337">
            <v>16035.62505195152</v>
          </cell>
        </row>
        <row r="338">
          <cell r="A338" t="str">
            <v>Operating Cost</v>
          </cell>
          <cell r="G338">
            <v>1478.96</v>
          </cell>
          <cell r="H338">
            <v>2592.2649999999999</v>
          </cell>
          <cell r="I338">
            <v>3872.9287294666783</v>
          </cell>
          <cell r="J338">
            <v>3917.9929814610678</v>
          </cell>
          <cell r="K338">
            <v>5353.3870858389719</v>
          </cell>
          <cell r="L338">
            <v>6835.3215418831714</v>
          </cell>
          <cell r="M338">
            <v>8572.3458524764446</v>
          </cell>
          <cell r="N338">
            <v>10558.883643526324</v>
          </cell>
          <cell r="O338">
            <v>12793.562242405387</v>
          </cell>
          <cell r="P338">
            <v>15233.843799353945</v>
          </cell>
        </row>
        <row r="339">
          <cell r="A339" t="str">
            <v>Operating Profit</v>
          </cell>
          <cell r="G339">
            <v>77.84</v>
          </cell>
          <cell r="H339">
            <v>136.435</v>
          </cell>
          <cell r="I339">
            <v>203.83835418245678</v>
          </cell>
          <cell r="J339">
            <v>206.21015691900357</v>
          </cell>
          <cell r="K339">
            <v>281.75721504415645</v>
          </cell>
          <cell r="L339">
            <v>359.75376536227219</v>
          </cell>
          <cell r="M339">
            <v>451.17609749876033</v>
          </cell>
          <cell r="N339">
            <v>555.73071808033285</v>
          </cell>
          <cell r="O339">
            <v>673.34538117923103</v>
          </cell>
          <cell r="P339">
            <v>801.78125259757599</v>
          </cell>
        </row>
        <row r="340">
          <cell r="A340" t="str">
            <v>OPM</v>
          </cell>
          <cell r="G340">
            <v>0.05</v>
          </cell>
          <cell r="H340">
            <v>0.05</v>
          </cell>
          <cell r="I340">
            <v>0.05</v>
          </cell>
          <cell r="J340">
            <v>0.05</v>
          </cell>
          <cell r="K340">
            <v>0.05</v>
          </cell>
          <cell r="L340">
            <v>0.05</v>
          </cell>
          <cell r="M340">
            <v>0.05</v>
          </cell>
          <cell r="N340">
            <v>0.05</v>
          </cell>
          <cell r="O340">
            <v>0.05</v>
          </cell>
          <cell r="P340">
            <v>0.05</v>
          </cell>
        </row>
        <row r="341">
          <cell r="A341" t="str">
            <v>Pre-tax Profit</v>
          </cell>
          <cell r="G341">
            <v>43.8</v>
          </cell>
          <cell r="H341">
            <v>70.900000000000006</v>
          </cell>
          <cell r="I341">
            <v>101.91917709122839</v>
          </cell>
          <cell r="J341">
            <v>103.10507845950178</v>
          </cell>
          <cell r="K341">
            <v>140.87860752207823</v>
          </cell>
          <cell r="L341">
            <v>179.8768826811361</v>
          </cell>
          <cell r="M341">
            <v>225.58804874938016</v>
          </cell>
          <cell r="N341">
            <v>277.86535904016642</v>
          </cell>
          <cell r="O341">
            <v>336.67269058961551</v>
          </cell>
          <cell r="P341">
            <v>400.89062629878799</v>
          </cell>
        </row>
        <row r="342">
          <cell r="A342" t="str">
            <v>Pre-tax Profit Margin</v>
          </cell>
          <cell r="G342">
            <v>2.8134635149023639E-2</v>
          </cell>
          <cell r="H342">
            <v>2.5983068860629607E-2</v>
          </cell>
          <cell r="I342">
            <v>2.5000000000000001E-2</v>
          </cell>
          <cell r="J342">
            <v>2.5000000000000001E-2</v>
          </cell>
          <cell r="K342">
            <v>2.5000000000000001E-2</v>
          </cell>
          <cell r="L342">
            <v>2.5000000000000001E-2</v>
          </cell>
          <cell r="M342">
            <v>2.5000000000000001E-2</v>
          </cell>
          <cell r="N342">
            <v>2.5000000000000001E-2</v>
          </cell>
          <cell r="O342">
            <v>2.5000000000000001E-2</v>
          </cell>
          <cell r="P342">
            <v>2.5000000000000001E-2</v>
          </cell>
        </row>
        <row r="343">
          <cell r="A343" t="str">
            <v>Tax</v>
          </cell>
          <cell r="G343">
            <v>15.4</v>
          </cell>
          <cell r="H343">
            <v>23.3</v>
          </cell>
          <cell r="I343">
            <v>40.767670836491362</v>
          </cell>
          <cell r="J343">
            <v>41.242031383800715</v>
          </cell>
          <cell r="K343">
            <v>56.351443008831311</v>
          </cell>
          <cell r="L343">
            <v>71.950753072454447</v>
          </cell>
          <cell r="M343">
            <v>90.235219499752077</v>
          </cell>
          <cell r="N343">
            <v>111.14614361606658</v>
          </cell>
          <cell r="O343">
            <v>134.66907623584623</v>
          </cell>
          <cell r="P343">
            <v>160.35625051951521</v>
          </cell>
        </row>
        <row r="344">
          <cell r="A344" t="str">
            <v>Net Profit</v>
          </cell>
          <cell r="G344">
            <v>28.4</v>
          </cell>
          <cell r="H344">
            <v>47.6</v>
          </cell>
          <cell r="I344">
            <v>61.151506254737029</v>
          </cell>
          <cell r="J344">
            <v>61.863047075701068</v>
          </cell>
          <cell r="K344">
            <v>84.527164513246916</v>
          </cell>
          <cell r="L344">
            <v>107.92612960868165</v>
          </cell>
          <cell r="M344">
            <v>135.35282924962809</v>
          </cell>
          <cell r="N344">
            <v>166.71921542409984</v>
          </cell>
          <cell r="O344">
            <v>202.00361435376928</v>
          </cell>
          <cell r="P344">
            <v>240.53437577927278</v>
          </cell>
        </row>
        <row r="345">
          <cell r="A345" t="str">
            <v>NPM</v>
          </cell>
          <cell r="G345">
            <v>1.8242548818088386E-2</v>
          </cell>
          <cell r="H345">
            <v>1.7444204199802107E-2</v>
          </cell>
          <cell r="I345">
            <v>1.4999999999999999E-2</v>
          </cell>
          <cell r="J345">
            <v>1.4999999999999999E-2</v>
          </cell>
          <cell r="K345">
            <v>1.4999999999999999E-2</v>
          </cell>
          <cell r="L345">
            <v>1.4999999999999999E-2</v>
          </cell>
          <cell r="M345">
            <v>1.4999999999999999E-2</v>
          </cell>
          <cell r="N345">
            <v>1.4999999999999999E-2</v>
          </cell>
          <cell r="O345">
            <v>1.4999999999999999E-2</v>
          </cell>
          <cell r="P345">
            <v>1.4999999999999999E-2</v>
          </cell>
        </row>
        <row r="346">
          <cell r="A346" t="str">
            <v>Revenue / Cum. Dom. Sales (Rs million)</v>
          </cell>
        </row>
        <row r="347">
          <cell r="A347" t="str">
            <v>Incr. Rev / Incr. Dom Sales (Rs m)</v>
          </cell>
        </row>
        <row r="348">
          <cell r="A348" t="str">
            <v>Rev/WTG (Excl. Sales to USA, CHN)</v>
          </cell>
          <cell r="G348">
            <v>1.763979377938927</v>
          </cell>
          <cell r="H348">
            <v>2.5221369812367129</v>
          </cell>
          <cell r="I348">
            <v>2.5725797208614472</v>
          </cell>
          <cell r="J348">
            <v>2.6240313152786761</v>
          </cell>
          <cell r="K348">
            <v>2.6765119415842498</v>
          </cell>
          <cell r="L348">
            <v>2.7300421804159347</v>
          </cell>
          <cell r="M348">
            <v>2.7846430240242537</v>
          </cell>
          <cell r="N348">
            <v>2.8403358845047388</v>
          </cell>
          <cell r="O348">
            <v>2.8971426021948337</v>
          </cell>
          <cell r="P348">
            <v>2.9550854542387306</v>
          </cell>
        </row>
        <row r="349">
          <cell r="A349" t="str">
            <v>Revenues / SEL Cost of Materials</v>
          </cell>
          <cell r="F349">
            <v>9.5801825293350719E-4</v>
          </cell>
          <cell r="G349">
            <v>6.5061580317701789E-2</v>
          </cell>
          <cell r="H349">
            <v>8.2661076560024485E-2</v>
          </cell>
        </row>
        <row r="350">
          <cell r="A350" t="str">
            <v>SEL Ownership</v>
          </cell>
          <cell r="G350">
            <v>0.75</v>
          </cell>
          <cell r="H350">
            <v>0.75</v>
          </cell>
          <cell r="I350">
            <v>0.75</v>
          </cell>
          <cell r="J350">
            <v>0.75</v>
          </cell>
          <cell r="K350">
            <v>0.75</v>
          </cell>
          <cell r="L350">
            <v>0.75</v>
          </cell>
          <cell r="M350">
            <v>0.75</v>
          </cell>
          <cell r="N350">
            <v>0.75</v>
          </cell>
          <cell r="O350">
            <v>0.75</v>
          </cell>
          <cell r="P350">
            <v>0.75</v>
          </cell>
        </row>
        <row r="352">
          <cell r="A352" t="str">
            <v>SUZLON TOWERS &amp; STRUCTURES (100% subsidiary, manufactures tubular towers)</v>
          </cell>
        </row>
        <row r="353">
          <cell r="A353" t="str">
            <v>Revenues</v>
          </cell>
          <cell r="H353">
            <v>6315.6</v>
          </cell>
          <cell r="I353">
            <v>6406.7828808925206</v>
          </cell>
          <cell r="J353">
            <v>5268.1283318297064</v>
          </cell>
          <cell r="K353">
            <v>6118.4006145637286</v>
          </cell>
          <cell r="L353">
            <v>6724.893564507438</v>
          </cell>
          <cell r="M353">
            <v>7228.6725737424058</v>
          </cell>
          <cell r="N353">
            <v>7668.9235924658451</v>
          </cell>
          <cell r="O353">
            <v>8085.2990809935845</v>
          </cell>
          <cell r="P353">
            <v>8436.5306924297638</v>
          </cell>
        </row>
        <row r="354">
          <cell r="A354" t="str">
            <v>Operating Cost</v>
          </cell>
          <cell r="H354">
            <v>5431.4160000000002</v>
          </cell>
          <cell r="I354">
            <v>5525.8502347697986</v>
          </cell>
          <cell r="J354">
            <v>4556.9310070326956</v>
          </cell>
          <cell r="K354">
            <v>5307.7125331340349</v>
          </cell>
          <cell r="L354">
            <v>5850.6574011214707</v>
          </cell>
          <cell r="M354">
            <v>6307.0168205902492</v>
          </cell>
          <cell r="N354">
            <v>6710.3081434076148</v>
          </cell>
          <cell r="O354">
            <v>7094.8499435718704</v>
          </cell>
          <cell r="P354">
            <v>7424.1470093381922</v>
          </cell>
        </row>
        <row r="355">
          <cell r="A355" t="str">
            <v>Operating Profit</v>
          </cell>
          <cell r="H355">
            <v>884.18400000000008</v>
          </cell>
          <cell r="I355">
            <v>880.93264612272162</v>
          </cell>
          <cell r="J355">
            <v>711.19732479701042</v>
          </cell>
          <cell r="K355">
            <v>810.68808142969408</v>
          </cell>
          <cell r="L355">
            <v>874.23616338596696</v>
          </cell>
          <cell r="M355">
            <v>921.65575315215676</v>
          </cell>
          <cell r="N355">
            <v>958.61544905823064</v>
          </cell>
          <cell r="O355">
            <v>990.44913742171411</v>
          </cell>
          <cell r="P355">
            <v>1012.3836830915716</v>
          </cell>
        </row>
        <row r="356">
          <cell r="A356" t="str">
            <v>OPM</v>
          </cell>
          <cell r="H356">
            <v>0.14000000000000001</v>
          </cell>
          <cell r="I356">
            <v>0.13750000000000001</v>
          </cell>
          <cell r="J356">
            <v>0.13500000000000001</v>
          </cell>
          <cell r="K356">
            <v>0.13250000000000001</v>
          </cell>
          <cell r="L356">
            <v>0.13</v>
          </cell>
          <cell r="M356">
            <v>0.1275</v>
          </cell>
          <cell r="N356">
            <v>0.125</v>
          </cell>
          <cell r="O356">
            <v>0.1225</v>
          </cell>
          <cell r="P356">
            <v>0.12</v>
          </cell>
        </row>
        <row r="357">
          <cell r="A357" t="str">
            <v>Pre-tax Profit</v>
          </cell>
          <cell r="H357">
            <v>719.5</v>
          </cell>
          <cell r="I357">
            <v>704.74611689817732</v>
          </cell>
          <cell r="J357">
            <v>579.49411650126774</v>
          </cell>
          <cell r="K357">
            <v>673.02406760201018</v>
          </cell>
          <cell r="L357">
            <v>739.73829209581822</v>
          </cell>
          <cell r="M357">
            <v>795.15398311166462</v>
          </cell>
          <cell r="N357">
            <v>843.58159517124295</v>
          </cell>
          <cell r="O357">
            <v>889.38289890929434</v>
          </cell>
          <cell r="P357">
            <v>928.01837616727403</v>
          </cell>
        </row>
        <row r="358">
          <cell r="A358" t="str">
            <v>Pre-tax Profit Margin</v>
          </cell>
          <cell r="H358">
            <v>0.11392425106086515</v>
          </cell>
          <cell r="I358">
            <v>0.11</v>
          </cell>
          <cell r="J358">
            <v>0.11</v>
          </cell>
          <cell r="K358">
            <v>0.11</v>
          </cell>
          <cell r="L358">
            <v>0.11</v>
          </cell>
          <cell r="M358">
            <v>0.11</v>
          </cell>
          <cell r="N358">
            <v>0.11</v>
          </cell>
          <cell r="O358">
            <v>0.11</v>
          </cell>
          <cell r="P358">
            <v>0.11</v>
          </cell>
        </row>
        <row r="359">
          <cell r="A359" t="str">
            <v>Tax</v>
          </cell>
          <cell r="H359">
            <v>-232</v>
          </cell>
          <cell r="I359">
            <v>-224.23740083123829</v>
          </cell>
          <cell r="J359">
            <v>-184.38449161403975</v>
          </cell>
          <cell r="K359">
            <v>-214.14402150973052</v>
          </cell>
          <cell r="L359">
            <v>-235.37127475776037</v>
          </cell>
          <cell r="M359">
            <v>-253.00354008098418</v>
          </cell>
          <cell r="N359">
            <v>-268.41232573630464</v>
          </cell>
          <cell r="O359">
            <v>-282.98546783477548</v>
          </cell>
          <cell r="P359">
            <v>-295.27857423504179</v>
          </cell>
        </row>
        <row r="360">
          <cell r="A360" t="str">
            <v>Net Profit</v>
          </cell>
          <cell r="H360">
            <v>487.5</v>
          </cell>
          <cell r="I360">
            <v>480.50871606693903</v>
          </cell>
          <cell r="J360">
            <v>395.10962488722799</v>
          </cell>
          <cell r="K360">
            <v>458.88004609227966</v>
          </cell>
          <cell r="L360">
            <v>504.36701733805785</v>
          </cell>
          <cell r="M360">
            <v>542.15044303068044</v>
          </cell>
          <cell r="N360">
            <v>575.16926943493831</v>
          </cell>
          <cell r="O360">
            <v>606.39743107451886</v>
          </cell>
          <cell r="P360">
            <v>632.73980193223224</v>
          </cell>
        </row>
        <row r="361">
          <cell r="A361" t="str">
            <v>NPM</v>
          </cell>
          <cell r="H361">
            <v>7.7189815694470823E-2</v>
          </cell>
          <cell r="I361">
            <v>7.4999999999999997E-2</v>
          </cell>
          <cell r="J361">
            <v>7.4999999999999997E-2</v>
          </cell>
          <cell r="K361">
            <v>7.4999999999999997E-2</v>
          </cell>
          <cell r="L361">
            <v>7.4999999999999997E-2</v>
          </cell>
          <cell r="M361">
            <v>7.4999999999999997E-2</v>
          </cell>
          <cell r="N361">
            <v>7.4999999999999997E-2</v>
          </cell>
          <cell r="O361">
            <v>7.4999999999999997E-2</v>
          </cell>
          <cell r="P361">
            <v>7.4999999999999997E-2</v>
          </cell>
        </row>
        <row r="362">
          <cell r="A362" t="str">
            <v>Revenue / Cum. Dom. Sales (Rs million)</v>
          </cell>
        </row>
        <row r="363">
          <cell r="A363" t="str">
            <v>Incr. Rev / Incr. Dom Sales (Rs m)</v>
          </cell>
        </row>
        <row r="364">
          <cell r="A364" t="str">
            <v>Rev/WTG (Dom. Sales)</v>
          </cell>
          <cell r="H364">
            <v>6.6159648020113142</v>
          </cell>
          <cell r="I364">
            <v>6.566345065996229</v>
          </cell>
          <cell r="J364">
            <v>6.5170974780012587</v>
          </cell>
          <cell r="K364">
            <v>6.4519265032212481</v>
          </cell>
          <cell r="L364">
            <v>6.3874072381890343</v>
          </cell>
          <cell r="M364">
            <v>6.3235331658071434</v>
          </cell>
          <cell r="N364">
            <v>6.2602978341490738</v>
          </cell>
          <cell r="O364">
            <v>6.1976948558075842</v>
          </cell>
          <cell r="P364">
            <v>6.1357179072495072</v>
          </cell>
        </row>
        <row r="365">
          <cell r="A365" t="str">
            <v>Revenues / SEL Cost of Materials</v>
          </cell>
        </row>
        <row r="366">
          <cell r="A366" t="str">
            <v>SEL Ownership</v>
          </cell>
        </row>
        <row r="368">
          <cell r="A368" t="str">
            <v>SUZLON GENERATORS (75% subsidiary, manufactures Generators)</v>
          </cell>
        </row>
        <row r="369">
          <cell r="A369" t="str">
            <v>Revenues</v>
          </cell>
          <cell r="F369">
            <v>0</v>
          </cell>
          <cell r="G369">
            <v>158.30000000000001</v>
          </cell>
          <cell r="H369">
            <v>990.5</v>
          </cell>
          <cell r="I369">
            <v>1487.0935241242255</v>
          </cell>
          <cell r="J369">
            <v>1511.7713986981807</v>
          </cell>
          <cell r="K369">
            <v>2075.7488764009345</v>
          </cell>
          <cell r="L369">
            <v>2663.3534650396637</v>
          </cell>
          <cell r="M369">
            <v>3356.5508912210648</v>
          </cell>
          <cell r="N369">
            <v>4154.6577119469712</v>
          </cell>
          <cell r="O369">
            <v>5058.6242950706046</v>
          </cell>
          <cell r="P369">
            <v>6053.0481830223362</v>
          </cell>
        </row>
        <row r="370">
          <cell r="A370" t="str">
            <v>Operating Cost</v>
          </cell>
          <cell r="G370">
            <v>139.304</v>
          </cell>
          <cell r="H370">
            <v>911.26</v>
          </cell>
          <cell r="I370">
            <v>1368.1260421942875</v>
          </cell>
          <cell r="J370">
            <v>1390.8296868023263</v>
          </cell>
          <cell r="K370">
            <v>1909.6889662888598</v>
          </cell>
          <cell r="L370">
            <v>2450.2851878364904</v>
          </cell>
          <cell r="M370">
            <v>3088.0268199233797</v>
          </cell>
          <cell r="N370">
            <v>3822.2850949912136</v>
          </cell>
          <cell r="O370">
            <v>4653.9343514649563</v>
          </cell>
          <cell r="P370">
            <v>5568.8043283805491</v>
          </cell>
        </row>
        <row r="371">
          <cell r="A371" t="str">
            <v>Operating Profit</v>
          </cell>
          <cell r="G371">
            <v>18.996000000000002</v>
          </cell>
          <cell r="H371">
            <v>79.239999999999995</v>
          </cell>
          <cell r="I371">
            <v>118.96748192993805</v>
          </cell>
          <cell r="J371">
            <v>120.94171189585447</v>
          </cell>
          <cell r="K371">
            <v>166.05991011207476</v>
          </cell>
          <cell r="L371">
            <v>213.0682772031731</v>
          </cell>
          <cell r="M371">
            <v>268.52407129768517</v>
          </cell>
          <cell r="N371">
            <v>332.37261695575768</v>
          </cell>
          <cell r="O371">
            <v>404.68994360564835</v>
          </cell>
          <cell r="P371">
            <v>484.24385464178692</v>
          </cell>
        </row>
        <row r="372">
          <cell r="A372" t="str">
            <v>OPM</v>
          </cell>
          <cell r="G372">
            <v>0.12</v>
          </cell>
          <cell r="H372">
            <v>0.08</v>
          </cell>
          <cell r="I372">
            <v>0.08</v>
          </cell>
          <cell r="J372">
            <v>0.08</v>
          </cell>
          <cell r="K372">
            <v>0.08</v>
          </cell>
          <cell r="L372">
            <v>0.08</v>
          </cell>
          <cell r="M372">
            <v>0.08</v>
          </cell>
          <cell r="N372">
            <v>0.08</v>
          </cell>
          <cell r="O372">
            <v>0.08</v>
          </cell>
          <cell r="P372">
            <v>0.08</v>
          </cell>
        </row>
        <row r="373">
          <cell r="A373" t="str">
            <v>Pre-tax Profit</v>
          </cell>
          <cell r="G373">
            <v>16.5</v>
          </cell>
          <cell r="H373">
            <v>36.299999999999997</v>
          </cell>
          <cell r="I373">
            <v>54.499237683704571</v>
          </cell>
          <cell r="J373">
            <v>55.403636317762697</v>
          </cell>
          <cell r="K373">
            <v>76.072371744930749</v>
          </cell>
          <cell r="L373">
            <v>97.606997254860957</v>
          </cell>
          <cell r="M373">
            <v>123.01140570552715</v>
          </cell>
          <cell r="N373">
            <v>152.26055017029282</v>
          </cell>
          <cell r="O373">
            <v>185.38925987992218</v>
          </cell>
          <cell r="P373">
            <v>221.83306314357475</v>
          </cell>
        </row>
        <row r="374">
          <cell r="A374" t="str">
            <v>Pre-tax Profit Margin</v>
          </cell>
          <cell r="G374">
            <v>0.10423246999368287</v>
          </cell>
          <cell r="H374">
            <v>3.6648157496214029E-2</v>
          </cell>
          <cell r="I374">
            <v>3.6648157496214029E-2</v>
          </cell>
          <cell r="J374">
            <v>3.6648157496214029E-2</v>
          </cell>
          <cell r="K374">
            <v>3.6648157496214029E-2</v>
          </cell>
          <cell r="L374">
            <v>3.6648157496214029E-2</v>
          </cell>
          <cell r="M374">
            <v>3.6648157496214029E-2</v>
          </cell>
          <cell r="N374">
            <v>3.6648157496214029E-2</v>
          </cell>
          <cell r="O374">
            <v>3.6648157496214029E-2</v>
          </cell>
          <cell r="P374">
            <v>3.6648157496214029E-2</v>
          </cell>
        </row>
        <row r="375">
          <cell r="A375" t="str">
            <v>Tax</v>
          </cell>
          <cell r="G375">
            <v>6.9</v>
          </cell>
          <cell r="H375">
            <v>10.7</v>
          </cell>
          <cell r="I375">
            <v>16.064513587207678</v>
          </cell>
          <cell r="J375">
            <v>16.331099410469989</v>
          </cell>
          <cell r="K375">
            <v>22.423536574952024</v>
          </cell>
          <cell r="L375">
            <v>28.77120855721796</v>
          </cell>
          <cell r="M375">
            <v>36.259560359480446</v>
          </cell>
          <cell r="N375">
            <v>44.881209003364532</v>
          </cell>
          <cell r="O375">
            <v>54.646420956340677</v>
          </cell>
          <cell r="P375">
            <v>65.388809246177658</v>
          </cell>
        </row>
        <row r="376">
          <cell r="A376" t="str">
            <v>Net Profit</v>
          </cell>
          <cell r="G376">
            <v>9.6</v>
          </cell>
          <cell r="H376">
            <v>25.6</v>
          </cell>
          <cell r="I376">
            <v>38.434724096496893</v>
          </cell>
          <cell r="J376">
            <v>39.072536907292708</v>
          </cell>
          <cell r="K376">
            <v>53.648835169978724</v>
          </cell>
          <cell r="L376">
            <v>68.835788697642997</v>
          </cell>
          <cell r="M376">
            <v>86.751845346046707</v>
          </cell>
          <cell r="N376">
            <v>107.37934116692828</v>
          </cell>
          <cell r="O376">
            <v>130.7428389235815</v>
          </cell>
          <cell r="P376">
            <v>156.44425389739709</v>
          </cell>
        </row>
        <row r="377">
          <cell r="A377" t="str">
            <v>NPM</v>
          </cell>
          <cell r="G377">
            <v>6.0644346178142759E-2</v>
          </cell>
          <cell r="H377">
            <v>2.5845532559313478E-2</v>
          </cell>
          <cell r="I377">
            <v>2.5845532559313478E-2</v>
          </cell>
          <cell r="J377">
            <v>2.5845532559313478E-2</v>
          </cell>
          <cell r="K377">
            <v>2.5845532559313478E-2</v>
          </cell>
          <cell r="L377">
            <v>2.5845532559313478E-2</v>
          </cell>
          <cell r="M377">
            <v>2.5845532559313478E-2</v>
          </cell>
          <cell r="N377">
            <v>2.5845532559313478E-2</v>
          </cell>
          <cell r="O377">
            <v>2.5845532559313478E-2</v>
          </cell>
          <cell r="P377">
            <v>2.5845532559313478E-2</v>
          </cell>
        </row>
        <row r="378">
          <cell r="A378" t="str">
            <v>Revenue / Cum. Dom. Sales (Rs million)</v>
          </cell>
        </row>
        <row r="379">
          <cell r="A379" t="str">
            <v>Incr. Rev / Incr. Dom Sales (Rs m)</v>
          </cell>
        </row>
        <row r="380">
          <cell r="A380" t="str">
            <v>Rev/WTG (Excl. Sales to USA, CHN)</v>
          </cell>
          <cell r="G380">
            <v>0.17936660812418562</v>
          </cell>
          <cell r="H380">
            <v>0.91551899436177087</v>
          </cell>
          <cell r="I380">
            <v>0.93840696922081501</v>
          </cell>
          <cell r="J380">
            <v>0.96186714345133528</v>
          </cell>
          <cell r="K380">
            <v>0.98591382203761857</v>
          </cell>
          <cell r="L380">
            <v>1.0105616675885589</v>
          </cell>
          <cell r="M380">
            <v>1.0358257092782728</v>
          </cell>
          <cell r="N380">
            <v>1.0617213520102295</v>
          </cell>
          <cell r="O380">
            <v>1.0882643858104852</v>
          </cell>
          <cell r="P380">
            <v>1.1154709954557473</v>
          </cell>
        </row>
        <row r="381">
          <cell r="A381" t="str">
            <v>Revenues / SEL Cost of Materials</v>
          </cell>
          <cell r="G381">
            <v>6.6156527262925188E-3</v>
          </cell>
          <cell r="H381">
            <v>3.0005422484224813E-2</v>
          </cell>
        </row>
        <row r="382">
          <cell r="A382" t="str">
            <v>SEL Ownership</v>
          </cell>
          <cell r="G382">
            <v>0.74909999999999999</v>
          </cell>
          <cell r="H382">
            <v>0.75</v>
          </cell>
          <cell r="I382">
            <v>0.75</v>
          </cell>
          <cell r="J382">
            <v>0.75</v>
          </cell>
          <cell r="K382">
            <v>0.75</v>
          </cell>
          <cell r="L382">
            <v>0.75</v>
          </cell>
          <cell r="M382">
            <v>0.75</v>
          </cell>
          <cell r="N382">
            <v>0.75</v>
          </cell>
          <cell r="O382">
            <v>0.75</v>
          </cell>
          <cell r="P382">
            <v>0.75</v>
          </cell>
        </row>
        <row r="385">
          <cell r="A385" t="str">
            <v>CAPACITY BUILD-UP [MW]</v>
          </cell>
        </row>
        <row r="387">
          <cell r="A387" t="str">
            <v>India</v>
          </cell>
          <cell r="E387">
            <v>375</v>
          </cell>
          <cell r="F387">
            <v>960</v>
          </cell>
          <cell r="G387">
            <v>1500</v>
          </cell>
          <cell r="H387">
            <v>1495</v>
          </cell>
          <cell r="I387">
            <v>1495</v>
          </cell>
          <cell r="J387">
            <v>1495</v>
          </cell>
          <cell r="K387">
            <v>1495</v>
          </cell>
          <cell r="L387">
            <v>1495</v>
          </cell>
          <cell r="M387">
            <v>1495</v>
          </cell>
          <cell r="N387">
            <v>1495</v>
          </cell>
          <cell r="O387">
            <v>1495</v>
          </cell>
          <cell r="P387">
            <v>1495</v>
          </cell>
        </row>
        <row r="388">
          <cell r="A388" t="str">
            <v>Daman (Rotor Blade + Assembly)</v>
          </cell>
          <cell r="E388">
            <v>375</v>
          </cell>
          <cell r="F388">
            <v>375</v>
          </cell>
          <cell r="G388">
            <v>375</v>
          </cell>
          <cell r="H388">
            <v>275</v>
          </cell>
          <cell r="I388">
            <v>275</v>
          </cell>
          <cell r="J388">
            <v>275</v>
          </cell>
          <cell r="K388">
            <v>275</v>
          </cell>
          <cell r="L388">
            <v>275</v>
          </cell>
          <cell r="M388">
            <v>275</v>
          </cell>
          <cell r="N388">
            <v>275</v>
          </cell>
          <cell r="O388">
            <v>275</v>
          </cell>
          <cell r="P388">
            <v>275</v>
          </cell>
        </row>
        <row r="389">
          <cell r="A389" t="str">
            <v>Pondicherry  (Rotor Blade + Assembly)</v>
          </cell>
          <cell r="E389" t="str">
            <v>-</v>
          </cell>
          <cell r="F389">
            <v>585</v>
          </cell>
          <cell r="G389">
            <v>825</v>
          </cell>
          <cell r="H389">
            <v>920</v>
          </cell>
          <cell r="I389">
            <v>920</v>
          </cell>
          <cell r="J389">
            <v>920</v>
          </cell>
          <cell r="K389">
            <v>920</v>
          </cell>
          <cell r="L389">
            <v>920</v>
          </cell>
          <cell r="M389">
            <v>920</v>
          </cell>
          <cell r="N389">
            <v>920</v>
          </cell>
          <cell r="O389">
            <v>920</v>
          </cell>
          <cell r="P389">
            <v>920</v>
          </cell>
        </row>
        <row r="390">
          <cell r="A390" t="str">
            <v>Dhule (Rotor Blade)</v>
          </cell>
          <cell r="E390">
            <v>0</v>
          </cell>
          <cell r="F390">
            <v>0</v>
          </cell>
          <cell r="G390">
            <v>150</v>
          </cell>
          <cell r="H390">
            <v>150</v>
          </cell>
          <cell r="I390">
            <v>150</v>
          </cell>
          <cell r="J390">
            <v>150</v>
          </cell>
          <cell r="K390">
            <v>150</v>
          </cell>
          <cell r="L390">
            <v>150</v>
          </cell>
          <cell r="M390">
            <v>150</v>
          </cell>
          <cell r="N390">
            <v>150</v>
          </cell>
          <cell r="O390">
            <v>150</v>
          </cell>
          <cell r="P390">
            <v>150</v>
          </cell>
        </row>
        <row r="391">
          <cell r="A391" t="str">
            <v>Ghandhidham (Rotor Blade)</v>
          </cell>
          <cell r="E391">
            <v>0</v>
          </cell>
          <cell r="F391">
            <v>0</v>
          </cell>
          <cell r="G391">
            <v>150</v>
          </cell>
          <cell r="H391">
            <v>150</v>
          </cell>
          <cell r="I391">
            <v>150</v>
          </cell>
          <cell r="J391">
            <v>150</v>
          </cell>
          <cell r="K391">
            <v>150</v>
          </cell>
          <cell r="L391">
            <v>150</v>
          </cell>
          <cell r="M391">
            <v>150</v>
          </cell>
          <cell r="N391">
            <v>150</v>
          </cell>
          <cell r="O391">
            <v>150</v>
          </cell>
          <cell r="P391">
            <v>150</v>
          </cell>
        </row>
        <row r="392">
          <cell r="A392" t="str">
            <v>Udupi SEZ (Integrated)</v>
          </cell>
          <cell r="J392">
            <v>1250</v>
          </cell>
          <cell r="K392">
            <v>3000</v>
          </cell>
          <cell r="L392">
            <v>3000</v>
          </cell>
          <cell r="M392">
            <v>3000</v>
          </cell>
          <cell r="N392">
            <v>3000</v>
          </cell>
          <cell r="O392">
            <v>3000</v>
          </cell>
          <cell r="P392">
            <v>3000</v>
          </cell>
        </row>
        <row r="393">
          <cell r="A393" t="str">
            <v>Incremental Capacity</v>
          </cell>
          <cell r="L393">
            <v>500</v>
          </cell>
          <cell r="M393">
            <v>2000</v>
          </cell>
          <cell r="N393">
            <v>3500</v>
          </cell>
          <cell r="O393">
            <v>5000</v>
          </cell>
          <cell r="P393">
            <v>5000</v>
          </cell>
        </row>
        <row r="394">
          <cell r="A394" t="str">
            <v>USA (Rotor Blade)</v>
          </cell>
          <cell r="E394">
            <v>0</v>
          </cell>
          <cell r="F394">
            <v>0</v>
          </cell>
          <cell r="G394">
            <v>0</v>
          </cell>
          <cell r="H394">
            <v>600</v>
          </cell>
          <cell r="I394">
            <v>600</v>
          </cell>
          <cell r="J394">
            <v>600</v>
          </cell>
          <cell r="K394">
            <v>600</v>
          </cell>
          <cell r="L394">
            <v>1020</v>
          </cell>
          <cell r="M394">
            <v>1440</v>
          </cell>
          <cell r="N394">
            <v>1440</v>
          </cell>
          <cell r="O394">
            <v>1440</v>
          </cell>
          <cell r="P394">
            <v>1440</v>
          </cell>
        </row>
        <row r="395">
          <cell r="A395" t="str">
            <v>China (Integrated)</v>
          </cell>
          <cell r="E395">
            <v>0</v>
          </cell>
          <cell r="F395">
            <v>0</v>
          </cell>
          <cell r="G395">
            <v>0</v>
          </cell>
          <cell r="H395">
            <v>600</v>
          </cell>
          <cell r="I395">
            <v>600</v>
          </cell>
          <cell r="J395">
            <v>699.97500000000002</v>
          </cell>
          <cell r="K395">
            <v>999.97499999999991</v>
          </cell>
          <cell r="L395">
            <v>1449.9749999999999</v>
          </cell>
          <cell r="M395">
            <v>1749.9749999999999</v>
          </cell>
          <cell r="N395">
            <v>1749.9749999999999</v>
          </cell>
          <cell r="O395">
            <v>1749.9749999999999</v>
          </cell>
          <cell r="P395">
            <v>1749.9749999999999</v>
          </cell>
        </row>
        <row r="397">
          <cell r="A397" t="str">
            <v>Deliverable Capacity</v>
          </cell>
          <cell r="E397">
            <v>375</v>
          </cell>
          <cell r="F397">
            <v>960</v>
          </cell>
          <cell r="G397">
            <v>1500</v>
          </cell>
          <cell r="H397">
            <v>2695</v>
          </cell>
          <cell r="I397">
            <v>2695</v>
          </cell>
          <cell r="J397">
            <v>4044.9749999999999</v>
          </cell>
          <cell r="K397">
            <v>6094.9750000000004</v>
          </cell>
          <cell r="L397">
            <v>7464.9750000000004</v>
          </cell>
          <cell r="M397">
            <v>9684.9750000000004</v>
          </cell>
          <cell r="N397">
            <v>11184.975</v>
          </cell>
          <cell r="O397">
            <v>12684.975</v>
          </cell>
          <cell r="P397">
            <v>12684.975</v>
          </cell>
        </row>
        <row r="398">
          <cell r="J398">
            <v>0.72821061934869802</v>
          </cell>
          <cell r="K398">
            <v>0.67295063074499895</v>
          </cell>
          <cell r="L398">
            <v>0.69243521219344328</v>
          </cell>
          <cell r="M398">
            <v>0.65267950539582675</v>
          </cell>
          <cell r="N398">
            <v>0.67947613522678196</v>
          </cell>
          <cell r="O398">
            <v>0.70347066154899307</v>
          </cell>
          <cell r="P398">
            <v>0.79845590330772909</v>
          </cell>
        </row>
        <row r="400">
          <cell r="A400" t="str">
            <v>Number of Lines</v>
          </cell>
        </row>
        <row r="401">
          <cell r="A401" t="str">
            <v xml:space="preserve">   - Daman (1.25 MW Line)</v>
          </cell>
          <cell r="E401">
            <v>3</v>
          </cell>
          <cell r="F401">
            <v>3</v>
          </cell>
          <cell r="G401">
            <v>3</v>
          </cell>
          <cell r="H401">
            <v>1</v>
          </cell>
          <cell r="I401">
            <v>1</v>
          </cell>
          <cell r="J401">
            <v>1</v>
          </cell>
          <cell r="K401">
            <v>1</v>
          </cell>
          <cell r="L401">
            <v>1</v>
          </cell>
          <cell r="M401">
            <v>1</v>
          </cell>
          <cell r="N401">
            <v>1</v>
          </cell>
          <cell r="O401">
            <v>1</v>
          </cell>
          <cell r="P401">
            <v>1</v>
          </cell>
        </row>
        <row r="402">
          <cell r="A402" t="str">
            <v xml:space="preserve">   - Daman (1.5 MW Line)</v>
          </cell>
          <cell r="H402">
            <v>1</v>
          </cell>
          <cell r="I402">
            <v>1</v>
          </cell>
          <cell r="J402">
            <v>1</v>
          </cell>
          <cell r="K402">
            <v>1</v>
          </cell>
          <cell r="L402">
            <v>1</v>
          </cell>
          <cell r="M402">
            <v>1</v>
          </cell>
          <cell r="N402">
            <v>1</v>
          </cell>
          <cell r="O402">
            <v>1</v>
          </cell>
          <cell r="P402">
            <v>1</v>
          </cell>
        </row>
        <row r="403">
          <cell r="A403" t="str">
            <v xml:space="preserve">   - Pondicherry (0.6 MW Line)</v>
          </cell>
          <cell r="G403">
            <v>1.5</v>
          </cell>
          <cell r="H403">
            <v>1</v>
          </cell>
          <cell r="I403">
            <v>1</v>
          </cell>
          <cell r="J403">
            <v>1</v>
          </cell>
          <cell r="K403">
            <v>1</v>
          </cell>
          <cell r="L403">
            <v>1</v>
          </cell>
          <cell r="M403">
            <v>1</v>
          </cell>
          <cell r="N403">
            <v>1</v>
          </cell>
          <cell r="O403">
            <v>1</v>
          </cell>
          <cell r="P403">
            <v>1</v>
          </cell>
        </row>
        <row r="404">
          <cell r="A404" t="str">
            <v xml:space="preserve">   - Pondicherry (1.25 MW Line)</v>
          </cell>
          <cell r="F404">
            <v>3</v>
          </cell>
          <cell r="G404">
            <v>3</v>
          </cell>
          <cell r="H404">
            <v>4</v>
          </cell>
          <cell r="I404">
            <v>4</v>
          </cell>
          <cell r="J404">
            <v>4</v>
          </cell>
          <cell r="K404">
            <v>4</v>
          </cell>
          <cell r="L404">
            <v>4</v>
          </cell>
          <cell r="M404">
            <v>4</v>
          </cell>
          <cell r="N404">
            <v>4</v>
          </cell>
          <cell r="O404">
            <v>4</v>
          </cell>
          <cell r="P404">
            <v>4</v>
          </cell>
        </row>
        <row r="405">
          <cell r="A405" t="str">
            <v xml:space="preserve">   - Pondicherry (1.5 MW Line)</v>
          </cell>
          <cell r="G405">
            <v>1</v>
          </cell>
          <cell r="H405">
            <v>1</v>
          </cell>
          <cell r="I405">
            <v>1</v>
          </cell>
          <cell r="J405">
            <v>1</v>
          </cell>
          <cell r="K405">
            <v>1</v>
          </cell>
          <cell r="L405">
            <v>1</v>
          </cell>
          <cell r="M405">
            <v>1</v>
          </cell>
          <cell r="N405">
            <v>1</v>
          </cell>
          <cell r="O405">
            <v>1</v>
          </cell>
          <cell r="P405">
            <v>1</v>
          </cell>
        </row>
        <row r="406">
          <cell r="A406" t="str">
            <v xml:space="preserve">   - Pondicherry (2.1 MW Line)</v>
          </cell>
          <cell r="F406">
            <v>1</v>
          </cell>
          <cell r="G406">
            <v>1</v>
          </cell>
          <cell r="H406">
            <v>1</v>
          </cell>
          <cell r="I406">
            <v>1</v>
          </cell>
          <cell r="J406">
            <v>1</v>
          </cell>
          <cell r="K406">
            <v>1</v>
          </cell>
          <cell r="L406">
            <v>1</v>
          </cell>
          <cell r="M406">
            <v>1</v>
          </cell>
          <cell r="N406">
            <v>1</v>
          </cell>
          <cell r="O406">
            <v>1</v>
          </cell>
          <cell r="P406">
            <v>1</v>
          </cell>
        </row>
        <row r="407">
          <cell r="A407" t="str">
            <v xml:space="preserve">   - Dhulia  (1.5 MW Line)</v>
          </cell>
          <cell r="G407">
            <v>1</v>
          </cell>
          <cell r="H407">
            <v>1</v>
          </cell>
          <cell r="I407">
            <v>1</v>
          </cell>
          <cell r="J407">
            <v>1</v>
          </cell>
          <cell r="K407">
            <v>1</v>
          </cell>
          <cell r="L407">
            <v>1</v>
          </cell>
          <cell r="M407">
            <v>1</v>
          </cell>
          <cell r="N407">
            <v>1</v>
          </cell>
          <cell r="O407">
            <v>1</v>
          </cell>
          <cell r="P407">
            <v>1</v>
          </cell>
        </row>
        <row r="408">
          <cell r="A408" t="str">
            <v xml:space="preserve">   - Ghandhidham (1.5 MW Line)</v>
          </cell>
          <cell r="G408">
            <v>1</v>
          </cell>
          <cell r="H408">
            <v>1</v>
          </cell>
          <cell r="I408">
            <v>1</v>
          </cell>
          <cell r="J408">
            <v>1</v>
          </cell>
          <cell r="K408">
            <v>1</v>
          </cell>
          <cell r="L408">
            <v>1</v>
          </cell>
          <cell r="M408">
            <v>1</v>
          </cell>
          <cell r="N408">
            <v>1</v>
          </cell>
          <cell r="O408">
            <v>1</v>
          </cell>
          <cell r="P408">
            <v>1</v>
          </cell>
        </row>
        <row r="409">
          <cell r="A409" t="str">
            <v xml:space="preserve">   - US (1.5 MW Line)</v>
          </cell>
          <cell r="H409">
            <v>1.2</v>
          </cell>
          <cell r="I409">
            <v>1.2</v>
          </cell>
          <cell r="J409">
            <v>1.2</v>
          </cell>
          <cell r="K409">
            <v>1.2</v>
          </cell>
          <cell r="L409">
            <v>1.2</v>
          </cell>
          <cell r="M409">
            <v>1.2</v>
          </cell>
          <cell r="N409">
            <v>1.2</v>
          </cell>
          <cell r="O409">
            <v>1.2</v>
          </cell>
          <cell r="P409">
            <v>1.2</v>
          </cell>
        </row>
        <row r="410">
          <cell r="A410" t="str">
            <v xml:space="preserve">   - US (2.1 MW Line)</v>
          </cell>
          <cell r="H410">
            <v>2</v>
          </cell>
          <cell r="I410">
            <v>2</v>
          </cell>
          <cell r="J410">
            <v>2</v>
          </cell>
          <cell r="K410">
            <v>2</v>
          </cell>
          <cell r="L410">
            <v>4</v>
          </cell>
          <cell r="M410">
            <v>6</v>
          </cell>
          <cell r="N410">
            <v>6</v>
          </cell>
          <cell r="O410">
            <v>6</v>
          </cell>
          <cell r="P410">
            <v>6</v>
          </cell>
        </row>
        <row r="411">
          <cell r="A411" t="str">
            <v xml:space="preserve">   - China (1.5 MW Line)</v>
          </cell>
          <cell r="H411">
            <v>4</v>
          </cell>
          <cell r="I411">
            <v>4</v>
          </cell>
          <cell r="J411">
            <v>4.6665000000000001</v>
          </cell>
          <cell r="K411">
            <v>6.6665000000000001</v>
          </cell>
          <cell r="L411">
            <v>9.6664999999999992</v>
          </cell>
          <cell r="M411">
            <v>11.666499999999999</v>
          </cell>
          <cell r="N411">
            <v>11.666499999999999</v>
          </cell>
          <cell r="O411">
            <v>11.666499999999999</v>
          </cell>
          <cell r="P411">
            <v>13.666499999999999</v>
          </cell>
        </row>
        <row r="413">
          <cell r="A413" t="str">
            <v>Components</v>
          </cell>
        </row>
        <row r="414">
          <cell r="A414" t="str">
            <v>Foundry &amp; Machining (MT)</v>
          </cell>
          <cell r="G414" t="str">
            <v>Commencement in 3QFY09</v>
          </cell>
          <cell r="J414">
            <v>50000</v>
          </cell>
          <cell r="K414">
            <v>120000</v>
          </cell>
          <cell r="L414">
            <v>120000</v>
          </cell>
          <cell r="M414">
            <v>120000</v>
          </cell>
          <cell r="N414">
            <v>120000</v>
          </cell>
          <cell r="O414">
            <v>120000</v>
          </cell>
          <cell r="P414">
            <v>120000</v>
          </cell>
        </row>
        <row r="415">
          <cell r="A415" t="str">
            <v>Forging &amp; Machining (MT)</v>
          </cell>
          <cell r="G415" t="str">
            <v>Commencement starting 3QFY09</v>
          </cell>
          <cell r="J415">
            <v>35000</v>
          </cell>
          <cell r="K415">
            <v>70000</v>
          </cell>
          <cell r="L415">
            <v>70000</v>
          </cell>
          <cell r="M415">
            <v>70000</v>
          </cell>
          <cell r="N415">
            <v>70000</v>
          </cell>
          <cell r="O415">
            <v>70000</v>
          </cell>
          <cell r="P415">
            <v>70000</v>
          </cell>
        </row>
        <row r="421">
          <cell r="A421" t="str">
            <v>INDIA - [MNES, WindPower India]</v>
          </cell>
          <cell r="E421">
            <v>2004</v>
          </cell>
          <cell r="F421">
            <v>2005</v>
          </cell>
          <cell r="G421">
            <v>2006</v>
          </cell>
          <cell r="H421">
            <v>2007</v>
          </cell>
          <cell r="I421">
            <v>2008</v>
          </cell>
          <cell r="J421">
            <v>2009</v>
          </cell>
          <cell r="K421">
            <v>2010</v>
          </cell>
          <cell r="L421">
            <v>2011</v>
          </cell>
          <cell r="M421">
            <v>2012</v>
          </cell>
          <cell r="N421">
            <v>2013</v>
          </cell>
          <cell r="O421">
            <v>2014</v>
          </cell>
          <cell r="P421">
            <v>2015</v>
          </cell>
          <cell r="R421" t="str">
            <v>Fy07-12</v>
          </cell>
        </row>
        <row r="423">
          <cell r="A423" t="str">
            <v>Installed Capacity</v>
          </cell>
          <cell r="E423">
            <v>2524</v>
          </cell>
          <cell r="F423">
            <v>3635.7</v>
          </cell>
          <cell r="G423">
            <v>5340.6</v>
          </cell>
          <cell r="H423">
            <v>7094.2</v>
          </cell>
          <cell r="I423">
            <v>8748</v>
          </cell>
          <cell r="J423">
            <v>10153.834782608696</v>
          </cell>
          <cell r="K423">
            <v>11803.062608695653</v>
          </cell>
          <cell r="L423">
            <v>13717.310245059289</v>
          </cell>
          <cell r="M423">
            <v>15795.743408695653</v>
          </cell>
          <cell r="N423">
            <v>18023.033197495653</v>
          </cell>
          <cell r="O423">
            <v>20394.970526718869</v>
          </cell>
          <cell r="P423">
            <v>22894.946396760919</v>
          </cell>
          <cell r="R423">
            <v>0.1555369085269529</v>
          </cell>
        </row>
        <row r="424">
          <cell r="A424" t="str">
            <v xml:space="preserve">YoY </v>
          </cell>
          <cell r="F424">
            <v>0.4404516640253564</v>
          </cell>
          <cell r="G424">
            <v>0.46893308028715253</v>
          </cell>
          <cell r="H424">
            <v>0.32835261955585504</v>
          </cell>
          <cell r="I424">
            <v>0.23312001353218115</v>
          </cell>
          <cell r="J424">
            <v>0.16070356454146051</v>
          </cell>
          <cell r="K424">
            <v>0.16242413446708071</v>
          </cell>
          <cell r="L424">
            <v>0.16218228266902135</v>
          </cell>
          <cell r="M424">
            <v>0.15151900237766913</v>
          </cell>
          <cell r="N424">
            <v>0.14100569572267574</v>
          </cell>
          <cell r="O424">
            <v>0.13160589026450897</v>
          </cell>
          <cell r="P424">
            <v>0.1225780575052513</v>
          </cell>
        </row>
        <row r="425">
          <cell r="A425" t="str">
            <v>Capacity Addition</v>
          </cell>
          <cell r="F425">
            <v>1111.6999999999998</v>
          </cell>
          <cell r="G425">
            <v>1704.9000000000005</v>
          </cell>
          <cell r="H425">
            <v>1753.5999999999995</v>
          </cell>
          <cell r="I425">
            <v>1653.8000000000002</v>
          </cell>
          <cell r="J425">
            <v>1405.8347826086956</v>
          </cell>
          <cell r="K425">
            <v>1649.2278260869566</v>
          </cell>
          <cell r="L425">
            <v>1914.247636363636</v>
          </cell>
          <cell r="M425">
            <v>2078.4331636363636</v>
          </cell>
          <cell r="N425">
            <v>2227.2897888000002</v>
          </cell>
          <cell r="O425">
            <v>2371.9373292232149</v>
          </cell>
          <cell r="P425">
            <v>2499.975870042048</v>
          </cell>
          <cell r="R425">
            <v>6.1350301668192886E-2</v>
          </cell>
        </row>
        <row r="426">
          <cell r="A426" t="str">
            <v xml:space="preserve">YoY </v>
          </cell>
          <cell r="G426">
            <v>0.53359719348745238</v>
          </cell>
          <cell r="H426">
            <v>2.8564725203823693E-2</v>
          </cell>
          <cell r="I426">
            <v>-5.6911496350364521E-2</v>
          </cell>
          <cell r="J426">
            <v>-0.14993664130566242</v>
          </cell>
          <cell r="K426">
            <v>0.17313061711747935</v>
          </cell>
          <cell r="L426">
            <v>0.16069326874351808</v>
          </cell>
          <cell r="M426">
            <v>8.5770265118163769E-2</v>
          </cell>
          <cell r="N426">
            <v>7.1619635294503103E-2</v>
          </cell>
          <cell r="O426">
            <v>6.4943296175728804E-2</v>
          </cell>
          <cell r="P426">
            <v>5.3980574967705586E-2</v>
          </cell>
        </row>
        <row r="428">
          <cell r="A428" t="str">
            <v xml:space="preserve">Suzlon' - Domestic sales </v>
          </cell>
          <cell r="F428">
            <v>507.7</v>
          </cell>
          <cell r="G428">
            <v>882.55</v>
          </cell>
          <cell r="H428">
            <v>954.6</v>
          </cell>
          <cell r="I428">
            <v>975.7</v>
          </cell>
          <cell r="J428">
            <v>808.3549999999999</v>
          </cell>
          <cell r="K428">
            <v>948.30599999999993</v>
          </cell>
          <cell r="L428">
            <v>1052.8362</v>
          </cell>
          <cell r="M428">
            <v>1143.13824</v>
          </cell>
          <cell r="N428">
            <v>1225.0093838400003</v>
          </cell>
          <cell r="O428">
            <v>1304.5655310727682</v>
          </cell>
          <cell r="P428">
            <v>1374.9867285231264</v>
          </cell>
          <cell r="R428">
            <v>4.6561181558389286E-2</v>
          </cell>
        </row>
        <row r="429">
          <cell r="G429">
            <v>0.73832972227693516</v>
          </cell>
          <cell r="H429">
            <v>8.1638434083054934E-2</v>
          </cell>
          <cell r="I429">
            <v>2.2103498847684921E-2</v>
          </cell>
          <cell r="J429">
            <v>-0.17151276006969374</v>
          </cell>
          <cell r="K429">
            <v>0.17313061711747935</v>
          </cell>
          <cell r="L429">
            <v>0.11022834401553938</v>
          </cell>
          <cell r="M429">
            <v>8.5770265118163769E-2</v>
          </cell>
          <cell r="N429">
            <v>7.1619635294503325E-2</v>
          </cell>
          <cell r="O429">
            <v>6.4943296175728582E-2</v>
          </cell>
          <cell r="P429">
            <v>5.3980574967705586E-2</v>
          </cell>
        </row>
        <row r="430">
          <cell r="A430" t="str">
            <v>Market share assumption</v>
          </cell>
          <cell r="F430">
            <v>0.4566879553836467</v>
          </cell>
          <cell r="G430">
            <v>0.51765499442782548</v>
          </cell>
          <cell r="H430">
            <v>0.54436587591240893</v>
          </cell>
          <cell r="I430">
            <v>0.58997460394243562</v>
          </cell>
          <cell r="J430">
            <v>0.57499999999999996</v>
          </cell>
          <cell r="K430">
            <v>0.57499999999999996</v>
          </cell>
          <cell r="L430">
            <v>0.55000000000000004</v>
          </cell>
          <cell r="M430">
            <v>0.55000000000000004</v>
          </cell>
          <cell r="N430">
            <v>0.55000000000000004</v>
          </cell>
          <cell r="O430">
            <v>0.55000000000000004</v>
          </cell>
          <cell r="P430">
            <v>0.55000000000000004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Query#"/>
      <sheetName val="RECOCHF"/>
      <sheetName val="RECOEUR"/>
      <sheetName val="RECOUSD"/>
      <sheetName val="MERCH.CHF"/>
      <sheetName val="MERCH.EUR"/>
      <sheetName val="MERCH.USD"/>
      <sheetName val="MISC.CHF"/>
      <sheetName val="MISC.EUR"/>
      <sheetName val="MISC.USD"/>
      <sheetName val="WTG"/>
      <sheetName val="Consoli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_pcSlicerSheet1"/>
      <sheetName val="Customize Your Purchase Order"/>
      <sheetName val="P&amp;L Group format"/>
      <sheetName val="BS Liability Group format"/>
      <sheetName val="BS Asset Group format"/>
      <sheetName val="Quarterly Scrap"/>
      <sheetName val="Raw Mtls."/>
      <sheetName val="WIP"/>
      <sheetName val="Finished Goods"/>
      <sheetName val="Raw Data"/>
      <sheetName val="Control consol"/>
      <sheetName val="2005 Capital Plan"/>
      <sheetName val="2005 OneTimePLImpact Plan"/>
      <sheetName val="2005 Depreciation Plan"/>
      <sheetName val="2005 Project Summary"/>
      <sheetName val="2005 RecurringPLImpact Plan"/>
      <sheetName val="Norht_RO"/>
      <sheetName val="RO_South"/>
      <sheetName val="RO_Central"/>
      <sheetName val="mbl_unit"/>
      <sheetName val="Mum_Dep"/>
      <sheetName val="Customize_Your_Purchase_Order"/>
      <sheetName val="P&amp;L_Group_format"/>
      <sheetName val="BS_Liability_Group_format"/>
      <sheetName val="BS_Asset_Group_format"/>
      <sheetName val="Quarterly_Scrap"/>
      <sheetName val="Raw_Mtls_"/>
      <sheetName val="Finished_Goods"/>
      <sheetName val="Raw_Data"/>
      <sheetName val="Drop Down"/>
      <sheetName val="????(?????)"/>
      <sheetName val="LCGRAPH"/>
      <sheetName val="POLY"/>
      <sheetName val="form26"/>
      <sheetName val="Sheet2"/>
      <sheetName val="Output Sheet"/>
      <sheetName val="Norht_RO1"/>
      <sheetName val="RO_South1"/>
      <sheetName val="RO_Central1"/>
      <sheetName val="mbl_unit1"/>
      <sheetName val="Mum_Dep1"/>
      <sheetName val="Norht_RO2"/>
      <sheetName val="RO_South2"/>
      <sheetName val="RO_Central2"/>
      <sheetName val="mbl_unit2"/>
      <sheetName val="Mum_Dep2"/>
      <sheetName val="Customize_Your_Purchase_Order1"/>
      <sheetName val="P&amp;L_Group_format1"/>
      <sheetName val="BS_Liability_Group_format1"/>
      <sheetName val="BS_Asset_Group_format1"/>
      <sheetName val="Quarterly_Scrap1"/>
      <sheetName val="Raw_Mtls_1"/>
      <sheetName val="Finished_Goods1"/>
      <sheetName val="Raw_Data1"/>
      <sheetName val="Norht_RO3"/>
      <sheetName val="RO_South3"/>
      <sheetName val="RO_Central3"/>
      <sheetName val="mbl_unit3"/>
      <sheetName val="Mum_Dep3"/>
      <sheetName val="Customize_Your_Purchase_Order2"/>
      <sheetName val="P&amp;L_Group_format2"/>
      <sheetName val="BS_Liability_Group_format2"/>
      <sheetName val="BS_Asset_Group_format2"/>
      <sheetName val="Quarterly_Scrap2"/>
      <sheetName val="Raw_Mtls_2"/>
      <sheetName val="Finished_Goods2"/>
      <sheetName val="Raw_Data2"/>
      <sheetName val="Base_Dom"/>
      <sheetName val="1"/>
      <sheetName val="BSSchedules"/>
      <sheetName val="#REF"/>
      <sheetName val="Consolidated"/>
      <sheetName val="References"/>
      <sheetName val="BS and P&amp;L"/>
      <sheetName val="130-UNIDADES"/>
      <sheetName val="power &amp; fuel"/>
      <sheetName val="rent agree"/>
      <sheetName val="Annexure"/>
      <sheetName val="Creditors Details_Dec"/>
      <sheetName val="DAILY REPORT"/>
      <sheetName val="CPLAN"/>
      <sheetName val="AR"/>
      <sheetName val="Exchange"/>
      <sheetName val="ANX"/>
      <sheetName val="Directors"/>
      <sheetName val="Schedules"/>
      <sheetName val="chart 1"/>
      <sheetName val="Budget98UK£"/>
      <sheetName val="Hyp-mstr"/>
      <sheetName val="BS_ABRIDGED"/>
      <sheetName val="EXPENSES"/>
      <sheetName val="????&lt;?&gt;"/>
      <sheetName val="Input"/>
      <sheetName val="Rev Fct"/>
      <sheetName val="Stock"/>
      <sheetName val="jan'04"/>
      <sheetName val="Power_Fuel"/>
      <sheetName val="Power&amp;Fuel"/>
      <sheetName val="INPUTS"/>
      <sheetName val="Customer Wise-31-Jan"/>
      <sheetName val="____(_____)"/>
      <sheetName val="wdr bldg"/>
      <sheetName val="Location &amp; Dept Master"/>
      <sheetName val="EAW Final Accounts - 99"/>
      <sheetName val="corporate"/>
      <sheetName val="BE"/>
      <sheetName val="INVTREND"/>
      <sheetName val="FA Register"/>
      <sheetName val="Upside (bkup)"/>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
      <sheetName val="P&amp;L"/>
      <sheetName val="BS sched FS"/>
      <sheetName val="Fixed Assets"/>
      <sheetName val="P&amp;L Schedule"/>
      <sheetName val="Entries pending"/>
      <sheetName val="Re-groupings 04"/>
      <sheetName val="groupings pnl"/>
      <sheetName val="groupings bs"/>
      <sheetName val="PnL MAR03"/>
      <sheetName val="BSMAR03"/>
      <sheetName val="BSMAR04"/>
      <sheetName val="PNLMAR04"/>
      <sheetName val="EPS"/>
      <sheetName val="R&amp;D"/>
      <sheetName val="ADDITIONS"/>
      <sheetName val="DELE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 (2)"/>
      <sheetName val="ANALY-BOQ"/>
      <sheetName val="ANALYS-LS"/>
      <sheetName val="BOQ"/>
      <sheetName val="PART-I"/>
      <sheetName val="I-11"/>
      <sheetName val="I-15"/>
      <sheetName val="sumps"/>
      <sheetName val="GATES(21,22)"/>
      <sheetName val="final abstract"/>
      <sheetName val="Basement Budget"/>
      <sheetName val="RECAPITULATION"/>
      <sheetName val="Rate analysis"/>
      <sheetName val="Break up Sheet"/>
      <sheetName val="TBAL9697 -group wise  sdpl"/>
      <sheetName val="B &amp; C - M - ccp"/>
      <sheetName val="Fee Rate Summary"/>
      <sheetName val="Materials Cost"/>
      <sheetName val="Old"/>
      <sheetName val="10. &amp; 11. Rate Code &amp; BQ"/>
      <sheetName val="Main-Material"/>
      <sheetName val="RES STEEL TO"/>
      <sheetName val="COLUMN"/>
      <sheetName val="SUmmary-RMZ"/>
      <sheetName val="RMZ Summary"/>
      <sheetName val="sept-plan"/>
      <sheetName val="Fill this out first..."/>
      <sheetName val="Micro"/>
      <sheetName val="Macro"/>
      <sheetName val="Scaff-Rose"/>
      <sheetName val="Fin Sum"/>
      <sheetName val="CASHFLOWS"/>
      <sheetName val="SUMMARY"/>
      <sheetName val="Site Dev BOQ"/>
      <sheetName val="Staff Forecast spread"/>
      <sheetName val="Field Values"/>
      <sheetName val="A"/>
      <sheetName val="Sheet2"/>
      <sheetName val="dyes"/>
      <sheetName val="Sheet3"/>
      <sheetName val="UTILITY"/>
      <sheetName val="Config"/>
      <sheetName val="Break Dw"/>
      <sheetName val="BOQ_Direct_selling cost"/>
      <sheetName val="BOQ (2)"/>
      <sheetName val="MASTER_RATE ANALYSIS"/>
      <sheetName val="Stress Calculation"/>
      <sheetName val="SPT vs PHI"/>
      <sheetName val="IO List"/>
      <sheetName val="GBW"/>
      <sheetName val="FitOutConfCentre"/>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Preside"/>
      <sheetName val="Summary_Local"/>
      <sheetName val="factor sheet"/>
      <sheetName val="RA"/>
      <sheetName val="Factor_Sheet"/>
      <sheetName val="Exp."/>
      <sheetName val="Factors"/>
      <sheetName val="Headings"/>
      <sheetName val="Costing"/>
      <sheetName val="VIWSCo1"/>
      <sheetName val="RA-markate"/>
      <sheetName val="Structure Bills Qty"/>
      <sheetName val="Builtup Area"/>
      <sheetName val="analysis"/>
      <sheetName val="cubes_M20"/>
      <sheetName val="Cop -VGN"/>
      <sheetName val="database"/>
      <sheetName val="경비공통"/>
      <sheetName val="Input"/>
      <sheetName val="Activity"/>
      <sheetName val="Crew"/>
      <sheetName val="Piping"/>
      <sheetName val="Pipe Supports"/>
      <sheetName val="S1BOQ"/>
      <sheetName val="2gii"/>
      <sheetName val="Manpower"/>
      <sheetName val="HPL"/>
      <sheetName val="월선수금"/>
      <sheetName val="Materials "/>
      <sheetName val="strand"/>
      <sheetName val="MN T.B."/>
      <sheetName val="Civil Boq"/>
      <sheetName val="MES-SEC"/>
      <sheetName val="A1-Continuous"/>
      <sheetName val="Coalmine"/>
      <sheetName val="INDIGINEOUS ITEMS "/>
      <sheetName val="THK"/>
      <sheetName val="Sheet1"/>
      <sheetName val="starter"/>
      <sheetName val="BLK2"/>
      <sheetName val="BLK3"/>
      <sheetName val="E &amp; R"/>
      <sheetName val="radar"/>
      <sheetName val="UG"/>
      <sheetName val="Load Details(B1)"/>
      <sheetName val="PART-I_(2)"/>
      <sheetName val="final_abstract"/>
      <sheetName val="Design"/>
      <sheetName val="PA- Consutant "/>
      <sheetName val="Debits as on 12.04.08"/>
      <sheetName val="Sheet3 (2)"/>
      <sheetName val="대외공문"/>
      <sheetName val="Build-up"/>
      <sheetName val="FORM7"/>
      <sheetName val="RCC,Ret. Wall"/>
      <sheetName val="RA 4 Challan Summary "/>
      <sheetName val="p&amp;m"/>
      <sheetName val="Labour productivity"/>
      <sheetName val="labour coeff"/>
      <sheetName val="COST"/>
      <sheetName val="Formulas"/>
      <sheetName val="Data"/>
      <sheetName val="Lead"/>
      <sheetName val="Analy_7-10"/>
      <sheetName val="INDORAMA Group June 02"/>
      <sheetName val="gen"/>
      <sheetName val="CABLE DATA"/>
      <sheetName val="INPUT-DATA1"/>
      <sheetName val="For Bill-04 PS"/>
      <sheetName val="VCH-SLC"/>
      <sheetName val="Supplier"/>
      <sheetName val="Desgn(zone I)"/>
      <sheetName val="Bed Class"/>
      <sheetName val="Cd"/>
      <sheetName val="M B-QtyRecn"/>
      <sheetName val="Rates"/>
      <sheetName val="PH data"/>
      <sheetName val="labour"/>
      <sheetName val="Details (3)"/>
      <sheetName val="ORDER BOOKING"/>
      <sheetName val="Mat.Cost"/>
      <sheetName val="Quotation"/>
      <sheetName val="Sqn _Main_ Abs"/>
      <sheetName val="Approved MTD Proj #'s"/>
      <sheetName val="Staff Acco."/>
      <sheetName val="Section Catalogue"/>
      <sheetName val="#REF!"/>
      <sheetName val="col-reinft1"/>
      <sheetName val="Lowside"/>
      <sheetName val="Measurements"/>
      <sheetName val="Tables"/>
      <sheetName val="Flooring"/>
      <sheetName val="Ceilings"/>
      <sheetName val="ACAD Finishes"/>
      <sheetName val="Site Details"/>
      <sheetName val="Chair"/>
      <sheetName val="Site Area Statement"/>
      <sheetName val="Doors"/>
      <sheetName val="Estimate"/>
      <sheetName val="beam-reinft-IIInd floor"/>
      <sheetName val="目录"/>
      <sheetName val="Basement_Budget"/>
      <sheetName val="Rate_analysis"/>
      <sheetName val="Fee_Rate_Summary"/>
      <sheetName val="Materials_Cost"/>
      <sheetName val="Break_up_Sheet"/>
      <sheetName val="RES_STEEL_TO"/>
      <sheetName val="10__&amp;_11__Rate_Code_&amp;_BQ"/>
      <sheetName val="B_&amp;_C_-_M_-_ccp"/>
      <sheetName val="RMZ_Summary"/>
      <sheetName val="Fin_Sum"/>
      <sheetName val="Fill_this_out_first___"/>
      <sheetName val="Site_Dev_BOQ"/>
      <sheetName val="Staff_Forecast_spread"/>
      <sheetName val="Field_Values"/>
      <sheetName val="INDORAMA_Group_June_02"/>
      <sheetName val="Pipe_Supports"/>
      <sheetName val="RCC,Ret__Wall"/>
      <sheetName val="RA_4_Challan_Summary_"/>
      <sheetName val="Labour_productivity"/>
      <sheetName val="labour_coeff"/>
      <sheetName val="PART-I_(2)1"/>
      <sheetName val="final_abstract1"/>
      <sheetName val="Fee_Rate_Summary1"/>
      <sheetName val="Basement_Budget1"/>
      <sheetName val="Rate_analysis1"/>
      <sheetName val="Materials_Cost1"/>
      <sheetName val="Break_up_Sheet1"/>
      <sheetName val="RES_STEEL_TO1"/>
      <sheetName val="10__&amp;_11__Rate_Code_&amp;_BQ1"/>
      <sheetName val="B_&amp;_C_-_M_-_ccp1"/>
      <sheetName val="RMZ_Summary1"/>
      <sheetName val="Fin_Sum1"/>
      <sheetName val="Fill_this_out_first___1"/>
      <sheetName val="Site_Dev_BOQ1"/>
      <sheetName val="Staff_Forecast_spread1"/>
      <sheetName val="Field_Values1"/>
      <sheetName val="INDORAMA_Group_June_021"/>
      <sheetName val="Pipe_Supports1"/>
      <sheetName val="RCC,Ret__Wall1"/>
      <sheetName val="RA_4_Challan_Summary_1"/>
      <sheetName val="Labour_productivity1"/>
      <sheetName val="labour_coeff1"/>
      <sheetName val="BOQ_Direct_selling_cost"/>
      <sheetName val="MASTER_RATE_ANALYSIS"/>
      <sheetName val="Stress_Calculation"/>
      <sheetName val="IO_List"/>
      <sheetName val="Structure_Bills_Qty"/>
      <sheetName val="Builtup_Area"/>
      <sheetName val="Cop_-VGN"/>
      <sheetName val="Materials_"/>
      <sheetName val="MN_T_B_"/>
      <sheetName val="Exp_"/>
      <sheetName val="INDIGINEOUS_ITEMS_"/>
      <sheetName val="E_&amp;_R"/>
      <sheetName val="Civil_Boq"/>
      <sheetName val="SPT_vs_PHI"/>
      <sheetName val="Delhi"/>
      <sheetName val="lookup"/>
      <sheetName val="선수금"/>
      <sheetName val="jobhist"/>
      <sheetName val="Code"/>
      <sheetName val="Set"/>
      <sheetName val="Summary_Bank"/>
      <sheetName val="GR.slab-reinft"/>
      <sheetName val="SCHEDULE"/>
      <sheetName val="Staircase "/>
      <sheetName val="Voucher"/>
      <sheetName val="TBAL9697_-group_wise__sdpl"/>
      <sheetName val="Break_Dw"/>
      <sheetName val="Load_Details(B1)"/>
      <sheetName val="PA-_Consutant_"/>
      <sheetName val="Debits_as_on_12_04_08"/>
      <sheetName val="Desgn(zone_I)"/>
      <sheetName val="Bed_Class"/>
      <sheetName val="PART-I_(2)2"/>
      <sheetName val="final_abstract2"/>
      <sheetName val="Structure_Bills_Qty1"/>
      <sheetName val="Builtup_Area1"/>
      <sheetName val="MASTER_RATE_ANALYSIS1"/>
      <sheetName val="Cop_-VGN1"/>
      <sheetName val="Materials_1"/>
      <sheetName val="MN_T_B_1"/>
      <sheetName val="BOQ_Direct_selling_cost1"/>
      <sheetName val="Stress_Calculation1"/>
      <sheetName val="IO_List1"/>
      <sheetName val="E_&amp;_R1"/>
      <sheetName val="Exp_1"/>
      <sheetName val="INDIGINEOUS_ITEMS_1"/>
      <sheetName val="TBAL9697_-group_wise__sdpl1"/>
      <sheetName val="Break_Dw1"/>
      <sheetName val="Load_Details(B1)1"/>
      <sheetName val="SPT_vs_PHI1"/>
      <sheetName val="Civil_Boq1"/>
      <sheetName val="PA-_Consutant_1"/>
      <sheetName val="Debits_as_on_12_04_081"/>
      <sheetName val="Desgn(zone_I)1"/>
      <sheetName val="Bed_Class1"/>
      <sheetName val="PART-I_(2)3"/>
      <sheetName val="final_abstract3"/>
      <sheetName val="Fee_Rate_Summary2"/>
      <sheetName val="Basement_Budget2"/>
      <sheetName val="Rate_analysis2"/>
      <sheetName val="Materials_Cost2"/>
      <sheetName val="10__&amp;_11__Rate_Code_&amp;_BQ2"/>
      <sheetName val="Break_up_Sheet2"/>
      <sheetName val="B_&amp;_C_-_M_-_ccp2"/>
      <sheetName val="RES_STEEL_TO2"/>
      <sheetName val="RMZ_Summary2"/>
      <sheetName val="Pipe_Supports2"/>
      <sheetName val="Field_Values2"/>
      <sheetName val="Fin_Sum2"/>
      <sheetName val="Fill_this_out_first___2"/>
      <sheetName val="Site_Dev_BOQ2"/>
      <sheetName val="Staff_Forecast_spread2"/>
      <sheetName val="Structure_Bills_Qty2"/>
      <sheetName val="Builtup_Area2"/>
      <sheetName val="MASTER_RATE_ANALYSIS2"/>
      <sheetName val="Cop_-VGN2"/>
      <sheetName val="Materials_2"/>
      <sheetName val="MN_T_B_2"/>
      <sheetName val="BOQ_Direct_selling_cost2"/>
      <sheetName val="Stress_Calculation2"/>
      <sheetName val="IO_List2"/>
      <sheetName val="E_&amp;_R2"/>
      <sheetName val="factor_sheet1"/>
      <sheetName val="Exp_2"/>
      <sheetName val="INDIGINEOUS_ITEMS_2"/>
      <sheetName val="TBAL9697_-group_wise__sdpl2"/>
      <sheetName val="Break_Dw2"/>
      <sheetName val="Load_Details(B1)2"/>
      <sheetName val="SPT_vs_PHI2"/>
      <sheetName val="Civil_Boq2"/>
      <sheetName val="PA-_Consutant_2"/>
      <sheetName val="Debits_as_on_12_04_082"/>
      <sheetName val="INDORAMA_Group_June_022"/>
      <sheetName val="Desgn(zone_I)2"/>
      <sheetName val="Bed_Class2"/>
      <sheetName val="PART-I_(2)4"/>
      <sheetName val="final_abstract4"/>
      <sheetName val="Fee_Rate_Summary3"/>
      <sheetName val="Basement_Budget3"/>
      <sheetName val="Rate_analysis3"/>
      <sheetName val="Materials_Cost3"/>
      <sheetName val="10__&amp;_11__Rate_Code_&amp;_BQ3"/>
      <sheetName val="Break_up_Sheet3"/>
      <sheetName val="B_&amp;_C_-_M_-_ccp3"/>
      <sheetName val="RES_STEEL_TO3"/>
      <sheetName val="RMZ_Summary3"/>
      <sheetName val="Pipe_Supports3"/>
      <sheetName val="Field_Values3"/>
      <sheetName val="Fin_Sum3"/>
      <sheetName val="Fill_this_out_first___3"/>
      <sheetName val="Site_Dev_BOQ3"/>
      <sheetName val="Staff_Forecast_spread3"/>
      <sheetName val="Structure_Bills_Qty3"/>
      <sheetName val="Builtup_Area3"/>
      <sheetName val="MASTER_RATE_ANALYSIS3"/>
      <sheetName val="Cop_-VGN3"/>
      <sheetName val="Materials_3"/>
      <sheetName val="MN_T_B_3"/>
      <sheetName val="BOQ_Direct_selling_cost3"/>
      <sheetName val="Stress_Calculation3"/>
      <sheetName val="IO_List3"/>
      <sheetName val="E_&amp;_R3"/>
      <sheetName val="Exp_3"/>
      <sheetName val="INDIGINEOUS_ITEMS_3"/>
      <sheetName val="TBAL9697_-group_wise__sdpl3"/>
      <sheetName val="Break_Dw3"/>
      <sheetName val="Load_Details(B1)3"/>
      <sheetName val="SPT_vs_PHI3"/>
      <sheetName val="Civil_Boq3"/>
      <sheetName val="PA-_Consutant_3"/>
      <sheetName val="Debits_as_on_12_04_083"/>
      <sheetName val="INDORAMA_Group_June_023"/>
      <sheetName val="Desgn(zone_I)3"/>
      <sheetName val="Bed_Class3"/>
      <sheetName val="M_B-QtyRecn"/>
      <sheetName val="PART-I_(2)5"/>
      <sheetName val="final_abstract5"/>
      <sheetName val="Fee_Rate_Summary4"/>
      <sheetName val="Basement_Budget4"/>
      <sheetName val="Rate_analysis4"/>
      <sheetName val="Materials_Cost4"/>
      <sheetName val="10__&amp;_11__Rate_Code_&amp;_BQ4"/>
      <sheetName val="Break_up_Sheet4"/>
      <sheetName val="B_&amp;_C_-_M_-_ccp4"/>
      <sheetName val="RES_STEEL_TO4"/>
      <sheetName val="RMZ_Summary4"/>
      <sheetName val="Pipe_Supports4"/>
      <sheetName val="Field_Values4"/>
      <sheetName val="Fin_Sum4"/>
      <sheetName val="Fill_this_out_first___4"/>
      <sheetName val="Site_Dev_BOQ4"/>
      <sheetName val="Staff_Forecast_spread4"/>
      <sheetName val="Structure_Bills_Qty4"/>
      <sheetName val="Builtup_Area4"/>
      <sheetName val="MASTER_RATE_ANALYSIS4"/>
      <sheetName val="Cop_-VGN4"/>
      <sheetName val="Materials_4"/>
      <sheetName val="MN_T_B_4"/>
      <sheetName val="BOQ_Direct_selling_cost4"/>
      <sheetName val="Stress_Calculation4"/>
      <sheetName val="IO_List4"/>
      <sheetName val="E_&amp;_R4"/>
      <sheetName val="factor_sheet2"/>
      <sheetName val="Exp_4"/>
      <sheetName val="INDIGINEOUS_ITEMS_4"/>
      <sheetName val="TBAL9697_-group_wise__sdpl4"/>
      <sheetName val="Break_Dw4"/>
      <sheetName val="Load_Details(B1)4"/>
      <sheetName val="SPT_vs_PHI4"/>
      <sheetName val="Civil_Boq4"/>
      <sheetName val="PA-_Consutant_4"/>
      <sheetName val="Debits_as_on_12_04_084"/>
      <sheetName val="INDORAMA_Group_June_024"/>
      <sheetName val="Desgn(zone_I)4"/>
      <sheetName val="Bed_Class4"/>
      <sheetName val="M_B-QtyRecn1"/>
      <sheetName val="Interior"/>
      <sheetName val="parametry"/>
      <sheetName val="VARIABLE"/>
      <sheetName val="det_est"/>
      <sheetName val="#REF"/>
      <sheetName val="Aseet1998"/>
      <sheetName val="PACK (B)"/>
      <sheetName val="M-Book for Conc"/>
      <sheetName val="M-Book for FW"/>
      <sheetName val="Material "/>
      <sheetName val="BOQ-Tower"/>
      <sheetName val="concrete"/>
      <sheetName val="train cash"/>
      <sheetName val="accom cash"/>
      <sheetName val="Rates-May-14"/>
      <sheetName val="CPIPE"/>
      <sheetName val="BOQ civil"/>
      <sheetName val="NLD - Assum"/>
      <sheetName val="Capex-fixed"/>
      <sheetName val="schedule nos"/>
      <sheetName val="RES-PLANNING"/>
      <sheetName val="rdamdata"/>
      <sheetName val="Estimate "/>
      <sheetName val="HDPE"/>
      <sheetName val="Usage"/>
      <sheetName val="Common "/>
      <sheetName val="General"/>
      <sheetName val="office"/>
      <sheetName val="Lab"/>
      <sheetName val="Material&amp;equipment"/>
      <sheetName val="bill 2"/>
      <sheetName val="SOR"/>
      <sheetName val="Column Steel-R2"/>
      <sheetName val="std.wt."/>
      <sheetName val="purpose&amp;input"/>
      <sheetName val="INPUT SHEET"/>
      <sheetName val="beam-reinft-machine rm"/>
      <sheetName val="QS Name"/>
      <sheetName val="CANDY BOQ"/>
      <sheetName val="BOQ_(2)"/>
      <sheetName val="ACAD_Finishes"/>
      <sheetName val="Site_Details"/>
      <sheetName val="Site_Area_Statement"/>
      <sheetName val="Cable-data"/>
      <sheetName val="Detail"/>
      <sheetName val="B1"/>
      <sheetName val="d-safe specs"/>
      <sheetName val="d-safe DELUXE"/>
      <sheetName val="Diawise steel abstract"/>
      <sheetName val="SUMMARY-client"/>
      <sheetName val="Rising Main"/>
      <sheetName val="Register"/>
      <sheetName val="Meas.-Hotel Part"/>
      <sheetName val="Pay_Sep06"/>
      <sheetName val="LTG-STG"/>
      <sheetName val="CCTV_EST1"/>
      <sheetName val="01"/>
      <sheetName val="MFG"/>
      <sheetName val="Balustrade"/>
      <sheetName val="CFForecast detail"/>
      <sheetName val="Cash Flows &amp; IRR"/>
      <sheetName val="newsales"/>
      <sheetName val="WORK TABLE"/>
      <sheetName val="220 11  BS "/>
      <sheetName val="Intro."/>
      <sheetName val="협조전"/>
      <sheetName val="B3-B4-B5-B6"/>
      <sheetName val="Model (Not Merged)"/>
      <sheetName val="AK-Offertstammblatt"/>
      <sheetName val="Form 6"/>
      <sheetName val="EDWise"/>
      <sheetName val="IS"/>
      <sheetName val="SGS ACQ"/>
      <sheetName val="Version"/>
      <sheetName val="BOM"/>
      <sheetName val="Price Schedule"/>
      <sheetName val="Mat_Cost"/>
      <sheetName val="Cost_Any."/>
      <sheetName val="Ratio"/>
      <sheetName val="S &amp; A"/>
      <sheetName val="Mat_Cost1"/>
      <sheetName val="Price_Schedule"/>
      <sheetName val="S_&amp;_A"/>
      <sheetName val="Cost_Any_"/>
      <sheetName val="PointNo.5"/>
      <sheetName val="Mat_Cost2"/>
      <sheetName val="Price_Schedule1"/>
      <sheetName val="S_&amp;_A1"/>
      <sheetName val="Cost_Any_1"/>
      <sheetName val="Cost_any"/>
      <sheetName val="A.O.R."/>
      <sheetName val="PRECAST lightconc-II"/>
      <sheetName val="sheeet7"/>
      <sheetName val="QCEQPT-owned"/>
      <sheetName val="Tender Summary"/>
      <sheetName val="Internet"/>
      <sheetName val="Introduction"/>
      <sheetName val="Operating Statistics"/>
      <sheetName val="Financials"/>
      <sheetName val="Material Rate"/>
      <sheetName val="Conc_Analysis"/>
      <sheetName val="upa"/>
      <sheetName val="discounts_XP140"/>
      <sheetName val="TS-TC"/>
      <sheetName val="1"/>
      <sheetName val="대비표"/>
      <sheetName val="except wiring"/>
      <sheetName val="Cs"/>
      <sheetName val="CPIPE 1"/>
      <sheetName val="Retaing wall"/>
      <sheetName val="intr stool brkup"/>
      <sheetName val="P4-BOQ"/>
      <sheetName val="Assumptions"/>
      <sheetName val="3. Elemental Summary"/>
      <sheetName val="환율"/>
      <sheetName val="RAJU ASSO"/>
      <sheetName val="Vind - BtB"/>
      <sheetName val="소상 &quot;1&quot;"/>
      <sheetName val="Discount &amp; Margin"/>
      <sheetName val="PriceSummary"/>
      <sheetName val="BOQ Distribution"/>
      <sheetName val="Occ, Other Rev, Exp, Dispo"/>
      <sheetName val="Japan Reco"/>
      <sheetName val="PO Summary"/>
      <sheetName val="BOQ Summary"/>
      <sheetName val="Sec 1 Loose Furniture 18% GST"/>
      <sheetName val="Sec 1 Loose Furniture 12% GST"/>
      <sheetName val="Sec 1 Loose Furniture 5% GST"/>
      <sheetName val="Sec 2 Cafeteria Tables"/>
      <sheetName val="Sec 3 Cafeteria Chairs"/>
      <sheetName val="Sec 4 Work Floors - NT "/>
      <sheetName val="Sec 5 LGF Chairs-NT"/>
      <sheetName val="Sec 6 Additional 18% GST "/>
      <sheetName val="Sec 6 Additional 12% GST "/>
      <sheetName val="Sec 11-NT set 3"/>
      <sheetName val="DC Summary"/>
      <sheetName val="M Sheet"/>
      <sheetName val="RA4 Checklist"/>
      <sheetName val="B"/>
      <sheetName val="project"/>
      <sheetName val="Detail In Door Stad"/>
      <sheetName val="Qty-UG"/>
      <sheetName val="M.S."/>
      <sheetName val="Values"/>
      <sheetName val="INFRA-CONTRACOR"/>
      <sheetName val="Excavation"/>
      <sheetName val="RCC"/>
      <sheetName val=" Block work"/>
      <sheetName val="Plaster"/>
      <sheetName val="Flooring &amp; Road"/>
      <sheetName val="CHintamani"/>
      <sheetName val="SSF"/>
      <sheetName val="Plumbing"/>
      <sheetName val="Cement"/>
      <sheetName val="BOM "/>
      <sheetName val="SUBMITED bISS"/>
      <sheetName val="TOTAL SUMMARY"/>
      <sheetName val="QTY"/>
      <sheetName val="Branch Power"/>
      <sheetName val="Distrib"/>
      <sheetName val="Emergency"/>
      <sheetName val="Equipment"/>
      <sheetName val="Lighting"/>
      <sheetName val="P.Well( RCC)"/>
      <sheetName val="Template4444"/>
      <sheetName val="CONNECT"/>
      <sheetName val="DetEst"/>
      <sheetName val="basdat"/>
      <sheetName val="P-Ins &amp; Bonds"/>
      <sheetName val="pvc"/>
      <sheetName val="DATA-2005-06"/>
      <sheetName val="Labour &amp; Plant"/>
      <sheetName val="ssr-rates"/>
      <sheetName val="leads"/>
      <sheetName val="BS"/>
      <sheetName val="Capex"/>
      <sheetName val="ecc_res"/>
      <sheetName val="DOOR-WINDOW SCHEDULE"/>
      <sheetName val="BLOCK WORK-GRD FLR"/>
      <sheetName val="Labor abs-NMR"/>
      <sheetName val="water prop."/>
      <sheetName val="PART-I_(2)6"/>
      <sheetName val="final_abstract6"/>
      <sheetName val="Pipe_Supports5"/>
      <sheetName val="Basement_Budget5"/>
      <sheetName val="Rate_analysis5"/>
      <sheetName val="Break_up_Sheet5"/>
      <sheetName val="B_&amp;_C_-_M_-_ccp5"/>
      <sheetName val="Fee_Rate_Summary5"/>
      <sheetName val="Materials_Cost5"/>
      <sheetName val="10__&amp;_11__Rate_Code_&amp;_BQ5"/>
      <sheetName val="RES_STEEL_TO5"/>
      <sheetName val="RMZ_Summary5"/>
      <sheetName val="Fill_this_out_first___5"/>
      <sheetName val="Cop_-VGN5"/>
      <sheetName val="Field_Values5"/>
      <sheetName val="Materials_5"/>
      <sheetName val="Fin_Sum5"/>
      <sheetName val="Site_Dev_BOQ5"/>
      <sheetName val="Staff_Forecast_spread5"/>
      <sheetName val="Structure_Bills_Qty5"/>
      <sheetName val="Builtup_Area5"/>
      <sheetName val="MASTER_RATE_ANALYSIS5"/>
      <sheetName val="BOQ_Direct_selling_cost5"/>
      <sheetName val="Stress_Calculation5"/>
      <sheetName val="IO_List5"/>
      <sheetName val="MN_T_B_5"/>
      <sheetName val="E_&amp;_R5"/>
      <sheetName val="SPT_vs_PHI5"/>
      <sheetName val="Civil_Boq5"/>
      <sheetName val="Exp_5"/>
      <sheetName val="INDIGINEOUS_ITEMS_5"/>
      <sheetName val="TBAL9697_-group_wise__sdpl5"/>
      <sheetName val="RA_4_Challan_Summary_2"/>
      <sheetName val="Labour_productivity2"/>
      <sheetName val="labour_coeff2"/>
      <sheetName val="RCC,Ret__Wall2"/>
      <sheetName val="Load_Details(B1)5"/>
      <sheetName val="Break_Dw5"/>
      <sheetName val="Desgn(zone_I)5"/>
      <sheetName val="PA-_Consutant_5"/>
      <sheetName val="Debits_as_on_12_04_085"/>
      <sheetName val="INDORAMA_Group_June_025"/>
      <sheetName val="Sheet3_(2)"/>
      <sheetName val="INPUT_SHEET"/>
      <sheetName val="beam-reinft-IIInd_floor"/>
      <sheetName val="CABLE_DATA"/>
      <sheetName val="Bed_Class5"/>
      <sheetName val="M_B-QtyRecn2"/>
      <sheetName val="d-safe_specs"/>
      <sheetName val="d-safe_DELUXE"/>
      <sheetName val="Diawise_steel_abstract"/>
      <sheetName val="Rising_Main"/>
      <sheetName val="ORDER_BOOKING"/>
      <sheetName val="For_Bill-04_PS"/>
      <sheetName val="M-Book_for_Conc"/>
      <sheetName val="M-Book_for_FW"/>
      <sheetName val="PH_data"/>
      <sheetName val="Details_(3)"/>
      <sheetName val="Approved_MTD_Proj_#'s"/>
      <sheetName val="NLD_-_Assum"/>
      <sheetName val="schedule_nos"/>
      <sheetName val="Sqn__Main__Abs"/>
      <sheetName val="Staff_Acco_"/>
      <sheetName val="Section_Catalogue"/>
      <sheetName val="Staircase_"/>
      <sheetName val="PACK_(B)"/>
      <sheetName val="Cleaning &amp; Grubbing"/>
      <sheetName val="Name List"/>
      <sheetName val="PRELIM5"/>
      <sheetName val="Abs PMRL"/>
      <sheetName val="BOQ_(2)1"/>
      <sheetName val="ACAD_Finishes1"/>
      <sheetName val="Site_Details1"/>
      <sheetName val="Site_Area_Statement1"/>
      <sheetName val="GR_slab-reinft"/>
      <sheetName val="BOQ_civil"/>
      <sheetName val="Estimate_"/>
      <sheetName val="Common_"/>
      <sheetName val="Material_"/>
      <sheetName val="QS_Name"/>
      <sheetName val="CANDY_BOQ"/>
      <sheetName val="bill_2"/>
      <sheetName val="train_cash"/>
      <sheetName val="accom_cash"/>
      <sheetName val="Column_Steel-R2"/>
      <sheetName val="std_wt_"/>
      <sheetName val="Meas_-Hotel_Part"/>
      <sheetName val="beam-reinft-machine_rm"/>
      <sheetName val="Vind_-_BtB"/>
      <sheetName val="Tender_Summary"/>
      <sheetName val="WORK_TABLE"/>
      <sheetName val="220_11__BS_"/>
      <sheetName val="Intro_"/>
      <sheetName val="Cash_Flows_&amp;_IRR"/>
      <sheetName val="SGS_ACQ"/>
      <sheetName val="CFForecast_detail"/>
      <sheetName val="Model_(Not_Merged)"/>
      <sheetName val="Form_6"/>
      <sheetName val="Operating_Statistics"/>
      <sheetName val="PC Master List"/>
      <sheetName val="Project Details.."/>
      <sheetName val="TOS-F"/>
      <sheetName val="2.대외공문"/>
      <sheetName val="PCC"/>
      <sheetName val="NEW-IDs Fun &amp; Group"/>
      <sheetName val="ANNEXURE-A"/>
      <sheetName val="lead-st"/>
      <sheetName val="Transfer"/>
      <sheetName val="4 Annex 1 Basic rate"/>
      <sheetName val="Door Qty"/>
      <sheetName val="Win Qty"/>
      <sheetName val="BHANDUP"/>
      <sheetName val="Baricading"/>
      <sheetName val="Control"/>
      <sheetName val="PROG_DATA"/>
      <sheetName val="ICO_budzet_97"/>
      <sheetName val="costing sheet"/>
      <sheetName val="inWords"/>
      <sheetName val="220Kv (2)"/>
      <sheetName val="COMPLEXALL"/>
      <sheetName val="sheet6"/>
      <sheetName val="Costing-blk-B"/>
      <sheetName val="FINOLEX"/>
      <sheetName val="Basic"/>
      <sheetName val="Capital Structure"/>
      <sheetName val="Actuals_by_Job"/>
      <sheetName val="Outlook"/>
      <sheetName val="compare"/>
      <sheetName val="Project Budget Worksheet"/>
      <sheetName val="All Components Report"/>
      <sheetName val="TEXT"/>
      <sheetName val="PART-I_(2)28"/>
      <sheetName val="final_abstract28"/>
      <sheetName val="Basement_Budget27"/>
      <sheetName val="Rate_analysis27"/>
      <sheetName val="Fee_Rate_Summary27"/>
      <sheetName val="Materials_Cost27"/>
      <sheetName val="10__&amp;_11__Rate_Code_&amp;_BQ27"/>
      <sheetName val="Break_up_Sheet27"/>
      <sheetName val="B_&amp;_C_-_M_-_ccp27"/>
      <sheetName val="RES_STEEL_TO27"/>
      <sheetName val="RMZ_Summary27"/>
      <sheetName val="Materials_27"/>
      <sheetName val="Field_Values27"/>
      <sheetName val="Fin_Sum27"/>
      <sheetName val="Fill_this_out_first___27"/>
      <sheetName val="Site_Dev_BOQ27"/>
      <sheetName val="Staff_Forecast_spread27"/>
      <sheetName val="Structure_Bills_Qty27"/>
      <sheetName val="Builtup_Area27"/>
      <sheetName val="MASTER_RATE_ANALYSIS27"/>
      <sheetName val="Cop_-VGN27"/>
      <sheetName val="Pipe_Supports27"/>
      <sheetName val="MN_T_B_27"/>
      <sheetName val="BOQ_Direct_selling_cost27"/>
      <sheetName val="Stress_Calculation27"/>
      <sheetName val="IO_List27"/>
      <sheetName val="TBAL9697_-group_wise__sdpl27"/>
      <sheetName val="Exp_27"/>
      <sheetName val="INDIGINEOUS_ITEMS_27"/>
      <sheetName val="E_&amp;_R27"/>
      <sheetName val="Load_Details(B1)27"/>
      <sheetName val="Break_Dw27"/>
      <sheetName val="SPT_vs_PHI27"/>
      <sheetName val="Civil_Boq27"/>
      <sheetName val="PA-_Consutant_27"/>
      <sheetName val="Debits_as_on_12_04_0827"/>
      <sheetName val="Sheet3_(2)27"/>
      <sheetName val="INDORAMA_Group_June_0227"/>
      <sheetName val="Sheet3_(2)1"/>
      <sheetName val="Sheet3_(2)2"/>
      <sheetName val="Sheet3_(2)3"/>
      <sheetName val="Sheet3_(2)5"/>
      <sheetName val="Sheet3_(2)4"/>
      <sheetName val="PART-I_(2)7"/>
      <sheetName val="final_abstract7"/>
      <sheetName val="Basement_Budget6"/>
      <sheetName val="Rate_analysis6"/>
      <sheetName val="Fee_Rate_Summary6"/>
      <sheetName val="Materials_Cost6"/>
      <sheetName val="10__&amp;_11__Rate_Code_&amp;_BQ6"/>
      <sheetName val="Break_up_Sheet6"/>
      <sheetName val="B_&amp;_C_-_M_-_ccp6"/>
      <sheetName val="RES_STEEL_TO6"/>
      <sheetName val="RMZ_Summary6"/>
      <sheetName val="Materials_6"/>
      <sheetName val="Field_Values6"/>
      <sheetName val="Fin_Sum6"/>
      <sheetName val="Fill_this_out_first___6"/>
      <sheetName val="Site_Dev_BOQ6"/>
      <sheetName val="Staff_Forecast_spread6"/>
      <sheetName val="Structure_Bills_Qty6"/>
      <sheetName val="Builtup_Area6"/>
      <sheetName val="MASTER_RATE_ANALYSIS6"/>
      <sheetName val="Cop_-VGN6"/>
      <sheetName val="Pipe_Supports6"/>
      <sheetName val="MN_T_B_6"/>
      <sheetName val="BOQ_Direct_selling_cost6"/>
      <sheetName val="Stress_Calculation6"/>
      <sheetName val="IO_List6"/>
      <sheetName val="TBAL9697_-group_wise__sdpl6"/>
      <sheetName val="Exp_6"/>
      <sheetName val="INDIGINEOUS_ITEMS_6"/>
      <sheetName val="E_&amp;_R6"/>
      <sheetName val="Load_Details(B1)6"/>
      <sheetName val="Break_Dw6"/>
      <sheetName val="SPT_vs_PHI6"/>
      <sheetName val="Civil_Boq6"/>
      <sheetName val="PA-_Consutant_6"/>
      <sheetName val="Debits_as_on_12_04_086"/>
      <sheetName val="Sheet3_(2)6"/>
      <sheetName val="INDORAMA_Group_June_026"/>
      <sheetName val="PART-I_(2)8"/>
      <sheetName val="final_abstract8"/>
      <sheetName val="Basement_Budget7"/>
      <sheetName val="Rate_analysis7"/>
      <sheetName val="Fee_Rate_Summary7"/>
      <sheetName val="Materials_Cost7"/>
      <sheetName val="10__&amp;_11__Rate_Code_&amp;_BQ7"/>
      <sheetName val="Break_up_Sheet7"/>
      <sheetName val="B_&amp;_C_-_M_-_ccp7"/>
      <sheetName val="RES_STEEL_TO7"/>
      <sheetName val="RMZ_Summary7"/>
      <sheetName val="Materials_7"/>
      <sheetName val="Field_Values7"/>
      <sheetName val="Fin_Sum7"/>
      <sheetName val="Fill_this_out_first___7"/>
      <sheetName val="Site_Dev_BOQ7"/>
      <sheetName val="Staff_Forecast_spread7"/>
      <sheetName val="Structure_Bills_Qty7"/>
      <sheetName val="Builtup_Area7"/>
      <sheetName val="MASTER_RATE_ANALYSIS7"/>
      <sheetName val="Cop_-VGN7"/>
      <sheetName val="Pipe_Supports7"/>
      <sheetName val="MN_T_B_7"/>
      <sheetName val="BOQ_Direct_selling_cost7"/>
      <sheetName val="Stress_Calculation7"/>
      <sheetName val="IO_List7"/>
      <sheetName val="TBAL9697_-group_wise__sdpl7"/>
      <sheetName val="Exp_7"/>
      <sheetName val="INDIGINEOUS_ITEMS_7"/>
      <sheetName val="E_&amp;_R7"/>
      <sheetName val="Load_Details(B1)7"/>
      <sheetName val="Break_Dw7"/>
      <sheetName val="SPT_vs_PHI7"/>
      <sheetName val="Civil_Boq7"/>
      <sheetName val="PA-_Consutant_7"/>
      <sheetName val="Debits_as_on_12_04_087"/>
      <sheetName val="Sheet3_(2)7"/>
      <sheetName val="INDORAMA_Group_June_027"/>
      <sheetName val="PART-I_(2)12"/>
      <sheetName val="final_abstract12"/>
      <sheetName val="Basement_Budget11"/>
      <sheetName val="Rate_analysis11"/>
      <sheetName val="Fee_Rate_Summary11"/>
      <sheetName val="Materials_Cost11"/>
      <sheetName val="10__&amp;_11__Rate_Code_&amp;_BQ11"/>
      <sheetName val="Break_up_Sheet11"/>
      <sheetName val="B_&amp;_C_-_M_-_ccp11"/>
      <sheetName val="RES_STEEL_TO11"/>
      <sheetName val="RMZ_Summary11"/>
      <sheetName val="Materials_11"/>
      <sheetName val="Field_Values11"/>
      <sheetName val="Fin_Sum11"/>
      <sheetName val="Fill_this_out_first___11"/>
      <sheetName val="Site_Dev_BOQ11"/>
      <sheetName val="Staff_Forecast_spread11"/>
      <sheetName val="Structure_Bills_Qty11"/>
      <sheetName val="Builtup_Area11"/>
      <sheetName val="MASTER_RATE_ANALYSIS11"/>
      <sheetName val="Cop_-VGN11"/>
      <sheetName val="Pipe_Supports11"/>
      <sheetName val="MN_T_B_11"/>
      <sheetName val="BOQ_Direct_selling_cost11"/>
      <sheetName val="Stress_Calculation11"/>
      <sheetName val="IO_List11"/>
      <sheetName val="TBAL9697_-group_wise__sdpl11"/>
      <sheetName val="Exp_11"/>
      <sheetName val="INDIGINEOUS_ITEMS_11"/>
      <sheetName val="E_&amp;_R11"/>
      <sheetName val="Load_Details(B1)11"/>
      <sheetName val="Break_Dw11"/>
      <sheetName val="SPT_vs_PHI11"/>
      <sheetName val="Civil_Boq11"/>
      <sheetName val="PA-_Consutant_11"/>
      <sheetName val="Debits_as_on_12_04_0811"/>
      <sheetName val="Sheet3_(2)11"/>
      <sheetName val="INDORAMA_Group_June_0211"/>
      <sheetName val="PART-I_(2)9"/>
      <sheetName val="final_abstract9"/>
      <sheetName val="Basement_Budget8"/>
      <sheetName val="Rate_analysis8"/>
      <sheetName val="Fee_Rate_Summary8"/>
      <sheetName val="Materials_Cost8"/>
      <sheetName val="10__&amp;_11__Rate_Code_&amp;_BQ8"/>
      <sheetName val="Break_up_Sheet8"/>
      <sheetName val="B_&amp;_C_-_M_-_ccp8"/>
      <sheetName val="RES_STEEL_TO8"/>
      <sheetName val="RMZ_Summary8"/>
      <sheetName val="Materials_8"/>
      <sheetName val="Field_Values8"/>
      <sheetName val="Fin_Sum8"/>
      <sheetName val="Fill_this_out_first___8"/>
      <sheetName val="Site_Dev_BOQ8"/>
      <sheetName val="Staff_Forecast_spread8"/>
      <sheetName val="Structure_Bills_Qty8"/>
      <sheetName val="Builtup_Area8"/>
      <sheetName val="MASTER_RATE_ANALYSIS8"/>
      <sheetName val="Cop_-VGN8"/>
      <sheetName val="Pipe_Supports8"/>
      <sheetName val="MN_T_B_8"/>
      <sheetName val="BOQ_Direct_selling_cost8"/>
      <sheetName val="Stress_Calculation8"/>
      <sheetName val="IO_List8"/>
      <sheetName val="TBAL9697_-group_wise__sdpl8"/>
      <sheetName val="Exp_8"/>
      <sheetName val="INDIGINEOUS_ITEMS_8"/>
      <sheetName val="E_&amp;_R8"/>
      <sheetName val="Load_Details(B1)8"/>
      <sheetName val="Break_Dw8"/>
      <sheetName val="SPT_vs_PHI8"/>
      <sheetName val="Civil_Boq8"/>
      <sheetName val="PA-_Consutant_8"/>
      <sheetName val="Debits_as_on_12_04_088"/>
      <sheetName val="Sheet3_(2)8"/>
      <sheetName val="INDORAMA_Group_June_028"/>
      <sheetName val="PART-I_(2)10"/>
      <sheetName val="final_abstract10"/>
      <sheetName val="Basement_Budget9"/>
      <sheetName val="Rate_analysis9"/>
      <sheetName val="Fee_Rate_Summary9"/>
      <sheetName val="Materials_Cost9"/>
      <sheetName val="10__&amp;_11__Rate_Code_&amp;_BQ9"/>
      <sheetName val="Break_up_Sheet9"/>
      <sheetName val="B_&amp;_C_-_M_-_ccp9"/>
      <sheetName val="RES_STEEL_TO9"/>
      <sheetName val="RMZ_Summary9"/>
      <sheetName val="Materials_9"/>
      <sheetName val="Field_Values9"/>
      <sheetName val="Fin_Sum9"/>
      <sheetName val="Fill_this_out_first___9"/>
      <sheetName val="Site_Dev_BOQ9"/>
      <sheetName val="Staff_Forecast_spread9"/>
      <sheetName val="Structure_Bills_Qty9"/>
      <sheetName val="Builtup_Area9"/>
      <sheetName val="MASTER_RATE_ANALYSIS9"/>
      <sheetName val="Cop_-VGN9"/>
      <sheetName val="Pipe_Supports9"/>
      <sheetName val="MN_T_B_9"/>
      <sheetName val="BOQ_Direct_selling_cost9"/>
      <sheetName val="Stress_Calculation9"/>
      <sheetName val="IO_List9"/>
      <sheetName val="TBAL9697_-group_wise__sdpl9"/>
      <sheetName val="Exp_9"/>
      <sheetName val="INDIGINEOUS_ITEMS_9"/>
      <sheetName val="E_&amp;_R9"/>
      <sheetName val="Load_Details(B1)9"/>
      <sheetName val="Break_Dw9"/>
      <sheetName val="SPT_vs_PHI9"/>
      <sheetName val="Civil_Boq9"/>
      <sheetName val="PA-_Consutant_9"/>
      <sheetName val="Debits_as_on_12_04_089"/>
      <sheetName val="Sheet3_(2)9"/>
      <sheetName val="INDORAMA_Group_June_029"/>
      <sheetName val="PART-I_(2)11"/>
      <sheetName val="final_abstract11"/>
      <sheetName val="Basement_Budget10"/>
      <sheetName val="Rate_analysis10"/>
      <sheetName val="Fee_Rate_Summary10"/>
      <sheetName val="Materials_Cost10"/>
      <sheetName val="10__&amp;_11__Rate_Code_&amp;_BQ10"/>
      <sheetName val="Break_up_Sheet10"/>
      <sheetName val="B_&amp;_C_-_M_-_ccp10"/>
      <sheetName val="RES_STEEL_TO10"/>
      <sheetName val="RMZ_Summary10"/>
      <sheetName val="Materials_10"/>
      <sheetName val="Field_Values10"/>
      <sheetName val="Fin_Sum10"/>
      <sheetName val="Fill_this_out_first___10"/>
      <sheetName val="Site_Dev_BOQ10"/>
      <sheetName val="Staff_Forecast_spread10"/>
      <sheetName val="Structure_Bills_Qty10"/>
      <sheetName val="Builtup_Area10"/>
      <sheetName val="MASTER_RATE_ANALYSIS10"/>
      <sheetName val="Cop_-VGN10"/>
      <sheetName val="Pipe_Supports10"/>
      <sheetName val="MN_T_B_10"/>
      <sheetName val="BOQ_Direct_selling_cost10"/>
      <sheetName val="Stress_Calculation10"/>
      <sheetName val="IO_List10"/>
      <sheetName val="TBAL9697_-group_wise__sdpl10"/>
      <sheetName val="Exp_10"/>
      <sheetName val="INDIGINEOUS_ITEMS_10"/>
      <sheetName val="E_&amp;_R10"/>
      <sheetName val="Load_Details(B1)10"/>
      <sheetName val="Break_Dw10"/>
      <sheetName val="SPT_vs_PHI10"/>
      <sheetName val="Civil_Boq10"/>
      <sheetName val="PA-_Consutant_10"/>
      <sheetName val="Debits_as_on_12_04_0810"/>
      <sheetName val="Sheet3_(2)10"/>
      <sheetName val="INDORAMA_Group_June_0210"/>
      <sheetName val="PART-I_(2)13"/>
      <sheetName val="final_abstract13"/>
      <sheetName val="Basement_Budget12"/>
      <sheetName val="Rate_analysis12"/>
      <sheetName val="Fee_Rate_Summary12"/>
      <sheetName val="Materials_Cost12"/>
      <sheetName val="10__&amp;_11__Rate_Code_&amp;_BQ12"/>
      <sheetName val="Break_up_Sheet12"/>
      <sheetName val="B_&amp;_C_-_M_-_ccp12"/>
      <sheetName val="RES_STEEL_TO12"/>
      <sheetName val="RMZ_Summary12"/>
      <sheetName val="Materials_12"/>
      <sheetName val="Fill_this_out_first___12"/>
      <sheetName val="Cop_-VGN12"/>
      <sheetName val="Field_Values12"/>
      <sheetName val="Fin_Sum12"/>
      <sheetName val="Site_Dev_BOQ12"/>
      <sheetName val="Staff_Forecast_spread12"/>
      <sheetName val="Structure_Bills_Qty12"/>
      <sheetName val="Builtup_Area12"/>
      <sheetName val="MASTER_RATE_ANALYSIS12"/>
      <sheetName val="Pipe_Supports12"/>
      <sheetName val="MN_T_B_12"/>
      <sheetName val="BOQ_Direct_selling_cost12"/>
      <sheetName val="Stress_Calculation12"/>
      <sheetName val="IO_List12"/>
      <sheetName val="TBAL9697_-group_wise__sdpl12"/>
      <sheetName val="Exp_12"/>
      <sheetName val="INDIGINEOUS_ITEMS_12"/>
      <sheetName val="E_&amp;_R12"/>
      <sheetName val="Load_Details(B1)12"/>
      <sheetName val="Break_Dw12"/>
      <sheetName val="SPT_vs_PHI12"/>
      <sheetName val="Civil_Boq12"/>
      <sheetName val="PA-_Consutant_12"/>
      <sheetName val="Debits_as_on_12_04_0812"/>
      <sheetName val="Sheet3_(2)12"/>
      <sheetName val="INDORAMA_Group_June_0212"/>
      <sheetName val="PART-I_(2)16"/>
      <sheetName val="final_abstract16"/>
      <sheetName val="Basement_Budget15"/>
      <sheetName val="Rate_analysis15"/>
      <sheetName val="Fee_Rate_Summary15"/>
      <sheetName val="Materials_Cost15"/>
      <sheetName val="10__&amp;_11__Rate_Code_&amp;_BQ15"/>
      <sheetName val="Break_up_Sheet15"/>
      <sheetName val="B_&amp;_C_-_M_-_ccp15"/>
      <sheetName val="RES_STEEL_TO15"/>
      <sheetName val="RMZ_Summary15"/>
      <sheetName val="Materials_15"/>
      <sheetName val="Field_Values15"/>
      <sheetName val="Fin_Sum15"/>
      <sheetName val="Fill_this_out_first___15"/>
      <sheetName val="Site_Dev_BOQ15"/>
      <sheetName val="Staff_Forecast_spread15"/>
      <sheetName val="Structure_Bills_Qty15"/>
      <sheetName val="Builtup_Area15"/>
      <sheetName val="MASTER_RATE_ANALYSIS15"/>
      <sheetName val="Cop_-VGN15"/>
      <sheetName val="Pipe_Supports15"/>
      <sheetName val="MN_T_B_15"/>
      <sheetName val="BOQ_Direct_selling_cost15"/>
      <sheetName val="Stress_Calculation15"/>
      <sheetName val="IO_List15"/>
      <sheetName val="TBAL9697_-group_wise__sdpl15"/>
      <sheetName val="Exp_15"/>
      <sheetName val="INDIGINEOUS_ITEMS_15"/>
      <sheetName val="E_&amp;_R15"/>
      <sheetName val="Load_Details(B1)15"/>
      <sheetName val="Break_Dw15"/>
      <sheetName val="SPT_vs_PHI15"/>
      <sheetName val="Civil_Boq15"/>
      <sheetName val="PA-_Consutant_15"/>
      <sheetName val="Debits_as_on_12_04_0815"/>
      <sheetName val="Sheet3_(2)15"/>
      <sheetName val="INDORAMA_Group_June_0215"/>
      <sheetName val="PART-I_(2)14"/>
      <sheetName val="final_abstract14"/>
      <sheetName val="Basement_Budget13"/>
      <sheetName val="Rate_analysis13"/>
      <sheetName val="Fee_Rate_Summary13"/>
      <sheetName val="Materials_Cost13"/>
      <sheetName val="10__&amp;_11__Rate_Code_&amp;_BQ13"/>
      <sheetName val="Break_up_Sheet13"/>
      <sheetName val="B_&amp;_C_-_M_-_ccp13"/>
      <sheetName val="RES_STEEL_TO13"/>
      <sheetName val="RMZ_Summary13"/>
      <sheetName val="Materials_13"/>
      <sheetName val="Field_Values13"/>
      <sheetName val="Fin_Sum13"/>
      <sheetName val="Fill_this_out_first___13"/>
      <sheetName val="Site_Dev_BOQ13"/>
      <sheetName val="Staff_Forecast_spread13"/>
      <sheetName val="Structure_Bills_Qty13"/>
      <sheetName val="Builtup_Area13"/>
      <sheetName val="MASTER_RATE_ANALYSIS13"/>
      <sheetName val="Cop_-VGN13"/>
      <sheetName val="Pipe_Supports13"/>
      <sheetName val="MN_T_B_13"/>
      <sheetName val="BOQ_Direct_selling_cost13"/>
      <sheetName val="Stress_Calculation13"/>
      <sheetName val="IO_List13"/>
      <sheetName val="TBAL9697_-group_wise__sdpl13"/>
      <sheetName val="Exp_13"/>
      <sheetName val="INDIGINEOUS_ITEMS_13"/>
      <sheetName val="E_&amp;_R13"/>
      <sheetName val="Load_Details(B1)13"/>
      <sheetName val="Break_Dw13"/>
      <sheetName val="SPT_vs_PHI13"/>
      <sheetName val="Civil_Boq13"/>
      <sheetName val="PA-_Consutant_13"/>
      <sheetName val="Debits_as_on_12_04_0813"/>
      <sheetName val="Sheet3_(2)13"/>
      <sheetName val="INDORAMA_Group_June_0213"/>
      <sheetName val="PART-I_(2)15"/>
      <sheetName val="final_abstract15"/>
      <sheetName val="Basement_Budget14"/>
      <sheetName val="Rate_analysis14"/>
      <sheetName val="Fee_Rate_Summary14"/>
      <sheetName val="Materials_Cost14"/>
      <sheetName val="10__&amp;_11__Rate_Code_&amp;_BQ14"/>
      <sheetName val="Break_up_Sheet14"/>
      <sheetName val="B_&amp;_C_-_M_-_ccp14"/>
      <sheetName val="RES_STEEL_TO14"/>
      <sheetName val="RMZ_Summary14"/>
      <sheetName val="Materials_14"/>
      <sheetName val="Field_Values14"/>
      <sheetName val="Fin_Sum14"/>
      <sheetName val="Fill_this_out_first___14"/>
      <sheetName val="Site_Dev_BOQ14"/>
      <sheetName val="Staff_Forecast_spread14"/>
      <sheetName val="Structure_Bills_Qty14"/>
      <sheetName val="Builtup_Area14"/>
      <sheetName val="MASTER_RATE_ANALYSIS14"/>
      <sheetName val="Cop_-VGN14"/>
      <sheetName val="Pipe_Supports14"/>
      <sheetName val="MN_T_B_14"/>
      <sheetName val="BOQ_Direct_selling_cost14"/>
      <sheetName val="Stress_Calculation14"/>
      <sheetName val="IO_List14"/>
      <sheetName val="TBAL9697_-group_wise__sdpl14"/>
      <sheetName val="Exp_14"/>
      <sheetName val="INDIGINEOUS_ITEMS_14"/>
      <sheetName val="E_&amp;_R14"/>
      <sheetName val="Load_Details(B1)14"/>
      <sheetName val="Break_Dw14"/>
      <sheetName val="SPT_vs_PHI14"/>
      <sheetName val="Civil_Boq14"/>
      <sheetName val="PA-_Consutant_14"/>
      <sheetName val="Debits_as_on_12_04_0814"/>
      <sheetName val="Sheet3_(2)14"/>
      <sheetName val="INDORAMA_Group_June_0214"/>
      <sheetName val="PART-I_(2)17"/>
      <sheetName val="final_abstract17"/>
      <sheetName val="Rate_analysis16"/>
      <sheetName val="Fee_Rate_Summary16"/>
      <sheetName val="Basement_Budget16"/>
      <sheetName val="Materials_Cost16"/>
      <sheetName val="10__&amp;_11__Rate_Code_&amp;_BQ16"/>
      <sheetName val="Break_up_Sheet16"/>
      <sheetName val="B_&amp;_C_-_M_-_ccp16"/>
      <sheetName val="RES_STEEL_TO16"/>
      <sheetName val="RMZ_Summary16"/>
      <sheetName val="Field_Values16"/>
      <sheetName val="Fin_Sum16"/>
      <sheetName val="Fill_this_out_first___16"/>
      <sheetName val="Site_Dev_BOQ16"/>
      <sheetName val="Staff_Forecast_spread16"/>
      <sheetName val="Structure_Bills_Qty16"/>
      <sheetName val="Builtup_Area16"/>
      <sheetName val="MASTER_RATE_ANALYSIS16"/>
      <sheetName val="Cop_-VGN16"/>
      <sheetName val="Pipe_Supports16"/>
      <sheetName val="Materials_16"/>
      <sheetName val="MN_T_B_16"/>
      <sheetName val="BOQ_Direct_selling_cost16"/>
      <sheetName val="Stress_Calculation16"/>
      <sheetName val="IO_List16"/>
      <sheetName val="TBAL9697_-group_wise__sdpl16"/>
      <sheetName val="Exp_16"/>
      <sheetName val="INDIGINEOUS_ITEMS_16"/>
      <sheetName val="E_&amp;_R16"/>
      <sheetName val="Load_Details(B1)16"/>
      <sheetName val="Break_Dw16"/>
      <sheetName val="SPT_vs_PHI16"/>
      <sheetName val="Civil_Boq16"/>
      <sheetName val="PA-_Consutant_16"/>
      <sheetName val="Debits_as_on_12_04_0816"/>
      <sheetName val="Sheet3_(2)16"/>
      <sheetName val="INDORAMA_Group_June_0216"/>
      <sheetName val="PART-I_(2)22"/>
      <sheetName val="final_abstract22"/>
      <sheetName val="Basement_Budget21"/>
      <sheetName val="Rate_analysis21"/>
      <sheetName val="Fee_Rate_Summary21"/>
      <sheetName val="Materials_Cost21"/>
      <sheetName val="10__&amp;_11__Rate_Code_&amp;_BQ21"/>
      <sheetName val="Break_up_Sheet21"/>
      <sheetName val="B_&amp;_C_-_M_-_ccp21"/>
      <sheetName val="RES_STEEL_TO21"/>
      <sheetName val="RMZ_Summary21"/>
      <sheetName val="Materials_21"/>
      <sheetName val="Field_Values21"/>
      <sheetName val="Fin_Sum21"/>
      <sheetName val="Fill_this_out_first___21"/>
      <sheetName val="Site_Dev_BOQ21"/>
      <sheetName val="Staff_Forecast_spread21"/>
      <sheetName val="Structure_Bills_Qty21"/>
      <sheetName val="Builtup_Area21"/>
      <sheetName val="MASTER_RATE_ANALYSIS21"/>
      <sheetName val="Cop_-VGN21"/>
      <sheetName val="Pipe_Supports21"/>
      <sheetName val="MN_T_B_21"/>
      <sheetName val="BOQ_Direct_selling_cost21"/>
      <sheetName val="Stress_Calculation21"/>
      <sheetName val="IO_List21"/>
      <sheetName val="TBAL9697_-group_wise__sdpl21"/>
      <sheetName val="Exp_21"/>
      <sheetName val="INDIGINEOUS_ITEMS_21"/>
      <sheetName val="E_&amp;_R21"/>
      <sheetName val="Load_Details(B1)21"/>
      <sheetName val="Break_Dw21"/>
      <sheetName val="SPT_vs_PHI21"/>
      <sheetName val="Civil_Boq21"/>
      <sheetName val="PA-_Consutant_21"/>
      <sheetName val="Debits_as_on_12_04_0821"/>
      <sheetName val="Sheet3_(2)21"/>
      <sheetName val="INDORAMA_Group_June_0221"/>
      <sheetName val="PART-I_(2)19"/>
      <sheetName val="final_abstract19"/>
      <sheetName val="Rate_analysis18"/>
      <sheetName val="Fee_Rate_Summary18"/>
      <sheetName val="Basement_Budget18"/>
      <sheetName val="Materials_Cost18"/>
      <sheetName val="10__&amp;_11__Rate_Code_&amp;_BQ18"/>
      <sheetName val="Break_up_Sheet18"/>
      <sheetName val="B_&amp;_C_-_M_-_ccp18"/>
      <sheetName val="RES_STEEL_TO18"/>
      <sheetName val="RMZ_Summary18"/>
      <sheetName val="Field_Values18"/>
      <sheetName val="Fin_Sum18"/>
      <sheetName val="Fill_this_out_first___18"/>
      <sheetName val="Site_Dev_BOQ18"/>
      <sheetName val="Staff_Forecast_spread18"/>
      <sheetName val="Structure_Bills_Qty18"/>
      <sheetName val="Builtup_Area18"/>
      <sheetName val="MASTER_RATE_ANALYSIS18"/>
      <sheetName val="Cop_-VGN18"/>
      <sheetName val="Pipe_Supports18"/>
      <sheetName val="Materials_18"/>
      <sheetName val="MN_T_B_18"/>
      <sheetName val="BOQ_Direct_selling_cost18"/>
      <sheetName val="Stress_Calculation18"/>
      <sheetName val="IO_List18"/>
      <sheetName val="TBAL9697_-group_wise__sdpl18"/>
      <sheetName val="Exp_18"/>
      <sheetName val="INDIGINEOUS_ITEMS_18"/>
      <sheetName val="E_&amp;_R18"/>
      <sheetName val="Load_Details(B1)18"/>
      <sheetName val="Break_Dw18"/>
      <sheetName val="SPT_vs_PHI18"/>
      <sheetName val="Civil_Boq18"/>
      <sheetName val="PA-_Consutant_18"/>
      <sheetName val="Debits_as_on_12_04_0818"/>
      <sheetName val="Sheet3_(2)18"/>
      <sheetName val="INDORAMA_Group_June_0218"/>
      <sheetName val="PART-I_(2)18"/>
      <sheetName val="final_abstract18"/>
      <sheetName val="Rate_analysis17"/>
      <sheetName val="Fee_Rate_Summary17"/>
      <sheetName val="Basement_Budget17"/>
      <sheetName val="Materials_Cost17"/>
      <sheetName val="10__&amp;_11__Rate_Code_&amp;_BQ17"/>
      <sheetName val="Break_up_Sheet17"/>
      <sheetName val="B_&amp;_C_-_M_-_ccp17"/>
      <sheetName val="RES_STEEL_TO17"/>
      <sheetName val="RMZ_Summary17"/>
      <sheetName val="Field_Values17"/>
      <sheetName val="Fin_Sum17"/>
      <sheetName val="Fill_this_out_first___17"/>
      <sheetName val="Site_Dev_BOQ17"/>
      <sheetName val="Staff_Forecast_spread17"/>
      <sheetName val="Structure_Bills_Qty17"/>
      <sheetName val="Builtup_Area17"/>
      <sheetName val="MASTER_RATE_ANALYSIS17"/>
      <sheetName val="Cop_-VGN17"/>
      <sheetName val="Pipe_Supports17"/>
      <sheetName val="Materials_17"/>
      <sheetName val="MN_T_B_17"/>
      <sheetName val="BOQ_Direct_selling_cost17"/>
      <sheetName val="Stress_Calculation17"/>
      <sheetName val="IO_List17"/>
      <sheetName val="TBAL9697_-group_wise__sdpl17"/>
      <sheetName val="Exp_17"/>
      <sheetName val="INDIGINEOUS_ITEMS_17"/>
      <sheetName val="E_&amp;_R17"/>
      <sheetName val="Load_Details(B1)17"/>
      <sheetName val="Break_Dw17"/>
      <sheetName val="SPT_vs_PHI17"/>
      <sheetName val="Civil_Boq17"/>
      <sheetName val="PA-_Consutant_17"/>
      <sheetName val="Debits_as_on_12_04_0817"/>
      <sheetName val="Sheet3_(2)17"/>
      <sheetName val="INDORAMA_Group_June_0217"/>
      <sheetName val="PART-I_(2)20"/>
      <sheetName val="final_abstract20"/>
      <sheetName val="Rate_analysis19"/>
      <sheetName val="Fee_Rate_Summary19"/>
      <sheetName val="Basement_Budget19"/>
      <sheetName val="Materials_Cost19"/>
      <sheetName val="10__&amp;_11__Rate_Code_&amp;_BQ19"/>
      <sheetName val="Break_up_Sheet19"/>
      <sheetName val="B_&amp;_C_-_M_-_ccp19"/>
      <sheetName val="RES_STEEL_TO19"/>
      <sheetName val="RMZ_Summary19"/>
      <sheetName val="Field_Values19"/>
      <sheetName val="Fin_Sum19"/>
      <sheetName val="Fill_this_out_first___19"/>
      <sheetName val="Site_Dev_BOQ19"/>
      <sheetName val="Staff_Forecast_spread19"/>
      <sheetName val="Structure_Bills_Qty19"/>
      <sheetName val="Builtup_Area19"/>
      <sheetName val="MASTER_RATE_ANALYSIS19"/>
      <sheetName val="Cop_-VGN19"/>
      <sheetName val="Pipe_Supports19"/>
      <sheetName val="Materials_19"/>
      <sheetName val="MN_T_B_19"/>
      <sheetName val="BOQ_Direct_selling_cost19"/>
      <sheetName val="Stress_Calculation19"/>
      <sheetName val="IO_List19"/>
      <sheetName val="TBAL9697_-group_wise__sdpl19"/>
      <sheetName val="Exp_19"/>
      <sheetName val="INDIGINEOUS_ITEMS_19"/>
      <sheetName val="E_&amp;_R19"/>
      <sheetName val="Load_Details(B1)19"/>
      <sheetName val="Break_Dw19"/>
      <sheetName val="SPT_vs_PHI19"/>
      <sheetName val="Civil_Boq19"/>
      <sheetName val="PA-_Consutant_19"/>
      <sheetName val="Debits_as_on_12_04_0819"/>
      <sheetName val="Sheet3_(2)19"/>
      <sheetName val="INDORAMA_Group_June_0219"/>
      <sheetName val="PART-I_(2)21"/>
      <sheetName val="final_abstract21"/>
      <sheetName val="Basement_Budget20"/>
      <sheetName val="Rate_analysis20"/>
      <sheetName val="Fee_Rate_Summary20"/>
      <sheetName val="Materials_Cost20"/>
      <sheetName val="10__&amp;_11__Rate_Code_&amp;_BQ20"/>
      <sheetName val="Break_up_Sheet20"/>
      <sheetName val="B_&amp;_C_-_M_-_ccp20"/>
      <sheetName val="RES_STEEL_TO20"/>
      <sheetName val="RMZ_Summary20"/>
      <sheetName val="Materials_20"/>
      <sheetName val="Field_Values20"/>
      <sheetName val="Fin_Sum20"/>
      <sheetName val="Fill_this_out_first___20"/>
      <sheetName val="Site_Dev_BOQ20"/>
      <sheetName val="Staff_Forecast_spread20"/>
      <sheetName val="Structure_Bills_Qty20"/>
      <sheetName val="Builtup_Area20"/>
      <sheetName val="MASTER_RATE_ANALYSIS20"/>
      <sheetName val="Cop_-VGN20"/>
      <sheetName val="Pipe_Supports20"/>
      <sheetName val="MN_T_B_20"/>
      <sheetName val="BOQ_Direct_selling_cost20"/>
      <sheetName val="Stress_Calculation20"/>
      <sheetName val="IO_List20"/>
      <sheetName val="TBAL9697_-group_wise__sdpl20"/>
      <sheetName val="Exp_20"/>
      <sheetName val="INDIGINEOUS_ITEMS_20"/>
      <sheetName val="E_&amp;_R20"/>
      <sheetName val="Load_Details(B1)20"/>
      <sheetName val="Break_Dw20"/>
      <sheetName val="SPT_vs_PHI20"/>
      <sheetName val="Civil_Boq20"/>
      <sheetName val="PA-_Consutant_20"/>
      <sheetName val="Debits_as_on_12_04_0820"/>
      <sheetName val="Sheet3_(2)20"/>
      <sheetName val="INDORAMA_Group_June_0220"/>
      <sheetName val="PART-I_(2)23"/>
      <sheetName val="final_abstract23"/>
      <sheetName val="Basement_Budget22"/>
      <sheetName val="Rate_analysis22"/>
      <sheetName val="Fee_Rate_Summary22"/>
      <sheetName val="Materials_Cost22"/>
      <sheetName val="10__&amp;_11__Rate_Code_&amp;_BQ22"/>
      <sheetName val="Break_up_Sheet22"/>
      <sheetName val="B_&amp;_C_-_M_-_ccp22"/>
      <sheetName val="RES_STEEL_TO22"/>
      <sheetName val="RMZ_Summary22"/>
      <sheetName val="Materials_22"/>
      <sheetName val="Field_Values22"/>
      <sheetName val="Fin_Sum22"/>
      <sheetName val="Fill_this_out_first___22"/>
      <sheetName val="Site_Dev_BOQ22"/>
      <sheetName val="Staff_Forecast_spread22"/>
      <sheetName val="Structure_Bills_Qty22"/>
      <sheetName val="Builtup_Area22"/>
      <sheetName val="MASTER_RATE_ANALYSIS22"/>
      <sheetName val="Cop_-VGN22"/>
      <sheetName val="Pipe_Supports22"/>
      <sheetName val="MN_T_B_22"/>
      <sheetName val="BOQ_Direct_selling_cost22"/>
      <sheetName val="Stress_Calculation22"/>
      <sheetName val="IO_List22"/>
      <sheetName val="TBAL9697_-group_wise__sdpl22"/>
      <sheetName val="Exp_22"/>
      <sheetName val="INDIGINEOUS_ITEMS_22"/>
      <sheetName val="E_&amp;_R22"/>
      <sheetName val="Load_Details(B1)22"/>
      <sheetName val="Break_Dw22"/>
      <sheetName val="SPT_vs_PHI22"/>
      <sheetName val="Civil_Boq22"/>
      <sheetName val="PA-_Consutant_22"/>
      <sheetName val="Debits_as_on_12_04_0822"/>
      <sheetName val="Sheet3_(2)22"/>
      <sheetName val="INDORAMA_Group_June_0222"/>
      <sheetName val="PART-I_(2)24"/>
      <sheetName val="final_abstract24"/>
      <sheetName val="Basement_Budget23"/>
      <sheetName val="Rate_analysis23"/>
      <sheetName val="Fee_Rate_Summary23"/>
      <sheetName val="Materials_Cost23"/>
      <sheetName val="10__&amp;_11__Rate_Code_&amp;_BQ23"/>
      <sheetName val="Break_up_Sheet23"/>
      <sheetName val="B_&amp;_C_-_M_-_ccp23"/>
      <sheetName val="RES_STEEL_TO23"/>
      <sheetName val="RMZ_Summary23"/>
      <sheetName val="Materials_23"/>
      <sheetName val="Field_Values23"/>
      <sheetName val="Fin_Sum23"/>
      <sheetName val="Fill_this_out_first___23"/>
      <sheetName val="Site_Dev_BOQ23"/>
      <sheetName val="Staff_Forecast_spread23"/>
      <sheetName val="Structure_Bills_Qty23"/>
      <sheetName val="Builtup_Area23"/>
      <sheetName val="MASTER_RATE_ANALYSIS23"/>
      <sheetName val="Cop_-VGN23"/>
      <sheetName val="Pipe_Supports23"/>
      <sheetName val="MN_T_B_23"/>
      <sheetName val="BOQ_Direct_selling_cost23"/>
      <sheetName val="Stress_Calculation23"/>
      <sheetName val="IO_List23"/>
      <sheetName val="TBAL9697_-group_wise__sdpl23"/>
      <sheetName val="Exp_23"/>
      <sheetName val="INDIGINEOUS_ITEMS_23"/>
      <sheetName val="E_&amp;_R23"/>
      <sheetName val="Load_Details(B1)23"/>
      <sheetName val="Break_Dw23"/>
      <sheetName val="SPT_vs_PHI23"/>
      <sheetName val="Civil_Boq23"/>
      <sheetName val="PA-_Consutant_23"/>
      <sheetName val="Debits_as_on_12_04_0823"/>
      <sheetName val="Sheet3_(2)23"/>
      <sheetName val="INDORAMA_Group_June_0223"/>
      <sheetName val="PART-I_(2)25"/>
      <sheetName val="final_abstract25"/>
      <sheetName val="Basement_Budget24"/>
      <sheetName val="Rate_analysis24"/>
      <sheetName val="Fee_Rate_Summary24"/>
      <sheetName val="Materials_Cost24"/>
      <sheetName val="10__&amp;_11__Rate_Code_&amp;_BQ24"/>
      <sheetName val="Break_up_Sheet24"/>
      <sheetName val="B_&amp;_C_-_M_-_ccp24"/>
      <sheetName val="RES_STEEL_TO24"/>
      <sheetName val="RMZ_Summary24"/>
      <sheetName val="Materials_24"/>
      <sheetName val="Field_Values24"/>
      <sheetName val="Fin_Sum24"/>
      <sheetName val="Fill_this_out_first___24"/>
      <sheetName val="Site_Dev_BOQ24"/>
      <sheetName val="Staff_Forecast_spread24"/>
      <sheetName val="Structure_Bills_Qty24"/>
      <sheetName val="Builtup_Area24"/>
      <sheetName val="MASTER_RATE_ANALYSIS24"/>
      <sheetName val="Cop_-VGN24"/>
      <sheetName val="Pipe_Supports24"/>
      <sheetName val="MN_T_B_24"/>
      <sheetName val="BOQ_Direct_selling_cost24"/>
      <sheetName val="Stress_Calculation24"/>
      <sheetName val="IO_List24"/>
      <sheetName val="TBAL9697_-group_wise__sdpl24"/>
      <sheetName val="Exp_24"/>
      <sheetName val="INDIGINEOUS_ITEMS_24"/>
      <sheetName val="E_&amp;_R24"/>
      <sheetName val="Load_Details(B1)24"/>
      <sheetName val="Break_Dw24"/>
      <sheetName val="SPT_vs_PHI24"/>
      <sheetName val="Civil_Boq24"/>
      <sheetName val="PA-_Consutant_24"/>
      <sheetName val="Debits_as_on_12_04_0824"/>
      <sheetName val="Sheet3_(2)24"/>
      <sheetName val="INDORAMA_Group_June_0224"/>
      <sheetName val="PART-I_(2)26"/>
      <sheetName val="final_abstract26"/>
      <sheetName val="Basement_Budget25"/>
      <sheetName val="Rate_analysis25"/>
      <sheetName val="Fee_Rate_Summary25"/>
      <sheetName val="Materials_Cost25"/>
      <sheetName val="10__&amp;_11__Rate_Code_&amp;_BQ25"/>
      <sheetName val="Break_up_Sheet25"/>
      <sheetName val="B_&amp;_C_-_M_-_ccp25"/>
      <sheetName val="RES_STEEL_TO25"/>
      <sheetName val="RMZ_Summary25"/>
      <sheetName val="Materials_25"/>
      <sheetName val="Field_Values25"/>
      <sheetName val="Fin_Sum25"/>
      <sheetName val="Fill_this_out_first___25"/>
      <sheetName val="Site_Dev_BOQ25"/>
      <sheetName val="Staff_Forecast_spread25"/>
      <sheetName val="Structure_Bills_Qty25"/>
      <sheetName val="Builtup_Area25"/>
      <sheetName val="MASTER_RATE_ANALYSIS25"/>
      <sheetName val="Cop_-VGN25"/>
      <sheetName val="Pipe_Supports25"/>
      <sheetName val="MN_T_B_25"/>
      <sheetName val="BOQ_Direct_selling_cost25"/>
      <sheetName val="Stress_Calculation25"/>
      <sheetName val="IO_List25"/>
      <sheetName val="TBAL9697_-group_wise__sdpl25"/>
      <sheetName val="Exp_25"/>
      <sheetName val="INDIGINEOUS_ITEMS_25"/>
      <sheetName val="E_&amp;_R25"/>
      <sheetName val="Load_Details(B1)25"/>
      <sheetName val="Break_Dw25"/>
      <sheetName val="SPT_vs_PHI25"/>
      <sheetName val="Civil_Boq25"/>
      <sheetName val="PA-_Consutant_25"/>
      <sheetName val="Debits_as_on_12_04_0825"/>
      <sheetName val="Sheet3_(2)25"/>
      <sheetName val="INDORAMA_Group_June_0225"/>
      <sheetName val="PART-I_(2)27"/>
      <sheetName val="final_abstract27"/>
      <sheetName val="Basement_Budget26"/>
      <sheetName val="Rate_analysis26"/>
      <sheetName val="Fee_Rate_Summary26"/>
      <sheetName val="Materials_Cost26"/>
      <sheetName val="10__&amp;_11__Rate_Code_&amp;_BQ26"/>
      <sheetName val="Break_up_Sheet26"/>
      <sheetName val="B_&amp;_C_-_M_-_ccp26"/>
      <sheetName val="RES_STEEL_TO26"/>
      <sheetName val="RMZ_Summary26"/>
      <sheetName val="Materials_26"/>
      <sheetName val="Fill_this_out_first___26"/>
      <sheetName val="Cop_-VGN26"/>
      <sheetName val="Field_Values26"/>
      <sheetName val="Fin_Sum26"/>
      <sheetName val="Site_Dev_BOQ26"/>
      <sheetName val="Staff_Forecast_spread26"/>
      <sheetName val="Structure_Bills_Qty26"/>
      <sheetName val="Builtup_Area26"/>
      <sheetName val="MASTER_RATE_ANALYSIS26"/>
      <sheetName val="Pipe_Supports26"/>
      <sheetName val="MN_T_B_26"/>
      <sheetName val="BOQ_Direct_selling_cost26"/>
      <sheetName val="Stress_Calculation26"/>
      <sheetName val="IO_List26"/>
      <sheetName val="TBAL9697_-group_wise__sdpl26"/>
      <sheetName val="factor_sheet3"/>
      <sheetName val="Exp_26"/>
      <sheetName val="INDIGINEOUS_ITEMS_26"/>
      <sheetName val="E_&amp;_R26"/>
      <sheetName val="Load_Details(B1)26"/>
      <sheetName val="Break_Dw26"/>
      <sheetName val="SPT_vs_PHI26"/>
      <sheetName val="Civil_Boq26"/>
      <sheetName val="PA-_Consutant_26"/>
      <sheetName val="Debits_as_on_12_04_0826"/>
      <sheetName val="Sheet3_(2)26"/>
      <sheetName val="INDORAMA_Group_June_0226"/>
      <sheetName val="PART-I_(2)38"/>
      <sheetName val="final_abstract38"/>
      <sheetName val="Basement_Budget37"/>
      <sheetName val="Rate_analysis37"/>
      <sheetName val="Fee_Rate_Summary37"/>
      <sheetName val="Materials_Cost37"/>
      <sheetName val="10__&amp;_11__Rate_Code_&amp;_BQ37"/>
      <sheetName val="Break_up_Sheet37"/>
      <sheetName val="B_&amp;_C_-_M_-_ccp37"/>
      <sheetName val="RES_STEEL_TO37"/>
      <sheetName val="RMZ_Summary37"/>
      <sheetName val="Materials_37"/>
      <sheetName val="Field_Values37"/>
      <sheetName val="Fin_Sum37"/>
      <sheetName val="Fill_this_out_first___37"/>
      <sheetName val="Site_Dev_BOQ37"/>
      <sheetName val="Staff_Forecast_spread37"/>
      <sheetName val="Structure_Bills_Qty37"/>
      <sheetName val="Builtup_Area37"/>
      <sheetName val="MASTER_RATE_ANALYSIS37"/>
      <sheetName val="Cop_-VGN37"/>
      <sheetName val="Pipe_Supports37"/>
      <sheetName val="MN_T_B_37"/>
      <sheetName val="BOQ_Direct_selling_cost37"/>
      <sheetName val="Stress_Calculation37"/>
      <sheetName val="IO_List37"/>
      <sheetName val="TBAL9697_-group_wise__sdpl37"/>
      <sheetName val="factor_sheet12"/>
      <sheetName val="Exp_37"/>
      <sheetName val="INDIGINEOUS_ITEMS_37"/>
      <sheetName val="E_&amp;_R37"/>
      <sheetName val="Load_Details(B1)37"/>
      <sheetName val="Break_Dw37"/>
      <sheetName val="SPT_vs_PHI37"/>
      <sheetName val="Civil_Boq37"/>
      <sheetName val="PA-_Consutant_37"/>
      <sheetName val="Debits_as_on_12_04_0837"/>
      <sheetName val="Sheet3_(2)37"/>
      <sheetName val="INDORAMA_Group_June_0237"/>
      <sheetName val="PART-I_(2)29"/>
      <sheetName val="final_abstract29"/>
      <sheetName val="Basement_Budget28"/>
      <sheetName val="Rate_analysis28"/>
      <sheetName val="Fee_Rate_Summary28"/>
      <sheetName val="Materials_Cost28"/>
      <sheetName val="10__&amp;_11__Rate_Code_&amp;_BQ28"/>
      <sheetName val="Break_up_Sheet28"/>
      <sheetName val="B_&amp;_C_-_M_-_ccp28"/>
      <sheetName val="RES_STEEL_TO28"/>
      <sheetName val="RMZ_Summary28"/>
      <sheetName val="Materials_28"/>
      <sheetName val="Field_Values28"/>
      <sheetName val="Fin_Sum28"/>
      <sheetName val="Fill_this_out_first___28"/>
      <sheetName val="Site_Dev_BOQ28"/>
      <sheetName val="Staff_Forecast_spread28"/>
      <sheetName val="Structure_Bills_Qty28"/>
      <sheetName val="Builtup_Area28"/>
      <sheetName val="MASTER_RATE_ANALYSIS28"/>
      <sheetName val="Cop_-VGN28"/>
      <sheetName val="Pipe_Supports28"/>
      <sheetName val="MN_T_B_28"/>
      <sheetName val="BOQ_Direct_selling_cost28"/>
      <sheetName val="Stress_Calculation28"/>
      <sheetName val="IO_List28"/>
      <sheetName val="TBAL9697_-group_wise__sdpl28"/>
      <sheetName val="factor_sheet4"/>
      <sheetName val="Exp_28"/>
      <sheetName val="INDIGINEOUS_ITEMS_28"/>
      <sheetName val="E_&amp;_R28"/>
      <sheetName val="Load_Details(B1)28"/>
      <sheetName val="Break_Dw28"/>
      <sheetName val="SPT_vs_PHI28"/>
      <sheetName val="Civil_Boq28"/>
      <sheetName val="PA-_Consutant_28"/>
      <sheetName val="Debits_as_on_12_04_0828"/>
      <sheetName val="Sheet3_(2)28"/>
      <sheetName val="INDORAMA_Group_June_0228"/>
      <sheetName val="PART-I_(2)30"/>
      <sheetName val="final_abstract30"/>
      <sheetName val="Basement_Budget29"/>
      <sheetName val="Rate_analysis29"/>
      <sheetName val="Fee_Rate_Summary29"/>
      <sheetName val="Materials_Cost29"/>
      <sheetName val="10__&amp;_11__Rate_Code_&amp;_BQ29"/>
      <sheetName val="Break_up_Sheet29"/>
      <sheetName val="B_&amp;_C_-_M_-_ccp29"/>
      <sheetName val="RES_STEEL_TO29"/>
      <sheetName val="RMZ_Summary29"/>
      <sheetName val="Materials_29"/>
      <sheetName val="Field_Values29"/>
      <sheetName val="Fin_Sum29"/>
      <sheetName val="Fill_this_out_first___29"/>
      <sheetName val="Site_Dev_BOQ29"/>
      <sheetName val="Staff_Forecast_spread29"/>
      <sheetName val="Structure_Bills_Qty29"/>
      <sheetName val="Builtup_Area29"/>
      <sheetName val="MASTER_RATE_ANALYSIS29"/>
      <sheetName val="Cop_-VGN29"/>
      <sheetName val="Pipe_Supports29"/>
      <sheetName val="MN_T_B_29"/>
      <sheetName val="BOQ_Direct_selling_cost29"/>
      <sheetName val="Stress_Calculation29"/>
      <sheetName val="IO_List29"/>
      <sheetName val="TBAL9697_-group_wise__sdpl29"/>
      <sheetName val="factor_sheet5"/>
      <sheetName val="Exp_29"/>
      <sheetName val="INDIGINEOUS_ITEMS_29"/>
      <sheetName val="E_&amp;_R29"/>
      <sheetName val="Load_Details(B1)29"/>
      <sheetName val="Break_Dw29"/>
      <sheetName val="SPT_vs_PHI29"/>
      <sheetName val="Civil_Boq29"/>
      <sheetName val="PA-_Consutant_29"/>
      <sheetName val="Debits_as_on_12_04_0829"/>
      <sheetName val="Sheet3_(2)29"/>
      <sheetName val="INDORAMA_Group_June_0229"/>
      <sheetName val="PART-I_(2)31"/>
      <sheetName val="final_abstract31"/>
      <sheetName val="Basement_Budget30"/>
      <sheetName val="Rate_analysis30"/>
      <sheetName val="Fee_Rate_Summary30"/>
      <sheetName val="Materials_Cost30"/>
      <sheetName val="10__&amp;_11__Rate_Code_&amp;_BQ30"/>
      <sheetName val="Break_up_Sheet30"/>
      <sheetName val="B_&amp;_C_-_M_-_ccp30"/>
      <sheetName val="RES_STEEL_TO30"/>
      <sheetName val="RMZ_Summary30"/>
      <sheetName val="Materials_30"/>
      <sheetName val="Field_Values30"/>
      <sheetName val="Fin_Sum30"/>
      <sheetName val="Fill_this_out_first___30"/>
      <sheetName val="Site_Dev_BOQ30"/>
      <sheetName val="Staff_Forecast_spread30"/>
      <sheetName val="Structure_Bills_Qty30"/>
      <sheetName val="Builtup_Area30"/>
      <sheetName val="MASTER_RATE_ANALYSIS30"/>
      <sheetName val="Cop_-VGN30"/>
      <sheetName val="Pipe_Supports30"/>
      <sheetName val="MN_T_B_30"/>
      <sheetName val="BOQ_Direct_selling_cost30"/>
      <sheetName val="Stress_Calculation30"/>
      <sheetName val="IO_List30"/>
      <sheetName val="TBAL9697_-group_wise__sdpl30"/>
      <sheetName val="factor_sheet6"/>
      <sheetName val="Exp_30"/>
      <sheetName val="INDIGINEOUS_ITEMS_30"/>
      <sheetName val="E_&amp;_R30"/>
      <sheetName val="Load_Details(B1)30"/>
      <sheetName val="Break_Dw30"/>
      <sheetName val="SPT_vs_PHI30"/>
      <sheetName val="Civil_Boq30"/>
      <sheetName val="PA-_Consutant_30"/>
      <sheetName val="Debits_as_on_12_04_0830"/>
      <sheetName val="Sheet3_(2)30"/>
      <sheetName val="INDORAMA_Group_June_0230"/>
      <sheetName val="PART-I_(2)32"/>
      <sheetName val="final_abstract32"/>
      <sheetName val="Basement_Budget31"/>
      <sheetName val="Rate_analysis31"/>
      <sheetName val="Fee_Rate_Summary31"/>
      <sheetName val="Materials_Cost31"/>
      <sheetName val="10__&amp;_11__Rate_Code_&amp;_BQ31"/>
      <sheetName val="Break_up_Sheet31"/>
      <sheetName val="B_&amp;_C_-_M_-_ccp31"/>
      <sheetName val="RES_STEEL_TO31"/>
      <sheetName val="RMZ_Summary31"/>
      <sheetName val="Materials_31"/>
      <sheetName val="Field_Values31"/>
      <sheetName val="Fin_Sum31"/>
      <sheetName val="Fill_this_out_first___31"/>
      <sheetName val="Site_Dev_BOQ31"/>
      <sheetName val="Staff_Forecast_spread31"/>
      <sheetName val="Structure_Bills_Qty31"/>
      <sheetName val="Builtup_Area31"/>
      <sheetName val="MASTER_RATE_ANALYSIS31"/>
      <sheetName val="Cop_-VGN31"/>
      <sheetName val="Pipe_Supports31"/>
      <sheetName val="MN_T_B_31"/>
      <sheetName val="BOQ_Direct_selling_cost31"/>
      <sheetName val="Stress_Calculation31"/>
      <sheetName val="IO_List31"/>
      <sheetName val="TBAL9697_-group_wise__sdpl31"/>
      <sheetName val="factor_sheet7"/>
      <sheetName val="Exp_31"/>
      <sheetName val="INDIGINEOUS_ITEMS_31"/>
      <sheetName val="E_&amp;_R31"/>
      <sheetName val="Load_Details(B1)31"/>
      <sheetName val="Break_Dw31"/>
      <sheetName val="SPT_vs_PHI31"/>
      <sheetName val="Civil_Boq31"/>
      <sheetName val="PA-_Consutant_31"/>
      <sheetName val="Debits_as_on_12_04_0831"/>
      <sheetName val="Sheet3_(2)31"/>
      <sheetName val="INDORAMA_Group_June_0231"/>
      <sheetName val="PART-I_(2)34"/>
      <sheetName val="final_abstract34"/>
      <sheetName val="Basement_Budget33"/>
      <sheetName val="Rate_analysis33"/>
      <sheetName val="Fee_Rate_Summary33"/>
      <sheetName val="Materials_Cost33"/>
      <sheetName val="10__&amp;_11__Rate_Code_&amp;_BQ33"/>
      <sheetName val="Break_up_Sheet33"/>
      <sheetName val="B_&amp;_C_-_M_-_ccp33"/>
      <sheetName val="RES_STEEL_TO33"/>
      <sheetName val="RMZ_Summary33"/>
      <sheetName val="Materials_33"/>
      <sheetName val="Field_Values33"/>
      <sheetName val="Fin_Sum33"/>
      <sheetName val="Fill_this_out_first___33"/>
      <sheetName val="Site_Dev_BOQ33"/>
      <sheetName val="Staff_Forecast_spread33"/>
      <sheetName val="Structure_Bills_Qty33"/>
      <sheetName val="Builtup_Area33"/>
      <sheetName val="MASTER_RATE_ANALYSIS33"/>
      <sheetName val="Cop_-VGN33"/>
      <sheetName val="Pipe_Supports33"/>
      <sheetName val="MN_T_B_33"/>
      <sheetName val="BOQ_Direct_selling_cost33"/>
      <sheetName val="Stress_Calculation33"/>
      <sheetName val="IO_List33"/>
      <sheetName val="TBAL9697_-group_wise__sdpl33"/>
      <sheetName val="Exp_33"/>
      <sheetName val="INDIGINEOUS_ITEMS_33"/>
      <sheetName val="E_&amp;_R33"/>
      <sheetName val="Load_Details(B1)33"/>
      <sheetName val="Break_Dw33"/>
      <sheetName val="SPT_vs_PHI33"/>
      <sheetName val="Civil_Boq33"/>
      <sheetName val="PA-_Consutant_33"/>
      <sheetName val="Debits_as_on_12_04_0833"/>
      <sheetName val="Sheet3_(2)33"/>
      <sheetName val="INDORAMA_Group_June_0233"/>
      <sheetName val="PART-I_(2)33"/>
      <sheetName val="final_abstract33"/>
      <sheetName val="Basement_Budget32"/>
      <sheetName val="Rate_analysis32"/>
      <sheetName val="Fee_Rate_Summary32"/>
      <sheetName val="Materials_Cost32"/>
      <sheetName val="10__&amp;_11__Rate_Code_&amp;_BQ32"/>
      <sheetName val="Break_up_Sheet32"/>
      <sheetName val="B_&amp;_C_-_M_-_ccp32"/>
      <sheetName val="RES_STEEL_TO32"/>
      <sheetName val="RMZ_Summary32"/>
      <sheetName val="Materials_32"/>
      <sheetName val="Field_Values32"/>
      <sheetName val="Fin_Sum32"/>
      <sheetName val="Fill_this_out_first___32"/>
      <sheetName val="Site_Dev_BOQ32"/>
      <sheetName val="Staff_Forecast_spread32"/>
      <sheetName val="Structure_Bills_Qty32"/>
      <sheetName val="Builtup_Area32"/>
      <sheetName val="MASTER_RATE_ANALYSIS32"/>
      <sheetName val="Cop_-VGN32"/>
      <sheetName val="Pipe_Supports32"/>
      <sheetName val="MN_T_B_32"/>
      <sheetName val="BOQ_Direct_selling_cost32"/>
      <sheetName val="Stress_Calculation32"/>
      <sheetName val="IO_List32"/>
      <sheetName val="TBAL9697_-group_wise__sdpl32"/>
      <sheetName val="factor_sheet8"/>
      <sheetName val="Exp_32"/>
      <sheetName val="INDIGINEOUS_ITEMS_32"/>
      <sheetName val="E_&amp;_R32"/>
      <sheetName val="Load_Details(B1)32"/>
      <sheetName val="Break_Dw32"/>
      <sheetName val="SPT_vs_PHI32"/>
      <sheetName val="Civil_Boq32"/>
      <sheetName val="PA-_Consutant_32"/>
      <sheetName val="Debits_as_on_12_04_0832"/>
      <sheetName val="Sheet3_(2)32"/>
      <sheetName val="INDORAMA_Group_June_0232"/>
      <sheetName val="PART-I_(2)35"/>
      <sheetName val="final_abstract35"/>
      <sheetName val="Basement_Budget34"/>
      <sheetName val="Rate_analysis34"/>
      <sheetName val="Fee_Rate_Summary34"/>
      <sheetName val="Materials_Cost34"/>
      <sheetName val="10__&amp;_11__Rate_Code_&amp;_BQ34"/>
      <sheetName val="Break_up_Sheet34"/>
      <sheetName val="B_&amp;_C_-_M_-_ccp34"/>
      <sheetName val="RES_STEEL_TO34"/>
      <sheetName val="RMZ_Summary34"/>
      <sheetName val="Materials_34"/>
      <sheetName val="Field_Values34"/>
      <sheetName val="Fin_Sum34"/>
      <sheetName val="Fill_this_out_first___34"/>
      <sheetName val="Site_Dev_BOQ34"/>
      <sheetName val="Staff_Forecast_spread34"/>
      <sheetName val="Structure_Bills_Qty34"/>
      <sheetName val="Builtup_Area34"/>
      <sheetName val="MASTER_RATE_ANALYSIS34"/>
      <sheetName val="Cop_-VGN34"/>
      <sheetName val="Pipe_Supports34"/>
      <sheetName val="MN_T_B_34"/>
      <sheetName val="BOQ_Direct_selling_cost34"/>
      <sheetName val="Stress_Calculation34"/>
      <sheetName val="IO_List34"/>
      <sheetName val="TBAL9697_-group_wise__sdpl34"/>
      <sheetName val="factor_sheet9"/>
      <sheetName val="Exp_34"/>
      <sheetName val="INDIGINEOUS_ITEMS_34"/>
      <sheetName val="E_&amp;_R34"/>
      <sheetName val="Load_Details(B1)34"/>
      <sheetName val="Break_Dw34"/>
      <sheetName val="SPT_vs_PHI34"/>
      <sheetName val="Civil_Boq34"/>
      <sheetName val="PA-_Consutant_34"/>
      <sheetName val="Debits_as_on_12_04_0834"/>
      <sheetName val="Sheet3_(2)34"/>
      <sheetName val="INDORAMA_Group_June_0234"/>
      <sheetName val="PART-I_(2)36"/>
      <sheetName val="final_abstract36"/>
      <sheetName val="Basement_Budget35"/>
      <sheetName val="Rate_analysis35"/>
      <sheetName val="Fee_Rate_Summary35"/>
      <sheetName val="Materials_Cost35"/>
      <sheetName val="10__&amp;_11__Rate_Code_&amp;_BQ35"/>
      <sheetName val="Break_up_Sheet35"/>
      <sheetName val="B_&amp;_C_-_M_-_ccp35"/>
      <sheetName val="RES_STEEL_TO35"/>
      <sheetName val="RMZ_Summary35"/>
      <sheetName val="Materials_35"/>
      <sheetName val="Field_Values35"/>
      <sheetName val="Fin_Sum35"/>
      <sheetName val="Fill_this_out_first___35"/>
      <sheetName val="Site_Dev_BOQ35"/>
      <sheetName val="Staff_Forecast_spread35"/>
      <sheetName val="Structure_Bills_Qty35"/>
      <sheetName val="Builtup_Area35"/>
      <sheetName val="MASTER_RATE_ANALYSIS35"/>
      <sheetName val="Cop_-VGN35"/>
      <sheetName val="Pipe_Supports35"/>
      <sheetName val="MN_T_B_35"/>
      <sheetName val="BOQ_Direct_selling_cost35"/>
      <sheetName val="Stress_Calculation35"/>
      <sheetName val="IO_List35"/>
      <sheetName val="TBAL9697_-group_wise__sdpl35"/>
      <sheetName val="factor_sheet10"/>
      <sheetName val="Exp_35"/>
      <sheetName val="INDIGINEOUS_ITEMS_35"/>
      <sheetName val="E_&amp;_R35"/>
      <sheetName val="Load_Details(B1)35"/>
      <sheetName val="Break_Dw35"/>
      <sheetName val="SPT_vs_PHI35"/>
      <sheetName val="Civil_Boq35"/>
      <sheetName val="PA-_Consutant_35"/>
      <sheetName val="Debits_as_on_12_04_0835"/>
      <sheetName val="Sheet3_(2)35"/>
      <sheetName val="INDORAMA_Group_June_0235"/>
      <sheetName val="PART-I_(2)37"/>
      <sheetName val="final_abstract37"/>
      <sheetName val="Basement_Budget36"/>
      <sheetName val="Rate_analysis36"/>
      <sheetName val="Fee_Rate_Summary36"/>
      <sheetName val="Materials_Cost36"/>
      <sheetName val="10__&amp;_11__Rate_Code_&amp;_BQ36"/>
      <sheetName val="Break_up_Sheet36"/>
      <sheetName val="B_&amp;_C_-_M_-_ccp36"/>
      <sheetName val="RES_STEEL_TO36"/>
      <sheetName val="RMZ_Summary36"/>
      <sheetName val="Materials_36"/>
      <sheetName val="Field_Values36"/>
      <sheetName val="Fin_Sum36"/>
      <sheetName val="Fill_this_out_first___36"/>
      <sheetName val="Site_Dev_BOQ36"/>
      <sheetName val="Staff_Forecast_spread36"/>
      <sheetName val="Structure_Bills_Qty36"/>
      <sheetName val="Builtup_Area36"/>
      <sheetName val="MASTER_RATE_ANALYSIS36"/>
      <sheetName val="Cop_-VGN36"/>
      <sheetName val="Pipe_Supports36"/>
      <sheetName val="MN_T_B_36"/>
      <sheetName val="BOQ_Direct_selling_cost36"/>
      <sheetName val="Stress_Calculation36"/>
      <sheetName val="IO_List36"/>
      <sheetName val="TBAL9697_-group_wise__sdpl36"/>
      <sheetName val="factor_sheet11"/>
      <sheetName val="Exp_36"/>
      <sheetName val="INDIGINEOUS_ITEMS_36"/>
      <sheetName val="E_&amp;_R36"/>
      <sheetName val="Load_Details(B1)36"/>
      <sheetName val="Break_Dw36"/>
      <sheetName val="SPT_vs_PHI36"/>
      <sheetName val="Civil_Boq36"/>
      <sheetName val="PA-_Consutant_36"/>
      <sheetName val="Debits_as_on_12_04_0836"/>
      <sheetName val="Sheet3_(2)36"/>
      <sheetName val="INDORAMA_Group_June_0236"/>
      <sheetName val="PART-I_(2)44"/>
      <sheetName val="final_abstract44"/>
      <sheetName val="Basement_Budget43"/>
      <sheetName val="Rate_analysis43"/>
      <sheetName val="Fee_Rate_Summary43"/>
      <sheetName val="Materials_Cost43"/>
      <sheetName val="10__&amp;_11__Rate_Code_&amp;_BQ43"/>
      <sheetName val="Break_up_Sheet43"/>
      <sheetName val="B_&amp;_C_-_M_-_ccp43"/>
      <sheetName val="RES_STEEL_TO43"/>
      <sheetName val="RMZ_Summary43"/>
      <sheetName val="Materials_43"/>
      <sheetName val="Field_Values43"/>
      <sheetName val="Fin_Sum43"/>
      <sheetName val="Fill_this_out_first___43"/>
      <sheetName val="Site_Dev_BOQ43"/>
      <sheetName val="Staff_Forecast_spread43"/>
      <sheetName val="Structure_Bills_Qty43"/>
      <sheetName val="Builtup_Area43"/>
      <sheetName val="MASTER_RATE_ANALYSIS43"/>
      <sheetName val="Cop_-VGN43"/>
      <sheetName val="Pipe_Supports43"/>
      <sheetName val="MN_T_B_43"/>
      <sheetName val="BOQ_Direct_selling_cost43"/>
      <sheetName val="Stress_Calculation43"/>
      <sheetName val="IO_List43"/>
      <sheetName val="TBAL9697_-group_wise__sdpl43"/>
      <sheetName val="factor_sheet16"/>
      <sheetName val="Exp_43"/>
      <sheetName val="INDIGINEOUS_ITEMS_43"/>
      <sheetName val="E_&amp;_R43"/>
      <sheetName val="Load_Details(B1)43"/>
      <sheetName val="Break_Dw43"/>
      <sheetName val="SPT_vs_PHI43"/>
      <sheetName val="Civil_Boq43"/>
      <sheetName val="PA-_Consutant_43"/>
      <sheetName val="Debits_as_on_12_04_0843"/>
      <sheetName val="Sheet3_(2)43"/>
      <sheetName val="INDORAMA_Group_June_0243"/>
      <sheetName val="PART-I_(2)39"/>
      <sheetName val="final_abstract39"/>
      <sheetName val="Basement_Budget38"/>
      <sheetName val="Rate_analysis38"/>
      <sheetName val="Fee_Rate_Summary38"/>
      <sheetName val="Materials_Cost38"/>
      <sheetName val="10__&amp;_11__Rate_Code_&amp;_BQ38"/>
      <sheetName val="Break_up_Sheet38"/>
      <sheetName val="B_&amp;_C_-_M_-_ccp38"/>
      <sheetName val="RES_STEEL_TO38"/>
      <sheetName val="RMZ_Summary38"/>
      <sheetName val="Materials_38"/>
      <sheetName val="Field_Values38"/>
      <sheetName val="Fin_Sum38"/>
      <sheetName val="Fill_this_out_first___38"/>
      <sheetName val="Site_Dev_BOQ38"/>
      <sheetName val="Staff_Forecast_spread38"/>
      <sheetName val="Structure_Bills_Qty38"/>
      <sheetName val="Builtup_Area38"/>
      <sheetName val="MASTER_RATE_ANALYSIS38"/>
      <sheetName val="Cop_-VGN38"/>
      <sheetName val="Pipe_Supports38"/>
      <sheetName val="MN_T_B_38"/>
      <sheetName val="BOQ_Direct_selling_cost38"/>
      <sheetName val="Stress_Calculation38"/>
      <sheetName val="IO_List38"/>
      <sheetName val="TBAL9697_-group_wise__sdpl38"/>
      <sheetName val="Exp_38"/>
      <sheetName val="INDIGINEOUS_ITEMS_38"/>
      <sheetName val="E_&amp;_R38"/>
      <sheetName val="Load_Details(B1)38"/>
      <sheetName val="Break_Dw38"/>
      <sheetName val="SPT_vs_PHI38"/>
      <sheetName val="Civil_Boq38"/>
      <sheetName val="PA-_Consutant_38"/>
      <sheetName val="Debits_as_on_12_04_0838"/>
      <sheetName val="Sheet3_(2)38"/>
      <sheetName val="INDORAMA_Group_June_0238"/>
      <sheetName val="PART-I_(2)40"/>
      <sheetName val="final_abstract40"/>
      <sheetName val="Basement_Budget39"/>
      <sheetName val="Rate_analysis39"/>
      <sheetName val="Fee_Rate_Summary39"/>
      <sheetName val="Materials_Cost39"/>
      <sheetName val="10__&amp;_11__Rate_Code_&amp;_BQ39"/>
      <sheetName val="Break_up_Sheet39"/>
      <sheetName val="B_&amp;_C_-_M_-_ccp39"/>
      <sheetName val="RES_STEEL_TO39"/>
      <sheetName val="RMZ_Summary39"/>
      <sheetName val="Materials_39"/>
      <sheetName val="Field_Values39"/>
      <sheetName val="Fin_Sum39"/>
      <sheetName val="Fill_this_out_first___39"/>
      <sheetName val="Site_Dev_BOQ39"/>
      <sheetName val="Staff_Forecast_spread39"/>
      <sheetName val="Structure_Bills_Qty39"/>
      <sheetName val="Builtup_Area39"/>
      <sheetName val="MASTER_RATE_ANALYSIS39"/>
      <sheetName val="Cop_-VGN39"/>
      <sheetName val="Pipe_Supports39"/>
      <sheetName val="MN_T_B_39"/>
      <sheetName val="BOQ_Direct_selling_cost39"/>
      <sheetName val="Stress_Calculation39"/>
      <sheetName val="IO_List39"/>
      <sheetName val="TBAL9697_-group_wise__sdpl39"/>
      <sheetName val="Exp_39"/>
      <sheetName val="INDIGINEOUS_ITEMS_39"/>
      <sheetName val="E_&amp;_R39"/>
      <sheetName val="Load_Details(B1)39"/>
      <sheetName val="Break_Dw39"/>
      <sheetName val="SPT_vs_PHI39"/>
      <sheetName val="Civil_Boq39"/>
      <sheetName val="PA-_Consutant_39"/>
      <sheetName val="Debits_as_on_12_04_0839"/>
      <sheetName val="Sheet3_(2)39"/>
      <sheetName val="INDORAMA_Group_June_0239"/>
      <sheetName val="PART-I_(2)42"/>
      <sheetName val="final_abstract42"/>
      <sheetName val="Basement_Budget41"/>
      <sheetName val="Rate_analysis41"/>
      <sheetName val="Fee_Rate_Summary41"/>
      <sheetName val="Materials_Cost41"/>
      <sheetName val="10__&amp;_11__Rate_Code_&amp;_BQ41"/>
      <sheetName val="Break_up_Sheet41"/>
      <sheetName val="B_&amp;_C_-_M_-_ccp41"/>
      <sheetName val="RES_STEEL_TO41"/>
      <sheetName val="RMZ_Summary41"/>
      <sheetName val="Materials_41"/>
      <sheetName val="Field_Values41"/>
      <sheetName val="Fin_Sum41"/>
      <sheetName val="Fill_this_out_first___41"/>
      <sheetName val="Site_Dev_BOQ41"/>
      <sheetName val="Staff_Forecast_spread41"/>
      <sheetName val="Structure_Bills_Qty41"/>
      <sheetName val="Builtup_Area41"/>
      <sheetName val="MASTER_RATE_ANALYSIS41"/>
      <sheetName val="Cop_-VGN41"/>
      <sheetName val="Pipe_Supports41"/>
      <sheetName val="MN_T_B_41"/>
      <sheetName val="BOQ_Direct_selling_cost41"/>
      <sheetName val="Stress_Calculation41"/>
      <sheetName val="IO_List41"/>
      <sheetName val="TBAL9697_-group_wise__sdpl41"/>
      <sheetName val="factor_sheet14"/>
      <sheetName val="Exp_41"/>
      <sheetName val="INDIGINEOUS_ITEMS_41"/>
      <sheetName val="E_&amp;_R41"/>
      <sheetName val="Load_Details(B1)41"/>
      <sheetName val="Break_Dw41"/>
      <sheetName val="SPT_vs_PHI41"/>
      <sheetName val="Civil_Boq41"/>
      <sheetName val="PA-_Consutant_41"/>
      <sheetName val="Debits_as_on_12_04_0841"/>
      <sheetName val="Sheet3_(2)41"/>
      <sheetName val="INDORAMA_Group_June_0241"/>
      <sheetName val="PART-I_(2)41"/>
      <sheetName val="final_abstract41"/>
      <sheetName val="Basement_Budget40"/>
      <sheetName val="Rate_analysis40"/>
      <sheetName val="Fee_Rate_Summary40"/>
      <sheetName val="Materials_Cost40"/>
      <sheetName val="10__&amp;_11__Rate_Code_&amp;_BQ40"/>
      <sheetName val="Break_up_Sheet40"/>
      <sheetName val="B_&amp;_C_-_M_-_ccp40"/>
      <sheetName val="RES_STEEL_TO40"/>
      <sheetName val="RMZ_Summary40"/>
      <sheetName val="Materials_40"/>
      <sheetName val="Field_Values40"/>
      <sheetName val="Fin_Sum40"/>
      <sheetName val="Fill_this_out_first___40"/>
      <sheetName val="Site_Dev_BOQ40"/>
      <sheetName val="Staff_Forecast_spread40"/>
      <sheetName val="Structure_Bills_Qty40"/>
      <sheetName val="Builtup_Area40"/>
      <sheetName val="MASTER_RATE_ANALYSIS40"/>
      <sheetName val="Cop_-VGN40"/>
      <sheetName val="Pipe_Supports40"/>
      <sheetName val="MN_T_B_40"/>
      <sheetName val="BOQ_Direct_selling_cost40"/>
      <sheetName val="Stress_Calculation40"/>
      <sheetName val="IO_List40"/>
      <sheetName val="TBAL9697_-group_wise__sdpl40"/>
      <sheetName val="factor_sheet13"/>
      <sheetName val="Exp_40"/>
      <sheetName val="INDIGINEOUS_ITEMS_40"/>
      <sheetName val="E_&amp;_R40"/>
      <sheetName val="Load_Details(B1)40"/>
      <sheetName val="Break_Dw40"/>
      <sheetName val="SPT_vs_PHI40"/>
      <sheetName val="Civil_Boq40"/>
      <sheetName val="PA-_Consutant_40"/>
      <sheetName val="Debits_as_on_12_04_0840"/>
      <sheetName val="Sheet3_(2)40"/>
      <sheetName val="INDORAMA_Group_June_0240"/>
      <sheetName val="PART-I_(2)43"/>
      <sheetName val="final_abstract43"/>
      <sheetName val="Basement_Budget42"/>
      <sheetName val="Rate_analysis42"/>
      <sheetName val="Fee_Rate_Summary42"/>
      <sheetName val="Materials_Cost42"/>
      <sheetName val="10__&amp;_11__Rate_Code_&amp;_BQ42"/>
      <sheetName val="Break_up_Sheet42"/>
      <sheetName val="B_&amp;_C_-_M_-_ccp42"/>
      <sheetName val="RES_STEEL_TO42"/>
      <sheetName val="RMZ_Summary42"/>
      <sheetName val="Materials_42"/>
      <sheetName val="Field_Values42"/>
      <sheetName val="Fin_Sum42"/>
      <sheetName val="Fill_this_out_first___42"/>
      <sheetName val="Site_Dev_BOQ42"/>
      <sheetName val="Staff_Forecast_spread42"/>
      <sheetName val="Structure_Bills_Qty42"/>
      <sheetName val="Builtup_Area42"/>
      <sheetName val="MASTER_RATE_ANALYSIS42"/>
      <sheetName val="Cop_-VGN42"/>
      <sheetName val="Pipe_Supports42"/>
      <sheetName val="MN_T_B_42"/>
      <sheetName val="BOQ_Direct_selling_cost42"/>
      <sheetName val="Stress_Calculation42"/>
      <sheetName val="IO_List42"/>
      <sheetName val="TBAL9697_-group_wise__sdpl42"/>
      <sheetName val="factor_sheet15"/>
      <sheetName val="Exp_42"/>
      <sheetName val="INDIGINEOUS_ITEMS_42"/>
      <sheetName val="E_&amp;_R42"/>
      <sheetName val="Load_Details(B1)42"/>
      <sheetName val="Break_Dw42"/>
      <sheetName val="SPT_vs_PHI42"/>
      <sheetName val="Civil_Boq42"/>
      <sheetName val="PA-_Consutant_42"/>
      <sheetName val="Debits_as_on_12_04_0842"/>
      <sheetName val="Sheet3_(2)42"/>
      <sheetName val="INDORAMA_Group_June_0242"/>
      <sheetName val="PART-I_(2)45"/>
      <sheetName val="final_abstract45"/>
      <sheetName val="Basement_Budget44"/>
      <sheetName val="Rate_analysis44"/>
      <sheetName val="Fee_Rate_Summary44"/>
      <sheetName val="Materials_Cost44"/>
      <sheetName val="10__&amp;_11__Rate_Code_&amp;_BQ44"/>
      <sheetName val="Break_up_Sheet44"/>
      <sheetName val="B_&amp;_C_-_M_-_ccp44"/>
      <sheetName val="RES_STEEL_TO44"/>
      <sheetName val="RMZ_Summary44"/>
      <sheetName val="Materials_44"/>
      <sheetName val="Field_Values44"/>
      <sheetName val="Fin_Sum44"/>
      <sheetName val="Fill_this_out_first___44"/>
      <sheetName val="Site_Dev_BOQ44"/>
      <sheetName val="Staff_Forecast_spread44"/>
      <sheetName val="Structure_Bills_Qty44"/>
      <sheetName val="Builtup_Area44"/>
      <sheetName val="MASTER_RATE_ANALYSIS44"/>
      <sheetName val="Cop_-VGN44"/>
      <sheetName val="Pipe_Supports44"/>
      <sheetName val="MN_T_B_44"/>
      <sheetName val="BOQ_Direct_selling_cost44"/>
      <sheetName val="Stress_Calculation44"/>
      <sheetName val="IO_List44"/>
      <sheetName val="TBAL9697_-group_wise__sdpl44"/>
      <sheetName val="factor_sheet17"/>
      <sheetName val="Exp_44"/>
      <sheetName val="INDIGINEOUS_ITEMS_44"/>
      <sheetName val="E_&amp;_R44"/>
      <sheetName val="Load_Details(B1)44"/>
      <sheetName val="Break_Dw44"/>
      <sheetName val="SPT_vs_PHI44"/>
      <sheetName val="Civil_Boq44"/>
      <sheetName val="PA-_Consutant_44"/>
      <sheetName val="Debits_as_on_12_04_0844"/>
      <sheetName val="Sheet3_(2)44"/>
      <sheetName val="INDORAMA_Group_June_0244"/>
      <sheetName val="PART-I_(2)58"/>
      <sheetName val="final_abstract58"/>
      <sheetName val="Basement_Budget57"/>
      <sheetName val="Rate_analysis57"/>
      <sheetName val="Fee_Rate_Summary57"/>
      <sheetName val="Materials_Cost57"/>
      <sheetName val="10__&amp;_11__Rate_Code_&amp;_BQ57"/>
      <sheetName val="Break_up_Sheet57"/>
      <sheetName val="B_&amp;_C_-_M_-_ccp57"/>
      <sheetName val="RES_STEEL_TO57"/>
      <sheetName val="RMZ_Summary57"/>
      <sheetName val="Materials_57"/>
      <sheetName val="Field_Values57"/>
      <sheetName val="Fin_Sum57"/>
      <sheetName val="Fill_this_out_first___57"/>
      <sheetName val="Site_Dev_BOQ57"/>
      <sheetName val="Staff_Forecast_spread57"/>
      <sheetName val="Structure_Bills_Qty57"/>
      <sheetName val="Builtup_Area57"/>
      <sheetName val="MASTER_RATE_ANALYSIS57"/>
      <sheetName val="Cop_-VGN57"/>
      <sheetName val="Pipe_Supports57"/>
      <sheetName val="MN_T_B_57"/>
      <sheetName val="BOQ_Direct_selling_cost57"/>
      <sheetName val="Stress_Calculation57"/>
      <sheetName val="IO_List57"/>
      <sheetName val="TBAL9697_-group_wise__sdpl57"/>
      <sheetName val="factor_sheet30"/>
      <sheetName val="Exp_57"/>
      <sheetName val="INDIGINEOUS_ITEMS_57"/>
      <sheetName val="E_&amp;_R57"/>
      <sheetName val="Load_Details(B1)57"/>
      <sheetName val="Break_Dw57"/>
      <sheetName val="SPT_vs_PHI57"/>
      <sheetName val="Civil_Boq57"/>
      <sheetName val="PA-_Consutant_57"/>
      <sheetName val="Debits_as_on_12_04_0857"/>
      <sheetName val="Sheet3_(2)57"/>
      <sheetName val="INDORAMA_Group_June_0257"/>
      <sheetName val="PART-I_(2)46"/>
      <sheetName val="final_abstract46"/>
      <sheetName val="Basement_Budget45"/>
      <sheetName val="Rate_analysis45"/>
      <sheetName val="Fee_Rate_Summary45"/>
      <sheetName val="Materials_Cost45"/>
      <sheetName val="10__&amp;_11__Rate_Code_&amp;_BQ45"/>
      <sheetName val="Break_up_Sheet45"/>
      <sheetName val="B_&amp;_C_-_M_-_ccp45"/>
      <sheetName val="RES_STEEL_TO45"/>
      <sheetName val="RMZ_Summary45"/>
      <sheetName val="Materials_45"/>
      <sheetName val="Field_Values45"/>
      <sheetName val="Fin_Sum45"/>
      <sheetName val="Fill_this_out_first___45"/>
      <sheetName val="Site_Dev_BOQ45"/>
      <sheetName val="Staff_Forecast_spread45"/>
      <sheetName val="Structure_Bills_Qty45"/>
      <sheetName val="Builtup_Area45"/>
      <sheetName val="MASTER_RATE_ANALYSIS45"/>
      <sheetName val="Cop_-VGN45"/>
      <sheetName val="Pipe_Supports45"/>
      <sheetName val="MN_T_B_45"/>
      <sheetName val="BOQ_Direct_selling_cost45"/>
      <sheetName val="Stress_Calculation45"/>
      <sheetName val="IO_List45"/>
      <sheetName val="TBAL9697_-group_wise__sdpl45"/>
      <sheetName val="factor_sheet18"/>
      <sheetName val="Exp_45"/>
      <sheetName val="INDIGINEOUS_ITEMS_45"/>
      <sheetName val="E_&amp;_R45"/>
      <sheetName val="Load_Details(B1)45"/>
      <sheetName val="Break_Dw45"/>
      <sheetName val="SPT_vs_PHI45"/>
      <sheetName val="Civil_Boq45"/>
      <sheetName val="PA-_Consutant_45"/>
      <sheetName val="Debits_as_on_12_04_0845"/>
      <sheetName val="Sheet3_(2)45"/>
      <sheetName val="INDORAMA_Group_June_0245"/>
      <sheetName val="PART-I_(2)47"/>
      <sheetName val="final_abstract47"/>
      <sheetName val="Basement_Budget46"/>
      <sheetName val="Rate_analysis46"/>
      <sheetName val="Fee_Rate_Summary46"/>
      <sheetName val="Materials_Cost46"/>
      <sheetName val="10__&amp;_11__Rate_Code_&amp;_BQ46"/>
      <sheetName val="Break_up_Sheet46"/>
      <sheetName val="B_&amp;_C_-_M_-_ccp46"/>
      <sheetName val="RES_STEEL_TO46"/>
      <sheetName val="RMZ_Summary46"/>
      <sheetName val="Materials_46"/>
      <sheetName val="Field_Values46"/>
      <sheetName val="Fin_Sum46"/>
      <sheetName val="Fill_this_out_first___46"/>
      <sheetName val="Site_Dev_BOQ46"/>
      <sheetName val="Staff_Forecast_spread46"/>
      <sheetName val="Structure_Bills_Qty46"/>
      <sheetName val="Builtup_Area46"/>
      <sheetName val="MASTER_RATE_ANALYSIS46"/>
      <sheetName val="Cop_-VGN46"/>
      <sheetName val="Pipe_Supports46"/>
      <sheetName val="MN_T_B_46"/>
      <sheetName val="BOQ_Direct_selling_cost46"/>
      <sheetName val="Stress_Calculation46"/>
      <sheetName val="IO_List46"/>
      <sheetName val="TBAL9697_-group_wise__sdpl46"/>
      <sheetName val="factor_sheet19"/>
      <sheetName val="Exp_46"/>
      <sheetName val="INDIGINEOUS_ITEMS_46"/>
      <sheetName val="E_&amp;_R46"/>
      <sheetName val="Load_Details(B1)46"/>
      <sheetName val="Break_Dw46"/>
      <sheetName val="SPT_vs_PHI46"/>
      <sheetName val="Civil_Boq46"/>
      <sheetName val="PA-_Consutant_46"/>
      <sheetName val="Debits_as_on_12_04_0846"/>
      <sheetName val="Sheet3_(2)46"/>
      <sheetName val="INDORAMA_Group_June_0246"/>
      <sheetName val="PART-I_(2)50"/>
      <sheetName val="final_abstract50"/>
      <sheetName val="Basement_Budget49"/>
      <sheetName val="Rate_analysis49"/>
      <sheetName val="Fee_Rate_Summary49"/>
      <sheetName val="Materials_Cost49"/>
      <sheetName val="10__&amp;_11__Rate_Code_&amp;_BQ49"/>
      <sheetName val="Break_up_Sheet49"/>
      <sheetName val="B_&amp;_C_-_M_-_ccp49"/>
      <sheetName val="RES_STEEL_TO49"/>
      <sheetName val="RMZ_Summary49"/>
      <sheetName val="Materials_49"/>
      <sheetName val="Field_Values49"/>
      <sheetName val="Fin_Sum49"/>
      <sheetName val="Fill_this_out_first___49"/>
      <sheetName val="Site_Dev_BOQ49"/>
      <sheetName val="Staff_Forecast_spread49"/>
      <sheetName val="Structure_Bills_Qty49"/>
      <sheetName val="Builtup_Area49"/>
      <sheetName val="MASTER_RATE_ANALYSIS49"/>
      <sheetName val="Cop_-VGN49"/>
      <sheetName val="Pipe_Supports49"/>
      <sheetName val="MN_T_B_49"/>
      <sheetName val="BOQ_Direct_selling_cost49"/>
      <sheetName val="Stress_Calculation49"/>
      <sheetName val="IO_List49"/>
      <sheetName val="TBAL9697_-group_wise__sdpl49"/>
      <sheetName val="factor_sheet22"/>
      <sheetName val="Exp_49"/>
      <sheetName val="INDIGINEOUS_ITEMS_49"/>
      <sheetName val="E_&amp;_R49"/>
      <sheetName val="Load_Details(B1)49"/>
      <sheetName val="Break_Dw49"/>
      <sheetName val="SPT_vs_PHI49"/>
      <sheetName val="Civil_Boq49"/>
      <sheetName val="PA-_Consutant_49"/>
      <sheetName val="Debits_as_on_12_04_0849"/>
      <sheetName val="Sheet3_(2)49"/>
      <sheetName val="INDORAMA_Group_June_0249"/>
      <sheetName val="PART-I_(2)48"/>
      <sheetName val="final_abstract48"/>
      <sheetName val="Basement_Budget47"/>
      <sheetName val="Rate_analysis47"/>
      <sheetName val="Fee_Rate_Summary47"/>
      <sheetName val="Materials_Cost47"/>
      <sheetName val="10__&amp;_11__Rate_Code_&amp;_BQ47"/>
      <sheetName val="Break_up_Sheet47"/>
      <sheetName val="B_&amp;_C_-_M_-_ccp47"/>
      <sheetName val="RES_STEEL_TO47"/>
      <sheetName val="RMZ_Summary47"/>
      <sheetName val="Materials_47"/>
      <sheetName val="Field_Values47"/>
      <sheetName val="Fin_Sum47"/>
      <sheetName val="Fill_this_out_first___47"/>
      <sheetName val="Site_Dev_BOQ47"/>
      <sheetName val="Staff_Forecast_spread47"/>
      <sheetName val="Structure_Bills_Qty47"/>
      <sheetName val="Builtup_Area47"/>
      <sheetName val="MASTER_RATE_ANALYSIS47"/>
      <sheetName val="Cop_-VGN47"/>
      <sheetName val="Pipe_Supports47"/>
      <sheetName val="MN_T_B_47"/>
      <sheetName val="BOQ_Direct_selling_cost47"/>
      <sheetName val="Stress_Calculation47"/>
      <sheetName val="IO_List47"/>
      <sheetName val="TBAL9697_-group_wise__sdpl47"/>
      <sheetName val="factor_sheet20"/>
      <sheetName val="Exp_47"/>
      <sheetName val="INDIGINEOUS_ITEMS_47"/>
      <sheetName val="E_&amp;_R47"/>
      <sheetName val="Load_Details(B1)47"/>
      <sheetName val="Break_Dw47"/>
      <sheetName val="SPT_vs_PHI47"/>
      <sheetName val="Civil_Boq47"/>
      <sheetName val="PA-_Consutant_47"/>
      <sheetName val="Debits_as_on_12_04_0847"/>
      <sheetName val="Sheet3_(2)47"/>
      <sheetName val="INDORAMA_Group_June_0247"/>
      <sheetName val="PART-I_(2)49"/>
      <sheetName val="final_abstract49"/>
      <sheetName val="Basement_Budget48"/>
      <sheetName val="Rate_analysis48"/>
      <sheetName val="Fee_Rate_Summary48"/>
      <sheetName val="Materials_Cost48"/>
      <sheetName val="10__&amp;_11__Rate_Code_&amp;_BQ48"/>
      <sheetName val="Break_up_Sheet48"/>
      <sheetName val="B_&amp;_C_-_M_-_ccp48"/>
      <sheetName val="RES_STEEL_TO48"/>
      <sheetName val="RMZ_Summary48"/>
      <sheetName val="Materials_48"/>
      <sheetName val="Field_Values48"/>
      <sheetName val="Fin_Sum48"/>
      <sheetName val="Fill_this_out_first___48"/>
      <sheetName val="Site_Dev_BOQ48"/>
      <sheetName val="Staff_Forecast_spread48"/>
      <sheetName val="Structure_Bills_Qty48"/>
      <sheetName val="Builtup_Area48"/>
      <sheetName val="MASTER_RATE_ANALYSIS48"/>
      <sheetName val="Cop_-VGN48"/>
      <sheetName val="Pipe_Supports48"/>
      <sheetName val="MN_T_B_48"/>
      <sheetName val="BOQ_Direct_selling_cost48"/>
      <sheetName val="Stress_Calculation48"/>
      <sheetName val="IO_List48"/>
      <sheetName val="TBAL9697_-group_wise__sdpl48"/>
      <sheetName val="factor_sheet21"/>
      <sheetName val="Exp_48"/>
      <sheetName val="INDIGINEOUS_ITEMS_48"/>
      <sheetName val="E_&amp;_R48"/>
      <sheetName val="Load_Details(B1)48"/>
      <sheetName val="Break_Dw48"/>
      <sheetName val="SPT_vs_PHI48"/>
      <sheetName val="Civil_Boq48"/>
      <sheetName val="PA-_Consutant_48"/>
      <sheetName val="Debits_as_on_12_04_0848"/>
      <sheetName val="Sheet3_(2)48"/>
      <sheetName val="INDORAMA_Group_June_0248"/>
      <sheetName val="PART-I_(2)51"/>
      <sheetName val="final_abstract51"/>
      <sheetName val="Basement_Budget50"/>
      <sheetName val="Rate_analysis50"/>
      <sheetName val="Fee_Rate_Summary50"/>
      <sheetName val="Materials_Cost50"/>
      <sheetName val="10__&amp;_11__Rate_Code_&amp;_BQ50"/>
      <sheetName val="Break_up_Sheet50"/>
      <sheetName val="B_&amp;_C_-_M_-_ccp50"/>
      <sheetName val="RES_STEEL_TO50"/>
      <sheetName val="RMZ_Summary50"/>
      <sheetName val="Materials_50"/>
      <sheetName val="Field_Values50"/>
      <sheetName val="Fin_Sum50"/>
      <sheetName val="Fill_this_out_first___50"/>
      <sheetName val="Site_Dev_BOQ50"/>
      <sheetName val="Staff_Forecast_spread50"/>
      <sheetName val="Structure_Bills_Qty50"/>
      <sheetName val="Builtup_Area50"/>
      <sheetName val="MASTER_RATE_ANALYSIS50"/>
      <sheetName val="Cop_-VGN50"/>
      <sheetName val="Pipe_Supports50"/>
      <sheetName val="MN_T_B_50"/>
      <sheetName val="BOQ_Direct_selling_cost50"/>
      <sheetName val="Stress_Calculation50"/>
      <sheetName val="IO_List50"/>
      <sheetName val="TBAL9697_-group_wise__sdpl50"/>
      <sheetName val="factor_sheet23"/>
      <sheetName val="Exp_50"/>
      <sheetName val="INDIGINEOUS_ITEMS_50"/>
      <sheetName val="E_&amp;_R50"/>
      <sheetName val="Load_Details(B1)50"/>
      <sheetName val="Break_Dw50"/>
      <sheetName val="SPT_vs_PHI50"/>
      <sheetName val="Civil_Boq50"/>
      <sheetName val="PA-_Consutant_50"/>
      <sheetName val="Debits_as_on_12_04_0850"/>
      <sheetName val="Sheet3_(2)50"/>
      <sheetName val="INDORAMA_Group_June_0250"/>
      <sheetName val="PART-I_(2)52"/>
      <sheetName val="final_abstract52"/>
      <sheetName val="Basement_Budget51"/>
      <sheetName val="Rate_analysis51"/>
      <sheetName val="Fee_Rate_Summary51"/>
      <sheetName val="Materials_Cost51"/>
      <sheetName val="10__&amp;_11__Rate_Code_&amp;_BQ51"/>
      <sheetName val="Break_up_Sheet51"/>
      <sheetName val="B_&amp;_C_-_M_-_ccp51"/>
      <sheetName val="RES_STEEL_TO51"/>
      <sheetName val="RMZ_Summary51"/>
      <sheetName val="Materials_51"/>
      <sheetName val="Field_Values51"/>
      <sheetName val="Fin_Sum51"/>
      <sheetName val="Fill_this_out_first___51"/>
      <sheetName val="Site_Dev_BOQ51"/>
      <sheetName val="Staff_Forecast_spread51"/>
      <sheetName val="Structure_Bills_Qty51"/>
      <sheetName val="Builtup_Area51"/>
      <sheetName val="MASTER_RATE_ANALYSIS51"/>
      <sheetName val="Cop_-VGN51"/>
      <sheetName val="Pipe_Supports51"/>
      <sheetName val="MN_T_B_51"/>
      <sheetName val="BOQ_Direct_selling_cost51"/>
      <sheetName val="Stress_Calculation51"/>
      <sheetName val="IO_List51"/>
      <sheetName val="TBAL9697_-group_wise__sdpl51"/>
      <sheetName val="factor_sheet24"/>
      <sheetName val="Exp_51"/>
      <sheetName val="INDIGINEOUS_ITEMS_51"/>
      <sheetName val="E_&amp;_R51"/>
      <sheetName val="Load_Details(B1)51"/>
      <sheetName val="Break_Dw51"/>
      <sheetName val="SPT_vs_PHI51"/>
      <sheetName val="Civil_Boq51"/>
      <sheetName val="PA-_Consutant_51"/>
      <sheetName val="Debits_as_on_12_04_0851"/>
      <sheetName val="Sheet3_(2)51"/>
      <sheetName val="INDORAMA_Group_June_0251"/>
      <sheetName val="PART-I_(2)53"/>
      <sheetName val="final_abstract53"/>
      <sheetName val="Basement_Budget52"/>
      <sheetName val="Rate_analysis52"/>
      <sheetName val="Fee_Rate_Summary52"/>
      <sheetName val="Materials_Cost52"/>
      <sheetName val="10__&amp;_11__Rate_Code_&amp;_BQ52"/>
      <sheetName val="Break_up_Sheet52"/>
      <sheetName val="B_&amp;_C_-_M_-_ccp52"/>
      <sheetName val="RES_STEEL_TO52"/>
      <sheetName val="RMZ_Summary52"/>
      <sheetName val="Materials_52"/>
      <sheetName val="Field_Values52"/>
      <sheetName val="Fin_Sum52"/>
      <sheetName val="Fill_this_out_first___52"/>
      <sheetName val="Site_Dev_BOQ52"/>
      <sheetName val="Staff_Forecast_spread52"/>
      <sheetName val="Structure_Bills_Qty52"/>
      <sheetName val="Builtup_Area52"/>
      <sheetName val="MASTER_RATE_ANALYSIS52"/>
      <sheetName val="Cop_-VGN52"/>
      <sheetName val="Pipe_Supports52"/>
      <sheetName val="MN_T_B_52"/>
      <sheetName val="BOQ_Direct_selling_cost52"/>
      <sheetName val="Stress_Calculation52"/>
      <sheetName val="IO_List52"/>
      <sheetName val="TBAL9697_-group_wise__sdpl52"/>
      <sheetName val="factor_sheet25"/>
      <sheetName val="Exp_52"/>
      <sheetName val="INDIGINEOUS_ITEMS_52"/>
      <sheetName val="E_&amp;_R52"/>
      <sheetName val="Load_Details(B1)52"/>
      <sheetName val="Break_Dw52"/>
      <sheetName val="SPT_vs_PHI52"/>
      <sheetName val="Civil_Boq52"/>
      <sheetName val="PA-_Consutant_52"/>
      <sheetName val="Debits_as_on_12_04_0852"/>
      <sheetName val="Sheet3_(2)52"/>
      <sheetName val="INDORAMA_Group_June_0252"/>
      <sheetName val="PART-I_(2)54"/>
      <sheetName val="final_abstract54"/>
      <sheetName val="Basement_Budget53"/>
      <sheetName val="Rate_analysis53"/>
      <sheetName val="Fee_Rate_Summary53"/>
      <sheetName val="Materials_Cost53"/>
      <sheetName val="10__&amp;_11__Rate_Code_&amp;_BQ53"/>
      <sheetName val="Break_up_Sheet53"/>
      <sheetName val="B_&amp;_C_-_M_-_ccp53"/>
      <sheetName val="RES_STEEL_TO53"/>
      <sheetName val="RMZ_Summary53"/>
      <sheetName val="Materials_53"/>
      <sheetName val="Field_Values53"/>
      <sheetName val="Fin_Sum53"/>
      <sheetName val="Fill_this_out_first___53"/>
      <sheetName val="Site_Dev_BOQ53"/>
      <sheetName val="Staff_Forecast_spread53"/>
      <sheetName val="Structure_Bills_Qty53"/>
      <sheetName val="Builtup_Area53"/>
      <sheetName val="MASTER_RATE_ANALYSIS53"/>
      <sheetName val="Cop_-VGN53"/>
      <sheetName val="Pipe_Supports53"/>
      <sheetName val="MN_T_B_53"/>
      <sheetName val="BOQ_Direct_selling_cost53"/>
      <sheetName val="Stress_Calculation53"/>
      <sheetName val="IO_List53"/>
      <sheetName val="TBAL9697_-group_wise__sdpl53"/>
      <sheetName val="factor_sheet26"/>
      <sheetName val="Exp_53"/>
      <sheetName val="INDIGINEOUS_ITEMS_53"/>
      <sheetName val="E_&amp;_R53"/>
      <sheetName val="Load_Details(B1)53"/>
      <sheetName val="Break_Dw53"/>
      <sheetName val="SPT_vs_PHI53"/>
      <sheetName val="Civil_Boq53"/>
      <sheetName val="PA-_Consutant_53"/>
      <sheetName val="Debits_as_on_12_04_0853"/>
      <sheetName val="Sheet3_(2)53"/>
      <sheetName val="INDORAMA_Group_June_0253"/>
      <sheetName val="PART-I_(2)55"/>
      <sheetName val="final_abstract55"/>
      <sheetName val="Basement_Budget54"/>
      <sheetName val="Rate_analysis54"/>
      <sheetName val="Fee_Rate_Summary54"/>
      <sheetName val="Materials_Cost54"/>
      <sheetName val="10__&amp;_11__Rate_Code_&amp;_BQ54"/>
      <sheetName val="Break_up_Sheet54"/>
      <sheetName val="B_&amp;_C_-_M_-_ccp54"/>
      <sheetName val="RES_STEEL_TO54"/>
      <sheetName val="RMZ_Summary54"/>
      <sheetName val="Materials_54"/>
      <sheetName val="Field_Values54"/>
      <sheetName val="Fin_Sum54"/>
      <sheetName val="Fill_this_out_first___54"/>
      <sheetName val="Site_Dev_BOQ54"/>
      <sheetName val="Staff_Forecast_spread54"/>
      <sheetName val="Structure_Bills_Qty54"/>
      <sheetName val="Builtup_Area54"/>
      <sheetName val="MASTER_RATE_ANALYSIS54"/>
      <sheetName val="Cop_-VGN54"/>
      <sheetName val="Pipe_Supports54"/>
      <sheetName val="MN_T_B_54"/>
      <sheetName val="BOQ_Direct_selling_cost54"/>
      <sheetName val="Stress_Calculation54"/>
      <sheetName val="IO_List54"/>
      <sheetName val="TBAL9697_-group_wise__sdpl54"/>
      <sheetName val="factor_sheet27"/>
      <sheetName val="Exp_54"/>
      <sheetName val="INDIGINEOUS_ITEMS_54"/>
      <sheetName val="E_&amp;_R54"/>
      <sheetName val="Load_Details(B1)54"/>
      <sheetName val="Break_Dw54"/>
      <sheetName val="SPT_vs_PHI54"/>
      <sheetName val="Civil_Boq54"/>
      <sheetName val="PA-_Consutant_54"/>
      <sheetName val="Debits_as_on_12_04_0854"/>
      <sheetName val="Sheet3_(2)54"/>
      <sheetName val="INDORAMA_Group_June_0254"/>
      <sheetName val="PART-I_(2)57"/>
      <sheetName val="final_abstract57"/>
      <sheetName val="Basement_Budget56"/>
      <sheetName val="Rate_analysis56"/>
      <sheetName val="Fee_Rate_Summary56"/>
      <sheetName val="Materials_Cost56"/>
      <sheetName val="10__&amp;_11__Rate_Code_&amp;_BQ56"/>
      <sheetName val="Break_up_Sheet56"/>
      <sheetName val="B_&amp;_C_-_M_-_ccp56"/>
      <sheetName val="RES_STEEL_TO56"/>
      <sheetName val="RMZ_Summary56"/>
      <sheetName val="Materials_56"/>
      <sheetName val="Field_Values56"/>
      <sheetName val="Fin_Sum56"/>
      <sheetName val="Fill_this_out_first___56"/>
      <sheetName val="Site_Dev_BOQ56"/>
      <sheetName val="Staff_Forecast_spread56"/>
      <sheetName val="Structure_Bills_Qty56"/>
      <sheetName val="Builtup_Area56"/>
      <sheetName val="MASTER_RATE_ANALYSIS56"/>
      <sheetName val="Cop_-VGN56"/>
      <sheetName val="Pipe_Supports56"/>
      <sheetName val="MN_T_B_56"/>
      <sheetName val="BOQ_Direct_selling_cost56"/>
      <sheetName val="Stress_Calculation56"/>
      <sheetName val="IO_List56"/>
      <sheetName val="TBAL9697_-group_wise__sdpl56"/>
      <sheetName val="factor_sheet29"/>
      <sheetName val="Exp_56"/>
      <sheetName val="INDIGINEOUS_ITEMS_56"/>
      <sheetName val="E_&amp;_R56"/>
      <sheetName val="Load_Details(B1)56"/>
      <sheetName val="Break_Dw56"/>
      <sheetName val="SPT_vs_PHI56"/>
      <sheetName val="Civil_Boq56"/>
      <sheetName val="PA-_Consutant_56"/>
      <sheetName val="Debits_as_on_12_04_0856"/>
      <sheetName val="Sheet3_(2)56"/>
      <sheetName val="INDORAMA_Group_June_0256"/>
      <sheetName val="PART-I_(2)56"/>
      <sheetName val="final_abstract56"/>
      <sheetName val="Basement_Budget55"/>
      <sheetName val="Rate_analysis55"/>
      <sheetName val="Fee_Rate_Summary55"/>
      <sheetName val="Materials_Cost55"/>
      <sheetName val="10__&amp;_11__Rate_Code_&amp;_BQ55"/>
      <sheetName val="Break_up_Sheet55"/>
      <sheetName val="B_&amp;_C_-_M_-_ccp55"/>
      <sheetName val="RES_STEEL_TO55"/>
      <sheetName val="RMZ_Summary55"/>
      <sheetName val="Materials_55"/>
      <sheetName val="Field_Values55"/>
      <sheetName val="Fin_Sum55"/>
      <sheetName val="Fill_this_out_first___55"/>
      <sheetName val="Site_Dev_BOQ55"/>
      <sheetName val="Staff_Forecast_spread55"/>
      <sheetName val="Structure_Bills_Qty55"/>
      <sheetName val="Builtup_Area55"/>
      <sheetName val="MASTER_RATE_ANALYSIS55"/>
      <sheetName val="Cop_-VGN55"/>
      <sheetName val="Pipe_Supports55"/>
      <sheetName val="MN_T_B_55"/>
      <sheetName val="BOQ_Direct_selling_cost55"/>
      <sheetName val="Stress_Calculation55"/>
      <sheetName val="IO_List55"/>
      <sheetName val="TBAL9697_-group_wise__sdpl55"/>
      <sheetName val="factor_sheet28"/>
      <sheetName val="Exp_55"/>
      <sheetName val="INDIGINEOUS_ITEMS_55"/>
      <sheetName val="E_&amp;_R55"/>
      <sheetName val="Load_Details(B1)55"/>
      <sheetName val="Break_Dw55"/>
      <sheetName val="SPT_vs_PHI55"/>
      <sheetName val="Civil_Boq55"/>
      <sheetName val="PA-_Consutant_55"/>
      <sheetName val="Debits_as_on_12_04_0855"/>
      <sheetName val="Sheet3_(2)55"/>
      <sheetName val="INDORAMA_Group_June_0255"/>
      <sheetName val="PART-I_(2)59"/>
      <sheetName val="final_abstract59"/>
      <sheetName val="Basement_Budget58"/>
      <sheetName val="Rate_analysis58"/>
      <sheetName val="Fee_Rate_Summary58"/>
      <sheetName val="Materials_Cost58"/>
      <sheetName val="10__&amp;_11__Rate_Code_&amp;_BQ58"/>
      <sheetName val="Break_up_Sheet58"/>
      <sheetName val="B_&amp;_C_-_M_-_ccp58"/>
      <sheetName val="RES_STEEL_TO58"/>
      <sheetName val="RMZ_Summary58"/>
      <sheetName val="Materials_58"/>
      <sheetName val="Field_Values58"/>
      <sheetName val="Fin_Sum58"/>
      <sheetName val="Fill_this_out_first___58"/>
      <sheetName val="Site_Dev_BOQ58"/>
      <sheetName val="Staff_Forecast_spread58"/>
      <sheetName val="Structure_Bills_Qty58"/>
      <sheetName val="Builtup_Area58"/>
      <sheetName val="MASTER_RATE_ANALYSIS58"/>
      <sheetName val="Cop_-VGN58"/>
      <sheetName val="Pipe_Supports58"/>
      <sheetName val="MN_T_B_58"/>
      <sheetName val="BOQ_Direct_selling_cost58"/>
      <sheetName val="Stress_Calculation58"/>
      <sheetName val="IO_List58"/>
      <sheetName val="TBAL9697_-group_wise__sdpl58"/>
      <sheetName val="factor_sheet31"/>
      <sheetName val="Exp_58"/>
      <sheetName val="INDIGINEOUS_ITEMS_58"/>
      <sheetName val="E_&amp;_R58"/>
      <sheetName val="Load_Details(B1)58"/>
      <sheetName val="Break_Dw58"/>
      <sheetName val="SPT_vs_PHI58"/>
      <sheetName val="Civil_Boq58"/>
      <sheetName val="PA-_Consutant_58"/>
      <sheetName val="Debits_as_on_12_04_0858"/>
      <sheetName val="Sheet3_(2)58"/>
      <sheetName val="INDORAMA_Group_June_0258"/>
      <sheetName val="PART-I_(2)60"/>
      <sheetName val="final_abstract60"/>
      <sheetName val="Basement_Budget59"/>
      <sheetName val="Rate_analysis59"/>
      <sheetName val="Fee_Rate_Summary59"/>
      <sheetName val="Materials_Cost59"/>
      <sheetName val="10__&amp;_11__Rate_Code_&amp;_BQ59"/>
      <sheetName val="Break_up_Sheet59"/>
      <sheetName val="B_&amp;_C_-_M_-_ccp59"/>
      <sheetName val="RES_STEEL_TO59"/>
      <sheetName val="RMZ_Summary59"/>
      <sheetName val="Materials_59"/>
      <sheetName val="Field_Values59"/>
      <sheetName val="Fin_Sum59"/>
      <sheetName val="Fill_this_out_first___59"/>
      <sheetName val="Site_Dev_BOQ59"/>
      <sheetName val="Staff_Forecast_spread59"/>
      <sheetName val="Structure_Bills_Qty59"/>
      <sheetName val="Builtup_Area59"/>
      <sheetName val="MASTER_RATE_ANALYSIS59"/>
      <sheetName val="Cop_-VGN59"/>
      <sheetName val="Pipe_Supports59"/>
      <sheetName val="MN_T_B_59"/>
      <sheetName val="BOQ_Direct_selling_cost59"/>
      <sheetName val="Stress_Calculation59"/>
      <sheetName val="IO_List59"/>
      <sheetName val="TBAL9697_-group_wise__sdpl59"/>
      <sheetName val="factor_sheet32"/>
      <sheetName val="Exp_59"/>
      <sheetName val="INDIGINEOUS_ITEMS_59"/>
      <sheetName val="E_&amp;_R59"/>
      <sheetName val="Load_Details(B1)59"/>
      <sheetName val="Break_Dw59"/>
      <sheetName val="SPT_vs_PHI59"/>
      <sheetName val="Civil_Boq59"/>
      <sheetName val="PA-_Consutant_59"/>
      <sheetName val="Debits_as_on_12_04_0859"/>
      <sheetName val="Sheet3_(2)59"/>
      <sheetName val="INDORAMA_Group_June_0259"/>
      <sheetName val="PART-I_(2)61"/>
      <sheetName val="final_abstract61"/>
      <sheetName val="Basement_Budget60"/>
      <sheetName val="Rate_analysis60"/>
      <sheetName val="Fee_Rate_Summary60"/>
      <sheetName val="Materials_Cost60"/>
      <sheetName val="10__&amp;_11__Rate_Code_&amp;_BQ60"/>
      <sheetName val="Break_up_Sheet60"/>
      <sheetName val="B_&amp;_C_-_M_-_ccp60"/>
      <sheetName val="RES_STEEL_TO60"/>
      <sheetName val="RMZ_Summary60"/>
      <sheetName val="Materials_60"/>
      <sheetName val="Field_Values60"/>
      <sheetName val="Fin_Sum60"/>
      <sheetName val="Fill_this_out_first___60"/>
      <sheetName val="Site_Dev_BOQ60"/>
      <sheetName val="Staff_Forecast_spread60"/>
      <sheetName val="Structure_Bills_Qty60"/>
      <sheetName val="Builtup_Area60"/>
      <sheetName val="MASTER_RATE_ANALYSIS60"/>
      <sheetName val="Cop_-VGN60"/>
      <sheetName val="Pipe_Supports60"/>
      <sheetName val="MN_T_B_60"/>
      <sheetName val="BOQ_Direct_selling_cost60"/>
      <sheetName val="Stress_Calculation60"/>
      <sheetName val="IO_List60"/>
      <sheetName val="TBAL9697_-group_wise__sdpl60"/>
      <sheetName val="factor_sheet33"/>
      <sheetName val="Exp_60"/>
      <sheetName val="INDIGINEOUS_ITEMS_60"/>
      <sheetName val="E_&amp;_R60"/>
      <sheetName val="Load_Details(B1)60"/>
      <sheetName val="Break_Dw60"/>
      <sheetName val="SPT_vs_PHI60"/>
      <sheetName val="Civil_Boq60"/>
      <sheetName val="PA-_Consutant_60"/>
      <sheetName val="Debits_as_on_12_04_0860"/>
      <sheetName val="Sheet3_(2)60"/>
      <sheetName val="INDORAMA_Group_June_0260"/>
      <sheetName val="PART-I_(2)62"/>
      <sheetName val="final_abstract62"/>
      <sheetName val="Basement_Budget61"/>
      <sheetName val="Rate_analysis61"/>
      <sheetName val="Fee_Rate_Summary61"/>
      <sheetName val="Materials_Cost61"/>
      <sheetName val="10__&amp;_11__Rate_Code_&amp;_BQ61"/>
      <sheetName val="Break_up_Sheet61"/>
      <sheetName val="B_&amp;_C_-_M_-_ccp61"/>
      <sheetName val="RES_STEEL_TO61"/>
      <sheetName val="RMZ_Summary61"/>
      <sheetName val="Materials_61"/>
      <sheetName val="Field_Values61"/>
      <sheetName val="Fin_Sum61"/>
      <sheetName val="Fill_this_out_first___61"/>
      <sheetName val="Site_Dev_BOQ61"/>
      <sheetName val="Staff_Forecast_spread61"/>
      <sheetName val="Structure_Bills_Qty61"/>
      <sheetName val="Builtup_Area61"/>
      <sheetName val="MASTER_RATE_ANALYSIS61"/>
      <sheetName val="Cop_-VGN61"/>
      <sheetName val="Pipe_Supports61"/>
      <sheetName val="MN_T_B_61"/>
      <sheetName val="BOQ_Direct_selling_cost61"/>
      <sheetName val="Stress_Calculation61"/>
      <sheetName val="IO_List61"/>
      <sheetName val="TBAL9697_-group_wise__sdpl61"/>
      <sheetName val="factor_sheet34"/>
      <sheetName val="Exp_61"/>
      <sheetName val="INDIGINEOUS_ITEMS_61"/>
      <sheetName val="E_&amp;_R61"/>
      <sheetName val="Load_Details(B1)61"/>
      <sheetName val="Break_Dw61"/>
      <sheetName val="SPT_vs_PHI61"/>
      <sheetName val="Civil_Boq61"/>
      <sheetName val="PA-_Consutant_61"/>
      <sheetName val="Debits_as_on_12_04_0861"/>
      <sheetName val="Sheet3_(2)61"/>
      <sheetName val="INDORAMA_Group_June_0261"/>
      <sheetName val="detail'02"/>
      <sheetName val="Master"/>
      <sheetName val="Notes"/>
      <sheetName val="Mar Roster"/>
      <sheetName val=""/>
      <sheetName val="except_wiring"/>
      <sheetName val="CPIPE_1"/>
      <sheetName val="M_S_"/>
      <sheetName val="s"/>
      <sheetName val="RP2"/>
      <sheetName val="Quantity"/>
      <sheetName val="Param"/>
      <sheetName val="R.A."/>
      <sheetName val="Recap."/>
      <sheetName val="Abstract"/>
      <sheetName val="Schedule A1"/>
      <sheetName val="Abstract (Buyback)"/>
      <sheetName val="Civil RA"/>
      <sheetName val="Plumbing RA"/>
      <sheetName val="Electrical  RA"/>
      <sheetName val="ELV RA"/>
      <sheetName val="FFTG RA"/>
      <sheetName val="HVAC RA"/>
      <sheetName val="Furniture RA"/>
      <sheetName val="Kichen Equi. RA"/>
      <sheetName val="Assumptions-Input"/>
      <sheetName val="Price Comparison"/>
      <sheetName val="BLOCK-A (MEA.SHEET)"/>
      <sheetName val="Insts"/>
      <sheetName val="PRICE-COMP"/>
      <sheetName val="India F&amp;S Template"/>
      <sheetName val="DETAILED  BOQ"/>
      <sheetName val="R20_R30_work"/>
      <sheetName val="PRSH"/>
      <sheetName val="Results"/>
      <sheetName val="PLGroupings"/>
      <sheetName val="List"/>
      <sheetName val="BASIS -DEC 08"/>
      <sheetName val=" "/>
      <sheetName val="drg"/>
      <sheetName val="0"/>
      <sheetName val="CUM-Mar07"/>
      <sheetName val="CRM"/>
      <sheetName val="A3"/>
      <sheetName val="BUD 07-08"/>
      <sheetName val="HIDE"/>
      <sheetName val="XL"/>
      <sheetName val="Vind-BtB"/>
      <sheetName val="UNP-NCW "/>
      <sheetName val="Codes"/>
      <sheetName val="Final Basic rate"/>
      <sheetName val="Labels"/>
      <sheetName val="intr_stool_brkup"/>
      <sheetName val="Process"/>
      <sheetName val="P&amp;L-BDMC"/>
      <sheetName val="Elect."/>
      <sheetName val="Names&amp;Cases"/>
      <sheetName val="look-dept"/>
      <sheetName val="Source Ref."/>
      <sheetName val="Bill 1-BOQ-Civil Works"/>
      <sheetName val="Amort"/>
      <sheetName val="AmortRef"/>
      <sheetName val="old boq"/>
      <sheetName val="Intro"/>
      <sheetName val="ENCL9"/>
      <sheetName val="pri-com"/>
      <sheetName val="conc-foot-gradeslab"/>
      <sheetName val="Sheet1 (2)"/>
      <sheetName val="Parameter"/>
      <sheetName val="Flight-1"/>
      <sheetName val="site fab&amp;ernstr"/>
      <sheetName val="Site"/>
      <sheetName val="2.1 受電設備棟"/>
      <sheetName val="2.2 受・防火水槽"/>
      <sheetName val="2.3 排水処理設備棟"/>
      <sheetName val="2.4 倉庫棟"/>
      <sheetName val="2.5 守衛棟"/>
      <sheetName val="Step 1"/>
      <sheetName val="dummy"/>
      <sheetName val="Labour Rate "/>
      <sheetName val="Material List "/>
      <sheetName val="SUMM"/>
      <sheetName val="SECPROP"/>
      <sheetName val="CABLENOS."/>
      <sheetName val="RCC,Ret__Wall4"/>
      <sheetName val="RA_4_Challan_Summary_4"/>
      <sheetName val="Labour_productivity4"/>
      <sheetName val="labour_coeff4"/>
      <sheetName val="RCC,Ret__Wall3"/>
      <sheetName val="RA_4_Challan_Summary_3"/>
      <sheetName val="Labour_productivity3"/>
      <sheetName val="labour_coeff3"/>
      <sheetName val="RCC,Ret__Wall5"/>
      <sheetName val="RA_4_Challan_Summary_5"/>
      <sheetName val="Labour_productivity5"/>
      <sheetName val="labour_coeff5"/>
      <sheetName val="RCC,Ret__Wall6"/>
      <sheetName val="RA_4_Challan_Summary_6"/>
      <sheetName val="Labour_productivity6"/>
      <sheetName val="labour_coeff6"/>
      <sheetName val="RCC,Ret__Wall12"/>
      <sheetName val="RA_4_Challan_Summary_12"/>
      <sheetName val="Labour_productivity12"/>
      <sheetName val="labour_coeff12"/>
      <sheetName val="RCC,Ret__Wall7"/>
      <sheetName val="RA_4_Challan_Summary_7"/>
      <sheetName val="Labour_productivity7"/>
      <sheetName val="labour_coeff7"/>
      <sheetName val="RCC,Ret__Wall11"/>
      <sheetName val="RA_4_Challan_Summary_11"/>
      <sheetName val="Labour_productivity11"/>
      <sheetName val="labour_coeff11"/>
      <sheetName val="RCC,Ret__Wall8"/>
      <sheetName val="RA_4_Challan_Summary_8"/>
      <sheetName val="Labour_productivity8"/>
      <sheetName val="labour_coeff8"/>
      <sheetName val="RCC,Ret__Wall9"/>
      <sheetName val="RA_4_Challan_Summary_9"/>
      <sheetName val="Labour_productivity9"/>
      <sheetName val="labour_coeff9"/>
      <sheetName val="RCC,Ret__Wall10"/>
      <sheetName val="RA_4_Challan_Summary_10"/>
      <sheetName val="Labour_productivity10"/>
      <sheetName val="labour_coeff10"/>
      <sheetName val="RCC,Ret__Wall13"/>
      <sheetName val="RA_4_Challan_Summary_13"/>
      <sheetName val="Labour_productivity13"/>
      <sheetName val="labour_coeff13"/>
      <sheetName val="RCC,Ret__Wall14"/>
      <sheetName val="RA_4_Challan_Summary_14"/>
      <sheetName val="Labour_productivity14"/>
      <sheetName val="labour_coeff14"/>
      <sheetName val="RCC,Ret__Wall15"/>
      <sheetName val="RA_4_Challan_Summary_15"/>
      <sheetName val="Labour_productivity15"/>
      <sheetName val="labour_coeff15"/>
      <sheetName val="RCC,Ret__Wall16"/>
      <sheetName val="RA_4_Challan_Summary_16"/>
      <sheetName val="Labour_productivity16"/>
      <sheetName val="labour_coeff16"/>
      <sheetName val="RCC,Ret__Wall18"/>
      <sheetName val="RA_4_Challan_Summary_18"/>
      <sheetName val="Labour_productivity18"/>
      <sheetName val="labour_coeff18"/>
      <sheetName val="RCC,Ret__Wall17"/>
      <sheetName val="RA_4_Challan_Summary_17"/>
      <sheetName val="Labour_productivity17"/>
      <sheetName val="labour_coeff17"/>
      <sheetName val="RCC,Ret__Wall20"/>
      <sheetName val="RA_4_Challan_Summary_20"/>
      <sheetName val="Labour_productivity20"/>
      <sheetName val="labour_coeff20"/>
      <sheetName val="RCC,Ret__Wall19"/>
      <sheetName val="RA_4_Challan_Summary_19"/>
      <sheetName val="Labour_productivity19"/>
      <sheetName val="labour_coeff19"/>
      <sheetName val="RCC,Ret__Wall21"/>
      <sheetName val="RA_4_Challan_Summary_21"/>
      <sheetName val="Labour_productivity21"/>
      <sheetName val="labour_coeff21"/>
      <sheetName val="RCC,Ret__Wall22"/>
      <sheetName val="RA_4_Challan_Summary_22"/>
      <sheetName val="Labour_productivity22"/>
      <sheetName val="labour_coeff22"/>
      <sheetName val="RCC,Ret__Wall23"/>
      <sheetName val="RA_4_Challan_Summary_23"/>
      <sheetName val="Labour_productivity23"/>
      <sheetName val="labour_coeff23"/>
      <sheetName val="RCC,Ret__Wall24"/>
      <sheetName val="RA_4_Challan_Summary_24"/>
      <sheetName val="Labour_productivity24"/>
      <sheetName val="labour_coeff24"/>
      <sheetName val="RCC,Ret__Wall26"/>
      <sheetName val="RA_4_Challan_Summary_26"/>
      <sheetName val="Labour_productivity26"/>
      <sheetName val="labour_coeff26"/>
      <sheetName val="RCC,Ret__Wall25"/>
      <sheetName val="RA_4_Challan_Summary_25"/>
      <sheetName val="Labour_productivity25"/>
      <sheetName val="labour_coeff25"/>
      <sheetName val="RCC,Ret__Wall29"/>
      <sheetName val="RA_4_Challan_Summary_29"/>
      <sheetName val="Labour_productivity29"/>
      <sheetName val="labour_coeff29"/>
      <sheetName val="RCC,Ret__Wall28"/>
      <sheetName val="RA_4_Challan_Summary_28"/>
      <sheetName val="Labour_productivity28"/>
      <sheetName val="labour_coeff28"/>
      <sheetName val="RCC,Ret__Wall27"/>
      <sheetName val="RA_4_Challan_Summary_27"/>
      <sheetName val="Labour_productivity27"/>
      <sheetName val="labour_coeff27"/>
      <sheetName val="RCC,Ret__Wall30"/>
      <sheetName val="RA_4_Challan_Summary_30"/>
      <sheetName val="Labour_productivity30"/>
      <sheetName val="labour_coeff30"/>
      <sheetName val="RCC,Ret__Wall31"/>
      <sheetName val="RA_4_Challan_Summary_31"/>
      <sheetName val="Labour_productivity31"/>
      <sheetName val="labour_coeff31"/>
      <sheetName val="RCC,Ret__Wall33"/>
      <sheetName val="RA_4_Challan_Summary_33"/>
      <sheetName val="Labour_productivity33"/>
      <sheetName val="labour_coeff33"/>
      <sheetName val="RCC,Ret__Wall32"/>
      <sheetName val="RA_4_Challan_Summary_32"/>
      <sheetName val="Labour_productivity32"/>
      <sheetName val="labour_coeff32"/>
      <sheetName val="RCC,Ret__Wall36"/>
      <sheetName val="RA_4_Challan_Summary_36"/>
      <sheetName val="Labour_productivity36"/>
      <sheetName val="labour_coeff36"/>
      <sheetName val="RCC,Ret__Wall35"/>
      <sheetName val="RA_4_Challan_Summary_35"/>
      <sheetName val="Labour_productivity35"/>
      <sheetName val="labour_coeff35"/>
      <sheetName val="RCC,Ret__Wall34"/>
      <sheetName val="RA_4_Challan_Summary_34"/>
      <sheetName val="Labour_productivity34"/>
      <sheetName val="labour_coeff34"/>
      <sheetName val="RCC,Ret__Wall37"/>
      <sheetName val="RA_4_Challan_Summary_37"/>
      <sheetName val="Labour_productivity37"/>
      <sheetName val="labour_coeff37"/>
      <sheetName val="Works - Quote Sheet"/>
      <sheetName val="Lead statement"/>
      <sheetName val="Data.F8.BTR"/>
      <sheetName val="r"/>
      <sheetName val="mlead"/>
      <sheetName val="RMR"/>
      <sheetName val="girder"/>
      <sheetName val="August Construction Planning  "/>
      <sheetName val="Internal Planning"/>
      <sheetName val="July'2019 Weekly"/>
      <sheetName val="M- Rate"/>
      <sheetName val="foot-slab reinft"/>
      <sheetName val="Global Assmptions"/>
      <sheetName val="Data sheet"/>
      <sheetName val="NRC Rationalisation"/>
      <sheetName val="BOQ_Distribution"/>
      <sheetName val="horizontal"/>
      <sheetName val="pvc_basic"/>
      <sheetName val="Estimate 10.00 Lakhs "/>
      <sheetName val="abs road"/>
      <sheetName val="coverpage"/>
      <sheetName val="Road data"/>
      <sheetName val="R_Det"/>
      <sheetName val="FLCB List"/>
      <sheetName val="PART-I_(2)63"/>
      <sheetName val="final_abstract63"/>
      <sheetName val="Basement_Budget62"/>
      <sheetName val="Rate_analysis62"/>
      <sheetName val="Break_up_Sheet62"/>
      <sheetName val="TBAL9697_-group_wise__sdpl62"/>
      <sheetName val="B_&amp;_C_-_M_-_ccp62"/>
      <sheetName val="Fee_Rate_Summary62"/>
      <sheetName val="Materials_Cost62"/>
      <sheetName val="RES_STEEL_TO62"/>
      <sheetName val="10__&amp;_11__Rate_Code_&amp;_BQ62"/>
      <sheetName val="RMZ_Summary62"/>
      <sheetName val="Site_Dev_BOQ62"/>
      <sheetName val="Staff_Forecast_spread62"/>
      <sheetName val="Fin_Sum62"/>
      <sheetName val="Fill_this_out_first___62"/>
      <sheetName val="Field_Values62"/>
      <sheetName val="Break_Dw62"/>
      <sheetName val="Structure_Bills_Qty62"/>
      <sheetName val="Builtup_Area62"/>
      <sheetName val="MASTER_RATE_ANALYSIS62"/>
      <sheetName val="Cop_-VGN62"/>
      <sheetName val="Pipe_Supports62"/>
      <sheetName val="Materials_62"/>
      <sheetName val="BOQ_Direct_selling_cost62"/>
      <sheetName val="Stress_Calculation62"/>
      <sheetName val="IO_List62"/>
      <sheetName val="MN_T_B_62"/>
      <sheetName val="RCC,Ret__Wall38"/>
      <sheetName val="RA_4_Challan_Summary_38"/>
      <sheetName val="Labour_productivity38"/>
      <sheetName val="labour_coeff38"/>
      <sheetName val="For_Bill-04_PS1"/>
      <sheetName val="BOQ_(2)2"/>
      <sheetName val="ORDER_BOOKING1"/>
      <sheetName val="beam-reinft-IIInd_floor1"/>
      <sheetName val="Staff_Acco_1"/>
      <sheetName val="Section_Catalogue1"/>
      <sheetName val="Approved_MTD_Proj_#'s1"/>
      <sheetName val="M_B-QtyRecn3"/>
      <sheetName val="Mat_Cost3"/>
      <sheetName val="GR_slab-reinft1"/>
      <sheetName val="CABLE_DATA1"/>
      <sheetName val="Bed_Class6"/>
      <sheetName val="PH_data1"/>
      <sheetName val="Details_(3)1"/>
      <sheetName val="Desgn(zone_I)6"/>
      <sheetName val="NLD_-_Assum1"/>
      <sheetName val="schedule_nos1"/>
      <sheetName val="Sqn__Main__Abs1"/>
      <sheetName val="ACAD_Finishes2"/>
      <sheetName val="Site_Details2"/>
      <sheetName val="Site_Area_Statement2"/>
      <sheetName val="M-Book_for_Conc1"/>
      <sheetName val="M-Book_for_FW1"/>
      <sheetName val="INPUT_SHEET1"/>
      <sheetName val="PACK_(B)1"/>
      <sheetName val="BOQ_civil1"/>
      <sheetName val="Staircase_1"/>
      <sheetName val="bill_21"/>
      <sheetName val="Column_Steel-R21"/>
      <sheetName val="std_wt_1"/>
      <sheetName val="d-safe_specs1"/>
      <sheetName val="d-safe_DELUXE1"/>
      <sheetName val="Diawise_steel_abstract1"/>
      <sheetName val="Rising_Main1"/>
      <sheetName val="Material_1"/>
      <sheetName val="Estimate_1"/>
      <sheetName val="QS_Name1"/>
      <sheetName val="CANDY_BOQ1"/>
      <sheetName val="CFForecast_detail1"/>
      <sheetName val="Cash_Flows_&amp;_IRR1"/>
      <sheetName val="train_cash1"/>
      <sheetName val="accom_cash1"/>
      <sheetName val="Common_1"/>
      <sheetName val="Meas_-Hotel_Part1"/>
      <sheetName val="WORK_TABLE1"/>
      <sheetName val="220_11__BS_1"/>
      <sheetName val="Intro_1"/>
      <sheetName val="beam-reinft-machine_rm1"/>
      <sheetName val="Model_(Not_Merged)1"/>
      <sheetName val="Form_61"/>
      <sheetName val="SGS_ACQ1"/>
      <sheetName val="Price_Schedule2"/>
      <sheetName val="Cost_Any_2"/>
      <sheetName val="S_&amp;_A2"/>
      <sheetName val="PointNo_5"/>
      <sheetName val="A_O_R_"/>
      <sheetName val="PRECAST_lightconc-II"/>
      <sheetName val="Tender_Summary1"/>
      <sheetName val="Operating_Statistics1"/>
      <sheetName val="Material_Rate"/>
      <sheetName val="Retaing_wall"/>
      <sheetName val="3__Elemental_Summary"/>
      <sheetName val="RAJU_ASSO"/>
      <sheetName val="Vind_-_BtB1"/>
      <sheetName val="Branch_Power"/>
      <sheetName val="P_Well(_RCC)"/>
      <sheetName val="Detail_In_Door_Stad"/>
      <sheetName val="P-Ins_&amp;_Bonds"/>
      <sheetName val="Occ,_Other_Rev,_Exp,_Dispo"/>
      <sheetName val="소상_&quot;1&quot;"/>
      <sheetName val="Discount_&amp;_Margin"/>
      <sheetName val="PO_Summary"/>
      <sheetName val="BOQ_Summary"/>
      <sheetName val="Sec_1_Loose_Furniture_18%_GST"/>
      <sheetName val="Sec_1_Loose_Furniture_12%_GST"/>
      <sheetName val="Sec_1_Loose_Furniture_5%_GST"/>
      <sheetName val="Sec_2_Cafeteria_Tables"/>
      <sheetName val="Sec_3_Cafeteria_Chairs"/>
      <sheetName val="Sec_4_Work_Floors_-_NT_"/>
      <sheetName val="Sec_5_LGF_Chairs-NT"/>
      <sheetName val="Sec_6_Additional_18%_GST_"/>
      <sheetName val="Sec_6_Additional_12%_GST_"/>
      <sheetName val="Sec_11-NT_set_3"/>
      <sheetName val="DC_Summary"/>
      <sheetName val="M_Sheet"/>
      <sheetName val="RA4_Checklist"/>
      <sheetName val="Labor_abs-NMR"/>
      <sheetName val="2_대외공문"/>
      <sheetName val="NEW-IDs_Fun_&amp;_Group"/>
      <sheetName val="PC_Master_List"/>
      <sheetName val="Project_Details__"/>
      <sheetName val="M_B-QtyRecn4"/>
      <sheetName val="BOQ_(2)3"/>
      <sheetName val="Desgn(zone_I)7"/>
      <sheetName val="beam-reinft-IIInd_floor2"/>
      <sheetName val="For_Bill-04_PS2"/>
      <sheetName val="ORDER_BOOKING2"/>
      <sheetName val="CABLE_DATA2"/>
      <sheetName val="Bed_Class7"/>
      <sheetName val="PH_data2"/>
      <sheetName val="Details_(3)2"/>
      <sheetName val="Sqn__Main__Abs2"/>
      <sheetName val="Mat_Cost4"/>
      <sheetName val="ACAD_Finishes3"/>
      <sheetName val="Site_Details3"/>
      <sheetName val="Site_Area_Statement3"/>
      <sheetName val="M-Book_for_Conc2"/>
      <sheetName val="M-Book_for_FW2"/>
      <sheetName val="Staff_Acco_2"/>
      <sheetName val="Section_Catalogue2"/>
      <sheetName val="Approved_MTD_Proj_#'s2"/>
      <sheetName val="Staircase_2"/>
      <sheetName val="PACK_(B)2"/>
      <sheetName val="GR_slab-reinft2"/>
      <sheetName val="INPUT_SHEET2"/>
      <sheetName val="Estimate_2"/>
      <sheetName val="Material_2"/>
      <sheetName val="NLD_-_Assum2"/>
      <sheetName val="schedule_nos2"/>
      <sheetName val="BOQ_civil2"/>
      <sheetName val="Column_Steel-R22"/>
      <sheetName val="std_wt_2"/>
      <sheetName val="train_cash2"/>
      <sheetName val="accom_cash2"/>
      <sheetName val="bill_22"/>
      <sheetName val="Common_2"/>
      <sheetName val="beam-reinft-machine_rm2"/>
      <sheetName val="QS_Name2"/>
      <sheetName val="CANDY_BOQ2"/>
      <sheetName val="Meas_-Hotel_Part2"/>
      <sheetName val="WORK_TABLE2"/>
      <sheetName val="220_11__BS_2"/>
      <sheetName val="Intro_2"/>
      <sheetName val="intr_stool_brkup1"/>
      <sheetName val="d-safe_specs2"/>
      <sheetName val="d-safe_DELUXE2"/>
      <sheetName val="Diawise_steel_abstract2"/>
      <sheetName val="Rising_Main2"/>
      <sheetName val="CFForecast_detail2"/>
      <sheetName val="Cash_Flows_&amp;_IRR2"/>
      <sheetName val="Model_(Not_Merged)2"/>
      <sheetName val="Tender_Summary2"/>
      <sheetName val="Operating_Statistics2"/>
      <sheetName val="Material_Rate1"/>
      <sheetName val="Retaing_wall1"/>
      <sheetName val="except_wiring1"/>
      <sheetName val="CPIPE_11"/>
      <sheetName val="3__Elemental_Summary1"/>
      <sheetName val="Vind_-_BtB2"/>
      <sheetName val="SGS_ACQ2"/>
      <sheetName val="Form_62"/>
      <sheetName val="Price_Schedule3"/>
      <sheetName val="Cost_Any_3"/>
      <sheetName val="S_&amp;_A3"/>
      <sheetName val="PointNo_51"/>
      <sheetName val="소상_&quot;1&quot;1"/>
      <sheetName val="Discount_&amp;_Margin1"/>
      <sheetName val="A_O_R_1"/>
      <sheetName val="PRECAST_lightconc-II1"/>
      <sheetName val="P-Ins_&amp;_Bonds1"/>
      <sheetName val="Branch_Power1"/>
      <sheetName val="P_Well(_RCC)1"/>
      <sheetName val="Detail_In_Door_Stad1"/>
      <sheetName val="BOQ_Distribution1"/>
      <sheetName val="RAJU_ASSO1"/>
      <sheetName val="Occ,_Other_Rev,_Exp,_Dispo1"/>
      <sheetName val="PO_Summary1"/>
      <sheetName val="BOQ_Summary1"/>
      <sheetName val="Sec_1_Loose_Furniture_18%_GST1"/>
      <sheetName val="Sec_1_Loose_Furniture_12%_GST1"/>
      <sheetName val="Sec_1_Loose_Furniture_5%_GST1"/>
      <sheetName val="Sec_2_Cafeteria_Tables1"/>
      <sheetName val="Sec_3_Cafeteria_Chairs1"/>
      <sheetName val="Sec_4_Work_Floors_-_NT_1"/>
      <sheetName val="Sec_5_LGF_Chairs-NT1"/>
      <sheetName val="Sec_6_Additional_18%_GST_1"/>
      <sheetName val="Sec_6_Additional_12%_GST_1"/>
      <sheetName val="Sec_11-NT_set_31"/>
      <sheetName val="DC_Summary1"/>
      <sheetName val="M_Sheet1"/>
      <sheetName val="RA4_Checklist1"/>
      <sheetName val="M_S_1"/>
      <sheetName val="Labor_abs-NMR1"/>
      <sheetName val="2_대외공문1"/>
      <sheetName val="NEW-IDs_Fun_&amp;_Group1"/>
      <sheetName val="PC_Master_List1"/>
      <sheetName val="Project_Details__1"/>
      <sheetName val="banilad"/>
      <sheetName val="Mactan"/>
      <sheetName val="Mandaue"/>
      <sheetName val="Footings"/>
      <sheetName val="9. Package split - Cost "/>
      <sheetName val="Master Info"/>
      <sheetName val="Amendments"/>
      <sheetName val="Bld.SSR"/>
      <sheetName val="SSR -Sani "/>
      <sheetName val="Elec.SSR"/>
      <sheetName val="Irri-SSR"/>
      <sheetName val="PH- SSR"/>
      <sheetName val="R &amp; B.SSR"/>
      <sheetName val="RCC Pipes"/>
      <sheetName val="PH-HDPE"/>
      <sheetName val="PH-PVC"/>
      <sheetName val="DI-Pipes &amp; Spe"/>
      <sheetName val="CI.Spe"/>
      <sheetName val="DI-Valves"/>
      <sheetName val="CI-Valves"/>
      <sheetName val="Bolts&amp; rings"/>
      <sheetName val="MH-Covers"/>
      <sheetName val="Dist.Lines-150-old"/>
      <sheetName val="NW-GA"/>
      <sheetName val="GA-GVMC -NW(Com) "/>
      <sheetName val="GA-GVMC -NW "/>
      <sheetName val="Dist.Lines-100"/>
      <sheetName val="Dist-Lines -500"/>
      <sheetName val="Dist-Lines"/>
      <sheetName val="Dist.Lines-150"/>
      <sheetName val="GA-GVMC -NW  (2)"/>
      <sheetName val="GA-GVMC -NW. "/>
      <sheetName val="Dist-Lines B-1 "/>
      <sheetName val="Dist-Lines-Final checked"/>
      <sheetName val="Pumping mains-"/>
      <sheetName val="Feeder main-old"/>
      <sheetName val="Dist-Lines -B-2"/>
      <sheetName val="Dist-Lines -B-3"/>
      <sheetName val="Dist-Lines B-4"/>
      <sheetName val="Dist-Lines B-5"/>
      <sheetName val="Dist-Lines -B-6"/>
      <sheetName val="Dist-Lines -B-7"/>
      <sheetName val="Dist-Lines -B-8"/>
      <sheetName val="Dist-Lines -B-9"/>
      <sheetName val="Dist-Lines -B-10"/>
      <sheetName val="Dist-Lines -B-11"/>
      <sheetName val="Dist-Lines -B-12"/>
      <sheetName val="Dist-Lines -B-13"/>
      <sheetName val="Dist-Lines -B-14"/>
      <sheetName val="Dist-Lines -B-15"/>
      <sheetName val="Dist-Lines -B-16"/>
      <sheetName val="Feeder mains- 1"/>
      <sheetName val="Feeder mains- 2"/>
      <sheetName val="Feeder mains- (1)"/>
      <sheetName val="Feeder mains-up to 800"/>
      <sheetName val="Pumping Main-800mm"/>
      <sheetName val="ELSR-600 KL-Z-2"/>
      <sheetName val="750 KL GLSR-Z-3"/>
      <sheetName val="ELSR-750 KL-Z-3"/>
      <sheetName val="ELSR-500 KL-Z-4"/>
      <sheetName val="500 KL GLSR-Z-4"/>
      <sheetName val="ELSR-200KL-Z-7"/>
      <sheetName val="ELSR-1850 KL-Z-8"/>
      <sheetName val="1850 KL GLSR-Z-8"/>
      <sheetName val="ELSR-200KL-Z-9"/>
      <sheetName val="800 KL GLSR-Z-11"/>
      <sheetName val="900 KL GLSR-Z-12"/>
      <sheetName val="ELSR-2500 KL-Z-13"/>
      <sheetName val="ELSR-2400 KL-Z-14"/>
      <sheetName val="ELSR-1200 KL-Z-15"/>
      <sheetName val="ELSR-2000 KL-Z-16"/>
      <sheetName val="Pumping Main-500mm-(2)"/>
      <sheetName val="Pumping Main-450mm-(3)"/>
      <sheetName val="Pumping Main-(4)"/>
      <sheetName val="350 KL GLSR"/>
      <sheetName val="1000 KL Sump-"/>
      <sheetName val="1000 KL MBR"/>
      <sheetName val="MBR-1000 KL"/>
      <sheetName val="Pump room-12x8"/>
      <sheetName val="HSC"/>
      <sheetName val="B.F.Meters"/>
      <sheetName val="Pump sets"/>
      <sheetName val="Pump sets (2)"/>
      <sheetName val="Gen sets"/>
      <sheetName val="PR Valves"/>
      <sheetName val="W.man.Qrt-"/>
      <sheetName val="O &amp;M"/>
      <sheetName val="Generator Room-1"/>
      <sheetName val="200 KL GLSR-6 (2)"/>
      <sheetName val="500 KL Sump-(1)"/>
      <sheetName val="250 KL Sump-(3)"/>
      <sheetName val="Office - MBR"/>
      <sheetName val="HSC (2)"/>
      <sheetName val="O&amp;M"/>
      <sheetName val="Gen sets (2)"/>
      <sheetName val="Transfarmer"/>
      <sheetName val="C-Mat-Gen"/>
      <sheetName val="Convey"/>
      <sheetName val="Hire"/>
      <sheetName val="Mortars,"/>
      <sheetName val="Cent'g-1"/>
      <sheetName val="Cent'g-2"/>
      <sheetName val="Loading"/>
      <sheetName val="Dismantling"/>
      <sheetName val="DI pipes"/>
      <sheetName val="DI-Spe-1"/>
      <sheetName val="Wt.of DI Spe."/>
      <sheetName val="HDPE pipes"/>
      <sheetName val="HDPE-Spe"/>
      <sheetName val="RCC-PE"/>
      <sheetName val="RCC SS"/>
      <sheetName val="CI Spe."/>
      <sheetName val="PVC-WS"/>
      <sheetName val="ELSR-2"/>
      <sheetName val="data-ELSR "/>
      <sheetName val="Lowering"/>
      <sheetName val="data-Water Supply"/>
      <sheetName val="Sump &amp; ST"/>
      <sheetName val="Chamber-1"/>
      <sheetName val="Bld.Stnd,Data"/>
      <sheetName val="Bld up to 3F"/>
      <sheetName val="CC road"/>
      <sheetName val="EWE-Roads"/>
      <sheetName val="Dist Lines"/>
      <sheetName val="Feeder mains-2"/>
      <sheetName val="Gravity Main-900mm"/>
      <sheetName val="550 KL Sump-1"/>
      <sheetName val="550 KL Sump-2"/>
      <sheetName val="ELSR-1200 KL"/>
      <sheetName val="650 KL GLSR (2)"/>
      <sheetName val="850 KL GLSR "/>
      <sheetName val="500 KL sump"/>
      <sheetName val="200 KL- ELSR Yelluru"/>
      <sheetName val="Dist-Zone-below 50000"/>
      <sheetName val="Data -O&amp;M"/>
      <sheetName val="Lengths-Tandur"/>
      <sheetName val="Bld-Total"/>
      <sheetName val="Pumping main-350mm"/>
      <sheetName val="Details"/>
      <sheetName val="Dist-est"/>
      <sheetName val="info-1"/>
      <sheetName val="Inf.Well"/>
      <sheetName val="Approah road to MBR"/>
      <sheetName val="Approach Roads-Source"/>
      <sheetName val="Dist-Zone-1"/>
      <sheetName val="400mm-P.Main"/>
      <sheetName val="Rates-ELSR,Filters"/>
      <sheetName val="13 Mld-WTP"/>
      <sheetName val="data-Intake well"/>
      <sheetName val="data-ELSR-"/>
      <sheetName val="Valves"/>
      <sheetName val="Model GLSR-"/>
      <sheetName val="Feeder main-1 (2)"/>
      <sheetName val="Dist &amp; Feeder mains  (2)"/>
      <sheetName val="BFlow meters"/>
      <sheetName val="DI-100-900"/>
      <sheetName val="O Nd M"/>
      <sheetName val="Pump room-6.59x6.00m"/>
      <sheetName val="data-MS-pipe"/>
      <sheetName val="GA-GVMC -Raiwada-BWSC"/>
      <sheetName val="BWSC-Pumping Main-1200mm"/>
      <sheetName val="GA-GVMC -Raiwada"/>
      <sheetName val="MS-Pumping Main-1300mm"/>
      <sheetName val="Thurst-F.mains"/>
      <sheetName val="Thrust-P.mains"/>
      <sheetName val="CI weights"/>
      <sheetName val="PH-BWSC"/>
      <sheetName val="BWSC-Rate"/>
      <sheetName val="BWSC-Cal"/>
      <sheetName val="Proforma -II "/>
      <sheetName val="98Price"/>
      <sheetName val="Inc.St.-Link"/>
      <sheetName val="공장별판관비배부"/>
      <sheetName val="UNIT2"/>
      <sheetName val="LIST OF MAKES"/>
      <sheetName val="April Analysts"/>
      <sheetName val="Basic Rate"/>
      <sheetName val="inter"/>
      <sheetName val="LABOUR SALARY "/>
      <sheetName val="Brickwork "/>
      <sheetName val="Finishing items"/>
      <sheetName val="Wag&amp;Sal"/>
      <sheetName val="Fx DATA"/>
      <sheetName val="Tower-B(Abstract)"/>
      <sheetName val="terrace parapet block work"/>
      <sheetName val="Canopy-2 RCC1"/>
      <sheetName val="Canopy-2 BBS"/>
      <sheetName val="Canopy-1 RCC1"/>
      <sheetName val="Canopy-1 BBS"/>
      <sheetName val="Above terrace columns RCC"/>
      <sheetName val="Above terrace columns BBS"/>
      <sheetName val="Parapet wall RCC"/>
      <sheetName val="Parapet wall BBS"/>
      <sheetName val="OHWT RCC"/>
      <sheetName val="OHWT Slab BBS"/>
      <sheetName val="OHWT Beams  BBS"/>
      <sheetName val="Columns"/>
      <sheetName val="Lifts"/>
      <sheetName val="Staircases"/>
      <sheetName val="Slab &amp; Beam @ 0.00 Lvl"/>
      <sheetName val="Slab &amp; Beam"/>
      <sheetName val="Lintels &amp; Window"/>
      <sheetName val="Column Steel (UBF)"/>
      <sheetName val="Column Steel (SF)"/>
      <sheetName val="Column Steel (1F)"/>
      <sheetName val="Column Steel (2F)"/>
      <sheetName val="Column Steel (3F)"/>
      <sheetName val="Column Steel (4F-6F)"/>
      <sheetName val="Column Steel (7F-9F)"/>
      <sheetName val="Column Steel (10F-12F)"/>
      <sheetName val="Column Steel (13F-15F)"/>
      <sheetName val="Column Steel (16F-17F)"/>
      <sheetName val="Column Steel (18F)"/>
      <sheetName val="Lift Steel (UBF)"/>
      <sheetName val="Lift Steel (SF)"/>
      <sheetName val="Lift Steel (1F-6F)"/>
      <sheetName val="Lift Steel (7F-12F)"/>
      <sheetName val="Lift Steel (13F-18F)"/>
      <sheetName val=" Staircase Steel (UBF)"/>
      <sheetName val=" Staircase Steel (SF)"/>
      <sheetName val=" Staircase Steel (1F-7F)"/>
      <sheetName val=" Staircase Steel (8F-18F)"/>
      <sheetName val="Beams Steel (SF)"/>
      <sheetName val="Slab Steel (SF)"/>
      <sheetName val="Beams Steel (1F)"/>
      <sheetName val="Slab Steel (1F)"/>
      <sheetName val="Beams Steel (2F&amp;3F)"/>
      <sheetName val="Slab Steel (2F&amp;3F)"/>
      <sheetName val="Beams Steel (4F)"/>
      <sheetName val="Slab Steel (4F)"/>
      <sheetName val="Beams Steel (5F-7F)"/>
      <sheetName val="Slab Steel (5F-7F)"/>
      <sheetName val="Beams Steel (8F-15F&amp;18F)"/>
      <sheetName val="Slab Steel (8F-15F&amp;18F)"/>
      <sheetName val="Beams Steel (16F&amp;17F)"/>
      <sheetName val="Slab Steel (16F&amp;17F)"/>
      <sheetName val="Beams Steel (TF)"/>
      <sheetName val="Slab Steel (TF)"/>
      <sheetName val="100mm Block Work"/>
      <sheetName val="150mm BLOCKS"/>
      <sheetName val="200mm BLOCKS"/>
      <sheetName val="Internal Walls Plastering"/>
      <sheetName val="Internal Ceiling Plastering"/>
      <sheetName val="External plaster"/>
      <sheetName val="Tower- A (Abstract)"/>
      <sheetName val="Canopy-2 RCC"/>
      <sheetName val="Canopy -1 RCC"/>
      <sheetName val="Canaopy-2 steel"/>
      <sheetName val="Canopy-1 steel"/>
      <sheetName val="Columns above terrace"/>
      <sheetName val="OHT bottom &amp; walls "/>
      <sheetName val="Slab &amp; Beam at 0.00lvl"/>
      <sheetName val="Slab &amp; Beam at +3.25lvl"/>
      <sheetName val="Parapet slab&amp;beams"/>
      <sheetName val="Column Steel(SF to TF)"/>
      <sheetName val="Above terrace column steel"/>
      <sheetName val="Lift Wall - Stilt Floor"/>
      <sheetName val="Lift Wall 1F-6F"/>
      <sheetName val="Lift Wall 7F-12F"/>
      <sheetName val="Lift Wall 13F-18F"/>
      <sheetName val="Lift wall terrace floor"/>
      <sheetName val="Staircase - UBF"/>
      <sheetName val="Staircase - SF"/>
      <sheetName val="Staircase - 1F-7F"/>
      <sheetName val="Staircase - 8F-18F"/>
      <sheetName val="Beam Steel - SF"/>
      <sheetName val="Slab Steel - SF"/>
      <sheetName val="Beam Steel- 1F"/>
      <sheetName val="Slab Steel - 1F"/>
      <sheetName val="Beams Steel 2F"/>
      <sheetName val="Slab steel 2F"/>
      <sheetName val="Beams Steel 3F"/>
      <sheetName val="Slab steel 3F"/>
      <sheetName val="Beams Steel - 4F"/>
      <sheetName val="Slab steel 4F"/>
      <sheetName val="Beam steel 5F-7F"/>
      <sheetName val="Slab steel 5F-7F"/>
      <sheetName val="Beam steel 8F-15F &amp; 18F"/>
      <sheetName val="Slab steel 8F-15F&amp; 18F"/>
      <sheetName val="Beam steel 16F - 17F"/>
      <sheetName val="Slab steel 16F - 17F"/>
      <sheetName val="Beam steel TF"/>
      <sheetName val="Slab steel TF"/>
      <sheetName val="OHT Slab steel "/>
      <sheetName val="OHT beam steel "/>
      <sheetName val="A- terrace coping BBS"/>
      <sheetName val="Copping beam BBS A terrace"/>
      <sheetName val="150 mm BLOCKS"/>
      <sheetName val="200 mm BLOCKS"/>
      <sheetName val="FITZ MORT 94"/>
      <sheetName val="Mth-Vana"/>
      <sheetName val="Demand"/>
      <sheetName val="Occ"/>
      <sheetName val="Consumer Fraud"/>
      <sheetName val="Avoidance "/>
      <sheetName val="Cons Recov Rates"/>
      <sheetName val="Consumer Supps"/>
      <sheetName val="Variance"/>
      <sheetName val="Consumer Outbound"/>
      <sheetName val="FY Loss Frcst"/>
      <sheetName val="Exempt"/>
      <sheetName val="Sum1"/>
      <sheetName val="SP Break Up"/>
      <sheetName val="Core Data"/>
      <sheetName val="CFS3"/>
      <sheetName val="RA 1"/>
      <sheetName val="2000 MOR"/>
      <sheetName val="Exp_62"/>
      <sheetName val="INDIGINEOUS_ITEMS_62"/>
      <sheetName val="E_&amp;_R62"/>
      <sheetName val="Load_Details(B1)62"/>
      <sheetName val="INDORAMA_Group_June_0262"/>
      <sheetName val="SPT_vs_PHI62"/>
      <sheetName val="Civil_Boq62"/>
      <sheetName val="Debits_as_on_12_04_0862"/>
      <sheetName val="PA-_Consutant_62"/>
      <sheetName val="Sheet3_(2)62"/>
      <sheetName val="_Block_work"/>
      <sheetName val="Flooring_&amp;_Road"/>
      <sheetName val="BOM_"/>
      <sheetName val="SUBMITED_bISS"/>
      <sheetName val="TOTAL_SUMMARY"/>
      <sheetName val="DOOR-WINDOW_SCHEDULE"/>
      <sheetName val="BLOCK_WORK-GRD_FLR"/>
      <sheetName val="Japan_Reco"/>
      <sheetName val="Abs_PMRL"/>
      <sheetName val="Cleaning_&amp;_Grubbing"/>
      <sheetName val="220Kv_(2)"/>
      <sheetName val="Source_Ref_"/>
      <sheetName val="Name_List"/>
      <sheetName val="water_prop_"/>
      <sheetName val="Price_Comparison"/>
      <sheetName val="BLOCK-A_(MEA_SHEET)"/>
      <sheetName val="4_Annex_1_Basic_rate"/>
      <sheetName val="Door_Qty"/>
      <sheetName val="Win_Qty"/>
      <sheetName val="Labour_&amp;_Plant"/>
      <sheetName val="Mar_Roster"/>
      <sheetName val="costing_sheet"/>
      <sheetName val="R_A_"/>
      <sheetName val="India_F&amp;S_Template"/>
      <sheetName val="DETAILED__BOQ"/>
      <sheetName val="BASIS_-DEC_08"/>
      <sheetName val="_"/>
      <sheetName val="Capital_Structure"/>
      <sheetName val="Recap_"/>
      <sheetName val="Schedule_A1"/>
      <sheetName val="Abstract_(Buyback)"/>
      <sheetName val="Civil_RA"/>
      <sheetName val="Plumbing_RA"/>
      <sheetName val="Electrical__RA"/>
      <sheetName val="ELV_RA"/>
      <sheetName val="FFTG_RA"/>
      <sheetName val="HVAC_RA"/>
      <sheetName val="Furniture_RA"/>
      <sheetName val="Kichen_Equi__RA"/>
      <sheetName val="Project_Budget_Worksheet"/>
      <sheetName val="All_Components_Report"/>
      <sheetName val="UNP-NCW_"/>
      <sheetName val="BUD_07-08"/>
      <sheetName val="Final_Basic_rate"/>
      <sheetName val="Elect_"/>
      <sheetName val="old_boq"/>
      <sheetName val="CABLENOS_"/>
      <sheetName val="Works_-_Quote_Sheet"/>
      <sheetName val="Lead_statement"/>
      <sheetName val="Data_F8_BTR"/>
      <sheetName val="Bill_1-BOQ-Civil_Works"/>
      <sheetName val="Labour_Rate_"/>
      <sheetName val="Material_List_"/>
      <sheetName val="Sheet1_(2)"/>
      <sheetName val="site_fab&amp;ernstr"/>
      <sheetName val="2_1_受電設備棟"/>
      <sheetName val="2_2_受・防火水槽"/>
      <sheetName val="2_3_排水処理設備棟"/>
      <sheetName val="2_4_倉庫棟"/>
      <sheetName val="2_5_守衛棟"/>
      <sheetName val="Step_1"/>
      <sheetName val="PRECAST lightconc_II"/>
      <sheetName val="Roof  PT beams "/>
      <sheetName val="Client Addressess "/>
      <sheetName val="Basic Rates"/>
      <sheetName val="iD"/>
      <sheetName val="triggers"/>
      <sheetName val="Vol"/>
      <sheetName val="KWM"/>
      <sheetName val="simulations"/>
      <sheetName val="SALE"/>
      <sheetName val="Global_Assmptions"/>
      <sheetName val="Data_sheet"/>
      <sheetName val="NRC_Rationalisation"/>
      <sheetName val="foot-slab_reinft"/>
      <sheetName val="Partitions"/>
      <sheetName val="Main Sheet"/>
      <sheetName val="Lookup data"/>
      <sheetName val="13. Steel - Ratio"/>
      <sheetName val="CIV INV&amp;EXP"/>
      <sheetName val="MRATES"/>
      <sheetName val="Cover"/>
      <sheetName val="DATA-BASE"/>
      <sheetName val="DATA-ABSTRACT"/>
      <sheetName val="v"/>
      <sheetName val="footing for SP"/>
      <sheetName val="Civil Works"/>
      <sheetName val="Consolidated"/>
      <sheetName val="MA"/>
      <sheetName val="Material"/>
      <sheetName val="ridgewood"/>
      <sheetName val="August TB"/>
      <sheetName val="MH(on site)"/>
      <sheetName val="pt-cw"/>
      <sheetName val="AD ST"/>
      <sheetName val="11-hsd"/>
      <sheetName val="13-septic"/>
      <sheetName val="7-ug"/>
      <sheetName val="2-utility"/>
      <sheetName val="ABS_Sec C"/>
      <sheetName val="TBEAM"/>
      <sheetName val="Sales &amp; Prod"/>
      <sheetName val="Cash Flow Working"/>
      <sheetName val="PART-I_(2)64"/>
      <sheetName val="final_abstract64"/>
      <sheetName val="Basement_Budget63"/>
      <sheetName val="Fee_Rate_Summary63"/>
      <sheetName val="Rate_analysis63"/>
      <sheetName val="Materials_Cost63"/>
      <sheetName val="10__&amp;_11__Rate_Code_&amp;_BQ63"/>
      <sheetName val="RES_STEEL_TO63"/>
      <sheetName val="Break_up_Sheet63"/>
      <sheetName val="B_&amp;_C_-_M_-_ccp63"/>
      <sheetName val="RMZ_Summary63"/>
      <sheetName val="Fill_this_out_first___63"/>
      <sheetName val="TBAL9697_-group_wise__sdpl63"/>
      <sheetName val="Fin_Sum63"/>
      <sheetName val="Site_Dev_BOQ63"/>
      <sheetName val="Staff_Forecast_spread63"/>
      <sheetName val="Field_Values63"/>
      <sheetName val="Structure_Bills_Qty63"/>
      <sheetName val="Builtup_Area63"/>
      <sheetName val="MASTER_RATE_ANALYSIS63"/>
      <sheetName val="Cop_-VGN63"/>
      <sheetName val="IO_List63"/>
      <sheetName val="BOQ_Direct_selling_cost63"/>
      <sheetName val="Stress_Calculation63"/>
      <sheetName val="Pipe_Supports63"/>
      <sheetName val="Materials_63"/>
      <sheetName val="MN_T_B_63"/>
      <sheetName val="ORDER_BOOKING3"/>
      <sheetName val="Break_Dw63"/>
      <sheetName val="For_Bill-04_PS3"/>
      <sheetName val="RCC,Ret__Wall39"/>
      <sheetName val="RA_4_Challan_Summary_39"/>
      <sheetName val="Labour_productivity39"/>
      <sheetName val="labour_coeff39"/>
      <sheetName val="BOQ_(2)4"/>
      <sheetName val="beam-reinft-IIInd_floor3"/>
      <sheetName val="Bed_Class8"/>
      <sheetName val="PH_data3"/>
      <sheetName val="Details_(3)3"/>
      <sheetName val="Desgn(zone_I)8"/>
      <sheetName val="M_B-QtyRecn5"/>
      <sheetName val="Sqn__Main__Abs3"/>
      <sheetName val="Staff_Acco_3"/>
      <sheetName val="Section_Catalogue3"/>
      <sheetName val="Approved_MTD_Proj_#'s3"/>
      <sheetName val="ACAD_Finishes4"/>
      <sheetName val="Site_Details4"/>
      <sheetName val="Site_Area_Statement4"/>
      <sheetName val="CABLE_DATA3"/>
      <sheetName val="Mat_Cost5"/>
      <sheetName val="GR_slab-reinft3"/>
      <sheetName val="BOQ_civil3"/>
      <sheetName val="NLD_-_Assum3"/>
      <sheetName val="schedule_nos3"/>
      <sheetName val="std_wt_3"/>
      <sheetName val="Column_Steel-R23"/>
      <sheetName val="Staircase_3"/>
      <sheetName val="INPUT_SHEET3"/>
      <sheetName val="M-Book_for_Conc3"/>
      <sheetName val="M-Book_for_FW3"/>
      <sheetName val="Cash_Flows_&amp;_IRR3"/>
      <sheetName val="d-safe_specs3"/>
      <sheetName val="d-safe_DELUXE3"/>
      <sheetName val="Diawise_steel_abstract3"/>
      <sheetName val="Rising_Main3"/>
      <sheetName val="PACK_(B)3"/>
      <sheetName val="Material_3"/>
      <sheetName val="bill_23"/>
      <sheetName val="Estimate_3"/>
      <sheetName val="QS_Name3"/>
      <sheetName val="CANDY_BOQ3"/>
      <sheetName val="CFForecast_detail3"/>
      <sheetName val="Model_(Not_Merged)3"/>
      <sheetName val="Tender_Summary3"/>
      <sheetName val="train_cash3"/>
      <sheetName val="accom_cash3"/>
      <sheetName val="Common_3"/>
      <sheetName val="Meas_-Hotel_Part3"/>
      <sheetName val="3__Elemental_Summary2"/>
      <sheetName val="Material_Rate2"/>
      <sheetName val="Retaing_wall2"/>
      <sheetName val="WORK_TABLE3"/>
      <sheetName val="220_11__BS_3"/>
      <sheetName val="Intro_3"/>
      <sheetName val="Operating_Statistics3"/>
      <sheetName val="except_wiring2"/>
      <sheetName val="CPIPE_12"/>
      <sheetName val="beam-reinft-machine_rm3"/>
      <sheetName val="intr_stool_brkup2"/>
      <sheetName val="Occ,_Other_Rev,_Exp,_Dispo2"/>
      <sheetName val="Vind_-_BtB3"/>
      <sheetName val="SGS_ACQ3"/>
      <sheetName val="Form_63"/>
      <sheetName val="Price_Schedule4"/>
      <sheetName val="Cost_Any_4"/>
      <sheetName val="S_&amp;_A4"/>
      <sheetName val="PointNo_52"/>
      <sheetName val="BOQ_Distribution2"/>
      <sheetName val="A_O_R_2"/>
      <sheetName val="PRECAST_lightconc-II2"/>
      <sheetName val="Detail_In_Door_Stad2"/>
      <sheetName val="P_Well(_RCC)2"/>
      <sheetName val="PO_Summary2"/>
      <sheetName val="BOQ_Summary2"/>
      <sheetName val="Sec_1_Loose_Furniture_18%_GST2"/>
      <sheetName val="Sec_1_Loose_Furniture_12%_GST2"/>
      <sheetName val="Sec_1_Loose_Furniture_5%_GST2"/>
      <sheetName val="Sec_2_Cafeteria_Tables2"/>
      <sheetName val="Sec_3_Cafeteria_Chairs2"/>
      <sheetName val="Sec_4_Work_Floors_-_NT_2"/>
      <sheetName val="Sec_5_LGF_Chairs-NT2"/>
      <sheetName val="Sec_6_Additional_18%_GST_2"/>
      <sheetName val="Sec_6_Additional_12%_GST_2"/>
      <sheetName val="Sec_11-NT_set_32"/>
      <sheetName val="DC_Summary2"/>
      <sheetName val="M_Sheet2"/>
      <sheetName val="RA4_Checklist2"/>
      <sheetName val="PC_Master_List2"/>
      <sheetName val="Project_Details__2"/>
      <sheetName val="Labor_abs-NMR2"/>
      <sheetName val="소상_&quot;1&quot;2"/>
      <sheetName val="M_S_2"/>
      <sheetName val="Discount_&amp;_Margin2"/>
      <sheetName val="Branch_Power2"/>
      <sheetName val="RAJU_ASSO2"/>
      <sheetName val="P-Ins_&amp;_Bonds2"/>
      <sheetName val="2_대외공문2"/>
      <sheetName val="NEW-IDs_Fun_&amp;_Group2"/>
      <sheetName val="LABOUR_SALARY_"/>
      <sheetName val="Brickwork_"/>
      <sheetName val="Finishing_items"/>
      <sheetName val="M-_Rate"/>
      <sheetName val="August_Construction_Planning__"/>
      <sheetName val="Internal_Planning"/>
      <sheetName val="July'2019_Weekly"/>
      <sheetName val="9__Package_split_-_Cost_"/>
      <sheetName val="Estimate_10_00_Lakhs_"/>
      <sheetName val="abs_road"/>
      <sheetName val="Road_data"/>
      <sheetName val="Bld_SSR"/>
      <sheetName val="SSR_-Sani_"/>
      <sheetName val="Elec_SSR"/>
      <sheetName val="PH-_SSR"/>
      <sheetName val="R_&amp;_B_SSR"/>
      <sheetName val="RCC_Pipes"/>
      <sheetName val="DI-Pipes_&amp;_Spe"/>
      <sheetName val="CI_Spe"/>
      <sheetName val="Bolts&amp;_rings"/>
      <sheetName val="Dist_Lines-150-old"/>
      <sheetName val="GA-GVMC_-NW(Com)_"/>
      <sheetName val="GA-GVMC_-NW_"/>
      <sheetName val="Dist_Lines-100"/>
      <sheetName val="Dist-Lines_-500"/>
      <sheetName val="Dist_Lines-150"/>
      <sheetName val="GA-GVMC_-NW__(2)"/>
      <sheetName val="GA-GVMC_-NW__"/>
      <sheetName val="Dist-Lines_B-1_"/>
      <sheetName val="Dist-Lines-Final_checked"/>
      <sheetName val="Pumping_mains-"/>
      <sheetName val="Feeder_main-old"/>
      <sheetName val="Dist-Lines_-B-2"/>
      <sheetName val="Dist-Lines_-B-3"/>
      <sheetName val="Dist-Lines_B-4"/>
      <sheetName val="Dist-Lines_B-5"/>
      <sheetName val="Dist-Lines_-B-6"/>
      <sheetName val="Dist-Lines_-B-7"/>
      <sheetName val="Dist-Lines_-B-8"/>
      <sheetName val="Dist-Lines_-B-9"/>
      <sheetName val="Dist-Lines_-B-10"/>
      <sheetName val="Dist-Lines_-B-11"/>
      <sheetName val="Dist-Lines_-B-12"/>
      <sheetName val="Dist-Lines_-B-13"/>
      <sheetName val="Dist-Lines_-B-14"/>
      <sheetName val="Dist-Lines_-B-15"/>
      <sheetName val="Dist-Lines_-B-16"/>
      <sheetName val="Feeder_mains-_1"/>
      <sheetName val="Feeder_mains-_2"/>
      <sheetName val="Feeder_mains-_(1)"/>
      <sheetName val="Feeder_mains-up_to_800"/>
      <sheetName val="Pumping_Main-800mm"/>
      <sheetName val="ELSR-600_KL-Z-2"/>
      <sheetName val="750_KL_GLSR-Z-3"/>
      <sheetName val="ELSR-750_KL-Z-3"/>
      <sheetName val="ELSR-500_KL-Z-4"/>
      <sheetName val="500_KL_GLSR-Z-4"/>
      <sheetName val="ELSR-1850_KL-Z-8"/>
      <sheetName val="1850_KL_GLSR-Z-8"/>
      <sheetName val="800_KL_GLSR-Z-11"/>
      <sheetName val="900_KL_GLSR-Z-12"/>
      <sheetName val="ELSR-2500_KL-Z-13"/>
      <sheetName val="ELSR-2400_KL-Z-14"/>
      <sheetName val="ELSR-1200_KL-Z-15"/>
      <sheetName val="ELSR-2000_KL-Z-16"/>
      <sheetName val="Pumping_Main-500mm-(2)"/>
      <sheetName val="terrace_parapet_block_work"/>
      <sheetName val="Canopy-2_RCC1"/>
      <sheetName val="Canopy-2_BBS"/>
      <sheetName val="Canopy-1_RCC1"/>
      <sheetName val="Canopy-1_BBS"/>
      <sheetName val="Above_terrace_columns_RCC"/>
      <sheetName val="Above_terrace_columns_BBS"/>
      <sheetName val="Parapet_wall_RCC"/>
      <sheetName val="Parapet_wall_BBS"/>
      <sheetName val="OHWT_RCC"/>
      <sheetName val="OHWT_Slab_BBS"/>
      <sheetName val="OHWT_Beams__BBS"/>
      <sheetName val="Slab_&amp;_Beam_@_0_00_Lvl"/>
      <sheetName val="Slab_&amp;_Beam"/>
      <sheetName val="Lintels_&amp;_Window"/>
      <sheetName val="Column_Steel_(UBF)"/>
      <sheetName val="Column_Steel_(SF)"/>
      <sheetName val="Column_Steel_(1F)"/>
      <sheetName val="Column_Steel_(2F)"/>
      <sheetName val="Column_Steel_(3F)"/>
      <sheetName val="Column_Steel_(4F-6F)"/>
      <sheetName val="Column_Steel_(7F-9F)"/>
      <sheetName val="Column_Steel_(10F-12F)"/>
      <sheetName val="Column_Steel_(13F-15F)"/>
      <sheetName val="Column_Steel_(16F-17F)"/>
      <sheetName val="Column_Steel_(18F)"/>
      <sheetName val="Lift_Steel_(UBF)"/>
      <sheetName val="Lift_Steel_(SF)"/>
      <sheetName val="Lift_Steel_(1F-6F)"/>
      <sheetName val="Lift_Steel_(7F-12F)"/>
      <sheetName val="Lift_Steel_(13F-18F)"/>
      <sheetName val="_Staircase_Steel_(UBF)"/>
      <sheetName val="_Staircase_Steel_(SF)"/>
      <sheetName val="_Staircase_Steel_(1F-7F)"/>
      <sheetName val="_Staircase_Steel_(8F-18F)"/>
      <sheetName val="Beams_Steel_(SF)"/>
      <sheetName val="Slab_Steel_(SF)"/>
      <sheetName val="Beams_Steel_(1F)"/>
      <sheetName val="Slab_Steel_(1F)"/>
      <sheetName val="Beams_Steel_(2F&amp;3F)"/>
      <sheetName val="Slab_Steel_(2F&amp;3F)"/>
      <sheetName val="Beams_Steel_(4F)"/>
      <sheetName val="Slab_Steel_(4F)"/>
      <sheetName val="Beams_Steel_(5F-7F)"/>
      <sheetName val="Slab_Steel_(5F-7F)"/>
      <sheetName val="Beams_Steel_(8F-15F&amp;18F)"/>
      <sheetName val="Slab_Steel_(8F-15F&amp;18F)"/>
      <sheetName val="Beams_Steel_(16F&amp;17F)"/>
      <sheetName val="Slab_Steel_(16F&amp;17F)"/>
      <sheetName val="Beams_Steel_(TF)"/>
      <sheetName val="Slab_Steel_(TF)"/>
      <sheetName val="100mm_Block_Work"/>
      <sheetName val="150mm_BLOCKS"/>
      <sheetName val="200mm_BLOCKS"/>
      <sheetName val="Internal_Walls_Plastering"/>
      <sheetName val="Internal_Ceiling_Plastering"/>
      <sheetName val="External_plaster"/>
      <sheetName val="Tower-_A_(Abstract)"/>
      <sheetName val="Canopy-2_RCC"/>
      <sheetName val="Canopy_-1_RCC"/>
      <sheetName val="Canaopy-2_steel"/>
      <sheetName val="Canopy-1_steel"/>
      <sheetName val="Columns_above_terrace"/>
      <sheetName val="OHT_bottom_&amp;_walls_"/>
      <sheetName val="Slab_&amp;_Beam_at_0_00lvl"/>
      <sheetName val="Slab_&amp;_Beam_at_+3_25lvl"/>
      <sheetName val="Parapet_slab&amp;beams"/>
      <sheetName val="Column_Steel(SF_to_TF)"/>
      <sheetName val="Above_terrace_column_steel"/>
      <sheetName val="Lift_Wall_-_Stilt_Floor"/>
      <sheetName val="Lift_Wall_1F-6F"/>
      <sheetName val="Lift_Wall_7F-12F"/>
      <sheetName val="Lift_Wall_13F-18F"/>
      <sheetName val="Lift_wall_terrace_floor"/>
      <sheetName val="Staircase_-_UBF"/>
      <sheetName val="Staircase_-_SF"/>
      <sheetName val="Staircase_-_1F-7F"/>
      <sheetName val="Staircase_-_8F-18F"/>
      <sheetName val="Beam_Steel_-_SF"/>
      <sheetName val="Slab_Steel_-_SF"/>
      <sheetName val="Beam_Steel-_1F"/>
      <sheetName val="Slab_Steel_-_1F"/>
      <sheetName val="Beams_Steel_2F"/>
      <sheetName val="Slab_steel_2F"/>
      <sheetName val="Beams_Steel_3F"/>
      <sheetName val="Slab_steel_3F"/>
      <sheetName val="Beams_Steel_-_4F"/>
      <sheetName val="Slab_steel_4F"/>
      <sheetName val="Beam_steel_5F-7F"/>
      <sheetName val="Slab_steel_5F-7F"/>
      <sheetName val="Beam_steel_8F-15F_&amp;_18F"/>
      <sheetName val="Slab_steel_8F-15F&amp;_18F"/>
      <sheetName val="Beam_steel_16F_-_17F"/>
      <sheetName val="Slab_steel_16F_-_17F"/>
      <sheetName val="Beam_steel_TF"/>
      <sheetName val="Slab_steel_TF"/>
      <sheetName val="OHT_Slab_steel_"/>
      <sheetName val="OHT_beam_steel_"/>
      <sheetName val="A-_terrace_coping_BBS"/>
      <sheetName val="Copping_beam_BBS_A_terrace"/>
      <sheetName val="150_mm_BLOCKS"/>
      <sheetName val="200_mm_BLOCKS"/>
      <sheetName val="Pumping_Main-450mm-(3)"/>
      <sheetName val="Pumping_Main-(4)"/>
      <sheetName val="350_KL_GLSR"/>
      <sheetName val="1000_KL_Sump-"/>
      <sheetName val="1000_KL_MBR"/>
      <sheetName val="MBR-1000_KL"/>
      <sheetName val="Pump_room-12x8"/>
      <sheetName val="B_F_Meters"/>
      <sheetName val="Pump_sets"/>
      <sheetName val="Pump_sets_(2)"/>
      <sheetName val="Gen_sets"/>
      <sheetName val="PR_Valves"/>
      <sheetName val="W_man_Qrt-"/>
      <sheetName val="O_&amp;M"/>
      <sheetName val="Generator_Room-1"/>
      <sheetName val="200_KL_GLSR-6_(2)"/>
      <sheetName val="500_KL_Sump-(1)"/>
      <sheetName val="250_KL_Sump-(3)"/>
      <sheetName val="Office_-_MBR"/>
      <sheetName val="HSC_(2)"/>
      <sheetName val="Gen_sets_(2)"/>
      <sheetName val="DI_pipes"/>
      <sheetName val="Wt_of_DI_Spe_"/>
      <sheetName val="HDPE_pipes"/>
      <sheetName val="RCC_SS"/>
      <sheetName val="CI_Spe_"/>
      <sheetName val="data-ELSR_"/>
      <sheetName val="data-Water_Supply"/>
      <sheetName val="Sump_&amp;_ST"/>
      <sheetName val="Bld_Stnd,Data"/>
      <sheetName val="Bld_up_to_3F"/>
      <sheetName val="CC_road"/>
      <sheetName val="Dist_Lines"/>
      <sheetName val="Feeder_mains-2"/>
      <sheetName val="Gravity_Main-900mm"/>
      <sheetName val="550_KL_Sump-1"/>
      <sheetName val="550_KL_Sump-2"/>
      <sheetName val="ELSR-1200_KL"/>
      <sheetName val="650_KL_GLSR_(2)"/>
      <sheetName val="850_KL_GLSR_"/>
      <sheetName val="500_KL_sump"/>
      <sheetName val="200_KL-_ELSR_Yelluru"/>
      <sheetName val="Dist-Zone-below_50000"/>
      <sheetName val="Data_-O&amp;M"/>
      <sheetName val="Pumping_main-350mm"/>
      <sheetName val="Inf_Well"/>
      <sheetName val="Approah_road_to_MBR"/>
      <sheetName val="Approach_Roads-Source"/>
      <sheetName val="400mm-P_Main"/>
      <sheetName val="13_Mld-WTP"/>
      <sheetName val="data-Intake_well"/>
      <sheetName val="Model_GLSR-"/>
      <sheetName val="Feeder_main-1_(2)"/>
      <sheetName val="Dist_&amp;_Feeder_mains__(2)"/>
      <sheetName val="BFlow_meters"/>
      <sheetName val="O_Nd_M"/>
      <sheetName val="Pump_room-6_59x6_00m"/>
      <sheetName val="GA-GVMC_-Raiwada-BWSC"/>
      <sheetName val="BWSC-Pumping_Main-1200mm"/>
      <sheetName val="GA-GVMC_-Raiwada"/>
      <sheetName val="MS-Pumping_Main-1300mm"/>
      <sheetName val="Thurst-F_mains"/>
      <sheetName val="Thrust-P_mains"/>
      <sheetName val="CI_weights"/>
      <sheetName val="Proforma_-II_"/>
      <sheetName val="LIST_OF_MAKES"/>
      <sheetName val="April_Analysts"/>
      <sheetName val="Basic_Rate"/>
      <sheetName val="Consumer_Fraud"/>
      <sheetName val="Avoidance_"/>
      <sheetName val="Cons_Recov_Rates"/>
      <sheetName val="Consumer_Supps"/>
      <sheetName val="Consumer_Outbound"/>
      <sheetName val="FY_Loss_Frcst"/>
      <sheetName val="FITZ_MORT_94"/>
      <sheetName val="footing_for_SP"/>
      <sheetName val="Master_Info"/>
      <sheetName val="AD_ST"/>
      <sheetName val="BFS"/>
      <sheetName val="Riser-1"/>
      <sheetName val="I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row r="52">
          <cell r="B52" t="str">
            <v>Main Panel</v>
          </cell>
        </row>
      </sheetData>
      <sheetData sheetId="245">
        <row r="52">
          <cell r="B52" t="str">
            <v>Main Panel</v>
          </cell>
        </row>
      </sheetData>
      <sheetData sheetId="246"/>
      <sheetData sheetId="247"/>
      <sheetData sheetId="248">
        <row r="52">
          <cell r="B52" t="str">
            <v>Main Panel</v>
          </cell>
        </row>
      </sheetData>
      <sheetData sheetId="249"/>
      <sheetData sheetId="250">
        <row r="52">
          <cell r="B52" t="str">
            <v>Main Panel</v>
          </cell>
        </row>
      </sheetData>
      <sheetData sheetId="251">
        <row r="52">
          <cell r="B52" t="str">
            <v>Main Panel</v>
          </cell>
        </row>
      </sheetData>
      <sheetData sheetId="252">
        <row r="52">
          <cell r="B52" t="str">
            <v>Main Panel</v>
          </cell>
        </row>
      </sheetData>
      <sheetData sheetId="253"/>
      <sheetData sheetId="254">
        <row r="52">
          <cell r="B52" t="str">
            <v>Main Panel</v>
          </cell>
        </row>
      </sheetData>
      <sheetData sheetId="255">
        <row r="52">
          <cell r="B52" t="str">
            <v>Main Panel</v>
          </cell>
        </row>
      </sheetData>
      <sheetData sheetId="256">
        <row r="52">
          <cell r="B52" t="str">
            <v>Main Panel</v>
          </cell>
        </row>
      </sheetData>
      <sheetData sheetId="257">
        <row r="52">
          <cell r="B52" t="str">
            <v>Main Panel</v>
          </cell>
        </row>
      </sheetData>
      <sheetData sheetId="258"/>
      <sheetData sheetId="259"/>
      <sheetData sheetId="260"/>
      <sheetData sheetId="261">
        <row r="52">
          <cell r="B52" t="str">
            <v>Main Panel</v>
          </cell>
        </row>
      </sheetData>
      <sheetData sheetId="262">
        <row r="52">
          <cell r="B52" t="str">
            <v>Main Panel</v>
          </cell>
        </row>
      </sheetData>
      <sheetData sheetId="263"/>
      <sheetData sheetId="264">
        <row r="52">
          <cell r="B52" t="str">
            <v>Main Panel</v>
          </cell>
        </row>
      </sheetData>
      <sheetData sheetId="265"/>
      <sheetData sheetId="266"/>
      <sheetData sheetId="267"/>
      <sheetData sheetId="268">
        <row r="52">
          <cell r="B52" t="str">
            <v>Main Panel</v>
          </cell>
        </row>
      </sheetData>
      <sheetData sheetId="269"/>
      <sheetData sheetId="270"/>
      <sheetData sheetId="271">
        <row r="52">
          <cell r="B52" t="str">
            <v>Main Panel</v>
          </cell>
        </row>
      </sheetData>
      <sheetData sheetId="272"/>
      <sheetData sheetId="273">
        <row r="52">
          <cell r="B52" t="str">
            <v>Main Panel</v>
          </cell>
        </row>
      </sheetData>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ow r="52">
          <cell r="B52" t="str">
            <v>Main Panel</v>
          </cell>
        </row>
      </sheetData>
      <sheetData sheetId="476">
        <row r="52">
          <cell r="B52" t="str">
            <v>Main Panel</v>
          </cell>
        </row>
      </sheetData>
      <sheetData sheetId="477">
        <row r="52">
          <cell r="B52" t="str">
            <v>Main Panel</v>
          </cell>
        </row>
      </sheetData>
      <sheetData sheetId="478">
        <row r="52">
          <cell r="B52" t="str">
            <v>Main Panel</v>
          </cell>
        </row>
      </sheetData>
      <sheetData sheetId="479">
        <row r="52">
          <cell r="B52" t="str">
            <v>Main Panel</v>
          </cell>
        </row>
      </sheetData>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ow r="52">
          <cell r="B52" t="str">
            <v>Main Panel</v>
          </cell>
        </row>
      </sheetData>
      <sheetData sheetId="514">
        <row r="52">
          <cell r="B52" t="str">
            <v>Main Panel</v>
          </cell>
        </row>
      </sheetData>
      <sheetData sheetId="515">
        <row r="52">
          <cell r="B52" t="str">
            <v>Main Panel</v>
          </cell>
        </row>
      </sheetData>
      <sheetData sheetId="516">
        <row r="52">
          <cell r="B52" t="str">
            <v>Main Panel</v>
          </cell>
        </row>
      </sheetData>
      <sheetData sheetId="517">
        <row r="52">
          <cell r="B52" t="str">
            <v>Main Panel</v>
          </cell>
        </row>
      </sheetData>
      <sheetData sheetId="518">
        <row r="52">
          <cell r="B52" t="str">
            <v>Main Panel</v>
          </cell>
        </row>
      </sheetData>
      <sheetData sheetId="519">
        <row r="52">
          <cell r="B52" t="str">
            <v>Main Panel</v>
          </cell>
        </row>
      </sheetData>
      <sheetData sheetId="520">
        <row r="52">
          <cell r="B52" t="str">
            <v>Main Panel</v>
          </cell>
        </row>
      </sheetData>
      <sheetData sheetId="521">
        <row r="52">
          <cell r="B52" t="str">
            <v>Main Panel</v>
          </cell>
        </row>
      </sheetData>
      <sheetData sheetId="522">
        <row r="52">
          <cell r="B52" t="str">
            <v>Main Panel</v>
          </cell>
        </row>
      </sheetData>
      <sheetData sheetId="523">
        <row r="52">
          <cell r="B52" t="str">
            <v>Main Panel</v>
          </cell>
        </row>
      </sheetData>
      <sheetData sheetId="524">
        <row r="52">
          <cell r="B52" t="str">
            <v>Main Panel</v>
          </cell>
        </row>
      </sheetData>
      <sheetData sheetId="525">
        <row r="52">
          <cell r="B52" t="str">
            <v>Main Panel</v>
          </cell>
        </row>
      </sheetData>
      <sheetData sheetId="526">
        <row r="52">
          <cell r="B52" t="str">
            <v>Main Panel</v>
          </cell>
        </row>
      </sheetData>
      <sheetData sheetId="527">
        <row r="52">
          <cell r="B52" t="str">
            <v>Main Panel</v>
          </cell>
        </row>
      </sheetData>
      <sheetData sheetId="528" refreshError="1"/>
      <sheetData sheetId="529" refreshError="1"/>
      <sheetData sheetId="530" refreshError="1"/>
      <sheetData sheetId="531" refreshError="1"/>
      <sheetData sheetId="532" refreshError="1"/>
      <sheetData sheetId="533" refreshError="1"/>
      <sheetData sheetId="534">
        <row r="52">
          <cell r="B52" t="str">
            <v>Main Panel</v>
          </cell>
        </row>
      </sheetData>
      <sheetData sheetId="535">
        <row r="52">
          <cell r="B52" t="str">
            <v>Main Panel</v>
          </cell>
        </row>
      </sheetData>
      <sheetData sheetId="536">
        <row r="52">
          <cell r="B52" t="str">
            <v>Main Panel</v>
          </cell>
        </row>
      </sheetData>
      <sheetData sheetId="537">
        <row r="52">
          <cell r="B52" t="str">
            <v>Main Panel</v>
          </cell>
        </row>
      </sheetData>
      <sheetData sheetId="538">
        <row r="52">
          <cell r="B52" t="str">
            <v>Main Panel</v>
          </cell>
        </row>
      </sheetData>
      <sheetData sheetId="539">
        <row r="52">
          <cell r="B52" t="str">
            <v>Main Panel</v>
          </cell>
        </row>
      </sheetData>
      <sheetData sheetId="540">
        <row r="52">
          <cell r="B52" t="str">
            <v>Main Panel</v>
          </cell>
        </row>
      </sheetData>
      <sheetData sheetId="541">
        <row r="52">
          <cell r="B52" t="str">
            <v>Main Panel</v>
          </cell>
        </row>
      </sheetData>
      <sheetData sheetId="542">
        <row r="52">
          <cell r="B52" t="str">
            <v>Main Panel</v>
          </cell>
        </row>
      </sheetData>
      <sheetData sheetId="543">
        <row r="52">
          <cell r="B52" t="str">
            <v>Main Panel</v>
          </cell>
        </row>
      </sheetData>
      <sheetData sheetId="544">
        <row r="52">
          <cell r="B52" t="str">
            <v>Main Panel</v>
          </cell>
        </row>
      </sheetData>
      <sheetData sheetId="545">
        <row r="52">
          <cell r="B52" t="str">
            <v>Main Panel</v>
          </cell>
        </row>
      </sheetData>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ow r="52">
          <cell r="B52" t="str">
            <v>Main Panel</v>
          </cell>
        </row>
      </sheetData>
      <sheetData sheetId="654">
        <row r="52">
          <cell r="B52" t="str">
            <v>Main Panel</v>
          </cell>
        </row>
      </sheetData>
      <sheetData sheetId="655" refreshError="1"/>
      <sheetData sheetId="656" refreshError="1"/>
      <sheetData sheetId="657">
        <row r="52">
          <cell r="B52" t="str">
            <v>Main Panel</v>
          </cell>
        </row>
      </sheetData>
      <sheetData sheetId="658">
        <row r="52">
          <cell r="B52" t="str">
            <v>Main Panel</v>
          </cell>
        </row>
      </sheetData>
      <sheetData sheetId="659">
        <row r="52">
          <cell r="B52" t="str">
            <v>Main Panel</v>
          </cell>
        </row>
      </sheetData>
      <sheetData sheetId="660" refreshError="1"/>
      <sheetData sheetId="661">
        <row r="52">
          <cell r="B52" t="str">
            <v>Main Panel</v>
          </cell>
        </row>
      </sheetData>
      <sheetData sheetId="662">
        <row r="52">
          <cell r="B52" t="str">
            <v>Main Panel</v>
          </cell>
        </row>
      </sheetData>
      <sheetData sheetId="663">
        <row r="52">
          <cell r="B52" t="str">
            <v>Main Panel</v>
          </cell>
        </row>
      </sheetData>
      <sheetData sheetId="664" refreshError="1"/>
      <sheetData sheetId="665">
        <row r="52">
          <cell r="B52" t="str">
            <v>Main Panel</v>
          </cell>
        </row>
      </sheetData>
      <sheetData sheetId="666" refreshError="1"/>
      <sheetData sheetId="667" refreshError="1"/>
      <sheetData sheetId="668">
        <row r="52">
          <cell r="B52" t="str">
            <v>Main Panel</v>
          </cell>
        </row>
      </sheetData>
      <sheetData sheetId="669">
        <row r="52">
          <cell r="B52" t="str">
            <v>Main Panel</v>
          </cell>
        </row>
      </sheetData>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ow r="52">
          <cell r="B52" t="str">
            <v>Main Panel</v>
          </cell>
        </row>
      </sheetData>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sheetData sheetId="742">
        <row r="52">
          <cell r="B52" t="str">
            <v>Main Panel</v>
          </cell>
        </row>
      </sheetData>
      <sheetData sheetId="743"/>
      <sheetData sheetId="744"/>
      <sheetData sheetId="745">
        <row r="52">
          <cell r="B52" t="str">
            <v>Main Panel</v>
          </cell>
        </row>
      </sheetData>
      <sheetData sheetId="746"/>
      <sheetData sheetId="747">
        <row r="52">
          <cell r="B52" t="str">
            <v>Main Panel</v>
          </cell>
        </row>
      </sheetData>
      <sheetData sheetId="748">
        <row r="52">
          <cell r="B52" t="str">
            <v>Main Panel</v>
          </cell>
        </row>
      </sheetData>
      <sheetData sheetId="749"/>
      <sheetData sheetId="750"/>
      <sheetData sheetId="751">
        <row r="52">
          <cell r="B52" t="str">
            <v>Main Panel</v>
          </cell>
        </row>
      </sheetData>
      <sheetData sheetId="752">
        <row r="52">
          <cell r="B52" t="str">
            <v>Main Panel</v>
          </cell>
        </row>
      </sheetData>
      <sheetData sheetId="753">
        <row r="52">
          <cell r="B52" t="str">
            <v>Main Panel</v>
          </cell>
        </row>
      </sheetData>
      <sheetData sheetId="754">
        <row r="52">
          <cell r="B52" t="str">
            <v>Main Panel</v>
          </cell>
        </row>
      </sheetData>
      <sheetData sheetId="755"/>
      <sheetData sheetId="756">
        <row r="52">
          <cell r="B52" t="str">
            <v>Main Panel</v>
          </cell>
        </row>
      </sheetData>
      <sheetData sheetId="757">
        <row r="52">
          <cell r="B52" t="str">
            <v>Main Panel</v>
          </cell>
        </row>
      </sheetData>
      <sheetData sheetId="758">
        <row r="52">
          <cell r="B52" t="str">
            <v>Main Panel</v>
          </cell>
        </row>
      </sheetData>
      <sheetData sheetId="759"/>
      <sheetData sheetId="760">
        <row r="52">
          <cell r="B52" t="str">
            <v>Main Panel</v>
          </cell>
        </row>
      </sheetData>
      <sheetData sheetId="761">
        <row r="52">
          <cell r="B52" t="str">
            <v>Main Panel</v>
          </cell>
        </row>
      </sheetData>
      <sheetData sheetId="762"/>
      <sheetData sheetId="763"/>
      <sheetData sheetId="764">
        <row r="52">
          <cell r="B52" t="str">
            <v>Main Panel</v>
          </cell>
        </row>
      </sheetData>
      <sheetData sheetId="765">
        <row r="52">
          <cell r="B52" t="str">
            <v>Main Panel</v>
          </cell>
        </row>
      </sheetData>
      <sheetData sheetId="766">
        <row r="52">
          <cell r="B52" t="str">
            <v>Main Panel</v>
          </cell>
        </row>
      </sheetData>
      <sheetData sheetId="767">
        <row r="52">
          <cell r="B52" t="str">
            <v>Main Panel</v>
          </cell>
        </row>
      </sheetData>
      <sheetData sheetId="768"/>
      <sheetData sheetId="769"/>
      <sheetData sheetId="770"/>
      <sheetData sheetId="771"/>
      <sheetData sheetId="772"/>
      <sheetData sheetId="773"/>
      <sheetData sheetId="774">
        <row r="52">
          <cell r="B52" t="str">
            <v>Main Panel</v>
          </cell>
        </row>
      </sheetData>
      <sheetData sheetId="775"/>
      <sheetData sheetId="776"/>
      <sheetData sheetId="777">
        <row r="52">
          <cell r="B52" t="str">
            <v>Main Panel</v>
          </cell>
        </row>
      </sheetData>
      <sheetData sheetId="778"/>
      <sheetData sheetId="779">
        <row r="52">
          <cell r="B52" t="str">
            <v>Main Panel</v>
          </cell>
        </row>
      </sheetData>
      <sheetData sheetId="780">
        <row r="52">
          <cell r="B52" t="str">
            <v>Main Panel</v>
          </cell>
        </row>
      </sheetData>
      <sheetData sheetId="781"/>
      <sheetData sheetId="782">
        <row r="52">
          <cell r="B52" t="str">
            <v>Main Panel</v>
          </cell>
        </row>
      </sheetData>
      <sheetData sheetId="783"/>
      <sheetData sheetId="784"/>
      <sheetData sheetId="785">
        <row r="52">
          <cell r="B52" t="str">
            <v>Main Panel</v>
          </cell>
        </row>
      </sheetData>
      <sheetData sheetId="786"/>
      <sheetData sheetId="787"/>
      <sheetData sheetId="788"/>
      <sheetData sheetId="789"/>
      <sheetData sheetId="790"/>
      <sheetData sheetId="791"/>
      <sheetData sheetId="792">
        <row r="52">
          <cell r="B52" t="str">
            <v>Main Panel</v>
          </cell>
        </row>
      </sheetData>
      <sheetData sheetId="793"/>
      <sheetData sheetId="794"/>
      <sheetData sheetId="795">
        <row r="52">
          <cell r="B52" t="str">
            <v>Main Panel</v>
          </cell>
        </row>
      </sheetData>
      <sheetData sheetId="796"/>
      <sheetData sheetId="797"/>
      <sheetData sheetId="798">
        <row r="52">
          <cell r="B52" t="str">
            <v>Main Panel</v>
          </cell>
        </row>
      </sheetData>
      <sheetData sheetId="799">
        <row r="52">
          <cell r="B52" t="str">
            <v>Main Panel</v>
          </cell>
        </row>
      </sheetData>
      <sheetData sheetId="800">
        <row r="52">
          <cell r="B52" t="str">
            <v>Main Panel</v>
          </cell>
        </row>
      </sheetData>
      <sheetData sheetId="801"/>
      <sheetData sheetId="802"/>
      <sheetData sheetId="803"/>
      <sheetData sheetId="804"/>
      <sheetData sheetId="805">
        <row r="52">
          <cell r="B52" t="str">
            <v>Main Panel</v>
          </cell>
        </row>
      </sheetData>
      <sheetData sheetId="806"/>
      <sheetData sheetId="807"/>
      <sheetData sheetId="808">
        <row r="52">
          <cell r="B52" t="str">
            <v>Main Panel</v>
          </cell>
        </row>
      </sheetData>
      <sheetData sheetId="809"/>
      <sheetData sheetId="810"/>
      <sheetData sheetId="811">
        <row r="52">
          <cell r="B52" t="str">
            <v>Main Panel</v>
          </cell>
        </row>
      </sheetData>
      <sheetData sheetId="812">
        <row r="52">
          <cell r="B52" t="str">
            <v>Main Panel</v>
          </cell>
        </row>
      </sheetData>
      <sheetData sheetId="813">
        <row r="52">
          <cell r="B52" t="str">
            <v>Main Panel</v>
          </cell>
        </row>
      </sheetData>
      <sheetData sheetId="814"/>
      <sheetData sheetId="815"/>
      <sheetData sheetId="816"/>
      <sheetData sheetId="817"/>
      <sheetData sheetId="818"/>
      <sheetData sheetId="819"/>
      <sheetData sheetId="820"/>
      <sheetData sheetId="821">
        <row r="52">
          <cell r="B52" t="str">
            <v>Main Panel</v>
          </cell>
        </row>
      </sheetData>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refreshError="1"/>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row r="52">
          <cell r="B52" t="str">
            <v>Main Panel</v>
          </cell>
        </row>
      </sheetData>
      <sheetData sheetId="2273"/>
      <sheetData sheetId="2274"/>
      <sheetData sheetId="2275">
        <row r="52">
          <cell r="B52" t="str">
            <v>Main Panel</v>
          </cell>
        </row>
      </sheetData>
      <sheetData sheetId="2276">
        <row r="52">
          <cell r="B52" t="str">
            <v>Main Panel</v>
          </cell>
        </row>
      </sheetData>
      <sheetData sheetId="2277"/>
      <sheetData sheetId="2278">
        <row r="52">
          <cell r="B52" t="str">
            <v>Main Panel</v>
          </cell>
        </row>
      </sheetData>
      <sheetData sheetId="2279">
        <row r="52">
          <cell r="B52" t="str">
            <v>Main Panel</v>
          </cell>
        </row>
      </sheetData>
      <sheetData sheetId="2280">
        <row r="52">
          <cell r="B52" t="str">
            <v>Main Panel</v>
          </cell>
        </row>
      </sheetData>
      <sheetData sheetId="2281"/>
      <sheetData sheetId="2282">
        <row r="52">
          <cell r="B52" t="str">
            <v>Main Panel</v>
          </cell>
        </row>
      </sheetData>
      <sheetData sheetId="2283">
        <row r="52">
          <cell r="B52" t="str">
            <v>Main Panel</v>
          </cell>
        </row>
      </sheetData>
      <sheetData sheetId="2284"/>
      <sheetData sheetId="2285">
        <row r="52">
          <cell r="B52" t="str">
            <v>Main Panel</v>
          </cell>
        </row>
      </sheetData>
      <sheetData sheetId="2286">
        <row r="52">
          <cell r="B52" t="str">
            <v>Main Panel</v>
          </cell>
        </row>
      </sheetData>
      <sheetData sheetId="2287"/>
      <sheetData sheetId="2288">
        <row r="52">
          <cell r="B52" t="str">
            <v>Main Panel</v>
          </cell>
        </row>
      </sheetData>
      <sheetData sheetId="2289">
        <row r="52">
          <cell r="B52" t="str">
            <v>Main Panel</v>
          </cell>
        </row>
      </sheetData>
      <sheetData sheetId="2290"/>
      <sheetData sheetId="2291">
        <row r="52">
          <cell r="B52" t="str">
            <v>Main Panel</v>
          </cell>
        </row>
      </sheetData>
      <sheetData sheetId="2292">
        <row r="52">
          <cell r="B52" t="str">
            <v>Main Panel</v>
          </cell>
        </row>
      </sheetData>
      <sheetData sheetId="2293">
        <row r="52">
          <cell r="B52" t="str">
            <v>Main Panel</v>
          </cell>
        </row>
      </sheetData>
      <sheetData sheetId="2294">
        <row r="52">
          <cell r="B52" t="str">
            <v>Main Panel</v>
          </cell>
        </row>
      </sheetData>
      <sheetData sheetId="2295">
        <row r="52">
          <cell r="B52" t="str">
            <v>Main Panel</v>
          </cell>
        </row>
      </sheetData>
      <sheetData sheetId="2296">
        <row r="52">
          <cell r="B52" t="str">
            <v>Main Panel</v>
          </cell>
        </row>
      </sheetData>
      <sheetData sheetId="2297"/>
      <sheetData sheetId="2298">
        <row r="52">
          <cell r="B52" t="str">
            <v>Main Panel</v>
          </cell>
        </row>
      </sheetData>
      <sheetData sheetId="2299">
        <row r="52">
          <cell r="B52" t="str">
            <v>Main Panel</v>
          </cell>
        </row>
      </sheetData>
      <sheetData sheetId="2300"/>
      <sheetData sheetId="2301">
        <row r="52">
          <cell r="B52" t="str">
            <v>Main Panel</v>
          </cell>
        </row>
      </sheetData>
      <sheetData sheetId="2302">
        <row r="52">
          <cell r="B52" t="str">
            <v>Main Panel</v>
          </cell>
        </row>
      </sheetData>
      <sheetData sheetId="2303">
        <row r="52">
          <cell r="B52" t="str">
            <v>Main Panel</v>
          </cell>
        </row>
      </sheetData>
      <sheetData sheetId="2304">
        <row r="52">
          <cell r="B52" t="str">
            <v>Main Panel</v>
          </cell>
        </row>
      </sheetData>
      <sheetData sheetId="2305">
        <row r="52">
          <cell r="B52" t="str">
            <v>Main Panel</v>
          </cell>
        </row>
      </sheetData>
      <sheetData sheetId="2306">
        <row r="52">
          <cell r="B52" t="str">
            <v>Main Panel</v>
          </cell>
        </row>
      </sheetData>
      <sheetData sheetId="2307">
        <row r="52">
          <cell r="B52" t="str">
            <v>Main Panel</v>
          </cell>
        </row>
      </sheetData>
      <sheetData sheetId="2308">
        <row r="52">
          <cell r="B52" t="str">
            <v>Main Panel</v>
          </cell>
        </row>
      </sheetData>
      <sheetData sheetId="2309">
        <row r="52">
          <cell r="B52" t="str">
            <v>Main Panel</v>
          </cell>
        </row>
      </sheetData>
      <sheetData sheetId="2310">
        <row r="52">
          <cell r="B52" t="str">
            <v>Main Panel</v>
          </cell>
        </row>
      </sheetData>
      <sheetData sheetId="2311">
        <row r="52">
          <cell r="B52" t="str">
            <v>Main Panel</v>
          </cell>
        </row>
      </sheetData>
      <sheetData sheetId="2312">
        <row r="52">
          <cell r="B52" t="str">
            <v>Main Panel</v>
          </cell>
        </row>
      </sheetData>
      <sheetData sheetId="2313">
        <row r="52">
          <cell r="B52" t="str">
            <v>Main Panel</v>
          </cell>
        </row>
      </sheetData>
      <sheetData sheetId="2314">
        <row r="52">
          <cell r="B52" t="str">
            <v>Main Panel</v>
          </cell>
        </row>
      </sheetData>
      <sheetData sheetId="2315">
        <row r="52">
          <cell r="B52" t="str">
            <v>Main Panel</v>
          </cell>
        </row>
      </sheetData>
      <sheetData sheetId="2316">
        <row r="52">
          <cell r="B52" t="str">
            <v>Main Panel</v>
          </cell>
        </row>
      </sheetData>
      <sheetData sheetId="2317">
        <row r="52">
          <cell r="B52" t="str">
            <v>Main Panel</v>
          </cell>
        </row>
      </sheetData>
      <sheetData sheetId="2318">
        <row r="52">
          <cell r="B52" t="str">
            <v>Main Panel</v>
          </cell>
        </row>
      </sheetData>
      <sheetData sheetId="2319">
        <row r="52">
          <cell r="B52" t="str">
            <v>Main Panel</v>
          </cell>
        </row>
      </sheetData>
      <sheetData sheetId="2320">
        <row r="52">
          <cell r="B52" t="str">
            <v>Main Panel</v>
          </cell>
        </row>
      </sheetData>
      <sheetData sheetId="2321">
        <row r="52">
          <cell r="B52" t="str">
            <v>Main Panel</v>
          </cell>
        </row>
      </sheetData>
      <sheetData sheetId="2322">
        <row r="52">
          <cell r="B52" t="str">
            <v>Main Panel</v>
          </cell>
        </row>
      </sheetData>
      <sheetData sheetId="2323">
        <row r="52">
          <cell r="B52" t="str">
            <v>Main Panel</v>
          </cell>
        </row>
      </sheetData>
      <sheetData sheetId="2324">
        <row r="52">
          <cell r="B52" t="str">
            <v>Main Panel</v>
          </cell>
        </row>
      </sheetData>
      <sheetData sheetId="2325">
        <row r="52">
          <cell r="B52" t="str">
            <v>Main Panel</v>
          </cell>
        </row>
      </sheetData>
      <sheetData sheetId="2326">
        <row r="52">
          <cell r="B52" t="str">
            <v>Main Panel</v>
          </cell>
        </row>
      </sheetData>
      <sheetData sheetId="2327">
        <row r="52">
          <cell r="B52" t="str">
            <v>Main Panel</v>
          </cell>
        </row>
      </sheetData>
      <sheetData sheetId="2328">
        <row r="52">
          <cell r="B52" t="str">
            <v>Main Panel</v>
          </cell>
        </row>
      </sheetData>
      <sheetData sheetId="2329">
        <row r="52">
          <cell r="B52" t="str">
            <v>Main Panel</v>
          </cell>
        </row>
      </sheetData>
      <sheetData sheetId="2330">
        <row r="52">
          <cell r="B52" t="str">
            <v>Main Panel</v>
          </cell>
        </row>
      </sheetData>
      <sheetData sheetId="2331">
        <row r="52">
          <cell r="B52" t="str">
            <v>Main Panel</v>
          </cell>
        </row>
      </sheetData>
      <sheetData sheetId="2332">
        <row r="52">
          <cell r="B52" t="str">
            <v>Main Panel</v>
          </cell>
        </row>
      </sheetData>
      <sheetData sheetId="2333">
        <row r="52">
          <cell r="B52" t="str">
            <v>Main Panel</v>
          </cell>
        </row>
      </sheetData>
      <sheetData sheetId="2334">
        <row r="52">
          <cell r="B52" t="str">
            <v>Main Panel</v>
          </cell>
        </row>
      </sheetData>
      <sheetData sheetId="2335">
        <row r="52">
          <cell r="B52" t="str">
            <v>Main Panel</v>
          </cell>
        </row>
      </sheetData>
      <sheetData sheetId="2336">
        <row r="52">
          <cell r="B52" t="str">
            <v>Main Panel</v>
          </cell>
        </row>
      </sheetData>
      <sheetData sheetId="2337">
        <row r="52">
          <cell r="B52" t="str">
            <v>Main Panel</v>
          </cell>
        </row>
      </sheetData>
      <sheetData sheetId="2338">
        <row r="52">
          <cell r="B52" t="str">
            <v>Main Panel</v>
          </cell>
        </row>
      </sheetData>
      <sheetData sheetId="2339">
        <row r="52">
          <cell r="B52" t="str">
            <v>Main Panel</v>
          </cell>
        </row>
      </sheetData>
      <sheetData sheetId="2340">
        <row r="52">
          <cell r="B52" t="str">
            <v>Main Panel</v>
          </cell>
        </row>
      </sheetData>
      <sheetData sheetId="2341">
        <row r="52">
          <cell r="B52" t="str">
            <v>Main Panel</v>
          </cell>
        </row>
      </sheetData>
      <sheetData sheetId="2342">
        <row r="52">
          <cell r="B52" t="str">
            <v>Main Panel</v>
          </cell>
        </row>
      </sheetData>
      <sheetData sheetId="2343">
        <row r="52">
          <cell r="B52" t="str">
            <v>Main Panel</v>
          </cell>
        </row>
      </sheetData>
      <sheetData sheetId="2344">
        <row r="52">
          <cell r="B52" t="str">
            <v>Main Panel</v>
          </cell>
        </row>
      </sheetData>
      <sheetData sheetId="2345">
        <row r="52">
          <cell r="B52" t="str">
            <v>Main Panel</v>
          </cell>
        </row>
      </sheetData>
      <sheetData sheetId="2346">
        <row r="52">
          <cell r="B52" t="str">
            <v>Main Panel</v>
          </cell>
        </row>
      </sheetData>
      <sheetData sheetId="2347">
        <row r="52">
          <cell r="B52" t="str">
            <v>Main Panel</v>
          </cell>
        </row>
      </sheetData>
      <sheetData sheetId="2348">
        <row r="52">
          <cell r="B52" t="str">
            <v>Main Panel</v>
          </cell>
        </row>
      </sheetData>
      <sheetData sheetId="2349">
        <row r="52">
          <cell r="B52" t="str">
            <v>Main Panel</v>
          </cell>
        </row>
      </sheetData>
      <sheetData sheetId="2350">
        <row r="52">
          <cell r="B52" t="str">
            <v>Main Panel</v>
          </cell>
        </row>
      </sheetData>
      <sheetData sheetId="2351">
        <row r="52">
          <cell r="B52" t="str">
            <v>Main Panel</v>
          </cell>
        </row>
      </sheetData>
      <sheetData sheetId="2352">
        <row r="52">
          <cell r="B52" t="str">
            <v>Main Panel</v>
          </cell>
        </row>
      </sheetData>
      <sheetData sheetId="2353">
        <row r="52">
          <cell r="B52" t="str">
            <v>Main Panel</v>
          </cell>
        </row>
      </sheetData>
      <sheetData sheetId="2354">
        <row r="52">
          <cell r="B52" t="str">
            <v>Main Panel</v>
          </cell>
        </row>
      </sheetData>
      <sheetData sheetId="2355">
        <row r="52">
          <cell r="B52" t="str">
            <v>Main Panel</v>
          </cell>
        </row>
      </sheetData>
      <sheetData sheetId="2356">
        <row r="52">
          <cell r="B52" t="str">
            <v>Main Panel</v>
          </cell>
        </row>
      </sheetData>
      <sheetData sheetId="2357">
        <row r="52">
          <cell r="B52" t="str">
            <v>Main Panel</v>
          </cell>
        </row>
      </sheetData>
      <sheetData sheetId="2358">
        <row r="52">
          <cell r="B52" t="str">
            <v>Main Panel</v>
          </cell>
        </row>
      </sheetData>
      <sheetData sheetId="2359">
        <row r="52">
          <cell r="B52" t="str">
            <v>Main Panel</v>
          </cell>
        </row>
      </sheetData>
      <sheetData sheetId="2360">
        <row r="52">
          <cell r="B52" t="str">
            <v>Main Panel</v>
          </cell>
        </row>
      </sheetData>
      <sheetData sheetId="2361">
        <row r="52">
          <cell r="B52" t="str">
            <v>Main Panel</v>
          </cell>
        </row>
      </sheetData>
      <sheetData sheetId="2362">
        <row r="52">
          <cell r="B52" t="str">
            <v>Main Panel</v>
          </cell>
        </row>
      </sheetData>
      <sheetData sheetId="2363">
        <row r="52">
          <cell r="B52" t="str">
            <v>Main Panel</v>
          </cell>
        </row>
      </sheetData>
      <sheetData sheetId="2364">
        <row r="52">
          <cell r="B52" t="str">
            <v>Main Panel</v>
          </cell>
        </row>
      </sheetData>
      <sheetData sheetId="2365">
        <row r="52">
          <cell r="B52" t="str">
            <v>Main Panel</v>
          </cell>
        </row>
      </sheetData>
      <sheetData sheetId="2366">
        <row r="52">
          <cell r="B52" t="str">
            <v>Main Panel</v>
          </cell>
        </row>
      </sheetData>
      <sheetData sheetId="2367">
        <row r="52">
          <cell r="B52" t="str">
            <v>Main Panel</v>
          </cell>
        </row>
      </sheetData>
      <sheetData sheetId="2368">
        <row r="52">
          <cell r="B52" t="str">
            <v>Main Panel</v>
          </cell>
        </row>
      </sheetData>
      <sheetData sheetId="2369">
        <row r="52">
          <cell r="B52" t="str">
            <v>Main Panel</v>
          </cell>
        </row>
      </sheetData>
      <sheetData sheetId="2370">
        <row r="52">
          <cell r="B52" t="str">
            <v>Main Panel</v>
          </cell>
        </row>
      </sheetData>
      <sheetData sheetId="2371">
        <row r="52">
          <cell r="B52" t="str">
            <v>Main Panel</v>
          </cell>
        </row>
      </sheetData>
      <sheetData sheetId="2372">
        <row r="52">
          <cell r="B52" t="str">
            <v>Main Panel</v>
          </cell>
        </row>
      </sheetData>
      <sheetData sheetId="2373">
        <row r="52">
          <cell r="B52" t="str">
            <v>Main Panel</v>
          </cell>
        </row>
      </sheetData>
      <sheetData sheetId="2374">
        <row r="52">
          <cell r="B52" t="str">
            <v>Main Panel</v>
          </cell>
        </row>
      </sheetData>
      <sheetData sheetId="2375">
        <row r="52">
          <cell r="B52" t="str">
            <v>Main Panel</v>
          </cell>
        </row>
      </sheetData>
      <sheetData sheetId="2376">
        <row r="52">
          <cell r="B52" t="str">
            <v>Main Panel</v>
          </cell>
        </row>
      </sheetData>
      <sheetData sheetId="2377">
        <row r="52">
          <cell r="B52" t="str">
            <v>Main Panel</v>
          </cell>
        </row>
      </sheetData>
      <sheetData sheetId="2378">
        <row r="52">
          <cell r="B52" t="str">
            <v>Main Panel</v>
          </cell>
        </row>
      </sheetData>
      <sheetData sheetId="2379"/>
      <sheetData sheetId="2380">
        <row r="52">
          <cell r="B52" t="str">
            <v>Main Panel</v>
          </cell>
        </row>
      </sheetData>
      <sheetData sheetId="2381">
        <row r="52">
          <cell r="B52" t="str">
            <v>Main Panel</v>
          </cell>
        </row>
      </sheetData>
      <sheetData sheetId="2382">
        <row r="52">
          <cell r="B52" t="str">
            <v>Main Panel</v>
          </cell>
        </row>
      </sheetData>
      <sheetData sheetId="2383"/>
      <sheetData sheetId="2384">
        <row r="52">
          <cell r="B52" t="str">
            <v>Main Panel</v>
          </cell>
        </row>
      </sheetData>
      <sheetData sheetId="2385">
        <row r="52">
          <cell r="B52" t="str">
            <v>Main Panel</v>
          </cell>
        </row>
      </sheetData>
      <sheetData sheetId="2386">
        <row r="52">
          <cell r="B52" t="str">
            <v>Main Panel</v>
          </cell>
        </row>
      </sheetData>
      <sheetData sheetId="2387">
        <row r="52">
          <cell r="B52" t="str">
            <v>Main Panel</v>
          </cell>
        </row>
      </sheetData>
      <sheetData sheetId="2388">
        <row r="52">
          <cell r="B52" t="str">
            <v>Main Panel</v>
          </cell>
        </row>
      </sheetData>
      <sheetData sheetId="2389">
        <row r="52">
          <cell r="B52" t="str">
            <v>Main Panel</v>
          </cell>
        </row>
      </sheetData>
      <sheetData sheetId="2390">
        <row r="52">
          <cell r="B52" t="str">
            <v>Main Panel</v>
          </cell>
        </row>
      </sheetData>
      <sheetData sheetId="2391">
        <row r="52">
          <cell r="B52" t="str">
            <v>Main Panel</v>
          </cell>
        </row>
      </sheetData>
      <sheetData sheetId="2392"/>
      <sheetData sheetId="2393">
        <row r="52">
          <cell r="B52" t="str">
            <v>Main Panel</v>
          </cell>
        </row>
      </sheetData>
      <sheetData sheetId="2394">
        <row r="52">
          <cell r="B52" t="str">
            <v>Main Panel</v>
          </cell>
        </row>
      </sheetData>
      <sheetData sheetId="2395">
        <row r="52">
          <cell r="B52" t="str">
            <v>Main Panel</v>
          </cell>
        </row>
      </sheetData>
      <sheetData sheetId="2396"/>
      <sheetData sheetId="2397">
        <row r="52">
          <cell r="B52" t="str">
            <v>Main Panel</v>
          </cell>
        </row>
      </sheetData>
      <sheetData sheetId="2398">
        <row r="52">
          <cell r="B52" t="str">
            <v>Main Panel</v>
          </cell>
        </row>
      </sheetData>
      <sheetData sheetId="2399">
        <row r="52">
          <cell r="B52" t="str">
            <v>Main Panel</v>
          </cell>
        </row>
      </sheetData>
      <sheetData sheetId="2400"/>
      <sheetData sheetId="2401">
        <row r="52">
          <cell r="B52" t="str">
            <v>Main Panel</v>
          </cell>
        </row>
      </sheetData>
      <sheetData sheetId="2402">
        <row r="52">
          <cell r="B52" t="str">
            <v>Main Panel</v>
          </cell>
        </row>
      </sheetData>
      <sheetData sheetId="2403">
        <row r="52">
          <cell r="B52" t="str">
            <v>Main Panel</v>
          </cell>
        </row>
      </sheetData>
      <sheetData sheetId="2404"/>
      <sheetData sheetId="2405"/>
      <sheetData sheetId="2406"/>
      <sheetData sheetId="2407">
        <row r="52">
          <cell r="B52" t="str">
            <v>Main Panel</v>
          </cell>
        </row>
      </sheetData>
      <sheetData sheetId="2408"/>
      <sheetData sheetId="2409"/>
      <sheetData sheetId="2410"/>
      <sheetData sheetId="2411">
        <row r="52">
          <cell r="B52" t="str">
            <v>Main Panel</v>
          </cell>
        </row>
      </sheetData>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row r="52">
          <cell r="B52" t="str">
            <v>Main Panel</v>
          </cell>
        </row>
      </sheetData>
      <sheetData sheetId="2504"/>
      <sheetData sheetId="2505">
        <row r="52">
          <cell r="B52" t="str">
            <v>Main Panel</v>
          </cell>
        </row>
      </sheetData>
      <sheetData sheetId="2506">
        <row r="52">
          <cell r="B52" t="str">
            <v>Main Panel</v>
          </cell>
        </row>
      </sheetData>
      <sheetData sheetId="2507">
        <row r="52">
          <cell r="B52" t="str">
            <v>Main Panel</v>
          </cell>
        </row>
      </sheetData>
      <sheetData sheetId="2508">
        <row r="52">
          <cell r="B52" t="str">
            <v>Main Panel</v>
          </cell>
        </row>
      </sheetData>
      <sheetData sheetId="2509">
        <row r="52">
          <cell r="B52" t="str">
            <v>Main Panel</v>
          </cell>
        </row>
      </sheetData>
      <sheetData sheetId="2510">
        <row r="52">
          <cell r="B52" t="str">
            <v>Main Panel</v>
          </cell>
        </row>
      </sheetData>
      <sheetData sheetId="2511">
        <row r="52">
          <cell r="B52" t="str">
            <v>Main Panel</v>
          </cell>
        </row>
      </sheetData>
      <sheetData sheetId="2512">
        <row r="52">
          <cell r="B52" t="str">
            <v>Main Panel</v>
          </cell>
        </row>
      </sheetData>
      <sheetData sheetId="2513">
        <row r="52">
          <cell r="B52" t="str">
            <v>Main Panel</v>
          </cell>
        </row>
      </sheetData>
      <sheetData sheetId="2514">
        <row r="52">
          <cell r="B52" t="str">
            <v>Main Panel</v>
          </cell>
        </row>
      </sheetData>
      <sheetData sheetId="2515">
        <row r="52">
          <cell r="B52" t="str">
            <v>Main Panel</v>
          </cell>
        </row>
      </sheetData>
      <sheetData sheetId="2516">
        <row r="52">
          <cell r="B52" t="str">
            <v>Main Panel</v>
          </cell>
        </row>
      </sheetData>
      <sheetData sheetId="2517">
        <row r="52">
          <cell r="B52" t="str">
            <v>Main Panel</v>
          </cell>
        </row>
      </sheetData>
      <sheetData sheetId="2518">
        <row r="52">
          <cell r="B52" t="str">
            <v>Main Panel</v>
          </cell>
        </row>
      </sheetData>
      <sheetData sheetId="2519">
        <row r="52">
          <cell r="B52" t="str">
            <v>Main Panel</v>
          </cell>
        </row>
      </sheetData>
      <sheetData sheetId="2520">
        <row r="52">
          <cell r="B52" t="str">
            <v>Main Panel</v>
          </cell>
        </row>
      </sheetData>
      <sheetData sheetId="2521">
        <row r="52">
          <cell r="B52" t="str">
            <v>Main Panel</v>
          </cell>
        </row>
      </sheetData>
      <sheetData sheetId="2522">
        <row r="52">
          <cell r="B52" t="str">
            <v>Main Panel</v>
          </cell>
        </row>
      </sheetData>
      <sheetData sheetId="2523">
        <row r="52">
          <cell r="B52" t="str">
            <v>Main Panel</v>
          </cell>
        </row>
      </sheetData>
      <sheetData sheetId="2524">
        <row r="52">
          <cell r="B52" t="str">
            <v>Main Panel</v>
          </cell>
        </row>
      </sheetData>
      <sheetData sheetId="2525">
        <row r="52">
          <cell r="B52" t="str">
            <v>Main Panel</v>
          </cell>
        </row>
      </sheetData>
      <sheetData sheetId="2526">
        <row r="52">
          <cell r="B52" t="str">
            <v>Main Panel</v>
          </cell>
        </row>
      </sheetData>
      <sheetData sheetId="2527">
        <row r="52">
          <cell r="B52" t="str">
            <v>Main Panel</v>
          </cell>
        </row>
      </sheetData>
      <sheetData sheetId="2528">
        <row r="52">
          <cell r="B52" t="str">
            <v>Main Panel</v>
          </cell>
        </row>
      </sheetData>
      <sheetData sheetId="2529">
        <row r="52">
          <cell r="B52" t="str">
            <v>Main Panel</v>
          </cell>
        </row>
      </sheetData>
      <sheetData sheetId="2530">
        <row r="52">
          <cell r="B52" t="str">
            <v>Main Panel</v>
          </cell>
        </row>
      </sheetData>
      <sheetData sheetId="2531">
        <row r="52">
          <cell r="B52" t="str">
            <v>Main Panel</v>
          </cell>
        </row>
      </sheetData>
      <sheetData sheetId="2532">
        <row r="52">
          <cell r="B52" t="str">
            <v>Main Panel</v>
          </cell>
        </row>
      </sheetData>
      <sheetData sheetId="2533">
        <row r="52">
          <cell r="B52" t="str">
            <v>Main Panel</v>
          </cell>
        </row>
      </sheetData>
      <sheetData sheetId="2534">
        <row r="52">
          <cell r="B52" t="str">
            <v>Main Panel</v>
          </cell>
        </row>
      </sheetData>
      <sheetData sheetId="2535">
        <row r="52">
          <cell r="B52" t="str">
            <v>Main Panel</v>
          </cell>
        </row>
      </sheetData>
      <sheetData sheetId="2536">
        <row r="52">
          <cell r="B52" t="str">
            <v>Main Panel</v>
          </cell>
        </row>
      </sheetData>
      <sheetData sheetId="2537">
        <row r="52">
          <cell r="B52" t="str">
            <v>Main Panel</v>
          </cell>
        </row>
      </sheetData>
      <sheetData sheetId="2538">
        <row r="52">
          <cell r="B52" t="str">
            <v>Main Panel</v>
          </cell>
        </row>
      </sheetData>
      <sheetData sheetId="2539">
        <row r="52">
          <cell r="B52" t="str">
            <v>Main Panel</v>
          </cell>
        </row>
      </sheetData>
      <sheetData sheetId="2540">
        <row r="52">
          <cell r="B52" t="str">
            <v>Main Panel</v>
          </cell>
        </row>
      </sheetData>
      <sheetData sheetId="2541">
        <row r="52">
          <cell r="B52" t="str">
            <v>Main Panel</v>
          </cell>
        </row>
      </sheetData>
      <sheetData sheetId="2542">
        <row r="52">
          <cell r="B52" t="str">
            <v>Main Panel</v>
          </cell>
        </row>
      </sheetData>
      <sheetData sheetId="2543">
        <row r="52">
          <cell r="B52" t="str">
            <v>Main Panel</v>
          </cell>
        </row>
      </sheetData>
      <sheetData sheetId="2544">
        <row r="52">
          <cell r="B52" t="str">
            <v>Main Panel</v>
          </cell>
        </row>
      </sheetData>
      <sheetData sheetId="2545">
        <row r="52">
          <cell r="B52" t="str">
            <v>Main Panel</v>
          </cell>
        </row>
      </sheetData>
      <sheetData sheetId="2546">
        <row r="52">
          <cell r="B52" t="str">
            <v>Main Panel</v>
          </cell>
        </row>
      </sheetData>
      <sheetData sheetId="2547">
        <row r="52">
          <cell r="B52" t="str">
            <v>Main Panel</v>
          </cell>
        </row>
      </sheetData>
      <sheetData sheetId="2548">
        <row r="52">
          <cell r="B52" t="str">
            <v>Main Panel</v>
          </cell>
        </row>
      </sheetData>
      <sheetData sheetId="2549">
        <row r="52">
          <cell r="B52" t="str">
            <v>Main Panel</v>
          </cell>
        </row>
      </sheetData>
      <sheetData sheetId="2550">
        <row r="52">
          <cell r="B52" t="str">
            <v>Main Panel</v>
          </cell>
        </row>
      </sheetData>
      <sheetData sheetId="2551">
        <row r="52">
          <cell r="B52" t="str">
            <v>Main Panel</v>
          </cell>
        </row>
      </sheetData>
      <sheetData sheetId="2552">
        <row r="52">
          <cell r="B52" t="str">
            <v>Main Panel</v>
          </cell>
        </row>
      </sheetData>
      <sheetData sheetId="2553">
        <row r="52">
          <cell r="B52" t="str">
            <v>Main Panel</v>
          </cell>
        </row>
      </sheetData>
      <sheetData sheetId="2554">
        <row r="52">
          <cell r="B52" t="str">
            <v>Main Panel</v>
          </cell>
        </row>
      </sheetData>
      <sheetData sheetId="2555">
        <row r="52">
          <cell r="B52" t="str">
            <v>Main Panel</v>
          </cell>
        </row>
      </sheetData>
      <sheetData sheetId="2556">
        <row r="52">
          <cell r="B52" t="str">
            <v>Main Panel</v>
          </cell>
        </row>
      </sheetData>
      <sheetData sheetId="2557">
        <row r="52">
          <cell r="B52" t="str">
            <v>Main Panel</v>
          </cell>
        </row>
      </sheetData>
      <sheetData sheetId="2558">
        <row r="52">
          <cell r="B52" t="str">
            <v>Main Panel</v>
          </cell>
        </row>
      </sheetData>
      <sheetData sheetId="2559">
        <row r="52">
          <cell r="B52" t="str">
            <v>Main Panel</v>
          </cell>
        </row>
      </sheetData>
      <sheetData sheetId="2560">
        <row r="52">
          <cell r="B52" t="str">
            <v>Main Panel</v>
          </cell>
        </row>
      </sheetData>
      <sheetData sheetId="2561">
        <row r="52">
          <cell r="B52" t="str">
            <v>Main Panel</v>
          </cell>
        </row>
      </sheetData>
      <sheetData sheetId="2562">
        <row r="52">
          <cell r="B52" t="str">
            <v>Main Panel</v>
          </cell>
        </row>
      </sheetData>
      <sheetData sheetId="2563">
        <row r="52">
          <cell r="B52" t="str">
            <v>Main Panel</v>
          </cell>
        </row>
      </sheetData>
      <sheetData sheetId="2564">
        <row r="52">
          <cell r="B52" t="str">
            <v>Main Panel</v>
          </cell>
        </row>
      </sheetData>
      <sheetData sheetId="2565">
        <row r="52">
          <cell r="B52" t="str">
            <v>Main Panel</v>
          </cell>
        </row>
      </sheetData>
      <sheetData sheetId="2566">
        <row r="52">
          <cell r="B52" t="str">
            <v>Main Panel</v>
          </cell>
        </row>
      </sheetData>
      <sheetData sheetId="2567">
        <row r="52">
          <cell r="B52" t="str">
            <v>Main Panel</v>
          </cell>
        </row>
      </sheetData>
      <sheetData sheetId="2568">
        <row r="52">
          <cell r="B52" t="str">
            <v>Main Panel</v>
          </cell>
        </row>
      </sheetData>
      <sheetData sheetId="2569">
        <row r="52">
          <cell r="B52" t="str">
            <v>Main Panel</v>
          </cell>
        </row>
      </sheetData>
      <sheetData sheetId="2570">
        <row r="52">
          <cell r="B52" t="str">
            <v>Main Panel</v>
          </cell>
        </row>
      </sheetData>
      <sheetData sheetId="2571">
        <row r="52">
          <cell r="B52" t="str">
            <v>Main Panel</v>
          </cell>
        </row>
      </sheetData>
      <sheetData sheetId="2572">
        <row r="52">
          <cell r="B52" t="str">
            <v>Main Panel</v>
          </cell>
        </row>
      </sheetData>
      <sheetData sheetId="2573">
        <row r="52">
          <cell r="B52" t="str">
            <v>Main Panel</v>
          </cell>
        </row>
      </sheetData>
      <sheetData sheetId="2574">
        <row r="52">
          <cell r="B52" t="str">
            <v>Main Panel</v>
          </cell>
        </row>
      </sheetData>
      <sheetData sheetId="2575">
        <row r="52">
          <cell r="B52" t="str">
            <v>Main Panel</v>
          </cell>
        </row>
      </sheetData>
      <sheetData sheetId="2576">
        <row r="52">
          <cell r="B52" t="str">
            <v>Main Panel</v>
          </cell>
        </row>
      </sheetData>
      <sheetData sheetId="2577">
        <row r="52">
          <cell r="B52" t="str">
            <v>Main Panel</v>
          </cell>
        </row>
      </sheetData>
      <sheetData sheetId="2578">
        <row r="52">
          <cell r="B52" t="str">
            <v>Main Panel</v>
          </cell>
        </row>
      </sheetData>
      <sheetData sheetId="2579">
        <row r="52">
          <cell r="B52" t="str">
            <v>Main Panel</v>
          </cell>
        </row>
      </sheetData>
      <sheetData sheetId="2580">
        <row r="52">
          <cell r="B52" t="str">
            <v>Main Panel</v>
          </cell>
        </row>
      </sheetData>
      <sheetData sheetId="2581">
        <row r="52">
          <cell r="B52" t="str">
            <v>Main Panel</v>
          </cell>
        </row>
      </sheetData>
      <sheetData sheetId="2582">
        <row r="52">
          <cell r="B52" t="str">
            <v>Main Panel</v>
          </cell>
        </row>
      </sheetData>
      <sheetData sheetId="2583">
        <row r="52">
          <cell r="B52" t="str">
            <v>Main Panel</v>
          </cell>
        </row>
      </sheetData>
      <sheetData sheetId="2584">
        <row r="52">
          <cell r="B52" t="str">
            <v>Main Panel</v>
          </cell>
        </row>
      </sheetData>
      <sheetData sheetId="2585">
        <row r="52">
          <cell r="B52" t="str">
            <v>Main Panel</v>
          </cell>
        </row>
      </sheetData>
      <sheetData sheetId="2586">
        <row r="52">
          <cell r="B52" t="str">
            <v>Main Panel</v>
          </cell>
        </row>
      </sheetData>
      <sheetData sheetId="2587">
        <row r="52">
          <cell r="B52" t="str">
            <v>Main Panel</v>
          </cell>
        </row>
      </sheetData>
      <sheetData sheetId="2588">
        <row r="52">
          <cell r="B52" t="str">
            <v>Main Panel</v>
          </cell>
        </row>
      </sheetData>
      <sheetData sheetId="2589">
        <row r="52">
          <cell r="B52" t="str">
            <v>Main Panel</v>
          </cell>
        </row>
      </sheetData>
      <sheetData sheetId="2590">
        <row r="52">
          <cell r="B52" t="str">
            <v>Main Panel</v>
          </cell>
        </row>
      </sheetData>
      <sheetData sheetId="2591">
        <row r="52">
          <cell r="B52" t="str">
            <v>Main Panel</v>
          </cell>
        </row>
      </sheetData>
      <sheetData sheetId="2592">
        <row r="52">
          <cell r="B52" t="str">
            <v>Main Panel</v>
          </cell>
        </row>
      </sheetData>
      <sheetData sheetId="2593">
        <row r="52">
          <cell r="B52" t="str">
            <v>Main Panel</v>
          </cell>
        </row>
      </sheetData>
      <sheetData sheetId="2594">
        <row r="52">
          <cell r="B52" t="str">
            <v>Main Panel</v>
          </cell>
        </row>
      </sheetData>
      <sheetData sheetId="2595">
        <row r="52">
          <cell r="B52" t="str">
            <v>Main Panel</v>
          </cell>
        </row>
      </sheetData>
      <sheetData sheetId="2596">
        <row r="52">
          <cell r="B52" t="str">
            <v>Main Panel</v>
          </cell>
        </row>
      </sheetData>
      <sheetData sheetId="2597">
        <row r="52">
          <cell r="B52" t="str">
            <v>Main Panel</v>
          </cell>
        </row>
      </sheetData>
      <sheetData sheetId="2598">
        <row r="52">
          <cell r="B52" t="str">
            <v>Main Panel</v>
          </cell>
        </row>
      </sheetData>
      <sheetData sheetId="2599">
        <row r="52">
          <cell r="B52" t="str">
            <v>Main Panel</v>
          </cell>
        </row>
      </sheetData>
      <sheetData sheetId="2600">
        <row r="52">
          <cell r="B52" t="str">
            <v>Main Panel</v>
          </cell>
        </row>
      </sheetData>
      <sheetData sheetId="2601">
        <row r="52">
          <cell r="B52" t="str">
            <v>Main Panel</v>
          </cell>
        </row>
      </sheetData>
      <sheetData sheetId="2602">
        <row r="52">
          <cell r="B52" t="str">
            <v>Main Panel</v>
          </cell>
        </row>
      </sheetData>
      <sheetData sheetId="2603">
        <row r="52">
          <cell r="B52" t="str">
            <v>Main Panel</v>
          </cell>
        </row>
      </sheetData>
      <sheetData sheetId="2604">
        <row r="52">
          <cell r="B52" t="str">
            <v>Main Panel</v>
          </cell>
        </row>
      </sheetData>
      <sheetData sheetId="2605">
        <row r="52">
          <cell r="B52" t="str">
            <v>Main Panel</v>
          </cell>
        </row>
      </sheetData>
      <sheetData sheetId="2606">
        <row r="52">
          <cell r="B52" t="str">
            <v>Main Panel</v>
          </cell>
        </row>
      </sheetData>
      <sheetData sheetId="2607">
        <row r="52">
          <cell r="B52" t="str">
            <v>Main Panel</v>
          </cell>
        </row>
      </sheetData>
      <sheetData sheetId="2608">
        <row r="52">
          <cell r="B52" t="str">
            <v>Main Panel</v>
          </cell>
        </row>
      </sheetData>
      <sheetData sheetId="2609">
        <row r="52">
          <cell r="B52" t="str">
            <v>Main Panel</v>
          </cell>
        </row>
      </sheetData>
      <sheetData sheetId="2610">
        <row r="52">
          <cell r="B52" t="str">
            <v>Main Panel</v>
          </cell>
        </row>
      </sheetData>
      <sheetData sheetId="2611">
        <row r="52">
          <cell r="B52" t="str">
            <v>Main Panel</v>
          </cell>
        </row>
      </sheetData>
      <sheetData sheetId="2612">
        <row r="52">
          <cell r="B52" t="str">
            <v>Main Panel</v>
          </cell>
        </row>
      </sheetData>
      <sheetData sheetId="2613">
        <row r="52">
          <cell r="B52" t="str">
            <v>Main Panel</v>
          </cell>
        </row>
      </sheetData>
      <sheetData sheetId="2614">
        <row r="52">
          <cell r="B52" t="str">
            <v>Main Panel</v>
          </cell>
        </row>
      </sheetData>
      <sheetData sheetId="2615">
        <row r="52">
          <cell r="B52" t="str">
            <v>Main Panel</v>
          </cell>
        </row>
      </sheetData>
      <sheetData sheetId="2616">
        <row r="52">
          <cell r="B52" t="str">
            <v>Main Panel</v>
          </cell>
        </row>
      </sheetData>
      <sheetData sheetId="2617">
        <row r="52">
          <cell r="B52" t="str">
            <v>Main Panel</v>
          </cell>
        </row>
      </sheetData>
      <sheetData sheetId="2618">
        <row r="52">
          <cell r="B52" t="str">
            <v>Main Panel</v>
          </cell>
        </row>
      </sheetData>
      <sheetData sheetId="2619">
        <row r="52">
          <cell r="B52" t="str">
            <v>Main Panel</v>
          </cell>
        </row>
      </sheetData>
      <sheetData sheetId="2620">
        <row r="52">
          <cell r="B52" t="str">
            <v>Main Panel</v>
          </cell>
        </row>
      </sheetData>
      <sheetData sheetId="2621">
        <row r="52">
          <cell r="B52" t="str">
            <v>Main Panel</v>
          </cell>
        </row>
      </sheetData>
      <sheetData sheetId="2622">
        <row r="52">
          <cell r="B52" t="str">
            <v>Main Panel</v>
          </cell>
        </row>
      </sheetData>
      <sheetData sheetId="2623">
        <row r="52">
          <cell r="B52" t="str">
            <v>Main Panel</v>
          </cell>
        </row>
      </sheetData>
      <sheetData sheetId="2624">
        <row r="52">
          <cell r="B52" t="str">
            <v>Main Panel</v>
          </cell>
        </row>
      </sheetData>
      <sheetData sheetId="2625">
        <row r="52">
          <cell r="B52" t="str">
            <v>Main Panel</v>
          </cell>
        </row>
      </sheetData>
      <sheetData sheetId="2626">
        <row r="52">
          <cell r="B52" t="str">
            <v>Main Panel</v>
          </cell>
        </row>
      </sheetData>
      <sheetData sheetId="2627">
        <row r="52">
          <cell r="B52" t="str">
            <v>Main Panel</v>
          </cell>
        </row>
      </sheetData>
      <sheetData sheetId="2628">
        <row r="52">
          <cell r="B52" t="str">
            <v>Main Panel</v>
          </cell>
        </row>
      </sheetData>
      <sheetData sheetId="2629">
        <row r="52">
          <cell r="B52" t="str">
            <v>Main Panel</v>
          </cell>
        </row>
      </sheetData>
      <sheetData sheetId="2630">
        <row r="52">
          <cell r="B52" t="str">
            <v>Main Panel</v>
          </cell>
        </row>
      </sheetData>
      <sheetData sheetId="2631">
        <row r="52">
          <cell r="B52" t="str">
            <v>Main Panel</v>
          </cell>
        </row>
      </sheetData>
      <sheetData sheetId="2632">
        <row r="52">
          <cell r="B52" t="str">
            <v>Main Panel</v>
          </cell>
        </row>
      </sheetData>
      <sheetData sheetId="2633">
        <row r="52">
          <cell r="B52" t="str">
            <v>Main Panel</v>
          </cell>
        </row>
      </sheetData>
      <sheetData sheetId="2634">
        <row r="52">
          <cell r="B52" t="str">
            <v>Main Panel</v>
          </cell>
        </row>
      </sheetData>
      <sheetData sheetId="2635">
        <row r="52">
          <cell r="B52" t="str">
            <v>Main Panel</v>
          </cell>
        </row>
      </sheetData>
      <sheetData sheetId="2636">
        <row r="52">
          <cell r="B52" t="str">
            <v>Main Panel</v>
          </cell>
        </row>
      </sheetData>
      <sheetData sheetId="2637">
        <row r="52">
          <cell r="B52" t="str">
            <v>Main Panel</v>
          </cell>
        </row>
      </sheetData>
      <sheetData sheetId="2638">
        <row r="52">
          <cell r="B52" t="str">
            <v>Main Panel</v>
          </cell>
        </row>
      </sheetData>
      <sheetData sheetId="2639">
        <row r="52">
          <cell r="B52" t="str">
            <v>Main Panel</v>
          </cell>
        </row>
      </sheetData>
      <sheetData sheetId="2640">
        <row r="52">
          <cell r="B52" t="str">
            <v>Main Panel</v>
          </cell>
        </row>
      </sheetData>
      <sheetData sheetId="2641">
        <row r="52">
          <cell r="B52" t="str">
            <v>Main Panel</v>
          </cell>
        </row>
      </sheetData>
      <sheetData sheetId="2642">
        <row r="52">
          <cell r="B52" t="str">
            <v>Main Panel</v>
          </cell>
        </row>
      </sheetData>
      <sheetData sheetId="2643">
        <row r="52">
          <cell r="B52" t="str">
            <v>Main Panel</v>
          </cell>
        </row>
      </sheetData>
      <sheetData sheetId="2644">
        <row r="52">
          <cell r="B52" t="str">
            <v>Main Panel</v>
          </cell>
        </row>
      </sheetData>
      <sheetData sheetId="2645">
        <row r="52">
          <cell r="B52" t="str">
            <v>Main Panel</v>
          </cell>
        </row>
      </sheetData>
      <sheetData sheetId="2646">
        <row r="52">
          <cell r="B52" t="str">
            <v>Main Panel</v>
          </cell>
        </row>
      </sheetData>
      <sheetData sheetId="2647">
        <row r="52">
          <cell r="B52" t="str">
            <v>Main Panel</v>
          </cell>
        </row>
      </sheetData>
      <sheetData sheetId="2648">
        <row r="52">
          <cell r="B52" t="str">
            <v>Main Panel</v>
          </cell>
        </row>
      </sheetData>
      <sheetData sheetId="2649">
        <row r="52">
          <cell r="B52" t="str">
            <v>Main Panel</v>
          </cell>
        </row>
      </sheetData>
      <sheetData sheetId="2650">
        <row r="52">
          <cell r="B52" t="str">
            <v>Main Panel</v>
          </cell>
        </row>
      </sheetData>
      <sheetData sheetId="2651">
        <row r="52">
          <cell r="B52" t="str">
            <v>Main Panel</v>
          </cell>
        </row>
      </sheetData>
      <sheetData sheetId="2652">
        <row r="52">
          <cell r="B52" t="str">
            <v>Main Panel</v>
          </cell>
        </row>
      </sheetData>
      <sheetData sheetId="2653">
        <row r="52">
          <cell r="B52" t="str">
            <v>Main Panel</v>
          </cell>
        </row>
      </sheetData>
      <sheetData sheetId="2654">
        <row r="52">
          <cell r="B52" t="str">
            <v>Main Panel</v>
          </cell>
        </row>
      </sheetData>
      <sheetData sheetId="2655">
        <row r="52">
          <cell r="B52" t="str">
            <v>Main Panel</v>
          </cell>
        </row>
      </sheetData>
      <sheetData sheetId="2656">
        <row r="52">
          <cell r="B52" t="str">
            <v>Main Panel</v>
          </cell>
        </row>
      </sheetData>
      <sheetData sheetId="2657">
        <row r="52">
          <cell r="B52" t="str">
            <v>Main Panel</v>
          </cell>
        </row>
      </sheetData>
      <sheetData sheetId="2658">
        <row r="52">
          <cell r="B52" t="str">
            <v>Main Panel</v>
          </cell>
        </row>
      </sheetData>
      <sheetData sheetId="2659">
        <row r="52">
          <cell r="B52" t="str">
            <v>Main Panel</v>
          </cell>
        </row>
      </sheetData>
      <sheetData sheetId="2660">
        <row r="52">
          <cell r="B52" t="str">
            <v>Main Panel</v>
          </cell>
        </row>
      </sheetData>
      <sheetData sheetId="2661">
        <row r="52">
          <cell r="B52" t="str">
            <v>Main Panel</v>
          </cell>
        </row>
      </sheetData>
      <sheetData sheetId="2662">
        <row r="52">
          <cell r="B52" t="str">
            <v>Main Panel</v>
          </cell>
        </row>
      </sheetData>
      <sheetData sheetId="2663">
        <row r="52">
          <cell r="B52" t="str">
            <v>Main Panel</v>
          </cell>
        </row>
      </sheetData>
      <sheetData sheetId="2664">
        <row r="52">
          <cell r="B52" t="str">
            <v>Main Panel</v>
          </cell>
        </row>
      </sheetData>
      <sheetData sheetId="2665">
        <row r="52">
          <cell r="B52" t="str">
            <v>Main Panel</v>
          </cell>
        </row>
      </sheetData>
      <sheetData sheetId="2666">
        <row r="52">
          <cell r="B52" t="str">
            <v>Main Panel</v>
          </cell>
        </row>
      </sheetData>
      <sheetData sheetId="2667">
        <row r="52">
          <cell r="B52" t="str">
            <v>Main Panel</v>
          </cell>
        </row>
      </sheetData>
      <sheetData sheetId="2668">
        <row r="52">
          <cell r="B52" t="str">
            <v>Main Panel</v>
          </cell>
        </row>
      </sheetData>
      <sheetData sheetId="2669">
        <row r="52">
          <cell r="B52" t="str">
            <v>Main Panel</v>
          </cell>
        </row>
      </sheetData>
      <sheetData sheetId="2670">
        <row r="52">
          <cell r="B52" t="str">
            <v>Main Panel</v>
          </cell>
        </row>
      </sheetData>
      <sheetData sheetId="2671">
        <row r="52">
          <cell r="B52" t="str">
            <v>Main Panel</v>
          </cell>
        </row>
      </sheetData>
      <sheetData sheetId="2672">
        <row r="52">
          <cell r="B52" t="str">
            <v>Main Panel</v>
          </cell>
        </row>
      </sheetData>
      <sheetData sheetId="2673">
        <row r="52">
          <cell r="B52" t="str">
            <v>Main Panel</v>
          </cell>
        </row>
      </sheetData>
      <sheetData sheetId="2674">
        <row r="52">
          <cell r="B52" t="str">
            <v>Main Panel</v>
          </cell>
        </row>
      </sheetData>
      <sheetData sheetId="2675">
        <row r="52">
          <cell r="B52" t="str">
            <v>Main Panel</v>
          </cell>
        </row>
      </sheetData>
      <sheetData sheetId="2676">
        <row r="52">
          <cell r="B52" t="str">
            <v>Main Panel</v>
          </cell>
        </row>
      </sheetData>
      <sheetData sheetId="2677">
        <row r="52">
          <cell r="B52" t="str">
            <v>Main Panel</v>
          </cell>
        </row>
      </sheetData>
      <sheetData sheetId="2678">
        <row r="52">
          <cell r="B52" t="str">
            <v>Main Panel</v>
          </cell>
        </row>
      </sheetData>
      <sheetData sheetId="2679">
        <row r="52">
          <cell r="B52" t="str">
            <v>Main Panel</v>
          </cell>
        </row>
      </sheetData>
      <sheetData sheetId="2680">
        <row r="52">
          <cell r="B52" t="str">
            <v>Main Panel</v>
          </cell>
        </row>
      </sheetData>
      <sheetData sheetId="2681">
        <row r="52">
          <cell r="B52" t="str">
            <v>Main Panel</v>
          </cell>
        </row>
      </sheetData>
      <sheetData sheetId="2682">
        <row r="52">
          <cell r="B52" t="str">
            <v>Main Panel</v>
          </cell>
        </row>
      </sheetData>
      <sheetData sheetId="2683">
        <row r="52">
          <cell r="B52" t="str">
            <v>Main Panel</v>
          </cell>
        </row>
      </sheetData>
      <sheetData sheetId="2684">
        <row r="52">
          <cell r="B52" t="str">
            <v>Main Panel</v>
          </cell>
        </row>
      </sheetData>
      <sheetData sheetId="2685">
        <row r="52">
          <cell r="B52" t="str">
            <v>Main Panel</v>
          </cell>
        </row>
      </sheetData>
      <sheetData sheetId="2686">
        <row r="52">
          <cell r="B52" t="str">
            <v>Main Panel</v>
          </cell>
        </row>
      </sheetData>
      <sheetData sheetId="2687">
        <row r="52">
          <cell r="B52" t="str">
            <v>Main Panel</v>
          </cell>
        </row>
      </sheetData>
      <sheetData sheetId="2688">
        <row r="52">
          <cell r="B52" t="str">
            <v>Main Panel</v>
          </cell>
        </row>
      </sheetData>
      <sheetData sheetId="2689">
        <row r="52">
          <cell r="B52" t="str">
            <v>Main Panel</v>
          </cell>
        </row>
      </sheetData>
      <sheetData sheetId="2690">
        <row r="52">
          <cell r="B52" t="str">
            <v>Main Panel</v>
          </cell>
        </row>
      </sheetData>
      <sheetData sheetId="2691">
        <row r="52">
          <cell r="B52" t="str">
            <v>Main Panel</v>
          </cell>
        </row>
      </sheetData>
      <sheetData sheetId="2692">
        <row r="52">
          <cell r="B52" t="str">
            <v>Main Panel</v>
          </cell>
        </row>
      </sheetData>
      <sheetData sheetId="2693">
        <row r="52">
          <cell r="B52" t="str">
            <v>Main Panel</v>
          </cell>
        </row>
      </sheetData>
      <sheetData sheetId="2694">
        <row r="52">
          <cell r="B52" t="str">
            <v>Main Panel</v>
          </cell>
        </row>
      </sheetData>
      <sheetData sheetId="2695">
        <row r="52">
          <cell r="B52" t="str">
            <v>Main Panel</v>
          </cell>
        </row>
      </sheetData>
      <sheetData sheetId="2696">
        <row r="52">
          <cell r="B52" t="str">
            <v>Main Panel</v>
          </cell>
        </row>
      </sheetData>
      <sheetData sheetId="2697">
        <row r="52">
          <cell r="B52" t="str">
            <v>Main Panel</v>
          </cell>
        </row>
      </sheetData>
      <sheetData sheetId="2698">
        <row r="52">
          <cell r="B52" t="str">
            <v>Main Panel</v>
          </cell>
        </row>
      </sheetData>
      <sheetData sheetId="2699">
        <row r="52">
          <cell r="B52" t="str">
            <v>Main Panel</v>
          </cell>
        </row>
      </sheetData>
      <sheetData sheetId="2700">
        <row r="52">
          <cell r="B52" t="str">
            <v>Main Panel</v>
          </cell>
        </row>
      </sheetData>
      <sheetData sheetId="2701">
        <row r="52">
          <cell r="B52" t="str">
            <v>Main Panel</v>
          </cell>
        </row>
      </sheetData>
      <sheetData sheetId="2702">
        <row r="52">
          <cell r="B52" t="str">
            <v>Main Panel</v>
          </cell>
        </row>
      </sheetData>
      <sheetData sheetId="2703">
        <row r="52">
          <cell r="B52" t="str">
            <v>Main Panel</v>
          </cell>
        </row>
      </sheetData>
      <sheetData sheetId="2704">
        <row r="52">
          <cell r="B52" t="str">
            <v>Main Panel</v>
          </cell>
        </row>
      </sheetData>
      <sheetData sheetId="2705">
        <row r="52">
          <cell r="B52" t="str">
            <v>Main Panel</v>
          </cell>
        </row>
      </sheetData>
      <sheetData sheetId="2706">
        <row r="52">
          <cell r="B52" t="str">
            <v>Main Panel</v>
          </cell>
        </row>
      </sheetData>
      <sheetData sheetId="2707">
        <row r="52">
          <cell r="B52" t="str">
            <v>Main Panel</v>
          </cell>
        </row>
      </sheetData>
      <sheetData sheetId="2708">
        <row r="52">
          <cell r="B52" t="str">
            <v>Main Panel</v>
          </cell>
        </row>
      </sheetData>
      <sheetData sheetId="2709">
        <row r="52">
          <cell r="B52" t="str">
            <v>Main Panel</v>
          </cell>
        </row>
      </sheetData>
      <sheetData sheetId="2710">
        <row r="52">
          <cell r="B52" t="str">
            <v>Main Panel</v>
          </cell>
        </row>
      </sheetData>
      <sheetData sheetId="2711">
        <row r="52">
          <cell r="B52" t="str">
            <v>Main Panel</v>
          </cell>
        </row>
      </sheetData>
      <sheetData sheetId="2712">
        <row r="52">
          <cell r="B52" t="str">
            <v>Main Panel</v>
          </cell>
        </row>
      </sheetData>
      <sheetData sheetId="2713">
        <row r="52">
          <cell r="B52" t="str">
            <v>Main Panel</v>
          </cell>
        </row>
      </sheetData>
      <sheetData sheetId="2714">
        <row r="52">
          <cell r="B52" t="str">
            <v>Main Panel</v>
          </cell>
        </row>
      </sheetData>
      <sheetData sheetId="2715">
        <row r="52">
          <cell r="B52" t="str">
            <v>Main Panel</v>
          </cell>
        </row>
      </sheetData>
      <sheetData sheetId="2716">
        <row r="52">
          <cell r="B52" t="str">
            <v>Main Panel</v>
          </cell>
        </row>
      </sheetData>
      <sheetData sheetId="2717">
        <row r="52">
          <cell r="B52" t="str">
            <v>Main Panel</v>
          </cell>
        </row>
      </sheetData>
      <sheetData sheetId="2718">
        <row r="52">
          <cell r="B52" t="str">
            <v>Main Panel</v>
          </cell>
        </row>
      </sheetData>
      <sheetData sheetId="2719">
        <row r="52">
          <cell r="B52" t="str">
            <v>Main Panel</v>
          </cell>
        </row>
      </sheetData>
      <sheetData sheetId="2720">
        <row r="52">
          <cell r="B52" t="str">
            <v>Main Panel</v>
          </cell>
        </row>
      </sheetData>
      <sheetData sheetId="2721">
        <row r="52">
          <cell r="B52" t="str">
            <v>Main Panel</v>
          </cell>
        </row>
      </sheetData>
      <sheetData sheetId="2722">
        <row r="52">
          <cell r="B52" t="str">
            <v>Main Panel</v>
          </cell>
        </row>
      </sheetData>
      <sheetData sheetId="2723">
        <row r="52">
          <cell r="B52" t="str">
            <v>Main Panel</v>
          </cell>
        </row>
      </sheetData>
      <sheetData sheetId="2724">
        <row r="52">
          <cell r="B52" t="str">
            <v>Main Panel</v>
          </cell>
        </row>
      </sheetData>
      <sheetData sheetId="2725">
        <row r="52">
          <cell r="B52" t="str">
            <v>Main Panel</v>
          </cell>
        </row>
      </sheetData>
      <sheetData sheetId="2726">
        <row r="52">
          <cell r="B52" t="str">
            <v>Main Panel</v>
          </cell>
        </row>
      </sheetData>
      <sheetData sheetId="2727">
        <row r="52">
          <cell r="B52" t="str">
            <v>Main Panel</v>
          </cell>
        </row>
      </sheetData>
      <sheetData sheetId="2728">
        <row r="52">
          <cell r="B52" t="str">
            <v>Main Panel</v>
          </cell>
        </row>
      </sheetData>
      <sheetData sheetId="2729">
        <row r="52">
          <cell r="B52" t="str">
            <v>Main Panel</v>
          </cell>
        </row>
      </sheetData>
      <sheetData sheetId="2730">
        <row r="52">
          <cell r="B52" t="str">
            <v>Main Panel</v>
          </cell>
        </row>
      </sheetData>
      <sheetData sheetId="2731">
        <row r="52">
          <cell r="B52" t="str">
            <v>Main Panel</v>
          </cell>
        </row>
      </sheetData>
      <sheetData sheetId="2732">
        <row r="52">
          <cell r="B52" t="str">
            <v>Main Panel</v>
          </cell>
        </row>
      </sheetData>
      <sheetData sheetId="2733">
        <row r="52">
          <cell r="B52" t="str">
            <v>Main Panel</v>
          </cell>
        </row>
      </sheetData>
      <sheetData sheetId="2734">
        <row r="52">
          <cell r="B52" t="str">
            <v>Main Panel</v>
          </cell>
        </row>
      </sheetData>
      <sheetData sheetId="2735">
        <row r="52">
          <cell r="B52" t="str">
            <v>Main Panel</v>
          </cell>
        </row>
      </sheetData>
      <sheetData sheetId="2736">
        <row r="52">
          <cell r="B52" t="str">
            <v>Main Panel</v>
          </cell>
        </row>
      </sheetData>
      <sheetData sheetId="2737">
        <row r="52">
          <cell r="B52" t="str">
            <v>Main Panel</v>
          </cell>
        </row>
      </sheetData>
      <sheetData sheetId="2738">
        <row r="52">
          <cell r="B52" t="str">
            <v>Main Panel</v>
          </cell>
        </row>
      </sheetData>
      <sheetData sheetId="2739">
        <row r="52">
          <cell r="B52" t="str">
            <v>Main Panel</v>
          </cell>
        </row>
      </sheetData>
      <sheetData sheetId="2740">
        <row r="52">
          <cell r="B52" t="str">
            <v>Main Panel</v>
          </cell>
        </row>
      </sheetData>
      <sheetData sheetId="2741">
        <row r="52">
          <cell r="B52" t="str">
            <v>Main Panel</v>
          </cell>
        </row>
      </sheetData>
      <sheetData sheetId="2742">
        <row r="52">
          <cell r="B52" t="str">
            <v>Main Panel</v>
          </cell>
        </row>
      </sheetData>
      <sheetData sheetId="2743">
        <row r="52">
          <cell r="B52" t="str">
            <v>Main Panel</v>
          </cell>
        </row>
      </sheetData>
      <sheetData sheetId="2744">
        <row r="52">
          <cell r="B52" t="str">
            <v>Main Panel</v>
          </cell>
        </row>
      </sheetData>
      <sheetData sheetId="2745">
        <row r="52">
          <cell r="B52" t="str">
            <v>Main Panel</v>
          </cell>
        </row>
      </sheetData>
      <sheetData sheetId="2746">
        <row r="52">
          <cell r="B52" t="str">
            <v>Main Panel</v>
          </cell>
        </row>
      </sheetData>
      <sheetData sheetId="2747">
        <row r="52">
          <cell r="B52" t="str">
            <v>Main Panel</v>
          </cell>
        </row>
      </sheetData>
      <sheetData sheetId="2748">
        <row r="52">
          <cell r="B52" t="str">
            <v>Main Panel</v>
          </cell>
        </row>
      </sheetData>
      <sheetData sheetId="2749">
        <row r="52">
          <cell r="B52" t="str">
            <v>Main Panel</v>
          </cell>
        </row>
      </sheetData>
      <sheetData sheetId="2750">
        <row r="52">
          <cell r="B52" t="str">
            <v>Main Panel</v>
          </cell>
        </row>
      </sheetData>
      <sheetData sheetId="2751">
        <row r="52">
          <cell r="B52" t="str">
            <v>Main Panel</v>
          </cell>
        </row>
      </sheetData>
      <sheetData sheetId="2752">
        <row r="52">
          <cell r="B52" t="str">
            <v>Main Panel</v>
          </cell>
        </row>
      </sheetData>
      <sheetData sheetId="2753">
        <row r="52">
          <cell r="B52" t="str">
            <v>Main Panel</v>
          </cell>
        </row>
      </sheetData>
      <sheetData sheetId="2754">
        <row r="52">
          <cell r="B52" t="str">
            <v>Main Panel</v>
          </cell>
        </row>
      </sheetData>
      <sheetData sheetId="2755">
        <row r="52">
          <cell r="B52" t="str">
            <v>Main Panel</v>
          </cell>
        </row>
      </sheetData>
      <sheetData sheetId="2756">
        <row r="52">
          <cell r="B52" t="str">
            <v>Main Panel</v>
          </cell>
        </row>
      </sheetData>
      <sheetData sheetId="2757">
        <row r="52">
          <cell r="B52" t="str">
            <v>Main Panel</v>
          </cell>
        </row>
      </sheetData>
      <sheetData sheetId="2758">
        <row r="52">
          <cell r="B52" t="str">
            <v>Main Panel</v>
          </cell>
        </row>
      </sheetData>
      <sheetData sheetId="2759">
        <row r="52">
          <cell r="B52" t="str">
            <v>Main Panel</v>
          </cell>
        </row>
      </sheetData>
      <sheetData sheetId="2760">
        <row r="52">
          <cell r="B52" t="str">
            <v>Main Panel</v>
          </cell>
        </row>
      </sheetData>
      <sheetData sheetId="2761">
        <row r="52">
          <cell r="B52" t="str">
            <v>Main Panel</v>
          </cell>
        </row>
      </sheetData>
      <sheetData sheetId="2762">
        <row r="52">
          <cell r="B52" t="str">
            <v>Main Panel</v>
          </cell>
        </row>
      </sheetData>
      <sheetData sheetId="2763">
        <row r="52">
          <cell r="B52" t="str">
            <v>Main Panel</v>
          </cell>
        </row>
      </sheetData>
      <sheetData sheetId="2764">
        <row r="52">
          <cell r="B52" t="str">
            <v>Main Panel</v>
          </cell>
        </row>
      </sheetData>
      <sheetData sheetId="2765">
        <row r="52">
          <cell r="B52" t="str">
            <v>Main Panel</v>
          </cell>
        </row>
      </sheetData>
      <sheetData sheetId="2766">
        <row r="52">
          <cell r="B52" t="str">
            <v>Main Panel</v>
          </cell>
        </row>
      </sheetData>
      <sheetData sheetId="2767">
        <row r="52">
          <cell r="B52" t="str">
            <v>Main Panel</v>
          </cell>
        </row>
      </sheetData>
      <sheetData sheetId="2768">
        <row r="52">
          <cell r="B52" t="str">
            <v>Main Panel</v>
          </cell>
        </row>
      </sheetData>
      <sheetData sheetId="2769">
        <row r="52">
          <cell r="B52" t="str">
            <v>Main Panel</v>
          </cell>
        </row>
      </sheetData>
      <sheetData sheetId="2770">
        <row r="52">
          <cell r="B52" t="str">
            <v>Main Panel</v>
          </cell>
        </row>
      </sheetData>
      <sheetData sheetId="2771">
        <row r="52">
          <cell r="B52" t="str">
            <v>Main Panel</v>
          </cell>
        </row>
      </sheetData>
      <sheetData sheetId="2772">
        <row r="52">
          <cell r="B52" t="str">
            <v>Main Panel</v>
          </cell>
        </row>
      </sheetData>
      <sheetData sheetId="2773">
        <row r="52">
          <cell r="B52" t="str">
            <v>Main Panel</v>
          </cell>
        </row>
      </sheetData>
      <sheetData sheetId="2774">
        <row r="52">
          <cell r="B52" t="str">
            <v>Main Panel</v>
          </cell>
        </row>
      </sheetData>
      <sheetData sheetId="2775">
        <row r="52">
          <cell r="B52" t="str">
            <v>Main Panel</v>
          </cell>
        </row>
      </sheetData>
      <sheetData sheetId="2776">
        <row r="52">
          <cell r="B52" t="str">
            <v>Main Panel</v>
          </cell>
        </row>
      </sheetData>
      <sheetData sheetId="2777">
        <row r="52">
          <cell r="B52" t="str">
            <v>Main Panel</v>
          </cell>
        </row>
      </sheetData>
      <sheetData sheetId="2778">
        <row r="52">
          <cell r="B52" t="str">
            <v>Main Panel</v>
          </cell>
        </row>
      </sheetData>
      <sheetData sheetId="2779">
        <row r="52">
          <cell r="B52" t="str">
            <v>Main Panel</v>
          </cell>
        </row>
      </sheetData>
      <sheetData sheetId="2780">
        <row r="52">
          <cell r="B52" t="str">
            <v>Main Panel</v>
          </cell>
        </row>
      </sheetData>
      <sheetData sheetId="2781">
        <row r="52">
          <cell r="B52" t="str">
            <v>Main Panel</v>
          </cell>
        </row>
      </sheetData>
      <sheetData sheetId="2782">
        <row r="52">
          <cell r="B52" t="str">
            <v>Main Panel</v>
          </cell>
        </row>
      </sheetData>
      <sheetData sheetId="2783">
        <row r="52">
          <cell r="B52" t="str">
            <v>Main Panel</v>
          </cell>
        </row>
      </sheetData>
      <sheetData sheetId="2784">
        <row r="52">
          <cell r="B52" t="str">
            <v>Main Panel</v>
          </cell>
        </row>
      </sheetData>
      <sheetData sheetId="2785">
        <row r="52">
          <cell r="B52" t="str">
            <v>Main Panel</v>
          </cell>
        </row>
      </sheetData>
      <sheetData sheetId="2786">
        <row r="52">
          <cell r="B52" t="str">
            <v>Main Panel</v>
          </cell>
        </row>
      </sheetData>
      <sheetData sheetId="2787">
        <row r="52">
          <cell r="B52" t="str">
            <v>Main Panel</v>
          </cell>
        </row>
      </sheetData>
      <sheetData sheetId="2788">
        <row r="52">
          <cell r="B52" t="str">
            <v>Main Panel</v>
          </cell>
        </row>
      </sheetData>
      <sheetData sheetId="2789">
        <row r="52">
          <cell r="B52" t="str">
            <v>Main Panel</v>
          </cell>
        </row>
      </sheetData>
      <sheetData sheetId="2790">
        <row r="52">
          <cell r="B52" t="str">
            <v>Main Panel</v>
          </cell>
        </row>
      </sheetData>
      <sheetData sheetId="2791">
        <row r="52">
          <cell r="B52" t="str">
            <v>Main Panel</v>
          </cell>
        </row>
      </sheetData>
      <sheetData sheetId="2792">
        <row r="52">
          <cell r="B52" t="str">
            <v>Main Panel</v>
          </cell>
        </row>
      </sheetData>
      <sheetData sheetId="2793">
        <row r="52">
          <cell r="B52" t="str">
            <v>Main Panel</v>
          </cell>
        </row>
      </sheetData>
      <sheetData sheetId="2794">
        <row r="52">
          <cell r="B52" t="str">
            <v>Main Panel</v>
          </cell>
        </row>
      </sheetData>
      <sheetData sheetId="2795">
        <row r="52">
          <cell r="B52" t="str">
            <v>Main Panel</v>
          </cell>
        </row>
      </sheetData>
      <sheetData sheetId="2796">
        <row r="52">
          <cell r="B52" t="str">
            <v>Main Panel</v>
          </cell>
        </row>
      </sheetData>
      <sheetData sheetId="2797">
        <row r="52">
          <cell r="B52" t="str">
            <v>Main Panel</v>
          </cell>
        </row>
      </sheetData>
      <sheetData sheetId="2798">
        <row r="52">
          <cell r="B52" t="str">
            <v>Main Panel</v>
          </cell>
        </row>
      </sheetData>
      <sheetData sheetId="2799">
        <row r="52">
          <cell r="B52" t="str">
            <v>Main Panel</v>
          </cell>
        </row>
      </sheetData>
      <sheetData sheetId="2800">
        <row r="52">
          <cell r="B52" t="str">
            <v>Main Panel</v>
          </cell>
        </row>
      </sheetData>
      <sheetData sheetId="2801">
        <row r="52">
          <cell r="B52" t="str">
            <v>Main Panel</v>
          </cell>
        </row>
      </sheetData>
      <sheetData sheetId="2802">
        <row r="52">
          <cell r="B52" t="str">
            <v>Main Panel</v>
          </cell>
        </row>
      </sheetData>
      <sheetData sheetId="2803">
        <row r="52">
          <cell r="B52" t="str">
            <v>Main Panel</v>
          </cell>
        </row>
      </sheetData>
      <sheetData sheetId="2804">
        <row r="52">
          <cell r="B52" t="str">
            <v>Main Panel</v>
          </cell>
        </row>
      </sheetData>
      <sheetData sheetId="2805">
        <row r="52">
          <cell r="B52" t="str">
            <v>Main Panel</v>
          </cell>
        </row>
      </sheetData>
      <sheetData sheetId="2806">
        <row r="52">
          <cell r="B52" t="str">
            <v>Main Panel</v>
          </cell>
        </row>
      </sheetData>
      <sheetData sheetId="2807">
        <row r="52">
          <cell r="B52" t="str">
            <v>Main Panel</v>
          </cell>
        </row>
      </sheetData>
      <sheetData sheetId="2808">
        <row r="52">
          <cell r="B52" t="str">
            <v>Main Panel</v>
          </cell>
        </row>
      </sheetData>
      <sheetData sheetId="2809">
        <row r="52">
          <cell r="B52" t="str">
            <v>Main Panel</v>
          </cell>
        </row>
      </sheetData>
      <sheetData sheetId="2810">
        <row r="52">
          <cell r="B52" t="str">
            <v>Main Panel</v>
          </cell>
        </row>
      </sheetData>
      <sheetData sheetId="2811">
        <row r="52">
          <cell r="B52" t="str">
            <v>Main Panel</v>
          </cell>
        </row>
      </sheetData>
      <sheetData sheetId="2812">
        <row r="52">
          <cell r="B52" t="str">
            <v>Main Panel</v>
          </cell>
        </row>
      </sheetData>
      <sheetData sheetId="2813">
        <row r="52">
          <cell r="B52" t="str">
            <v>Main Panel</v>
          </cell>
        </row>
      </sheetData>
      <sheetData sheetId="2814">
        <row r="52">
          <cell r="B52" t="str">
            <v>Main Panel</v>
          </cell>
        </row>
      </sheetData>
      <sheetData sheetId="2815">
        <row r="52">
          <cell r="B52" t="str">
            <v>Main Panel</v>
          </cell>
        </row>
      </sheetData>
      <sheetData sheetId="2816">
        <row r="52">
          <cell r="B52" t="str">
            <v>Main Panel</v>
          </cell>
        </row>
      </sheetData>
      <sheetData sheetId="2817">
        <row r="52">
          <cell r="B52" t="str">
            <v>Main Panel</v>
          </cell>
        </row>
      </sheetData>
      <sheetData sheetId="2818">
        <row r="52">
          <cell r="B52" t="str">
            <v>Main Panel</v>
          </cell>
        </row>
      </sheetData>
      <sheetData sheetId="2819">
        <row r="52">
          <cell r="B52" t="str">
            <v>Main Panel</v>
          </cell>
        </row>
      </sheetData>
      <sheetData sheetId="2820">
        <row r="52">
          <cell r="B52" t="str">
            <v>Main Panel</v>
          </cell>
        </row>
      </sheetData>
      <sheetData sheetId="2821">
        <row r="52">
          <cell r="B52" t="str">
            <v>Main Panel</v>
          </cell>
        </row>
      </sheetData>
      <sheetData sheetId="2822">
        <row r="52">
          <cell r="B52" t="str">
            <v>Main Panel</v>
          </cell>
        </row>
      </sheetData>
      <sheetData sheetId="2823">
        <row r="52">
          <cell r="B52" t="str">
            <v>Main Panel</v>
          </cell>
        </row>
      </sheetData>
      <sheetData sheetId="2824">
        <row r="52">
          <cell r="B52" t="str">
            <v>Main Panel</v>
          </cell>
        </row>
      </sheetData>
      <sheetData sheetId="2825">
        <row r="52">
          <cell r="B52" t="str">
            <v>Main Panel</v>
          </cell>
        </row>
      </sheetData>
      <sheetData sheetId="2826">
        <row r="52">
          <cell r="B52" t="str">
            <v>Main Panel</v>
          </cell>
        </row>
      </sheetData>
      <sheetData sheetId="2827">
        <row r="52">
          <cell r="B52" t="str">
            <v>Main Panel</v>
          </cell>
        </row>
      </sheetData>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ow r="52">
          <cell r="B52" t="str">
            <v>Main Panel</v>
          </cell>
        </row>
      </sheetData>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sheetData sheetId="2947"/>
      <sheetData sheetId="2948" refreshError="1"/>
      <sheetData sheetId="2949" refreshError="1"/>
      <sheetData sheetId="2950" refreshError="1"/>
      <sheetData sheetId="2951">
        <row r="52">
          <cell r="B52" t="str">
            <v>Main Panel</v>
          </cell>
        </row>
      </sheetData>
      <sheetData sheetId="2952">
        <row r="52">
          <cell r="B52" t="str">
            <v>Main Panel</v>
          </cell>
        </row>
      </sheetData>
      <sheetData sheetId="2953">
        <row r="52">
          <cell r="B52" t="str">
            <v>Main Panel</v>
          </cell>
        </row>
      </sheetData>
      <sheetData sheetId="2954">
        <row r="52">
          <cell r="B52" t="str">
            <v>Main Panel</v>
          </cell>
        </row>
      </sheetData>
      <sheetData sheetId="2955">
        <row r="52">
          <cell r="B52" t="str">
            <v>Main Panel</v>
          </cell>
        </row>
      </sheetData>
      <sheetData sheetId="2956">
        <row r="52">
          <cell r="B52" t="str">
            <v>Main Panel</v>
          </cell>
        </row>
      </sheetData>
      <sheetData sheetId="2957">
        <row r="52">
          <cell r="B52" t="str">
            <v>Main Panel</v>
          </cell>
        </row>
      </sheetData>
      <sheetData sheetId="2958"/>
      <sheetData sheetId="2959">
        <row r="52">
          <cell r="B52" t="str">
            <v>Main Panel</v>
          </cell>
        </row>
      </sheetData>
      <sheetData sheetId="2960">
        <row r="52">
          <cell r="B52" t="str">
            <v>Main Panel</v>
          </cell>
        </row>
      </sheetData>
      <sheetData sheetId="2961">
        <row r="52">
          <cell r="B52" t="str">
            <v>Main Panel</v>
          </cell>
        </row>
      </sheetData>
      <sheetData sheetId="2962">
        <row r="52">
          <cell r="B52" t="str">
            <v>Main Panel</v>
          </cell>
        </row>
      </sheetData>
      <sheetData sheetId="2963">
        <row r="52">
          <cell r="B52" t="str">
            <v>Main Panel</v>
          </cell>
        </row>
      </sheetData>
      <sheetData sheetId="2964">
        <row r="52">
          <cell r="B52" t="str">
            <v>Main Panel</v>
          </cell>
        </row>
      </sheetData>
      <sheetData sheetId="2965">
        <row r="52">
          <cell r="B52" t="str">
            <v>Main Panel</v>
          </cell>
        </row>
      </sheetData>
      <sheetData sheetId="2966">
        <row r="52">
          <cell r="B52" t="str">
            <v>Main Panel</v>
          </cell>
        </row>
      </sheetData>
      <sheetData sheetId="2967">
        <row r="52">
          <cell r="B52" t="str">
            <v>Main Panel</v>
          </cell>
        </row>
      </sheetData>
      <sheetData sheetId="2968">
        <row r="52">
          <cell r="B52" t="str">
            <v>Main Panel</v>
          </cell>
        </row>
      </sheetData>
      <sheetData sheetId="2969">
        <row r="52">
          <cell r="B52" t="str">
            <v>Main Panel</v>
          </cell>
        </row>
      </sheetData>
      <sheetData sheetId="2970">
        <row r="52">
          <cell r="B52" t="str">
            <v>Main Panel</v>
          </cell>
        </row>
      </sheetData>
      <sheetData sheetId="2971">
        <row r="52">
          <cell r="B52" t="str">
            <v>Main Panel</v>
          </cell>
        </row>
      </sheetData>
      <sheetData sheetId="2972">
        <row r="52">
          <cell r="B52" t="str">
            <v>Main Panel</v>
          </cell>
        </row>
      </sheetData>
      <sheetData sheetId="2973">
        <row r="52">
          <cell r="B52" t="str">
            <v>Main Panel</v>
          </cell>
        </row>
      </sheetData>
      <sheetData sheetId="2974">
        <row r="52">
          <cell r="B52" t="str">
            <v>Main Panel</v>
          </cell>
        </row>
      </sheetData>
      <sheetData sheetId="2975">
        <row r="52">
          <cell r="B52" t="str">
            <v>Main Panel</v>
          </cell>
        </row>
      </sheetData>
      <sheetData sheetId="2976">
        <row r="52">
          <cell r="B52" t="str">
            <v>Main Panel</v>
          </cell>
        </row>
      </sheetData>
      <sheetData sheetId="2977">
        <row r="52">
          <cell r="B52" t="str">
            <v>Main Panel</v>
          </cell>
        </row>
      </sheetData>
      <sheetData sheetId="2978">
        <row r="52">
          <cell r="B52" t="str">
            <v>Main Panel</v>
          </cell>
        </row>
      </sheetData>
      <sheetData sheetId="2979">
        <row r="52">
          <cell r="B52" t="str">
            <v>Main Panel</v>
          </cell>
        </row>
      </sheetData>
      <sheetData sheetId="2980">
        <row r="52">
          <cell r="B52" t="str">
            <v>Main Panel</v>
          </cell>
        </row>
      </sheetData>
      <sheetData sheetId="2981">
        <row r="52">
          <cell r="B52" t="str">
            <v>Main Panel</v>
          </cell>
        </row>
      </sheetData>
      <sheetData sheetId="2982">
        <row r="52">
          <cell r="B52" t="str">
            <v>Main Panel</v>
          </cell>
        </row>
      </sheetData>
      <sheetData sheetId="2983">
        <row r="52">
          <cell r="B52" t="str">
            <v>Main Panel</v>
          </cell>
        </row>
      </sheetData>
      <sheetData sheetId="2984">
        <row r="52">
          <cell r="B52" t="str">
            <v>Main Panel</v>
          </cell>
        </row>
      </sheetData>
      <sheetData sheetId="2985">
        <row r="52">
          <cell r="B52" t="str">
            <v>Main Panel</v>
          </cell>
        </row>
      </sheetData>
      <sheetData sheetId="2986">
        <row r="52">
          <cell r="B52" t="str">
            <v>Main Panel</v>
          </cell>
        </row>
      </sheetData>
      <sheetData sheetId="2987">
        <row r="52">
          <cell r="B52" t="str">
            <v>Main Panel</v>
          </cell>
        </row>
      </sheetData>
      <sheetData sheetId="2988">
        <row r="52">
          <cell r="B52" t="str">
            <v>Main Panel</v>
          </cell>
        </row>
      </sheetData>
      <sheetData sheetId="2989">
        <row r="52">
          <cell r="B52" t="str">
            <v>Main Panel</v>
          </cell>
        </row>
      </sheetData>
      <sheetData sheetId="2990">
        <row r="52">
          <cell r="B52" t="str">
            <v>Main Panel</v>
          </cell>
        </row>
      </sheetData>
      <sheetData sheetId="2991">
        <row r="52">
          <cell r="B52" t="str">
            <v>Main Panel</v>
          </cell>
        </row>
      </sheetData>
      <sheetData sheetId="2992">
        <row r="52">
          <cell r="B52" t="str">
            <v>Main Panel</v>
          </cell>
        </row>
      </sheetData>
      <sheetData sheetId="2993">
        <row r="52">
          <cell r="B52" t="str">
            <v>Main Panel</v>
          </cell>
        </row>
      </sheetData>
      <sheetData sheetId="2994">
        <row r="52">
          <cell r="B52" t="str">
            <v>Main Panel</v>
          </cell>
        </row>
      </sheetData>
      <sheetData sheetId="2995">
        <row r="52">
          <cell r="B52" t="str">
            <v>Main Panel</v>
          </cell>
        </row>
      </sheetData>
      <sheetData sheetId="2996">
        <row r="52">
          <cell r="B52" t="str">
            <v>Main Panel</v>
          </cell>
        </row>
      </sheetData>
      <sheetData sheetId="2997">
        <row r="52">
          <cell r="B52" t="str">
            <v>Main Panel</v>
          </cell>
        </row>
      </sheetData>
      <sheetData sheetId="2998">
        <row r="52">
          <cell r="B52" t="str">
            <v>Main Panel</v>
          </cell>
        </row>
      </sheetData>
      <sheetData sheetId="2999">
        <row r="52">
          <cell r="B52" t="str">
            <v>Main Panel</v>
          </cell>
        </row>
      </sheetData>
      <sheetData sheetId="3000">
        <row r="52">
          <cell r="B52" t="str">
            <v>Main Panel</v>
          </cell>
        </row>
      </sheetData>
      <sheetData sheetId="3001">
        <row r="52">
          <cell r="B52" t="str">
            <v>Main Panel</v>
          </cell>
        </row>
      </sheetData>
      <sheetData sheetId="3002">
        <row r="52">
          <cell r="B52" t="str">
            <v>Main Panel</v>
          </cell>
        </row>
      </sheetData>
      <sheetData sheetId="3003">
        <row r="52">
          <cell r="B52" t="str">
            <v>Main Panel</v>
          </cell>
        </row>
      </sheetData>
      <sheetData sheetId="3004">
        <row r="52">
          <cell r="B52" t="str">
            <v>Main Panel</v>
          </cell>
        </row>
      </sheetData>
      <sheetData sheetId="3005">
        <row r="52">
          <cell r="B52" t="str">
            <v>Main Panel</v>
          </cell>
        </row>
      </sheetData>
      <sheetData sheetId="3006">
        <row r="52">
          <cell r="B52" t="str">
            <v>Main Panel</v>
          </cell>
        </row>
      </sheetData>
      <sheetData sheetId="3007">
        <row r="52">
          <cell r="B52" t="str">
            <v>Main Panel</v>
          </cell>
        </row>
      </sheetData>
      <sheetData sheetId="3008">
        <row r="52">
          <cell r="B52" t="str">
            <v>Main Panel</v>
          </cell>
        </row>
      </sheetData>
      <sheetData sheetId="3009">
        <row r="52">
          <cell r="B52" t="str">
            <v>Main Panel</v>
          </cell>
        </row>
      </sheetData>
      <sheetData sheetId="3010">
        <row r="52">
          <cell r="B52" t="str">
            <v>Main Panel</v>
          </cell>
        </row>
      </sheetData>
      <sheetData sheetId="3011">
        <row r="52">
          <cell r="B52" t="str">
            <v>Main Panel</v>
          </cell>
        </row>
      </sheetData>
      <sheetData sheetId="3012">
        <row r="52">
          <cell r="B52" t="str">
            <v>Main Panel</v>
          </cell>
        </row>
      </sheetData>
      <sheetData sheetId="3013">
        <row r="52">
          <cell r="B52" t="str">
            <v>Main Panel</v>
          </cell>
        </row>
      </sheetData>
      <sheetData sheetId="3014">
        <row r="52">
          <cell r="B52" t="str">
            <v>Main Panel</v>
          </cell>
        </row>
      </sheetData>
      <sheetData sheetId="3015">
        <row r="52">
          <cell r="B52" t="str">
            <v>Main Panel</v>
          </cell>
        </row>
      </sheetData>
      <sheetData sheetId="3016">
        <row r="52">
          <cell r="B52" t="str">
            <v>Main Panel</v>
          </cell>
        </row>
      </sheetData>
      <sheetData sheetId="3017">
        <row r="52">
          <cell r="B52" t="str">
            <v>Main Panel</v>
          </cell>
        </row>
      </sheetData>
      <sheetData sheetId="3018">
        <row r="52">
          <cell r="B52" t="str">
            <v>Main Panel</v>
          </cell>
        </row>
      </sheetData>
      <sheetData sheetId="3019" refreshError="1"/>
      <sheetData sheetId="3020" refreshError="1"/>
      <sheetData sheetId="3021" refreshError="1"/>
      <sheetData sheetId="3022" refreshError="1"/>
      <sheetData sheetId="3023">
        <row r="52">
          <cell r="B52" t="str">
            <v>Main Panel</v>
          </cell>
        </row>
      </sheetData>
      <sheetData sheetId="3024">
        <row r="52">
          <cell r="B52" t="str">
            <v>Main Panel</v>
          </cell>
        </row>
      </sheetData>
      <sheetData sheetId="3025">
        <row r="52">
          <cell r="B52" t="str">
            <v>Main Panel</v>
          </cell>
        </row>
      </sheetData>
      <sheetData sheetId="3026">
        <row r="52">
          <cell r="B52" t="str">
            <v>Main Panel</v>
          </cell>
        </row>
      </sheetData>
      <sheetData sheetId="3027">
        <row r="52">
          <cell r="B52" t="str">
            <v>Main Panel</v>
          </cell>
        </row>
      </sheetData>
      <sheetData sheetId="3028">
        <row r="52">
          <cell r="B52" t="str">
            <v>Main Panel</v>
          </cell>
        </row>
      </sheetData>
      <sheetData sheetId="3029">
        <row r="52">
          <cell r="B52" t="str">
            <v>Main Panel</v>
          </cell>
        </row>
      </sheetData>
      <sheetData sheetId="3030">
        <row r="52">
          <cell r="B52" t="str">
            <v>Main Panel</v>
          </cell>
        </row>
      </sheetData>
      <sheetData sheetId="3031">
        <row r="52">
          <cell r="B52" t="str">
            <v>Main Panel</v>
          </cell>
        </row>
      </sheetData>
      <sheetData sheetId="3032">
        <row r="52">
          <cell r="B52" t="str">
            <v>Main Panel</v>
          </cell>
        </row>
      </sheetData>
      <sheetData sheetId="3033">
        <row r="52">
          <cell r="B52" t="str">
            <v>Main Panel</v>
          </cell>
        </row>
      </sheetData>
      <sheetData sheetId="3034"/>
      <sheetData sheetId="3035">
        <row r="52">
          <cell r="B52" t="str">
            <v>Main Panel</v>
          </cell>
        </row>
      </sheetData>
      <sheetData sheetId="3036">
        <row r="52">
          <cell r="B52" t="str">
            <v>Main Panel</v>
          </cell>
        </row>
      </sheetData>
      <sheetData sheetId="3037">
        <row r="52">
          <cell r="B52" t="str">
            <v>Main Panel</v>
          </cell>
        </row>
      </sheetData>
      <sheetData sheetId="3038">
        <row r="52">
          <cell r="B52" t="str">
            <v>Main Panel</v>
          </cell>
        </row>
      </sheetData>
      <sheetData sheetId="3039">
        <row r="52">
          <cell r="B52" t="str">
            <v>Main Panel</v>
          </cell>
        </row>
      </sheetData>
      <sheetData sheetId="3040">
        <row r="52">
          <cell r="B52" t="str">
            <v>Main Panel</v>
          </cell>
        </row>
      </sheetData>
      <sheetData sheetId="3041">
        <row r="52">
          <cell r="B52" t="str">
            <v>Main Panel</v>
          </cell>
        </row>
      </sheetData>
      <sheetData sheetId="3042"/>
      <sheetData sheetId="3043">
        <row r="52">
          <cell r="B52" t="str">
            <v>Main Panel</v>
          </cell>
        </row>
      </sheetData>
      <sheetData sheetId="3044"/>
      <sheetData sheetId="3045"/>
      <sheetData sheetId="3046">
        <row r="52">
          <cell r="B52" t="str">
            <v>Main Panel</v>
          </cell>
        </row>
      </sheetData>
      <sheetData sheetId="3047"/>
      <sheetData sheetId="3048"/>
      <sheetData sheetId="3049"/>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ow r="52">
          <cell r="B52" t="str">
            <v>Main Panel</v>
          </cell>
        </row>
      </sheetData>
      <sheetData sheetId="3060">
        <row r="52">
          <cell r="B52" t="str">
            <v>Main Panel</v>
          </cell>
        </row>
      </sheetData>
      <sheetData sheetId="3061">
        <row r="52">
          <cell r="B52" t="str">
            <v>Main Panel</v>
          </cell>
        </row>
      </sheetData>
      <sheetData sheetId="3062">
        <row r="52">
          <cell r="B52" t="str">
            <v>Main Panel</v>
          </cell>
        </row>
      </sheetData>
      <sheetData sheetId="3063">
        <row r="52">
          <cell r="B52" t="str">
            <v>Main Panel</v>
          </cell>
        </row>
      </sheetData>
      <sheetData sheetId="3064">
        <row r="52">
          <cell r="B52" t="str">
            <v>Main Panel</v>
          </cell>
        </row>
      </sheetData>
      <sheetData sheetId="3065">
        <row r="52">
          <cell r="B52" t="str">
            <v>Main Panel</v>
          </cell>
        </row>
      </sheetData>
      <sheetData sheetId="3066">
        <row r="52">
          <cell r="B52" t="str">
            <v>Main Panel</v>
          </cell>
        </row>
      </sheetData>
      <sheetData sheetId="3067">
        <row r="52">
          <cell r="B52" t="str">
            <v>Main Panel</v>
          </cell>
        </row>
      </sheetData>
      <sheetData sheetId="3068">
        <row r="52">
          <cell r="B52" t="str">
            <v>Main Panel</v>
          </cell>
        </row>
      </sheetData>
      <sheetData sheetId="3069"/>
      <sheetData sheetId="3070">
        <row r="52">
          <cell r="B52" t="str">
            <v>Main Panel</v>
          </cell>
        </row>
      </sheetData>
      <sheetData sheetId="3071">
        <row r="52">
          <cell r="B52" t="str">
            <v>Main Panel</v>
          </cell>
        </row>
      </sheetData>
      <sheetData sheetId="3072">
        <row r="52">
          <cell r="B52" t="str">
            <v>Main Panel</v>
          </cell>
        </row>
      </sheetData>
      <sheetData sheetId="3073">
        <row r="52">
          <cell r="B52" t="str">
            <v>Main Panel</v>
          </cell>
        </row>
      </sheetData>
      <sheetData sheetId="3074">
        <row r="52">
          <cell r="B52" t="str">
            <v>Main Panel</v>
          </cell>
        </row>
      </sheetData>
      <sheetData sheetId="3075">
        <row r="52">
          <cell r="B52" t="str">
            <v>Main Panel</v>
          </cell>
        </row>
      </sheetData>
      <sheetData sheetId="3076">
        <row r="52">
          <cell r="B52" t="str">
            <v>Main Panel</v>
          </cell>
        </row>
      </sheetData>
      <sheetData sheetId="3077"/>
      <sheetData sheetId="3078"/>
      <sheetData sheetId="3079">
        <row r="52">
          <cell r="B52" t="str">
            <v>Main Panel</v>
          </cell>
        </row>
      </sheetData>
      <sheetData sheetId="3080"/>
      <sheetData sheetId="3081"/>
      <sheetData sheetId="3082"/>
      <sheetData sheetId="3083"/>
      <sheetData sheetId="3084"/>
      <sheetData sheetId="3085"/>
      <sheetData sheetId="3086"/>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sheetData sheetId="3106"/>
      <sheetData sheetId="3107"/>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sheetData sheetId="3148"/>
      <sheetData sheetId="3149"/>
      <sheetData sheetId="3150"/>
      <sheetData sheetId="3151"/>
      <sheetData sheetId="3152"/>
      <sheetData sheetId="3153"/>
      <sheetData sheetId="3154"/>
      <sheetData sheetId="3155">
        <row r="52">
          <cell r="B52" t="str">
            <v>Main Panel</v>
          </cell>
        </row>
      </sheetData>
      <sheetData sheetId="3156">
        <row r="52">
          <cell r="B52" t="str">
            <v>Main Panel</v>
          </cell>
        </row>
      </sheetData>
      <sheetData sheetId="3157">
        <row r="52">
          <cell r="B52" t="str">
            <v>Main Panel</v>
          </cell>
        </row>
      </sheetData>
      <sheetData sheetId="3158">
        <row r="52">
          <cell r="B52" t="str">
            <v>Main Panel</v>
          </cell>
        </row>
      </sheetData>
      <sheetData sheetId="3159">
        <row r="52">
          <cell r="B52" t="str">
            <v>Main Panel</v>
          </cell>
        </row>
      </sheetData>
      <sheetData sheetId="3160">
        <row r="52">
          <cell r="B52" t="str">
            <v>Main Panel</v>
          </cell>
        </row>
      </sheetData>
      <sheetData sheetId="3161">
        <row r="52">
          <cell r="B52" t="str">
            <v>Main Panel</v>
          </cell>
        </row>
      </sheetData>
      <sheetData sheetId="3162">
        <row r="52">
          <cell r="B52" t="str">
            <v>Main Panel</v>
          </cell>
        </row>
      </sheetData>
      <sheetData sheetId="3163"/>
      <sheetData sheetId="3164">
        <row r="52">
          <cell r="B52" t="str">
            <v>Main Panel</v>
          </cell>
        </row>
      </sheetData>
      <sheetData sheetId="3165"/>
      <sheetData sheetId="3166"/>
      <sheetData sheetId="3167">
        <row r="52">
          <cell r="B52" t="str">
            <v>Main Panel</v>
          </cell>
        </row>
      </sheetData>
      <sheetData sheetId="3168"/>
      <sheetData sheetId="3169"/>
      <sheetData sheetId="3170">
        <row r="52">
          <cell r="B52" t="str">
            <v>Main Panel</v>
          </cell>
        </row>
      </sheetData>
      <sheetData sheetId="3171">
        <row r="52">
          <cell r="B52" t="str">
            <v>Main Panel</v>
          </cell>
        </row>
      </sheetData>
      <sheetData sheetId="3172">
        <row r="52">
          <cell r="B52" t="str">
            <v>Main Panel</v>
          </cell>
        </row>
      </sheetData>
      <sheetData sheetId="3173">
        <row r="52">
          <cell r="B52" t="str">
            <v>Main Panel</v>
          </cell>
        </row>
      </sheetData>
      <sheetData sheetId="3174">
        <row r="52">
          <cell r="B52" t="str">
            <v>Main Panel</v>
          </cell>
        </row>
      </sheetData>
      <sheetData sheetId="3175">
        <row r="52">
          <cell r="B52" t="str">
            <v>Main Panel</v>
          </cell>
        </row>
      </sheetData>
      <sheetData sheetId="3176">
        <row r="52">
          <cell r="B52" t="str">
            <v>Main Panel</v>
          </cell>
        </row>
      </sheetData>
      <sheetData sheetId="3177">
        <row r="52">
          <cell r="B52" t="str">
            <v>Main Panel</v>
          </cell>
        </row>
      </sheetData>
      <sheetData sheetId="3178">
        <row r="52">
          <cell r="B52" t="str">
            <v>Main Panel</v>
          </cell>
        </row>
      </sheetData>
      <sheetData sheetId="3179">
        <row r="52">
          <cell r="B52" t="str">
            <v>Main Panel</v>
          </cell>
        </row>
      </sheetData>
      <sheetData sheetId="3180">
        <row r="52">
          <cell r="B52" t="str">
            <v>Main Panel</v>
          </cell>
        </row>
      </sheetData>
      <sheetData sheetId="3181">
        <row r="52">
          <cell r="B52" t="str">
            <v>Main Panel</v>
          </cell>
        </row>
      </sheetData>
      <sheetData sheetId="3182">
        <row r="52">
          <cell r="B52" t="str">
            <v>Main Panel</v>
          </cell>
        </row>
      </sheetData>
      <sheetData sheetId="3183">
        <row r="52">
          <cell r="B52" t="str">
            <v>Main Panel</v>
          </cell>
        </row>
      </sheetData>
      <sheetData sheetId="3184">
        <row r="52">
          <cell r="B52" t="str">
            <v>Main Panel</v>
          </cell>
        </row>
      </sheetData>
      <sheetData sheetId="3185">
        <row r="52">
          <cell r="B52" t="str">
            <v>Main Panel</v>
          </cell>
        </row>
      </sheetData>
      <sheetData sheetId="3186">
        <row r="52">
          <cell r="B52" t="str">
            <v>Main Panel</v>
          </cell>
        </row>
      </sheetData>
      <sheetData sheetId="3187">
        <row r="52">
          <cell r="B52" t="str">
            <v>Main Panel</v>
          </cell>
        </row>
      </sheetData>
      <sheetData sheetId="3188">
        <row r="52">
          <cell r="B52" t="str">
            <v>Main Panel</v>
          </cell>
        </row>
      </sheetData>
      <sheetData sheetId="3189">
        <row r="52">
          <cell r="B52" t="str">
            <v>Main Panel</v>
          </cell>
        </row>
      </sheetData>
      <sheetData sheetId="3190">
        <row r="52">
          <cell r="B52" t="str">
            <v>Main Panel</v>
          </cell>
        </row>
      </sheetData>
      <sheetData sheetId="3191">
        <row r="52">
          <cell r="B52" t="str">
            <v>Main Panel</v>
          </cell>
        </row>
      </sheetData>
      <sheetData sheetId="3192">
        <row r="52">
          <cell r="B52" t="str">
            <v>Main Panel</v>
          </cell>
        </row>
      </sheetData>
      <sheetData sheetId="3193">
        <row r="52">
          <cell r="B52" t="str">
            <v>Main Panel</v>
          </cell>
        </row>
      </sheetData>
      <sheetData sheetId="3194">
        <row r="52">
          <cell r="B52" t="str">
            <v>Main Panel</v>
          </cell>
        </row>
      </sheetData>
      <sheetData sheetId="3195">
        <row r="52">
          <cell r="B52" t="str">
            <v>Main Panel</v>
          </cell>
        </row>
      </sheetData>
      <sheetData sheetId="3196">
        <row r="52">
          <cell r="B52" t="str">
            <v>Main Panel</v>
          </cell>
        </row>
      </sheetData>
      <sheetData sheetId="3197">
        <row r="52">
          <cell r="B52" t="str">
            <v>Main Panel</v>
          </cell>
        </row>
      </sheetData>
      <sheetData sheetId="3198">
        <row r="52">
          <cell r="B52" t="str">
            <v>Main Panel</v>
          </cell>
        </row>
      </sheetData>
      <sheetData sheetId="3199">
        <row r="52">
          <cell r="B52" t="str">
            <v>Main Panel</v>
          </cell>
        </row>
      </sheetData>
      <sheetData sheetId="3200">
        <row r="52">
          <cell r="B52" t="str">
            <v>Main Panel</v>
          </cell>
        </row>
      </sheetData>
      <sheetData sheetId="3201"/>
      <sheetData sheetId="3202">
        <row r="52">
          <cell r="B52" t="str">
            <v>Main Panel</v>
          </cell>
        </row>
      </sheetData>
      <sheetData sheetId="3203"/>
      <sheetData sheetId="3204"/>
      <sheetData sheetId="3205">
        <row r="52">
          <cell r="B52" t="str">
            <v>Main Panel</v>
          </cell>
        </row>
      </sheetData>
      <sheetData sheetId="3206"/>
      <sheetData sheetId="3207"/>
      <sheetData sheetId="3208"/>
      <sheetData sheetId="3209">
        <row r="52">
          <cell r="B52" t="str">
            <v>Main Panel</v>
          </cell>
        </row>
      </sheetData>
      <sheetData sheetId="3210">
        <row r="52">
          <cell r="B52" t="str">
            <v>Main Panel</v>
          </cell>
        </row>
      </sheetData>
      <sheetData sheetId="3211"/>
      <sheetData sheetId="3212"/>
      <sheetData sheetId="3213"/>
      <sheetData sheetId="3214"/>
      <sheetData sheetId="3215"/>
      <sheetData sheetId="3216"/>
      <sheetData sheetId="3217"/>
      <sheetData sheetId="3218">
        <row r="52">
          <cell r="B52" t="str">
            <v>Main Panel</v>
          </cell>
        </row>
      </sheetData>
      <sheetData sheetId="3219">
        <row r="52">
          <cell r="B52" t="str">
            <v>Main Panel</v>
          </cell>
        </row>
      </sheetData>
      <sheetData sheetId="3220">
        <row r="52">
          <cell r="B52" t="str">
            <v>Main Panel</v>
          </cell>
        </row>
      </sheetData>
      <sheetData sheetId="3221">
        <row r="52">
          <cell r="B52" t="str">
            <v>Main Panel</v>
          </cell>
        </row>
      </sheetData>
      <sheetData sheetId="3222">
        <row r="52">
          <cell r="B52" t="str">
            <v>Main Panel</v>
          </cell>
        </row>
      </sheetData>
      <sheetData sheetId="3223">
        <row r="52">
          <cell r="B52" t="str">
            <v>Main Panel</v>
          </cell>
        </row>
      </sheetData>
      <sheetData sheetId="3224">
        <row r="52">
          <cell r="B52" t="str">
            <v>Main Panel</v>
          </cell>
        </row>
      </sheetData>
      <sheetData sheetId="3225">
        <row r="52">
          <cell r="B52" t="str">
            <v>Main Panel</v>
          </cell>
        </row>
      </sheetData>
      <sheetData sheetId="3226">
        <row r="52">
          <cell r="B52" t="str">
            <v>Main Panel</v>
          </cell>
        </row>
      </sheetData>
      <sheetData sheetId="3227">
        <row r="52">
          <cell r="B52" t="str">
            <v>Main Panel</v>
          </cell>
        </row>
      </sheetData>
      <sheetData sheetId="3228">
        <row r="52">
          <cell r="B52" t="str">
            <v>Main Panel</v>
          </cell>
        </row>
      </sheetData>
      <sheetData sheetId="3229">
        <row r="52">
          <cell r="B52" t="str">
            <v>Main Panel</v>
          </cell>
        </row>
      </sheetData>
      <sheetData sheetId="3230"/>
      <sheetData sheetId="3231">
        <row r="52">
          <cell r="B52" t="str">
            <v>Main Panel</v>
          </cell>
        </row>
      </sheetData>
      <sheetData sheetId="3232">
        <row r="52">
          <cell r="B52" t="str">
            <v>Main Panel</v>
          </cell>
        </row>
      </sheetData>
      <sheetData sheetId="3233">
        <row r="52">
          <cell r="B52" t="str">
            <v>Main Panel</v>
          </cell>
        </row>
      </sheetData>
      <sheetData sheetId="3234">
        <row r="52">
          <cell r="B52" t="str">
            <v>Main Panel</v>
          </cell>
        </row>
      </sheetData>
      <sheetData sheetId="3235">
        <row r="52">
          <cell r="B52" t="str">
            <v>Main Panel</v>
          </cell>
        </row>
      </sheetData>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row r="52">
          <cell r="B52" t="str">
            <v>Main Panel</v>
          </cell>
        </row>
      </sheetData>
      <sheetData sheetId="3251">
        <row r="52">
          <cell r="B52" t="str">
            <v>Main Panel</v>
          </cell>
        </row>
      </sheetData>
      <sheetData sheetId="3252">
        <row r="52">
          <cell r="B52" t="str">
            <v>Main Panel</v>
          </cell>
        </row>
      </sheetData>
      <sheetData sheetId="3253"/>
      <sheetData sheetId="3254">
        <row r="52">
          <cell r="B52" t="str">
            <v>Main Panel</v>
          </cell>
        </row>
      </sheetData>
      <sheetData sheetId="3255"/>
      <sheetData sheetId="3256"/>
      <sheetData sheetId="3257"/>
      <sheetData sheetId="3258"/>
      <sheetData sheetId="3259">
        <row r="52">
          <cell r="B52" t="str">
            <v>Main Panel</v>
          </cell>
        </row>
      </sheetData>
      <sheetData sheetId="3260">
        <row r="52">
          <cell r="B52" t="str">
            <v>Main Panel</v>
          </cell>
        </row>
      </sheetData>
      <sheetData sheetId="3261"/>
      <sheetData sheetId="3262"/>
      <sheetData sheetId="3263"/>
      <sheetData sheetId="3264">
        <row r="52">
          <cell r="B52" t="str">
            <v>Main Panel</v>
          </cell>
        </row>
      </sheetData>
      <sheetData sheetId="3265"/>
      <sheetData sheetId="3266"/>
      <sheetData sheetId="3267"/>
      <sheetData sheetId="3268"/>
      <sheetData sheetId="3269"/>
      <sheetData sheetId="3270"/>
      <sheetData sheetId="3271"/>
      <sheetData sheetId="3272">
        <row r="52">
          <cell r="B52" t="str">
            <v>Main Panel</v>
          </cell>
        </row>
      </sheetData>
      <sheetData sheetId="3273">
        <row r="52">
          <cell r="B52" t="str">
            <v>Main Panel</v>
          </cell>
        </row>
      </sheetData>
      <sheetData sheetId="3274">
        <row r="52">
          <cell r="B52" t="str">
            <v>Main Panel</v>
          </cell>
        </row>
      </sheetData>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refreshError="1"/>
      <sheetData sheetId="3335" refreshError="1"/>
      <sheetData sheetId="3336" refreshError="1"/>
      <sheetData sheetId="3337" refreshError="1"/>
      <sheetData sheetId="3338" refreshError="1"/>
      <sheetData sheetId="3339"/>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sheetData sheetId="3518"/>
      <sheetData sheetId="3519" refreshError="1"/>
      <sheetData sheetId="3520"/>
      <sheetData sheetId="3521"/>
      <sheetData sheetId="3522"/>
      <sheetData sheetId="3523"/>
      <sheetData sheetId="3524"/>
      <sheetData sheetId="3525"/>
      <sheetData sheetId="3526"/>
      <sheetData sheetId="3527"/>
      <sheetData sheetId="3528"/>
      <sheetData sheetId="3529">
        <row r="52">
          <cell r="B52" t="str">
            <v>Main Panel</v>
          </cell>
        </row>
      </sheetData>
      <sheetData sheetId="3530">
        <row r="52">
          <cell r="B52" t="str">
            <v>Main Panel</v>
          </cell>
        </row>
      </sheetData>
      <sheetData sheetId="3531">
        <row r="52">
          <cell r="B52" t="str">
            <v>Main Panel</v>
          </cell>
        </row>
      </sheetData>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row r="52">
          <cell r="B52" t="str">
            <v>Main Panel</v>
          </cell>
        </row>
      </sheetData>
      <sheetData sheetId="3577">
        <row r="52">
          <cell r="B52" t="str">
            <v>Main Panel</v>
          </cell>
        </row>
      </sheetData>
      <sheetData sheetId="3578"/>
      <sheetData sheetId="3579"/>
      <sheetData sheetId="3580" refreshError="1"/>
      <sheetData sheetId="3581" refreshError="1"/>
      <sheetData sheetId="3582" refreshError="1"/>
      <sheetData sheetId="3583" refreshError="1"/>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sheetData sheetId="3621"/>
      <sheetData sheetId="3622"/>
      <sheetData sheetId="3623" refreshError="1"/>
      <sheetData sheetId="3624" refreshError="1"/>
      <sheetData sheetId="3625" refreshError="1"/>
      <sheetData sheetId="3626" refreshError="1"/>
      <sheetData sheetId="3627"/>
      <sheetData sheetId="3628"/>
      <sheetData sheetId="3629"/>
      <sheetData sheetId="3630"/>
      <sheetData sheetId="3631"/>
      <sheetData sheetId="3632"/>
      <sheetData sheetId="3633"/>
      <sheetData sheetId="3634"/>
      <sheetData sheetId="3635"/>
      <sheetData sheetId="3636" refreshError="1"/>
      <sheetData sheetId="3637" refreshError="1"/>
      <sheetData sheetId="3638" refreshError="1"/>
      <sheetData sheetId="3639" refreshError="1"/>
      <sheetData sheetId="3640" refreshError="1"/>
      <sheetData sheetId="3641"/>
      <sheetData sheetId="3642"/>
      <sheetData sheetId="3643"/>
      <sheetData sheetId="3644"/>
      <sheetData sheetId="3645"/>
      <sheetData sheetId="3646"/>
      <sheetData sheetId="3647">
        <row r="52">
          <cell r="B52" t="str">
            <v>Main Panel</v>
          </cell>
        </row>
      </sheetData>
      <sheetData sheetId="3648">
        <row r="52">
          <cell r="B52" t="str">
            <v>Main Panel</v>
          </cell>
        </row>
      </sheetData>
      <sheetData sheetId="3649">
        <row r="52">
          <cell r="B52" t="str">
            <v>Main Panel</v>
          </cell>
        </row>
      </sheetData>
      <sheetData sheetId="3650">
        <row r="52">
          <cell r="B52" t="str">
            <v>Main Panel</v>
          </cell>
        </row>
      </sheetData>
      <sheetData sheetId="3651">
        <row r="52">
          <cell r="B52" t="str">
            <v>Main Panel</v>
          </cell>
        </row>
      </sheetData>
      <sheetData sheetId="3652">
        <row r="52">
          <cell r="B52" t="str">
            <v>Main Panel</v>
          </cell>
        </row>
      </sheetData>
      <sheetData sheetId="3653">
        <row r="52">
          <cell r="B52" t="str">
            <v>Main Panel</v>
          </cell>
        </row>
      </sheetData>
      <sheetData sheetId="3654">
        <row r="52">
          <cell r="B52" t="str">
            <v>Main Panel</v>
          </cell>
        </row>
      </sheetData>
      <sheetData sheetId="3655">
        <row r="52">
          <cell r="B52" t="str">
            <v>Main Panel</v>
          </cell>
        </row>
      </sheetData>
      <sheetData sheetId="3656">
        <row r="52">
          <cell r="B52" t="str">
            <v>Main Panel</v>
          </cell>
        </row>
      </sheetData>
      <sheetData sheetId="3657">
        <row r="52">
          <cell r="B52" t="str">
            <v>Main Panel</v>
          </cell>
        </row>
      </sheetData>
      <sheetData sheetId="3658">
        <row r="52">
          <cell r="B52" t="str">
            <v>Main Panel</v>
          </cell>
        </row>
      </sheetData>
      <sheetData sheetId="3659"/>
      <sheetData sheetId="3660"/>
      <sheetData sheetId="3661">
        <row r="52">
          <cell r="B52" t="str">
            <v>Main Panel</v>
          </cell>
        </row>
      </sheetData>
      <sheetData sheetId="3662"/>
      <sheetData sheetId="3663"/>
      <sheetData sheetId="3664">
        <row r="52">
          <cell r="B52" t="str">
            <v>Main Panel</v>
          </cell>
        </row>
      </sheetData>
      <sheetData sheetId="3665">
        <row r="52">
          <cell r="B52" t="str">
            <v>Main Panel</v>
          </cell>
        </row>
      </sheetData>
      <sheetData sheetId="3666">
        <row r="52">
          <cell r="B52" t="str">
            <v>Main Panel</v>
          </cell>
        </row>
      </sheetData>
      <sheetData sheetId="3667">
        <row r="52">
          <cell r="B52" t="str">
            <v>Main Panel</v>
          </cell>
        </row>
      </sheetData>
      <sheetData sheetId="3668">
        <row r="52">
          <cell r="B52" t="str">
            <v>Main Panel</v>
          </cell>
        </row>
      </sheetData>
      <sheetData sheetId="3669">
        <row r="52">
          <cell r="B52" t="str">
            <v>Main Panel</v>
          </cell>
        </row>
      </sheetData>
      <sheetData sheetId="3670">
        <row r="52">
          <cell r="B52" t="str">
            <v>Main Panel</v>
          </cell>
        </row>
      </sheetData>
      <sheetData sheetId="3671">
        <row r="52">
          <cell r="B52" t="str">
            <v>Main Panel</v>
          </cell>
        </row>
      </sheetData>
      <sheetData sheetId="3672">
        <row r="52">
          <cell r="B52" t="str">
            <v>Main Panel</v>
          </cell>
        </row>
      </sheetData>
      <sheetData sheetId="3673">
        <row r="52">
          <cell r="B52" t="str">
            <v>Main Panel</v>
          </cell>
        </row>
      </sheetData>
      <sheetData sheetId="3674">
        <row r="52">
          <cell r="B52" t="str">
            <v>Main Panel</v>
          </cell>
        </row>
      </sheetData>
      <sheetData sheetId="3675">
        <row r="52">
          <cell r="B52" t="str">
            <v>Main Panel</v>
          </cell>
        </row>
      </sheetData>
      <sheetData sheetId="3676">
        <row r="52">
          <cell r="B52" t="str">
            <v>Main Panel</v>
          </cell>
        </row>
      </sheetData>
      <sheetData sheetId="3677">
        <row r="52">
          <cell r="B52" t="str">
            <v>Main Panel</v>
          </cell>
        </row>
      </sheetData>
      <sheetData sheetId="3678">
        <row r="52">
          <cell r="B52" t="str">
            <v>Main Panel</v>
          </cell>
        </row>
      </sheetData>
      <sheetData sheetId="3679">
        <row r="52">
          <cell r="B52" t="str">
            <v>Main Panel</v>
          </cell>
        </row>
      </sheetData>
      <sheetData sheetId="3680">
        <row r="52">
          <cell r="B52" t="str">
            <v>Main Panel</v>
          </cell>
        </row>
      </sheetData>
      <sheetData sheetId="3681"/>
      <sheetData sheetId="3682"/>
      <sheetData sheetId="3683"/>
      <sheetData sheetId="3684"/>
      <sheetData sheetId="3685"/>
      <sheetData sheetId="3686"/>
      <sheetData sheetId="3687"/>
      <sheetData sheetId="3688"/>
      <sheetData sheetId="3689"/>
      <sheetData sheetId="3690">
        <row r="52">
          <cell r="B52" t="str">
            <v>Main Panel</v>
          </cell>
        </row>
      </sheetData>
      <sheetData sheetId="3691">
        <row r="52">
          <cell r="B52" t="str">
            <v>Main Panel</v>
          </cell>
        </row>
      </sheetData>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sheetData sheetId="3723"/>
      <sheetData sheetId="3724"/>
      <sheetData sheetId="3725"/>
      <sheetData sheetId="3726" refreshError="1"/>
      <sheetData sheetId="3727" refreshError="1"/>
      <sheetData sheetId="3728" refreshError="1"/>
      <sheetData sheetId="3729"/>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sheetData sheetId="3753" refreshError="1"/>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row r="52">
          <cell r="B52" t="str">
            <v>Main Panel</v>
          </cell>
        </row>
      </sheetData>
      <sheetData sheetId="3809">
        <row r="52">
          <cell r="B52" t="str">
            <v>Main Panel</v>
          </cell>
        </row>
      </sheetData>
      <sheetData sheetId="3810">
        <row r="52">
          <cell r="B52" t="str">
            <v>Main Panel</v>
          </cell>
        </row>
      </sheetData>
      <sheetData sheetId="3811">
        <row r="52">
          <cell r="B52" t="str">
            <v>Main Panel</v>
          </cell>
        </row>
      </sheetData>
      <sheetData sheetId="3812"/>
      <sheetData sheetId="3813"/>
      <sheetData sheetId="3814"/>
      <sheetData sheetId="3815">
        <row r="52">
          <cell r="B52" t="str">
            <v>Main Panel</v>
          </cell>
        </row>
      </sheetData>
      <sheetData sheetId="3816">
        <row r="52">
          <cell r="B52" t="str">
            <v>Main Panel</v>
          </cell>
        </row>
      </sheetData>
      <sheetData sheetId="3817">
        <row r="52">
          <cell r="B52" t="str">
            <v>Main Panel</v>
          </cell>
        </row>
      </sheetData>
      <sheetData sheetId="3818">
        <row r="52">
          <cell r="B52" t="str">
            <v>Main Panel</v>
          </cell>
        </row>
      </sheetData>
      <sheetData sheetId="3819">
        <row r="52">
          <cell r="B52" t="str">
            <v>Main Panel</v>
          </cell>
        </row>
      </sheetData>
      <sheetData sheetId="3820">
        <row r="52">
          <cell r="B52" t="str">
            <v>Main Panel</v>
          </cell>
        </row>
      </sheetData>
      <sheetData sheetId="3821">
        <row r="52">
          <cell r="B52" t="str">
            <v>Main Panel</v>
          </cell>
        </row>
      </sheetData>
      <sheetData sheetId="3822">
        <row r="52">
          <cell r="B52" t="str">
            <v>Main Panel</v>
          </cell>
        </row>
      </sheetData>
      <sheetData sheetId="3823">
        <row r="52">
          <cell r="B52" t="str">
            <v>Main Panel</v>
          </cell>
        </row>
      </sheetData>
      <sheetData sheetId="3824">
        <row r="52">
          <cell r="B52" t="str">
            <v>Main Panel</v>
          </cell>
        </row>
      </sheetData>
      <sheetData sheetId="3825">
        <row r="52">
          <cell r="B52" t="str">
            <v>Main Panel</v>
          </cell>
        </row>
      </sheetData>
      <sheetData sheetId="3826">
        <row r="52">
          <cell r="B52" t="str">
            <v>Main Panel</v>
          </cell>
        </row>
      </sheetData>
      <sheetData sheetId="3827">
        <row r="52">
          <cell r="B52" t="str">
            <v>Main Panel</v>
          </cell>
        </row>
      </sheetData>
      <sheetData sheetId="3828">
        <row r="52">
          <cell r="B52" t="str">
            <v>Main Panel</v>
          </cell>
        </row>
      </sheetData>
      <sheetData sheetId="3829">
        <row r="52">
          <cell r="B52" t="str">
            <v>Main Panel</v>
          </cell>
        </row>
      </sheetData>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row r="52">
          <cell r="B52" t="str">
            <v>Main Panel</v>
          </cell>
        </row>
      </sheetData>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refreshError="1"/>
      <sheetData sheetId="4080"/>
      <sheetData sheetId="408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sheetData sheetId="4118" refreshError="1"/>
      <sheetData sheetId="4119" refreshError="1"/>
      <sheetData sheetId="4120" refreshError="1"/>
      <sheetData sheetId="4121" refreshError="1"/>
      <sheetData sheetId="4122"/>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E ANAL"/>
      <sheetName val="#REF"/>
      <sheetName val="Key Ratios"/>
      <sheetName val="collections plan 0401"/>
      <sheetName val="Insight"/>
      <sheetName val="Sheet1"/>
      <sheetName val="Consumer Fraud"/>
      <sheetName val="Exempt"/>
      <sheetName val="Cons Recov Rates"/>
      <sheetName val="Consumer Supps"/>
      <sheetName val="Consumer Outbound"/>
      <sheetName val="FY Loss Frcst"/>
      <sheetName val="Avoidance "/>
      <sheetName val="Variance"/>
      <sheetName val="IRP all H2s"/>
      <sheetName val="FTE Totals_Plan"/>
      <sheetName val="ATM-Debit Fraud"/>
      <sheetName val="Credit Fraud Total"/>
      <sheetName val="Consumer"/>
      <sheetName val="Commercial"/>
      <sheetName val="Government"/>
      <sheetName val="Exec admin"/>
      <sheetName val="Total Card Coll"/>
      <sheetName val="Card Fraud"/>
      <sheetName val="Auto Collections"/>
      <sheetName val="Recovery"/>
      <sheetName val="Greensboro Coll"/>
      <sheetName val="Jacksonville Coll"/>
      <sheetName val="Business Support Group"/>
      <sheetName val="CIM"/>
      <sheetName val="PSD"/>
      <sheetName val="OP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DEC-MEMO"/>
      <sheetName val="Scope of supply"/>
      <sheetName val="Dep"/>
      <sheetName val="BS Schdl- 1 &amp; 2"/>
      <sheetName val="CRITERIA1"/>
      <sheetName val="Sales"/>
      <sheetName val="CN Detail"/>
      <sheetName val="BS Schdl-3-Fixed Assets"/>
      <sheetName val="April'00"/>
      <sheetName val="WORKINGS"/>
      <sheetName val="ANNEXURE 5 c"/>
      <sheetName val="21 (i)(B)(b)"/>
      <sheetName val="remittance"/>
      <sheetName val="EXPENSES"/>
      <sheetName val="TDS Entries Apr to Sept"/>
      <sheetName val="laroux"/>
      <sheetName val="XXXXXXXXXXXXX"/>
      <sheetName val="XXXXXX"/>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Retirals"/>
      <sheetName val="provision for new Salary"/>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Planning Materiality Mar 06"/>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k"/>
      <sheetName val="l"/>
      <sheetName val="o"/>
      <sheetName val="MODEL"/>
      <sheetName val="Cabinet details"/>
      <sheetName val="TDS"/>
      <sheetName val="Sheet2 (3)"/>
      <sheetName val="Sheet2 (2)"/>
      <sheetName val="TDS_Deposi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c "/>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Summary"/>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Sheet4"/>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Initial"/>
      <sheetName val="Precalculation"/>
      <sheetName val="list_-_do_not_delete"/>
      <sheetName val="Makro1"/>
      <sheetName val="CON"/>
      <sheetName val="Erlang and Infra"/>
      <sheetName val="GSM"/>
      <sheetName val="Network Summary"/>
      <sheetName val="Prices"/>
      <sheetName val="Calc"/>
      <sheetName val="Parameters"/>
      <sheetName val="Cash-Flow Statement"/>
      <sheetName val="CFS-vol base eng"/>
      <sheetName val="Cash-Flow Base"/>
      <sheetName val="AR-Danone (PS)"/>
      <sheetName val="Appendix - Joao Carlos ar"/>
      <sheetName val="Data"/>
      <sheetName val="Other Assumptions &amp; Parameters"/>
      <sheetName val="CFS-consolidated Danone"/>
      <sheetName val="Market Context"/>
      <sheetName val="AR-Danone (Act)"/>
      <sheetName val="Sales-Mktg Assumptions"/>
      <sheetName val="CFS-consolidated Minalba"/>
      <sheetName val="AR-Indaia (Aro)"/>
      <sheetName val="Assumptions"/>
      <sheetName val="ETERNITE ( HOD SP)"/>
      <sheetName val="AR-Consol Ald + Danone SP tot"/>
      <sheetName val="AR syst Danone Office"/>
      <sheetName val="fiche calcul Syst Danone Home"/>
      <sheetName val="Cash-Flow_Statement"/>
      <sheetName val="CFS-vol_base_eng"/>
      <sheetName val="Cash-Flow_Base"/>
      <sheetName val="AR-Danone_(PS)"/>
      <sheetName val="Appendix_-_Joao_Carlos_ar"/>
      <sheetName val="Other_Assumptions_&amp;_Parameters"/>
      <sheetName val="CFS-consolidated_Danone"/>
      <sheetName val="Balance_Sheet"/>
      <sheetName val="Market_Context"/>
      <sheetName val="AR-Danone_(Act)"/>
      <sheetName val="Sales-Mktg_Assumptions"/>
      <sheetName val="CFS-consolidated_Minalba"/>
      <sheetName val="AR-Indaia_(Aro)"/>
      <sheetName val="ETERNITE_(_HOD_SP)"/>
      <sheetName val="AR-Consol_Ald_+_Danone_SP_tot"/>
      <sheetName val="AR_syst_Danone_Office"/>
      <sheetName val="fiche_calcul_Syst_Danone_Home"/>
      <sheetName val="Plant"/>
      <sheetName val="Dt Base"/>
      <sheetName val="PARAMETRES"/>
      <sheetName val="RMM"/>
      <sheetName val="Feuil2"/>
      <sheetName val="MtM Forecasts Budget"/>
      <sheetName val="PECO IR"/>
      <sheetName val="ASIA IR"/>
      <sheetName val="P&amp;L"/>
      <sheetName val="Listes"/>
      <sheetName val="AJUSTES"/>
      <sheetName val="_x005f_x0000_Database_ _2_. Exceeded "/>
      <sheetName val="௔按਱ဵ_x005f_x0000__x005f_x0000_"/>
      <sheetName val="1-11%20MOI.xls_x005f_x0000__x005f_x0000__x"/>
      <sheetName val="Database_ _2_. Exceeded number "/>
      <sheetName val="ttings_purnima_Application Data"/>
      <sheetName val="BSNL services"/>
      <sheetName val="Basic_information"/>
      <sheetName val="prod.inventory"/>
      <sheetName val="_x0000_Database_ _2_. Exceeded "/>
      <sheetName val="1-11%20MOI.xls_x0000__x0000__x"/>
      <sheetName val="For reference June"/>
      <sheetName val="sdrs_mar"/>
      <sheetName val="Pur"/>
      <sheetName val="A-Eingang Laender (ändert)"/>
      <sheetName val="Cash-Flow (offen)"/>
      <sheetName val="U-Erloese Laender(ändert)"/>
      <sheetName val="XREF"/>
      <sheetName val="1-11%20MOI.xls"/>
      <sheetName val="Main Menu"/>
      <sheetName val="2005useless"/>
      <sheetName val="Lead"/>
      <sheetName val="账龄分析表"/>
      <sheetName val="A"/>
      <sheetName val="Adjustment Entries-Final"/>
      <sheetName val="Stock Chart"/>
      <sheetName val="ImportData"/>
      <sheetName val="ROIPRO01"/>
      <sheetName val="B30"/>
      <sheetName val="Movem. in fixed assets - Depr."/>
      <sheetName val="损益表"/>
      <sheetName val="TOD"/>
      <sheetName val="wdr bldg"/>
      <sheetName val="BS_Groupings"/>
      <sheetName val="PL_Groupings"/>
      <sheetName val="Finance_IT_&amp;_Pro_(2)"/>
      <sheetName val="BS_(2)"/>
      <sheetName val="Erlang_and_Infra"/>
      <sheetName val="Network_Summary"/>
      <sheetName val="LOCAL_FAR_TIL_JUL10_(2)"/>
      <sheetName val="P&amp;L_(2)"/>
      <sheetName val="ANNEXURE_5_c"/>
      <sheetName val="21_(i)(B)(b)"/>
      <sheetName val="TDS_Entries_Apr_to_Sept"/>
      <sheetName val="Database:_[2]__Exceeded_number"/>
      <sheetName val="ERE_`ODBCDriver`_`Component_`_="/>
      <sheetName val="elfReg`,_`FileAction`_Where_`Se"/>
      <sheetName val="௔按਱ဵ"/>
      <sheetName val="1-11%20MOI_xls_x000a_ň"/>
      <sheetName val="Database:_[2]__Exceeded_number_"/>
      <sheetName val="1-11%20MOI_xls_x000a_ňӤ"/>
      <sheetName val="provision_for_new_Salary"/>
      <sheetName val="Dept_Score-Assoc-Avg_Dept_Wise"/>
      <sheetName val="Dept_Score-Assoc-Avg_Dept_W_(2)"/>
      <sheetName val="Encl_II"/>
      <sheetName val="Other_notes"/>
      <sheetName val="Scope_of_supply"/>
      <sheetName val="BS_Schdl-_1_&amp;_2"/>
      <sheetName val="Enclosure_XV_(2)"/>
      <sheetName val="Enclosure_X_contd"/>
      <sheetName val="Clause_20"/>
      <sheetName val="Enclosure_VIII"/>
      <sheetName val="GS_Master"/>
      <sheetName val="Summary_model"/>
      <sheetName val="model_by_field"/>
      <sheetName val="Crude_oil"/>
      <sheetName val="Block_A"/>
      <sheetName val="W_Natuna"/>
      <sheetName val="Valuation_(F)"/>
      <sheetName val="Valuation_2"/>
      <sheetName val="Adjusted_data"/>
      <sheetName val="WRLD_EXPN"/>
      <sheetName val="Factoring_Accrual_Summary"/>
      <sheetName val="ttings\purnima\Application_Data"/>
      <sheetName val="OM_except_Sales_Mat_Intcom"/>
      <sheetName val="Inv_(2)"/>
      <sheetName val="FIFO_Reval"/>
      <sheetName val="IT_PPV"/>
      <sheetName val="Print_Controls"/>
      <sheetName val="fiannce_breakup_cost"/>
      <sheetName val="IOB_Bank_Statement"/>
      <sheetName val="Premature_falied_details_"/>
      <sheetName val="Freight_Summary"/>
      <sheetName val="CSIMS_Sales"/>
      <sheetName val="Csims_Dispatches"/>
      <sheetName val="CSIM_"/>
      <sheetName val="4230004000_Discount"/>
      <sheetName val="Discount_Summary"/>
      <sheetName val="4230001000_Freight"/>
      <sheetName val="4214000300_I_C_Sales_GEB_LAM"/>
      <sheetName val="4212001900_Sales_adjusts"/>
      <sheetName val="Sales_Summary"/>
      <sheetName val="Corporate_MARS_COA"/>
      <sheetName val="ANN_9"/>
      <sheetName val="DIR_REMN"/>
      <sheetName val="80IA_(CONT)"/>
      <sheetName val="80_IA"/>
      <sheetName val="Raw_Material-old"/>
      <sheetName val="By_Product"/>
      <sheetName val="80_HHC"/>
      <sheetName val="Consolidated_Trial_Bal"/>
      <sheetName val="trial_bal_ibhq"/>
      <sheetName val="ibhq_cash_sum"/>
      <sheetName val="current_cash_tr"/>
      <sheetName val="Qtrly_analysis_"/>
      <sheetName val="Forecast_2001-02"/>
      <sheetName val="2001-02_monthly_pack"/>
      <sheetName val="QIS_Form_No_II"/>
      <sheetName val="Dep_Trading"/>
      <sheetName val="monthly_tdg"/>
      <sheetName val="head_count"/>
      <sheetName val="Cabinet_details"/>
      <sheetName val="Planning_Materiality_Mar_06"/>
      <sheetName val="Sheet2_(3)"/>
      <sheetName val="Sheet2_(2)"/>
      <sheetName val="CN_Detail"/>
      <sheetName val="Cash-Flow_Statement1"/>
      <sheetName val="CFS-vol_base_eng1"/>
      <sheetName val="Cash-Flow_Base1"/>
      <sheetName val="AR-Danone_(PS)1"/>
      <sheetName val="Appendix_-_Joao_Carlos_ar1"/>
      <sheetName val="Other_Assumptions_&amp;_Parameters1"/>
      <sheetName val="CFS-consolidated_Danone1"/>
      <sheetName val="Balance_Sheet1"/>
      <sheetName val="Market_Context1"/>
      <sheetName val="AR-Danone_(Act)1"/>
      <sheetName val="Sales-Mktg_Assumptions1"/>
      <sheetName val="CFS-consolidated_Minalba1"/>
      <sheetName val="AR-Indaia_(Aro)1"/>
      <sheetName val="ETERNITE_(_HOD_SP)1"/>
      <sheetName val="AR-Consol_Ald_+_Danone_SP_tot1"/>
      <sheetName val="AR_syst_Danone_Office1"/>
      <sheetName val="fiche_calcul_Syst_Danone_Home1"/>
      <sheetName val="Dt_Base"/>
      <sheetName val="MtM_Forecasts_Budget"/>
      <sheetName val="PECO_IR"/>
      <sheetName val="ASIA_IR"/>
      <sheetName val="_x005f_x0000_Database___2___Exceeded_"/>
      <sheetName val="1-11%20MOI_xls_x005f_x0000__x005f_x0000__x"/>
      <sheetName val="Database___2___Exceeded_number_"/>
      <sheetName val="ttings_purnima_Application_Data"/>
      <sheetName val="BSNL_services"/>
      <sheetName val="Database___2___Exceeded_"/>
      <sheetName val="1-11%20MOI_xls_x"/>
      <sheetName val="For_reference_June"/>
      <sheetName val="A-Eingang_Laender_(ändert)"/>
      <sheetName val="Cash-Flow_(offen)"/>
      <sheetName val="U-Erloese_Laender(ändert)"/>
      <sheetName val="1-11%20MOI_xls"/>
      <sheetName val="prod_inventory"/>
      <sheetName val="Main_Menu"/>
      <sheetName val="Adjustment_Entries-Final"/>
      <sheetName val="Stock_Chart"/>
      <sheetName val="Movem__in_fixed_assets_-_Depr_"/>
      <sheetName val="wdr_bldg"/>
      <sheetName val="India $Mn"/>
      <sheetName val="MIS-1"/>
      <sheetName val="Summary -  International "/>
      <sheetName val="14 old"/>
      <sheetName val="PROFIT_LOSS"/>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W"/>
      <sheetName val="III"/>
      <sheetName val="J"/>
      <sheetName val="N"/>
      <sheetName val="BS"/>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uly%202010%20Aug%205,%202010%20"/>
      <sheetName val="Other Info"/>
      <sheetName val="gen ledger data"/>
      <sheetName val="Sheet5"/>
      <sheetName val="receipt Reg_Nov08"/>
      <sheetName val="Price Nego(Summary) (2)"/>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Total (2)"/>
      <sheetName val="Sales Budget-2012-13"/>
      <sheetName val="Sand Control"/>
      <sheetName val="master"/>
      <sheetName val="TaxCal (2)"/>
      <sheetName val="TAX10-by SYC (12 M) (2)"/>
      <sheetName val="2003･03平均 (2)"/>
      <sheetName val="各月末"/>
      <sheetName val="2003･03平均"/>
      <sheetName val="2002･03平均"/>
      <sheetName val="PURCHASED ADDITIONS"/>
      <sheetName val="CARE(Q1)"/>
      <sheetName val="Computation 04-05"/>
      <sheetName val="ocean voyage"/>
      <sheetName val="RECAP"/>
      <sheetName val="SEPT"/>
      <sheetName val="FACT.B"/>
      <sheetName val="B 1.03.12"/>
      <sheetName val="HHML (4)"/>
      <sheetName val="Groupings"/>
      <sheetName val="Fixed_Assets"/>
      <sheetName val="BS_PL"/>
      <sheetName val="TB"/>
      <sheetName val="Sunmap"/>
      <sheetName val="Add to FA"/>
      <sheetName val="Annexuture"/>
      <sheetName val="Fixed Assets-Last year"/>
      <sheetName val="FAR_new"/>
      <sheetName val="??"/>
      <sheetName val="8"/>
      <sheetName val="Exp provn (3)"/>
      <sheetName val="consol (2)"/>
      <sheetName val="consol (3)"/>
      <sheetName val="Variance"/>
      <sheetName val="SL Schedule (2)"/>
      <sheetName val="consol (4)"/>
      <sheetName val="Check"/>
      <sheetName val="A400"/>
      <sheetName val="NOTES "/>
      <sheetName val="p-4 (2)"/>
      <sheetName val="_x0000_Database___2___Exceeded_"/>
      <sheetName val="科目余额表"/>
      <sheetName val="Fixed asset register"/>
      <sheetName val="on-hold"/>
      <sheetName val="Clearing Data Bhatti Sir"/>
      <sheetName val="p_2"/>
      <sheetName val="BASE DATI"/>
      <sheetName val="p_3"/>
      <sheetName val="p_4"/>
      <sheetName val="PROG, EV"/>
      <sheetName val="ENGG-DHDS UNIT &amp; OFFSITES"/>
      <sheetName val="MH CONSPTN"/>
      <sheetName val="MH BUDGET JAN'98"/>
      <sheetName val="15THMONTH"/>
      <sheetName val="LIRE"/>
      <sheetName val="RIEP"/>
      <sheetName val="PURCHASE-ALL"/>
      <sheetName val="BOS.20.01.03"/>
      <sheetName val="Top Sheet"/>
      <sheetName val="Top_Sheet"/>
      <sheetName val="Sch1-5"/>
      <sheetName val="Workings for notes"/>
      <sheetName val="Input selection"/>
      <sheetName val="TB CPP"/>
      <sheetName val="BREAKUP"/>
      <sheetName val="REFNCOMPARE"/>
      <sheetName val="All-Fab"/>
      <sheetName val="Ref"/>
      <sheetName val="Production forecast Short Term"/>
      <sheetName val="sap"/>
      <sheetName val="B"/>
      <sheetName val="FF-2 (1)"/>
      <sheetName val="FSA"/>
      <sheetName val="BPR"/>
      <sheetName val="FF-3"/>
      <sheetName val="65 FINANCE"/>
      <sheetName val="Profit &amp; loss"/>
      <sheetName val="FF-4"/>
      <sheetName val="FSL-1"/>
      <sheetName val="F-1&amp;F-2"/>
      <sheetName val="61 HR"/>
      <sheetName val="Kastoria"/>
      <sheetName val="Suretide"/>
      <sheetName val="ad"/>
      <sheetName val="Safetide"/>
      <sheetName val="addl cost"/>
      <sheetName val="JDE P&amp;L"/>
      <sheetName val="本部审计调整"/>
      <sheetName val="ATN-source"/>
      <sheetName val="REVISED"/>
      <sheetName val="COM"/>
      <sheetName val="accumdeprn"/>
      <sheetName val="FF-2"/>
      <sheetName val="Prod"/>
      <sheetName val="gl"/>
      <sheetName val="RM Prices - Overheads"/>
      <sheetName val="Production"/>
      <sheetName val="BUDGET2006"/>
      <sheetName val="ADD NA"/>
      <sheetName val="FF-21(a)"/>
      <sheetName val="CA-O7"/>
      <sheetName val="A2 SAD Schedule"/>
      <sheetName val="A2.1 SAD Conclusion"/>
      <sheetName val="A2.2 Reclassification Diff"/>
      <sheetName val="CA Sheet"/>
      <sheetName val="Q-HP-11"/>
      <sheetName val="4 Analysis"/>
      <sheetName val="Q-HP-18"/>
      <sheetName val="Q-HP-36"/>
      <sheetName val="Q-HP-31"/>
      <sheetName val="Q(HP)"/>
      <sheetName val="Q-HP-20"/>
      <sheetName val="Q-HP-37"/>
      <sheetName val="SCHEDULE"/>
      <sheetName val="Q-HP-39"/>
      <sheetName val="Q-HP-23"/>
      <sheetName val="Q-HP-14"/>
      <sheetName val="Q-HP-17"/>
      <sheetName val="Q-HP-16"/>
      <sheetName val="Q-HP-38"/>
      <sheetName val="Q-HP-25"/>
      <sheetName val="1 LeadSchedule"/>
      <sheetName val="FORMC94"/>
      <sheetName val="Q-HP-26"/>
      <sheetName val="Q-HP-27"/>
      <sheetName val="Audit Sch"/>
      <sheetName val="Q-HP-28"/>
      <sheetName val="Q-HP-24"/>
      <sheetName val="Q-HP-45"/>
      <sheetName val="U2 - Sales"/>
      <sheetName val="F31"/>
      <sheetName val="Q-HP-41"/>
      <sheetName val="Q-HP-33"/>
      <sheetName val="Q-HP-19"/>
      <sheetName val="Q-HP-34"/>
      <sheetName val="Q-HP-40"/>
      <sheetName val="Hp"/>
      <sheetName val="DFA"/>
      <sheetName val="Q-HP-12"/>
      <sheetName val="Q-HP-42"/>
      <sheetName val="Q-HP-30"/>
      <sheetName val="Q-HP-29"/>
      <sheetName val="Q-HP-21"/>
      <sheetName val="Q-HP-43"/>
      <sheetName val="AFA"/>
      <sheetName val="Q-HP-22"/>
      <sheetName val="MFA"/>
      <sheetName val="Q-HP-35"/>
      <sheetName val="K5-1"/>
      <sheetName val="CA"/>
      <sheetName val="COMP00"/>
      <sheetName val="Q-HP-32"/>
      <sheetName val="Q-HP-15"/>
      <sheetName val="Q-HP-44"/>
      <sheetName val="Q-HP-13"/>
      <sheetName val="pc"/>
      <sheetName val="Form No. 3CD"/>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R1040"/>
      <sheetName val="base de dados"/>
      <sheetName val="[book1.xls][book1.xls]_x0000_Database"/>
      <sheetName val="[book1.xls][book1.xls][book1.xl"/>
      <sheetName val="INDEPENDENT"/>
      <sheetName val="QTY"/>
      <sheetName val="Trial Balance (Tally)"/>
      <sheetName val="Trial Balance (Link)"/>
      <sheetName val="Ross"/>
      <sheetName val="MMR"/>
      <sheetName val="WW07-12100200"/>
      <sheetName val="FORMAT-12100200"/>
      <sheetName val="WW08-12900100"/>
      <sheetName val="FORMAT -12900100"/>
      <sheetName val="WW46 COL Long Term"/>
      <sheetName val="FORMAT - COL Long Term"/>
      <sheetName val="WW46 COL Short Term"/>
      <sheetName val="FORMAT -  COL Short Term"/>
      <sheetName val="WW46 COL FOBO"/>
      <sheetName val="FORMAT -  COL FOBO"/>
      <sheetName val="FORMAT - 12500300"/>
      <sheetName val="WW47 COL Provision"/>
      <sheetName val="FORMAT -  COL Provision"/>
      <sheetName val="WW68"/>
      <sheetName val="Ploss-april to july-02"/>
      <sheetName val="ploss-2001-02"/>
      <sheetName val="CHIPS WORKING"/>
      <sheetName val="NGPISW03 (2)"/>
      <sheetName val="(bis.0)PLANT (31 Oct 2006)final"/>
      <sheetName val="OTR.CRED."/>
      <sheetName val="B-V"/>
      <sheetName val="INC-BAL"/>
      <sheetName val="ACT DATA BASE"/>
      <sheetName val="AREAINDEX"/>
      <sheetName val="ATPREST"/>
      <sheetName val="YECALENDAR"/>
      <sheetName val="FOODOR"/>
      <sheetName val="1994FRF"/>
      <sheetName val="8.99OB"/>
      <sheetName val="MDTOT"/>
      <sheetName val="10.MD-TOB"/>
      <sheetName val="DATVAR"/>
      <sheetName val="PMIREQ"/>
      <sheetName val="98LE"/>
      <sheetName val="IVA"/>
      <sheetName val="S&amp;U OF FUNDS"/>
      <sheetName val="BALANCE"/>
      <sheetName val="Trial Balance"/>
      <sheetName val="Maytol"/>
      <sheetName val="COMICRO"/>
      <sheetName val="Co 59"/>
      <sheetName val="Assump"/>
      <sheetName val="Ann XV"/>
      <sheetName val="Bank Sort (2)"/>
      <sheetName val="Bank Sort"/>
      <sheetName val="Flat Cost"/>
      <sheetName val="ICICI JSB "/>
      <sheetName val="Int234"/>
      <sheetName val="Cost of Flat"/>
      <sheetName val="Dependencies"/>
      <sheetName val="3"/>
      <sheetName val="Attachment - 3(cont.)"/>
      <sheetName val="Attachment 9(contd)"/>
      <sheetName val="Dep Books"/>
      <sheetName val="Dep Month wise"/>
      <sheetName val="Details BS"/>
      <sheetName val="Details PL"/>
      <sheetName val="RM Consumption Schedule 11"/>
      <sheetName val="TB 01-05-03"/>
      <sheetName val="Consolidated"/>
      <sheetName val="PDCA 9"/>
      <sheetName val="Data 2003"/>
      <sheetName val="_x0000__x0000_"/>
      <sheetName val="Trennung SRE BDE NEU"/>
      <sheetName val="Clientes"/>
      <sheetName val="Sheet1_x0000_Ҩ⋨【_x0008__x0000__x0007__x0000__x0008__x0000_"/>
      <sheetName val="BS Rec Control Sheet"/>
      <sheetName val="Clause 21-1 (2)"/>
      <sheetName val="Control Sheet"/>
      <sheetName val="HYDERABAD J907"/>
      <sheetName val="Comp"/>
      <sheetName val="EEFC Account"/>
      <sheetName val="품의서"/>
      <sheetName val="Macro1"/>
      <sheetName val="BASE"/>
      <sheetName val="주행"/>
      <sheetName val="표지★"/>
      <sheetName val="MX628EX"/>
      <sheetName val="p2-1"/>
      <sheetName val="2.대외공문"/>
      <sheetName val="85872-82"/>
      <sheetName val="???"/>
      <sheetName val="표지_"/>
      <sheetName val="p2_1"/>
      <sheetName val="2_대외공문"/>
      <sheetName val="비교원가(84601-3L040)"/>
      <sheetName val="비교원가(84601-3L050)"/>
      <sheetName val="비교원가(84601-3L060)"/>
      <sheetName val="비교원가(84601-3L070)"/>
      <sheetName val="비교원가(84660-3L000)"/>
      <sheetName val="비교원가(84660-3L100)"/>
      <sheetName val="비교원가(84690-3L000)"/>
      <sheetName val="비교원가(84640-3L000)"/>
      <sheetName val="비교원가(84640-3L010)"/>
      <sheetName val="비교원가(84640-3L020)"/>
      <sheetName val="비교원가(97040-3L000)"/>
      <sheetName val="??仛"/>
      <sheetName val="??★"/>
      <sheetName val="2.????"/>
      <sheetName val="근태현황"/>
      <sheetName val="Ç°ÀÇ¼­"/>
      <sheetName val="ÁÖÇà"/>
      <sheetName val="Ç¥Áö¡Ú"/>
      <sheetName val="2.´ë¿Ü°ø¹®"/>
      <sheetName val="외주현황.wq1"/>
      <sheetName val="KFH"/>
      <sheetName val="BOOKGRAPH"/>
      <sheetName val="TRENDS"/>
      <sheetName val="Instructions"/>
      <sheetName val="COLUMNS"/>
      <sheetName val="COA- Nov  02"/>
      <sheetName val="Jan 2002"/>
      <sheetName val="Sub group code &amp; Name"/>
      <sheetName val="MAT"/>
      <sheetName val="Value IMP CIF basis"/>
      <sheetName val="Preliminary expenses"/>
      <sheetName val="FBT"/>
      <sheetName val="Trial Balance (2)"/>
      <sheetName val="GAAP"/>
      <sheetName val="Co"/>
      <sheetName val="nts (2)"/>
      <sheetName val="Reimbursement"/>
      <sheetName val="Quarters"/>
      <sheetName val="Unmatched"/>
      <sheetName val="Matched"/>
      <sheetName val="G2.5 Advance to vendors"/>
      <sheetName val="Additions upto 31-3-08"/>
      <sheetName val="Data (2)"/>
      <sheetName val="Links"/>
      <sheetName val="P&amp;L February"/>
      <sheetName val="P&amp;L Feb 2001 cumulative"/>
      <sheetName val="#2212000"/>
      <sheetName val="PROFIT"/>
      <sheetName val="Power &amp; Fuel (S)"/>
      <sheetName val="DEPN"/>
      <sheetName val="INTT"/>
      <sheetName val="CS"/>
      <sheetName val="CFS"/>
      <sheetName val="Power_&amp;_Fuel_(S)"/>
      <sheetName val="bajaj_copeland"/>
      <sheetName val="EVA1"/>
      <sheetName val="InQuart"/>
      <sheetName val="GS_Master2"/>
      <sheetName val="Summary_model2"/>
      <sheetName val="model_by_field2"/>
      <sheetName val="Crude_oil2"/>
      <sheetName val="Block_A2"/>
      <sheetName val="W_Natuna2"/>
      <sheetName val="Valuation_(F)2"/>
      <sheetName val="Valuation_22"/>
      <sheetName val="Adjusted_data2"/>
      <sheetName val="WRLD_EXPN2"/>
      <sheetName val="Power_&amp;_Fuel_(S)2"/>
      <sheetName val="GS_Master1"/>
      <sheetName val="Summary_model1"/>
      <sheetName val="model_by_field1"/>
      <sheetName val="Crude_oil1"/>
      <sheetName val="Block_A1"/>
      <sheetName val="W_Natuna1"/>
      <sheetName val="Valuation_(F)1"/>
      <sheetName val="Valuation_21"/>
      <sheetName val="Adjusted_data1"/>
      <sheetName val="WRLD_EXPN1"/>
      <sheetName val="Power_&amp;_Fuel_(S)1"/>
      <sheetName val="%_Share"/>
      <sheetName val="Financial_Services"/>
      <sheetName val="Account"/>
      <sheetName val="FEBE_Data"/>
      <sheetName val="GE6CRITERIA"/>
      <sheetName val="party"/>
      <sheetName val="Year_2"/>
      <sheetName val="部店・内容ﾏｽﾀｰ"/>
      <sheetName val="Bank"/>
      <sheetName val="ED"/>
      <sheetName val="Stats"/>
      <sheetName val="Masters"/>
      <sheetName val="BSLA"/>
      <sheetName val="Input_&amp;_Control1"/>
      <sheetName val="Volume"/>
      <sheetName val="Delinquency_(2)"/>
      <sheetName val="ＣＤＲ_Ｍ"/>
      <sheetName val="OFA"/>
      <sheetName val="OFA_Acq"/>
      <sheetName val="column"/>
      <sheetName val="Reference"/>
      <sheetName val="Criteria"/>
      <sheetName val="ccySummary"/>
      <sheetName val="Introduction"/>
      <sheetName val="Data_Tape"/>
      <sheetName val="Deal_List1"/>
      <sheetName val="12__Asset_Walk_from_Prior_Yr"/>
      <sheetName val="Cover_Sheet"/>
      <sheetName val="PackInfo"/>
      <sheetName val="ANI_Look-ups"/>
      <sheetName val="Q3_-_GECF"/>
      <sheetName val="PopCache"/>
      <sheetName val="DATA_-_INCOME_STATEMENTSII"/>
      <sheetName val="Relocation_Data"/>
      <sheetName val="IC_Interest_Payable"/>
      <sheetName val="HDFC_Std_Life"/>
      <sheetName val="SBILife"/>
      <sheetName val="Master_Sheet_"/>
      <sheetName val="Birla_Sun_Life"/>
      <sheetName val="Bajaj_Allianz"/>
      <sheetName val="Max_New_York_Life"/>
      <sheetName val="ICICI_Pru"/>
      <sheetName val="Hyp_Dump"/>
      <sheetName val="HC_Drivers_vs_plan"/>
      <sheetName val="walk_data"/>
      <sheetName val="SUMMARY_BALANCE"/>
      <sheetName val="Interface"/>
      <sheetName val="OSEBS2003-04"/>
      <sheetName val="Values"/>
      <sheetName val="ignore_0804"/>
      <sheetName val="Qtr4-00"/>
      <sheetName val="PARTY_DETAILS"/>
      <sheetName val="1118_C_I"/>
      <sheetName val="1118_C_II"/>
      <sheetName val="1118_C_III"/>
      <sheetName val="Lists"/>
      <sheetName val="ReferenceLists"/>
      <sheetName val="Input"/>
      <sheetName val="Z_report"/>
      <sheetName val="S_4_3_SAP Dump"/>
      <sheetName val="EAW Final Accounts - 99"/>
      <sheetName val="BHANDUP"/>
      <sheetName val="PLAN_FEB97"/>
      <sheetName val="Bridges"/>
      <sheetName val="Bridges (Abst)"/>
      <sheetName val="Overpass"/>
      <sheetName val="Slab Culvert"/>
      <sheetName val="Underpass"/>
      <sheetName val="Abstract"/>
      <sheetName val="Pune-Solapur"/>
      <sheetName val="ICICI"/>
      <sheetName val="HDFC"/>
      <sheetName val="5 - CITICORP"/>
      <sheetName val="Av.G Level"/>
      <sheetName val="GMB1"/>
      <sheetName val="GMB2"/>
      <sheetName val="GMS1"/>
      <sheetName val="GMS2"/>
      <sheetName val="IFO1"/>
      <sheetName val="IFO2"/>
      <sheetName val="WCR1"/>
      <sheetName val="WCR2"/>
      <sheetName val="Backlog"/>
      <sheetName val="Bookings1"/>
      <sheetName val="Bookings2"/>
      <sheetName val="EBIT"/>
      <sheetName val="Thales"/>
      <sheetName val="GeoBooking"/>
      <sheetName val="GMCS1"/>
      <sheetName val="GMCS2"/>
      <sheetName val="Investment1"/>
      <sheetName val="Investment2"/>
      <sheetName val="REX"/>
      <sheetName val="Roce1"/>
      <sheetName val="Sales1"/>
      <sheetName val="Sales2"/>
      <sheetName val="Financial Statements"/>
      <sheetName val="Trial_x0000__x0000__x0000__x0012_[1111.xls]********_x0000__x0000__x0000__x0000_"/>
      <sheetName val="1-OBJ98 "/>
      <sheetName val="VISION 2000"/>
      <sheetName val="MKT PO-2011"/>
      <sheetName val="ONOFF-BUD (ROC)"/>
      <sheetName val="TMSPF-Dump"/>
      <sheetName val="Dashboard"/>
      <sheetName val="Proclarity"/>
      <sheetName val="Operating Expenses HRY"/>
      <sheetName val="Sales1 HRY"/>
      <sheetName val="Operating Expenses"/>
      <sheetName val="_x0000__x001c__x0000_prashant.gajbhiye@ai"/>
      <sheetName val="nt ColorChartsWorkbook_VBA_PROJ"/>
      <sheetName val="ヰ`_x0000_᠑┡㜦ስ᜗┥ᜓ℔☦☦☦☦☦ᔕ┥⌥ⵃ✪┯〢ᐯ⤙䈠㈱㌨〉ㄥ䐬"/>
      <sheetName val="Sub Base Regionwise Sorting"/>
      <sheetName val="M51-09"/>
      <sheetName val="_x0000_豈_x0000__x0001__x0001_m_x0000_豰_x0000__x0001__x0001_m_x0000_貘_x0000__x0001__x0001_e_x0000_賀_x0000__x0001__x0001_p_x0000_賨_x0000__x0001__x0001_s_x0000_"/>
      <sheetName val="_x0000__x0004_"/>
      <sheetName val="ヰ`_x0000_j푨j함j헰j훰j흸j_xd878_j_xd900_j_xdb08_j_xdb90_j_xdc90_j_xdd18_j_xde68_j_xdfb8_j"/>
      <sheetName val="ヰ`_x0000_k佈k倠k储k冨k到k匰k厸k唈k嘈k嚐k垐k堘k夘k妠"/>
      <sheetName val="_x0000_p禠k稨k窰k笸k節k籈k糐k絘k締k繨k済k源k漘k澠k瀨"/>
      <sheetName val="ヰ`_x0000_k餸k騸k髀k鯀k鱈k鵈k鷐k鿘kꁠkꅠkꇨkꌸkꒈkꗘ"/>
      <sheetName val="ヰ`_x0000_lᐘlᓰlᕸlᙸlᜀl᠀lᢈl᧘l᫘l᭠lᱠl᳨lᷨlṰ"/>
      <sheetName val="_x0000_m㹰l㻸l㾀l䀈l䂐l䄘l䆠l䈨l䊰l䌸l㋘l㍠l㏨l㑰l㓸"/>
      <sheetName val="ヰ`_x0000_l앸l외l윀l저l좈l즈l쨐l쯰l챸l쵸l츀l콐l킠l퇰"/>
      <sheetName val="ヰ`_x0000_m䀰m䄈m䆐m䊐m䌘m䐘m䒠m䗰m䛰m䝸m䡸m䤀m䨀m䪈"/>
      <sheetName val="_x0000_o檈m欐m殘m氠m沨m洰m涸m湀m滈m潐m廰m彸m怀m悈m愐"/>
      <sheetName val="_x0000__x0015__x0000_harinath.m@airtel.in"/>
      <sheetName val="AP Accrual"/>
      <sheetName val="Wavelength selection"/>
      <sheetName val="Depreciation"/>
      <sheetName val="Anil IT_2013-14"/>
      <sheetName val="Production Plan1"/>
      <sheetName val="CAUDIT"/>
      <sheetName val="협조전"/>
      <sheetName val="Value Analysis - Sheet 1"/>
      <sheetName val="카케라1"/>
      <sheetName val="카메라4"/>
      <sheetName val="원단위"/>
      <sheetName val="RD제품개발투자비(매가)"/>
      <sheetName val="표2"/>
      <sheetName val="so-021"/>
      <sheetName val="major"/>
      <sheetName val="기안"/>
      <sheetName val="신규DEP"/>
      <sheetName val="95계획"/>
      <sheetName val="BUS제원1"/>
      <sheetName val="GRACE"/>
      <sheetName val="대외공문"/>
      <sheetName val="기안(2)"/>
      <sheetName val="예산근거"/>
      <sheetName val="경쟁실분"/>
      <sheetName val="그패프"/>
      <sheetName val="현금경비중역"/>
      <sheetName val="MAST S"/>
      <sheetName val="96수출"/>
      <sheetName val="인도원가"/>
      <sheetName val="전체현황"/>
      <sheetName val="차수"/>
      <sheetName val="견적LIST"/>
      <sheetName val="투자계획서"/>
      <sheetName val="표지"/>
      <sheetName val="END리스트"/>
      <sheetName val="부특1(ABS)"/>
      <sheetName val="부특1(TCS)"/>
      <sheetName val="부특2"/>
      <sheetName val="신기술"/>
      <sheetName val="기존차비교"/>
      <sheetName val="기존차문제"/>
      <sheetName val="도면문제"/>
      <sheetName val="시작차문제"/>
      <sheetName val="전체일정1"/>
      <sheetName val="전체일정2"/>
      <sheetName val="금형개발 "/>
      <sheetName val="검사구개발"/>
      <sheetName val="지그개발"/>
      <sheetName val="설비개발"/>
      <sheetName val="신뢰성(HU)"/>
      <sheetName val="신뢰성(SEN)"/>
      <sheetName val="외주개발"/>
      <sheetName val="납품용기개발"/>
      <sheetName val="CH'K P(A)"/>
      <sheetName val="CH'K P(B)"/>
      <sheetName val="FMEA W_S(HU)"/>
      <sheetName val="FMEA W_S(S_W)"/>
      <sheetName val="참조(구매품질조직도)"/>
      <sheetName val="참조(업체별담당자)"/>
      <sheetName val=".mdb,*.htm,*.html,*.pub);웹 페이지("/>
      <sheetName val="ccar"/>
      <sheetName val="목차"/>
      <sheetName val="1-1)개발추진범위"/>
      <sheetName val="1-2)개발일정"/>
      <sheetName val="S_MBR_UPR"/>
      <sheetName val="S_MBR_LWR"/>
      <sheetName val="Sheet7"/>
      <sheetName val="Sheet8"/>
      <sheetName val="품목리스트"/>
      <sheetName val="회사조직도"/>
      <sheetName val="품질목표"/>
      <sheetName val="KPC항목"/>
      <sheetName val="CFT조직도"/>
      <sheetName val="부품특성1"/>
      <sheetName val="부품특성2 "/>
      <sheetName val="과거차문제점검토및반영계획"/>
      <sheetName val="전체일정"/>
      <sheetName val="부품SOURCE"/>
      <sheetName val="금형"/>
      <sheetName val="검사구"/>
      <sheetName val="지그"/>
      <sheetName val="설비"/>
      <sheetName val="납품용기"/>
      <sheetName val="신뢰성(H&amp;E)"/>
      <sheetName val="시작품관리계획서"/>
      <sheetName val="설계구조검토"/>
      <sheetName val="시작문제반영"/>
      <sheetName val="5_1_설비투자변경이력"/>
      <sheetName val="5_2_설비투자LIST_금액조정"/>
      <sheetName val="6_부대설비LIST"/>
      <sheetName val="02자동화합리화"/>
      <sheetName val="첨부_가공계획011120"/>
      <sheetName val="SPARE"/>
      <sheetName val="_x0005__x0003__x0004_b"/>
      <sheetName val="VXXX"/>
      <sheetName val="SPARE PART(기계부)"/>
      <sheetName val="SPARE PART(전기부)"/>
      <sheetName val="소모 공구"/>
      <sheetName val="소모품"/>
      <sheetName val="부자재"/>
      <sheetName val="기타(볼트,니쁠,프로파일,아크릴)"/>
      <sheetName val="우일 FA(납땜),아이제 코리아(마킹),반도상사(도장)"/>
      <sheetName val="10.21이후 (최종본)"/>
      <sheetName val="List(Item별) (10_21회의록 근거)"/>
      <sheetName val="10.21이후"/>
      <sheetName val="10.20까지"/>
      <sheetName val="228"/>
      <sheetName val="25.32.34"/>
      <sheetName val="List(Item별) (하나모듈)"/>
      <sheetName val="List(Item별)"/>
      <sheetName val="List(UPG별)"/>
      <sheetName val="EO-List"/>
      <sheetName val="사장"/>
      <sheetName val="사원"/>
      <sheetName val="기존젨비교"/>
      <sheetName val="_x0000_䅀㿠_x0000__x0000__x0000__x0000__x0001__x0000__x0000__x0000__x0000__x0000__x0001_t_x0016__x0000_䅀㿰_x0000__x0000_"/>
      <sheetName val="戀椀最㔀"/>
      <sheetName val="Sheet1_x0000__x0000__x0000__x0004__x0000__x0000__x0000__x0000__x0000__x0000_ ǅ_x0000__x0000__x0000__x0000__x0000__x0000__x0000__x0000__x0000__x0000__x0000_"/>
      <sheetName val="_x0000__x0001__x0000__x0001__x0000__x0003__x0000__x0001__x0000_Ô_x0000__x0001__x0000__x0000__x0000_,_x0000_¦_x0000_¦_x0000__x0000__x0000__x0000__x0000__x0000__x0000__x0000__x0000__x0000__x0000_"/>
      <sheetName val="_x001e_.&gt;N^n~®¾ÎÞî"/>
      <sheetName val="bleĤģ_x0000__x0000__x0000__x0000__x0000__x0000_서식을 Ĩĥ_x0000__x0000__x0000__x0000_ħĦ_x0000__x0000__x0000__x0000__x0000__x0000_률_x0000_"/>
      <sheetName val="전산품의"/>
      <sheetName val="¿ÜÁÖÇöÈ².wq1"/>
      <sheetName val="LEASE4"/>
      <sheetName val="Sheet1_x0000_ˆŒ_x0004__x0000_ ǅ_x0001__x0000_ˆ&lt;BOOK1.XLS]Shee"/>
      <sheetName val="_x001e_.&gt;N^n~Žž®¾ÎÞî"/>
      <sheetName val="bleĤģ서식을 ĨĥħĦ_x0000_률_x0000_며_x0000_을 변경īĪ용_x0000_ĭĬ 끌어"/>
      <sheetName val="ㅊ.ㅔㅁㅇ"/>
      <sheetName val="품의양식"/>
      <sheetName val="bleĤģ"/>
      <sheetName val="Sheet1_x0000_ˆŒ_x0000__x0004__x0000_ ǅ"/>
      <sheetName val="_x0001__x0000__x0001__x0000__x0003__x0000__x0001__x0000_Ô_x0001__x0000_,_x0000_¦¦"/>
      <sheetName val="bleĤģ서식을 ĨĥħĦ"/>
      <sheetName val="CD-실적"/>
      <sheetName val="Sheet1_x0000__x0000__x0004__x0000_ ǅ_x0000__x0001__x0000_&lt;BOOK1.XLS]Sh"/>
      <sheetName val="bleĤģ_x0000_서식을 Ĩĥ_x0000_ħĦ_x0000_률_x0000_며_x0000_을 변경īĪ_x0000_용_x0000_ĭĬ"/>
      <sheetName val="FR HR(A-LEA)"/>
      <sheetName val="FR HR(VINYL)"/>
      <sheetName val="PROTECTOR단가"/>
      <sheetName val="MOTO"/>
      <sheetName val="NBQA"/>
      <sheetName val="UPH"/>
      <sheetName val="̃_x0000_"/>
      <sheetName val="___"/>
      <sheetName val="__仛"/>
      <sheetName val="__★"/>
      <sheetName val="2.____"/>
      <sheetName val=".mdb,_.htm,_.html,_.pub);웹 페이지("/>
      <sheetName val="_x0001_"/>
      <sheetName val="환율기준"/>
      <sheetName val="dd mmmm yyyy_x0000__x0000__x0000_赶_x0000__x0003__x0016_[$-0409]hh:m"/>
      <sheetName val="?䅀㿠????_x0001_?????_x0001_t_x0016_?䅀㿰??"/>
      <sheetName val="Sheet1???_x0004_?????? ǅ???????????"/>
      <sheetName val="?_x0001_?_x0001_?_x0003_?_x0001_?Ô?_x0001_???,?¦?¦???????????"/>
      <sheetName val="bleĤģ??????서식을 Ĩĥ????ħĦ??????률?"/>
      <sheetName val="Sheet1?ˆŒ_x0004_? ǅ_x0001_?ˆ&lt;BOOK1.XLS]Shee"/>
      <sheetName val="bleĤģ서식을 ĨĥħĦ?률?며?을 변경īĪ용?ĭĬ 끌어"/>
      <sheetName val="䅀㿠_x0001_?_x0001_t_x0016_?䅀㿰"/>
      <sheetName val="_x0001_?_x0001_?_x0003_?_x0001_?Ô_x0001_?,?¦¦_x0002_?p?4"/>
      <sheetName val="Sheet1?ˆŒ?_x0004_? ǅ"/>
      <sheetName val="_x0001_?_x0001_?_x0003_?_x0001_?Ô_x0001_?,?¦¦"/>
      <sheetName val="bleĤģ서식을 ĨĥħĦ?률?"/>
      <sheetName val="__"/>
      <sheetName val="dd mmmm yyyy"/>
      <sheetName val="d_m_yy"/>
      <sheetName val="_䅀㿠_____x0001_______x0001_t_x0016__䅀㿰__"/>
      <sheetName val="Sheet1____x0004_______ ǅ___________"/>
      <sheetName val="__x0001___x0001___x0003___x0001__Ô__x0001____,_¦_¦___________"/>
      <sheetName val="bleĤģ______서식을 Ĩĥ____ħĦ______률_"/>
      <sheetName val="Sheet1_ˆŒ_x0004__ ǅ_x0001__ˆ&lt;BOOK1.XLS_Shee"/>
      <sheetName val="bleĤģ서식을 ĨĥħĦ_률_며_을 변경īĪ용_ĭĬ 끌어"/>
      <sheetName val="䅀㿠_x0001___x0001_t_x0016__䅀㿰"/>
      <sheetName val="_x0001___x0001___x0003___x0001__Ô_x0001__,_¦¦_x0002__p_4"/>
      <sheetName val="Sheet1_ˆŒ__x0004__ ǅ"/>
      <sheetName val="_x0001___x0001___x0003___x0001__Ô_x0001__,_¦¦"/>
      <sheetName val="bleĤģ서식을 ĨĥħĦ_률_"/>
      <sheetName val="OP20"/>
      <sheetName val="Indirect expenses"/>
      <sheetName val="Indirect_expenses"/>
      <sheetName val="Cabinet_details1"/>
      <sheetName val="Scope_of_supply1"/>
      <sheetName val="BS_Schdl-_1_&amp;_21"/>
      <sheetName val="Indirect_expenses1"/>
      <sheetName val="Cabinet_details2"/>
      <sheetName val="Scope_of_supply2"/>
      <sheetName val="BS_Schdl-_1_&amp;_22"/>
      <sheetName val="Indirect_expenses2"/>
      <sheetName val="LA-1,2,3"/>
      <sheetName val="Main"/>
      <sheetName val="Excess Calc"/>
      <sheetName val="CON-I"/>
      <sheetName val="Roaming"/>
      <sheetName val="PD from 01.04 to 08.08"/>
      <sheetName val="_x0000__x0000__x0000__xffff_翿_x0000__x0000__x0000__x0000__xffff__xffff__x0000__x0000__x0000__x0000__x0000__x0000_ᆳ™"/>
      <sheetName val="Nov.04"/>
      <sheetName val="Main Equ. List"/>
      <sheetName val="S 12"/>
      <sheetName val="Total Haryana POs AMC Sheet 3%"/>
      <sheetName val="delhi 03-04AMC @ 3%"/>
      <sheetName val="itemsdetails"/>
      <sheetName val="TB Emgf"/>
      <sheetName val="E&amp;I"/>
      <sheetName val="Fin"/>
      <sheetName val="Locas"/>
      <sheetName val="Operational Costs 2008"/>
      <sheetName val="A302101-000-017"/>
      <sheetName val="VTP"/>
      <sheetName val="Mar 07"/>
      <sheetName val="유통망계획"/>
      <sheetName val="Staff Acco."/>
      <sheetName val="DLC lookups"/>
      <sheetName val="Cut &amp; Sew"/>
      <sheetName val="PRECAST lightconc-II"/>
      <sheetName val="Indices"/>
      <sheetName val="????????"/>
      <sheetName val="???_xffff_翿????_xffff__xffff_??????ᆳ"/>
      <sheetName val="Licences"/>
      <sheetName val="_x005f_x0000__x005f_x0000__x005f_x0000__x005f_x0000__x0"/>
      <sheetName val="_x005f_x0000__x005f_x0000__x005f_x0000__x005f_xffff_翿_x"/>
      <sheetName val="GLP-DISCOUNT"/>
      <sheetName val="Working"/>
      <sheetName val="PS Parts"/>
      <sheetName val="UNITS"/>
      <sheetName val="Tot PC Italy"/>
      <sheetName val="2_대외공문1"/>
      <sheetName val="2_????"/>
      <sheetName val="B_K작업분석1"/>
      <sheetName val="조치사항"/>
      <sheetName val="XGPROD"/>
      <sheetName val="OPT손익_내수"/>
      <sheetName val="OPT손익_수출"/>
      <sheetName val="full_(2)"/>
      <sheetName val="GRP"/>
      <sheetName val="발생장소"/>
      <sheetName val="공작"/>
      <sheetName val="계열사현황종합"/>
      <sheetName val="모듈"/>
      <sheetName val="KMCWD"/>
      <sheetName val="KD율"/>
      <sheetName val="문제유형"/>
      <sheetName val="DATA_(2)"/>
      <sheetName val="A-A"/>
      <sheetName val="전장"/>
      <sheetName val="64164"/>
      <sheetName val="차체"/>
      <sheetName val="HOLE_9905(1)"/>
      <sheetName val="_SR3차원단위_(3)"/>
      <sheetName val="내장"/>
      <sheetName val="계정"/>
      <sheetName val="THEME_CODE"/>
      <sheetName val="1-5-2"/>
      <sheetName val="외장"/>
      <sheetName val="해외"/>
      <sheetName val="VDR"/>
      <sheetName val="126_255"/>
      <sheetName val="JANG_DOM"/>
      <sheetName val="CR_CODE"/>
      <sheetName val="설비사양서B-1"/>
      <sheetName val="구list"/>
      <sheetName val="대표경력"/>
      <sheetName val="대표자"/>
      <sheetName val="2월"/>
      <sheetName val="부서CODE"/>
      <sheetName val="차체부품_INS_REPORT(갑)"/>
      <sheetName val="DAT(목표)"/>
      <sheetName val="진급관련DATA"/>
      <sheetName val="1.변경범위"/>
      <sheetName val="PC%계산"/>
      <sheetName val="RR 세부"/>
      <sheetName val="기초자료"/>
      <sheetName val="3.일반사상"/>
      <sheetName val="Sheet1_x0000_ˆŒ_x0004__x0000_ ǅ_x0001__x0000_ˆ&lt;BOOK1.XLS]Sh"/>
      <sheetName val="수출"/>
      <sheetName val="와이어링종합"/>
      <sheetName val="W-현원가"/>
      <sheetName val="J100"/>
      <sheetName val="BND"/>
      <sheetName val="ORIGIN"/>
      <sheetName val="FUEL FILLER"/>
      <sheetName val="Tbom-tot"/>
      <sheetName val="EXP-COST"/>
      <sheetName val="MH_생산"/>
      <sheetName val="A-100전제"/>
      <sheetName val="시설투자"/>
      <sheetName val="팀별 합계"/>
      <sheetName val="PILOT APP."/>
      <sheetName val="BRAKE"/>
      <sheetName val="T진도"/>
      <sheetName val="J150 승인진도관리 LIST"/>
      <sheetName val="TOTAL LIST"/>
      <sheetName val="FTR MACRo"/>
      <sheetName val="지정공장"/>
      <sheetName val="서울정비"/>
      <sheetName val="전체실적"/>
      <sheetName val="효율계획(당월)"/>
      <sheetName val="Price Range"/>
      <sheetName val="판매대수"/>
      <sheetName val="PAKAGE4362"/>
      <sheetName val="목표재료비"/>
      <sheetName val=" 계산(&amp;E)                중지(&amp;A)  "/>
      <sheetName val="사용하십시오.인터넷 주소 '|'이(가) 잘못되었습니다. "/>
      <sheetName val="되게 합니다.선택한 WordArt 개체의 왼쪽에 텍스트를"/>
      <sheetName val="회색조 이미지로 변환합니다.선택한 그림을 흑백 이미지로 "/>
      <sheetName val="Sheet1 (2)"/>
      <sheetName val="Sheet1 (3)"/>
      <sheetName val="1의 공정능력"/>
      <sheetName val="서식등록대장"/>
      <sheetName val="Sheet1_x0000_ˆŒ_x0004__x0000_ ǅ_x0001__x0000_ˆ&lt;BOOK1.XLS"/>
      <sheetName val="헤드불량내용"/>
      <sheetName val="크랑크불량내용"/>
      <sheetName val="1st Gear"/>
      <sheetName val="1st Gear (2)"/>
      <sheetName val="intro"/>
      <sheetName val="표시형식"/>
      <sheetName val="셀간 이동"/>
      <sheetName val="영역선택"/>
      <sheetName val="_x0000_p"/>
      <sheetName val="bleĤģ서식을 ĨĥħĦ률며을 변경īĪ용ĭĬ 끌어 에서는"/>
      <sheetName val="현금예금"/>
      <sheetName val="투자자산"/>
      <sheetName val="유형자산"/>
      <sheetName val="상각overall"/>
      <sheetName val="단기차입금"/>
      <sheetName val="장기차입금"/>
      <sheetName val="자본"/>
      <sheetName val="이자비용"/>
      <sheetName val="T255 가격현황"/>
      <sheetName val="제조관리"/>
      <sheetName val="#REF!"/>
      <sheetName val="omctl32.dll_x0000__x0000_Edit_x0000__x0000__x0018__x0000__x0000__x0000_$_x0000__x0018__x0000__x0018__x0000_ံ_x0000_"/>
      <sheetName val="ĞĀ_x0008_r_x0005__x0003__x0000_⇠藩떘뱬_x0000__x0000_̀耀¨_x0008__x0002_蒀_x0000_"/>
      <sheetName val="성과지표"/>
      <sheetName val="bleĤģ_x0000__x0000__x0000__x0000__x0000__x0000_서식을 Ĩĥ_x0000__x0000__x0000__x0000_ħĦ_x0000__x0000__x0000__x0000__x0001__x0000_뛸〉"/>
      <sheetName val="_x001e__x0002__x0000__x0000__x0000__x0000__x0000__x0000__x0000__x001d__x0000__x0000__x0000_&amp;"/>
      <sheetName val="2-다-종합의견(1분기)"/>
      <sheetName val="채산"/>
      <sheetName val="3D"/>
      <sheetName val="2D"/>
      <sheetName val="Summa"/>
      <sheetName val="되게 합니다.셏택한 WordArt 개체의 왼쪽에 텍스트를"/>
      <sheetName val="-INR BUTN"/>
      <sheetName val="Book1.xls"/>
      <sheetName val="납킈용기개발"/>
      <sheetName val="시작젨문제"/>
      <sheetName val="B)...文字方向(&amp;X)...项目符号和编号(&amp;N)...标"/>
      <sheetName val="직원신상"/>
      <sheetName val="가공라인실적"/>
      <sheetName val="NF+CM"/>
      <sheetName val="02년결과_VLOOK"/>
      <sheetName val="수리결과"/>
      <sheetName val="2_____"/>
      <sheetName val="_x0000__x0002__x0000_⁏ꗞ۴_x0000__x001a__x0000_ܐ_x0000_`_x0000__x0002__x0000_⹏─ݰ_x0000__x001a__x0000_ތ_x0000_`_x0000__x0002__x0000_Ꜵ빨߬_x0000_"/>
      <sheetName val="omctl32.dll_x0000_Edit_x0000__x0018__x0000_$_x0000__x0018__x0000__x0018__x0000_ံ6.0.2"/>
      <sheetName val="_x0001_¨_x0001__x0000__x0001__x0000__x0001__x0010__x0000_ր_x0001__x0000__x0002__x000d__x0000__x0001__x0000__x0000__x0000_⿰_x0001_⿰_x0001_耀_x0000__x0000__x0000__x0000__x0000__x0000__x0010_"/>
      <sheetName val="BS'03"/>
      <sheetName val="Cap. Exp."/>
      <sheetName val="rbc"/>
      <sheetName val="bbc"/>
      <sheetName val="bc"/>
      <sheetName val="2rr"/>
      <sheetName val="2rollb"/>
      <sheetName val="sltr"/>
      <sheetName val="brkr"/>
      <sheetName val="WIRE_CUTTR"/>
      <sheetName val="CAM_GUM"/>
      <sheetName val="BANRAW-1"/>
      <sheetName val="ban-1"/>
      <sheetName val="ban-2"/>
      <sheetName val="ASHOK"/>
      <sheetName val="Parameter"/>
      <sheetName val="Data Validation"/>
      <sheetName val="[book1.xls]_x0000_Database: [2]. Exce"/>
      <sheetName val="[book1.xls]Database: [2]. Excee"/>
      <sheetName val="[book1.xls][book1.xls]Database:"/>
      <sheetName val="Details"/>
      <sheetName val="margin."/>
      <sheetName val="CONTANGO"/>
      <sheetName val="Cons-Division"/>
      <sheetName val="CVK p&amp;L"/>
      <sheetName val="lot no 86"/>
      <sheetName val="Sales &amp;Sale Cost"/>
      <sheetName val="Stock Cal"/>
      <sheetName val="Lme-REV"/>
      <sheetName val="CU-P&amp;L-Work"/>
      <sheetName val="GROUPING"/>
      <sheetName val="rawmat break up"/>
      <sheetName val="cell rel"/>
      <sheetName val="Contract Details"/>
      <sheetName val="COST SHEET"/>
      <sheetName val="OTHER RM"/>
      <sheetName val="assumption"/>
      <sheetName val="Break up of RMcost"/>
      <sheetName val="YTD (2)"/>
      <sheetName val="March "/>
      <sheetName val="PM2"/>
      <sheetName val="1754824"/>
      <sheetName val="1754924"/>
      <sheetName val="1754812"/>
      <sheetName val="1754912"/>
      <sheetName val="1754804"/>
      <sheetName val="ANZOT"/>
      <sheetName val="ANZSS"/>
      <sheetName val="FA"/>
      <sheetName val="Monthly Revenue"/>
      <sheetName val="Profit and Loss"/>
      <sheetName val="PL-yearly"/>
      <sheetName val="Sheet1汇总表"/>
      <sheetName val="S&amp;M Dept"/>
      <sheetName val="IPO"/>
      <sheetName val="Annex-modvat-Jun03 (2)"/>
      <sheetName val="Annex-modvat-Jun03"/>
      <sheetName val="Cliams-recov-others"/>
      <sheetName val="Adv IT-Jun 03F"/>
      <sheetName val="IGE"/>
      <sheetName val="IBC"/>
      <sheetName val="GEIOC"/>
      <sheetName val="GE CAPITAL"/>
      <sheetName val="Pune addition"/>
      <sheetName val="coa_ramco_168"/>
      <sheetName val="OpMod-Old"/>
      <sheetName val="Reconciliation"/>
      <sheetName val="MetaData"/>
      <sheetName val="New May"/>
      <sheetName val="netmatl."/>
      <sheetName val="PCD_Matl"/>
      <sheetName val="pcbu"/>
      <sheetName val="PTP_Matrix"/>
      <sheetName val="t.o"/>
      <sheetName val="RECON"/>
      <sheetName val="corp"/>
      <sheetName val="B0_111350"/>
      <sheetName val="EDETNOV"/>
      <sheetName val="cvbu"/>
      <sheetName val="CVBUH2MONTHLY"/>
      <sheetName val="Sheet1_MIS"/>
      <sheetName val="exports"/>
      <sheetName val="Nonvehicle"/>
      <sheetName val="CVBUYR"/>
      <sheetName val="PRDMAR96"/>
      <sheetName val="sch_list (2)"/>
      <sheetName val="improvements"/>
      <sheetName val="YR0102"/>
      <sheetName val="revaug"/>
      <sheetName val="mktexp"/>
      <sheetName val=" t.o."/>
      <sheetName val="volapr-dec"/>
      <sheetName val="volapr_feb"/>
      <sheetName val="Assm"/>
      <sheetName val="Old Data"/>
      <sheetName val="mnth"/>
      <sheetName val="Stks"/>
      <sheetName val="CMVR"/>
      <sheetName val="TO"/>
      <sheetName val="erc"/>
      <sheetName val="exp"/>
      <sheetName val="dm1"/>
      <sheetName val="dm"/>
      <sheetName val="woe"/>
      <sheetName val="Sal0304"/>
      <sheetName val="men"/>
      <sheetName val="sal summ"/>
      <sheetName val="dep war"/>
      <sheetName val="trsfrcst"/>
      <sheetName val="IV"/>
      <sheetName val="TrCost"/>
      <sheetName val="Firmabil"/>
      <sheetName val="Pensionsoversigt"/>
      <sheetName val="Personale stamdata"/>
      <sheetName val="TAX INCOME"/>
      <sheetName val="lov-COAct"/>
      <sheetName val="lov-cspl"/>
      <sheetName val="AN_Input"/>
      <sheetName val="S&amp;M_Dept"/>
      <sheetName val="Monthly_Revenue"/>
      <sheetName val="Profit_and_Loss"/>
      <sheetName val="Details_BS"/>
      <sheetName val="Details_PL"/>
      <sheetName val="RM_Consumption_Schedule_11"/>
      <sheetName val="TB_01-05-03"/>
      <sheetName val="Annex-modvat-Jun03_(2)"/>
      <sheetName val="Adv_IT-Jun_03F"/>
      <sheetName val="GE_CAPITAL"/>
      <sheetName val="Pune_addition"/>
      <sheetName val="MKT_PO-2011"/>
      <sheetName val="ONOFF-BUD_(ROC)"/>
      <sheetName val="EEFC_Account"/>
      <sheetName val="netmatl_"/>
      <sheetName val="t_o"/>
      <sheetName val="sch_list_(2)"/>
      <sheetName val="_t_o_"/>
      <sheetName val="Old_Data"/>
      <sheetName val="sal_summ"/>
      <sheetName val="dep_war"/>
      <sheetName val="BS_Rec_Control_Sheet"/>
      <sheetName val="New_May"/>
      <sheetName val="BOB DETAILS"/>
      <sheetName val="PM &amp; TE"/>
      <sheetName val="1441023-0-9xxx"/>
      <sheetName val="1441013-0-9xxx"/>
      <sheetName val="1441013"/>
      <sheetName val="1420199"/>
      <sheetName val="1441023"/>
      <sheetName val="1430204 (2)"/>
      <sheetName val="1430205 (2)"/>
      <sheetName val="1430301 (2)"/>
      <sheetName val="1130101"/>
      <sheetName val="1130104"/>
      <sheetName val="1340104 A"/>
      <sheetName val="1141131"/>
      <sheetName val="1340541"/>
      <sheetName val="1360503 a"/>
      <sheetName val="1360602"/>
      <sheetName val="1360604"/>
      <sheetName val="1430517"/>
      <sheetName val="1430801 (2)"/>
      <sheetName val="1430802 (2)"/>
      <sheetName val="1430806 (2)"/>
      <sheetName val="1430809 (2)"/>
      <sheetName val="1430810 (2)"/>
      <sheetName val="1430813 "/>
      <sheetName val="1430820"/>
      <sheetName val="1430821 (2)"/>
      <sheetName val="1430829 (2)"/>
      <sheetName val="1430830 (2)"/>
      <sheetName val="1430831"/>
      <sheetName val="1430835 (2)"/>
      <sheetName val="1430836 (2)"/>
      <sheetName val="1430838 (2)"/>
      <sheetName val="1430840 (2)"/>
      <sheetName val="1431601"/>
      <sheetName val="1431602"/>
      <sheetName val="1431603"/>
      <sheetName val="1431604"/>
      <sheetName val="1431612 (2)"/>
      <sheetName val="1440201 (2)"/>
      <sheetName val="1440202 (2)"/>
      <sheetName val="1440207 (2)"/>
      <sheetName val="1440208 (2)"/>
      <sheetName val="1440214 (2)"/>
      <sheetName val="1440217 (2)"/>
      <sheetName val="1470101 (2)"/>
      <sheetName val="1620501"/>
      <sheetName val="1620502"/>
      <sheetName val="1113236 "/>
      <sheetName val="1113237 "/>
      <sheetName val="1113246 "/>
      <sheetName val="1113247 "/>
      <sheetName val="1113256 "/>
      <sheetName val="1113257 "/>
      <sheetName val="1113281 "/>
      <sheetName val="1113282 "/>
      <sheetName val="1110136"/>
      <sheetName val="1110146"/>
      <sheetName val="1110156"/>
      <sheetName val="1110181"/>
      <sheetName val="1110182"/>
      <sheetName val="1110183"/>
      <sheetName val="1112782"/>
      <sheetName val="1112787"/>
      <sheetName val="1112586"/>
      <sheetName val="1112888"/>
      <sheetName val="1113236"/>
      <sheetName val="1112883"/>
      <sheetName val="1112757"/>
      <sheetName val="1310211"/>
      <sheetName val="1310243"/>
      <sheetName val="1320301"/>
      <sheetName val="1310206"/>
      <sheetName val="1330402"/>
      <sheetName val="1330714"/>
      <sheetName val="1330721"/>
      <sheetName val="1340103"/>
      <sheetName val="1340109"/>
      <sheetName val="1340159"/>
      <sheetName val="1340167"/>
      <sheetName val="1340168"/>
      <sheetName val="1340172"/>
      <sheetName val="1340699"/>
      <sheetName val="1350101"/>
      <sheetName val="1360606"/>
      <sheetName val="1420165-0-9xxx"/>
      <sheetName val="1420165-0-1027"/>
      <sheetName val="1420165-0-1034"/>
      <sheetName val="1428208"/>
      <sheetName val="1430318"/>
      <sheetName val="1430531"/>
      <sheetName val="1350109"/>
      <sheetName val="1441007"/>
      <sheetName val="1441010"/>
      <sheetName val="1441017"/>
      <sheetName val="1441019"/>
      <sheetName val="1441024 "/>
      <sheetName val="1420165 "/>
      <sheetName val="TOMA &amp; ITP"/>
      <sheetName val="_x0000__x0000_Ø_x0000__x0000_à_x0000__x0000_è_x0000__x0000_ð_x0000__x0000_ø_x0000__x0000_Ā_x0000__x0000_Ĉ_x0000__x0000_"/>
      <sheetName val=":AIQX`goty}¨¯ºÇÕãéðõû"/>
      <sheetName val="FBT  Cal  F (2)"/>
      <sheetName val="04"/>
      <sheetName val="09"/>
      <sheetName val="10"/>
      <sheetName val="Europe"/>
      <sheetName val="US"/>
      <sheetName val="DIV Y"/>
      <sheetName val="Admin"/>
      <sheetName val="FS ing"/>
      <sheetName val="Extra 2"/>
      <sheetName val="TB_ HSG"/>
      <sheetName val="FS"/>
      <sheetName val="Consolidating BS-PL 2007"/>
      <sheetName val="SD AJE"/>
      <sheetName val="DN AJE"/>
      <sheetName val="AJES2"/>
      <sheetName val="AJES3"/>
      <sheetName val="EJE"/>
      <sheetName val="SD TB"/>
      <sheetName val="DN TB"/>
      <sheetName val="TBS2"/>
      <sheetName val="TBS3"/>
      <sheetName val="TBS4"/>
      <sheetName val="AJES4"/>
      <sheetName val="TB_LUXOR"/>
      <sheetName val="TB_EXEC - Done"/>
      <sheetName val="TB_GPS"/>
      <sheetName val="Master Assumption Page"/>
      <sheetName val="Kelley 15-15 Assumptions"/>
      <sheetName val="CCP"/>
      <sheetName val="P &amp;L"/>
      <sheetName val="Situation"/>
      <sheetName val="DETBIL"/>
      <sheetName val="Aus-P"/>
      <sheetName val="Series Description"/>
      <sheetName val="Economic Series Chart"/>
      <sheetName val="Series Values"/>
      <sheetName val="Stock Price"/>
      <sheetName val="SEC bridge"/>
      <sheetName val="EMC format"/>
      <sheetName val="Overview"/>
      <sheetName val="M A Private Placements"/>
      <sheetName val="ProForma"/>
      <sheetName val="EBITDA"/>
      <sheetName val="Earnings Model"/>
      <sheetName val="Renovation Schedule (3)"/>
      <sheetName val="EV-EBITDAValuation "/>
      <sheetName val="FCF"/>
      <sheetName val="ADR Chart"/>
      <sheetName val="Pricing Power"/>
      <sheetName val="Chart Relative ADR"/>
      <sheetName val="Pricing Vs. Comp Set"/>
      <sheetName val="Expansion Yields"/>
      <sheetName val="Same Store RevPAR Growth"/>
      <sheetName val="Mgmt. Team"/>
      <sheetName val="Renovation Schecule (2)"/>
      <sheetName val="DCF Model"/>
      <sheetName val="RevPAR estimates"/>
      <sheetName val="Debt"/>
      <sheetName val="FCF Table"/>
      <sheetName val="Biz Units"/>
      <sheetName val="Chart EBITDA Mix"/>
      <sheetName val="EBITDA MIX"/>
      <sheetName val="RevPAR Comps cut n paste"/>
      <sheetName val="RevPAR Comps"/>
      <sheetName val="Valuation  1-10-01"/>
      <sheetName val="Earnings Model   "/>
      <sheetName val="Debt @ 3Q00"/>
      <sheetName val="Valuation - old"/>
      <sheetName val="RevPAR By Qtr"/>
      <sheetName val="CIGA Analysis"/>
      <sheetName val="RevPAR 3Q00"/>
      <sheetName val="EBITDA Mix "/>
      <sheetName val="EBITDA Mix 9-00"/>
      <sheetName val="2Q00 Comparison"/>
      <sheetName val="bas buying hot 6-00 cash deal"/>
      <sheetName val="bas hlt cash stock merger"/>
      <sheetName val="Valuation"/>
      <sheetName val="Valuation (2)"/>
      <sheetName val="EBITDA Multiples"/>
      <sheetName val="EPS Multiples"/>
      <sheetName val="BREAK EVEN-2000 (2)"/>
      <sheetName val="CONTRN BY DISTRICT"/>
      <sheetName val="OTHER PAYABLES"/>
      <sheetName val="DIRECT COST - SALES QTY"/>
      <sheetName val="FIN SUM"/>
      <sheetName val="SALES ANALYSIS  BY PRODUCT"/>
      <sheetName val="Page 5"/>
      <sheetName val="_x0000__x0000__x0000__x0004__x0000_"/>
      <sheetName val="2012 GL PROFESSIONAL FEE"/>
      <sheetName val="PPE 1006"/>
      <sheetName val="51112 · COS  Others"/>
      <sheetName val="51113 · COS  Security Service"/>
      <sheetName val="FOREX"/>
      <sheetName val="Sheet16"/>
      <sheetName val="K101"/>
      <sheetName val="E101"/>
      <sheetName val="N101"/>
      <sheetName val="Equipment"/>
      <sheetName val="Motor Vehicle"/>
      <sheetName val="Renovation"/>
      <sheetName val="CCTL"/>
      <sheetName val="P101"/>
      <sheetName val="I101 "/>
      <sheetName val="Sheet9"/>
      <sheetName val="Sheet10"/>
      <sheetName val="Sheet11"/>
      <sheetName val="Sheet12"/>
      <sheetName val="FDREPORT"/>
      <sheetName val="Sheet14"/>
      <sheetName val="Sheet15"/>
      <sheetName val="Air Conditional"/>
      <sheetName val="Ã«ÀûÂÊ·ÖÎö±í"/>
      <sheetName val="Computer"/>
      <sheetName val="Phase1f.a.DEC"/>
      <sheetName val="WIP"/>
      <sheetName val="C101 "/>
      <sheetName val="Phase2 f.a.DEC (2)"/>
      <sheetName val="Phase2 movementDEC"/>
      <sheetName val="Q101"/>
      <sheetName val="A771"/>
      <sheetName val="A801 "/>
      <sheetName val="A401"/>
      <sheetName val="U301"/>
      <sheetName val="U201"/>
      <sheetName val="U501"/>
      <sheetName val="A1000"/>
      <sheetName val="pa-mtly"/>
      <sheetName val="Schedules"/>
      <sheetName val="Cons PL"/>
      <sheetName val="PAP"/>
      <sheetName val="SPR"/>
      <sheetName val="Facility"/>
      <sheetName val="deb"/>
      <sheetName val="Keyratios"/>
      <sheetName val="P L"/>
      <sheetName val="Cntrl Sheet"/>
      <sheetName val="NFF"/>
      <sheetName val="MISBS"/>
      <sheetName val="BOD PL NEW"/>
      <sheetName val="Intang"/>
      <sheetName val="Mkt Qoutes"/>
      <sheetName val="Variables"/>
      <sheetName val="Finance IT _ Pro _2_"/>
      <sheetName val="sum"/>
      <sheetName val="Data Sheet 1"/>
      <sheetName val="RPT 11-VOLUME BY BRANDS"/>
      <sheetName val="finalised"/>
      <sheetName val="Transportation"/>
      <sheetName val="change fdy"/>
      <sheetName val="MISforgeforging"/>
      <sheetName val="501frgmar"/>
      <sheetName val="FDY_PWR"/>
      <sheetName val="Dforgings"/>
      <sheetName val="IND9899"/>
      <sheetName val="FDY-MONTHLY"/>
      <sheetName val="divn-wise-PL (UPTO NOV'01)"/>
      <sheetName val="CUMMNOV"/>
      <sheetName val="Nov-01"/>
      <sheetName val="july02mis"/>
      <sheetName val="PAYROLL MAY09"/>
      <sheetName val="DOM"/>
      <sheetName val="Layout"/>
      <sheetName val="팣Bo"/>
      <sheetName val="Dividend Working"/>
      <sheetName val="Shweta"/>
      <sheetName val="ntered are not the same.  Pleas"/>
      <sheetName val="제조부문배부"/>
      <sheetName val="CBU"/>
      <sheetName val="HBU"/>
      <sheetName val="3BPA00132-5-3 W plan HVPNL"/>
      <sheetName val="[book1.xls]ttings_purnima_App_2"/>
      <sheetName val="Assmp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1">
          <cell r="A1" t="str">
            <v>OXFORD UNIVERSITY PRESS INDIAN BRANCH</v>
          </cell>
        </row>
      </sheetData>
      <sheetData sheetId="120">
        <row r="1">
          <cell r="A1" t="str">
            <v>OXFORD UNIVERSITY PRESS INDIAN BRANCH</v>
          </cell>
        </row>
      </sheetData>
      <sheetData sheetId="121">
        <row r="1">
          <cell r="A1" t="str">
            <v>OXFORD UNIVERSITY PRESS INDIAN BRANCH</v>
          </cell>
        </row>
      </sheetData>
      <sheetData sheetId="122">
        <row r="1">
          <cell r="A1" t="str">
            <v>OXFORD UNIVERSITY PRESS INDIAN BRANCH</v>
          </cell>
        </row>
      </sheetData>
      <sheetData sheetId="123">
        <row r="1">
          <cell r="A1" t="str">
            <v>OXFORD UNIVERSITY PRESS INDIAN BRANCH</v>
          </cell>
        </row>
      </sheetData>
      <sheetData sheetId="124"/>
      <sheetData sheetId="125">
        <row r="1">
          <cell r="A1" t="str">
            <v>OXFORD UNIVERSITY PRESS INDIAN BRANCH</v>
          </cell>
        </row>
      </sheetData>
      <sheetData sheetId="126"/>
      <sheetData sheetId="127">
        <row r="1">
          <cell r="A1" t="str">
            <v>OXFORD UNIVERSITY PRESS INDIAN BRANCH</v>
          </cell>
        </row>
      </sheetData>
      <sheetData sheetId="128"/>
      <sheetData sheetId="129"/>
      <sheetData sheetId="130"/>
      <sheetData sheetId="131"/>
      <sheetData sheetId="132"/>
      <sheetData sheetId="133">
        <row r="1">
          <cell r="A1" t="str">
            <v>OXFORD UNIVERSITY PRESS INDIAN BRANCH</v>
          </cell>
        </row>
      </sheetData>
      <sheetData sheetId="134">
        <row r="1">
          <cell r="A1" t="str">
            <v>OXFORD UNIVERSITY PRESS INDIAN BRANCH</v>
          </cell>
        </row>
      </sheetData>
      <sheetData sheetId="135">
        <row r="1">
          <cell r="A1" t="str">
            <v>OXFORD UNIVERSITY PRESS INDIAN BRANCH</v>
          </cell>
        </row>
      </sheetData>
      <sheetData sheetId="136">
        <row r="1">
          <cell r="A1" t="str">
            <v>OXFORD UNIVERSITY PRESS INDIAN BRANCH</v>
          </cell>
        </row>
      </sheetData>
      <sheetData sheetId="137">
        <row r="1">
          <cell r="A1" t="str">
            <v>OXFORD UNIVERSITY PRESS INDIAN BRANCH</v>
          </cell>
        </row>
      </sheetData>
      <sheetData sheetId="138" refreshError="1"/>
      <sheetData sheetId="139" refreshError="1"/>
      <sheetData sheetId="140" refreshError="1"/>
      <sheetData sheetId="141" refreshError="1"/>
      <sheetData sheetId="142" refreshError="1"/>
      <sheetData sheetId="143" refreshError="1"/>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ow r="19">
          <cell r="C19" t="str">
            <v>VEHICLES</v>
          </cell>
        </row>
      </sheetData>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row r="19">
          <cell r="C19" t="str">
            <v>VEHICLES</v>
          </cell>
        </row>
      </sheetData>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ow r="1">
          <cell r="A1" t="str">
            <v>OXFORD UNIVERSITY PRESS INDIAN BRANCH</v>
          </cell>
        </row>
      </sheetData>
      <sheetData sheetId="442">
        <row r="1">
          <cell r="A1" t="str">
            <v>OXFORD UNIVERSITY PRESS INDIAN BRANCH</v>
          </cell>
        </row>
      </sheetData>
      <sheetData sheetId="443"/>
      <sheetData sheetId="444"/>
      <sheetData sheetId="445"/>
      <sheetData sheetId="446"/>
      <sheetData sheetId="447"/>
      <sheetData sheetId="448"/>
      <sheetData sheetId="449"/>
      <sheetData sheetId="450"/>
      <sheetData sheetId="451">
        <row r="1">
          <cell r="A1" t="str">
            <v>OXFORD UNIVERSITY PRESS INDIAN BRANCH</v>
          </cell>
        </row>
      </sheetData>
      <sheetData sheetId="452">
        <row r="1">
          <cell r="A1" t="str">
            <v>OXFORD UNIVERSITY PRESS INDIAN BRANCH</v>
          </cell>
        </row>
      </sheetData>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ow r="1">
          <cell r="A1" t="str">
            <v>OXFORD UNIVERSITY PRESS INDIAN BRANCH</v>
          </cell>
        </row>
      </sheetData>
      <sheetData sheetId="479">
        <row r="1">
          <cell r="A1" t="str">
            <v>OXFORD UNIVERSITY PRESS INDIAN BRANCH</v>
          </cell>
        </row>
      </sheetData>
      <sheetData sheetId="480"/>
      <sheetData sheetId="481"/>
      <sheetData sheetId="482"/>
      <sheetData sheetId="483"/>
      <sheetData sheetId="484"/>
      <sheetData sheetId="485"/>
      <sheetData sheetId="486"/>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sheetData sheetId="1253"/>
      <sheetData sheetId="1254" refreshError="1"/>
      <sheetData sheetId="1255" refreshError="1"/>
      <sheetData sheetId="1256" refreshError="1"/>
      <sheetData sheetId="1257"/>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sheetData sheetId="1271" refreshError="1"/>
      <sheetData sheetId="1272" refreshError="1"/>
      <sheetData sheetId="1273" refreshError="1"/>
      <sheetData sheetId="1274" refreshError="1"/>
      <sheetData sheetId="1275" refreshError="1"/>
      <sheetData sheetId="1276" refreshError="1"/>
      <sheetData sheetId="1277"/>
      <sheetData sheetId="1278"/>
      <sheetData sheetId="1279"/>
      <sheetData sheetId="1280"/>
      <sheetData sheetId="1281"/>
      <sheetData sheetId="1282"/>
      <sheetData sheetId="1283"/>
      <sheetData sheetId="1284" refreshError="1"/>
      <sheetData sheetId="1285" refreshError="1"/>
      <sheetData sheetId="1286" refreshError="1"/>
      <sheetData sheetId="1287" refreshError="1"/>
      <sheetData sheetId="1288"/>
      <sheetData sheetId="1289" refreshError="1"/>
      <sheetData sheetId="1290" refreshError="1"/>
      <sheetData sheetId="1291" refreshError="1"/>
      <sheetData sheetId="1292" refreshError="1"/>
      <sheetData sheetId="1293"/>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ow r="3">
          <cell r="A3" t="str">
            <v>DISC_BANK</v>
          </cell>
        </row>
      </sheetData>
      <sheetData sheetId="1306" refreshError="1"/>
      <sheetData sheetId="1307"/>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refreshError="1"/>
      <sheetData sheetId="1326" refreshError="1"/>
      <sheetData sheetId="1327" refreshError="1"/>
      <sheetData sheetId="1328" refreshError="1"/>
      <sheetData sheetId="1329"/>
      <sheetData sheetId="1330"/>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ow r="29">
          <cell r="N29">
            <v>11</v>
          </cell>
        </row>
      </sheetData>
      <sheetData sheetId="1350" refreshError="1"/>
      <sheetData sheetId="1351">
        <row r="51">
          <cell r="M51">
            <v>0</v>
          </cell>
        </row>
      </sheetData>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sheetData sheetId="1454"/>
      <sheetData sheetId="1455"/>
      <sheetData sheetId="1456"/>
      <sheetData sheetId="1457"/>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ow r="10">
          <cell r="A10">
            <v>4</v>
          </cell>
        </row>
      </sheetData>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sheetData sheetId="1490"/>
      <sheetData sheetId="1491" refreshError="1"/>
      <sheetData sheetId="1492" refreshError="1"/>
      <sheetData sheetId="1493"/>
      <sheetData sheetId="1494" refreshError="1"/>
      <sheetData sheetId="1495"/>
      <sheetData sheetId="1496"/>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sheetData sheetId="1520" refreshError="1"/>
      <sheetData sheetId="1521"/>
      <sheetData sheetId="1522"/>
      <sheetData sheetId="1523"/>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sheetData sheetId="1553"/>
      <sheetData sheetId="1554"/>
      <sheetData sheetId="1555"/>
      <sheetData sheetId="1556" refreshError="1"/>
      <sheetData sheetId="1557" refreshError="1"/>
      <sheetData sheetId="1558" refreshError="1"/>
      <sheetData sheetId="1559"/>
      <sheetData sheetId="1560" refreshError="1"/>
      <sheetData sheetId="1561" refreshError="1"/>
      <sheetData sheetId="1562" refreshError="1"/>
      <sheetData sheetId="1563" refreshError="1"/>
      <sheetData sheetId="1564"/>
      <sheetData sheetId="1565">
        <row r="19">
          <cell r="C19" t="str">
            <v>VEHICLES</v>
          </cell>
        </row>
      </sheetData>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sheetData sheetId="1578"/>
      <sheetData sheetId="1579"/>
      <sheetData sheetId="1580"/>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refreshError="1"/>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refreshError="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refreshError="1"/>
      <sheetData sheetId="1844" refreshError="1"/>
      <sheetData sheetId="1845" refreshError="1"/>
      <sheetData sheetId="1846" refreshError="1"/>
      <sheetData sheetId="1847" refreshError="1"/>
      <sheetData sheetId="1848" refreshError="1"/>
      <sheetData sheetId="1849"/>
      <sheetData sheetId="1850" refreshError="1"/>
      <sheetData sheetId="1851" refreshError="1"/>
      <sheetData sheetId="1852" refreshError="1"/>
      <sheetData sheetId="1853" refreshError="1"/>
      <sheetData sheetId="1854" refreshError="1"/>
      <sheetData sheetId="1855" refreshError="1"/>
      <sheetData sheetId="1856" refreshError="1"/>
      <sheetData sheetId="1857"/>
      <sheetData sheetId="1858" refreshError="1"/>
      <sheetData sheetId="1859" refreshError="1"/>
      <sheetData sheetId="1860"/>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sheetData sheetId="1880" refreshError="1"/>
      <sheetData sheetId="1881" refreshError="1"/>
      <sheetData sheetId="1882" refreshError="1"/>
      <sheetData sheetId="1883"/>
      <sheetData sheetId="1884"/>
      <sheetData sheetId="1885"/>
      <sheetData sheetId="1886"/>
      <sheetData sheetId="1887"/>
      <sheetData sheetId="1888"/>
      <sheetData sheetId="1889"/>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sheetData sheetId="1907"/>
      <sheetData sheetId="1908"/>
      <sheetData sheetId="1909"/>
      <sheetData sheetId="1910"/>
      <sheetData sheetId="1911"/>
      <sheetData sheetId="1912"/>
      <sheetData sheetId="1913"/>
      <sheetData sheetId="1914"/>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sheetData sheetId="1950" refreshError="1"/>
      <sheetData sheetId="1951" refreshError="1"/>
      <sheetData sheetId="1952"/>
      <sheetData sheetId="1953"/>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sheetData sheetId="2033"/>
      <sheetData sheetId="2034" refreshError="1"/>
      <sheetData sheetId="2035"/>
      <sheetData sheetId="2036" refreshError="1"/>
      <sheetData sheetId="2037" refreshError="1"/>
      <sheetData sheetId="2038" refreshError="1"/>
      <sheetData sheetId="2039" refreshError="1"/>
      <sheetData sheetId="2040" refreshError="1"/>
      <sheetData sheetId="204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sheetData sheetId="2058" refreshError="1"/>
      <sheetData sheetId="2059" refreshError="1"/>
      <sheetData sheetId="2060" refreshError="1"/>
      <sheetData sheetId="2061" refreshError="1"/>
      <sheetData sheetId="2062" refreshError="1"/>
      <sheetData sheetId="2063" refreshError="1"/>
      <sheetData sheetId="2064" refreshError="1"/>
      <sheetData sheetId="2065"/>
      <sheetData sheetId="2066"/>
      <sheetData sheetId="2067" refreshError="1"/>
      <sheetData sheetId="2068" refreshError="1"/>
      <sheetData sheetId="2069" refreshError="1"/>
      <sheetData sheetId="2070" refreshError="1"/>
      <sheetData sheetId="2071"/>
      <sheetData sheetId="2072"/>
      <sheetData sheetId="2073" refreshError="1"/>
      <sheetData sheetId="2074"/>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sheetData sheetId="2124"/>
      <sheetData sheetId="2125"/>
      <sheetData sheetId="2126"/>
      <sheetData sheetId="2127"/>
      <sheetData sheetId="2128"/>
      <sheetData sheetId="2129"/>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sheetData sheetId="2300"/>
      <sheetData sheetId="2301"/>
      <sheetData sheetId="2302">
        <row r="1">
          <cell r="A1" t="str">
            <v>Type</v>
          </cell>
        </row>
      </sheetData>
      <sheetData sheetId="2303" refreshError="1"/>
      <sheetData sheetId="2304" refreshError="1"/>
      <sheetData sheetId="2305" refreshError="1"/>
      <sheetData sheetId="2306"/>
      <sheetData sheetId="2307"/>
      <sheetData sheetId="2308" refreshError="1"/>
      <sheetData sheetId="2309"/>
      <sheetData sheetId="2310"/>
      <sheetData sheetId="231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sheetData sheetId="2369"/>
      <sheetData sheetId="2370"/>
      <sheetData sheetId="2371"/>
      <sheetData sheetId="2372" refreshError="1"/>
      <sheetData sheetId="2373"/>
      <sheetData sheetId="2374" refreshError="1"/>
      <sheetData sheetId="2375"/>
      <sheetData sheetId="2376"/>
      <sheetData sheetId="2377"/>
      <sheetData sheetId="2378"/>
      <sheetData sheetId="2379"/>
      <sheetData sheetId="2380"/>
      <sheetData sheetId="2381"/>
      <sheetData sheetId="2382"/>
      <sheetData sheetId="2383"/>
      <sheetData sheetId="2384"/>
      <sheetData sheetId="2385" refreshError="1"/>
      <sheetData sheetId="2386" refreshError="1"/>
      <sheetData sheetId="2387" refreshError="1"/>
      <sheetData sheetId="2388" refreshError="1"/>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 val="ENGG_VAL"/>
      <sheetName val="Card nos."/>
      <sheetName val="57"/>
      <sheetName val="P2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4 Request"/>
      <sheetName val="Standard Cost Codes"/>
    </sheetNames>
    <sheetDataSet>
      <sheetData sheetId="0"/>
      <sheetData sheetId="1">
        <row r="1">
          <cell r="A1" t="str">
            <v>A/V Equipment - 113 11130 GC A</v>
          </cell>
        </row>
        <row r="2">
          <cell r="A2" t="str">
            <v>Accessories - 113 12400 FF F</v>
          </cell>
        </row>
        <row r="3">
          <cell r="A3" t="str">
            <v>Acoustic - 113 09800 GC A</v>
          </cell>
        </row>
        <row r="4">
          <cell r="A4" t="str">
            <v>Appliances - 113 11450 GC A</v>
          </cell>
        </row>
        <row r="5">
          <cell r="A5" t="str">
            <v>Architectural &amp; Design - 113 01100 DP E</v>
          </cell>
        </row>
        <row r="6">
          <cell r="A6" t="str">
            <v>Architectural/REIMB - 113 REIMB DP E</v>
          </cell>
        </row>
        <row r="7">
          <cell r="A7" t="str">
            <v>Art - 113 12100 FF F</v>
          </cell>
        </row>
        <row r="8">
          <cell r="A8" t="str">
            <v>Blueprinting - 113 01832 GC D</v>
          </cell>
        </row>
        <row r="9">
          <cell r="A9" t="str">
            <v>Carpet - 113 09680 GC A</v>
          </cell>
        </row>
        <row r="10">
          <cell r="A10" t="str">
            <v>Ceramic Stone &amp; Tile - 113 09310 GC A</v>
          </cell>
        </row>
        <row r="11">
          <cell r="A11" t="str">
            <v>Concrete - 113 03000 GC A</v>
          </cell>
        </row>
        <row r="12">
          <cell r="A12" t="str">
            <v>Data Communications - 113 16700 GC C</v>
          </cell>
        </row>
        <row r="13">
          <cell r="A13" t="str">
            <v>Demolition - 113 02220 GC  A</v>
          </cell>
        </row>
        <row r="14">
          <cell r="A14" t="str">
            <v>Drywall - 113 09250 GC A</v>
          </cell>
        </row>
        <row r="15">
          <cell r="A15" t="str">
            <v>Electrical - 113 16100 GC C</v>
          </cell>
        </row>
        <row r="16">
          <cell r="A16" t="str">
            <v>Exterior Signage - 113 10410 FF F</v>
          </cell>
        </row>
        <row r="17">
          <cell r="A17" t="str">
            <v>Fee - 113 01220 GC O</v>
          </cell>
        </row>
        <row r="18">
          <cell r="A18" t="str">
            <v>Fences &amp; Gates - 113 02780 GC A</v>
          </cell>
        </row>
        <row r="19">
          <cell r="A19" t="str">
            <v>Field Office Expenses - 113 01831 GC D</v>
          </cell>
        </row>
        <row r="20">
          <cell r="A20" t="str">
            <v>Filing Fees/Permits - 113 01412 GC D</v>
          </cell>
        </row>
        <row r="21">
          <cell r="A21" t="str">
            <v>Final Clean - 113 01835 GC D</v>
          </cell>
        </row>
        <row r="22">
          <cell r="A22" t="str">
            <v>Finish Carpentry - 113 06200 GC A</v>
          </cell>
        </row>
        <row r="23">
          <cell r="A23" t="str">
            <v>Fire Alarm - 113 16400 GC C</v>
          </cell>
        </row>
        <row r="24">
          <cell r="A24" t="str">
            <v>Fire Protection Specialties - 113 10520 GC A</v>
          </cell>
        </row>
        <row r="25">
          <cell r="A25" t="str">
            <v>Fireproofing - 113 07810 GC A</v>
          </cell>
        </row>
        <row r="26">
          <cell r="A26" t="str">
            <v>Flooring (Other than Wood, Carpet) - 113 09600 GC A</v>
          </cell>
        </row>
        <row r="27">
          <cell r="A27" t="str">
            <v>Food Service Equipment - 113 11400 GC A</v>
          </cell>
        </row>
        <row r="28">
          <cell r="A28" t="str">
            <v>Furniture &amp; Equipment - 127 12500 FF F</v>
          </cell>
        </row>
        <row r="29">
          <cell r="A29" t="str">
            <v>General Cleaning - 113 01740 GC D</v>
          </cell>
        </row>
        <row r="30">
          <cell r="A30" t="str">
            <v>General Conditions - 113 20005 GC D</v>
          </cell>
        </row>
        <row r="31">
          <cell r="A31" t="str">
            <v>Glass &amp; Glazing - 113 08800 GC A</v>
          </cell>
        </row>
        <row r="32">
          <cell r="A32" t="str">
            <v>Hardware - 113 08300 GC A</v>
          </cell>
        </row>
        <row r="33">
          <cell r="A33" t="str">
            <v>HVAC - 113 15700 GC B</v>
          </cell>
        </row>
        <row r="34">
          <cell r="A34" t="str">
            <v>Insurance - 113 40005 GC P</v>
          </cell>
        </row>
        <row r="35">
          <cell r="A35" t="str">
            <v>Interior Signage - 113 10420 FF F</v>
          </cell>
        </row>
        <row r="36">
          <cell r="A36" t="str">
            <v>IT Equipment - 113 16740 IT J</v>
          </cell>
        </row>
        <row r="37">
          <cell r="A37" t="str">
            <v>Landlords Fees - 113 01230 GC R</v>
          </cell>
        </row>
        <row r="38">
          <cell r="A38" t="str">
            <v>Leasing - 113 01700 LS N</v>
          </cell>
        </row>
        <row r="39">
          <cell r="A39" t="str">
            <v>Legal - 113 01600 LG I</v>
          </cell>
        </row>
        <row r="40">
          <cell r="A40" t="str">
            <v>Lifts (Elevators) - 113 14400 GC A</v>
          </cell>
        </row>
        <row r="41">
          <cell r="A41" t="str">
            <v>Lighting/Fixtures - 113 16500 GC C</v>
          </cell>
        </row>
        <row r="42">
          <cell r="A42" t="str">
            <v>Lockers - 113 10500 GC A</v>
          </cell>
        </row>
        <row r="43">
          <cell r="A43" t="str">
            <v>Masonry - 113 04050 GC A</v>
          </cell>
        </row>
        <row r="44">
          <cell r="A44" t="str">
            <v>Mechanical - 113 15150 GC B</v>
          </cell>
        </row>
        <row r="45">
          <cell r="A45" t="str">
            <v>Metal &amp; Glass - 113 08400 GC A</v>
          </cell>
        </row>
        <row r="46">
          <cell r="A46" t="str">
            <v>Millwork and Installation - 113 06400 GC A</v>
          </cell>
        </row>
        <row r="47">
          <cell r="A47" t="str">
            <v>Misc. Expense/Contractor's REIMB - 113 01836 GC D</v>
          </cell>
        </row>
        <row r="48">
          <cell r="A48" t="str">
            <v>Miscellaneous Specialties - 113 10000 GC A</v>
          </cell>
        </row>
        <row r="49">
          <cell r="A49" t="str">
            <v>Moving - 113 01500 ME Q</v>
          </cell>
        </row>
        <row r="50">
          <cell r="A50" t="str">
            <v>Paint &amp; Wallcovering - 113 09900 GC A</v>
          </cell>
        </row>
        <row r="51">
          <cell r="A51" t="str">
            <v>Plants - 113 12800 FF F</v>
          </cell>
        </row>
        <row r="52">
          <cell r="A52" t="str">
            <v>Plumbing - 113 15100 GC B</v>
          </cell>
        </row>
        <row r="53">
          <cell r="A53" t="str">
            <v>Project Support - 113 01300 PS H</v>
          </cell>
        </row>
        <row r="54">
          <cell r="A54" t="str">
            <v>Project Support/REIMB - 113 01301 PS H</v>
          </cell>
        </row>
        <row r="55">
          <cell r="A55" t="str">
            <v>Roofing - 113 07500 GC A</v>
          </cell>
        </row>
        <row r="56">
          <cell r="A56" t="str">
            <v>Rough Carpentry - 113 06100 GC A</v>
          </cell>
        </row>
        <row r="57">
          <cell r="A57" t="str">
            <v>Rubbish Removal - 113 01745 GC D</v>
          </cell>
        </row>
        <row r="58">
          <cell r="A58" t="str">
            <v>Security - 113 11020 GC A</v>
          </cell>
        </row>
        <row r="59">
          <cell r="A59" t="str">
            <v>Security Systems - 113 16720 GC C</v>
          </cell>
        </row>
        <row r="60">
          <cell r="A60" t="str">
            <v>Sound Masking/Paging System - 113 16770 GC C</v>
          </cell>
        </row>
        <row r="61">
          <cell r="A61" t="str">
            <v>Specialties - 113 13000 GC A</v>
          </cell>
        </row>
        <row r="62">
          <cell r="A62" t="str">
            <v>Specialty Doors - 113 08180 GC A</v>
          </cell>
        </row>
        <row r="63">
          <cell r="A63" t="str">
            <v>Sprinkler - 113 15300 GC B</v>
          </cell>
        </row>
        <row r="64">
          <cell r="A64" t="str">
            <v>State &amp; Local Sales Tax - 113 40100 GC M</v>
          </cell>
        </row>
        <row r="65">
          <cell r="A65" t="str">
            <v>State Sales Tax for Furniture/Fixtures - 113 40100 FF F</v>
          </cell>
        </row>
        <row r="66">
          <cell r="A66" t="str">
            <v>Steel Doors &amp; Frames - 113 08150 GC A</v>
          </cell>
        </row>
        <row r="67">
          <cell r="A67" t="str">
            <v>Structural Steel - 113 05100 GC A</v>
          </cell>
        </row>
        <row r="68">
          <cell r="A68" t="str">
            <v>Telephone Switch &amp; Phones - 113 16999 TE K</v>
          </cell>
        </row>
        <row r="69">
          <cell r="A69" t="str">
            <v>Temp Protection - 113 01513 GC D</v>
          </cell>
        </row>
        <row r="70">
          <cell r="A70" t="str">
            <v>Tenant Improvement Allowance - 113 TIALL CA L</v>
          </cell>
        </row>
        <row r="71">
          <cell r="A71" t="str">
            <v>Toilet Accessories - 113 10800 GC A</v>
          </cell>
        </row>
        <row r="72">
          <cell r="A72" t="str">
            <v>Visual Display Boards - 113 10100 GC A</v>
          </cell>
        </row>
        <row r="73">
          <cell r="A73" t="str">
            <v>Wall Systems/Partitions - 113 10615 FF F</v>
          </cell>
        </row>
        <row r="74">
          <cell r="A74" t="str">
            <v>Wall/Corner Guards - 113 10260 GC A</v>
          </cell>
        </row>
        <row r="75">
          <cell r="A75" t="str">
            <v>Window Treatments - 113 12490 GC A</v>
          </cell>
        </row>
        <row r="76">
          <cell r="A76" t="str">
            <v>Wood Doors - 113 08200 GC A</v>
          </cell>
        </row>
        <row r="77">
          <cell r="A77" t="str">
            <v>Wood Flooring - 113 09640 GC 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res"/>
      <sheetName val="ACH-EDI"/>
      <sheetName val="LBX"/>
      <sheetName val="ARP"/>
      <sheetName val="Insight Download"/>
      <sheetName val="Qry-Alloc Pool by 2 dot"/>
    </sheetNames>
    <sheetDataSet>
      <sheetData sheetId="0"/>
      <sheetData sheetId="1"/>
      <sheetData sheetId="2"/>
      <sheetData sheetId="3"/>
      <sheetData sheetId="4"/>
      <sheetData sheetId="5" refreshError="1">
        <row r="3">
          <cell r="B3" t="str">
            <v>AE........</v>
          </cell>
          <cell r="C3" t="str">
            <v>PERSONNEL GROUP (Lvl 2 AE........)</v>
          </cell>
          <cell r="D3">
            <v>496</v>
          </cell>
        </row>
        <row r="4">
          <cell r="B4" t="str">
            <v>AF........</v>
          </cell>
          <cell r="C4" t="str">
            <v>CORPORATE RISK MANAGEMENT (Lvl 2 AF........)</v>
          </cell>
          <cell r="D4">
            <v>49</v>
          </cell>
        </row>
        <row r="5">
          <cell r="B5" t="str">
            <v>AG........</v>
          </cell>
          <cell r="C5" t="str">
            <v>FINANCE GROUP (Lvl 2 AG........)</v>
          </cell>
          <cell r="D5">
            <v>5</v>
          </cell>
        </row>
        <row r="6">
          <cell r="B6" t="str">
            <v>AM........</v>
          </cell>
          <cell r="C6" t="str">
            <v>CORP. MARKETING AND CORP. COMMUNICATIONS (Lvl 2 AM........)</v>
          </cell>
          <cell r="D6">
            <v>0</v>
          </cell>
        </row>
        <row r="7">
          <cell r="B7" t="str">
            <v>BA........</v>
          </cell>
          <cell r="C7" t="str">
            <v>PLANNING / CONTROL (Lvl 2 BA........)</v>
          </cell>
          <cell r="D7">
            <v>2565</v>
          </cell>
        </row>
        <row r="8">
          <cell r="B8" t="str">
            <v>BC........</v>
          </cell>
          <cell r="C8" t="str">
            <v>I/C ACTIVITY AND ELIMINATIONS (Lvl 2 BC........)</v>
          </cell>
          <cell r="D8">
            <v>119</v>
          </cell>
        </row>
        <row r="9">
          <cell r="B9" t="str">
            <v>BF........</v>
          </cell>
          <cell r="C9" t="str">
            <v>BANKAMERICA TRANSITION (Lvl 2 BF........)</v>
          </cell>
          <cell r="D9">
            <v>0</v>
          </cell>
        </row>
        <row r="10">
          <cell r="B10" t="str">
            <v>CH........</v>
          </cell>
          <cell r="C10" t="str">
            <v>ABS GLOBAL STRUCTURED FINANCE (Lvl 2 CH........)</v>
          </cell>
          <cell r="D10">
            <v>726</v>
          </cell>
        </row>
        <row r="11">
          <cell r="B11" t="str">
            <v>CI........</v>
          </cell>
          <cell r="C11" t="str">
            <v>MBS GLOBAL STRUCTURED FINANCE (Lvl 2 CI........)</v>
          </cell>
          <cell r="D11">
            <v>5355</v>
          </cell>
        </row>
        <row r="12">
          <cell r="B12" t="str">
            <v>DB........</v>
          </cell>
          <cell r="C12" t="str">
            <v>REAL ESTATE/HI-TECH/BUSINESS SERVICES/GAMING (Lvl 2 DB........)</v>
          </cell>
          <cell r="D12">
            <v>459894</v>
          </cell>
        </row>
        <row r="13">
          <cell r="B13" t="str">
            <v>DD........</v>
          </cell>
          <cell r="C13" t="str">
            <v>FIN INSTITUTIONS/FIN SPONSORS/NATURAL RESOURCES (Lvl 2 DD........)</v>
          </cell>
          <cell r="D13">
            <v>506779</v>
          </cell>
        </row>
        <row r="14">
          <cell r="B14" t="str">
            <v>DE........</v>
          </cell>
          <cell r="C14" t="str">
            <v>GENERAL INDUSTRIAL/SPORTS (Lvl 2 DE........)</v>
          </cell>
          <cell r="D14">
            <v>415</v>
          </cell>
        </row>
        <row r="15">
          <cell r="B15" t="str">
            <v>DM........</v>
          </cell>
          <cell r="C15" t="str">
            <v>EMERGING MARKETS PORTFOLIO MGT (Lvl 2 DM........)</v>
          </cell>
          <cell r="D15">
            <v>589</v>
          </cell>
        </row>
        <row r="16">
          <cell r="B16" t="str">
            <v>DO........</v>
          </cell>
          <cell r="C16" t="str">
            <v>CREDIT SERVICES (Lvl 2 DO........)</v>
          </cell>
          <cell r="D16">
            <v>135</v>
          </cell>
        </row>
        <row r="17">
          <cell r="B17" t="str">
            <v>EA........</v>
          </cell>
          <cell r="C17" t="str">
            <v>CARD SERVICES-MANAGED (Lvl 2 EA........)</v>
          </cell>
          <cell r="D17">
            <v>200835</v>
          </cell>
        </row>
        <row r="18">
          <cell r="B18" t="str">
            <v>FT........</v>
          </cell>
          <cell r="C18" t="str">
            <v>TRANSACTION SERVICES (Lvl 2 FT........)</v>
          </cell>
          <cell r="D18">
            <v>9</v>
          </cell>
        </row>
        <row r="19">
          <cell r="B19" t="str">
            <v>GT........</v>
          </cell>
          <cell r="C19" t="str">
            <v>BAC LEASING (Lvl 2 GT........)</v>
          </cell>
          <cell r="D19">
            <v>2306</v>
          </cell>
        </row>
        <row r="20">
          <cell r="B20" t="str">
            <v>GU........</v>
          </cell>
          <cell r="C20" t="str">
            <v>LEASING - NON-LEVERAGED (Lvl 2 GU........)</v>
          </cell>
          <cell r="D20">
            <v>1</v>
          </cell>
        </row>
        <row r="21">
          <cell r="B21" t="str">
            <v>HA........</v>
          </cell>
          <cell r="C21" t="str">
            <v>BANKING CENTER CHANNEL (Lvl 2 HA........)</v>
          </cell>
          <cell r="D21">
            <v>19697996</v>
          </cell>
        </row>
        <row r="22">
          <cell r="B22" t="str">
            <v>HB........</v>
          </cell>
          <cell r="C22" t="str">
            <v>COMMERCIAL CHANNEL (Lvl 2 HB........)</v>
          </cell>
          <cell r="D22">
            <v>19822749</v>
          </cell>
        </row>
        <row r="23">
          <cell r="B23" t="str">
            <v>HC........</v>
          </cell>
          <cell r="C23" t="str">
            <v>SMALL BUSINESS BANKING CHANNEL (Lvl 2 HC........)</v>
          </cell>
          <cell r="D23">
            <v>2241213</v>
          </cell>
        </row>
        <row r="24">
          <cell r="B24" t="str">
            <v>HD........</v>
          </cell>
          <cell r="C24" t="str">
            <v>PREMIER CHANNEL (Lvl 2 HD........)</v>
          </cell>
          <cell r="D24">
            <v>472446</v>
          </cell>
        </row>
        <row r="25">
          <cell r="B25" t="str">
            <v>HE........</v>
          </cell>
          <cell r="C25" t="str">
            <v>MIDDLE MKT TREASURY MANAGEMENT (Lvl 2 HE........)</v>
          </cell>
          <cell r="D25">
            <v>6272</v>
          </cell>
        </row>
        <row r="26">
          <cell r="B26" t="str">
            <v>HF........</v>
          </cell>
          <cell r="C26" t="str">
            <v>QUALITY AND PRODUCTIVITY (Lvl 2 HF........)</v>
          </cell>
          <cell r="D26">
            <v>2228</v>
          </cell>
        </row>
        <row r="27">
          <cell r="B27" t="str">
            <v>HO........</v>
          </cell>
          <cell r="C27" t="str">
            <v>CREDIT PROCESSING (Lvl 2 HO........)</v>
          </cell>
          <cell r="D27">
            <v>2506</v>
          </cell>
        </row>
        <row r="28">
          <cell r="B28" t="str">
            <v>IT........</v>
          </cell>
          <cell r="C28" t="str">
            <v>DOMESTIC FUNDING (Lvl 2 IT........)</v>
          </cell>
          <cell r="D28">
            <v>811</v>
          </cell>
        </row>
        <row r="29">
          <cell r="B29" t="str">
            <v>IZ........</v>
          </cell>
          <cell r="C29" t="str">
            <v>COML CHANNEL LIQUIDATING BUSINESSES (Lvl 2 IZ........)</v>
          </cell>
          <cell r="D29">
            <v>32900</v>
          </cell>
        </row>
        <row r="30">
          <cell r="B30" t="str">
            <v>JC........</v>
          </cell>
          <cell r="C30" t="str">
            <v>BANK OF AMERICA AUTO GROUP (Lvl 2 JC........)</v>
          </cell>
          <cell r="D30">
            <v>197717</v>
          </cell>
        </row>
        <row r="31">
          <cell r="B31" t="str">
            <v>JO........</v>
          </cell>
          <cell r="C31" t="str">
            <v>SPECIALTY GROUP (Lvl 2 JO........)</v>
          </cell>
          <cell r="D31">
            <v>18338</v>
          </cell>
        </row>
        <row r="32">
          <cell r="B32" t="str">
            <v>KC........</v>
          </cell>
          <cell r="C32" t="str">
            <v>CORPORATE BANKING (Lvl 2 KC........)</v>
          </cell>
          <cell r="D32">
            <v>138</v>
          </cell>
        </row>
        <row r="33">
          <cell r="B33" t="str">
            <v>LB........</v>
          </cell>
          <cell r="C33" t="str">
            <v>COMMUNITY DEVELOPMENT BANKING GROUP (Lvl 2 LB........)</v>
          </cell>
          <cell r="D33">
            <v>23005</v>
          </cell>
        </row>
        <row r="34">
          <cell r="B34" t="str">
            <v>MB........</v>
          </cell>
          <cell r="C34" t="str">
            <v>TREASURY MANAGEMENT SERVICES (Lvl 2 MB........)</v>
          </cell>
          <cell r="D34">
            <v>30157</v>
          </cell>
        </row>
        <row r="35">
          <cell r="B35" t="str">
            <v>ME........</v>
          </cell>
          <cell r="C35" t="str">
            <v>GLOBAL TREASURY SALES (Lvl 2 ME........)</v>
          </cell>
          <cell r="D35">
            <v>0</v>
          </cell>
        </row>
        <row r="36">
          <cell r="B36" t="str">
            <v>MF........</v>
          </cell>
          <cell r="C36" t="str">
            <v>GLOBAL PRODUCT AND STRATEGY (Lvl 2 MF........)</v>
          </cell>
          <cell r="D36">
            <v>0</v>
          </cell>
        </row>
        <row r="37">
          <cell r="B37" t="str">
            <v>MH........</v>
          </cell>
          <cell r="C37" t="str">
            <v>GLOBAL CLIENT SERVICES (Lvl 2 MH........)</v>
          </cell>
          <cell r="D37">
            <v>5239</v>
          </cell>
        </row>
        <row r="38">
          <cell r="B38" t="str">
            <v>QB........</v>
          </cell>
          <cell r="C38" t="str">
            <v>MORTGAGE BANK (Lvl 2 QB........)</v>
          </cell>
          <cell r="D38">
            <v>64809</v>
          </cell>
        </row>
        <row r="39">
          <cell r="B39" t="str">
            <v>RC........</v>
          </cell>
          <cell r="C39" t="str">
            <v>GLOBAL FOREIGN EXCHANGE (Lvl 2 RC........)</v>
          </cell>
          <cell r="D39">
            <v>0</v>
          </cell>
        </row>
        <row r="40">
          <cell r="B40" t="str">
            <v>SB........</v>
          </cell>
          <cell r="C40" t="str">
            <v>CLIENT MANAGEMENT (Lvl 2 SB........)</v>
          </cell>
          <cell r="D40">
            <v>14641</v>
          </cell>
        </row>
        <row r="41">
          <cell r="B41" t="str">
            <v>SH........</v>
          </cell>
          <cell r="C41" t="str">
            <v>CIB - EMEA BANKERS (Lvl 2 SH........)</v>
          </cell>
          <cell r="D41">
            <v>0</v>
          </cell>
        </row>
        <row r="42">
          <cell r="B42" t="str">
            <v>TA........</v>
          </cell>
          <cell r="C42" t="str">
            <v>PRIVATE BANK (Lvl 2 TA........)</v>
          </cell>
          <cell r="D42">
            <v>426630</v>
          </cell>
        </row>
        <row r="43">
          <cell r="B43" t="str">
            <v>TC........</v>
          </cell>
          <cell r="C43" t="str">
            <v>AMG ADMIN (Lvl 2 TC........)</v>
          </cell>
          <cell r="D43">
            <v>165</v>
          </cell>
        </row>
        <row r="44">
          <cell r="B44" t="str">
            <v>TI........</v>
          </cell>
          <cell r="C44" t="str">
            <v>BANC OF AMERICA CAPITAL MGMT (Lvl 2 TI........)</v>
          </cell>
          <cell r="D44">
            <v>42758</v>
          </cell>
        </row>
        <row r="45">
          <cell r="B45" t="str">
            <v>UG........</v>
          </cell>
          <cell r="C45" t="str">
            <v>US/CANADA TREASURY SERVICES (Lvl 2 UG........)</v>
          </cell>
          <cell r="D45">
            <v>22640456</v>
          </cell>
        </row>
        <row r="46">
          <cell r="B46" t="str">
            <v>UL........</v>
          </cell>
          <cell r="C46" t="str">
            <v>EMEA TREASURY SERVICES (Lvl 2 UL........)</v>
          </cell>
          <cell r="D46">
            <v>2291</v>
          </cell>
        </row>
        <row r="47">
          <cell r="B47" t="str">
            <v>UM........</v>
          </cell>
          <cell r="C47" t="str">
            <v>LATIN AMERICA (Lvl 2 UM........)</v>
          </cell>
          <cell r="D47">
            <v>11664</v>
          </cell>
        </row>
        <row r="48">
          <cell r="B48" t="str">
            <v>UN........</v>
          </cell>
          <cell r="C48" t="str">
            <v>ASIA (Lvl 2 UN........)</v>
          </cell>
          <cell r="D48">
            <v>5175</v>
          </cell>
        </row>
        <row r="49">
          <cell r="B49" t="str">
            <v>unlinked</v>
          </cell>
          <cell r="C49" t="str">
            <v>UNIDENTIFIED AT LEVEL 2 (Lvl 2 unlinked</v>
          </cell>
          <cell r="D49">
            <v>160</v>
          </cell>
        </row>
        <row r="50">
          <cell r="B50" t="str">
            <v>WE........</v>
          </cell>
          <cell r="C50" t="str">
            <v>EMEA INTERNATIONAL OTHER (Lvl 2 WE........)</v>
          </cell>
          <cell r="D50">
            <v>0</v>
          </cell>
        </row>
        <row r="51">
          <cell r="B51" t="str">
            <v>WH........</v>
          </cell>
          <cell r="C51" t="str">
            <v>BRANCH (Lvl 2 WH........)</v>
          </cell>
          <cell r="D51">
            <v>154</v>
          </cell>
        </row>
        <row r="52">
          <cell r="B52" t="str">
            <v>ZD........</v>
          </cell>
          <cell r="C52" t="str">
            <v>E-COMMERCE (Lvl 2 ZD........)</v>
          </cell>
          <cell r="D52">
            <v>559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4_03fkmHW"/>
      <sheetName val="FAO dwnld"/>
      <sheetName val="Download Prior Year"/>
      <sheetName val="Download M-10"/>
      <sheetName val="PLAN - 12 MTHS DATA"/>
      <sheetName val="ACTUAL - 12 MTHS DATA"/>
      <sheetName val="data m10"/>
      <sheetName val="FR_TREND"/>
      <sheetName val="9F3RTRND"/>
      <sheetName val="9F2RTRND"/>
      <sheetName val="FR_M10"/>
      <sheetName val="3R_M10"/>
      <sheetName val="M10_2R"/>
      <sheetName val="1R_M10"/>
      <sheetName val="#REF"/>
      <sheetName val="3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capex"/>
      <sheetName val="exp-m"/>
      <sheetName val="Ann -1"/>
      <sheetName val="Assum"/>
      <sheetName val="Debt"/>
      <sheetName val="Sum"/>
      <sheetName val="Cover"/>
      <sheetName val="MoCF"/>
      <sheetName val="pcQueryData"/>
      <sheetName val="Financials"/>
      <sheetName val="Query SS 1_805"/>
      <sheetName val="Opening"/>
      <sheetName val="DepRate"/>
      <sheetName val="CRITERIA1"/>
      <sheetName val="Summary"/>
      <sheetName val="Brand &amp; CC list"/>
      <sheetName val="Market list"/>
      <sheetName val="Purchase Order"/>
      <sheetName val="FORM-16"/>
      <sheetName val="Cochin Invoice File"/>
      <sheetName val="STPI November 08"/>
      <sheetName val="BS - L+OE"/>
      <sheetName val="Annexure 3A"/>
      <sheetName val="CWIP"/>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TPM"/>
      <sheetName val="UBRD"/>
      <sheetName val="UBRS"/>
      <sheetName val="UPLA"/>
      <sheetName val="KPM DT"/>
      <sheetName val="Nandan"/>
      <sheetName val="Revenue"/>
      <sheetName val="BBRD"/>
      <sheetName val="BBRS"/>
      <sheetName val="BBSR"/>
      <sheetName val="cashbackup"/>
      <sheetName val="BusinessList"/>
      <sheetName val="BPLA"/>
      <sheetName val="BPSR"/>
      <sheetName val="BKPM1"/>
      <sheetName val="BKPM2"/>
      <sheetName val="BPCA"/>
      <sheetName val="NOPAT_VDF"/>
      <sheetName val="Invested capital_VDF"/>
      <sheetName val="DCF_VDF"/>
      <sheetName val="WACC_VDF"/>
      <sheetName val="PV of Op Leases_VDF"/>
      <sheetName val="Income Statement_VDF"/>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Modality Summary"/>
      <sheetName val="Page 8 "/>
      <sheetName val="Sheet1 (2)"/>
      <sheetName val="Cochin_Invoice_File"/>
      <sheetName val="STPI_November_08"/>
      <sheetName val="BS_-_L+OE"/>
      <sheetName val="Annexure_3A"/>
      <sheetName val="DCF_Analysis"/>
      <sheetName val="A91_97"/>
      <sheetName val="DB"/>
      <sheetName val="Letter"/>
      <sheetName val="Detailed"/>
      <sheetName val="CashFlow"/>
      <sheetName val="TRIAL BALANCE"/>
      <sheetName val="INV-512"/>
      <sheetName val="Masters"/>
      <sheetName val="All Components Report"/>
      <sheetName val="Rentals Real 1"/>
      <sheetName val="BS, PL, Sch 5 to 9"/>
      <sheetName val="GRN-2010"/>
      <sheetName val="Quarterly Scrap"/>
      <sheetName val="Raw Mtls."/>
      <sheetName val="WIP"/>
      <sheetName val="Finished Goods"/>
      <sheetName val="Raw Data"/>
      <sheetName val="Input"/>
      <sheetName val="Assumptions"/>
      <sheetName val="Himachal"/>
      <sheetName val="Bal_Gr"/>
      <sheetName val="MSU"/>
      <sheetName val="Cost Sheet "/>
      <sheetName val="profit &amp; loss"/>
      <sheetName val="Sheet"/>
      <sheetName val="Locked cell"/>
      <sheetName val="M.G.P-2010"/>
      <sheetName val="new_main_20K"/>
      <sheetName val="IP Business Manpower"/>
      <sheetName val="CP-CT1"/>
      <sheetName val="CP-CT2"/>
      <sheetName val="Basic Resources"/>
      <sheetName val="Main"/>
      <sheetName val="A-3 MODULE"/>
      <sheetName val="SITE-RAMAGUNDAM"/>
      <sheetName val="MD'S RESI"/>
      <sheetName val="JAPANESE ACCM"/>
      <sheetName val="INDIAN GUEST HOUSE"/>
      <sheetName val="ANPARA-SITE "/>
      <sheetName val="Overheads"/>
      <sheetName val="BFNR"/>
      <sheetName val="BIPR"/>
      <sheetName val="A-General"/>
      <sheetName val="Addl.40"/>
      <sheetName val="E"/>
      <sheetName val="CWIP-detl-AUC"/>
      <sheetName val="NMDC Porf"/>
      <sheetName val="F"/>
      <sheetName val="G"/>
      <sheetName val="DET0900"/>
      <sheetName val="Criteria"/>
      <sheetName val="DC Actual"/>
      <sheetName val="DC PLan"/>
      <sheetName val="BS IAS (eur)"/>
      <sheetName val="Val Com4"/>
      <sheetName val="Val Com7"/>
      <sheetName val="BS"/>
      <sheetName val="Sch"/>
      <sheetName val="computation"/>
      <sheetName val="Audit"/>
      <sheetName val="Comp"/>
      <sheetName val="Balance Sheet "/>
      <sheetName val="15"/>
      <sheetName val="Movement of Mutual Funds"/>
      <sheetName val="purchase PBC"/>
      <sheetName val="Prices"/>
      <sheetName val="YTD"/>
      <sheetName val="FX Rate - Current Month Rates"/>
      <sheetName val="CAMPWISE COLL"/>
      <sheetName val="SMTHKLNE"/>
      <sheetName val="KLHT"/>
      <sheetName val="Input schedule"/>
      <sheetName val="200B"/>
      <sheetName val="DEC07 GL DL"/>
      <sheetName val="Simulator Detail"/>
      <sheetName val="lead schs"/>
      <sheetName val="DF"/>
      <sheetName val="Account balances"/>
      <sheetName val="Struktur"/>
      <sheetName val="Sch 13 Notes 13-16"/>
      <sheetName val="EAW Final Accounts - 99"/>
      <sheetName val="TYPE"/>
      <sheetName val="CVBUH2MONTHLY"/>
      <sheetName val="TT35"/>
      <sheetName val="Sch 7-13"/>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Service Function"/>
      <sheetName val="LEGAL GUJ"/>
      <sheetName val="CY-OS-90-1"/>
      <sheetName val="UA"/>
      <sheetName val="Schedules PL"/>
      <sheetName val="Schedules BS"/>
      <sheetName val="LABOUR"/>
      <sheetName val="EPS"/>
      <sheetName val="EBT"/>
      <sheetName val="ADJ"/>
      <sheetName val="o_(r)"/>
      <sheetName val="corp_con"/>
      <sheetName val="tb"/>
      <sheetName val="Instruction Sheet"/>
      <sheetName val="Account_NO_Co_code"/>
      <sheetName val="Sheet2"/>
      <sheetName val="EVABT"/>
      <sheetName val="NOVEMBER SWAMY ORG-I"/>
      <sheetName val="oLD bALANCING"/>
      <sheetName val="Codes"/>
      <sheetName val="OVERHD -PAYROLL"/>
      <sheetName val="BKC"/>
      <sheetName val="SOLIDAIRE"/>
      <sheetName val="GHATKOPAR"/>
      <sheetName val="ANALYSIS"/>
      <sheetName val="KESAR"/>
      <sheetName val="NGE "/>
      <sheetName val="POLYCHEM"/>
      <sheetName val="TARDEO"/>
      <sheetName val="Quotation"/>
      <sheetName val="Other_notes1"/>
      <sheetName val="Ann_-11"/>
      <sheetName val="Co_26_Unfinished_P&amp;E1"/>
      <sheetName val="AP_Example1"/>
      <sheetName val="S2_Chart1"/>
      <sheetName val="S5_Chart1"/>
      <sheetName val="Income_Statement1"/>
      <sheetName val="PL_grp2"/>
      <sheetName val="kpmg_format2"/>
      <sheetName val="cash_flow2"/>
      <sheetName val="Other_notes2"/>
      <sheetName val="Ann_-12"/>
      <sheetName val="Co_26_Unfinished_P&amp;E2"/>
      <sheetName val="Budd_Lanner_Split2"/>
      <sheetName val="STOCK_VALUEMay032"/>
      <sheetName val="AP_Example2"/>
      <sheetName val="S2_Chart2"/>
      <sheetName val="S5_Chart2"/>
      <sheetName val="Apr_08_to_Mar_092"/>
      <sheetName val="Expense_Budget_NOV2"/>
      <sheetName val="WGE_P&amp;E2"/>
      <sheetName val="Accrual_Nov'052"/>
      <sheetName val="Income_Statement2"/>
      <sheetName val="GRP-RN"/>
      <sheetName val="Parametre"/>
      <sheetName val="????&lt;?&gt;"/>
      <sheetName val="depit"/>
      <sheetName val="Usage Efficiency"/>
      <sheetName val="Global Assmptions"/>
      <sheetName val="Appraisal"/>
      <sheetName val="Pending settlements"/>
      <sheetName val="HVAC1"/>
      <sheetName val="Citrix"/>
      <sheetName val="all"/>
      <sheetName val="MF Request-GW"/>
      <sheetName val="P&amp;L BQ"/>
      <sheetName val="Monthly Employee Salary"/>
      <sheetName val="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sheetData sheetId="268"/>
      <sheetData sheetId="269"/>
      <sheetData sheetId="270"/>
      <sheetData sheetId="271" refreshError="1"/>
      <sheetData sheetId="272" refreshError="1"/>
      <sheetData sheetId="273" refreshError="1"/>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EMAIL"/>
      <sheetName val="Sheet2"/>
      <sheetName val="FY03"/>
      <sheetName val="SWF FY03 by Qtr"/>
      <sheetName val="INPUT"/>
      <sheetName val="Rate Card"/>
      <sheetName val="Summary"/>
      <sheetName val="Detail Plan"/>
      <sheetName val="NIS"/>
      <sheetName val="Calendar year Summary Plan."/>
      <sheetName val="Inflators"/>
      <sheetName val="Headcount &amp; Payroll"/>
      <sheetName val="BP Assumptions"/>
      <sheetName val="Assumption Inputs"/>
      <sheetName val="Calendar year Sum Plan (by ind)"/>
      <sheetName val="Calendar year Summary Plan"/>
      <sheetName val="Calendar year Summary Plan (2)"/>
      <sheetName val="Calendar year Sum Plan (BY Hour"/>
      <sheetName val="Sheet1"/>
      <sheetName val="Business Practice Personnel"/>
      <sheetName val="Graph Data"/>
      <sheetName val="Recruiting &amp; Training"/>
      <sheetName val="Business Practises Recruitment"/>
      <sheetName val="People Costs"/>
      <sheetName val="GSS Costs"/>
      <sheetName val="Facility Costs"/>
      <sheetName val="Control"/>
      <sheetName val="SENSITIVITY"/>
      <sheetName val="GSS"/>
      <sheetName val="ic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Sum-IGAAP"/>
      <sheetName val="P&amp;M assets &gt; 7 lakh"/>
      <sheetName val="Pivot-Class"/>
      <sheetName val="Useful Lives Table"/>
      <sheetName val="ANALYSIS_Sheet_2"/>
      <sheetName val="Equipment Weight Table"/>
      <sheetName val="Analysis"/>
      <sheetName val="Trend-Ind"/>
      <sheetName val="2. Multiplying Factor"/>
      <sheetName val="Pivot-Code_plant"/>
      <sheetName val="RCC_Asset Class_Count"/>
      <sheetName val="Analysis_2"/>
      <sheetName val="NUL file"/>
      <sheetName val="PPI_EXCH_MNS"/>
      <sheetName val="NUL_PPT"/>
      <sheetName val="Exp Allo Ref"/>
    </sheetNames>
    <sheetDataSet>
      <sheetData sheetId="0"/>
      <sheetData sheetId="1"/>
      <sheetData sheetId="2">
        <row r="6">
          <cell r="BW6" t="str">
            <v>Residual Value</v>
          </cell>
          <cell r="CN6" t="str">
            <v>Scrap value/ RCN</v>
          </cell>
        </row>
        <row r="10">
          <cell r="CN10">
            <v>7.9666793618746859E-2</v>
          </cell>
        </row>
        <row r="16">
          <cell r="CN16">
            <v>0.13271990157279526</v>
          </cell>
        </row>
        <row r="18">
          <cell r="CN18">
            <v>0.21410169521595945</v>
          </cell>
        </row>
        <row r="20">
          <cell r="CN20">
            <v>4.0064033264232461E-2</v>
          </cell>
        </row>
        <row r="22">
          <cell r="CN22">
            <v>0.13484619822261951</v>
          </cell>
        </row>
        <row r="24">
          <cell r="CN24">
            <v>3.4625264106665506E-2</v>
          </cell>
        </row>
        <row r="25">
          <cell r="CN25">
            <v>3.3535198135595128E-2</v>
          </cell>
        </row>
        <row r="26">
          <cell r="CN26">
            <v>3.4625264106665506E-2</v>
          </cell>
        </row>
        <row r="27">
          <cell r="CN27">
            <v>3.4625264106665506E-2</v>
          </cell>
        </row>
        <row r="28">
          <cell r="CN28">
            <v>3.4625264106665506E-2</v>
          </cell>
        </row>
        <row r="36">
          <cell r="CN36">
            <v>5.7026591873135531E-2</v>
          </cell>
        </row>
        <row r="38">
          <cell r="CN38">
            <v>0.17356016200376928</v>
          </cell>
        </row>
        <row r="44">
          <cell r="CN44">
            <v>3.6368129046991E-2</v>
          </cell>
        </row>
        <row r="45">
          <cell r="CN45">
            <v>3.6368129046991E-2</v>
          </cell>
        </row>
        <row r="46">
          <cell r="CN46">
            <v>3.6368129046991E-2</v>
          </cell>
        </row>
        <row r="47">
          <cell r="CN47">
            <v>3.6368129046991E-2</v>
          </cell>
        </row>
        <row r="79">
          <cell r="CN79">
            <v>0.18746956354053268</v>
          </cell>
        </row>
        <row r="81">
          <cell r="CN81">
            <v>5.9254830817856888E-2</v>
          </cell>
        </row>
        <row r="87">
          <cell r="CN87">
            <v>5.9341869212108052E-2</v>
          </cell>
        </row>
        <row r="91">
          <cell r="CN91">
            <v>9.6750080285500126E-2</v>
          </cell>
        </row>
        <row r="93">
          <cell r="CN93">
            <v>1.7710847660349808E-2</v>
          </cell>
        </row>
        <row r="94">
          <cell r="CN94">
            <v>4.0929307783410793E-2</v>
          </cell>
        </row>
        <row r="110">
          <cell r="CN110">
            <v>4.1279896746954405E-2</v>
          </cell>
        </row>
        <row r="121">
          <cell r="CN121">
            <v>1.8306778910947459E-2</v>
          </cell>
        </row>
        <row r="128">
          <cell r="CN128">
            <v>0.15839384125387743</v>
          </cell>
        </row>
        <row r="130">
          <cell r="CN130">
            <v>6.533990269463763E-2</v>
          </cell>
        </row>
        <row r="132">
          <cell r="CN132">
            <v>0.13006535473473338</v>
          </cell>
        </row>
        <row r="135">
          <cell r="CN135">
            <v>5.2735923743215042E-2</v>
          </cell>
        </row>
        <row r="138">
          <cell r="CN138">
            <v>0.17749662790023776</v>
          </cell>
        </row>
        <row r="139">
          <cell r="CN139">
            <v>0.21161031239573533</v>
          </cell>
        </row>
        <row r="141">
          <cell r="CN141">
            <v>0.26279035235696918</v>
          </cell>
        </row>
        <row r="152">
          <cell r="CN152">
            <v>0.16689959063955787</v>
          </cell>
        </row>
        <row r="153">
          <cell r="CN153">
            <v>0.15286113663557549</v>
          </cell>
        </row>
        <row r="155">
          <cell r="CN155">
            <v>0.12180981816479501</v>
          </cell>
        </row>
        <row r="158">
          <cell r="CN158">
            <v>5.2798272229339568E-2</v>
          </cell>
        </row>
        <row r="166">
          <cell r="CN166">
            <v>2.7437625555750172E-2</v>
          </cell>
        </row>
        <row r="167">
          <cell r="CN167">
            <v>6.2033679466703073E-2</v>
          </cell>
        </row>
        <row r="168">
          <cell r="CN168">
            <v>7.4616623005289887E-2</v>
          </cell>
        </row>
        <row r="172">
          <cell r="CN172">
            <v>2.5582535617037976E-2</v>
          </cell>
        </row>
        <row r="184">
          <cell r="CN184">
            <v>1.9230411093402639E-2</v>
          </cell>
        </row>
        <row r="188">
          <cell r="CN188">
            <v>0.1153580981278622</v>
          </cell>
        </row>
        <row r="191">
          <cell r="CN191">
            <v>3.1491504078666958E-2</v>
          </cell>
        </row>
        <row r="192">
          <cell r="CN192">
            <v>7.9168585293413418E-2</v>
          </cell>
        </row>
        <row r="193">
          <cell r="CN193">
            <v>4.3542085207755571E-2</v>
          </cell>
        </row>
        <row r="195">
          <cell r="CN195">
            <v>7.2507176651713879E-3</v>
          </cell>
        </row>
        <row r="196">
          <cell r="CN196">
            <v>1.1430854508625174E-2</v>
          </cell>
        </row>
        <row r="198">
          <cell r="CN198">
            <v>1.6739669862676842E-2</v>
          </cell>
        </row>
        <row r="200">
          <cell r="CN200">
            <v>8.753269413265187E-3</v>
          </cell>
        </row>
        <row r="202">
          <cell r="CN202">
            <v>3.3189483934605052E-2</v>
          </cell>
        </row>
        <row r="203">
          <cell r="CN203">
            <v>4.8446054096146975E-2</v>
          </cell>
        </row>
        <row r="204">
          <cell r="CN204">
            <v>4.7964674593970025E-2</v>
          </cell>
        </row>
        <row r="205">
          <cell r="CN205">
            <v>2.4122462169375837E-2</v>
          </cell>
        </row>
        <row r="206">
          <cell r="CN206">
            <v>2.013441199211689E-2</v>
          </cell>
        </row>
        <row r="208">
          <cell r="CN208">
            <v>1.5995208602400768E-2</v>
          </cell>
        </row>
        <row r="218">
          <cell r="CN218">
            <v>2.145820907413315E-2</v>
          </cell>
        </row>
        <row r="225">
          <cell r="CN225">
            <v>6.0627631657369403E-2</v>
          </cell>
        </row>
        <row r="226">
          <cell r="CN226">
            <v>2.3104622067313403E-2</v>
          </cell>
        </row>
        <row r="227">
          <cell r="CN227">
            <v>0.11240146988015645</v>
          </cell>
        </row>
        <row r="236">
          <cell r="CN236">
            <v>0.22751452391059571</v>
          </cell>
        </row>
        <row r="238">
          <cell r="CN238">
            <v>0.14806589355604424</v>
          </cell>
        </row>
        <row r="242">
          <cell r="CN242">
            <v>0.13952051988189165</v>
          </cell>
        </row>
        <row r="243">
          <cell r="CN243">
            <v>0.23362230478428517</v>
          </cell>
        </row>
        <row r="244">
          <cell r="CN244">
            <v>4.9336600064783402E-2</v>
          </cell>
        </row>
        <row r="248">
          <cell r="CN248">
            <v>0.43493611910379337</v>
          </cell>
        </row>
        <row r="249">
          <cell r="CN249">
            <v>3.2697344856814303E-2</v>
          </cell>
        </row>
        <row r="252">
          <cell r="CN252">
            <v>2.9894255297265162E-2</v>
          </cell>
        </row>
        <row r="253">
          <cell r="CN253">
            <v>2.9729082984873607E-2</v>
          </cell>
        </row>
        <row r="255">
          <cell r="CN255">
            <v>2.4053916843379246E-2</v>
          </cell>
        </row>
        <row r="256">
          <cell r="CN256">
            <v>0.17520425218204405</v>
          </cell>
        </row>
        <row r="257">
          <cell r="CN257">
            <v>2.8188071173756615E-2</v>
          </cell>
        </row>
        <row r="258">
          <cell r="CN258">
            <v>3.322539692903495E-2</v>
          </cell>
        </row>
        <row r="259">
          <cell r="CN259">
            <v>2.5194232505420577E-2</v>
          </cell>
        </row>
        <row r="260">
          <cell r="CN260">
            <v>3.8180893584202007E-2</v>
          </cell>
        </row>
        <row r="262">
          <cell r="CN262">
            <v>1.993250598010432E-2</v>
          </cell>
        </row>
        <row r="264">
          <cell r="CN264">
            <v>3.1346988820997936E-2</v>
          </cell>
        </row>
        <row r="265">
          <cell r="CN265">
            <v>9.4015508200116463E-2</v>
          </cell>
        </row>
        <row r="268">
          <cell r="CN268">
            <v>2.2474787021594569E-2</v>
          </cell>
        </row>
        <row r="269">
          <cell r="CN269">
            <v>2.6027886013953696E-2</v>
          </cell>
        </row>
        <row r="271">
          <cell r="CN271">
            <v>2.5444394050169222E-2</v>
          </cell>
        </row>
        <row r="272">
          <cell r="CN272">
            <v>4.497752911767415E-2</v>
          </cell>
        </row>
        <row r="275">
          <cell r="CN275">
            <v>0.19182968740397607</v>
          </cell>
        </row>
        <row r="276">
          <cell r="CN276">
            <v>4.1499309373832227E-2</v>
          </cell>
        </row>
        <row r="277">
          <cell r="CN277">
            <v>0.1247082118212125</v>
          </cell>
        </row>
        <row r="278">
          <cell r="CN278">
            <v>0.12332199975863009</v>
          </cell>
        </row>
        <row r="279">
          <cell r="CN279">
            <v>7.9035015332968805E-2</v>
          </cell>
        </row>
        <row r="280">
          <cell r="CN280">
            <v>2.5320435485850962E-2</v>
          </cell>
        </row>
        <row r="281">
          <cell r="CN281">
            <v>0.11190543171019388</v>
          </cell>
        </row>
        <row r="282">
          <cell r="CN282">
            <v>9.8269848987084615E-2</v>
          </cell>
        </row>
        <row r="283">
          <cell r="CN283">
            <v>1.1155474925803006E-2</v>
          </cell>
        </row>
        <row r="284">
          <cell r="CN284">
            <v>1.5058621374204058E-2</v>
          </cell>
        </row>
        <row r="287">
          <cell r="CN287">
            <v>3.3501588151564753E-2</v>
          </cell>
        </row>
        <row r="289">
          <cell r="CN289">
            <v>6.9362939959077524E-2</v>
          </cell>
        </row>
        <row r="290">
          <cell r="CN290">
            <v>6.0008192827133164E-3</v>
          </cell>
        </row>
        <row r="293">
          <cell r="CN293">
            <v>6.3174058573126413E-2</v>
          </cell>
        </row>
        <row r="294">
          <cell r="CN294">
            <v>6.3174058573126413E-2</v>
          </cell>
        </row>
        <row r="297">
          <cell r="CN297">
            <v>0.2763162402971952</v>
          </cell>
        </row>
        <row r="302">
          <cell r="CN302">
            <v>1.7321231008335956E-2</v>
          </cell>
        </row>
        <row r="304">
          <cell r="CN304">
            <v>6.3636854998762579E-2</v>
          </cell>
        </row>
        <row r="307">
          <cell r="CN307">
            <v>4.2818754542740957E-2</v>
          </cell>
        </row>
        <row r="308">
          <cell r="CN308">
            <v>0.16130969483713178</v>
          </cell>
        </row>
        <row r="310">
          <cell r="CN310">
            <v>0.15578466040801461</v>
          </cell>
        </row>
        <row r="311">
          <cell r="CN311">
            <v>6.3739433199390669E-2</v>
          </cell>
        </row>
        <row r="312">
          <cell r="CN312">
            <v>7.2526893196741687E-2</v>
          </cell>
        </row>
        <row r="313">
          <cell r="CN313">
            <v>2.939503985716569E-2</v>
          </cell>
        </row>
        <row r="317">
          <cell r="CN317">
            <v>9.317637717943604E-2</v>
          </cell>
        </row>
        <row r="319">
          <cell r="CN319">
            <v>6.3982442372201936E-2</v>
          </cell>
        </row>
        <row r="320">
          <cell r="CN320">
            <v>3.9104521862205491E-2</v>
          </cell>
        </row>
        <row r="321">
          <cell r="CN321">
            <v>0.20054502352961509</v>
          </cell>
        </row>
        <row r="322">
          <cell r="CN322">
            <v>7.6772151522827042E-2</v>
          </cell>
        </row>
        <row r="323">
          <cell r="CN323">
            <v>6.6778478198251182E-2</v>
          </cell>
        </row>
        <row r="324">
          <cell r="CN324">
            <v>8.8255932372297202E-2</v>
          </cell>
        </row>
        <row r="329">
          <cell r="CN329">
            <v>6.2743747071180135E-3</v>
          </cell>
        </row>
        <row r="333">
          <cell r="CN333">
            <v>0.162032978849456</v>
          </cell>
        </row>
        <row r="335">
          <cell r="CN335">
            <v>9.7417521099193854E-2</v>
          </cell>
        </row>
        <row r="338">
          <cell r="CN338">
            <v>0.22473075313578425</v>
          </cell>
        </row>
        <row r="339">
          <cell r="CN339">
            <v>0.15258541496454145</v>
          </cell>
        </row>
        <row r="349">
          <cell r="CN349">
            <v>6.7637949985146675E-2</v>
          </cell>
        </row>
        <row r="350">
          <cell r="CN350">
            <v>8.7042360186751377E-2</v>
          </cell>
        </row>
        <row r="356">
          <cell r="CN356">
            <v>6.5199697881574328E-2</v>
          </cell>
        </row>
        <row r="357">
          <cell r="CN357">
            <v>6.279863761638553E-2</v>
          </cell>
        </row>
        <row r="358">
          <cell r="CN358">
            <v>6.1788799156872111E-2</v>
          </cell>
        </row>
        <row r="359">
          <cell r="CN359">
            <v>0.21102053465583573</v>
          </cell>
        </row>
        <row r="360">
          <cell r="CN360">
            <v>0.20007667332694351</v>
          </cell>
        </row>
        <row r="361">
          <cell r="CN361">
            <v>0.18437513411293011</v>
          </cell>
        </row>
        <row r="362">
          <cell r="CN362">
            <v>0.13919089918018407</v>
          </cell>
        </row>
        <row r="366">
          <cell r="CN366">
            <v>9.8099828870692407E-2</v>
          </cell>
        </row>
        <row r="367">
          <cell r="CN367">
            <v>9.7299531616198212E-2</v>
          </cell>
        </row>
        <row r="368">
          <cell r="CN368">
            <v>6.8042559252608006E-2</v>
          </cell>
        </row>
        <row r="369">
          <cell r="CN369">
            <v>9.6371233804603426E-2</v>
          </cell>
        </row>
        <row r="370">
          <cell r="CN370">
            <v>5.484205177134352E-2</v>
          </cell>
        </row>
        <row r="371">
          <cell r="CN371">
            <v>8.1513421744816739E-2</v>
          </cell>
        </row>
        <row r="374">
          <cell r="CN374">
            <v>0.15912973299467284</v>
          </cell>
        </row>
        <row r="375">
          <cell r="CN375">
            <v>0.23499085081760973</v>
          </cell>
        </row>
        <row r="376">
          <cell r="CN376">
            <v>0.22365479858467666</v>
          </cell>
        </row>
        <row r="377">
          <cell r="CN377">
            <v>0.2313495389510038</v>
          </cell>
        </row>
        <row r="378">
          <cell r="CN378">
            <v>8.893101602822194E-2</v>
          </cell>
        </row>
        <row r="379">
          <cell r="CN379">
            <v>0.29676770282540549</v>
          </cell>
        </row>
        <row r="380">
          <cell r="CN380">
            <v>0.16730846828789178</v>
          </cell>
        </row>
        <row r="381">
          <cell r="CN381">
            <v>0.19506804865239755</v>
          </cell>
        </row>
        <row r="382">
          <cell r="CN382">
            <v>0.24703909254185297</v>
          </cell>
        </row>
        <row r="383">
          <cell r="CN383">
            <v>9.6468024386302212E-2</v>
          </cell>
        </row>
        <row r="384">
          <cell r="CN384">
            <v>0.14710891964702275</v>
          </cell>
        </row>
        <row r="385">
          <cell r="CN385">
            <v>0.18794777316295277</v>
          </cell>
        </row>
        <row r="386">
          <cell r="CN386">
            <v>0.10321382167119655</v>
          </cell>
        </row>
        <row r="387">
          <cell r="CN387">
            <v>0.12804071748173357</v>
          </cell>
        </row>
        <row r="388">
          <cell r="CN388">
            <v>9.8688842816041705E-2</v>
          </cell>
        </row>
        <row r="390">
          <cell r="CN390">
            <v>9.0059330606508614E-2</v>
          </cell>
        </row>
        <row r="391">
          <cell r="CN391">
            <v>0.14104003164441051</v>
          </cell>
        </row>
        <row r="392">
          <cell r="CN392">
            <v>0.17448517766356691</v>
          </cell>
        </row>
        <row r="393">
          <cell r="CN393">
            <v>0.16845735400054895</v>
          </cell>
        </row>
        <row r="400">
          <cell r="CN400">
            <v>0.10120386594014345</v>
          </cell>
        </row>
        <row r="407">
          <cell r="CN407">
            <v>0.24348809540162925</v>
          </cell>
        </row>
        <row r="430">
          <cell r="CN430">
            <v>0.14499760090621097</v>
          </cell>
        </row>
        <row r="432">
          <cell r="CN432">
            <v>0.12083133408850914</v>
          </cell>
        </row>
        <row r="449">
          <cell r="CN449">
            <v>0.30202741238155462</v>
          </cell>
        </row>
        <row r="452">
          <cell r="CN452">
            <v>0.22740493991780011</v>
          </cell>
        </row>
        <row r="473">
          <cell r="CN473">
            <v>0.1047251940849447</v>
          </cell>
        </row>
        <row r="474">
          <cell r="CN474">
            <v>6.8911620463906378E-2</v>
          </cell>
        </row>
        <row r="475">
          <cell r="CN475">
            <v>8.7170684470115486E-2</v>
          </cell>
        </row>
        <row r="477">
          <cell r="CN477">
            <v>0.12687429700640113</v>
          </cell>
        </row>
        <row r="478">
          <cell r="CN478">
            <v>0.13293384591239774</v>
          </cell>
        </row>
        <row r="483">
          <cell r="CN483">
            <v>0.19595617660364575</v>
          </cell>
        </row>
        <row r="484">
          <cell r="CN484">
            <v>0.13652683579738462</v>
          </cell>
        </row>
        <row r="487">
          <cell r="CN487">
            <v>0.32981053023268347</v>
          </cell>
        </row>
        <row r="489">
          <cell r="CN489">
            <v>0.22583715478797406</v>
          </cell>
        </row>
        <row r="491">
          <cell r="CN491">
            <v>0.13829042266130492</v>
          </cell>
        </row>
        <row r="501">
          <cell r="CN501">
            <v>0.26754704381257727</v>
          </cell>
        </row>
        <row r="502">
          <cell r="CN502">
            <v>0.1030568811763246</v>
          </cell>
        </row>
        <row r="509">
          <cell r="CN509">
            <v>0.24382465173305229</v>
          </cell>
        </row>
        <row r="512">
          <cell r="CN512">
            <v>0.26797486803146892</v>
          </cell>
        </row>
        <row r="517">
          <cell r="CN517">
            <v>6.3174058573126413E-2</v>
          </cell>
        </row>
        <row r="518">
          <cell r="CN518">
            <v>3.2348162513366675E-2</v>
          </cell>
        </row>
        <row r="519">
          <cell r="CN519">
            <v>2.081315884384527E-2</v>
          </cell>
        </row>
        <row r="520">
          <cell r="CN520">
            <v>0.25450013922399428</v>
          </cell>
        </row>
        <row r="521">
          <cell r="CN521">
            <v>0.12604288664184027</v>
          </cell>
        </row>
        <row r="522">
          <cell r="CN522">
            <v>0.21869163620556961</v>
          </cell>
        </row>
        <row r="529">
          <cell r="CN529">
            <v>0.2731712842741979</v>
          </cell>
        </row>
        <row r="531">
          <cell r="CN531">
            <v>0.16292463826313366</v>
          </cell>
        </row>
        <row r="532">
          <cell r="CN532">
            <v>0.22225056988331499</v>
          </cell>
        </row>
        <row r="534">
          <cell r="CN534">
            <v>9.8216292805889574E-2</v>
          </cell>
        </row>
        <row r="536">
          <cell r="CN536">
            <v>9.0639351994391201E-2</v>
          </cell>
        </row>
        <row r="537">
          <cell r="CN537">
            <v>0.16429498688268185</v>
          </cell>
        </row>
        <row r="541">
          <cell r="CN541">
            <v>2.6391279196498127E-2</v>
          </cell>
        </row>
        <row r="542">
          <cell r="CN542">
            <v>0.14352303380593057</v>
          </cell>
        </row>
        <row r="543">
          <cell r="CN543">
            <v>0.14705121097565657</v>
          </cell>
        </row>
        <row r="544">
          <cell r="CN544">
            <v>0.12616349280971337</v>
          </cell>
        </row>
        <row r="545">
          <cell r="CN545">
            <v>7.6469483529276502E-2</v>
          </cell>
        </row>
        <row r="546">
          <cell r="CN546">
            <v>0.12021187741237827</v>
          </cell>
        </row>
        <row r="547">
          <cell r="CN547">
            <v>3.1055962452453338E-2</v>
          </cell>
        </row>
        <row r="548">
          <cell r="CN548">
            <v>6.4169825812370282E-2</v>
          </cell>
        </row>
        <row r="552">
          <cell r="CN552">
            <v>0</v>
          </cell>
        </row>
        <row r="553">
          <cell r="CN553">
            <v>0</v>
          </cell>
        </row>
        <row r="554">
          <cell r="CN554">
            <v>0</v>
          </cell>
        </row>
        <row r="558">
          <cell r="CN558">
            <v>6.1464844089981173E-2</v>
          </cell>
        </row>
        <row r="563">
          <cell r="CN563">
            <v>1.1459526326895034E-3</v>
          </cell>
        </row>
        <row r="564">
          <cell r="CN564">
            <v>0</v>
          </cell>
        </row>
        <row r="574">
          <cell r="CN574">
            <v>6.1414195339980319E-3</v>
          </cell>
        </row>
        <row r="581">
          <cell r="CN581">
            <v>7.1655535007424845E-2</v>
          </cell>
        </row>
        <row r="583">
          <cell r="CN583">
            <v>0.13386194066436771</v>
          </cell>
        </row>
        <row r="584">
          <cell r="CN584">
            <v>0.13386194066436771</v>
          </cell>
        </row>
        <row r="585">
          <cell r="CN585">
            <v>8.6762368792973082E-2</v>
          </cell>
        </row>
        <row r="586">
          <cell r="CN586">
            <v>8.6618005986198995E-2</v>
          </cell>
        </row>
        <row r="587">
          <cell r="CN587">
            <v>8.8987045347064687E-3</v>
          </cell>
        </row>
        <row r="588">
          <cell r="CN588">
            <v>4.7985189659912414E-2</v>
          </cell>
        </row>
        <row r="589">
          <cell r="CN589">
            <v>4.7985189659912414E-2</v>
          </cell>
        </row>
        <row r="590">
          <cell r="CN590">
            <v>7.9905925218374425E-3</v>
          </cell>
        </row>
        <row r="591">
          <cell r="CN591">
            <v>4.5555559563411133E-2</v>
          </cell>
        </row>
        <row r="592">
          <cell r="CN592">
            <v>1.7299396065254841E-2</v>
          </cell>
        </row>
        <row r="594">
          <cell r="CN594">
            <v>1.6780414242214759E-2</v>
          </cell>
        </row>
        <row r="595">
          <cell r="CN595">
            <v>4.1742110962251652E-2</v>
          </cell>
        </row>
        <row r="596">
          <cell r="CN596">
            <v>4.1742110962251652E-2</v>
          </cell>
        </row>
        <row r="597">
          <cell r="CN597">
            <v>5.9115854426083032E-2</v>
          </cell>
        </row>
        <row r="598">
          <cell r="CN598">
            <v>1.854362343273205E-2</v>
          </cell>
        </row>
        <row r="599">
          <cell r="CN599">
            <v>1.854362343273205E-2</v>
          </cell>
        </row>
        <row r="600">
          <cell r="CN600">
            <v>5.6495214796810654E-2</v>
          </cell>
        </row>
        <row r="601">
          <cell r="CN601">
            <v>6.5879268104985692E-2</v>
          </cell>
        </row>
        <row r="602">
          <cell r="CN602">
            <v>5.6443430741438698E-2</v>
          </cell>
        </row>
        <row r="604">
          <cell r="CN604">
            <v>2.7866102544738883E-2</v>
          </cell>
        </row>
        <row r="605">
          <cell r="CN605">
            <v>5.0838460401166748E-2</v>
          </cell>
        </row>
        <row r="606">
          <cell r="CN606">
            <v>5.0838460401166748E-2</v>
          </cell>
        </row>
        <row r="607">
          <cell r="CN607">
            <v>1.1488534345526826E-2</v>
          </cell>
        </row>
        <row r="612">
          <cell r="CN612">
            <v>0.17971950555034513</v>
          </cell>
        </row>
        <row r="614">
          <cell r="CN614">
            <v>0.41860665202983111</v>
          </cell>
        </row>
        <row r="615">
          <cell r="CN615">
            <v>0.18142956077221842</v>
          </cell>
        </row>
        <row r="616">
          <cell r="CN616">
            <v>0.41308545277274666</v>
          </cell>
        </row>
        <row r="628">
          <cell r="CN628">
            <v>0</v>
          </cell>
        </row>
        <row r="631">
          <cell r="CN631">
            <v>3.4449360286297248E-2</v>
          </cell>
        </row>
        <row r="635">
          <cell r="CN635">
            <v>1.3263664858589106E-2</v>
          </cell>
        </row>
        <row r="638">
          <cell r="CN638">
            <v>3.7373093192568312E-2</v>
          </cell>
        </row>
        <row r="642">
          <cell r="CN642">
            <v>7.8722465279004686E-2</v>
          </cell>
        </row>
        <row r="644">
          <cell r="CN644">
            <v>0.2286531752210392</v>
          </cell>
        </row>
        <row r="648">
          <cell r="CN648">
            <v>6.2506774624640868E-2</v>
          </cell>
        </row>
        <row r="651">
          <cell r="CN651">
            <v>0.18476223765390923</v>
          </cell>
        </row>
        <row r="652">
          <cell r="CN652">
            <v>6.8830625286229255E-2</v>
          </cell>
        </row>
        <row r="653">
          <cell r="CN653">
            <v>0.19197087339522906</v>
          </cell>
        </row>
        <row r="654">
          <cell r="CN654">
            <v>3.8260163135221056E-2</v>
          </cell>
        </row>
        <row r="657">
          <cell r="CN657">
            <v>8.1843575647607747E-2</v>
          </cell>
        </row>
        <row r="658">
          <cell r="CN658">
            <v>7.9550049731888756E-2</v>
          </cell>
        </row>
        <row r="663">
          <cell r="CN663">
            <v>0.12041880118409236</v>
          </cell>
        </row>
        <row r="664">
          <cell r="CN664">
            <v>8.6272914749891474E-3</v>
          </cell>
        </row>
        <row r="670">
          <cell r="CN670">
            <v>3.7807545712255759E-2</v>
          </cell>
        </row>
        <row r="671">
          <cell r="CN671">
            <v>5.4744099821839719E-2</v>
          </cell>
        </row>
        <row r="673">
          <cell r="CN673">
            <v>0.16664793291457963</v>
          </cell>
        </row>
        <row r="674">
          <cell r="CN674">
            <v>0.11827642340725263</v>
          </cell>
        </row>
        <row r="675">
          <cell r="CN675">
            <v>0.20782221996484831</v>
          </cell>
        </row>
        <row r="678">
          <cell r="CN678">
            <v>0.20678881301483609</v>
          </cell>
        </row>
        <row r="679">
          <cell r="CN679">
            <v>0.12297124422341074</v>
          </cell>
        </row>
        <row r="680">
          <cell r="CN680">
            <v>2.4016200933835767E-2</v>
          </cell>
        </row>
        <row r="682">
          <cell r="CN682">
            <v>0.19748859592001064</v>
          </cell>
        </row>
        <row r="684">
          <cell r="CN684">
            <v>3.9710399210377521E-2</v>
          </cell>
        </row>
        <row r="685">
          <cell r="CN685">
            <v>0.11828054327500782</v>
          </cell>
        </row>
        <row r="686">
          <cell r="CN686">
            <v>5.3430477758290941E-2</v>
          </cell>
        </row>
        <row r="687">
          <cell r="CN687">
            <v>7.2628599188627962E-2</v>
          </cell>
        </row>
        <row r="688">
          <cell r="CN688">
            <v>8.1081029014869022E-2</v>
          </cell>
        </row>
        <row r="689">
          <cell r="CN689">
            <v>2.9729710638785312E-2</v>
          </cell>
        </row>
        <row r="690">
          <cell r="CN690">
            <v>4.2647818479355622E-2</v>
          </cell>
        </row>
        <row r="691">
          <cell r="CN691">
            <v>4.2647818479355622E-2</v>
          </cell>
        </row>
        <row r="696">
          <cell r="CN696">
            <v>0.11019287721124678</v>
          </cell>
        </row>
        <row r="709">
          <cell r="CN709">
            <v>7.6642913481320241E-2</v>
          </cell>
        </row>
        <row r="710">
          <cell r="CN710">
            <v>7.5120207139083017E-2</v>
          </cell>
        </row>
        <row r="711">
          <cell r="CN711">
            <v>9.3070541436996224E-2</v>
          </cell>
        </row>
        <row r="712">
          <cell r="CN712">
            <v>5.0831081015992777E-2</v>
          </cell>
        </row>
        <row r="713">
          <cell r="CN713">
            <v>6.896953746156291E-2</v>
          </cell>
        </row>
        <row r="715">
          <cell r="CN715">
            <v>0.11927892606675926</v>
          </cell>
        </row>
        <row r="716">
          <cell r="CN716">
            <v>0.14774183359648374</v>
          </cell>
        </row>
        <row r="717">
          <cell r="CN717">
            <v>0.25315653279946609</v>
          </cell>
        </row>
        <row r="718">
          <cell r="CN718">
            <v>0.24122934273778726</v>
          </cell>
        </row>
        <row r="719">
          <cell r="CN719">
            <v>0.21515596502698944</v>
          </cell>
        </row>
        <row r="720">
          <cell r="CN720">
            <v>0.21252873021040264</v>
          </cell>
        </row>
        <row r="721">
          <cell r="CN721">
            <v>0.21252873021040264</v>
          </cell>
        </row>
        <row r="724">
          <cell r="CN724">
            <v>0.39461030653927687</v>
          </cell>
        </row>
        <row r="725">
          <cell r="CN725">
            <v>2.5004425106433255E-2</v>
          </cell>
        </row>
        <row r="726">
          <cell r="CN726">
            <v>0.27167304322030211</v>
          </cell>
        </row>
        <row r="727">
          <cell r="CN727">
            <v>0.112910124750233</v>
          </cell>
        </row>
        <row r="728">
          <cell r="CN728">
            <v>0.1784705180036584</v>
          </cell>
        </row>
        <row r="729">
          <cell r="CN729">
            <v>0.14867851826982842</v>
          </cell>
        </row>
        <row r="730">
          <cell r="CN730">
            <v>0.24723981192937702</v>
          </cell>
        </row>
        <row r="731">
          <cell r="CN731">
            <v>0.19159821417308265</v>
          </cell>
        </row>
        <row r="732">
          <cell r="CN732">
            <v>0.2585823609169261</v>
          </cell>
        </row>
        <row r="733">
          <cell r="CN733">
            <v>0.17137517590753679</v>
          </cell>
        </row>
        <row r="735">
          <cell r="CN735">
            <v>0.22210511023058974</v>
          </cell>
        </row>
        <row r="736">
          <cell r="CN736">
            <v>0.23152391466287595</v>
          </cell>
        </row>
        <row r="737">
          <cell r="CN737">
            <v>0.15258541496454145</v>
          </cell>
        </row>
        <row r="738">
          <cell r="CN738">
            <v>0.21942709105441019</v>
          </cell>
        </row>
        <row r="739">
          <cell r="CN739">
            <v>0.18131726007358748</v>
          </cell>
        </row>
        <row r="742">
          <cell r="CN742">
            <v>0.23544521375505043</v>
          </cell>
        </row>
        <row r="747">
          <cell r="CN747">
            <v>0.26520028982770399</v>
          </cell>
        </row>
        <row r="748">
          <cell r="CN748">
            <v>0.132600144913852</v>
          </cell>
        </row>
        <row r="750">
          <cell r="CN750">
            <v>6.3333712833103318E-3</v>
          </cell>
        </row>
        <row r="770">
          <cell r="CN770">
            <v>0.1795710923922561</v>
          </cell>
        </row>
        <row r="772">
          <cell r="CN772">
            <v>3.0469172805757758E-2</v>
          </cell>
        </row>
        <row r="773">
          <cell r="CN773">
            <v>0.04</v>
          </cell>
        </row>
        <row r="774">
          <cell r="CN774">
            <v>8.8106927630249299E-2</v>
          </cell>
        </row>
        <row r="775">
          <cell r="CN775">
            <v>7.368969734954621E-2</v>
          </cell>
        </row>
        <row r="776">
          <cell r="CN776">
            <v>7.368969734954621E-2</v>
          </cell>
        </row>
        <row r="778">
          <cell r="CN778">
            <v>9.4636083784160149E-2</v>
          </cell>
        </row>
        <row r="779">
          <cell r="CN779">
            <v>0.10417795599640975</v>
          </cell>
        </row>
        <row r="780">
          <cell r="CN780">
            <v>2.4430566702587878E-2</v>
          </cell>
        </row>
        <row r="782">
          <cell r="CN782">
            <v>2.0965217619741218E-2</v>
          </cell>
        </row>
        <row r="783">
          <cell r="CN783">
            <v>2.0965217619741218E-2</v>
          </cell>
        </row>
        <row r="784">
          <cell r="CN784">
            <v>1.9982538086486791E-2</v>
          </cell>
        </row>
        <row r="792">
          <cell r="CN792">
            <v>0.20695038851614006</v>
          </cell>
        </row>
        <row r="797">
          <cell r="CN797">
            <v>0.11801450947295578</v>
          </cell>
        </row>
        <row r="798">
          <cell r="CN798">
            <v>5.9982806118116905E-2</v>
          </cell>
        </row>
        <row r="799">
          <cell r="CN799">
            <v>4.4310388987523153E-2</v>
          </cell>
        </row>
        <row r="800">
          <cell r="CN800">
            <v>0.13634652605730974</v>
          </cell>
        </row>
        <row r="801">
          <cell r="CN801">
            <v>0.1764414010498902</v>
          </cell>
        </row>
        <row r="802">
          <cell r="CN802">
            <v>0.2128838857239278</v>
          </cell>
        </row>
        <row r="803">
          <cell r="CN803">
            <v>9.0607406240433286E-2</v>
          </cell>
        </row>
        <row r="804">
          <cell r="CN804">
            <v>0.17380457334152535</v>
          </cell>
        </row>
        <row r="808">
          <cell r="CN808">
            <v>3.431825211766254E-2</v>
          </cell>
        </row>
        <row r="811">
          <cell r="CN811">
            <v>9.9831187861198559E-2</v>
          </cell>
        </row>
        <row r="812">
          <cell r="CN812">
            <v>9.903857317836437E-2</v>
          </cell>
        </row>
        <row r="813">
          <cell r="CN813">
            <v>9.8099337975094819E-2</v>
          </cell>
        </row>
        <row r="817">
          <cell r="CN817">
            <v>3.4907265537230607E-2</v>
          </cell>
        </row>
        <row r="818">
          <cell r="CN818">
            <v>7.9962110513190757E-2</v>
          </cell>
        </row>
        <row r="819">
          <cell r="CN819">
            <v>5.3057942041491994E-2</v>
          </cell>
        </row>
        <row r="821">
          <cell r="CN821">
            <v>1.1199677923672024E-2</v>
          </cell>
        </row>
        <row r="822">
          <cell r="CN822">
            <v>0.131674589790821</v>
          </cell>
        </row>
        <row r="823">
          <cell r="CN823">
            <v>3.8013199988319597E-2</v>
          </cell>
        </row>
        <row r="824">
          <cell r="CN824">
            <v>3.8013199988319597E-2</v>
          </cell>
        </row>
        <row r="825">
          <cell r="CN825">
            <v>9.1029911883388891E-3</v>
          </cell>
        </row>
        <row r="827">
          <cell r="CN827">
            <v>0.15223765578935219</v>
          </cell>
        </row>
        <row r="828">
          <cell r="CN828">
            <v>0.15223765578935219</v>
          </cell>
        </row>
        <row r="833">
          <cell r="CN833">
            <v>5.1923680006413279E-2</v>
          </cell>
        </row>
        <row r="836">
          <cell r="CN836">
            <v>6.6224212505639327E-2</v>
          </cell>
        </row>
        <row r="837">
          <cell r="CN837">
            <v>6.6224212505639327E-2</v>
          </cell>
        </row>
        <row r="839">
          <cell r="CN839">
            <v>0.12223675220034648</v>
          </cell>
        </row>
        <row r="840">
          <cell r="CN840">
            <v>0.12195901671172964</v>
          </cell>
        </row>
        <row r="842">
          <cell r="CN842">
            <v>9.7979064540795274E-2</v>
          </cell>
        </row>
        <row r="843">
          <cell r="CN843">
            <v>9.7979064540795274E-2</v>
          </cell>
        </row>
        <row r="845">
          <cell r="CN845">
            <v>9.577821439500335E-2</v>
          </cell>
        </row>
        <row r="846">
          <cell r="CN846">
            <v>9.577821439500335E-2</v>
          </cell>
        </row>
        <row r="847">
          <cell r="CN847">
            <v>4.9499270185959378E-2</v>
          </cell>
        </row>
        <row r="848">
          <cell r="CN848">
            <v>5.9903584620709764E-2</v>
          </cell>
        </row>
        <row r="849">
          <cell r="CN849">
            <v>5.9903584620709764E-2</v>
          </cell>
        </row>
        <row r="850">
          <cell r="CN850">
            <v>5.9856499854914411E-2</v>
          </cell>
        </row>
        <row r="851">
          <cell r="CN851">
            <v>5.9856499854914411E-2</v>
          </cell>
        </row>
        <row r="852">
          <cell r="CN852">
            <v>5.933111161116382E-2</v>
          </cell>
        </row>
        <row r="853">
          <cell r="CN853">
            <v>5.933111161116382E-2</v>
          </cell>
        </row>
        <row r="855">
          <cell r="CN855">
            <v>7.1532369645572164E-2</v>
          </cell>
        </row>
        <row r="856">
          <cell r="CN856">
            <v>7.1532369645572164E-2</v>
          </cell>
        </row>
        <row r="858">
          <cell r="CN858">
            <v>6.3174058573126413E-2</v>
          </cell>
        </row>
        <row r="859">
          <cell r="CN859">
            <v>6.3174058573126413E-2</v>
          </cell>
        </row>
        <row r="860">
          <cell r="CN860">
            <v>6.3174058573126413E-2</v>
          </cell>
        </row>
        <row r="864">
          <cell r="CN864">
            <v>0.11932396499566891</v>
          </cell>
        </row>
        <row r="865">
          <cell r="CN865">
            <v>0.11932396499566891</v>
          </cell>
        </row>
        <row r="867">
          <cell r="CN867">
            <v>5.7472065713511912E-2</v>
          </cell>
        </row>
        <row r="868">
          <cell r="CN868">
            <v>3.4731673766103019E-2</v>
          </cell>
        </row>
        <row r="873">
          <cell r="CN873">
            <v>3.1365535451098235E-2</v>
          </cell>
        </row>
        <row r="874">
          <cell r="CN874">
            <v>1.676158670513269E-2</v>
          </cell>
        </row>
        <row r="885">
          <cell r="CN885">
            <v>0.14020202774667676</v>
          </cell>
        </row>
        <row r="886">
          <cell r="CN886">
            <v>0.14020202774667676</v>
          </cell>
        </row>
        <row r="887">
          <cell r="CN887">
            <v>0.10743952273464237</v>
          </cell>
        </row>
        <row r="892">
          <cell r="CN892">
            <v>0.10271890366122413</v>
          </cell>
        </row>
        <row r="904">
          <cell r="CN904">
            <v>2.780043598903446E-2</v>
          </cell>
        </row>
        <row r="905">
          <cell r="CN905">
            <v>0.11364327358423759</v>
          </cell>
        </row>
        <row r="906">
          <cell r="CN906">
            <v>0.11827640730049985</v>
          </cell>
        </row>
        <row r="907">
          <cell r="CN907">
            <v>3.8999238370464887E-2</v>
          </cell>
        </row>
        <row r="908">
          <cell r="CN908">
            <v>9.0896673647125836E-2</v>
          </cell>
        </row>
        <row r="909">
          <cell r="CN909">
            <v>0.19893161591343611</v>
          </cell>
        </row>
        <row r="910">
          <cell r="CN910">
            <v>0.11786291611023368</v>
          </cell>
        </row>
        <row r="915">
          <cell r="CN915">
            <v>9.0415520488159026E-2</v>
          </cell>
        </row>
        <row r="922">
          <cell r="CN922">
            <v>0.1206456512889597</v>
          </cell>
        </row>
        <row r="930">
          <cell r="CN930">
            <v>0.20909232398497643</v>
          </cell>
        </row>
        <row r="1088">
          <cell r="CN1088">
            <v>5.3589421642875168E-2</v>
          </cell>
        </row>
        <row r="1101">
          <cell r="CN1101">
            <v>0.22493218135431756</v>
          </cell>
        </row>
        <row r="1140">
          <cell r="CN1140">
            <v>2.576194583380181E-2</v>
          </cell>
        </row>
        <row r="1141">
          <cell r="CN1141">
            <v>3.6396152530601737E-2</v>
          </cell>
        </row>
        <row r="1142">
          <cell r="CN1142">
            <v>4.5834779572288036E-2</v>
          </cell>
        </row>
        <row r="1143">
          <cell r="CN1143">
            <v>6.9558101472995085E-2</v>
          </cell>
        </row>
        <row r="1144">
          <cell r="CN1144">
            <v>0.32968654179339324</v>
          </cell>
        </row>
        <row r="1145">
          <cell r="CN1145">
            <v>0.17282146756848052</v>
          </cell>
        </row>
        <row r="1146">
          <cell r="CN1146">
            <v>0.10927991174542083</v>
          </cell>
        </row>
        <row r="1147">
          <cell r="CN1147">
            <v>9.515529680280442E-2</v>
          </cell>
        </row>
        <row r="1148">
          <cell r="CN1148">
            <v>0.22683897263375816</v>
          </cell>
        </row>
        <row r="1149">
          <cell r="CN1149">
            <v>0.18109430977088931</v>
          </cell>
        </row>
        <row r="1150">
          <cell r="CN1150">
            <v>0.14996321214951958</v>
          </cell>
        </row>
        <row r="1151">
          <cell r="CN1151">
            <v>0.13399196899593327</v>
          </cell>
        </row>
        <row r="1152">
          <cell r="CN1152">
            <v>7.0697061984753742E-2</v>
          </cell>
        </row>
        <row r="1153">
          <cell r="CN1153">
            <v>4.8356377678451259E-2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Ib"/>
      <sheetName val="IIIa"/>
      <sheetName val="IIIb"/>
      <sheetName val="IIIc"/>
      <sheetName val="IIId"/>
      <sheetName val="IIIe"/>
      <sheetName val="IIIf"/>
      <sheetName val="IIIg"/>
      <sheetName val="Interest"/>
      <sheetName val="Earnings model"/>
      <sheetName val="Ins Erection"/>
      <sheetName val="Schedules PL"/>
      <sheetName val="Schedules BS"/>
      <sheetName val="BS"/>
      <sheetName val="Accounts"/>
      <sheetName val="csd2"/>
      <sheetName val="csd1"/>
      <sheetName val="B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lock A"/>
      <sheetName val="Block B"/>
      <sheetName val="Block C"/>
      <sheetName val="D Schedule"/>
      <sheetName val="Budget"/>
      <sheetName val="Day2works"/>
    </sheetNames>
    <sheetDataSet>
      <sheetData sheetId="0"/>
      <sheetData sheetId="1"/>
      <sheetData sheetId="2"/>
      <sheetData sheetId="3"/>
      <sheetData sheetId="4"/>
      <sheetData sheetId="5"/>
      <sheetData sheetId="6">
        <row r="2">
          <cell r="J2">
            <v>0.438</v>
          </cell>
        </row>
        <row r="14">
          <cell r="F14">
            <v>3240000</v>
          </cell>
          <cell r="G14">
            <v>42000</v>
          </cell>
          <cell r="J14">
            <v>58080</v>
          </cell>
        </row>
        <row r="22">
          <cell r="F22">
            <v>742500</v>
          </cell>
          <cell r="G22">
            <v>16500</v>
          </cell>
          <cell r="J22">
            <v>50350</v>
          </cell>
        </row>
        <row r="32">
          <cell r="F32">
            <v>652500</v>
          </cell>
          <cell r="G32">
            <v>14500</v>
          </cell>
          <cell r="J32">
            <v>0</v>
          </cell>
        </row>
        <row r="40">
          <cell r="F40">
            <v>3285000</v>
          </cell>
          <cell r="G40">
            <v>41000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QUERY"/>
      <sheetName val="Loc Table"/>
      <sheetName val="Master Code"/>
      <sheetName val="EY Price Index"/>
      <sheetName val="spl_output_dft1"/>
      <sheetName val="Aug 03"/>
      <sheetName val="Model"/>
      <sheetName val="LBO Output"/>
      <sheetName val="Summary Financial Output"/>
      <sheetName val="Bad Debt Charts"/>
      <sheetName val="LBO"/>
      <sheetName val="Assumptions"/>
      <sheetName val="Austria"/>
      <sheetName val="Belgium"/>
      <sheetName val="Denmark"/>
      <sheetName val="Ebookers"/>
      <sheetName val="Finland"/>
      <sheetName val="Holland"/>
      <sheetName val="Ireland"/>
      <sheetName val="Italy"/>
      <sheetName val="Madrid"/>
      <sheetName val="Norway"/>
      <sheetName val="Sweden"/>
      <sheetName val="Swiss"/>
      <sheetName val="Clause 9"/>
      <sheetName val="A"/>
      <sheetName val="Sheet2"/>
      <sheetName val="Masters"/>
      <sheetName val="sch"/>
      <sheetName val="statistic"/>
      <sheetName val="Accounting entries"/>
      <sheetName val="XLQUERY.XLA"/>
      <sheetName val="VBA Functions"/>
      <sheetName val="Internal Functions"/>
      <sheetName val="Счетчик вопросов"/>
      <sheetName val="Loc_Table"/>
      <sheetName val="VBA_Functions"/>
      <sheetName val="Internal_Functions"/>
      <sheetName val="FES"/>
      <sheetName val="ASA_UL"/>
      <sheetName val="FAR"/>
      <sheetName val="Inputs"/>
      <sheetName val="D_Tables"/>
      <sheetName val="RUL Tables"/>
      <sheetName val="NUL Table"/>
      <sheetName val="Ex Rate"/>
      <sheetName val="France"/>
      <sheetName val="Germany"/>
      <sheetName val="PURTA"/>
      <sheetName val="Sep 03"/>
      <sheetName val="F-4"/>
      <sheetName val="Title"/>
      <sheetName val="b"/>
      <sheetName val="Valuation"/>
      <sheetName val="EVA vs FCF Graph"/>
      <sheetName val="Input"/>
      <sheetName val="Supporting Sheet"/>
      <sheetName val="Payroll_Statement"/>
      <sheetName val="Untitled"/>
      <sheetName val="1998 FCST. (2+10)"/>
      <sheetName val="Final"/>
      <sheetName val="Summary-Price_New"/>
      <sheetName val="Sheet3"/>
      <sheetName val="AN-2K"/>
      <sheetName val="Switch V16"/>
      <sheetName val="Forecasts Model"/>
      <sheetName val="Dropdown Menu Maintenance"/>
      <sheetName val="AU_Listing"/>
      <sheetName val="Regions"/>
      <sheetName val="Loc_Table1"/>
      <sheetName val="Dropdown_Menu_Maintenance"/>
      <sheetName val="Revenue-Invoicewise"/>
    </sheetNames>
    <definedNames>
      <definedName name="Register.DClick" refersTo="='XLQUERY'!$B$5"/>
    </definedNames>
    <sheetDataSet>
      <sheetData sheetId="0" refreshError="1">
        <row r="5">
          <cell r="B5" t="b">
            <v>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
      <sheetName val="Capital"/>
      <sheetName val="Sales"/>
      <sheetName val="Input"/>
      <sheetName val="Debt"/>
      <sheetName val="Tax"/>
      <sheetName val="CapEx"/>
      <sheetName val="QuanOP"/>
      <sheetName val="Formats"/>
      <sheetName val="Projections"/>
      <sheetName val="Costs"/>
      <sheetName val="Revenues"/>
      <sheetName val="Calc"/>
      <sheetName val="VarName"/>
      <sheetName val="CoSheet"/>
      <sheetName val="Half Yearly"/>
      <sheetName val="ITC"/>
    </sheetNames>
    <sheetDataSet>
      <sheetData sheetId="0" refreshError="1"/>
      <sheetData sheetId="1" refreshError="1"/>
      <sheetData sheetId="2" refreshError="1"/>
      <sheetData sheetId="3" refreshError="1">
        <row r="162">
          <cell r="L162">
            <v>0</v>
          </cell>
          <cell r="M162">
            <v>0</v>
          </cell>
          <cell r="N162">
            <v>659115.96751565917</v>
          </cell>
          <cell r="O162">
            <v>673420.58649872069</v>
          </cell>
          <cell r="P162">
            <v>723229.01682177139</v>
          </cell>
          <cell r="Q162">
            <v>0</v>
          </cell>
          <cell r="R162">
            <v>847979.80539207777</v>
          </cell>
          <cell r="S162">
            <v>0</v>
          </cell>
          <cell r="T162">
            <v>964689.38644783257</v>
          </cell>
          <cell r="U162">
            <v>0</v>
          </cell>
          <cell r="V162">
            <v>1049190.4149973544</v>
          </cell>
          <cell r="W162">
            <v>0</v>
          </cell>
          <cell r="X162">
            <v>0</v>
          </cell>
        </row>
        <row r="180">
          <cell r="L180">
            <v>0</v>
          </cell>
          <cell r="M180">
            <v>0</v>
          </cell>
          <cell r="N180">
            <v>11342.713258578682</v>
          </cell>
          <cell r="O180">
            <v>11220.712776884169</v>
          </cell>
          <cell r="P180">
            <v>11192.387929822427</v>
          </cell>
          <cell r="Q180">
            <v>0</v>
          </cell>
          <cell r="R180">
            <v>12139.090015196211</v>
          </cell>
          <cell r="S180">
            <v>0</v>
          </cell>
          <cell r="T180">
            <v>11559.128891338354</v>
          </cell>
          <cell r="U180">
            <v>0</v>
          </cell>
          <cell r="V180">
            <v>10555.316159728296</v>
          </cell>
          <cell r="W180">
            <v>0</v>
          </cell>
          <cell r="X180">
            <v>0</v>
          </cell>
        </row>
        <row r="198">
          <cell r="L198">
            <v>0</v>
          </cell>
          <cell r="M198">
            <v>0</v>
          </cell>
          <cell r="N198">
            <v>161435.2318548387</v>
          </cell>
          <cell r="O198">
            <v>276800.84745762713</v>
          </cell>
          <cell r="P198">
            <v>371383.50608382153</v>
          </cell>
          <cell r="Q198">
            <v>0</v>
          </cell>
          <cell r="R198">
            <v>513252.03252032521</v>
          </cell>
          <cell r="S198">
            <v>0</v>
          </cell>
          <cell r="T198">
            <v>511678.83211678831</v>
          </cell>
          <cell r="U198">
            <v>0</v>
          </cell>
          <cell r="V198">
            <v>482373.67802585196</v>
          </cell>
          <cell r="W198">
            <v>0</v>
          </cell>
          <cell r="X198">
            <v>0</v>
          </cell>
        </row>
        <row r="216">
          <cell r="L216">
            <v>0</v>
          </cell>
          <cell r="M216">
            <v>0</v>
          </cell>
          <cell r="N216">
            <v>50837.541569158762</v>
          </cell>
          <cell r="O216">
            <v>60158.501440922191</v>
          </cell>
          <cell r="P216">
            <v>65732.27402188578</v>
          </cell>
          <cell r="Q216">
            <v>0</v>
          </cell>
          <cell r="R216">
            <v>61737.671922173766</v>
          </cell>
          <cell r="S216">
            <v>0</v>
          </cell>
          <cell r="T216">
            <v>58249.536914527656</v>
          </cell>
          <cell r="U216">
            <v>0</v>
          </cell>
          <cell r="V216">
            <v>61308.468358300212</v>
          </cell>
          <cell r="W216">
            <v>0</v>
          </cell>
          <cell r="X216">
            <v>0</v>
          </cell>
        </row>
        <row r="234">
          <cell r="L234">
            <v>0</v>
          </cell>
          <cell r="M234">
            <v>0</v>
          </cell>
          <cell r="N234">
            <v>97580.475489164732</v>
          </cell>
          <cell r="O234">
            <v>113171.09884596086</v>
          </cell>
          <cell r="P234">
            <v>122933.88429752066</v>
          </cell>
          <cell r="Q234">
            <v>0</v>
          </cell>
          <cell r="R234">
            <v>92955.032119914351</v>
          </cell>
          <cell r="S234">
            <v>0</v>
          </cell>
          <cell r="T234">
            <v>102326.69322709163</v>
          </cell>
          <cell r="U234">
            <v>0</v>
          </cell>
          <cell r="V234">
            <v>90824.330324108334</v>
          </cell>
          <cell r="W234">
            <v>0</v>
          </cell>
          <cell r="X234">
            <v>0</v>
          </cell>
        </row>
        <row r="252">
          <cell r="L252">
            <v>0</v>
          </cell>
          <cell r="M252">
            <v>0</v>
          </cell>
          <cell r="N252">
            <v>50354.947949328984</v>
          </cell>
          <cell r="O252">
            <v>56104.608738799216</v>
          </cell>
          <cell r="P252">
            <v>75574.833656194707</v>
          </cell>
          <cell r="Q252">
            <v>0</v>
          </cell>
          <cell r="R252">
            <v>86447.103729303126</v>
          </cell>
          <cell r="S252">
            <v>0</v>
          </cell>
          <cell r="T252">
            <v>102748.19362652967</v>
          </cell>
          <cell r="U252">
            <v>0</v>
          </cell>
          <cell r="V252">
            <v>96183.965195773766</v>
          </cell>
          <cell r="W252">
            <v>0</v>
          </cell>
          <cell r="X252">
            <v>0</v>
          </cell>
        </row>
        <row r="270">
          <cell r="L270">
            <v>0</v>
          </cell>
          <cell r="M270">
            <v>0</v>
          </cell>
          <cell r="N270">
            <v>0</v>
          </cell>
          <cell r="O270">
            <v>0</v>
          </cell>
          <cell r="P270">
            <v>0</v>
          </cell>
          <cell r="Q270">
            <v>0</v>
          </cell>
          <cell r="R270">
            <v>0</v>
          </cell>
          <cell r="S270">
            <v>0</v>
          </cell>
          <cell r="T270">
            <v>0</v>
          </cell>
          <cell r="U270">
            <v>0</v>
          </cell>
          <cell r="V270">
            <v>0</v>
          </cell>
          <cell r="W270">
            <v>0</v>
          </cell>
          <cell r="X270">
            <v>0</v>
          </cell>
        </row>
        <row r="288">
          <cell r="L288">
            <v>0</v>
          </cell>
          <cell r="M288">
            <v>0</v>
          </cell>
          <cell r="N288">
            <v>0</v>
          </cell>
          <cell r="O288">
            <v>0</v>
          </cell>
          <cell r="P288">
            <v>0</v>
          </cell>
          <cell r="Q288">
            <v>0</v>
          </cell>
          <cell r="R288">
            <v>0</v>
          </cell>
          <cell r="S288">
            <v>0</v>
          </cell>
          <cell r="T288">
            <v>0</v>
          </cell>
          <cell r="U288">
            <v>0</v>
          </cell>
          <cell r="V288">
            <v>0</v>
          </cell>
          <cell r="W288">
            <v>0</v>
          </cell>
          <cell r="X2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 job codes"/>
      <sheetName val="IRP all H2s"/>
    </sheetNames>
    <sheetDataSet>
      <sheetData sheetId="0" refreshError="1"/>
      <sheetData sheetId="1" refreshError="1">
        <row r="7">
          <cell r="B7" t="str">
            <v>HIER</v>
          </cell>
          <cell r="C7" t="str">
            <v>CC DESCRIPTION</v>
          </cell>
          <cell r="D7" t="str">
            <v>NAME</v>
          </cell>
          <cell r="E7" t="str">
            <v>JOB CODE</v>
          </cell>
          <cell r="F7" t="str">
            <v>JOB NAME</v>
          </cell>
          <cell r="G7" t="str">
            <v>BAND</v>
          </cell>
          <cell r="H7" t="str">
            <v>PLAN ID</v>
          </cell>
          <cell r="I7" t="str">
            <v>ANNUALIZED SALARY</v>
          </cell>
        </row>
        <row r="8">
          <cell r="B8" t="str">
            <v>YBCB....AA</v>
          </cell>
          <cell r="C8" t="str">
            <v>PRINCIPAL INVESTING ADMIN</v>
          </cell>
          <cell r="D8" t="str">
            <v>McCaffrey,Edward J</v>
          </cell>
          <cell r="E8" t="str">
            <v>IX040</v>
          </cell>
          <cell r="F8" t="str">
            <v>Chief Investment Officer-PI</v>
          </cell>
          <cell r="G8" t="str">
            <v>H2</v>
          </cell>
          <cell r="H8" t="str">
            <v>SFLVCP</v>
          </cell>
          <cell r="I8">
            <v>250000.08</v>
          </cell>
        </row>
        <row r="9">
          <cell r="B9" t="str">
            <v>QBFA....AA</v>
          </cell>
          <cell r="C9" t="str">
            <v>MORTGAGE EXECUTIVE</v>
          </cell>
          <cell r="D9" t="str">
            <v>Hellams,Daniel Floyd</v>
          </cell>
          <cell r="E9" t="str">
            <v>RX025</v>
          </cell>
          <cell r="F9" t="str">
            <v>BAMC Natl Purch Prod/Sec Mkt</v>
          </cell>
          <cell r="G9" t="str">
            <v>H2</v>
          </cell>
          <cell r="H9" t="str">
            <v>MTGMAA</v>
          </cell>
          <cell r="I9">
            <v>375000</v>
          </cell>
        </row>
        <row r="10">
          <cell r="B10" t="str">
            <v>IEB.....AB</v>
          </cell>
          <cell r="C10" t="str">
            <v>ECONOMISTS- SECTION 20</v>
          </cell>
          <cell r="D10" t="str">
            <v>Levy,Mickey D</v>
          </cell>
          <cell r="E10" t="str">
            <v>FE001</v>
          </cell>
          <cell r="F10" t="str">
            <v>Chief Economist</v>
          </cell>
          <cell r="G10" t="str">
            <v>H2</v>
          </cell>
          <cell r="H10" t="str">
            <v>CORTRE</v>
          </cell>
          <cell r="I10">
            <v>185000.08</v>
          </cell>
        </row>
        <row r="11">
          <cell r="B11" t="str">
            <v>TICIP...A2</v>
          </cell>
          <cell r="C11" t="str">
            <v>INVESTMENT EXECUTIVE</v>
          </cell>
          <cell r="D11" t="str">
            <v>Hartman,Kirk D</v>
          </cell>
          <cell r="E11" t="str">
            <v>WP004</v>
          </cell>
          <cell r="F11" t="str">
            <v>Dir Fixed Income Investments</v>
          </cell>
          <cell r="G11" t="str">
            <v>H2</v>
          </cell>
          <cell r="H11" t="str">
            <v>BACAP</v>
          </cell>
          <cell r="I11">
            <v>300000</v>
          </cell>
        </row>
        <row r="12">
          <cell r="B12" t="str">
            <v>TAEA....AE</v>
          </cell>
          <cell r="C12" t="str">
            <v>PB-NE-ADMIN-001</v>
          </cell>
          <cell r="D12" t="str">
            <v>Sanak,Stephen A</v>
          </cell>
          <cell r="E12" t="str">
            <v>BW001</v>
          </cell>
          <cell r="F12" t="str">
            <v>Private Bank Reg President</v>
          </cell>
          <cell r="G12" t="str">
            <v>H2</v>
          </cell>
          <cell r="H12" t="str">
            <v>PRCLGP</v>
          </cell>
          <cell r="I12">
            <v>325000</v>
          </cell>
        </row>
        <row r="13">
          <cell r="B13" t="str">
            <v>IDA.....AA</v>
          </cell>
          <cell r="C13" t="str">
            <v>QUANTITATIVE FINANCE</v>
          </cell>
          <cell r="D13" t="str">
            <v>Muller,Walter J</v>
          </cell>
          <cell r="E13" t="str">
            <v>IF006</v>
          </cell>
          <cell r="F13" t="str">
            <v>Quantitative Finance Executive</v>
          </cell>
          <cell r="G13" t="str">
            <v>H2</v>
          </cell>
          <cell r="H13" t="str">
            <v>CORTRE</v>
          </cell>
          <cell r="I13">
            <v>215000</v>
          </cell>
        </row>
        <row r="14">
          <cell r="B14" t="str">
            <v>YDBCAA..AD</v>
          </cell>
          <cell r="C14" t="str">
            <v>LOANS.COM ADMIN WEST</v>
          </cell>
          <cell r="D14" t="str">
            <v>Guillot,Janine M</v>
          </cell>
          <cell r="E14" t="str">
            <v>MC006</v>
          </cell>
          <cell r="F14" t="str">
            <v>Channel Strategy &amp; Dev Exec</v>
          </cell>
          <cell r="G14" t="str">
            <v>H2</v>
          </cell>
          <cell r="H14" t="str">
            <v>BPIP</v>
          </cell>
          <cell r="I14">
            <v>249999.96</v>
          </cell>
        </row>
        <row r="15">
          <cell r="B15" t="str">
            <v>QBONAA..AC</v>
          </cell>
          <cell r="C15" t="str">
            <v>OPERATIONS ADMINISTRATION</v>
          </cell>
          <cell r="D15" t="str">
            <v>Bettin,Gary K</v>
          </cell>
          <cell r="E15" t="str">
            <v>OX029</v>
          </cell>
          <cell r="F15" t="str">
            <v>BAMC National Servicing Exec</v>
          </cell>
          <cell r="G15" t="str">
            <v>H2</v>
          </cell>
          <cell r="H15" t="str">
            <v>MTGMAA</v>
          </cell>
          <cell r="I15">
            <v>350000</v>
          </cell>
        </row>
        <row r="16">
          <cell r="B16" t="str">
            <v>TAQAA...AA</v>
          </cell>
          <cell r="C16" t="str">
            <v>ADVISORY SVCS EXECUTIVE</v>
          </cell>
          <cell r="D16" t="str">
            <v>Deem,Holly D</v>
          </cell>
          <cell r="E16" t="str">
            <v>WI014</v>
          </cell>
          <cell r="F16" t="str">
            <v>President-Private Investments</v>
          </cell>
          <cell r="G16" t="str">
            <v>H2</v>
          </cell>
          <cell r="H16" t="str">
            <v>PRCLGP</v>
          </cell>
          <cell r="I16">
            <v>300000</v>
          </cell>
        </row>
        <row r="17">
          <cell r="B17" t="str">
            <v>QRACA...AA</v>
          </cell>
          <cell r="C17" t="str">
            <v>PRODUCTION DEVELOPMENT AND INNOVATION</v>
          </cell>
          <cell r="D17" t="str">
            <v>Ramsey,Samuel T</v>
          </cell>
          <cell r="E17" t="str">
            <v>XX020</v>
          </cell>
          <cell r="F17" t="str">
            <v>Balance Sheet Measurement Exec</v>
          </cell>
          <cell r="G17" t="str">
            <v>H2</v>
          </cell>
          <cell r="H17" t="str">
            <v>CORTRE</v>
          </cell>
          <cell r="I17">
            <v>225000</v>
          </cell>
        </row>
        <row r="18">
          <cell r="B18" t="str">
            <v>AFPAYAA.AA</v>
          </cell>
          <cell r="C18" t="str">
            <v>GCIB AUDIT GROUP</v>
          </cell>
          <cell r="D18" t="str">
            <v>Morrison,Paul O</v>
          </cell>
          <cell r="E18" t="str">
            <v>KA001</v>
          </cell>
          <cell r="F18" t="str">
            <v>Senior Audit Director</v>
          </cell>
          <cell r="G18" t="str">
            <v>H2</v>
          </cell>
          <cell r="H18" t="str">
            <v>BPIP</v>
          </cell>
          <cell r="I18">
            <v>255000</v>
          </cell>
        </row>
        <row r="19">
          <cell r="B19" t="str">
            <v>HVFDA...AA</v>
          </cell>
          <cell r="C19" t="str">
            <v>MIDWEST REG-ADMINISTRAITON</v>
          </cell>
          <cell r="D19" t="str">
            <v>Chapa,Daniel</v>
          </cell>
          <cell r="E19" t="str">
            <v>BS001</v>
          </cell>
          <cell r="F19" t="str">
            <v>BABC Regional Executive</v>
          </cell>
          <cell r="G19" t="str">
            <v>H2</v>
          </cell>
          <cell r="H19" t="str">
            <v>BUCRMT</v>
          </cell>
          <cell r="I19">
            <v>210000</v>
          </cell>
        </row>
        <row r="20">
          <cell r="B20" t="str">
            <v>YDCC....AD</v>
          </cell>
          <cell r="C20" t="str">
            <v>FINANCIAL SERVICES ENGINE WEST</v>
          </cell>
          <cell r="D20" t="str">
            <v>Brister,Stuart M</v>
          </cell>
          <cell r="E20" t="str">
            <v>MC006</v>
          </cell>
          <cell r="F20" t="str">
            <v>Channel Strategy &amp; Dev Exec</v>
          </cell>
          <cell r="G20" t="str">
            <v>H2</v>
          </cell>
          <cell r="H20" t="str">
            <v>BPIP</v>
          </cell>
          <cell r="I20">
            <v>250000</v>
          </cell>
        </row>
        <row r="21">
          <cell r="B21" t="str">
            <v>TACAA...AC</v>
          </cell>
          <cell r="C21" t="str">
            <v>PB-SE-ADMIN</v>
          </cell>
          <cell r="D21" t="str">
            <v>Gallagher Jr,James E</v>
          </cell>
          <cell r="E21" t="str">
            <v>BW001</v>
          </cell>
          <cell r="F21" t="str">
            <v>Private Bank Reg President</v>
          </cell>
          <cell r="G21" t="str">
            <v>H2</v>
          </cell>
          <cell r="H21" t="str">
            <v>PRCLGP</v>
          </cell>
          <cell r="I21">
            <v>250000</v>
          </cell>
        </row>
        <row r="22">
          <cell r="B22" t="str">
            <v>TADAA...AA</v>
          </cell>
          <cell r="C22" t="str">
            <v>PB-MW ADMINISTRATION</v>
          </cell>
          <cell r="D22" t="str">
            <v>Whitley,Laura Bailey</v>
          </cell>
          <cell r="E22" t="str">
            <v>BW001</v>
          </cell>
          <cell r="F22" t="str">
            <v>Private Bank Reg President</v>
          </cell>
          <cell r="G22" t="str">
            <v>H2</v>
          </cell>
          <cell r="H22" t="str">
            <v>PRCLGP</v>
          </cell>
          <cell r="I22">
            <v>240000</v>
          </cell>
        </row>
        <row r="23">
          <cell r="B23" t="str">
            <v>MAAA....ZZ</v>
          </cell>
          <cell r="C23" t="str">
            <v>GLOBAL TREASURY SERVICES ADMINISTRATION</v>
          </cell>
          <cell r="D23" t="str">
            <v>Abraham,Frank</v>
          </cell>
          <cell r="E23" t="str">
            <v>SX002</v>
          </cell>
          <cell r="F23" t="str">
            <v>Sales Executive-Trade Bank</v>
          </cell>
          <cell r="G23" t="str">
            <v>H2</v>
          </cell>
          <cell r="H23" t="str">
            <v>BPIP</v>
          </cell>
          <cell r="I23">
            <v>245000.04</v>
          </cell>
        </row>
        <row r="24">
          <cell r="B24" t="str">
            <v>FKPZA...AA</v>
          </cell>
          <cell r="C24" t="str">
            <v>BANKING GROUPS-ADMIN</v>
          </cell>
          <cell r="D24" t="str">
            <v>Petrisko,Karen A</v>
          </cell>
          <cell r="E24" t="str">
            <v>OX033</v>
          </cell>
          <cell r="F24" t="str">
            <v>Business Exec - Tech &amp; Ops</v>
          </cell>
          <cell r="G24" t="str">
            <v>H2</v>
          </cell>
          <cell r="H24" t="str">
            <v>BPIP</v>
          </cell>
          <cell r="I24">
            <v>250000</v>
          </cell>
        </row>
        <row r="25">
          <cell r="B25" t="str">
            <v>JOAA....AA</v>
          </cell>
          <cell r="C25" t="str">
            <v>EXECUTIVE - BANK OF AMERICA SPECIALTY GROUP</v>
          </cell>
          <cell r="D25" t="str">
            <v>Baynard,Charles M</v>
          </cell>
          <cell r="E25" t="str">
            <v>RX018</v>
          </cell>
          <cell r="F25" t="str">
            <v>President-Specialty Group</v>
          </cell>
          <cell r="G25" t="str">
            <v>H2</v>
          </cell>
          <cell r="H25" t="str">
            <v>CCAM</v>
          </cell>
          <cell r="I25">
            <v>300000</v>
          </cell>
        </row>
        <row r="26">
          <cell r="B26" t="str">
            <v>YDDA....AB</v>
          </cell>
          <cell r="C26" t="str">
            <v>IEC PLANNING/SUPPORT: EAST</v>
          </cell>
          <cell r="D26" t="str">
            <v>Thornton,Meril H</v>
          </cell>
          <cell r="E26" t="str">
            <v>TY026</v>
          </cell>
          <cell r="F26" t="str">
            <v>Next Generation E-Commerce Exe</v>
          </cell>
          <cell r="G26" t="str">
            <v>H2</v>
          </cell>
          <cell r="H26" t="str">
            <v>BPIP</v>
          </cell>
          <cell r="I26">
            <v>200000.16</v>
          </cell>
        </row>
        <row r="27">
          <cell r="B27" t="str">
            <v>AGCMAA..AA</v>
          </cell>
          <cell r="C27" t="str">
            <v>GCIB FINANCIAL SUPPORT-ADMIN</v>
          </cell>
          <cell r="D27" t="str">
            <v>Qutub,Robert</v>
          </cell>
          <cell r="E27" t="str">
            <v>FB018</v>
          </cell>
          <cell r="F27" t="str">
            <v>Sr Fin Mgr of Capital Markets</v>
          </cell>
          <cell r="G27" t="str">
            <v>H2</v>
          </cell>
          <cell r="H27" t="str">
            <v>BPIP</v>
          </cell>
          <cell r="I27">
            <v>200000</v>
          </cell>
        </row>
        <row r="28">
          <cell r="B28" t="str">
            <v>HBESDA..AA</v>
          </cell>
          <cell r="C28" t="str">
            <v>2395-MIDWEST CONS EXEC ADMIN</v>
          </cell>
          <cell r="D28" t="str">
            <v>Mallard,Larry W</v>
          </cell>
          <cell r="E28" t="str">
            <v>RX014</v>
          </cell>
          <cell r="F28" t="str">
            <v>Consumer Banking Executive</v>
          </cell>
          <cell r="G28" t="str">
            <v>H2</v>
          </cell>
          <cell r="H28" t="str">
            <v>CCAM</v>
          </cell>
          <cell r="I28">
            <v>300000</v>
          </cell>
        </row>
        <row r="29">
          <cell r="B29" t="str">
            <v>EAAA....AA</v>
          </cell>
          <cell r="C29" t="str">
            <v>0387603-CARD SVCS-EXECUTIVE ADMIN</v>
          </cell>
          <cell r="D29" t="str">
            <v>Box,Robert R</v>
          </cell>
          <cell r="E29" t="str">
            <v>DX001</v>
          </cell>
          <cell r="F29" t="str">
            <v>Risk Operations Group Exec</v>
          </cell>
          <cell r="G29" t="str">
            <v>H2</v>
          </cell>
          <cell r="H29" t="str">
            <v>CRDKY1</v>
          </cell>
          <cell r="I29">
            <v>275000</v>
          </cell>
        </row>
        <row r="30">
          <cell r="B30" t="str">
            <v>HVFEA...AB</v>
          </cell>
          <cell r="C30" t="str">
            <v>BC-WEST REGION</v>
          </cell>
          <cell r="D30" t="str">
            <v>White,Joyce</v>
          </cell>
          <cell r="E30" t="str">
            <v>BS001</v>
          </cell>
          <cell r="F30" t="str">
            <v>BABC Regional Executive</v>
          </cell>
          <cell r="G30" t="str">
            <v>H2</v>
          </cell>
          <cell r="H30" t="str">
            <v>BUCRMT</v>
          </cell>
          <cell r="I30">
            <v>199999.92</v>
          </cell>
        </row>
        <row r="31">
          <cell r="B31" t="str">
            <v>MAAA....ZZ</v>
          </cell>
          <cell r="C31" t="str">
            <v>GLOBAL TREASURY SERVICES ADMINISTRATION</v>
          </cell>
          <cell r="D31" t="str">
            <v>Sadberry,Pamela L</v>
          </cell>
          <cell r="E31" t="str">
            <v>TX002</v>
          </cell>
          <cell r="F31" t="str">
            <v>Business Exec - Technology</v>
          </cell>
          <cell r="G31" t="str">
            <v>H2</v>
          </cell>
          <cell r="H31" t="str">
            <v>BPIP</v>
          </cell>
          <cell r="I31">
            <v>165000</v>
          </cell>
        </row>
        <row r="32">
          <cell r="B32" t="str">
            <v>HBFSBWAFAA</v>
          </cell>
          <cell r="C32" t="str">
            <v>04595-SOUTHEASTERN REGION</v>
          </cell>
          <cell r="D32" t="str">
            <v>Robinson,Barbara L</v>
          </cell>
          <cell r="E32" t="str">
            <v>RX014</v>
          </cell>
          <cell r="F32" t="str">
            <v>Consumer Banking Executive</v>
          </cell>
          <cell r="G32" t="str">
            <v>H2</v>
          </cell>
          <cell r="H32" t="str">
            <v>CCAM</v>
          </cell>
          <cell r="I32">
            <v>180000</v>
          </cell>
        </row>
        <row r="33">
          <cell r="B33" t="str">
            <v>TABA....AA</v>
          </cell>
          <cell r="C33" t="str">
            <v>PB-SW-EXEC ADMIN</v>
          </cell>
          <cell r="D33" t="str">
            <v>Gibson,Kathleen Miller</v>
          </cell>
          <cell r="E33" t="str">
            <v>BW001</v>
          </cell>
          <cell r="F33" t="str">
            <v>Private Bank Reg President</v>
          </cell>
          <cell r="G33" t="str">
            <v>H2</v>
          </cell>
          <cell r="H33" t="str">
            <v>PRCLGP</v>
          </cell>
          <cell r="I33">
            <v>200000</v>
          </cell>
        </row>
        <row r="34">
          <cell r="B34" t="str">
            <v>AGLCA...AB</v>
          </cell>
          <cell r="C34" t="str">
            <v>LEGAL DEPT - GCIB - CHARLOTTE</v>
          </cell>
          <cell r="D34" t="str">
            <v>O'Toole,John J</v>
          </cell>
          <cell r="E34" t="str">
            <v>LA002</v>
          </cell>
          <cell r="F34" t="str">
            <v>Attorney</v>
          </cell>
          <cell r="G34" t="str">
            <v>H2</v>
          </cell>
          <cell r="H34" t="str">
            <v>BPIP</v>
          </cell>
          <cell r="I34">
            <v>205000</v>
          </cell>
        </row>
        <row r="35">
          <cell r="B35" t="str">
            <v>AGLCA...AB</v>
          </cell>
          <cell r="C35" t="str">
            <v>LEGAL DEPT - GCIB - CHARLOTTE</v>
          </cell>
          <cell r="D35" t="str">
            <v>Warnement,Victor A</v>
          </cell>
          <cell r="E35" t="str">
            <v>LA002</v>
          </cell>
          <cell r="F35" t="str">
            <v>Attorney</v>
          </cell>
          <cell r="G35" t="str">
            <v>H2</v>
          </cell>
          <cell r="H35" t="str">
            <v>BPIP</v>
          </cell>
          <cell r="I35">
            <v>205000</v>
          </cell>
        </row>
        <row r="36">
          <cell r="B36" t="str">
            <v>AGLCA...AB</v>
          </cell>
          <cell r="C36" t="str">
            <v>LEGAL DEPT - GCIB - CHARLOTTE</v>
          </cell>
          <cell r="D36" t="str">
            <v>Reymann,Lucille E</v>
          </cell>
          <cell r="E36" t="str">
            <v>LA002</v>
          </cell>
          <cell r="F36" t="str">
            <v>Attorney</v>
          </cell>
          <cell r="G36" t="str">
            <v>H2</v>
          </cell>
          <cell r="H36" t="str">
            <v>BPIP</v>
          </cell>
          <cell r="I36">
            <v>200000</v>
          </cell>
        </row>
        <row r="37">
          <cell r="B37" t="str">
            <v>HBGSWW..AG</v>
          </cell>
          <cell r="C37" t="str">
            <v>92577-OFFICE OF THE PRESIDENT</v>
          </cell>
          <cell r="D37" t="str">
            <v>Gunn,Mariellen</v>
          </cell>
          <cell r="E37" t="str">
            <v>RX014</v>
          </cell>
          <cell r="F37" t="str">
            <v>Consumer Banking Executive</v>
          </cell>
          <cell r="G37" t="str">
            <v>H2</v>
          </cell>
          <cell r="H37" t="str">
            <v>CCAM</v>
          </cell>
          <cell r="I37">
            <v>200000.04</v>
          </cell>
        </row>
        <row r="38">
          <cell r="B38" t="str">
            <v>FBIOWS..AJ</v>
          </cell>
          <cell r="C38" t="str">
            <v>IT - OPERATIONS - SF</v>
          </cell>
          <cell r="D38" t="str">
            <v>Ziegler,Ralph L</v>
          </cell>
          <cell r="E38" t="str">
            <v>TX002</v>
          </cell>
          <cell r="F38" t="str">
            <v>Business Exec - Technology</v>
          </cell>
          <cell r="G38" t="str">
            <v>H2</v>
          </cell>
          <cell r="H38" t="str">
            <v>BPIP</v>
          </cell>
          <cell r="I38">
            <v>250000</v>
          </cell>
        </row>
        <row r="39">
          <cell r="B39" t="str">
            <v>AMAA....AA</v>
          </cell>
          <cell r="C39" t="str">
            <v>MARKETING EXEC</v>
          </cell>
          <cell r="D39" t="str">
            <v>Roselli,Daniel</v>
          </cell>
          <cell r="E39" t="str">
            <v>MX004</v>
          </cell>
          <cell r="F39" t="str">
            <v>Brand &amp; Communication Exec</v>
          </cell>
          <cell r="G39" t="str">
            <v>H2</v>
          </cell>
          <cell r="H39" t="str">
            <v>BAND1</v>
          </cell>
          <cell r="I39">
            <v>250000</v>
          </cell>
        </row>
        <row r="40">
          <cell r="B40" t="str">
            <v>HBFEGWA.AC</v>
          </cell>
          <cell r="C40" t="str">
            <v>S. CALIF. COMML EXEC</v>
          </cell>
          <cell r="D40" t="str">
            <v>Banks,Rodney F</v>
          </cell>
          <cell r="E40" t="str">
            <v>BX011</v>
          </cell>
          <cell r="F40" t="str">
            <v>Commercial Banking Executive</v>
          </cell>
          <cell r="G40" t="str">
            <v>H2</v>
          </cell>
          <cell r="H40" t="str">
            <v>CCAM</v>
          </cell>
          <cell r="I40">
            <v>225000</v>
          </cell>
        </row>
        <row r="41">
          <cell r="B41" t="str">
            <v>FBDCAA..AB</v>
          </cell>
          <cell r="C41" t="str">
            <v>GSO - ADMINISTRATION</v>
          </cell>
          <cell r="D41" t="str">
            <v>Hogan,Robert R</v>
          </cell>
          <cell r="E41" t="str">
            <v>OX035</v>
          </cell>
          <cell r="F41" t="str">
            <v>Business Exec - Operations</v>
          </cell>
          <cell r="G41" t="str">
            <v>H2</v>
          </cell>
          <cell r="H41" t="str">
            <v>BPIP</v>
          </cell>
          <cell r="I41">
            <v>240000</v>
          </cell>
        </row>
        <row r="42">
          <cell r="B42" t="str">
            <v>HBAEWAA.AB</v>
          </cell>
          <cell r="C42" t="str">
            <v>FL COMMERCIAL BANK EXECUTIVE - 0109789</v>
          </cell>
          <cell r="D42" t="str">
            <v>Laney,G  Timothy</v>
          </cell>
          <cell r="E42" t="str">
            <v>BX011</v>
          </cell>
          <cell r="F42" t="str">
            <v>Commercial Banking Executive</v>
          </cell>
          <cell r="G42" t="str">
            <v>H2</v>
          </cell>
          <cell r="H42" t="str">
            <v>CCAM</v>
          </cell>
          <cell r="I42">
            <v>235000</v>
          </cell>
        </row>
        <row r="43">
          <cell r="B43" t="str">
            <v>FTDAXX..AA</v>
          </cell>
          <cell r="C43" t="str">
            <v>EXECUTIVE ADMIN</v>
          </cell>
          <cell r="D43" t="str">
            <v>Stanhouse,Wayne</v>
          </cell>
          <cell r="E43" t="str">
            <v>OX035</v>
          </cell>
          <cell r="F43" t="str">
            <v>Business Exec - Operations</v>
          </cell>
          <cell r="G43" t="str">
            <v>H2</v>
          </cell>
          <cell r="H43" t="str">
            <v>BPIP</v>
          </cell>
          <cell r="I43">
            <v>230000</v>
          </cell>
        </row>
        <row r="44">
          <cell r="B44" t="str">
            <v>TAAC....AF</v>
          </cell>
          <cell r="C44" t="str">
            <v>PB-ADMIN-NATL RELATIONSHIP MGMT EXEC</v>
          </cell>
          <cell r="D44" t="str">
            <v>King,Charles R</v>
          </cell>
          <cell r="E44" t="str">
            <v>AX006</v>
          </cell>
          <cell r="F44" t="str">
            <v>Asset Mgt Group Sr Adm Exec</v>
          </cell>
          <cell r="G44" t="str">
            <v>H2</v>
          </cell>
          <cell r="H44" t="str">
            <v>PRCLGP</v>
          </cell>
          <cell r="I44">
            <v>200000</v>
          </cell>
        </row>
        <row r="45">
          <cell r="B45" t="str">
            <v>EAAA....AA</v>
          </cell>
          <cell r="C45" t="str">
            <v>0387603-CARD SVCS-EXECUTIVE ADMIN</v>
          </cell>
          <cell r="D45" t="str">
            <v>Wallace,Belva A</v>
          </cell>
          <cell r="E45" t="str">
            <v>OX027</v>
          </cell>
          <cell r="F45" t="str">
            <v>BACS Fullfillment &amp; Operations</v>
          </cell>
          <cell r="G45" t="str">
            <v>H2</v>
          </cell>
          <cell r="H45" t="str">
            <v>CRDKY1</v>
          </cell>
          <cell r="I45">
            <v>225000</v>
          </cell>
        </row>
        <row r="46">
          <cell r="B46" t="str">
            <v>QCUCXD..AD</v>
          </cell>
          <cell r="C46" t="str">
            <v>NATIONWIDE LOAN CENTER EXEC - NC</v>
          </cell>
          <cell r="D46" t="str">
            <v>Sullins,Gregory A</v>
          </cell>
          <cell r="E46" t="str">
            <v>OL004</v>
          </cell>
          <cell r="F46" t="str">
            <v>Loan Processing Executive</v>
          </cell>
          <cell r="G46" t="str">
            <v>H2</v>
          </cell>
          <cell r="H46" t="str">
            <v>MTGMAA</v>
          </cell>
          <cell r="I46">
            <v>200000</v>
          </cell>
        </row>
        <row r="47">
          <cell r="B47" t="str">
            <v>FKBB....AA</v>
          </cell>
          <cell r="C47" t="str">
            <v>CONSUMER PRODUCTS ADMIN</v>
          </cell>
          <cell r="D47" t="str">
            <v>Towery,Vicki L</v>
          </cell>
          <cell r="E47" t="str">
            <v>OX033</v>
          </cell>
          <cell r="F47" t="str">
            <v>Business Exec - Tech &amp; Ops</v>
          </cell>
          <cell r="G47" t="str">
            <v>H2</v>
          </cell>
          <cell r="H47" t="str">
            <v>BAND1</v>
          </cell>
          <cell r="I47">
            <v>210000</v>
          </cell>
        </row>
        <row r="48">
          <cell r="B48" t="str">
            <v>HBESCLAAAB</v>
          </cell>
          <cell r="C48" t="str">
            <v>04425-RETAIL BKG ADM</v>
          </cell>
          <cell r="D48" t="str">
            <v>Cortopassi,Steven A.</v>
          </cell>
          <cell r="E48" t="str">
            <v>RX014</v>
          </cell>
          <cell r="F48" t="str">
            <v>Consumer Banking Executive</v>
          </cell>
          <cell r="G48" t="str">
            <v>H2</v>
          </cell>
          <cell r="H48" t="str">
            <v>CCAM</v>
          </cell>
          <cell r="I48">
            <v>200000.04</v>
          </cell>
        </row>
        <row r="49">
          <cell r="B49" t="str">
            <v>AMAA....AA</v>
          </cell>
          <cell r="C49" t="str">
            <v>MARKETING EXEC</v>
          </cell>
          <cell r="D49" t="str">
            <v>Buchanan,James B</v>
          </cell>
          <cell r="E49" t="str">
            <v>MD013</v>
          </cell>
          <cell r="F49" t="str">
            <v>Assoc Readiness &amp; Support Exec</v>
          </cell>
          <cell r="G49" t="str">
            <v>H2</v>
          </cell>
          <cell r="H49" t="str">
            <v>CCAM</v>
          </cell>
          <cell r="I49">
            <v>250000</v>
          </cell>
        </row>
        <row r="50">
          <cell r="B50" t="str">
            <v>HBBEWAB.GB</v>
          </cell>
          <cell r="C50" t="str">
            <v>MIDSOUTH COMM ADMIN - GEORGIA</v>
          </cell>
          <cell r="D50" t="str">
            <v>Godbold Jr,Eugene J</v>
          </cell>
          <cell r="E50" t="str">
            <v>BX011</v>
          </cell>
          <cell r="F50" t="str">
            <v>Commercial Banking Executive</v>
          </cell>
          <cell r="G50" t="str">
            <v>H2</v>
          </cell>
          <cell r="H50" t="str">
            <v>CCAM</v>
          </cell>
          <cell r="I50">
            <v>200000</v>
          </cell>
        </row>
        <row r="51">
          <cell r="B51" t="str">
            <v>HBCSWAAAAC</v>
          </cell>
          <cell r="C51" t="str">
            <v>CAROLINAS CONS BK DV EX</v>
          </cell>
          <cell r="D51" t="str">
            <v>Drago,Dana</v>
          </cell>
          <cell r="E51" t="str">
            <v>RX014</v>
          </cell>
          <cell r="F51" t="str">
            <v>Consumer Banking Executive</v>
          </cell>
          <cell r="G51" t="str">
            <v>H2</v>
          </cell>
          <cell r="H51" t="str">
            <v>CCAM</v>
          </cell>
          <cell r="I51">
            <v>210000</v>
          </cell>
        </row>
        <row r="52">
          <cell r="B52" t="str">
            <v>HBFESWA.AP</v>
          </cell>
          <cell r="C52" t="str">
            <v>CA COMML STRATEGIES ADMIN</v>
          </cell>
          <cell r="D52" t="str">
            <v>Balfour,Tara Owens</v>
          </cell>
          <cell r="E52" t="str">
            <v>BX011</v>
          </cell>
          <cell r="F52" t="str">
            <v>Commercial Banking Executive</v>
          </cell>
          <cell r="G52" t="str">
            <v>H2</v>
          </cell>
          <cell r="H52" t="str">
            <v>CNCOML</v>
          </cell>
          <cell r="I52">
            <v>180000</v>
          </cell>
        </row>
        <row r="53">
          <cell r="B53" t="str">
            <v>HBFSCWAHAA</v>
          </cell>
          <cell r="C53" t="str">
            <v>04570-LOS ANGELES REGION</v>
          </cell>
          <cell r="D53" t="str">
            <v>Aguilar,Leticia</v>
          </cell>
          <cell r="E53" t="str">
            <v>RX014</v>
          </cell>
          <cell r="F53" t="str">
            <v>Consumer Banking Executive</v>
          </cell>
          <cell r="G53" t="str">
            <v>H2</v>
          </cell>
          <cell r="H53" t="str">
            <v>CCAM</v>
          </cell>
          <cell r="I53">
            <v>165000</v>
          </cell>
        </row>
        <row r="54">
          <cell r="B54" t="str">
            <v>AAAA....AD</v>
          </cell>
          <cell r="C54" t="str">
            <v>ASSISTANT TO CEO</v>
          </cell>
          <cell r="D54" t="str">
            <v>Phillips,J Vick</v>
          </cell>
          <cell r="E54" t="str">
            <v>AX002</v>
          </cell>
          <cell r="F54" t="str">
            <v>Office of Chair Chief of Staff</v>
          </cell>
          <cell r="G54" t="str">
            <v>H2</v>
          </cell>
          <cell r="H54" t="str">
            <v>BPIP</v>
          </cell>
          <cell r="I54">
            <v>220000</v>
          </cell>
        </row>
        <row r="55">
          <cell r="B55" t="str">
            <v>HBFSEWW.AA</v>
          </cell>
          <cell r="C55" t="str">
            <v>06525-NORTH REGION</v>
          </cell>
          <cell r="D55" t="str">
            <v>Martin,G V</v>
          </cell>
          <cell r="E55" t="str">
            <v>RX014</v>
          </cell>
          <cell r="F55" t="str">
            <v>Consumer Banking Executive</v>
          </cell>
          <cell r="G55" t="str">
            <v>H2</v>
          </cell>
          <cell r="H55" t="str">
            <v>CCAM</v>
          </cell>
          <cell r="I55">
            <v>159999.96</v>
          </cell>
        </row>
        <row r="56">
          <cell r="B56" t="str">
            <v>FSZA....AA</v>
          </cell>
          <cell r="C56" t="str">
            <v>TSG - ADMIN</v>
          </cell>
          <cell r="D56" t="str">
            <v>Simpson,Richard Warren</v>
          </cell>
          <cell r="E56" t="str">
            <v>TX002</v>
          </cell>
          <cell r="F56" t="str">
            <v>Business Exec - Technology</v>
          </cell>
          <cell r="G56" t="str">
            <v>H2</v>
          </cell>
          <cell r="H56" t="str">
            <v>BPIP</v>
          </cell>
          <cell r="I56">
            <v>230000</v>
          </cell>
        </row>
        <row r="57">
          <cell r="B57" t="str">
            <v>HBFSDWW.AB</v>
          </cell>
          <cell r="C57" t="str">
            <v>03510-BAY AREA DIVISION</v>
          </cell>
          <cell r="D57" t="str">
            <v>Menicucci,Robert J</v>
          </cell>
          <cell r="E57" t="str">
            <v>RX014</v>
          </cell>
          <cell r="F57" t="str">
            <v>Consumer Banking Executive</v>
          </cell>
          <cell r="G57" t="str">
            <v>H2</v>
          </cell>
          <cell r="H57" t="str">
            <v>CCAM</v>
          </cell>
          <cell r="I57">
            <v>180000</v>
          </cell>
        </row>
        <row r="58">
          <cell r="B58" t="str">
            <v>HBEESAAAAA</v>
          </cell>
          <cell r="C58" t="str">
            <v>32215-CENTRAL STRATEGY ADMIN</v>
          </cell>
          <cell r="D58" t="str">
            <v>Curtin,Karen J</v>
          </cell>
          <cell r="E58" t="str">
            <v>BX011</v>
          </cell>
          <cell r="F58" t="str">
            <v>Commercial Banking Executive</v>
          </cell>
          <cell r="G58" t="str">
            <v>H2</v>
          </cell>
          <cell r="H58" t="str">
            <v>CCAM</v>
          </cell>
          <cell r="I58">
            <v>225000</v>
          </cell>
        </row>
        <row r="59">
          <cell r="B59" t="str">
            <v>MEAABA..AB</v>
          </cell>
          <cell r="C59" t="str">
            <v>0069121-GTS-DOM ADMIN MGRS-LEGACY BAC</v>
          </cell>
          <cell r="D59" t="str">
            <v>Cyganowski,Daniel R</v>
          </cell>
          <cell r="E59" t="str">
            <v>SC010</v>
          </cell>
          <cell r="F59" t="str">
            <v>Reg Sales Exec, Global Trsy</v>
          </cell>
          <cell r="G59" t="str">
            <v>H2</v>
          </cell>
          <cell r="H59" t="str">
            <v>1GLOPY</v>
          </cell>
          <cell r="I59">
            <v>200008.08</v>
          </cell>
        </row>
        <row r="60">
          <cell r="B60" t="str">
            <v>ITDBA...AB</v>
          </cell>
          <cell r="C60" t="str">
            <v>ADMIN</v>
          </cell>
          <cell r="D60" t="str">
            <v>Houghton,James T</v>
          </cell>
          <cell r="E60" t="str">
            <v>XX021</v>
          </cell>
          <cell r="F60" t="str">
            <v>Domestic Bank Funding Exec</v>
          </cell>
          <cell r="G60" t="str">
            <v>H2</v>
          </cell>
          <cell r="H60" t="str">
            <v>CORTRE</v>
          </cell>
          <cell r="I60">
            <v>175000.32000000001</v>
          </cell>
        </row>
        <row r="61">
          <cell r="B61" t="str">
            <v>HBEEGAAAAA</v>
          </cell>
          <cell r="C61" t="str">
            <v>CENTRAL GROWTH ADMINISTRATION</v>
          </cell>
          <cell r="D61" t="str">
            <v>Bodine III,Guy</v>
          </cell>
          <cell r="E61" t="str">
            <v>BX011</v>
          </cell>
          <cell r="F61" t="str">
            <v>Commercial Banking Executive</v>
          </cell>
          <cell r="G61" t="str">
            <v>H2</v>
          </cell>
          <cell r="H61" t="str">
            <v>CCAM</v>
          </cell>
          <cell r="I61">
            <v>275000</v>
          </cell>
        </row>
        <row r="62">
          <cell r="B62" t="str">
            <v>HBDSBWX.AF</v>
          </cell>
          <cell r="C62" t="str">
            <v>VIRGINIA/EASTERN SHORE CONSUMER - ADMIN</v>
          </cell>
          <cell r="D62" t="str">
            <v>Armentrout,Susan P</v>
          </cell>
          <cell r="E62" t="str">
            <v>RX014</v>
          </cell>
          <cell r="F62" t="str">
            <v>Consumer Banking Executive</v>
          </cell>
          <cell r="G62" t="str">
            <v>H2</v>
          </cell>
          <cell r="H62" t="str">
            <v>CCAM</v>
          </cell>
          <cell r="I62">
            <v>170000</v>
          </cell>
        </row>
        <row r="63">
          <cell r="B63" t="str">
            <v>AGCMAA..BA</v>
          </cell>
          <cell r="C63" t="str">
            <v>ADMIN</v>
          </cell>
          <cell r="D63" t="str">
            <v>Ryan,Francis S</v>
          </cell>
          <cell r="E63" t="str">
            <v>FB012</v>
          </cell>
          <cell r="F63" t="str">
            <v>Sr Fin Mgr of GCIB</v>
          </cell>
          <cell r="G63" t="str">
            <v>H2</v>
          </cell>
          <cell r="H63" t="str">
            <v>BPIP</v>
          </cell>
          <cell r="I63">
            <v>219999.96</v>
          </cell>
        </row>
        <row r="64">
          <cell r="B64" t="str">
            <v>YDBBEA..AA</v>
          </cell>
          <cell r="C64" t="str">
            <v>ADMIN EAST</v>
          </cell>
          <cell r="D64" t="str">
            <v>Howard,Scott M</v>
          </cell>
          <cell r="E64" t="str">
            <v>MC006</v>
          </cell>
          <cell r="F64" t="str">
            <v>Channel Strategy &amp; Dev Exec</v>
          </cell>
          <cell r="G64" t="str">
            <v>H2</v>
          </cell>
          <cell r="H64" t="str">
            <v>BPIP</v>
          </cell>
          <cell r="I64">
            <v>215000</v>
          </cell>
        </row>
        <row r="65">
          <cell r="B65" t="str">
            <v>HWOQSAX.AA</v>
          </cell>
          <cell r="C65" t="str">
            <v>CSA EXEC</v>
          </cell>
          <cell r="D65" t="str">
            <v>Woodard,Rodney C</v>
          </cell>
          <cell r="E65" t="str">
            <v>DW001</v>
          </cell>
          <cell r="F65" t="str">
            <v>Comm Special Assets Executive</v>
          </cell>
          <cell r="G65" t="str">
            <v>H2</v>
          </cell>
          <cell r="H65" t="str">
            <v>GBSPAS</v>
          </cell>
          <cell r="I65">
            <v>170000</v>
          </cell>
        </row>
        <row r="66">
          <cell r="B66" t="str">
            <v>JCBSX...ZZ</v>
          </cell>
          <cell r="C66" t="str">
            <v>MARKETING / BUS SUPPORT ADMINISTRATION</v>
          </cell>
          <cell r="D66" t="str">
            <v>Telljohann,Eric P</v>
          </cell>
          <cell r="E66" t="str">
            <v>BF013</v>
          </cell>
          <cell r="F66" t="str">
            <v>U. S. Sales Executive, BAAG</v>
          </cell>
          <cell r="G66" t="str">
            <v>H2</v>
          </cell>
          <cell r="H66" t="str">
            <v>CFGMIP</v>
          </cell>
          <cell r="I66">
            <v>250000</v>
          </cell>
        </row>
        <row r="67">
          <cell r="B67" t="str">
            <v>AFABBA..AA</v>
          </cell>
          <cell r="C67" t="str">
            <v>LRM ADMINISTRATION</v>
          </cell>
          <cell r="D67" t="str">
            <v>Cloyd,Nancy A</v>
          </cell>
          <cell r="E67" t="str">
            <v>OX031</v>
          </cell>
          <cell r="F67" t="str">
            <v>Liability Risk Mgt Exec</v>
          </cell>
          <cell r="G67" t="str">
            <v>H2</v>
          </cell>
          <cell r="H67" t="str">
            <v>BPIP</v>
          </cell>
          <cell r="I67">
            <v>210000</v>
          </cell>
        </row>
        <row r="68">
          <cell r="B68" t="str">
            <v>AGCHA...AA</v>
          </cell>
          <cell r="C68" t="str">
            <v>CHIEF FINANCIAL OFFICER</v>
          </cell>
          <cell r="D68" t="str">
            <v>Readhead,Laurie</v>
          </cell>
          <cell r="E68" t="str">
            <v>FB010</v>
          </cell>
          <cell r="F68" t="str">
            <v>Sr Fin Mgr-Consumer Products</v>
          </cell>
          <cell r="G68" t="str">
            <v>H2</v>
          </cell>
          <cell r="H68" t="str">
            <v>BPIP</v>
          </cell>
          <cell r="I68">
            <v>169999.92</v>
          </cell>
        </row>
        <row r="69">
          <cell r="B69" t="str">
            <v>FSZB....AE</v>
          </cell>
          <cell r="C69" t="str">
            <v>TECHNOLOGY INFRASTRUCTURE INTEGRATION</v>
          </cell>
          <cell r="D69" t="str">
            <v>Seaholm,Clifford M</v>
          </cell>
          <cell r="E69" t="str">
            <v>TX002</v>
          </cell>
          <cell r="F69" t="str">
            <v>Business Exec - Technology</v>
          </cell>
          <cell r="G69" t="str">
            <v>H2</v>
          </cell>
          <cell r="H69" t="str">
            <v>BPIP</v>
          </cell>
          <cell r="I69">
            <v>235000.08</v>
          </cell>
        </row>
        <row r="70">
          <cell r="B70" t="str">
            <v>FTEAA...AA</v>
          </cell>
          <cell r="C70" t="str">
            <v>TX / MIDWEST EXECUTIVE</v>
          </cell>
          <cell r="D70" t="str">
            <v>Bosscawen,Susan</v>
          </cell>
          <cell r="E70" t="str">
            <v>OX035</v>
          </cell>
          <cell r="F70" t="str">
            <v>Business Exec - Operations</v>
          </cell>
          <cell r="G70" t="str">
            <v>H2</v>
          </cell>
          <cell r="H70" t="str">
            <v>BPIP</v>
          </cell>
          <cell r="I70">
            <v>200000.16</v>
          </cell>
        </row>
        <row r="71">
          <cell r="B71" t="str">
            <v>HBCEWAAAAB</v>
          </cell>
          <cell r="C71" t="str">
            <v>CAROLINAS COMMERCIAL EXEC</v>
          </cell>
          <cell r="D71" t="str">
            <v>Wilson,William C</v>
          </cell>
          <cell r="E71" t="str">
            <v>BX011</v>
          </cell>
          <cell r="F71" t="str">
            <v>Commercial Banking Executive</v>
          </cell>
          <cell r="G71" t="str">
            <v>H2</v>
          </cell>
          <cell r="H71" t="str">
            <v>CCAM</v>
          </cell>
          <cell r="I71">
            <v>225000</v>
          </cell>
        </row>
        <row r="72">
          <cell r="B72" t="str">
            <v>HBGEWWW.AD</v>
          </cell>
          <cell r="C72" t="str">
            <v>93047 WA-ID COMMERCIAL ADMIN</v>
          </cell>
          <cell r="D72" t="str">
            <v>Enticknap,Joan L</v>
          </cell>
          <cell r="E72" t="str">
            <v>BX011</v>
          </cell>
          <cell r="F72" t="str">
            <v>Commercial Banking Executive</v>
          </cell>
          <cell r="G72" t="str">
            <v>H2</v>
          </cell>
          <cell r="H72" t="str">
            <v>CCAM</v>
          </cell>
          <cell r="I72">
            <v>195000</v>
          </cell>
        </row>
        <row r="73">
          <cell r="B73" t="str">
            <v>AMAA....AB</v>
          </cell>
          <cell r="C73" t="str">
            <v>MARKETING EXEC-CA</v>
          </cell>
          <cell r="D73" t="str">
            <v>Burdick,Kim P</v>
          </cell>
          <cell r="E73" t="str">
            <v>BX012</v>
          </cell>
          <cell r="F73" t="str">
            <v>Premier Banking Executive II</v>
          </cell>
          <cell r="G73" t="str">
            <v>H2</v>
          </cell>
          <cell r="H73" t="str">
            <v>CCAM</v>
          </cell>
          <cell r="I73">
            <v>165000</v>
          </cell>
        </row>
        <row r="74">
          <cell r="B74" t="str">
            <v>HVFGA...BB</v>
          </cell>
          <cell r="C74" t="str">
            <v>BC-SOUTHWEST REGION</v>
          </cell>
          <cell r="D74" t="str">
            <v>Brant,Russell E</v>
          </cell>
          <cell r="E74" t="str">
            <v>BS001</v>
          </cell>
          <cell r="F74" t="str">
            <v>BABC Regional Executive</v>
          </cell>
          <cell r="G74" t="str">
            <v>H2</v>
          </cell>
          <cell r="H74" t="str">
            <v>BUCRMT</v>
          </cell>
          <cell r="I74">
            <v>208000</v>
          </cell>
        </row>
        <row r="75">
          <cell r="B75" t="str">
            <v>MAAA....ZZ</v>
          </cell>
          <cell r="C75" t="str">
            <v>GLOBAL TREASURY SERVICES ADMINISTRATION</v>
          </cell>
          <cell r="D75" t="str">
            <v>Johnstone,Judy A</v>
          </cell>
          <cell r="E75" t="str">
            <v>CX003</v>
          </cell>
          <cell r="F75" t="str">
            <v>Client Services Executive</v>
          </cell>
          <cell r="G75" t="str">
            <v>H2</v>
          </cell>
          <cell r="H75" t="str">
            <v>BPIP</v>
          </cell>
          <cell r="I75">
            <v>195000</v>
          </cell>
        </row>
        <row r="76">
          <cell r="B76" t="str">
            <v>HBASWAA.AA</v>
          </cell>
          <cell r="C76" t="str">
            <v>EXECUTIVE OFFICE</v>
          </cell>
          <cell r="D76" t="str">
            <v>Snuggs III,Weymon P</v>
          </cell>
          <cell r="E76" t="str">
            <v>RX014</v>
          </cell>
          <cell r="F76" t="str">
            <v>Consumer Banking Executive</v>
          </cell>
          <cell r="G76" t="str">
            <v>H2</v>
          </cell>
          <cell r="H76" t="str">
            <v>CCAM</v>
          </cell>
          <cell r="I76">
            <v>180000</v>
          </cell>
        </row>
        <row r="77">
          <cell r="B77" t="str">
            <v>AGCFM...AB</v>
          </cell>
          <cell r="C77" t="str">
            <v>GLOBAL TREASURY SVCS FINANCE</v>
          </cell>
          <cell r="D77" t="str">
            <v>Hagler,Martha</v>
          </cell>
          <cell r="E77" t="str">
            <v>FB013</v>
          </cell>
          <cell r="F77" t="str">
            <v>Sr Fin Mgr-T&amp;O/Staff Support</v>
          </cell>
          <cell r="G77" t="str">
            <v>H2</v>
          </cell>
          <cell r="H77" t="str">
            <v>BPIP</v>
          </cell>
          <cell r="I77">
            <v>150000</v>
          </cell>
        </row>
        <row r="78">
          <cell r="B78" t="str">
            <v>FTGAC...AG</v>
          </cell>
          <cell r="C78" t="str">
            <v>TS-NATIONAL PROCESS TEAM</v>
          </cell>
          <cell r="D78" t="str">
            <v>Gerringer,B Michael</v>
          </cell>
          <cell r="E78" t="str">
            <v>OX035</v>
          </cell>
          <cell r="F78" t="str">
            <v>Business Exec - Operations</v>
          </cell>
          <cell r="G78" t="str">
            <v>H2</v>
          </cell>
          <cell r="H78" t="str">
            <v>BPIP</v>
          </cell>
          <cell r="I78">
            <v>215000.04</v>
          </cell>
        </row>
        <row r="79">
          <cell r="B79" t="str">
            <v>HBASWAA.AA</v>
          </cell>
          <cell r="C79" t="str">
            <v>EXECUTIVE OFFICE</v>
          </cell>
          <cell r="D79" t="str">
            <v>Lucas,Donald E</v>
          </cell>
          <cell r="E79" t="str">
            <v>RX014</v>
          </cell>
          <cell r="F79" t="str">
            <v>Consumer Banking Executive</v>
          </cell>
          <cell r="G79" t="str">
            <v>H2</v>
          </cell>
          <cell r="H79" t="str">
            <v>CCAM</v>
          </cell>
          <cell r="I79">
            <v>175000</v>
          </cell>
        </row>
        <row r="80">
          <cell r="B80" t="str">
            <v>FEIA....AA</v>
          </cell>
          <cell r="C80" t="str">
            <v>INTEGRATION</v>
          </cell>
          <cell r="D80" t="str">
            <v>Higgins,Christopher P</v>
          </cell>
          <cell r="E80" t="str">
            <v>NA016</v>
          </cell>
          <cell r="F80" t="str">
            <v>Senior Change Mgmt Exec</v>
          </cell>
          <cell r="G80" t="str">
            <v>H2</v>
          </cell>
          <cell r="H80" t="str">
            <v>BPIP</v>
          </cell>
          <cell r="I80">
            <v>190000.08</v>
          </cell>
        </row>
        <row r="81">
          <cell r="B81" t="str">
            <v>HVFBA...AE</v>
          </cell>
          <cell r="C81" t="str">
            <v>NE REG-BABC-ADMIN</v>
          </cell>
          <cell r="D81" t="str">
            <v>Gennario,Richard C</v>
          </cell>
          <cell r="E81" t="str">
            <v>BS001</v>
          </cell>
          <cell r="F81" t="str">
            <v>BABC Regional Executive</v>
          </cell>
          <cell r="G81" t="str">
            <v>H2</v>
          </cell>
          <cell r="H81" t="str">
            <v>BUCRMT</v>
          </cell>
          <cell r="I81">
            <v>198500.04</v>
          </cell>
        </row>
        <row r="82">
          <cell r="B82" t="str">
            <v>HBFUW...AK</v>
          </cell>
          <cell r="C82" t="str">
            <v>20695 - CALIFORNIA SMALL BUSINESS ADMIN</v>
          </cell>
          <cell r="D82" t="str">
            <v>Sawyer,Douglas F</v>
          </cell>
          <cell r="E82" t="str">
            <v>BX013</v>
          </cell>
          <cell r="F82" t="str">
            <v>Small Business Banking Exec II</v>
          </cell>
          <cell r="G82" t="str">
            <v>H2</v>
          </cell>
          <cell r="H82" t="str">
            <v>CCAM</v>
          </cell>
          <cell r="I82">
            <v>180000</v>
          </cell>
        </row>
        <row r="83">
          <cell r="B83" t="str">
            <v>ZCBACAA.AT</v>
          </cell>
          <cell r="C83" t="str">
            <v>CALIFORNIA TELEPHONE BANKING ADMINISTRATION</v>
          </cell>
          <cell r="D83" t="str">
            <v>Batchelder,Elizabeth J</v>
          </cell>
          <cell r="E83" t="str">
            <v>SX009</v>
          </cell>
          <cell r="F83" t="str">
            <v>Reg Telephone Banking Exec</v>
          </cell>
          <cell r="G83" t="str">
            <v>H2</v>
          </cell>
          <cell r="H83" t="str">
            <v>CCAM</v>
          </cell>
          <cell r="I83">
            <v>210000</v>
          </cell>
        </row>
        <row r="84">
          <cell r="B84" t="str">
            <v>FEAIAA..AA</v>
          </cell>
          <cell r="C84" t="str">
            <v>CONS/COML TRANSITION ADMIN</v>
          </cell>
          <cell r="D84" t="str">
            <v>Eckerle,James M</v>
          </cell>
          <cell r="E84" t="str">
            <v>NA016</v>
          </cell>
          <cell r="F84" t="str">
            <v>Senior Change Mgmt Exec</v>
          </cell>
          <cell r="G84" t="str">
            <v>H2</v>
          </cell>
          <cell r="H84" t="str">
            <v>BPIP</v>
          </cell>
          <cell r="I84">
            <v>210000.16</v>
          </cell>
        </row>
        <row r="85">
          <cell r="B85" t="str">
            <v>HBEUWA..AA</v>
          </cell>
          <cell r="C85" t="str">
            <v>CENTRAL SMALL BUS BANKING ADMIN</v>
          </cell>
          <cell r="D85" t="str">
            <v>Cannon,Deborah Menard</v>
          </cell>
          <cell r="E85" t="str">
            <v>BX013</v>
          </cell>
          <cell r="F85" t="str">
            <v>Small Business Banking Exec II</v>
          </cell>
          <cell r="G85" t="str">
            <v>H2</v>
          </cell>
          <cell r="H85" t="str">
            <v>CCAM</v>
          </cell>
          <cell r="I85">
            <v>210000</v>
          </cell>
        </row>
        <row r="86">
          <cell r="B86" t="str">
            <v>AFEAA...AC</v>
          </cell>
          <cell r="C86" t="str">
            <v>RMIT- RISK MGMT INFO AND TECH</v>
          </cell>
          <cell r="D86" t="str">
            <v>Munce,John Warner</v>
          </cell>
          <cell r="E86" t="str">
            <v>NX002</v>
          </cell>
          <cell r="F86" t="str">
            <v>Change Exec-Process Design Res</v>
          </cell>
          <cell r="G86" t="str">
            <v>H2</v>
          </cell>
          <cell r="H86" t="str">
            <v>BAND1</v>
          </cell>
          <cell r="I86">
            <v>300000</v>
          </cell>
        </row>
        <row r="87">
          <cell r="B87" t="str">
            <v>YDCA....AE</v>
          </cell>
          <cell r="C87" t="str">
            <v>CORPORATE/MIDDLEMARKET E-COMMERCE ADMIN</v>
          </cell>
          <cell r="D87" t="str">
            <v>Ciambrone,Stephen F</v>
          </cell>
          <cell r="E87" t="str">
            <v>TY026</v>
          </cell>
          <cell r="F87" t="str">
            <v>Next Generation E-Commerce Exe</v>
          </cell>
          <cell r="G87" t="str">
            <v>H2</v>
          </cell>
          <cell r="H87" t="str">
            <v>BPIP</v>
          </cell>
          <cell r="I87">
            <v>200000.16</v>
          </cell>
        </row>
        <row r="88">
          <cell r="B88" t="str">
            <v>HVFCA...AA</v>
          </cell>
          <cell r="C88" t="str">
            <v>BC-SOUTHEAST REGION</v>
          </cell>
          <cell r="D88" t="str">
            <v>Asbury,John C</v>
          </cell>
          <cell r="E88" t="str">
            <v>BS001</v>
          </cell>
          <cell r="F88" t="str">
            <v>BABC Regional Executive</v>
          </cell>
          <cell r="G88" t="str">
            <v>H2</v>
          </cell>
          <cell r="H88" t="str">
            <v>BUCRMT</v>
          </cell>
          <cell r="I88">
            <v>150000</v>
          </cell>
        </row>
        <row r="89">
          <cell r="B89" t="str">
            <v>FSZA....AA</v>
          </cell>
          <cell r="C89" t="str">
            <v>TSG - ADMIN</v>
          </cell>
          <cell r="D89" t="str">
            <v>Gibbs,John W</v>
          </cell>
          <cell r="E89" t="str">
            <v>TX002</v>
          </cell>
          <cell r="F89" t="str">
            <v>Business Exec - Technology</v>
          </cell>
          <cell r="G89" t="str">
            <v>H2</v>
          </cell>
          <cell r="H89" t="str">
            <v>BPIP</v>
          </cell>
          <cell r="I89">
            <v>225000.4</v>
          </cell>
        </row>
        <row r="90">
          <cell r="B90" t="str">
            <v>AGCG....AN</v>
          </cell>
          <cell r="C90" t="str">
            <v>AMG FINANCE - MO</v>
          </cell>
          <cell r="D90" t="str">
            <v>Block,Mary J</v>
          </cell>
          <cell r="E90" t="str">
            <v>FB006</v>
          </cell>
          <cell r="F90" t="str">
            <v>Sr Finance Mgr-Asset Mgt</v>
          </cell>
          <cell r="G90" t="str">
            <v>H2</v>
          </cell>
          <cell r="H90" t="str">
            <v>BPIP</v>
          </cell>
          <cell r="I90">
            <v>160000.20000000001</v>
          </cell>
        </row>
        <row r="91">
          <cell r="B91" t="str">
            <v>AACD....AB</v>
          </cell>
          <cell r="C91" t="str">
            <v>STATE GOVT RELATIONS</v>
          </cell>
          <cell r="D91" t="str">
            <v>Lamkin,Janet W</v>
          </cell>
          <cell r="E91" t="str">
            <v>EF002</v>
          </cell>
          <cell r="F91" t="str">
            <v>State Lobbyist Executive</v>
          </cell>
          <cell r="G91" t="str">
            <v>H2</v>
          </cell>
          <cell r="H91" t="str">
            <v>BPIP</v>
          </cell>
          <cell r="I91">
            <v>180000</v>
          </cell>
        </row>
        <row r="92">
          <cell r="B92" t="str">
            <v>HBAUWA..AA</v>
          </cell>
          <cell r="C92" t="str">
            <v>FL BUSINESS BANKING STATE EXECUTIVE</v>
          </cell>
          <cell r="D92" t="str">
            <v>Manitz,Mark</v>
          </cell>
          <cell r="E92" t="str">
            <v>BX013</v>
          </cell>
          <cell r="F92" t="str">
            <v>Small Business Banking Exec II</v>
          </cell>
          <cell r="G92" t="str">
            <v>H2</v>
          </cell>
          <cell r="H92" t="str">
            <v>CCAM</v>
          </cell>
          <cell r="I92">
            <v>180000</v>
          </cell>
        </row>
        <row r="93">
          <cell r="B93" t="str">
            <v>HBDEGA..MD</v>
          </cell>
          <cell r="C93" t="str">
            <v>BALTIMORE GG ADMIN</v>
          </cell>
          <cell r="D93" t="str">
            <v>Lorenz,William R</v>
          </cell>
          <cell r="E93" t="str">
            <v>BX011</v>
          </cell>
          <cell r="F93" t="str">
            <v>Commercial Banking Executive</v>
          </cell>
          <cell r="G93" t="str">
            <v>H2</v>
          </cell>
          <cell r="H93" t="str">
            <v>CCAM</v>
          </cell>
          <cell r="I93">
            <v>150000</v>
          </cell>
        </row>
        <row r="94">
          <cell r="B94" t="str">
            <v>FMAD....AB</v>
          </cell>
          <cell r="C94" t="str">
            <v>STRATEGIC PLANNING - ADMIN</v>
          </cell>
          <cell r="D94" t="str">
            <v>Cole,Grant</v>
          </cell>
          <cell r="E94" t="str">
            <v>NA016</v>
          </cell>
          <cell r="F94" t="str">
            <v>Senior Change Mgmt Exec</v>
          </cell>
          <cell r="G94" t="str">
            <v>H2</v>
          </cell>
          <cell r="H94" t="str">
            <v>BAND1</v>
          </cell>
          <cell r="I94">
            <v>215000</v>
          </cell>
        </row>
        <row r="95">
          <cell r="B95" t="str">
            <v>LBBC....AB</v>
          </cell>
          <cell r="C95" t="str">
            <v>EXEC-NATL PRODUCTS/PROGRAMS</v>
          </cell>
          <cell r="D95" t="str">
            <v>Pitchford,John M</v>
          </cell>
          <cell r="E95" t="str">
            <v>IP001</v>
          </cell>
          <cell r="F95" t="str">
            <v>CDB Natl Prod and Prog Exec</v>
          </cell>
          <cell r="G95" t="str">
            <v>H2</v>
          </cell>
          <cell r="H95" t="str">
            <v>CCAM</v>
          </cell>
          <cell r="I95">
            <v>200000</v>
          </cell>
        </row>
        <row r="96">
          <cell r="B96" t="str">
            <v>AGCFB...AA</v>
          </cell>
          <cell r="C96" t="str">
            <v>PLAN/BUILD - CHARLOTTE</v>
          </cell>
          <cell r="D96" t="str">
            <v>Grooms,Tracy J</v>
          </cell>
          <cell r="E96" t="str">
            <v>FB013</v>
          </cell>
          <cell r="F96" t="str">
            <v>Sr Fin Mgr-T&amp;O/Staff Support</v>
          </cell>
          <cell r="G96" t="str">
            <v>H2</v>
          </cell>
          <cell r="H96" t="str">
            <v>BPIP</v>
          </cell>
          <cell r="I96">
            <v>170000</v>
          </cell>
        </row>
        <row r="97">
          <cell r="B97" t="str">
            <v>HBATWA..AA</v>
          </cell>
          <cell r="C97" t="str">
            <v>PREMIER BANKING EXECUTIVE</v>
          </cell>
          <cell r="D97" t="str">
            <v>Walker,Susan H</v>
          </cell>
          <cell r="E97" t="str">
            <v>BX012</v>
          </cell>
          <cell r="F97" t="str">
            <v>Premier Banking Executive II</v>
          </cell>
          <cell r="G97" t="str">
            <v>H2</v>
          </cell>
          <cell r="H97" t="str">
            <v>CCAM</v>
          </cell>
          <cell r="I97">
            <v>200000</v>
          </cell>
        </row>
        <row r="98">
          <cell r="B98" t="str">
            <v>HBCUWAAAAA</v>
          </cell>
          <cell r="C98" t="str">
            <v>CAROLINAS SMALL BUSINESS BANKING ADMIN.</v>
          </cell>
          <cell r="D98" t="str">
            <v>Grant,Anthony T</v>
          </cell>
          <cell r="E98" t="str">
            <v>BX013</v>
          </cell>
          <cell r="F98" t="str">
            <v>Small Business Banking Exec II</v>
          </cell>
          <cell r="G98" t="str">
            <v>H2</v>
          </cell>
          <cell r="H98" t="str">
            <v>CCAM</v>
          </cell>
          <cell r="I98">
            <v>210000</v>
          </cell>
        </row>
        <row r="99">
          <cell r="B99" t="str">
            <v>AMFDD...AG</v>
          </cell>
          <cell r="C99" t="str">
            <v>WEST REGIONAL MARKETING</v>
          </cell>
          <cell r="D99" t="str">
            <v>Brennan,John L</v>
          </cell>
          <cell r="E99" t="str">
            <v>MV002</v>
          </cell>
          <cell r="F99" t="str">
            <v>Marketing Transition Executive</v>
          </cell>
          <cell r="G99" t="str">
            <v>H2</v>
          </cell>
          <cell r="H99" t="str">
            <v>CCAM</v>
          </cell>
          <cell r="I99">
            <v>200000</v>
          </cell>
        </row>
        <row r="100">
          <cell r="B100" t="str">
            <v>FSZA....AA</v>
          </cell>
          <cell r="C100" t="str">
            <v>TSG - ADMIN</v>
          </cell>
          <cell r="D100" t="str">
            <v>Maclean,Rhonda</v>
          </cell>
          <cell r="E100" t="str">
            <v>TX002</v>
          </cell>
          <cell r="F100" t="str">
            <v>Business Exec - Technology</v>
          </cell>
          <cell r="G100" t="str">
            <v>H2</v>
          </cell>
          <cell r="H100" t="str">
            <v>BPIP</v>
          </cell>
          <cell r="I100">
            <v>180000</v>
          </cell>
        </row>
        <row r="101">
          <cell r="B101" t="str">
            <v>JCAA....AA</v>
          </cell>
          <cell r="C101" t="str">
            <v>LEASE OPERATIONS - EXECUTIVE</v>
          </cell>
          <cell r="D101" t="str">
            <v>Rosato,Craig R</v>
          </cell>
          <cell r="E101" t="str">
            <v>FB016</v>
          </cell>
          <cell r="F101" t="str">
            <v>Sr Fin Mgr-Financial Analysis</v>
          </cell>
          <cell r="G101" t="str">
            <v>H2</v>
          </cell>
          <cell r="H101" t="str">
            <v>BPIP</v>
          </cell>
          <cell r="I101">
            <v>150000</v>
          </cell>
        </row>
        <row r="102">
          <cell r="B102" t="str">
            <v>FEAIAA..AA</v>
          </cell>
          <cell r="C102" t="str">
            <v>CONS/COML TRANSITION ADMIN</v>
          </cell>
          <cell r="D102" t="str">
            <v>Prescott,Lisa J</v>
          </cell>
          <cell r="E102" t="str">
            <v>NA016</v>
          </cell>
          <cell r="F102" t="str">
            <v>Senior Change Mgmt Exec</v>
          </cell>
          <cell r="G102" t="str">
            <v>H2</v>
          </cell>
          <cell r="H102" t="str">
            <v>BPIP</v>
          </cell>
          <cell r="I102">
            <v>235000.08</v>
          </cell>
        </row>
        <row r="103">
          <cell r="B103" t="str">
            <v>EAAA....AA</v>
          </cell>
          <cell r="C103" t="str">
            <v>0387603-CARD SVCS-EXECUTIVE ADMIN</v>
          </cell>
          <cell r="D103" t="str">
            <v>Raman,Sunder</v>
          </cell>
          <cell r="E103" t="str">
            <v>MX011</v>
          </cell>
          <cell r="F103" t="str">
            <v>Mkt Customer Info Mgt Exec</v>
          </cell>
          <cell r="G103" t="str">
            <v>H2</v>
          </cell>
          <cell r="H103" t="str">
            <v>BPIP</v>
          </cell>
          <cell r="I103">
            <v>275000</v>
          </cell>
        </row>
        <row r="104">
          <cell r="B104" t="str">
            <v>FTLAA...AB</v>
          </cell>
          <cell r="C104" t="str">
            <v>FLORIDA TRAN SERV - REGIONAL ADMIN.</v>
          </cell>
          <cell r="D104" t="str">
            <v>Potter,Marlene</v>
          </cell>
          <cell r="E104" t="str">
            <v>OX035</v>
          </cell>
          <cell r="F104" t="str">
            <v>Business Exec - Operations</v>
          </cell>
          <cell r="G104" t="str">
            <v>H2</v>
          </cell>
          <cell r="H104" t="str">
            <v>BPIP</v>
          </cell>
          <cell r="I104">
            <v>187556</v>
          </cell>
        </row>
        <row r="105">
          <cell r="B105" t="str">
            <v>HWOQEAA.AA</v>
          </cell>
          <cell r="C105" t="str">
            <v>CLSC NATIONWIDE ADMINISTRATION</v>
          </cell>
          <cell r="D105" t="str">
            <v>Kolsky,Alan H</v>
          </cell>
          <cell r="E105" t="str">
            <v>OL005</v>
          </cell>
          <cell r="F105" t="str">
            <v>Comm Loan Service Center Exec</v>
          </cell>
          <cell r="G105" t="str">
            <v>H2</v>
          </cell>
          <cell r="H105" t="str">
            <v>BPIP</v>
          </cell>
          <cell r="I105">
            <v>180000</v>
          </cell>
        </row>
        <row r="106">
          <cell r="B106" t="str">
            <v>AACF....AA</v>
          </cell>
          <cell r="C106" t="str">
            <v>ISSUES MANAGEMENT</v>
          </cell>
          <cell r="D106" t="str">
            <v>Cleghorn,John M</v>
          </cell>
          <cell r="E106" t="str">
            <v>EP003</v>
          </cell>
          <cell r="F106" t="str">
            <v>Issues Management Executive</v>
          </cell>
          <cell r="G106" t="str">
            <v>H2</v>
          </cell>
          <cell r="H106" t="str">
            <v>BPIP</v>
          </cell>
          <cell r="I106">
            <v>165000</v>
          </cell>
        </row>
        <row r="107">
          <cell r="B107" t="str">
            <v>HBHA....AB</v>
          </cell>
          <cell r="C107" t="str">
            <v>06162-BANK OF AMERICA(ASIA)LTD</v>
          </cell>
          <cell r="D107" t="str">
            <v>Tsien,Samuel</v>
          </cell>
          <cell r="E107" t="str">
            <v>RX031</v>
          </cell>
          <cell r="F107" t="str">
            <v>Asia Cons/Comml Banking Exec</v>
          </cell>
          <cell r="G107" t="str">
            <v>H2</v>
          </cell>
          <cell r="H107" t="str">
            <v>1CRMKT</v>
          </cell>
          <cell r="I107">
            <v>237869.84</v>
          </cell>
        </row>
        <row r="108">
          <cell r="B108" t="str">
            <v>FKFA....AA</v>
          </cell>
          <cell r="C108" t="str">
            <v>SHARED TECHNOLOGY SERVICES ADMIN</v>
          </cell>
          <cell r="D108" t="str">
            <v>Thrasher,Lee C</v>
          </cell>
          <cell r="E108" t="str">
            <v>TX002</v>
          </cell>
          <cell r="F108" t="str">
            <v>Business Exec - Technology</v>
          </cell>
          <cell r="G108" t="str">
            <v>H2</v>
          </cell>
          <cell r="H108" t="str">
            <v>BPIP</v>
          </cell>
          <cell r="I108">
            <v>185000</v>
          </cell>
        </row>
        <row r="109">
          <cell r="B109" t="str">
            <v>MAAA....ZZ</v>
          </cell>
          <cell r="C109" t="str">
            <v>GLOBAL TREASURY SERVICES ADMINISTRATION</v>
          </cell>
          <cell r="D109" t="str">
            <v>Christie,James C</v>
          </cell>
          <cell r="E109" t="str">
            <v>DP012</v>
          </cell>
          <cell r="F109" t="str">
            <v>Senior Credit Risk Mgt Exec</v>
          </cell>
          <cell r="G109" t="str">
            <v>H2</v>
          </cell>
          <cell r="H109" t="str">
            <v>BPIP</v>
          </cell>
          <cell r="I109">
            <v>180000</v>
          </cell>
        </row>
        <row r="110">
          <cell r="B110" t="str">
            <v>FKDA....AA</v>
          </cell>
          <cell r="C110" t="str">
            <v>CALL CENTER / CONTACT CENTER ADMIN</v>
          </cell>
          <cell r="D110" t="str">
            <v>Pataky,William John</v>
          </cell>
          <cell r="E110" t="str">
            <v>TX002</v>
          </cell>
          <cell r="F110" t="str">
            <v>Business Exec - Technology</v>
          </cell>
          <cell r="G110" t="str">
            <v>H2</v>
          </cell>
          <cell r="H110" t="str">
            <v>CCAM</v>
          </cell>
          <cell r="I110">
            <v>200000</v>
          </cell>
        </row>
        <row r="111">
          <cell r="B111" t="str">
            <v>TAIAAA..AA</v>
          </cell>
          <cell r="C111" t="str">
            <v>PB-INTL-ADMIN</v>
          </cell>
          <cell r="D111" t="str">
            <v>Aguirre Jr,Eduardo</v>
          </cell>
          <cell r="E111" t="str">
            <v>BW002</v>
          </cell>
          <cell r="F111" t="str">
            <v>President, Intl Private Bank</v>
          </cell>
          <cell r="G111" t="str">
            <v>H2</v>
          </cell>
          <cell r="H111" t="str">
            <v>PRCLGP</v>
          </cell>
          <cell r="I111">
            <v>175000</v>
          </cell>
        </row>
        <row r="112">
          <cell r="B112" t="str">
            <v>AFAAAUA.AE</v>
          </cell>
          <cell r="C112" t="str">
            <v>CCC SUPPORT - CHARLOTTE</v>
          </cell>
          <cell r="D112" t="str">
            <v>Schiebout,Marvin G</v>
          </cell>
          <cell r="E112" t="str">
            <v>DP012</v>
          </cell>
          <cell r="F112" t="str">
            <v>Senior Credit Risk Mgt Exec</v>
          </cell>
          <cell r="G112" t="str">
            <v>H2</v>
          </cell>
          <cell r="H112" t="str">
            <v>BPIP</v>
          </cell>
          <cell r="I112">
            <v>220000</v>
          </cell>
        </row>
        <row r="113">
          <cell r="B113" t="str">
            <v>AFABAAA.AC</v>
          </cell>
          <cell r="C113" t="str">
            <v>CONSUMER CRM - EXECUTIVE</v>
          </cell>
          <cell r="D113" t="str">
            <v>Allen,James M</v>
          </cell>
          <cell r="E113" t="str">
            <v>DP017</v>
          </cell>
          <cell r="F113" t="str">
            <v>Cons Sr Credit Risk Mgt Exec</v>
          </cell>
          <cell r="G113" t="str">
            <v>H2</v>
          </cell>
          <cell r="H113" t="str">
            <v>BPIP</v>
          </cell>
          <cell r="I113">
            <v>195000</v>
          </cell>
        </row>
        <row r="114">
          <cell r="B114" t="str">
            <v>FKSA....AA</v>
          </cell>
          <cell r="C114" t="str">
            <v>CARD SERVICES ADMIN</v>
          </cell>
          <cell r="D114" t="str">
            <v>Fox,Patrick E</v>
          </cell>
          <cell r="E114" t="str">
            <v>TX002</v>
          </cell>
          <cell r="F114" t="str">
            <v>Business Exec - Technology</v>
          </cell>
          <cell r="G114" t="str">
            <v>H2</v>
          </cell>
          <cell r="H114" t="str">
            <v>BPIP</v>
          </cell>
          <cell r="I114">
            <v>195000</v>
          </cell>
        </row>
        <row r="115">
          <cell r="B115" t="str">
            <v>AFPAYAA.AB</v>
          </cell>
          <cell r="C115" t="str">
            <v>GCIB AUDIT GROUP</v>
          </cell>
          <cell r="D115" t="str">
            <v>Roberge,Richard</v>
          </cell>
          <cell r="E115" t="str">
            <v>KA001</v>
          </cell>
          <cell r="F115" t="str">
            <v>Senior Audit Director</v>
          </cell>
          <cell r="G115" t="str">
            <v>H2</v>
          </cell>
          <cell r="H115" t="str">
            <v>BPIP</v>
          </cell>
          <cell r="I115">
            <v>185000.04</v>
          </cell>
        </row>
        <row r="116">
          <cell r="B116" t="str">
            <v>AMAA....AA</v>
          </cell>
          <cell r="C116" t="str">
            <v>MARKETING EXEC</v>
          </cell>
          <cell r="D116" t="str">
            <v>Hill,Joseph D</v>
          </cell>
          <cell r="E116" t="str">
            <v>MD003</v>
          </cell>
          <cell r="F116" t="str">
            <v>Mkt Bus Cust Group Mgt Exec</v>
          </cell>
          <cell r="G116" t="str">
            <v>H2</v>
          </cell>
          <cell r="H116" t="str">
            <v>CCAM</v>
          </cell>
          <cell r="I116">
            <v>240000</v>
          </cell>
        </row>
        <row r="117">
          <cell r="B117" t="str">
            <v>HBDSAWX.AG</v>
          </cell>
          <cell r="C117" t="str">
            <v>BALTIMORE/WASHINGTON CONSUMER ADM MD</v>
          </cell>
          <cell r="D117" t="str">
            <v>Dunleavy,Sandra M</v>
          </cell>
          <cell r="E117" t="str">
            <v>RX014</v>
          </cell>
          <cell r="F117" t="str">
            <v>Consumer Banking Executive</v>
          </cell>
          <cell r="G117" t="str">
            <v>H2</v>
          </cell>
          <cell r="H117" t="str">
            <v>CCAM</v>
          </cell>
          <cell r="I117">
            <v>145000</v>
          </cell>
        </row>
        <row r="118">
          <cell r="B118" t="str">
            <v>AGLKA...AC</v>
          </cell>
          <cell r="C118" t="str">
            <v>LEGAL - PERSONNEL ADVICE - SF</v>
          </cell>
          <cell r="D118" t="str">
            <v>Hoffman,Kenneth D</v>
          </cell>
          <cell r="E118" t="str">
            <v>LA002</v>
          </cell>
          <cell r="F118" t="str">
            <v>Attorney</v>
          </cell>
          <cell r="G118" t="str">
            <v>H2</v>
          </cell>
          <cell r="H118" t="str">
            <v>BPIP</v>
          </cell>
          <cell r="I118">
            <v>210000</v>
          </cell>
        </row>
        <row r="119">
          <cell r="B119" t="str">
            <v>AFAMA...AH</v>
          </cell>
          <cell r="C119" t="str">
            <v>COMMERCIAL RISK MGMT</v>
          </cell>
          <cell r="D119" t="str">
            <v>Schiff,Michael F</v>
          </cell>
          <cell r="E119" t="str">
            <v>DP012</v>
          </cell>
          <cell r="F119" t="str">
            <v>Senior Credit Risk Mgt Exec</v>
          </cell>
          <cell r="G119" t="str">
            <v>H2</v>
          </cell>
          <cell r="H119" t="str">
            <v>BPIP</v>
          </cell>
          <cell r="I119">
            <v>210000</v>
          </cell>
        </row>
        <row r="120">
          <cell r="B120" t="str">
            <v>AGCFL...AA</v>
          </cell>
          <cell r="C120" t="str">
            <v>E-COMMERCE FINANCE-CHARLOTTE</v>
          </cell>
          <cell r="D120" t="str">
            <v>Abrams,Elliott M</v>
          </cell>
          <cell r="E120" t="str">
            <v>FB013</v>
          </cell>
          <cell r="F120" t="str">
            <v>Sr Fin Mgr-T&amp;O/Staff Support</v>
          </cell>
          <cell r="G120" t="str">
            <v>H2</v>
          </cell>
          <cell r="H120" t="str">
            <v>BPIP</v>
          </cell>
          <cell r="I120">
            <v>180000.2</v>
          </cell>
        </row>
        <row r="121">
          <cell r="B121" t="str">
            <v>AFPGAA..AA</v>
          </cell>
          <cell r="C121" t="str">
            <v>CORPORATE RISK EVALUATION-EXECUTIVE</v>
          </cell>
          <cell r="D121" t="str">
            <v>Roller,Clyde L</v>
          </cell>
          <cell r="E121" t="str">
            <v>KX008</v>
          </cell>
          <cell r="F121" t="str">
            <v>Stability Executive</v>
          </cell>
          <cell r="G121" t="str">
            <v>H2</v>
          </cell>
          <cell r="H121" t="str">
            <v>BPIP</v>
          </cell>
          <cell r="I121">
            <v>185000</v>
          </cell>
        </row>
        <row r="122">
          <cell r="B122" t="str">
            <v>AMNA....AA</v>
          </cell>
          <cell r="C122" t="str">
            <v>CUSTOMER ANALYSIS MODELING AND RESEARCH</v>
          </cell>
          <cell r="D122" t="str">
            <v>Mayar,Vipin</v>
          </cell>
          <cell r="E122" t="str">
            <v>MX011</v>
          </cell>
          <cell r="F122" t="str">
            <v>Mkt Customer Info Mgt Exec</v>
          </cell>
          <cell r="G122" t="str">
            <v>H2</v>
          </cell>
          <cell r="H122" t="str">
            <v>CCAM</v>
          </cell>
          <cell r="I122">
            <v>225000</v>
          </cell>
        </row>
        <row r="123">
          <cell r="B123" t="str">
            <v>AGCTA...AA</v>
          </cell>
          <cell r="C123" t="str">
            <v>CORPORATE TAX ADMIN</v>
          </cell>
          <cell r="D123" t="str">
            <v>Andersen,Brent C</v>
          </cell>
          <cell r="E123" t="str">
            <v>FT002</v>
          </cell>
          <cell r="F123" t="str">
            <v>Sr Fin Mgr of Cons &amp; Comm Tax</v>
          </cell>
          <cell r="G123" t="str">
            <v>H2</v>
          </cell>
          <cell r="H123" t="str">
            <v>BPIP</v>
          </cell>
          <cell r="I123">
            <v>193000.16</v>
          </cell>
        </row>
        <row r="124">
          <cell r="B124" t="str">
            <v>LBWDAA..AC</v>
          </cell>
          <cell r="C124" t="str">
            <v>MKT MGT EXEC</v>
          </cell>
          <cell r="D124" t="str">
            <v>Woodruff,Douglas B</v>
          </cell>
          <cell r="E124" t="str">
            <v>BX021</v>
          </cell>
          <cell r="F124" t="str">
            <v>CDB National Market Executive</v>
          </cell>
          <cell r="G124" t="str">
            <v>H2</v>
          </cell>
          <cell r="H124" t="str">
            <v>CCAM</v>
          </cell>
          <cell r="I124">
            <v>200000</v>
          </cell>
        </row>
        <row r="125">
          <cell r="B125" t="str">
            <v>IBA.....AD</v>
          </cell>
          <cell r="C125" t="str">
            <v>CORPORATE TREASURY</v>
          </cell>
          <cell r="D125" t="str">
            <v>Jerome,Louis E</v>
          </cell>
          <cell r="E125" t="str">
            <v>XX020</v>
          </cell>
          <cell r="F125" t="str">
            <v>Balance Sheet Measurement Exec</v>
          </cell>
          <cell r="G125" t="str">
            <v>H2</v>
          </cell>
          <cell r="H125" t="str">
            <v>CORTRE</v>
          </cell>
          <cell r="I125">
            <v>160000</v>
          </cell>
        </row>
        <row r="126">
          <cell r="B126" t="str">
            <v>AGCCA...AA</v>
          </cell>
          <cell r="C126" t="str">
            <v>ACCOUNTING POLICY EXEC</v>
          </cell>
          <cell r="D126" t="str">
            <v>Rupp,Lorie K</v>
          </cell>
          <cell r="E126" t="str">
            <v>FB016</v>
          </cell>
          <cell r="F126" t="str">
            <v>Sr Fin Mgr-Financial Analysis</v>
          </cell>
          <cell r="G126" t="str">
            <v>H2</v>
          </cell>
          <cell r="H126" t="str">
            <v>BPIP</v>
          </cell>
          <cell r="I126">
            <v>155000</v>
          </cell>
        </row>
        <row r="127">
          <cell r="B127" t="str">
            <v>AMAA....AA</v>
          </cell>
          <cell r="C127" t="str">
            <v>MARKETING EXEC</v>
          </cell>
          <cell r="D127" t="str">
            <v>Warren,Robin K</v>
          </cell>
          <cell r="E127" t="str">
            <v>MX013</v>
          </cell>
          <cell r="F127" t="str">
            <v>Privacy Executive</v>
          </cell>
          <cell r="G127" t="str">
            <v>H2</v>
          </cell>
          <cell r="H127" t="str">
            <v>CCAM</v>
          </cell>
          <cell r="I127">
            <v>215000</v>
          </cell>
        </row>
        <row r="128">
          <cell r="B128" t="str">
            <v>MBAA....AE</v>
          </cell>
          <cell r="C128" t="str">
            <v>TREASURY MANAGEMENT SERVICES-OPERATIONS</v>
          </cell>
          <cell r="D128" t="str">
            <v>Fitzpatrick,Gail J</v>
          </cell>
          <cell r="E128" t="str">
            <v>OX035</v>
          </cell>
          <cell r="F128" t="str">
            <v>Business Exec - Operations</v>
          </cell>
          <cell r="G128" t="str">
            <v>H2</v>
          </cell>
          <cell r="H128" t="str">
            <v>BPIP</v>
          </cell>
          <cell r="I128">
            <v>170000.04</v>
          </cell>
        </row>
        <row r="129">
          <cell r="B129" t="str">
            <v>FKCA....AB</v>
          </cell>
          <cell r="C129" t="str">
            <v>ECOMMERCE TECHNOLOGY ADMIN. - NC</v>
          </cell>
          <cell r="D129" t="str">
            <v>White,David M</v>
          </cell>
          <cell r="E129" t="str">
            <v>TX002</v>
          </cell>
          <cell r="F129" t="str">
            <v>Business Exec - Technology</v>
          </cell>
          <cell r="G129" t="str">
            <v>H2</v>
          </cell>
          <cell r="H129" t="str">
            <v>BPIP</v>
          </cell>
          <cell r="I129">
            <v>150000</v>
          </cell>
        </row>
        <row r="130">
          <cell r="B130" t="str">
            <v>YDBFBC..AC</v>
          </cell>
          <cell r="C130" t="str">
            <v>S B E-COMMERCE PORTAL MGMT WEST</v>
          </cell>
          <cell r="D130" t="str">
            <v>Anzenberger,Michael J</v>
          </cell>
          <cell r="E130" t="str">
            <v>MC006</v>
          </cell>
          <cell r="F130" t="str">
            <v>Channel Strategy &amp; Dev Exec</v>
          </cell>
          <cell r="G130" t="str">
            <v>H2</v>
          </cell>
          <cell r="H130" t="str">
            <v>BPIP</v>
          </cell>
          <cell r="I130">
            <v>185000.04</v>
          </cell>
        </row>
        <row r="131">
          <cell r="B131" t="str">
            <v>QRAD....AA</v>
          </cell>
          <cell r="C131" t="str">
            <v>FOCUS</v>
          </cell>
          <cell r="D131" t="str">
            <v>Grad,Michael D</v>
          </cell>
          <cell r="E131" t="str">
            <v>NX002</v>
          </cell>
          <cell r="F131" t="str">
            <v>Change Exec-Process Design Res</v>
          </cell>
          <cell r="G131" t="str">
            <v>H2</v>
          </cell>
          <cell r="H131" t="str">
            <v>BPIP</v>
          </cell>
          <cell r="I131">
            <v>210000</v>
          </cell>
        </row>
        <row r="132">
          <cell r="B132" t="str">
            <v>FETA....AA</v>
          </cell>
          <cell r="C132" t="str">
            <v>BUSINESS TRANSFORMATION EXECUTIVES</v>
          </cell>
          <cell r="D132" t="str">
            <v>Harvie,Lauretta C</v>
          </cell>
          <cell r="E132" t="str">
            <v>NA016</v>
          </cell>
          <cell r="F132" t="str">
            <v>Senior Change Mgmt Exec</v>
          </cell>
          <cell r="G132" t="str">
            <v>H2</v>
          </cell>
          <cell r="H132" t="str">
            <v>BPIP</v>
          </cell>
          <cell r="I132">
            <v>200000</v>
          </cell>
        </row>
        <row r="133">
          <cell r="B133" t="str">
            <v>AGPAW...AA</v>
          </cell>
          <cell r="C133" t="str">
            <v>PROCUREMENT ADMIN - WEST</v>
          </cell>
          <cell r="D133" t="str">
            <v>Nettell,Richard F</v>
          </cell>
          <cell r="E133" t="str">
            <v>JX002</v>
          </cell>
          <cell r="F133" t="str">
            <v>Corporate Services Executive</v>
          </cell>
          <cell r="G133" t="str">
            <v>H2</v>
          </cell>
          <cell r="H133" t="str">
            <v>BPIP</v>
          </cell>
          <cell r="I133">
            <v>159999.96</v>
          </cell>
        </row>
        <row r="134">
          <cell r="B134" t="str">
            <v>AGCTA...AA</v>
          </cell>
          <cell r="C134" t="str">
            <v>CORPORATE TAX ADMIN</v>
          </cell>
          <cell r="D134" t="str">
            <v>Smith,David R</v>
          </cell>
          <cell r="E134" t="str">
            <v>FT004</v>
          </cell>
          <cell r="F134" t="str">
            <v>Sr Financial Mgr of GCIB Tax</v>
          </cell>
          <cell r="G134" t="str">
            <v>H2</v>
          </cell>
          <cell r="H134" t="str">
            <v>BPIP</v>
          </cell>
          <cell r="I134">
            <v>188000</v>
          </cell>
        </row>
        <row r="135">
          <cell r="B135" t="str">
            <v>FBHA....AB</v>
          </cell>
          <cell r="C135" t="str">
            <v>E-SOLUTIONS DELIVERY ADMIN</v>
          </cell>
          <cell r="D135" t="str">
            <v>Opper,David R</v>
          </cell>
          <cell r="E135" t="str">
            <v>TX002</v>
          </cell>
          <cell r="F135" t="str">
            <v>Business Exec - Technology</v>
          </cell>
          <cell r="G135" t="str">
            <v>H2</v>
          </cell>
          <cell r="H135" t="str">
            <v>BPIP</v>
          </cell>
          <cell r="I135">
            <v>225000</v>
          </cell>
        </row>
        <row r="136">
          <cell r="B136" t="str">
            <v>AFAMA...AI</v>
          </cell>
          <cell r="C136" t="str">
            <v>COMMERCIAL RISK MGMT</v>
          </cell>
          <cell r="D136" t="str">
            <v>Suedekum,Ron N</v>
          </cell>
          <cell r="E136" t="str">
            <v>DP012</v>
          </cell>
          <cell r="F136" t="str">
            <v>Senior Credit Risk Mgt Exec</v>
          </cell>
          <cell r="G136" t="str">
            <v>H2</v>
          </cell>
          <cell r="H136" t="str">
            <v>BPIP</v>
          </cell>
          <cell r="I136">
            <v>185000</v>
          </cell>
        </row>
        <row r="137">
          <cell r="B137" t="str">
            <v>FKBB....AA</v>
          </cell>
          <cell r="C137" t="str">
            <v>CONSUMER PRODUCTS ADMIN</v>
          </cell>
          <cell r="D137" t="str">
            <v>Salazar,John</v>
          </cell>
          <cell r="E137" t="str">
            <v>NX003</v>
          </cell>
          <cell r="F137" t="str">
            <v>Change Exec-Process Design</v>
          </cell>
          <cell r="G137" t="str">
            <v>H2</v>
          </cell>
          <cell r="H137" t="str">
            <v>BPIP</v>
          </cell>
          <cell r="I137">
            <v>210000</v>
          </cell>
        </row>
        <row r="138">
          <cell r="B138" t="str">
            <v>AGCCA...AA</v>
          </cell>
          <cell r="C138" t="str">
            <v>ACCOUNTING POLICY EXEC</v>
          </cell>
          <cell r="D138" t="str">
            <v>Fitzpatrick,Leslie J</v>
          </cell>
          <cell r="E138" t="str">
            <v>FB011</v>
          </cell>
          <cell r="F138" t="str">
            <v>Sr Fin Mgr-Asset Securitizatn</v>
          </cell>
          <cell r="G138" t="str">
            <v>H2</v>
          </cell>
          <cell r="H138" t="str">
            <v>BPIP</v>
          </cell>
          <cell r="I138">
            <v>141500.20000000001</v>
          </cell>
        </row>
        <row r="139">
          <cell r="B139" t="str">
            <v>FTNAS...AB</v>
          </cell>
          <cell r="C139" t="str">
            <v>07772-TRANS SVCS SO CAL ADMIN</v>
          </cell>
          <cell r="D139" t="str">
            <v>Trade,David M</v>
          </cell>
          <cell r="E139" t="str">
            <v>OX035</v>
          </cell>
          <cell r="F139" t="str">
            <v>Business Exec - Operations</v>
          </cell>
          <cell r="G139" t="str">
            <v>H2</v>
          </cell>
          <cell r="H139" t="str">
            <v>BPIP</v>
          </cell>
          <cell r="I139">
            <v>185000.04</v>
          </cell>
        </row>
        <row r="140">
          <cell r="B140" t="str">
            <v>AFAMA...AC</v>
          </cell>
          <cell r="C140" t="str">
            <v>COMMERCIAL RISK MANAGEMENT</v>
          </cell>
          <cell r="D140" t="str">
            <v>Ryan,Steven J</v>
          </cell>
          <cell r="E140" t="str">
            <v>DP012</v>
          </cell>
          <cell r="F140" t="str">
            <v>Senior Credit Risk Mgt Exec</v>
          </cell>
          <cell r="G140" t="str">
            <v>H2</v>
          </cell>
          <cell r="H140" t="str">
            <v>BPIP</v>
          </cell>
          <cell r="I140">
            <v>170000.04</v>
          </cell>
        </row>
        <row r="141">
          <cell r="B141" t="str">
            <v>AFPAEA..AE</v>
          </cell>
          <cell r="C141" t="str">
            <v>CONSUMER / COMMERCIAL BANK AUDIT-ADMIN</v>
          </cell>
          <cell r="D141" t="str">
            <v>Fail,Peter M</v>
          </cell>
          <cell r="E141" t="str">
            <v>KA001</v>
          </cell>
          <cell r="F141" t="str">
            <v>Senior Audit Director</v>
          </cell>
          <cell r="G141" t="str">
            <v>H2</v>
          </cell>
          <cell r="H141" t="str">
            <v>BPIP</v>
          </cell>
          <cell r="I141">
            <v>175000</v>
          </cell>
        </row>
        <row r="142">
          <cell r="B142" t="str">
            <v>AGCIBA..AA</v>
          </cell>
          <cell r="C142" t="str">
            <v>CONS/COMM ADMIN</v>
          </cell>
          <cell r="D142" t="str">
            <v>Major,George W</v>
          </cell>
          <cell r="E142" t="str">
            <v>FB015</v>
          </cell>
          <cell r="F142" t="str">
            <v>Sr Fin Mgr of Cons &amp; Comm_Bank</v>
          </cell>
          <cell r="G142" t="str">
            <v>H2</v>
          </cell>
          <cell r="H142" t="str">
            <v>BPIP</v>
          </cell>
          <cell r="I142">
            <v>160000</v>
          </cell>
        </row>
        <row r="143">
          <cell r="B143" t="str">
            <v>MBDAAS..BA</v>
          </cell>
          <cell r="C143" t="str">
            <v>LOCKBOX SERVICES/CTD SUPPORT - ADMIN</v>
          </cell>
          <cell r="D143" t="str">
            <v>Sanders,Donald R</v>
          </cell>
          <cell r="E143" t="str">
            <v>OX035</v>
          </cell>
          <cell r="F143" t="str">
            <v>Business Exec - Operations</v>
          </cell>
          <cell r="G143" t="str">
            <v>H2</v>
          </cell>
          <cell r="H143" t="str">
            <v>BPIP</v>
          </cell>
          <cell r="I143">
            <v>170000</v>
          </cell>
        </row>
        <row r="144">
          <cell r="B144" t="str">
            <v>FSZA....AB</v>
          </cell>
          <cell r="C144" t="str">
            <v>TSG - ADMIN</v>
          </cell>
          <cell r="D144" t="str">
            <v>Lane,John J</v>
          </cell>
          <cell r="E144" t="str">
            <v>TX002</v>
          </cell>
          <cell r="F144" t="str">
            <v>Business Exec - Technology</v>
          </cell>
          <cell r="G144" t="str">
            <v>H2</v>
          </cell>
          <cell r="H144" t="str">
            <v>BPIP</v>
          </cell>
          <cell r="I144">
            <v>315000</v>
          </cell>
        </row>
        <row r="145">
          <cell r="B145" t="str">
            <v>FTMAA...AB</v>
          </cell>
          <cell r="C145" t="str">
            <v>13859-CUST SVC SUPPT OPS ADMIN</v>
          </cell>
          <cell r="D145" t="str">
            <v>Arias,Roman M</v>
          </cell>
          <cell r="E145" t="str">
            <v>OX035</v>
          </cell>
          <cell r="F145" t="str">
            <v>Business Exec - Operations</v>
          </cell>
          <cell r="G145" t="str">
            <v>H2</v>
          </cell>
          <cell r="H145" t="str">
            <v>BPIP</v>
          </cell>
          <cell r="I145">
            <v>175000.08</v>
          </cell>
        </row>
        <row r="146">
          <cell r="B146" t="str">
            <v>AFAMA...AK</v>
          </cell>
          <cell r="C146" t="str">
            <v>COMMERCIAL RISK MANAGEMENT</v>
          </cell>
          <cell r="D146" t="str">
            <v>Wolf,Craig K</v>
          </cell>
          <cell r="E146" t="str">
            <v>DP012</v>
          </cell>
          <cell r="F146" t="str">
            <v>Senior Credit Risk Mgt Exec</v>
          </cell>
          <cell r="G146" t="str">
            <v>H2</v>
          </cell>
          <cell r="H146" t="str">
            <v>BPIP</v>
          </cell>
          <cell r="I146">
            <v>180000</v>
          </cell>
        </row>
        <row r="147">
          <cell r="B147" t="str">
            <v>AMAA....AB</v>
          </cell>
          <cell r="C147" t="str">
            <v>MARKETING EXEC-CA</v>
          </cell>
          <cell r="D147" t="str">
            <v>Brinkmann,Jean A</v>
          </cell>
          <cell r="E147" t="str">
            <v>MD003</v>
          </cell>
          <cell r="F147" t="str">
            <v>Mkt Bus Cust Group Mgt Exec</v>
          </cell>
          <cell r="G147" t="str">
            <v>H2</v>
          </cell>
          <cell r="H147" t="str">
            <v>CCAM</v>
          </cell>
          <cell r="I147">
            <v>160000.07999999999</v>
          </cell>
        </row>
        <row r="148">
          <cell r="B148" t="str">
            <v>HBFTW...AB</v>
          </cell>
          <cell r="C148" t="str">
            <v>20472 - SO CALIF PREMIER BANKING ADMIN</v>
          </cell>
          <cell r="D148" t="str">
            <v>Dinsmore,Bradford R</v>
          </cell>
          <cell r="E148" t="str">
            <v>BX012</v>
          </cell>
          <cell r="F148" t="str">
            <v>Premier Banking Executive II</v>
          </cell>
          <cell r="G148" t="str">
            <v>H2</v>
          </cell>
          <cell r="H148" t="str">
            <v>CCAM</v>
          </cell>
          <cell r="I148">
            <v>165000</v>
          </cell>
        </row>
        <row r="149">
          <cell r="B149" t="str">
            <v>AACB....AA</v>
          </cell>
          <cell r="C149" t="str">
            <v>ASSOCIATE COMMUNICATIONS</v>
          </cell>
          <cell r="D149" t="str">
            <v>Davis,Peter V</v>
          </cell>
          <cell r="E149" t="str">
            <v>ER004</v>
          </cell>
          <cell r="F149" t="str">
            <v>Associate Communications Exec</v>
          </cell>
          <cell r="G149" t="str">
            <v>H2</v>
          </cell>
          <cell r="H149" t="str">
            <v>BPIP</v>
          </cell>
          <cell r="I149">
            <v>180000.16</v>
          </cell>
        </row>
        <row r="150">
          <cell r="B150" t="str">
            <v>FEEWA...AC</v>
          </cell>
          <cell r="C150" t="str">
            <v>INFRASTRUCTURE CHANGE PROJECT OFFICE</v>
          </cell>
          <cell r="D150" t="str">
            <v>Ricci,Jerome B</v>
          </cell>
          <cell r="E150" t="str">
            <v>NA016</v>
          </cell>
          <cell r="F150" t="str">
            <v>Senior Change Mgmt Exec</v>
          </cell>
          <cell r="G150" t="str">
            <v>H2</v>
          </cell>
          <cell r="H150" t="str">
            <v>BPIP</v>
          </cell>
          <cell r="I150">
            <v>185000</v>
          </cell>
        </row>
        <row r="151">
          <cell r="B151" t="str">
            <v>MBCHB...AA</v>
          </cell>
          <cell r="C151" t="str">
            <v>ACH/EDI ADMIN</v>
          </cell>
          <cell r="D151" t="str">
            <v>Paulette,Michael W</v>
          </cell>
          <cell r="E151" t="str">
            <v>OX035</v>
          </cell>
          <cell r="F151" t="str">
            <v>Business Exec - Operations</v>
          </cell>
          <cell r="G151" t="str">
            <v>H2</v>
          </cell>
          <cell r="H151" t="str">
            <v>BPIP</v>
          </cell>
          <cell r="I151">
            <v>180000</v>
          </cell>
        </row>
        <row r="152">
          <cell r="B152" t="str">
            <v>AGLFA...AA</v>
          </cell>
          <cell r="C152" t="str">
            <v>LEGAL-FINANCIAL SERVICES-ATLANTA</v>
          </cell>
          <cell r="D152" t="str">
            <v>Blanchard,Gerald L</v>
          </cell>
          <cell r="E152" t="str">
            <v>LA002</v>
          </cell>
          <cell r="F152" t="str">
            <v>Attorney</v>
          </cell>
          <cell r="G152" t="str">
            <v>H2</v>
          </cell>
          <cell r="H152" t="str">
            <v>BPIP</v>
          </cell>
          <cell r="I152">
            <v>180000</v>
          </cell>
        </row>
        <row r="153">
          <cell r="B153" t="str">
            <v>AGLLA...AM</v>
          </cell>
          <cell r="C153" t="str">
            <v>LEGAL-CRES / RETAIL OPS /T MGMT-SF</v>
          </cell>
          <cell r="D153" t="str">
            <v>Krieg,Steven D</v>
          </cell>
          <cell r="E153" t="str">
            <v>LA002</v>
          </cell>
          <cell r="F153" t="str">
            <v>Attorney</v>
          </cell>
          <cell r="G153" t="str">
            <v>H2</v>
          </cell>
          <cell r="H153" t="str">
            <v>BPIP</v>
          </cell>
          <cell r="I153">
            <v>180000</v>
          </cell>
        </row>
        <row r="154">
          <cell r="B154" t="str">
            <v>AACE....AA</v>
          </cell>
          <cell r="C154" t="str">
            <v>FEDERAL AND INTERNATIONAL RELATIONS</v>
          </cell>
          <cell r="D154" t="str">
            <v>Leggett,James Mark</v>
          </cell>
          <cell r="E154" t="str">
            <v>EF001</v>
          </cell>
          <cell r="F154" t="str">
            <v>Federal Lobbyist Executive</v>
          </cell>
          <cell r="G154" t="str">
            <v>H2</v>
          </cell>
          <cell r="H154" t="str">
            <v>BPIP</v>
          </cell>
          <cell r="I154">
            <v>210000.16</v>
          </cell>
        </row>
        <row r="155">
          <cell r="B155" t="str">
            <v>HBEUCW..AF</v>
          </cell>
          <cell r="C155" t="str">
            <v>04907-AZ SMALL BUSINESS ADMIN/OTHER</v>
          </cell>
          <cell r="D155" t="str">
            <v>Almanza,Benito C</v>
          </cell>
          <cell r="E155" t="str">
            <v>BX013</v>
          </cell>
          <cell r="F155" t="str">
            <v>Small Business Banking Exec II</v>
          </cell>
          <cell r="G155" t="str">
            <v>H2</v>
          </cell>
          <cell r="H155" t="str">
            <v>CCAM</v>
          </cell>
          <cell r="I155">
            <v>150000</v>
          </cell>
        </row>
        <row r="156">
          <cell r="B156" t="str">
            <v>AGPAE...AA</v>
          </cell>
          <cell r="C156" t="str">
            <v>PROCUREMENT ADMIN</v>
          </cell>
          <cell r="D156" t="str">
            <v>Venzon,Laurie</v>
          </cell>
          <cell r="E156" t="str">
            <v>FX006</v>
          </cell>
          <cell r="F156" t="str">
            <v>Strategic Sourcing Executive</v>
          </cell>
          <cell r="G156" t="str">
            <v>H2</v>
          </cell>
          <cell r="H156" t="str">
            <v>BPIP</v>
          </cell>
          <cell r="I156">
            <v>145000</v>
          </cell>
        </row>
        <row r="157">
          <cell r="B157" t="str">
            <v>AGCCF...AA</v>
          </cell>
          <cell r="C157" t="str">
            <v>STAFF SUPPORT-ADMIN</v>
          </cell>
          <cell r="D157" t="str">
            <v>Rupp,David H</v>
          </cell>
          <cell r="E157" t="str">
            <v>FB013</v>
          </cell>
          <cell r="F157" t="str">
            <v>Sr Fin Mgr-T&amp;O/Staff Support</v>
          </cell>
          <cell r="G157" t="str">
            <v>H2</v>
          </cell>
          <cell r="H157" t="str">
            <v>BPIP</v>
          </cell>
          <cell r="I157">
            <v>155000</v>
          </cell>
        </row>
        <row r="158">
          <cell r="B158" t="str">
            <v>EANA....AA</v>
          </cell>
          <cell r="C158" t="str">
            <v>NST-ADMIN-N CAROLINA</v>
          </cell>
          <cell r="D158" t="str">
            <v>Sykes Jr,Edward F</v>
          </cell>
          <cell r="E158" t="str">
            <v>BF003</v>
          </cell>
          <cell r="F158" t="str">
            <v>Commercial Card Svcs Executive</v>
          </cell>
          <cell r="G158" t="str">
            <v>H2</v>
          </cell>
          <cell r="H158" t="str">
            <v>CRDKY2</v>
          </cell>
          <cell r="I158">
            <v>165000</v>
          </cell>
        </row>
        <row r="159">
          <cell r="B159" t="str">
            <v>AFPDAA..AA</v>
          </cell>
          <cell r="C159" t="str">
            <v>WEALTH MANAGEMENT COMPLIANCE-GA</v>
          </cell>
          <cell r="D159" t="str">
            <v>Walsh,William T</v>
          </cell>
          <cell r="E159" t="str">
            <v>KC001</v>
          </cell>
          <cell r="F159" t="str">
            <v>Corporate Compliance Executive</v>
          </cell>
          <cell r="G159" t="str">
            <v>H2</v>
          </cell>
          <cell r="H159" t="str">
            <v>BPIP</v>
          </cell>
          <cell r="I159">
            <v>200000</v>
          </cell>
        </row>
        <row r="160">
          <cell r="B160" t="str">
            <v>HBEEGBDAAA</v>
          </cell>
          <cell r="C160" t="str">
            <v>08934-NEVADA COMMERCIAL ADMIN</v>
          </cell>
          <cell r="D160" t="str">
            <v>Smith,George W</v>
          </cell>
          <cell r="E160" t="str">
            <v>BX011</v>
          </cell>
          <cell r="F160" t="str">
            <v>Commercial Banking Executive</v>
          </cell>
          <cell r="G160" t="str">
            <v>H2</v>
          </cell>
          <cell r="H160" t="str">
            <v>NVCOML</v>
          </cell>
          <cell r="I160">
            <v>184992</v>
          </cell>
        </row>
        <row r="161">
          <cell r="B161" t="str">
            <v>TAJFAA..AB</v>
          </cell>
          <cell r="C161" t="str">
            <v>PB-PBC-ADMIN-EXEC</v>
          </cell>
          <cell r="D161" t="str">
            <v>Dowling,George M</v>
          </cell>
          <cell r="E161" t="str">
            <v>BW004</v>
          </cell>
          <cell r="F161" t="str">
            <v>Private Bank Center Sr Exec</v>
          </cell>
          <cell r="G161" t="str">
            <v>H2</v>
          </cell>
          <cell r="H161" t="str">
            <v>PRCLGP</v>
          </cell>
          <cell r="I161">
            <v>155000</v>
          </cell>
        </row>
        <row r="162">
          <cell r="B162" t="str">
            <v>AGCSC...AA</v>
          </cell>
          <cell r="C162" t="str">
            <v>PROF AND FIN RPTG INTERGRATION - EAST</v>
          </cell>
          <cell r="D162" t="str">
            <v>Kieschnick,Randolph</v>
          </cell>
          <cell r="E162" t="str">
            <v>FB014</v>
          </cell>
          <cell r="F162" t="str">
            <v>Sr Fin Mgr, Profitability Inte</v>
          </cell>
          <cell r="G162" t="str">
            <v>H2</v>
          </cell>
          <cell r="H162" t="str">
            <v>BPIP</v>
          </cell>
          <cell r="I162">
            <v>150000.32000000001</v>
          </cell>
        </row>
        <row r="163">
          <cell r="B163" t="str">
            <v>AGCHCA..AJ</v>
          </cell>
          <cell r="C163" t="str">
            <v>FIN PROD-ADMIN SUPPORT</v>
          </cell>
          <cell r="D163" t="str">
            <v>Schappert,Terry L</v>
          </cell>
          <cell r="E163" t="str">
            <v>FB019</v>
          </cell>
          <cell r="F163" t="str">
            <v>Sr Fin Mgr of Card Services</v>
          </cell>
          <cell r="G163" t="str">
            <v>H2</v>
          </cell>
          <cell r="H163" t="str">
            <v>BPIP</v>
          </cell>
          <cell r="I163">
            <v>165000</v>
          </cell>
        </row>
        <row r="164">
          <cell r="B164" t="str">
            <v>AFEAA...AG</v>
          </cell>
          <cell r="C164" t="str">
            <v>RMIT - RISK MGMT INFO AND TECH</v>
          </cell>
          <cell r="D164" t="str">
            <v>Yeoh,H H</v>
          </cell>
          <cell r="E164" t="str">
            <v>DE002</v>
          </cell>
          <cell r="F164" t="str">
            <v>Credit Review Group Manager</v>
          </cell>
          <cell r="G164" t="str">
            <v>H2</v>
          </cell>
          <cell r="H164" t="str">
            <v>BPIP</v>
          </cell>
          <cell r="I164">
            <v>158547.96</v>
          </cell>
        </row>
        <row r="165">
          <cell r="B165" t="str">
            <v>AACCJ...AB</v>
          </cell>
          <cell r="C165" t="str">
            <v>COMMUNICATIONS SERVICES</v>
          </cell>
          <cell r="D165" t="str">
            <v>Zampa,Michael A</v>
          </cell>
          <cell r="E165" t="str">
            <v>ER003</v>
          </cell>
          <cell r="F165" t="str">
            <v>Communications Services Exec</v>
          </cell>
          <cell r="G165" t="str">
            <v>H2</v>
          </cell>
          <cell r="H165" t="str">
            <v>BPIP</v>
          </cell>
          <cell r="I165">
            <v>150000</v>
          </cell>
        </row>
        <row r="166">
          <cell r="B166" t="str">
            <v>AGLDA...AD</v>
          </cell>
          <cell r="C166" t="str">
            <v>LEGAL-ASSET MGMT-DALLAS</v>
          </cell>
          <cell r="D166" t="str">
            <v>Abel,Terry Ruth</v>
          </cell>
          <cell r="E166" t="str">
            <v>LA002</v>
          </cell>
          <cell r="F166" t="str">
            <v>Attorney</v>
          </cell>
          <cell r="G166" t="str">
            <v>H2</v>
          </cell>
          <cell r="H166" t="str">
            <v>BPIP</v>
          </cell>
          <cell r="I166">
            <v>185000</v>
          </cell>
        </row>
        <row r="167">
          <cell r="B167" t="str">
            <v>FTYA....AA</v>
          </cell>
          <cell r="C167" t="str">
            <v>TS-AS-EXECUTIVE ADMIN</v>
          </cell>
          <cell r="D167" t="str">
            <v>Norris,Timothy P</v>
          </cell>
          <cell r="E167" t="str">
            <v>OX033</v>
          </cell>
          <cell r="F167" t="str">
            <v>Business Exec - Tech &amp; Ops</v>
          </cell>
          <cell r="G167" t="str">
            <v>H2</v>
          </cell>
          <cell r="H167" t="str">
            <v>BPIP</v>
          </cell>
          <cell r="I167">
            <v>175000</v>
          </cell>
        </row>
        <row r="168">
          <cell r="B168" t="str">
            <v>AGCHBAA.AR</v>
          </cell>
          <cell r="C168" t="str">
            <v>MORTGAGE CONTROL ADMIN</v>
          </cell>
          <cell r="D168" t="str">
            <v>Sawyer,Denise C</v>
          </cell>
          <cell r="E168" t="str">
            <v>FB017</v>
          </cell>
          <cell r="F168" t="str">
            <v>Sr Fin Mgr of Mortgage</v>
          </cell>
          <cell r="G168" t="str">
            <v>H2</v>
          </cell>
          <cell r="H168" t="str">
            <v>BPIP</v>
          </cell>
          <cell r="I168">
            <v>195000</v>
          </cell>
        </row>
        <row r="169">
          <cell r="B169" t="str">
            <v>FSZB....AF</v>
          </cell>
          <cell r="C169" t="str">
            <v>ITS ADMIN 1</v>
          </cell>
          <cell r="D169" t="str">
            <v>Folland,John</v>
          </cell>
          <cell r="E169" t="str">
            <v>TX002</v>
          </cell>
          <cell r="F169" t="str">
            <v>Business Exec - Technology</v>
          </cell>
          <cell r="G169" t="str">
            <v>H2</v>
          </cell>
          <cell r="H169" t="str">
            <v>BPIP</v>
          </cell>
          <cell r="I169">
            <v>216349.08</v>
          </cell>
        </row>
        <row r="170">
          <cell r="B170" t="str">
            <v>AFPDBA..AA</v>
          </cell>
          <cell r="C170" t="str">
            <v>CCCCB-BANKING</v>
          </cell>
          <cell r="D170" t="str">
            <v>Laight,Kimberly</v>
          </cell>
          <cell r="E170" t="str">
            <v>KC001</v>
          </cell>
          <cell r="F170" t="str">
            <v>Corporate Compliance Executive</v>
          </cell>
          <cell r="G170" t="str">
            <v>H2</v>
          </cell>
          <cell r="H170" t="str">
            <v>BPIP</v>
          </cell>
          <cell r="I170">
            <v>175000</v>
          </cell>
        </row>
        <row r="171">
          <cell r="B171" t="str">
            <v>PBE.....AA</v>
          </cell>
          <cell r="C171" t="str">
            <v>EXECUTIVE ADMINISTRATION</v>
          </cell>
          <cell r="D171" t="str">
            <v>Watt,Terry W</v>
          </cell>
          <cell r="E171" t="str">
            <v>KX007</v>
          </cell>
          <cell r="F171" t="str">
            <v>Corporate Security Executive</v>
          </cell>
          <cell r="G171" t="str">
            <v>H2</v>
          </cell>
          <cell r="H171" t="str">
            <v>BPIP</v>
          </cell>
          <cell r="I171">
            <v>170000</v>
          </cell>
        </row>
        <row r="172">
          <cell r="B172" t="str">
            <v>FTKAA...AC</v>
          </cell>
          <cell r="C172" t="str">
            <v>32417-NW REGION TRAN SVCS ADMIN</v>
          </cell>
          <cell r="D172" t="str">
            <v>Depriest,Reah</v>
          </cell>
          <cell r="E172" t="str">
            <v>OX035</v>
          </cell>
          <cell r="F172" t="str">
            <v>Business Exec - Operations</v>
          </cell>
          <cell r="G172" t="str">
            <v>H2</v>
          </cell>
          <cell r="H172" t="str">
            <v>BPIP</v>
          </cell>
          <cell r="I172">
            <v>180000</v>
          </cell>
        </row>
        <row r="173">
          <cell r="B173" t="str">
            <v>FKRA....AB</v>
          </cell>
          <cell r="C173" t="str">
            <v>CCBS - CONSUMER FINANCE ADMIN</v>
          </cell>
          <cell r="D173" t="str">
            <v>Jennings,Clyde Thomas</v>
          </cell>
          <cell r="E173" t="str">
            <v>TX002</v>
          </cell>
          <cell r="F173" t="str">
            <v>Business Exec - Technology</v>
          </cell>
          <cell r="G173" t="str">
            <v>H2</v>
          </cell>
          <cell r="H173" t="str">
            <v>BPIP</v>
          </cell>
          <cell r="I173">
            <v>190000</v>
          </cell>
        </row>
        <row r="174">
          <cell r="B174" t="str">
            <v>EAAA....AA</v>
          </cell>
          <cell r="C174" t="str">
            <v>0387603-CARD SVCS-EXECUTIVE ADMIN</v>
          </cell>
          <cell r="D174" t="str">
            <v>Skelton,Clifford A</v>
          </cell>
          <cell r="E174" t="str">
            <v>RX030</v>
          </cell>
          <cell r="F174" t="str">
            <v>BACS Government Executive</v>
          </cell>
          <cell r="G174" t="str">
            <v>H2</v>
          </cell>
          <cell r="H174" t="str">
            <v>CRDKY2</v>
          </cell>
          <cell r="I174">
            <v>180000</v>
          </cell>
        </row>
        <row r="175">
          <cell r="B175" t="str">
            <v>AFAMA...AL</v>
          </cell>
          <cell r="C175" t="str">
            <v>COMMERCIAL CREDIT EXEC</v>
          </cell>
          <cell r="D175" t="str">
            <v>Weil,Michael</v>
          </cell>
          <cell r="E175" t="str">
            <v>DP012</v>
          </cell>
          <cell r="F175" t="str">
            <v>Senior Credit Risk Mgt Exec</v>
          </cell>
          <cell r="G175" t="str">
            <v>H2</v>
          </cell>
          <cell r="H175" t="str">
            <v>GBSPAS</v>
          </cell>
          <cell r="I175">
            <v>135000</v>
          </cell>
        </row>
        <row r="176">
          <cell r="B176" t="str">
            <v>FKPZA...AA</v>
          </cell>
          <cell r="C176" t="str">
            <v>BANKING GROUPS-ADMIN</v>
          </cell>
          <cell r="D176" t="str">
            <v>Blakeslee,Samuel C</v>
          </cell>
          <cell r="E176" t="str">
            <v>OX033</v>
          </cell>
          <cell r="F176" t="str">
            <v>Business Exec - Tech &amp; Ops</v>
          </cell>
          <cell r="G176" t="str">
            <v>H2</v>
          </cell>
          <cell r="H176" t="str">
            <v>BPIP</v>
          </cell>
          <cell r="I176">
            <v>201000</v>
          </cell>
        </row>
        <row r="177">
          <cell r="B177" t="str">
            <v>AACIE...AA</v>
          </cell>
          <cell r="C177" t="str">
            <v>PUBLIC RELATIONS</v>
          </cell>
          <cell r="D177" t="str">
            <v>McAlister,Sheryl A</v>
          </cell>
          <cell r="E177" t="str">
            <v>EP001</v>
          </cell>
          <cell r="F177" t="str">
            <v>Public Relations Executive</v>
          </cell>
          <cell r="G177" t="str">
            <v>H2</v>
          </cell>
          <cell r="H177" t="str">
            <v>BPIP</v>
          </cell>
          <cell r="I177">
            <v>180000</v>
          </cell>
        </row>
        <row r="178">
          <cell r="B178" t="str">
            <v>AFEAA...AC</v>
          </cell>
          <cell r="C178" t="str">
            <v>RMIT- RISK MGMT INFO AND TECH</v>
          </cell>
          <cell r="D178" t="str">
            <v>Huffman,Linnon Paul</v>
          </cell>
          <cell r="E178" t="str">
            <v>DE002</v>
          </cell>
          <cell r="F178" t="str">
            <v>Credit Review Group Manager</v>
          </cell>
          <cell r="G178" t="str">
            <v>H2</v>
          </cell>
          <cell r="H178" t="str">
            <v>BPIP</v>
          </cell>
          <cell r="I178">
            <v>182000</v>
          </cell>
        </row>
        <row r="179">
          <cell r="B179" t="str">
            <v>AGLDA...AB</v>
          </cell>
          <cell r="C179" t="str">
            <v>LEGAL-CORP/SEC/M/A-CLT</v>
          </cell>
          <cell r="D179" t="str">
            <v>Brenner,Teresa M</v>
          </cell>
          <cell r="E179" t="str">
            <v>LA002</v>
          </cell>
          <cell r="F179" t="str">
            <v>Attorney</v>
          </cell>
          <cell r="G179" t="str">
            <v>H2</v>
          </cell>
          <cell r="H179" t="str">
            <v>BPIP</v>
          </cell>
          <cell r="I179">
            <v>165000</v>
          </cell>
        </row>
        <row r="180">
          <cell r="B180" t="str">
            <v>HBAWOAC.CB</v>
          </cell>
          <cell r="C180" t="str">
            <v>FLORIDA VICE CHAIRMAN - 0107780</v>
          </cell>
          <cell r="D180" t="str">
            <v>Allen Jr,William H</v>
          </cell>
          <cell r="E180" t="str">
            <v>BX016</v>
          </cell>
          <cell r="F180" t="str">
            <v>Business Development Executive</v>
          </cell>
          <cell r="G180" t="str">
            <v>H2</v>
          </cell>
          <cell r="H180" t="str">
            <v>CCAM</v>
          </cell>
          <cell r="I180">
            <v>250000</v>
          </cell>
        </row>
        <row r="181">
          <cell r="B181" t="str">
            <v>AGCFDA..AA</v>
          </cell>
          <cell r="C181" t="str">
            <v>TECH SOL/TRANS SVCS/IMAGE-ATL</v>
          </cell>
          <cell r="D181" t="str">
            <v>Dalton,Rhonda S</v>
          </cell>
          <cell r="E181" t="str">
            <v>FB013</v>
          </cell>
          <cell r="F181" t="str">
            <v>Sr Fin Mgr-T&amp;O/Staff Support</v>
          </cell>
          <cell r="G181" t="str">
            <v>H2</v>
          </cell>
          <cell r="H181" t="str">
            <v>BPIP</v>
          </cell>
          <cell r="I181">
            <v>128000</v>
          </cell>
        </row>
        <row r="182">
          <cell r="B182" t="str">
            <v>AFPAEA..AE</v>
          </cell>
          <cell r="C182" t="str">
            <v>CONSUMER / COMMERCIAL BANK AUDIT-ADMIN</v>
          </cell>
          <cell r="D182" t="str">
            <v>McNichol,Francis J</v>
          </cell>
          <cell r="E182" t="str">
            <v>KA001</v>
          </cell>
          <cell r="F182" t="str">
            <v>Senior Audit Director</v>
          </cell>
          <cell r="G182" t="str">
            <v>H2</v>
          </cell>
          <cell r="H182" t="str">
            <v>BPIP</v>
          </cell>
          <cell r="I182">
            <v>140000</v>
          </cell>
        </row>
        <row r="183">
          <cell r="B183" t="str">
            <v>LCA.....AC</v>
          </cell>
          <cell r="C183" t="str">
            <v>CONSUMER PRODUCTS EXECUTIVE</v>
          </cell>
          <cell r="D183" t="str">
            <v>Kenworthy,Catherine S</v>
          </cell>
          <cell r="E183" t="str">
            <v>SX006</v>
          </cell>
          <cell r="F183" t="str">
            <v>Insurance Services Executive</v>
          </cell>
          <cell r="G183" t="str">
            <v>H2</v>
          </cell>
          <cell r="H183" t="str">
            <v>CCAM</v>
          </cell>
          <cell r="I183">
            <v>279996</v>
          </cell>
        </row>
        <row r="184">
          <cell r="B184" t="str">
            <v>HWOZAAAAAD</v>
          </cell>
          <cell r="C184" t="str">
            <v>CORPORATE BUSINESS DEVELOPMENT</v>
          </cell>
          <cell r="D184" t="str">
            <v>McColl,James C</v>
          </cell>
          <cell r="E184" t="str">
            <v>BX016</v>
          </cell>
          <cell r="F184" t="str">
            <v>Business Development Executive</v>
          </cell>
          <cell r="G184" t="str">
            <v>H2</v>
          </cell>
          <cell r="H184" t="str">
            <v>CCAM</v>
          </cell>
          <cell r="I184">
            <v>175000</v>
          </cell>
        </row>
        <row r="185">
          <cell r="B185" t="str">
            <v>AGCTA...AA</v>
          </cell>
          <cell r="C185" t="str">
            <v>CORPORATE TAX ADMIN</v>
          </cell>
          <cell r="D185" t="str">
            <v>Hobby,Greg</v>
          </cell>
          <cell r="E185" t="str">
            <v>FT004</v>
          </cell>
          <cell r="F185" t="str">
            <v>Sr Financial Mgr of GCIB Tax</v>
          </cell>
          <cell r="G185" t="str">
            <v>H2</v>
          </cell>
          <cell r="H185" t="str">
            <v>BPIP</v>
          </cell>
          <cell r="I185">
            <v>225000</v>
          </cell>
        </row>
        <row r="186">
          <cell r="B186" t="str">
            <v>FKHBA...AA</v>
          </cell>
          <cell r="C186" t="str">
            <v>DEPOSIT PROCESS ADMIN</v>
          </cell>
          <cell r="D186" t="str">
            <v>Hagen,Peter M</v>
          </cell>
          <cell r="E186" t="str">
            <v>OX033</v>
          </cell>
          <cell r="F186" t="str">
            <v>Business Exec - Tech &amp; Ops</v>
          </cell>
          <cell r="G186" t="str">
            <v>H2</v>
          </cell>
          <cell r="H186" t="str">
            <v>BPIP</v>
          </cell>
          <cell r="I186">
            <v>133008</v>
          </cell>
        </row>
        <row r="187">
          <cell r="B187" t="str">
            <v>AFEAA...AA</v>
          </cell>
          <cell r="C187" t="str">
            <v>RMIT- RISK MGMT INFO AND TECH</v>
          </cell>
          <cell r="D187" t="str">
            <v>Del Vecchio,Henry J</v>
          </cell>
          <cell r="E187" t="str">
            <v>DP012</v>
          </cell>
          <cell r="F187" t="str">
            <v>Senior Credit Risk Mgt Exec</v>
          </cell>
          <cell r="G187" t="str">
            <v>H2</v>
          </cell>
          <cell r="H187" t="str">
            <v>BPIP</v>
          </cell>
          <cell r="I187">
            <v>175000</v>
          </cell>
        </row>
        <row r="188">
          <cell r="B188" t="str">
            <v>AFPAEA..AC</v>
          </cell>
          <cell r="C188" t="str">
            <v>CONSUMER / COMMERCIAL BANK AUDIT-ADMIN</v>
          </cell>
          <cell r="D188" t="str">
            <v>Back,Lisa B</v>
          </cell>
          <cell r="E188" t="str">
            <v>KA001</v>
          </cell>
          <cell r="F188" t="str">
            <v>Senior Audit Director</v>
          </cell>
          <cell r="G188" t="str">
            <v>H2</v>
          </cell>
          <cell r="H188" t="str">
            <v>BPIP</v>
          </cell>
          <cell r="I188">
            <v>115000</v>
          </cell>
        </row>
        <row r="189">
          <cell r="B189" t="str">
            <v>AGCMAA..AA</v>
          </cell>
          <cell r="C189" t="str">
            <v>GCIB FINANCIAL SUPPORT-ADMIN</v>
          </cell>
          <cell r="D189" t="str">
            <v>Pearn,Francis J.</v>
          </cell>
          <cell r="E189" t="str">
            <v>FB012</v>
          </cell>
          <cell r="F189" t="str">
            <v>Sr Fin Mgr of GCIB</v>
          </cell>
          <cell r="G189" t="str">
            <v>H2</v>
          </cell>
          <cell r="H189" t="str">
            <v>BPIP</v>
          </cell>
          <cell r="I189">
            <v>250000</v>
          </cell>
        </row>
        <row r="190">
          <cell r="B190" t="str">
            <v>AMAA....AA</v>
          </cell>
          <cell r="C190" t="str">
            <v>MARKETING EXEC</v>
          </cell>
          <cell r="D190" t="str">
            <v>Gupta,Sanjay</v>
          </cell>
          <cell r="E190" t="str">
            <v>MD003</v>
          </cell>
          <cell r="F190" t="str">
            <v>Mkt Bus Cust Group Mgt Exec</v>
          </cell>
          <cell r="G190" t="str">
            <v>H2</v>
          </cell>
          <cell r="H190" t="str">
            <v>BPIP</v>
          </cell>
          <cell r="I190">
            <v>225000</v>
          </cell>
        </row>
        <row r="191">
          <cell r="B191" t="str">
            <v>FKAY....AA</v>
          </cell>
          <cell r="C191" t="str">
            <v>BAC YEAR 2000 PROJECT OFFICE</v>
          </cell>
          <cell r="D191" t="str">
            <v>Conover,John A.</v>
          </cell>
          <cell r="E191" t="str">
            <v>TY013</v>
          </cell>
          <cell r="F191" t="str">
            <v>Change Executive-Y2K Project</v>
          </cell>
          <cell r="G191" t="str">
            <v>H2</v>
          </cell>
          <cell r="H191" t="str">
            <v>BPIP</v>
          </cell>
          <cell r="I191">
            <v>195000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INORD"/>
      <sheetName val="Tunnelform"/>
      <sheetName val="mivan"/>
      <sheetName val="SHphase-1"/>
      <sheetName val="concrete"/>
      <sheetName val="analysis"/>
      <sheetName val="Civil-main building"/>
      <sheetName val="Civil-amenities buildings"/>
      <sheetName val="Roads-pavement-path ways"/>
      <sheetName val="C-Wall BOQ"/>
      <sheetName val="Sheet2"/>
      <sheetName val="GR.slab-reinft"/>
      <sheetName val="upa"/>
      <sheetName val="2gii"/>
      <sheetName val="Design"/>
      <sheetName val="detail'02"/>
      <sheetName val="PointNo.5"/>
      <sheetName val="Stress Calculation"/>
      <sheetName val="banilad"/>
      <sheetName val="Mactan"/>
      <sheetName val="Mandaue"/>
      <sheetName val="GUT (2)"/>
      <sheetName val="ACE-OUT"/>
      <sheetName val="Detail"/>
      <sheetName val="p&amp;m"/>
      <sheetName val=" Net Break Down"/>
      <sheetName val="PRECAST lightconc-II"/>
      <sheetName val="Tender Summary"/>
      <sheetName val="Costing"/>
      <sheetName val="SITE OVERHEADS"/>
      <sheetName val="boq"/>
      <sheetName val="Labels"/>
      <sheetName val="Citrix"/>
      <sheetName val="Bill No 2 to 8 (Rev)"/>
      <sheetName val="BHANDUP"/>
      <sheetName val="Sheet1"/>
      <sheetName val="#REF"/>
      <sheetName val="Sheet3"/>
      <sheetName val="data"/>
      <sheetName val="SPT vs PHI"/>
      <sheetName val="Fill this out first..."/>
      <sheetName val="GF Columns"/>
      <sheetName val="Assumption Inputs"/>
      <sheetName val="Bill 3 - Site Works"/>
      <sheetName val="FINOLEX"/>
      <sheetName val="K.Ajeet"/>
      <sheetName val="Civil-main_building2"/>
      <sheetName val="Civil-amenities_buildings2"/>
      <sheetName val="Roads-pavement-path_ways2"/>
      <sheetName val="C-Wall_BOQ2"/>
      <sheetName val="GR_slab-reinft2"/>
      <sheetName val="Civil-main_building"/>
      <sheetName val="Civil-amenities_buildings"/>
      <sheetName val="Roads-pavement-path_ways"/>
      <sheetName val="C-Wall_BOQ"/>
      <sheetName val="GR_slab-reinft"/>
      <sheetName val="Civil-main_building1"/>
      <sheetName val="Civil-amenities_buildings1"/>
      <sheetName val="Roads-pavement-path_ways1"/>
      <sheetName val="C-Wall_BOQ1"/>
      <sheetName val="GR_slab-reinft1"/>
      <sheetName val="AutoOpen Stub Data"/>
      <sheetName val="Bridges RB"/>
      <sheetName val="Analysis Justi "/>
      <sheetName val="Qty Esti -TCS"/>
      <sheetName val="INPUT"/>
      <sheetName val="Abst Jo"/>
      <sheetName val="VCH-SLC"/>
      <sheetName val="Supplier"/>
      <sheetName val="BSH num"/>
      <sheetName val="Basic"/>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A-General"/>
      <sheetName val="SILICATE"/>
      <sheetName val="Fin Sum"/>
      <sheetName val="IO LIST"/>
      <sheetName val="Debits as on 12.04.08"/>
      <sheetName val="Staff Acco."/>
      <sheetName val="Vind-BtB"/>
      <sheetName val="labour coeff"/>
      <sheetName val="VALMARAND436"/>
      <sheetName val="VALMARAND18"/>
      <sheetName val="BGIPLCEUR"/>
      <sheetName val="BGIUK"/>
      <sheetName val="BPBF4PDOB3"/>
      <sheetName val="BPBF4NORTHROC"/>
      <sheetName val="BPBF4PDOB2"/>
      <sheetName val="BPBF4PLCUSD2"/>
      <sheetName val="BPBF5PLCGBP"/>
      <sheetName val="BPBF6PLC"/>
      <sheetName val="BPBF6PLC2"/>
      <sheetName val="BPBFIN3INVS"/>
      <sheetName val="SUMMARY ALL CO'S"/>
      <sheetName val="BPBFINCOCOMM"/>
      <sheetName val="BPBFINCOPLCUSD50M"/>
      <sheetName val="BPBFINCOPLCUSD"/>
      <sheetName val="BPBGBVPLC"/>
      <sheetName val="BPBGBVPLC3"/>
      <sheetName val="BPBHLDGSPLC"/>
      <sheetName val="BPBINVPLC"/>
      <sheetName val="BPBUKPLCEUR"/>
      <sheetName val="COMMEUROPE"/>
      <sheetName val="COMMMIDEAST"/>
      <sheetName val="COMMPLCEUR"/>
      <sheetName val="COMMPLCUSD"/>
      <sheetName val="EUROPEFIN2"/>
      <sheetName val="FIN2SIMP"/>
      <sheetName val="FIN4BPBINDIA2"/>
      <sheetName val="FIN4BPBINDIA"/>
      <sheetName val="FIN4BPBLLCUSD"/>
      <sheetName val="FIN4INDIAGYPUSD2M"/>
      <sheetName val="FIN4MEXUSD12M"/>
      <sheetName val="FIN4MEXUSD2M"/>
      <sheetName val="FIN4MEXUSD6M"/>
      <sheetName val="FINANCE2PLC"/>
      <sheetName val="FORMPLCEUR"/>
      <sheetName val="FULMARGBPPLC"/>
      <sheetName val="GILEURPLC"/>
      <sheetName val="GYPABPLCSEK"/>
      <sheetName val="GYPBENCOMMEUR100M"/>
      <sheetName val="GYPIBBPBIB"/>
      <sheetName val="IBSWIBETEIL"/>
      <sheetName val="IBSWIPLACO2"/>
      <sheetName val="IBSWIPLACO"/>
      <sheetName val="IBSWIPLC"/>
      <sheetName val="IBSWIPOLSKA"/>
      <sheetName val="INDIA"/>
      <sheetName val="LUXGYPIB"/>
      <sheetName val="LUXPLACOEUR1M"/>
      <sheetName val="LUXPLACOST"/>
      <sheetName val="LUXSIMPEUR"/>
      <sheetName val="LUXSWIGYPIB"/>
      <sheetName val="LUXSWIPLACOEUR18M"/>
      <sheetName val="LUXSWIRIGAUSEUR"/>
      <sheetName val="PLCBPBGBV2"/>
      <sheetName val="PLCBPBGBV"/>
      <sheetName val="PLCBPBGBVROM"/>
      <sheetName val="PLCBPBGBVTHB"/>
      <sheetName val="PLCBPBIOGBP200M"/>
      <sheetName val="PLCBULGARIA"/>
      <sheetName val="PLCCOMMCHF5M"/>
      <sheetName val="PLCCOMMGBP2"/>
      <sheetName val="PLCCOMMGBP330M"/>
      <sheetName val="PLCCOMMGBP3"/>
      <sheetName val="PLCCOMMGBP"/>
      <sheetName val="PLCCOMMUSD5M"/>
      <sheetName val="PLCCOMMUSD"/>
      <sheetName val="PLCDAVEUR26M"/>
      <sheetName val="PLCDISTEUR50M"/>
      <sheetName val="PLCDISTPPL"/>
      <sheetName val="PLCFIN5"/>
      <sheetName val="PLCGYPSHANG"/>
      <sheetName val="PLCITALYEUR18-8M"/>
      <sheetName val="PLCMEXGBP"/>
      <sheetName val="PLCPHIGBP5M"/>
      <sheetName val="PLCPHIUSD"/>
      <sheetName val="PLCPOLSKA2"/>
      <sheetName val="PLCPOLSKA"/>
      <sheetName val="PLCSCANSEM"/>
      <sheetName val="PLCSLOVAKIA"/>
      <sheetName val="PLCSOGGBP"/>
      <sheetName val="PLCTHAIGIPSTHBIF"/>
      <sheetName val="PLCTHAIGIPSTHB"/>
      <sheetName val="PLCTHAIGIPSTHBSI"/>
      <sheetName val="PLCUKGBP300M"/>
      <sheetName val="RIGAGPLCCHF"/>
      <sheetName val="RIGAGPLCEUR2"/>
      <sheetName val="RIGAGPLCEUR"/>
      <sheetName val="RIGASPLCCZK2"/>
      <sheetName val="RIGASPLCCZK"/>
      <sheetName val="RIGHUNGPLCHUF"/>
      <sheetName val="SCONSPLC"/>
      <sheetName val="SIMPEURPLC"/>
      <sheetName val="SIMPPLC"/>
      <sheetName val="VALSIMPEUR"/>
      <sheetName val="Labour"/>
      <sheetName val="HPL"/>
      <sheetName val="Estimation"/>
      <sheetName val="공장별판관비배부"/>
      <sheetName val="CLAY"/>
      <sheetName val="PL"/>
      <sheetName val="4 Annex 1 Basic rate"/>
      <sheetName val="Build-up"/>
      <sheetName val="INDIGINEOUS ITEMS "/>
      <sheetName val="07016, Master List-Major Minor"/>
      <sheetName val="PRECAST_lightconc-II"/>
      <sheetName val="PointNo_5"/>
      <sheetName val="PCC"/>
      <sheetName val="cidcoanalysis"/>
      <sheetName val="C Sum"/>
      <sheetName val="A Sum"/>
      <sheetName val="Bank Guarantee"/>
      <sheetName val="Civil-main_building3"/>
      <sheetName val="Civil-amenities_buildings3"/>
      <sheetName val="Roads-pavement-path_ways3"/>
      <sheetName val="C-Wall_BOQ3"/>
      <sheetName val="GR_slab-reinft3"/>
      <sheetName val="Stress_Calculation"/>
      <sheetName val="GUT_(2)"/>
      <sheetName val="_Net_Break_Down"/>
      <sheetName val="Tender_Summary"/>
      <sheetName val="Bill_No_2_to_8_(Rev)"/>
      <sheetName val="SPT_vs_PHI"/>
      <sheetName val="BSH_num"/>
      <sheetName val="11B_"/>
      <sheetName val="IO_List"/>
      <sheetName val="Bill_3_-_Site_Works"/>
      <sheetName val="Fill_this_out_first___"/>
      <sheetName val="GF_Columns"/>
      <sheetName val="Assumption_Inputs"/>
      <sheetName val="K_Ajeet"/>
      <sheetName val="SITE_OVERHEADS"/>
      <sheetName val="Debits_as_on_12_04_08"/>
      <sheetName val="Staff_Acco_"/>
      <sheetName val="labour_coeff"/>
      <sheetName val="Flooring"/>
      <sheetName val="ELEC_BOQ"/>
      <sheetName val="macros"/>
      <sheetName val="Requirements"/>
      <sheetName val="Storage"/>
      <sheetName val="Financial"/>
      <sheetName val="Assumptions"/>
      <sheetName val="Deduction of assets"/>
      <sheetName val="GBW"/>
      <sheetName val="Ratio"/>
      <sheetName val="S &amp; A"/>
      <sheetName val="매크로"/>
      <sheetName val="FORM7"/>
      <sheetName val="Detail In Door Stad"/>
      <sheetName val="Basis"/>
      <sheetName val="Groupings-final"/>
      <sheetName val="Sched"/>
      <sheetName val="Trial"/>
      <sheetName val="FA_Final"/>
      <sheetName val="Break up Sheet"/>
      <sheetName val="Civil-main_building4"/>
      <sheetName val="Civil-amenities_buildings4"/>
      <sheetName val="Roads-pavement-path_ways4"/>
      <sheetName val="C-Wall_BOQ4"/>
      <sheetName val="GR_slab-reinft4"/>
      <sheetName val="PointNo_51"/>
      <sheetName val="Stress_Calculation1"/>
      <sheetName val="SITE_OVERHEADS1"/>
      <sheetName val="GUT_(2)1"/>
      <sheetName val="_Net_Break_Down1"/>
      <sheetName val="Bill_No_2_to_8_(Rev)1"/>
      <sheetName val="SPT_vs_PHI1"/>
      <sheetName val="PRECAST_lightconc-II1"/>
      <sheetName val="Fill_this_out_first___1"/>
      <sheetName val="GF_Columns1"/>
      <sheetName val="Assumption_Inputs1"/>
      <sheetName val="Bill_3_-_Site_Works1"/>
      <sheetName val="Tender_Summary1"/>
      <sheetName val="K_Ajeet1"/>
      <sheetName val="AutoOpen_Stub_Data"/>
      <sheetName val="Fin_Sum"/>
      <sheetName val="Bridges_RB"/>
      <sheetName val="Analysis_Justi_"/>
      <sheetName val="Qty_Esti_-TCS"/>
      <sheetName val="Abst_Jo"/>
      <sheetName val="BSH_num1"/>
      <sheetName val="11B_1"/>
      <sheetName val="Debits_as_on_12_04_081"/>
      <sheetName val="Staff_Acco_1"/>
      <sheetName val="labour_coeff1"/>
      <sheetName val="SUMMARY_ALL_CO'S"/>
      <sheetName val="INDIGINEOUS_ITEMS_"/>
      <sheetName val="07016,_Master_List-Major_Minor"/>
      <sheetName val="Break_up_Sheet"/>
      <sheetName val="Machinery"/>
      <sheetName val="s"/>
      <sheetName val="NLD - Assum"/>
      <sheetName val="Capex-fixed"/>
      <sheetName val="Material"/>
      <sheetName val="RA"/>
      <sheetName val="5 NOT REQUIRED"/>
      <sheetName val="3cd Annexure"/>
      <sheetName val="A.O.R r1Str"/>
      <sheetName val="A.O.R r1"/>
      <sheetName val="A.O.R (2)"/>
      <sheetName val="Legend"/>
      <sheetName val="Story Drift-Part 2"/>
      <sheetName val="hyperstatic"/>
      <sheetName val="Deckblatt"/>
      <sheetName val="Sludge Cal"/>
      <sheetName val="COLUMN"/>
      <sheetName val="PROGRAMME"/>
      <sheetName val="PROG SUMMARY"/>
      <sheetName val="BLOCK-A (MEA.SHEET)"/>
      <sheetName val="INDEX"/>
      <sheetName val="AREAS"/>
      <sheetName val="Basement Budget"/>
      <sheetName val="strain"/>
      <sheetName val="keyword"/>
      <sheetName val="C-Wadl_BOQ2"/>
      <sheetName val="FITZ MORT 94"/>
      <sheetName val="IO_List1"/>
      <sheetName val="Deduction_of_assets"/>
      <sheetName val="C_Sum"/>
      <sheetName val="A_Sum"/>
      <sheetName val="S_&amp;_A"/>
      <sheetName val="Civil-main_building5"/>
      <sheetName val="Civil-amenities_buildings5"/>
      <sheetName val="Roads-pavement-path_ways5"/>
      <sheetName val="C-Wall_BOQ5"/>
      <sheetName val="GR_slab-reinft5"/>
      <sheetName val="PointNo_52"/>
      <sheetName val="_Net_Break_Down2"/>
      <sheetName val="GUT_(2)2"/>
      <sheetName val="Stress_Calculation2"/>
      <sheetName val="11B_2"/>
      <sheetName val="PRECAST_lightconc-II2"/>
      <sheetName val="IO_List2"/>
      <sheetName val="BSH_num2"/>
      <sheetName val="Bill_No_2_to_8_(Rev)2"/>
      <sheetName val="SPT_vs_PHI2"/>
      <sheetName val="Tender_Summary2"/>
      <sheetName val="K_Ajeet2"/>
      <sheetName val="SITE_OVERHEADS2"/>
      <sheetName val="Fill_this_out_first___2"/>
      <sheetName val="GF_Columns2"/>
      <sheetName val="Assumption_Inputs2"/>
      <sheetName val="Bill_3_-_Site_Works2"/>
      <sheetName val="Staff_Acco_2"/>
      <sheetName val="Debits_as_on_12_04_082"/>
      <sheetName val="INDIGINEOUS_ITEMS_1"/>
      <sheetName val="07016,_Master_List-Major_Minor1"/>
      <sheetName val="labour_coeff2"/>
      <sheetName val="Deduction_of_assets1"/>
      <sheetName val="AutoOpen_Stub_Data1"/>
      <sheetName val="Fin_Sum1"/>
      <sheetName val="Bridges_RB1"/>
      <sheetName val="Analysis_Justi_1"/>
      <sheetName val="Qty_Esti_-TCS1"/>
      <sheetName val="Abst_Jo1"/>
      <sheetName val="C_Sum1"/>
      <sheetName val="A_Sum1"/>
      <sheetName val="S_&amp;_A1"/>
      <sheetName val="Introduction"/>
      <sheetName val="Old"/>
      <sheetName val="Operating Statistics"/>
      <sheetName val="Financials"/>
      <sheetName val="Rate analysis"/>
      <sheetName val="合成単価作成表-BLDG"/>
      <sheetName val="ecc_res"/>
      <sheetName val="Makro1"/>
      <sheetName val="Balance sheet DCCDL Nov 06"/>
      <sheetName val=" COP 100%"/>
      <sheetName val="BOQ (2)"/>
      <sheetName val="INPUT SHEET"/>
      <sheetName val="RES-PLANNING"/>
      <sheetName val="NC-CM"/>
      <sheetName val="IDCCALHYD-GOO"/>
      <sheetName val="factors"/>
      <sheetName val="4_Annex_1_Basic_rate"/>
      <sheetName val="Detail_In_Door_Stad"/>
      <sheetName val="5_NOT_REQUIRED"/>
      <sheetName val="Bank_Guarantee"/>
      <sheetName val="SCHEDULE"/>
      <sheetName val="Database"/>
      <sheetName val="schedule nos"/>
      <sheetName val="RA-markate"/>
      <sheetName val="RCC,Ret. Wall"/>
      <sheetName val="SUMMARY_ALL_CO'S1"/>
      <sheetName val="Break_up_Sheet1"/>
      <sheetName val="4_Annex_1_Basic_rate1"/>
      <sheetName val="Detail_In_Door_Stad1"/>
      <sheetName val="5_NOT_REQUIRED1"/>
      <sheetName val="Bank_Guarantee1"/>
      <sheetName val="Civil-main_building6"/>
      <sheetName val="Civil-amenities_buildings6"/>
      <sheetName val="Roads-pavement-path_ways6"/>
      <sheetName val="C-Wall_BOQ6"/>
      <sheetName val="GR_slab-reinft6"/>
      <sheetName val="PointNo_53"/>
      <sheetName val="Stress_Calculation3"/>
      <sheetName val="GUT_(2)3"/>
      <sheetName val="SPT_vs_PHI3"/>
      <sheetName val="Bill_No_2_to_8_(Rev)3"/>
      <sheetName val="Bill_3_-_Site_Works3"/>
      <sheetName val="PRECAST_lightconc-II3"/>
      <sheetName val="Fill_this_out_first___3"/>
      <sheetName val="GF_Columns3"/>
      <sheetName val="Assumption_Inputs3"/>
      <sheetName val="_Net_Break_Down3"/>
      <sheetName val="BSH_num3"/>
      <sheetName val="11B_3"/>
      <sheetName val="Tender_Summary3"/>
      <sheetName val="Staff_Acco_3"/>
      <sheetName val="Debits_as_on_12_04_083"/>
      <sheetName val="SITE_OVERHEADS3"/>
      <sheetName val="labour_coeff3"/>
      <sheetName val="K_Ajeet3"/>
      <sheetName val="AutoOpen_Stub_Data2"/>
      <sheetName val="Fin_Sum2"/>
      <sheetName val="Bridges_RB2"/>
      <sheetName val="Analysis_Justi_2"/>
      <sheetName val="Qty_Esti_-TCS2"/>
      <sheetName val="Abst_Jo2"/>
      <sheetName val="INDIGINEOUS_ITEMS_2"/>
      <sheetName val="07016,_Master_List-Major_Minor2"/>
      <sheetName val="SUMMARY_ALL_CO'S2"/>
      <sheetName val="C_Sum2"/>
      <sheetName val="A_Sum2"/>
      <sheetName val="Break_up_Sheet2"/>
      <sheetName val="Deduction_of_assets2"/>
      <sheetName val="S_&amp;_A2"/>
      <sheetName val="4_Annex_1_Basic_rate2"/>
      <sheetName val="Detail_In_Door_Stad2"/>
      <sheetName val="5_NOT_REQUIRED2"/>
      <sheetName val="Bank_Guarantee2"/>
      <sheetName val="Civil-main_building7"/>
      <sheetName val="Civil-amenities_buildings7"/>
      <sheetName val="Roads-pavement-path_ways7"/>
      <sheetName val="C-Wall_BOQ7"/>
      <sheetName val="GR_slab-reinft7"/>
      <sheetName val="PointNo_54"/>
      <sheetName val="Stress_Calculation4"/>
      <sheetName val="GUT_(2)4"/>
      <sheetName val="SPT_vs_PHI4"/>
      <sheetName val="Bill_No_2_to_8_(Rev)4"/>
      <sheetName val="Bill_3_-_Site_Works4"/>
      <sheetName val="PRECAST_lightconc-II4"/>
      <sheetName val="Fill_this_out_first___4"/>
      <sheetName val="GF_Columns4"/>
      <sheetName val="Assumption_Inputs4"/>
      <sheetName val="_Net_Break_Down4"/>
      <sheetName val="BSH_num4"/>
      <sheetName val="11B_4"/>
      <sheetName val="Tender_Summary4"/>
      <sheetName val="Staff_Acco_4"/>
      <sheetName val="Debits_as_on_12_04_084"/>
      <sheetName val="SITE_OVERHEADS4"/>
      <sheetName val="labour_coeff4"/>
      <sheetName val="K_Ajeet4"/>
      <sheetName val="AutoOpen_Stub_Data3"/>
      <sheetName val="Fin_Sum3"/>
      <sheetName val="Bridges_RB3"/>
      <sheetName val="Analysis_Justi_3"/>
      <sheetName val="Qty_Esti_-TCS3"/>
      <sheetName val="Abst_Jo3"/>
      <sheetName val="INDIGINEOUS_ITEMS_3"/>
      <sheetName val="07016,_Master_List-Major_Minor3"/>
      <sheetName val="SUMMARY_ALL_CO'S3"/>
      <sheetName val="C_Sum3"/>
      <sheetName val="A_Sum3"/>
      <sheetName val="Break_up_Sheet3"/>
      <sheetName val="Deduction_of_assets3"/>
      <sheetName val="S_&amp;_A3"/>
      <sheetName val="4_Annex_1_Basic_rate3"/>
      <sheetName val="Detail_In_Door_Stad3"/>
      <sheetName val="5_NOT_REQUIRED3"/>
      <sheetName val="Bank_Guarantee3"/>
      <sheetName val="Basement_Budget"/>
      <sheetName val="PROG_SUMMARY"/>
      <sheetName val="INPUT_SHEET"/>
      <sheetName val="FITZ_MORT_94"/>
      <sheetName val="Civil-main_building8"/>
      <sheetName val="Civil-amenities_buildings8"/>
      <sheetName val="Roads-pavement-path_ways8"/>
      <sheetName val="C-Wall_BOQ8"/>
      <sheetName val="GR_slab-reinft8"/>
      <sheetName val="PointNo_55"/>
      <sheetName val="Stress_Calculation5"/>
      <sheetName val="GUT_(2)5"/>
      <sheetName val="SPT_vs_PHI5"/>
      <sheetName val="Bill_No_2_to_8_(Rev)5"/>
      <sheetName val="Bill_3_-_Site_Works5"/>
      <sheetName val="PRECAST_lightconc-II5"/>
      <sheetName val="Fill_this_out_first___5"/>
      <sheetName val="GF_Columns5"/>
      <sheetName val="Assumption_Inputs5"/>
      <sheetName val="_Net_Break_Down5"/>
      <sheetName val="BSH_num5"/>
      <sheetName val="11B_5"/>
      <sheetName val="Tender_Summary5"/>
      <sheetName val="Staff_Acco_5"/>
      <sheetName val="Debits_as_on_12_04_085"/>
      <sheetName val="SITE_OVERHEADS5"/>
      <sheetName val="labour_coeff5"/>
      <sheetName val="K_Ajeet5"/>
      <sheetName val="AutoOpen_Stub_Data4"/>
      <sheetName val="Fin_Sum4"/>
      <sheetName val="Bridges_RB4"/>
      <sheetName val="Analysis_Justi_4"/>
      <sheetName val="Qty_Esti_-TCS4"/>
      <sheetName val="Abst_Jo4"/>
      <sheetName val="INDIGINEOUS_ITEMS_4"/>
      <sheetName val="07016,_Master_List-Major_Minor4"/>
      <sheetName val="SUMMARY_ALL_CO'S4"/>
      <sheetName val="C_Sum4"/>
      <sheetName val="A_Sum4"/>
      <sheetName val="Break_up_Sheet4"/>
      <sheetName val="Deduction_of_assets4"/>
      <sheetName val="S_&amp;_A4"/>
      <sheetName val="4_Annex_1_Basic_rate4"/>
      <sheetName val="Detail_In_Door_Stad4"/>
      <sheetName val="5_NOT_REQUIRED4"/>
      <sheetName val="Bank_Guarantee4"/>
      <sheetName val="Basement_Budget1"/>
      <sheetName val="PROG_SUMMARY1"/>
      <sheetName val="INPUT_SHEET1"/>
      <sheetName val="Assump"/>
      <sheetName val="Inter Co Balances"/>
      <sheetName val="Indices"/>
      <sheetName val="Basic Rates"/>
      <sheetName val="PARAMETRES"/>
      <sheetName val="CABLERET"/>
      <sheetName val="Bill 1"/>
      <sheetName val="Bill 2"/>
      <sheetName val="Bill 3"/>
      <sheetName val="Bill 4"/>
      <sheetName val="Bill 5"/>
      <sheetName val="Bill 6"/>
      <sheetName val="Bill 7"/>
      <sheetName val="lookups"/>
      <sheetName val="ref"/>
      <sheetName val="Bed Class"/>
      <sheetName val="Cd"/>
      <sheetName val="D2_CO"/>
      <sheetName val="DSLP"/>
      <sheetName val="Ave.wtd.rates"/>
      <sheetName val="Material "/>
      <sheetName val="FITZ_MORT_941"/>
      <sheetName val="AoR Finishing"/>
      <sheetName val="Mat_Cost"/>
      <sheetName val="Labour &amp; Plant"/>
      <sheetName val="9. Package split - Cost "/>
      <sheetName val="strand"/>
      <sheetName val="DETAILED  BOQ"/>
      <sheetName val="Control"/>
      <sheetName val="CASHFLOWS"/>
      <sheetName val="LABOUR RATE"/>
      <sheetName val="Material Rate"/>
      <sheetName val="Bechtel Norms"/>
      <sheetName val="CS PIPING"/>
      <sheetName val="TECH DATA"/>
      <sheetName val="Annex"/>
      <sheetName val="MASTER_RATE ANALYSIS"/>
      <sheetName val="PA- Consutant "/>
      <sheetName val="HEAD"/>
      <sheetName val="Works - Quote Sheet"/>
      <sheetName val="Allg. Angaben"/>
      <sheetName val="Auswahl"/>
      <sheetName val="Top sheet"/>
      <sheetName val="Certificate"/>
      <sheetName val="Abstract"/>
      <sheetName val="M-Book for Conc"/>
      <sheetName val="LEVELS"/>
      <sheetName val="Rein.Steel"/>
      <sheetName val="M-Book for FW"/>
      <sheetName val="M-Book others"/>
      <sheetName val="M-Book filling"/>
      <sheetName val="beam-reinft-machine rm"/>
      <sheetName val="jobhist"/>
      <sheetName val="A-Property"/>
      <sheetName val="IO_List3"/>
      <sheetName val="BOQ_(2)"/>
      <sheetName val="BLOCK-A_(MEA_SHEET)"/>
      <sheetName val="A_O_R_r1Str"/>
      <sheetName val="A_O_R_r1"/>
      <sheetName val="A_O_R_(2)"/>
      <sheetName val="FitOutConfCentre"/>
      <sheetName val="Structure Bills Qty"/>
      <sheetName val="SOA"/>
      <sheetName val="Podium Areas"/>
      <sheetName val="annx-1(Boq)"/>
      <sheetName val="IRP all H2s"/>
      <sheetName val="ENCL9"/>
      <sheetName val="beam-reinft-IIInd floor"/>
      <sheetName val="9-1차이내역"/>
      <sheetName val="@risk rents and incentives"/>
      <sheetName val="Car park lease"/>
      <sheetName val="Net rent analysis"/>
      <sheetName val="office"/>
      <sheetName val="Lab"/>
      <sheetName val="MAINBS1"/>
      <sheetName val="Ave_wtd_rates"/>
      <sheetName val="Material_"/>
      <sheetName val="Sludge_Cal"/>
      <sheetName val="NLD_-_Assum"/>
      <sheetName val="3cd_Annexure"/>
      <sheetName val="Operating_Statistics"/>
      <sheetName val="Bechtel_Norms"/>
      <sheetName val="CS_PIPING"/>
      <sheetName val="TECH_DATA"/>
      <sheetName val="Story_Drift-Part_2"/>
      <sheetName val="schedule_nos"/>
      <sheetName val="RCC,Ret__Wall"/>
      <sheetName val="old_serial no."/>
      <sheetName val="tot_ass_9697"/>
      <sheetName val="Internet"/>
      <sheetName val="Sec-I"/>
      <sheetName val="A.O.R."/>
      <sheetName val="PriceSummary"/>
      <sheetName val="Estimate"/>
      <sheetName val="water prop."/>
      <sheetName val="Transfer"/>
      <sheetName val="MISBS"/>
      <sheetName val="BOD PL NEW"/>
      <sheetName val="inter"/>
      <sheetName val="final abstract"/>
      <sheetName val="UNP-NCW "/>
      <sheetName val="Balance_sheet_DCCDL_Nov_06"/>
      <sheetName val="_COP_100%"/>
      <sheetName val="Rate_analysis"/>
      <sheetName val="Basic_Rates"/>
      <sheetName val="Section 3_DPR"/>
      <sheetName val="sheet6"/>
      <sheetName val="Allg__Angaben"/>
      <sheetName val="SP Break Up"/>
      <sheetName val="CFForecast detail"/>
      <sheetName val="TBAL9697 -group wise  sdpl"/>
      <sheetName val="Project Budget Worksheet"/>
      <sheetName val="RESULT"/>
      <sheetName val="A"/>
      <sheetName val="FT-05-02IsoBOM"/>
      <sheetName val="Sens"/>
      <sheetName val="o’£Òˆê——i–ˆ“úŠm”F‚Ì‚±‚Æj"/>
      <sheetName val="BRP&amp;L"/>
      <sheetName val="MFG"/>
      <sheetName val="갑지"/>
      <sheetName val="Phasing"/>
      <sheetName val="MN T.B."/>
      <sheetName val="P&amp;LSum"/>
      <sheetName val="Sch"/>
      <sheetName val="Fin. Assumpt. - Sensitivities"/>
      <sheetName val="환율"/>
      <sheetName val="SC Cost FEB 03"/>
      <sheetName val="General"/>
      <sheetName val="Amort"/>
      <sheetName val="AmortRef"/>
      <sheetName val="Consol"/>
      <sheetName val="BS1"/>
      <sheetName val="calcul"/>
      <sheetName val="Load Details(B2)"/>
      <sheetName val="CEP99"/>
      <sheetName val="Electrical"/>
      <sheetName val="Sales &amp; Prod"/>
      <sheetName val="Administrative Prices"/>
      <sheetName val="Summary"/>
      <sheetName val="Det_Des"/>
      <sheetName val="Revised Summary"/>
      <sheetName val="Mahole"/>
      <sheetName val="Detail P&amp;L"/>
      <sheetName val="Assumption Sheet"/>
      <sheetName val="Intro"/>
      <sheetName val="S1BOQ"/>
      <sheetName val="Flanged Beams"/>
      <sheetName val="Rectangular Beam"/>
      <sheetName val="TYPE-1"/>
      <sheetName val="TYPE-3"/>
      <sheetName val="BC &amp; MNB "/>
      <sheetName val="XREF"/>
      <sheetName val="Debtors analysis"/>
      <sheetName val="Total Debtors Ageing Sheet"/>
      <sheetName val="Extra Item"/>
      <sheetName val="BaseWeight"/>
      <sheetName val="UPA(Part C,D,E,G,H)"/>
      <sheetName val="Materials"/>
      <sheetName val="Light fitt"/>
      <sheetName val="grid"/>
      <sheetName val="Inc.St.-Link"/>
      <sheetName val="ESCON"/>
      <sheetName val="Area Statement"/>
      <sheetName val="Set"/>
      <sheetName val="Headings"/>
      <sheetName val="para"/>
      <sheetName val="kppl pl"/>
      <sheetName val="Measurment"/>
      <sheetName val="Modular"/>
      <sheetName val="IT-Fri Base"/>
      <sheetName val="CMISFA"/>
      <sheetName val="00acttbl"/>
      <sheetName val="PSrpt25"/>
      <sheetName val="00budtbl"/>
      <sheetName val="Data Tables"/>
      <sheetName val="Source Ref."/>
      <sheetName val="Civil Boq"/>
      <sheetName val="Civil-main_building9"/>
      <sheetName val="Civil-amenities_buildings9"/>
      <sheetName val="Roads-pavement-path_ways9"/>
      <sheetName val="C-Wall_BOQ9"/>
      <sheetName val="GR_slab-reinft9"/>
      <sheetName val="GUT_(2)6"/>
      <sheetName val="PointNo_56"/>
      <sheetName val="SPT_vs_PHI6"/>
      <sheetName val="Stress_Calculation6"/>
      <sheetName val="Bill_No_2_to_8_(Rev)6"/>
      <sheetName val="Bill_3_-_Site_Works6"/>
      <sheetName val="PRECAST_lightconc-II6"/>
      <sheetName val="Fill_this_out_first___6"/>
      <sheetName val="GF_Columns6"/>
      <sheetName val="Assumption_Inputs6"/>
      <sheetName val="_Net_Break_Down6"/>
      <sheetName val="BSH_num6"/>
      <sheetName val="11B_6"/>
      <sheetName val="Tender_Summary6"/>
      <sheetName val="Staff_Acco_6"/>
      <sheetName val="labour_coeff6"/>
      <sheetName val="SITE_OVERHEADS6"/>
      <sheetName val="Debits_as_on_12_04_086"/>
      <sheetName val="K_Ajeet6"/>
      <sheetName val="AutoOpen_Stub_Data5"/>
      <sheetName val="Fin_Sum5"/>
      <sheetName val="Bridges_RB5"/>
      <sheetName val="Analysis_Justi_5"/>
      <sheetName val="Qty_Esti_-TCS5"/>
      <sheetName val="Abst_Jo5"/>
      <sheetName val="INDIGINEOUS_ITEMS_5"/>
      <sheetName val="07016,_Master_List-Major_Minor5"/>
      <sheetName val="C_Sum5"/>
      <sheetName val="A_Sum5"/>
      <sheetName val="4_Annex_1_Basic_rate5"/>
      <sheetName val="SUMMARY_ALL_CO'S5"/>
      <sheetName val="Detail_In_Door_Stad5"/>
      <sheetName val="Bank_Guarantee5"/>
      <sheetName val="Break_up_Sheet5"/>
      <sheetName val="S_&amp;_A5"/>
      <sheetName val="Deduction_of_assets5"/>
      <sheetName val="PROG_SUMMARY2"/>
      <sheetName val="5_NOT_REQUIRED5"/>
      <sheetName val="NLD_-_Assum1"/>
      <sheetName val="3cd_Annexure1"/>
      <sheetName val="BLOCK-A_(MEA_SHEET)1"/>
      <sheetName val="Sludge_Cal1"/>
      <sheetName val="Basement_Budget2"/>
      <sheetName val="FITZ_MORT_942"/>
      <sheetName val="Operating_Statistics1"/>
      <sheetName val="Story_Drift-Part_21"/>
      <sheetName val="A_O_R_r1Str1"/>
      <sheetName val="A_O_R_r11"/>
      <sheetName val="A_O_R_(2)1"/>
      <sheetName val="INPUT_SHEET2"/>
      <sheetName val="BOQ_(2)1"/>
      <sheetName val="Bill_1"/>
      <sheetName val="Bill_2"/>
      <sheetName val="Bill_3"/>
      <sheetName val="Bill_4"/>
      <sheetName val="Bill_5"/>
      <sheetName val="Bill_6"/>
      <sheetName val="Bill_7"/>
      <sheetName val="schedule_nos1"/>
      <sheetName val="RCC,Ret__Wall1"/>
      <sheetName val="Ave_wtd_rates1"/>
      <sheetName val="Material_1"/>
      <sheetName val="Labour_&amp;_Plant"/>
      <sheetName val="9__Package_split_-_Cost_"/>
      <sheetName val="DETAILED__BOQ"/>
      <sheetName val="beam-reinft-IIInd_floor"/>
      <sheetName val="Works_-_Quote_Sheet"/>
      <sheetName val="AoR_Finishing"/>
      <sheetName val="MASTER_RATE_ANALYSIS"/>
      <sheetName val="PA-_Consutant_"/>
      <sheetName val="LABOUR_RATE"/>
      <sheetName val="Material_Rate"/>
      <sheetName val="Bechtel_Norms1"/>
      <sheetName val="CS_PIPING1"/>
      <sheetName val="TECH_DATA1"/>
      <sheetName val="Top_sheet"/>
      <sheetName val="M-Book_for_Conc"/>
      <sheetName val="Rein_Steel"/>
      <sheetName val="M-Book_for_FW"/>
      <sheetName val="M-Book_others"/>
      <sheetName val="M-Book_filling"/>
      <sheetName val="beam-reinft-machine_rm"/>
      <sheetName val="Structure_Bills_Qty"/>
      <sheetName val="Podium_Areas"/>
      <sheetName val="IRP_all_H2s"/>
      <sheetName val="@risk_rents_and_incentives"/>
      <sheetName val="Car_park_lease"/>
      <sheetName val="Net_rent_analysis"/>
      <sheetName val="old_serial_no_"/>
      <sheetName val="A_O_R_"/>
      <sheetName val="SP_Break_Up"/>
      <sheetName val="Inter_Co_Balances"/>
      <sheetName val="water_prop_"/>
      <sheetName val="d-safe specs"/>
      <sheetName val="SOR"/>
      <sheetName val="STK"/>
      <sheetName val="MG"/>
      <sheetName val="Boq- Civil"/>
      <sheetName val="Input &amp; Calculations"/>
      <sheetName val="Values"/>
      <sheetName val="hyperstatic-3"/>
      <sheetName val="accom cash"/>
      <sheetName val="Conc"/>
      <sheetName val="Excv-Qty&amp;Rate"/>
      <sheetName val="目录"/>
      <sheetName val="train cash"/>
      <sheetName val="galfareqp"/>
      <sheetName val="Interest"/>
      <sheetName val="Project Master"/>
      <sheetName val="Staff"/>
      <sheetName val="Site Dev BOQ"/>
      <sheetName val="Debtors Service Tax"/>
      <sheetName val="Wastage"/>
      <sheetName val="Stru Labour rate"/>
      <sheetName val="Curing Analysis"/>
      <sheetName val="Formwork"/>
      <sheetName val="MS items"/>
      <sheetName val="Tunnel Fw"/>
      <sheetName val="precast"/>
      <sheetName val="ACE-IN"/>
      <sheetName val="NANJING"/>
      <sheetName val="Segment Report working"/>
      <sheetName val="Fixed Assets &amp; Depreciation"/>
      <sheetName val="CAT_5"/>
      <sheetName val="(Do not delete)"/>
      <sheetName val="Voucher"/>
      <sheetName val="Cal"/>
      <sheetName val="Slope area"/>
      <sheetName val="TABLES"/>
      <sheetName val="Valves"/>
      <sheetName val="MS Rates"/>
      <sheetName val="Array"/>
      <sheetName val="Array (2)"/>
      <sheetName val="basdat"/>
      <sheetName val="LMP"/>
      <sheetName val="B1"/>
      <sheetName val="CSA"/>
      <sheetName val="Mechanical"/>
      <sheetName val="Indirects "/>
      <sheetName val="I&amp;C"/>
      <sheetName val="LSS"/>
      <sheetName val="CPA_EQP"/>
      <sheetName val="BUDGET"/>
      <sheetName val="ESI &amp; PF DELHI"/>
      <sheetName val="Core Data"/>
      <sheetName val="lists"/>
      <sheetName val="Validation sheet"/>
      <sheetName val="wordsdata"/>
      <sheetName val="CROSS-SECTION"/>
      <sheetName val="Basic Rate"/>
      <sheetName val="B'Sheet"/>
      <sheetName val="Asmp"/>
      <sheetName val="FORM-16"/>
      <sheetName val="1.01 (a)"/>
      <sheetName val="BALAN1"/>
      <sheetName val="405"/>
      <sheetName val="427"/>
      <sheetName val="403"/>
      <sheetName val="Legal Risk Analysis"/>
      <sheetName val="M.S."/>
      <sheetName val="Actuals_by_Job"/>
      <sheetName val="Outlook"/>
      <sheetName val="CIP Summary 0012"/>
      <sheetName val="CIP Detail 0011"/>
      <sheetName val="VLOOK"/>
      <sheetName val="99 to 00 blns"/>
      <sheetName val="DETAIL SHEET"/>
      <sheetName val="Area"/>
      <sheetName val="Analisa STR"/>
      <sheetName val="cost summary"/>
      <sheetName val="Elec Summ"/>
      <sheetName val="ELEC BOQ"/>
      <sheetName val="TRACK BUSWAY"/>
      <sheetName val="BBT"/>
      <sheetName val="LIGHTING"/>
      <sheetName val="LMS"/>
      <sheetName val="DontDelete"/>
      <sheetName val="v"/>
      <sheetName val="Cover"/>
      <sheetName val="Settings"/>
      <sheetName val="MERGED CODES &amp; NAMES"/>
      <sheetName val="TYPES"/>
      <sheetName val="MPC"/>
      <sheetName val="Costcal"/>
      <sheetName val="FINA"/>
      <sheetName val="Area Analysis"/>
      <sheetName val="Sensitivity"/>
      <sheetName val="rent &amp; value assumptions"/>
      <sheetName val="PSDA detailed cashflow for debt"/>
      <sheetName val="Financing Assumptions"/>
      <sheetName val="Equity shares analysis"/>
      <sheetName val="Loan B interest"/>
      <sheetName val="Loan covenant tests"/>
      <sheetName val="Rents committed"/>
      <sheetName val="LCC profit share calculation"/>
      <sheetName val="Loan A interest guarantee"/>
      <sheetName val="Ground Floor"/>
      <sheetName val="SCHEDULE OF RATES"/>
      <sheetName val="col-reinft1"/>
      <sheetName val="IO's"/>
      <sheetName val="Prices"/>
      <sheetName val="BULook"/>
      <sheetName val="AILC004"/>
      <sheetName val="Back_Cal_for OMC"/>
      <sheetName val="std.wt."/>
      <sheetName val="L (4)"/>
      <sheetName val="Contractor-1-every floor 5%"/>
      <sheetName val="STAFFSCHED "/>
      <sheetName val="Plant Used in CATS "/>
      <sheetName val="FILIALE"/>
      <sheetName val="R.A."/>
      <sheetName val="GN-ST-10"/>
      <sheetName val="Setup Variables"/>
      <sheetName val="Seide Customer wise "/>
      <sheetName val="Consl LS"/>
      <sheetName val="Filati Customer wise"/>
      <sheetName val="Reco"/>
      <sheetName val="Seide LS"/>
      <sheetName val="Filati LS"/>
      <sheetName val="Power &amp; Fuel(SMS)"/>
      <sheetName val="Power &amp; Fuel(E)"/>
      <sheetName val="EXPENSES"/>
      <sheetName val="TRIAL BALANCE"/>
      <sheetName val="Cntmrs-Recruit"/>
      <sheetName val="제조부문배부"/>
      <sheetName val="References"/>
      <sheetName val="UNIDADES"/>
      <sheetName val="B"/>
      <sheetName val="Cash2"/>
      <sheetName val="Z"/>
      <sheetName val="기계내역서"/>
      <sheetName val="Pile cap"/>
      <sheetName val="MASTER"/>
      <sheetName val="discounts_XP140"/>
      <sheetName val="Khalifa Parkf"/>
      <sheetName val=""/>
      <sheetName val="Oracle Upload"/>
      <sheetName val="base"/>
      <sheetName val="qty schedule"/>
      <sheetName val="Westin FOH &amp; BOH Split"/>
      <sheetName val="BASIS -DEC 08"/>
      <sheetName val="VALUE2_5"/>
      <sheetName val="compu(format)"/>
      <sheetName val="stub Column"/>
      <sheetName val="Civil-main_building10"/>
      <sheetName val="Civil-amenities_buildings10"/>
      <sheetName val="Roads-pavement-path_ways10"/>
      <sheetName val="C-Wall_BOQ10"/>
      <sheetName val="GR_slab-reinft10"/>
      <sheetName val="PointNo_57"/>
      <sheetName val="Stress_Calculation7"/>
      <sheetName val="GUT_(2)7"/>
      <sheetName val="SPT_vs_PHI7"/>
      <sheetName val="Bill_No_2_to_8_(Rev)7"/>
      <sheetName val="_Net_Break_Down7"/>
      <sheetName val="Bill_3_-_Site_Works7"/>
      <sheetName val="PRECAST_lightconc-II7"/>
      <sheetName val="Fill_this_out_first___7"/>
      <sheetName val="GF_Columns7"/>
      <sheetName val="Assumption_Inputs7"/>
      <sheetName val="BSH_num7"/>
      <sheetName val="11B_7"/>
      <sheetName val="Tender_Summary7"/>
      <sheetName val="K_Ajeet7"/>
      <sheetName val="SITE_OVERHEADS7"/>
      <sheetName val="Staff_Acco_7"/>
      <sheetName val="Debits_as_on_12_04_087"/>
      <sheetName val="labour_coeff7"/>
      <sheetName val="AutoOpen_Stub_Data6"/>
      <sheetName val="Fin_Sum6"/>
      <sheetName val="Bridges_RB6"/>
      <sheetName val="Analysis_Justi_6"/>
      <sheetName val="Qty_Esti_-TCS6"/>
      <sheetName val="Abst_Jo6"/>
      <sheetName val="INDIGINEOUS_ITEMS_6"/>
      <sheetName val="07016,_Master_List-Major_Minor6"/>
      <sheetName val="C_Sum6"/>
      <sheetName val="A_Sum6"/>
      <sheetName val="4_Annex_1_Basic_rate6"/>
      <sheetName val="Detail_In_Door_Stad6"/>
      <sheetName val="SUMMARY_ALL_CO'S6"/>
      <sheetName val="S_&amp;_A6"/>
      <sheetName val="Bank_Guarantee6"/>
      <sheetName val="Deduction_of_assets6"/>
      <sheetName val="PROG_SUMMARY3"/>
      <sheetName val="Break_up_Sheet6"/>
      <sheetName val="BLOCK-A_(MEA_SHEET)2"/>
      <sheetName val="5_NOT_REQUIRED6"/>
      <sheetName val="A_O_R_r1Str2"/>
      <sheetName val="A_O_R_r12"/>
      <sheetName val="A_O_R_(2)2"/>
      <sheetName val="Basement_Budget3"/>
      <sheetName val="FITZ_MORT_943"/>
      <sheetName val="Rate_analysis1"/>
      <sheetName val="BOQ_(2)2"/>
      <sheetName val="INPUT_SHEET3"/>
      <sheetName val="Basic_Rates1"/>
      <sheetName val="Bill_11"/>
      <sheetName val="Bill_21"/>
      <sheetName val="Bill_31"/>
      <sheetName val="Bill_41"/>
      <sheetName val="Bill_51"/>
      <sheetName val="Bill_61"/>
      <sheetName val="Bill_71"/>
      <sheetName val="AoR_Finishing1"/>
      <sheetName val="Balance_sheet_DCCDL_Nov_061"/>
      <sheetName val="_COP_100%1"/>
      <sheetName val="9__Package_split_-_Cost_1"/>
      <sheetName val="Labour_&amp;_Plant1"/>
      <sheetName val="DETAILED__BOQ1"/>
      <sheetName val="LABOUR_RATE1"/>
      <sheetName val="Material_Rate1"/>
      <sheetName val="Allg__Angaben1"/>
      <sheetName val="Sales_&amp;_Prod"/>
      <sheetName val="accom_cash"/>
      <sheetName val="train_cash"/>
      <sheetName val="Podium_Areas1"/>
      <sheetName val="final_abstract"/>
      <sheetName val="A_O_R_1"/>
      <sheetName val="Load_Details(B2)"/>
      <sheetName val="TBAL9697_-group_wise__sdpl"/>
      <sheetName val="CFForecast_detail"/>
      <sheetName val="Project_Budget_Worksheet"/>
      <sheetName val="Source_Ref_"/>
      <sheetName val="MN_T_B_"/>
      <sheetName val="UNP-NCW_"/>
      <sheetName val="Section_3_DPR"/>
      <sheetName val="SC_Cost_FEB_03"/>
      <sheetName val="Detail_P&amp;L"/>
      <sheetName val="Assumption_Sheet"/>
      <sheetName val="UPA(Part_C,D,E,G,H)"/>
      <sheetName val="Light_fitt"/>
      <sheetName val="Boq-_Civil"/>
      <sheetName val="Input_&amp;_Calculations"/>
      <sheetName val="BOD_PL_NEW"/>
      <sheetName val="Flanged_Beams"/>
      <sheetName val="Rectangular_Beam"/>
      <sheetName val="BC_&amp;_MNB_"/>
      <sheetName val="Debtors_analysis"/>
      <sheetName val="Total_Debtors_Ageing_Sheet"/>
      <sheetName val="Revised_Summary"/>
      <sheetName val="Administrative_Prices"/>
      <sheetName val="kppl_pl"/>
      <sheetName val="Fin__Assumpt__-_Sensitivities"/>
      <sheetName val="Project_Master"/>
      <sheetName val="Extra_Item"/>
      <sheetName val="SEW4"/>
      <sheetName val="COST"/>
      <sheetName val="PtList Above (300x300)"/>
      <sheetName val="PtList Below (300x300)"/>
      <sheetName val="CONNECT"/>
      <sheetName val="SCHEDULE (3)"/>
      <sheetName val="AV"/>
      <sheetName val="fco"/>
      <sheetName val="BTI"/>
      <sheetName val="CHR"/>
      <sheetName val="HML"/>
      <sheetName val="HSR"/>
      <sheetName val="JPR"/>
      <sheetName val="KRNL"/>
      <sheetName val="LKNW"/>
      <sheetName val="LDH"/>
      <sheetName val="ORI"/>
      <sheetName val="WB"/>
      <sheetName val="NotesRelatedParties_1"/>
      <sheetName val="NotesSubsidiaryInformation_1"/>
      <sheetName val="1010"/>
      <sheetName val="1020"/>
      <sheetName val="1090"/>
      <sheetName val="girder"/>
      <sheetName val="Rocker"/>
      <sheetName val="Materials Cost(PCC)"/>
      <sheetName val="L&amp;T formwork system"/>
      <sheetName val="Pile load test-Rock anchor"/>
      <sheetName val="Design (singly reinforced beam)"/>
      <sheetName val="Foundation"/>
      <sheetName val="Hoop stress"/>
      <sheetName val="strongback"/>
      <sheetName val="D-Shackle"/>
      <sheetName val="ISA"/>
      <sheetName val="ISMB"/>
      <sheetName val="shoring using plates"/>
      <sheetName val="ISMC"/>
      <sheetName val="Gantry track"/>
      <sheetName val="DESIGN-abut-pile fdn.-11"/>
      <sheetName val="SubAnlysis"/>
      <sheetName val="Lead"/>
      <sheetName val="PPA Summary"/>
      <sheetName val="NOT FULL RESTRAINT"/>
      <sheetName val="BEARING &amp; BUCKLING"/>
      <sheetName val="PFC"/>
      <sheetName val="UC"/>
      <sheetName val="RSJ"/>
      <sheetName val="purpose&amp;input"/>
      <sheetName val="Detail 1A"/>
      <sheetName val="Rate"/>
      <sheetName val="info"/>
      <sheetName val="Civil_Boq"/>
      <sheetName val="d-safe_specs"/>
      <sheetName val="Site_Dev_BOQ"/>
      <sheetName val="Indirects_"/>
      <sheetName val="DETAIL_SHEET"/>
      <sheetName val="ESI_&amp;_PF_DELHI"/>
      <sheetName val="Core_Data"/>
      <sheetName val="Analisa_STR"/>
      <sheetName val="cost_summary"/>
      <sheetName val="Elec_Summ"/>
      <sheetName val="ELEC_BOQ1"/>
      <sheetName val="TRACK_BUSWAY"/>
      <sheetName val="Inc_St_-Link"/>
      <sheetName val="rent_&amp;_value_assumptions"/>
      <sheetName val="PSDA_detailed_cashflow_for_debt"/>
      <sheetName val="Financing_Assumptions"/>
      <sheetName val="Equity_shares_analysis"/>
      <sheetName val="Loan_B_interest"/>
      <sheetName val="Loan_covenant_tests"/>
      <sheetName val="Rents_committed"/>
      <sheetName val="LCC_profit_share_calculation"/>
      <sheetName val="Loan_A_interest_guarantee"/>
      <sheetName val="Area_Analysis"/>
      <sheetName val="L_(4)"/>
      <sheetName val="Oracle_Upload"/>
      <sheetName val="qty_schedule"/>
      <sheetName val="Westin_FOH_&amp;_BOH_Split"/>
      <sheetName val="(Do_not_delete)"/>
      <sheetName val="Validation_sheet"/>
      <sheetName val="April Analysts"/>
      <sheetName val="Dropdown list"/>
      <sheetName val="Gen Info"/>
      <sheetName val="Elect."/>
      <sheetName val=" COP"/>
      <sheetName val="P&amp;L"/>
      <sheetName val="외화금융(97-03)"/>
      <sheetName val="연돌일위집계"/>
      <sheetName val="Revenue-Invoicewise"/>
      <sheetName val="Item- Compact"/>
      <sheetName val="ASS"/>
      <sheetName val="Cases"/>
      <sheetName val="RA-14"/>
      <sheetName val="RA-13"/>
      <sheetName val="Covering letter"/>
      <sheetName val=" CERTIFICATE   PAYMENT Vendor"/>
      <sheetName val="Payment Abstract Vendor"/>
      <sheetName val="Cummulative Steel &amp; RMC Vendor "/>
      <sheetName val="Vendor Wise Cu. Steel &amp; RMC"/>
      <sheetName val="Ultratech"/>
      <sheetName val="ACC"/>
      <sheetName val="Nuvoco"/>
      <sheetName val="JP"/>
      <sheetName val="Prism johnson"/>
      <sheetName val="RMC Qty. Cumulative vendor wise"/>
      <sheetName val="RMC Backup"/>
      <sheetName val="RMC Invoice"/>
      <sheetName val="Material Rates"/>
      <sheetName val="Reinforcement Steel"/>
      <sheetName val="Feb'19 Tax Invoice"/>
      <sheetName val="Structural Steel"/>
      <sheetName val="Feb'19 Tax Invoice (2)"/>
      <sheetName val="Qty. Cumulative Abstract"/>
      <sheetName val="BSheet"/>
      <sheetName val="Schedule (2)"/>
      <sheetName val="#REF!"/>
      <sheetName val="-ve Variation-Annx-1-Page-1"/>
      <sheetName val="Annexure-1-Page-2"/>
      <sheetName val="Summary of variations-Anx-2"/>
      <sheetName val="CTP-13-Abstract-On Account Bill"/>
      <sheetName val="Abstract-including GST"/>
      <sheetName val="Abstract-Annexure-1"/>
      <sheetName val="NLD_-_Assum2"/>
      <sheetName val="3cd_Annexure2"/>
      <sheetName val="Sludge_Cal2"/>
      <sheetName val="Operating_Statistics2"/>
      <sheetName val="Story_Drift-Part_22"/>
      <sheetName val="schedule_nos2"/>
      <sheetName val="RCC,Ret__Wall2"/>
      <sheetName val="Ave_wtd_rates2"/>
      <sheetName val="Material_2"/>
      <sheetName val="Bechtel_Norms2"/>
      <sheetName val="CS_PIPING2"/>
      <sheetName val="TECH_DATA2"/>
      <sheetName val="MASTER_RATE_ANALYSIS1"/>
      <sheetName val="PA-_Consutant_1"/>
      <sheetName val="Works_-_Quote_Sheet1"/>
      <sheetName val="Top_sheet1"/>
      <sheetName val="M-Book_for_Conc1"/>
      <sheetName val="Rein_Steel1"/>
      <sheetName val="M-Book_for_FW1"/>
      <sheetName val="M-Book_others1"/>
      <sheetName val="M-Book_filling1"/>
      <sheetName val="beam-reinft-machine_rm1"/>
      <sheetName val="Structure_Bills_Qty1"/>
      <sheetName val="water_prop_1"/>
      <sheetName val="beam-reinft-IIInd_floor1"/>
      <sheetName val="IRP_all_H2s1"/>
      <sheetName val="old_serial_no_1"/>
      <sheetName val="@risk_rents_and_incentives1"/>
      <sheetName val="Car_park_lease1"/>
      <sheetName val="Net_rent_analysis1"/>
      <sheetName val="Inter_Co_Balances1"/>
      <sheetName val="SP_Break_Up1"/>
      <sheetName val="Debtors_Service_Tax"/>
      <sheetName val="Stru_Labour_rate"/>
      <sheetName val="Curing_Analysis"/>
      <sheetName val="MS_items"/>
      <sheetName val="Tunnel_Fw"/>
      <sheetName val="Segment_Report_working"/>
      <sheetName val="Fixed_Assets_&amp;_Depreciation"/>
      <sheetName val="Slope_area"/>
      <sheetName val="MS_Rates"/>
      <sheetName val="Array_(2)"/>
      <sheetName val="Back_Cal_for_OMC"/>
      <sheetName val="IT-Fri_Base"/>
      <sheetName val="std_wt_"/>
      <sheetName val="Area_Statement"/>
      <sheetName val="Plant_Used_in_CATS_"/>
      <sheetName val="Basic_Rate"/>
      <sheetName val="R_A_"/>
      <sheetName val="Summ"/>
      <sheetName val="Data sheet"/>
      <sheetName val="Door"/>
      <sheetName val="Sheet3 (2)"/>
      <sheetName val="GRSummary"/>
      <sheetName val="Beamsked"/>
      <sheetName val="Columnsked"/>
      <sheetName val="PC"/>
      <sheetName val="Material Advance"/>
      <sheetName val="MB"/>
      <sheetName val="Tax-Invoice.(Interior &amp; Civil)"/>
      <sheetName val="Appendix - 1"/>
      <sheetName val="BOQ ID"/>
      <sheetName val="MB ID"/>
      <sheetName val="Appendix - 10"/>
      <sheetName val="Nt Items"/>
      <sheetName val="A,TL,Toi"/>
      <sheetName val="Swati RA"/>
      <sheetName val="Neyo RA"/>
      <sheetName val="Sheet18"/>
      <sheetName val="basic-data"/>
      <sheetName val="mem-property"/>
      <sheetName val="PCost"/>
      <sheetName val="DSCR"/>
      <sheetName val="CF - WW"/>
      <sheetName val="1 BED "/>
      <sheetName val="Dropdowns"/>
      <sheetName val="C (3)"/>
      <sheetName val="입찰내역 발주처 양식"/>
      <sheetName val="LMB Forecast plan"/>
      <sheetName val="Process"/>
      <sheetName val="Income Statement-OCPL Projects"/>
      <sheetName val="N-Amritsar 135"/>
      <sheetName val="CF Input"/>
      <sheetName val="Certificates"/>
      <sheetName val="DATA INPUT"/>
      <sheetName val="Col-Schedule"/>
      <sheetName val="C3"/>
      <sheetName val="Torque"/>
      <sheetName val="DOKA shutter design"/>
      <sheetName val="Steel shutter design"/>
      <sheetName val="Trestle"/>
      <sheetName val="gantry cranes"/>
      <sheetName val="bolted splice"/>
      <sheetName val="Bolts"/>
      <sheetName val="piercap truss"/>
      <sheetName val="pipe"/>
      <sheetName val="Table 19"/>
      <sheetName val="Labour &amp; Material"/>
      <sheetName val="사진"/>
      <sheetName val="Name Lists"/>
      <sheetName val="IO_List4"/>
      <sheetName val="Road Detail Est."/>
      <sheetName val="Road data"/>
      <sheetName val="IO_List5"/>
      <sheetName val="b.s.chalam"/>
      <sheetName val="vamsi"/>
      <sheetName val="Final Bill of Material"/>
      <sheetName val="ge"/>
      <sheetName val="abb"/>
      <sheetName val="Top Sheet (PZ)"/>
      <sheetName val="Daywise Summary"/>
      <sheetName val="Road wise summary"/>
      <sheetName val="Amit Singh"/>
      <sheetName val="RP Pal"/>
      <sheetName val="Debender"/>
      <sheetName val="SWD Road WISE Total Qty"/>
      <sheetName val="Done Qty. FTM"/>
      <sheetName val="Precast Scope"/>
      <sheetName val="KPN"/>
      <sheetName val="AS (PZ)"/>
      <sheetName val="KPN (PZ)"/>
      <sheetName val="QTY-CRUST-SR"/>
      <sheetName val="Approaches"/>
      <sheetName val="Vertical profile"/>
      <sheetName val="工程月報彙總表"/>
      <sheetName val="Abstract "/>
      <sheetName val="Calendar"/>
      <sheetName val="Earthwork"/>
      <sheetName val="MECH-1"/>
      <sheetName val="Quantity"/>
      <sheetName val="Rate Breakdowns (Civil)"/>
      <sheetName val="Materials "/>
      <sheetName val="MAchinery(R1)"/>
      <sheetName val="5 Analysis"/>
      <sheetName val="PNM"/>
      <sheetName val="TUNE"/>
      <sheetName val="4.BOQ_air"/>
      <sheetName val="BOQ_GEN"/>
      <sheetName val="BOQ_DES"/>
      <sheetName val="MLR"/>
      <sheetName val="Salaries"/>
      <sheetName val="ENG"/>
      <sheetName val="BUD-8306"/>
      <sheetName val="Meas.-Hotel Part"/>
      <sheetName val="Ground_Floor"/>
      <sheetName val="BASIS_-DEC_08"/>
      <sheetName val="STAFFSCHED_"/>
      <sheetName val="Final MEASUREMENT RA - 04"/>
      <sheetName val="foot-slab reinft"/>
      <sheetName val="Summary of Abst."/>
      <sheetName val="Civil Works"/>
      <sheetName val="WPR-IV"/>
      <sheetName val="Analysis-Pav"/>
      <sheetName val="3.9 Tension Crash Barrier"/>
      <sheetName val="3.12 Stone Pitching"/>
      <sheetName val="1.Prelims"/>
      <sheetName val="3.10 Misc. Concrete"/>
      <sheetName val="3.13 14 Protection"/>
      <sheetName val="3.8 ROAD signs"/>
      <sheetName val="Sump_cal"/>
      <sheetName val="dlvoid"/>
      <sheetName val="Rate Analysis "/>
      <sheetName val="3. Elemental Summary"/>
      <sheetName val="pri-com"/>
      <sheetName val="Unit.prices"/>
      <sheetName val="Concrete_11_14"/>
      <sheetName val="Concrete_20_23"/>
      <sheetName val="Concrete_25"/>
      <sheetName val="Measurement 26"/>
      <sheetName val="Measurement 27"/>
      <sheetName val="Concrete_28"/>
      <sheetName val="Concrete 30"/>
      <sheetName val="Concrete_31"/>
      <sheetName val="Concrete_32"/>
      <sheetName val="Measurement utility"/>
      <sheetName val="Concrete_34"/>
      <sheetName val="measurement_1_2_3_5_6_8_1"/>
      <sheetName val="Measurement sump"/>
      <sheetName val="Filling_final "/>
      <sheetName val="Additional Items"/>
      <sheetName val="Measur Storm"/>
      <sheetName val="Concrete_10"/>
      <sheetName val="Concrete 26"/>
      <sheetName val="Concrete_27"/>
      <sheetName val="Concrete_33"/>
      <sheetName val="Concrete_1_2_3_5_6_8_1"/>
      <sheetName val="Concrete_37"/>
      <sheetName val="Road work"/>
      <sheetName val="Storm water"/>
      <sheetName val="dBase"/>
      <sheetName val="Boq Block A"/>
      <sheetName val="Material&amp;equipment"/>
      <sheetName val="Materials Cost"/>
      <sheetName val="Basisdaten"/>
      <sheetName val="Vordruck-Nr. 7.1.3_D"/>
      <sheetName val="Ersatzteile"/>
      <sheetName val="C"/>
      <sheetName val="D"/>
      <sheetName val="E"/>
      <sheetName val="G"/>
      <sheetName val="H"/>
      <sheetName val="I"/>
      <sheetName val="K"/>
      <sheetName val="L"/>
      <sheetName val="M"/>
      <sheetName val="N"/>
      <sheetName val="O"/>
      <sheetName val="T"/>
      <sheetName val="U"/>
      <sheetName val="M&amp;A D"/>
      <sheetName val="M&amp;A E"/>
      <sheetName val="M&amp;A G"/>
      <sheetName val="FINANCIAL (FLR)"/>
      <sheetName val="ONE TIME"/>
      <sheetName val="S.BAHAN"/>
      <sheetName val="S.UPAH"/>
      <sheetName val="Spec"/>
      <sheetName val="Bar.Sched"/>
      <sheetName val="Bill-12"/>
      <sheetName val="Camp Power Cost"/>
      <sheetName val="Struct"/>
      <sheetName val="Materials_Cost(PCC)"/>
      <sheetName val="L&amp;T_formwork_system"/>
      <sheetName val="Pile_load_test-Rock_anchor"/>
      <sheetName val="Design_(singly_reinforced_beam)"/>
      <sheetName val="Hoop_stress"/>
      <sheetName val="shoring_using_plates"/>
      <sheetName val="Gantry_track"/>
      <sheetName val="DESIGN-abut-pile_fdn_-11"/>
      <sheetName val="Khalifa_Parkf"/>
      <sheetName val="Top_Sheet_(PZ)"/>
      <sheetName val="Daywise_Summary"/>
      <sheetName val="Road_wise_summary"/>
      <sheetName val="Amit_Singh"/>
      <sheetName val="RP_Pal"/>
      <sheetName val="SWD_Road_WISE_Total_Qty"/>
      <sheetName val="Done_Qty__FTM"/>
      <sheetName val="Precast_Scope"/>
      <sheetName val="AS_(PZ)"/>
      <sheetName val="KPN_(PZ)"/>
      <sheetName val="DOKA_shutter_design"/>
      <sheetName val="Steel_shutter_design"/>
      <sheetName val="gantry_cranes"/>
      <sheetName val="bolted_splice"/>
      <sheetName val="piercap_truss"/>
      <sheetName val="Table_19"/>
      <sheetName val="Vertical_profile"/>
      <sheetName val="Pile_cap"/>
      <sheetName val="-ve_Variation-Annx-1-Page-1"/>
      <sheetName val="Summary_of_variations-Anx-2"/>
      <sheetName val="CTP-13-Abstract-On_Account_Bill"/>
      <sheetName val="Abstract-including_GST"/>
      <sheetName val="Abstract_"/>
      <sheetName val="Rate_Breakdowns_(Civil)"/>
      <sheetName val="Materials_"/>
      <sheetName val="5_Analysis"/>
      <sheetName val="4_BOQ_air"/>
      <sheetName val="Civil-main_building11"/>
      <sheetName val="Civil-amenities_buildings11"/>
      <sheetName val="Roads-pavement-path_ways11"/>
      <sheetName val="C-Wall_BOQ11"/>
      <sheetName val="GR_slab-reinft11"/>
      <sheetName val="4_Annex_1_Basic_rate7"/>
      <sheetName val="PointNo_58"/>
      <sheetName val="Stress_Calculation8"/>
      <sheetName val="GUT_(2)8"/>
      <sheetName val="PRECAST_lightconc-II8"/>
      <sheetName val="Tender_Summary8"/>
      <sheetName val="_Net_Break_Down8"/>
      <sheetName val="PROG_SUMMARY4"/>
      <sheetName val="SPT_vs_PHI8"/>
      <sheetName val="K_Ajeet8"/>
      <sheetName val="SITE_OVERHEADS8"/>
      <sheetName val="Bill_No_2_to_8_(Rev)8"/>
      <sheetName val="Fill_this_out_first___8"/>
      <sheetName val="GF_Columns8"/>
      <sheetName val="Assumption_Inputs8"/>
      <sheetName val="Bill_3_-_Site_Works8"/>
      <sheetName val="BSH_num8"/>
      <sheetName val="11B_8"/>
      <sheetName val="Fin_Sum7"/>
      <sheetName val="AutoOpen_Stub_Data7"/>
      <sheetName val="INDIGINEOUS_ITEMS_7"/>
      <sheetName val="07016,_Master_List-Major_Minor7"/>
      <sheetName val="Staff_Acco_8"/>
      <sheetName val="C_Sum7"/>
      <sheetName val="A_Sum7"/>
      <sheetName val="labour_coeff8"/>
      <sheetName val="Bank_Guarantee7"/>
      <sheetName val="Debits_as_on_12_04_088"/>
      <sheetName val="Bridges_RB7"/>
      <sheetName val="Analysis_Justi_7"/>
      <sheetName val="Qty_Esti_-TCS7"/>
      <sheetName val="Abst_Jo7"/>
      <sheetName val="Detail_In_Door_Stad7"/>
      <sheetName val="SUMMARY_ALL_CO'S7"/>
      <sheetName val="Ave_wtd_rates3"/>
      <sheetName val="Material_3"/>
      <sheetName val="Sludge_Cal3"/>
      <sheetName val="Break_up_Sheet7"/>
      <sheetName val="S_&amp;_A7"/>
      <sheetName val="NLD_-_Assum3"/>
      <sheetName val="5_NOT_REQUIRED7"/>
      <sheetName val="Deduction_of_assets7"/>
      <sheetName val="A_O_R_r1Str3"/>
      <sheetName val="A_O_R_r13"/>
      <sheetName val="A_O_R_(2)3"/>
      <sheetName val="3cd_Annexure3"/>
      <sheetName val="Operating_Statistics3"/>
      <sheetName val="BLOCK-A_(MEA_SHEET)3"/>
      <sheetName val="Basement_Budget4"/>
      <sheetName val="INPUT_SHEET4"/>
      <sheetName val="FITZ_MORT_944"/>
      <sheetName val="Bechtel_Norms3"/>
      <sheetName val="CS_PIPING3"/>
      <sheetName val="TECH_DATA3"/>
      <sheetName val="BOQ_(2)3"/>
      <sheetName val="Story_Drift-Part_23"/>
      <sheetName val="schedule_nos3"/>
      <sheetName val="RCC,Ret__Wall3"/>
      <sheetName val="Balance_sheet_DCCDL_Nov_062"/>
      <sheetName val="_COP_100%2"/>
      <sheetName val="Rate_analysis2"/>
      <sheetName val="Basic_Rates2"/>
      <sheetName val="Top_sheet2"/>
      <sheetName val="M-Book_for_Conc2"/>
      <sheetName val="Rein_Steel2"/>
      <sheetName val="M-Book_for_FW2"/>
      <sheetName val="M-Book_others2"/>
      <sheetName val="M-Book_filling2"/>
      <sheetName val="beam-reinft-machine_rm2"/>
      <sheetName val="Bill_12"/>
      <sheetName val="Bill_22"/>
      <sheetName val="Bill_32"/>
      <sheetName val="Bill_42"/>
      <sheetName val="Bill_52"/>
      <sheetName val="Bill_62"/>
      <sheetName val="Bill_72"/>
      <sheetName val="AoR_Finishing2"/>
      <sheetName val="water_prop_2"/>
      <sheetName val="9__Package_split_-_Cost_2"/>
      <sheetName val="Labour_&amp;_Plant2"/>
      <sheetName val="DETAILED__BOQ2"/>
      <sheetName val="LABOUR_RATE2"/>
      <sheetName val="Material_Rate2"/>
      <sheetName val="MASTER_RATE_ANALYSIS2"/>
      <sheetName val="PA-_Consutant_2"/>
      <sheetName val="Works_-_Quote_Sheet2"/>
      <sheetName val="Allg__Angaben2"/>
      <sheetName val="Section_3_DPR1"/>
      <sheetName val="IRP_all_H2s2"/>
      <sheetName val="@risk_rents_and_incentives2"/>
      <sheetName val="Car_park_lease2"/>
      <sheetName val="Net_rent_analysis2"/>
      <sheetName val="UNP-NCW_1"/>
      <sheetName val="beam-reinft-IIInd_floor2"/>
      <sheetName val="(Do_not_delete)1"/>
      <sheetName val="Podium_Areas2"/>
      <sheetName val="old_serial_no_2"/>
      <sheetName val="Structure_Bills_Qty2"/>
      <sheetName val="A_O_R_2"/>
      <sheetName val="SC_Cost_FEB_031"/>
      <sheetName val="Slope_area1"/>
      <sheetName val="MS_Rates1"/>
      <sheetName val="Array_(2)1"/>
      <sheetName val="Flanged_Beams1"/>
      <sheetName val="Rectangular_Beam1"/>
      <sheetName val="BC_&amp;_MNB_1"/>
      <sheetName val="final_abstract1"/>
      <sheetName val="Back_Cal_for_OMC1"/>
      <sheetName val="BOD_PL_NEW1"/>
      <sheetName val="Boq-_Civil1"/>
      <sheetName val="Input_&amp;_Calculations1"/>
      <sheetName val="R_A_1"/>
      <sheetName val="Westin_FOH_&amp;_BOH_Split1"/>
      <sheetName val="L&amp;T_formwork_system1"/>
      <sheetName val="Pile_load_test-Rock_anchor1"/>
      <sheetName val="Design_(singly_reinforced_beam1"/>
      <sheetName val="Hoop_stress1"/>
      <sheetName val="shoring_using_plates1"/>
      <sheetName val="Gantry_track1"/>
      <sheetName val="Materials_Cost(PCC)1"/>
      <sheetName val="Inter_Co_Balances2"/>
      <sheetName val="Fin__Assumpt__-_Sensitivities1"/>
      <sheetName val="SP_Break_Up2"/>
      <sheetName val="Load_Details(B2)1"/>
      <sheetName val="Validation_sheet1"/>
      <sheetName val="DESIGN-abut-pile_fdn_-111"/>
      <sheetName val="DOKA_shutter_design1"/>
      <sheetName val="Steel_shutter_design1"/>
      <sheetName val="gantry_cranes1"/>
      <sheetName val="bolted_splice1"/>
      <sheetName val="piercap_truss1"/>
      <sheetName val="Table_191"/>
      <sheetName val="Khalifa_Parkf1"/>
      <sheetName val="Debtors_analysis1"/>
      <sheetName val="Total_Debtors_Ageing_Sheet1"/>
      <sheetName val="Debtors_Service_Tax1"/>
      <sheetName val="rent_&amp;_value_assumptions1"/>
      <sheetName val="PSDA_detailed_cashflow_for_deb1"/>
      <sheetName val="Financing_Assumptions1"/>
      <sheetName val="Equity_shares_analysis1"/>
      <sheetName val="Loan_B_interest1"/>
      <sheetName val="Loan_covenant_tests1"/>
      <sheetName val="Rents_committed1"/>
      <sheetName val="LCC_profit_share_calculation1"/>
      <sheetName val="Loan_A_interest_guarantee1"/>
      <sheetName val="Top_Sheet_(PZ)1"/>
      <sheetName val="Daywise_Summary1"/>
      <sheetName val="Road_wise_summary1"/>
      <sheetName val="Amit_Singh1"/>
      <sheetName val="RP_Pal1"/>
      <sheetName val="SWD_Road_WISE_Total_Qty1"/>
      <sheetName val="Done_Qty__FTM1"/>
      <sheetName val="Precast_Scope1"/>
      <sheetName val="AS_(PZ)1"/>
      <sheetName val="KPN_(PZ)1"/>
      <sheetName val="Vertical_profile1"/>
      <sheetName val="Pile_cap1"/>
      <sheetName val="IT-Fri_Base1"/>
      <sheetName val="TBAL9697_-group_wise__sdpl1"/>
      <sheetName val="MN_T_B_1"/>
      <sheetName val="CFForecast_detail1"/>
      <sheetName val="Project_Budget_Worksheet1"/>
      <sheetName val="Sales_&amp;_Prod1"/>
      <sheetName val="kppl_pl1"/>
      <sheetName val="Light_fitt1"/>
      <sheetName val="Inc_St_-Link1"/>
      <sheetName val="Area_Statement1"/>
      <sheetName val="UPA(Part_C,D,E,G,H)1"/>
      <sheetName val="Detail_P&amp;L1"/>
      <sheetName val="Assumption_Sheet1"/>
      <sheetName val="Segment_Report_working1"/>
      <sheetName val="Fixed_Assets_&amp;_Depreciation1"/>
      <sheetName val="Stru_Labour_rate1"/>
      <sheetName val="Curing_Analysis1"/>
      <sheetName val="MS_items1"/>
      <sheetName val="Tunnel_Fw1"/>
      <sheetName val="Revised_Summary1"/>
      <sheetName val="accom_cash1"/>
      <sheetName val="std_wt_1"/>
      <sheetName val="-ve_Variation-Annx-1-Page-11"/>
      <sheetName val="Summary_of_variations-Anx-21"/>
      <sheetName val="CTP-13-Abstract-On_Account_Bil1"/>
      <sheetName val="Abstract-including_GST1"/>
      <sheetName val="Administrative_Prices1"/>
      <sheetName val="Civil_Boq1"/>
      <sheetName val="d-safe_specs1"/>
      <sheetName val="Site_Dev_BOQ1"/>
      <sheetName val="Extra_Item1"/>
      <sheetName val="Source_Ref_1"/>
      <sheetName val="ESI_&amp;_PF_DELHI1"/>
      <sheetName val="Core_Data1"/>
      <sheetName val="train_cash1"/>
      <sheetName val="Abstract_1"/>
      <sheetName val="Project_Master1"/>
      <sheetName val="Rate_Breakdowns_(Civil)1"/>
      <sheetName val="Materials_1"/>
      <sheetName val="5_Analysis1"/>
      <sheetName val="4_BOQ_air1"/>
      <sheetName val="RAte analyis"/>
      <sheetName val="Quotation"/>
      <sheetName val="Ply"/>
      <sheetName val="Sum_Mech"/>
      <sheetName val="Valves Erec. -IV"/>
      <sheetName val="BBH"/>
      <sheetName val="raw"/>
      <sheetName val="???? ??? ??"/>
      <sheetName val="Shape of Bars"/>
      <sheetName val="Boq (Main Building)"/>
      <sheetName val="Asset9809CAK"/>
      <sheetName val="DATE"/>
      <sheetName val="Summary output"/>
      <sheetName val="party"/>
      <sheetName val="Civil-main_building12"/>
      <sheetName val="Civil-amenities_buildings12"/>
      <sheetName val="Roads-pavement-path_ways12"/>
      <sheetName val="C-Wall_BOQ12"/>
      <sheetName val="GR_slab-reinft12"/>
      <sheetName val="4_Annex_1_Basic_rate8"/>
      <sheetName val="GUT_(2)9"/>
      <sheetName val="PointNo_59"/>
      <sheetName val="Stress_Calculation9"/>
      <sheetName val="PRECAST_lightconc-II9"/>
      <sheetName val="Tender_Summary9"/>
      <sheetName val="_Net_Break_Down9"/>
      <sheetName val="PROG_SUMMARY5"/>
      <sheetName val="SPT_vs_PHI9"/>
      <sheetName val="K_Ajeet9"/>
      <sheetName val="SITE_OVERHEADS9"/>
      <sheetName val="Bill_No_2_to_8_(Rev)9"/>
      <sheetName val="Fill_this_out_first___9"/>
      <sheetName val="GF_Columns9"/>
      <sheetName val="Assumption_Inputs9"/>
      <sheetName val="Bill_3_-_Site_Works9"/>
      <sheetName val="BSH_num9"/>
      <sheetName val="11B_9"/>
      <sheetName val="Fin_Sum8"/>
      <sheetName val="AutoOpen_Stub_Data8"/>
      <sheetName val="INDIGINEOUS_ITEMS_8"/>
      <sheetName val="07016,_Master_List-Major_Minor8"/>
      <sheetName val="Staff_Acco_9"/>
      <sheetName val="C_Sum8"/>
      <sheetName val="A_Sum8"/>
      <sheetName val="IO_List6"/>
      <sheetName val="labour_coeff9"/>
      <sheetName val="Bank_Guarantee8"/>
      <sheetName val="Debits_as_on_12_04_089"/>
      <sheetName val="Bridges_RB8"/>
      <sheetName val="Analysis_Justi_8"/>
      <sheetName val="Qty_Esti_-TCS8"/>
      <sheetName val="Abst_Jo8"/>
      <sheetName val="Detail_In_Door_Stad8"/>
      <sheetName val="SUMMARY_ALL_CO'S8"/>
      <sheetName val="Ave_wtd_rates4"/>
      <sheetName val="Material_4"/>
      <sheetName val="Sludge_Cal4"/>
      <sheetName val="Break_up_Sheet8"/>
      <sheetName val="S_&amp;_A8"/>
      <sheetName val="NLD_-_Assum4"/>
      <sheetName val="5_NOT_REQUIRED8"/>
      <sheetName val="Deduction_of_assets8"/>
      <sheetName val="A_O_R_r1Str4"/>
      <sheetName val="A_O_R_r14"/>
      <sheetName val="A_O_R_(2)4"/>
      <sheetName val="Basement_Budget5"/>
      <sheetName val="INPUT_SHEET5"/>
      <sheetName val="FITZ_MORT_945"/>
      <sheetName val="3cd_Annexure4"/>
      <sheetName val="Operating_Statistics4"/>
      <sheetName val="BLOCK-A_(MEA_SHEET)4"/>
      <sheetName val="Bechtel_Norms4"/>
      <sheetName val="CS_PIPING4"/>
      <sheetName val="TECH_DATA4"/>
      <sheetName val="BOQ_(2)4"/>
      <sheetName val="Story_Drift-Part_24"/>
      <sheetName val="schedule_nos4"/>
      <sheetName val="RCC,Ret__Wall4"/>
      <sheetName val="Balance_sheet_DCCDL_Nov_063"/>
      <sheetName val="_COP_100%3"/>
      <sheetName val="Rate_analysis3"/>
      <sheetName val="Basic_Rates3"/>
      <sheetName val="Top_sheet3"/>
      <sheetName val="M-Book_for_Conc3"/>
      <sheetName val="Rein_Steel3"/>
      <sheetName val="M-Book_for_FW3"/>
      <sheetName val="M-Book_others3"/>
      <sheetName val="M-Book_filling3"/>
      <sheetName val="beam-reinft-machine_rm3"/>
      <sheetName val="Bill_13"/>
      <sheetName val="Bill_23"/>
      <sheetName val="Bill_33"/>
      <sheetName val="Bill_43"/>
      <sheetName val="Bill_53"/>
      <sheetName val="Bill_63"/>
      <sheetName val="Bill_73"/>
      <sheetName val="AoR_Finishing3"/>
      <sheetName val="water_prop_3"/>
      <sheetName val="Labour_&amp;_Plant3"/>
      <sheetName val="9__Package_split_-_Cost_3"/>
      <sheetName val="DETAILED__BOQ3"/>
      <sheetName val="Works_-_Quote_Sheet3"/>
      <sheetName val="LABOUR_RATE3"/>
      <sheetName val="Material_Rate3"/>
      <sheetName val="MASTER_RATE_ANALYSIS3"/>
      <sheetName val="PA-_Consutant_3"/>
      <sheetName val="IRP_all_H2s3"/>
      <sheetName val="Allg__Angaben3"/>
      <sheetName val="@risk_rents_and_incentives3"/>
      <sheetName val="Car_park_lease3"/>
      <sheetName val="Net_rent_analysis3"/>
      <sheetName val="A_O_R_3"/>
      <sheetName val="Podium_Areas3"/>
      <sheetName val="Section_3_DPR2"/>
      <sheetName val="UNP-NCW_2"/>
      <sheetName val="beam-reinft-IIInd_floor3"/>
      <sheetName val="(Do_not_delete)2"/>
      <sheetName val="old_serial_no_3"/>
      <sheetName val="Structure_Bills_Qty3"/>
      <sheetName val="SC_Cost_FEB_032"/>
      <sheetName val="Slope_area2"/>
      <sheetName val="MS_Rates2"/>
      <sheetName val="Array_(2)2"/>
      <sheetName val="Flanged_Beams2"/>
      <sheetName val="Rectangular_Beam2"/>
      <sheetName val="Back_Cal_for_OMC2"/>
      <sheetName val="final_abstract2"/>
      <sheetName val="Boq-_Civil2"/>
      <sheetName val="Input_&amp;_Calculations2"/>
      <sheetName val="BC_&amp;_MNB_2"/>
      <sheetName val="BOD_PL_NEW2"/>
      <sheetName val="Westin_FOH_&amp;_BOH_Split2"/>
      <sheetName val="R_A_2"/>
      <sheetName val="Inter_Co_Balances3"/>
      <sheetName val="Fin__Assumpt__-_Sensitivities2"/>
      <sheetName val="SP_Break_Up3"/>
      <sheetName val="Load_Details(B2)2"/>
      <sheetName val="Materials_Cost(PCC)2"/>
      <sheetName val="Validation_sheet2"/>
      <sheetName val="L&amp;T_formwork_system2"/>
      <sheetName val="Pile_load_test-Rock_anchor2"/>
      <sheetName val="Design_(singly_reinforced_beam2"/>
      <sheetName val="Hoop_stress2"/>
      <sheetName val="shoring_using_plates2"/>
      <sheetName val="Gantry_track2"/>
      <sheetName val="DESIGN-abut-pile_fdn_-112"/>
      <sheetName val="Khalifa_Parkf2"/>
      <sheetName val="Debtors_analysis2"/>
      <sheetName val="Total_Debtors_Ageing_Sheet2"/>
      <sheetName val="Debtors_Service_Tax2"/>
      <sheetName val="Top_Sheet_(PZ)2"/>
      <sheetName val="Daywise_Summary2"/>
      <sheetName val="Road_wise_summary2"/>
      <sheetName val="Amit_Singh2"/>
      <sheetName val="RP_Pal2"/>
      <sheetName val="SWD_Road_WISE_Total_Qty2"/>
      <sheetName val="Done_Qty__FTM2"/>
      <sheetName val="Precast_Scope2"/>
      <sheetName val="AS_(PZ)2"/>
      <sheetName val="KPN_(PZ)2"/>
      <sheetName val="rent_&amp;_value_assumptions2"/>
      <sheetName val="PSDA_detailed_cashflow_for_deb2"/>
      <sheetName val="Financing_Assumptions2"/>
      <sheetName val="Equity_shares_analysis2"/>
      <sheetName val="Loan_B_interest2"/>
      <sheetName val="Loan_covenant_tests2"/>
      <sheetName val="Rents_committed2"/>
      <sheetName val="LCC_profit_share_calculation2"/>
      <sheetName val="Loan_A_interest_guarantee2"/>
      <sheetName val="DOKA_shutter_design2"/>
      <sheetName val="Steel_shutter_design2"/>
      <sheetName val="gantry_cranes2"/>
      <sheetName val="bolted_splice2"/>
      <sheetName val="piercap_truss2"/>
      <sheetName val="Table_192"/>
      <sheetName val="Vertical_profile2"/>
      <sheetName val="Pile_cap2"/>
      <sheetName val="IT-Fri_Base2"/>
      <sheetName val="TBAL9697_-group_wise__sdpl2"/>
      <sheetName val="MN_T_B_2"/>
      <sheetName val="CFForecast_detail2"/>
      <sheetName val="Project_Budget_Worksheet2"/>
      <sheetName val="Sales_&amp;_Prod2"/>
      <sheetName val="kppl_pl2"/>
      <sheetName val="Light_fitt2"/>
      <sheetName val="Inc_St_-Link2"/>
      <sheetName val="Area_Statement2"/>
      <sheetName val="UPA(Part_C,D,E,G,H)2"/>
      <sheetName val="Detail_P&amp;L2"/>
      <sheetName val="Assumption_Sheet2"/>
      <sheetName val="Segment_Report_working2"/>
      <sheetName val="Fixed_Assets_&amp;_Depreciation2"/>
      <sheetName val="Stru_Labour_rate2"/>
      <sheetName val="Curing_Analysis2"/>
      <sheetName val="MS_items2"/>
      <sheetName val="Tunnel_Fw2"/>
      <sheetName val="Revised_Summary2"/>
      <sheetName val="accom_cash2"/>
      <sheetName val="std_wt_2"/>
      <sheetName val="-ve_Variation-Annx-1-Page-12"/>
      <sheetName val="Summary_of_variations-Anx-22"/>
      <sheetName val="CTP-13-Abstract-On_Account_Bil2"/>
      <sheetName val="Abstract-including_GST2"/>
      <sheetName val="Administrative_Prices2"/>
      <sheetName val="Civil_Boq2"/>
      <sheetName val="d-safe_specs2"/>
      <sheetName val="Site_Dev_BOQ2"/>
      <sheetName val="Extra_Item2"/>
      <sheetName val="Source_Ref_2"/>
      <sheetName val="ESI_&amp;_PF_DELHI2"/>
      <sheetName val="Core_Data2"/>
      <sheetName val="train_cash2"/>
      <sheetName val="Abstract_2"/>
      <sheetName val="Project_Master2"/>
      <sheetName val="Rate_Breakdowns_(Civil)2"/>
      <sheetName val="Materials_2"/>
      <sheetName val="5_Analysis2"/>
      <sheetName val="4_BOQ_air2"/>
      <sheetName val="KAR"/>
      <sheetName val="bba"/>
      <sheetName val="Actual 2010-11"/>
      <sheetName val="Actual 2009-10"/>
      <sheetName val="Budget 2010-11"/>
      <sheetName val="Bar Chart - FHL (M)"/>
      <sheetName val="Definitions"/>
      <sheetName val="SRC-B3U2"/>
      <sheetName val="Details"/>
      <sheetName val="cables"/>
      <sheetName val="Validation_Data"/>
      <sheetName val="MA"/>
      <sheetName val="precast RC element"/>
      <sheetName val="Balustrade"/>
      <sheetName val="Indirects_1"/>
      <sheetName val="Area_Analysis1"/>
      <sheetName val="Ground_Floor1"/>
      <sheetName val="BASIS_-DEC_081"/>
      <sheetName val="STAFFSCHED_1"/>
      <sheetName val="DETAIL_SHEET1"/>
      <sheetName val="NOT_FULL_RESTRAINT"/>
      <sheetName val="BEARING_&amp;_BUCKLING"/>
      <sheetName val="Detail_1A"/>
      <sheetName val="TRIAL_BALANCE"/>
      <sheetName val="Data_sheet"/>
      <sheetName val="Sheet3_(2)"/>
      <sheetName val="Legal_Risk_Analysis"/>
      <sheetName val="M_S_"/>
      <sheetName val="CIP_Summary_0012"/>
      <sheetName val="CIP_Detail_0011"/>
      <sheetName val="99_to_00_blns"/>
      <sheetName val="PPA_Summary"/>
      <sheetName val="Data_Tables"/>
      <sheetName val="SCHEDULE_OF_RATES"/>
      <sheetName val="1_01_(a)"/>
      <sheetName val="MERGED_CODES_&amp;_NAMES"/>
      <sheetName val="Bed_Class"/>
      <sheetName val="Indirects_2"/>
      <sheetName val="Area_Analysis2"/>
      <sheetName val="Ground_Floor2"/>
      <sheetName val="BASIS_-DEC_082"/>
      <sheetName val="DETAIL_SHEET2"/>
      <sheetName val="Basic_Rate1"/>
      <sheetName val="PPA_Summary1"/>
      <sheetName val="Data_Tables1"/>
      <sheetName val="STAFFSCHED_2"/>
      <sheetName val="L_(4)1"/>
      <sheetName val="NOT_FULL_RESTRAINT1"/>
      <sheetName val="BEARING_&amp;_BUCKLING1"/>
      <sheetName val="Detail_1A1"/>
      <sheetName val="TRIAL_BALANCE1"/>
      <sheetName val="Legal_Risk_Analysis1"/>
      <sheetName val="M_S_1"/>
      <sheetName val="CIP_Summary_00121"/>
      <sheetName val="CIP_Detail_00111"/>
      <sheetName val="99_to_00_blns1"/>
      <sheetName val="Data_sheet1"/>
      <sheetName val="Sheet3_(2)1"/>
      <sheetName val="Analisa_STR1"/>
      <sheetName val="cost_summary1"/>
      <sheetName val="Elec_Summ1"/>
      <sheetName val="ELEC_BOQ2"/>
      <sheetName val="TRACK_BUSWAY1"/>
      <sheetName val="SCHEDULE_OF_RATES1"/>
      <sheetName val="1_01_(a)1"/>
      <sheetName val="MERGED_CODES_&amp;_NAMES1"/>
      <sheetName val="Bed_Class1"/>
      <sheetName val="Oracle_Upload1"/>
      <sheetName val="qty_schedule1"/>
      <sheetName val="Plant_Used_in_CATS_1"/>
      <sheetName val="precast_RC_element"/>
      <sheetName val="Contractor-1-every_floor_5%"/>
      <sheetName val="Pulses"/>
      <sheetName val="外気負荷"/>
      <sheetName val="Material List "/>
      <sheetName val="3"/>
      <sheetName val="Sqn (Main) Abs"/>
      <sheetName val="slab"/>
      <sheetName val="PRICE-COMP"/>
      <sheetName val="Beam-design exp"/>
      <sheetName val="MAJOR QTYS"/>
      <sheetName val="대비표"/>
      <sheetName val="Change Order Log"/>
      <sheetName val="BOXCULVERT"/>
      <sheetName val="FORM5"/>
      <sheetName val="FA-BOQ"/>
      <sheetName val="Z1_DATA"/>
      <sheetName val="MHNO_LEV"/>
      <sheetName val="Vendors"/>
      <sheetName val="Bill 5 - Carpark"/>
      <sheetName val="GAE8'97"/>
      <sheetName val="JOB COSTING SHEET ELEC"/>
      <sheetName val="15"/>
      <sheetName val="SCHEDULE_(3)"/>
      <sheetName val="SCHEDULE_(3)1"/>
      <sheetName val="Contractor-1-every_floor_5%1"/>
      <sheetName val="Project Sheet"/>
      <sheetName val="Drop-down data's"/>
      <sheetName val="FA SCHEDULE"/>
      <sheetName val="Setup_Variables"/>
      <sheetName val="Schedule_(2)"/>
      <sheetName val="Covering_letter"/>
      <sheetName val="_CERTIFICATE___PAYMENT_Vendor"/>
      <sheetName val="Payment_Abstract_Vendor"/>
      <sheetName val="Cummulative_Steel_&amp;_RMC_Vendor_"/>
      <sheetName val="Vendor_Wise_Cu__Steel_&amp;_RMC"/>
      <sheetName val="Prism_johnson"/>
      <sheetName val="RMC_Qty__Cumulative_vendor_wise"/>
      <sheetName val="RMC_Backup"/>
      <sheetName val="RMC_Invoice"/>
      <sheetName val="Material_Rates"/>
      <sheetName val="Reinforcement_Steel"/>
      <sheetName val="Feb'19_Tax_Invoice"/>
      <sheetName val="Structural_Steel"/>
      <sheetName val="Feb'19_Tax_Invoice_(2)"/>
      <sheetName val="Qty__Cumulative_Abstract"/>
      <sheetName val="Gen_Info"/>
      <sheetName val="Name_Lists"/>
      <sheetName val="List_ratios"/>
      <sheetName val="OVER HEADS"/>
      <sheetName val="Beam at Ground flr lvl(Steel)"/>
      <sheetName val="TOT"/>
      <sheetName val="pt-cw"/>
      <sheetName val="Variables"/>
      <sheetName val="M.B.T-16"/>
      <sheetName val="Master Data Sheet"/>
      <sheetName val="FOH D&amp;L"/>
      <sheetName val="COMPLEXALL"/>
      <sheetName val="Civil-main_building13"/>
      <sheetName val="Civil-amenities_buildings13"/>
      <sheetName val="Roads-pavement-path_ways13"/>
      <sheetName val="C-Wall_BOQ13"/>
      <sheetName val="GR_slab-reinft13"/>
      <sheetName val="PointNo_510"/>
      <sheetName val="Stress_Calculation10"/>
      <sheetName val="PRECAST_lightconc-II10"/>
      <sheetName val="GUT_(2)10"/>
      <sheetName val="_Net_Break_Down10"/>
      <sheetName val="Tender_Summary10"/>
      <sheetName val="Bill_No_2_to_8_(Rev)10"/>
      <sheetName val="SPT_vs_PHI10"/>
      <sheetName val="11B_10"/>
      <sheetName val="BSH_num10"/>
      <sheetName val="K_Ajeet10"/>
      <sheetName val="SITE_OVERHEADS10"/>
      <sheetName val="Fill_this_out_first___10"/>
      <sheetName val="GF_Columns10"/>
      <sheetName val="Assumption_Inputs10"/>
      <sheetName val="Bill_3_-_Site_Works10"/>
      <sheetName val="4_Annex_1_Basic_rate9"/>
      <sheetName val="Staff_Acco_10"/>
      <sheetName val="Debits_as_on_12_04_0810"/>
      <sheetName val="labour_coeff10"/>
      <sheetName val="AutoOpen_Stub_Data9"/>
      <sheetName val="Fin_Sum9"/>
      <sheetName val="Bridges_RB9"/>
      <sheetName val="Analysis_Justi_9"/>
      <sheetName val="Qty_Esti_-TCS9"/>
      <sheetName val="Abst_Jo9"/>
      <sheetName val="INDIGINEOUS_ITEMS_9"/>
      <sheetName val="07016,_Master_List-Major_Minor9"/>
      <sheetName val="C_Sum9"/>
      <sheetName val="A_Sum9"/>
      <sheetName val="SUMMARY_ALL_CO'S9"/>
      <sheetName val="Detail_In_Door_Stad9"/>
      <sheetName val="S_&amp;_A9"/>
      <sheetName val="Bank_Guarantee9"/>
      <sheetName val="Deduction_of_assets9"/>
      <sheetName val="PROG_SUMMARY6"/>
      <sheetName val="Break_up_Sheet9"/>
      <sheetName val="5_NOT_REQUIRED9"/>
      <sheetName val="INPUT_SHEET6"/>
      <sheetName val="Basement_Budget6"/>
      <sheetName val="FITZ_MORT_946"/>
      <sheetName val="Basic_Rates4"/>
      <sheetName val="Rate_analysis4"/>
      <sheetName val="BLOCK-A_(MEA_SHEET)5"/>
      <sheetName val="A_O_R_r1Str5"/>
      <sheetName val="A_O_R_r15"/>
      <sheetName val="A_O_R_(2)5"/>
      <sheetName val="BOQ_(2)5"/>
      <sheetName val="Bill_14"/>
      <sheetName val="Bill_24"/>
      <sheetName val="Bill_34"/>
      <sheetName val="Bill_44"/>
      <sheetName val="Bill_54"/>
      <sheetName val="Bill_64"/>
      <sheetName val="Bill_74"/>
      <sheetName val="Balance_sheet_DCCDL_Nov_064"/>
      <sheetName val="_COP_100%4"/>
      <sheetName val="AoR_Finishing4"/>
      <sheetName val="9__Package_split_-_Cost_4"/>
      <sheetName val="Labour_&amp;_Plant4"/>
      <sheetName val="Allg__Angaben4"/>
      <sheetName val="DETAILED__BOQ4"/>
      <sheetName val="LABOUR_RATE4"/>
      <sheetName val="Material_Rate4"/>
      <sheetName val="Podium_Areas4"/>
      <sheetName val="Light_fitt3"/>
      <sheetName val="Load_Details(B2)3"/>
      <sheetName val="kppl_pl3"/>
      <sheetName val="A_O_R_4"/>
      <sheetName val="BOD_PL_NEW3"/>
      <sheetName val="final_abstract3"/>
      <sheetName val="UNP-NCW_3"/>
      <sheetName val="Section_3_DPR3"/>
      <sheetName val="TBAL9697_-group_wise__sdpl3"/>
      <sheetName val="Sales_&amp;_Prod3"/>
      <sheetName val="Flanged_Beams3"/>
      <sheetName val="Rectangular_Beam3"/>
      <sheetName val="BC_&amp;_MNB_3"/>
      <sheetName val="Debtors_analysis3"/>
      <sheetName val="Total_Debtors_Ageing_Sheet3"/>
      <sheetName val="Revised_Summary3"/>
      <sheetName val="CFForecast_detail3"/>
      <sheetName val="Project_Budget_Worksheet3"/>
      <sheetName val="Detail_P&amp;L3"/>
      <sheetName val="Assumption_Sheet3"/>
      <sheetName val="(Do_not_delete)3"/>
      <sheetName val="SC_Cost_FEB_033"/>
      <sheetName val="Slope_area3"/>
      <sheetName val="accom_cash3"/>
      <sheetName val="Inc_St_-Link3"/>
      <sheetName val="UPA(Part_C,D,E,G,H)3"/>
      <sheetName val="Dropdown_list"/>
      <sheetName val="MN_T_B_3"/>
      <sheetName val="Administrative_Prices3"/>
      <sheetName val="Civil_Boq3"/>
      <sheetName val="Data_Tables2"/>
      <sheetName val="Source_Ref_3"/>
      <sheetName val="Fin__Assumpt__-_Sensitivities3"/>
      <sheetName val="Core_Data3"/>
      <sheetName val="train_cash3"/>
      <sheetName val="d-safe_specs3"/>
      <sheetName val="Indirects_3"/>
      <sheetName val="Site_Dev_BOQ3"/>
      <sheetName val="Basic_Rate2"/>
      <sheetName val="STAFFSCHED_3"/>
      <sheetName val="rent_&amp;_value_assumptions3"/>
      <sheetName val="PSDA_detailed_cashflow_for_deb3"/>
      <sheetName val="Financing_Assumptions3"/>
      <sheetName val="Equity_shares_analysis3"/>
      <sheetName val="Loan_B_interest3"/>
      <sheetName val="Loan_covenant_tests3"/>
      <sheetName val="Rents_committed3"/>
      <sheetName val="LCC_profit_share_calculation3"/>
      <sheetName val="Loan_A_interest_guarantee3"/>
      <sheetName val="L_(4)2"/>
      <sheetName val="Area_Analysis3"/>
      <sheetName val="Elect_"/>
      <sheetName val="_COP"/>
      <sheetName val="DETAIL_SHEET3"/>
      <sheetName val="Oracle_Upload2"/>
      <sheetName val="qty_schedule2"/>
      <sheetName val="Analisa_STR2"/>
      <sheetName val="cost_summary2"/>
      <sheetName val="Elec_Summ2"/>
      <sheetName val="ELEC_BOQ3"/>
      <sheetName val="TRACK_BUSWAY2"/>
      <sheetName val="BASIS_-DEC_083"/>
      <sheetName val="Labour_&amp;_Material"/>
      <sheetName val="MERGED_CODES_&amp;_NAMES2"/>
      <sheetName val="Bed_Class2"/>
      <sheetName val="Power_&amp;_Fuel(SMS)"/>
      <sheetName val="Ground_Floor3"/>
      <sheetName val="Legal_Risk_Analysis2"/>
      <sheetName val="M_S_2"/>
      <sheetName val="CIP_Summary_00122"/>
      <sheetName val="CIP_Detail_00112"/>
      <sheetName val="99_to_00_blns2"/>
      <sheetName val="Plant_Used_in_CATS_2"/>
      <sheetName val="1_01_(a)2"/>
      <sheetName val="SCHEDULE_OF_RATES2"/>
      <sheetName val="PPA_Summary2"/>
      <sheetName val="NOT_FULL_RESTRAINT2"/>
      <sheetName val="BEARING_&amp;_BUCKLING2"/>
      <sheetName val="Detail_1A2"/>
      <sheetName val="TRIAL_BALANCE2"/>
      <sheetName val="Data_sheet2"/>
      <sheetName val="Sheet3_(2)2"/>
      <sheetName val="Meas_-Hotel_Part"/>
      <sheetName val="stub_Column"/>
      <sheetName val="PtList_Above_(300x300)"/>
      <sheetName val="PtList_Below_(300x300)"/>
      <sheetName val="April_Analysts"/>
      <sheetName val="3_9_Tension_Crash_Barrier"/>
      <sheetName val="3_12_Stone_Pitching"/>
      <sheetName val="1_Prelims"/>
      <sheetName val="3_10_Misc__Concrete"/>
      <sheetName val="3_13_14_Protection"/>
      <sheetName val="3_8_ROAD_signs"/>
      <sheetName val="Valves_Erec__-IV"/>
      <sheetName val="3__Elemental_Summary"/>
      <sheetName val="Road_Detail_Est_"/>
      <sheetName val="Road_data"/>
      <sheetName val="b_s_chalam"/>
      <sheetName val="Final_Bill_of_Material"/>
      <sheetName val="1_BED_"/>
      <sheetName val="C_(3)"/>
      <sheetName val="입찰내역_발주처_양식"/>
      <sheetName val="LMB_Forecast_plan"/>
      <sheetName val="Shape_of_Bars"/>
      <sheetName val="Income_Statement-OCPL_Projects"/>
      <sheetName val="N-Amritsar_135"/>
      <sheetName val="CF_Input"/>
      <sheetName val="DATA_INPUT"/>
      <sheetName val="Item-_Compact"/>
      <sheetName val="Material_Advance"/>
      <sheetName val="Tax-Invoice_(Interior_&amp;_Civil)"/>
      <sheetName val="Appendix_-_1"/>
      <sheetName val="BOQ_ID"/>
      <sheetName val="MB_ID"/>
      <sheetName val="Appendix_-_10"/>
      <sheetName val="Nt_Items"/>
      <sheetName val="Swati_RA"/>
      <sheetName val="Neyo_RA"/>
      <sheetName val="Rate_Analysis_"/>
      <sheetName val="RAte_analyis"/>
      <sheetName val="????_???_??"/>
      <sheetName val="Final_MEASUREMENT_RA_-_04"/>
      <sheetName val="foot-slab_reinft"/>
      <sheetName val="Summary_of_Abst_"/>
      <sheetName val="Civil_Works"/>
      <sheetName val="Summary_output"/>
      <sheetName val="Boq_Block_A"/>
      <sheetName val="Measurement_26"/>
      <sheetName val="Measurement_27"/>
      <sheetName val="Concrete_30"/>
      <sheetName val="Measurement_utility"/>
      <sheetName val="Measurement_sump"/>
      <sheetName val="Filling_final_"/>
      <sheetName val="Additional_Items"/>
      <sheetName val="Measur_Storm"/>
      <sheetName val="Concrete_26"/>
      <sheetName val="Road_work"/>
      <sheetName val="Storm_water"/>
      <sheetName val="Materials_Cost"/>
      <sheetName val="Vordruck-Nr__7_1_3_D"/>
      <sheetName val="M&amp;A_D"/>
      <sheetName val="M&amp;A_E"/>
      <sheetName val="M&amp;A_G"/>
      <sheetName val="FINANCIAL_(FLR)"/>
      <sheetName val="Unit_prices"/>
      <sheetName val="precast_RC_element1"/>
      <sheetName val="CF_-_WW"/>
      <sheetName val="Actual_2010-11"/>
      <sheetName val="Actual_2009-10"/>
      <sheetName val="Budget_2010-11"/>
      <sheetName val="Bar_Chart_-_FHL_(M)"/>
      <sheetName val="ONE_TIME"/>
      <sheetName val="Boq_(Main_Building)"/>
      <sheetName val="S_BAHAN"/>
      <sheetName val="S_UPAH"/>
      <sheetName val="Seide_Customer_wise_"/>
      <sheetName val="Consl_LS"/>
      <sheetName val="Filati_Customer_wise"/>
      <sheetName val="Seide_LS"/>
      <sheetName val="Filati_LS"/>
      <sheetName val="Bar_Sched"/>
      <sheetName val="Camp_Power_Cost"/>
      <sheetName val="Beam-design_exp"/>
      <sheetName val="M_B_T-16"/>
      <sheetName val="CostXSummary"/>
      <sheetName val="Recon Template"/>
      <sheetName val="Rebar _Take off"/>
      <sheetName val="MOS"/>
      <sheetName val="Hilfstab"/>
      <sheetName val="EC(Rev)"/>
      <sheetName val="Scatter"/>
      <sheetName val="tie beam(not used)"/>
      <sheetName val="pilecap"/>
      <sheetName val="wall"/>
      <sheetName val="raft,grade slab"/>
      <sheetName val="parapet"/>
      <sheetName val="stairs"/>
      <sheetName val="core wall"/>
      <sheetName val="pilecap(w.lap)"/>
      <sheetName val="raft slab"/>
      <sheetName val="B31.1"/>
      <sheetName val="PSIZE"/>
      <sheetName val="Controls"/>
      <sheetName val="Project Info"/>
      <sheetName val="PriceList"/>
      <sheetName val="Sheet9"/>
      <sheetName val="RBD ATS Inst-F"/>
      <sheetName val="Cable Comparison"/>
      <sheetName val="RBD DB-F"/>
      <sheetName val="RBD ATS-R"/>
      <sheetName val="RBD DB-R"/>
      <sheetName val="RBD MCC-F"/>
      <sheetName val="RBD MCC-R"/>
      <sheetName val="RBD SM-F"/>
      <sheetName val="RBD SM-R"/>
      <sheetName val="RBD HV-F"/>
      <sheetName val="RBD HV-R"/>
      <sheetName val="RBD ACB-F"/>
      <sheetName val="RBD ACB-R"/>
      <sheetName val="RBD ATS-F"/>
      <sheetName val="RBD LVs-F"/>
      <sheetName val="RBD LVs -R"/>
      <sheetName val="2C 10mm FP Cable"/>
      <sheetName val="2C 16mm Cable  "/>
      <sheetName val="2C 35mm Cable"/>
      <sheetName val="2C 50mm Cable"/>
      <sheetName val="2C 6mm Cable"/>
      <sheetName val="4C 240mm FP Cable "/>
      <sheetName val="4C 300mm FP Cable"/>
      <sheetName val="4C 50mm FP Cable"/>
      <sheetName val="SECTION R"/>
      <sheetName val="LLEGADA"/>
      <sheetName val="MD REVIEW"/>
      <sheetName val="B&amp;C-REPORT"/>
      <sheetName val="B&amp;C-TILE QUANTITIES"/>
      <sheetName val="Sludge_Cal5"/>
      <sheetName val="NLD_-_Assum5"/>
      <sheetName val="3cd_Annexure5"/>
      <sheetName val="Story_Drift-Part_25"/>
      <sheetName val="Operating_Statistics5"/>
      <sheetName val="schedule_nos5"/>
      <sheetName val="RCC,Ret__Wall5"/>
      <sheetName val="Ave_wtd_rates5"/>
      <sheetName val="Material_5"/>
      <sheetName val="Top_sheet4"/>
      <sheetName val="M-Book_for_Conc4"/>
      <sheetName val="Rein_Steel4"/>
      <sheetName val="M-Book_for_FW4"/>
      <sheetName val="M-Book_others4"/>
      <sheetName val="M-Book_filling4"/>
      <sheetName val="beam-reinft-machine_rm4"/>
      <sheetName val="Works_-_Quote_Sheet4"/>
      <sheetName val="MASTER_RATE_ANALYSIS4"/>
      <sheetName val="PA-_Consutant_4"/>
      <sheetName val="IRP_all_H2s4"/>
      <sheetName val="beam-reinft-IIInd_floor4"/>
      <sheetName val="@risk_rents_and_incentives4"/>
      <sheetName val="Car_park_lease4"/>
      <sheetName val="Net_rent_analysis4"/>
      <sheetName val="Bechtel_Norms5"/>
      <sheetName val="CS_PIPING5"/>
      <sheetName val="TECH_DATA5"/>
      <sheetName val="water_prop_4"/>
      <sheetName val="Structure_Bills_Qty4"/>
      <sheetName val="old_serial_no_4"/>
      <sheetName val="SP_Break_Up4"/>
      <sheetName val="Inter_Co_Balances4"/>
      <sheetName val="Extra_Item3"/>
      <sheetName val="Area_Statement3"/>
      <sheetName val="Boq-_Civil3"/>
      <sheetName val="Input_&amp;_Calculations3"/>
      <sheetName val="Project_Master3"/>
      <sheetName val="IT-Fri_Base3"/>
      <sheetName val="ESI_&amp;_PF_DELHI3"/>
      <sheetName val="Debtors_Service_Tax3"/>
      <sheetName val="Stru_Labour_rate3"/>
      <sheetName val="Curing_Analysis3"/>
      <sheetName val="MS_items3"/>
      <sheetName val="Tunnel_Fw3"/>
      <sheetName val="Segment_Report_working3"/>
      <sheetName val="Fixed_Assets_&amp;_Depreciation3"/>
      <sheetName val="MS_Rates3"/>
      <sheetName val="Array_(2)3"/>
      <sheetName val="Validation_sheet3"/>
      <sheetName val="Pile_cap3"/>
      <sheetName val="Back_Cal_for_OMC3"/>
      <sheetName val="std_wt_3"/>
      <sheetName val="Khalifa_Parkf3"/>
      <sheetName val="Westin_FOH_&amp;_BOH_Split3"/>
      <sheetName val="SCHEDULE_(3)2"/>
      <sheetName val="R_A_3"/>
      <sheetName val="Materials_Cost(PCC)3"/>
      <sheetName val="L&amp;T_formwork_system3"/>
      <sheetName val="Pile_load_test-Rock_anchor3"/>
      <sheetName val="Design_(singly_reinforced_beam3"/>
      <sheetName val="Hoop_stress3"/>
      <sheetName val="shoring_using_plates3"/>
      <sheetName val="Gantry_track3"/>
      <sheetName val="DESIGN-abut-pile_fdn_-113"/>
      <sheetName val="Contractor-1-every_floor_5%2"/>
      <sheetName val="-ve_Variation-Annx-1-Page-13"/>
      <sheetName val="Summary_of_variations-Anx-23"/>
      <sheetName val="CTP-13-Abstract-On_Account_Bil3"/>
      <sheetName val="Abstract-including_GST3"/>
      <sheetName val="DOKA_shutter_design3"/>
      <sheetName val="Steel_shutter_design3"/>
      <sheetName val="gantry_cranes3"/>
      <sheetName val="bolted_splice3"/>
      <sheetName val="piercap_truss3"/>
      <sheetName val="Table_193"/>
      <sheetName val="Top_Sheet_(PZ)3"/>
      <sheetName val="Daywise_Summary3"/>
      <sheetName val="Road_wise_summary3"/>
      <sheetName val="Amit_Singh3"/>
      <sheetName val="RP_Pal3"/>
      <sheetName val="SWD_Road_WISE_Total_Qty3"/>
      <sheetName val="Done_Qty__FTM3"/>
      <sheetName val="Precast_Scope3"/>
      <sheetName val="AS_(PZ)3"/>
      <sheetName val="KPN_(PZ)3"/>
      <sheetName val="Vertical_profile3"/>
      <sheetName val="Abstract_3"/>
      <sheetName val="Rate_Breakdowns_(Civil)3"/>
      <sheetName val="Materials_3"/>
      <sheetName val="5_Analysis3"/>
      <sheetName val="4_BOQ_air3"/>
      <sheetName val="Mat.Cost"/>
      <sheetName val="Driveway Beams"/>
      <sheetName val="RCC RA76(BGL)"/>
      <sheetName val="Footings"/>
      <sheetName val="ACCOUNT SUMMARY"/>
      <sheetName val="NEW FILE CREATION SLIP(REGULAR)"/>
      <sheetName val="Brickwork "/>
      <sheetName val="First Floor "/>
      <sheetName val="BOQ ( Only Ground floor ) "/>
      <sheetName val="PRECAST lightconc_II"/>
      <sheetName val="TABLE"/>
      <sheetName val="refer"/>
      <sheetName val="Main-Material"/>
      <sheetName val="AOR"/>
      <sheetName val="Filtration1"/>
      <sheetName val="KP1590_E"/>
      <sheetName val="Break_Up"/>
      <sheetName val="Exc"/>
      <sheetName val="Equipment List (Process)"/>
      <sheetName val="ARCH"/>
      <sheetName val="Config"/>
      <sheetName val="Break Dw"/>
      <sheetName val="gen"/>
      <sheetName val="key dates"/>
      <sheetName val="Actuals"/>
      <sheetName val="doq br."/>
      <sheetName val="Compu"/>
      <sheetName val="PLT-SUM"/>
      <sheetName val="Bill07"/>
      <sheetName val="Indirect"/>
      <sheetName val="take-off"/>
      <sheetName val="SITE WORK"/>
      <sheetName val="Valuation"/>
      <sheetName val="VA_code"/>
      <sheetName val="EE SUM"/>
      <sheetName val="MEXICO-C"/>
      <sheetName val="D17-CL-C (2)"/>
      <sheetName val="IO_List7"/>
      <sheetName val="TWS"/>
      <sheetName val="GOA"/>
      <sheetName val="RMC"/>
      <sheetName val="BP"/>
      <sheetName val="Rates"/>
      <sheetName val="Sheet8"/>
      <sheetName val="Sta. Alex-Direct Cost"/>
      <sheetName val="Sta. Alex-GROSS AMT"/>
      <sheetName val="Material_List_"/>
      <sheetName val="Equipment_List_(Process)"/>
      <sheetName val="Break_Dw"/>
      <sheetName val="key_dates"/>
      <sheetName val="FOH_D&amp;L"/>
      <sheetName val="Master_Data_Sheet"/>
      <sheetName val="Msht 5F"/>
      <sheetName val="SCEL Funding"/>
      <sheetName val="Financials Forecast"/>
      <sheetName val="Admin &amp; Assumptions"/>
      <sheetName val="Print Tables - Financials"/>
      <sheetName val="Recast of Comparable P&amp;L's "/>
      <sheetName val="Market Demand Forecast"/>
      <sheetName val="Market Print Tables"/>
      <sheetName val="IVF"/>
      <sheetName val="TB"/>
      <sheetName val="Debt"/>
      <sheetName val="EQUIP LIST"/>
      <sheetName val="H2"/>
      <sheetName val="pro.stat-q"/>
      <sheetName val="Q3"/>
      <sheetName val="cclist"/>
      <sheetName val="Working"/>
      <sheetName val="Mechanical BOQ - BOQ Working"/>
      <sheetName val="TPL-Pipe Acc"/>
      <sheetName val="TPL-Foundation"/>
      <sheetName val="TPL-Pipe Fitting"/>
      <sheetName val="TPL-Plumbing Fix"/>
      <sheetName val="FIX_1-16"/>
      <sheetName val="Plumbing Fixture Schedule_DH"/>
      <sheetName val="PF_HX"/>
      <sheetName val="Plumbing Fixture Schedule_OB"/>
      <sheetName val="PS_1-16"/>
      <sheetName val="Pipe Schedule_DH"/>
      <sheetName val="Pipe Schedule_OB"/>
      <sheetName val="TPL-Pipe"/>
      <sheetName val="PS_HX"/>
      <sheetName val="Wearing Course"/>
      <sheetName val="재1"/>
      <sheetName val="BOQ Distribution"/>
      <sheetName val="sheeet7"/>
      <sheetName val="PMV Data"/>
      <sheetName val="BoQ-1"/>
      <sheetName val="BoQ-2"/>
      <sheetName val="Cashflow projection"/>
      <sheetName val="TBEAM"/>
      <sheetName val="BS"/>
      <sheetName val="labour rates"/>
      <sheetName val="BLK3"/>
      <sheetName val="Breakdown"/>
      <sheetName val="Schedules"/>
      <sheetName val="Forecast-Input"/>
      <sheetName val="wwww"/>
      <sheetName val="Assume"/>
      <sheetName val="Capital"/>
      <sheetName val="Print Menu"/>
      <sheetName val="Validation"/>
      <sheetName val="Contractor Details"/>
      <sheetName val="Flat Info _EVEN"/>
      <sheetName val="Flat Info _ODD"/>
      <sheetName val="FIN_SCHEDULE"/>
      <sheetName val="QTY-CRUST-MCW"/>
      <sheetName val="Plinth beam"/>
      <sheetName val="Fee Rate Summary"/>
      <sheetName val="Mengengerüst Beheizung"/>
      <sheetName val="Liste"/>
      <sheetName val="Mengengerüst"/>
      <sheetName val="Daten"/>
      <sheetName val="Montageüberwachung"/>
      <sheetName val="Faktoren"/>
      <sheetName val="Block work"/>
      <sheetName val="Road TCS Wise Details"/>
      <sheetName val="C &amp; G RHS"/>
      <sheetName val="SPILL OVER"/>
      <sheetName val="A.1.8 4Lane-MCW-BC"/>
      <sheetName val="A.2.8 6Lane-MCW-BC"/>
      <sheetName val="B.SER.8. BC"/>
      <sheetName val="3. Booth"/>
      <sheetName val="C(i)-4. fin. item"/>
      <sheetName val="L.5 Busbays"/>
      <sheetName val="2. canopy roof"/>
      <sheetName val="A.1.1 4Lane-MCW-CG "/>
      <sheetName val="A.2.1 6Lane-MCW-CG"/>
      <sheetName val="B.SER.1.CG"/>
      <sheetName val="A.1.7 4Lane-MCW-DBM"/>
      <sheetName val="A.2.7 6Lane-MCW-DBM Top"/>
      <sheetName val="B.SER.7. DBM"/>
      <sheetName val="J.-Concrete Drain"/>
      <sheetName val="A.1.2 4Lane-MCW-EMB"/>
      <sheetName val="A.2.2 6Lane-MCW-EMB"/>
      <sheetName val="B.SER.2.EMB"/>
      <sheetName val="C(i).1-BC-FDN"/>
      <sheetName val="G.5-ROB_Finishing Item"/>
      <sheetName val="F.4a.-Casting Girder"/>
      <sheetName val="G.4a-ROB_GC"/>
      <sheetName val="F.4b.-Erection of Girder"/>
      <sheetName val="E.4.b-RA_BRDG-EREC."/>
      <sheetName val="G.4b-ROB_GE"/>
      <sheetName val="E.4.a-RA_BRDG-GC"/>
      <sheetName val="A.1.4 4Lane-MCW-GSB"/>
      <sheetName val="A.2.4 6Lane-MCW-GSB"/>
      <sheetName val="B.SER.4.GSB"/>
      <sheetName val="C(ii).2-PC-HW"/>
      <sheetName val="L.3 Illumination "/>
      <sheetName val="A.1.6 Concrete Kerb Casting"/>
      <sheetName val="A2.6 Concrete Kerb Casting"/>
      <sheetName val="B.SER.6. Kerb"/>
      <sheetName val="1.c Masonary in Walls"/>
      <sheetName val="L.8 Median Plantation"/>
      <sheetName val="L.2 Beam Crash Brr."/>
      <sheetName val="L.9 Minor Repairs "/>
      <sheetName val="L.10 MISC"/>
      <sheetName val="A.1.9 4Lane-MCW-MISC"/>
      <sheetName val="A.2.9 6Lane-MCW-MISC"/>
      <sheetName val="D.5 Fini-Item"/>
      <sheetName val="F.1.-GS-PCC_PILE "/>
      <sheetName val="D.1-MNBR-PCC_PILE"/>
      <sheetName val="E.1.-RA_BRDG-PCC_PILE"/>
      <sheetName val="G.1.-ROB_PCC_PILE "/>
      <sheetName val="H.1.-UNP-PCC_PILE"/>
      <sheetName val="C(ii).3 Fin. Item"/>
      <sheetName val="C(ii).1-PC-PIPE"/>
      <sheetName val="1.b Plinth Fill"/>
      <sheetName val="F.2.-GS-RAFT"/>
      <sheetName val="D.2-MNBR-RAFT"/>
      <sheetName val="E.2.-RA_BRDG-RAFT"/>
      <sheetName val="G.2.-ROB_RAFT"/>
      <sheetName val="H.2.-UNP-Raft"/>
      <sheetName val="E.5. Fin item"/>
      <sheetName val="I.5 Crash Brr"/>
      <sheetName val="II. Erection of Facia "/>
      <sheetName val="I.4. Cast. Fric Slab"/>
      <sheetName val="I.1.-REP CAST"/>
      <sheetName val="III. Granular Material Filling"/>
      <sheetName val="L.1 Road Marking"/>
      <sheetName val="L.4 Road Signs"/>
      <sheetName val="1.d Roof Casting"/>
      <sheetName val="A.1.3 4Lane-MCW-SG "/>
      <sheetName val="A.2.3 6Lane-MCW-SG"/>
      <sheetName val="B.SER.3.SG"/>
      <sheetName val="F.4c.-GS-SLAB"/>
      <sheetName val="D.4.C-MNBR-SLAB"/>
      <sheetName val="E.4.C-RA_BRDG-Slab"/>
      <sheetName val="G.4c-ROB_Deckslab"/>
      <sheetName val="L.7 Slope"/>
      <sheetName val="B.SER.9. MISC."/>
      <sheetName val="C(i).2-BC-SUB "/>
      <sheetName val="F.3.-GS-SUB"/>
      <sheetName val="D.3-MNBR-SUB"/>
      <sheetName val="E.3.-RA_BRDG-SUB"/>
      <sheetName val="G.3-ROB_SUB"/>
      <sheetName val="H.3.-UNP-SUB"/>
      <sheetName val="C(i).3-BC-SUP"/>
      <sheetName val="H.4.-UNP-SUP"/>
      <sheetName val="4. DLC"/>
      <sheetName val="6. Finishing Item"/>
      <sheetName val="1.e Finishes"/>
      <sheetName val="5.PQC"/>
      <sheetName val="L.6 Truckbays"/>
      <sheetName val="H. 5. Fin. Item"/>
      <sheetName val="F.5-Finishing Item"/>
      <sheetName val="B.SER.5A.WMM-1"/>
      <sheetName val="B.SER.5B.WMM-2"/>
      <sheetName val="A.1.5.a 4Lane-MCW-WMM 1st"/>
      <sheetName val="A.1.5.b 4Lane-MCW-WMM top"/>
      <sheetName val="A.2.5a 6Lane-MCW-WMM 1st"/>
      <sheetName val="A.2.5b 6Lane-MCW-WMM top"/>
      <sheetName val="1.a Work Upto Plinth"/>
      <sheetName val="Design OPT 1"/>
      <sheetName val="____ ___ __"/>
      <sheetName val="BILL-1"/>
      <sheetName val="BILL-3-Alt 1"/>
      <sheetName val="EST-CIVIL"/>
      <sheetName val="JOB_COSTING_SHEET_ELEC"/>
      <sheetName val="Beam_at_Ground_flr_lvl(Steel)"/>
      <sheetName val="Bill_5_-_Carpark"/>
      <sheetName val="derive"/>
      <sheetName val="Sqn_(Main)_Abs"/>
      <sheetName val="Change_Order_Log"/>
      <sheetName val="Labor abs-NMR"/>
      <sheetName val="Hypothèses"/>
      <sheetName val="HotelFin"/>
      <sheetName val="Demand"/>
      <sheetName val="Occ"/>
      <sheetName val="INFLUENCES ON GM"/>
      <sheetName val="Comps"/>
      <sheetName val="Cash Flow Working"/>
      <sheetName val="Détail Etudes"/>
      <sheetName val="DCH entree"/>
      <sheetName val="Hyp"/>
      <sheetName val="Comparaison DCH vs GLK"/>
      <sheetName val="BoatTMP"/>
      <sheetName val="Trade Package"/>
      <sheetName val="Rebar__Take_off1"/>
      <sheetName val="tie_beam(not_used)1"/>
      <sheetName val="raft,grade_slab1"/>
      <sheetName val="core_wall1"/>
      <sheetName val="pilecap(w_lap)1"/>
      <sheetName val="raft_slab1"/>
      <sheetName val="B31_11"/>
      <sheetName val="Project_Info1"/>
      <sheetName val="Détail_Etudes"/>
      <sheetName val="DCH_entree"/>
      <sheetName val="Comparaison_DCH_vs_GLK"/>
      <sheetName val="Rebar__Take_off"/>
      <sheetName val="Project_Info"/>
      <sheetName val="tie_beam(not_used)"/>
      <sheetName val="raft,grade_slab"/>
      <sheetName val="core_wall"/>
      <sheetName val="pilecap(w_lap)"/>
      <sheetName val="raft_slab"/>
      <sheetName val="B31_1"/>
      <sheetName val="Bldg"/>
      <sheetName val="Rebar__Take_off2"/>
      <sheetName val="tie_beam(not_used)2"/>
      <sheetName val="raft,grade_slab2"/>
      <sheetName val="core_wall2"/>
      <sheetName val="pilecap(w_lap)2"/>
      <sheetName val="raft_slab2"/>
      <sheetName val="B31_12"/>
      <sheetName val="Project_Info2"/>
      <sheetName val="CF_Input1"/>
      <sheetName val="DATA_INPUT1"/>
      <sheetName val="RBD_ATS_Inst-F"/>
      <sheetName val="Cable_Comparison"/>
      <sheetName val="RBD_DB-F"/>
      <sheetName val="RBD_ATS-R"/>
      <sheetName val="RBD_DB-R"/>
      <sheetName val="RBD_MCC-F"/>
      <sheetName val="RBD_MCC-R"/>
      <sheetName val="RBD_SM-F"/>
      <sheetName val="RBD_SM-R"/>
      <sheetName val="RBD_HV-F"/>
      <sheetName val="RBD_HV-R"/>
      <sheetName val="RBD_ACB-F"/>
      <sheetName val="RBD_ACB-R"/>
      <sheetName val="RBD_ATS-F"/>
      <sheetName val="RBD_LVs-F"/>
      <sheetName val="RBD_LVs_-R"/>
      <sheetName val="2C_10mm_FP_Cable"/>
      <sheetName val="2C_16mm_Cable__"/>
      <sheetName val="2C_35mm_Cable"/>
      <sheetName val="2C_50mm_Cable"/>
      <sheetName val="2C_6mm_Cable"/>
      <sheetName val="4C_240mm_FP_Cable_"/>
      <sheetName val="4C_300mm_FP_Cable"/>
      <sheetName val="4C_50mm_FP_Cable"/>
      <sheetName val="SECTION_R"/>
      <sheetName val="Rebar__Take_off3"/>
      <sheetName val="L_(4)3"/>
      <sheetName val="tie_beam(not_used)3"/>
      <sheetName val="raft,grade_slab3"/>
      <sheetName val="core_wall3"/>
      <sheetName val="pilecap(w_lap)3"/>
      <sheetName val="raft_slab3"/>
      <sheetName val="B31_13"/>
      <sheetName val="Project_Info3"/>
      <sheetName val="Oracle_Upload3"/>
      <sheetName val="qty_schedule3"/>
      <sheetName val="CF_Input2"/>
      <sheetName val="DATA_INPUT2"/>
      <sheetName val="RBD_ATS_Inst-F1"/>
      <sheetName val="Cable_Comparison1"/>
      <sheetName val="RBD_DB-F1"/>
      <sheetName val="RBD_ATS-R1"/>
      <sheetName val="RBD_DB-R1"/>
      <sheetName val="RBD_MCC-F1"/>
      <sheetName val="RBD_MCC-R1"/>
      <sheetName val="RBD_SM-F1"/>
      <sheetName val="RBD_SM-R1"/>
      <sheetName val="RBD_HV-F1"/>
      <sheetName val="RBD_HV-R1"/>
      <sheetName val="RBD_ACB-F1"/>
      <sheetName val="RBD_ACB-R1"/>
      <sheetName val="RBD_ATS-F1"/>
      <sheetName val="RBD_LVs-F1"/>
      <sheetName val="RBD_LVs_-R1"/>
      <sheetName val="2C_10mm_FP_Cable1"/>
      <sheetName val="2C_16mm_Cable__1"/>
      <sheetName val="2C_35mm_Cable1"/>
      <sheetName val="2C_50mm_Cable1"/>
      <sheetName val="2C_6mm_Cable1"/>
      <sheetName val="4C_240mm_FP_Cable_1"/>
      <sheetName val="4C_300mm_FP_Cable1"/>
      <sheetName val="4C_50mm_FP_Cable1"/>
      <sheetName val="SECTION_R1"/>
      <sheetName val="WACC Calculation"/>
      <sheetName val="CCTV_EST1"/>
      <sheetName val="B&amp;C-TILE_QUANTITIES"/>
      <sheetName val="Recon_Template"/>
      <sheetName val="B&amp;C-TILE_QUANTITIES1"/>
      <sheetName val="Recon_Template1"/>
      <sheetName val="MD_REVIEW"/>
      <sheetName val="Civil-main_building16"/>
      <sheetName val="Civil-amenities_buildings16"/>
      <sheetName val="Roads-pavement-path_ways16"/>
      <sheetName val="C-Wall_BOQ16"/>
      <sheetName val="GR_slab-reinft16"/>
      <sheetName val="PointNo_513"/>
      <sheetName val="Stress_Calculation13"/>
      <sheetName val="GUT_(2)13"/>
      <sheetName val="PRECAST_lightconc-II13"/>
      <sheetName val="Tender_Summary13"/>
      <sheetName val="_Net_Break_Down13"/>
      <sheetName val="11B_13"/>
      <sheetName val="IO_List13"/>
      <sheetName val="Bill_No_2_to_8_(Rev)13"/>
      <sheetName val="SPT_vs_PHI13"/>
      <sheetName val="BSH_num13"/>
      <sheetName val="K_Ajeet13"/>
      <sheetName val="SITE_OVERHEADS13"/>
      <sheetName val="Fill_this_out_first___13"/>
      <sheetName val="GF_Columns13"/>
      <sheetName val="Assumption_Inputs13"/>
      <sheetName val="Bill_3_-_Site_Works13"/>
      <sheetName val="4_Annex_1_Basic_rate13"/>
      <sheetName val="Fin_Sum13"/>
      <sheetName val="AutoOpen_Stub_Data11"/>
      <sheetName val="C_Sum11"/>
      <sheetName val="A_Sum11"/>
      <sheetName val="INDIGINEOUS_ITEMS_11"/>
      <sheetName val="07016,_Master_List-Major_Mino11"/>
      <sheetName val="Staff_Acco_12"/>
      <sheetName val="labour_coeff12"/>
      <sheetName val="SUMMARY_ALL_CO'S11"/>
      <sheetName val="Bridges_RB11"/>
      <sheetName val="Analysis_Justi_11"/>
      <sheetName val="Qty_Esti_-TCS11"/>
      <sheetName val="Abst_Jo11"/>
      <sheetName val="Debits_as_on_12_04_0812"/>
      <sheetName val="Bank_Guarantee11"/>
      <sheetName val="Detail_In_Door_Stad11"/>
      <sheetName val="S_&amp;_A11"/>
      <sheetName val="PROG_SUMMARY9"/>
      <sheetName val="Break_up_Sheet11"/>
      <sheetName val="Deduction_of_assets11"/>
      <sheetName val="NLD_-_Assum9"/>
      <sheetName val="5_NOT_REQUIRED11"/>
      <sheetName val="3cd_Annexure9"/>
      <sheetName val="Story_Drift-Part_26"/>
      <sheetName val="Allg__Angaben6"/>
      <sheetName val="A_O_R_r1Str7"/>
      <sheetName val="A_O_R_r17"/>
      <sheetName val="A_O_R_(2)7"/>
      <sheetName val="AoR_Finishing6"/>
      <sheetName val="Rate_analysis6"/>
      <sheetName val="BLOCK-A_(MEA_SHEET)7"/>
      <sheetName val="BOQ_(2)7"/>
      <sheetName val="FITZ_MORT_948"/>
      <sheetName val="Westin_FOH_&amp;_BOH_Split5"/>
      <sheetName val="Basement_Budget8"/>
      <sheetName val="INPUT_SHEET8"/>
      <sheetName val="@risk_rents_and_incentives5"/>
      <sheetName val="Car_park_lease5"/>
      <sheetName val="Net_rent_analysis5"/>
      <sheetName val="schedule_nos6"/>
      <sheetName val="RCC,Ret__Wall6"/>
      <sheetName val="Sludge_Cal6"/>
      <sheetName val="Operating_Statistics6"/>
      <sheetName val="Basic_Rates6"/>
      <sheetName val="Ave_wtd_rates6"/>
      <sheetName val="Material_6"/>
      <sheetName val="Labour_&amp;_Plant6"/>
      <sheetName val="9__Package_split_-_Cost_6"/>
      <sheetName val="DETAILED__BOQ6"/>
      <sheetName val="rent_&amp;_value_assumptions5"/>
      <sheetName val="PSDA_detailed_cashflow_for_deb5"/>
      <sheetName val="Financing_Assumptions5"/>
      <sheetName val="Equity_shares_analysis5"/>
      <sheetName val="Loan_B_interest5"/>
      <sheetName val="Loan_covenant_tests5"/>
      <sheetName val="Rents_committed5"/>
      <sheetName val="LCC_profit_share_calculation5"/>
      <sheetName val="Loan_A_interest_guarantee5"/>
      <sheetName val="A_O_R_6"/>
      <sheetName val="Podium_Areas6"/>
      <sheetName val="Bill_16"/>
      <sheetName val="Bill_26"/>
      <sheetName val="Bill_36"/>
      <sheetName val="Bill_46"/>
      <sheetName val="Bill_56"/>
      <sheetName val="Bill_66"/>
      <sheetName val="Bill_76"/>
      <sheetName val="LABOUR_RATE6"/>
      <sheetName val="Material_Rate6"/>
      <sheetName val="Balance_sheet_DCCDL_Nov_066"/>
      <sheetName val="_COP_100%6"/>
      <sheetName val="Top_sheet5"/>
      <sheetName val="M-Book_for_Conc5"/>
      <sheetName val="Rein_Steel5"/>
      <sheetName val="M-Book_for_FW5"/>
      <sheetName val="M-Book_others5"/>
      <sheetName val="M-Book_filling5"/>
      <sheetName val="beam-reinft-machine_rm5"/>
      <sheetName val="MASTER_RATE_ANALYSIS5"/>
      <sheetName val="PA-_Consutant_5"/>
      <sheetName val="Works_-_Quote_Sheet5"/>
      <sheetName val="Civil-main_building14"/>
      <sheetName val="Civil-amenities_buildings14"/>
      <sheetName val="Roads-pavement-path_ways14"/>
      <sheetName val="C-Wall_BOQ14"/>
      <sheetName val="GR_slab-reinft14"/>
      <sheetName val="PointNo_511"/>
      <sheetName val="Stress_Calculation11"/>
      <sheetName val="GUT_(2)11"/>
      <sheetName val="PRECAST_lightconc-II11"/>
      <sheetName val="Tender_Summary11"/>
      <sheetName val="_Net_Break_Down11"/>
      <sheetName val="11B_11"/>
      <sheetName val="IO_List11"/>
      <sheetName val="Bill_No_2_to_8_(Rev)11"/>
      <sheetName val="SPT_vs_PHI11"/>
      <sheetName val="BSH_num11"/>
      <sheetName val="K_Ajeet11"/>
      <sheetName val="SITE_OVERHEADS11"/>
      <sheetName val="Fill_this_out_first___11"/>
      <sheetName val="GF_Columns11"/>
      <sheetName val="Assumption_Inputs11"/>
      <sheetName val="Bill_3_-_Site_Works11"/>
      <sheetName val="4_Annex_1_Basic_rate11"/>
      <sheetName val="Fin_Sum11"/>
      <sheetName val="PROG_SUMMARY7"/>
      <sheetName val="NLD_-_Assum7"/>
      <sheetName val="3cd_Annexure7"/>
      <sheetName val="IO_List10"/>
      <sheetName val="4_Annex_1_Basic_rate10"/>
      <sheetName val="Fin_Sum10"/>
      <sheetName val="NLD_-_Assum6"/>
      <sheetName val="3cd_Annexure6"/>
      <sheetName val="IO_List9"/>
      <sheetName val="IO_List8"/>
      <sheetName val="Civil-main_building15"/>
      <sheetName val="Civil-amenities_buildings15"/>
      <sheetName val="Roads-pavement-path_ways15"/>
      <sheetName val="C-Wall_BOQ15"/>
      <sheetName val="GR_slab-reinft15"/>
      <sheetName val="PointNo_512"/>
      <sheetName val="Stress_Calculation12"/>
      <sheetName val="GUT_(2)12"/>
      <sheetName val="PRECAST_lightconc-II12"/>
      <sheetName val="Tender_Summary12"/>
      <sheetName val="_Net_Break_Down12"/>
      <sheetName val="11B_12"/>
      <sheetName val="IO_List12"/>
      <sheetName val="Bill_No_2_to_8_(Rev)12"/>
      <sheetName val="SPT_vs_PHI12"/>
      <sheetName val="BSH_num12"/>
      <sheetName val="K_Ajeet12"/>
      <sheetName val="SITE_OVERHEADS12"/>
      <sheetName val="Fill_this_out_first___12"/>
      <sheetName val="GF_Columns12"/>
      <sheetName val="Assumption_Inputs12"/>
      <sheetName val="Bill_3_-_Site_Works12"/>
      <sheetName val="4_Annex_1_Basic_rate12"/>
      <sheetName val="Fin_Sum12"/>
      <sheetName val="AutoOpen_Stub_Data10"/>
      <sheetName val="C_Sum10"/>
      <sheetName val="A_Sum10"/>
      <sheetName val="INDIGINEOUS_ITEMS_10"/>
      <sheetName val="07016,_Master_List-Major_Mino10"/>
      <sheetName val="Staff_Acco_11"/>
      <sheetName val="labour_coeff11"/>
      <sheetName val="SUMMARY_ALL_CO'S10"/>
      <sheetName val="Bridges_RB10"/>
      <sheetName val="Analysis_Justi_10"/>
      <sheetName val="Qty_Esti_-TCS10"/>
      <sheetName val="Abst_Jo10"/>
      <sheetName val="Debits_as_on_12_04_0811"/>
      <sheetName val="Bank_Guarantee10"/>
      <sheetName val="Detail_In_Door_Stad10"/>
      <sheetName val="S_&amp;_A10"/>
      <sheetName val="PROG_SUMMARY8"/>
      <sheetName val="Break_up_Sheet10"/>
      <sheetName val="Deduction_of_assets10"/>
      <sheetName val="NLD_-_Assum8"/>
      <sheetName val="5_NOT_REQUIRED10"/>
      <sheetName val="3cd_Annexure8"/>
      <sheetName val="Allg__Angaben5"/>
      <sheetName val="A_O_R_r1Str6"/>
      <sheetName val="A_O_R_r16"/>
      <sheetName val="A_O_R_(2)6"/>
      <sheetName val="AoR_Finishing5"/>
      <sheetName val="Rate_analysis5"/>
      <sheetName val="BLOCK-A_(MEA_SHEET)6"/>
      <sheetName val="BOQ_(2)6"/>
      <sheetName val="FITZ_MORT_947"/>
      <sheetName val="Westin_FOH_&amp;_BOH_Split4"/>
      <sheetName val="Basement_Budget7"/>
      <sheetName val="INPUT_SHEET7"/>
      <sheetName val="Basic_Rates5"/>
      <sheetName val="Labour_&amp;_Plant5"/>
      <sheetName val="9__Package_split_-_Cost_5"/>
      <sheetName val="DETAILED__BOQ5"/>
      <sheetName val="rent_&amp;_value_assumptions4"/>
      <sheetName val="PSDA_detailed_cashflow_for_deb4"/>
      <sheetName val="Financing_Assumptions4"/>
      <sheetName val="Equity_shares_analysis4"/>
      <sheetName val="Loan_B_interest4"/>
      <sheetName val="Loan_covenant_tests4"/>
      <sheetName val="Rents_committed4"/>
      <sheetName val="LCC_profit_share_calculation4"/>
      <sheetName val="Loan_A_interest_guarantee4"/>
      <sheetName val="A_O_R_5"/>
      <sheetName val="Podium_Areas5"/>
      <sheetName val="Bill_15"/>
      <sheetName val="Bill_25"/>
      <sheetName val="Bill_35"/>
      <sheetName val="Bill_45"/>
      <sheetName val="Bill_55"/>
      <sheetName val="Bill_65"/>
      <sheetName val="Bill_75"/>
      <sheetName val="LABOUR_RATE5"/>
      <sheetName val="Material_Rate5"/>
      <sheetName val="Balance_sheet_DCCDL_Nov_065"/>
      <sheetName val="_COP_100%5"/>
      <sheetName val="Civil-main_building17"/>
      <sheetName val="Civil-amenities_buildings17"/>
      <sheetName val="Roads-pavement-path_ways17"/>
      <sheetName val="C-Wall_BOQ17"/>
      <sheetName val="GR_slab-reinft17"/>
      <sheetName val="PointNo_514"/>
      <sheetName val="Stress_Calculation14"/>
      <sheetName val="GUT_(2)14"/>
      <sheetName val="PRECAST_lightconc-II14"/>
      <sheetName val="Tender_Summary14"/>
      <sheetName val="_Net_Break_Down14"/>
      <sheetName val="11B_14"/>
      <sheetName val="IO_List14"/>
      <sheetName val="Bill_No_2_to_8_(Rev)14"/>
      <sheetName val="SPT_vs_PHI14"/>
      <sheetName val="BSH_num14"/>
      <sheetName val="K_Ajeet14"/>
      <sheetName val="SITE_OVERHEADS14"/>
      <sheetName val="Fill_this_out_first___14"/>
      <sheetName val="GF_Columns14"/>
      <sheetName val="Assumption_Inputs14"/>
      <sheetName val="Bill_3_-_Site_Works14"/>
      <sheetName val="4_Annex_1_Basic_rate14"/>
      <sheetName val="Fin_Sum14"/>
      <sheetName val="AutoOpen_Stub_Data12"/>
      <sheetName val="C_Sum12"/>
      <sheetName val="A_Sum12"/>
      <sheetName val="INDIGINEOUS_ITEMS_12"/>
      <sheetName val="07016,_Master_List-Major_Mino12"/>
      <sheetName val="Staff_Acco_13"/>
      <sheetName val="labour_coeff13"/>
      <sheetName val="SUMMARY_ALL_CO'S12"/>
      <sheetName val="Bridges_RB12"/>
      <sheetName val="Analysis_Justi_12"/>
      <sheetName val="Qty_Esti_-TCS12"/>
      <sheetName val="Abst_Jo12"/>
      <sheetName val="Debits_as_on_12_04_0813"/>
      <sheetName val="Bank_Guarantee12"/>
      <sheetName val="Detail_In_Door_Stad12"/>
      <sheetName val="S_&amp;_A12"/>
      <sheetName val="PROG_SUMMARY10"/>
      <sheetName val="Break_up_Sheet12"/>
      <sheetName val="Deduction_of_assets12"/>
      <sheetName val="NLD_-_Assum10"/>
      <sheetName val="5_NOT_REQUIRED12"/>
      <sheetName val="3cd_Annexure10"/>
      <sheetName val="Story_Drift-Part_27"/>
      <sheetName val="Allg__Angaben7"/>
      <sheetName val="A_O_R_r1Str8"/>
      <sheetName val="A_O_R_r18"/>
      <sheetName val="A_O_R_(2)8"/>
      <sheetName val="AoR_Finishing7"/>
      <sheetName val="Rate_analysis7"/>
      <sheetName val="BLOCK-A_(MEA_SHEET)8"/>
      <sheetName val="BOQ_(2)8"/>
      <sheetName val="FITZ_MORT_949"/>
      <sheetName val="Westin_FOH_&amp;_BOH_Split6"/>
      <sheetName val="Basement_Budget9"/>
      <sheetName val="INPUT_SHEET9"/>
      <sheetName val="@risk_rents_and_incentives6"/>
      <sheetName val="Car_park_lease6"/>
      <sheetName val="Net_rent_analysis6"/>
      <sheetName val="schedule_nos7"/>
      <sheetName val="RCC,Ret__Wall7"/>
      <sheetName val="Sludge_Cal7"/>
      <sheetName val="Operating_Statistics7"/>
      <sheetName val="Basic_Rates7"/>
      <sheetName val="Ave_wtd_rates7"/>
      <sheetName val="Material_7"/>
      <sheetName val="Labour_&amp;_Plant7"/>
      <sheetName val="9__Package_split_-_Cost_7"/>
      <sheetName val="DETAILED__BOQ7"/>
      <sheetName val="rent_&amp;_value_assumptions6"/>
      <sheetName val="PSDA_detailed_cashflow_for_deb6"/>
      <sheetName val="Financing_Assumptions6"/>
      <sheetName val="Equity_shares_analysis6"/>
      <sheetName val="Loan_B_interest6"/>
      <sheetName val="Loan_covenant_tests6"/>
      <sheetName val="Rents_committed6"/>
      <sheetName val="LCC_profit_share_calculation6"/>
      <sheetName val="Loan_A_interest_guarantee6"/>
      <sheetName val="A_O_R_7"/>
      <sheetName val="Podium_Areas7"/>
      <sheetName val="Bill_17"/>
      <sheetName val="Bill_27"/>
      <sheetName val="Bill_37"/>
      <sheetName val="Bill_47"/>
      <sheetName val="Bill_57"/>
      <sheetName val="Bill_67"/>
      <sheetName val="Bill_77"/>
      <sheetName val="LABOUR_RATE7"/>
      <sheetName val="Material_Rate7"/>
      <sheetName val="Balance_sheet_DCCDL_Nov_067"/>
      <sheetName val="_COP_100%7"/>
      <sheetName val="Top_sheet6"/>
      <sheetName val="M-Book_for_Conc6"/>
      <sheetName val="Rein_Steel6"/>
      <sheetName val="M-Book_for_FW6"/>
      <sheetName val="M-Book_others6"/>
      <sheetName val="M-Book_filling6"/>
      <sheetName val="beam-reinft-machine_rm6"/>
      <sheetName val="Bechtel_Norms6"/>
      <sheetName val="CS_PIPING6"/>
      <sheetName val="TECH_DATA6"/>
      <sheetName val="MASTER_RATE_ANALYSIS6"/>
      <sheetName val="PA-_Consutant_6"/>
      <sheetName val="Works_-_Quote_Sheet6"/>
      <sheetName val="SECTION_R2"/>
      <sheetName val="Civil-main_building18"/>
      <sheetName val="Civil-amenities_buildings18"/>
      <sheetName val="Roads-pavement-path_ways18"/>
      <sheetName val="C-Wall_BOQ18"/>
      <sheetName val="GR_slab-reinft18"/>
      <sheetName val="PointNo_515"/>
      <sheetName val="Stress_Calculation15"/>
      <sheetName val="GUT_(2)15"/>
      <sheetName val="PRECAST_lightconc-II15"/>
      <sheetName val="Tender_Summary15"/>
      <sheetName val="_Net_Break_Down15"/>
      <sheetName val="11B_15"/>
      <sheetName val="IO_List15"/>
      <sheetName val="Bill_No_2_to_8_(Rev)15"/>
      <sheetName val="SPT_vs_PHI15"/>
      <sheetName val="BSH_num15"/>
      <sheetName val="K_Ajeet15"/>
      <sheetName val="SITE_OVERHEADS15"/>
      <sheetName val="Fill_this_out_first___15"/>
      <sheetName val="GF_Columns15"/>
      <sheetName val="Assumption_Inputs15"/>
      <sheetName val="Bill_3_-_Site_Works15"/>
      <sheetName val="4_Annex_1_Basic_rate15"/>
      <sheetName val="Fin_Sum15"/>
      <sheetName val="AutoOpen_Stub_Data13"/>
      <sheetName val="C_Sum13"/>
      <sheetName val="A_Sum13"/>
      <sheetName val="INDIGINEOUS_ITEMS_13"/>
      <sheetName val="07016,_Master_List-Major_Mino13"/>
      <sheetName val="Staff_Acco_14"/>
      <sheetName val="labour_coeff14"/>
      <sheetName val="SUMMARY_ALL_CO'S13"/>
      <sheetName val="Bridges_RB13"/>
      <sheetName val="Analysis_Justi_13"/>
      <sheetName val="Qty_Esti_-TCS13"/>
      <sheetName val="Abst_Jo13"/>
      <sheetName val="Debits_as_on_12_04_0814"/>
      <sheetName val="Bank_Guarantee13"/>
      <sheetName val="Detail_In_Door_Stad13"/>
      <sheetName val="S_&amp;_A13"/>
      <sheetName val="PROG_SUMMARY11"/>
      <sheetName val="Break_up_Sheet13"/>
      <sheetName val="Deduction_of_assets13"/>
      <sheetName val="NLD_-_Assum11"/>
      <sheetName val="5_NOT_REQUIRED13"/>
      <sheetName val="3cd_Annexure11"/>
      <sheetName val="Story_Drift-Part_28"/>
      <sheetName val="Allg__Angaben8"/>
      <sheetName val="A_O_R_r1Str9"/>
      <sheetName val="A_O_R_r19"/>
      <sheetName val="A_O_R_(2)9"/>
      <sheetName val="AoR_Finishing8"/>
      <sheetName val="Rate_analysis8"/>
      <sheetName val="BLOCK-A_(MEA_SHEET)9"/>
      <sheetName val="BOQ_(2)9"/>
      <sheetName val="FITZ_MORT_9410"/>
      <sheetName val="Westin_FOH_&amp;_BOH_Split7"/>
      <sheetName val="Basement_Budget10"/>
      <sheetName val="INPUT_SHEET10"/>
      <sheetName val="@risk_rents_and_incentives7"/>
      <sheetName val="Car_park_lease7"/>
      <sheetName val="Net_rent_analysis7"/>
      <sheetName val="schedule_nos8"/>
      <sheetName val="RCC,Ret__Wall8"/>
      <sheetName val="Sludge_Cal8"/>
      <sheetName val="Operating_Statistics8"/>
      <sheetName val="Basic_Rates8"/>
      <sheetName val="Ave_wtd_rates8"/>
      <sheetName val="Material_8"/>
      <sheetName val="Labour_&amp;_Plant8"/>
      <sheetName val="9__Package_split_-_Cost_8"/>
      <sheetName val="DETAILED__BOQ8"/>
      <sheetName val="rent_&amp;_value_assumptions7"/>
      <sheetName val="PSDA_detailed_cashflow_for_deb7"/>
      <sheetName val="Financing_Assumptions7"/>
      <sheetName val="Equity_shares_analysis7"/>
      <sheetName val="Loan_B_interest7"/>
      <sheetName val="Loan_covenant_tests7"/>
      <sheetName val="Rents_committed7"/>
      <sheetName val="LCC_profit_share_calculation7"/>
      <sheetName val="Loan_A_interest_guarantee7"/>
      <sheetName val="A_O_R_8"/>
      <sheetName val="Podium_Areas8"/>
      <sheetName val="Bill_18"/>
      <sheetName val="Bill_28"/>
      <sheetName val="Bill_38"/>
      <sheetName val="Bill_48"/>
      <sheetName val="Bill_58"/>
      <sheetName val="Bill_68"/>
      <sheetName val="Bill_78"/>
      <sheetName val="LABOUR_RATE8"/>
      <sheetName val="Material_Rate8"/>
      <sheetName val="Balance_sheet_DCCDL_Nov_068"/>
      <sheetName val="_COP_100%8"/>
      <sheetName val="Top_sheet7"/>
      <sheetName val="M-Book_for_Conc7"/>
      <sheetName val="Rein_Steel7"/>
      <sheetName val="M-Book_for_FW7"/>
      <sheetName val="M-Book_others7"/>
      <sheetName val="M-Book_filling7"/>
      <sheetName val="beam-reinft-machine_rm7"/>
      <sheetName val="Bechtel_Norms7"/>
      <sheetName val="CS_PIPING7"/>
      <sheetName val="TECH_DATA7"/>
      <sheetName val="MASTER_RATE_ANALYSIS7"/>
      <sheetName val="PA-_Consutant_7"/>
      <sheetName val="Works_-_Quote_Sheet7"/>
      <sheetName val="SECTION_R3"/>
      <sheetName val="Hic_150EOffice"/>
      <sheetName val="Lstsub"/>
      <sheetName val="Doha WBS Clean"/>
      <sheetName val="Ra  stair"/>
      <sheetName val="B (2)"/>
      <sheetName val="Over all Builder work"/>
      <sheetName val="Over_all_Builder_work"/>
      <sheetName val="COST CONTROL MATRIX"/>
      <sheetName val="Project Details "/>
      <sheetName val="PC, Prov Sums, Quants"/>
      <sheetName val="Progress Photos"/>
      <sheetName val="Contents"/>
      <sheetName val="Cost Report Summary"/>
      <sheetName val="Provisional Sums"/>
      <sheetName val="SUMMARYMCA"/>
      <sheetName val="AN"/>
      <sheetName val="Trade Summary"/>
      <sheetName val="01"/>
      <sheetName val="Raw Data"/>
      <sheetName val="Div Summary"/>
      <sheetName val="MATCAT.BOQ"/>
      <sheetName val="Cost_any"/>
      <sheetName val="Take-off Floor &amp; Wall"/>
      <sheetName val="Balance Sheet"/>
      <sheetName val="New Issue Pipeline"/>
      <sheetName val="Lowside"/>
      <sheetName val="12-19-00"/>
      <sheetName val="Account balances"/>
      <sheetName val="Struktur"/>
      <sheetName val="TORRENT CEMENT"/>
      <sheetName val="Summary Sheets"/>
      <sheetName val="PRSH"/>
      <sheetName val="Plumbing &amp; FF"/>
      <sheetName val="IRP_all_H2s5"/>
      <sheetName val="beam-reinft-IIInd_floor5"/>
      <sheetName val="old_serial_no_5"/>
      <sheetName val="Structure_Bills_Qty5"/>
      <sheetName val="UNP-NCW_4"/>
      <sheetName val="Load_Details(B2)4"/>
      <sheetName val="Civil_Boq4"/>
      <sheetName val="Sales_&amp;_Prod4"/>
      <sheetName val="accom_cash4"/>
      <sheetName val="train_cash4"/>
      <sheetName val="final_abstract4"/>
      <sheetName val="d-safe_specs4"/>
      <sheetName val="Inter_Co_Balances5"/>
      <sheetName val="water_prop_5"/>
      <sheetName val="SP_Break_Up5"/>
      <sheetName val="Source_Ref_4"/>
      <sheetName val="Site_Dev_BOQ4"/>
      <sheetName val="CFForecast_detail4"/>
      <sheetName val="TBAL9697_-group_wise__sdpl4"/>
      <sheetName val="Project_Budget_Worksheet4"/>
      <sheetName val="Detail_P&amp;L4"/>
      <sheetName val="Assumption_Sheet4"/>
      <sheetName val="MN_T_B_4"/>
      <sheetName val="Section_3_DPR4"/>
      <sheetName val="SC_Cost_FEB_034"/>
      <sheetName val="Indirects_4"/>
      <sheetName val="UPA(Part_C,D,E,G,H)4"/>
      <sheetName val="Fin__Assumpt__-_Sensitivities4"/>
      <sheetName val="BOD_PL_NEW4"/>
      <sheetName val="Flanged_Beams4"/>
      <sheetName val="Rectangular_Beam4"/>
      <sheetName val="BC_&amp;_MNB_4"/>
      <sheetName val="Debtors_analysis4"/>
      <sheetName val="Total_Debtors_Ageing_Sheet4"/>
      <sheetName val="Revised_Summary4"/>
      <sheetName val="Administrative_Prices4"/>
      <sheetName val="Light_fitt4"/>
      <sheetName val="(Do_not_delete)4"/>
      <sheetName val="Slope_area4"/>
      <sheetName val="kppl_pl4"/>
      <sheetName val="ESI_&amp;_PF_DELHI4"/>
      <sheetName val="Core_Data4"/>
      <sheetName val="Analisa_STR3"/>
      <sheetName val="cost_summary3"/>
      <sheetName val="Elec_Summ3"/>
      <sheetName val="ELEC_BOQ4"/>
      <sheetName val="TRACK_BUSWAY3"/>
      <sheetName val="Basic_Rate3"/>
      <sheetName val="Inc_St_-Link4"/>
      <sheetName val="Extra_Item4"/>
      <sheetName val="Validation_sheet4"/>
      <sheetName val="MS_Rates4"/>
      <sheetName val="Array_(2)4"/>
      <sheetName val="Area_Statement4"/>
      <sheetName val="IT-Fri_Base4"/>
      <sheetName val="Data_Tables3"/>
      <sheetName val="Boq-_Civil4"/>
      <sheetName val="Input_&amp;_Calculations4"/>
      <sheetName val="Debtors_Service_Tax4"/>
      <sheetName val="Stru_Labour_rate4"/>
      <sheetName val="Curing_Analysis4"/>
      <sheetName val="MS_items4"/>
      <sheetName val="Tunnel_Fw4"/>
      <sheetName val="Segment_Report_working4"/>
      <sheetName val="Fixed_Assets_&amp;_Depreciation4"/>
      <sheetName val="Project_Master4"/>
      <sheetName val="Legal_Risk_Analysis3"/>
      <sheetName val="M_S_3"/>
      <sheetName val="CIP_Summary_00123"/>
      <sheetName val="CIP_Detail_00113"/>
      <sheetName val="99_to_00_blns3"/>
      <sheetName val="MERGED_CODES_&amp;_NAMES3"/>
      <sheetName val="1_01_(a)3"/>
      <sheetName val="Pile_cap4"/>
      <sheetName val="Back_Cal_for_OMC4"/>
      <sheetName val="Bed_Class3"/>
      <sheetName val="SCHEDULE_OF_RATES3"/>
      <sheetName val="std_wt_4"/>
      <sheetName val="Khalifa_Parkf4"/>
      <sheetName val="SCHEDULE_(3)3"/>
      <sheetName val="R_A_4"/>
      <sheetName val="Materials_Cost(PCC)4"/>
      <sheetName val="L&amp;T_formwork_system4"/>
      <sheetName val="Pile_load_test-Rock_anchor4"/>
      <sheetName val="Design_(singly_reinforced_beam4"/>
      <sheetName val="Hoop_stress4"/>
      <sheetName val="shoring_using_plates4"/>
      <sheetName val="Gantry_track4"/>
      <sheetName val="DESIGN-abut-pile_fdn_-114"/>
      <sheetName val="Contractor-1-every_floor_5%3"/>
      <sheetName val="Covering_letter1"/>
      <sheetName val="_CERTIFICATE___PAYMENT_Vendor1"/>
      <sheetName val="Payment_Abstract_Vendor1"/>
      <sheetName val="Cummulative_Steel_&amp;_RMC_Vendor1"/>
      <sheetName val="Vendor_Wise_Cu__Steel_&amp;_RMC1"/>
      <sheetName val="Prism_johnson1"/>
      <sheetName val="RMC_Qty__Cumulative_vendor_wis1"/>
      <sheetName val="RMC_Backup1"/>
      <sheetName val="RMC_Invoice1"/>
      <sheetName val="Material_Rates1"/>
      <sheetName val="Reinforcement_Steel1"/>
      <sheetName val="Feb'19_Tax_Invoice1"/>
      <sheetName val="Structural_Steel1"/>
      <sheetName val="Feb'19_Tax_Invoice_(2)1"/>
      <sheetName val="Qty__Cumulative_Abstract1"/>
      <sheetName val="Plant_Used_in_CATS_3"/>
      <sheetName val="Setup_Variables1"/>
      <sheetName val="stub_Column1"/>
      <sheetName val="Name_Lists1"/>
      <sheetName val="Dropdown_list1"/>
      <sheetName val="Gen_Info1"/>
      <sheetName val="Elect_1"/>
      <sheetName val="_COP1"/>
      <sheetName val="Labour_&amp;_Material1"/>
      <sheetName val="Schedule_(2)1"/>
      <sheetName val="Final_Bill_of_Material1"/>
      <sheetName val="-ve_Variation-Annx-1-Page-14"/>
      <sheetName val="Summary_of_variations-Anx-24"/>
      <sheetName val="CTP-13-Abstract-On_Account_Bil4"/>
      <sheetName val="Abstract-including_GST4"/>
      <sheetName val="Road_Detail_Est_1"/>
      <sheetName val="Road_data1"/>
      <sheetName val="b_s_chalam1"/>
      <sheetName val="Top_Sheet_(PZ)4"/>
      <sheetName val="Daywise_Summary4"/>
      <sheetName val="Road_wise_summary4"/>
      <sheetName val="Amit_Singh4"/>
      <sheetName val="RP_Pal4"/>
      <sheetName val="SWD_Road_WISE_Total_Qty4"/>
      <sheetName val="Done_Qty__FTM4"/>
      <sheetName val="Precast_Scope4"/>
      <sheetName val="AS_(PZ)4"/>
      <sheetName val="KPN_(PZ)4"/>
      <sheetName val="DOKA_shutter_design4"/>
      <sheetName val="Steel_shutter_design4"/>
      <sheetName val="gantry_cranes4"/>
      <sheetName val="bolted_splice4"/>
      <sheetName val="piercap_truss4"/>
      <sheetName val="Table_194"/>
      <sheetName val="Vertical_profile4"/>
      <sheetName val="Abstract_4"/>
      <sheetName val="Rate_Breakdowns_(Civil)4"/>
      <sheetName val="Materials_4"/>
      <sheetName val="5_Analysis4"/>
      <sheetName val="4_BOQ_air4"/>
      <sheetName val="1_BED_1"/>
      <sheetName val="C_(3)1"/>
      <sheetName val="입찰내역_발주처_양식1"/>
      <sheetName val="LMB_Forecast_plan1"/>
      <sheetName val="PtList_Above_(300x300)1"/>
      <sheetName val="PtList_Below_(300x300)1"/>
      <sheetName val="Power_&amp;_Fuel(SMS)1"/>
      <sheetName val="April_Analysts1"/>
      <sheetName val="3_9_Tension_Crash_Barrier1"/>
      <sheetName val="3_12_Stone_Pitching1"/>
      <sheetName val="1_Prelims1"/>
      <sheetName val="3_10_Misc__Concrete1"/>
      <sheetName val="3_13_14_Protection1"/>
      <sheetName val="3_8_ROAD_signs1"/>
      <sheetName val="Valves_Erec__-IV1"/>
      <sheetName val="3__Elemental_Summary1"/>
      <sheetName val="Material_Advance1"/>
      <sheetName val="Tax-Invoice_(Interior_&amp;_Civil)1"/>
      <sheetName val="Appendix_-_11"/>
      <sheetName val="BOQ_ID1"/>
      <sheetName val="MB_ID1"/>
      <sheetName val="Appendix_-_101"/>
      <sheetName val="Nt_Items1"/>
      <sheetName val="Swati_RA1"/>
      <sheetName val="Neyo_RA1"/>
      <sheetName val="Meas_-Hotel_Part1"/>
      <sheetName val="Materials_Cost1"/>
      <sheetName val="Vordruck-Nr__7_1_3_D1"/>
      <sheetName val="M&amp;A_D1"/>
      <sheetName val="M&amp;A_E1"/>
      <sheetName val="M&amp;A_G1"/>
      <sheetName val="FINANCIAL_(FLR)1"/>
      <sheetName val="Measurement_261"/>
      <sheetName val="Measurement_271"/>
      <sheetName val="Concrete_301"/>
      <sheetName val="Measurement_utility1"/>
      <sheetName val="Measurement_sump1"/>
      <sheetName val="Filling_final_1"/>
      <sheetName val="Additional_Items1"/>
      <sheetName val="Measur_Storm1"/>
      <sheetName val="Concrete_261"/>
      <sheetName val="Road_work1"/>
      <sheetName val="Storm_water1"/>
      <sheetName val="Boq_Block_A1"/>
      <sheetName val="Item-_Compact1"/>
      <sheetName val="????_???_??1"/>
      <sheetName val="Shape_of_Bars1"/>
      <sheetName val="Final_MEASUREMENT_RA_-_041"/>
      <sheetName val="foot-slab_reinft1"/>
      <sheetName val="Summary_of_Abst_1"/>
      <sheetName val="Civil_Works1"/>
      <sheetName val="Camp_Power_Cost1"/>
      <sheetName val="Bar_Sched1"/>
      <sheetName val="Boq_(Main_Building)1"/>
      <sheetName val="ONE_TIME1"/>
      <sheetName val="S_BAHAN1"/>
      <sheetName val="S_UPAH1"/>
      <sheetName val="Seide_Customer_wise_1"/>
      <sheetName val="Consl_LS1"/>
      <sheetName val="Filati_Customer_wise1"/>
      <sheetName val="Seide_LS1"/>
      <sheetName val="Filati_LS1"/>
      <sheetName val="Unit_prices1"/>
      <sheetName val="Rate_Analysis_1"/>
      <sheetName val="Income_Statement-OCPL_Projects1"/>
      <sheetName val="RAte_analyis1"/>
      <sheetName val="N-Amritsar_1351"/>
      <sheetName val="Summary_output1"/>
      <sheetName val="Actual_2010-111"/>
      <sheetName val="Actual_2009-101"/>
      <sheetName val="Budget_2010-111"/>
      <sheetName val="Bar_Chart_-_FHL_(M)1"/>
      <sheetName val="CF_-_WW1"/>
      <sheetName val="Driveway_Beams"/>
      <sheetName val="SITE_WORK"/>
      <sheetName val="EE_SUM"/>
      <sheetName val="D17-CL-C_(2)"/>
      <sheetName val="Project_Sheet"/>
      <sheetName val="Drop-down_data's"/>
      <sheetName val="MAJOR_QTYS"/>
      <sheetName val="RCC_RA76(BGL)"/>
      <sheetName val="OVER_HEADS"/>
      <sheetName val="doq_br_"/>
      <sheetName val="___________"/>
      <sheetName val="Sta__Alex-Direct_Cost"/>
      <sheetName val="Sta__Alex-GROSS_AMT"/>
      <sheetName val="Power_&amp;_Fuel(E)"/>
      <sheetName val="Mat_Cost1"/>
      <sheetName val="ACCOUNT_SUMMARY"/>
      <sheetName val="DB"/>
      <sheetName val="mas"/>
      <sheetName val="Hot"/>
      <sheetName val="ADDENDA"/>
      <sheetName val="APRIL"/>
      <sheetName val="Aug"/>
      <sheetName val="FEB"/>
      <sheetName val="JAN"/>
      <sheetName val="July"/>
      <sheetName val="June"/>
      <sheetName val="MARCH"/>
      <sheetName val="MAY"/>
      <sheetName val="b_s_chalam2"/>
      <sheetName val="Road_Detail_Est_2"/>
      <sheetName val="Road_data2"/>
      <sheetName val="Bar_Sched2"/>
      <sheetName val="Valves_Erec__-IV2"/>
      <sheetName val="3__Elemental_Summary2"/>
      <sheetName val="Setup_Variables2"/>
      <sheetName val="stub_Column2"/>
      <sheetName val="Final_Bill_of_Material2"/>
      <sheetName val="S_BAHAN2"/>
      <sheetName val="S_UPAH2"/>
      <sheetName val="Name_Lists2"/>
      <sheetName val="Dropdown_list2"/>
      <sheetName val="Gen_Info2"/>
      <sheetName val="Elect_2"/>
      <sheetName val="_COP2"/>
      <sheetName val="Labour_&amp;_Material2"/>
      <sheetName val="Covering_letter2"/>
      <sheetName val="_CERTIFICATE___PAYMENT_Vendor2"/>
      <sheetName val="Payment_Abstract_Vendor2"/>
      <sheetName val="Cummulative_Steel_&amp;_RMC_Vendor2"/>
      <sheetName val="Vendor_Wise_Cu__Steel_&amp;_RMC2"/>
      <sheetName val="Prism_johnson2"/>
      <sheetName val="RMC_Qty__Cumulative_vendor_wis2"/>
      <sheetName val="RMC_Backup2"/>
      <sheetName val="RMC_Invoice2"/>
      <sheetName val="Material_Rates2"/>
      <sheetName val="Reinforcement_Steel2"/>
      <sheetName val="Feb'19_Tax_Invoice2"/>
      <sheetName val="Structural_Steel2"/>
      <sheetName val="Feb'19_Tax_Invoice_(2)2"/>
      <sheetName val="Qty__Cumulative_Abstract2"/>
      <sheetName val="Schedule_(2)2"/>
      <sheetName val="1_BED_2"/>
      <sheetName val="C_(3)2"/>
      <sheetName val="입찰내역_발주처_양식2"/>
      <sheetName val="LMB_Forecast_plan2"/>
      <sheetName val="PtList_Above_(300x300)2"/>
      <sheetName val="PtList_Below_(300x300)2"/>
      <sheetName val="Power_&amp;_Fuel(SMS)2"/>
      <sheetName val="precast_RC_element2"/>
      <sheetName val="Income_Statement-OCPL_Projects2"/>
      <sheetName val="3_9_Tension_Crash_Barrier2"/>
      <sheetName val="3_12_Stone_Pitching2"/>
      <sheetName val="1_Prelims2"/>
      <sheetName val="3_10_Misc__Concrete2"/>
      <sheetName val="3_13_14_Protection2"/>
      <sheetName val="3_8_ROAD_signs2"/>
      <sheetName val="Rate_Analysis_2"/>
      <sheetName val="April_Analysts2"/>
      <sheetName val="N-Amritsar_1352"/>
      <sheetName val="Material_Advance2"/>
      <sheetName val="Tax-Invoice_(Interior_&amp;_Civil)2"/>
      <sheetName val="Appendix_-_12"/>
      <sheetName val="BOQ_ID2"/>
      <sheetName val="MB_ID2"/>
      <sheetName val="Appendix_-_102"/>
      <sheetName val="Nt_Items2"/>
      <sheetName val="Swati_RA2"/>
      <sheetName val="Neyo_RA2"/>
      <sheetName val="Unit_prices2"/>
      <sheetName val="Final_MEASUREMENT_RA_-_042"/>
      <sheetName val="foot-slab_reinft2"/>
      <sheetName val="Summary_of_Abst_2"/>
      <sheetName val="Civil_Works2"/>
      <sheetName val="Measurement_262"/>
      <sheetName val="Measurement_272"/>
      <sheetName val="Concrete_302"/>
      <sheetName val="Measurement_utility2"/>
      <sheetName val="Measurement_sump2"/>
      <sheetName val="Filling_final_2"/>
      <sheetName val="Additional_Items2"/>
      <sheetName val="Measur_Storm2"/>
      <sheetName val="Concrete_262"/>
      <sheetName val="Road_work2"/>
      <sheetName val="Storm_water2"/>
      <sheetName val="Boq_Block_A2"/>
      <sheetName val="Item-_Compact2"/>
      <sheetName val="Meas_-Hotel_Part2"/>
      <sheetName val="doq-9"/>
      <sheetName val="doq-8"/>
      <sheetName val="doq 2"/>
      <sheetName val="doq 3"/>
      <sheetName val="doq-1"/>
      <sheetName val="Micro"/>
      <sheetName val="Macro"/>
      <sheetName val="Scaff-Rose"/>
      <sheetName val="HMC(BASE)"/>
      <sheetName val="Bitumen trunk"/>
      <sheetName val="Feeder"/>
      <sheetName val="R99 etc"/>
      <sheetName val="Trunk unpaved"/>
      <sheetName val="E &amp; R"/>
      <sheetName val="F1a-Pile"/>
      <sheetName val="Design of Isolated Footing"/>
      <sheetName val="p_m"/>
      <sheetName val="main"/>
      <sheetName val="RFP002"/>
      <sheetName val="FA"/>
      <sheetName val="Name List"/>
      <sheetName val="BOQ LT"/>
      <sheetName val="E1"/>
      <sheetName val="E2"/>
      <sheetName val="E3"/>
      <sheetName val="E4"/>
      <sheetName val="E5"/>
      <sheetName val="Div Sum"/>
      <sheetName val="CONS. PROJECT HITS"/>
      <sheetName val="2-Cash Flow"/>
      <sheetName val="377ꃎ婈朵鐀م婱浏_x0000__x0016__x0000__x0000__x0000__x0014_[BHANDUP.XLS]_2"/>
      <sheetName val="ance_Work1_______________BHAN_2"/>
      <sheetName val="NR.03 Base-Course 140mm Thk"/>
      <sheetName val="Drawing Sheet Ref."/>
      <sheetName val="NR.09a W.C. (60-70) 50mm Thk"/>
      <sheetName val="Bil 1"/>
      <sheetName val="Cost of Basic Material"/>
      <sheetName val="JCR Summary"/>
      <sheetName val="Design Mix"/>
      <sheetName val="Road_TCS_Wise_Details"/>
      <sheetName val="Wearing_Course"/>
      <sheetName val="C_&amp;_G_RHS"/>
      <sheetName val="SCEL_Funding"/>
      <sheetName val="EQUIP_LIST"/>
      <sheetName val="pro_stat-q"/>
      <sheetName val="A_1_8_4Lane-MCW-BC"/>
      <sheetName val="A_2_8_6Lane-MCW-BC"/>
      <sheetName val="B_SER_8__BC"/>
      <sheetName val="3__Booth"/>
      <sheetName val="C(i)-4__fin__item"/>
      <sheetName val="L_5_Busbays"/>
      <sheetName val="2__canopy_roof"/>
      <sheetName val="A_1_1_4Lane-MCW-CG_"/>
      <sheetName val="A_2_1_6Lane-MCW-CG"/>
      <sheetName val="B_SER_1_CG"/>
      <sheetName val="A_1_7_4Lane-MCW-DBM"/>
      <sheetName val="A_2_7_6Lane-MCW-DBM_Top"/>
      <sheetName val="B_SER_7__DBM"/>
      <sheetName val="J_-Concrete_Drain"/>
      <sheetName val="A_1_2_4Lane-MCW-EMB"/>
      <sheetName val="A_2_2_6Lane-MCW-EMB"/>
      <sheetName val="B_SER_2_EMB"/>
      <sheetName val="C(i)_1-BC-FDN"/>
      <sheetName val="G_5-ROB_Finishing_Item"/>
      <sheetName val="F_4a_-Casting_Girder"/>
      <sheetName val="G_4a-ROB_GC"/>
      <sheetName val="F_4b_-Erection_of_Girder"/>
      <sheetName val="E_4_b-RA_BRDG-EREC_"/>
      <sheetName val="G_4b-ROB_GE"/>
      <sheetName val="E_4_a-RA_BRDG-GC"/>
      <sheetName val="A_1_4_4Lane-MCW-GSB"/>
      <sheetName val="A_2_4_6Lane-MCW-GSB"/>
      <sheetName val="B_SER_4_GSB"/>
      <sheetName val="C(ii)_2-PC-HW"/>
      <sheetName val="L_3_Illumination_"/>
      <sheetName val="A_1_6_Concrete_Kerb_Casting"/>
      <sheetName val="A2_6_Concrete_Kerb_Casting"/>
      <sheetName val="B_SER_6__Kerb"/>
      <sheetName val="1_c_Masonary_in_Walls"/>
      <sheetName val="L_8_Median_Plantation"/>
      <sheetName val="L_2_Beam_Crash_Brr_"/>
      <sheetName val="L_9_Minor_Repairs_"/>
      <sheetName val="L_10_MISC"/>
      <sheetName val="A_1_9_4Lane-MCW-MISC"/>
      <sheetName val="A_2_9_6Lane-MCW-MISC"/>
      <sheetName val="D_5_Fini-Item"/>
      <sheetName val="F_1_-GS-PCC_PILE_"/>
      <sheetName val="D_1-MNBR-PCC_PILE"/>
      <sheetName val="E_1_-RA_BRDG-PCC_PILE"/>
      <sheetName val="G_1_-ROB_PCC_PILE_"/>
      <sheetName val="H_1_-UNP-PCC_PILE"/>
      <sheetName val="C(ii)_3_Fin__Item"/>
      <sheetName val="C(ii)_1-PC-PIPE"/>
      <sheetName val="1_b_Plinth_Fill"/>
      <sheetName val="F_2_-GS-RAFT"/>
      <sheetName val="D_2-MNBR-RAFT"/>
      <sheetName val="E_2_-RA_BRDG-RAFT"/>
      <sheetName val="G_2_-ROB_RAFT"/>
      <sheetName val="H_2_-UNP-Raft"/>
      <sheetName val="E_5__Fin_item"/>
      <sheetName val="I_5_Crash_Brr"/>
      <sheetName val="II__Erection_of_Facia_"/>
      <sheetName val="I_4__Cast__Fric_Slab"/>
      <sheetName val="I_1_-REP_CAST"/>
      <sheetName val="III__Granular_Material_Filling"/>
      <sheetName val="L_1_Road_Marking"/>
      <sheetName val="L_4_Road_Signs"/>
      <sheetName val="1_d_Roof_Casting"/>
      <sheetName val="A_1_3_4Lane-MCW-SG_"/>
      <sheetName val="A_2_3_6Lane-MCW-SG"/>
      <sheetName val="B_SER_3_SG"/>
      <sheetName val="F_4c_-GS-SLAB"/>
      <sheetName val="D_4_C-MNBR-SLAB"/>
      <sheetName val="E_4_C-RA_BRDG-Slab"/>
      <sheetName val="G_4c-ROB_Deckslab"/>
      <sheetName val="L_7_Slope"/>
      <sheetName val="B_SER_9__MISC_"/>
      <sheetName val="C(i)_2-BC-SUB_"/>
      <sheetName val="F_3_-GS-SUB"/>
      <sheetName val="D_3-MNBR-SUB"/>
      <sheetName val="E_3_-RA_BRDG-SUB"/>
      <sheetName val="G_3-ROB_SUB"/>
      <sheetName val="H_3_-UNP-SUB"/>
      <sheetName val="C(i)_3-BC-SUP"/>
      <sheetName val="H_4_-UNP-SUP"/>
      <sheetName val="4__DLC"/>
      <sheetName val="6__Finishing_Item"/>
      <sheetName val="1_e_Finishes"/>
      <sheetName val="5_PQC"/>
      <sheetName val="L_6_Truckbays"/>
      <sheetName val="H__5__Fin__Item"/>
      <sheetName val="F_5-Finishing_Item"/>
      <sheetName val="B_SER_5A_WMM-1"/>
      <sheetName val="B_SER_5B_WMM-2"/>
      <sheetName val="A_1_5_a_4Lane-MCW-WMM_1st"/>
      <sheetName val="A_1_5_b_4Lane-MCW-WMM_top"/>
      <sheetName val="A_2_5a_6Lane-MCW-WMM_1st"/>
      <sheetName val="A_2_5b_6Lane-MCW-WMM_top"/>
      <sheetName val="1_a_Work_Upto_Plinth"/>
      <sheetName val="Design_OPT_1"/>
      <sheetName val="DETAIL_SHEET4"/>
      <sheetName val="Ground_Floor4"/>
      <sheetName val="Area_Analysis4"/>
      <sheetName val="BASIS_-DEC_084"/>
      <sheetName val="PPA_Summary3"/>
      <sheetName val="STAFFSCHED_4"/>
      <sheetName val="NOT_FULL_RESTRAINT3"/>
      <sheetName val="BEARING_&amp;_BUCKLING3"/>
      <sheetName val="Detail_1A3"/>
      <sheetName val="TRIAL_BALANCE3"/>
      <sheetName val="Data_sheet3"/>
      <sheetName val="Sheet3_(2)3"/>
      <sheetName val="Beam-design_exp1"/>
      <sheetName val="NEW_FILE_CREATION_SLIP(REGULAR)"/>
      <sheetName val="Material_List_1"/>
      <sheetName val="FOH_D&amp;L1"/>
      <sheetName val="Master_Data_Sheet1"/>
      <sheetName val="Plinth_beam"/>
      <sheetName val="M_B_T-161"/>
      <sheetName val="Equipment_List_(Process)1"/>
      <sheetName val="Break_Dw1"/>
      <sheetName val="key_dates1"/>
      <sheetName val="FA_SCHEDULE"/>
      <sheetName val="Financials_Forecast"/>
      <sheetName val="Admin_&amp;_Assumptions"/>
      <sheetName val="Print_Tables_-_Financials"/>
      <sheetName val="Recast_of_Comparable_P&amp;L's_"/>
      <sheetName val="Market_Demand_Forecast"/>
      <sheetName val="Market_Print_Tables"/>
      <sheetName val="Mechanical_BOQ_-_BOQ_Working"/>
      <sheetName val="TPL-Pipe_Acc"/>
      <sheetName val="TPL-Pipe_Fitting"/>
      <sheetName val="TPL-Plumbing_Fix"/>
      <sheetName val="Plumbing_Fixture_Schedule_DH"/>
      <sheetName val="Plumbing_Fixture_Schedule_OB"/>
      <sheetName val="Pipe_Schedule_DH"/>
      <sheetName val="Pipe_Schedule_OB"/>
      <sheetName val="Msht_5F"/>
      <sheetName val="PMV_Data"/>
      <sheetName val="Cashflow_projection"/>
      <sheetName val="labour_rates"/>
      <sheetName val="Parameter"/>
      <sheetName val="pvc vent"/>
      <sheetName val="worksheet"/>
      <sheetName val="Civil-main_building19"/>
      <sheetName val="Civil-amenities_buildings19"/>
      <sheetName val="Roads-pavement-path_ways19"/>
      <sheetName val="C-Wall_BOQ19"/>
      <sheetName val="GR_slab-reinft19"/>
      <sheetName val="PRECAST_lightconc-II16"/>
      <sheetName val="PointNo_516"/>
      <sheetName val="GUT_(2)16"/>
      <sheetName val="SPT_vs_PHI16"/>
      <sheetName val="Stress_Calculation16"/>
      <sheetName val="Tender_Summary16"/>
      <sheetName val="_Net_Break_Down16"/>
      <sheetName val="BSH_num16"/>
      <sheetName val="K_Ajeet16"/>
      <sheetName val="SITE_OVERHEADS16"/>
      <sheetName val="Bill_No_2_to_8_(Rev)16"/>
      <sheetName val="Fill_this_out_first___16"/>
      <sheetName val="GF_Columns16"/>
      <sheetName val="Assumption_Inputs16"/>
      <sheetName val="Bill_3_-_Site_Works16"/>
      <sheetName val="11B_16"/>
      <sheetName val="Staff_Acco_15"/>
      <sheetName val="Debits_as_on_12_04_0815"/>
      <sheetName val="labour_coeff15"/>
      <sheetName val="AutoOpen_Stub_Data14"/>
      <sheetName val="Fin_Sum16"/>
      <sheetName val="Bridges_RB14"/>
      <sheetName val="Analysis_Justi_14"/>
      <sheetName val="Qty_Esti_-TCS14"/>
      <sheetName val="Abst_Jo14"/>
      <sheetName val="SUMMARY_ALL_CO'S14"/>
      <sheetName val="INDIGINEOUS_ITEMS_14"/>
      <sheetName val="07016,_Master_List-Major_Mino14"/>
      <sheetName val="C_Sum14"/>
      <sheetName val="A_Sum14"/>
      <sheetName val="S_&amp;_A14"/>
      <sheetName val="Bank_Guarantee14"/>
      <sheetName val="4_Annex_1_Basic_rate16"/>
      <sheetName val="Break_up_Sheet14"/>
      <sheetName val="Deduction_of_assets14"/>
      <sheetName val="Detail_In_Door_Stad14"/>
      <sheetName val="BOQ_(2)10"/>
      <sheetName val="Bechtel_Norms8"/>
      <sheetName val="Bill_19"/>
      <sheetName val="Bill_29"/>
      <sheetName val="Bill_39"/>
      <sheetName val="Bill_49"/>
      <sheetName val="Bill_59"/>
      <sheetName val="Bill_69"/>
      <sheetName val="Bill_79"/>
      <sheetName val="Westin_FOH_&amp;_BOH_Split8"/>
      <sheetName val="BLOCK-A_(MEA_SHEET)10"/>
      <sheetName val="A_O_R_r1Str10"/>
      <sheetName val="A_O_R_r110"/>
      <sheetName val="A_O_R_(2)10"/>
      <sheetName val="PROG_SUMMARY12"/>
      <sheetName val="Sludge_Cal9"/>
      <sheetName val="Ave_wtd_rates9"/>
      <sheetName val="Material_9"/>
      <sheetName val="NLD_-_Assum12"/>
      <sheetName val="5_NOT_REQUIRED14"/>
      <sheetName val="A_O_R_9"/>
      <sheetName val="Basement_Budget11"/>
      <sheetName val="INPUT_SHEET11"/>
      <sheetName val="FITZ_MORT_9411"/>
      <sheetName val="3cd_Annexure12"/>
      <sheetName val="Story_Drift-Part_29"/>
      <sheetName val="Allg__Angaben9"/>
      <sheetName val="AoR_Finishing9"/>
      <sheetName val="Rate_analysis9"/>
      <sheetName val="Operating_Statistics9"/>
      <sheetName val="schedule_nos9"/>
      <sheetName val="RCC,Ret__Wall9"/>
      <sheetName val="Basic_Rates9"/>
      <sheetName val="Labour_&amp;_Plant9"/>
      <sheetName val="Podium_Areas9"/>
      <sheetName val="9__Package_split_-_Cost_9"/>
      <sheetName val="DETAILED__BOQ9"/>
      <sheetName val="LABOUR_RATE9"/>
      <sheetName val="Material_Rate9"/>
      <sheetName val="Balance_sheet_DCCDL_Nov_069"/>
      <sheetName val="_COP_100%9"/>
      <sheetName val="@risk_rents_and_incentives8"/>
      <sheetName val="Car_park_lease8"/>
      <sheetName val="Net_rent_analysis8"/>
      <sheetName val="Top_sheet8"/>
      <sheetName val="M-Book_for_Conc8"/>
      <sheetName val="Rein_Steel8"/>
      <sheetName val="M-Book_for_FW8"/>
      <sheetName val="M-Book_others8"/>
      <sheetName val="M-Book_filling8"/>
      <sheetName val="beam-reinft-machine_rm8"/>
      <sheetName val="CS_PIPING8"/>
      <sheetName val="TECH_DATA8"/>
      <sheetName val="MASTER_RATE_ANALYSIS8"/>
      <sheetName val="PA-_Consutant_8"/>
      <sheetName val="Works_-_Quote_Sheet8"/>
      <sheetName val="SECTION_R4"/>
      <sheetName val="rent_&amp;_value_assumptions8"/>
      <sheetName val="PSDA_detailed_cashflow_for_deb8"/>
      <sheetName val="Financing_Assumptions8"/>
      <sheetName val="Equity_shares_analysis8"/>
      <sheetName val="Loan_B_interest8"/>
      <sheetName val="Loan_covenant_tests8"/>
      <sheetName val="Rents_committed8"/>
      <sheetName val="LCC_profit_share_calculation8"/>
      <sheetName val="Loan_A_interest_guarantee8"/>
      <sheetName val="L_(4)4"/>
      <sheetName val="Trade_Summary"/>
      <sheetName val="Raw_Data"/>
      <sheetName val="Div_Summary"/>
      <sheetName val="MATCAT_BOQ"/>
      <sheetName val="Option"/>
      <sheetName val="Day work"/>
      <sheetName val="Sheet7"/>
      <sheetName val="BASE CASE"/>
      <sheetName val="TASK"/>
      <sheetName val="02"/>
      <sheetName val="03"/>
      <sheetName val="04"/>
      <sheetName val="Z- GENERAL PRICE SUMMARY"/>
      <sheetName val="WITHOUT C&amp;I PROFIT (3)"/>
      <sheetName val="PL_Alert"/>
      <sheetName val="List"/>
      <sheetName val="REQ_REMARKS"/>
      <sheetName val="Rate-Code"/>
      <sheetName val="Tubi"/>
      <sheetName val="Camp_Power_Cost2"/>
      <sheetName val="MAJOR_QTYS1"/>
      <sheetName val="Sqn_(Main)_Abs1"/>
      <sheetName val="Sta__Alex-Direct_Cost1"/>
      <sheetName val="Sta__Alex-GROSS_AMT1"/>
      <sheetName val="Road_TCS_Wise_Details1"/>
      <sheetName val="Wearing_Course1"/>
      <sheetName val="C_&amp;_G_RHS1"/>
      <sheetName val="Change_Order_Log1"/>
      <sheetName val="SCEL_Funding1"/>
      <sheetName val="EQUIP_LIST1"/>
      <sheetName val="pro_stat-q1"/>
      <sheetName val="Project_Sheet1"/>
      <sheetName val="Drop-down_data's1"/>
      <sheetName val="A_1_8_4Lane-MCW-BC1"/>
      <sheetName val="A_2_8_6Lane-MCW-BC1"/>
      <sheetName val="B_SER_8__BC1"/>
      <sheetName val="3__Booth1"/>
      <sheetName val="C(i)-4__fin__item1"/>
      <sheetName val="L_5_Busbays1"/>
      <sheetName val="2__canopy_roof1"/>
      <sheetName val="A_1_1_4Lane-MCW-CG_1"/>
      <sheetName val="A_2_1_6Lane-MCW-CG1"/>
      <sheetName val="B_SER_1_CG1"/>
      <sheetName val="A_1_7_4Lane-MCW-DBM1"/>
      <sheetName val="A_2_7_6Lane-MCW-DBM_Top1"/>
      <sheetName val="B_SER_7__DBM1"/>
      <sheetName val="J_-Concrete_Drain1"/>
      <sheetName val="A_1_2_4Lane-MCW-EMB1"/>
      <sheetName val="A_2_2_6Lane-MCW-EMB1"/>
      <sheetName val="B_SER_2_EMB1"/>
      <sheetName val="C(i)_1-BC-FDN1"/>
      <sheetName val="G_5-ROB_Finishing_Item1"/>
      <sheetName val="F_4a_-Casting_Girder1"/>
      <sheetName val="G_4a-ROB_GC1"/>
      <sheetName val="F_4b_-Erection_of_Girder1"/>
      <sheetName val="E_4_b-RA_BRDG-EREC_1"/>
      <sheetName val="G_4b-ROB_GE1"/>
      <sheetName val="E_4_a-RA_BRDG-GC1"/>
      <sheetName val="A_1_4_4Lane-MCW-GSB1"/>
      <sheetName val="A_2_4_6Lane-MCW-GSB1"/>
      <sheetName val="B_SER_4_GSB1"/>
      <sheetName val="C(ii)_2-PC-HW1"/>
      <sheetName val="L_3_Illumination_1"/>
      <sheetName val="A_1_6_Concrete_Kerb_Casting1"/>
      <sheetName val="A2_6_Concrete_Kerb_Casting1"/>
      <sheetName val="B_SER_6__Kerb1"/>
      <sheetName val="1_c_Masonary_in_Walls1"/>
      <sheetName val="L_8_Median_Plantation1"/>
      <sheetName val="L_2_Beam_Crash_Brr_1"/>
      <sheetName val="L_9_Minor_Repairs_1"/>
      <sheetName val="L_10_MISC1"/>
      <sheetName val="A_1_9_4Lane-MCW-MISC1"/>
      <sheetName val="A_2_9_6Lane-MCW-MISC1"/>
      <sheetName val="D_5_Fini-Item1"/>
      <sheetName val="F_1_-GS-PCC_PILE_1"/>
      <sheetName val="D_1-MNBR-PCC_PILE1"/>
      <sheetName val="E_1_-RA_BRDG-PCC_PILE1"/>
      <sheetName val="G_1_-ROB_PCC_PILE_1"/>
      <sheetName val="H_1_-UNP-PCC_PILE1"/>
      <sheetName val="C(ii)_3_Fin__Item1"/>
      <sheetName val="C(ii)_1-PC-PIPE1"/>
      <sheetName val="1_b_Plinth_Fill1"/>
      <sheetName val="F_2_-GS-RAFT1"/>
      <sheetName val="D_2-MNBR-RAFT1"/>
      <sheetName val="E_2_-RA_BRDG-RAFT1"/>
      <sheetName val="G_2_-ROB_RAFT1"/>
      <sheetName val="H_2_-UNP-Raft1"/>
      <sheetName val="E_5__Fin_item1"/>
      <sheetName val="I_5_Crash_Brr1"/>
      <sheetName val="II__Erection_of_Facia_1"/>
      <sheetName val="I_4__Cast__Fric_Slab1"/>
      <sheetName val="I_1_-REP_CAST1"/>
      <sheetName val="III__Granular_Material_Filling1"/>
      <sheetName val="L_1_Road_Marking1"/>
      <sheetName val="L_4_Road_Signs1"/>
      <sheetName val="1_d_Roof_Casting1"/>
      <sheetName val="A_1_3_4Lane-MCW-SG_1"/>
      <sheetName val="A_2_3_6Lane-MCW-SG1"/>
      <sheetName val="B_SER_3_SG1"/>
      <sheetName val="F_4c_-GS-SLAB1"/>
      <sheetName val="D_4_C-MNBR-SLAB1"/>
      <sheetName val="E_4_C-RA_BRDG-Slab1"/>
      <sheetName val="G_4c-ROB_Deckslab1"/>
      <sheetName val="L_7_Slope1"/>
      <sheetName val="B_SER_9__MISC_1"/>
      <sheetName val="C(i)_2-BC-SUB_1"/>
      <sheetName val="F_3_-GS-SUB1"/>
      <sheetName val="D_3-MNBR-SUB1"/>
      <sheetName val="E_3_-RA_BRDG-SUB1"/>
      <sheetName val="G_3-ROB_SUB1"/>
      <sheetName val="H_3_-UNP-SUB1"/>
      <sheetName val="C(i)_3-BC-SUP1"/>
      <sheetName val="H_4_-UNP-SUP1"/>
      <sheetName val="4__DLC1"/>
      <sheetName val="6__Finishing_Item1"/>
      <sheetName val="1_e_Finishes1"/>
      <sheetName val="5_PQC1"/>
      <sheetName val="L_6_Truckbays1"/>
      <sheetName val="H__5__Fin__Item1"/>
      <sheetName val="F_5-Finishing_Item1"/>
      <sheetName val="B_SER_5A_WMM-11"/>
      <sheetName val="B_SER_5B_WMM-21"/>
      <sheetName val="A_1_5_a_4Lane-MCW-WMM_1st1"/>
      <sheetName val="A_1_5_b_4Lane-MCW-WMM_top1"/>
      <sheetName val="A_2_5a_6Lane-MCW-WMM_1st1"/>
      <sheetName val="A_2_5b_6Lane-MCW-WMM_top1"/>
      <sheetName val="1_a_Work_Upto_Plinth1"/>
      <sheetName val="Design_OPT_11"/>
      <sheetName val="water_prop_6"/>
      <sheetName val="Structure_Bills_Qty6"/>
      <sheetName val="beam-reinft-IIInd_floor6"/>
      <sheetName val="IRP_all_H2s6"/>
      <sheetName val="BOD_PL_NEW5"/>
      <sheetName val="old_serial_no_6"/>
      <sheetName val="final_abstract5"/>
      <sheetName val="UNP-NCW_5"/>
      <sheetName val="Section_3_DPR5"/>
      <sheetName val="Flanged_Beams5"/>
      <sheetName val="Rectangular_Beam5"/>
      <sheetName val="BC_&amp;_MNB_5"/>
      <sheetName val="Debtors_analysis5"/>
      <sheetName val="Total_Debtors_Ageing_Sheet5"/>
      <sheetName val="Debtors_Service_Tax5"/>
      <sheetName val="(Do_not_delete)5"/>
      <sheetName val="SC_Cost_FEB_035"/>
      <sheetName val="MS_Rates5"/>
      <sheetName val="Slope_area5"/>
      <sheetName val="Array_(2)5"/>
      <sheetName val="R_A_5"/>
      <sheetName val="Boq-_Civil5"/>
      <sheetName val="Input_&amp;_Calculations5"/>
      <sheetName val="Back_Cal_for_OMC5"/>
      <sheetName val="Materials_Cost(PCC)5"/>
      <sheetName val="Inter_Co_Balances6"/>
      <sheetName val="Fin__Assumpt__-_Sensitivities5"/>
      <sheetName val="SP_Break_Up6"/>
      <sheetName val="Load_Details(B2)5"/>
      <sheetName val="Validation_sheet5"/>
      <sheetName val="L&amp;T_formwork_system5"/>
      <sheetName val="Pile_load_test-Rock_anchor5"/>
      <sheetName val="Design_(singly_reinforced_beam5"/>
      <sheetName val="Hoop_stress5"/>
      <sheetName val="shoring_using_plates5"/>
      <sheetName val="Gantry_track5"/>
      <sheetName val="DESIGN-abut-pile_fdn_-115"/>
      <sheetName val="Segment_Report_working5"/>
      <sheetName val="Fixed_Assets_&amp;_Depreciation5"/>
      <sheetName val="CFForecast_detail5"/>
      <sheetName val="TBAL9697_-group_wise__sdpl5"/>
      <sheetName val="Project_Budget_Worksheet5"/>
      <sheetName val="Detail_P&amp;L5"/>
      <sheetName val="Assumption_Sheet5"/>
      <sheetName val="kppl_pl5"/>
      <sheetName val="Stru_Labour_rate5"/>
      <sheetName val="Curing_Analysis5"/>
      <sheetName val="MS_items5"/>
      <sheetName val="Tunnel_Fw5"/>
      <sheetName val="Sales_&amp;_Prod5"/>
      <sheetName val="Revised_Summary5"/>
      <sheetName val="accom_cash5"/>
      <sheetName val="Light_fitt5"/>
      <sheetName val="MN_T_B_5"/>
      <sheetName val="IT-Fri_Base5"/>
      <sheetName val="std_wt_5"/>
      <sheetName val="-ve_Variation-Annx-1-Page-15"/>
      <sheetName val="Summary_of_variations-Anx-25"/>
      <sheetName val="CTP-13-Abstract-On_Account_Bil5"/>
      <sheetName val="Abstract-including_GST5"/>
      <sheetName val="Administrative_Prices5"/>
      <sheetName val="Civil_Boq5"/>
      <sheetName val="d-safe_specs5"/>
      <sheetName val="Site_Dev_BOQ5"/>
      <sheetName val="Extra_Item5"/>
      <sheetName val="UPA(Part_C,D,E,G,H)5"/>
      <sheetName val="Inc_St_-Link5"/>
      <sheetName val="Area_Statement5"/>
      <sheetName val="Source_Ref_5"/>
      <sheetName val="ESI_&amp;_PF_DELHI5"/>
      <sheetName val="Khalifa_Parkf5"/>
      <sheetName val="DOKA_shutter_design5"/>
      <sheetName val="Steel_shutter_design5"/>
      <sheetName val="gantry_cranes5"/>
      <sheetName val="bolted_splice5"/>
      <sheetName val="piercap_truss5"/>
      <sheetName val="Table_195"/>
      <sheetName val="Plant_Used_in_CATS_4"/>
      <sheetName val="Project_Master5"/>
      <sheetName val="train_cash5"/>
      <sheetName val="Basic_Rate4"/>
      <sheetName val="Top_Sheet_(PZ)5"/>
      <sheetName val="Daywise_Summary5"/>
      <sheetName val="Road_wise_summary5"/>
      <sheetName val="Amit_Singh5"/>
      <sheetName val="RP_Pal5"/>
      <sheetName val="SWD_Road_WISE_Total_Qty5"/>
      <sheetName val="Done_Qty__FTM5"/>
      <sheetName val="Precast_Scope5"/>
      <sheetName val="AS_(PZ)5"/>
      <sheetName val="KPN_(PZ)5"/>
      <sheetName val="Vertical_profile5"/>
      <sheetName val="Pile_cap5"/>
      <sheetName val="Core_Data5"/>
      <sheetName val="Abstract_5"/>
      <sheetName val="Legal_Risk_Analysis4"/>
      <sheetName val="M_S_4"/>
      <sheetName val="CIP_Summary_00124"/>
      <sheetName val="CIP_Detail_00114"/>
      <sheetName val="99_to_00_blns4"/>
      <sheetName val="Data_Tables4"/>
      <sheetName val="Indirects_5"/>
      <sheetName val="DETAIL_SHEET5"/>
      <sheetName val="Analisa_STR4"/>
      <sheetName val="cost_summary4"/>
      <sheetName val="Elec_Summ4"/>
      <sheetName val="ELEC_BOQ5"/>
      <sheetName val="TRACK_BUSWAY4"/>
      <sheetName val="MERGED_CODES_&amp;_NAMES4"/>
      <sheetName val="1_01_(a)4"/>
      <sheetName val="STAFFSCHED_5"/>
      <sheetName val="Area_Analysis5"/>
      <sheetName val="Bed_Class4"/>
      <sheetName val="Rate_Breakdowns_(Civil)5"/>
      <sheetName val="Materials_5"/>
      <sheetName val="5_Analysis5"/>
      <sheetName val="4_BOQ_air5"/>
      <sheetName val="Bar_Sched3"/>
      <sheetName val="b_s_chalam3"/>
      <sheetName val="Camp_Power_Cost3"/>
      <sheetName val="Oracle_Upload4"/>
      <sheetName val="qty_schedule4"/>
      <sheetName val="BASIS_-DEC_085"/>
      <sheetName val="Seide_Customer_wise_2"/>
      <sheetName val="Consl_LS2"/>
      <sheetName val="Filati_Customer_wise2"/>
      <sheetName val="Seide_LS2"/>
      <sheetName val="Filati_LS2"/>
      <sheetName val="Ground_Floor5"/>
      <sheetName val="SCHEDULE_OF_RATES4"/>
      <sheetName val="NOT_FULL_RESTRAINT4"/>
      <sheetName val="BEARING_&amp;_BUCKLING4"/>
      <sheetName val="Detail_1A4"/>
      <sheetName val="TRIAL_BALANCE4"/>
      <sheetName val="Data_sheet4"/>
      <sheetName val="Sheet3_(2)4"/>
      <sheetName val="PPA_Summary4"/>
      <sheetName val="????_???_??2"/>
      <sheetName val="Shape_of_Bars2"/>
      <sheetName val="Materials_Cost2"/>
      <sheetName val="Vordruck-Nr__7_1_3_D2"/>
      <sheetName val="M&amp;A_D2"/>
      <sheetName val="M&amp;A_E2"/>
      <sheetName val="M&amp;A_G2"/>
      <sheetName val="FINANCIAL_(FLR)2"/>
      <sheetName val="Sta__Alex-Direct_Cost2"/>
      <sheetName val="Sta__Alex-GROSS_AMT2"/>
      <sheetName val="Beam-design_exp2"/>
      <sheetName val="ONE_TIME2"/>
      <sheetName val="RAte_analyis2"/>
      <sheetName val="Actual_2010-112"/>
      <sheetName val="Actual_2009-102"/>
      <sheetName val="Budget_2010-112"/>
      <sheetName val="Bar_Chart_-_FHL_(M)2"/>
      <sheetName val="Summary_output2"/>
      <sheetName val="MAJOR_QTYS2"/>
      <sheetName val="Road_TCS_Wise_Details2"/>
      <sheetName val="precast_RC_element3"/>
      <sheetName val="Wearing_Course2"/>
      <sheetName val="C_&amp;_G_RHS2"/>
      <sheetName val="Boq_(Main_Building)2"/>
      <sheetName val="CF_-_WW2"/>
      <sheetName val="Material_List_2"/>
      <sheetName val="Sqn_(Main)_Abs2"/>
      <sheetName val="Change_Order_Log2"/>
      <sheetName val="SCEL_Funding2"/>
      <sheetName val="EQUIP_LIST2"/>
      <sheetName val="pro_stat-q2"/>
      <sheetName val="Project_Sheet2"/>
      <sheetName val="Drop-down_data's2"/>
      <sheetName val="A_1_8_4Lane-MCW-BC2"/>
      <sheetName val="A_2_8_6Lane-MCW-BC2"/>
      <sheetName val="B_SER_8__BC2"/>
      <sheetName val="3__Booth2"/>
      <sheetName val="C(i)-4__fin__item2"/>
      <sheetName val="L_5_Busbays2"/>
      <sheetName val="2__canopy_roof2"/>
      <sheetName val="A_1_1_4Lane-MCW-CG_2"/>
      <sheetName val="A_2_1_6Lane-MCW-CG2"/>
      <sheetName val="B_SER_1_CG2"/>
      <sheetName val="A_1_7_4Lane-MCW-DBM2"/>
      <sheetName val="A_2_7_6Lane-MCW-DBM_Top2"/>
      <sheetName val="B_SER_7__DBM2"/>
      <sheetName val="J_-Concrete_Drain2"/>
      <sheetName val="A_1_2_4Lane-MCW-EMB2"/>
      <sheetName val="A_2_2_6Lane-MCW-EMB2"/>
      <sheetName val="B_SER_2_EMB2"/>
      <sheetName val="C(i)_1-BC-FDN2"/>
      <sheetName val="G_5-ROB_Finishing_Item2"/>
      <sheetName val="F_4a_-Casting_Girder2"/>
      <sheetName val="G_4a-ROB_GC2"/>
      <sheetName val="F_4b_-Erection_of_Girder2"/>
      <sheetName val="E_4_b-RA_BRDG-EREC_2"/>
      <sheetName val="G_4b-ROB_GE2"/>
      <sheetName val="E_4_a-RA_BRDG-GC2"/>
      <sheetName val="A_1_4_4Lane-MCW-GSB2"/>
      <sheetName val="A_2_4_6Lane-MCW-GSB2"/>
      <sheetName val="B_SER_4_GSB2"/>
      <sheetName val="C(ii)_2-PC-HW2"/>
      <sheetName val="L_3_Illumination_2"/>
      <sheetName val="A_1_6_Concrete_Kerb_Casting2"/>
      <sheetName val="A2_6_Concrete_Kerb_Casting2"/>
      <sheetName val="B_SER_6__Kerb2"/>
      <sheetName val="1_c_Masonary_in_Walls2"/>
      <sheetName val="L_8_Median_Plantation2"/>
      <sheetName val="L_2_Beam_Crash_Brr_2"/>
      <sheetName val="L_9_Minor_Repairs_2"/>
      <sheetName val="L_10_MISC2"/>
      <sheetName val="A_1_9_4Lane-MCW-MISC2"/>
      <sheetName val="A_2_9_6Lane-MCW-MISC2"/>
      <sheetName val="D_5_Fini-Item2"/>
      <sheetName val="F_1_-GS-PCC_PILE_2"/>
      <sheetName val="D_1-MNBR-PCC_PILE2"/>
      <sheetName val="E_1_-RA_BRDG-PCC_PILE2"/>
      <sheetName val="G_1_-ROB_PCC_PILE_2"/>
      <sheetName val="H_1_-UNP-PCC_PILE2"/>
      <sheetName val="C(ii)_3_Fin__Item2"/>
      <sheetName val="C(ii)_1-PC-PIPE2"/>
      <sheetName val="1_b_Plinth_Fill2"/>
      <sheetName val="F_2_-GS-RAFT2"/>
      <sheetName val="D_2-MNBR-RAFT2"/>
      <sheetName val="E_2_-RA_BRDG-RAFT2"/>
      <sheetName val="G_2_-ROB_RAFT2"/>
      <sheetName val="H_2_-UNP-Raft2"/>
      <sheetName val="E_5__Fin_item2"/>
      <sheetName val="I_5_Crash_Brr2"/>
      <sheetName val="II__Erection_of_Facia_2"/>
      <sheetName val="I_4__Cast__Fric_Slab2"/>
      <sheetName val="I_1_-REP_CAST2"/>
      <sheetName val="III__Granular_Material_Filling2"/>
      <sheetName val="L_1_Road_Marking2"/>
      <sheetName val="L_4_Road_Signs2"/>
      <sheetName val="1_d_Roof_Casting2"/>
      <sheetName val="A_1_3_4Lane-MCW-SG_2"/>
      <sheetName val="A_2_3_6Lane-MCW-SG2"/>
      <sheetName val="B_SER_3_SG2"/>
      <sheetName val="F_4c_-GS-SLAB2"/>
      <sheetName val="D_4_C-MNBR-SLAB2"/>
      <sheetName val="E_4_C-RA_BRDG-Slab2"/>
      <sheetName val="G_4c-ROB_Deckslab2"/>
      <sheetName val="L_7_Slope2"/>
      <sheetName val="B_SER_9__MISC_2"/>
      <sheetName val="C(i)_2-BC-SUB_2"/>
      <sheetName val="F_3_-GS-SUB2"/>
      <sheetName val="D_3-MNBR-SUB2"/>
      <sheetName val="E_3_-RA_BRDG-SUB2"/>
      <sheetName val="G_3-ROB_SUB2"/>
      <sheetName val="H_3_-UNP-SUB2"/>
      <sheetName val="C(i)_3-BC-SUP2"/>
      <sheetName val="H_4_-UNP-SUP2"/>
      <sheetName val="4__DLC2"/>
      <sheetName val="6__Finishing_Item2"/>
      <sheetName val="1_e_Finishes2"/>
      <sheetName val="5_PQC2"/>
      <sheetName val="L_6_Truckbays2"/>
      <sheetName val="H__5__Fin__Item2"/>
      <sheetName val="F_5-Finishing_Item2"/>
      <sheetName val="B_SER_5A_WMM-12"/>
      <sheetName val="B_SER_5B_WMM-22"/>
      <sheetName val="A_1_5_a_4Lane-MCW-WMM_1st2"/>
      <sheetName val="A_1_5_b_4Lane-MCW-WMM_top2"/>
      <sheetName val="A_2_5a_6Lane-MCW-WMM_1st2"/>
      <sheetName val="A_2_5b_6Lane-MCW-WMM_top2"/>
      <sheetName val="1_a_Work_Upto_Plinth2"/>
      <sheetName val="Design_OPT_12"/>
      <sheetName val="cashflow"/>
      <sheetName val="Parameters"/>
      <sheetName val="CF"/>
      <sheetName val="IS"/>
      <sheetName val="Planned work schedule"/>
      <sheetName val="Actual work progress"/>
      <sheetName val="Cover Page"/>
      <sheetName val="Mezzanine Floor Beam"/>
      <sheetName val="Ground Floor Slab"/>
      <sheetName val="Construction Revision NB"/>
      <sheetName val="Building A to K"/>
      <sheetName val="Cat A Change Control"/>
      <sheetName val="Mat &amp; Lab Rate"/>
      <sheetName val="TOS-F"/>
      <sheetName val="NOV1"/>
      <sheetName val="NOV15"/>
      <sheetName val="NOV22"/>
      <sheetName val="NOV23"/>
      <sheetName val="NOV29"/>
      <sheetName val="NOV7"/>
      <sheetName val="NOV8"/>
      <sheetName val="Guard House #1; D,E,F"/>
      <sheetName val="dyes"/>
      <sheetName val="UTILITY"/>
      <sheetName val="SCHEDULE_(3)4"/>
      <sheetName val="Contractor-1-every_floor_5%4"/>
      <sheetName val="NEW_FILE_CREATION_SLIP(REGULAR1"/>
      <sheetName val="ACCOUNT_SUMMARY1"/>
      <sheetName val="RCC_RA76(BGL)1"/>
      <sheetName val="FOH_D&amp;L2"/>
      <sheetName val="Beam_at_Ground_flr_lvl(Steel)1"/>
      <sheetName val="MD_REVIEW1"/>
      <sheetName val="Mat_Cost2"/>
      <sheetName val="Master_Data_Sheet2"/>
      <sheetName val="OVER_HEADS1"/>
      <sheetName val="JOB_COSTING_SHEET_ELEC1"/>
      <sheetName val="Bill_5_-_Carpark1"/>
      <sheetName val="SITE_WORK1"/>
      <sheetName val="Driveway_Beams1"/>
      <sheetName val="Power_&amp;_Fuel(E)1"/>
      <sheetName val="doq_br_1"/>
      <sheetName val="EE_SUM1"/>
      <sheetName val="D17-CL-C_(2)1"/>
      <sheetName val="Plinth_beam1"/>
      <sheetName val="M_B_T-162"/>
      <sheetName val="Equipment_List_(Process)2"/>
      <sheetName val="Break_Dw2"/>
      <sheetName val="key_dates2"/>
      <sheetName val="FA_SCHEDULE1"/>
      <sheetName val="Financials_Forecast1"/>
      <sheetName val="Admin_&amp;_Assumptions1"/>
      <sheetName val="Print_Tables_-_Financials1"/>
      <sheetName val="Recast_of_Comparable_P&amp;L's_1"/>
      <sheetName val="Market_Demand_Forecast1"/>
      <sheetName val="Market_Print_Tables1"/>
      <sheetName val="Mechanical_BOQ_-_BOQ_Working1"/>
      <sheetName val="TPL-Pipe_Acc1"/>
      <sheetName val="TPL-Pipe_Fitting1"/>
      <sheetName val="TPL-Plumbing_Fix1"/>
      <sheetName val="Plumbing_Fixture_Schedule_DH1"/>
      <sheetName val="Plumbing_Fixture_Schedule_OB1"/>
      <sheetName val="Pipe_Schedule_DH1"/>
      <sheetName val="Pipe_Schedule_OB1"/>
      <sheetName val="Msht_5F1"/>
      <sheetName val="PMV_Data1"/>
      <sheetName val="Cashflow_projection1"/>
      <sheetName val="labour_rates1"/>
      <sheetName val="BOQ_Distribution"/>
      <sheetName val="Flat_Info__EVEN"/>
      <sheetName val="Flat_Info__ODD"/>
      <sheetName val="Contractor_Details"/>
      <sheetName val="Brickwork_"/>
      <sheetName val="First_Floor_"/>
      <sheetName val="BOQ_(_Only_Ground_floor_)_"/>
      <sheetName val="PRECAST_lightconc_II"/>
      <sheetName val="INFLUENCES_ON_GM"/>
      <sheetName val="u type filter"/>
      <sheetName val="LTR-2"/>
      <sheetName val="VO Summary"/>
      <sheetName val=" Chamber"/>
      <sheetName val="377ꃎ婈朵鐀م婱浏"/>
      <sheetName val="beam-reinft"/>
      <sheetName val="Default Values"/>
      <sheetName val="Ins &amp; Bonds"/>
      <sheetName val="inWords"/>
      <sheetName val="old boq"/>
      <sheetName val="Boq - Flats"/>
      <sheetName val="Annexue B"/>
      <sheetName val="Fee_Rate_Summary"/>
      <sheetName val="Classification"/>
      <sheetName val="Oil Px Sensitivity"/>
      <sheetName val="._._8_ff_xls_._._8_ff_xls_._._8"/>
      <sheetName val="17"/>
      <sheetName val="11"/>
      <sheetName val="7"/>
      <sheetName val="21"/>
      <sheetName val="25"/>
      <sheetName val="18"/>
      <sheetName val="29"/>
      <sheetName val="20"/>
      <sheetName val="Electrical Works"/>
      <sheetName val="BLK2"/>
      <sheetName val="UG"/>
      <sheetName val="radar"/>
      <sheetName val="COLUMN-CR"/>
      <sheetName val="Lot-2"/>
      <sheetName val="1C Data"/>
      <sheetName val="Setup_Variables3"/>
      <sheetName val="Schedule_(2)3"/>
      <sheetName val="11-hsd"/>
      <sheetName val="13-septic"/>
      <sheetName val="7-ug"/>
      <sheetName val="2-utility"/>
      <sheetName val="Beams "/>
      <sheetName val="Internal Finishes (Unit types)"/>
      <sheetName val="LABOUR SALARY "/>
      <sheetName val="Insts"/>
      <sheetName val="cable data"/>
      <sheetName val="fcstdwld"/>
      <sheetName val="Plandwld"/>
      <sheetName val="L+M"/>
      <sheetName val="13mm E.P "/>
      <sheetName val="20mm(E.P)"/>
      <sheetName val="20mm(StaircaseP.P)"/>
      <sheetName val="13mm P.P"/>
      <sheetName val="Named ranges"/>
      <sheetName val="Details for Charts"/>
      <sheetName val="trafo-size"/>
      <sheetName val="Cost Rates"/>
      <sheetName val="RBD_ATS_Inst-F2"/>
      <sheetName val="Cable_Comparison2"/>
      <sheetName val="RBD_DB-F2"/>
      <sheetName val="RBD_ATS-R2"/>
      <sheetName val="RBD_DB-R2"/>
      <sheetName val="RBD_MCC-F2"/>
      <sheetName val="RBD_MCC-R2"/>
      <sheetName val="RBD_SM-F2"/>
      <sheetName val="RBD_SM-R2"/>
      <sheetName val="RBD_HV-F2"/>
      <sheetName val="RBD_HV-R2"/>
      <sheetName val="RBD_ACB-F2"/>
      <sheetName val="RBD_ACB-R2"/>
      <sheetName val="RBD_ATS-F2"/>
      <sheetName val="RBD_LVs-F2"/>
      <sheetName val="RBD_LVs_-R2"/>
      <sheetName val="2C_10mm_FP_Cable2"/>
      <sheetName val="2C_16mm_Cable__2"/>
      <sheetName val="2C_35mm_Cable2"/>
      <sheetName val="2C_50mm_Cable2"/>
      <sheetName val="2C_6mm_Cable2"/>
      <sheetName val="4C_240mm_FP_Cable_2"/>
      <sheetName val="4C_300mm_FP_Cable2"/>
      <sheetName val="4C_50mm_FP_Cable2"/>
      <sheetName val="MD_REVIEW2"/>
      <sheetName val="B&amp;C-TILE_QUANTITIES2"/>
      <sheetName val="RBD_ATS_Inst-F3"/>
      <sheetName val="Cable_Comparison3"/>
      <sheetName val="RBD_DB-F3"/>
      <sheetName val="RBD_ATS-R3"/>
      <sheetName val="RBD_DB-R3"/>
      <sheetName val="RBD_MCC-F3"/>
      <sheetName val="RBD_MCC-R3"/>
      <sheetName val="RBD_SM-F3"/>
      <sheetName val="RBD_SM-R3"/>
      <sheetName val="RBD_HV-F3"/>
      <sheetName val="RBD_HV-R3"/>
      <sheetName val="RBD_ACB-F3"/>
      <sheetName val="RBD_ACB-R3"/>
      <sheetName val="RBD_ATS-F3"/>
      <sheetName val="RBD_LVs-F3"/>
      <sheetName val="RBD_LVs_-R3"/>
      <sheetName val="2C_10mm_FP_Cable3"/>
      <sheetName val="2C_16mm_Cable__3"/>
      <sheetName val="2C_35mm_Cable3"/>
      <sheetName val="2C_50mm_Cable3"/>
      <sheetName val="2C_6mm_Cable3"/>
      <sheetName val="4C_240mm_FP_Cable_3"/>
      <sheetName val="4C_300mm_FP_Cable3"/>
      <sheetName val="4C_50mm_FP_Cable3"/>
      <sheetName val="MD_REVIEW3"/>
      <sheetName val="B&amp;C-TILE_QUANTITIES3"/>
      <sheetName val="Camp_Power_Cost4"/>
      <sheetName val="Rebar__Take_off4"/>
      <sheetName val="tie_beam(not_used)4"/>
      <sheetName val="raft,grade_slab4"/>
      <sheetName val="core_wall4"/>
      <sheetName val="pilecap(w_lap)4"/>
      <sheetName val="raft_slab4"/>
      <sheetName val="B31_14"/>
      <sheetName val="Project_Info4"/>
      <sheetName val="RBD_ATS_Inst-F4"/>
      <sheetName val="Cable_Comparison4"/>
      <sheetName val="RBD_DB-F4"/>
      <sheetName val="RBD_ATS-R4"/>
      <sheetName val="RBD_DB-R4"/>
      <sheetName val="RBD_MCC-F4"/>
      <sheetName val="RBD_MCC-R4"/>
      <sheetName val="RBD_SM-F4"/>
      <sheetName val="RBD_SM-R4"/>
      <sheetName val="RBD_HV-F4"/>
      <sheetName val="RBD_HV-R4"/>
      <sheetName val="RBD_ACB-F4"/>
      <sheetName val="RBD_ACB-R4"/>
      <sheetName val="RBD_ATS-F4"/>
      <sheetName val="RBD_LVs-F4"/>
      <sheetName val="RBD_LVs_-R4"/>
      <sheetName val="2C_10mm_FP_Cable4"/>
      <sheetName val="2C_16mm_Cable__4"/>
      <sheetName val="2C_35mm_Cable4"/>
      <sheetName val="2C_50mm_Cable4"/>
      <sheetName val="2C_6mm_Cable4"/>
      <sheetName val="4C_240mm_FP_Cable_4"/>
      <sheetName val="4C_300mm_FP_Cable4"/>
      <sheetName val="4C_50mm_FP_Cable4"/>
      <sheetName val="MD_REVIEW4"/>
      <sheetName val="B&amp;C-TILE_QUANTITIES4"/>
      <sheetName val="Camp_Power_Cost5"/>
      <sheetName val="Doors"/>
      <sheetName val="Scenarios"/>
      <sheetName val="Penetration Curve"/>
      <sheetName val="3.11 Cables"/>
      <sheetName val="4 Electrical"/>
      <sheetName val="Notes"/>
      <sheetName val="유림골조"/>
      <sheetName val="Gen Sm"/>
      <sheetName val="Addition-ProtectionSummary"/>
      <sheetName val="Trade_Package"/>
      <sheetName val="CUML.DELVRY"/>
      <sheetName val="DAMAGED"/>
      <sheetName val="D1_CO"/>
      <sheetName val="abst-of -cost"/>
      <sheetName val="zone-2"/>
      <sheetName val="Beam Details"/>
      <sheetName val="IDCCALHYD_GOO"/>
      <sheetName val="HT Cable "/>
      <sheetName val="DetEst"/>
      <sheetName val="요율산출"/>
      <sheetName val="Clinkr Silo"/>
      <sheetName val="Cement Silo"/>
      <sheetName val=" working Sheet"/>
      <sheetName val="专业费率"/>
      <sheetName val="DOOR-WIND"/>
      <sheetName val="PH (C)"/>
      <sheetName val="acevsSp (ABC)"/>
      <sheetName val="RMBH"/>
      <sheetName val="Kiln P"/>
      <sheetName val="TRSTLS"/>
      <sheetName val="Sheet4"/>
      <sheetName val="SMP 1&amp;2 SUPPLY Invoice"/>
      <sheetName val="Account_balances"/>
      <sheetName val="細目"/>
      <sheetName val="Status"/>
      <sheetName val="Defer"/>
      <sheetName val="BG"/>
      <sheetName val="Liability"/>
      <sheetName val="RA Bill summary til Apr19"/>
      <sheetName val="APTIDCO CV A.SCOPE"/>
      <sheetName val="Names&amp;Cases"/>
      <sheetName val="AV-HDPE"/>
      <sheetName val="Di_gate-HDPE"/>
      <sheetName val="Keyratios"/>
      <sheetName val="Cntrl Sheet"/>
      <sheetName val="NFF"/>
      <sheetName val="Facility"/>
      <sheetName val="deb"/>
      <sheetName val="Combi"/>
      <sheetName val="precast(2-3 MT)"/>
      <sheetName val="Jul 96 Worksheet"/>
      <sheetName val="Balancesheet"/>
      <sheetName val="SomeRate"/>
      <sheetName val="ItemSearched"/>
      <sheetName val="ItemList"/>
      <sheetName val="VI Floor Beam "/>
      <sheetName val="LOCAL RATES"/>
      <sheetName val="ENCL12-C"/>
      <sheetName val="BORDGC"/>
      <sheetName val="Auswah_x0000_"/>
      <sheetName val="UK"/>
      <sheetName val="co_5"/>
      <sheetName val="India F&amp;S Template"/>
      <sheetName val="S3SEPT98"/>
      <sheetName val="Cable resistivity"/>
      <sheetName val="Calcs"/>
      <sheetName val="Columns"/>
      <sheetName val="Project Profile"/>
      <sheetName val="Auswah"/>
      <sheetName val="___________1"/>
      <sheetName val="___________2"/>
      <sheetName val="KQ Cost Controlling"/>
      <sheetName val="KQ Appropriation"/>
      <sheetName val="Sqn-Abs(G+6) "/>
      <sheetName val="WO-Abs (G+2) 6 DUs"/>
      <sheetName val="Air-Abs(G+6) 23 DUs"/>
      <sheetName val="NR_03_Base-Course_140mm_Thk"/>
      <sheetName val="Drawing_Sheet_Ref_"/>
      <sheetName val="NR_09a_W_C__(60-70)_50mm_Thk"/>
      <sheetName val="Bil_1"/>
      <sheetName val="Cost_of_Basic_Material"/>
      <sheetName val="JCR_Summary"/>
      <sheetName val="Design_Mix"/>
      <sheetName val="Bal_Gr"/>
      <sheetName val="CP-Sum-1"/>
      <sheetName val="Labour Rate "/>
      <sheetName val="(M+L)"/>
      <sheetName val="PROCTOR"/>
      <sheetName val="Eq. Mobilization"/>
      <sheetName val="Cost_Any."/>
      <sheetName val="Ref. Tables"/>
      <sheetName val="Schedule Activities"/>
      <sheetName val="Risk Impact Table"/>
      <sheetName val="RBS"/>
      <sheetName val="BUR4-Rd"/>
      <sheetName val="BUR3-DrnRC"/>
      <sheetName val="BUR2-Ewk"/>
      <sheetName val="StdDesc"/>
      <sheetName val="BUR5-Pile"/>
      <sheetName val="Beam 1"/>
      <sheetName val="Summary Flr wise 2"/>
      <sheetName val="GUT"/>
      <sheetName val="REL"/>
      <sheetName val="S4"/>
      <sheetName val="ABBDATASHEET"/>
      <sheetName val="3MLKQ"/>
      <sheetName val="MHR"/>
      <sheetName val="oresreqsum"/>
      <sheetName val="TPL_RECEIPTS MB51"/>
      <sheetName val="Brazil-Russia-EuropeDecToMar-05"/>
      <sheetName val="ROW Orders for March 05"/>
      <sheetName val="PKG PO"/>
      <sheetName val="LLM DPRECEIPTS MB51"/>
      <sheetName val="PHS_RECEIPTS"/>
      <sheetName val="ZSEM stock (ympc038)"/>
      <sheetName val="MFG PO"/>
      <sheetName val="Insurance Ext"/>
      <sheetName val="Prelims"/>
      <sheetName val=" AnalysisPCC"/>
      <sheetName val="Abs PMRL"/>
      <sheetName val="NW RTU"/>
      <sheetName val="Hardware"/>
      <sheetName val="Recovered_Sheet1"/>
      <sheetName val="Assmpns"/>
      <sheetName val="232V-010"/>
      <sheetName val="Central Ware House"/>
      <sheetName val="Block D Column(W07)"/>
      <sheetName val="Variables_x"/>
      <sheetName val="PURCHASE REQUISITION STATUS"/>
      <sheetName val="RateAnalysis"/>
      <sheetName val="BM"/>
      <sheetName val=" "/>
      <sheetName val="COST DATA 1"/>
      <sheetName val="COST DATA 2"/>
      <sheetName val="lmp &amp; salse"/>
      <sheetName val="Gen_Info3"/>
      <sheetName val="Dropdown_list3"/>
      <sheetName val="Road_Detail_Est_3"/>
      <sheetName val="Road_data3"/>
      <sheetName val="Bitumen_trunk"/>
      <sheetName val="R99_etc"/>
      <sheetName val="Trunk_unpaved"/>
      <sheetName val="SPILL_OVER"/>
      <sheetName val="u_type_filter"/>
      <sheetName val="377ꃎ婈朵鐀م婱浏[BHANDUP_XLS]_2"/>
      <sheetName val="DATA_PILE_BG"/>
      <sheetName val="DATA_PCC"/>
      <sheetName val="DATA_PILECAP"/>
      <sheetName val="DATA_PILE_RT2"/>
      <sheetName val="DATA_PILE_RT1 "/>
      <sheetName val="DATA_PILE _SM"/>
      <sheetName val="Company Data"/>
      <sheetName val="Equipment Cal"/>
      <sheetName val="CALC"/>
      <sheetName val="katsayılar"/>
      <sheetName val="Main Bs"/>
      <sheetName val="Intro."/>
      <sheetName val="Summary - Flr wise"/>
      <sheetName val="Inputs"/>
      <sheetName val="PH data"/>
      <sheetName val="STATEMENT OF EXP. &amp; HO ACCOUNT"/>
      <sheetName val="orders"/>
      <sheetName val="nVision"/>
      <sheetName val="Format"/>
      <sheetName val="8200AOC"/>
      <sheetName val="Plant"/>
      <sheetName val="Brand"/>
      <sheetName val="PackSize"/>
      <sheetName val="PackagingType"/>
      <sheetName val="ProductHierarchy"/>
      <sheetName val="PurchGroup"/>
      <sheetName val="Sub-brand"/>
      <sheetName val="UOM"/>
      <sheetName val="Variant"/>
      <sheetName val="AvgRMR"/>
      <sheetName val="Plant &amp;  Machinery"/>
      <sheetName val="LABOR T&amp;P"/>
      <sheetName val="分析"/>
      <sheetName val="Deletions"/>
    </sheetNames>
    <sheetDataSet>
      <sheetData sheetId="0">
        <row r="81">
          <cell r="H81">
            <v>222.566</v>
          </cell>
        </row>
      </sheetData>
      <sheetData sheetId="1">
        <row r="81">
          <cell r="H81">
            <v>222.566</v>
          </cell>
        </row>
      </sheetData>
      <sheetData sheetId="2">
        <row r="81">
          <cell r="H81">
            <v>222.566</v>
          </cell>
        </row>
      </sheetData>
      <sheetData sheetId="3">
        <row r="81">
          <cell r="H81">
            <v>222.566</v>
          </cell>
        </row>
      </sheetData>
      <sheetData sheetId="4">
        <row r="81">
          <cell r="H81">
            <v>222.566</v>
          </cell>
        </row>
      </sheetData>
      <sheetData sheetId="5">
        <row r="81">
          <cell r="H81">
            <v>222.566</v>
          </cell>
        </row>
      </sheetData>
      <sheetData sheetId="6">
        <row r="81">
          <cell r="H81">
            <v>222.566</v>
          </cell>
        </row>
      </sheetData>
      <sheetData sheetId="7">
        <row r="81">
          <cell r="H81">
            <v>222.566</v>
          </cell>
        </row>
      </sheetData>
      <sheetData sheetId="8">
        <row r="81">
          <cell r="H81">
            <v>222.566</v>
          </cell>
        </row>
      </sheetData>
      <sheetData sheetId="9">
        <row r="81">
          <cell r="H81">
            <v>222.566</v>
          </cell>
        </row>
      </sheetData>
      <sheetData sheetId="10">
        <row r="81">
          <cell r="H81">
            <v>222.566</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ow r="81">
          <cell r="H81">
            <v>222.566</v>
          </cell>
        </row>
      </sheetData>
      <sheetData sheetId="283">
        <row r="81">
          <cell r="H81">
            <v>222.566</v>
          </cell>
        </row>
      </sheetData>
      <sheetData sheetId="284">
        <row r="81">
          <cell r="H81">
            <v>222.566</v>
          </cell>
        </row>
      </sheetData>
      <sheetData sheetId="285">
        <row r="81">
          <cell r="H81">
            <v>222.566</v>
          </cell>
        </row>
      </sheetData>
      <sheetData sheetId="286">
        <row r="81">
          <cell r="H81">
            <v>222.566</v>
          </cell>
        </row>
      </sheetData>
      <sheetData sheetId="287">
        <row r="81">
          <cell r="H81">
            <v>222.566</v>
          </cell>
        </row>
      </sheetData>
      <sheetData sheetId="288">
        <row r="81">
          <cell r="H81">
            <v>222.566</v>
          </cell>
        </row>
      </sheetData>
      <sheetData sheetId="289">
        <row r="81">
          <cell r="H81">
            <v>222.566</v>
          </cell>
        </row>
      </sheetData>
      <sheetData sheetId="290">
        <row r="81">
          <cell r="H81">
            <v>222.566</v>
          </cell>
        </row>
      </sheetData>
      <sheetData sheetId="291" refreshError="1"/>
      <sheetData sheetId="292">
        <row r="81">
          <cell r="H81">
            <v>222.566</v>
          </cell>
        </row>
      </sheetData>
      <sheetData sheetId="293">
        <row r="81">
          <cell r="H81">
            <v>222.566</v>
          </cell>
        </row>
      </sheetData>
      <sheetData sheetId="294" refreshError="1"/>
      <sheetData sheetId="295">
        <row r="81">
          <cell r="H81">
            <v>222.566</v>
          </cell>
        </row>
      </sheetData>
      <sheetData sheetId="296">
        <row r="81">
          <cell r="H81">
            <v>222.566</v>
          </cell>
        </row>
      </sheetData>
      <sheetData sheetId="297">
        <row r="81">
          <cell r="H81">
            <v>222.566</v>
          </cell>
        </row>
      </sheetData>
      <sheetData sheetId="298">
        <row r="81">
          <cell r="H81">
            <v>222.566</v>
          </cell>
        </row>
      </sheetData>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ow r="81">
          <cell r="H81">
            <v>222.566</v>
          </cell>
        </row>
      </sheetData>
      <sheetData sheetId="315" refreshError="1"/>
      <sheetData sheetId="316">
        <row r="81">
          <cell r="H81">
            <v>222.566</v>
          </cell>
        </row>
      </sheetData>
      <sheetData sheetId="317">
        <row r="81">
          <cell r="H81">
            <v>222.566</v>
          </cell>
        </row>
      </sheetData>
      <sheetData sheetId="318" refreshError="1"/>
      <sheetData sheetId="319"/>
      <sheetData sheetId="320"/>
      <sheetData sheetId="321"/>
      <sheetData sheetId="322" refreshError="1"/>
      <sheetData sheetId="323" refreshError="1"/>
      <sheetData sheetId="324">
        <row r="81">
          <cell r="H81">
            <v>222.566</v>
          </cell>
        </row>
      </sheetData>
      <sheetData sheetId="325" refreshError="1"/>
      <sheetData sheetId="326" refreshError="1"/>
      <sheetData sheetId="327" refreshError="1"/>
      <sheetData sheetId="328" refreshError="1"/>
      <sheetData sheetId="329" refreshError="1"/>
      <sheetData sheetId="330">
        <row r="81">
          <cell r="H81">
            <v>222.566</v>
          </cell>
        </row>
      </sheetData>
      <sheetData sheetId="331">
        <row r="81">
          <cell r="H81">
            <v>222.566</v>
          </cell>
        </row>
      </sheetData>
      <sheetData sheetId="332">
        <row r="81">
          <cell r="H81">
            <v>222.566</v>
          </cell>
        </row>
      </sheetData>
      <sheetData sheetId="333">
        <row r="81">
          <cell r="H81">
            <v>222.566</v>
          </cell>
        </row>
      </sheetData>
      <sheetData sheetId="334">
        <row r="81">
          <cell r="H81">
            <v>222.566</v>
          </cell>
        </row>
      </sheetData>
      <sheetData sheetId="335">
        <row r="81">
          <cell r="H81">
            <v>222.566</v>
          </cell>
        </row>
      </sheetData>
      <sheetData sheetId="336">
        <row r="81">
          <cell r="H81">
            <v>222.566</v>
          </cell>
        </row>
      </sheetData>
      <sheetData sheetId="337">
        <row r="81">
          <cell r="H81">
            <v>222.566</v>
          </cell>
        </row>
      </sheetData>
      <sheetData sheetId="338">
        <row r="81">
          <cell r="H81">
            <v>222.566</v>
          </cell>
        </row>
      </sheetData>
      <sheetData sheetId="339">
        <row r="81">
          <cell r="H81">
            <v>222.566</v>
          </cell>
        </row>
      </sheetData>
      <sheetData sheetId="340">
        <row r="81">
          <cell r="H81">
            <v>222.566</v>
          </cell>
        </row>
      </sheetData>
      <sheetData sheetId="341">
        <row r="81">
          <cell r="H81">
            <v>222.566</v>
          </cell>
        </row>
      </sheetData>
      <sheetData sheetId="342">
        <row r="81">
          <cell r="H81">
            <v>222.566</v>
          </cell>
        </row>
      </sheetData>
      <sheetData sheetId="343" refreshError="1"/>
      <sheetData sheetId="344" refreshError="1"/>
      <sheetData sheetId="345" refreshError="1"/>
      <sheetData sheetId="346" refreshError="1"/>
      <sheetData sheetId="347" refreshError="1"/>
      <sheetData sheetId="348">
        <row r="81">
          <cell r="H81">
            <v>222.566</v>
          </cell>
        </row>
      </sheetData>
      <sheetData sheetId="349">
        <row r="81">
          <cell r="H81">
            <v>222.566</v>
          </cell>
        </row>
      </sheetData>
      <sheetData sheetId="350">
        <row r="81">
          <cell r="H81">
            <v>222.566</v>
          </cell>
        </row>
      </sheetData>
      <sheetData sheetId="351">
        <row r="81">
          <cell r="H81">
            <v>222.566</v>
          </cell>
        </row>
      </sheetData>
      <sheetData sheetId="352">
        <row r="81">
          <cell r="H81">
            <v>222.566</v>
          </cell>
        </row>
      </sheetData>
      <sheetData sheetId="353">
        <row r="81">
          <cell r="H81">
            <v>222.566</v>
          </cell>
        </row>
      </sheetData>
      <sheetData sheetId="354">
        <row r="81">
          <cell r="H81">
            <v>222.566</v>
          </cell>
        </row>
      </sheetData>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ow r="81">
          <cell r="H81">
            <v>222.566</v>
          </cell>
        </row>
      </sheetData>
      <sheetData sheetId="375">
        <row r="81">
          <cell r="H81">
            <v>222.566</v>
          </cell>
        </row>
      </sheetData>
      <sheetData sheetId="376">
        <row r="81">
          <cell r="H81">
            <v>222.566</v>
          </cell>
        </row>
      </sheetData>
      <sheetData sheetId="377">
        <row r="81">
          <cell r="H81">
            <v>222.566</v>
          </cell>
        </row>
      </sheetData>
      <sheetData sheetId="378"/>
      <sheetData sheetId="379">
        <row r="81">
          <cell r="H81">
            <v>222.566</v>
          </cell>
        </row>
      </sheetData>
      <sheetData sheetId="380"/>
      <sheetData sheetId="381" refreshError="1"/>
      <sheetData sheetId="382">
        <row r="81">
          <cell r="H81">
            <v>222.566</v>
          </cell>
        </row>
      </sheetData>
      <sheetData sheetId="383">
        <row r="81">
          <cell r="H81">
            <v>222.566</v>
          </cell>
        </row>
      </sheetData>
      <sheetData sheetId="384"/>
      <sheetData sheetId="385" refreshError="1"/>
      <sheetData sheetId="386" refreshError="1"/>
      <sheetData sheetId="387"/>
      <sheetData sheetId="388">
        <row r="81">
          <cell r="H81">
            <v>222.566</v>
          </cell>
        </row>
      </sheetData>
      <sheetData sheetId="389" refreshError="1"/>
      <sheetData sheetId="390" refreshError="1"/>
      <sheetData sheetId="391">
        <row r="81">
          <cell r="H81">
            <v>222.566</v>
          </cell>
        </row>
      </sheetData>
      <sheetData sheetId="392">
        <row r="81">
          <cell r="H81">
            <v>222.566</v>
          </cell>
        </row>
      </sheetData>
      <sheetData sheetId="393">
        <row r="81">
          <cell r="H81">
            <v>222.566</v>
          </cell>
        </row>
      </sheetData>
      <sheetData sheetId="394" refreshError="1"/>
      <sheetData sheetId="395" refreshError="1"/>
      <sheetData sheetId="396" refreshError="1"/>
      <sheetData sheetId="397" refreshError="1"/>
      <sheetData sheetId="398" refreshError="1"/>
      <sheetData sheetId="399">
        <row r="81">
          <cell r="H81">
            <v>222.566</v>
          </cell>
        </row>
      </sheetData>
      <sheetData sheetId="400">
        <row r="81">
          <cell r="H81">
            <v>222.566</v>
          </cell>
        </row>
      </sheetData>
      <sheetData sheetId="401">
        <row r="81">
          <cell r="H81">
            <v>222.566</v>
          </cell>
        </row>
      </sheetData>
      <sheetData sheetId="402">
        <row r="81">
          <cell r="H81">
            <v>222.566</v>
          </cell>
        </row>
      </sheetData>
      <sheetData sheetId="403">
        <row r="81">
          <cell r="H81">
            <v>222.566</v>
          </cell>
        </row>
      </sheetData>
      <sheetData sheetId="404">
        <row r="81">
          <cell r="H81">
            <v>222.566</v>
          </cell>
        </row>
      </sheetData>
      <sheetData sheetId="405">
        <row r="81">
          <cell r="H81">
            <v>222.566</v>
          </cell>
        </row>
      </sheetData>
      <sheetData sheetId="406">
        <row r="81">
          <cell r="H81">
            <v>222.566</v>
          </cell>
        </row>
      </sheetData>
      <sheetData sheetId="407">
        <row r="81">
          <cell r="H81">
            <v>222.566</v>
          </cell>
        </row>
      </sheetData>
      <sheetData sheetId="408">
        <row r="81">
          <cell r="H81">
            <v>222.566</v>
          </cell>
        </row>
      </sheetData>
      <sheetData sheetId="409">
        <row r="81">
          <cell r="H81">
            <v>222.566</v>
          </cell>
        </row>
      </sheetData>
      <sheetData sheetId="410">
        <row r="81">
          <cell r="H81">
            <v>222.566</v>
          </cell>
        </row>
      </sheetData>
      <sheetData sheetId="411">
        <row r="81">
          <cell r="H81">
            <v>222.566</v>
          </cell>
        </row>
      </sheetData>
      <sheetData sheetId="412">
        <row r="81">
          <cell r="H81">
            <v>222.566</v>
          </cell>
        </row>
      </sheetData>
      <sheetData sheetId="413">
        <row r="81">
          <cell r="H81">
            <v>222.566</v>
          </cell>
        </row>
      </sheetData>
      <sheetData sheetId="414">
        <row r="81">
          <cell r="H81">
            <v>222.566</v>
          </cell>
        </row>
      </sheetData>
      <sheetData sheetId="415">
        <row r="81">
          <cell r="H81">
            <v>222.566</v>
          </cell>
        </row>
      </sheetData>
      <sheetData sheetId="416">
        <row r="81">
          <cell r="H81">
            <v>222.566</v>
          </cell>
        </row>
      </sheetData>
      <sheetData sheetId="417">
        <row r="81">
          <cell r="H81">
            <v>222.566</v>
          </cell>
        </row>
      </sheetData>
      <sheetData sheetId="418">
        <row r="81">
          <cell r="H81">
            <v>222.566</v>
          </cell>
        </row>
      </sheetData>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ow r="81">
          <cell r="H81">
            <v>222.566</v>
          </cell>
        </row>
      </sheetData>
      <sheetData sheetId="542">
        <row r="81">
          <cell r="H81">
            <v>222.566</v>
          </cell>
        </row>
      </sheetData>
      <sheetData sheetId="543" refreshError="1"/>
      <sheetData sheetId="544" refreshError="1"/>
      <sheetData sheetId="545" refreshError="1"/>
      <sheetData sheetId="546" refreshError="1"/>
      <sheetData sheetId="547" refreshError="1"/>
      <sheetData sheetId="548" refreshError="1"/>
      <sheetData sheetId="549" refreshError="1"/>
      <sheetData sheetId="550">
        <row r="81">
          <cell r="H81">
            <v>222.566</v>
          </cell>
        </row>
      </sheetData>
      <sheetData sheetId="551">
        <row r="81">
          <cell r="H81">
            <v>222.566</v>
          </cell>
        </row>
      </sheetData>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81">
          <cell r="H81">
            <v>222.566</v>
          </cell>
        </row>
      </sheetData>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ow r="81">
          <cell r="H81">
            <v>222.566</v>
          </cell>
        </row>
      </sheetData>
      <sheetData sheetId="581">
        <row r="81">
          <cell r="H81">
            <v>222.566</v>
          </cell>
        </row>
      </sheetData>
      <sheetData sheetId="582">
        <row r="81">
          <cell r="H81">
            <v>222.566</v>
          </cell>
        </row>
      </sheetData>
      <sheetData sheetId="583">
        <row r="81">
          <cell r="H81">
            <v>222.566</v>
          </cell>
        </row>
      </sheetData>
      <sheetData sheetId="584">
        <row r="81">
          <cell r="H81">
            <v>222.566</v>
          </cell>
        </row>
      </sheetData>
      <sheetData sheetId="585">
        <row r="81">
          <cell r="H81">
            <v>222.566</v>
          </cell>
        </row>
      </sheetData>
      <sheetData sheetId="586">
        <row r="81">
          <cell r="H81">
            <v>222.566</v>
          </cell>
        </row>
      </sheetData>
      <sheetData sheetId="587" refreshError="1"/>
      <sheetData sheetId="588">
        <row r="81">
          <cell r="H81">
            <v>222.566</v>
          </cell>
        </row>
      </sheetData>
      <sheetData sheetId="589" refreshError="1"/>
      <sheetData sheetId="590" refreshError="1"/>
      <sheetData sheetId="591"/>
      <sheetData sheetId="592">
        <row r="81">
          <cell r="H81">
            <v>222.566</v>
          </cell>
        </row>
      </sheetData>
      <sheetData sheetId="593">
        <row r="81">
          <cell r="H81">
            <v>222.566</v>
          </cell>
        </row>
      </sheetData>
      <sheetData sheetId="594">
        <row r="81">
          <cell r="H81">
            <v>222.566</v>
          </cell>
        </row>
      </sheetData>
      <sheetData sheetId="595">
        <row r="81">
          <cell r="H81">
            <v>222.566</v>
          </cell>
        </row>
      </sheetData>
      <sheetData sheetId="596">
        <row r="81">
          <cell r="H81">
            <v>222.566</v>
          </cell>
        </row>
      </sheetData>
      <sheetData sheetId="597">
        <row r="81">
          <cell r="H81">
            <v>222.566</v>
          </cell>
        </row>
      </sheetData>
      <sheetData sheetId="598" refreshError="1"/>
      <sheetData sheetId="599" refreshError="1"/>
      <sheetData sheetId="600" refreshError="1"/>
      <sheetData sheetId="601" refreshError="1"/>
      <sheetData sheetId="602" refreshError="1"/>
      <sheetData sheetId="603" refreshError="1"/>
      <sheetData sheetId="604" refreshError="1"/>
      <sheetData sheetId="605">
        <row r="81">
          <cell r="H81">
            <v>222.566</v>
          </cell>
        </row>
      </sheetData>
      <sheetData sheetId="606" refreshError="1"/>
      <sheetData sheetId="607" refreshError="1"/>
      <sheetData sheetId="608" refreshError="1"/>
      <sheetData sheetId="609" refreshError="1"/>
      <sheetData sheetId="610"/>
      <sheetData sheetId="611">
        <row r="944">
          <cell r="H944">
            <v>439.20800000000003</v>
          </cell>
        </row>
      </sheetData>
      <sheetData sheetId="612" refreshError="1"/>
      <sheetData sheetId="613">
        <row r="81">
          <cell r="H81">
            <v>222.566</v>
          </cell>
        </row>
      </sheetData>
      <sheetData sheetId="614">
        <row r="81">
          <cell r="H81">
            <v>222.566</v>
          </cell>
        </row>
      </sheetData>
      <sheetData sheetId="615">
        <row r="81">
          <cell r="H81">
            <v>222.566</v>
          </cell>
        </row>
      </sheetData>
      <sheetData sheetId="616">
        <row r="81">
          <cell r="H81">
            <v>222.566</v>
          </cell>
        </row>
      </sheetData>
      <sheetData sheetId="617">
        <row r="81">
          <cell r="H81">
            <v>222.566</v>
          </cell>
        </row>
      </sheetData>
      <sheetData sheetId="618">
        <row r="81">
          <cell r="H81">
            <v>222.566</v>
          </cell>
        </row>
      </sheetData>
      <sheetData sheetId="619">
        <row r="81">
          <cell r="H81">
            <v>222.566</v>
          </cell>
        </row>
      </sheetData>
      <sheetData sheetId="620">
        <row r="81">
          <cell r="H81">
            <v>222.566</v>
          </cell>
        </row>
      </sheetData>
      <sheetData sheetId="621">
        <row r="81">
          <cell r="H81">
            <v>222.566</v>
          </cell>
        </row>
      </sheetData>
      <sheetData sheetId="622">
        <row r="81">
          <cell r="H81">
            <v>222.566</v>
          </cell>
        </row>
      </sheetData>
      <sheetData sheetId="623">
        <row r="81">
          <cell r="H81">
            <v>222.566</v>
          </cell>
        </row>
      </sheetData>
      <sheetData sheetId="624">
        <row r="81">
          <cell r="H81">
            <v>222.566</v>
          </cell>
        </row>
      </sheetData>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ow r="81">
          <cell r="H81">
            <v>222.566</v>
          </cell>
        </row>
      </sheetData>
      <sheetData sheetId="640">
        <row r="81">
          <cell r="H81">
            <v>222.566</v>
          </cell>
        </row>
      </sheetData>
      <sheetData sheetId="641">
        <row r="81">
          <cell r="H81">
            <v>222.566</v>
          </cell>
        </row>
      </sheetData>
      <sheetData sheetId="642">
        <row r="81">
          <cell r="H81">
            <v>222.566</v>
          </cell>
        </row>
      </sheetData>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ow r="81">
          <cell r="H81">
            <v>222.566</v>
          </cell>
        </row>
      </sheetData>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ow r="81">
          <cell r="H81">
            <v>222.566</v>
          </cell>
        </row>
      </sheetData>
      <sheetData sheetId="723">
        <row r="81">
          <cell r="H81">
            <v>222.566</v>
          </cell>
        </row>
      </sheetData>
      <sheetData sheetId="724">
        <row r="81">
          <cell r="H81">
            <v>222.566</v>
          </cell>
        </row>
      </sheetData>
      <sheetData sheetId="725">
        <row r="81">
          <cell r="H81">
            <v>222.566</v>
          </cell>
        </row>
      </sheetData>
      <sheetData sheetId="726">
        <row r="81">
          <cell r="H81">
            <v>222.566</v>
          </cell>
        </row>
      </sheetData>
      <sheetData sheetId="727">
        <row r="81">
          <cell r="H81">
            <v>222.566</v>
          </cell>
        </row>
      </sheetData>
      <sheetData sheetId="728">
        <row r="81">
          <cell r="H81">
            <v>222.566</v>
          </cell>
        </row>
      </sheetData>
      <sheetData sheetId="729">
        <row r="81">
          <cell r="H81">
            <v>222.566</v>
          </cell>
        </row>
      </sheetData>
      <sheetData sheetId="730">
        <row r="81">
          <cell r="H81">
            <v>222.566</v>
          </cell>
        </row>
      </sheetData>
      <sheetData sheetId="731">
        <row r="81">
          <cell r="H81">
            <v>222.566</v>
          </cell>
        </row>
      </sheetData>
      <sheetData sheetId="732">
        <row r="81">
          <cell r="H81">
            <v>222.566</v>
          </cell>
        </row>
      </sheetData>
      <sheetData sheetId="733">
        <row r="81">
          <cell r="H81">
            <v>222.566</v>
          </cell>
        </row>
      </sheetData>
      <sheetData sheetId="734">
        <row r="81">
          <cell r="H81">
            <v>222.566</v>
          </cell>
        </row>
      </sheetData>
      <sheetData sheetId="735">
        <row r="81">
          <cell r="H81">
            <v>222.566</v>
          </cell>
        </row>
      </sheetData>
      <sheetData sheetId="736">
        <row r="81">
          <cell r="H81">
            <v>222.566</v>
          </cell>
        </row>
      </sheetData>
      <sheetData sheetId="737">
        <row r="81">
          <cell r="H81">
            <v>222.566</v>
          </cell>
        </row>
      </sheetData>
      <sheetData sheetId="738">
        <row r="81">
          <cell r="H81">
            <v>222.566</v>
          </cell>
        </row>
      </sheetData>
      <sheetData sheetId="739">
        <row r="81">
          <cell r="H81">
            <v>222.566</v>
          </cell>
        </row>
      </sheetData>
      <sheetData sheetId="740">
        <row r="81">
          <cell r="H81">
            <v>222.566</v>
          </cell>
        </row>
      </sheetData>
      <sheetData sheetId="741">
        <row r="81">
          <cell r="H81">
            <v>222.566</v>
          </cell>
        </row>
      </sheetData>
      <sheetData sheetId="742">
        <row r="81">
          <cell r="H81">
            <v>222.566</v>
          </cell>
        </row>
      </sheetData>
      <sheetData sheetId="743">
        <row r="81">
          <cell r="H81">
            <v>222.566</v>
          </cell>
        </row>
      </sheetData>
      <sheetData sheetId="744">
        <row r="81">
          <cell r="H81">
            <v>222.566</v>
          </cell>
        </row>
      </sheetData>
      <sheetData sheetId="745">
        <row r="81">
          <cell r="H81">
            <v>222.566</v>
          </cell>
        </row>
      </sheetData>
      <sheetData sheetId="746">
        <row r="81">
          <cell r="H81">
            <v>222.566</v>
          </cell>
        </row>
      </sheetData>
      <sheetData sheetId="747">
        <row r="81">
          <cell r="H81">
            <v>222.566</v>
          </cell>
        </row>
      </sheetData>
      <sheetData sheetId="748">
        <row r="81">
          <cell r="H81">
            <v>222.566</v>
          </cell>
        </row>
      </sheetData>
      <sheetData sheetId="749">
        <row r="81">
          <cell r="H81">
            <v>222.566</v>
          </cell>
        </row>
      </sheetData>
      <sheetData sheetId="750">
        <row r="81">
          <cell r="H81">
            <v>222.566</v>
          </cell>
        </row>
      </sheetData>
      <sheetData sheetId="751">
        <row r="81">
          <cell r="H81">
            <v>222.566</v>
          </cell>
        </row>
      </sheetData>
      <sheetData sheetId="752">
        <row r="81">
          <cell r="H81">
            <v>222.566</v>
          </cell>
        </row>
      </sheetData>
      <sheetData sheetId="753">
        <row r="81">
          <cell r="H81">
            <v>222.566</v>
          </cell>
        </row>
      </sheetData>
      <sheetData sheetId="754">
        <row r="81">
          <cell r="H81">
            <v>222.566</v>
          </cell>
        </row>
      </sheetData>
      <sheetData sheetId="755">
        <row r="81">
          <cell r="H81">
            <v>222.566</v>
          </cell>
        </row>
      </sheetData>
      <sheetData sheetId="756">
        <row r="81">
          <cell r="H81">
            <v>222.566</v>
          </cell>
        </row>
      </sheetData>
      <sheetData sheetId="757">
        <row r="81">
          <cell r="H81">
            <v>222.566</v>
          </cell>
        </row>
      </sheetData>
      <sheetData sheetId="758">
        <row r="81">
          <cell r="H81">
            <v>222.566</v>
          </cell>
        </row>
      </sheetData>
      <sheetData sheetId="759">
        <row r="81">
          <cell r="H81">
            <v>222.566</v>
          </cell>
        </row>
      </sheetData>
      <sheetData sheetId="760">
        <row r="81">
          <cell r="H81">
            <v>222.566</v>
          </cell>
        </row>
      </sheetData>
      <sheetData sheetId="761">
        <row r="81">
          <cell r="H81">
            <v>222.566</v>
          </cell>
        </row>
      </sheetData>
      <sheetData sheetId="762">
        <row r="81">
          <cell r="H81">
            <v>222.566</v>
          </cell>
        </row>
      </sheetData>
      <sheetData sheetId="763">
        <row r="81">
          <cell r="H81">
            <v>222.566</v>
          </cell>
        </row>
      </sheetData>
      <sheetData sheetId="764">
        <row r="81">
          <cell r="H81">
            <v>222.566</v>
          </cell>
        </row>
      </sheetData>
      <sheetData sheetId="765">
        <row r="81">
          <cell r="H81">
            <v>222.566</v>
          </cell>
        </row>
      </sheetData>
      <sheetData sheetId="766">
        <row r="81">
          <cell r="H81">
            <v>222.566</v>
          </cell>
        </row>
      </sheetData>
      <sheetData sheetId="767">
        <row r="81">
          <cell r="H81">
            <v>222.566</v>
          </cell>
        </row>
      </sheetData>
      <sheetData sheetId="768">
        <row r="81">
          <cell r="H81">
            <v>222.566</v>
          </cell>
        </row>
      </sheetData>
      <sheetData sheetId="769">
        <row r="81">
          <cell r="H81">
            <v>222.566</v>
          </cell>
        </row>
      </sheetData>
      <sheetData sheetId="770">
        <row r="81">
          <cell r="H81">
            <v>222.566</v>
          </cell>
        </row>
      </sheetData>
      <sheetData sheetId="771">
        <row r="81">
          <cell r="H81">
            <v>222.566</v>
          </cell>
        </row>
      </sheetData>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ow r="81">
          <cell r="H81">
            <v>222.566</v>
          </cell>
        </row>
      </sheetData>
      <sheetData sheetId="783" refreshError="1"/>
      <sheetData sheetId="784" refreshError="1"/>
      <sheetData sheetId="785" refreshError="1"/>
      <sheetData sheetId="786" refreshError="1"/>
      <sheetData sheetId="787">
        <row r="81">
          <cell r="H81">
            <v>222.566</v>
          </cell>
        </row>
      </sheetData>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ow r="81">
          <cell r="H81">
            <v>222.566</v>
          </cell>
        </row>
      </sheetData>
      <sheetData sheetId="804" refreshError="1"/>
      <sheetData sheetId="805" refreshError="1"/>
      <sheetData sheetId="806" refreshError="1"/>
      <sheetData sheetId="807" refreshError="1"/>
      <sheetData sheetId="808" refreshError="1"/>
      <sheetData sheetId="809">
        <row r="81">
          <cell r="H81">
            <v>222.566</v>
          </cell>
        </row>
      </sheetData>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ow r="81">
          <cell r="H81">
            <v>222.566</v>
          </cell>
        </row>
      </sheetData>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ow r="81">
          <cell r="H81">
            <v>222.566</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ow r="81">
          <cell r="H81">
            <v>222.566</v>
          </cell>
        </row>
      </sheetData>
      <sheetData sheetId="1051">
        <row r="81">
          <cell r="H81">
            <v>222.566</v>
          </cell>
        </row>
      </sheetData>
      <sheetData sheetId="1052">
        <row r="81">
          <cell r="H81">
            <v>222.566</v>
          </cell>
        </row>
      </sheetData>
      <sheetData sheetId="1053">
        <row r="81">
          <cell r="H81">
            <v>222.566</v>
          </cell>
        </row>
      </sheetData>
      <sheetData sheetId="1054">
        <row r="81">
          <cell r="H81">
            <v>222.566</v>
          </cell>
        </row>
      </sheetData>
      <sheetData sheetId="1055">
        <row r="81">
          <cell r="H81">
            <v>222.566</v>
          </cell>
        </row>
      </sheetData>
      <sheetData sheetId="1056">
        <row r="81">
          <cell r="H81">
            <v>222.566</v>
          </cell>
        </row>
      </sheetData>
      <sheetData sheetId="1057">
        <row r="81">
          <cell r="H81">
            <v>222.566</v>
          </cell>
        </row>
      </sheetData>
      <sheetData sheetId="1058">
        <row r="81">
          <cell r="H81">
            <v>222.566</v>
          </cell>
        </row>
      </sheetData>
      <sheetData sheetId="1059">
        <row r="81">
          <cell r="H81">
            <v>222.566</v>
          </cell>
        </row>
      </sheetData>
      <sheetData sheetId="1060">
        <row r="81">
          <cell r="H81">
            <v>222.566</v>
          </cell>
        </row>
      </sheetData>
      <sheetData sheetId="1061">
        <row r="81">
          <cell r="H81">
            <v>222.566</v>
          </cell>
        </row>
      </sheetData>
      <sheetData sheetId="1062">
        <row r="81">
          <cell r="H81">
            <v>222.566</v>
          </cell>
        </row>
      </sheetData>
      <sheetData sheetId="1063">
        <row r="81">
          <cell r="H81">
            <v>222.566</v>
          </cell>
        </row>
      </sheetData>
      <sheetData sheetId="1064">
        <row r="81">
          <cell r="H81">
            <v>222.566</v>
          </cell>
        </row>
      </sheetData>
      <sheetData sheetId="1065">
        <row r="81">
          <cell r="H81">
            <v>222.566</v>
          </cell>
        </row>
      </sheetData>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ow r="81">
          <cell r="H81">
            <v>222.566</v>
          </cell>
        </row>
      </sheetData>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ow r="81">
          <cell r="H81">
            <v>222.566</v>
          </cell>
        </row>
      </sheetData>
      <sheetData sheetId="1122">
        <row r="81">
          <cell r="H81">
            <v>222.566</v>
          </cell>
        </row>
      </sheetData>
      <sheetData sheetId="1123">
        <row r="81">
          <cell r="H81">
            <v>222.566</v>
          </cell>
        </row>
      </sheetData>
      <sheetData sheetId="1124">
        <row r="81">
          <cell r="H81">
            <v>222.566</v>
          </cell>
        </row>
      </sheetData>
      <sheetData sheetId="1125">
        <row r="81">
          <cell r="H81">
            <v>222.566</v>
          </cell>
        </row>
      </sheetData>
      <sheetData sheetId="1126">
        <row r="81">
          <cell r="H81">
            <v>222.566</v>
          </cell>
        </row>
      </sheetData>
      <sheetData sheetId="1127">
        <row r="81">
          <cell r="H81">
            <v>222.566</v>
          </cell>
        </row>
      </sheetData>
      <sheetData sheetId="1128">
        <row r="81">
          <cell r="H81">
            <v>222.566</v>
          </cell>
        </row>
      </sheetData>
      <sheetData sheetId="1129">
        <row r="81">
          <cell r="H81">
            <v>222.566</v>
          </cell>
        </row>
      </sheetData>
      <sheetData sheetId="1130">
        <row r="81">
          <cell r="H81">
            <v>222.566</v>
          </cell>
        </row>
      </sheetData>
      <sheetData sheetId="1131">
        <row r="81">
          <cell r="H81">
            <v>222.566</v>
          </cell>
        </row>
      </sheetData>
      <sheetData sheetId="1132">
        <row r="81">
          <cell r="H81">
            <v>222.566</v>
          </cell>
        </row>
      </sheetData>
      <sheetData sheetId="1133">
        <row r="81">
          <cell r="H81">
            <v>222.566</v>
          </cell>
        </row>
      </sheetData>
      <sheetData sheetId="1134">
        <row r="81">
          <cell r="H81">
            <v>222.566</v>
          </cell>
        </row>
      </sheetData>
      <sheetData sheetId="1135">
        <row r="81">
          <cell r="H81">
            <v>222.566</v>
          </cell>
        </row>
      </sheetData>
      <sheetData sheetId="1136">
        <row r="81">
          <cell r="H81">
            <v>222.566</v>
          </cell>
        </row>
      </sheetData>
      <sheetData sheetId="1137">
        <row r="81">
          <cell r="H81">
            <v>222.566</v>
          </cell>
        </row>
      </sheetData>
      <sheetData sheetId="1138">
        <row r="81">
          <cell r="H81">
            <v>222.566</v>
          </cell>
        </row>
      </sheetData>
      <sheetData sheetId="1139">
        <row r="81">
          <cell r="H81">
            <v>222.566</v>
          </cell>
        </row>
      </sheetData>
      <sheetData sheetId="1140">
        <row r="81">
          <cell r="H81">
            <v>222.566</v>
          </cell>
        </row>
      </sheetData>
      <sheetData sheetId="1141">
        <row r="81">
          <cell r="H81">
            <v>222.566</v>
          </cell>
        </row>
      </sheetData>
      <sheetData sheetId="1142">
        <row r="81">
          <cell r="H81">
            <v>222.566</v>
          </cell>
        </row>
      </sheetData>
      <sheetData sheetId="1143">
        <row r="81">
          <cell r="H81">
            <v>222.566</v>
          </cell>
        </row>
      </sheetData>
      <sheetData sheetId="1144">
        <row r="81">
          <cell r="H81">
            <v>222.566</v>
          </cell>
        </row>
      </sheetData>
      <sheetData sheetId="1145">
        <row r="81">
          <cell r="H81">
            <v>222.566</v>
          </cell>
        </row>
      </sheetData>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ow r="81">
          <cell r="H81">
            <v>222.566</v>
          </cell>
        </row>
      </sheetData>
      <sheetData sheetId="1159">
        <row r="81">
          <cell r="H81">
            <v>222.566</v>
          </cell>
        </row>
      </sheetData>
      <sheetData sheetId="1160">
        <row r="81">
          <cell r="H81">
            <v>222.566</v>
          </cell>
        </row>
      </sheetData>
      <sheetData sheetId="1161">
        <row r="81">
          <cell r="H81">
            <v>222.566</v>
          </cell>
        </row>
      </sheetData>
      <sheetData sheetId="1162">
        <row r="81">
          <cell r="H81">
            <v>222.566</v>
          </cell>
        </row>
      </sheetData>
      <sheetData sheetId="1163">
        <row r="81">
          <cell r="H81">
            <v>222.566</v>
          </cell>
        </row>
      </sheetData>
      <sheetData sheetId="1164">
        <row r="81">
          <cell r="H81">
            <v>222.566</v>
          </cell>
        </row>
      </sheetData>
      <sheetData sheetId="1165">
        <row r="81">
          <cell r="H81">
            <v>222.566</v>
          </cell>
        </row>
      </sheetData>
      <sheetData sheetId="1166">
        <row r="81">
          <cell r="H81">
            <v>222.566</v>
          </cell>
        </row>
      </sheetData>
      <sheetData sheetId="1167">
        <row r="81">
          <cell r="H81">
            <v>222.566</v>
          </cell>
        </row>
      </sheetData>
      <sheetData sheetId="1168">
        <row r="81">
          <cell r="H81">
            <v>222.566</v>
          </cell>
        </row>
      </sheetData>
      <sheetData sheetId="1169">
        <row r="81">
          <cell r="H81">
            <v>222.566</v>
          </cell>
        </row>
      </sheetData>
      <sheetData sheetId="1170">
        <row r="81">
          <cell r="H81">
            <v>222.566</v>
          </cell>
        </row>
      </sheetData>
      <sheetData sheetId="1171">
        <row r="81">
          <cell r="H81">
            <v>222.566</v>
          </cell>
        </row>
      </sheetData>
      <sheetData sheetId="1172">
        <row r="81">
          <cell r="H81">
            <v>222.566</v>
          </cell>
        </row>
      </sheetData>
      <sheetData sheetId="1173">
        <row r="81">
          <cell r="H81">
            <v>222.566</v>
          </cell>
        </row>
      </sheetData>
      <sheetData sheetId="1174">
        <row r="81">
          <cell r="H81">
            <v>222.566</v>
          </cell>
        </row>
      </sheetData>
      <sheetData sheetId="1175">
        <row r="81">
          <cell r="H81">
            <v>222.566</v>
          </cell>
        </row>
      </sheetData>
      <sheetData sheetId="1176">
        <row r="81">
          <cell r="H81">
            <v>222.566</v>
          </cell>
        </row>
      </sheetData>
      <sheetData sheetId="1177">
        <row r="81">
          <cell r="H81">
            <v>222.566</v>
          </cell>
        </row>
      </sheetData>
      <sheetData sheetId="1178">
        <row r="81">
          <cell r="H81">
            <v>222.566</v>
          </cell>
        </row>
      </sheetData>
      <sheetData sheetId="1179" refreshError="1"/>
      <sheetData sheetId="1180" refreshError="1"/>
      <sheetData sheetId="1181" refreshError="1"/>
      <sheetData sheetId="1182">
        <row r="81">
          <cell r="H81">
            <v>222.566</v>
          </cell>
        </row>
      </sheetData>
      <sheetData sheetId="1183">
        <row r="81">
          <cell r="H81">
            <v>222.566</v>
          </cell>
        </row>
      </sheetData>
      <sheetData sheetId="1184">
        <row r="81">
          <cell r="H81">
            <v>222.566</v>
          </cell>
        </row>
      </sheetData>
      <sheetData sheetId="1185">
        <row r="81">
          <cell r="H81">
            <v>222.566</v>
          </cell>
        </row>
      </sheetData>
      <sheetData sheetId="1186">
        <row r="81">
          <cell r="H81">
            <v>222.566</v>
          </cell>
        </row>
      </sheetData>
      <sheetData sheetId="1187">
        <row r="81">
          <cell r="H81">
            <v>222.566</v>
          </cell>
        </row>
      </sheetData>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ow r="81">
          <cell r="H81">
            <v>222.566</v>
          </cell>
        </row>
      </sheetData>
      <sheetData sheetId="1271">
        <row r="81">
          <cell r="H81">
            <v>222.566</v>
          </cell>
        </row>
      </sheetData>
      <sheetData sheetId="1272">
        <row r="81">
          <cell r="H81">
            <v>222.566</v>
          </cell>
        </row>
      </sheetData>
      <sheetData sheetId="1273">
        <row r="81">
          <cell r="H81">
            <v>222.566</v>
          </cell>
        </row>
      </sheetData>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ow r="81">
          <cell r="H81">
            <v>222.566</v>
          </cell>
        </row>
      </sheetData>
      <sheetData sheetId="1289" refreshError="1"/>
      <sheetData sheetId="1290" refreshError="1"/>
      <sheetData sheetId="1291">
        <row r="81">
          <cell r="H81">
            <v>222.566</v>
          </cell>
        </row>
      </sheetData>
      <sheetData sheetId="1292" refreshError="1"/>
      <sheetData sheetId="1293" refreshError="1"/>
      <sheetData sheetId="1294" refreshError="1"/>
      <sheetData sheetId="1295" refreshError="1"/>
      <sheetData sheetId="1296" refreshError="1"/>
      <sheetData sheetId="1297">
        <row r="81">
          <cell r="H81">
            <v>222.566</v>
          </cell>
        </row>
      </sheetData>
      <sheetData sheetId="1298">
        <row r="81">
          <cell r="H81">
            <v>222.566</v>
          </cell>
        </row>
      </sheetData>
      <sheetData sheetId="1299">
        <row r="81">
          <cell r="H81">
            <v>222.566</v>
          </cell>
        </row>
      </sheetData>
      <sheetData sheetId="1300">
        <row r="81">
          <cell r="H81">
            <v>222.566</v>
          </cell>
        </row>
      </sheetData>
      <sheetData sheetId="1301">
        <row r="81">
          <cell r="H81">
            <v>222.566</v>
          </cell>
        </row>
      </sheetData>
      <sheetData sheetId="1302">
        <row r="81">
          <cell r="H81">
            <v>222.566</v>
          </cell>
        </row>
      </sheetData>
      <sheetData sheetId="1303">
        <row r="81">
          <cell r="H81">
            <v>222.566</v>
          </cell>
        </row>
      </sheetData>
      <sheetData sheetId="1304">
        <row r="81">
          <cell r="H81">
            <v>222.566</v>
          </cell>
        </row>
      </sheetData>
      <sheetData sheetId="1305">
        <row r="81">
          <cell r="H81">
            <v>222.566</v>
          </cell>
        </row>
      </sheetData>
      <sheetData sheetId="1306">
        <row r="81">
          <cell r="H81">
            <v>222.566</v>
          </cell>
        </row>
      </sheetData>
      <sheetData sheetId="1307">
        <row r="81">
          <cell r="H81">
            <v>222.566</v>
          </cell>
        </row>
      </sheetData>
      <sheetData sheetId="1308">
        <row r="81">
          <cell r="H81">
            <v>222.566</v>
          </cell>
        </row>
      </sheetData>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ow r="81">
          <cell r="H81">
            <v>222.566</v>
          </cell>
        </row>
      </sheetData>
      <sheetData sheetId="1410">
        <row r="81">
          <cell r="H81">
            <v>222.566</v>
          </cell>
        </row>
      </sheetData>
      <sheetData sheetId="1411">
        <row r="81">
          <cell r="H81">
            <v>222.566</v>
          </cell>
        </row>
      </sheetData>
      <sheetData sheetId="1412">
        <row r="81">
          <cell r="H81">
            <v>222.566</v>
          </cell>
        </row>
      </sheetData>
      <sheetData sheetId="1413">
        <row r="81">
          <cell r="H81">
            <v>222.566</v>
          </cell>
        </row>
      </sheetData>
      <sheetData sheetId="1414">
        <row r="81">
          <cell r="H81">
            <v>222.566</v>
          </cell>
        </row>
      </sheetData>
      <sheetData sheetId="1415">
        <row r="81">
          <cell r="H81">
            <v>222.566</v>
          </cell>
        </row>
      </sheetData>
      <sheetData sheetId="1416">
        <row r="81">
          <cell r="H81">
            <v>222.566</v>
          </cell>
        </row>
      </sheetData>
      <sheetData sheetId="1417">
        <row r="81">
          <cell r="H81">
            <v>222.566</v>
          </cell>
        </row>
      </sheetData>
      <sheetData sheetId="1418">
        <row r="81">
          <cell r="H81">
            <v>222.566</v>
          </cell>
        </row>
      </sheetData>
      <sheetData sheetId="1419">
        <row r="81">
          <cell r="H81">
            <v>222.566</v>
          </cell>
        </row>
      </sheetData>
      <sheetData sheetId="1420">
        <row r="81">
          <cell r="H81">
            <v>222.566</v>
          </cell>
        </row>
      </sheetData>
      <sheetData sheetId="1421">
        <row r="81">
          <cell r="H81">
            <v>222.566</v>
          </cell>
        </row>
      </sheetData>
      <sheetData sheetId="1422">
        <row r="81">
          <cell r="H81">
            <v>222.566</v>
          </cell>
        </row>
      </sheetData>
      <sheetData sheetId="1423">
        <row r="81">
          <cell r="H81">
            <v>222.566</v>
          </cell>
        </row>
      </sheetData>
      <sheetData sheetId="1424">
        <row r="81">
          <cell r="H81">
            <v>222.566</v>
          </cell>
        </row>
      </sheetData>
      <sheetData sheetId="1425">
        <row r="81">
          <cell r="H81">
            <v>222.566</v>
          </cell>
        </row>
      </sheetData>
      <sheetData sheetId="1426">
        <row r="81">
          <cell r="H81">
            <v>222.566</v>
          </cell>
        </row>
      </sheetData>
      <sheetData sheetId="1427">
        <row r="81">
          <cell r="H81">
            <v>222.566</v>
          </cell>
        </row>
      </sheetData>
      <sheetData sheetId="1428">
        <row r="81">
          <cell r="H81">
            <v>222.566</v>
          </cell>
        </row>
      </sheetData>
      <sheetData sheetId="1429">
        <row r="81">
          <cell r="H81">
            <v>222.566</v>
          </cell>
        </row>
      </sheetData>
      <sheetData sheetId="1430">
        <row r="81">
          <cell r="H81">
            <v>222.566</v>
          </cell>
        </row>
      </sheetData>
      <sheetData sheetId="1431">
        <row r="81">
          <cell r="H81">
            <v>222.566</v>
          </cell>
        </row>
      </sheetData>
      <sheetData sheetId="1432">
        <row r="81">
          <cell r="H81">
            <v>222.566</v>
          </cell>
        </row>
      </sheetData>
      <sheetData sheetId="1433">
        <row r="81">
          <cell r="H81">
            <v>222.566</v>
          </cell>
        </row>
      </sheetData>
      <sheetData sheetId="1434">
        <row r="81">
          <cell r="H81">
            <v>222.566</v>
          </cell>
        </row>
      </sheetData>
      <sheetData sheetId="1435">
        <row r="81">
          <cell r="H81">
            <v>222.566</v>
          </cell>
        </row>
      </sheetData>
      <sheetData sheetId="1436">
        <row r="81">
          <cell r="H81">
            <v>222.566</v>
          </cell>
        </row>
      </sheetData>
      <sheetData sheetId="1437">
        <row r="81">
          <cell r="H81">
            <v>222.566</v>
          </cell>
        </row>
      </sheetData>
      <sheetData sheetId="1438">
        <row r="81">
          <cell r="H81">
            <v>222.566</v>
          </cell>
        </row>
      </sheetData>
      <sheetData sheetId="1439">
        <row r="81">
          <cell r="H81">
            <v>222.566</v>
          </cell>
        </row>
      </sheetData>
      <sheetData sheetId="1440">
        <row r="81">
          <cell r="H81">
            <v>222.566</v>
          </cell>
        </row>
      </sheetData>
      <sheetData sheetId="1441">
        <row r="81">
          <cell r="H81">
            <v>222.566</v>
          </cell>
        </row>
      </sheetData>
      <sheetData sheetId="1442">
        <row r="81">
          <cell r="H81">
            <v>222.566</v>
          </cell>
        </row>
      </sheetData>
      <sheetData sheetId="1443">
        <row r="81">
          <cell r="H81">
            <v>222.566</v>
          </cell>
        </row>
      </sheetData>
      <sheetData sheetId="1444">
        <row r="81">
          <cell r="H81">
            <v>222.566</v>
          </cell>
        </row>
      </sheetData>
      <sheetData sheetId="1445">
        <row r="81">
          <cell r="H81">
            <v>222.566</v>
          </cell>
        </row>
      </sheetData>
      <sheetData sheetId="1446">
        <row r="81">
          <cell r="H81">
            <v>222.566</v>
          </cell>
        </row>
      </sheetData>
      <sheetData sheetId="1447">
        <row r="81">
          <cell r="H81">
            <v>222.566</v>
          </cell>
        </row>
      </sheetData>
      <sheetData sheetId="1448">
        <row r="81">
          <cell r="H81">
            <v>222.566</v>
          </cell>
        </row>
      </sheetData>
      <sheetData sheetId="1449">
        <row r="81">
          <cell r="H81">
            <v>222.566</v>
          </cell>
        </row>
      </sheetData>
      <sheetData sheetId="1450">
        <row r="81">
          <cell r="H81">
            <v>222.566</v>
          </cell>
        </row>
      </sheetData>
      <sheetData sheetId="1451">
        <row r="81">
          <cell r="H81">
            <v>222.566</v>
          </cell>
        </row>
      </sheetData>
      <sheetData sheetId="1452">
        <row r="81">
          <cell r="H81">
            <v>222.566</v>
          </cell>
        </row>
      </sheetData>
      <sheetData sheetId="1453">
        <row r="81">
          <cell r="H81">
            <v>222.566</v>
          </cell>
        </row>
      </sheetData>
      <sheetData sheetId="1454">
        <row r="81">
          <cell r="H81">
            <v>222.566</v>
          </cell>
        </row>
      </sheetData>
      <sheetData sheetId="1455">
        <row r="81">
          <cell r="H81">
            <v>222.566</v>
          </cell>
        </row>
      </sheetData>
      <sheetData sheetId="1456">
        <row r="81">
          <cell r="H81">
            <v>222.566</v>
          </cell>
        </row>
      </sheetData>
      <sheetData sheetId="1457">
        <row r="81">
          <cell r="H81">
            <v>222.566</v>
          </cell>
        </row>
      </sheetData>
      <sheetData sheetId="1458">
        <row r="81">
          <cell r="H81">
            <v>222.566</v>
          </cell>
        </row>
      </sheetData>
      <sheetData sheetId="1459">
        <row r="81">
          <cell r="H81">
            <v>222.566</v>
          </cell>
        </row>
      </sheetData>
      <sheetData sheetId="1460">
        <row r="81">
          <cell r="H81">
            <v>222.566</v>
          </cell>
        </row>
      </sheetData>
      <sheetData sheetId="1461">
        <row r="81">
          <cell r="H81">
            <v>222.566</v>
          </cell>
        </row>
      </sheetData>
      <sheetData sheetId="1462">
        <row r="81">
          <cell r="H81">
            <v>222.566</v>
          </cell>
        </row>
      </sheetData>
      <sheetData sheetId="1463">
        <row r="81">
          <cell r="H81">
            <v>222.566</v>
          </cell>
        </row>
      </sheetData>
      <sheetData sheetId="1464">
        <row r="81">
          <cell r="H81">
            <v>222.566</v>
          </cell>
        </row>
      </sheetData>
      <sheetData sheetId="1465">
        <row r="81">
          <cell r="H81">
            <v>222.566</v>
          </cell>
        </row>
      </sheetData>
      <sheetData sheetId="1466">
        <row r="81">
          <cell r="H81">
            <v>222.566</v>
          </cell>
        </row>
      </sheetData>
      <sheetData sheetId="1467">
        <row r="81">
          <cell r="H81">
            <v>222.566</v>
          </cell>
        </row>
      </sheetData>
      <sheetData sheetId="1468">
        <row r="81">
          <cell r="H81">
            <v>222.566</v>
          </cell>
        </row>
      </sheetData>
      <sheetData sheetId="1469">
        <row r="81">
          <cell r="H81">
            <v>222.566</v>
          </cell>
        </row>
      </sheetData>
      <sheetData sheetId="1470">
        <row r="81">
          <cell r="H81">
            <v>222.566</v>
          </cell>
        </row>
      </sheetData>
      <sheetData sheetId="1471">
        <row r="81">
          <cell r="H81">
            <v>222.566</v>
          </cell>
        </row>
      </sheetData>
      <sheetData sheetId="1472">
        <row r="81">
          <cell r="H81">
            <v>222.566</v>
          </cell>
        </row>
      </sheetData>
      <sheetData sheetId="1473">
        <row r="81">
          <cell r="H81">
            <v>222.566</v>
          </cell>
        </row>
      </sheetData>
      <sheetData sheetId="1474">
        <row r="81">
          <cell r="H81">
            <v>222.566</v>
          </cell>
        </row>
      </sheetData>
      <sheetData sheetId="1475">
        <row r="81">
          <cell r="H81">
            <v>222.566</v>
          </cell>
        </row>
      </sheetData>
      <sheetData sheetId="1476">
        <row r="81">
          <cell r="H81">
            <v>222.566</v>
          </cell>
        </row>
      </sheetData>
      <sheetData sheetId="1477">
        <row r="81">
          <cell r="H81">
            <v>222.566</v>
          </cell>
        </row>
      </sheetData>
      <sheetData sheetId="1478">
        <row r="81">
          <cell r="H81">
            <v>222.566</v>
          </cell>
        </row>
      </sheetData>
      <sheetData sheetId="1479">
        <row r="81">
          <cell r="H81">
            <v>222.566</v>
          </cell>
        </row>
      </sheetData>
      <sheetData sheetId="1480">
        <row r="81">
          <cell r="H81">
            <v>222.566</v>
          </cell>
        </row>
      </sheetData>
      <sheetData sheetId="1481">
        <row r="81">
          <cell r="H81">
            <v>222.566</v>
          </cell>
        </row>
      </sheetData>
      <sheetData sheetId="1482">
        <row r="81">
          <cell r="H81">
            <v>222.566</v>
          </cell>
        </row>
      </sheetData>
      <sheetData sheetId="1483">
        <row r="81">
          <cell r="H81">
            <v>222.566</v>
          </cell>
        </row>
      </sheetData>
      <sheetData sheetId="1484">
        <row r="81">
          <cell r="H81">
            <v>222.566</v>
          </cell>
        </row>
      </sheetData>
      <sheetData sheetId="1485">
        <row r="81">
          <cell r="H81">
            <v>222.566</v>
          </cell>
        </row>
      </sheetData>
      <sheetData sheetId="1486">
        <row r="81">
          <cell r="H81">
            <v>222.566</v>
          </cell>
        </row>
      </sheetData>
      <sheetData sheetId="1487">
        <row r="81">
          <cell r="H81">
            <v>222.566</v>
          </cell>
        </row>
      </sheetData>
      <sheetData sheetId="1488">
        <row r="81">
          <cell r="H81">
            <v>222.566</v>
          </cell>
        </row>
      </sheetData>
      <sheetData sheetId="1489">
        <row r="81">
          <cell r="H81">
            <v>222.566</v>
          </cell>
        </row>
      </sheetData>
      <sheetData sheetId="1490">
        <row r="81">
          <cell r="H81">
            <v>222.566</v>
          </cell>
        </row>
      </sheetData>
      <sheetData sheetId="1491">
        <row r="81">
          <cell r="H81">
            <v>222.566</v>
          </cell>
        </row>
      </sheetData>
      <sheetData sheetId="1492">
        <row r="81">
          <cell r="H81">
            <v>222.566</v>
          </cell>
        </row>
      </sheetData>
      <sheetData sheetId="1493">
        <row r="81">
          <cell r="H81">
            <v>222.566</v>
          </cell>
        </row>
      </sheetData>
      <sheetData sheetId="1494">
        <row r="81">
          <cell r="H81">
            <v>222.566</v>
          </cell>
        </row>
      </sheetData>
      <sheetData sheetId="1495">
        <row r="81">
          <cell r="H81">
            <v>222.566</v>
          </cell>
        </row>
      </sheetData>
      <sheetData sheetId="1496">
        <row r="81">
          <cell r="H81">
            <v>222.566</v>
          </cell>
        </row>
      </sheetData>
      <sheetData sheetId="1497">
        <row r="81">
          <cell r="H81">
            <v>222.566</v>
          </cell>
        </row>
      </sheetData>
      <sheetData sheetId="1498">
        <row r="81">
          <cell r="H81">
            <v>222.566</v>
          </cell>
        </row>
      </sheetData>
      <sheetData sheetId="1499">
        <row r="81">
          <cell r="H81">
            <v>222.566</v>
          </cell>
        </row>
      </sheetData>
      <sheetData sheetId="1500">
        <row r="81">
          <cell r="H81">
            <v>222.566</v>
          </cell>
        </row>
      </sheetData>
      <sheetData sheetId="1501">
        <row r="81">
          <cell r="H81">
            <v>222.566</v>
          </cell>
        </row>
      </sheetData>
      <sheetData sheetId="1502">
        <row r="81">
          <cell r="H81">
            <v>222.566</v>
          </cell>
        </row>
      </sheetData>
      <sheetData sheetId="1503">
        <row r="81">
          <cell r="H81">
            <v>222.566</v>
          </cell>
        </row>
      </sheetData>
      <sheetData sheetId="1504">
        <row r="81">
          <cell r="H81">
            <v>222.566</v>
          </cell>
        </row>
      </sheetData>
      <sheetData sheetId="1505">
        <row r="81">
          <cell r="H81">
            <v>222.566</v>
          </cell>
        </row>
      </sheetData>
      <sheetData sheetId="1506">
        <row r="81">
          <cell r="H81">
            <v>222.566</v>
          </cell>
        </row>
      </sheetData>
      <sheetData sheetId="1507">
        <row r="81">
          <cell r="H81">
            <v>222.566</v>
          </cell>
        </row>
      </sheetData>
      <sheetData sheetId="1508">
        <row r="81">
          <cell r="H81">
            <v>222.566</v>
          </cell>
        </row>
      </sheetData>
      <sheetData sheetId="1509">
        <row r="81">
          <cell r="H81">
            <v>222.566</v>
          </cell>
        </row>
      </sheetData>
      <sheetData sheetId="1510">
        <row r="81">
          <cell r="H81">
            <v>222.566</v>
          </cell>
        </row>
      </sheetData>
      <sheetData sheetId="1511">
        <row r="81">
          <cell r="H81">
            <v>222.566</v>
          </cell>
        </row>
      </sheetData>
      <sheetData sheetId="1512">
        <row r="81">
          <cell r="H81">
            <v>222.566</v>
          </cell>
        </row>
      </sheetData>
      <sheetData sheetId="1513">
        <row r="81">
          <cell r="H81">
            <v>222.566</v>
          </cell>
        </row>
      </sheetData>
      <sheetData sheetId="1514">
        <row r="81">
          <cell r="H81">
            <v>222.566</v>
          </cell>
        </row>
      </sheetData>
      <sheetData sheetId="1515">
        <row r="81">
          <cell r="H81">
            <v>222.566</v>
          </cell>
        </row>
      </sheetData>
      <sheetData sheetId="1516">
        <row r="81">
          <cell r="H81">
            <v>222.566</v>
          </cell>
        </row>
      </sheetData>
      <sheetData sheetId="1517">
        <row r="81">
          <cell r="H81">
            <v>222.566</v>
          </cell>
        </row>
      </sheetData>
      <sheetData sheetId="1518">
        <row r="81">
          <cell r="H81">
            <v>222.566</v>
          </cell>
        </row>
      </sheetData>
      <sheetData sheetId="1519">
        <row r="81">
          <cell r="H81">
            <v>222.566</v>
          </cell>
        </row>
      </sheetData>
      <sheetData sheetId="1520">
        <row r="81">
          <cell r="H81">
            <v>222.566</v>
          </cell>
        </row>
      </sheetData>
      <sheetData sheetId="1521">
        <row r="81">
          <cell r="H81">
            <v>222.566</v>
          </cell>
        </row>
      </sheetData>
      <sheetData sheetId="1522">
        <row r="81">
          <cell r="H81">
            <v>222.566</v>
          </cell>
        </row>
      </sheetData>
      <sheetData sheetId="1523">
        <row r="81">
          <cell r="H81">
            <v>222.566</v>
          </cell>
        </row>
      </sheetData>
      <sheetData sheetId="1524">
        <row r="81">
          <cell r="H81">
            <v>222.566</v>
          </cell>
        </row>
      </sheetData>
      <sheetData sheetId="1525">
        <row r="81">
          <cell r="H81">
            <v>222.566</v>
          </cell>
        </row>
      </sheetData>
      <sheetData sheetId="1526">
        <row r="81">
          <cell r="H81">
            <v>222.566</v>
          </cell>
        </row>
      </sheetData>
      <sheetData sheetId="1527">
        <row r="81">
          <cell r="H81">
            <v>222.566</v>
          </cell>
        </row>
      </sheetData>
      <sheetData sheetId="1528">
        <row r="81">
          <cell r="H81">
            <v>222.566</v>
          </cell>
        </row>
      </sheetData>
      <sheetData sheetId="1529">
        <row r="81">
          <cell r="H81">
            <v>222.566</v>
          </cell>
        </row>
      </sheetData>
      <sheetData sheetId="1530">
        <row r="81">
          <cell r="H81">
            <v>222.566</v>
          </cell>
        </row>
      </sheetData>
      <sheetData sheetId="1531">
        <row r="81">
          <cell r="H81">
            <v>222.566</v>
          </cell>
        </row>
      </sheetData>
      <sheetData sheetId="1532">
        <row r="81">
          <cell r="H81">
            <v>222.566</v>
          </cell>
        </row>
      </sheetData>
      <sheetData sheetId="1533">
        <row r="81">
          <cell r="H81">
            <v>222.566</v>
          </cell>
        </row>
      </sheetData>
      <sheetData sheetId="1534">
        <row r="81">
          <cell r="H81">
            <v>222.566</v>
          </cell>
        </row>
      </sheetData>
      <sheetData sheetId="1535">
        <row r="81">
          <cell r="H81">
            <v>222.566</v>
          </cell>
        </row>
      </sheetData>
      <sheetData sheetId="1536">
        <row r="81">
          <cell r="H81">
            <v>222.566</v>
          </cell>
        </row>
      </sheetData>
      <sheetData sheetId="1537">
        <row r="81">
          <cell r="H81">
            <v>222.566</v>
          </cell>
        </row>
      </sheetData>
      <sheetData sheetId="1538">
        <row r="81">
          <cell r="H81">
            <v>222.566</v>
          </cell>
        </row>
      </sheetData>
      <sheetData sheetId="1539">
        <row r="81">
          <cell r="H81">
            <v>222.566</v>
          </cell>
        </row>
      </sheetData>
      <sheetData sheetId="1540">
        <row r="81">
          <cell r="H81">
            <v>222.566</v>
          </cell>
        </row>
      </sheetData>
      <sheetData sheetId="1541">
        <row r="81">
          <cell r="H81">
            <v>222.566</v>
          </cell>
        </row>
      </sheetData>
      <sheetData sheetId="1542">
        <row r="81">
          <cell r="H81">
            <v>222.566</v>
          </cell>
        </row>
      </sheetData>
      <sheetData sheetId="1543">
        <row r="81">
          <cell r="H81">
            <v>222.566</v>
          </cell>
        </row>
      </sheetData>
      <sheetData sheetId="1544">
        <row r="81">
          <cell r="H81">
            <v>222.566</v>
          </cell>
        </row>
      </sheetData>
      <sheetData sheetId="1545">
        <row r="81">
          <cell r="H81">
            <v>222.566</v>
          </cell>
        </row>
      </sheetData>
      <sheetData sheetId="1546">
        <row r="81">
          <cell r="H81">
            <v>222.566</v>
          </cell>
        </row>
      </sheetData>
      <sheetData sheetId="1547">
        <row r="81">
          <cell r="H81">
            <v>222.566</v>
          </cell>
        </row>
      </sheetData>
      <sheetData sheetId="1548">
        <row r="81">
          <cell r="H81">
            <v>222.566</v>
          </cell>
        </row>
      </sheetData>
      <sheetData sheetId="1549">
        <row r="81">
          <cell r="H81">
            <v>222.566</v>
          </cell>
        </row>
      </sheetData>
      <sheetData sheetId="1550">
        <row r="81">
          <cell r="H81">
            <v>222.566</v>
          </cell>
        </row>
      </sheetData>
      <sheetData sheetId="1551">
        <row r="81">
          <cell r="H81">
            <v>222.566</v>
          </cell>
        </row>
      </sheetData>
      <sheetData sheetId="1552">
        <row r="81">
          <cell r="H81">
            <v>222.566</v>
          </cell>
        </row>
      </sheetData>
      <sheetData sheetId="1553">
        <row r="81">
          <cell r="H81">
            <v>222.566</v>
          </cell>
        </row>
      </sheetData>
      <sheetData sheetId="1554">
        <row r="81">
          <cell r="H81">
            <v>222.566</v>
          </cell>
        </row>
      </sheetData>
      <sheetData sheetId="1555">
        <row r="81">
          <cell r="H81">
            <v>222.566</v>
          </cell>
        </row>
      </sheetData>
      <sheetData sheetId="1556">
        <row r="81">
          <cell r="H81">
            <v>222.566</v>
          </cell>
        </row>
      </sheetData>
      <sheetData sheetId="1557">
        <row r="81">
          <cell r="H81">
            <v>222.566</v>
          </cell>
        </row>
      </sheetData>
      <sheetData sheetId="1558">
        <row r="81">
          <cell r="H81">
            <v>222.566</v>
          </cell>
        </row>
      </sheetData>
      <sheetData sheetId="1559">
        <row r="81">
          <cell r="H81">
            <v>222.566</v>
          </cell>
        </row>
      </sheetData>
      <sheetData sheetId="1560">
        <row r="81">
          <cell r="H81">
            <v>222.566</v>
          </cell>
        </row>
      </sheetData>
      <sheetData sheetId="1561">
        <row r="81">
          <cell r="H81">
            <v>222.566</v>
          </cell>
        </row>
      </sheetData>
      <sheetData sheetId="1562">
        <row r="81">
          <cell r="H81">
            <v>222.566</v>
          </cell>
        </row>
      </sheetData>
      <sheetData sheetId="1563">
        <row r="81">
          <cell r="H81">
            <v>222.566</v>
          </cell>
        </row>
      </sheetData>
      <sheetData sheetId="1564">
        <row r="81">
          <cell r="H81">
            <v>222.566</v>
          </cell>
        </row>
      </sheetData>
      <sheetData sheetId="1565">
        <row r="81">
          <cell r="H81">
            <v>222.566</v>
          </cell>
        </row>
      </sheetData>
      <sheetData sheetId="1566">
        <row r="81">
          <cell r="H81">
            <v>222.566</v>
          </cell>
        </row>
      </sheetData>
      <sheetData sheetId="1567">
        <row r="81">
          <cell r="H81">
            <v>222.566</v>
          </cell>
        </row>
      </sheetData>
      <sheetData sheetId="1568">
        <row r="81">
          <cell r="H81">
            <v>222.566</v>
          </cell>
        </row>
      </sheetData>
      <sheetData sheetId="1569">
        <row r="81">
          <cell r="H81">
            <v>222.566</v>
          </cell>
        </row>
      </sheetData>
      <sheetData sheetId="1570">
        <row r="81">
          <cell r="H81">
            <v>222.566</v>
          </cell>
        </row>
      </sheetData>
      <sheetData sheetId="1571">
        <row r="81">
          <cell r="H81">
            <v>222.566</v>
          </cell>
        </row>
      </sheetData>
      <sheetData sheetId="1572">
        <row r="81">
          <cell r="H81">
            <v>222.566</v>
          </cell>
        </row>
      </sheetData>
      <sheetData sheetId="1573">
        <row r="81">
          <cell r="H81">
            <v>222.566</v>
          </cell>
        </row>
      </sheetData>
      <sheetData sheetId="1574">
        <row r="81">
          <cell r="H81">
            <v>222.566</v>
          </cell>
        </row>
      </sheetData>
      <sheetData sheetId="1575">
        <row r="81">
          <cell r="H81">
            <v>222.566</v>
          </cell>
        </row>
      </sheetData>
      <sheetData sheetId="1576">
        <row r="81">
          <cell r="H81">
            <v>222.566</v>
          </cell>
        </row>
      </sheetData>
      <sheetData sheetId="1577">
        <row r="81">
          <cell r="H81">
            <v>222.566</v>
          </cell>
        </row>
      </sheetData>
      <sheetData sheetId="1578">
        <row r="81">
          <cell r="H81">
            <v>222.566</v>
          </cell>
        </row>
      </sheetData>
      <sheetData sheetId="1579">
        <row r="81">
          <cell r="H81">
            <v>222.566</v>
          </cell>
        </row>
      </sheetData>
      <sheetData sheetId="1580">
        <row r="81">
          <cell r="H81">
            <v>222.566</v>
          </cell>
        </row>
      </sheetData>
      <sheetData sheetId="1581">
        <row r="81">
          <cell r="H81">
            <v>222.566</v>
          </cell>
        </row>
      </sheetData>
      <sheetData sheetId="1582">
        <row r="81">
          <cell r="H81">
            <v>222.566</v>
          </cell>
        </row>
      </sheetData>
      <sheetData sheetId="1583">
        <row r="81">
          <cell r="H81">
            <v>222.566</v>
          </cell>
        </row>
      </sheetData>
      <sheetData sheetId="1584">
        <row r="81">
          <cell r="H81">
            <v>222.566</v>
          </cell>
        </row>
      </sheetData>
      <sheetData sheetId="1585">
        <row r="81">
          <cell r="H81">
            <v>222.566</v>
          </cell>
        </row>
      </sheetData>
      <sheetData sheetId="1586">
        <row r="81">
          <cell r="H81">
            <v>222.566</v>
          </cell>
        </row>
      </sheetData>
      <sheetData sheetId="1587">
        <row r="81">
          <cell r="H81">
            <v>222.566</v>
          </cell>
        </row>
      </sheetData>
      <sheetData sheetId="1588">
        <row r="81">
          <cell r="H81">
            <v>222.566</v>
          </cell>
        </row>
      </sheetData>
      <sheetData sheetId="1589">
        <row r="81">
          <cell r="H81">
            <v>222.566</v>
          </cell>
        </row>
      </sheetData>
      <sheetData sheetId="1590">
        <row r="81">
          <cell r="H81">
            <v>222.566</v>
          </cell>
        </row>
      </sheetData>
      <sheetData sheetId="1591">
        <row r="81">
          <cell r="H81">
            <v>222.566</v>
          </cell>
        </row>
      </sheetData>
      <sheetData sheetId="1592">
        <row r="81">
          <cell r="H81">
            <v>222.566</v>
          </cell>
        </row>
      </sheetData>
      <sheetData sheetId="1593">
        <row r="81">
          <cell r="H81">
            <v>222.566</v>
          </cell>
        </row>
      </sheetData>
      <sheetData sheetId="1594">
        <row r="81">
          <cell r="H81">
            <v>222.566</v>
          </cell>
        </row>
      </sheetData>
      <sheetData sheetId="1595">
        <row r="81">
          <cell r="H81">
            <v>222.566</v>
          </cell>
        </row>
      </sheetData>
      <sheetData sheetId="1596">
        <row r="81">
          <cell r="H81">
            <v>222.566</v>
          </cell>
        </row>
      </sheetData>
      <sheetData sheetId="1597">
        <row r="81">
          <cell r="H81">
            <v>222.566</v>
          </cell>
        </row>
      </sheetData>
      <sheetData sheetId="1598">
        <row r="81">
          <cell r="H81">
            <v>222.566</v>
          </cell>
        </row>
      </sheetData>
      <sheetData sheetId="1599">
        <row r="81">
          <cell r="H81">
            <v>222.566</v>
          </cell>
        </row>
      </sheetData>
      <sheetData sheetId="1600">
        <row r="81">
          <cell r="H81">
            <v>222.566</v>
          </cell>
        </row>
      </sheetData>
      <sheetData sheetId="1601">
        <row r="81">
          <cell r="H81">
            <v>222.566</v>
          </cell>
        </row>
      </sheetData>
      <sheetData sheetId="1602">
        <row r="81">
          <cell r="H81">
            <v>222.566</v>
          </cell>
        </row>
      </sheetData>
      <sheetData sheetId="1603">
        <row r="81">
          <cell r="H81">
            <v>222.566</v>
          </cell>
        </row>
      </sheetData>
      <sheetData sheetId="1604">
        <row r="81">
          <cell r="H81">
            <v>222.566</v>
          </cell>
        </row>
      </sheetData>
      <sheetData sheetId="1605">
        <row r="81">
          <cell r="H81">
            <v>222.566</v>
          </cell>
        </row>
      </sheetData>
      <sheetData sheetId="1606">
        <row r="81">
          <cell r="H81">
            <v>222.566</v>
          </cell>
        </row>
      </sheetData>
      <sheetData sheetId="1607">
        <row r="81">
          <cell r="H81">
            <v>222.566</v>
          </cell>
        </row>
      </sheetData>
      <sheetData sheetId="1608">
        <row r="81">
          <cell r="H81">
            <v>222.566</v>
          </cell>
        </row>
      </sheetData>
      <sheetData sheetId="1609">
        <row r="81">
          <cell r="H81">
            <v>222.566</v>
          </cell>
        </row>
      </sheetData>
      <sheetData sheetId="1610">
        <row r="81">
          <cell r="H81">
            <v>222.566</v>
          </cell>
        </row>
      </sheetData>
      <sheetData sheetId="1611">
        <row r="81">
          <cell r="H81">
            <v>222.566</v>
          </cell>
        </row>
      </sheetData>
      <sheetData sheetId="1612">
        <row r="81">
          <cell r="H81">
            <v>222.566</v>
          </cell>
        </row>
      </sheetData>
      <sheetData sheetId="1613">
        <row r="81">
          <cell r="H81">
            <v>222.566</v>
          </cell>
        </row>
      </sheetData>
      <sheetData sheetId="1614">
        <row r="81">
          <cell r="H81">
            <v>222.566</v>
          </cell>
        </row>
      </sheetData>
      <sheetData sheetId="1615">
        <row r="81">
          <cell r="H81">
            <v>222.566</v>
          </cell>
        </row>
      </sheetData>
      <sheetData sheetId="1616">
        <row r="81">
          <cell r="H81">
            <v>222.566</v>
          </cell>
        </row>
      </sheetData>
      <sheetData sheetId="1617">
        <row r="81">
          <cell r="H81">
            <v>222.566</v>
          </cell>
        </row>
      </sheetData>
      <sheetData sheetId="1618">
        <row r="81">
          <cell r="H81">
            <v>222.566</v>
          </cell>
        </row>
      </sheetData>
      <sheetData sheetId="1619">
        <row r="81">
          <cell r="H81">
            <v>222.566</v>
          </cell>
        </row>
      </sheetData>
      <sheetData sheetId="1620">
        <row r="81">
          <cell r="H81">
            <v>222.566</v>
          </cell>
        </row>
      </sheetData>
      <sheetData sheetId="1621">
        <row r="81">
          <cell r="H81">
            <v>222.566</v>
          </cell>
        </row>
      </sheetData>
      <sheetData sheetId="1622">
        <row r="81">
          <cell r="H81">
            <v>222.566</v>
          </cell>
        </row>
      </sheetData>
      <sheetData sheetId="1623">
        <row r="81">
          <cell r="H81">
            <v>222.566</v>
          </cell>
        </row>
      </sheetData>
      <sheetData sheetId="1624">
        <row r="81">
          <cell r="H81">
            <v>222.566</v>
          </cell>
        </row>
      </sheetData>
      <sheetData sheetId="1625">
        <row r="81">
          <cell r="H81">
            <v>222.566</v>
          </cell>
        </row>
      </sheetData>
      <sheetData sheetId="1626">
        <row r="81">
          <cell r="H81">
            <v>222.566</v>
          </cell>
        </row>
      </sheetData>
      <sheetData sheetId="1627">
        <row r="81">
          <cell r="H81">
            <v>222.566</v>
          </cell>
        </row>
      </sheetData>
      <sheetData sheetId="1628">
        <row r="81">
          <cell r="H81">
            <v>222.566</v>
          </cell>
        </row>
      </sheetData>
      <sheetData sheetId="1629">
        <row r="81">
          <cell r="H81">
            <v>222.566</v>
          </cell>
        </row>
      </sheetData>
      <sheetData sheetId="1630">
        <row r="81">
          <cell r="H81">
            <v>222.566</v>
          </cell>
        </row>
      </sheetData>
      <sheetData sheetId="1631">
        <row r="81">
          <cell r="H81">
            <v>222.566</v>
          </cell>
        </row>
      </sheetData>
      <sheetData sheetId="1632">
        <row r="81">
          <cell r="H81">
            <v>222.566</v>
          </cell>
        </row>
      </sheetData>
      <sheetData sheetId="1633">
        <row r="81">
          <cell r="H81">
            <v>222.566</v>
          </cell>
        </row>
      </sheetData>
      <sheetData sheetId="1634">
        <row r="81">
          <cell r="H81">
            <v>222.566</v>
          </cell>
        </row>
      </sheetData>
      <sheetData sheetId="1635">
        <row r="81">
          <cell r="H81">
            <v>222.566</v>
          </cell>
        </row>
      </sheetData>
      <sheetData sheetId="1636">
        <row r="81">
          <cell r="H81">
            <v>222.566</v>
          </cell>
        </row>
      </sheetData>
      <sheetData sheetId="1637">
        <row r="81">
          <cell r="H81">
            <v>222.566</v>
          </cell>
        </row>
      </sheetData>
      <sheetData sheetId="1638">
        <row r="81">
          <cell r="H81">
            <v>222.566</v>
          </cell>
        </row>
      </sheetData>
      <sheetData sheetId="1639">
        <row r="81">
          <cell r="H81">
            <v>222.566</v>
          </cell>
        </row>
      </sheetData>
      <sheetData sheetId="1640">
        <row r="81">
          <cell r="H81">
            <v>222.566</v>
          </cell>
        </row>
      </sheetData>
      <sheetData sheetId="1641">
        <row r="81">
          <cell r="H81">
            <v>222.566</v>
          </cell>
        </row>
      </sheetData>
      <sheetData sheetId="1642">
        <row r="81">
          <cell r="H81">
            <v>222.566</v>
          </cell>
        </row>
      </sheetData>
      <sheetData sheetId="1643">
        <row r="81">
          <cell r="H81">
            <v>222.566</v>
          </cell>
        </row>
      </sheetData>
      <sheetData sheetId="1644">
        <row r="81">
          <cell r="H81">
            <v>222.566</v>
          </cell>
        </row>
      </sheetData>
      <sheetData sheetId="1645">
        <row r="81">
          <cell r="H81">
            <v>222.566</v>
          </cell>
        </row>
      </sheetData>
      <sheetData sheetId="1646">
        <row r="81">
          <cell r="H81">
            <v>222.566</v>
          </cell>
        </row>
      </sheetData>
      <sheetData sheetId="1647">
        <row r="81">
          <cell r="H81">
            <v>222.566</v>
          </cell>
        </row>
      </sheetData>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ow r="81">
          <cell r="H81">
            <v>222.566</v>
          </cell>
        </row>
      </sheetData>
      <sheetData sheetId="1663">
        <row r="81">
          <cell r="H81">
            <v>222.566</v>
          </cell>
        </row>
      </sheetData>
      <sheetData sheetId="1664">
        <row r="81">
          <cell r="H81">
            <v>222.566</v>
          </cell>
        </row>
      </sheetData>
      <sheetData sheetId="1665">
        <row r="81">
          <cell r="H81">
            <v>222.566</v>
          </cell>
        </row>
      </sheetData>
      <sheetData sheetId="1666">
        <row r="81">
          <cell r="H81">
            <v>222.566</v>
          </cell>
        </row>
      </sheetData>
      <sheetData sheetId="1667">
        <row r="81">
          <cell r="H81">
            <v>222.566</v>
          </cell>
        </row>
      </sheetData>
      <sheetData sheetId="1668">
        <row r="81">
          <cell r="H81">
            <v>222.566</v>
          </cell>
        </row>
      </sheetData>
      <sheetData sheetId="1669">
        <row r="81">
          <cell r="H81">
            <v>222.566</v>
          </cell>
        </row>
      </sheetData>
      <sheetData sheetId="1670">
        <row r="81">
          <cell r="H81">
            <v>222.566</v>
          </cell>
        </row>
      </sheetData>
      <sheetData sheetId="1671">
        <row r="81">
          <cell r="H81">
            <v>222.566</v>
          </cell>
        </row>
      </sheetData>
      <sheetData sheetId="1672">
        <row r="81">
          <cell r="H81">
            <v>222.566</v>
          </cell>
        </row>
      </sheetData>
      <sheetData sheetId="1673">
        <row r="81">
          <cell r="H81">
            <v>222.566</v>
          </cell>
        </row>
      </sheetData>
      <sheetData sheetId="1674">
        <row r="81">
          <cell r="H81">
            <v>222.566</v>
          </cell>
        </row>
      </sheetData>
      <sheetData sheetId="1675">
        <row r="81">
          <cell r="H81">
            <v>222.566</v>
          </cell>
        </row>
      </sheetData>
      <sheetData sheetId="1676">
        <row r="81">
          <cell r="H81">
            <v>222.566</v>
          </cell>
        </row>
      </sheetData>
      <sheetData sheetId="1677">
        <row r="81">
          <cell r="H81">
            <v>222.566</v>
          </cell>
        </row>
      </sheetData>
      <sheetData sheetId="1678">
        <row r="81">
          <cell r="H81">
            <v>222.566</v>
          </cell>
        </row>
      </sheetData>
      <sheetData sheetId="1679">
        <row r="81">
          <cell r="H81">
            <v>222.566</v>
          </cell>
        </row>
      </sheetData>
      <sheetData sheetId="1680">
        <row r="81">
          <cell r="H81">
            <v>222.566</v>
          </cell>
        </row>
      </sheetData>
      <sheetData sheetId="1681">
        <row r="81">
          <cell r="H81">
            <v>222.566</v>
          </cell>
        </row>
      </sheetData>
      <sheetData sheetId="1682">
        <row r="81">
          <cell r="H81">
            <v>222.566</v>
          </cell>
        </row>
      </sheetData>
      <sheetData sheetId="1683">
        <row r="81">
          <cell r="H81">
            <v>222.566</v>
          </cell>
        </row>
      </sheetData>
      <sheetData sheetId="1684">
        <row r="81">
          <cell r="H81">
            <v>222.566</v>
          </cell>
        </row>
      </sheetData>
      <sheetData sheetId="1685">
        <row r="81">
          <cell r="H81">
            <v>222.566</v>
          </cell>
        </row>
      </sheetData>
      <sheetData sheetId="1686">
        <row r="81">
          <cell r="H81">
            <v>222.566</v>
          </cell>
        </row>
      </sheetData>
      <sheetData sheetId="1687">
        <row r="81">
          <cell r="H81">
            <v>222.566</v>
          </cell>
        </row>
      </sheetData>
      <sheetData sheetId="1688">
        <row r="81">
          <cell r="H81">
            <v>222.566</v>
          </cell>
        </row>
      </sheetData>
      <sheetData sheetId="1689">
        <row r="81">
          <cell r="H81">
            <v>222.566</v>
          </cell>
        </row>
      </sheetData>
      <sheetData sheetId="1690">
        <row r="81">
          <cell r="H81">
            <v>222.566</v>
          </cell>
        </row>
      </sheetData>
      <sheetData sheetId="1691">
        <row r="81">
          <cell r="H81">
            <v>222.566</v>
          </cell>
        </row>
      </sheetData>
      <sheetData sheetId="1692">
        <row r="81">
          <cell r="H81">
            <v>222.566</v>
          </cell>
        </row>
      </sheetData>
      <sheetData sheetId="1693">
        <row r="81">
          <cell r="H81">
            <v>222.566</v>
          </cell>
        </row>
      </sheetData>
      <sheetData sheetId="1694">
        <row r="81">
          <cell r="H81">
            <v>222.566</v>
          </cell>
        </row>
      </sheetData>
      <sheetData sheetId="1695">
        <row r="81">
          <cell r="H81">
            <v>222.566</v>
          </cell>
        </row>
      </sheetData>
      <sheetData sheetId="1696">
        <row r="81">
          <cell r="H81">
            <v>222.566</v>
          </cell>
        </row>
      </sheetData>
      <sheetData sheetId="1697">
        <row r="81">
          <cell r="H81">
            <v>222.566</v>
          </cell>
        </row>
      </sheetData>
      <sheetData sheetId="1698">
        <row r="81">
          <cell r="H81">
            <v>222.566</v>
          </cell>
        </row>
      </sheetData>
      <sheetData sheetId="1699">
        <row r="81">
          <cell r="H81">
            <v>222.566</v>
          </cell>
        </row>
      </sheetData>
      <sheetData sheetId="1700">
        <row r="81">
          <cell r="H81">
            <v>222.566</v>
          </cell>
        </row>
      </sheetData>
      <sheetData sheetId="1701">
        <row r="81">
          <cell r="H81">
            <v>222.566</v>
          </cell>
        </row>
      </sheetData>
      <sheetData sheetId="1702">
        <row r="81">
          <cell r="H81">
            <v>222.566</v>
          </cell>
        </row>
      </sheetData>
      <sheetData sheetId="1703">
        <row r="81">
          <cell r="H81">
            <v>222.566</v>
          </cell>
        </row>
      </sheetData>
      <sheetData sheetId="1704">
        <row r="81">
          <cell r="H81">
            <v>222.566</v>
          </cell>
        </row>
      </sheetData>
      <sheetData sheetId="1705">
        <row r="81">
          <cell r="H81">
            <v>222.566</v>
          </cell>
        </row>
      </sheetData>
      <sheetData sheetId="1706">
        <row r="81">
          <cell r="H81">
            <v>222.566</v>
          </cell>
        </row>
      </sheetData>
      <sheetData sheetId="1707">
        <row r="81">
          <cell r="H81">
            <v>222.566</v>
          </cell>
        </row>
      </sheetData>
      <sheetData sheetId="1708">
        <row r="81">
          <cell r="H81">
            <v>222.566</v>
          </cell>
        </row>
      </sheetData>
      <sheetData sheetId="1709">
        <row r="81">
          <cell r="H81">
            <v>222.566</v>
          </cell>
        </row>
      </sheetData>
      <sheetData sheetId="1710">
        <row r="81">
          <cell r="H81">
            <v>222.566</v>
          </cell>
        </row>
      </sheetData>
      <sheetData sheetId="1711">
        <row r="81">
          <cell r="H81">
            <v>222.566</v>
          </cell>
        </row>
      </sheetData>
      <sheetData sheetId="1712">
        <row r="81">
          <cell r="H81">
            <v>222.566</v>
          </cell>
        </row>
      </sheetData>
      <sheetData sheetId="1713">
        <row r="81">
          <cell r="H81">
            <v>222.566</v>
          </cell>
        </row>
      </sheetData>
      <sheetData sheetId="1714">
        <row r="81">
          <cell r="H81">
            <v>222.566</v>
          </cell>
        </row>
      </sheetData>
      <sheetData sheetId="1715">
        <row r="81">
          <cell r="H81">
            <v>222.566</v>
          </cell>
        </row>
      </sheetData>
      <sheetData sheetId="1716">
        <row r="81">
          <cell r="H81">
            <v>222.566</v>
          </cell>
        </row>
      </sheetData>
      <sheetData sheetId="1717">
        <row r="81">
          <cell r="H81">
            <v>222.566</v>
          </cell>
        </row>
      </sheetData>
      <sheetData sheetId="1718">
        <row r="81">
          <cell r="H81">
            <v>222.566</v>
          </cell>
        </row>
      </sheetData>
      <sheetData sheetId="1719">
        <row r="81">
          <cell r="H81">
            <v>222.566</v>
          </cell>
        </row>
      </sheetData>
      <sheetData sheetId="1720">
        <row r="81">
          <cell r="H81">
            <v>222.566</v>
          </cell>
        </row>
      </sheetData>
      <sheetData sheetId="1721">
        <row r="81">
          <cell r="H81">
            <v>222.566</v>
          </cell>
        </row>
      </sheetData>
      <sheetData sheetId="1722">
        <row r="81">
          <cell r="H81">
            <v>222.566</v>
          </cell>
        </row>
      </sheetData>
      <sheetData sheetId="1723">
        <row r="81">
          <cell r="H81">
            <v>222.566</v>
          </cell>
        </row>
      </sheetData>
      <sheetData sheetId="1724">
        <row r="81">
          <cell r="H81">
            <v>222.566</v>
          </cell>
        </row>
      </sheetData>
      <sheetData sheetId="1725">
        <row r="81">
          <cell r="H81">
            <v>222.566</v>
          </cell>
        </row>
      </sheetData>
      <sheetData sheetId="1726">
        <row r="81">
          <cell r="H81">
            <v>222.566</v>
          </cell>
        </row>
      </sheetData>
      <sheetData sheetId="1727">
        <row r="81">
          <cell r="H81">
            <v>222.566</v>
          </cell>
        </row>
      </sheetData>
      <sheetData sheetId="1728">
        <row r="81">
          <cell r="H81">
            <v>222.566</v>
          </cell>
        </row>
      </sheetData>
      <sheetData sheetId="1729">
        <row r="81">
          <cell r="H81">
            <v>222.566</v>
          </cell>
        </row>
      </sheetData>
      <sheetData sheetId="1730">
        <row r="81">
          <cell r="H81">
            <v>222.566</v>
          </cell>
        </row>
      </sheetData>
      <sheetData sheetId="1731">
        <row r="81">
          <cell r="H81">
            <v>222.566</v>
          </cell>
        </row>
      </sheetData>
      <sheetData sheetId="1732">
        <row r="81">
          <cell r="H81">
            <v>222.566</v>
          </cell>
        </row>
      </sheetData>
      <sheetData sheetId="1733">
        <row r="81">
          <cell r="H81">
            <v>222.566</v>
          </cell>
        </row>
      </sheetData>
      <sheetData sheetId="1734">
        <row r="81">
          <cell r="H81">
            <v>222.566</v>
          </cell>
        </row>
      </sheetData>
      <sheetData sheetId="1735">
        <row r="81">
          <cell r="H81">
            <v>222.566</v>
          </cell>
        </row>
      </sheetData>
      <sheetData sheetId="1736">
        <row r="81">
          <cell r="H81">
            <v>222.566</v>
          </cell>
        </row>
      </sheetData>
      <sheetData sheetId="1737">
        <row r="81">
          <cell r="H81">
            <v>222.566</v>
          </cell>
        </row>
      </sheetData>
      <sheetData sheetId="1738">
        <row r="81">
          <cell r="H81">
            <v>222.566</v>
          </cell>
        </row>
      </sheetData>
      <sheetData sheetId="1739">
        <row r="81">
          <cell r="H81">
            <v>222.566</v>
          </cell>
        </row>
      </sheetData>
      <sheetData sheetId="1740">
        <row r="81">
          <cell r="H81">
            <v>222.566</v>
          </cell>
        </row>
      </sheetData>
      <sheetData sheetId="1741">
        <row r="81">
          <cell r="H81">
            <v>222.566</v>
          </cell>
        </row>
      </sheetData>
      <sheetData sheetId="1742">
        <row r="81">
          <cell r="H81">
            <v>222.566</v>
          </cell>
        </row>
      </sheetData>
      <sheetData sheetId="1743">
        <row r="81">
          <cell r="H81">
            <v>222.566</v>
          </cell>
        </row>
      </sheetData>
      <sheetData sheetId="1744">
        <row r="81">
          <cell r="H81">
            <v>222.566</v>
          </cell>
        </row>
      </sheetData>
      <sheetData sheetId="1745">
        <row r="81">
          <cell r="H81">
            <v>222.566</v>
          </cell>
        </row>
      </sheetData>
      <sheetData sheetId="1746">
        <row r="81">
          <cell r="H81">
            <v>222.566</v>
          </cell>
        </row>
      </sheetData>
      <sheetData sheetId="1747">
        <row r="81">
          <cell r="H81">
            <v>222.566</v>
          </cell>
        </row>
      </sheetData>
      <sheetData sheetId="1748">
        <row r="81">
          <cell r="H81">
            <v>222.566</v>
          </cell>
        </row>
      </sheetData>
      <sheetData sheetId="1749">
        <row r="81">
          <cell r="H81">
            <v>222.566</v>
          </cell>
        </row>
      </sheetData>
      <sheetData sheetId="1750">
        <row r="81">
          <cell r="H81">
            <v>222.566</v>
          </cell>
        </row>
      </sheetData>
      <sheetData sheetId="1751">
        <row r="81">
          <cell r="H81">
            <v>222.566</v>
          </cell>
        </row>
      </sheetData>
      <sheetData sheetId="1752">
        <row r="81">
          <cell r="H81">
            <v>222.566</v>
          </cell>
        </row>
      </sheetData>
      <sheetData sheetId="1753">
        <row r="81">
          <cell r="H81">
            <v>222.566</v>
          </cell>
        </row>
      </sheetData>
      <sheetData sheetId="1754">
        <row r="81">
          <cell r="H81">
            <v>222.566</v>
          </cell>
        </row>
      </sheetData>
      <sheetData sheetId="1755">
        <row r="81">
          <cell r="H81">
            <v>222.566</v>
          </cell>
        </row>
      </sheetData>
      <sheetData sheetId="1756">
        <row r="81">
          <cell r="H81">
            <v>222.566</v>
          </cell>
        </row>
      </sheetData>
      <sheetData sheetId="1757">
        <row r="81">
          <cell r="H81">
            <v>222.566</v>
          </cell>
        </row>
      </sheetData>
      <sheetData sheetId="1758">
        <row r="81">
          <cell r="H81">
            <v>222.566</v>
          </cell>
        </row>
      </sheetData>
      <sheetData sheetId="1759">
        <row r="81">
          <cell r="H81">
            <v>222.566</v>
          </cell>
        </row>
      </sheetData>
      <sheetData sheetId="1760">
        <row r="81">
          <cell r="H81">
            <v>222.566</v>
          </cell>
        </row>
      </sheetData>
      <sheetData sheetId="1761">
        <row r="81">
          <cell r="H81">
            <v>222.566</v>
          </cell>
        </row>
      </sheetData>
      <sheetData sheetId="1762">
        <row r="81">
          <cell r="H81">
            <v>222.566</v>
          </cell>
        </row>
      </sheetData>
      <sheetData sheetId="1763">
        <row r="81">
          <cell r="H81">
            <v>222.566</v>
          </cell>
        </row>
      </sheetData>
      <sheetData sheetId="1764">
        <row r="81">
          <cell r="H81">
            <v>222.566</v>
          </cell>
        </row>
      </sheetData>
      <sheetData sheetId="1765">
        <row r="81">
          <cell r="H81">
            <v>222.566</v>
          </cell>
        </row>
      </sheetData>
      <sheetData sheetId="1766">
        <row r="81">
          <cell r="H81">
            <v>222.566</v>
          </cell>
        </row>
      </sheetData>
      <sheetData sheetId="1767">
        <row r="81">
          <cell r="H81">
            <v>222.566</v>
          </cell>
        </row>
      </sheetData>
      <sheetData sheetId="1768">
        <row r="81">
          <cell r="H81">
            <v>222.566</v>
          </cell>
        </row>
      </sheetData>
      <sheetData sheetId="1769">
        <row r="81">
          <cell r="H81">
            <v>222.566</v>
          </cell>
        </row>
      </sheetData>
      <sheetData sheetId="1770">
        <row r="81">
          <cell r="H81">
            <v>222.566</v>
          </cell>
        </row>
      </sheetData>
      <sheetData sheetId="1771">
        <row r="81">
          <cell r="H81">
            <v>222.566</v>
          </cell>
        </row>
      </sheetData>
      <sheetData sheetId="1772">
        <row r="81">
          <cell r="H81">
            <v>222.566</v>
          </cell>
        </row>
      </sheetData>
      <sheetData sheetId="1773">
        <row r="81">
          <cell r="H81">
            <v>222.566</v>
          </cell>
        </row>
      </sheetData>
      <sheetData sheetId="1774">
        <row r="81">
          <cell r="H81">
            <v>222.566</v>
          </cell>
        </row>
      </sheetData>
      <sheetData sheetId="1775">
        <row r="81">
          <cell r="H81">
            <v>222.566</v>
          </cell>
        </row>
      </sheetData>
      <sheetData sheetId="1776">
        <row r="81">
          <cell r="H81">
            <v>222.566</v>
          </cell>
        </row>
      </sheetData>
      <sheetData sheetId="1777">
        <row r="81">
          <cell r="H81">
            <v>222.566</v>
          </cell>
        </row>
      </sheetData>
      <sheetData sheetId="1778">
        <row r="81">
          <cell r="H81">
            <v>222.566</v>
          </cell>
        </row>
      </sheetData>
      <sheetData sheetId="1779">
        <row r="81">
          <cell r="H81">
            <v>222.566</v>
          </cell>
        </row>
      </sheetData>
      <sheetData sheetId="1780">
        <row r="81">
          <cell r="H81">
            <v>222.566</v>
          </cell>
        </row>
      </sheetData>
      <sheetData sheetId="1781">
        <row r="81">
          <cell r="H81">
            <v>222.566</v>
          </cell>
        </row>
      </sheetData>
      <sheetData sheetId="1782">
        <row r="81">
          <cell r="H81">
            <v>222.566</v>
          </cell>
        </row>
      </sheetData>
      <sheetData sheetId="1783">
        <row r="81">
          <cell r="H81">
            <v>222.566</v>
          </cell>
        </row>
      </sheetData>
      <sheetData sheetId="1784">
        <row r="81">
          <cell r="H81">
            <v>222.566</v>
          </cell>
        </row>
      </sheetData>
      <sheetData sheetId="1785">
        <row r="81">
          <cell r="H81">
            <v>222.566</v>
          </cell>
        </row>
      </sheetData>
      <sheetData sheetId="1786">
        <row r="81">
          <cell r="H81">
            <v>222.566</v>
          </cell>
        </row>
      </sheetData>
      <sheetData sheetId="1787">
        <row r="81">
          <cell r="H81">
            <v>222.566</v>
          </cell>
        </row>
      </sheetData>
      <sheetData sheetId="1788">
        <row r="81">
          <cell r="H81">
            <v>222.566</v>
          </cell>
        </row>
      </sheetData>
      <sheetData sheetId="1789">
        <row r="81">
          <cell r="H81">
            <v>222.566</v>
          </cell>
        </row>
      </sheetData>
      <sheetData sheetId="1790">
        <row r="81">
          <cell r="H81">
            <v>222.566</v>
          </cell>
        </row>
      </sheetData>
      <sheetData sheetId="1791">
        <row r="81">
          <cell r="H81">
            <v>222.566</v>
          </cell>
        </row>
      </sheetData>
      <sheetData sheetId="1792">
        <row r="81">
          <cell r="H81">
            <v>222.566</v>
          </cell>
        </row>
      </sheetData>
      <sheetData sheetId="1793">
        <row r="81">
          <cell r="H81">
            <v>222.566</v>
          </cell>
        </row>
      </sheetData>
      <sheetData sheetId="1794">
        <row r="81">
          <cell r="H81">
            <v>222.566</v>
          </cell>
        </row>
      </sheetData>
      <sheetData sheetId="1795">
        <row r="81">
          <cell r="H81">
            <v>222.566</v>
          </cell>
        </row>
      </sheetData>
      <sheetData sheetId="1796">
        <row r="81">
          <cell r="H81">
            <v>222.566</v>
          </cell>
        </row>
      </sheetData>
      <sheetData sheetId="1797">
        <row r="81">
          <cell r="H81">
            <v>222.566</v>
          </cell>
        </row>
      </sheetData>
      <sheetData sheetId="1798">
        <row r="81">
          <cell r="H81">
            <v>222.566</v>
          </cell>
        </row>
      </sheetData>
      <sheetData sheetId="1799">
        <row r="81">
          <cell r="H81">
            <v>222.566</v>
          </cell>
        </row>
      </sheetData>
      <sheetData sheetId="1800">
        <row r="81">
          <cell r="H81">
            <v>222.566</v>
          </cell>
        </row>
      </sheetData>
      <sheetData sheetId="1801">
        <row r="81">
          <cell r="H81">
            <v>222.566</v>
          </cell>
        </row>
      </sheetData>
      <sheetData sheetId="1802">
        <row r="81">
          <cell r="H81">
            <v>222.566</v>
          </cell>
        </row>
      </sheetData>
      <sheetData sheetId="1803">
        <row r="81">
          <cell r="H81">
            <v>222.566</v>
          </cell>
        </row>
      </sheetData>
      <sheetData sheetId="1804">
        <row r="81">
          <cell r="H81">
            <v>222.566</v>
          </cell>
        </row>
      </sheetData>
      <sheetData sheetId="1805">
        <row r="81">
          <cell r="H81">
            <v>222.566</v>
          </cell>
        </row>
      </sheetData>
      <sheetData sheetId="1806">
        <row r="81">
          <cell r="H81">
            <v>222.566</v>
          </cell>
        </row>
      </sheetData>
      <sheetData sheetId="1807">
        <row r="81">
          <cell r="H81">
            <v>222.566</v>
          </cell>
        </row>
      </sheetData>
      <sheetData sheetId="1808">
        <row r="81">
          <cell r="H81">
            <v>222.566</v>
          </cell>
        </row>
      </sheetData>
      <sheetData sheetId="1809">
        <row r="81">
          <cell r="H81">
            <v>222.566</v>
          </cell>
        </row>
      </sheetData>
      <sheetData sheetId="1810">
        <row r="81">
          <cell r="H81">
            <v>222.566</v>
          </cell>
        </row>
      </sheetData>
      <sheetData sheetId="1811">
        <row r="81">
          <cell r="H81">
            <v>222.566</v>
          </cell>
        </row>
      </sheetData>
      <sheetData sheetId="1812">
        <row r="81">
          <cell r="H81">
            <v>222.566</v>
          </cell>
        </row>
      </sheetData>
      <sheetData sheetId="1813">
        <row r="81">
          <cell r="H81">
            <v>222.566</v>
          </cell>
        </row>
      </sheetData>
      <sheetData sheetId="1814">
        <row r="81">
          <cell r="H81">
            <v>222.566</v>
          </cell>
        </row>
      </sheetData>
      <sheetData sheetId="1815">
        <row r="81">
          <cell r="H81">
            <v>222.566</v>
          </cell>
        </row>
      </sheetData>
      <sheetData sheetId="1816">
        <row r="81">
          <cell r="H81">
            <v>222.566</v>
          </cell>
        </row>
      </sheetData>
      <sheetData sheetId="1817">
        <row r="81">
          <cell r="H81">
            <v>222.566</v>
          </cell>
        </row>
      </sheetData>
      <sheetData sheetId="1818">
        <row r="81">
          <cell r="H81">
            <v>222.566</v>
          </cell>
        </row>
      </sheetData>
      <sheetData sheetId="1819">
        <row r="81">
          <cell r="H81">
            <v>222.566</v>
          </cell>
        </row>
      </sheetData>
      <sheetData sheetId="1820">
        <row r="81">
          <cell r="H81">
            <v>222.566</v>
          </cell>
        </row>
      </sheetData>
      <sheetData sheetId="1821">
        <row r="81">
          <cell r="H81">
            <v>222.566</v>
          </cell>
        </row>
      </sheetData>
      <sheetData sheetId="1822">
        <row r="81">
          <cell r="H81">
            <v>222.566</v>
          </cell>
        </row>
      </sheetData>
      <sheetData sheetId="1823">
        <row r="81">
          <cell r="H81">
            <v>222.566</v>
          </cell>
        </row>
      </sheetData>
      <sheetData sheetId="1824">
        <row r="81">
          <cell r="H81">
            <v>222.566</v>
          </cell>
        </row>
      </sheetData>
      <sheetData sheetId="1825">
        <row r="81">
          <cell r="H81">
            <v>222.566</v>
          </cell>
        </row>
      </sheetData>
      <sheetData sheetId="1826">
        <row r="81">
          <cell r="H81">
            <v>222.566</v>
          </cell>
        </row>
      </sheetData>
      <sheetData sheetId="1827">
        <row r="81">
          <cell r="H81">
            <v>222.566</v>
          </cell>
        </row>
      </sheetData>
      <sheetData sheetId="1828">
        <row r="81">
          <cell r="H81">
            <v>222.566</v>
          </cell>
        </row>
      </sheetData>
      <sheetData sheetId="1829">
        <row r="81">
          <cell r="H81">
            <v>222.566</v>
          </cell>
        </row>
      </sheetData>
      <sheetData sheetId="1830">
        <row r="81">
          <cell r="H81">
            <v>222.566</v>
          </cell>
        </row>
      </sheetData>
      <sheetData sheetId="1831">
        <row r="81">
          <cell r="H81">
            <v>222.566</v>
          </cell>
        </row>
      </sheetData>
      <sheetData sheetId="1832">
        <row r="81">
          <cell r="H81">
            <v>222.566</v>
          </cell>
        </row>
      </sheetData>
      <sheetData sheetId="1833">
        <row r="81">
          <cell r="H81">
            <v>222.566</v>
          </cell>
        </row>
      </sheetData>
      <sheetData sheetId="1834">
        <row r="81">
          <cell r="H81">
            <v>222.566</v>
          </cell>
        </row>
      </sheetData>
      <sheetData sheetId="1835">
        <row r="81">
          <cell r="H81">
            <v>222.566</v>
          </cell>
        </row>
      </sheetData>
      <sheetData sheetId="1836">
        <row r="81">
          <cell r="H81">
            <v>222.566</v>
          </cell>
        </row>
      </sheetData>
      <sheetData sheetId="1837">
        <row r="81">
          <cell r="H81">
            <v>222.566</v>
          </cell>
        </row>
      </sheetData>
      <sheetData sheetId="1838">
        <row r="81">
          <cell r="H81">
            <v>222.566</v>
          </cell>
        </row>
      </sheetData>
      <sheetData sheetId="1839">
        <row r="81">
          <cell r="H81">
            <v>222.566</v>
          </cell>
        </row>
      </sheetData>
      <sheetData sheetId="1840">
        <row r="81">
          <cell r="H81">
            <v>222.566</v>
          </cell>
        </row>
      </sheetData>
      <sheetData sheetId="1841">
        <row r="81">
          <cell r="H81">
            <v>222.566</v>
          </cell>
        </row>
      </sheetData>
      <sheetData sheetId="1842">
        <row r="81">
          <cell r="H81">
            <v>222.566</v>
          </cell>
        </row>
      </sheetData>
      <sheetData sheetId="1843">
        <row r="81">
          <cell r="H81">
            <v>222.566</v>
          </cell>
        </row>
      </sheetData>
      <sheetData sheetId="1844">
        <row r="81">
          <cell r="H81">
            <v>222.566</v>
          </cell>
        </row>
      </sheetData>
      <sheetData sheetId="1845">
        <row r="81">
          <cell r="H81">
            <v>222.566</v>
          </cell>
        </row>
      </sheetData>
      <sheetData sheetId="1846">
        <row r="81">
          <cell r="H81">
            <v>222.566</v>
          </cell>
        </row>
      </sheetData>
      <sheetData sheetId="1847">
        <row r="81">
          <cell r="H81">
            <v>222.566</v>
          </cell>
        </row>
      </sheetData>
      <sheetData sheetId="1848">
        <row r="81">
          <cell r="H81">
            <v>222.566</v>
          </cell>
        </row>
      </sheetData>
      <sheetData sheetId="1849">
        <row r="81">
          <cell r="H81">
            <v>222.566</v>
          </cell>
        </row>
      </sheetData>
      <sheetData sheetId="1850">
        <row r="81">
          <cell r="H81">
            <v>222.566</v>
          </cell>
        </row>
      </sheetData>
      <sheetData sheetId="1851">
        <row r="81">
          <cell r="H81">
            <v>222.566</v>
          </cell>
        </row>
      </sheetData>
      <sheetData sheetId="1852">
        <row r="81">
          <cell r="H81">
            <v>222.566</v>
          </cell>
        </row>
      </sheetData>
      <sheetData sheetId="1853">
        <row r="81">
          <cell r="H81">
            <v>222.566</v>
          </cell>
        </row>
      </sheetData>
      <sheetData sheetId="1854">
        <row r="81">
          <cell r="H81">
            <v>222.566</v>
          </cell>
        </row>
      </sheetData>
      <sheetData sheetId="1855">
        <row r="81">
          <cell r="H81">
            <v>222.566</v>
          </cell>
        </row>
      </sheetData>
      <sheetData sheetId="1856">
        <row r="81">
          <cell r="H81">
            <v>222.566</v>
          </cell>
        </row>
      </sheetData>
      <sheetData sheetId="1857">
        <row r="81">
          <cell r="H81">
            <v>222.566</v>
          </cell>
        </row>
      </sheetData>
      <sheetData sheetId="1858">
        <row r="81">
          <cell r="H81">
            <v>222.566</v>
          </cell>
        </row>
      </sheetData>
      <sheetData sheetId="1859">
        <row r="81">
          <cell r="H81">
            <v>222.566</v>
          </cell>
        </row>
      </sheetData>
      <sheetData sheetId="1860">
        <row r="81">
          <cell r="H81">
            <v>222.566</v>
          </cell>
        </row>
      </sheetData>
      <sheetData sheetId="1861">
        <row r="81">
          <cell r="H81">
            <v>222.566</v>
          </cell>
        </row>
      </sheetData>
      <sheetData sheetId="1862">
        <row r="81">
          <cell r="H81">
            <v>222.566</v>
          </cell>
        </row>
      </sheetData>
      <sheetData sheetId="1863">
        <row r="81">
          <cell r="H81">
            <v>222.566</v>
          </cell>
        </row>
      </sheetData>
      <sheetData sheetId="1864">
        <row r="81">
          <cell r="H81">
            <v>222.566</v>
          </cell>
        </row>
      </sheetData>
      <sheetData sheetId="1865">
        <row r="81">
          <cell r="H81">
            <v>222.566</v>
          </cell>
        </row>
      </sheetData>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ow r="81">
          <cell r="H81">
            <v>222.566</v>
          </cell>
        </row>
      </sheetData>
      <sheetData sheetId="1881">
        <row r="81">
          <cell r="H81">
            <v>222.566</v>
          </cell>
        </row>
      </sheetData>
      <sheetData sheetId="1882">
        <row r="81">
          <cell r="H81">
            <v>222.566</v>
          </cell>
        </row>
      </sheetData>
      <sheetData sheetId="1883">
        <row r="81">
          <cell r="H81">
            <v>222.566</v>
          </cell>
        </row>
      </sheetData>
      <sheetData sheetId="1884">
        <row r="81">
          <cell r="H81">
            <v>222.566</v>
          </cell>
        </row>
      </sheetData>
      <sheetData sheetId="1885">
        <row r="81">
          <cell r="H81">
            <v>222.566</v>
          </cell>
        </row>
      </sheetData>
      <sheetData sheetId="1886">
        <row r="81">
          <cell r="H81">
            <v>222.566</v>
          </cell>
        </row>
      </sheetData>
      <sheetData sheetId="1887">
        <row r="81">
          <cell r="H81">
            <v>222.566</v>
          </cell>
        </row>
      </sheetData>
      <sheetData sheetId="1888">
        <row r="81">
          <cell r="H81">
            <v>222.566</v>
          </cell>
        </row>
      </sheetData>
      <sheetData sheetId="1889">
        <row r="81">
          <cell r="H81">
            <v>222.566</v>
          </cell>
        </row>
      </sheetData>
      <sheetData sheetId="1890">
        <row r="81">
          <cell r="H81">
            <v>222.566</v>
          </cell>
        </row>
      </sheetData>
      <sheetData sheetId="1891">
        <row r="81">
          <cell r="H81">
            <v>222.566</v>
          </cell>
        </row>
      </sheetData>
      <sheetData sheetId="1892">
        <row r="81">
          <cell r="H81">
            <v>222.566</v>
          </cell>
        </row>
      </sheetData>
      <sheetData sheetId="1893">
        <row r="81">
          <cell r="H81">
            <v>222.566</v>
          </cell>
        </row>
      </sheetData>
      <sheetData sheetId="1894">
        <row r="81">
          <cell r="H81">
            <v>222.566</v>
          </cell>
        </row>
      </sheetData>
      <sheetData sheetId="1895">
        <row r="81">
          <cell r="H81">
            <v>222.566</v>
          </cell>
        </row>
      </sheetData>
      <sheetData sheetId="1896">
        <row r="81">
          <cell r="H81">
            <v>222.566</v>
          </cell>
        </row>
      </sheetData>
      <sheetData sheetId="1897">
        <row r="81">
          <cell r="H81">
            <v>222.566</v>
          </cell>
        </row>
      </sheetData>
      <sheetData sheetId="1898">
        <row r="81">
          <cell r="H81">
            <v>222.566</v>
          </cell>
        </row>
      </sheetData>
      <sheetData sheetId="1899">
        <row r="81">
          <cell r="H81">
            <v>222.566</v>
          </cell>
        </row>
      </sheetData>
      <sheetData sheetId="1900">
        <row r="81">
          <cell r="H81">
            <v>222.566</v>
          </cell>
        </row>
      </sheetData>
      <sheetData sheetId="1901">
        <row r="81">
          <cell r="H81">
            <v>222.566</v>
          </cell>
        </row>
      </sheetData>
      <sheetData sheetId="1902">
        <row r="81">
          <cell r="H81">
            <v>222.566</v>
          </cell>
        </row>
      </sheetData>
      <sheetData sheetId="1903">
        <row r="81">
          <cell r="H81">
            <v>222.566</v>
          </cell>
        </row>
      </sheetData>
      <sheetData sheetId="1904">
        <row r="81">
          <cell r="H81">
            <v>222.566</v>
          </cell>
        </row>
      </sheetData>
      <sheetData sheetId="1905">
        <row r="81">
          <cell r="H81">
            <v>222.566</v>
          </cell>
        </row>
      </sheetData>
      <sheetData sheetId="1906">
        <row r="81">
          <cell r="H81">
            <v>222.566</v>
          </cell>
        </row>
      </sheetData>
      <sheetData sheetId="1907">
        <row r="81">
          <cell r="H81">
            <v>222.566</v>
          </cell>
        </row>
      </sheetData>
      <sheetData sheetId="1908">
        <row r="81">
          <cell r="H81">
            <v>222.566</v>
          </cell>
        </row>
      </sheetData>
      <sheetData sheetId="1909">
        <row r="81">
          <cell r="H81">
            <v>222.566</v>
          </cell>
        </row>
      </sheetData>
      <sheetData sheetId="1910">
        <row r="81">
          <cell r="H81">
            <v>222.566</v>
          </cell>
        </row>
      </sheetData>
      <sheetData sheetId="1911">
        <row r="81">
          <cell r="H81">
            <v>222.566</v>
          </cell>
        </row>
      </sheetData>
      <sheetData sheetId="1912">
        <row r="81">
          <cell r="H81">
            <v>222.566</v>
          </cell>
        </row>
      </sheetData>
      <sheetData sheetId="1913">
        <row r="81">
          <cell r="H81">
            <v>222.566</v>
          </cell>
        </row>
      </sheetData>
      <sheetData sheetId="1914">
        <row r="81">
          <cell r="H81">
            <v>222.566</v>
          </cell>
        </row>
      </sheetData>
      <sheetData sheetId="1915">
        <row r="81">
          <cell r="H81">
            <v>222.566</v>
          </cell>
        </row>
      </sheetData>
      <sheetData sheetId="1916">
        <row r="81">
          <cell r="H81">
            <v>222.566</v>
          </cell>
        </row>
      </sheetData>
      <sheetData sheetId="1917">
        <row r="81">
          <cell r="H81">
            <v>222.566</v>
          </cell>
        </row>
      </sheetData>
      <sheetData sheetId="1918">
        <row r="81">
          <cell r="H81">
            <v>222.566</v>
          </cell>
        </row>
      </sheetData>
      <sheetData sheetId="1919">
        <row r="81">
          <cell r="H81">
            <v>222.566</v>
          </cell>
        </row>
      </sheetData>
      <sheetData sheetId="1920">
        <row r="81">
          <cell r="H81">
            <v>222.566</v>
          </cell>
        </row>
      </sheetData>
      <sheetData sheetId="1921">
        <row r="81">
          <cell r="H81">
            <v>222.566</v>
          </cell>
        </row>
      </sheetData>
      <sheetData sheetId="1922">
        <row r="81">
          <cell r="H81">
            <v>222.566</v>
          </cell>
        </row>
      </sheetData>
      <sheetData sheetId="1923">
        <row r="81">
          <cell r="H81">
            <v>222.566</v>
          </cell>
        </row>
      </sheetData>
      <sheetData sheetId="1924">
        <row r="81">
          <cell r="H81">
            <v>222.566</v>
          </cell>
        </row>
      </sheetData>
      <sheetData sheetId="1925">
        <row r="81">
          <cell r="H81">
            <v>222.566</v>
          </cell>
        </row>
      </sheetData>
      <sheetData sheetId="1926">
        <row r="81">
          <cell r="H81">
            <v>222.566</v>
          </cell>
        </row>
      </sheetData>
      <sheetData sheetId="1927">
        <row r="81">
          <cell r="H81">
            <v>222.566</v>
          </cell>
        </row>
      </sheetData>
      <sheetData sheetId="1928">
        <row r="81">
          <cell r="H81">
            <v>222.566</v>
          </cell>
        </row>
      </sheetData>
      <sheetData sheetId="1929">
        <row r="81">
          <cell r="H81">
            <v>222.566</v>
          </cell>
        </row>
      </sheetData>
      <sheetData sheetId="1930">
        <row r="81">
          <cell r="H81">
            <v>222.566</v>
          </cell>
        </row>
      </sheetData>
      <sheetData sheetId="1931">
        <row r="81">
          <cell r="H81">
            <v>222.566</v>
          </cell>
        </row>
      </sheetData>
      <sheetData sheetId="1932">
        <row r="81">
          <cell r="H81">
            <v>222.566</v>
          </cell>
        </row>
      </sheetData>
      <sheetData sheetId="1933">
        <row r="81">
          <cell r="H81">
            <v>222.566</v>
          </cell>
        </row>
      </sheetData>
      <sheetData sheetId="1934">
        <row r="81">
          <cell r="H81">
            <v>222.566</v>
          </cell>
        </row>
      </sheetData>
      <sheetData sheetId="1935">
        <row r="81">
          <cell r="H81">
            <v>222.566</v>
          </cell>
        </row>
      </sheetData>
      <sheetData sheetId="1936">
        <row r="81">
          <cell r="H81">
            <v>222.566</v>
          </cell>
        </row>
      </sheetData>
      <sheetData sheetId="1937">
        <row r="81">
          <cell r="H81">
            <v>222.566</v>
          </cell>
        </row>
      </sheetData>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ow r="81">
          <cell r="H81">
            <v>222.566</v>
          </cell>
        </row>
      </sheetData>
      <sheetData sheetId="1960">
        <row r="81">
          <cell r="H81">
            <v>222.566</v>
          </cell>
        </row>
      </sheetData>
      <sheetData sheetId="1961">
        <row r="81">
          <cell r="H81">
            <v>222.566</v>
          </cell>
        </row>
      </sheetData>
      <sheetData sheetId="1962" refreshError="1"/>
      <sheetData sheetId="1963" refreshError="1"/>
      <sheetData sheetId="1964">
        <row r="81">
          <cell r="H81">
            <v>222.566</v>
          </cell>
        </row>
      </sheetData>
      <sheetData sheetId="1965">
        <row r="81">
          <cell r="H81">
            <v>222.566</v>
          </cell>
        </row>
      </sheetData>
      <sheetData sheetId="1966">
        <row r="81">
          <cell r="H81">
            <v>222.566</v>
          </cell>
        </row>
      </sheetData>
      <sheetData sheetId="1967">
        <row r="81">
          <cell r="H81">
            <v>222.566</v>
          </cell>
        </row>
      </sheetData>
      <sheetData sheetId="1968">
        <row r="81">
          <cell r="H81">
            <v>222.566</v>
          </cell>
        </row>
      </sheetData>
      <sheetData sheetId="1969">
        <row r="81">
          <cell r="H81">
            <v>222.566</v>
          </cell>
        </row>
      </sheetData>
      <sheetData sheetId="1970">
        <row r="81">
          <cell r="H81">
            <v>222.566</v>
          </cell>
        </row>
      </sheetData>
      <sheetData sheetId="1971">
        <row r="81">
          <cell r="H81">
            <v>222.566</v>
          </cell>
        </row>
      </sheetData>
      <sheetData sheetId="1972">
        <row r="81">
          <cell r="H81">
            <v>222.566</v>
          </cell>
        </row>
      </sheetData>
      <sheetData sheetId="1973">
        <row r="81">
          <cell r="H81">
            <v>222.566</v>
          </cell>
        </row>
      </sheetData>
      <sheetData sheetId="1974">
        <row r="81">
          <cell r="H81">
            <v>222.566</v>
          </cell>
        </row>
      </sheetData>
      <sheetData sheetId="1975">
        <row r="81">
          <cell r="H81">
            <v>222.566</v>
          </cell>
        </row>
      </sheetData>
      <sheetData sheetId="1976">
        <row r="81">
          <cell r="H81">
            <v>222.566</v>
          </cell>
        </row>
      </sheetData>
      <sheetData sheetId="1977">
        <row r="81">
          <cell r="H81">
            <v>222.566</v>
          </cell>
        </row>
      </sheetData>
      <sheetData sheetId="1978">
        <row r="81">
          <cell r="H81">
            <v>222.566</v>
          </cell>
        </row>
      </sheetData>
      <sheetData sheetId="1979">
        <row r="81">
          <cell r="H81">
            <v>222.566</v>
          </cell>
        </row>
      </sheetData>
      <sheetData sheetId="1980">
        <row r="81">
          <cell r="H81">
            <v>222.566</v>
          </cell>
        </row>
      </sheetData>
      <sheetData sheetId="1981">
        <row r="81">
          <cell r="H81">
            <v>222.566</v>
          </cell>
        </row>
      </sheetData>
      <sheetData sheetId="1982">
        <row r="81">
          <cell r="H81">
            <v>222.566</v>
          </cell>
        </row>
      </sheetData>
      <sheetData sheetId="1983">
        <row r="81">
          <cell r="H81">
            <v>222.566</v>
          </cell>
        </row>
      </sheetData>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ow r="81">
          <cell r="H81">
            <v>222.566</v>
          </cell>
        </row>
      </sheetData>
      <sheetData sheetId="1995">
        <row r="81">
          <cell r="H81">
            <v>222.566</v>
          </cell>
        </row>
      </sheetData>
      <sheetData sheetId="1996">
        <row r="81">
          <cell r="H81">
            <v>222.566</v>
          </cell>
        </row>
      </sheetData>
      <sheetData sheetId="1997">
        <row r="81">
          <cell r="H81">
            <v>222.566</v>
          </cell>
        </row>
      </sheetData>
      <sheetData sheetId="1998">
        <row r="81">
          <cell r="H81">
            <v>222.566</v>
          </cell>
        </row>
      </sheetData>
      <sheetData sheetId="1999">
        <row r="81">
          <cell r="H81">
            <v>222.566</v>
          </cell>
        </row>
      </sheetData>
      <sheetData sheetId="2000">
        <row r="81">
          <cell r="H81">
            <v>222.566</v>
          </cell>
        </row>
      </sheetData>
      <sheetData sheetId="2001">
        <row r="81">
          <cell r="H81">
            <v>222.566</v>
          </cell>
        </row>
      </sheetData>
      <sheetData sheetId="2002">
        <row r="81">
          <cell r="H81">
            <v>222.566</v>
          </cell>
        </row>
      </sheetData>
      <sheetData sheetId="2003">
        <row r="81">
          <cell r="H81">
            <v>222.566</v>
          </cell>
        </row>
      </sheetData>
      <sheetData sheetId="2004">
        <row r="81">
          <cell r="H81">
            <v>222.566</v>
          </cell>
        </row>
      </sheetData>
      <sheetData sheetId="2005">
        <row r="81">
          <cell r="H81">
            <v>222.566</v>
          </cell>
        </row>
      </sheetData>
      <sheetData sheetId="2006">
        <row r="81">
          <cell r="H81">
            <v>222.566</v>
          </cell>
        </row>
      </sheetData>
      <sheetData sheetId="2007">
        <row r="81">
          <cell r="H81">
            <v>222.566</v>
          </cell>
        </row>
      </sheetData>
      <sheetData sheetId="2008">
        <row r="81">
          <cell r="H81">
            <v>222.566</v>
          </cell>
        </row>
      </sheetData>
      <sheetData sheetId="2009">
        <row r="81">
          <cell r="H81">
            <v>222.566</v>
          </cell>
        </row>
      </sheetData>
      <sheetData sheetId="2010">
        <row r="81">
          <cell r="H81">
            <v>222.566</v>
          </cell>
        </row>
      </sheetData>
      <sheetData sheetId="2011">
        <row r="81">
          <cell r="H81">
            <v>222.566</v>
          </cell>
        </row>
      </sheetData>
      <sheetData sheetId="2012">
        <row r="81">
          <cell r="H81">
            <v>222.566</v>
          </cell>
        </row>
      </sheetData>
      <sheetData sheetId="2013">
        <row r="81">
          <cell r="H81">
            <v>222.566</v>
          </cell>
        </row>
      </sheetData>
      <sheetData sheetId="2014">
        <row r="81">
          <cell r="H81">
            <v>222.566</v>
          </cell>
        </row>
      </sheetData>
      <sheetData sheetId="2015">
        <row r="81">
          <cell r="H81">
            <v>222.566</v>
          </cell>
        </row>
      </sheetData>
      <sheetData sheetId="2016">
        <row r="81">
          <cell r="H81">
            <v>222.566</v>
          </cell>
        </row>
      </sheetData>
      <sheetData sheetId="2017">
        <row r="81">
          <cell r="H81">
            <v>222.566</v>
          </cell>
        </row>
      </sheetData>
      <sheetData sheetId="2018">
        <row r="81">
          <cell r="H81">
            <v>222.566</v>
          </cell>
        </row>
      </sheetData>
      <sheetData sheetId="2019">
        <row r="81">
          <cell r="H81">
            <v>222.566</v>
          </cell>
        </row>
      </sheetData>
      <sheetData sheetId="2020">
        <row r="81">
          <cell r="H81">
            <v>222.566</v>
          </cell>
        </row>
      </sheetData>
      <sheetData sheetId="2021">
        <row r="81">
          <cell r="H81">
            <v>222.566</v>
          </cell>
        </row>
      </sheetData>
      <sheetData sheetId="2022">
        <row r="81">
          <cell r="H81">
            <v>222.566</v>
          </cell>
        </row>
      </sheetData>
      <sheetData sheetId="2023">
        <row r="81">
          <cell r="H81">
            <v>222.566</v>
          </cell>
        </row>
      </sheetData>
      <sheetData sheetId="2024">
        <row r="81">
          <cell r="H81">
            <v>222.566</v>
          </cell>
        </row>
      </sheetData>
      <sheetData sheetId="2025">
        <row r="81">
          <cell r="H81">
            <v>222.566</v>
          </cell>
        </row>
      </sheetData>
      <sheetData sheetId="2026">
        <row r="81">
          <cell r="H81">
            <v>222.566</v>
          </cell>
        </row>
      </sheetData>
      <sheetData sheetId="2027">
        <row r="81">
          <cell r="H81">
            <v>222.566</v>
          </cell>
        </row>
      </sheetData>
      <sheetData sheetId="2028">
        <row r="81">
          <cell r="H81">
            <v>222.566</v>
          </cell>
        </row>
      </sheetData>
      <sheetData sheetId="2029">
        <row r="81">
          <cell r="H81">
            <v>222.566</v>
          </cell>
        </row>
      </sheetData>
      <sheetData sheetId="2030">
        <row r="81">
          <cell r="H81">
            <v>222.566</v>
          </cell>
        </row>
      </sheetData>
      <sheetData sheetId="2031">
        <row r="81">
          <cell r="H81">
            <v>222.566</v>
          </cell>
        </row>
      </sheetData>
      <sheetData sheetId="2032">
        <row r="81">
          <cell r="H81">
            <v>222.566</v>
          </cell>
        </row>
      </sheetData>
      <sheetData sheetId="2033">
        <row r="81">
          <cell r="H81">
            <v>222.566</v>
          </cell>
        </row>
      </sheetData>
      <sheetData sheetId="2034">
        <row r="81">
          <cell r="H81">
            <v>222.566</v>
          </cell>
        </row>
      </sheetData>
      <sheetData sheetId="2035">
        <row r="81">
          <cell r="H81">
            <v>222.566</v>
          </cell>
        </row>
      </sheetData>
      <sheetData sheetId="2036">
        <row r="81">
          <cell r="H81">
            <v>222.566</v>
          </cell>
        </row>
      </sheetData>
      <sheetData sheetId="2037">
        <row r="81">
          <cell r="H81">
            <v>222.566</v>
          </cell>
        </row>
      </sheetData>
      <sheetData sheetId="2038">
        <row r="81">
          <cell r="H81">
            <v>222.566</v>
          </cell>
        </row>
      </sheetData>
      <sheetData sheetId="2039">
        <row r="81">
          <cell r="H81">
            <v>222.566</v>
          </cell>
        </row>
      </sheetData>
      <sheetData sheetId="2040">
        <row r="81">
          <cell r="H81">
            <v>222.566</v>
          </cell>
        </row>
      </sheetData>
      <sheetData sheetId="2041">
        <row r="81">
          <cell r="H81">
            <v>222.566</v>
          </cell>
        </row>
      </sheetData>
      <sheetData sheetId="2042">
        <row r="81">
          <cell r="H81">
            <v>222.566</v>
          </cell>
        </row>
      </sheetData>
      <sheetData sheetId="2043">
        <row r="81">
          <cell r="H81">
            <v>222.566</v>
          </cell>
        </row>
      </sheetData>
      <sheetData sheetId="2044">
        <row r="81">
          <cell r="H81">
            <v>222.566</v>
          </cell>
        </row>
      </sheetData>
      <sheetData sheetId="2045">
        <row r="81">
          <cell r="H81">
            <v>222.566</v>
          </cell>
        </row>
      </sheetData>
      <sheetData sheetId="2046">
        <row r="81">
          <cell r="H81">
            <v>222.566</v>
          </cell>
        </row>
      </sheetData>
      <sheetData sheetId="2047">
        <row r="81">
          <cell r="H81">
            <v>222.566</v>
          </cell>
        </row>
      </sheetData>
      <sheetData sheetId="2048">
        <row r="81">
          <cell r="H81">
            <v>222.566</v>
          </cell>
        </row>
      </sheetData>
      <sheetData sheetId="2049">
        <row r="81">
          <cell r="H81">
            <v>222.566</v>
          </cell>
        </row>
      </sheetData>
      <sheetData sheetId="2050">
        <row r="81">
          <cell r="H81">
            <v>222.566</v>
          </cell>
        </row>
      </sheetData>
      <sheetData sheetId="2051">
        <row r="81">
          <cell r="H81">
            <v>222.566</v>
          </cell>
        </row>
      </sheetData>
      <sheetData sheetId="2052">
        <row r="81">
          <cell r="H81">
            <v>222.566</v>
          </cell>
        </row>
      </sheetData>
      <sheetData sheetId="2053">
        <row r="81">
          <cell r="H81">
            <v>222.566</v>
          </cell>
        </row>
      </sheetData>
      <sheetData sheetId="2054">
        <row r="81">
          <cell r="H81">
            <v>222.566</v>
          </cell>
        </row>
      </sheetData>
      <sheetData sheetId="2055">
        <row r="81">
          <cell r="H81">
            <v>222.566</v>
          </cell>
        </row>
      </sheetData>
      <sheetData sheetId="2056">
        <row r="81">
          <cell r="H81">
            <v>222.566</v>
          </cell>
        </row>
      </sheetData>
      <sheetData sheetId="2057">
        <row r="81">
          <cell r="H81">
            <v>222.566</v>
          </cell>
        </row>
      </sheetData>
      <sheetData sheetId="2058">
        <row r="81">
          <cell r="H81">
            <v>222.566</v>
          </cell>
        </row>
      </sheetData>
      <sheetData sheetId="2059">
        <row r="81">
          <cell r="H81">
            <v>222.566</v>
          </cell>
        </row>
      </sheetData>
      <sheetData sheetId="2060">
        <row r="81">
          <cell r="H81">
            <v>222.566</v>
          </cell>
        </row>
      </sheetData>
      <sheetData sheetId="2061">
        <row r="81">
          <cell r="H81">
            <v>222.566</v>
          </cell>
        </row>
      </sheetData>
      <sheetData sheetId="2062">
        <row r="81">
          <cell r="H81">
            <v>222.566</v>
          </cell>
        </row>
      </sheetData>
      <sheetData sheetId="2063">
        <row r="81">
          <cell r="H81">
            <v>222.566</v>
          </cell>
        </row>
      </sheetData>
      <sheetData sheetId="2064">
        <row r="81">
          <cell r="H81">
            <v>222.566</v>
          </cell>
        </row>
      </sheetData>
      <sheetData sheetId="2065">
        <row r="81">
          <cell r="H81">
            <v>222.566</v>
          </cell>
        </row>
      </sheetData>
      <sheetData sheetId="2066">
        <row r="81">
          <cell r="H81">
            <v>222.566</v>
          </cell>
        </row>
      </sheetData>
      <sheetData sheetId="2067">
        <row r="81">
          <cell r="H81">
            <v>222.566</v>
          </cell>
        </row>
      </sheetData>
      <sheetData sheetId="2068">
        <row r="81">
          <cell r="H81">
            <v>222.566</v>
          </cell>
        </row>
      </sheetData>
      <sheetData sheetId="2069">
        <row r="81">
          <cell r="H81">
            <v>222.566</v>
          </cell>
        </row>
      </sheetData>
      <sheetData sheetId="2070">
        <row r="81">
          <cell r="H81">
            <v>222.566</v>
          </cell>
        </row>
      </sheetData>
      <sheetData sheetId="2071">
        <row r="81">
          <cell r="H81">
            <v>222.566</v>
          </cell>
        </row>
      </sheetData>
      <sheetData sheetId="2072">
        <row r="81">
          <cell r="H81">
            <v>222.566</v>
          </cell>
        </row>
      </sheetData>
      <sheetData sheetId="2073">
        <row r="81">
          <cell r="H81">
            <v>222.566</v>
          </cell>
        </row>
      </sheetData>
      <sheetData sheetId="2074">
        <row r="81">
          <cell r="H81">
            <v>222.566</v>
          </cell>
        </row>
      </sheetData>
      <sheetData sheetId="2075">
        <row r="81">
          <cell r="H81">
            <v>222.566</v>
          </cell>
        </row>
      </sheetData>
      <sheetData sheetId="2076">
        <row r="81">
          <cell r="H81">
            <v>222.566</v>
          </cell>
        </row>
      </sheetData>
      <sheetData sheetId="2077">
        <row r="81">
          <cell r="H81">
            <v>222.566</v>
          </cell>
        </row>
      </sheetData>
      <sheetData sheetId="2078">
        <row r="81">
          <cell r="H81">
            <v>222.566</v>
          </cell>
        </row>
      </sheetData>
      <sheetData sheetId="2079">
        <row r="81">
          <cell r="H81">
            <v>222.566</v>
          </cell>
        </row>
      </sheetData>
      <sheetData sheetId="2080">
        <row r="81">
          <cell r="H81">
            <v>222.566</v>
          </cell>
        </row>
      </sheetData>
      <sheetData sheetId="2081">
        <row r="81">
          <cell r="H81">
            <v>222.566</v>
          </cell>
        </row>
      </sheetData>
      <sheetData sheetId="2082">
        <row r="81">
          <cell r="H81">
            <v>222.566</v>
          </cell>
        </row>
      </sheetData>
      <sheetData sheetId="2083">
        <row r="81">
          <cell r="H81">
            <v>222.566</v>
          </cell>
        </row>
      </sheetData>
      <sheetData sheetId="2084">
        <row r="81">
          <cell r="H81">
            <v>222.566</v>
          </cell>
        </row>
      </sheetData>
      <sheetData sheetId="2085">
        <row r="81">
          <cell r="H81">
            <v>222.566</v>
          </cell>
        </row>
      </sheetData>
      <sheetData sheetId="2086">
        <row r="81">
          <cell r="H81">
            <v>222.566</v>
          </cell>
        </row>
      </sheetData>
      <sheetData sheetId="2087">
        <row r="81">
          <cell r="H81">
            <v>222.566</v>
          </cell>
        </row>
      </sheetData>
      <sheetData sheetId="2088">
        <row r="81">
          <cell r="H81">
            <v>222.566</v>
          </cell>
        </row>
      </sheetData>
      <sheetData sheetId="2089">
        <row r="81">
          <cell r="H81">
            <v>222.566</v>
          </cell>
        </row>
      </sheetData>
      <sheetData sheetId="2090">
        <row r="81">
          <cell r="H81">
            <v>222.566</v>
          </cell>
        </row>
      </sheetData>
      <sheetData sheetId="2091">
        <row r="81">
          <cell r="H81">
            <v>222.566</v>
          </cell>
        </row>
      </sheetData>
      <sheetData sheetId="2092">
        <row r="81">
          <cell r="H81">
            <v>222.566</v>
          </cell>
        </row>
      </sheetData>
      <sheetData sheetId="2093">
        <row r="81">
          <cell r="H81">
            <v>222.566</v>
          </cell>
        </row>
      </sheetData>
      <sheetData sheetId="2094">
        <row r="81">
          <cell r="H81">
            <v>222.566</v>
          </cell>
        </row>
      </sheetData>
      <sheetData sheetId="2095">
        <row r="81">
          <cell r="H81">
            <v>222.566</v>
          </cell>
        </row>
      </sheetData>
      <sheetData sheetId="2096">
        <row r="81">
          <cell r="H81">
            <v>222.566</v>
          </cell>
        </row>
      </sheetData>
      <sheetData sheetId="2097">
        <row r="81">
          <cell r="H81">
            <v>222.566</v>
          </cell>
        </row>
      </sheetData>
      <sheetData sheetId="2098">
        <row r="81">
          <cell r="H81">
            <v>222.566</v>
          </cell>
        </row>
      </sheetData>
      <sheetData sheetId="2099">
        <row r="81">
          <cell r="H81">
            <v>222.566</v>
          </cell>
        </row>
      </sheetData>
      <sheetData sheetId="2100">
        <row r="81">
          <cell r="H81">
            <v>222.566</v>
          </cell>
        </row>
      </sheetData>
      <sheetData sheetId="2101">
        <row r="81">
          <cell r="H81">
            <v>222.566</v>
          </cell>
        </row>
      </sheetData>
      <sheetData sheetId="2102">
        <row r="81">
          <cell r="H81">
            <v>222.566</v>
          </cell>
        </row>
      </sheetData>
      <sheetData sheetId="2103">
        <row r="81">
          <cell r="H81">
            <v>222.566</v>
          </cell>
        </row>
      </sheetData>
      <sheetData sheetId="2104">
        <row r="81">
          <cell r="H81">
            <v>222.566</v>
          </cell>
        </row>
      </sheetData>
      <sheetData sheetId="2105">
        <row r="81">
          <cell r="H81">
            <v>222.566</v>
          </cell>
        </row>
      </sheetData>
      <sheetData sheetId="2106">
        <row r="81">
          <cell r="H81">
            <v>222.566</v>
          </cell>
        </row>
      </sheetData>
      <sheetData sheetId="2107">
        <row r="81">
          <cell r="H81">
            <v>222.566</v>
          </cell>
        </row>
      </sheetData>
      <sheetData sheetId="2108">
        <row r="81">
          <cell r="H81">
            <v>222.566</v>
          </cell>
        </row>
      </sheetData>
      <sheetData sheetId="2109">
        <row r="81">
          <cell r="H81">
            <v>222.566</v>
          </cell>
        </row>
      </sheetData>
      <sheetData sheetId="2110">
        <row r="81">
          <cell r="H81">
            <v>222.566</v>
          </cell>
        </row>
      </sheetData>
      <sheetData sheetId="2111">
        <row r="81">
          <cell r="H81">
            <v>222.566</v>
          </cell>
        </row>
      </sheetData>
      <sheetData sheetId="2112">
        <row r="81">
          <cell r="H81">
            <v>222.566</v>
          </cell>
        </row>
      </sheetData>
      <sheetData sheetId="2113">
        <row r="81">
          <cell r="H81">
            <v>222.566</v>
          </cell>
        </row>
      </sheetData>
      <sheetData sheetId="2114">
        <row r="81">
          <cell r="H81">
            <v>222.566</v>
          </cell>
        </row>
      </sheetData>
      <sheetData sheetId="2115">
        <row r="81">
          <cell r="H81">
            <v>222.566</v>
          </cell>
        </row>
      </sheetData>
      <sheetData sheetId="2116">
        <row r="81">
          <cell r="H81">
            <v>222.566</v>
          </cell>
        </row>
      </sheetData>
      <sheetData sheetId="2117">
        <row r="81">
          <cell r="H81">
            <v>222.566</v>
          </cell>
        </row>
      </sheetData>
      <sheetData sheetId="2118">
        <row r="81">
          <cell r="H81">
            <v>222.566</v>
          </cell>
        </row>
      </sheetData>
      <sheetData sheetId="2119">
        <row r="81">
          <cell r="H81">
            <v>222.566</v>
          </cell>
        </row>
      </sheetData>
      <sheetData sheetId="2120">
        <row r="81">
          <cell r="H81">
            <v>222.566</v>
          </cell>
        </row>
      </sheetData>
      <sheetData sheetId="2121">
        <row r="81">
          <cell r="H81">
            <v>222.566</v>
          </cell>
        </row>
      </sheetData>
      <sheetData sheetId="2122">
        <row r="81">
          <cell r="H81">
            <v>222.566</v>
          </cell>
        </row>
      </sheetData>
      <sheetData sheetId="2123">
        <row r="81">
          <cell r="H81">
            <v>222.566</v>
          </cell>
        </row>
      </sheetData>
      <sheetData sheetId="2124">
        <row r="81">
          <cell r="H81">
            <v>222.566</v>
          </cell>
        </row>
      </sheetData>
      <sheetData sheetId="2125">
        <row r="81">
          <cell r="H81">
            <v>222.566</v>
          </cell>
        </row>
      </sheetData>
      <sheetData sheetId="2126">
        <row r="81">
          <cell r="H81">
            <v>222.566</v>
          </cell>
        </row>
      </sheetData>
      <sheetData sheetId="2127">
        <row r="81">
          <cell r="H81">
            <v>222.566</v>
          </cell>
        </row>
      </sheetData>
      <sheetData sheetId="2128">
        <row r="81">
          <cell r="H81">
            <v>222.566</v>
          </cell>
        </row>
      </sheetData>
      <sheetData sheetId="2129">
        <row r="81">
          <cell r="H81">
            <v>222.566</v>
          </cell>
        </row>
      </sheetData>
      <sheetData sheetId="2130">
        <row r="81">
          <cell r="H81">
            <v>222.566</v>
          </cell>
        </row>
      </sheetData>
      <sheetData sheetId="2131">
        <row r="81">
          <cell r="H81">
            <v>222.566</v>
          </cell>
        </row>
      </sheetData>
      <sheetData sheetId="2132">
        <row r="81">
          <cell r="H81">
            <v>222.566</v>
          </cell>
        </row>
      </sheetData>
      <sheetData sheetId="2133">
        <row r="81">
          <cell r="H81">
            <v>222.566</v>
          </cell>
        </row>
      </sheetData>
      <sheetData sheetId="2134">
        <row r="81">
          <cell r="H81">
            <v>222.566</v>
          </cell>
        </row>
      </sheetData>
      <sheetData sheetId="2135">
        <row r="81">
          <cell r="H81">
            <v>222.566</v>
          </cell>
        </row>
      </sheetData>
      <sheetData sheetId="2136">
        <row r="81">
          <cell r="H81">
            <v>222.566</v>
          </cell>
        </row>
      </sheetData>
      <sheetData sheetId="2137">
        <row r="81">
          <cell r="H81">
            <v>222.566</v>
          </cell>
        </row>
      </sheetData>
      <sheetData sheetId="2138">
        <row r="81">
          <cell r="H81">
            <v>222.566</v>
          </cell>
        </row>
      </sheetData>
      <sheetData sheetId="2139">
        <row r="81">
          <cell r="H81">
            <v>222.566</v>
          </cell>
        </row>
      </sheetData>
      <sheetData sheetId="2140">
        <row r="81">
          <cell r="H81">
            <v>222.566</v>
          </cell>
        </row>
      </sheetData>
      <sheetData sheetId="2141">
        <row r="81">
          <cell r="H81">
            <v>222.566</v>
          </cell>
        </row>
      </sheetData>
      <sheetData sheetId="2142">
        <row r="81">
          <cell r="H81">
            <v>222.566</v>
          </cell>
        </row>
      </sheetData>
      <sheetData sheetId="2143">
        <row r="81">
          <cell r="H81">
            <v>222.566</v>
          </cell>
        </row>
      </sheetData>
      <sheetData sheetId="2144">
        <row r="81">
          <cell r="H81">
            <v>222.566</v>
          </cell>
        </row>
      </sheetData>
      <sheetData sheetId="2145">
        <row r="81">
          <cell r="H81">
            <v>222.566</v>
          </cell>
        </row>
      </sheetData>
      <sheetData sheetId="2146">
        <row r="81">
          <cell r="H81">
            <v>222.566</v>
          </cell>
        </row>
      </sheetData>
      <sheetData sheetId="2147">
        <row r="81">
          <cell r="H81">
            <v>222.566</v>
          </cell>
        </row>
      </sheetData>
      <sheetData sheetId="2148">
        <row r="81">
          <cell r="H81">
            <v>222.566</v>
          </cell>
        </row>
      </sheetData>
      <sheetData sheetId="2149">
        <row r="81">
          <cell r="H81">
            <v>222.566</v>
          </cell>
        </row>
      </sheetData>
      <sheetData sheetId="2150">
        <row r="81">
          <cell r="H81">
            <v>222.566</v>
          </cell>
        </row>
      </sheetData>
      <sheetData sheetId="2151">
        <row r="81">
          <cell r="H81">
            <v>222.566</v>
          </cell>
        </row>
      </sheetData>
      <sheetData sheetId="2152">
        <row r="81">
          <cell r="H81">
            <v>222.566</v>
          </cell>
        </row>
      </sheetData>
      <sheetData sheetId="2153">
        <row r="81">
          <cell r="H81">
            <v>222.566</v>
          </cell>
        </row>
      </sheetData>
      <sheetData sheetId="2154">
        <row r="81">
          <cell r="H81">
            <v>222.566</v>
          </cell>
        </row>
      </sheetData>
      <sheetData sheetId="2155">
        <row r="81">
          <cell r="H81">
            <v>222.566</v>
          </cell>
        </row>
      </sheetData>
      <sheetData sheetId="2156">
        <row r="81">
          <cell r="H81">
            <v>222.566</v>
          </cell>
        </row>
      </sheetData>
      <sheetData sheetId="2157">
        <row r="81">
          <cell r="H81">
            <v>222.566</v>
          </cell>
        </row>
      </sheetData>
      <sheetData sheetId="2158">
        <row r="81">
          <cell r="H81">
            <v>222.566</v>
          </cell>
        </row>
      </sheetData>
      <sheetData sheetId="2159">
        <row r="81">
          <cell r="H81">
            <v>222.566</v>
          </cell>
        </row>
      </sheetData>
      <sheetData sheetId="2160">
        <row r="81">
          <cell r="H81">
            <v>222.566</v>
          </cell>
        </row>
      </sheetData>
      <sheetData sheetId="2161">
        <row r="81">
          <cell r="H81">
            <v>222.566</v>
          </cell>
        </row>
      </sheetData>
      <sheetData sheetId="2162">
        <row r="81">
          <cell r="H81">
            <v>222.566</v>
          </cell>
        </row>
      </sheetData>
      <sheetData sheetId="2163">
        <row r="81">
          <cell r="H81">
            <v>222.566</v>
          </cell>
        </row>
      </sheetData>
      <sheetData sheetId="2164">
        <row r="81">
          <cell r="H81">
            <v>222.566</v>
          </cell>
        </row>
      </sheetData>
      <sheetData sheetId="2165">
        <row r="81">
          <cell r="H81">
            <v>222.566</v>
          </cell>
        </row>
      </sheetData>
      <sheetData sheetId="2166">
        <row r="81">
          <cell r="H81">
            <v>222.566</v>
          </cell>
        </row>
      </sheetData>
      <sheetData sheetId="2167">
        <row r="81">
          <cell r="H81">
            <v>222.566</v>
          </cell>
        </row>
      </sheetData>
      <sheetData sheetId="2168">
        <row r="81">
          <cell r="H81">
            <v>222.566</v>
          </cell>
        </row>
      </sheetData>
      <sheetData sheetId="2169">
        <row r="81">
          <cell r="H81">
            <v>222.566</v>
          </cell>
        </row>
      </sheetData>
      <sheetData sheetId="2170">
        <row r="81">
          <cell r="H81">
            <v>222.566</v>
          </cell>
        </row>
      </sheetData>
      <sheetData sheetId="2171">
        <row r="81">
          <cell r="H81">
            <v>222.566</v>
          </cell>
        </row>
      </sheetData>
      <sheetData sheetId="2172">
        <row r="81">
          <cell r="H81">
            <v>222.566</v>
          </cell>
        </row>
      </sheetData>
      <sheetData sheetId="2173">
        <row r="81">
          <cell r="H81">
            <v>222.566</v>
          </cell>
        </row>
      </sheetData>
      <sheetData sheetId="2174">
        <row r="81">
          <cell r="H81">
            <v>222.566</v>
          </cell>
        </row>
      </sheetData>
      <sheetData sheetId="2175">
        <row r="81">
          <cell r="H81">
            <v>222.566</v>
          </cell>
        </row>
      </sheetData>
      <sheetData sheetId="2176">
        <row r="81">
          <cell r="H81">
            <v>222.566</v>
          </cell>
        </row>
      </sheetData>
      <sheetData sheetId="2177">
        <row r="81">
          <cell r="H81">
            <v>222.566</v>
          </cell>
        </row>
      </sheetData>
      <sheetData sheetId="2178">
        <row r="81">
          <cell r="H81">
            <v>222.566</v>
          </cell>
        </row>
      </sheetData>
      <sheetData sheetId="2179">
        <row r="81">
          <cell r="H81">
            <v>222.566</v>
          </cell>
        </row>
      </sheetData>
      <sheetData sheetId="2180">
        <row r="81">
          <cell r="H81">
            <v>222.566</v>
          </cell>
        </row>
      </sheetData>
      <sheetData sheetId="2181">
        <row r="81">
          <cell r="H81">
            <v>222.566</v>
          </cell>
        </row>
      </sheetData>
      <sheetData sheetId="2182">
        <row r="81">
          <cell r="H81">
            <v>222.566</v>
          </cell>
        </row>
      </sheetData>
      <sheetData sheetId="2183">
        <row r="81">
          <cell r="H81">
            <v>222.566</v>
          </cell>
        </row>
      </sheetData>
      <sheetData sheetId="2184">
        <row r="81">
          <cell r="H81">
            <v>222.566</v>
          </cell>
        </row>
      </sheetData>
      <sheetData sheetId="2185">
        <row r="81">
          <cell r="H81">
            <v>222.566</v>
          </cell>
        </row>
      </sheetData>
      <sheetData sheetId="2186">
        <row r="81">
          <cell r="H81">
            <v>222.566</v>
          </cell>
        </row>
      </sheetData>
      <sheetData sheetId="2187">
        <row r="81">
          <cell r="H81">
            <v>222.566</v>
          </cell>
        </row>
      </sheetData>
      <sheetData sheetId="2188">
        <row r="81">
          <cell r="H81">
            <v>222.566</v>
          </cell>
        </row>
      </sheetData>
      <sheetData sheetId="2189">
        <row r="81">
          <cell r="H81">
            <v>222.566</v>
          </cell>
        </row>
      </sheetData>
      <sheetData sheetId="2190">
        <row r="81">
          <cell r="H81">
            <v>222.566</v>
          </cell>
        </row>
      </sheetData>
      <sheetData sheetId="2191">
        <row r="81">
          <cell r="H81">
            <v>222.566</v>
          </cell>
        </row>
      </sheetData>
      <sheetData sheetId="2192">
        <row r="81">
          <cell r="H81">
            <v>222.566</v>
          </cell>
        </row>
      </sheetData>
      <sheetData sheetId="2193">
        <row r="81">
          <cell r="H81">
            <v>222.566</v>
          </cell>
        </row>
      </sheetData>
      <sheetData sheetId="2194">
        <row r="81">
          <cell r="H81">
            <v>222.566</v>
          </cell>
        </row>
      </sheetData>
      <sheetData sheetId="2195">
        <row r="81">
          <cell r="H81">
            <v>222.566</v>
          </cell>
        </row>
      </sheetData>
      <sheetData sheetId="2196">
        <row r="81">
          <cell r="H81">
            <v>222.566</v>
          </cell>
        </row>
      </sheetData>
      <sheetData sheetId="2197">
        <row r="81">
          <cell r="H81">
            <v>222.566</v>
          </cell>
        </row>
      </sheetData>
      <sheetData sheetId="2198">
        <row r="81">
          <cell r="H81">
            <v>222.566</v>
          </cell>
        </row>
      </sheetData>
      <sheetData sheetId="2199">
        <row r="81">
          <cell r="H81">
            <v>222.566</v>
          </cell>
        </row>
      </sheetData>
      <sheetData sheetId="2200">
        <row r="81">
          <cell r="H81">
            <v>222.566</v>
          </cell>
        </row>
      </sheetData>
      <sheetData sheetId="2201">
        <row r="81">
          <cell r="H81">
            <v>222.566</v>
          </cell>
        </row>
      </sheetData>
      <sheetData sheetId="2202">
        <row r="81">
          <cell r="H81">
            <v>222.566</v>
          </cell>
        </row>
      </sheetData>
      <sheetData sheetId="2203">
        <row r="81">
          <cell r="H81">
            <v>222.566</v>
          </cell>
        </row>
      </sheetData>
      <sheetData sheetId="2204">
        <row r="81">
          <cell r="H81">
            <v>222.566</v>
          </cell>
        </row>
      </sheetData>
      <sheetData sheetId="2205">
        <row r="81">
          <cell r="H81">
            <v>222.566</v>
          </cell>
        </row>
      </sheetData>
      <sheetData sheetId="2206">
        <row r="81">
          <cell r="H81">
            <v>222.566</v>
          </cell>
        </row>
      </sheetData>
      <sheetData sheetId="2207">
        <row r="81">
          <cell r="H81">
            <v>222.566</v>
          </cell>
        </row>
      </sheetData>
      <sheetData sheetId="2208">
        <row r="81">
          <cell r="H81">
            <v>222.566</v>
          </cell>
        </row>
      </sheetData>
      <sheetData sheetId="2209">
        <row r="81">
          <cell r="H81">
            <v>222.566</v>
          </cell>
        </row>
      </sheetData>
      <sheetData sheetId="2210">
        <row r="81">
          <cell r="H81">
            <v>222.566</v>
          </cell>
        </row>
      </sheetData>
      <sheetData sheetId="2211">
        <row r="81">
          <cell r="H81">
            <v>222.566</v>
          </cell>
        </row>
      </sheetData>
      <sheetData sheetId="2212">
        <row r="81">
          <cell r="H81">
            <v>222.566</v>
          </cell>
        </row>
      </sheetData>
      <sheetData sheetId="2213">
        <row r="81">
          <cell r="H81">
            <v>222.566</v>
          </cell>
        </row>
      </sheetData>
      <sheetData sheetId="2214">
        <row r="81">
          <cell r="H81">
            <v>222.566</v>
          </cell>
        </row>
      </sheetData>
      <sheetData sheetId="2215">
        <row r="81">
          <cell r="H81">
            <v>222.566</v>
          </cell>
        </row>
      </sheetData>
      <sheetData sheetId="2216">
        <row r="81">
          <cell r="H81">
            <v>222.566</v>
          </cell>
        </row>
      </sheetData>
      <sheetData sheetId="2217">
        <row r="81">
          <cell r="H81">
            <v>222.566</v>
          </cell>
        </row>
      </sheetData>
      <sheetData sheetId="2218">
        <row r="81">
          <cell r="H81">
            <v>222.566</v>
          </cell>
        </row>
      </sheetData>
      <sheetData sheetId="2219">
        <row r="81">
          <cell r="H81">
            <v>222.566</v>
          </cell>
        </row>
      </sheetData>
      <sheetData sheetId="2220">
        <row r="81">
          <cell r="H81">
            <v>222.566</v>
          </cell>
        </row>
      </sheetData>
      <sheetData sheetId="2221">
        <row r="81">
          <cell r="H81">
            <v>222.566</v>
          </cell>
        </row>
      </sheetData>
      <sheetData sheetId="2222">
        <row r="81">
          <cell r="H81">
            <v>222.566</v>
          </cell>
        </row>
      </sheetData>
      <sheetData sheetId="2223">
        <row r="81">
          <cell r="H81">
            <v>222.566</v>
          </cell>
        </row>
      </sheetData>
      <sheetData sheetId="2224">
        <row r="81">
          <cell r="H81">
            <v>222.566</v>
          </cell>
        </row>
      </sheetData>
      <sheetData sheetId="2225">
        <row r="81">
          <cell r="H81">
            <v>222.566</v>
          </cell>
        </row>
      </sheetData>
      <sheetData sheetId="2226">
        <row r="81">
          <cell r="H81">
            <v>222.566</v>
          </cell>
        </row>
      </sheetData>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ow r="81">
          <cell r="H81">
            <v>222.566</v>
          </cell>
        </row>
      </sheetData>
      <sheetData sheetId="2280">
        <row r="81">
          <cell r="H81">
            <v>222.566</v>
          </cell>
        </row>
      </sheetData>
      <sheetData sheetId="2281">
        <row r="81">
          <cell r="H81">
            <v>222.566</v>
          </cell>
        </row>
      </sheetData>
      <sheetData sheetId="2282">
        <row r="81">
          <cell r="H81">
            <v>222.566</v>
          </cell>
        </row>
      </sheetData>
      <sheetData sheetId="2283">
        <row r="81">
          <cell r="H81">
            <v>222.566</v>
          </cell>
        </row>
      </sheetData>
      <sheetData sheetId="2284">
        <row r="81">
          <cell r="H81">
            <v>222.566</v>
          </cell>
        </row>
      </sheetData>
      <sheetData sheetId="2285">
        <row r="81">
          <cell r="H81">
            <v>222.566</v>
          </cell>
        </row>
      </sheetData>
      <sheetData sheetId="2286">
        <row r="81">
          <cell r="H81">
            <v>222.566</v>
          </cell>
        </row>
      </sheetData>
      <sheetData sheetId="2287">
        <row r="81">
          <cell r="H81">
            <v>222.566</v>
          </cell>
        </row>
      </sheetData>
      <sheetData sheetId="2288">
        <row r="81">
          <cell r="H81">
            <v>222.566</v>
          </cell>
        </row>
      </sheetData>
      <sheetData sheetId="2289">
        <row r="81">
          <cell r="H81">
            <v>222.566</v>
          </cell>
        </row>
      </sheetData>
      <sheetData sheetId="2290">
        <row r="81">
          <cell r="H81">
            <v>222.566</v>
          </cell>
        </row>
      </sheetData>
      <sheetData sheetId="2291">
        <row r="81">
          <cell r="H81">
            <v>222.566</v>
          </cell>
        </row>
      </sheetData>
      <sheetData sheetId="2292">
        <row r="81">
          <cell r="H81">
            <v>222.566</v>
          </cell>
        </row>
      </sheetData>
      <sheetData sheetId="2293">
        <row r="81">
          <cell r="H81">
            <v>222.566</v>
          </cell>
        </row>
      </sheetData>
      <sheetData sheetId="2294">
        <row r="81">
          <cell r="H81">
            <v>222.566</v>
          </cell>
        </row>
      </sheetData>
      <sheetData sheetId="2295">
        <row r="81">
          <cell r="H81">
            <v>222.566</v>
          </cell>
        </row>
      </sheetData>
      <sheetData sheetId="2296">
        <row r="81">
          <cell r="H81">
            <v>222.566</v>
          </cell>
        </row>
      </sheetData>
      <sheetData sheetId="2297">
        <row r="81">
          <cell r="H81">
            <v>222.566</v>
          </cell>
        </row>
      </sheetData>
      <sheetData sheetId="2298">
        <row r="81">
          <cell r="H81">
            <v>222.566</v>
          </cell>
        </row>
      </sheetData>
      <sheetData sheetId="2299">
        <row r="81">
          <cell r="H81">
            <v>222.566</v>
          </cell>
        </row>
      </sheetData>
      <sheetData sheetId="2300">
        <row r="81">
          <cell r="H81">
            <v>222.566</v>
          </cell>
        </row>
      </sheetData>
      <sheetData sheetId="2301">
        <row r="81">
          <cell r="H81">
            <v>222.566</v>
          </cell>
        </row>
      </sheetData>
      <sheetData sheetId="2302">
        <row r="81">
          <cell r="H81">
            <v>222.566</v>
          </cell>
        </row>
      </sheetData>
      <sheetData sheetId="2303">
        <row r="81">
          <cell r="H81">
            <v>222.566</v>
          </cell>
        </row>
      </sheetData>
      <sheetData sheetId="2304">
        <row r="81">
          <cell r="H81">
            <v>222.566</v>
          </cell>
        </row>
      </sheetData>
      <sheetData sheetId="2305">
        <row r="81">
          <cell r="H81">
            <v>222.566</v>
          </cell>
        </row>
      </sheetData>
      <sheetData sheetId="2306">
        <row r="81">
          <cell r="H81">
            <v>222.566</v>
          </cell>
        </row>
      </sheetData>
      <sheetData sheetId="2307">
        <row r="81">
          <cell r="H81">
            <v>222.566</v>
          </cell>
        </row>
      </sheetData>
      <sheetData sheetId="2308">
        <row r="81">
          <cell r="H81">
            <v>222.566</v>
          </cell>
        </row>
      </sheetData>
      <sheetData sheetId="2309">
        <row r="81">
          <cell r="H81">
            <v>222.566</v>
          </cell>
        </row>
      </sheetData>
      <sheetData sheetId="2310">
        <row r="81">
          <cell r="H81">
            <v>222.566</v>
          </cell>
        </row>
      </sheetData>
      <sheetData sheetId="2311">
        <row r="81">
          <cell r="H81">
            <v>222.566</v>
          </cell>
        </row>
      </sheetData>
      <sheetData sheetId="2312">
        <row r="81">
          <cell r="H81">
            <v>222.566</v>
          </cell>
        </row>
      </sheetData>
      <sheetData sheetId="2313">
        <row r="81">
          <cell r="H81">
            <v>222.566</v>
          </cell>
        </row>
      </sheetData>
      <sheetData sheetId="2314">
        <row r="81">
          <cell r="H81">
            <v>222.566</v>
          </cell>
        </row>
      </sheetData>
      <sheetData sheetId="2315">
        <row r="81">
          <cell r="H81">
            <v>222.566</v>
          </cell>
        </row>
      </sheetData>
      <sheetData sheetId="2316">
        <row r="81">
          <cell r="H81">
            <v>222.566</v>
          </cell>
        </row>
      </sheetData>
      <sheetData sheetId="2317">
        <row r="81">
          <cell r="H81">
            <v>222.566</v>
          </cell>
        </row>
      </sheetData>
      <sheetData sheetId="2318">
        <row r="81">
          <cell r="H81">
            <v>222.566</v>
          </cell>
        </row>
      </sheetData>
      <sheetData sheetId="2319">
        <row r="81">
          <cell r="H81">
            <v>222.566</v>
          </cell>
        </row>
      </sheetData>
      <sheetData sheetId="2320">
        <row r="81">
          <cell r="H81">
            <v>222.566</v>
          </cell>
        </row>
      </sheetData>
      <sheetData sheetId="2321">
        <row r="81">
          <cell r="H81">
            <v>222.566</v>
          </cell>
        </row>
      </sheetData>
      <sheetData sheetId="2322">
        <row r="81">
          <cell r="H81">
            <v>222.566</v>
          </cell>
        </row>
      </sheetData>
      <sheetData sheetId="2323">
        <row r="81">
          <cell r="H81">
            <v>222.566</v>
          </cell>
        </row>
      </sheetData>
      <sheetData sheetId="2324">
        <row r="81">
          <cell r="H81">
            <v>222.566</v>
          </cell>
        </row>
      </sheetData>
      <sheetData sheetId="2325">
        <row r="81">
          <cell r="H81">
            <v>222.566</v>
          </cell>
        </row>
      </sheetData>
      <sheetData sheetId="2326">
        <row r="81">
          <cell r="H81">
            <v>222.566</v>
          </cell>
        </row>
      </sheetData>
      <sheetData sheetId="2327">
        <row r="81">
          <cell r="H81">
            <v>222.566</v>
          </cell>
        </row>
      </sheetData>
      <sheetData sheetId="2328">
        <row r="81">
          <cell r="H81">
            <v>222.566</v>
          </cell>
        </row>
      </sheetData>
      <sheetData sheetId="2329">
        <row r="81">
          <cell r="H81">
            <v>222.566</v>
          </cell>
        </row>
      </sheetData>
      <sheetData sheetId="2330">
        <row r="81">
          <cell r="H81">
            <v>222.566</v>
          </cell>
        </row>
      </sheetData>
      <sheetData sheetId="2331">
        <row r="81">
          <cell r="H81">
            <v>222.566</v>
          </cell>
        </row>
      </sheetData>
      <sheetData sheetId="2332">
        <row r="81">
          <cell r="H81">
            <v>222.566</v>
          </cell>
        </row>
      </sheetData>
      <sheetData sheetId="2333">
        <row r="81">
          <cell r="H81">
            <v>222.566</v>
          </cell>
        </row>
      </sheetData>
      <sheetData sheetId="2334">
        <row r="81">
          <cell r="H81">
            <v>222.566</v>
          </cell>
        </row>
      </sheetData>
      <sheetData sheetId="2335">
        <row r="81">
          <cell r="H81">
            <v>222.566</v>
          </cell>
        </row>
      </sheetData>
      <sheetData sheetId="2336">
        <row r="81">
          <cell r="H81">
            <v>222.566</v>
          </cell>
        </row>
      </sheetData>
      <sheetData sheetId="2337">
        <row r="81">
          <cell r="H81">
            <v>222.566</v>
          </cell>
        </row>
      </sheetData>
      <sheetData sheetId="2338">
        <row r="81">
          <cell r="H81">
            <v>222.566</v>
          </cell>
        </row>
      </sheetData>
      <sheetData sheetId="2339">
        <row r="81">
          <cell r="H81">
            <v>222.566</v>
          </cell>
        </row>
      </sheetData>
      <sheetData sheetId="2340">
        <row r="81">
          <cell r="H81">
            <v>222.566</v>
          </cell>
        </row>
      </sheetData>
      <sheetData sheetId="2341">
        <row r="81">
          <cell r="H81">
            <v>222.566</v>
          </cell>
        </row>
      </sheetData>
      <sheetData sheetId="2342">
        <row r="81">
          <cell r="H81">
            <v>222.566</v>
          </cell>
        </row>
      </sheetData>
      <sheetData sheetId="2343">
        <row r="81">
          <cell r="H81">
            <v>222.566</v>
          </cell>
        </row>
      </sheetData>
      <sheetData sheetId="2344">
        <row r="81">
          <cell r="H81">
            <v>222.566</v>
          </cell>
        </row>
      </sheetData>
      <sheetData sheetId="2345">
        <row r="81">
          <cell r="H81">
            <v>222.566</v>
          </cell>
        </row>
      </sheetData>
      <sheetData sheetId="2346">
        <row r="81">
          <cell r="H81">
            <v>222.566</v>
          </cell>
        </row>
      </sheetData>
      <sheetData sheetId="2347">
        <row r="81">
          <cell r="H81">
            <v>222.566</v>
          </cell>
        </row>
      </sheetData>
      <sheetData sheetId="2348">
        <row r="81">
          <cell r="H81">
            <v>222.566</v>
          </cell>
        </row>
      </sheetData>
      <sheetData sheetId="2349">
        <row r="81">
          <cell r="H81">
            <v>222.566</v>
          </cell>
        </row>
      </sheetData>
      <sheetData sheetId="2350">
        <row r="81">
          <cell r="H81">
            <v>222.566</v>
          </cell>
        </row>
      </sheetData>
      <sheetData sheetId="2351">
        <row r="81">
          <cell r="H81">
            <v>222.566</v>
          </cell>
        </row>
      </sheetData>
      <sheetData sheetId="2352">
        <row r="81">
          <cell r="H81">
            <v>222.566</v>
          </cell>
        </row>
      </sheetData>
      <sheetData sheetId="2353">
        <row r="81">
          <cell r="H81">
            <v>222.566</v>
          </cell>
        </row>
      </sheetData>
      <sheetData sheetId="2354">
        <row r="81">
          <cell r="H81">
            <v>222.566</v>
          </cell>
        </row>
      </sheetData>
      <sheetData sheetId="2355">
        <row r="81">
          <cell r="H81">
            <v>222.566</v>
          </cell>
        </row>
      </sheetData>
      <sheetData sheetId="2356">
        <row r="81">
          <cell r="H81">
            <v>222.566</v>
          </cell>
        </row>
      </sheetData>
      <sheetData sheetId="2357">
        <row r="81">
          <cell r="H81">
            <v>222.566</v>
          </cell>
        </row>
      </sheetData>
      <sheetData sheetId="2358">
        <row r="81">
          <cell r="H81">
            <v>222.566</v>
          </cell>
        </row>
      </sheetData>
      <sheetData sheetId="2359">
        <row r="81">
          <cell r="H81">
            <v>222.566</v>
          </cell>
        </row>
      </sheetData>
      <sheetData sheetId="2360">
        <row r="81">
          <cell r="H81">
            <v>222.566</v>
          </cell>
        </row>
      </sheetData>
      <sheetData sheetId="2361">
        <row r="81">
          <cell r="H81">
            <v>222.566</v>
          </cell>
        </row>
      </sheetData>
      <sheetData sheetId="2362">
        <row r="81">
          <cell r="H81">
            <v>222.566</v>
          </cell>
        </row>
      </sheetData>
      <sheetData sheetId="2363">
        <row r="81">
          <cell r="H81">
            <v>222.566</v>
          </cell>
        </row>
      </sheetData>
      <sheetData sheetId="2364">
        <row r="81">
          <cell r="H81">
            <v>222.566</v>
          </cell>
        </row>
      </sheetData>
      <sheetData sheetId="2365">
        <row r="81">
          <cell r="H81">
            <v>222.566</v>
          </cell>
        </row>
      </sheetData>
      <sheetData sheetId="2366">
        <row r="81">
          <cell r="H81">
            <v>222.566</v>
          </cell>
        </row>
      </sheetData>
      <sheetData sheetId="2367">
        <row r="81">
          <cell r="H81">
            <v>222.566</v>
          </cell>
        </row>
      </sheetData>
      <sheetData sheetId="2368">
        <row r="81">
          <cell r="H81">
            <v>222.566</v>
          </cell>
        </row>
      </sheetData>
      <sheetData sheetId="2369">
        <row r="81">
          <cell r="H81">
            <v>222.566</v>
          </cell>
        </row>
      </sheetData>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ow r="81">
          <cell r="H81">
            <v>222.566</v>
          </cell>
        </row>
      </sheetData>
      <sheetData sheetId="2408" refreshError="1"/>
      <sheetData sheetId="2409" refreshError="1"/>
      <sheetData sheetId="2410">
        <row r="81">
          <cell r="H81">
            <v>222.566</v>
          </cell>
        </row>
      </sheetData>
      <sheetData sheetId="2411">
        <row r="81">
          <cell r="H81">
            <v>222.566</v>
          </cell>
        </row>
      </sheetData>
      <sheetData sheetId="2412">
        <row r="81">
          <cell r="H81">
            <v>222.566</v>
          </cell>
        </row>
      </sheetData>
      <sheetData sheetId="2413">
        <row r="81">
          <cell r="H81">
            <v>222.566</v>
          </cell>
        </row>
      </sheetData>
      <sheetData sheetId="2414">
        <row r="81">
          <cell r="H81">
            <v>222.566</v>
          </cell>
        </row>
      </sheetData>
      <sheetData sheetId="2415">
        <row r="81">
          <cell r="H81">
            <v>222.566</v>
          </cell>
        </row>
      </sheetData>
      <sheetData sheetId="2416">
        <row r="81">
          <cell r="H81">
            <v>222.566</v>
          </cell>
        </row>
      </sheetData>
      <sheetData sheetId="2417">
        <row r="81">
          <cell r="H81">
            <v>222.566</v>
          </cell>
        </row>
      </sheetData>
      <sheetData sheetId="2418">
        <row r="81">
          <cell r="H81">
            <v>222.566</v>
          </cell>
        </row>
      </sheetData>
      <sheetData sheetId="2419">
        <row r="81">
          <cell r="H81">
            <v>222.566</v>
          </cell>
        </row>
      </sheetData>
      <sheetData sheetId="2420">
        <row r="81">
          <cell r="H81">
            <v>222.566</v>
          </cell>
        </row>
      </sheetData>
      <sheetData sheetId="2421">
        <row r="81">
          <cell r="H81">
            <v>222.566</v>
          </cell>
        </row>
      </sheetData>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ow r="81">
          <cell r="H81">
            <v>222.566</v>
          </cell>
        </row>
      </sheetData>
      <sheetData sheetId="2475">
        <row r="81">
          <cell r="H81">
            <v>222.566</v>
          </cell>
        </row>
      </sheetData>
      <sheetData sheetId="2476">
        <row r="81">
          <cell r="H81">
            <v>222.566</v>
          </cell>
        </row>
      </sheetData>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ow r="81">
          <cell r="H81">
            <v>222.566</v>
          </cell>
        </row>
      </sheetData>
      <sheetData sheetId="2590">
        <row r="81">
          <cell r="H81">
            <v>222.566</v>
          </cell>
        </row>
      </sheetData>
      <sheetData sheetId="2591">
        <row r="81">
          <cell r="H81">
            <v>222.566</v>
          </cell>
        </row>
      </sheetData>
      <sheetData sheetId="2592" refreshError="1"/>
      <sheetData sheetId="2593">
        <row r="81">
          <cell r="H81">
            <v>222.566</v>
          </cell>
        </row>
      </sheetData>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81">
          <cell r="H81">
            <v>222.566</v>
          </cell>
        </row>
      </sheetData>
      <sheetData sheetId="2610">
        <row r="81">
          <cell r="H81">
            <v>222.566</v>
          </cell>
        </row>
      </sheetData>
      <sheetData sheetId="2611">
        <row r="81">
          <cell r="H81">
            <v>222.566</v>
          </cell>
        </row>
      </sheetData>
      <sheetData sheetId="2612">
        <row r="81">
          <cell r="H81">
            <v>222.566</v>
          </cell>
        </row>
      </sheetData>
      <sheetData sheetId="2613">
        <row r="81">
          <cell r="H81">
            <v>222.566</v>
          </cell>
        </row>
      </sheetData>
      <sheetData sheetId="2614">
        <row r="81">
          <cell r="H81">
            <v>222.566</v>
          </cell>
        </row>
      </sheetData>
      <sheetData sheetId="2615">
        <row r="81">
          <cell r="H81">
            <v>222.566</v>
          </cell>
        </row>
      </sheetData>
      <sheetData sheetId="2616">
        <row r="81">
          <cell r="H81">
            <v>222.566</v>
          </cell>
        </row>
      </sheetData>
      <sheetData sheetId="2617">
        <row r="81">
          <cell r="H81">
            <v>222.566</v>
          </cell>
        </row>
      </sheetData>
      <sheetData sheetId="2618">
        <row r="81">
          <cell r="H81">
            <v>222.566</v>
          </cell>
        </row>
      </sheetData>
      <sheetData sheetId="2619">
        <row r="81">
          <cell r="H81">
            <v>222.566</v>
          </cell>
        </row>
      </sheetData>
      <sheetData sheetId="2620">
        <row r="81">
          <cell r="H81">
            <v>222.566</v>
          </cell>
        </row>
      </sheetData>
      <sheetData sheetId="2621">
        <row r="81">
          <cell r="H81">
            <v>222.566</v>
          </cell>
        </row>
      </sheetData>
      <sheetData sheetId="2622">
        <row r="81">
          <cell r="H81">
            <v>222.566</v>
          </cell>
        </row>
      </sheetData>
      <sheetData sheetId="2623">
        <row r="81">
          <cell r="H81">
            <v>222.566</v>
          </cell>
        </row>
      </sheetData>
      <sheetData sheetId="2624">
        <row r="81">
          <cell r="H81">
            <v>222.566</v>
          </cell>
        </row>
      </sheetData>
      <sheetData sheetId="2625">
        <row r="81">
          <cell r="H81">
            <v>222.566</v>
          </cell>
        </row>
      </sheetData>
      <sheetData sheetId="2626">
        <row r="81">
          <cell r="H81">
            <v>222.566</v>
          </cell>
        </row>
      </sheetData>
      <sheetData sheetId="2627">
        <row r="81">
          <cell r="H81">
            <v>222.566</v>
          </cell>
        </row>
      </sheetData>
      <sheetData sheetId="2628" refreshError="1"/>
      <sheetData sheetId="2629">
        <row r="81">
          <cell r="H81">
            <v>222.566</v>
          </cell>
        </row>
      </sheetData>
      <sheetData sheetId="2630">
        <row r="81">
          <cell r="H81">
            <v>222.566</v>
          </cell>
        </row>
      </sheetData>
      <sheetData sheetId="2631">
        <row r="81">
          <cell r="H81">
            <v>222.566</v>
          </cell>
        </row>
      </sheetData>
      <sheetData sheetId="2632">
        <row r="81">
          <cell r="H81">
            <v>222.566</v>
          </cell>
        </row>
      </sheetData>
      <sheetData sheetId="2633">
        <row r="81">
          <cell r="H81">
            <v>222.566</v>
          </cell>
        </row>
      </sheetData>
      <sheetData sheetId="2634">
        <row r="81">
          <cell r="H81">
            <v>222.566</v>
          </cell>
        </row>
      </sheetData>
      <sheetData sheetId="2635">
        <row r="81">
          <cell r="H81">
            <v>222.566</v>
          </cell>
        </row>
      </sheetData>
      <sheetData sheetId="2636">
        <row r="81">
          <cell r="H81">
            <v>222.566</v>
          </cell>
        </row>
      </sheetData>
      <sheetData sheetId="2637">
        <row r="81">
          <cell r="H81">
            <v>222.566</v>
          </cell>
        </row>
      </sheetData>
      <sheetData sheetId="2638">
        <row r="81">
          <cell r="H81">
            <v>222.566</v>
          </cell>
        </row>
      </sheetData>
      <sheetData sheetId="2639">
        <row r="81">
          <cell r="H81">
            <v>222.566</v>
          </cell>
        </row>
      </sheetData>
      <sheetData sheetId="2640">
        <row r="81">
          <cell r="H81">
            <v>222.566</v>
          </cell>
        </row>
      </sheetData>
      <sheetData sheetId="2641">
        <row r="81">
          <cell r="H81">
            <v>222.566</v>
          </cell>
        </row>
      </sheetData>
      <sheetData sheetId="2642">
        <row r="81">
          <cell r="H81">
            <v>222.566</v>
          </cell>
        </row>
      </sheetData>
      <sheetData sheetId="2643">
        <row r="81">
          <cell r="H81">
            <v>222.566</v>
          </cell>
        </row>
      </sheetData>
      <sheetData sheetId="2644">
        <row r="81">
          <cell r="H81">
            <v>222.566</v>
          </cell>
        </row>
      </sheetData>
      <sheetData sheetId="2645">
        <row r="81">
          <cell r="H81">
            <v>222.566</v>
          </cell>
        </row>
      </sheetData>
      <sheetData sheetId="2646">
        <row r="81">
          <cell r="H81">
            <v>222.566</v>
          </cell>
        </row>
      </sheetData>
      <sheetData sheetId="2647">
        <row r="81">
          <cell r="H81">
            <v>222.566</v>
          </cell>
        </row>
      </sheetData>
      <sheetData sheetId="2648">
        <row r="81">
          <cell r="H81">
            <v>222.566</v>
          </cell>
        </row>
      </sheetData>
      <sheetData sheetId="2649">
        <row r="81">
          <cell r="H81">
            <v>222.566</v>
          </cell>
        </row>
      </sheetData>
      <sheetData sheetId="2650">
        <row r="81">
          <cell r="H81">
            <v>222.566</v>
          </cell>
        </row>
      </sheetData>
      <sheetData sheetId="2651">
        <row r="81">
          <cell r="H81">
            <v>222.566</v>
          </cell>
        </row>
      </sheetData>
      <sheetData sheetId="2652">
        <row r="81">
          <cell r="H81">
            <v>222.566</v>
          </cell>
        </row>
      </sheetData>
      <sheetData sheetId="2653">
        <row r="81">
          <cell r="H81">
            <v>222.566</v>
          </cell>
        </row>
      </sheetData>
      <sheetData sheetId="2654">
        <row r="81">
          <cell r="H81">
            <v>222.566</v>
          </cell>
        </row>
      </sheetData>
      <sheetData sheetId="2655">
        <row r="81">
          <cell r="H81">
            <v>222.566</v>
          </cell>
        </row>
      </sheetData>
      <sheetData sheetId="2656">
        <row r="81">
          <cell r="H81">
            <v>222.566</v>
          </cell>
        </row>
      </sheetData>
      <sheetData sheetId="2657">
        <row r="81">
          <cell r="H81">
            <v>222.566</v>
          </cell>
        </row>
      </sheetData>
      <sheetData sheetId="2658">
        <row r="81">
          <cell r="H81">
            <v>222.566</v>
          </cell>
        </row>
      </sheetData>
      <sheetData sheetId="2659">
        <row r="81">
          <cell r="H81">
            <v>222.566</v>
          </cell>
        </row>
      </sheetData>
      <sheetData sheetId="2660">
        <row r="81">
          <cell r="H81">
            <v>222.566</v>
          </cell>
        </row>
      </sheetData>
      <sheetData sheetId="2661">
        <row r="81">
          <cell r="H81">
            <v>222.566</v>
          </cell>
        </row>
      </sheetData>
      <sheetData sheetId="2662">
        <row r="81">
          <cell r="H81">
            <v>222.566</v>
          </cell>
        </row>
      </sheetData>
      <sheetData sheetId="2663">
        <row r="81">
          <cell r="H81">
            <v>222.566</v>
          </cell>
        </row>
      </sheetData>
      <sheetData sheetId="2664">
        <row r="81">
          <cell r="H81">
            <v>222.566</v>
          </cell>
        </row>
      </sheetData>
      <sheetData sheetId="2665">
        <row r="81">
          <cell r="H81">
            <v>222.566</v>
          </cell>
        </row>
      </sheetData>
      <sheetData sheetId="2666">
        <row r="81">
          <cell r="H81">
            <v>222.566</v>
          </cell>
        </row>
      </sheetData>
      <sheetData sheetId="2667">
        <row r="81">
          <cell r="H81">
            <v>222.566</v>
          </cell>
        </row>
      </sheetData>
      <sheetData sheetId="2668">
        <row r="81">
          <cell r="H81">
            <v>222.566</v>
          </cell>
        </row>
      </sheetData>
      <sheetData sheetId="2669">
        <row r="81">
          <cell r="H81">
            <v>222.566</v>
          </cell>
        </row>
      </sheetData>
      <sheetData sheetId="2670">
        <row r="81">
          <cell r="H81">
            <v>222.566</v>
          </cell>
        </row>
      </sheetData>
      <sheetData sheetId="2671">
        <row r="81">
          <cell r="H81">
            <v>222.566</v>
          </cell>
        </row>
      </sheetData>
      <sheetData sheetId="2672">
        <row r="81">
          <cell r="H81">
            <v>222.566</v>
          </cell>
        </row>
      </sheetData>
      <sheetData sheetId="2673">
        <row r="81">
          <cell r="H81">
            <v>222.566</v>
          </cell>
        </row>
      </sheetData>
      <sheetData sheetId="2674">
        <row r="81">
          <cell r="H81">
            <v>222.566</v>
          </cell>
        </row>
      </sheetData>
      <sheetData sheetId="2675">
        <row r="81">
          <cell r="H81">
            <v>222.566</v>
          </cell>
        </row>
      </sheetData>
      <sheetData sheetId="2676">
        <row r="81">
          <cell r="H81">
            <v>222.566</v>
          </cell>
        </row>
      </sheetData>
      <sheetData sheetId="2677">
        <row r="81">
          <cell r="H81">
            <v>222.566</v>
          </cell>
        </row>
      </sheetData>
      <sheetData sheetId="2678">
        <row r="81">
          <cell r="H81">
            <v>222.566</v>
          </cell>
        </row>
      </sheetData>
      <sheetData sheetId="2679">
        <row r="81">
          <cell r="H81">
            <v>222.566</v>
          </cell>
        </row>
      </sheetData>
      <sheetData sheetId="2680">
        <row r="81">
          <cell r="H81">
            <v>222.566</v>
          </cell>
        </row>
      </sheetData>
      <sheetData sheetId="2681">
        <row r="81">
          <cell r="H81">
            <v>222.566</v>
          </cell>
        </row>
      </sheetData>
      <sheetData sheetId="2682">
        <row r="81">
          <cell r="H81">
            <v>222.566</v>
          </cell>
        </row>
      </sheetData>
      <sheetData sheetId="2683">
        <row r="81">
          <cell r="H81">
            <v>222.566</v>
          </cell>
        </row>
      </sheetData>
      <sheetData sheetId="2684">
        <row r="81">
          <cell r="H81">
            <v>222.566</v>
          </cell>
        </row>
      </sheetData>
      <sheetData sheetId="2685">
        <row r="81">
          <cell r="H81">
            <v>222.566</v>
          </cell>
        </row>
      </sheetData>
      <sheetData sheetId="2686">
        <row r="81">
          <cell r="H81">
            <v>222.566</v>
          </cell>
        </row>
      </sheetData>
      <sheetData sheetId="2687">
        <row r="81">
          <cell r="H81">
            <v>222.566</v>
          </cell>
        </row>
      </sheetData>
      <sheetData sheetId="2688">
        <row r="81">
          <cell r="H81">
            <v>222.566</v>
          </cell>
        </row>
      </sheetData>
      <sheetData sheetId="2689">
        <row r="81">
          <cell r="H81">
            <v>222.566</v>
          </cell>
        </row>
      </sheetData>
      <sheetData sheetId="2690">
        <row r="81">
          <cell r="H81">
            <v>222.566</v>
          </cell>
        </row>
      </sheetData>
      <sheetData sheetId="2691">
        <row r="81">
          <cell r="H81">
            <v>222.566</v>
          </cell>
        </row>
      </sheetData>
      <sheetData sheetId="2692">
        <row r="81">
          <cell r="H81">
            <v>222.566</v>
          </cell>
        </row>
      </sheetData>
      <sheetData sheetId="2693">
        <row r="81">
          <cell r="H81">
            <v>222.566</v>
          </cell>
        </row>
      </sheetData>
      <sheetData sheetId="2694">
        <row r="81">
          <cell r="H81">
            <v>222.566</v>
          </cell>
        </row>
      </sheetData>
      <sheetData sheetId="2695">
        <row r="81">
          <cell r="H81">
            <v>222.566</v>
          </cell>
        </row>
      </sheetData>
      <sheetData sheetId="2696">
        <row r="81">
          <cell r="H81">
            <v>222.566</v>
          </cell>
        </row>
      </sheetData>
      <sheetData sheetId="2697">
        <row r="81">
          <cell r="H81">
            <v>222.566</v>
          </cell>
        </row>
      </sheetData>
      <sheetData sheetId="2698">
        <row r="81">
          <cell r="H81">
            <v>222.566</v>
          </cell>
        </row>
      </sheetData>
      <sheetData sheetId="2699">
        <row r="81">
          <cell r="H81">
            <v>222.566</v>
          </cell>
        </row>
      </sheetData>
      <sheetData sheetId="2700">
        <row r="81">
          <cell r="H81">
            <v>222.566</v>
          </cell>
        </row>
      </sheetData>
      <sheetData sheetId="2701">
        <row r="81">
          <cell r="H81">
            <v>222.566</v>
          </cell>
        </row>
      </sheetData>
      <sheetData sheetId="2702" refreshError="1"/>
      <sheetData sheetId="2703" refreshError="1"/>
      <sheetData sheetId="2704">
        <row r="81">
          <cell r="H81">
            <v>222.566</v>
          </cell>
        </row>
      </sheetData>
      <sheetData sheetId="2705">
        <row r="81">
          <cell r="H81">
            <v>222.566</v>
          </cell>
        </row>
      </sheetData>
      <sheetData sheetId="2706">
        <row r="81">
          <cell r="H81">
            <v>222.566</v>
          </cell>
        </row>
      </sheetData>
      <sheetData sheetId="2707">
        <row r="81">
          <cell r="H81">
            <v>222.566</v>
          </cell>
        </row>
      </sheetData>
      <sheetData sheetId="2708">
        <row r="81">
          <cell r="H81">
            <v>222.566</v>
          </cell>
        </row>
      </sheetData>
      <sheetData sheetId="2709">
        <row r="81">
          <cell r="H81">
            <v>222.566</v>
          </cell>
        </row>
      </sheetData>
      <sheetData sheetId="2710">
        <row r="81">
          <cell r="H81">
            <v>222.566</v>
          </cell>
        </row>
      </sheetData>
      <sheetData sheetId="2711">
        <row r="81">
          <cell r="H81">
            <v>222.566</v>
          </cell>
        </row>
      </sheetData>
      <sheetData sheetId="2712">
        <row r="81">
          <cell r="H81">
            <v>222.566</v>
          </cell>
        </row>
      </sheetData>
      <sheetData sheetId="2713">
        <row r="81">
          <cell r="H81">
            <v>222.566</v>
          </cell>
        </row>
      </sheetData>
      <sheetData sheetId="2714">
        <row r="81">
          <cell r="H81">
            <v>222.566</v>
          </cell>
        </row>
      </sheetData>
      <sheetData sheetId="2715">
        <row r="81">
          <cell r="H81">
            <v>222.566</v>
          </cell>
        </row>
      </sheetData>
      <sheetData sheetId="2716">
        <row r="81">
          <cell r="H81">
            <v>222.566</v>
          </cell>
        </row>
      </sheetData>
      <sheetData sheetId="2717">
        <row r="81">
          <cell r="H81">
            <v>222.566</v>
          </cell>
        </row>
      </sheetData>
      <sheetData sheetId="2718">
        <row r="81">
          <cell r="H81">
            <v>222.566</v>
          </cell>
        </row>
      </sheetData>
      <sheetData sheetId="2719">
        <row r="81">
          <cell r="H81">
            <v>222.566</v>
          </cell>
        </row>
      </sheetData>
      <sheetData sheetId="2720">
        <row r="81">
          <cell r="H81">
            <v>222.566</v>
          </cell>
        </row>
      </sheetData>
      <sheetData sheetId="2721">
        <row r="81">
          <cell r="H81">
            <v>222.566</v>
          </cell>
        </row>
      </sheetData>
      <sheetData sheetId="2722">
        <row r="81">
          <cell r="H81">
            <v>222.566</v>
          </cell>
        </row>
      </sheetData>
      <sheetData sheetId="2723">
        <row r="81">
          <cell r="H81">
            <v>222.566</v>
          </cell>
        </row>
      </sheetData>
      <sheetData sheetId="2724">
        <row r="81">
          <cell r="H81">
            <v>222.566</v>
          </cell>
        </row>
      </sheetData>
      <sheetData sheetId="2725">
        <row r="81">
          <cell r="H81">
            <v>222.566</v>
          </cell>
        </row>
      </sheetData>
      <sheetData sheetId="2726">
        <row r="81">
          <cell r="H81">
            <v>222.566</v>
          </cell>
        </row>
      </sheetData>
      <sheetData sheetId="2727">
        <row r="81">
          <cell r="H81">
            <v>222.566</v>
          </cell>
        </row>
      </sheetData>
      <sheetData sheetId="2728">
        <row r="81">
          <cell r="H81">
            <v>222.566</v>
          </cell>
        </row>
      </sheetData>
      <sheetData sheetId="2729">
        <row r="81">
          <cell r="H81">
            <v>222.566</v>
          </cell>
        </row>
      </sheetData>
      <sheetData sheetId="2730">
        <row r="81">
          <cell r="H81">
            <v>222.566</v>
          </cell>
        </row>
      </sheetData>
      <sheetData sheetId="2731">
        <row r="81">
          <cell r="H81">
            <v>222.566</v>
          </cell>
        </row>
      </sheetData>
      <sheetData sheetId="2732">
        <row r="81">
          <cell r="H81">
            <v>222.566</v>
          </cell>
        </row>
      </sheetData>
      <sheetData sheetId="2733">
        <row r="81">
          <cell r="H81">
            <v>222.566</v>
          </cell>
        </row>
      </sheetData>
      <sheetData sheetId="2734">
        <row r="81">
          <cell r="H81">
            <v>222.566</v>
          </cell>
        </row>
      </sheetData>
      <sheetData sheetId="2735">
        <row r="81">
          <cell r="H81">
            <v>222.566</v>
          </cell>
        </row>
      </sheetData>
      <sheetData sheetId="2736">
        <row r="81">
          <cell r="H81">
            <v>222.566</v>
          </cell>
        </row>
      </sheetData>
      <sheetData sheetId="2737">
        <row r="81">
          <cell r="H81">
            <v>222.566</v>
          </cell>
        </row>
      </sheetData>
      <sheetData sheetId="2738">
        <row r="81">
          <cell r="H81">
            <v>222.566</v>
          </cell>
        </row>
      </sheetData>
      <sheetData sheetId="2739">
        <row r="81">
          <cell r="H81">
            <v>222.566</v>
          </cell>
        </row>
      </sheetData>
      <sheetData sheetId="2740">
        <row r="81">
          <cell r="H81">
            <v>222.566</v>
          </cell>
        </row>
      </sheetData>
      <sheetData sheetId="2741">
        <row r="81">
          <cell r="H81">
            <v>222.566</v>
          </cell>
        </row>
      </sheetData>
      <sheetData sheetId="2742">
        <row r="81">
          <cell r="H81">
            <v>222.566</v>
          </cell>
        </row>
      </sheetData>
      <sheetData sheetId="2743">
        <row r="81">
          <cell r="H81">
            <v>222.566</v>
          </cell>
        </row>
      </sheetData>
      <sheetData sheetId="2744">
        <row r="81">
          <cell r="H81">
            <v>222.566</v>
          </cell>
        </row>
      </sheetData>
      <sheetData sheetId="2745">
        <row r="81">
          <cell r="H81">
            <v>222.566</v>
          </cell>
        </row>
      </sheetData>
      <sheetData sheetId="2746">
        <row r="81">
          <cell r="H81">
            <v>222.566</v>
          </cell>
        </row>
      </sheetData>
      <sheetData sheetId="2747">
        <row r="81">
          <cell r="H81">
            <v>222.566</v>
          </cell>
        </row>
      </sheetData>
      <sheetData sheetId="2748">
        <row r="81">
          <cell r="H81">
            <v>222.566</v>
          </cell>
        </row>
      </sheetData>
      <sheetData sheetId="2749">
        <row r="81">
          <cell r="H81">
            <v>222.566</v>
          </cell>
        </row>
      </sheetData>
      <sheetData sheetId="2750">
        <row r="81">
          <cell r="H81">
            <v>222.566</v>
          </cell>
        </row>
      </sheetData>
      <sheetData sheetId="2751">
        <row r="81">
          <cell r="H81">
            <v>222.566</v>
          </cell>
        </row>
      </sheetData>
      <sheetData sheetId="2752">
        <row r="81">
          <cell r="H81">
            <v>222.566</v>
          </cell>
        </row>
      </sheetData>
      <sheetData sheetId="2753">
        <row r="81">
          <cell r="H81">
            <v>222.566</v>
          </cell>
        </row>
      </sheetData>
      <sheetData sheetId="2754">
        <row r="81">
          <cell r="H81">
            <v>222.566</v>
          </cell>
        </row>
      </sheetData>
      <sheetData sheetId="2755">
        <row r="81">
          <cell r="H81">
            <v>222.566</v>
          </cell>
        </row>
      </sheetData>
      <sheetData sheetId="2756">
        <row r="81">
          <cell r="H81">
            <v>222.566</v>
          </cell>
        </row>
      </sheetData>
      <sheetData sheetId="2757">
        <row r="81">
          <cell r="H81">
            <v>222.566</v>
          </cell>
        </row>
      </sheetData>
      <sheetData sheetId="2758">
        <row r="81">
          <cell r="H81">
            <v>222.566</v>
          </cell>
        </row>
      </sheetData>
      <sheetData sheetId="2759">
        <row r="81">
          <cell r="H81">
            <v>222.566</v>
          </cell>
        </row>
      </sheetData>
      <sheetData sheetId="2760">
        <row r="81">
          <cell r="H81">
            <v>222.566</v>
          </cell>
        </row>
      </sheetData>
      <sheetData sheetId="2761">
        <row r="81">
          <cell r="H81">
            <v>222.566</v>
          </cell>
        </row>
      </sheetData>
      <sheetData sheetId="2762">
        <row r="81">
          <cell r="H81">
            <v>222.566</v>
          </cell>
        </row>
      </sheetData>
      <sheetData sheetId="2763">
        <row r="81">
          <cell r="H81">
            <v>222.566</v>
          </cell>
        </row>
      </sheetData>
      <sheetData sheetId="2764">
        <row r="81">
          <cell r="H81">
            <v>222.566</v>
          </cell>
        </row>
      </sheetData>
      <sheetData sheetId="2765">
        <row r="81">
          <cell r="H81">
            <v>222.566</v>
          </cell>
        </row>
      </sheetData>
      <sheetData sheetId="2766">
        <row r="81">
          <cell r="H81">
            <v>222.566</v>
          </cell>
        </row>
      </sheetData>
      <sheetData sheetId="2767">
        <row r="81">
          <cell r="H81">
            <v>222.566</v>
          </cell>
        </row>
      </sheetData>
      <sheetData sheetId="2768">
        <row r="81">
          <cell r="H81">
            <v>222.566</v>
          </cell>
        </row>
      </sheetData>
      <sheetData sheetId="2769">
        <row r="81">
          <cell r="H81">
            <v>222.566</v>
          </cell>
        </row>
      </sheetData>
      <sheetData sheetId="2770">
        <row r="81">
          <cell r="H81">
            <v>222.566</v>
          </cell>
        </row>
      </sheetData>
      <sheetData sheetId="2771">
        <row r="81">
          <cell r="H81">
            <v>222.566</v>
          </cell>
        </row>
      </sheetData>
      <sheetData sheetId="2772">
        <row r="81">
          <cell r="H81">
            <v>222.566</v>
          </cell>
        </row>
      </sheetData>
      <sheetData sheetId="2773">
        <row r="81">
          <cell r="H81">
            <v>222.566</v>
          </cell>
        </row>
      </sheetData>
      <sheetData sheetId="2774">
        <row r="81">
          <cell r="H81">
            <v>222.566</v>
          </cell>
        </row>
      </sheetData>
      <sheetData sheetId="2775">
        <row r="81">
          <cell r="H81">
            <v>222.566</v>
          </cell>
        </row>
      </sheetData>
      <sheetData sheetId="2776">
        <row r="81">
          <cell r="H81">
            <v>222.566</v>
          </cell>
        </row>
      </sheetData>
      <sheetData sheetId="2777">
        <row r="81">
          <cell r="H81">
            <v>222.566</v>
          </cell>
        </row>
      </sheetData>
      <sheetData sheetId="2778">
        <row r="81">
          <cell r="H81">
            <v>222.566</v>
          </cell>
        </row>
      </sheetData>
      <sheetData sheetId="2779">
        <row r="81">
          <cell r="H81">
            <v>222.566</v>
          </cell>
        </row>
      </sheetData>
      <sheetData sheetId="2780">
        <row r="81">
          <cell r="H81">
            <v>222.566</v>
          </cell>
        </row>
      </sheetData>
      <sheetData sheetId="2781">
        <row r="81">
          <cell r="H81">
            <v>222.566</v>
          </cell>
        </row>
      </sheetData>
      <sheetData sheetId="2782">
        <row r="81">
          <cell r="H81">
            <v>222.566</v>
          </cell>
        </row>
      </sheetData>
      <sheetData sheetId="2783">
        <row r="81">
          <cell r="H81">
            <v>222.566</v>
          </cell>
        </row>
      </sheetData>
      <sheetData sheetId="2784">
        <row r="81">
          <cell r="H81">
            <v>222.566</v>
          </cell>
        </row>
      </sheetData>
      <sheetData sheetId="2785">
        <row r="81">
          <cell r="H81">
            <v>222.566</v>
          </cell>
        </row>
      </sheetData>
      <sheetData sheetId="2786">
        <row r="81">
          <cell r="H81">
            <v>222.566</v>
          </cell>
        </row>
      </sheetData>
      <sheetData sheetId="2787">
        <row r="81">
          <cell r="H81">
            <v>222.566</v>
          </cell>
        </row>
      </sheetData>
      <sheetData sheetId="2788">
        <row r="81">
          <cell r="H81">
            <v>222.566</v>
          </cell>
        </row>
      </sheetData>
      <sheetData sheetId="2789">
        <row r="81">
          <cell r="H81">
            <v>222.566</v>
          </cell>
        </row>
      </sheetData>
      <sheetData sheetId="2790">
        <row r="81">
          <cell r="H81">
            <v>222.566</v>
          </cell>
        </row>
      </sheetData>
      <sheetData sheetId="2791">
        <row r="81">
          <cell r="H81">
            <v>222.566</v>
          </cell>
        </row>
      </sheetData>
      <sheetData sheetId="2792">
        <row r="81">
          <cell r="H81">
            <v>222.566</v>
          </cell>
        </row>
      </sheetData>
      <sheetData sheetId="2793">
        <row r="81">
          <cell r="H81">
            <v>222.566</v>
          </cell>
        </row>
      </sheetData>
      <sheetData sheetId="2794">
        <row r="81">
          <cell r="H81">
            <v>222.566</v>
          </cell>
        </row>
      </sheetData>
      <sheetData sheetId="2795">
        <row r="81">
          <cell r="H81">
            <v>222.566</v>
          </cell>
        </row>
      </sheetData>
      <sheetData sheetId="2796">
        <row r="81">
          <cell r="H81">
            <v>222.566</v>
          </cell>
        </row>
      </sheetData>
      <sheetData sheetId="2797">
        <row r="81">
          <cell r="H81">
            <v>222.566</v>
          </cell>
        </row>
      </sheetData>
      <sheetData sheetId="2798">
        <row r="81">
          <cell r="H81">
            <v>222.566</v>
          </cell>
        </row>
      </sheetData>
      <sheetData sheetId="2799">
        <row r="81">
          <cell r="H81">
            <v>222.566</v>
          </cell>
        </row>
      </sheetData>
      <sheetData sheetId="2800">
        <row r="81">
          <cell r="H81">
            <v>222.566</v>
          </cell>
        </row>
      </sheetData>
      <sheetData sheetId="2801">
        <row r="81">
          <cell r="H81">
            <v>222.566</v>
          </cell>
        </row>
      </sheetData>
      <sheetData sheetId="2802">
        <row r="81">
          <cell r="H81">
            <v>222.566</v>
          </cell>
        </row>
      </sheetData>
      <sheetData sheetId="2803">
        <row r="81">
          <cell r="H81">
            <v>222.566</v>
          </cell>
        </row>
      </sheetData>
      <sheetData sheetId="2804">
        <row r="81">
          <cell r="H81">
            <v>222.566</v>
          </cell>
        </row>
      </sheetData>
      <sheetData sheetId="2805">
        <row r="81">
          <cell r="H81">
            <v>222.566</v>
          </cell>
        </row>
      </sheetData>
      <sheetData sheetId="2806">
        <row r="81">
          <cell r="H81">
            <v>222.566</v>
          </cell>
        </row>
      </sheetData>
      <sheetData sheetId="2807">
        <row r="81">
          <cell r="H81">
            <v>222.566</v>
          </cell>
        </row>
      </sheetData>
      <sheetData sheetId="2808">
        <row r="81">
          <cell r="H81">
            <v>222.566</v>
          </cell>
        </row>
      </sheetData>
      <sheetData sheetId="2809">
        <row r="81">
          <cell r="H81">
            <v>222.566</v>
          </cell>
        </row>
      </sheetData>
      <sheetData sheetId="2810">
        <row r="81">
          <cell r="H81">
            <v>222.566</v>
          </cell>
        </row>
      </sheetData>
      <sheetData sheetId="2811">
        <row r="81">
          <cell r="H81">
            <v>222.566</v>
          </cell>
        </row>
      </sheetData>
      <sheetData sheetId="2812">
        <row r="81">
          <cell r="H81">
            <v>222.566</v>
          </cell>
        </row>
      </sheetData>
      <sheetData sheetId="2813">
        <row r="81">
          <cell r="H81">
            <v>222.566</v>
          </cell>
        </row>
      </sheetData>
      <sheetData sheetId="2814">
        <row r="81">
          <cell r="H81">
            <v>222.566</v>
          </cell>
        </row>
      </sheetData>
      <sheetData sheetId="2815">
        <row r="81">
          <cell r="H81">
            <v>222.566</v>
          </cell>
        </row>
      </sheetData>
      <sheetData sheetId="2816">
        <row r="81">
          <cell r="H81">
            <v>222.566</v>
          </cell>
        </row>
      </sheetData>
      <sheetData sheetId="2817">
        <row r="81">
          <cell r="H81">
            <v>222.566</v>
          </cell>
        </row>
      </sheetData>
      <sheetData sheetId="2818">
        <row r="81">
          <cell r="H81">
            <v>222.566</v>
          </cell>
        </row>
      </sheetData>
      <sheetData sheetId="2819">
        <row r="81">
          <cell r="H81">
            <v>222.566</v>
          </cell>
        </row>
      </sheetData>
      <sheetData sheetId="2820">
        <row r="81">
          <cell r="H81">
            <v>222.566</v>
          </cell>
        </row>
      </sheetData>
      <sheetData sheetId="2821">
        <row r="81">
          <cell r="H81">
            <v>222.566</v>
          </cell>
        </row>
      </sheetData>
      <sheetData sheetId="2822">
        <row r="81">
          <cell r="H81">
            <v>222.566</v>
          </cell>
        </row>
      </sheetData>
      <sheetData sheetId="2823">
        <row r="81">
          <cell r="H81">
            <v>222.566</v>
          </cell>
        </row>
      </sheetData>
      <sheetData sheetId="2824">
        <row r="81">
          <cell r="H81">
            <v>222.566</v>
          </cell>
        </row>
      </sheetData>
      <sheetData sheetId="2825">
        <row r="81">
          <cell r="H81">
            <v>222.566</v>
          </cell>
        </row>
      </sheetData>
      <sheetData sheetId="2826">
        <row r="81">
          <cell r="H81">
            <v>222.566</v>
          </cell>
        </row>
      </sheetData>
      <sheetData sheetId="2827">
        <row r="81">
          <cell r="H81">
            <v>222.566</v>
          </cell>
        </row>
      </sheetData>
      <sheetData sheetId="2828">
        <row r="81">
          <cell r="H81">
            <v>222.566</v>
          </cell>
        </row>
      </sheetData>
      <sheetData sheetId="2829">
        <row r="81">
          <cell r="H81">
            <v>222.566</v>
          </cell>
        </row>
      </sheetData>
      <sheetData sheetId="2830">
        <row r="81">
          <cell r="H81">
            <v>222.566</v>
          </cell>
        </row>
      </sheetData>
      <sheetData sheetId="2831">
        <row r="81">
          <cell r="H81">
            <v>222.566</v>
          </cell>
        </row>
      </sheetData>
      <sheetData sheetId="2832">
        <row r="81">
          <cell r="H81">
            <v>222.566</v>
          </cell>
        </row>
      </sheetData>
      <sheetData sheetId="2833">
        <row r="81">
          <cell r="H81">
            <v>222.566</v>
          </cell>
        </row>
      </sheetData>
      <sheetData sheetId="2834">
        <row r="81">
          <cell r="H81">
            <v>222.566</v>
          </cell>
        </row>
      </sheetData>
      <sheetData sheetId="2835">
        <row r="81">
          <cell r="H81">
            <v>222.566</v>
          </cell>
        </row>
      </sheetData>
      <sheetData sheetId="2836">
        <row r="81">
          <cell r="H81">
            <v>222.566</v>
          </cell>
        </row>
      </sheetData>
      <sheetData sheetId="2837">
        <row r="81">
          <cell r="H81">
            <v>222.566</v>
          </cell>
        </row>
      </sheetData>
      <sheetData sheetId="2838">
        <row r="81">
          <cell r="H81">
            <v>222.566</v>
          </cell>
        </row>
      </sheetData>
      <sheetData sheetId="2839">
        <row r="81">
          <cell r="H81">
            <v>222.566</v>
          </cell>
        </row>
      </sheetData>
      <sheetData sheetId="2840">
        <row r="81">
          <cell r="H81">
            <v>222.566</v>
          </cell>
        </row>
      </sheetData>
      <sheetData sheetId="2841">
        <row r="81">
          <cell r="H81">
            <v>222.566</v>
          </cell>
        </row>
      </sheetData>
      <sheetData sheetId="2842">
        <row r="81">
          <cell r="H81">
            <v>222.566</v>
          </cell>
        </row>
      </sheetData>
      <sheetData sheetId="2843">
        <row r="81">
          <cell r="H81">
            <v>222.566</v>
          </cell>
        </row>
      </sheetData>
      <sheetData sheetId="2844">
        <row r="81">
          <cell r="H81">
            <v>222.566</v>
          </cell>
        </row>
      </sheetData>
      <sheetData sheetId="2845">
        <row r="81">
          <cell r="H81">
            <v>222.566</v>
          </cell>
        </row>
      </sheetData>
      <sheetData sheetId="2846">
        <row r="81">
          <cell r="H81">
            <v>222.566</v>
          </cell>
        </row>
      </sheetData>
      <sheetData sheetId="2847">
        <row r="81">
          <cell r="H81">
            <v>222.566</v>
          </cell>
        </row>
      </sheetData>
      <sheetData sheetId="2848">
        <row r="81">
          <cell r="H81">
            <v>222.566</v>
          </cell>
        </row>
      </sheetData>
      <sheetData sheetId="2849">
        <row r="81">
          <cell r="H81">
            <v>222.566</v>
          </cell>
        </row>
      </sheetData>
      <sheetData sheetId="2850">
        <row r="81">
          <cell r="H81">
            <v>222.566</v>
          </cell>
        </row>
      </sheetData>
      <sheetData sheetId="2851">
        <row r="81">
          <cell r="H81">
            <v>222.566</v>
          </cell>
        </row>
      </sheetData>
      <sheetData sheetId="2852">
        <row r="81">
          <cell r="H81">
            <v>222.566</v>
          </cell>
        </row>
      </sheetData>
      <sheetData sheetId="2853">
        <row r="81">
          <cell r="H81">
            <v>222.566</v>
          </cell>
        </row>
      </sheetData>
      <sheetData sheetId="2854">
        <row r="81">
          <cell r="H81">
            <v>222.566</v>
          </cell>
        </row>
      </sheetData>
      <sheetData sheetId="2855">
        <row r="81">
          <cell r="H81">
            <v>222.566</v>
          </cell>
        </row>
      </sheetData>
      <sheetData sheetId="2856">
        <row r="81">
          <cell r="H81">
            <v>222.566</v>
          </cell>
        </row>
      </sheetData>
      <sheetData sheetId="2857">
        <row r="81">
          <cell r="H81">
            <v>222.566</v>
          </cell>
        </row>
      </sheetData>
      <sheetData sheetId="2858">
        <row r="81">
          <cell r="H81">
            <v>222.566</v>
          </cell>
        </row>
      </sheetData>
      <sheetData sheetId="2859">
        <row r="81">
          <cell r="H81">
            <v>222.566</v>
          </cell>
        </row>
      </sheetData>
      <sheetData sheetId="2860">
        <row r="81">
          <cell r="H81">
            <v>222.566</v>
          </cell>
        </row>
      </sheetData>
      <sheetData sheetId="2861">
        <row r="81">
          <cell r="H81">
            <v>222.566</v>
          </cell>
        </row>
      </sheetData>
      <sheetData sheetId="2862">
        <row r="81">
          <cell r="H81">
            <v>222.566</v>
          </cell>
        </row>
      </sheetData>
      <sheetData sheetId="2863">
        <row r="81">
          <cell r="H81">
            <v>222.566</v>
          </cell>
        </row>
      </sheetData>
      <sheetData sheetId="2864">
        <row r="81">
          <cell r="H81">
            <v>222.566</v>
          </cell>
        </row>
      </sheetData>
      <sheetData sheetId="2865">
        <row r="81">
          <cell r="H81">
            <v>222.566</v>
          </cell>
        </row>
      </sheetData>
      <sheetData sheetId="2866">
        <row r="81">
          <cell r="H81">
            <v>222.566</v>
          </cell>
        </row>
      </sheetData>
      <sheetData sheetId="2867">
        <row r="81">
          <cell r="H81">
            <v>222.566</v>
          </cell>
        </row>
      </sheetData>
      <sheetData sheetId="2868">
        <row r="81">
          <cell r="H81">
            <v>222.566</v>
          </cell>
        </row>
      </sheetData>
      <sheetData sheetId="2869">
        <row r="81">
          <cell r="H81">
            <v>222.566</v>
          </cell>
        </row>
      </sheetData>
      <sheetData sheetId="2870">
        <row r="81">
          <cell r="H81">
            <v>222.566</v>
          </cell>
        </row>
      </sheetData>
      <sheetData sheetId="2871">
        <row r="81">
          <cell r="H81">
            <v>222.566</v>
          </cell>
        </row>
      </sheetData>
      <sheetData sheetId="2872">
        <row r="81">
          <cell r="H81">
            <v>222.566</v>
          </cell>
        </row>
      </sheetData>
      <sheetData sheetId="2873">
        <row r="81">
          <cell r="H81">
            <v>222.566</v>
          </cell>
        </row>
      </sheetData>
      <sheetData sheetId="2874">
        <row r="81">
          <cell r="H81">
            <v>222.566</v>
          </cell>
        </row>
      </sheetData>
      <sheetData sheetId="2875">
        <row r="81">
          <cell r="H81">
            <v>222.566</v>
          </cell>
        </row>
      </sheetData>
      <sheetData sheetId="2876">
        <row r="81">
          <cell r="H81">
            <v>222.566</v>
          </cell>
        </row>
      </sheetData>
      <sheetData sheetId="2877">
        <row r="81">
          <cell r="H81">
            <v>222.566</v>
          </cell>
        </row>
      </sheetData>
      <sheetData sheetId="2878">
        <row r="81">
          <cell r="H81">
            <v>222.566</v>
          </cell>
        </row>
      </sheetData>
      <sheetData sheetId="2879">
        <row r="81">
          <cell r="H81">
            <v>222.566</v>
          </cell>
        </row>
      </sheetData>
      <sheetData sheetId="2880">
        <row r="81">
          <cell r="H81">
            <v>222.566</v>
          </cell>
        </row>
      </sheetData>
      <sheetData sheetId="2881">
        <row r="81">
          <cell r="H81">
            <v>222.566</v>
          </cell>
        </row>
      </sheetData>
      <sheetData sheetId="2882">
        <row r="81">
          <cell r="H81">
            <v>222.566</v>
          </cell>
        </row>
      </sheetData>
      <sheetData sheetId="2883">
        <row r="81">
          <cell r="H81">
            <v>222.566</v>
          </cell>
        </row>
      </sheetData>
      <sheetData sheetId="2884">
        <row r="81">
          <cell r="H81">
            <v>222.566</v>
          </cell>
        </row>
      </sheetData>
      <sheetData sheetId="2885">
        <row r="81">
          <cell r="H81">
            <v>222.566</v>
          </cell>
        </row>
      </sheetData>
      <sheetData sheetId="2886">
        <row r="81">
          <cell r="H81">
            <v>222.566</v>
          </cell>
        </row>
      </sheetData>
      <sheetData sheetId="2887">
        <row r="81">
          <cell r="H81">
            <v>222.566</v>
          </cell>
        </row>
      </sheetData>
      <sheetData sheetId="2888">
        <row r="81">
          <cell r="H81">
            <v>222.566</v>
          </cell>
        </row>
      </sheetData>
      <sheetData sheetId="2889">
        <row r="81">
          <cell r="H81">
            <v>222.566</v>
          </cell>
        </row>
      </sheetData>
      <sheetData sheetId="2890">
        <row r="81">
          <cell r="H81">
            <v>222.566</v>
          </cell>
        </row>
      </sheetData>
      <sheetData sheetId="2891">
        <row r="81">
          <cell r="H81">
            <v>222.566</v>
          </cell>
        </row>
      </sheetData>
      <sheetData sheetId="2892">
        <row r="81">
          <cell r="H81">
            <v>222.566</v>
          </cell>
        </row>
      </sheetData>
      <sheetData sheetId="2893">
        <row r="81">
          <cell r="H81">
            <v>222.566</v>
          </cell>
        </row>
      </sheetData>
      <sheetData sheetId="2894">
        <row r="81">
          <cell r="H81">
            <v>222.566</v>
          </cell>
        </row>
      </sheetData>
      <sheetData sheetId="2895">
        <row r="81">
          <cell r="H81">
            <v>222.566</v>
          </cell>
        </row>
      </sheetData>
      <sheetData sheetId="2896">
        <row r="81">
          <cell r="H81">
            <v>222.566</v>
          </cell>
        </row>
      </sheetData>
      <sheetData sheetId="2897">
        <row r="81">
          <cell r="H81">
            <v>222.566</v>
          </cell>
        </row>
      </sheetData>
      <sheetData sheetId="2898">
        <row r="81">
          <cell r="H81">
            <v>222.566</v>
          </cell>
        </row>
      </sheetData>
      <sheetData sheetId="2899">
        <row r="81">
          <cell r="H81">
            <v>222.566</v>
          </cell>
        </row>
      </sheetData>
      <sheetData sheetId="2900">
        <row r="81">
          <cell r="H81">
            <v>222.566</v>
          </cell>
        </row>
      </sheetData>
      <sheetData sheetId="2901">
        <row r="81">
          <cell r="H81">
            <v>222.566</v>
          </cell>
        </row>
      </sheetData>
      <sheetData sheetId="2902">
        <row r="81">
          <cell r="H81">
            <v>222.566</v>
          </cell>
        </row>
      </sheetData>
      <sheetData sheetId="2903">
        <row r="81">
          <cell r="H81">
            <v>222.566</v>
          </cell>
        </row>
      </sheetData>
      <sheetData sheetId="2904">
        <row r="81">
          <cell r="H81">
            <v>222.566</v>
          </cell>
        </row>
      </sheetData>
      <sheetData sheetId="2905">
        <row r="81">
          <cell r="H81">
            <v>222.566</v>
          </cell>
        </row>
      </sheetData>
      <sheetData sheetId="2906">
        <row r="81">
          <cell r="H81">
            <v>222.566</v>
          </cell>
        </row>
      </sheetData>
      <sheetData sheetId="2907">
        <row r="81">
          <cell r="H81">
            <v>222.566</v>
          </cell>
        </row>
      </sheetData>
      <sheetData sheetId="2908">
        <row r="81">
          <cell r="H81">
            <v>222.566</v>
          </cell>
        </row>
      </sheetData>
      <sheetData sheetId="2909">
        <row r="81">
          <cell r="H81">
            <v>222.566</v>
          </cell>
        </row>
      </sheetData>
      <sheetData sheetId="2910">
        <row r="81">
          <cell r="H81">
            <v>222.566</v>
          </cell>
        </row>
      </sheetData>
      <sheetData sheetId="2911">
        <row r="81">
          <cell r="H81">
            <v>222.566</v>
          </cell>
        </row>
      </sheetData>
      <sheetData sheetId="2912">
        <row r="81">
          <cell r="H81">
            <v>222.566</v>
          </cell>
        </row>
      </sheetData>
      <sheetData sheetId="2913">
        <row r="81">
          <cell r="H81">
            <v>222.566</v>
          </cell>
        </row>
      </sheetData>
      <sheetData sheetId="2914">
        <row r="81">
          <cell r="H81">
            <v>222.566</v>
          </cell>
        </row>
      </sheetData>
      <sheetData sheetId="2915">
        <row r="81">
          <cell r="H81">
            <v>222.566</v>
          </cell>
        </row>
      </sheetData>
      <sheetData sheetId="2916">
        <row r="81">
          <cell r="H81">
            <v>222.566</v>
          </cell>
        </row>
      </sheetData>
      <sheetData sheetId="2917">
        <row r="81">
          <cell r="H81">
            <v>222.566</v>
          </cell>
        </row>
      </sheetData>
      <sheetData sheetId="2918">
        <row r="81">
          <cell r="H81">
            <v>222.566</v>
          </cell>
        </row>
      </sheetData>
      <sheetData sheetId="2919">
        <row r="81">
          <cell r="H81">
            <v>222.566</v>
          </cell>
        </row>
      </sheetData>
      <sheetData sheetId="2920">
        <row r="81">
          <cell r="H81">
            <v>222.566</v>
          </cell>
        </row>
      </sheetData>
      <sheetData sheetId="2921">
        <row r="81">
          <cell r="H81">
            <v>222.566</v>
          </cell>
        </row>
      </sheetData>
      <sheetData sheetId="2922">
        <row r="81">
          <cell r="H81">
            <v>222.566</v>
          </cell>
        </row>
      </sheetData>
      <sheetData sheetId="2923">
        <row r="81">
          <cell r="H81">
            <v>222.566</v>
          </cell>
        </row>
      </sheetData>
      <sheetData sheetId="2924">
        <row r="81">
          <cell r="H81">
            <v>222.566</v>
          </cell>
        </row>
      </sheetData>
      <sheetData sheetId="2925">
        <row r="81">
          <cell r="H81">
            <v>222.566</v>
          </cell>
        </row>
      </sheetData>
      <sheetData sheetId="2926">
        <row r="81">
          <cell r="H81">
            <v>222.566</v>
          </cell>
        </row>
      </sheetData>
      <sheetData sheetId="2927">
        <row r="81">
          <cell r="H81">
            <v>222.566</v>
          </cell>
        </row>
      </sheetData>
      <sheetData sheetId="2928">
        <row r="81">
          <cell r="H81">
            <v>222.566</v>
          </cell>
        </row>
      </sheetData>
      <sheetData sheetId="2929">
        <row r="81">
          <cell r="H81">
            <v>222.566</v>
          </cell>
        </row>
      </sheetData>
      <sheetData sheetId="2930">
        <row r="81">
          <cell r="H81">
            <v>222.566</v>
          </cell>
        </row>
      </sheetData>
      <sheetData sheetId="2931">
        <row r="81">
          <cell r="H81">
            <v>222.566</v>
          </cell>
        </row>
      </sheetData>
      <sheetData sheetId="2932">
        <row r="81">
          <cell r="H81">
            <v>222.566</v>
          </cell>
        </row>
      </sheetData>
      <sheetData sheetId="2933">
        <row r="81">
          <cell r="H81">
            <v>222.566</v>
          </cell>
        </row>
      </sheetData>
      <sheetData sheetId="2934">
        <row r="81">
          <cell r="H81">
            <v>222.566</v>
          </cell>
        </row>
      </sheetData>
      <sheetData sheetId="2935">
        <row r="81">
          <cell r="H81">
            <v>222.566</v>
          </cell>
        </row>
      </sheetData>
      <sheetData sheetId="2936">
        <row r="81">
          <cell r="H81">
            <v>222.566</v>
          </cell>
        </row>
      </sheetData>
      <sheetData sheetId="2937">
        <row r="81">
          <cell r="H81">
            <v>222.566</v>
          </cell>
        </row>
      </sheetData>
      <sheetData sheetId="2938">
        <row r="81">
          <cell r="H81">
            <v>222.566</v>
          </cell>
        </row>
      </sheetData>
      <sheetData sheetId="2939">
        <row r="81">
          <cell r="H81">
            <v>222.566</v>
          </cell>
        </row>
      </sheetData>
      <sheetData sheetId="2940">
        <row r="81">
          <cell r="H81">
            <v>222.566</v>
          </cell>
        </row>
      </sheetData>
      <sheetData sheetId="2941">
        <row r="81">
          <cell r="H81">
            <v>222.566</v>
          </cell>
        </row>
      </sheetData>
      <sheetData sheetId="2942">
        <row r="81">
          <cell r="H81">
            <v>222.566</v>
          </cell>
        </row>
      </sheetData>
      <sheetData sheetId="2943">
        <row r="81">
          <cell r="H81">
            <v>222.566</v>
          </cell>
        </row>
      </sheetData>
      <sheetData sheetId="2944">
        <row r="81">
          <cell r="H81">
            <v>222.566</v>
          </cell>
        </row>
      </sheetData>
      <sheetData sheetId="2945">
        <row r="81">
          <cell r="H81">
            <v>222.566</v>
          </cell>
        </row>
      </sheetData>
      <sheetData sheetId="2946">
        <row r="81">
          <cell r="H81">
            <v>222.566</v>
          </cell>
        </row>
      </sheetData>
      <sheetData sheetId="2947">
        <row r="81">
          <cell r="H81">
            <v>222.566</v>
          </cell>
        </row>
      </sheetData>
      <sheetData sheetId="2948">
        <row r="81">
          <cell r="H81">
            <v>222.566</v>
          </cell>
        </row>
      </sheetData>
      <sheetData sheetId="2949">
        <row r="81">
          <cell r="H81">
            <v>222.566</v>
          </cell>
        </row>
      </sheetData>
      <sheetData sheetId="2950">
        <row r="81">
          <cell r="H81">
            <v>222.566</v>
          </cell>
        </row>
      </sheetData>
      <sheetData sheetId="2951">
        <row r="81">
          <cell r="H81">
            <v>222.566</v>
          </cell>
        </row>
      </sheetData>
      <sheetData sheetId="2952">
        <row r="81">
          <cell r="H81">
            <v>222.566</v>
          </cell>
        </row>
      </sheetData>
      <sheetData sheetId="2953">
        <row r="81">
          <cell r="H81">
            <v>222.566</v>
          </cell>
        </row>
      </sheetData>
      <sheetData sheetId="2954">
        <row r="81">
          <cell r="H81">
            <v>222.566</v>
          </cell>
        </row>
      </sheetData>
      <sheetData sheetId="2955">
        <row r="81">
          <cell r="H81">
            <v>222.566</v>
          </cell>
        </row>
      </sheetData>
      <sheetData sheetId="2956">
        <row r="81">
          <cell r="H81">
            <v>222.566</v>
          </cell>
        </row>
      </sheetData>
      <sheetData sheetId="2957">
        <row r="81">
          <cell r="H81">
            <v>222.566</v>
          </cell>
        </row>
      </sheetData>
      <sheetData sheetId="2958">
        <row r="81">
          <cell r="H81">
            <v>222.566</v>
          </cell>
        </row>
      </sheetData>
      <sheetData sheetId="2959">
        <row r="81">
          <cell r="H81">
            <v>222.566</v>
          </cell>
        </row>
      </sheetData>
      <sheetData sheetId="2960">
        <row r="81">
          <cell r="H81">
            <v>222.566</v>
          </cell>
        </row>
      </sheetData>
      <sheetData sheetId="2961">
        <row r="81">
          <cell r="H81">
            <v>222.566</v>
          </cell>
        </row>
      </sheetData>
      <sheetData sheetId="2962">
        <row r="81">
          <cell r="H81">
            <v>222.566</v>
          </cell>
        </row>
      </sheetData>
      <sheetData sheetId="2963">
        <row r="81">
          <cell r="H81">
            <v>222.566</v>
          </cell>
        </row>
      </sheetData>
      <sheetData sheetId="2964">
        <row r="81">
          <cell r="H81">
            <v>222.566</v>
          </cell>
        </row>
      </sheetData>
      <sheetData sheetId="2965">
        <row r="81">
          <cell r="H81">
            <v>222.566</v>
          </cell>
        </row>
      </sheetData>
      <sheetData sheetId="2966">
        <row r="81">
          <cell r="H81">
            <v>222.566</v>
          </cell>
        </row>
      </sheetData>
      <sheetData sheetId="2967">
        <row r="81">
          <cell r="H81">
            <v>222.566</v>
          </cell>
        </row>
      </sheetData>
      <sheetData sheetId="2968">
        <row r="81">
          <cell r="H81">
            <v>222.566</v>
          </cell>
        </row>
      </sheetData>
      <sheetData sheetId="2969">
        <row r="81">
          <cell r="H81">
            <v>222.566</v>
          </cell>
        </row>
      </sheetData>
      <sheetData sheetId="2970">
        <row r="81">
          <cell r="H81">
            <v>222.566</v>
          </cell>
        </row>
      </sheetData>
      <sheetData sheetId="2971">
        <row r="81">
          <cell r="H81">
            <v>222.566</v>
          </cell>
        </row>
      </sheetData>
      <sheetData sheetId="2972">
        <row r="81">
          <cell r="H81">
            <v>222.566</v>
          </cell>
        </row>
      </sheetData>
      <sheetData sheetId="2973">
        <row r="81">
          <cell r="H81">
            <v>222.566</v>
          </cell>
        </row>
      </sheetData>
      <sheetData sheetId="2974">
        <row r="81">
          <cell r="H81">
            <v>222.566</v>
          </cell>
        </row>
      </sheetData>
      <sheetData sheetId="2975">
        <row r="81">
          <cell r="H81">
            <v>222.566</v>
          </cell>
        </row>
      </sheetData>
      <sheetData sheetId="2976">
        <row r="81">
          <cell r="H81">
            <v>222.566</v>
          </cell>
        </row>
      </sheetData>
      <sheetData sheetId="2977">
        <row r="81">
          <cell r="H81">
            <v>222.566</v>
          </cell>
        </row>
      </sheetData>
      <sheetData sheetId="2978">
        <row r="81">
          <cell r="H81">
            <v>222.566</v>
          </cell>
        </row>
      </sheetData>
      <sheetData sheetId="2979">
        <row r="81">
          <cell r="H81">
            <v>222.566</v>
          </cell>
        </row>
      </sheetData>
      <sheetData sheetId="2980">
        <row r="81">
          <cell r="H81">
            <v>222.566</v>
          </cell>
        </row>
      </sheetData>
      <sheetData sheetId="2981">
        <row r="81">
          <cell r="H81">
            <v>222.566</v>
          </cell>
        </row>
      </sheetData>
      <sheetData sheetId="2982">
        <row r="81">
          <cell r="H81">
            <v>222.566</v>
          </cell>
        </row>
      </sheetData>
      <sheetData sheetId="2983">
        <row r="81">
          <cell r="H81">
            <v>222.566</v>
          </cell>
        </row>
      </sheetData>
      <sheetData sheetId="2984">
        <row r="81">
          <cell r="H81">
            <v>222.566</v>
          </cell>
        </row>
      </sheetData>
      <sheetData sheetId="2985">
        <row r="81">
          <cell r="H81">
            <v>222.566</v>
          </cell>
        </row>
      </sheetData>
      <sheetData sheetId="2986">
        <row r="81">
          <cell r="H81">
            <v>222.566</v>
          </cell>
        </row>
      </sheetData>
      <sheetData sheetId="2987">
        <row r="81">
          <cell r="H81">
            <v>222.566</v>
          </cell>
        </row>
      </sheetData>
      <sheetData sheetId="2988">
        <row r="81">
          <cell r="H81">
            <v>222.566</v>
          </cell>
        </row>
      </sheetData>
      <sheetData sheetId="2989">
        <row r="81">
          <cell r="H81">
            <v>222.566</v>
          </cell>
        </row>
      </sheetData>
      <sheetData sheetId="2990">
        <row r="81">
          <cell r="H81">
            <v>222.566</v>
          </cell>
        </row>
      </sheetData>
      <sheetData sheetId="2991">
        <row r="81">
          <cell r="H81">
            <v>222.566</v>
          </cell>
        </row>
      </sheetData>
      <sheetData sheetId="2992">
        <row r="81">
          <cell r="H81">
            <v>222.566</v>
          </cell>
        </row>
      </sheetData>
      <sheetData sheetId="2993">
        <row r="81">
          <cell r="H81">
            <v>222.566</v>
          </cell>
        </row>
      </sheetData>
      <sheetData sheetId="2994">
        <row r="81">
          <cell r="H81">
            <v>222.566</v>
          </cell>
        </row>
      </sheetData>
      <sheetData sheetId="2995">
        <row r="81">
          <cell r="H81">
            <v>222.566</v>
          </cell>
        </row>
      </sheetData>
      <sheetData sheetId="2996">
        <row r="81">
          <cell r="H81">
            <v>222.566</v>
          </cell>
        </row>
      </sheetData>
      <sheetData sheetId="2997">
        <row r="81">
          <cell r="H81">
            <v>222.566</v>
          </cell>
        </row>
      </sheetData>
      <sheetData sheetId="2998">
        <row r="81">
          <cell r="H81">
            <v>222.566</v>
          </cell>
        </row>
      </sheetData>
      <sheetData sheetId="2999">
        <row r="81">
          <cell r="H81">
            <v>222.566</v>
          </cell>
        </row>
      </sheetData>
      <sheetData sheetId="3000">
        <row r="81">
          <cell r="H81">
            <v>222.566</v>
          </cell>
        </row>
      </sheetData>
      <sheetData sheetId="3001">
        <row r="81">
          <cell r="H81">
            <v>222.566</v>
          </cell>
        </row>
      </sheetData>
      <sheetData sheetId="3002">
        <row r="81">
          <cell r="H81">
            <v>222.566</v>
          </cell>
        </row>
      </sheetData>
      <sheetData sheetId="3003">
        <row r="81">
          <cell r="H81">
            <v>222.566</v>
          </cell>
        </row>
      </sheetData>
      <sheetData sheetId="3004">
        <row r="81">
          <cell r="H81">
            <v>222.566</v>
          </cell>
        </row>
      </sheetData>
      <sheetData sheetId="3005">
        <row r="81">
          <cell r="H81">
            <v>222.566</v>
          </cell>
        </row>
      </sheetData>
      <sheetData sheetId="3006">
        <row r="81">
          <cell r="H81">
            <v>222.566</v>
          </cell>
        </row>
      </sheetData>
      <sheetData sheetId="3007">
        <row r="81">
          <cell r="H81">
            <v>222.566</v>
          </cell>
        </row>
      </sheetData>
      <sheetData sheetId="3008">
        <row r="81">
          <cell r="H81">
            <v>222.566</v>
          </cell>
        </row>
      </sheetData>
      <sheetData sheetId="3009">
        <row r="81">
          <cell r="H81">
            <v>222.566</v>
          </cell>
        </row>
      </sheetData>
      <sheetData sheetId="3010">
        <row r="81">
          <cell r="H81">
            <v>222.566</v>
          </cell>
        </row>
      </sheetData>
      <sheetData sheetId="3011">
        <row r="81">
          <cell r="H81">
            <v>222.566</v>
          </cell>
        </row>
      </sheetData>
      <sheetData sheetId="3012">
        <row r="81">
          <cell r="H81">
            <v>222.566</v>
          </cell>
        </row>
      </sheetData>
      <sheetData sheetId="3013">
        <row r="81">
          <cell r="H81">
            <v>222.566</v>
          </cell>
        </row>
      </sheetData>
      <sheetData sheetId="3014">
        <row r="81">
          <cell r="H81">
            <v>222.566</v>
          </cell>
        </row>
      </sheetData>
      <sheetData sheetId="3015">
        <row r="81">
          <cell r="H81">
            <v>222.566</v>
          </cell>
        </row>
      </sheetData>
      <sheetData sheetId="3016">
        <row r="81">
          <cell r="H81">
            <v>222.566</v>
          </cell>
        </row>
      </sheetData>
      <sheetData sheetId="3017">
        <row r="81">
          <cell r="H81">
            <v>222.566</v>
          </cell>
        </row>
      </sheetData>
      <sheetData sheetId="3018">
        <row r="81">
          <cell r="H81">
            <v>222.566</v>
          </cell>
        </row>
      </sheetData>
      <sheetData sheetId="3019">
        <row r="81">
          <cell r="H81">
            <v>222.566</v>
          </cell>
        </row>
      </sheetData>
      <sheetData sheetId="3020">
        <row r="81">
          <cell r="H81">
            <v>222.566</v>
          </cell>
        </row>
      </sheetData>
      <sheetData sheetId="3021">
        <row r="81">
          <cell r="H81">
            <v>222.566</v>
          </cell>
        </row>
      </sheetData>
      <sheetData sheetId="3022">
        <row r="81">
          <cell r="H81">
            <v>222.566</v>
          </cell>
        </row>
      </sheetData>
      <sheetData sheetId="3023">
        <row r="81">
          <cell r="H81">
            <v>222.566</v>
          </cell>
        </row>
      </sheetData>
      <sheetData sheetId="3024">
        <row r="81">
          <cell r="H81">
            <v>222.566</v>
          </cell>
        </row>
      </sheetData>
      <sheetData sheetId="3025">
        <row r="81">
          <cell r="H81">
            <v>222.566</v>
          </cell>
        </row>
      </sheetData>
      <sheetData sheetId="3026">
        <row r="81">
          <cell r="H81">
            <v>222.566</v>
          </cell>
        </row>
      </sheetData>
      <sheetData sheetId="3027">
        <row r="81">
          <cell r="H81">
            <v>222.566</v>
          </cell>
        </row>
      </sheetData>
      <sheetData sheetId="3028">
        <row r="81">
          <cell r="H81">
            <v>222.566</v>
          </cell>
        </row>
      </sheetData>
      <sheetData sheetId="3029">
        <row r="81">
          <cell r="H81">
            <v>222.566</v>
          </cell>
        </row>
      </sheetData>
      <sheetData sheetId="3030">
        <row r="81">
          <cell r="H81">
            <v>222.566</v>
          </cell>
        </row>
      </sheetData>
      <sheetData sheetId="3031">
        <row r="81">
          <cell r="H81">
            <v>222.566</v>
          </cell>
        </row>
      </sheetData>
      <sheetData sheetId="3032">
        <row r="81">
          <cell r="H81">
            <v>222.566</v>
          </cell>
        </row>
      </sheetData>
      <sheetData sheetId="3033">
        <row r="81">
          <cell r="H81">
            <v>222.566</v>
          </cell>
        </row>
      </sheetData>
      <sheetData sheetId="3034">
        <row r="81">
          <cell r="H81">
            <v>222.566</v>
          </cell>
        </row>
      </sheetData>
      <sheetData sheetId="3035">
        <row r="81">
          <cell r="H81">
            <v>222.566</v>
          </cell>
        </row>
      </sheetData>
      <sheetData sheetId="3036">
        <row r="81">
          <cell r="H81">
            <v>222.566</v>
          </cell>
        </row>
      </sheetData>
      <sheetData sheetId="3037">
        <row r="81">
          <cell r="H81">
            <v>222.566</v>
          </cell>
        </row>
      </sheetData>
      <sheetData sheetId="3038">
        <row r="81">
          <cell r="H81">
            <v>222.566</v>
          </cell>
        </row>
      </sheetData>
      <sheetData sheetId="3039">
        <row r="81">
          <cell r="H81">
            <v>222.566</v>
          </cell>
        </row>
      </sheetData>
      <sheetData sheetId="3040">
        <row r="81">
          <cell r="H81">
            <v>222.566</v>
          </cell>
        </row>
      </sheetData>
      <sheetData sheetId="3041">
        <row r="81">
          <cell r="H81">
            <v>222.566</v>
          </cell>
        </row>
      </sheetData>
      <sheetData sheetId="3042">
        <row r="81">
          <cell r="H81">
            <v>222.566</v>
          </cell>
        </row>
      </sheetData>
      <sheetData sheetId="3043">
        <row r="81">
          <cell r="H81">
            <v>222.566</v>
          </cell>
        </row>
      </sheetData>
      <sheetData sheetId="3044">
        <row r="81">
          <cell r="H81">
            <v>222.566</v>
          </cell>
        </row>
      </sheetData>
      <sheetData sheetId="3045">
        <row r="81">
          <cell r="H81">
            <v>222.566</v>
          </cell>
        </row>
      </sheetData>
      <sheetData sheetId="3046">
        <row r="81">
          <cell r="H81">
            <v>222.566</v>
          </cell>
        </row>
      </sheetData>
      <sheetData sheetId="3047">
        <row r="81">
          <cell r="H81">
            <v>222.566</v>
          </cell>
        </row>
      </sheetData>
      <sheetData sheetId="3048">
        <row r="81">
          <cell r="H81">
            <v>222.566</v>
          </cell>
        </row>
      </sheetData>
      <sheetData sheetId="3049">
        <row r="81">
          <cell r="H81">
            <v>222.566</v>
          </cell>
        </row>
      </sheetData>
      <sheetData sheetId="3050">
        <row r="81">
          <cell r="H81">
            <v>222.566</v>
          </cell>
        </row>
      </sheetData>
      <sheetData sheetId="3051">
        <row r="81">
          <cell r="H81">
            <v>222.566</v>
          </cell>
        </row>
      </sheetData>
      <sheetData sheetId="3052">
        <row r="81">
          <cell r="H81">
            <v>222.566</v>
          </cell>
        </row>
      </sheetData>
      <sheetData sheetId="3053">
        <row r="81">
          <cell r="H81">
            <v>222.566</v>
          </cell>
        </row>
      </sheetData>
      <sheetData sheetId="3054">
        <row r="81">
          <cell r="H81">
            <v>222.566</v>
          </cell>
        </row>
      </sheetData>
      <sheetData sheetId="3055">
        <row r="81">
          <cell r="H81">
            <v>222.566</v>
          </cell>
        </row>
      </sheetData>
      <sheetData sheetId="3056">
        <row r="81">
          <cell r="H81">
            <v>222.566</v>
          </cell>
        </row>
      </sheetData>
      <sheetData sheetId="3057">
        <row r="81">
          <cell r="H81">
            <v>222.566</v>
          </cell>
        </row>
      </sheetData>
      <sheetData sheetId="3058">
        <row r="81">
          <cell r="H81">
            <v>222.566</v>
          </cell>
        </row>
      </sheetData>
      <sheetData sheetId="3059">
        <row r="81">
          <cell r="H81">
            <v>222.566</v>
          </cell>
        </row>
      </sheetData>
      <sheetData sheetId="3060">
        <row r="81">
          <cell r="H81">
            <v>222.566</v>
          </cell>
        </row>
      </sheetData>
      <sheetData sheetId="3061">
        <row r="81">
          <cell r="H81">
            <v>222.566</v>
          </cell>
        </row>
      </sheetData>
      <sheetData sheetId="3062">
        <row r="81">
          <cell r="H81">
            <v>222.566</v>
          </cell>
        </row>
      </sheetData>
      <sheetData sheetId="3063">
        <row r="81">
          <cell r="H81">
            <v>222.566</v>
          </cell>
        </row>
      </sheetData>
      <sheetData sheetId="3064">
        <row r="81">
          <cell r="H81">
            <v>222.566</v>
          </cell>
        </row>
      </sheetData>
      <sheetData sheetId="3065">
        <row r="81">
          <cell r="H81">
            <v>222.566</v>
          </cell>
        </row>
      </sheetData>
      <sheetData sheetId="3066">
        <row r="81">
          <cell r="H81">
            <v>222.566</v>
          </cell>
        </row>
      </sheetData>
      <sheetData sheetId="3067">
        <row r="81">
          <cell r="H81">
            <v>222.566</v>
          </cell>
        </row>
      </sheetData>
      <sheetData sheetId="3068">
        <row r="81">
          <cell r="H81">
            <v>222.566</v>
          </cell>
        </row>
      </sheetData>
      <sheetData sheetId="3069">
        <row r="81">
          <cell r="H81">
            <v>222.566</v>
          </cell>
        </row>
      </sheetData>
      <sheetData sheetId="3070">
        <row r="81">
          <cell r="H81">
            <v>222.566</v>
          </cell>
        </row>
      </sheetData>
      <sheetData sheetId="3071">
        <row r="81">
          <cell r="H81">
            <v>222.566</v>
          </cell>
        </row>
      </sheetData>
      <sheetData sheetId="3072">
        <row r="81">
          <cell r="H81">
            <v>222.566</v>
          </cell>
        </row>
      </sheetData>
      <sheetData sheetId="3073">
        <row r="81">
          <cell r="H81">
            <v>222.566</v>
          </cell>
        </row>
      </sheetData>
      <sheetData sheetId="3074">
        <row r="81">
          <cell r="H81">
            <v>222.566</v>
          </cell>
        </row>
      </sheetData>
      <sheetData sheetId="3075">
        <row r="81">
          <cell r="H81">
            <v>222.566</v>
          </cell>
        </row>
      </sheetData>
      <sheetData sheetId="3076">
        <row r="81">
          <cell r="H81">
            <v>222.566</v>
          </cell>
        </row>
      </sheetData>
      <sheetData sheetId="3077">
        <row r="81">
          <cell r="H81">
            <v>222.566</v>
          </cell>
        </row>
      </sheetData>
      <sheetData sheetId="3078">
        <row r="81">
          <cell r="H81">
            <v>222.566</v>
          </cell>
        </row>
      </sheetData>
      <sheetData sheetId="3079">
        <row r="81">
          <cell r="H81">
            <v>222.566</v>
          </cell>
        </row>
      </sheetData>
      <sheetData sheetId="3080">
        <row r="81">
          <cell r="H81">
            <v>222.566</v>
          </cell>
        </row>
      </sheetData>
      <sheetData sheetId="3081">
        <row r="81">
          <cell r="H81">
            <v>222.566</v>
          </cell>
        </row>
      </sheetData>
      <sheetData sheetId="3082">
        <row r="81">
          <cell r="H81">
            <v>222.566</v>
          </cell>
        </row>
      </sheetData>
      <sheetData sheetId="3083">
        <row r="81">
          <cell r="H81">
            <v>222.566</v>
          </cell>
        </row>
      </sheetData>
      <sheetData sheetId="3084">
        <row r="81">
          <cell r="H81">
            <v>222.566</v>
          </cell>
        </row>
      </sheetData>
      <sheetData sheetId="3085">
        <row r="81">
          <cell r="H81">
            <v>222.566</v>
          </cell>
        </row>
      </sheetData>
      <sheetData sheetId="3086">
        <row r="81">
          <cell r="H81">
            <v>222.566</v>
          </cell>
        </row>
      </sheetData>
      <sheetData sheetId="3087">
        <row r="81">
          <cell r="H81">
            <v>222.566</v>
          </cell>
        </row>
      </sheetData>
      <sheetData sheetId="3088">
        <row r="81">
          <cell r="H81">
            <v>222.566</v>
          </cell>
        </row>
      </sheetData>
      <sheetData sheetId="3089">
        <row r="81">
          <cell r="H81">
            <v>222.566</v>
          </cell>
        </row>
      </sheetData>
      <sheetData sheetId="3090">
        <row r="81">
          <cell r="H81">
            <v>222.566</v>
          </cell>
        </row>
      </sheetData>
      <sheetData sheetId="3091">
        <row r="81">
          <cell r="H81">
            <v>222.566</v>
          </cell>
        </row>
      </sheetData>
      <sheetData sheetId="3092">
        <row r="81">
          <cell r="H81">
            <v>222.566</v>
          </cell>
        </row>
      </sheetData>
      <sheetData sheetId="3093">
        <row r="81">
          <cell r="H81">
            <v>222.566</v>
          </cell>
        </row>
      </sheetData>
      <sheetData sheetId="3094">
        <row r="81">
          <cell r="H81">
            <v>222.566</v>
          </cell>
        </row>
      </sheetData>
      <sheetData sheetId="3095">
        <row r="81">
          <cell r="H81">
            <v>222.566</v>
          </cell>
        </row>
      </sheetData>
      <sheetData sheetId="3096">
        <row r="81">
          <cell r="H81">
            <v>222.566</v>
          </cell>
        </row>
      </sheetData>
      <sheetData sheetId="3097">
        <row r="81">
          <cell r="H81">
            <v>222.566</v>
          </cell>
        </row>
      </sheetData>
      <sheetData sheetId="3098">
        <row r="81">
          <cell r="H81">
            <v>222.566</v>
          </cell>
        </row>
      </sheetData>
      <sheetData sheetId="3099">
        <row r="81">
          <cell r="H81">
            <v>222.566</v>
          </cell>
        </row>
      </sheetData>
      <sheetData sheetId="3100">
        <row r="81">
          <cell r="H81">
            <v>222.566</v>
          </cell>
        </row>
      </sheetData>
      <sheetData sheetId="3101">
        <row r="81">
          <cell r="H81">
            <v>222.566</v>
          </cell>
        </row>
      </sheetData>
      <sheetData sheetId="3102">
        <row r="81">
          <cell r="H81">
            <v>222.566</v>
          </cell>
        </row>
      </sheetData>
      <sheetData sheetId="3103">
        <row r="81">
          <cell r="H81">
            <v>222.566</v>
          </cell>
        </row>
      </sheetData>
      <sheetData sheetId="3104">
        <row r="81">
          <cell r="H81">
            <v>222.566</v>
          </cell>
        </row>
      </sheetData>
      <sheetData sheetId="3105">
        <row r="81">
          <cell r="H81">
            <v>222.566</v>
          </cell>
        </row>
      </sheetData>
      <sheetData sheetId="3106">
        <row r="81">
          <cell r="H81">
            <v>222.566</v>
          </cell>
        </row>
      </sheetData>
      <sheetData sheetId="3107">
        <row r="81">
          <cell r="H81">
            <v>222.566</v>
          </cell>
        </row>
      </sheetData>
      <sheetData sheetId="3108">
        <row r="81">
          <cell r="H81">
            <v>222.566</v>
          </cell>
        </row>
      </sheetData>
      <sheetData sheetId="3109">
        <row r="81">
          <cell r="H81">
            <v>222.566</v>
          </cell>
        </row>
      </sheetData>
      <sheetData sheetId="3110">
        <row r="81">
          <cell r="H81">
            <v>222.566</v>
          </cell>
        </row>
      </sheetData>
      <sheetData sheetId="3111">
        <row r="81">
          <cell r="H81">
            <v>222.566</v>
          </cell>
        </row>
      </sheetData>
      <sheetData sheetId="3112">
        <row r="81">
          <cell r="H81">
            <v>222.566</v>
          </cell>
        </row>
      </sheetData>
      <sheetData sheetId="3113">
        <row r="81">
          <cell r="H81">
            <v>222.566</v>
          </cell>
        </row>
      </sheetData>
      <sheetData sheetId="3114">
        <row r="81">
          <cell r="H81">
            <v>222.566</v>
          </cell>
        </row>
      </sheetData>
      <sheetData sheetId="3115">
        <row r="81">
          <cell r="H81">
            <v>222.566</v>
          </cell>
        </row>
      </sheetData>
      <sheetData sheetId="3116">
        <row r="81">
          <cell r="H81">
            <v>222.566</v>
          </cell>
        </row>
      </sheetData>
      <sheetData sheetId="3117">
        <row r="81">
          <cell r="H81">
            <v>222.566</v>
          </cell>
        </row>
      </sheetData>
      <sheetData sheetId="3118">
        <row r="81">
          <cell r="H81">
            <v>222.566</v>
          </cell>
        </row>
      </sheetData>
      <sheetData sheetId="3119">
        <row r="81">
          <cell r="H81">
            <v>222.566</v>
          </cell>
        </row>
      </sheetData>
      <sheetData sheetId="3120">
        <row r="81">
          <cell r="H81">
            <v>222.566</v>
          </cell>
        </row>
      </sheetData>
      <sheetData sheetId="3121">
        <row r="81">
          <cell r="H81">
            <v>222.566</v>
          </cell>
        </row>
      </sheetData>
      <sheetData sheetId="3122">
        <row r="81">
          <cell r="H81">
            <v>222.566</v>
          </cell>
        </row>
      </sheetData>
      <sheetData sheetId="3123">
        <row r="81">
          <cell r="H81">
            <v>222.566</v>
          </cell>
        </row>
      </sheetData>
      <sheetData sheetId="3124">
        <row r="81">
          <cell r="H81">
            <v>222.566</v>
          </cell>
        </row>
      </sheetData>
      <sheetData sheetId="3125">
        <row r="81">
          <cell r="H81">
            <v>222.566</v>
          </cell>
        </row>
      </sheetData>
      <sheetData sheetId="3126">
        <row r="81">
          <cell r="H81">
            <v>222.566</v>
          </cell>
        </row>
      </sheetData>
      <sheetData sheetId="3127">
        <row r="81">
          <cell r="H81">
            <v>222.566</v>
          </cell>
        </row>
      </sheetData>
      <sheetData sheetId="3128">
        <row r="81">
          <cell r="H81">
            <v>222.566</v>
          </cell>
        </row>
      </sheetData>
      <sheetData sheetId="3129">
        <row r="81">
          <cell r="H81">
            <v>222.566</v>
          </cell>
        </row>
      </sheetData>
      <sheetData sheetId="3130">
        <row r="81">
          <cell r="H81">
            <v>222.566</v>
          </cell>
        </row>
      </sheetData>
      <sheetData sheetId="3131">
        <row r="81">
          <cell r="H81">
            <v>222.566</v>
          </cell>
        </row>
      </sheetData>
      <sheetData sheetId="3132">
        <row r="81">
          <cell r="H81">
            <v>222.566</v>
          </cell>
        </row>
      </sheetData>
      <sheetData sheetId="3133">
        <row r="81">
          <cell r="H81">
            <v>222.566</v>
          </cell>
        </row>
      </sheetData>
      <sheetData sheetId="3134">
        <row r="81">
          <cell r="H81">
            <v>222.566</v>
          </cell>
        </row>
      </sheetData>
      <sheetData sheetId="3135">
        <row r="81">
          <cell r="H81">
            <v>222.566</v>
          </cell>
        </row>
      </sheetData>
      <sheetData sheetId="3136">
        <row r="81">
          <cell r="H81">
            <v>222.566</v>
          </cell>
        </row>
      </sheetData>
      <sheetData sheetId="3137">
        <row r="81">
          <cell r="H81">
            <v>222.566</v>
          </cell>
        </row>
      </sheetData>
      <sheetData sheetId="3138">
        <row r="81">
          <cell r="H81">
            <v>222.566</v>
          </cell>
        </row>
      </sheetData>
      <sheetData sheetId="3139">
        <row r="81">
          <cell r="H81">
            <v>222.566</v>
          </cell>
        </row>
      </sheetData>
      <sheetData sheetId="3140">
        <row r="81">
          <cell r="H81">
            <v>222.566</v>
          </cell>
        </row>
      </sheetData>
      <sheetData sheetId="3141">
        <row r="81">
          <cell r="H81">
            <v>222.566</v>
          </cell>
        </row>
      </sheetData>
      <sheetData sheetId="3142">
        <row r="81">
          <cell r="H81">
            <v>222.566</v>
          </cell>
        </row>
      </sheetData>
      <sheetData sheetId="3143">
        <row r="81">
          <cell r="H81">
            <v>222.566</v>
          </cell>
        </row>
      </sheetData>
      <sheetData sheetId="3144">
        <row r="81">
          <cell r="H81">
            <v>222.566</v>
          </cell>
        </row>
      </sheetData>
      <sheetData sheetId="3145">
        <row r="81">
          <cell r="H81">
            <v>222.566</v>
          </cell>
        </row>
      </sheetData>
      <sheetData sheetId="3146">
        <row r="81">
          <cell r="H81">
            <v>222.566</v>
          </cell>
        </row>
      </sheetData>
      <sheetData sheetId="3147" refreshError="1"/>
      <sheetData sheetId="3148" refreshError="1"/>
      <sheetData sheetId="3149" refreshError="1"/>
      <sheetData sheetId="3150" refreshError="1"/>
      <sheetData sheetId="3151" refreshError="1"/>
      <sheetData sheetId="3152" refreshError="1"/>
      <sheetData sheetId="3153">
        <row r="81">
          <cell r="H81">
            <v>222.566</v>
          </cell>
        </row>
      </sheetData>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ow r="81">
          <cell r="H81">
            <v>222.566</v>
          </cell>
        </row>
      </sheetData>
      <sheetData sheetId="3173" refreshError="1"/>
      <sheetData sheetId="3174" refreshError="1"/>
      <sheetData sheetId="3175" refreshError="1"/>
      <sheetData sheetId="3176" refreshError="1"/>
      <sheetData sheetId="3177" refreshError="1"/>
      <sheetData sheetId="3178" refreshError="1"/>
      <sheetData sheetId="3179" refreshError="1"/>
      <sheetData sheetId="3180">
        <row r="81">
          <cell r="H81">
            <v>222.566</v>
          </cell>
        </row>
      </sheetData>
      <sheetData sheetId="3181">
        <row r="81">
          <cell r="H81">
            <v>222.566</v>
          </cell>
        </row>
      </sheetData>
      <sheetData sheetId="3182">
        <row r="81">
          <cell r="H81">
            <v>222.566</v>
          </cell>
        </row>
      </sheetData>
      <sheetData sheetId="3183">
        <row r="81">
          <cell r="H81">
            <v>222.566</v>
          </cell>
        </row>
      </sheetData>
      <sheetData sheetId="3184">
        <row r="81">
          <cell r="H81">
            <v>222.566</v>
          </cell>
        </row>
      </sheetData>
      <sheetData sheetId="3185">
        <row r="81">
          <cell r="H81">
            <v>222.566</v>
          </cell>
        </row>
      </sheetData>
      <sheetData sheetId="3186">
        <row r="81">
          <cell r="H81">
            <v>222.566</v>
          </cell>
        </row>
      </sheetData>
      <sheetData sheetId="3187">
        <row r="81">
          <cell r="H81">
            <v>222.566</v>
          </cell>
        </row>
      </sheetData>
      <sheetData sheetId="3188">
        <row r="81">
          <cell r="H81">
            <v>222.566</v>
          </cell>
        </row>
      </sheetData>
      <sheetData sheetId="3189">
        <row r="81">
          <cell r="H81">
            <v>222.566</v>
          </cell>
        </row>
      </sheetData>
      <sheetData sheetId="3190">
        <row r="81">
          <cell r="H81">
            <v>222.566</v>
          </cell>
        </row>
      </sheetData>
      <sheetData sheetId="3191">
        <row r="81">
          <cell r="H81">
            <v>222.566</v>
          </cell>
        </row>
      </sheetData>
      <sheetData sheetId="3192">
        <row r="81">
          <cell r="H81">
            <v>222.566</v>
          </cell>
        </row>
      </sheetData>
      <sheetData sheetId="3193">
        <row r="81">
          <cell r="H81">
            <v>222.566</v>
          </cell>
        </row>
      </sheetData>
      <sheetData sheetId="3194">
        <row r="81">
          <cell r="H81">
            <v>222.566</v>
          </cell>
        </row>
      </sheetData>
      <sheetData sheetId="3195">
        <row r="81">
          <cell r="H81">
            <v>222.566</v>
          </cell>
        </row>
      </sheetData>
      <sheetData sheetId="3196">
        <row r="81">
          <cell r="H81">
            <v>222.566</v>
          </cell>
        </row>
      </sheetData>
      <sheetData sheetId="3197">
        <row r="81">
          <cell r="H81">
            <v>222.566</v>
          </cell>
        </row>
      </sheetData>
      <sheetData sheetId="3198">
        <row r="81">
          <cell r="H81">
            <v>222.566</v>
          </cell>
        </row>
      </sheetData>
      <sheetData sheetId="3199">
        <row r="81">
          <cell r="H81">
            <v>222.566</v>
          </cell>
        </row>
      </sheetData>
      <sheetData sheetId="3200">
        <row r="81">
          <cell r="H81">
            <v>222.566</v>
          </cell>
        </row>
      </sheetData>
      <sheetData sheetId="3201">
        <row r="81">
          <cell r="H81">
            <v>222.566</v>
          </cell>
        </row>
      </sheetData>
      <sheetData sheetId="3202">
        <row r="81">
          <cell r="H81">
            <v>222.566</v>
          </cell>
        </row>
      </sheetData>
      <sheetData sheetId="3203">
        <row r="81">
          <cell r="H81">
            <v>222.566</v>
          </cell>
        </row>
      </sheetData>
      <sheetData sheetId="3204">
        <row r="81">
          <cell r="H81">
            <v>222.566</v>
          </cell>
        </row>
      </sheetData>
      <sheetData sheetId="3205">
        <row r="81">
          <cell r="H81">
            <v>222.566</v>
          </cell>
        </row>
      </sheetData>
      <sheetData sheetId="3206">
        <row r="81">
          <cell r="H81">
            <v>222.566</v>
          </cell>
        </row>
      </sheetData>
      <sheetData sheetId="3207">
        <row r="81">
          <cell r="H81">
            <v>222.566</v>
          </cell>
        </row>
      </sheetData>
      <sheetData sheetId="3208">
        <row r="81">
          <cell r="H81">
            <v>222.566</v>
          </cell>
        </row>
      </sheetData>
      <sheetData sheetId="3209">
        <row r="81">
          <cell r="H81">
            <v>222.566</v>
          </cell>
        </row>
      </sheetData>
      <sheetData sheetId="3210">
        <row r="81">
          <cell r="H81">
            <v>222.566</v>
          </cell>
        </row>
      </sheetData>
      <sheetData sheetId="3211">
        <row r="81">
          <cell r="H81">
            <v>222.566</v>
          </cell>
        </row>
      </sheetData>
      <sheetData sheetId="3212">
        <row r="81">
          <cell r="H81">
            <v>222.566</v>
          </cell>
        </row>
      </sheetData>
      <sheetData sheetId="3213">
        <row r="81">
          <cell r="H81">
            <v>222.566</v>
          </cell>
        </row>
      </sheetData>
      <sheetData sheetId="3214">
        <row r="81">
          <cell r="H81">
            <v>222.566</v>
          </cell>
        </row>
      </sheetData>
      <sheetData sheetId="3215">
        <row r="81">
          <cell r="H81">
            <v>222.566</v>
          </cell>
        </row>
      </sheetData>
      <sheetData sheetId="3216">
        <row r="81">
          <cell r="H81">
            <v>222.566</v>
          </cell>
        </row>
      </sheetData>
      <sheetData sheetId="3217">
        <row r="81">
          <cell r="H81">
            <v>222.566</v>
          </cell>
        </row>
      </sheetData>
      <sheetData sheetId="3218">
        <row r="81">
          <cell r="H81">
            <v>222.566</v>
          </cell>
        </row>
      </sheetData>
      <sheetData sheetId="3219">
        <row r="81">
          <cell r="H81">
            <v>222.566</v>
          </cell>
        </row>
      </sheetData>
      <sheetData sheetId="3220">
        <row r="81">
          <cell r="H81">
            <v>222.566</v>
          </cell>
        </row>
      </sheetData>
      <sheetData sheetId="3221">
        <row r="81">
          <cell r="H81">
            <v>222.566</v>
          </cell>
        </row>
      </sheetData>
      <sheetData sheetId="3222">
        <row r="81">
          <cell r="H81">
            <v>222.566</v>
          </cell>
        </row>
      </sheetData>
      <sheetData sheetId="3223">
        <row r="81">
          <cell r="H81">
            <v>222.566</v>
          </cell>
        </row>
      </sheetData>
      <sheetData sheetId="3224">
        <row r="81">
          <cell r="H81">
            <v>222.566</v>
          </cell>
        </row>
      </sheetData>
      <sheetData sheetId="3225">
        <row r="81">
          <cell r="H81">
            <v>222.566</v>
          </cell>
        </row>
      </sheetData>
      <sheetData sheetId="3226">
        <row r="81">
          <cell r="H81">
            <v>222.566</v>
          </cell>
        </row>
      </sheetData>
      <sheetData sheetId="3227">
        <row r="81">
          <cell r="H81">
            <v>222.566</v>
          </cell>
        </row>
      </sheetData>
      <sheetData sheetId="3228">
        <row r="81">
          <cell r="H81">
            <v>222.566</v>
          </cell>
        </row>
      </sheetData>
      <sheetData sheetId="3229">
        <row r="81">
          <cell r="H81">
            <v>222.566</v>
          </cell>
        </row>
      </sheetData>
      <sheetData sheetId="3230">
        <row r="81">
          <cell r="H81">
            <v>222.566</v>
          </cell>
        </row>
      </sheetData>
      <sheetData sheetId="3231">
        <row r="81">
          <cell r="H81">
            <v>222.566</v>
          </cell>
        </row>
      </sheetData>
      <sheetData sheetId="3232">
        <row r="81">
          <cell r="H81">
            <v>222.566</v>
          </cell>
        </row>
      </sheetData>
      <sheetData sheetId="3233">
        <row r="81">
          <cell r="H81">
            <v>222.566</v>
          </cell>
        </row>
      </sheetData>
      <sheetData sheetId="3234">
        <row r="81">
          <cell r="H81">
            <v>222.566</v>
          </cell>
        </row>
      </sheetData>
      <sheetData sheetId="3235">
        <row r="81">
          <cell r="H81">
            <v>222.566</v>
          </cell>
        </row>
      </sheetData>
      <sheetData sheetId="3236">
        <row r="81">
          <cell r="H81">
            <v>222.566</v>
          </cell>
        </row>
      </sheetData>
      <sheetData sheetId="3237">
        <row r="81">
          <cell r="H81">
            <v>222.566</v>
          </cell>
        </row>
      </sheetData>
      <sheetData sheetId="3238">
        <row r="81">
          <cell r="H81">
            <v>222.566</v>
          </cell>
        </row>
      </sheetData>
      <sheetData sheetId="3239">
        <row r="81">
          <cell r="H81">
            <v>222.566</v>
          </cell>
        </row>
      </sheetData>
      <sheetData sheetId="3240">
        <row r="81">
          <cell r="H81">
            <v>222.566</v>
          </cell>
        </row>
      </sheetData>
      <sheetData sheetId="3241">
        <row r="81">
          <cell r="H81">
            <v>222.566</v>
          </cell>
        </row>
      </sheetData>
      <sheetData sheetId="3242">
        <row r="81">
          <cell r="H81">
            <v>222.566</v>
          </cell>
        </row>
      </sheetData>
      <sheetData sheetId="3243">
        <row r="81">
          <cell r="H81">
            <v>222.566</v>
          </cell>
        </row>
      </sheetData>
      <sheetData sheetId="3244">
        <row r="81">
          <cell r="H81">
            <v>222.566</v>
          </cell>
        </row>
      </sheetData>
      <sheetData sheetId="3245">
        <row r="81">
          <cell r="H81">
            <v>222.566</v>
          </cell>
        </row>
      </sheetData>
      <sheetData sheetId="3246">
        <row r="81">
          <cell r="H81">
            <v>222.566</v>
          </cell>
        </row>
      </sheetData>
      <sheetData sheetId="3247">
        <row r="81">
          <cell r="H81">
            <v>222.566</v>
          </cell>
        </row>
      </sheetData>
      <sheetData sheetId="3248">
        <row r="81">
          <cell r="H81">
            <v>222.566</v>
          </cell>
        </row>
      </sheetData>
      <sheetData sheetId="3249">
        <row r="81">
          <cell r="H81">
            <v>222.566</v>
          </cell>
        </row>
      </sheetData>
      <sheetData sheetId="3250">
        <row r="81">
          <cell r="H81">
            <v>222.566</v>
          </cell>
        </row>
      </sheetData>
      <sheetData sheetId="3251">
        <row r="81">
          <cell r="H81">
            <v>222.566</v>
          </cell>
        </row>
      </sheetData>
      <sheetData sheetId="3252">
        <row r="81">
          <cell r="H81">
            <v>222.566</v>
          </cell>
        </row>
      </sheetData>
      <sheetData sheetId="3253">
        <row r="81">
          <cell r="H81">
            <v>222.566</v>
          </cell>
        </row>
      </sheetData>
      <sheetData sheetId="3254">
        <row r="81">
          <cell r="H81">
            <v>222.566</v>
          </cell>
        </row>
      </sheetData>
      <sheetData sheetId="3255">
        <row r="81">
          <cell r="H81">
            <v>222.566</v>
          </cell>
        </row>
      </sheetData>
      <sheetData sheetId="3256">
        <row r="81">
          <cell r="H81">
            <v>222.566</v>
          </cell>
        </row>
      </sheetData>
      <sheetData sheetId="3257">
        <row r="81">
          <cell r="H81">
            <v>222.566</v>
          </cell>
        </row>
      </sheetData>
      <sheetData sheetId="3258">
        <row r="81">
          <cell r="H81">
            <v>222.566</v>
          </cell>
        </row>
      </sheetData>
      <sheetData sheetId="3259">
        <row r="81">
          <cell r="H81">
            <v>222.566</v>
          </cell>
        </row>
      </sheetData>
      <sheetData sheetId="3260">
        <row r="81">
          <cell r="H81">
            <v>222.566</v>
          </cell>
        </row>
      </sheetData>
      <sheetData sheetId="3261">
        <row r="81">
          <cell r="H81">
            <v>222.566</v>
          </cell>
        </row>
      </sheetData>
      <sheetData sheetId="3262">
        <row r="81">
          <cell r="H81">
            <v>222.566</v>
          </cell>
        </row>
      </sheetData>
      <sheetData sheetId="3263">
        <row r="81">
          <cell r="H81">
            <v>222.566</v>
          </cell>
        </row>
      </sheetData>
      <sheetData sheetId="3264">
        <row r="81">
          <cell r="H81">
            <v>222.566</v>
          </cell>
        </row>
      </sheetData>
      <sheetData sheetId="3265">
        <row r="81">
          <cell r="H81">
            <v>222.566</v>
          </cell>
        </row>
      </sheetData>
      <sheetData sheetId="3266">
        <row r="81">
          <cell r="H81">
            <v>222.566</v>
          </cell>
        </row>
      </sheetData>
      <sheetData sheetId="3267">
        <row r="81">
          <cell r="H81">
            <v>222.566</v>
          </cell>
        </row>
      </sheetData>
      <sheetData sheetId="3268">
        <row r="81">
          <cell r="H81">
            <v>222.566</v>
          </cell>
        </row>
      </sheetData>
      <sheetData sheetId="3269">
        <row r="81">
          <cell r="H81">
            <v>222.566</v>
          </cell>
        </row>
      </sheetData>
      <sheetData sheetId="3270">
        <row r="81">
          <cell r="H81">
            <v>222.566</v>
          </cell>
        </row>
      </sheetData>
      <sheetData sheetId="3271">
        <row r="81">
          <cell r="H81">
            <v>222.566</v>
          </cell>
        </row>
      </sheetData>
      <sheetData sheetId="3272">
        <row r="81">
          <cell r="H81">
            <v>222.566</v>
          </cell>
        </row>
      </sheetData>
      <sheetData sheetId="3273">
        <row r="81">
          <cell r="H81">
            <v>222.566</v>
          </cell>
        </row>
      </sheetData>
      <sheetData sheetId="3274">
        <row r="81">
          <cell r="H81">
            <v>222.566</v>
          </cell>
        </row>
      </sheetData>
      <sheetData sheetId="3275">
        <row r="81">
          <cell r="H81">
            <v>222.566</v>
          </cell>
        </row>
      </sheetData>
      <sheetData sheetId="3276">
        <row r="81">
          <cell r="H81">
            <v>222.566</v>
          </cell>
        </row>
      </sheetData>
      <sheetData sheetId="3277">
        <row r="81">
          <cell r="H81">
            <v>222.566</v>
          </cell>
        </row>
      </sheetData>
      <sheetData sheetId="3278">
        <row r="81">
          <cell r="H81">
            <v>222.566</v>
          </cell>
        </row>
      </sheetData>
      <sheetData sheetId="3279">
        <row r="81">
          <cell r="H81">
            <v>222.566</v>
          </cell>
        </row>
      </sheetData>
      <sheetData sheetId="3280">
        <row r="81">
          <cell r="H81">
            <v>222.566</v>
          </cell>
        </row>
      </sheetData>
      <sheetData sheetId="3281">
        <row r="81">
          <cell r="H81">
            <v>222.566</v>
          </cell>
        </row>
      </sheetData>
      <sheetData sheetId="3282">
        <row r="81">
          <cell r="H81">
            <v>222.566</v>
          </cell>
        </row>
      </sheetData>
      <sheetData sheetId="3283">
        <row r="81">
          <cell r="H81">
            <v>222.566</v>
          </cell>
        </row>
      </sheetData>
      <sheetData sheetId="3284">
        <row r="81">
          <cell r="H81">
            <v>222.566</v>
          </cell>
        </row>
      </sheetData>
      <sheetData sheetId="3285"/>
      <sheetData sheetId="3286">
        <row r="81">
          <cell r="H81">
            <v>222.566</v>
          </cell>
        </row>
      </sheetData>
      <sheetData sheetId="3287">
        <row r="81">
          <cell r="H81">
            <v>222.566</v>
          </cell>
        </row>
      </sheetData>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row r="81">
          <cell r="H81">
            <v>222.566</v>
          </cell>
        </row>
      </sheetData>
      <sheetData sheetId="3303">
        <row r="81">
          <cell r="H81">
            <v>222.566</v>
          </cell>
        </row>
      </sheetData>
      <sheetData sheetId="3304"/>
      <sheetData sheetId="3305">
        <row r="81">
          <cell r="H81">
            <v>222.566</v>
          </cell>
        </row>
      </sheetData>
      <sheetData sheetId="3306"/>
      <sheetData sheetId="3307"/>
      <sheetData sheetId="3308">
        <row r="81">
          <cell r="H81">
            <v>222.566</v>
          </cell>
        </row>
      </sheetData>
      <sheetData sheetId="3309"/>
      <sheetData sheetId="3310"/>
      <sheetData sheetId="3311"/>
      <sheetData sheetId="3312"/>
      <sheetData sheetId="3313"/>
      <sheetData sheetId="3314">
        <row r="81">
          <cell r="H81">
            <v>222.566</v>
          </cell>
        </row>
      </sheetData>
      <sheetData sheetId="3315">
        <row r="81">
          <cell r="H81">
            <v>222.566</v>
          </cell>
        </row>
      </sheetData>
      <sheetData sheetId="3316">
        <row r="81">
          <cell r="H81">
            <v>222.566</v>
          </cell>
        </row>
      </sheetData>
      <sheetData sheetId="3317">
        <row r="81">
          <cell r="H81">
            <v>222.566</v>
          </cell>
        </row>
      </sheetData>
      <sheetData sheetId="3318">
        <row r="81">
          <cell r="H81">
            <v>222.566</v>
          </cell>
        </row>
      </sheetData>
      <sheetData sheetId="3319">
        <row r="81">
          <cell r="H81">
            <v>222.566</v>
          </cell>
        </row>
      </sheetData>
      <sheetData sheetId="3320">
        <row r="81">
          <cell r="H81">
            <v>222.566</v>
          </cell>
        </row>
      </sheetData>
      <sheetData sheetId="3321">
        <row r="81">
          <cell r="H81">
            <v>222.566</v>
          </cell>
        </row>
      </sheetData>
      <sheetData sheetId="3322">
        <row r="81">
          <cell r="H81">
            <v>222.566</v>
          </cell>
        </row>
      </sheetData>
      <sheetData sheetId="3323">
        <row r="81">
          <cell r="H81">
            <v>222.566</v>
          </cell>
        </row>
      </sheetData>
      <sheetData sheetId="3324">
        <row r="81">
          <cell r="H81">
            <v>222.566</v>
          </cell>
        </row>
      </sheetData>
      <sheetData sheetId="3325">
        <row r="81">
          <cell r="H81">
            <v>222.566</v>
          </cell>
        </row>
      </sheetData>
      <sheetData sheetId="3326">
        <row r="81">
          <cell r="H81">
            <v>222.566</v>
          </cell>
        </row>
      </sheetData>
      <sheetData sheetId="3327">
        <row r="81">
          <cell r="H81">
            <v>222.566</v>
          </cell>
        </row>
      </sheetData>
      <sheetData sheetId="3328">
        <row r="81">
          <cell r="H81">
            <v>222.566</v>
          </cell>
        </row>
      </sheetData>
      <sheetData sheetId="3329">
        <row r="81">
          <cell r="H81">
            <v>222.566</v>
          </cell>
        </row>
      </sheetData>
      <sheetData sheetId="3330">
        <row r="81">
          <cell r="H81">
            <v>222.566</v>
          </cell>
        </row>
      </sheetData>
      <sheetData sheetId="3331">
        <row r="81">
          <cell r="H81">
            <v>222.566</v>
          </cell>
        </row>
      </sheetData>
      <sheetData sheetId="3332">
        <row r="81">
          <cell r="H81">
            <v>222.566</v>
          </cell>
        </row>
      </sheetData>
      <sheetData sheetId="3333">
        <row r="81">
          <cell r="H81">
            <v>222.566</v>
          </cell>
        </row>
      </sheetData>
      <sheetData sheetId="3334">
        <row r="81">
          <cell r="H81">
            <v>222.566</v>
          </cell>
        </row>
      </sheetData>
      <sheetData sheetId="3335">
        <row r="81">
          <cell r="H81">
            <v>222.566</v>
          </cell>
        </row>
      </sheetData>
      <sheetData sheetId="3336">
        <row r="81">
          <cell r="H81">
            <v>222.566</v>
          </cell>
        </row>
      </sheetData>
      <sheetData sheetId="3337">
        <row r="81">
          <cell r="H81">
            <v>222.566</v>
          </cell>
        </row>
      </sheetData>
      <sheetData sheetId="3338">
        <row r="81">
          <cell r="H81">
            <v>222.566</v>
          </cell>
        </row>
      </sheetData>
      <sheetData sheetId="3339">
        <row r="81">
          <cell r="H81">
            <v>222.566</v>
          </cell>
        </row>
      </sheetData>
      <sheetData sheetId="3340">
        <row r="81">
          <cell r="H81">
            <v>222.566</v>
          </cell>
        </row>
      </sheetData>
      <sheetData sheetId="3341">
        <row r="81">
          <cell r="H81">
            <v>222.566</v>
          </cell>
        </row>
      </sheetData>
      <sheetData sheetId="3342">
        <row r="81">
          <cell r="H81">
            <v>222.566</v>
          </cell>
        </row>
      </sheetData>
      <sheetData sheetId="3343">
        <row r="81">
          <cell r="H81">
            <v>222.566</v>
          </cell>
        </row>
      </sheetData>
      <sheetData sheetId="3344">
        <row r="81">
          <cell r="H81">
            <v>222.566</v>
          </cell>
        </row>
      </sheetData>
      <sheetData sheetId="3345">
        <row r="81">
          <cell r="H81">
            <v>222.566</v>
          </cell>
        </row>
      </sheetData>
      <sheetData sheetId="3346">
        <row r="81">
          <cell r="H81">
            <v>222.566</v>
          </cell>
        </row>
      </sheetData>
      <sheetData sheetId="3347">
        <row r="81">
          <cell r="H81">
            <v>222.566</v>
          </cell>
        </row>
      </sheetData>
      <sheetData sheetId="3348">
        <row r="81">
          <cell r="H81">
            <v>222.566</v>
          </cell>
        </row>
      </sheetData>
      <sheetData sheetId="3349">
        <row r="81">
          <cell r="H81">
            <v>222.566</v>
          </cell>
        </row>
      </sheetData>
      <sheetData sheetId="3350">
        <row r="81">
          <cell r="H81">
            <v>222.566</v>
          </cell>
        </row>
      </sheetData>
      <sheetData sheetId="3351" refreshError="1"/>
      <sheetData sheetId="3352">
        <row r="81">
          <cell r="H81">
            <v>222.566</v>
          </cell>
        </row>
      </sheetData>
      <sheetData sheetId="3353" refreshError="1"/>
      <sheetData sheetId="3354" refreshError="1"/>
      <sheetData sheetId="3355" refreshError="1"/>
      <sheetData sheetId="3356">
        <row r="81">
          <cell r="H81">
            <v>222.566</v>
          </cell>
        </row>
      </sheetData>
      <sheetData sheetId="3357">
        <row r="81">
          <cell r="H81">
            <v>222.566</v>
          </cell>
        </row>
      </sheetData>
      <sheetData sheetId="3358" refreshError="1"/>
      <sheetData sheetId="3359" refreshError="1"/>
      <sheetData sheetId="3360">
        <row r="81">
          <cell r="H81">
            <v>222.566</v>
          </cell>
        </row>
      </sheetData>
      <sheetData sheetId="3361" refreshError="1"/>
      <sheetData sheetId="3362">
        <row r="81">
          <cell r="H81">
            <v>222.566</v>
          </cell>
        </row>
      </sheetData>
      <sheetData sheetId="3363">
        <row r="81">
          <cell r="H81">
            <v>222.566</v>
          </cell>
        </row>
      </sheetData>
      <sheetData sheetId="3364" refreshError="1"/>
      <sheetData sheetId="3365">
        <row r="81">
          <cell r="H81">
            <v>222.566</v>
          </cell>
        </row>
      </sheetData>
      <sheetData sheetId="3366" refreshError="1"/>
      <sheetData sheetId="3367">
        <row r="81">
          <cell r="H81">
            <v>222.566</v>
          </cell>
        </row>
      </sheetData>
      <sheetData sheetId="3368">
        <row r="81">
          <cell r="H81">
            <v>222.566</v>
          </cell>
        </row>
      </sheetData>
      <sheetData sheetId="3369">
        <row r="81">
          <cell r="H81">
            <v>222.566</v>
          </cell>
        </row>
      </sheetData>
      <sheetData sheetId="3370">
        <row r="81">
          <cell r="H81">
            <v>222.566</v>
          </cell>
        </row>
      </sheetData>
      <sheetData sheetId="3371">
        <row r="81">
          <cell r="H81">
            <v>222.566</v>
          </cell>
        </row>
      </sheetData>
      <sheetData sheetId="3372">
        <row r="81">
          <cell r="H81">
            <v>222.566</v>
          </cell>
        </row>
      </sheetData>
      <sheetData sheetId="3373">
        <row r="81">
          <cell r="H81">
            <v>222.566</v>
          </cell>
        </row>
      </sheetData>
      <sheetData sheetId="3374">
        <row r="81">
          <cell r="H81">
            <v>222.566</v>
          </cell>
        </row>
      </sheetData>
      <sheetData sheetId="3375">
        <row r="81">
          <cell r="H81">
            <v>222.566</v>
          </cell>
        </row>
      </sheetData>
      <sheetData sheetId="3376" refreshError="1"/>
      <sheetData sheetId="3377" refreshError="1"/>
      <sheetData sheetId="3378">
        <row r="81">
          <cell r="H81">
            <v>222.566</v>
          </cell>
        </row>
      </sheetData>
      <sheetData sheetId="3379" refreshError="1"/>
      <sheetData sheetId="3380" refreshError="1"/>
      <sheetData sheetId="3381">
        <row r="81">
          <cell r="H81">
            <v>222.566</v>
          </cell>
        </row>
      </sheetData>
      <sheetData sheetId="3382">
        <row r="81">
          <cell r="H81">
            <v>222.566</v>
          </cell>
        </row>
      </sheetData>
      <sheetData sheetId="3383">
        <row r="81">
          <cell r="H81">
            <v>222.566</v>
          </cell>
        </row>
      </sheetData>
      <sheetData sheetId="3384">
        <row r="81">
          <cell r="H81">
            <v>222.566</v>
          </cell>
        </row>
      </sheetData>
      <sheetData sheetId="3385">
        <row r="81">
          <cell r="H81">
            <v>222.566</v>
          </cell>
        </row>
      </sheetData>
      <sheetData sheetId="3386">
        <row r="81">
          <cell r="H81">
            <v>222.566</v>
          </cell>
        </row>
      </sheetData>
      <sheetData sheetId="3387">
        <row r="81">
          <cell r="H81">
            <v>222.566</v>
          </cell>
        </row>
      </sheetData>
      <sheetData sheetId="3388">
        <row r="81">
          <cell r="H81">
            <v>222.566</v>
          </cell>
        </row>
      </sheetData>
      <sheetData sheetId="3389">
        <row r="81">
          <cell r="H81">
            <v>222.566</v>
          </cell>
        </row>
      </sheetData>
      <sheetData sheetId="3390">
        <row r="81">
          <cell r="H81">
            <v>222.566</v>
          </cell>
        </row>
      </sheetData>
      <sheetData sheetId="3391">
        <row r="81">
          <cell r="H81">
            <v>222.566</v>
          </cell>
        </row>
      </sheetData>
      <sheetData sheetId="3392">
        <row r="81">
          <cell r="H81">
            <v>222.566</v>
          </cell>
        </row>
      </sheetData>
      <sheetData sheetId="3393">
        <row r="81">
          <cell r="H81">
            <v>222.566</v>
          </cell>
        </row>
      </sheetData>
      <sheetData sheetId="3394">
        <row r="81">
          <cell r="H81">
            <v>222.566</v>
          </cell>
        </row>
      </sheetData>
      <sheetData sheetId="3395">
        <row r="81">
          <cell r="H81">
            <v>222.566</v>
          </cell>
        </row>
      </sheetData>
      <sheetData sheetId="3396">
        <row r="81">
          <cell r="H81">
            <v>222.566</v>
          </cell>
        </row>
      </sheetData>
      <sheetData sheetId="3397">
        <row r="81">
          <cell r="H81">
            <v>222.566</v>
          </cell>
        </row>
      </sheetData>
      <sheetData sheetId="3398" refreshError="1"/>
      <sheetData sheetId="3399" refreshError="1"/>
      <sheetData sheetId="3400" refreshError="1"/>
      <sheetData sheetId="3401" refreshError="1"/>
      <sheetData sheetId="3402">
        <row r="81">
          <cell r="H81">
            <v>222.566</v>
          </cell>
        </row>
      </sheetData>
      <sheetData sheetId="3403">
        <row r="81">
          <cell r="H81">
            <v>222.566</v>
          </cell>
        </row>
      </sheetData>
      <sheetData sheetId="3404" refreshError="1"/>
      <sheetData sheetId="3405">
        <row r="81">
          <cell r="H81">
            <v>222.566</v>
          </cell>
        </row>
      </sheetData>
      <sheetData sheetId="3406" refreshError="1"/>
      <sheetData sheetId="3407" refreshError="1"/>
      <sheetData sheetId="3408">
        <row r="81">
          <cell r="H81">
            <v>222.566</v>
          </cell>
        </row>
      </sheetData>
      <sheetData sheetId="3409" refreshError="1"/>
      <sheetData sheetId="3410" refreshError="1"/>
      <sheetData sheetId="3411" refreshError="1"/>
      <sheetData sheetId="3412" refreshError="1"/>
      <sheetData sheetId="3413"/>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ow r="81">
          <cell r="H81">
            <v>222.566</v>
          </cell>
        </row>
      </sheetData>
      <sheetData sheetId="3427">
        <row r="81">
          <cell r="H81">
            <v>222.566</v>
          </cell>
        </row>
      </sheetData>
      <sheetData sheetId="3428">
        <row r="81">
          <cell r="H81">
            <v>222.566</v>
          </cell>
        </row>
      </sheetData>
      <sheetData sheetId="3429">
        <row r="81">
          <cell r="H81">
            <v>222.566</v>
          </cell>
        </row>
      </sheetData>
      <sheetData sheetId="3430">
        <row r="81">
          <cell r="H81">
            <v>222.566</v>
          </cell>
        </row>
      </sheetData>
      <sheetData sheetId="3431">
        <row r="81">
          <cell r="H81">
            <v>222.566</v>
          </cell>
        </row>
      </sheetData>
      <sheetData sheetId="3432">
        <row r="81">
          <cell r="H81">
            <v>222.566</v>
          </cell>
        </row>
      </sheetData>
      <sheetData sheetId="3433">
        <row r="81">
          <cell r="H81">
            <v>222.566</v>
          </cell>
        </row>
      </sheetData>
      <sheetData sheetId="3434">
        <row r="81">
          <cell r="H81">
            <v>222.566</v>
          </cell>
        </row>
      </sheetData>
      <sheetData sheetId="3435">
        <row r="81">
          <cell r="H81">
            <v>222.566</v>
          </cell>
        </row>
      </sheetData>
      <sheetData sheetId="3436">
        <row r="81">
          <cell r="H81">
            <v>222.566</v>
          </cell>
        </row>
      </sheetData>
      <sheetData sheetId="3437">
        <row r="81">
          <cell r="H81">
            <v>222.566</v>
          </cell>
        </row>
      </sheetData>
      <sheetData sheetId="3438">
        <row r="81">
          <cell r="H81">
            <v>222.566</v>
          </cell>
        </row>
      </sheetData>
      <sheetData sheetId="3439">
        <row r="81">
          <cell r="H81">
            <v>222.566</v>
          </cell>
        </row>
      </sheetData>
      <sheetData sheetId="3440">
        <row r="81">
          <cell r="H81">
            <v>222.566</v>
          </cell>
        </row>
      </sheetData>
      <sheetData sheetId="3441">
        <row r="81">
          <cell r="H81">
            <v>222.566</v>
          </cell>
        </row>
      </sheetData>
      <sheetData sheetId="3442">
        <row r="81">
          <cell r="H81">
            <v>222.566</v>
          </cell>
        </row>
      </sheetData>
      <sheetData sheetId="3443">
        <row r="81">
          <cell r="H81">
            <v>222.566</v>
          </cell>
        </row>
      </sheetData>
      <sheetData sheetId="3444">
        <row r="81">
          <cell r="H81">
            <v>222.566</v>
          </cell>
        </row>
      </sheetData>
      <sheetData sheetId="3445">
        <row r="81">
          <cell r="H81">
            <v>222.566</v>
          </cell>
        </row>
      </sheetData>
      <sheetData sheetId="3446">
        <row r="81">
          <cell r="H81">
            <v>222.566</v>
          </cell>
        </row>
      </sheetData>
      <sheetData sheetId="3447">
        <row r="81">
          <cell r="H81">
            <v>222.566</v>
          </cell>
        </row>
      </sheetData>
      <sheetData sheetId="3448">
        <row r="81">
          <cell r="H81">
            <v>222.566</v>
          </cell>
        </row>
      </sheetData>
      <sheetData sheetId="3449">
        <row r="81">
          <cell r="H81">
            <v>222.566</v>
          </cell>
        </row>
      </sheetData>
      <sheetData sheetId="3450">
        <row r="81">
          <cell r="H81">
            <v>222.566</v>
          </cell>
        </row>
      </sheetData>
      <sheetData sheetId="3451">
        <row r="81">
          <cell r="H81">
            <v>222.566</v>
          </cell>
        </row>
      </sheetData>
      <sheetData sheetId="3452">
        <row r="81">
          <cell r="H81">
            <v>222.566</v>
          </cell>
        </row>
      </sheetData>
      <sheetData sheetId="3453">
        <row r="81">
          <cell r="H81">
            <v>222.566</v>
          </cell>
        </row>
      </sheetData>
      <sheetData sheetId="3454">
        <row r="81">
          <cell r="H81">
            <v>222.566</v>
          </cell>
        </row>
      </sheetData>
      <sheetData sheetId="3455">
        <row r="81">
          <cell r="H81">
            <v>222.566</v>
          </cell>
        </row>
      </sheetData>
      <sheetData sheetId="3456">
        <row r="81">
          <cell r="H81">
            <v>222.566</v>
          </cell>
        </row>
      </sheetData>
      <sheetData sheetId="3457">
        <row r="81">
          <cell r="H81">
            <v>222.566</v>
          </cell>
        </row>
      </sheetData>
      <sheetData sheetId="3458">
        <row r="81">
          <cell r="H81">
            <v>222.566</v>
          </cell>
        </row>
      </sheetData>
      <sheetData sheetId="3459">
        <row r="81">
          <cell r="H81">
            <v>222.566</v>
          </cell>
        </row>
      </sheetData>
      <sheetData sheetId="3460">
        <row r="81">
          <cell r="H81">
            <v>222.566</v>
          </cell>
        </row>
      </sheetData>
      <sheetData sheetId="3461">
        <row r="81">
          <cell r="H81">
            <v>222.566</v>
          </cell>
        </row>
      </sheetData>
      <sheetData sheetId="3462">
        <row r="81">
          <cell r="H81">
            <v>222.566</v>
          </cell>
        </row>
      </sheetData>
      <sheetData sheetId="3463">
        <row r="81">
          <cell r="H81">
            <v>222.566</v>
          </cell>
        </row>
      </sheetData>
      <sheetData sheetId="3464">
        <row r="81">
          <cell r="H81">
            <v>222.566</v>
          </cell>
        </row>
      </sheetData>
      <sheetData sheetId="3465">
        <row r="81">
          <cell r="H81">
            <v>222.566</v>
          </cell>
        </row>
      </sheetData>
      <sheetData sheetId="3466">
        <row r="81">
          <cell r="H81">
            <v>222.566</v>
          </cell>
        </row>
      </sheetData>
      <sheetData sheetId="3467">
        <row r="81">
          <cell r="H81">
            <v>222.566</v>
          </cell>
        </row>
      </sheetData>
      <sheetData sheetId="3468">
        <row r="81">
          <cell r="H81">
            <v>222.566</v>
          </cell>
        </row>
      </sheetData>
      <sheetData sheetId="3469">
        <row r="81">
          <cell r="H81">
            <v>222.566</v>
          </cell>
        </row>
      </sheetData>
      <sheetData sheetId="3470">
        <row r="81">
          <cell r="H81">
            <v>222.566</v>
          </cell>
        </row>
      </sheetData>
      <sheetData sheetId="3471">
        <row r="81">
          <cell r="H81">
            <v>222.566</v>
          </cell>
        </row>
      </sheetData>
      <sheetData sheetId="3472">
        <row r="81">
          <cell r="H81">
            <v>222.566</v>
          </cell>
        </row>
      </sheetData>
      <sheetData sheetId="3473">
        <row r="81">
          <cell r="H81">
            <v>222.566</v>
          </cell>
        </row>
      </sheetData>
      <sheetData sheetId="3474">
        <row r="81">
          <cell r="H81">
            <v>222.566</v>
          </cell>
        </row>
      </sheetData>
      <sheetData sheetId="3475">
        <row r="81">
          <cell r="H81">
            <v>222.566</v>
          </cell>
        </row>
      </sheetData>
      <sheetData sheetId="3476">
        <row r="81">
          <cell r="H81">
            <v>222.566</v>
          </cell>
        </row>
      </sheetData>
      <sheetData sheetId="3477">
        <row r="81">
          <cell r="H81">
            <v>222.566</v>
          </cell>
        </row>
      </sheetData>
      <sheetData sheetId="3478">
        <row r="81">
          <cell r="H81">
            <v>222.566</v>
          </cell>
        </row>
      </sheetData>
      <sheetData sheetId="3479">
        <row r="81">
          <cell r="H81">
            <v>222.566</v>
          </cell>
        </row>
      </sheetData>
      <sheetData sheetId="3480">
        <row r="81">
          <cell r="H81">
            <v>222.566</v>
          </cell>
        </row>
      </sheetData>
      <sheetData sheetId="3481">
        <row r="81">
          <cell r="H81">
            <v>222.566</v>
          </cell>
        </row>
      </sheetData>
      <sheetData sheetId="3482">
        <row r="81">
          <cell r="H81">
            <v>222.566</v>
          </cell>
        </row>
      </sheetData>
      <sheetData sheetId="3483">
        <row r="81">
          <cell r="H81">
            <v>222.566</v>
          </cell>
        </row>
      </sheetData>
      <sheetData sheetId="3484">
        <row r="81">
          <cell r="H81">
            <v>222.566</v>
          </cell>
        </row>
      </sheetData>
      <sheetData sheetId="3485">
        <row r="81">
          <cell r="H81">
            <v>222.566</v>
          </cell>
        </row>
      </sheetData>
      <sheetData sheetId="3486">
        <row r="81">
          <cell r="H81">
            <v>222.566</v>
          </cell>
        </row>
      </sheetData>
      <sheetData sheetId="3487">
        <row r="81">
          <cell r="H81">
            <v>222.566</v>
          </cell>
        </row>
      </sheetData>
      <sheetData sheetId="3488">
        <row r="81">
          <cell r="H81">
            <v>222.566</v>
          </cell>
        </row>
      </sheetData>
      <sheetData sheetId="3489">
        <row r="81">
          <cell r="H81">
            <v>222.566</v>
          </cell>
        </row>
      </sheetData>
      <sheetData sheetId="3490">
        <row r="81">
          <cell r="H81">
            <v>222.566</v>
          </cell>
        </row>
      </sheetData>
      <sheetData sheetId="3491">
        <row r="81">
          <cell r="H81">
            <v>222.566</v>
          </cell>
        </row>
      </sheetData>
      <sheetData sheetId="3492">
        <row r="81">
          <cell r="H81">
            <v>222.566</v>
          </cell>
        </row>
      </sheetData>
      <sheetData sheetId="3493">
        <row r="81">
          <cell r="H81">
            <v>222.566</v>
          </cell>
        </row>
      </sheetData>
      <sheetData sheetId="3494">
        <row r="81">
          <cell r="H81">
            <v>222.566</v>
          </cell>
        </row>
      </sheetData>
      <sheetData sheetId="3495">
        <row r="81">
          <cell r="H81">
            <v>222.566</v>
          </cell>
        </row>
      </sheetData>
      <sheetData sheetId="3496">
        <row r="81">
          <cell r="H81">
            <v>222.566</v>
          </cell>
        </row>
      </sheetData>
      <sheetData sheetId="3497">
        <row r="81">
          <cell r="H81">
            <v>222.566</v>
          </cell>
        </row>
      </sheetData>
      <sheetData sheetId="3498">
        <row r="81">
          <cell r="H81">
            <v>222.566</v>
          </cell>
        </row>
      </sheetData>
      <sheetData sheetId="3499">
        <row r="81">
          <cell r="H81">
            <v>222.566</v>
          </cell>
        </row>
      </sheetData>
      <sheetData sheetId="3500">
        <row r="81">
          <cell r="H81">
            <v>222.566</v>
          </cell>
        </row>
      </sheetData>
      <sheetData sheetId="3501">
        <row r="81">
          <cell r="H81">
            <v>222.566</v>
          </cell>
        </row>
      </sheetData>
      <sheetData sheetId="3502">
        <row r="81">
          <cell r="H81">
            <v>222.566</v>
          </cell>
        </row>
      </sheetData>
      <sheetData sheetId="3503">
        <row r="81">
          <cell r="H81">
            <v>222.566</v>
          </cell>
        </row>
      </sheetData>
      <sheetData sheetId="3504">
        <row r="81">
          <cell r="H81">
            <v>222.566</v>
          </cell>
        </row>
      </sheetData>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ow r="81">
          <cell r="H81">
            <v>222.566</v>
          </cell>
        </row>
      </sheetData>
      <sheetData sheetId="3523">
        <row r="81">
          <cell r="H81">
            <v>222.566</v>
          </cell>
        </row>
      </sheetData>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ow r="81">
          <cell r="H81">
            <v>222.566</v>
          </cell>
        </row>
      </sheetData>
      <sheetData sheetId="3533">
        <row r="81">
          <cell r="H81">
            <v>222.566</v>
          </cell>
        </row>
      </sheetData>
      <sheetData sheetId="3534">
        <row r="81">
          <cell r="H81">
            <v>222.566</v>
          </cell>
        </row>
      </sheetData>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ow r="81">
          <cell r="H81">
            <v>222.566</v>
          </cell>
        </row>
      </sheetData>
      <sheetData sheetId="3546" refreshError="1"/>
      <sheetData sheetId="3547" refreshError="1"/>
      <sheetData sheetId="3548" refreshError="1"/>
      <sheetData sheetId="3549">
        <row r="81">
          <cell r="H81">
            <v>222.566</v>
          </cell>
        </row>
      </sheetData>
      <sheetData sheetId="3550">
        <row r="81">
          <cell r="H81">
            <v>222.566</v>
          </cell>
        </row>
      </sheetData>
      <sheetData sheetId="3551">
        <row r="81">
          <cell r="H81">
            <v>222.566</v>
          </cell>
        </row>
      </sheetData>
      <sheetData sheetId="3552">
        <row r="81">
          <cell r="H81">
            <v>222.566</v>
          </cell>
        </row>
      </sheetData>
      <sheetData sheetId="3553">
        <row r="81">
          <cell r="H81">
            <v>222.566</v>
          </cell>
        </row>
      </sheetData>
      <sheetData sheetId="3554">
        <row r="81">
          <cell r="H81">
            <v>222.566</v>
          </cell>
        </row>
      </sheetData>
      <sheetData sheetId="3555">
        <row r="81">
          <cell r="H81">
            <v>222.566</v>
          </cell>
        </row>
      </sheetData>
      <sheetData sheetId="3556">
        <row r="81">
          <cell r="H81">
            <v>222.566</v>
          </cell>
        </row>
      </sheetData>
      <sheetData sheetId="3557">
        <row r="81">
          <cell r="H81">
            <v>222.566</v>
          </cell>
        </row>
      </sheetData>
      <sheetData sheetId="3558">
        <row r="81">
          <cell r="H81">
            <v>222.566</v>
          </cell>
        </row>
      </sheetData>
      <sheetData sheetId="3559">
        <row r="81">
          <cell r="H81">
            <v>222.566</v>
          </cell>
        </row>
      </sheetData>
      <sheetData sheetId="3560">
        <row r="81">
          <cell r="H81">
            <v>222.566</v>
          </cell>
        </row>
      </sheetData>
      <sheetData sheetId="3561">
        <row r="81">
          <cell r="H81">
            <v>222.566</v>
          </cell>
        </row>
      </sheetData>
      <sheetData sheetId="3562">
        <row r="81">
          <cell r="H81">
            <v>222.566</v>
          </cell>
        </row>
      </sheetData>
      <sheetData sheetId="3563">
        <row r="81">
          <cell r="H81">
            <v>222.566</v>
          </cell>
        </row>
      </sheetData>
      <sheetData sheetId="3564">
        <row r="81">
          <cell r="H81">
            <v>222.566</v>
          </cell>
        </row>
      </sheetData>
      <sheetData sheetId="3565">
        <row r="81">
          <cell r="H81">
            <v>222.566</v>
          </cell>
        </row>
      </sheetData>
      <sheetData sheetId="3566">
        <row r="81">
          <cell r="H81">
            <v>222.566</v>
          </cell>
        </row>
      </sheetData>
      <sheetData sheetId="3567">
        <row r="81">
          <cell r="H81">
            <v>222.566</v>
          </cell>
        </row>
      </sheetData>
      <sheetData sheetId="3568">
        <row r="81">
          <cell r="H81">
            <v>222.566</v>
          </cell>
        </row>
      </sheetData>
      <sheetData sheetId="3569">
        <row r="81">
          <cell r="H81">
            <v>222.566</v>
          </cell>
        </row>
      </sheetData>
      <sheetData sheetId="3570">
        <row r="81">
          <cell r="H81">
            <v>222.566</v>
          </cell>
        </row>
      </sheetData>
      <sheetData sheetId="3571">
        <row r="81">
          <cell r="H81">
            <v>222.566</v>
          </cell>
        </row>
      </sheetData>
      <sheetData sheetId="3572">
        <row r="81">
          <cell r="H81">
            <v>222.566</v>
          </cell>
        </row>
      </sheetData>
      <sheetData sheetId="3573">
        <row r="81">
          <cell r="H81">
            <v>222.566</v>
          </cell>
        </row>
      </sheetData>
      <sheetData sheetId="3574">
        <row r="81">
          <cell r="H81">
            <v>222.566</v>
          </cell>
        </row>
      </sheetData>
      <sheetData sheetId="3575">
        <row r="81">
          <cell r="H81">
            <v>222.566</v>
          </cell>
        </row>
      </sheetData>
      <sheetData sheetId="3576">
        <row r="81">
          <cell r="H81">
            <v>222.566</v>
          </cell>
        </row>
      </sheetData>
      <sheetData sheetId="3577">
        <row r="81">
          <cell r="H81">
            <v>222.566</v>
          </cell>
        </row>
      </sheetData>
      <sheetData sheetId="3578">
        <row r="81">
          <cell r="H81">
            <v>222.566</v>
          </cell>
        </row>
      </sheetData>
      <sheetData sheetId="3579">
        <row r="81">
          <cell r="H81">
            <v>222.566</v>
          </cell>
        </row>
      </sheetData>
      <sheetData sheetId="3580">
        <row r="81">
          <cell r="H81">
            <v>222.566</v>
          </cell>
        </row>
      </sheetData>
      <sheetData sheetId="3581">
        <row r="81">
          <cell r="H81">
            <v>222.566</v>
          </cell>
        </row>
      </sheetData>
      <sheetData sheetId="3582">
        <row r="81">
          <cell r="H81">
            <v>222.566</v>
          </cell>
        </row>
      </sheetData>
      <sheetData sheetId="3583">
        <row r="81">
          <cell r="H81">
            <v>222.566</v>
          </cell>
        </row>
      </sheetData>
      <sheetData sheetId="3584">
        <row r="81">
          <cell r="H81">
            <v>222.566</v>
          </cell>
        </row>
      </sheetData>
      <sheetData sheetId="3585">
        <row r="81">
          <cell r="H81">
            <v>222.566</v>
          </cell>
        </row>
      </sheetData>
      <sheetData sheetId="3586">
        <row r="81">
          <cell r="H81">
            <v>222.566</v>
          </cell>
        </row>
      </sheetData>
      <sheetData sheetId="3587">
        <row r="81">
          <cell r="H81">
            <v>222.566</v>
          </cell>
        </row>
      </sheetData>
      <sheetData sheetId="3588">
        <row r="81">
          <cell r="H81">
            <v>222.566</v>
          </cell>
        </row>
      </sheetData>
      <sheetData sheetId="3589">
        <row r="81">
          <cell r="H81">
            <v>222.566</v>
          </cell>
        </row>
      </sheetData>
      <sheetData sheetId="3590">
        <row r="81">
          <cell r="H81">
            <v>222.566</v>
          </cell>
        </row>
      </sheetData>
      <sheetData sheetId="3591">
        <row r="81">
          <cell r="H81">
            <v>222.566</v>
          </cell>
        </row>
      </sheetData>
      <sheetData sheetId="3592">
        <row r="81">
          <cell r="H81">
            <v>222.566</v>
          </cell>
        </row>
      </sheetData>
      <sheetData sheetId="3593">
        <row r="81">
          <cell r="H81">
            <v>222.566</v>
          </cell>
        </row>
      </sheetData>
      <sheetData sheetId="3594">
        <row r="81">
          <cell r="H81">
            <v>222.566</v>
          </cell>
        </row>
      </sheetData>
      <sheetData sheetId="3595">
        <row r="81">
          <cell r="H81">
            <v>222.566</v>
          </cell>
        </row>
      </sheetData>
      <sheetData sheetId="3596">
        <row r="81">
          <cell r="H81">
            <v>222.566</v>
          </cell>
        </row>
      </sheetData>
      <sheetData sheetId="3597">
        <row r="81">
          <cell r="H81">
            <v>222.566</v>
          </cell>
        </row>
      </sheetData>
      <sheetData sheetId="3598">
        <row r="81">
          <cell r="H81">
            <v>222.566</v>
          </cell>
        </row>
      </sheetData>
      <sheetData sheetId="3599">
        <row r="81">
          <cell r="H81">
            <v>222.566</v>
          </cell>
        </row>
      </sheetData>
      <sheetData sheetId="3600">
        <row r="81">
          <cell r="H81">
            <v>222.566</v>
          </cell>
        </row>
      </sheetData>
      <sheetData sheetId="3601">
        <row r="81">
          <cell r="H81">
            <v>222.566</v>
          </cell>
        </row>
      </sheetData>
      <sheetData sheetId="3602">
        <row r="81">
          <cell r="H81">
            <v>222.566</v>
          </cell>
        </row>
      </sheetData>
      <sheetData sheetId="3603">
        <row r="81">
          <cell r="H81">
            <v>222.566</v>
          </cell>
        </row>
      </sheetData>
      <sheetData sheetId="3604">
        <row r="81">
          <cell r="H81">
            <v>222.566</v>
          </cell>
        </row>
      </sheetData>
      <sheetData sheetId="3605">
        <row r="81">
          <cell r="H81">
            <v>222.566</v>
          </cell>
        </row>
      </sheetData>
      <sheetData sheetId="3606">
        <row r="81">
          <cell r="H81">
            <v>222.566</v>
          </cell>
        </row>
      </sheetData>
      <sheetData sheetId="3607">
        <row r="81">
          <cell r="H81">
            <v>222.566</v>
          </cell>
        </row>
      </sheetData>
      <sheetData sheetId="3608">
        <row r="81">
          <cell r="H81">
            <v>222.566</v>
          </cell>
        </row>
      </sheetData>
      <sheetData sheetId="3609">
        <row r="81">
          <cell r="H81">
            <v>222.566</v>
          </cell>
        </row>
      </sheetData>
      <sheetData sheetId="3610">
        <row r="81">
          <cell r="H81">
            <v>222.566</v>
          </cell>
        </row>
      </sheetData>
      <sheetData sheetId="3611">
        <row r="81">
          <cell r="H81">
            <v>222.566</v>
          </cell>
        </row>
      </sheetData>
      <sheetData sheetId="3612">
        <row r="81">
          <cell r="H81">
            <v>222.566</v>
          </cell>
        </row>
      </sheetData>
      <sheetData sheetId="3613">
        <row r="81">
          <cell r="H81">
            <v>222.566</v>
          </cell>
        </row>
      </sheetData>
      <sheetData sheetId="3614">
        <row r="81">
          <cell r="H81">
            <v>222.566</v>
          </cell>
        </row>
      </sheetData>
      <sheetData sheetId="3615">
        <row r="81">
          <cell r="H81">
            <v>222.566</v>
          </cell>
        </row>
      </sheetData>
      <sheetData sheetId="3616">
        <row r="81">
          <cell r="H81">
            <v>222.566</v>
          </cell>
        </row>
      </sheetData>
      <sheetData sheetId="3617">
        <row r="81">
          <cell r="H81">
            <v>222.566</v>
          </cell>
        </row>
      </sheetData>
      <sheetData sheetId="3618">
        <row r="81">
          <cell r="H81">
            <v>222.566</v>
          </cell>
        </row>
      </sheetData>
      <sheetData sheetId="3619">
        <row r="81">
          <cell r="H81">
            <v>222.566</v>
          </cell>
        </row>
      </sheetData>
      <sheetData sheetId="3620">
        <row r="81">
          <cell r="H81">
            <v>222.566</v>
          </cell>
        </row>
      </sheetData>
      <sheetData sheetId="3621">
        <row r="81">
          <cell r="H81">
            <v>222.566</v>
          </cell>
        </row>
      </sheetData>
      <sheetData sheetId="3622">
        <row r="81">
          <cell r="H81">
            <v>222.566</v>
          </cell>
        </row>
      </sheetData>
      <sheetData sheetId="3623">
        <row r="81">
          <cell r="H81">
            <v>222.566</v>
          </cell>
        </row>
      </sheetData>
      <sheetData sheetId="3624">
        <row r="81">
          <cell r="H81">
            <v>222.566</v>
          </cell>
        </row>
      </sheetData>
      <sheetData sheetId="3625">
        <row r="81">
          <cell r="H81">
            <v>222.566</v>
          </cell>
        </row>
      </sheetData>
      <sheetData sheetId="3626">
        <row r="81">
          <cell r="H81">
            <v>222.566</v>
          </cell>
        </row>
      </sheetData>
      <sheetData sheetId="3627">
        <row r="81">
          <cell r="H81">
            <v>222.566</v>
          </cell>
        </row>
      </sheetData>
      <sheetData sheetId="3628">
        <row r="81">
          <cell r="H81">
            <v>222.566</v>
          </cell>
        </row>
      </sheetData>
      <sheetData sheetId="3629">
        <row r="81">
          <cell r="H81">
            <v>222.566</v>
          </cell>
        </row>
      </sheetData>
      <sheetData sheetId="3630">
        <row r="81">
          <cell r="H81">
            <v>222.566</v>
          </cell>
        </row>
      </sheetData>
      <sheetData sheetId="3631">
        <row r="81">
          <cell r="H81">
            <v>222.566</v>
          </cell>
        </row>
      </sheetData>
      <sheetData sheetId="3632">
        <row r="81">
          <cell r="H81">
            <v>222.566</v>
          </cell>
        </row>
      </sheetData>
      <sheetData sheetId="3633">
        <row r="81">
          <cell r="H81">
            <v>222.566</v>
          </cell>
        </row>
      </sheetData>
      <sheetData sheetId="3634">
        <row r="81">
          <cell r="H81">
            <v>222.566</v>
          </cell>
        </row>
      </sheetData>
      <sheetData sheetId="3635">
        <row r="81">
          <cell r="H81">
            <v>222.566</v>
          </cell>
        </row>
      </sheetData>
      <sheetData sheetId="3636">
        <row r="81">
          <cell r="H81">
            <v>222.566</v>
          </cell>
        </row>
      </sheetData>
      <sheetData sheetId="3637">
        <row r="81">
          <cell r="H81">
            <v>222.566</v>
          </cell>
        </row>
      </sheetData>
      <sheetData sheetId="3638">
        <row r="81">
          <cell r="H81">
            <v>222.566</v>
          </cell>
        </row>
      </sheetData>
      <sheetData sheetId="3639">
        <row r="81">
          <cell r="H81">
            <v>222.566</v>
          </cell>
        </row>
      </sheetData>
      <sheetData sheetId="3640">
        <row r="81">
          <cell r="H81">
            <v>222.566</v>
          </cell>
        </row>
      </sheetData>
      <sheetData sheetId="3641">
        <row r="81">
          <cell r="H81">
            <v>222.566</v>
          </cell>
        </row>
      </sheetData>
      <sheetData sheetId="3642">
        <row r="81">
          <cell r="H81">
            <v>222.566</v>
          </cell>
        </row>
      </sheetData>
      <sheetData sheetId="3643">
        <row r="81">
          <cell r="H81">
            <v>222.566</v>
          </cell>
        </row>
      </sheetData>
      <sheetData sheetId="3644">
        <row r="81">
          <cell r="H81">
            <v>222.566</v>
          </cell>
        </row>
      </sheetData>
      <sheetData sheetId="3645">
        <row r="81">
          <cell r="H81">
            <v>222.566</v>
          </cell>
        </row>
      </sheetData>
      <sheetData sheetId="3646">
        <row r="81">
          <cell r="H81">
            <v>222.566</v>
          </cell>
        </row>
      </sheetData>
      <sheetData sheetId="3647">
        <row r="81">
          <cell r="H81">
            <v>222.566</v>
          </cell>
        </row>
      </sheetData>
      <sheetData sheetId="3648">
        <row r="81">
          <cell r="H81">
            <v>222.566</v>
          </cell>
        </row>
      </sheetData>
      <sheetData sheetId="3649">
        <row r="81">
          <cell r="H81">
            <v>222.566</v>
          </cell>
        </row>
      </sheetData>
      <sheetData sheetId="3650">
        <row r="81">
          <cell r="H81">
            <v>222.566</v>
          </cell>
        </row>
      </sheetData>
      <sheetData sheetId="3651">
        <row r="81">
          <cell r="H81">
            <v>222.566</v>
          </cell>
        </row>
      </sheetData>
      <sheetData sheetId="3652">
        <row r="81">
          <cell r="H81">
            <v>222.566</v>
          </cell>
        </row>
      </sheetData>
      <sheetData sheetId="3653">
        <row r="81">
          <cell r="H81">
            <v>222.566</v>
          </cell>
        </row>
      </sheetData>
      <sheetData sheetId="3654">
        <row r="81">
          <cell r="H81">
            <v>222.566</v>
          </cell>
        </row>
      </sheetData>
      <sheetData sheetId="3655">
        <row r="81">
          <cell r="H81">
            <v>222.566</v>
          </cell>
        </row>
      </sheetData>
      <sheetData sheetId="3656">
        <row r="81">
          <cell r="H81">
            <v>222.566</v>
          </cell>
        </row>
      </sheetData>
      <sheetData sheetId="3657" refreshError="1"/>
      <sheetData sheetId="3658" refreshError="1"/>
      <sheetData sheetId="3659">
        <row r="81">
          <cell r="H81">
            <v>222.566</v>
          </cell>
        </row>
      </sheetData>
      <sheetData sheetId="3660" refreshError="1"/>
      <sheetData sheetId="3661" refreshError="1"/>
      <sheetData sheetId="3662" refreshError="1"/>
      <sheetData sheetId="3663" refreshError="1"/>
      <sheetData sheetId="3664" refreshError="1"/>
      <sheetData sheetId="3665" refreshError="1"/>
      <sheetData sheetId="3666" refreshError="1"/>
      <sheetData sheetId="3667">
        <row r="81">
          <cell r="H81">
            <v>222.566</v>
          </cell>
        </row>
      </sheetData>
      <sheetData sheetId="3668">
        <row r="81">
          <cell r="H81">
            <v>222.566</v>
          </cell>
        </row>
      </sheetData>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ow r="81">
          <cell r="H81">
            <v>222.566</v>
          </cell>
        </row>
      </sheetData>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ow r="81">
          <cell r="H81">
            <v>222.566</v>
          </cell>
        </row>
      </sheetData>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ow r="81">
          <cell r="H81">
            <v>222.566</v>
          </cell>
        </row>
      </sheetData>
      <sheetData sheetId="3817">
        <row r="81">
          <cell r="H81">
            <v>222.566</v>
          </cell>
        </row>
      </sheetData>
      <sheetData sheetId="3818">
        <row r="81">
          <cell r="H81">
            <v>222.566</v>
          </cell>
        </row>
      </sheetData>
      <sheetData sheetId="3819">
        <row r="81">
          <cell r="H81">
            <v>222.566</v>
          </cell>
        </row>
      </sheetData>
      <sheetData sheetId="3820">
        <row r="81">
          <cell r="H81">
            <v>222.566</v>
          </cell>
        </row>
      </sheetData>
      <sheetData sheetId="3821">
        <row r="81">
          <cell r="H81">
            <v>222.566</v>
          </cell>
        </row>
      </sheetData>
      <sheetData sheetId="3822">
        <row r="81">
          <cell r="H81">
            <v>222.566</v>
          </cell>
        </row>
      </sheetData>
      <sheetData sheetId="3823">
        <row r="81">
          <cell r="H81">
            <v>222.566</v>
          </cell>
        </row>
      </sheetData>
      <sheetData sheetId="3824">
        <row r="81">
          <cell r="H81">
            <v>222.566</v>
          </cell>
        </row>
      </sheetData>
      <sheetData sheetId="3825">
        <row r="81">
          <cell r="H81">
            <v>222.566</v>
          </cell>
        </row>
      </sheetData>
      <sheetData sheetId="3826">
        <row r="81">
          <cell r="H81">
            <v>222.566</v>
          </cell>
        </row>
      </sheetData>
      <sheetData sheetId="3827">
        <row r="81">
          <cell r="H81">
            <v>222.566</v>
          </cell>
        </row>
      </sheetData>
      <sheetData sheetId="3828">
        <row r="81">
          <cell r="H81">
            <v>222.566</v>
          </cell>
        </row>
      </sheetData>
      <sheetData sheetId="3829">
        <row r="81">
          <cell r="H81">
            <v>222.566</v>
          </cell>
        </row>
      </sheetData>
      <sheetData sheetId="3830">
        <row r="81">
          <cell r="H81">
            <v>222.566</v>
          </cell>
        </row>
      </sheetData>
      <sheetData sheetId="3831">
        <row r="81">
          <cell r="H81">
            <v>222.566</v>
          </cell>
        </row>
      </sheetData>
      <sheetData sheetId="3832">
        <row r="81">
          <cell r="H81">
            <v>222.566</v>
          </cell>
        </row>
      </sheetData>
      <sheetData sheetId="3833">
        <row r="81">
          <cell r="H81">
            <v>222.566</v>
          </cell>
        </row>
      </sheetData>
      <sheetData sheetId="3834">
        <row r="81">
          <cell r="H81">
            <v>222.566</v>
          </cell>
        </row>
      </sheetData>
      <sheetData sheetId="3835">
        <row r="81">
          <cell r="H81">
            <v>222.566</v>
          </cell>
        </row>
      </sheetData>
      <sheetData sheetId="3836">
        <row r="81">
          <cell r="H81">
            <v>222.566</v>
          </cell>
        </row>
      </sheetData>
      <sheetData sheetId="3837">
        <row r="81">
          <cell r="H81">
            <v>222.566</v>
          </cell>
        </row>
      </sheetData>
      <sheetData sheetId="3838">
        <row r="81">
          <cell r="H81">
            <v>222.566</v>
          </cell>
        </row>
      </sheetData>
      <sheetData sheetId="3839">
        <row r="81">
          <cell r="H81">
            <v>222.566</v>
          </cell>
        </row>
      </sheetData>
      <sheetData sheetId="3840">
        <row r="81">
          <cell r="H81">
            <v>222.566</v>
          </cell>
        </row>
      </sheetData>
      <sheetData sheetId="3841">
        <row r="81">
          <cell r="H81">
            <v>222.566</v>
          </cell>
        </row>
      </sheetData>
      <sheetData sheetId="3842">
        <row r="81">
          <cell r="H81">
            <v>222.566</v>
          </cell>
        </row>
      </sheetData>
      <sheetData sheetId="3843">
        <row r="81">
          <cell r="H81">
            <v>222.566</v>
          </cell>
        </row>
      </sheetData>
      <sheetData sheetId="3844">
        <row r="81">
          <cell r="H81">
            <v>222.566</v>
          </cell>
        </row>
      </sheetData>
      <sheetData sheetId="3845">
        <row r="81">
          <cell r="H81">
            <v>222.566</v>
          </cell>
        </row>
      </sheetData>
      <sheetData sheetId="3846">
        <row r="81">
          <cell r="H81">
            <v>222.566</v>
          </cell>
        </row>
      </sheetData>
      <sheetData sheetId="3847">
        <row r="81">
          <cell r="H81">
            <v>222.566</v>
          </cell>
        </row>
      </sheetData>
      <sheetData sheetId="3848">
        <row r="81">
          <cell r="H81">
            <v>222.566</v>
          </cell>
        </row>
      </sheetData>
      <sheetData sheetId="3849">
        <row r="81">
          <cell r="H81">
            <v>222.566</v>
          </cell>
        </row>
      </sheetData>
      <sheetData sheetId="3850">
        <row r="81">
          <cell r="H81">
            <v>222.566</v>
          </cell>
        </row>
      </sheetData>
      <sheetData sheetId="3851">
        <row r="81">
          <cell r="H81">
            <v>222.566</v>
          </cell>
        </row>
      </sheetData>
      <sheetData sheetId="3852">
        <row r="81">
          <cell r="H81">
            <v>222.566</v>
          </cell>
        </row>
      </sheetData>
      <sheetData sheetId="3853">
        <row r="81">
          <cell r="H81">
            <v>222.566</v>
          </cell>
        </row>
      </sheetData>
      <sheetData sheetId="3854">
        <row r="81">
          <cell r="H81">
            <v>222.566</v>
          </cell>
        </row>
      </sheetData>
      <sheetData sheetId="3855">
        <row r="81">
          <cell r="H81">
            <v>222.566</v>
          </cell>
        </row>
      </sheetData>
      <sheetData sheetId="3856">
        <row r="81">
          <cell r="H81">
            <v>222.566</v>
          </cell>
        </row>
      </sheetData>
      <sheetData sheetId="3857">
        <row r="81">
          <cell r="H81">
            <v>222.566</v>
          </cell>
        </row>
      </sheetData>
      <sheetData sheetId="3858">
        <row r="81">
          <cell r="H81">
            <v>222.566</v>
          </cell>
        </row>
      </sheetData>
      <sheetData sheetId="3859">
        <row r="81">
          <cell r="H81">
            <v>222.566</v>
          </cell>
        </row>
      </sheetData>
      <sheetData sheetId="3860">
        <row r="81">
          <cell r="H81">
            <v>222.566</v>
          </cell>
        </row>
      </sheetData>
      <sheetData sheetId="3861">
        <row r="81">
          <cell r="H81">
            <v>222.566</v>
          </cell>
        </row>
      </sheetData>
      <sheetData sheetId="3862">
        <row r="81">
          <cell r="H81">
            <v>222.566</v>
          </cell>
        </row>
      </sheetData>
      <sheetData sheetId="3863">
        <row r="81">
          <cell r="H81">
            <v>222.566</v>
          </cell>
        </row>
      </sheetData>
      <sheetData sheetId="3864">
        <row r="81">
          <cell r="H81">
            <v>222.566</v>
          </cell>
        </row>
      </sheetData>
      <sheetData sheetId="3865">
        <row r="81">
          <cell r="H81">
            <v>222.566</v>
          </cell>
        </row>
      </sheetData>
      <sheetData sheetId="3866">
        <row r="81">
          <cell r="H81">
            <v>222.566</v>
          </cell>
        </row>
      </sheetData>
      <sheetData sheetId="3867">
        <row r="81">
          <cell r="H81">
            <v>222.566</v>
          </cell>
        </row>
      </sheetData>
      <sheetData sheetId="3868">
        <row r="81">
          <cell r="H81">
            <v>222.566</v>
          </cell>
        </row>
      </sheetData>
      <sheetData sheetId="3869">
        <row r="81">
          <cell r="H81">
            <v>222.566</v>
          </cell>
        </row>
      </sheetData>
      <sheetData sheetId="3870">
        <row r="81">
          <cell r="H81">
            <v>222.566</v>
          </cell>
        </row>
      </sheetData>
      <sheetData sheetId="3871">
        <row r="81">
          <cell r="H81">
            <v>222.566</v>
          </cell>
        </row>
      </sheetData>
      <sheetData sheetId="3872">
        <row r="81">
          <cell r="H81">
            <v>222.566</v>
          </cell>
        </row>
      </sheetData>
      <sheetData sheetId="3873">
        <row r="81">
          <cell r="H81">
            <v>222.566</v>
          </cell>
        </row>
      </sheetData>
      <sheetData sheetId="3874">
        <row r="81">
          <cell r="H81">
            <v>222.566</v>
          </cell>
        </row>
      </sheetData>
      <sheetData sheetId="3875">
        <row r="81">
          <cell r="H81">
            <v>222.566</v>
          </cell>
        </row>
      </sheetData>
      <sheetData sheetId="3876">
        <row r="81">
          <cell r="H81">
            <v>222.566</v>
          </cell>
        </row>
      </sheetData>
      <sheetData sheetId="3877">
        <row r="81">
          <cell r="H81">
            <v>222.566</v>
          </cell>
        </row>
      </sheetData>
      <sheetData sheetId="3878">
        <row r="81">
          <cell r="H81">
            <v>222.566</v>
          </cell>
        </row>
      </sheetData>
      <sheetData sheetId="3879">
        <row r="81">
          <cell r="H81">
            <v>222.566</v>
          </cell>
        </row>
      </sheetData>
      <sheetData sheetId="3880">
        <row r="81">
          <cell r="H81">
            <v>222.566</v>
          </cell>
        </row>
      </sheetData>
      <sheetData sheetId="3881">
        <row r="81">
          <cell r="H81">
            <v>222.566</v>
          </cell>
        </row>
      </sheetData>
      <sheetData sheetId="3882">
        <row r="81">
          <cell r="H81">
            <v>222.566</v>
          </cell>
        </row>
      </sheetData>
      <sheetData sheetId="3883">
        <row r="81">
          <cell r="H81">
            <v>222.566</v>
          </cell>
        </row>
      </sheetData>
      <sheetData sheetId="3884">
        <row r="81">
          <cell r="H81">
            <v>222.566</v>
          </cell>
        </row>
      </sheetData>
      <sheetData sheetId="3885">
        <row r="81">
          <cell r="H81">
            <v>222.566</v>
          </cell>
        </row>
      </sheetData>
      <sheetData sheetId="3886">
        <row r="81">
          <cell r="H81">
            <v>222.566</v>
          </cell>
        </row>
      </sheetData>
      <sheetData sheetId="3887">
        <row r="81">
          <cell r="H81">
            <v>222.566</v>
          </cell>
        </row>
      </sheetData>
      <sheetData sheetId="3888">
        <row r="81">
          <cell r="H81">
            <v>222.566</v>
          </cell>
        </row>
      </sheetData>
      <sheetData sheetId="3889">
        <row r="81">
          <cell r="H81">
            <v>222.566</v>
          </cell>
        </row>
      </sheetData>
      <sheetData sheetId="3890">
        <row r="81">
          <cell r="H81">
            <v>222.566</v>
          </cell>
        </row>
      </sheetData>
      <sheetData sheetId="3891">
        <row r="81">
          <cell r="H81">
            <v>222.566</v>
          </cell>
        </row>
      </sheetData>
      <sheetData sheetId="3892">
        <row r="81">
          <cell r="H81">
            <v>222.566</v>
          </cell>
        </row>
      </sheetData>
      <sheetData sheetId="3893">
        <row r="81">
          <cell r="H81">
            <v>222.566</v>
          </cell>
        </row>
      </sheetData>
      <sheetData sheetId="3894">
        <row r="81">
          <cell r="H81">
            <v>222.566</v>
          </cell>
        </row>
      </sheetData>
      <sheetData sheetId="3895">
        <row r="81">
          <cell r="H81">
            <v>222.566</v>
          </cell>
        </row>
      </sheetData>
      <sheetData sheetId="3896">
        <row r="81">
          <cell r="H81">
            <v>222.566</v>
          </cell>
        </row>
      </sheetData>
      <sheetData sheetId="3897">
        <row r="81">
          <cell r="H81">
            <v>222.566</v>
          </cell>
        </row>
      </sheetData>
      <sheetData sheetId="3898">
        <row r="81">
          <cell r="H81">
            <v>222.566</v>
          </cell>
        </row>
      </sheetData>
      <sheetData sheetId="3899">
        <row r="81">
          <cell r="H81">
            <v>222.566</v>
          </cell>
        </row>
      </sheetData>
      <sheetData sheetId="3900">
        <row r="81">
          <cell r="H81">
            <v>222.566</v>
          </cell>
        </row>
      </sheetData>
      <sheetData sheetId="3901">
        <row r="81">
          <cell r="H81">
            <v>222.566</v>
          </cell>
        </row>
      </sheetData>
      <sheetData sheetId="3902">
        <row r="81">
          <cell r="H81">
            <v>222.566</v>
          </cell>
        </row>
      </sheetData>
      <sheetData sheetId="3903">
        <row r="81">
          <cell r="H81">
            <v>222.566</v>
          </cell>
        </row>
      </sheetData>
      <sheetData sheetId="3904">
        <row r="81">
          <cell r="H81">
            <v>222.566</v>
          </cell>
        </row>
      </sheetData>
      <sheetData sheetId="3905">
        <row r="81">
          <cell r="H81">
            <v>222.566</v>
          </cell>
        </row>
      </sheetData>
      <sheetData sheetId="3906">
        <row r="81">
          <cell r="H81">
            <v>222.566</v>
          </cell>
        </row>
      </sheetData>
      <sheetData sheetId="3907">
        <row r="81">
          <cell r="H81">
            <v>222.566</v>
          </cell>
        </row>
      </sheetData>
      <sheetData sheetId="3908">
        <row r="81">
          <cell r="H81">
            <v>222.566</v>
          </cell>
        </row>
      </sheetData>
      <sheetData sheetId="3909">
        <row r="81">
          <cell r="H81">
            <v>222.566</v>
          </cell>
        </row>
      </sheetData>
      <sheetData sheetId="3910">
        <row r="81">
          <cell r="H81">
            <v>222.566</v>
          </cell>
        </row>
      </sheetData>
      <sheetData sheetId="3911">
        <row r="81">
          <cell r="H81">
            <v>222.566</v>
          </cell>
        </row>
      </sheetData>
      <sheetData sheetId="3912">
        <row r="81">
          <cell r="H81">
            <v>222.566</v>
          </cell>
        </row>
      </sheetData>
      <sheetData sheetId="3913">
        <row r="81">
          <cell r="H81">
            <v>222.566</v>
          </cell>
        </row>
      </sheetData>
      <sheetData sheetId="3914">
        <row r="81">
          <cell r="H81">
            <v>222.566</v>
          </cell>
        </row>
      </sheetData>
      <sheetData sheetId="3915">
        <row r="81">
          <cell r="H81">
            <v>222.566</v>
          </cell>
        </row>
      </sheetData>
      <sheetData sheetId="3916">
        <row r="81">
          <cell r="H81">
            <v>222.566</v>
          </cell>
        </row>
      </sheetData>
      <sheetData sheetId="3917">
        <row r="81">
          <cell r="H81">
            <v>222.566</v>
          </cell>
        </row>
      </sheetData>
      <sheetData sheetId="3918">
        <row r="81">
          <cell r="H81">
            <v>222.566</v>
          </cell>
        </row>
      </sheetData>
      <sheetData sheetId="3919">
        <row r="81">
          <cell r="H81">
            <v>222.566</v>
          </cell>
        </row>
      </sheetData>
      <sheetData sheetId="3920">
        <row r="81">
          <cell r="H81">
            <v>222.566</v>
          </cell>
        </row>
      </sheetData>
      <sheetData sheetId="3921">
        <row r="81">
          <cell r="H81">
            <v>222.566</v>
          </cell>
        </row>
      </sheetData>
      <sheetData sheetId="3922">
        <row r="81">
          <cell r="H81">
            <v>222.566</v>
          </cell>
        </row>
      </sheetData>
      <sheetData sheetId="3923">
        <row r="81">
          <cell r="H81">
            <v>222.566</v>
          </cell>
        </row>
      </sheetData>
      <sheetData sheetId="3924">
        <row r="81">
          <cell r="H81">
            <v>222.566</v>
          </cell>
        </row>
      </sheetData>
      <sheetData sheetId="3925">
        <row r="81">
          <cell r="H81">
            <v>222.566</v>
          </cell>
        </row>
      </sheetData>
      <sheetData sheetId="3926">
        <row r="81">
          <cell r="H81">
            <v>222.566</v>
          </cell>
        </row>
      </sheetData>
      <sheetData sheetId="3927">
        <row r="81">
          <cell r="H81">
            <v>222.566</v>
          </cell>
        </row>
      </sheetData>
      <sheetData sheetId="3928">
        <row r="81">
          <cell r="H81">
            <v>222.566</v>
          </cell>
        </row>
      </sheetData>
      <sheetData sheetId="3929">
        <row r="81">
          <cell r="H81">
            <v>222.566</v>
          </cell>
        </row>
      </sheetData>
      <sheetData sheetId="3930">
        <row r="81">
          <cell r="H81">
            <v>222.566</v>
          </cell>
        </row>
      </sheetData>
      <sheetData sheetId="3931">
        <row r="81">
          <cell r="H81">
            <v>222.566</v>
          </cell>
        </row>
      </sheetData>
      <sheetData sheetId="3932">
        <row r="81">
          <cell r="H81">
            <v>222.566</v>
          </cell>
        </row>
      </sheetData>
      <sheetData sheetId="3933">
        <row r="81">
          <cell r="H81">
            <v>222.566</v>
          </cell>
        </row>
      </sheetData>
      <sheetData sheetId="3934">
        <row r="81">
          <cell r="H81">
            <v>222.566</v>
          </cell>
        </row>
      </sheetData>
      <sheetData sheetId="3935">
        <row r="81">
          <cell r="H81">
            <v>222.566</v>
          </cell>
        </row>
      </sheetData>
      <sheetData sheetId="3936">
        <row r="81">
          <cell r="H81">
            <v>222.566</v>
          </cell>
        </row>
      </sheetData>
      <sheetData sheetId="3937">
        <row r="81">
          <cell r="H81">
            <v>222.566</v>
          </cell>
        </row>
      </sheetData>
      <sheetData sheetId="3938">
        <row r="81">
          <cell r="H81">
            <v>222.566</v>
          </cell>
        </row>
      </sheetData>
      <sheetData sheetId="3939">
        <row r="81">
          <cell r="H81">
            <v>222.566</v>
          </cell>
        </row>
      </sheetData>
      <sheetData sheetId="3940">
        <row r="81">
          <cell r="H81">
            <v>222.566</v>
          </cell>
        </row>
      </sheetData>
      <sheetData sheetId="3941">
        <row r="81">
          <cell r="H81">
            <v>222.566</v>
          </cell>
        </row>
      </sheetData>
      <sheetData sheetId="3942">
        <row r="81">
          <cell r="H81">
            <v>222.566</v>
          </cell>
        </row>
      </sheetData>
      <sheetData sheetId="3943">
        <row r="81">
          <cell r="H81">
            <v>222.566</v>
          </cell>
        </row>
      </sheetData>
      <sheetData sheetId="3944">
        <row r="81">
          <cell r="H81">
            <v>222.566</v>
          </cell>
        </row>
      </sheetData>
      <sheetData sheetId="3945">
        <row r="81">
          <cell r="H81">
            <v>222.566</v>
          </cell>
        </row>
      </sheetData>
      <sheetData sheetId="3946">
        <row r="81">
          <cell r="H81">
            <v>222.566</v>
          </cell>
        </row>
      </sheetData>
      <sheetData sheetId="3947">
        <row r="81">
          <cell r="H81">
            <v>222.566</v>
          </cell>
        </row>
      </sheetData>
      <sheetData sheetId="3948">
        <row r="81">
          <cell r="H81">
            <v>222.566</v>
          </cell>
        </row>
      </sheetData>
      <sheetData sheetId="3949">
        <row r="81">
          <cell r="H81">
            <v>222.566</v>
          </cell>
        </row>
      </sheetData>
      <sheetData sheetId="3950">
        <row r="81">
          <cell r="H81">
            <v>222.566</v>
          </cell>
        </row>
      </sheetData>
      <sheetData sheetId="3951">
        <row r="81">
          <cell r="H81">
            <v>222.566</v>
          </cell>
        </row>
      </sheetData>
      <sheetData sheetId="3952">
        <row r="81">
          <cell r="H81">
            <v>222.566</v>
          </cell>
        </row>
      </sheetData>
      <sheetData sheetId="3953">
        <row r="81">
          <cell r="H81">
            <v>222.566</v>
          </cell>
        </row>
      </sheetData>
      <sheetData sheetId="3954">
        <row r="81">
          <cell r="H81">
            <v>222.566</v>
          </cell>
        </row>
      </sheetData>
      <sheetData sheetId="3955">
        <row r="81">
          <cell r="H81">
            <v>222.566</v>
          </cell>
        </row>
      </sheetData>
      <sheetData sheetId="3956">
        <row r="81">
          <cell r="H81">
            <v>222.566</v>
          </cell>
        </row>
      </sheetData>
      <sheetData sheetId="3957">
        <row r="81">
          <cell r="H81">
            <v>222.566</v>
          </cell>
        </row>
      </sheetData>
      <sheetData sheetId="3958">
        <row r="81">
          <cell r="H81">
            <v>222.566</v>
          </cell>
        </row>
      </sheetData>
      <sheetData sheetId="3959">
        <row r="81">
          <cell r="H81">
            <v>222.566</v>
          </cell>
        </row>
      </sheetData>
      <sheetData sheetId="3960">
        <row r="81">
          <cell r="H81">
            <v>222.566</v>
          </cell>
        </row>
      </sheetData>
      <sheetData sheetId="3961">
        <row r="81">
          <cell r="H81">
            <v>222.566</v>
          </cell>
        </row>
      </sheetData>
      <sheetData sheetId="3962">
        <row r="81">
          <cell r="H81">
            <v>222.566</v>
          </cell>
        </row>
      </sheetData>
      <sheetData sheetId="3963">
        <row r="81">
          <cell r="H81">
            <v>222.566</v>
          </cell>
        </row>
      </sheetData>
      <sheetData sheetId="3964">
        <row r="81">
          <cell r="H81">
            <v>222.566</v>
          </cell>
        </row>
      </sheetData>
      <sheetData sheetId="3965">
        <row r="81">
          <cell r="H81">
            <v>222.566</v>
          </cell>
        </row>
      </sheetData>
      <sheetData sheetId="3966">
        <row r="81">
          <cell r="H81">
            <v>222.566</v>
          </cell>
        </row>
      </sheetData>
      <sheetData sheetId="3967">
        <row r="81">
          <cell r="H81">
            <v>222.566</v>
          </cell>
        </row>
      </sheetData>
      <sheetData sheetId="3968">
        <row r="81">
          <cell r="H81">
            <v>222.566</v>
          </cell>
        </row>
      </sheetData>
      <sheetData sheetId="3969">
        <row r="81">
          <cell r="H81">
            <v>222.566</v>
          </cell>
        </row>
      </sheetData>
      <sheetData sheetId="3970">
        <row r="81">
          <cell r="H81">
            <v>222.566</v>
          </cell>
        </row>
      </sheetData>
      <sheetData sheetId="3971">
        <row r="81">
          <cell r="H81">
            <v>222.566</v>
          </cell>
        </row>
      </sheetData>
      <sheetData sheetId="3972">
        <row r="81">
          <cell r="H81">
            <v>222.566</v>
          </cell>
        </row>
      </sheetData>
      <sheetData sheetId="3973">
        <row r="81">
          <cell r="H81">
            <v>222.566</v>
          </cell>
        </row>
      </sheetData>
      <sheetData sheetId="3974">
        <row r="81">
          <cell r="H81">
            <v>222.566</v>
          </cell>
        </row>
      </sheetData>
      <sheetData sheetId="3975">
        <row r="81">
          <cell r="H81">
            <v>222.566</v>
          </cell>
        </row>
      </sheetData>
      <sheetData sheetId="3976">
        <row r="81">
          <cell r="H81">
            <v>222.566</v>
          </cell>
        </row>
      </sheetData>
      <sheetData sheetId="3977">
        <row r="81">
          <cell r="H81">
            <v>222.566</v>
          </cell>
        </row>
      </sheetData>
      <sheetData sheetId="3978">
        <row r="81">
          <cell r="H81">
            <v>222.566</v>
          </cell>
        </row>
      </sheetData>
      <sheetData sheetId="3979">
        <row r="81">
          <cell r="H81">
            <v>222.566</v>
          </cell>
        </row>
      </sheetData>
      <sheetData sheetId="3980">
        <row r="81">
          <cell r="H81">
            <v>222.566</v>
          </cell>
        </row>
      </sheetData>
      <sheetData sheetId="3981">
        <row r="81">
          <cell r="H81">
            <v>222.566</v>
          </cell>
        </row>
      </sheetData>
      <sheetData sheetId="3982">
        <row r="81">
          <cell r="H81">
            <v>222.566</v>
          </cell>
        </row>
      </sheetData>
      <sheetData sheetId="3983">
        <row r="81">
          <cell r="H81">
            <v>222.566</v>
          </cell>
        </row>
      </sheetData>
      <sheetData sheetId="3984">
        <row r="81">
          <cell r="H81">
            <v>222.566</v>
          </cell>
        </row>
      </sheetData>
      <sheetData sheetId="3985">
        <row r="81">
          <cell r="H81">
            <v>222.566</v>
          </cell>
        </row>
      </sheetData>
      <sheetData sheetId="3986">
        <row r="81">
          <cell r="H81">
            <v>222.566</v>
          </cell>
        </row>
      </sheetData>
      <sheetData sheetId="3987">
        <row r="81">
          <cell r="H81">
            <v>222.566</v>
          </cell>
        </row>
      </sheetData>
      <sheetData sheetId="3988">
        <row r="81">
          <cell r="H81">
            <v>222.566</v>
          </cell>
        </row>
      </sheetData>
      <sheetData sheetId="3989">
        <row r="81">
          <cell r="H81">
            <v>222.566</v>
          </cell>
        </row>
      </sheetData>
      <sheetData sheetId="3990">
        <row r="81">
          <cell r="H81">
            <v>222.566</v>
          </cell>
        </row>
      </sheetData>
      <sheetData sheetId="3991">
        <row r="81">
          <cell r="H81">
            <v>222.566</v>
          </cell>
        </row>
      </sheetData>
      <sheetData sheetId="3992">
        <row r="81">
          <cell r="H81">
            <v>222.566</v>
          </cell>
        </row>
      </sheetData>
      <sheetData sheetId="3993">
        <row r="81">
          <cell r="H81">
            <v>222.566</v>
          </cell>
        </row>
      </sheetData>
      <sheetData sheetId="3994">
        <row r="81">
          <cell r="H81">
            <v>222.566</v>
          </cell>
        </row>
      </sheetData>
      <sheetData sheetId="3995">
        <row r="81">
          <cell r="H81">
            <v>222.566</v>
          </cell>
        </row>
      </sheetData>
      <sheetData sheetId="3996">
        <row r="81">
          <cell r="H81">
            <v>222.566</v>
          </cell>
        </row>
      </sheetData>
      <sheetData sheetId="3997">
        <row r="81">
          <cell r="H81">
            <v>222.566</v>
          </cell>
        </row>
      </sheetData>
      <sheetData sheetId="3998">
        <row r="81">
          <cell r="H81">
            <v>222.566</v>
          </cell>
        </row>
      </sheetData>
      <sheetData sheetId="3999">
        <row r="81">
          <cell r="H81">
            <v>222.566</v>
          </cell>
        </row>
      </sheetData>
      <sheetData sheetId="4000">
        <row r="81">
          <cell r="H81">
            <v>222.566</v>
          </cell>
        </row>
      </sheetData>
      <sheetData sheetId="4001">
        <row r="81">
          <cell r="H81">
            <v>222.566</v>
          </cell>
        </row>
      </sheetData>
      <sheetData sheetId="4002">
        <row r="81">
          <cell r="H81">
            <v>222.566</v>
          </cell>
        </row>
      </sheetData>
      <sheetData sheetId="4003">
        <row r="81">
          <cell r="H81">
            <v>222.566</v>
          </cell>
        </row>
      </sheetData>
      <sheetData sheetId="4004">
        <row r="81">
          <cell r="H81">
            <v>222.566</v>
          </cell>
        </row>
      </sheetData>
      <sheetData sheetId="4005">
        <row r="81">
          <cell r="H81">
            <v>222.566</v>
          </cell>
        </row>
      </sheetData>
      <sheetData sheetId="4006">
        <row r="81">
          <cell r="H81">
            <v>222.566</v>
          </cell>
        </row>
      </sheetData>
      <sheetData sheetId="4007">
        <row r="81">
          <cell r="H81">
            <v>222.566</v>
          </cell>
        </row>
      </sheetData>
      <sheetData sheetId="4008">
        <row r="81">
          <cell r="H81">
            <v>222.566</v>
          </cell>
        </row>
      </sheetData>
      <sheetData sheetId="4009">
        <row r="81">
          <cell r="H81">
            <v>222.566</v>
          </cell>
        </row>
      </sheetData>
      <sheetData sheetId="4010">
        <row r="81">
          <cell r="H81">
            <v>222.566</v>
          </cell>
        </row>
      </sheetData>
      <sheetData sheetId="4011">
        <row r="81">
          <cell r="H81">
            <v>222.566</v>
          </cell>
        </row>
      </sheetData>
      <sheetData sheetId="4012">
        <row r="81">
          <cell r="H81">
            <v>222.566</v>
          </cell>
        </row>
      </sheetData>
      <sheetData sheetId="4013">
        <row r="81">
          <cell r="H81">
            <v>222.566</v>
          </cell>
        </row>
      </sheetData>
      <sheetData sheetId="4014">
        <row r="81">
          <cell r="H81">
            <v>222.566</v>
          </cell>
        </row>
      </sheetData>
      <sheetData sheetId="4015">
        <row r="81">
          <cell r="H81">
            <v>222.566</v>
          </cell>
        </row>
      </sheetData>
      <sheetData sheetId="4016">
        <row r="81">
          <cell r="H81">
            <v>222.566</v>
          </cell>
        </row>
      </sheetData>
      <sheetData sheetId="4017">
        <row r="81">
          <cell r="H81">
            <v>222.566</v>
          </cell>
        </row>
      </sheetData>
      <sheetData sheetId="4018">
        <row r="81">
          <cell r="H81">
            <v>222.566</v>
          </cell>
        </row>
      </sheetData>
      <sheetData sheetId="4019">
        <row r="81">
          <cell r="H81">
            <v>222.566</v>
          </cell>
        </row>
      </sheetData>
      <sheetData sheetId="4020">
        <row r="81">
          <cell r="H81">
            <v>222.566</v>
          </cell>
        </row>
      </sheetData>
      <sheetData sheetId="4021">
        <row r="81">
          <cell r="H81">
            <v>222.566</v>
          </cell>
        </row>
      </sheetData>
      <sheetData sheetId="4022">
        <row r="81">
          <cell r="H81">
            <v>222.566</v>
          </cell>
        </row>
      </sheetData>
      <sheetData sheetId="4023">
        <row r="81">
          <cell r="H81">
            <v>222.566</v>
          </cell>
        </row>
      </sheetData>
      <sheetData sheetId="4024">
        <row r="81">
          <cell r="H81">
            <v>222.566</v>
          </cell>
        </row>
      </sheetData>
      <sheetData sheetId="4025">
        <row r="81">
          <cell r="H81">
            <v>222.566</v>
          </cell>
        </row>
      </sheetData>
      <sheetData sheetId="4026">
        <row r="81">
          <cell r="H81">
            <v>222.566</v>
          </cell>
        </row>
      </sheetData>
      <sheetData sheetId="4027">
        <row r="81">
          <cell r="H81">
            <v>222.566</v>
          </cell>
        </row>
      </sheetData>
      <sheetData sheetId="4028">
        <row r="81">
          <cell r="H81">
            <v>222.566</v>
          </cell>
        </row>
      </sheetData>
      <sheetData sheetId="4029">
        <row r="81">
          <cell r="H81">
            <v>222.566</v>
          </cell>
        </row>
      </sheetData>
      <sheetData sheetId="4030">
        <row r="81">
          <cell r="H81">
            <v>222.566</v>
          </cell>
        </row>
      </sheetData>
      <sheetData sheetId="4031">
        <row r="81">
          <cell r="H81">
            <v>222.566</v>
          </cell>
        </row>
      </sheetData>
      <sheetData sheetId="4032">
        <row r="81">
          <cell r="H81">
            <v>222.566</v>
          </cell>
        </row>
      </sheetData>
      <sheetData sheetId="4033">
        <row r="81">
          <cell r="H81">
            <v>222.566</v>
          </cell>
        </row>
      </sheetData>
      <sheetData sheetId="4034">
        <row r="81">
          <cell r="H81">
            <v>222.566</v>
          </cell>
        </row>
      </sheetData>
      <sheetData sheetId="4035">
        <row r="81">
          <cell r="H81">
            <v>222.566</v>
          </cell>
        </row>
      </sheetData>
      <sheetData sheetId="4036">
        <row r="81">
          <cell r="H81">
            <v>222.566</v>
          </cell>
        </row>
      </sheetData>
      <sheetData sheetId="4037">
        <row r="81">
          <cell r="H81">
            <v>222.566</v>
          </cell>
        </row>
      </sheetData>
      <sheetData sheetId="4038">
        <row r="81">
          <cell r="H81">
            <v>222.566</v>
          </cell>
        </row>
      </sheetData>
      <sheetData sheetId="4039">
        <row r="81">
          <cell r="H81">
            <v>222.566</v>
          </cell>
        </row>
      </sheetData>
      <sheetData sheetId="4040">
        <row r="81">
          <cell r="H81">
            <v>222.566</v>
          </cell>
        </row>
      </sheetData>
      <sheetData sheetId="4041">
        <row r="81">
          <cell r="H81">
            <v>222.566</v>
          </cell>
        </row>
      </sheetData>
      <sheetData sheetId="4042">
        <row r="81">
          <cell r="H81">
            <v>222.566</v>
          </cell>
        </row>
      </sheetData>
      <sheetData sheetId="4043">
        <row r="81">
          <cell r="H81">
            <v>222.566</v>
          </cell>
        </row>
      </sheetData>
      <sheetData sheetId="4044">
        <row r="81">
          <cell r="H81">
            <v>222.566</v>
          </cell>
        </row>
      </sheetData>
      <sheetData sheetId="4045">
        <row r="81">
          <cell r="H81">
            <v>222.566</v>
          </cell>
        </row>
      </sheetData>
      <sheetData sheetId="4046">
        <row r="81">
          <cell r="H81">
            <v>222.566</v>
          </cell>
        </row>
      </sheetData>
      <sheetData sheetId="4047">
        <row r="81">
          <cell r="H81">
            <v>222.566</v>
          </cell>
        </row>
      </sheetData>
      <sheetData sheetId="4048">
        <row r="81">
          <cell r="H81">
            <v>222.566</v>
          </cell>
        </row>
      </sheetData>
      <sheetData sheetId="4049">
        <row r="81">
          <cell r="H81">
            <v>222.566</v>
          </cell>
        </row>
      </sheetData>
      <sheetData sheetId="4050">
        <row r="81">
          <cell r="H81">
            <v>222.566</v>
          </cell>
        </row>
      </sheetData>
      <sheetData sheetId="4051">
        <row r="81">
          <cell r="H81">
            <v>222.566</v>
          </cell>
        </row>
      </sheetData>
      <sheetData sheetId="4052">
        <row r="81">
          <cell r="H81">
            <v>222.566</v>
          </cell>
        </row>
      </sheetData>
      <sheetData sheetId="4053">
        <row r="81">
          <cell r="H81">
            <v>222.566</v>
          </cell>
        </row>
      </sheetData>
      <sheetData sheetId="4054">
        <row r="81">
          <cell r="H81">
            <v>222.566</v>
          </cell>
        </row>
      </sheetData>
      <sheetData sheetId="4055">
        <row r="81">
          <cell r="H81">
            <v>222.566</v>
          </cell>
        </row>
      </sheetData>
      <sheetData sheetId="4056">
        <row r="81">
          <cell r="H81">
            <v>222.566</v>
          </cell>
        </row>
      </sheetData>
      <sheetData sheetId="4057">
        <row r="81">
          <cell r="H81">
            <v>222.566</v>
          </cell>
        </row>
      </sheetData>
      <sheetData sheetId="4058">
        <row r="81">
          <cell r="H81">
            <v>222.566</v>
          </cell>
        </row>
      </sheetData>
      <sheetData sheetId="4059">
        <row r="81">
          <cell r="H81">
            <v>222.566</v>
          </cell>
        </row>
      </sheetData>
      <sheetData sheetId="4060">
        <row r="81">
          <cell r="H81">
            <v>222.566</v>
          </cell>
        </row>
      </sheetData>
      <sheetData sheetId="4061">
        <row r="81">
          <cell r="H81">
            <v>222.566</v>
          </cell>
        </row>
      </sheetData>
      <sheetData sheetId="4062">
        <row r="81">
          <cell r="H81">
            <v>222.566</v>
          </cell>
        </row>
      </sheetData>
      <sheetData sheetId="4063">
        <row r="81">
          <cell r="H81">
            <v>222.566</v>
          </cell>
        </row>
      </sheetData>
      <sheetData sheetId="4064">
        <row r="81">
          <cell r="H81">
            <v>222.566</v>
          </cell>
        </row>
      </sheetData>
      <sheetData sheetId="4065">
        <row r="81">
          <cell r="H81">
            <v>222.566</v>
          </cell>
        </row>
      </sheetData>
      <sheetData sheetId="4066">
        <row r="81">
          <cell r="H81">
            <v>222.566</v>
          </cell>
        </row>
      </sheetData>
      <sheetData sheetId="4067">
        <row r="81">
          <cell r="H81">
            <v>222.566</v>
          </cell>
        </row>
      </sheetData>
      <sheetData sheetId="4068">
        <row r="81">
          <cell r="H81">
            <v>222.566</v>
          </cell>
        </row>
      </sheetData>
      <sheetData sheetId="4069">
        <row r="81">
          <cell r="H81">
            <v>222.566</v>
          </cell>
        </row>
      </sheetData>
      <sheetData sheetId="4070">
        <row r="81">
          <cell r="H81">
            <v>222.566</v>
          </cell>
        </row>
      </sheetData>
      <sheetData sheetId="4071">
        <row r="81">
          <cell r="H81">
            <v>222.566</v>
          </cell>
        </row>
      </sheetData>
      <sheetData sheetId="4072">
        <row r="81">
          <cell r="H81">
            <v>222.566</v>
          </cell>
        </row>
      </sheetData>
      <sheetData sheetId="4073">
        <row r="81">
          <cell r="H81">
            <v>222.566</v>
          </cell>
        </row>
      </sheetData>
      <sheetData sheetId="4074">
        <row r="81">
          <cell r="H81">
            <v>222.566</v>
          </cell>
        </row>
      </sheetData>
      <sheetData sheetId="4075">
        <row r="81">
          <cell r="H81">
            <v>222.566</v>
          </cell>
        </row>
      </sheetData>
      <sheetData sheetId="4076">
        <row r="81">
          <cell r="H81">
            <v>222.566</v>
          </cell>
        </row>
      </sheetData>
      <sheetData sheetId="4077">
        <row r="81">
          <cell r="H81">
            <v>222.566</v>
          </cell>
        </row>
      </sheetData>
      <sheetData sheetId="4078">
        <row r="81">
          <cell r="H81">
            <v>222.566</v>
          </cell>
        </row>
      </sheetData>
      <sheetData sheetId="4079">
        <row r="81">
          <cell r="H81">
            <v>222.566</v>
          </cell>
        </row>
      </sheetData>
      <sheetData sheetId="4080">
        <row r="81">
          <cell r="H81">
            <v>222.566</v>
          </cell>
        </row>
      </sheetData>
      <sheetData sheetId="4081">
        <row r="81">
          <cell r="H81">
            <v>222.566</v>
          </cell>
        </row>
      </sheetData>
      <sheetData sheetId="4082">
        <row r="81">
          <cell r="H81">
            <v>222.566</v>
          </cell>
        </row>
      </sheetData>
      <sheetData sheetId="4083">
        <row r="81">
          <cell r="H81">
            <v>222.566</v>
          </cell>
        </row>
      </sheetData>
      <sheetData sheetId="4084">
        <row r="81">
          <cell r="H81">
            <v>222.566</v>
          </cell>
        </row>
      </sheetData>
      <sheetData sheetId="4085">
        <row r="81">
          <cell r="H81">
            <v>222.566</v>
          </cell>
        </row>
      </sheetData>
      <sheetData sheetId="4086">
        <row r="81">
          <cell r="H81">
            <v>222.566</v>
          </cell>
        </row>
      </sheetData>
      <sheetData sheetId="4087">
        <row r="81">
          <cell r="H81">
            <v>222.566</v>
          </cell>
        </row>
      </sheetData>
      <sheetData sheetId="4088">
        <row r="81">
          <cell r="H81">
            <v>222.566</v>
          </cell>
        </row>
      </sheetData>
      <sheetData sheetId="4089">
        <row r="81">
          <cell r="H81">
            <v>222.566</v>
          </cell>
        </row>
      </sheetData>
      <sheetData sheetId="4090">
        <row r="81">
          <cell r="H81">
            <v>222.566</v>
          </cell>
        </row>
      </sheetData>
      <sheetData sheetId="4091">
        <row r="81">
          <cell r="H81">
            <v>222.566</v>
          </cell>
        </row>
      </sheetData>
      <sheetData sheetId="4092">
        <row r="81">
          <cell r="H81">
            <v>222.566</v>
          </cell>
        </row>
      </sheetData>
      <sheetData sheetId="4093">
        <row r="81">
          <cell r="H81">
            <v>222.566</v>
          </cell>
        </row>
      </sheetData>
      <sheetData sheetId="4094">
        <row r="81">
          <cell r="H81">
            <v>222.566</v>
          </cell>
        </row>
      </sheetData>
      <sheetData sheetId="4095">
        <row r="81">
          <cell r="H81">
            <v>222.566</v>
          </cell>
        </row>
      </sheetData>
      <sheetData sheetId="4096">
        <row r="81">
          <cell r="H81">
            <v>222.566</v>
          </cell>
        </row>
      </sheetData>
      <sheetData sheetId="4097">
        <row r="81">
          <cell r="H81">
            <v>222.566</v>
          </cell>
        </row>
      </sheetData>
      <sheetData sheetId="4098">
        <row r="81">
          <cell r="H81">
            <v>222.566</v>
          </cell>
        </row>
      </sheetData>
      <sheetData sheetId="4099">
        <row r="81">
          <cell r="H81">
            <v>222.566</v>
          </cell>
        </row>
      </sheetData>
      <sheetData sheetId="4100">
        <row r="81">
          <cell r="H81">
            <v>222.566</v>
          </cell>
        </row>
      </sheetData>
      <sheetData sheetId="4101">
        <row r="81">
          <cell r="H81">
            <v>222.566</v>
          </cell>
        </row>
      </sheetData>
      <sheetData sheetId="4102">
        <row r="81">
          <cell r="H81">
            <v>222.566</v>
          </cell>
        </row>
      </sheetData>
      <sheetData sheetId="4103">
        <row r="81">
          <cell r="H81">
            <v>222.566</v>
          </cell>
        </row>
      </sheetData>
      <sheetData sheetId="4104">
        <row r="81">
          <cell r="H81">
            <v>222.566</v>
          </cell>
        </row>
      </sheetData>
      <sheetData sheetId="4105">
        <row r="81">
          <cell r="H81">
            <v>222.566</v>
          </cell>
        </row>
      </sheetData>
      <sheetData sheetId="4106">
        <row r="81">
          <cell r="H81">
            <v>222.566</v>
          </cell>
        </row>
      </sheetData>
      <sheetData sheetId="4107">
        <row r="81">
          <cell r="H81">
            <v>222.566</v>
          </cell>
        </row>
      </sheetData>
      <sheetData sheetId="4108">
        <row r="81">
          <cell r="H81">
            <v>222.566</v>
          </cell>
        </row>
      </sheetData>
      <sheetData sheetId="4109">
        <row r="81">
          <cell r="H81">
            <v>222.566</v>
          </cell>
        </row>
      </sheetData>
      <sheetData sheetId="4110">
        <row r="81">
          <cell r="H81">
            <v>222.566</v>
          </cell>
        </row>
      </sheetData>
      <sheetData sheetId="4111">
        <row r="81">
          <cell r="H81">
            <v>222.566</v>
          </cell>
        </row>
      </sheetData>
      <sheetData sheetId="4112">
        <row r="81">
          <cell r="H81">
            <v>222.566</v>
          </cell>
        </row>
      </sheetData>
      <sheetData sheetId="4113">
        <row r="81">
          <cell r="H81">
            <v>222.566</v>
          </cell>
        </row>
      </sheetData>
      <sheetData sheetId="4114">
        <row r="81">
          <cell r="H81">
            <v>222.566</v>
          </cell>
        </row>
      </sheetData>
      <sheetData sheetId="4115">
        <row r="81">
          <cell r="H81">
            <v>222.566</v>
          </cell>
        </row>
      </sheetData>
      <sheetData sheetId="4116">
        <row r="81">
          <cell r="H81">
            <v>222.566</v>
          </cell>
        </row>
      </sheetData>
      <sheetData sheetId="4117">
        <row r="81">
          <cell r="H81">
            <v>222.566</v>
          </cell>
        </row>
      </sheetData>
      <sheetData sheetId="4118">
        <row r="81">
          <cell r="H81">
            <v>222.566</v>
          </cell>
        </row>
      </sheetData>
      <sheetData sheetId="4119">
        <row r="81">
          <cell r="H81">
            <v>222.566</v>
          </cell>
        </row>
      </sheetData>
      <sheetData sheetId="4120">
        <row r="81">
          <cell r="H81">
            <v>222.566</v>
          </cell>
        </row>
      </sheetData>
      <sheetData sheetId="4121">
        <row r="81">
          <cell r="H81">
            <v>222.566</v>
          </cell>
        </row>
      </sheetData>
      <sheetData sheetId="4122">
        <row r="81">
          <cell r="H81">
            <v>222.566</v>
          </cell>
        </row>
      </sheetData>
      <sheetData sheetId="4123">
        <row r="81">
          <cell r="H81">
            <v>222.566</v>
          </cell>
        </row>
      </sheetData>
      <sheetData sheetId="4124">
        <row r="81">
          <cell r="H81">
            <v>222.566</v>
          </cell>
        </row>
      </sheetData>
      <sheetData sheetId="4125">
        <row r="81">
          <cell r="H81">
            <v>222.566</v>
          </cell>
        </row>
      </sheetData>
      <sheetData sheetId="4126">
        <row r="81">
          <cell r="H81">
            <v>222.566</v>
          </cell>
        </row>
      </sheetData>
      <sheetData sheetId="4127">
        <row r="81">
          <cell r="H81">
            <v>222.566</v>
          </cell>
        </row>
      </sheetData>
      <sheetData sheetId="4128">
        <row r="81">
          <cell r="H81">
            <v>222.566</v>
          </cell>
        </row>
      </sheetData>
      <sheetData sheetId="4129">
        <row r="81">
          <cell r="H81">
            <v>222.566</v>
          </cell>
        </row>
      </sheetData>
      <sheetData sheetId="4130">
        <row r="81">
          <cell r="H81">
            <v>222.566</v>
          </cell>
        </row>
      </sheetData>
      <sheetData sheetId="4131">
        <row r="81">
          <cell r="H81">
            <v>222.566</v>
          </cell>
        </row>
      </sheetData>
      <sheetData sheetId="4132">
        <row r="81">
          <cell r="H81">
            <v>222.566</v>
          </cell>
        </row>
      </sheetData>
      <sheetData sheetId="4133">
        <row r="81">
          <cell r="H81">
            <v>222.566</v>
          </cell>
        </row>
      </sheetData>
      <sheetData sheetId="4134">
        <row r="81">
          <cell r="H81">
            <v>222.566</v>
          </cell>
        </row>
      </sheetData>
      <sheetData sheetId="4135">
        <row r="81">
          <cell r="H81">
            <v>222.566</v>
          </cell>
        </row>
      </sheetData>
      <sheetData sheetId="4136">
        <row r="81">
          <cell r="H81">
            <v>222.566</v>
          </cell>
        </row>
      </sheetData>
      <sheetData sheetId="4137">
        <row r="81">
          <cell r="H81">
            <v>222.566</v>
          </cell>
        </row>
      </sheetData>
      <sheetData sheetId="4138">
        <row r="81">
          <cell r="H81">
            <v>222.566</v>
          </cell>
        </row>
      </sheetData>
      <sheetData sheetId="4139">
        <row r="81">
          <cell r="H81">
            <v>222.566</v>
          </cell>
        </row>
      </sheetData>
      <sheetData sheetId="4140">
        <row r="81">
          <cell r="H81">
            <v>222.566</v>
          </cell>
        </row>
      </sheetData>
      <sheetData sheetId="4141">
        <row r="81">
          <cell r="H81">
            <v>222.566</v>
          </cell>
        </row>
      </sheetData>
      <sheetData sheetId="4142">
        <row r="81">
          <cell r="H81">
            <v>222.566</v>
          </cell>
        </row>
      </sheetData>
      <sheetData sheetId="4143">
        <row r="81">
          <cell r="H81">
            <v>222.566</v>
          </cell>
        </row>
      </sheetData>
      <sheetData sheetId="4144">
        <row r="81">
          <cell r="H81">
            <v>222.566</v>
          </cell>
        </row>
      </sheetData>
      <sheetData sheetId="4145">
        <row r="81">
          <cell r="H81">
            <v>222.566</v>
          </cell>
        </row>
      </sheetData>
      <sheetData sheetId="4146">
        <row r="81">
          <cell r="H81">
            <v>222.566</v>
          </cell>
        </row>
      </sheetData>
      <sheetData sheetId="4147">
        <row r="81">
          <cell r="H81">
            <v>222.566</v>
          </cell>
        </row>
      </sheetData>
      <sheetData sheetId="4148">
        <row r="81">
          <cell r="H81">
            <v>222.566</v>
          </cell>
        </row>
      </sheetData>
      <sheetData sheetId="4149">
        <row r="81">
          <cell r="H81">
            <v>222.566</v>
          </cell>
        </row>
      </sheetData>
      <sheetData sheetId="4150">
        <row r="81">
          <cell r="H81">
            <v>222.566</v>
          </cell>
        </row>
      </sheetData>
      <sheetData sheetId="4151">
        <row r="81">
          <cell r="H81">
            <v>222.566</v>
          </cell>
        </row>
      </sheetData>
      <sheetData sheetId="4152">
        <row r="81">
          <cell r="H81">
            <v>222.566</v>
          </cell>
        </row>
      </sheetData>
      <sheetData sheetId="4153">
        <row r="81">
          <cell r="H81">
            <v>222.566</v>
          </cell>
        </row>
      </sheetData>
      <sheetData sheetId="4154">
        <row r="81">
          <cell r="H81">
            <v>222.566</v>
          </cell>
        </row>
      </sheetData>
      <sheetData sheetId="4155">
        <row r="81">
          <cell r="H81">
            <v>222.566</v>
          </cell>
        </row>
      </sheetData>
      <sheetData sheetId="4156">
        <row r="81">
          <cell r="H81">
            <v>222.566</v>
          </cell>
        </row>
      </sheetData>
      <sheetData sheetId="4157">
        <row r="81">
          <cell r="H81">
            <v>222.566</v>
          </cell>
        </row>
      </sheetData>
      <sheetData sheetId="4158">
        <row r="81">
          <cell r="H81">
            <v>222.566</v>
          </cell>
        </row>
      </sheetData>
      <sheetData sheetId="4159">
        <row r="81">
          <cell r="H81">
            <v>222.566</v>
          </cell>
        </row>
      </sheetData>
      <sheetData sheetId="4160">
        <row r="81">
          <cell r="H81">
            <v>222.566</v>
          </cell>
        </row>
      </sheetData>
      <sheetData sheetId="4161">
        <row r="81">
          <cell r="H81">
            <v>222.566</v>
          </cell>
        </row>
      </sheetData>
      <sheetData sheetId="4162">
        <row r="81">
          <cell r="H81">
            <v>222.566</v>
          </cell>
        </row>
      </sheetData>
      <sheetData sheetId="4163">
        <row r="81">
          <cell r="H81">
            <v>222.566</v>
          </cell>
        </row>
      </sheetData>
      <sheetData sheetId="4164">
        <row r="81">
          <cell r="H81">
            <v>222.566</v>
          </cell>
        </row>
      </sheetData>
      <sheetData sheetId="4165">
        <row r="81">
          <cell r="H81">
            <v>222.566</v>
          </cell>
        </row>
      </sheetData>
      <sheetData sheetId="4166">
        <row r="81">
          <cell r="H81">
            <v>222.566</v>
          </cell>
        </row>
      </sheetData>
      <sheetData sheetId="4167">
        <row r="81">
          <cell r="H81">
            <v>222.566</v>
          </cell>
        </row>
      </sheetData>
      <sheetData sheetId="4168">
        <row r="81">
          <cell r="H81">
            <v>222.566</v>
          </cell>
        </row>
      </sheetData>
      <sheetData sheetId="4169">
        <row r="81">
          <cell r="H81">
            <v>222.566</v>
          </cell>
        </row>
      </sheetData>
      <sheetData sheetId="4170">
        <row r="81">
          <cell r="H81">
            <v>222.566</v>
          </cell>
        </row>
      </sheetData>
      <sheetData sheetId="4171">
        <row r="81">
          <cell r="H81">
            <v>222.566</v>
          </cell>
        </row>
      </sheetData>
      <sheetData sheetId="4172">
        <row r="81">
          <cell r="H81">
            <v>222.566</v>
          </cell>
        </row>
      </sheetData>
      <sheetData sheetId="4173">
        <row r="81">
          <cell r="H81">
            <v>222.566</v>
          </cell>
        </row>
      </sheetData>
      <sheetData sheetId="4174">
        <row r="81">
          <cell r="H81">
            <v>222.566</v>
          </cell>
        </row>
      </sheetData>
      <sheetData sheetId="4175">
        <row r="81">
          <cell r="H81">
            <v>222.566</v>
          </cell>
        </row>
      </sheetData>
      <sheetData sheetId="4176">
        <row r="81">
          <cell r="H81">
            <v>222.566</v>
          </cell>
        </row>
      </sheetData>
      <sheetData sheetId="4177">
        <row r="81">
          <cell r="H81">
            <v>222.566</v>
          </cell>
        </row>
      </sheetData>
      <sheetData sheetId="4178">
        <row r="81">
          <cell r="H81">
            <v>222.566</v>
          </cell>
        </row>
      </sheetData>
      <sheetData sheetId="4179">
        <row r="81">
          <cell r="H81">
            <v>222.566</v>
          </cell>
        </row>
      </sheetData>
      <sheetData sheetId="4180">
        <row r="81">
          <cell r="H81">
            <v>222.566</v>
          </cell>
        </row>
      </sheetData>
      <sheetData sheetId="4181">
        <row r="81">
          <cell r="H81">
            <v>222.566</v>
          </cell>
        </row>
      </sheetData>
      <sheetData sheetId="4182">
        <row r="81">
          <cell r="H81">
            <v>222.566</v>
          </cell>
        </row>
      </sheetData>
      <sheetData sheetId="4183">
        <row r="81">
          <cell r="H81">
            <v>222.566</v>
          </cell>
        </row>
      </sheetData>
      <sheetData sheetId="4184">
        <row r="81">
          <cell r="H81">
            <v>222.566</v>
          </cell>
        </row>
      </sheetData>
      <sheetData sheetId="4185">
        <row r="81">
          <cell r="H81">
            <v>222.566</v>
          </cell>
        </row>
      </sheetData>
      <sheetData sheetId="4186">
        <row r="81">
          <cell r="H81">
            <v>222.566</v>
          </cell>
        </row>
      </sheetData>
      <sheetData sheetId="4187">
        <row r="81">
          <cell r="H81">
            <v>222.566</v>
          </cell>
        </row>
      </sheetData>
      <sheetData sheetId="4188">
        <row r="81">
          <cell r="H81">
            <v>222.566</v>
          </cell>
        </row>
      </sheetData>
      <sheetData sheetId="4189">
        <row r="81">
          <cell r="H81">
            <v>222.566</v>
          </cell>
        </row>
      </sheetData>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ow r="81">
          <cell r="H81">
            <v>222.566</v>
          </cell>
        </row>
      </sheetData>
      <sheetData sheetId="4215">
        <row r="81">
          <cell r="H81">
            <v>222.566</v>
          </cell>
        </row>
      </sheetData>
      <sheetData sheetId="4216">
        <row r="81">
          <cell r="H81">
            <v>222.566</v>
          </cell>
        </row>
      </sheetData>
      <sheetData sheetId="4217">
        <row r="81">
          <cell r="H81">
            <v>222.566</v>
          </cell>
        </row>
      </sheetData>
      <sheetData sheetId="4218">
        <row r="81">
          <cell r="H81">
            <v>222.566</v>
          </cell>
        </row>
      </sheetData>
      <sheetData sheetId="4219">
        <row r="81">
          <cell r="H81">
            <v>222.566</v>
          </cell>
        </row>
      </sheetData>
      <sheetData sheetId="4220">
        <row r="81">
          <cell r="H81">
            <v>222.566</v>
          </cell>
        </row>
      </sheetData>
      <sheetData sheetId="4221">
        <row r="81">
          <cell r="H81">
            <v>222.566</v>
          </cell>
        </row>
      </sheetData>
      <sheetData sheetId="4222">
        <row r="81">
          <cell r="H81">
            <v>222.566</v>
          </cell>
        </row>
      </sheetData>
      <sheetData sheetId="4223">
        <row r="81">
          <cell r="H81">
            <v>222.566</v>
          </cell>
        </row>
      </sheetData>
      <sheetData sheetId="4224">
        <row r="81">
          <cell r="H81">
            <v>222.566</v>
          </cell>
        </row>
      </sheetData>
      <sheetData sheetId="4225">
        <row r="81">
          <cell r="H81">
            <v>222.566</v>
          </cell>
        </row>
      </sheetData>
      <sheetData sheetId="4226">
        <row r="81">
          <cell r="H81">
            <v>222.566</v>
          </cell>
        </row>
      </sheetData>
      <sheetData sheetId="4227">
        <row r="81">
          <cell r="H81">
            <v>222.566</v>
          </cell>
        </row>
      </sheetData>
      <sheetData sheetId="4228">
        <row r="81">
          <cell r="H81">
            <v>222.566</v>
          </cell>
        </row>
      </sheetData>
      <sheetData sheetId="4229">
        <row r="81">
          <cell r="H81">
            <v>222.566</v>
          </cell>
        </row>
      </sheetData>
      <sheetData sheetId="4230">
        <row r="81">
          <cell r="H81">
            <v>222.566</v>
          </cell>
        </row>
      </sheetData>
      <sheetData sheetId="4231">
        <row r="81">
          <cell r="H81">
            <v>222.566</v>
          </cell>
        </row>
      </sheetData>
      <sheetData sheetId="4232">
        <row r="81">
          <cell r="H81">
            <v>222.566</v>
          </cell>
        </row>
      </sheetData>
      <sheetData sheetId="4233">
        <row r="81">
          <cell r="H81">
            <v>222.566</v>
          </cell>
        </row>
      </sheetData>
      <sheetData sheetId="4234">
        <row r="81">
          <cell r="H81">
            <v>222.566</v>
          </cell>
        </row>
      </sheetData>
      <sheetData sheetId="4235">
        <row r="81">
          <cell r="H81">
            <v>222.566</v>
          </cell>
        </row>
      </sheetData>
      <sheetData sheetId="4236">
        <row r="81">
          <cell r="H81">
            <v>222.566</v>
          </cell>
        </row>
      </sheetData>
      <sheetData sheetId="4237">
        <row r="81">
          <cell r="H81">
            <v>222.566</v>
          </cell>
        </row>
      </sheetData>
      <sheetData sheetId="4238">
        <row r="81">
          <cell r="H81">
            <v>222.566</v>
          </cell>
        </row>
      </sheetData>
      <sheetData sheetId="4239">
        <row r="81">
          <cell r="H81">
            <v>222.566</v>
          </cell>
        </row>
      </sheetData>
      <sheetData sheetId="4240">
        <row r="81">
          <cell r="H81">
            <v>222.566</v>
          </cell>
        </row>
      </sheetData>
      <sheetData sheetId="4241">
        <row r="81">
          <cell r="H81">
            <v>222.566</v>
          </cell>
        </row>
      </sheetData>
      <sheetData sheetId="4242">
        <row r="81">
          <cell r="H81">
            <v>222.566</v>
          </cell>
        </row>
      </sheetData>
      <sheetData sheetId="4243">
        <row r="81">
          <cell r="H81">
            <v>222.566</v>
          </cell>
        </row>
      </sheetData>
      <sheetData sheetId="4244">
        <row r="81">
          <cell r="H81">
            <v>222.566</v>
          </cell>
        </row>
      </sheetData>
      <sheetData sheetId="4245">
        <row r="81">
          <cell r="H81">
            <v>222.566</v>
          </cell>
        </row>
      </sheetData>
      <sheetData sheetId="4246">
        <row r="81">
          <cell r="H81">
            <v>222.566</v>
          </cell>
        </row>
      </sheetData>
      <sheetData sheetId="4247">
        <row r="81">
          <cell r="H81">
            <v>222.566</v>
          </cell>
        </row>
      </sheetData>
      <sheetData sheetId="4248">
        <row r="81">
          <cell r="H81">
            <v>222.566</v>
          </cell>
        </row>
      </sheetData>
      <sheetData sheetId="4249">
        <row r="81">
          <cell r="H81">
            <v>222.566</v>
          </cell>
        </row>
      </sheetData>
      <sheetData sheetId="4250">
        <row r="81">
          <cell r="H81">
            <v>222.566</v>
          </cell>
        </row>
      </sheetData>
      <sheetData sheetId="4251">
        <row r="81">
          <cell r="H81">
            <v>222.566</v>
          </cell>
        </row>
      </sheetData>
      <sheetData sheetId="4252">
        <row r="81">
          <cell r="H81">
            <v>222.566</v>
          </cell>
        </row>
      </sheetData>
      <sheetData sheetId="4253" refreshError="1"/>
      <sheetData sheetId="4254" refreshError="1"/>
      <sheetData sheetId="4255" refreshError="1"/>
      <sheetData sheetId="4256" refreshError="1"/>
      <sheetData sheetId="4257">
        <row r="81">
          <cell r="H81">
            <v>222.566</v>
          </cell>
        </row>
      </sheetData>
      <sheetData sheetId="4258">
        <row r="81">
          <cell r="H81">
            <v>222.566</v>
          </cell>
        </row>
      </sheetData>
      <sheetData sheetId="4259">
        <row r="81">
          <cell r="H81">
            <v>222.566</v>
          </cell>
        </row>
      </sheetData>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sheetData sheetId="4426"/>
      <sheetData sheetId="4427" refreshError="1"/>
      <sheetData sheetId="4428" refreshError="1"/>
      <sheetData sheetId="4429" refreshError="1"/>
      <sheetData sheetId="4430" refreshError="1"/>
      <sheetData sheetId="4431">
        <row r="81">
          <cell r="H81">
            <v>222.566</v>
          </cell>
        </row>
      </sheetData>
      <sheetData sheetId="4432" refreshError="1"/>
      <sheetData sheetId="4433" refreshError="1"/>
      <sheetData sheetId="4434"/>
      <sheetData sheetId="4435">
        <row r="81">
          <cell r="H81">
            <v>222.566</v>
          </cell>
        </row>
      </sheetData>
      <sheetData sheetId="4436" refreshError="1"/>
      <sheetData sheetId="4437" refreshError="1"/>
      <sheetData sheetId="4438" refreshError="1"/>
      <sheetData sheetId="4439">
        <row r="81">
          <cell r="H81">
            <v>222.566</v>
          </cell>
        </row>
      </sheetData>
      <sheetData sheetId="4440" refreshError="1"/>
      <sheetData sheetId="4441">
        <row r="81">
          <cell r="H81">
            <v>222.566</v>
          </cell>
        </row>
      </sheetData>
      <sheetData sheetId="4442">
        <row r="81">
          <cell r="H81">
            <v>222.566</v>
          </cell>
        </row>
      </sheetData>
      <sheetData sheetId="4443">
        <row r="81">
          <cell r="H81">
            <v>222.566</v>
          </cell>
        </row>
      </sheetData>
      <sheetData sheetId="4444">
        <row r="81">
          <cell r="H81">
            <v>222.566</v>
          </cell>
        </row>
      </sheetData>
      <sheetData sheetId="4445">
        <row r="81">
          <cell r="H81">
            <v>222.566</v>
          </cell>
        </row>
      </sheetData>
      <sheetData sheetId="4446">
        <row r="81">
          <cell r="H81">
            <v>222.566</v>
          </cell>
        </row>
      </sheetData>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sheetData sheetId="4484"/>
      <sheetData sheetId="4485"/>
      <sheetData sheetId="4486"/>
      <sheetData sheetId="4487"/>
      <sheetData sheetId="4488"/>
      <sheetData sheetId="4489"/>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sheetData sheetId="4543"/>
      <sheetData sheetId="4544"/>
      <sheetData sheetId="4545"/>
      <sheetData sheetId="4546"/>
      <sheetData sheetId="4547"/>
      <sheetData sheetId="4548"/>
      <sheetData sheetId="4549"/>
      <sheetData sheetId="4550"/>
      <sheetData sheetId="455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fer 1"/>
      <sheetName val="reference sheet "/>
      <sheetName val="d2-001"/>
      <sheetName val="d2-002"/>
      <sheetName val="d2-003"/>
      <sheetName val="d2-004"/>
      <sheetName val="d2-005"/>
      <sheetName val="d2-006"/>
      <sheetName val="d2-007"/>
      <sheetName val="d2-008"/>
      <sheetName val="d2-009"/>
      <sheetName val="d2-010"/>
      <sheetName val="d2-011"/>
      <sheetName val="d2-012"/>
      <sheetName val="d2-013"/>
      <sheetName val="d2-014"/>
      <sheetName val="d2-015"/>
      <sheetName val="d2-016"/>
      <sheetName val="d2-017"/>
      <sheetName val="d2-018"/>
      <sheetName val="d2-019"/>
      <sheetName val="d2-020"/>
      <sheetName val="d2-021"/>
      <sheetName val="d2-022"/>
      <sheetName val="d2-023"/>
      <sheetName val="d2-024"/>
      <sheetName val="d2-025"/>
      <sheetName val="d2-026"/>
      <sheetName val="d2-027"/>
      <sheetName val="d2-028"/>
      <sheetName val="d2-029"/>
      <sheetName val="d2-030"/>
      <sheetName val="d2-031"/>
      <sheetName val="d2-032"/>
      <sheetName val="d2-033"/>
      <sheetName val="d2-034"/>
      <sheetName val="d2-035"/>
      <sheetName val="d2-036"/>
      <sheetName val="d2-037"/>
      <sheetName val="d2-038"/>
      <sheetName val="d2-039"/>
      <sheetName val="d2-040"/>
      <sheetName val="d2-041"/>
      <sheetName val="d2-042"/>
      <sheetName val="d2-043"/>
      <sheetName val="d2-044"/>
      <sheetName val="d2-045"/>
      <sheetName val="d2-046"/>
      <sheetName val="d2-047"/>
      <sheetName val="d2-048"/>
      <sheetName val="d2-049"/>
      <sheetName val="d2-050"/>
      <sheetName val="d2-051"/>
      <sheetName val="d2-052"/>
      <sheetName val="d2-053"/>
      <sheetName val="d2-054"/>
      <sheetName val="d2-055"/>
      <sheetName val="d2-056"/>
      <sheetName val="d2-057"/>
      <sheetName val="d2-058"/>
      <sheetName val="d2-059"/>
      <sheetName val="d2-060"/>
      <sheetName val="d2-061"/>
      <sheetName val="d2-062"/>
      <sheetName val="d2-063"/>
      <sheetName val="d2-064"/>
      <sheetName val="d2-065"/>
      <sheetName val="d2-066"/>
      <sheetName val="d2-067"/>
      <sheetName val="d2-068"/>
      <sheetName val="d2-069"/>
      <sheetName val="d2-070"/>
      <sheetName val="d2-071"/>
      <sheetName val="d2-072"/>
      <sheetName val="d2-073"/>
      <sheetName val="d2-074"/>
      <sheetName val="d2-075"/>
      <sheetName val="d2-076"/>
      <sheetName val="d2-077"/>
      <sheetName val="d2-078"/>
      <sheetName val="d2-079"/>
      <sheetName val="d2-080"/>
      <sheetName val="d2-081"/>
      <sheetName val="d2-082"/>
      <sheetName val="d2-083"/>
      <sheetName val="d2-084"/>
      <sheetName val="d2-085"/>
      <sheetName val="d2-086"/>
      <sheetName val="d2-087"/>
      <sheetName val="d2-088"/>
      <sheetName val="d2-089"/>
      <sheetName val="d2-090"/>
      <sheetName val="d2-091"/>
      <sheetName val="d2-092"/>
      <sheetName val="d2-093"/>
      <sheetName val="d2-094"/>
      <sheetName val="d2-095"/>
      <sheetName val="d2-096"/>
      <sheetName val="d2-097"/>
      <sheetName val="d2-098"/>
      <sheetName val="d2-099"/>
      <sheetName val="d2-100"/>
      <sheetName val="d2-101"/>
      <sheetName val="d2-102"/>
      <sheetName val="d2-103"/>
      <sheetName val="d2-104"/>
      <sheetName val="d2-105"/>
      <sheetName val="d2-106"/>
      <sheetName val="d2-107"/>
      <sheetName val="d2-C01"/>
      <sheetName val="d2-C02"/>
      <sheetName val="d2-C03"/>
      <sheetName val="d2-C04"/>
      <sheetName val="d2-C05"/>
      <sheetName val="d2-C06"/>
      <sheetName val="d2-C07"/>
      <sheetName val="d2-C08"/>
      <sheetName val="d2-C09"/>
      <sheetName val="d2-C10"/>
      <sheetName val="d2-C11"/>
      <sheetName val="d2-C12"/>
      <sheetName val="d2-C15"/>
      <sheetName val="d2-E01"/>
      <sheetName val="d2-E02"/>
      <sheetName val="d2-E03"/>
      <sheetName val="d2-E04"/>
      <sheetName val="d2-E05"/>
      <sheetName val="d2-E06"/>
      <sheetName val="d2-M01"/>
      <sheetName val="d2-M02"/>
      <sheetName val="d2-M03"/>
      <sheetName val="d2-p01"/>
      <sheetName val="d2-p02"/>
      <sheetName val="d2-p03"/>
      <sheetName val="d2-S01"/>
      <sheetName val="d2-S02"/>
      <sheetName val="d2-S03"/>
      <sheetName val="d2-S04"/>
      <sheetName val="d2-D01"/>
      <sheetName val="d2-D02"/>
      <sheetName val="d2-D03"/>
      <sheetName val="d2-D04"/>
      <sheetName val="d2-D05"/>
      <sheetName val="d2-D06"/>
      <sheetName val="d2-D07"/>
      <sheetName val="analysis"/>
      <sheetName val="GR.slab-reinft"/>
      <sheetName val="SCHEDULE"/>
      <sheetName val="p&amp;m"/>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2"/>
      <sheetName val="Macro1"/>
      <sheetName val="F-3"/>
      <sheetName val="F-4"/>
      <sheetName val="F-5"/>
      <sheetName val="5 Revised"/>
      <sheetName val="F-6"/>
      <sheetName val="6 Revised"/>
      <sheetName val="R_thirty"/>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PG42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mp."/>
      <sheetName val="Cr.-hist."/>
      <sheetName val="Crude"/>
      <sheetName val="Products"/>
      <sheetName val="Spread"/>
      <sheetName val="Raw data"/>
      <sheetName val="Pr.-hist."/>
      <sheetName val="Forecast-Input"/>
      <sheetName val="Valuation"/>
      <sheetName val="wwww"/>
      <sheetName val="Assume"/>
      <sheetName val="Capital"/>
      <sheetName val="Print Menu"/>
      <sheetName val="Validation"/>
      <sheetName val="Capitalization"/>
      <sheetName val="Asmp_"/>
      <sheetName val="Cr_-hist_"/>
      <sheetName val="Raw_data"/>
      <sheetName val="Pr_-hist_"/>
      <sheetName val="Print_Menu"/>
      <sheetName val="Print_Menu3"/>
      <sheetName val="Challan"/>
      <sheetName val="Plan"/>
      <sheetName val="NLD - Assum"/>
      <sheetName val="Capex-fixed"/>
      <sheetName val="EBT"/>
      <sheetName val="Summary"/>
      <sheetName val="Sum of Parts"/>
      <sheetName val="Publish"/>
      <sheetName val="PRP"/>
      <sheetName val="Vorgaben"/>
      <sheetName val="Eckdaten"/>
      <sheetName val="Data"/>
      <sheetName val="BS"/>
      <sheetName val="PL"/>
      <sheetName val="Eterno Standalone TB"/>
      <sheetName val="SOCE"/>
      <sheetName val="CFS"/>
      <sheetName val="CF contd.."/>
      <sheetName val="Notes 1 &amp; 2"/>
      <sheetName val="Notes to PPE"/>
      <sheetName val="Notes to Assets"/>
      <sheetName val="Notes to Equity and Liabilities"/>
      <sheetName val="Notes to P&amp;L"/>
      <sheetName val="Notes 19 &amp; 20"/>
      <sheetName val="Note 21"/>
      <sheetName val="Note 22"/>
      <sheetName val="Note 23"/>
      <sheetName val="Note 24 and 25"/>
      <sheetName val="Note 26 FI"/>
      <sheetName val="Note 27 FI"/>
      <sheetName val="Note 28 FI"/>
      <sheetName val="Transition Notes"/>
      <sheetName val="FTA 1"/>
      <sheetName val="FTA 2"/>
      <sheetName val="Recent Stds"/>
      <sheetName val="Sensitivity"/>
      <sheetName val="Cash Flow workings"/>
      <sheetName val="Trial Balance"/>
      <sheetName val="Trial Balance Abs"/>
      <sheetName val="Ind AS Entries"/>
      <sheetName val="Tally TB 31.03.2019"/>
      <sheetName val="Tally TB 30.06.2019"/>
      <sheetName val="TB 17-18"/>
      <sheetName val="Sheet2"/>
      <sheetName val="Original TB old"/>
      <sheetName val="Dividend workings"/>
      <sheetName val="PMC"/>
      <sheetName val="PGW-ACCOUNTS"/>
      <sheetName val="Sheet1"/>
      <sheetName val="3.B Descript"/>
      <sheetName val="3.C Comp IS"/>
      <sheetName val="PM (F)"/>
      <sheetName val="INDIVIDUAL"/>
      <sheetName val="Annexure_1"/>
      <sheetName val="Returns Backup"/>
      <sheetName val="Int Rates"/>
      <sheetName val="Payroll BL"/>
      <sheetName val="A"/>
      <sheetName val="ENGG_VAL"/>
      <sheetName val="Bed Class"/>
      <sheetName val="Cd"/>
      <sheetName val="GR.slab-reinft"/>
      <sheetName val="analysis"/>
      <sheetName val="Divisional Budgets"/>
      <sheetName val="Input-Function"/>
      <sheetName val="Consolidated"/>
      <sheetName val="#REF"/>
      <sheetName val="Financials Forecast"/>
      <sheetName val="Admin &amp; Assumptions"/>
      <sheetName val="Print Tables - Financials"/>
      <sheetName val="Recast of Comparable P&amp;L's "/>
      <sheetName val="Market Demand Forecast"/>
      <sheetName val="Market Print Tables"/>
      <sheetName val="Standalone Rs Mn"/>
      <sheetName val="Sheet3"/>
      <sheetName val="Loss"/>
      <sheetName val="PECVD"/>
      <sheetName val="Bus Mgmt"/>
      <sheetName val="commit"/>
      <sheetName val="Disruptive "/>
      <sheetName val="ELK"/>
      <sheetName val="ECURE"/>
      <sheetName val="HDP"/>
      <sheetName val="HQ"/>
      <sheetName val="LowK"/>
      <sheetName val="Module"/>
      <sheetName val="Support"/>
      <sheetName val="TPS"/>
      <sheetName val="schbs"/>
      <sheetName val="data elements"/>
      <sheetName val="Accrual Nov'05"/>
      <sheetName val="incomeYTD"/>
      <sheetName val="Table"/>
      <sheetName val="CAP"/>
      <sheetName val="Banks Details"/>
      <sheetName val="Asmp_1"/>
      <sheetName val="Cr_-hist_1"/>
      <sheetName val="Raw_data1"/>
      <sheetName val="Pr_-hist_1"/>
      <sheetName val="Print_Menu1"/>
      <sheetName val="Master"/>
      <sheetName val="RCPL-P&amp;L"/>
      <sheetName val="teo model"/>
      <sheetName val="chiet tinh"/>
      <sheetName val="NLD_-_Assum"/>
      <sheetName val="PM_(F)"/>
      <sheetName val="Eterno_Standalone_TB"/>
      <sheetName val="CF_contd__"/>
      <sheetName val="Notes_1_&amp;_2"/>
      <sheetName val="Notes_to_PPE"/>
      <sheetName val="Notes_to_Assets"/>
      <sheetName val="Notes_to_Equity_and_Liabilities"/>
      <sheetName val="Notes_to_P&amp;L"/>
      <sheetName val="Notes_19_&amp;_20"/>
      <sheetName val="Note_21"/>
      <sheetName val="Note_22"/>
      <sheetName val="Note_23"/>
      <sheetName val="Note_24_and_25"/>
      <sheetName val="Note_26_FI"/>
      <sheetName val="Note_27_FI"/>
      <sheetName val="Note_28_FI"/>
      <sheetName val="Transition_Notes"/>
      <sheetName val="FTA_1"/>
      <sheetName val="FTA_2"/>
      <sheetName val="Recent_Stds"/>
      <sheetName val="Cash_Flow_workings"/>
      <sheetName val="Trial_Balance"/>
      <sheetName val="Trial_Balance_Abs"/>
      <sheetName val="Ind_AS_Entries"/>
      <sheetName val="Tally_TB_31_03_2019"/>
      <sheetName val="Tally_TB_30_06_2019"/>
      <sheetName val="TB_17-18"/>
      <sheetName val="Original_TB_old"/>
      <sheetName val="Dividend_workings"/>
      <sheetName val="Sum_of_Parts"/>
      <sheetName val="3_B_Descript"/>
      <sheetName val="3_C_Comp_I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tart"/>
      <sheetName val="Table of Contents"/>
      <sheetName val="Cov"/>
      <sheetName val="ExecSum"/>
      <sheetName val="Sheet1"/>
      <sheetName val="PLSum"/>
      <sheetName val="BUSum1"/>
      <sheetName val="BUSum2"/>
      <sheetName val="QSum"/>
      <sheetName val="BridgeSum by 3dot"/>
      <sheetName val="BridgeSum"/>
      <sheetName val="$Waterfall"/>
      <sheetName val="FTEWaterfall"/>
      <sheetName val="Heads&amp;FTEWalk"/>
      <sheetName val="Cap&amp;Dep"/>
      <sheetName val="Cov-Bridge"/>
      <sheetName val="07BridgePL"/>
      <sheetName val="B-Baseline"/>
      <sheetName val="B-Rate"/>
      <sheetName val="B-Vol"/>
      <sheetName val="B-CSave"/>
      <sheetName val="B-Prod"/>
      <sheetName val="B-Init"/>
      <sheetName val="B-Other"/>
      <sheetName val="Chart1"/>
      <sheetName val="R&amp;O"/>
      <sheetName val="Major Vendors"/>
      <sheetName val="PLCharts1"/>
      <sheetName val="PLCharts2"/>
      <sheetName val="VolChart1"/>
      <sheetName val="06Fcst"/>
      <sheetName val="Baseline"/>
      <sheetName val="Merit"/>
      <sheetName val="Rate"/>
      <sheetName val="Vol"/>
      <sheetName val="CostSave"/>
      <sheetName val="Productivity"/>
      <sheetName val="Initiatives"/>
      <sheetName val="Oth"/>
      <sheetName val="07Plan"/>
      <sheetName val="Sum"/>
      <sheetName val="Other"/>
      <sheetName val="D1"/>
      <sheetName val="D2"/>
      <sheetName val="D3"/>
      <sheetName val="D4"/>
      <sheetName val="D5"/>
      <sheetName val="D7"/>
      <sheetName val="D8"/>
      <sheetName val="D9"/>
      <sheetName val="D10"/>
      <sheetName val="D11"/>
      <sheetName val="D6"/>
      <sheetName val="E1"/>
      <sheetName val="E3"/>
      <sheetName val="E2"/>
      <sheetName val="EB2"/>
      <sheetName val="EGraphDetail"/>
      <sheetName val="WaterfallInput"/>
      <sheetName val="notes"/>
      <sheetName val="bridge data"/>
      <sheetName val="bridge data by 3d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row r="3">
          <cell r="A3" t="str">
            <v>DPBaseline</v>
          </cell>
          <cell r="B3" t="str">
            <v>DP</v>
          </cell>
          <cell r="C3" t="str">
            <v>Baseline</v>
          </cell>
          <cell r="D3">
            <v>958.42562930807458</v>
          </cell>
          <cell r="E3">
            <v>681.31043830603016</v>
          </cell>
          <cell r="F3">
            <v>991.96798978453455</v>
          </cell>
          <cell r="G3">
            <v>1139.2965112131096</v>
          </cell>
          <cell r="H3">
            <v>-204.14682202109626</v>
          </cell>
          <cell r="I3">
            <v>-449.67107710936625</v>
          </cell>
          <cell r="J3">
            <v>1352.466822890641</v>
          </cell>
          <cell r="K3">
            <v>-198.25715464512314</v>
          </cell>
          <cell r="L3">
            <v>-3273.7480325238093</v>
          </cell>
          <cell r="M3">
            <v>-418.8814415238096</v>
          </cell>
          <cell r="N3">
            <v>-964.83259382380936</v>
          </cell>
          <cell r="O3">
            <v>-2502.387365823809</v>
          </cell>
          <cell r="P3">
            <v>-2888.4570959684334</v>
          </cell>
        </row>
        <row r="4">
          <cell r="A4" t="str">
            <v>DPCost</v>
          </cell>
          <cell r="B4" t="str">
            <v>DP</v>
          </cell>
          <cell r="C4" t="str">
            <v>Cost</v>
          </cell>
          <cell r="D4">
            <v>-414.26352324826797</v>
          </cell>
          <cell r="E4">
            <v>-1059.1939679900756</v>
          </cell>
          <cell r="F4">
            <v>-883.60592465550872</v>
          </cell>
          <cell r="G4">
            <v>-795.29408208853192</v>
          </cell>
          <cell r="H4">
            <v>-679.84868900162587</v>
          </cell>
          <cell r="I4">
            <v>-771.86332806612211</v>
          </cell>
          <cell r="J4">
            <v>-660.60121980649433</v>
          </cell>
          <cell r="K4">
            <v>-615.75779626780229</v>
          </cell>
          <cell r="L4">
            <v>-602.98912474182418</v>
          </cell>
          <cell r="M4">
            <v>-470.86008244055216</v>
          </cell>
          <cell r="N4">
            <v>-470.85940888112282</v>
          </cell>
          <cell r="O4">
            <v>-535.00359914378851</v>
          </cell>
          <cell r="P4">
            <v>-7960.1407463317173</v>
          </cell>
        </row>
        <row r="5">
          <cell r="A5" t="str">
            <v>DPInit</v>
          </cell>
          <cell r="B5" t="str">
            <v>DP</v>
          </cell>
          <cell r="C5" t="str">
            <v>Init</v>
          </cell>
          <cell r="D5">
            <v>1443.57019483727</v>
          </cell>
          <cell r="E5">
            <v>1450.3756723574645</v>
          </cell>
          <cell r="F5">
            <v>1490.7224774409719</v>
          </cell>
          <cell r="G5">
            <v>1469.0040038862562</v>
          </cell>
          <cell r="H5">
            <v>1468.2321676088673</v>
          </cell>
          <cell r="I5">
            <v>1457.8977576068712</v>
          </cell>
          <cell r="J5">
            <v>1596.0382556808379</v>
          </cell>
          <cell r="K5">
            <v>1613.3799263287844</v>
          </cell>
          <cell r="L5">
            <v>1780.5949199895945</v>
          </cell>
          <cell r="M5">
            <v>2669.9325737504796</v>
          </cell>
          <cell r="N5">
            <v>1888.4741710185351</v>
          </cell>
          <cell r="O5">
            <v>1663.0267820622494</v>
          </cell>
          <cell r="P5">
            <v>19991.248902568183</v>
          </cell>
        </row>
        <row r="6">
          <cell r="A6" t="str">
            <v>DPMerit</v>
          </cell>
          <cell r="B6" t="str">
            <v>DP</v>
          </cell>
          <cell r="C6" t="str">
            <v>Merit</v>
          </cell>
          <cell r="D6">
            <v>1150.5374529981113</v>
          </cell>
          <cell r="E6">
            <v>1127.3420190452803</v>
          </cell>
          <cell r="F6">
            <v>1188.7115100452804</v>
          </cell>
          <cell r="G6">
            <v>1154.1958140452803</v>
          </cell>
          <cell r="H6">
            <v>1136.7297992911112</v>
          </cell>
          <cell r="I6">
            <v>1207.2314716624333</v>
          </cell>
          <cell r="J6">
            <v>1147.0356766624336</v>
          </cell>
          <cell r="K6">
            <v>1141.9246613363605</v>
          </cell>
          <cell r="L6">
            <v>1213.2075</v>
          </cell>
          <cell r="M6">
            <v>1153.5525</v>
          </cell>
          <cell r="N6">
            <v>1151.5832999999998</v>
          </cell>
          <cell r="O6">
            <v>1218.4679999999998</v>
          </cell>
          <cell r="P6">
            <v>13990.519705086292</v>
          </cell>
        </row>
        <row r="7">
          <cell r="A7" t="str">
            <v>DPOther</v>
          </cell>
          <cell r="B7" t="str">
            <v>DP</v>
          </cell>
          <cell r="C7" t="str">
            <v>Other</v>
          </cell>
          <cell r="D7">
            <v>673.09886191198791</v>
          </cell>
          <cell r="E7">
            <v>-79.452926333975341</v>
          </cell>
          <cell r="F7">
            <v>255.78317375972046</v>
          </cell>
          <cell r="G7">
            <v>-737.75549385307443</v>
          </cell>
          <cell r="H7">
            <v>-73.147886543841878</v>
          </cell>
          <cell r="I7">
            <v>803.16365949279168</v>
          </cell>
          <cell r="J7">
            <v>1622.9304336464797</v>
          </cell>
          <cell r="K7">
            <v>867.12827028840798</v>
          </cell>
          <cell r="L7">
            <v>73.305358977473702</v>
          </cell>
          <cell r="M7">
            <v>791.39163048593173</v>
          </cell>
          <cell r="N7">
            <v>-196.83568239805714</v>
          </cell>
          <cell r="O7">
            <v>158.01751225259909</v>
          </cell>
          <cell r="P7">
            <v>4157.6269116864441</v>
          </cell>
        </row>
        <row r="8">
          <cell r="A8" t="str">
            <v>DPProd</v>
          </cell>
          <cell r="B8" t="str">
            <v>DP</v>
          </cell>
          <cell r="C8" t="str">
            <v>Prod</v>
          </cell>
          <cell r="D8">
            <v>-2904.8458375954824</v>
          </cell>
          <cell r="E8">
            <v>-3597.3374411831269</v>
          </cell>
          <cell r="F8">
            <v>-2772.9884941036826</v>
          </cell>
          <cell r="G8">
            <v>-3520.5889027197209</v>
          </cell>
          <cell r="H8">
            <v>-2079.9361718797372</v>
          </cell>
          <cell r="I8">
            <v>-2802.9473605985968</v>
          </cell>
          <cell r="J8">
            <v>-4462.4504730037361</v>
          </cell>
          <cell r="K8">
            <v>-732.20551530072612</v>
          </cell>
          <cell r="L8">
            <v>-4389.7023547257768</v>
          </cell>
          <cell r="M8">
            <v>-2866.3257837374872</v>
          </cell>
          <cell r="N8">
            <v>-623.89187207780992</v>
          </cell>
          <cell r="O8">
            <v>-4995.4548101425044</v>
          </cell>
          <cell r="P8">
            <v>-35748.675017068388</v>
          </cell>
        </row>
        <row r="9">
          <cell r="A9" t="str">
            <v>DPRate</v>
          </cell>
          <cell r="B9" t="str">
            <v>DP</v>
          </cell>
          <cell r="C9" t="str">
            <v>Rate</v>
          </cell>
          <cell r="D9">
            <v>3266.5444999814918</v>
          </cell>
          <cell r="E9">
            <v>-2034.7265449814429</v>
          </cell>
          <cell r="F9">
            <v>-25.4532760580069</v>
          </cell>
          <cell r="G9">
            <v>-136.61925294225847</v>
          </cell>
          <cell r="H9">
            <v>11.21591195605567</v>
          </cell>
          <cell r="I9">
            <v>208.66638165461674</v>
          </cell>
          <cell r="J9">
            <v>79.436550217647934</v>
          </cell>
          <cell r="K9">
            <v>547.2539020873719</v>
          </cell>
          <cell r="L9">
            <v>622.08971174377098</v>
          </cell>
          <cell r="M9">
            <v>432.67884368833666</v>
          </cell>
          <cell r="N9">
            <v>418.42567607162158</v>
          </cell>
          <cell r="O9">
            <v>533.36595019951562</v>
          </cell>
          <cell r="P9">
            <v>3922.8783536187207</v>
          </cell>
        </row>
        <row r="10">
          <cell r="A10" t="str">
            <v>DPVol</v>
          </cell>
          <cell r="B10" t="str">
            <v>DP</v>
          </cell>
          <cell r="C10" t="str">
            <v>Vol</v>
          </cell>
          <cell r="D10">
            <v>253.62999892682126</v>
          </cell>
          <cell r="E10">
            <v>1524.2244978998422</v>
          </cell>
          <cell r="F10">
            <v>1126.71563090669</v>
          </cell>
          <cell r="G10">
            <v>1784.4346495789423</v>
          </cell>
          <cell r="H10">
            <v>885.42300771026612</v>
          </cell>
          <cell r="I10">
            <v>1858.1931024773817</v>
          </cell>
          <cell r="J10">
            <v>1959.0793308321888</v>
          </cell>
          <cell r="K10">
            <v>1634.4907432927348</v>
          </cell>
          <cell r="L10">
            <v>268.83693840057276</v>
          </cell>
          <cell r="M10">
            <v>285.09977689710303</v>
          </cell>
          <cell r="N10">
            <v>291.05721721064862</v>
          </cell>
          <cell r="O10">
            <v>44.233597715741027</v>
          </cell>
          <cell r="P10">
            <v>11915.418491848934</v>
          </cell>
        </row>
        <row r="11">
          <cell r="A11" t="str">
            <v>FTABaseline</v>
          </cell>
          <cell r="B11" t="str">
            <v>FTA</v>
          </cell>
          <cell r="C11" t="str">
            <v>Baseline</v>
          </cell>
          <cell r="D11">
            <v>1408.2369999999999</v>
          </cell>
          <cell r="E11">
            <v>1408.2369999999999</v>
          </cell>
          <cell r="F11">
            <v>1408.2369999999999</v>
          </cell>
          <cell r="G11">
            <v>1408.2369999999999</v>
          </cell>
          <cell r="H11">
            <v>1409.2369999999999</v>
          </cell>
          <cell r="I11">
            <v>1409.2369999999999</v>
          </cell>
          <cell r="J11">
            <v>1409.2369999999999</v>
          </cell>
          <cell r="K11">
            <v>1409.2369999999999</v>
          </cell>
          <cell r="L11">
            <v>1409.2369999999999</v>
          </cell>
          <cell r="M11">
            <v>1409.2369999999999</v>
          </cell>
          <cell r="N11">
            <v>1409.2369999999999</v>
          </cell>
          <cell r="O11">
            <v>1408.2369999999999</v>
          </cell>
          <cell r="P11">
            <v>16905.843999999994</v>
          </cell>
        </row>
        <row r="12">
          <cell r="A12" t="str">
            <v>FTACost</v>
          </cell>
          <cell r="B12" t="str">
            <v>FTA</v>
          </cell>
          <cell r="C12" t="str">
            <v>Cost</v>
          </cell>
          <cell r="D12">
            <v>0</v>
          </cell>
          <cell r="E12">
            <v>0</v>
          </cell>
          <cell r="F12">
            <v>0</v>
          </cell>
          <cell r="G12">
            <v>0</v>
          </cell>
          <cell r="H12">
            <v>0</v>
          </cell>
          <cell r="I12">
            <v>0</v>
          </cell>
          <cell r="J12">
            <v>0</v>
          </cell>
          <cell r="K12">
            <v>0</v>
          </cell>
          <cell r="L12">
            <v>0</v>
          </cell>
          <cell r="M12">
            <v>0</v>
          </cell>
          <cell r="N12">
            <v>0</v>
          </cell>
          <cell r="O12">
            <v>0</v>
          </cell>
          <cell r="P12">
            <v>0</v>
          </cell>
        </row>
        <row r="13">
          <cell r="A13" t="str">
            <v>FTAInit</v>
          </cell>
          <cell r="B13" t="str">
            <v>FTA</v>
          </cell>
          <cell r="C13" t="str">
            <v>Init</v>
          </cell>
          <cell r="D13">
            <v>0</v>
          </cell>
          <cell r="E13">
            <v>0</v>
          </cell>
          <cell r="F13">
            <v>0</v>
          </cell>
          <cell r="G13">
            <v>0</v>
          </cell>
          <cell r="H13">
            <v>0</v>
          </cell>
          <cell r="I13">
            <v>0</v>
          </cell>
          <cell r="J13">
            <v>0</v>
          </cell>
          <cell r="K13">
            <v>0</v>
          </cell>
          <cell r="L13">
            <v>0</v>
          </cell>
          <cell r="M13">
            <v>0</v>
          </cell>
          <cell r="N13">
            <v>0</v>
          </cell>
          <cell r="O13">
            <v>0</v>
          </cell>
          <cell r="P13">
            <v>0</v>
          </cell>
        </row>
        <row r="14">
          <cell r="A14" t="str">
            <v>FTAMerit</v>
          </cell>
          <cell r="B14" t="str">
            <v>FTA</v>
          </cell>
          <cell r="C14" t="str">
            <v>Merit</v>
          </cell>
          <cell r="D14">
            <v>9.016862999999999</v>
          </cell>
          <cell r="E14">
            <v>10.192176</v>
          </cell>
          <cell r="F14">
            <v>8.9125440000000005</v>
          </cell>
          <cell r="G14">
            <v>7.5499379999999991</v>
          </cell>
          <cell r="H14">
            <v>5.8807409999999996</v>
          </cell>
          <cell r="I14">
            <v>5.886194999999999</v>
          </cell>
          <cell r="J14">
            <v>3.1459890000000001</v>
          </cell>
          <cell r="K14">
            <v>-0.1332000000000001</v>
          </cell>
          <cell r="L14">
            <v>40.931399999999996</v>
          </cell>
          <cell r="M14">
            <v>47.607959999999999</v>
          </cell>
          <cell r="N14">
            <v>46.294259999999994</v>
          </cell>
          <cell r="O14">
            <v>46.294259999999994</v>
          </cell>
          <cell r="P14">
            <v>231.57912599999997</v>
          </cell>
        </row>
        <row r="15">
          <cell r="A15" t="str">
            <v>FTAOther</v>
          </cell>
          <cell r="B15" t="str">
            <v>FTA</v>
          </cell>
          <cell r="C15" t="str">
            <v>Other</v>
          </cell>
          <cell r="D15">
            <v>845.81237536700019</v>
          </cell>
          <cell r="E15">
            <v>160.67406236700009</v>
          </cell>
          <cell r="F15">
            <v>691.09599436700023</v>
          </cell>
          <cell r="G15">
            <v>428.57407678000004</v>
          </cell>
          <cell r="H15">
            <v>-81.150326220000096</v>
          </cell>
          <cell r="I15">
            <v>1289.5924197800005</v>
          </cell>
          <cell r="J15">
            <v>967.42630632400005</v>
          </cell>
          <cell r="K15">
            <v>920.44759532400019</v>
          </cell>
          <cell r="L15">
            <v>-943.46300467599997</v>
          </cell>
          <cell r="M15">
            <v>-1305.9925646759998</v>
          </cell>
          <cell r="N15">
            <v>-2168.1488646759999</v>
          </cell>
          <cell r="O15">
            <v>-1766.325864676</v>
          </cell>
          <cell r="P15">
            <v>-961.45779461499933</v>
          </cell>
        </row>
        <row r="16">
          <cell r="A16" t="str">
            <v>FTAProd</v>
          </cell>
          <cell r="B16" t="str">
            <v>FTA</v>
          </cell>
          <cell r="C16" t="str">
            <v>Prod</v>
          </cell>
          <cell r="D16">
            <v>0</v>
          </cell>
          <cell r="E16">
            <v>0</v>
          </cell>
          <cell r="F16">
            <v>0</v>
          </cell>
          <cell r="G16">
            <v>0</v>
          </cell>
          <cell r="H16">
            <v>0</v>
          </cell>
          <cell r="I16">
            <v>0</v>
          </cell>
          <cell r="J16">
            <v>0</v>
          </cell>
          <cell r="K16">
            <v>0</v>
          </cell>
          <cell r="L16">
            <v>0</v>
          </cell>
          <cell r="M16">
            <v>0</v>
          </cell>
          <cell r="N16">
            <v>0</v>
          </cell>
          <cell r="O16">
            <v>0</v>
          </cell>
          <cell r="P16">
            <v>0</v>
          </cell>
        </row>
        <row r="17">
          <cell r="A17" t="str">
            <v>FTARate</v>
          </cell>
          <cell r="B17" t="str">
            <v>FTA</v>
          </cell>
          <cell r="C17" t="str">
            <v>Rate</v>
          </cell>
          <cell r="D17">
            <v>0</v>
          </cell>
          <cell r="E17">
            <v>0</v>
          </cell>
          <cell r="F17">
            <v>0</v>
          </cell>
          <cell r="G17">
            <v>0</v>
          </cell>
          <cell r="H17">
            <v>0</v>
          </cell>
          <cell r="I17">
            <v>0</v>
          </cell>
          <cell r="J17">
            <v>0</v>
          </cell>
          <cell r="K17">
            <v>0</v>
          </cell>
          <cell r="L17">
            <v>0</v>
          </cell>
          <cell r="M17">
            <v>0</v>
          </cell>
          <cell r="N17">
            <v>0</v>
          </cell>
          <cell r="O17">
            <v>0</v>
          </cell>
          <cell r="P17">
            <v>0</v>
          </cell>
        </row>
        <row r="18">
          <cell r="A18" t="str">
            <v>FTAVol</v>
          </cell>
          <cell r="B18" t="str">
            <v>FTA</v>
          </cell>
          <cell r="C18" t="str">
            <v>Vol</v>
          </cell>
          <cell r="D18">
            <v>0</v>
          </cell>
          <cell r="E18">
            <v>0</v>
          </cell>
          <cell r="F18">
            <v>0</v>
          </cell>
          <cell r="G18">
            <v>0</v>
          </cell>
          <cell r="H18">
            <v>0</v>
          </cell>
          <cell r="I18">
            <v>0</v>
          </cell>
          <cell r="J18">
            <v>0</v>
          </cell>
          <cell r="K18">
            <v>0</v>
          </cell>
          <cell r="L18">
            <v>0</v>
          </cell>
          <cell r="M18">
            <v>0</v>
          </cell>
          <cell r="N18">
            <v>0</v>
          </cell>
          <cell r="O18">
            <v>0</v>
          </cell>
          <cell r="P18">
            <v>0</v>
          </cell>
        </row>
        <row r="19">
          <cell r="A19" t="str">
            <v>FTBBaseline</v>
          </cell>
          <cell r="B19" t="str">
            <v>FTB</v>
          </cell>
          <cell r="C19" t="str">
            <v>Baseline</v>
          </cell>
          <cell r="D19">
            <v>2002.1970161860609</v>
          </cell>
          <cell r="E19">
            <v>4637.603724278576</v>
          </cell>
          <cell r="F19">
            <v>-2652.7096649346518</v>
          </cell>
          <cell r="G19">
            <v>2008.8512324510491</v>
          </cell>
          <cell r="H19">
            <v>688.70961087638102</v>
          </cell>
          <cell r="I19">
            <v>1974.0205740335962</v>
          </cell>
          <cell r="J19">
            <v>3820.0016300508355</v>
          </cell>
          <cell r="K19">
            <v>1721.8380054788759</v>
          </cell>
          <cell r="L19">
            <v>1675.040801684795</v>
          </cell>
          <cell r="M19">
            <v>1383.6381240398448</v>
          </cell>
          <cell r="N19">
            <v>1388.5310346734109</v>
          </cell>
          <cell r="O19">
            <v>225.41595453972423</v>
          </cell>
          <cell r="P19">
            <v>18873.138043358496</v>
          </cell>
        </row>
        <row r="20">
          <cell r="A20" t="str">
            <v>FTBCost</v>
          </cell>
          <cell r="B20" t="str">
            <v>FTB</v>
          </cell>
          <cell r="C20" t="str">
            <v>Cost</v>
          </cell>
          <cell r="D20">
            <v>0</v>
          </cell>
          <cell r="E20">
            <v>-34</v>
          </cell>
          <cell r="F20">
            <v>0</v>
          </cell>
          <cell r="G20">
            <v>0</v>
          </cell>
          <cell r="H20">
            <v>0</v>
          </cell>
          <cell r="I20">
            <v>0</v>
          </cell>
          <cell r="J20">
            <v>0</v>
          </cell>
          <cell r="K20">
            <v>0</v>
          </cell>
          <cell r="L20">
            <v>0</v>
          </cell>
          <cell r="M20">
            <v>0</v>
          </cell>
          <cell r="N20">
            <v>0</v>
          </cell>
          <cell r="O20">
            <v>-10500</v>
          </cell>
          <cell r="P20">
            <v>-10534</v>
          </cell>
        </row>
        <row r="21">
          <cell r="A21" t="str">
            <v>FTBInit</v>
          </cell>
          <cell r="B21" t="str">
            <v>FTB</v>
          </cell>
          <cell r="C21" t="str">
            <v>Init</v>
          </cell>
          <cell r="D21">
            <v>78.847728690588426</v>
          </cell>
          <cell r="E21">
            <v>83.463608644541637</v>
          </cell>
          <cell r="F21">
            <v>85.959365837845738</v>
          </cell>
          <cell r="G21">
            <v>72.451677150490809</v>
          </cell>
          <cell r="H21">
            <v>74.110444826338224</v>
          </cell>
          <cell r="I21">
            <v>74.340568324630723</v>
          </cell>
          <cell r="J21">
            <v>90.144726089665895</v>
          </cell>
          <cell r="K21">
            <v>74.172021793941141</v>
          </cell>
          <cell r="L21">
            <v>74.172622259583292</v>
          </cell>
          <cell r="M21">
            <v>74.164628649357908</v>
          </cell>
          <cell r="N21">
            <v>74.161872650233505</v>
          </cell>
          <cell r="O21">
            <v>74.152133477008263</v>
          </cell>
          <cell r="P21">
            <v>930.14139839422558</v>
          </cell>
        </row>
        <row r="22">
          <cell r="A22" t="str">
            <v>FTBMerit</v>
          </cell>
          <cell r="B22" t="str">
            <v>FTB</v>
          </cell>
          <cell r="C22" t="str">
            <v>Merit</v>
          </cell>
          <cell r="D22">
            <v>221.86712399999999</v>
          </cell>
          <cell r="E22">
            <v>223.42175399999996</v>
          </cell>
          <cell r="F22">
            <v>228.626991</v>
          </cell>
          <cell r="G22">
            <v>230.48865000000001</v>
          </cell>
          <cell r="H22">
            <v>225.91836899999998</v>
          </cell>
          <cell r="I22">
            <v>226.66093800000002</v>
          </cell>
          <cell r="J22">
            <v>227.65691700000002</v>
          </cell>
          <cell r="K22">
            <v>231.96480000000003</v>
          </cell>
          <cell r="L22">
            <v>236.37509999999997</v>
          </cell>
          <cell r="M22">
            <v>248.38409999999999</v>
          </cell>
          <cell r="N22">
            <v>250.55489999999998</v>
          </cell>
          <cell r="O22">
            <v>251.07959999999997</v>
          </cell>
          <cell r="P22">
            <v>2802.9992430000002</v>
          </cell>
        </row>
        <row r="23">
          <cell r="A23" t="str">
            <v>FTBOther</v>
          </cell>
          <cell r="B23" t="str">
            <v>FTB</v>
          </cell>
          <cell r="C23" t="str">
            <v>Other</v>
          </cell>
          <cell r="D23">
            <v>-0.50361709349116168</v>
          </cell>
          <cell r="E23">
            <v>0.66491470827687493</v>
          </cell>
          <cell r="F23">
            <v>-0.9631671759901792</v>
          </cell>
          <cell r="G23">
            <v>-0.65136914217727693</v>
          </cell>
          <cell r="H23">
            <v>-2.498449326252477</v>
          </cell>
          <cell r="I23">
            <v>-10.677335063316317</v>
          </cell>
          <cell r="J23">
            <v>-16.408720680447701</v>
          </cell>
          <cell r="K23">
            <v>-2.3693777098168867</v>
          </cell>
          <cell r="L23">
            <v>-2.2528550636769555</v>
          </cell>
          <cell r="M23">
            <v>-2.1429986041129134</v>
          </cell>
          <cell r="N23">
            <v>-2.1482768030969845</v>
          </cell>
          <cell r="O23">
            <v>-1.1596453747316113</v>
          </cell>
          <cell r="P23">
            <v>-41.11089732883358</v>
          </cell>
        </row>
        <row r="24">
          <cell r="A24" t="str">
            <v>FTBProd</v>
          </cell>
          <cell r="B24" t="str">
            <v>FTB</v>
          </cell>
          <cell r="C24" t="str">
            <v>Prod</v>
          </cell>
          <cell r="D24">
            <v>-719.9557443132046</v>
          </cell>
          <cell r="E24">
            <v>-745.21381681037826</v>
          </cell>
          <cell r="F24">
            <v>-773.63440433638527</v>
          </cell>
          <cell r="G24">
            <v>-719.92408581401219</v>
          </cell>
          <cell r="H24">
            <v>-863.34511859629811</v>
          </cell>
          <cell r="I24">
            <v>-1273.1843524132626</v>
          </cell>
          <cell r="J24">
            <v>-1886.0930819219525</v>
          </cell>
          <cell r="K24">
            <v>-2083.8363933404448</v>
          </cell>
          <cell r="L24">
            <v>-2254.5305690892487</v>
          </cell>
          <cell r="M24">
            <v>-2271.8860852604339</v>
          </cell>
          <cell r="N24">
            <v>-2316.0202305205412</v>
          </cell>
          <cell r="O24">
            <v>-2478.4574965112793</v>
          </cell>
          <cell r="P24">
            <v>-18386.081378927443</v>
          </cell>
        </row>
        <row r="25">
          <cell r="A25" t="str">
            <v>FTBRate</v>
          </cell>
          <cell r="B25" t="str">
            <v>FTB</v>
          </cell>
          <cell r="C25" t="str">
            <v>Rate</v>
          </cell>
          <cell r="D25">
            <v>723.50668500000006</v>
          </cell>
          <cell r="E25">
            <v>723.50668500000006</v>
          </cell>
          <cell r="F25">
            <v>723.50668500000006</v>
          </cell>
          <cell r="G25">
            <v>734.43468499999994</v>
          </cell>
          <cell r="H25">
            <v>748.83468500000004</v>
          </cell>
          <cell r="I25">
            <v>734.43468499999994</v>
          </cell>
          <cell r="J25">
            <v>734.43468499999994</v>
          </cell>
          <cell r="K25">
            <v>734.43468499999994</v>
          </cell>
          <cell r="L25">
            <v>734.43468499999994</v>
          </cell>
          <cell r="M25">
            <v>734.43468499999994</v>
          </cell>
          <cell r="N25">
            <v>734.43468499999994</v>
          </cell>
          <cell r="O25">
            <v>734.43468499999994</v>
          </cell>
          <cell r="P25">
            <v>8794.8322200000002</v>
          </cell>
        </row>
        <row r="26">
          <cell r="A26" t="str">
            <v>FTBVol</v>
          </cell>
          <cell r="B26" t="str">
            <v>FTB</v>
          </cell>
          <cell r="C26" t="str">
            <v>Vol</v>
          </cell>
          <cell r="D26">
            <v>1720.2485321890374</v>
          </cell>
          <cell r="E26">
            <v>1186.5980840449845</v>
          </cell>
          <cell r="F26">
            <v>3003.4836432251755</v>
          </cell>
          <cell r="G26">
            <v>2517.5191478396555</v>
          </cell>
          <cell r="H26">
            <v>2900.2493467388299</v>
          </cell>
          <cell r="I26">
            <v>3343.733477237352</v>
          </cell>
          <cell r="J26">
            <v>4010.5264504808997</v>
          </cell>
          <cell r="K26">
            <v>3768.4886036964449</v>
          </cell>
          <cell r="L26">
            <v>4041.2005679275435</v>
          </cell>
          <cell r="M26">
            <v>4035.0502448143397</v>
          </cell>
          <cell r="N26">
            <v>4872.6460119789926</v>
          </cell>
          <cell r="O26">
            <v>5378.8488518882732</v>
          </cell>
          <cell r="P26">
            <v>40778.592962061528</v>
          </cell>
        </row>
        <row r="27">
          <cell r="A27" t="str">
            <v>FTIBaseline</v>
          </cell>
          <cell r="B27" t="str">
            <v>FTI</v>
          </cell>
          <cell r="C27" t="str">
            <v>Baseline</v>
          </cell>
          <cell r="D27">
            <v>0</v>
          </cell>
          <cell r="E27">
            <v>0</v>
          </cell>
          <cell r="F27">
            <v>0</v>
          </cell>
          <cell r="G27">
            <v>0</v>
          </cell>
          <cell r="H27">
            <v>0</v>
          </cell>
          <cell r="I27">
            <v>0</v>
          </cell>
          <cell r="J27">
            <v>0</v>
          </cell>
          <cell r="K27">
            <v>0</v>
          </cell>
          <cell r="L27">
            <v>0</v>
          </cell>
          <cell r="M27">
            <v>0</v>
          </cell>
          <cell r="N27">
            <v>0</v>
          </cell>
          <cell r="O27">
            <v>0</v>
          </cell>
          <cell r="P27">
            <v>0</v>
          </cell>
        </row>
        <row r="28">
          <cell r="A28" t="str">
            <v>FTICost</v>
          </cell>
          <cell r="B28" t="str">
            <v>FTI</v>
          </cell>
          <cell r="C28" t="str">
            <v>Cost</v>
          </cell>
          <cell r="D28">
            <v>0</v>
          </cell>
          <cell r="E28">
            <v>0</v>
          </cell>
          <cell r="F28">
            <v>0</v>
          </cell>
          <cell r="G28">
            <v>0</v>
          </cell>
          <cell r="H28">
            <v>0</v>
          </cell>
          <cell r="I28">
            <v>0</v>
          </cell>
          <cell r="J28">
            <v>0</v>
          </cell>
          <cell r="K28">
            <v>0</v>
          </cell>
          <cell r="L28">
            <v>0</v>
          </cell>
          <cell r="M28">
            <v>0</v>
          </cell>
          <cell r="N28">
            <v>0</v>
          </cell>
          <cell r="O28">
            <v>0</v>
          </cell>
          <cell r="P28">
            <v>0</v>
          </cell>
        </row>
        <row r="29">
          <cell r="A29" t="str">
            <v>FTIInit</v>
          </cell>
          <cell r="B29" t="str">
            <v>FTI</v>
          </cell>
          <cell r="C29" t="str">
            <v>Init</v>
          </cell>
          <cell r="D29">
            <v>217.03297633807503</v>
          </cell>
          <cell r="E29">
            <v>221.65051534982186</v>
          </cell>
          <cell r="F29">
            <v>213.48621088011163</v>
          </cell>
          <cell r="G29">
            <v>221.50404671072636</v>
          </cell>
          <cell r="H29">
            <v>223.53593339901738</v>
          </cell>
          <cell r="I29">
            <v>222.17890763910867</v>
          </cell>
          <cell r="J29">
            <v>227.65614899892967</v>
          </cell>
          <cell r="K29">
            <v>224.93037076132498</v>
          </cell>
          <cell r="L29">
            <v>226.3694433363456</v>
          </cell>
          <cell r="M29">
            <v>226.99839523353083</v>
          </cell>
          <cell r="N29">
            <v>225.72201036660408</v>
          </cell>
          <cell r="O29">
            <v>228.75366866706372</v>
          </cell>
          <cell r="P29">
            <v>2679.8186276806596</v>
          </cell>
        </row>
        <row r="30">
          <cell r="A30" t="str">
            <v>FTIMerit</v>
          </cell>
          <cell r="B30" t="str">
            <v>FTI</v>
          </cell>
          <cell r="C30" t="str">
            <v>Merit</v>
          </cell>
          <cell r="D30">
            <v>37.483460999999998</v>
          </cell>
          <cell r="E30">
            <v>41.862701999999999</v>
          </cell>
          <cell r="F30">
            <v>47.710253999999999</v>
          </cell>
          <cell r="G30">
            <v>41.484534000000004</v>
          </cell>
          <cell r="H30">
            <v>38.889972</v>
          </cell>
          <cell r="I30">
            <v>38.896455000000003</v>
          </cell>
          <cell r="J30">
            <v>45.651651000000015</v>
          </cell>
          <cell r="K30">
            <v>31.417799999999996</v>
          </cell>
          <cell r="L30">
            <v>47.470500000000001</v>
          </cell>
          <cell r="M30">
            <v>66.806100000000001</v>
          </cell>
          <cell r="N30">
            <v>64.363199999999992</v>
          </cell>
          <cell r="O30">
            <v>84.105000000000004</v>
          </cell>
          <cell r="P30">
            <v>586.14162899999997</v>
          </cell>
        </row>
        <row r="31">
          <cell r="A31" t="str">
            <v>FTIOther</v>
          </cell>
          <cell r="B31" t="str">
            <v>FTI</v>
          </cell>
          <cell r="C31" t="str">
            <v>Other</v>
          </cell>
          <cell r="D31">
            <v>-5.9068021310749854</v>
          </cell>
          <cell r="E31">
            <v>-286.81435163482178</v>
          </cell>
          <cell r="F31">
            <v>-416.28837433111187</v>
          </cell>
          <cell r="G31">
            <v>-264.38601896172645</v>
          </cell>
          <cell r="H31">
            <v>53.060704772982469</v>
          </cell>
          <cell r="I31">
            <v>-271.49889958610891</v>
          </cell>
          <cell r="J31">
            <v>-106.86873967793011</v>
          </cell>
          <cell r="K31">
            <v>74.207085444675087</v>
          </cell>
          <cell r="L31">
            <v>-891.95003928634549</v>
          </cell>
          <cell r="M31">
            <v>-2217.4627043865312</v>
          </cell>
          <cell r="N31">
            <v>-1763.7007457226036</v>
          </cell>
          <cell r="O31">
            <v>-2803.5195562270642</v>
          </cell>
          <cell r="P31">
            <v>-8901.128441727662</v>
          </cell>
        </row>
        <row r="32">
          <cell r="A32" t="str">
            <v>FTIProd</v>
          </cell>
          <cell r="B32" t="str">
            <v>FTI</v>
          </cell>
          <cell r="C32" t="str">
            <v>Prod</v>
          </cell>
          <cell r="D32">
            <v>0</v>
          </cell>
          <cell r="E32">
            <v>0</v>
          </cell>
          <cell r="F32">
            <v>0</v>
          </cell>
          <cell r="G32">
            <v>0</v>
          </cell>
          <cell r="H32">
            <v>0</v>
          </cell>
          <cell r="I32">
            <v>0</v>
          </cell>
          <cell r="J32">
            <v>0</v>
          </cell>
          <cell r="K32">
            <v>0</v>
          </cell>
          <cell r="L32">
            <v>0</v>
          </cell>
          <cell r="M32">
            <v>0</v>
          </cell>
          <cell r="N32">
            <v>0</v>
          </cell>
          <cell r="O32">
            <v>0</v>
          </cell>
          <cell r="P32">
            <v>0</v>
          </cell>
        </row>
        <row r="33">
          <cell r="A33" t="str">
            <v>FTIRate</v>
          </cell>
          <cell r="B33" t="str">
            <v>FTI</v>
          </cell>
          <cell r="C33" t="str">
            <v>Rate</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FTIVol</v>
          </cell>
          <cell r="B34" t="str">
            <v>FTI</v>
          </cell>
          <cell r="C34" t="str">
            <v>Vol</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FTJBaseline</v>
          </cell>
          <cell r="B35" t="str">
            <v>FTJ</v>
          </cell>
          <cell r="C35" t="str">
            <v>Baseline</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FTJCost</v>
          </cell>
          <cell r="B36" t="str">
            <v>FTJ</v>
          </cell>
          <cell r="C36" t="str">
            <v>Cost</v>
          </cell>
          <cell r="D36">
            <v>0</v>
          </cell>
          <cell r="E36">
            <v>0</v>
          </cell>
          <cell r="F36">
            <v>0</v>
          </cell>
          <cell r="G36">
            <v>0</v>
          </cell>
          <cell r="H36">
            <v>0</v>
          </cell>
          <cell r="I36">
            <v>0</v>
          </cell>
          <cell r="J36">
            <v>0</v>
          </cell>
          <cell r="K36">
            <v>0</v>
          </cell>
          <cell r="L36">
            <v>0</v>
          </cell>
          <cell r="M36">
            <v>0</v>
          </cell>
          <cell r="N36">
            <v>0</v>
          </cell>
          <cell r="O36">
            <v>0</v>
          </cell>
          <cell r="P36">
            <v>0</v>
          </cell>
        </row>
        <row r="37">
          <cell r="A37" t="str">
            <v>FTJInit</v>
          </cell>
          <cell r="B37" t="str">
            <v>FTJ</v>
          </cell>
          <cell r="C37" t="str">
            <v>Init</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FTJMerit</v>
          </cell>
          <cell r="B38" t="str">
            <v>FTJ</v>
          </cell>
          <cell r="C38" t="str">
            <v>Merit</v>
          </cell>
          <cell r="D38">
            <v>15.181211999999999</v>
          </cell>
          <cell r="E38">
            <v>15.835473</v>
          </cell>
          <cell r="F38">
            <v>17.421900000000001</v>
          </cell>
          <cell r="G38">
            <v>16.223357999999998</v>
          </cell>
          <cell r="H38">
            <v>17.673662999999998</v>
          </cell>
          <cell r="I38">
            <v>20.285142</v>
          </cell>
          <cell r="J38">
            <v>19.265295000000002</v>
          </cell>
          <cell r="K38">
            <v>22.749300000000002</v>
          </cell>
          <cell r="L38">
            <v>24.341999999999999</v>
          </cell>
          <cell r="M38">
            <v>25.292700000000004</v>
          </cell>
          <cell r="N38">
            <v>25.292700000000004</v>
          </cell>
          <cell r="O38">
            <v>25.292700000000004</v>
          </cell>
          <cell r="P38">
            <v>244.85544300000001</v>
          </cell>
        </row>
        <row r="39">
          <cell r="A39" t="str">
            <v>FTJOther</v>
          </cell>
          <cell r="B39" t="str">
            <v>FTJ</v>
          </cell>
          <cell r="C39" t="str">
            <v>Other</v>
          </cell>
          <cell r="D39">
            <v>387.20642800000019</v>
          </cell>
          <cell r="E39">
            <v>501.9593670000001</v>
          </cell>
          <cell r="F39">
            <v>471.70786000000004</v>
          </cell>
          <cell r="G39">
            <v>775.41185199999984</v>
          </cell>
          <cell r="H39">
            <v>726.93680700000016</v>
          </cell>
          <cell r="I39">
            <v>488.07510800000011</v>
          </cell>
          <cell r="J39">
            <v>879.73647499999981</v>
          </cell>
          <cell r="K39">
            <v>396.16556999999989</v>
          </cell>
          <cell r="L39">
            <v>530.53350999999998</v>
          </cell>
          <cell r="M39">
            <v>236.78217000000004</v>
          </cell>
          <cell r="N39">
            <v>241.85217000000006</v>
          </cell>
          <cell r="O39">
            <v>165.95281000000011</v>
          </cell>
          <cell r="P39">
            <v>5802.3201270000009</v>
          </cell>
        </row>
        <row r="40">
          <cell r="A40" t="str">
            <v>FTJProd</v>
          </cell>
          <cell r="B40" t="str">
            <v>FTJ</v>
          </cell>
          <cell r="C40" t="str">
            <v>Prod</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FTJRate</v>
          </cell>
          <cell r="B41" t="str">
            <v>FTJ</v>
          </cell>
          <cell r="C41" t="str">
            <v>Rate</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FTJVol</v>
          </cell>
          <cell r="B42" t="str">
            <v>FTJ</v>
          </cell>
          <cell r="C42" t="str">
            <v>Vol</v>
          </cell>
          <cell r="D42">
            <v>0</v>
          </cell>
          <cell r="E42">
            <v>0</v>
          </cell>
          <cell r="F42">
            <v>0</v>
          </cell>
          <cell r="G42">
            <v>0</v>
          </cell>
          <cell r="H42">
            <v>0</v>
          </cell>
          <cell r="I42">
            <v>0</v>
          </cell>
          <cell r="J42">
            <v>0</v>
          </cell>
          <cell r="K42">
            <v>0</v>
          </cell>
          <cell r="L42">
            <v>0</v>
          </cell>
          <cell r="M42">
            <v>0</v>
          </cell>
          <cell r="N42">
            <v>0</v>
          </cell>
          <cell r="O42">
            <v>0</v>
          </cell>
          <cell r="P42">
            <v>0</v>
          </cell>
        </row>
        <row r="43">
          <cell r="A43" t="str">
            <v>FTLBaseline</v>
          </cell>
          <cell r="B43" t="str">
            <v>FTL</v>
          </cell>
          <cell r="C43" t="str">
            <v>Baseline</v>
          </cell>
          <cell r="D43">
            <v>0</v>
          </cell>
          <cell r="E43">
            <v>0</v>
          </cell>
          <cell r="F43">
            <v>0</v>
          </cell>
          <cell r="G43">
            <v>-70</v>
          </cell>
          <cell r="H43">
            <v>0</v>
          </cell>
          <cell r="I43">
            <v>-30</v>
          </cell>
          <cell r="J43">
            <v>0</v>
          </cell>
          <cell r="K43">
            <v>0</v>
          </cell>
          <cell r="L43">
            <v>0</v>
          </cell>
          <cell r="M43">
            <v>0</v>
          </cell>
          <cell r="N43">
            <v>0</v>
          </cell>
          <cell r="O43">
            <v>0</v>
          </cell>
          <cell r="P43">
            <v>-100</v>
          </cell>
        </row>
        <row r="44">
          <cell r="A44" t="str">
            <v>FTLCost</v>
          </cell>
          <cell r="B44" t="str">
            <v>FTL</v>
          </cell>
          <cell r="C44" t="str">
            <v>Cost</v>
          </cell>
          <cell r="D44">
            <v>-10</v>
          </cell>
          <cell r="E44">
            <v>-10</v>
          </cell>
          <cell r="F44">
            <v>-23</v>
          </cell>
          <cell r="G44">
            <v>-23</v>
          </cell>
          <cell r="H44">
            <v>-23</v>
          </cell>
          <cell r="I44">
            <v>-23</v>
          </cell>
          <cell r="J44">
            <v>-23</v>
          </cell>
          <cell r="K44">
            <v>-23</v>
          </cell>
          <cell r="L44">
            <v>-23</v>
          </cell>
          <cell r="M44">
            <v>-23</v>
          </cell>
          <cell r="N44">
            <v>-23</v>
          </cell>
          <cell r="O44">
            <v>-23</v>
          </cell>
          <cell r="P44">
            <v>-250</v>
          </cell>
        </row>
        <row r="45">
          <cell r="A45" t="str">
            <v>FTLInit</v>
          </cell>
          <cell r="B45" t="str">
            <v>FTL</v>
          </cell>
          <cell r="C45" t="str">
            <v>Init</v>
          </cell>
          <cell r="D45">
            <v>10.858083696335548</v>
          </cell>
          <cell r="E45">
            <v>10.822687756141281</v>
          </cell>
          <cell r="F45">
            <v>10.937807842720858</v>
          </cell>
          <cell r="G45">
            <v>15.983833759450903</v>
          </cell>
          <cell r="H45">
            <v>15.872793041058426</v>
          </cell>
          <cell r="I45">
            <v>15.902036059239794</v>
          </cell>
          <cell r="J45">
            <v>15.88136589497171</v>
          </cell>
          <cell r="K45">
            <v>10.834452069943771</v>
          </cell>
          <cell r="L45">
            <v>10.856033115342722</v>
          </cell>
          <cell r="M45">
            <v>10.872034762345608</v>
          </cell>
          <cell r="N45">
            <v>10.871527754724614</v>
          </cell>
          <cell r="O45">
            <v>10.871411648506234</v>
          </cell>
          <cell r="P45">
            <v>150.56406740078148</v>
          </cell>
        </row>
        <row r="46">
          <cell r="A46" t="str">
            <v>FTLMerit</v>
          </cell>
          <cell r="B46" t="str">
            <v>FTL</v>
          </cell>
          <cell r="C46" t="str">
            <v>Merit</v>
          </cell>
          <cell r="D46">
            <v>46.284413999999998</v>
          </cell>
          <cell r="E46">
            <v>46.192869000000002</v>
          </cell>
          <cell r="F46">
            <v>46.613954999999997</v>
          </cell>
          <cell r="G46">
            <v>47.798901000000001</v>
          </cell>
          <cell r="H46">
            <v>46.959065999999993</v>
          </cell>
          <cell r="I46">
            <v>48.187592999999993</v>
          </cell>
          <cell r="J46">
            <v>47.876379</v>
          </cell>
          <cell r="K46">
            <v>47.976600000000005</v>
          </cell>
          <cell r="L46">
            <v>48.015299999999996</v>
          </cell>
          <cell r="M46">
            <v>48.2517</v>
          </cell>
          <cell r="N46">
            <v>48.717000000000006</v>
          </cell>
          <cell r="O46">
            <v>48.731400000000001</v>
          </cell>
          <cell r="P46">
            <v>571.60517700000003</v>
          </cell>
        </row>
        <row r="47">
          <cell r="A47" t="str">
            <v>FTLOther</v>
          </cell>
          <cell r="B47" t="str">
            <v>FTL</v>
          </cell>
          <cell r="C47" t="str">
            <v>Other</v>
          </cell>
          <cell r="D47">
            <v>13.214699358384296</v>
          </cell>
          <cell r="E47">
            <v>149.31048363771961</v>
          </cell>
          <cell r="F47">
            <v>48.529449856383771</v>
          </cell>
          <cell r="G47">
            <v>51.288312517792818</v>
          </cell>
          <cell r="H47">
            <v>128.80058680319343</v>
          </cell>
          <cell r="I47">
            <v>113.58618475914025</v>
          </cell>
          <cell r="J47">
            <v>42.898766384946541</v>
          </cell>
          <cell r="K47">
            <v>-120.78057909475388</v>
          </cell>
          <cell r="L47">
            <v>23.276742694740207</v>
          </cell>
          <cell r="M47">
            <v>40.349322574883132</v>
          </cell>
          <cell r="N47">
            <v>26.156063584097566</v>
          </cell>
          <cell r="O47">
            <v>19.160984189656432</v>
          </cell>
          <cell r="P47">
            <v>535.79101726618421</v>
          </cell>
        </row>
        <row r="48">
          <cell r="A48" t="str">
            <v>FTLProd</v>
          </cell>
          <cell r="B48" t="str">
            <v>FTL</v>
          </cell>
          <cell r="C48" t="str">
            <v>Prod</v>
          </cell>
          <cell r="D48">
            <v>-98.706999999999994</v>
          </cell>
          <cell r="E48">
            <v>-98.706999999999994</v>
          </cell>
          <cell r="F48">
            <v>-98.706999999999994</v>
          </cell>
          <cell r="G48">
            <v>-98.706999999999994</v>
          </cell>
          <cell r="H48">
            <v>-98.706999999999994</v>
          </cell>
          <cell r="I48">
            <v>-98.706999999999994</v>
          </cell>
          <cell r="J48">
            <v>-98.706999999999994</v>
          </cell>
          <cell r="K48">
            <v>-98.706999999999994</v>
          </cell>
          <cell r="L48">
            <v>-98.706999999999994</v>
          </cell>
          <cell r="M48">
            <v>-98.706999999999994</v>
          </cell>
          <cell r="N48">
            <v>-98.706999999999994</v>
          </cell>
          <cell r="O48">
            <v>-98.706999999999994</v>
          </cell>
          <cell r="P48">
            <v>-1184.4839999999999</v>
          </cell>
        </row>
        <row r="49">
          <cell r="A49" t="str">
            <v>FTLRate</v>
          </cell>
          <cell r="B49" t="str">
            <v>FTL</v>
          </cell>
          <cell r="C49" t="str">
            <v>Rate</v>
          </cell>
          <cell r="D49">
            <v>-138.66999999999999</v>
          </cell>
          <cell r="E49">
            <v>-138.66999999999999</v>
          </cell>
          <cell r="F49">
            <v>-138.66999999999999</v>
          </cell>
          <cell r="G49">
            <v>-138.66999999999999</v>
          </cell>
          <cell r="H49">
            <v>-138.66999999999999</v>
          </cell>
          <cell r="I49">
            <v>-138.66999999999999</v>
          </cell>
          <cell r="J49">
            <v>-138.66999999999999</v>
          </cell>
          <cell r="K49">
            <v>-138.66999999999999</v>
          </cell>
          <cell r="L49">
            <v>-138.66999999999999</v>
          </cell>
          <cell r="M49">
            <v>-138.66999999999999</v>
          </cell>
          <cell r="N49">
            <v>-138.66999999999999</v>
          </cell>
          <cell r="O49">
            <v>-138.66999999999999</v>
          </cell>
          <cell r="P49">
            <v>-1664.0400000000002</v>
          </cell>
        </row>
        <row r="50">
          <cell r="A50" t="str">
            <v>FTLVol</v>
          </cell>
          <cell r="B50" t="str">
            <v>FTL</v>
          </cell>
          <cell r="C50" t="str">
            <v>Vol</v>
          </cell>
          <cell r="D50">
            <v>434.59983725828022</v>
          </cell>
          <cell r="E50">
            <v>434.53636391913898</v>
          </cell>
          <cell r="F50">
            <v>434.74280161389532</v>
          </cell>
          <cell r="G50">
            <v>445.36991703575637</v>
          </cell>
          <cell r="H50">
            <v>445.14564846874816</v>
          </cell>
          <cell r="I50">
            <v>445.20471049462009</v>
          </cell>
          <cell r="J50">
            <v>445.16296303308218</v>
          </cell>
          <cell r="K50">
            <v>440.0682113378104</v>
          </cell>
          <cell r="L50">
            <v>440.11179850291722</v>
          </cell>
          <cell r="M50">
            <v>440.14411697577174</v>
          </cell>
          <cell r="N50">
            <v>440.14309297417782</v>
          </cell>
          <cell r="O50">
            <v>440.14285847483745</v>
          </cell>
          <cell r="P50">
            <v>5285.3723200890363</v>
          </cell>
        </row>
        <row r="51">
          <cell r="A51" t="str">
            <v>FTMBaseline</v>
          </cell>
          <cell r="B51" t="str">
            <v>FTM</v>
          </cell>
          <cell r="C51" t="str">
            <v>Baseline</v>
          </cell>
          <cell r="D51">
            <v>30</v>
          </cell>
          <cell r="E51">
            <v>30</v>
          </cell>
          <cell r="F51">
            <v>0</v>
          </cell>
          <cell r="G51">
            <v>0</v>
          </cell>
          <cell r="H51">
            <v>0</v>
          </cell>
          <cell r="I51">
            <v>0</v>
          </cell>
          <cell r="J51">
            <v>0</v>
          </cell>
          <cell r="K51">
            <v>0</v>
          </cell>
          <cell r="L51">
            <v>0</v>
          </cell>
          <cell r="M51">
            <v>0</v>
          </cell>
          <cell r="N51">
            <v>0</v>
          </cell>
          <cell r="O51">
            <v>0</v>
          </cell>
          <cell r="P51">
            <v>60</v>
          </cell>
        </row>
        <row r="52">
          <cell r="A52" t="str">
            <v>FTMCost</v>
          </cell>
          <cell r="B52" t="str">
            <v>FTM</v>
          </cell>
          <cell r="C52" t="str">
            <v>Cost</v>
          </cell>
          <cell r="D52">
            <v>-14.75</v>
          </cell>
          <cell r="E52">
            <v>-14.75</v>
          </cell>
          <cell r="F52">
            <v>-14.75</v>
          </cell>
          <cell r="G52">
            <v>-14.75</v>
          </cell>
          <cell r="H52">
            <v>-14.75</v>
          </cell>
          <cell r="I52">
            <v>-14.75</v>
          </cell>
          <cell r="J52">
            <v>-14.75</v>
          </cell>
          <cell r="K52">
            <v>-14.75</v>
          </cell>
          <cell r="L52">
            <v>-14.75</v>
          </cell>
          <cell r="M52">
            <v>-14.75</v>
          </cell>
          <cell r="N52">
            <v>-14.75</v>
          </cell>
          <cell r="O52">
            <v>-14.75</v>
          </cell>
          <cell r="P52">
            <v>-177</v>
          </cell>
        </row>
        <row r="53">
          <cell r="A53" t="str">
            <v>FTMInit</v>
          </cell>
          <cell r="B53" t="str">
            <v>FTM</v>
          </cell>
          <cell r="C53" t="str">
            <v>Init</v>
          </cell>
          <cell r="D53">
            <v>664.16606666666667</v>
          </cell>
          <cell r="E53">
            <v>-173.37504333333334</v>
          </cell>
          <cell r="F53">
            <v>19.296246666666669</v>
          </cell>
          <cell r="G53">
            <v>20.461536666666667</v>
          </cell>
          <cell r="H53">
            <v>35.919666666666672</v>
          </cell>
          <cell r="I53">
            <v>35.919666666666672</v>
          </cell>
          <cell r="J53">
            <v>780.24966666666671</v>
          </cell>
          <cell r="K53">
            <v>26.649666666666668</v>
          </cell>
          <cell r="L53">
            <v>741.57966666666675</v>
          </cell>
          <cell r="M53">
            <v>17.379666666666669</v>
          </cell>
          <cell r="N53">
            <v>702.90966666666668</v>
          </cell>
          <cell r="O53">
            <v>8.1096666666666692</v>
          </cell>
          <cell r="P53">
            <v>2879.2661400000002</v>
          </cell>
        </row>
        <row r="54">
          <cell r="A54" t="str">
            <v>FTMMerit</v>
          </cell>
          <cell r="B54" t="str">
            <v>FTM</v>
          </cell>
          <cell r="C54" t="str">
            <v>Merit</v>
          </cell>
          <cell r="D54">
            <v>23.788214999999997</v>
          </cell>
          <cell r="E54">
            <v>24.182309999999994</v>
          </cell>
          <cell r="F54">
            <v>24.630359999999996</v>
          </cell>
          <cell r="G54">
            <v>25.999047000000001</v>
          </cell>
          <cell r="H54">
            <v>25.496141999999999</v>
          </cell>
          <cell r="I54">
            <v>25.99755</v>
          </cell>
          <cell r="J54">
            <v>25.828073999999997</v>
          </cell>
          <cell r="K54">
            <v>26.341200000000001</v>
          </cell>
          <cell r="L54">
            <v>26.334</v>
          </cell>
          <cell r="M54">
            <v>26.451599999999999</v>
          </cell>
          <cell r="N54">
            <v>26.37</v>
          </cell>
          <cell r="O54">
            <v>26.415599999999998</v>
          </cell>
          <cell r="P54">
            <v>307.83409799999993</v>
          </cell>
        </row>
        <row r="55">
          <cell r="A55" t="str">
            <v>FTMOther</v>
          </cell>
          <cell r="B55" t="str">
            <v>FTM</v>
          </cell>
          <cell r="C55" t="str">
            <v>Other</v>
          </cell>
          <cell r="D55">
            <v>387.50073042775034</v>
          </cell>
          <cell r="E55">
            <v>849.57946913808985</v>
          </cell>
          <cell r="F55">
            <v>89.888694448089524</v>
          </cell>
          <cell r="G55">
            <v>-343.67577122468566</v>
          </cell>
          <cell r="H55">
            <v>971.34506320515106</v>
          </cell>
          <cell r="I55">
            <v>-142.90783457736219</v>
          </cell>
          <cell r="J55">
            <v>-666.42642706896925</v>
          </cell>
          <cell r="K55">
            <v>-75.469279065529932</v>
          </cell>
          <cell r="L55">
            <v>-339.70419084708129</v>
          </cell>
          <cell r="M55">
            <v>-148.82145235179539</v>
          </cell>
          <cell r="N55">
            <v>43.331025102928209</v>
          </cell>
          <cell r="O55">
            <v>-290.45413849698252</v>
          </cell>
          <cell r="P55">
            <v>334.18588868960296</v>
          </cell>
        </row>
        <row r="56">
          <cell r="A56" t="str">
            <v>FTMProd</v>
          </cell>
          <cell r="B56" t="str">
            <v>FTM</v>
          </cell>
          <cell r="C56" t="str">
            <v>Prod</v>
          </cell>
          <cell r="D56">
            <v>-302.95967684597468</v>
          </cell>
          <cell r="E56">
            <v>-350.68050696442072</v>
          </cell>
          <cell r="F56">
            <v>-393.20065621826774</v>
          </cell>
          <cell r="G56">
            <v>-428.03393589690171</v>
          </cell>
          <cell r="H56">
            <v>-437.29436588456673</v>
          </cell>
          <cell r="I56">
            <v>-445.22777543325572</v>
          </cell>
          <cell r="J56">
            <v>-544.61609180124469</v>
          </cell>
          <cell r="K56">
            <v>-757.97986079041959</v>
          </cell>
          <cell r="L56">
            <v>-805.58409941547563</v>
          </cell>
          <cell r="M56">
            <v>-814.63620269234048</v>
          </cell>
          <cell r="N56">
            <v>-879.46208089318668</v>
          </cell>
          <cell r="O56">
            <v>-926.55799837826771</v>
          </cell>
          <cell r="P56">
            <v>-7086.2332512143221</v>
          </cell>
        </row>
        <row r="57">
          <cell r="A57" t="str">
            <v>FTMRate</v>
          </cell>
          <cell r="B57" t="str">
            <v>FTM</v>
          </cell>
          <cell r="C57" t="str">
            <v>Rate</v>
          </cell>
          <cell r="D57">
            <v>61.737741444798495</v>
          </cell>
          <cell r="E57">
            <v>107.10923530418006</v>
          </cell>
          <cell r="F57">
            <v>21.168951834466775</v>
          </cell>
          <cell r="G57">
            <v>-57.967744625912026</v>
          </cell>
          <cell r="H57">
            <v>14.999440518539238</v>
          </cell>
          <cell r="I57">
            <v>518.76150105861291</v>
          </cell>
          <cell r="J57">
            <v>517.87741900255514</v>
          </cell>
          <cell r="K57">
            <v>160.4125399359643</v>
          </cell>
          <cell r="L57">
            <v>314.45795842433836</v>
          </cell>
          <cell r="M57">
            <v>308.40869236964357</v>
          </cell>
          <cell r="N57">
            <v>297.54743218460453</v>
          </cell>
          <cell r="O57">
            <v>282.41075049685134</v>
          </cell>
          <cell r="P57">
            <v>2546.9239179486431</v>
          </cell>
        </row>
        <row r="58">
          <cell r="A58" t="str">
            <v>FTMVol</v>
          </cell>
          <cell r="B58" t="str">
            <v>FTM</v>
          </cell>
          <cell r="C58" t="str">
            <v>Vol</v>
          </cell>
          <cell r="D58">
            <v>2544.2962333067589</v>
          </cell>
          <cell r="E58">
            <v>2524.6581058554852</v>
          </cell>
          <cell r="F58">
            <v>2500.4429532690428</v>
          </cell>
          <cell r="G58">
            <v>2746.417648080831</v>
          </cell>
          <cell r="H58">
            <v>2619.2199343942088</v>
          </cell>
          <cell r="I58">
            <v>2605.8261322853391</v>
          </cell>
          <cell r="J58">
            <v>2613.5090492009922</v>
          </cell>
          <cell r="K58">
            <v>2707.0205132533188</v>
          </cell>
          <cell r="L58">
            <v>2660.656305171552</v>
          </cell>
          <cell r="M58">
            <v>2649.1034640078269</v>
          </cell>
          <cell r="N58">
            <v>2694.459419938988</v>
          </cell>
          <cell r="O58">
            <v>2656.6295937117338</v>
          </cell>
          <cell r="P58">
            <v>31522.239352476077</v>
          </cell>
        </row>
        <row r="59">
          <cell r="A59" t="str">
            <v>FTRBaseline</v>
          </cell>
          <cell r="B59" t="str">
            <v>FTR</v>
          </cell>
          <cell r="C59" t="str">
            <v>Baseline</v>
          </cell>
          <cell r="D59">
            <v>221.15234089512313</v>
          </cell>
          <cell r="E59">
            <v>261.77234089512308</v>
          </cell>
          <cell r="F59">
            <v>156.75234089512313</v>
          </cell>
          <cell r="G59">
            <v>222.19404089512312</v>
          </cell>
          <cell r="H59">
            <v>54.193740895123128</v>
          </cell>
          <cell r="I59">
            <v>500.58984089512319</v>
          </cell>
          <cell r="J59">
            <v>-649.88546870487698</v>
          </cell>
          <cell r="K59">
            <v>-9.4430191048768304</v>
          </cell>
          <cell r="L59">
            <v>-6194.6580591048778</v>
          </cell>
          <cell r="M59">
            <v>-100.19965910487687</v>
          </cell>
          <cell r="N59">
            <v>-52.523019104876866</v>
          </cell>
          <cell r="O59">
            <v>-76.093899104876854</v>
          </cell>
          <cell r="P59">
            <v>-5666.148478858523</v>
          </cell>
        </row>
        <row r="60">
          <cell r="A60" t="str">
            <v>FTRCost</v>
          </cell>
          <cell r="B60" t="str">
            <v>FTR</v>
          </cell>
          <cell r="C60" t="str">
            <v>Cost</v>
          </cell>
          <cell r="D60">
            <v>0</v>
          </cell>
          <cell r="E60">
            <v>0</v>
          </cell>
          <cell r="F60">
            <v>0</v>
          </cell>
          <cell r="G60">
            <v>0</v>
          </cell>
          <cell r="H60">
            <v>0</v>
          </cell>
          <cell r="I60">
            <v>0</v>
          </cell>
          <cell r="J60">
            <v>0</v>
          </cell>
          <cell r="K60">
            <v>0</v>
          </cell>
          <cell r="L60">
            <v>0</v>
          </cell>
          <cell r="M60">
            <v>0</v>
          </cell>
          <cell r="N60">
            <v>0</v>
          </cell>
          <cell r="O60">
            <v>0</v>
          </cell>
          <cell r="P60">
            <v>0</v>
          </cell>
        </row>
        <row r="61">
          <cell r="A61" t="str">
            <v>FTRInit</v>
          </cell>
          <cell r="B61" t="str">
            <v>FTR</v>
          </cell>
          <cell r="C61" t="str">
            <v>Init</v>
          </cell>
          <cell r="D61">
            <v>177.06108091465515</v>
          </cell>
          <cell r="E61">
            <v>217.71906138740943</v>
          </cell>
          <cell r="F61">
            <v>210.95311669051733</v>
          </cell>
          <cell r="G61">
            <v>261.45705943697607</v>
          </cell>
          <cell r="H61">
            <v>261.93013643393613</v>
          </cell>
          <cell r="I61">
            <v>281.82551160572507</v>
          </cell>
          <cell r="J61">
            <v>295.6230915194659</v>
          </cell>
          <cell r="K61">
            <v>265.82496903186023</v>
          </cell>
          <cell r="L61">
            <v>249.58848874610501</v>
          </cell>
          <cell r="M61">
            <v>274.48479261017121</v>
          </cell>
          <cell r="N61">
            <v>281.28584322196116</v>
          </cell>
          <cell r="O61">
            <v>293.93669500388847</v>
          </cell>
          <cell r="P61">
            <v>3071.6898466026714</v>
          </cell>
        </row>
        <row r="62">
          <cell r="A62" t="str">
            <v>FTRMerit</v>
          </cell>
          <cell r="B62" t="str">
            <v>FTR</v>
          </cell>
          <cell r="C62" t="str">
            <v>Merit</v>
          </cell>
          <cell r="D62">
            <v>133.85303099999999</v>
          </cell>
          <cell r="E62">
            <v>134.36649299999999</v>
          </cell>
          <cell r="F62">
            <v>133.31867399999999</v>
          </cell>
          <cell r="G62">
            <v>129.708888</v>
          </cell>
          <cell r="H62">
            <v>130.10726399999999</v>
          </cell>
          <cell r="I62">
            <v>128.538825</v>
          </cell>
          <cell r="J62">
            <v>147.171075</v>
          </cell>
          <cell r="K62">
            <v>139.6266</v>
          </cell>
          <cell r="L62">
            <v>294.69749999999999</v>
          </cell>
          <cell r="M62">
            <v>146.59980000000002</v>
          </cell>
          <cell r="N62">
            <v>145.8759</v>
          </cell>
          <cell r="O62">
            <v>146.90549999999999</v>
          </cell>
          <cell r="P62">
            <v>1810.76955</v>
          </cell>
        </row>
        <row r="63">
          <cell r="A63" t="str">
            <v>FTROther</v>
          </cell>
          <cell r="B63" t="str">
            <v>FTR</v>
          </cell>
          <cell r="C63" t="str">
            <v>Other</v>
          </cell>
          <cell r="D63">
            <v>372.73394719022212</v>
          </cell>
          <cell r="E63">
            <v>397.61790471746764</v>
          </cell>
          <cell r="F63">
            <v>446.3089684143597</v>
          </cell>
          <cell r="G63">
            <v>621.68031166790092</v>
          </cell>
          <cell r="H63">
            <v>581.29945867094102</v>
          </cell>
          <cell r="I63">
            <v>703.56282249915148</v>
          </cell>
          <cell r="J63">
            <v>661.50830218541194</v>
          </cell>
          <cell r="K63">
            <v>-122.40654992698254</v>
          </cell>
          <cell r="L63">
            <v>-296.16292964122704</v>
          </cell>
          <cell r="M63">
            <v>-147.21393350529382</v>
          </cell>
          <cell r="N63">
            <v>-134.84472411708327</v>
          </cell>
          <cell r="O63">
            <v>-165.17129589901074</v>
          </cell>
          <cell r="P63">
            <v>2918.9122822558575</v>
          </cell>
        </row>
        <row r="64">
          <cell r="A64" t="str">
            <v>FTRProd</v>
          </cell>
          <cell r="B64" t="str">
            <v>FTR</v>
          </cell>
          <cell r="C64" t="str">
            <v>Prod</v>
          </cell>
          <cell r="D64">
            <v>-345.8426110403426</v>
          </cell>
          <cell r="E64">
            <v>-322.698482610089</v>
          </cell>
          <cell r="F64">
            <v>-354.36129384480483</v>
          </cell>
          <cell r="G64">
            <v>-491.19060275806709</v>
          </cell>
          <cell r="H64">
            <v>-527.17340025543979</v>
          </cell>
          <cell r="I64">
            <v>-468.40651907596225</v>
          </cell>
          <cell r="J64">
            <v>-470.80966680075761</v>
          </cell>
          <cell r="K64">
            <v>-476.9659853815682</v>
          </cell>
          <cell r="L64">
            <v>-480.37281284441599</v>
          </cell>
          <cell r="M64">
            <v>-480.16760204255854</v>
          </cell>
          <cell r="N64">
            <v>-480.50127965446183</v>
          </cell>
          <cell r="O64">
            <v>-480.48046088655371</v>
          </cell>
          <cell r="P64">
            <v>-5378.9707171950213</v>
          </cell>
        </row>
        <row r="65">
          <cell r="A65" t="str">
            <v>FTRRate</v>
          </cell>
          <cell r="B65" t="str">
            <v>FTR</v>
          </cell>
          <cell r="C65" t="str">
            <v>Rate</v>
          </cell>
          <cell r="D65">
            <v>0</v>
          </cell>
          <cell r="E65">
            <v>0</v>
          </cell>
          <cell r="F65">
            <v>0</v>
          </cell>
          <cell r="G65">
            <v>0</v>
          </cell>
          <cell r="H65">
            <v>0</v>
          </cell>
          <cell r="I65">
            <v>0</v>
          </cell>
          <cell r="J65">
            <v>0</v>
          </cell>
          <cell r="K65">
            <v>0</v>
          </cell>
          <cell r="L65">
            <v>0</v>
          </cell>
          <cell r="M65">
            <v>0</v>
          </cell>
          <cell r="N65">
            <v>0</v>
          </cell>
          <cell r="O65">
            <v>0</v>
          </cell>
          <cell r="P65">
            <v>0</v>
          </cell>
        </row>
        <row r="66">
          <cell r="A66" t="str">
            <v>FTRVol</v>
          </cell>
          <cell r="B66" t="str">
            <v>FTR</v>
          </cell>
          <cell r="C66" t="str">
            <v>Vol</v>
          </cell>
          <cell r="D66">
            <v>355.45181104034259</v>
          </cell>
          <cell r="E66">
            <v>328.58428261008896</v>
          </cell>
          <cell r="F66">
            <v>362.34129384480485</v>
          </cell>
          <cell r="G66">
            <v>485.5069027580671</v>
          </cell>
          <cell r="H66">
            <v>537.91650025543981</v>
          </cell>
          <cell r="I66">
            <v>467.68721907596228</v>
          </cell>
          <cell r="J66">
            <v>476.78736680075758</v>
          </cell>
          <cell r="K66">
            <v>479.5789853815682</v>
          </cell>
          <cell r="L66">
            <v>482.58581284441601</v>
          </cell>
          <cell r="M66">
            <v>483.08060204255855</v>
          </cell>
          <cell r="N66">
            <v>483.0142796544618</v>
          </cell>
          <cell r="O66">
            <v>487.59346088655371</v>
          </cell>
          <cell r="P66">
            <v>5430.1285171950212</v>
          </cell>
        </row>
        <row r="67">
          <cell r="A67">
            <v>0</v>
          </cell>
        </row>
        <row r="68">
          <cell r="A68">
            <v>0</v>
          </cell>
          <cell r="D68">
            <v>15932.737459665994</v>
          </cell>
          <cell r="E68">
            <v>10569.754219381</v>
          </cell>
          <cell r="F68">
            <v>7911.642588964989</v>
          </cell>
          <cell r="G68">
            <v>11242.313315447009</v>
          </cell>
          <cell r="H68">
            <v>11260.175375803996</v>
          </cell>
          <cell r="I68">
            <v>14312.57195438501</v>
          </cell>
          <cell r="J68">
            <v>16522.956973096996</v>
          </cell>
          <cell r="K68">
            <v>14247.832367882009</v>
          </cell>
          <cell r="L68">
            <v>-2459.9434064740008</v>
          </cell>
          <cell r="M68">
            <v>6746.4597142430002</v>
          </cell>
          <cell r="N68">
            <v>7954.4156813800055</v>
          </cell>
          <cell r="O68">
            <v>-11135.606703783998</v>
          </cell>
          <cell r="P68">
            <v>103105.30953999206</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Pic"/>
      <sheetName val="site pics"/>
    </sheetNames>
    <definedNames>
      <definedName name="buttonesque" refersTo="#REF!"/>
      <definedName name="ProductivityView" refersTo="#REF!"/>
      <definedName name="TargetDatabaseManagement" refersTo="#REF!"/>
      <definedName name="UseOrNot" refersTo="#REF!"/>
    </defined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depsumm"/>
      <sheetName val="tds "/>
      <sheetName val="additional ac"/>
      <sheetName val="debtors "/>
      <sheetName val="Statutory P&amp;L"/>
      <sheetName val="CF WORKING"/>
      <sheetName val="cash flow report"/>
      <sheetName val="Statutory Condensed Results"/>
      <sheetName val="Statutory BS"/>
      <sheetName val="Trial Balance"/>
      <sheetName val="MIS Balance Sheet"/>
      <sheetName val="TB Data"/>
      <sheetName val="Sheet1"/>
      <sheetName val="cash flow WORKING"/>
      <sheetName val="WORKING"/>
      <sheetName val="NOTES TO ACCOUNTS"/>
      <sheetName val="tds_"/>
      <sheetName val="additional_ac"/>
      <sheetName val="debtors_"/>
      <sheetName val="Statutory_P&amp;L"/>
      <sheetName val="CF_WORKING"/>
      <sheetName val="cash_flow_report"/>
      <sheetName val="Statutory_Condensed_Results"/>
      <sheetName val="Statutory_BS"/>
      <sheetName val="Trial_Balance"/>
      <sheetName val="MIS_Balance_Sheet"/>
      <sheetName val="TB_Data"/>
      <sheetName val="cash_flow_WORKING"/>
      <sheetName val="NOTES_TO_ACCOUN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IO list"/>
      <sheetName val="BMS-Pri"/>
      <sheetName val="外気負荷"/>
      <sheetName val="sumary"/>
      <sheetName val="Rate Analysis"/>
      <sheetName val="Xenon(R2)"/>
      <sheetName val="Legal Risk Analysis"/>
      <sheetName val="refer"/>
      <sheetName val="p&amp;m"/>
      <sheetName val="Detail In Door Stad"/>
      <sheetName val="IO List 4C08"/>
      <sheetName val="girder"/>
      <sheetName val="Deprec."/>
      <sheetName val="Labels"/>
      <sheetName val="7 Hills Abstract"/>
      <sheetName val="Bill 3 - Site Works"/>
      <sheetName val="Basis"/>
      <sheetName val="01"/>
      <sheetName val="Gen Info"/>
      <sheetName val="Build-up"/>
      <sheetName val="Boq"/>
      <sheetName val="3MLKQ"/>
      <sheetName val="PRECAST lightconc-II"/>
      <sheetName val="Precalculation"/>
      <sheetName val="SITE OVERHEADS"/>
      <sheetName val="Boq Block A"/>
      <sheetName val="Design"/>
      <sheetName val="BS1"/>
      <sheetName val="Ave.wtd.rates"/>
      <sheetName val="Material "/>
      <sheetName val="Labour &amp; Plant"/>
      <sheetName val="Source Ref."/>
      <sheetName val="RBFC-BS"/>
      <sheetName val="DG Works (Supply)"/>
      <sheetName val="AutoOpen Stub Data"/>
      <sheetName val="DETAILED  BOQ"/>
      <sheetName val="Assmpns"/>
      <sheetName val="Load Details(B2)"/>
      <sheetName val="Data"/>
      <sheetName val="Designs"/>
      <sheetName val="lead"/>
      <sheetName val="2004"/>
      <sheetName val="Parameter"/>
      <sheetName val="1_Project_Profile"/>
      <sheetName val="Detail 1A"/>
      <sheetName val="Rate"/>
      <sheetName val="Assumptions"/>
      <sheetName val="Detail"/>
      <sheetName val="CABLERET"/>
      <sheetName val="DSLP"/>
      <sheetName val="Debits as on 12.04.08"/>
      <sheetName val="Fee Rate Summary"/>
      <sheetName val="Works - Quote Sheet"/>
      <sheetName val="analysis"/>
      <sheetName val="IO%20List%204C08.xls"/>
      <sheetName val="grid"/>
      <sheetName val="Costing"/>
      <sheetName val="macros"/>
      <sheetName val="Cashflow projection"/>
      <sheetName val="MTO REV.0"/>
      <sheetName val="B1"/>
      <sheetName val="Assumption Inputs"/>
      <sheetName val="Sheet1"/>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SECPROP"/>
      <sheetName val="Staff Acc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Balance works - Direct Cost"/>
      <sheetName val="Expenditure plan"/>
      <sheetName val="Staff Acco."/>
      <sheetName val="from q2"/>
      <sheetName val="SOR"/>
      <sheetName val="Parameter"/>
      <sheetName val="1_Project_Profile"/>
      <sheetName val="factors"/>
      <sheetName val="#REF!"/>
      <sheetName val="Financials"/>
      <sheetName val="Operating Statistics"/>
      <sheetName val="Revenues assumptions "/>
      <sheetName val="gen"/>
      <sheetName val="SBC-BH 19"/>
      <sheetName val="SBC-BH-16"/>
      <sheetName val="BH-20"/>
      <sheetName val="BH-15"/>
      <sheetName val="BH-14"/>
      <sheetName val="BH-16"/>
      <sheetName val="BH-17"/>
      <sheetName val="sbc-ABH-1"/>
      <sheetName val="ABH-1"/>
      <sheetName val="BH-19"/>
      <sheetName val="SBC-BH-1"/>
      <sheetName val="BH-1"/>
      <sheetName val="SBC-BH-3"/>
      <sheetName val="BH-3"/>
      <sheetName val="Sheet4"/>
      <sheetName val="SPT vs PHI"/>
      <sheetName val="Annex"/>
      <sheetName val="SPILL OVER"/>
      <sheetName val="Staff Acco_"/>
      <sheetName val="basic-data"/>
      <sheetName val="mem-property"/>
      <sheetName val="Detail In Door Stad"/>
      <sheetName val="Intro"/>
      <sheetName val="Build-up"/>
      <sheetName val="CABLE"/>
      <sheetName val="number"/>
      <sheetName val="CCTV_EST1"/>
      <sheetName val="Fill this out first..."/>
      <sheetName val="p&amp;m"/>
      <sheetName val="Control"/>
      <sheetName val="Field Values"/>
      <sheetName val="CABLE DATA"/>
      <sheetName val="key dates"/>
      <sheetName val="Actuals"/>
      <sheetName val="Sheet2"/>
      <sheetName val="RCC,Ret. Wall"/>
      <sheetName val="BULook"/>
      <sheetName val="Civil Works"/>
      <sheetName val="TBAL9697 -group wise  sdpl"/>
      <sheetName val="Precalculation"/>
      <sheetName val="Labels"/>
      <sheetName val="Boq"/>
      <sheetName val="220 11  BS "/>
      <sheetName val="VCH-SLC"/>
      <sheetName val="Supplier"/>
      <sheetName val="Names&amp;Cases"/>
      <sheetName val="01"/>
      <sheetName val="detail'02"/>
      <sheetName val="Input"/>
      <sheetName val="PO Payroll"/>
      <sheetName val="Contractor-1-every floor 5%"/>
      <sheetName val="Set"/>
      <sheetName val="Index"/>
      <sheetName val="keydates"/>
      <sheetName val="INPUT-DATA"/>
      <sheetName val="Block A - BOQ"/>
      <sheetName val="Detail 1A"/>
      <sheetName val="Rate"/>
      <sheetName val="Approved MTD Proj #'s"/>
      <sheetName val="KSt - Analysis "/>
      <sheetName val="Admin "/>
      <sheetName val="doq"/>
      <sheetName val="外気負荷"/>
      <sheetName val="3MLKQ"/>
      <sheetName val="Balance_works_-_Direct_Cost"/>
      <sheetName val="Expenditure_plan"/>
      <sheetName val="Staff_Acco_"/>
      <sheetName val="from_q2"/>
      <sheetName val="SPILL_OVER"/>
      <sheetName val="Operating_Statistics"/>
      <sheetName val="Revenues_assumptions_"/>
      <sheetName val="Staff_Acco_1"/>
      <sheetName val="Detail_In_Door_Stad"/>
      <sheetName val="SBC-BH_19"/>
      <sheetName val="SPT_vs_PHI"/>
      <sheetName val="CABLE_DATA"/>
      <sheetName val="key_dates"/>
      <sheetName val="Field_Values"/>
      <sheetName val="Fill_this_out_first___"/>
      <sheetName val="220_11__BS_"/>
      <sheetName val="Balance_works_-_Direct_Cost1"/>
      <sheetName val="Expenditure_plan1"/>
      <sheetName val="Staff_Acco_2"/>
      <sheetName val="from_q21"/>
      <sheetName val="SPILL_OVER1"/>
      <sheetName val="Operating_Statistics1"/>
      <sheetName val="Revenues_assumptions_1"/>
      <sheetName val="Staff_Acco_3"/>
      <sheetName val="Detail_In_Door_Stad1"/>
      <sheetName val="SBC-BH_191"/>
      <sheetName val="SPT_vs_PHI1"/>
      <sheetName val="CABLE_DATA1"/>
      <sheetName val="key_dates1"/>
      <sheetName val="Field_Values1"/>
      <sheetName val="Fill_this_out_first___1"/>
      <sheetName val="220_11__BS_1"/>
      <sheetName val="Balance_works_-_Direct_Cost2"/>
      <sheetName val="Expenditure_plan2"/>
      <sheetName val="Staff_Acco_4"/>
      <sheetName val="from_q22"/>
      <sheetName val="SPILL_OVER2"/>
      <sheetName val="Operating_Statistics2"/>
      <sheetName val="Revenues_assumptions_2"/>
      <sheetName val="Staff_Acco_5"/>
      <sheetName val="Detail_In_Door_Stad2"/>
      <sheetName val="SBC-BH_192"/>
      <sheetName val="SPT_vs_PHI2"/>
      <sheetName val="CABLE_DATA2"/>
      <sheetName val="key_dates2"/>
      <sheetName val="Field_Values2"/>
      <sheetName val="Fill_this_out_first___2"/>
      <sheetName val="220_11__BS_2"/>
      <sheetName val="Balance_works_-_Direct_Cost3"/>
      <sheetName val="Expenditure_plan3"/>
      <sheetName val="Staff_Acco_6"/>
      <sheetName val="from_q23"/>
      <sheetName val="SPILL_OVER3"/>
      <sheetName val="Operating_Statistics3"/>
      <sheetName val="Revenues_assumptions_3"/>
      <sheetName val="Staff_Acco_7"/>
      <sheetName val="Detail_In_Door_Stad3"/>
      <sheetName val="SBC-BH_193"/>
      <sheetName val="SPT_vs_PHI3"/>
      <sheetName val="CABLE_DATA3"/>
      <sheetName val="key_dates3"/>
      <sheetName val="Field_Values3"/>
      <sheetName val="Fill_this_out_first___3"/>
      <sheetName val="220_11__BS_3"/>
      <sheetName val="Gujrat"/>
      <sheetName val="Civil BOQ"/>
      <sheetName val="Balance_works_-_Direct_Cost4"/>
      <sheetName val="Expenditure_plan4"/>
      <sheetName val="Staff_Acco_8"/>
      <sheetName val="from_q24"/>
      <sheetName val="SPILL_OVER4"/>
      <sheetName val="Operating_Statistics4"/>
      <sheetName val="Revenues_assumptions_4"/>
      <sheetName val="Staff_Acco_9"/>
      <sheetName val="Detail_In_Door_Stad4"/>
      <sheetName val="SBC-BH_194"/>
      <sheetName val="SPT_vs_PHI4"/>
      <sheetName val="CABLE_DATA4"/>
      <sheetName val="key_dates4"/>
      <sheetName val="Field_Values4"/>
      <sheetName val="Fill_this_out_first___4"/>
      <sheetName val="220_11__BS_4"/>
      <sheetName val="Balance_works_-_Direct_Cost5"/>
      <sheetName val="Expenditure_plan5"/>
      <sheetName val="Staff_Acco_10"/>
      <sheetName val="from_q25"/>
      <sheetName val="SPILL_OVER5"/>
      <sheetName val="Operating_Statistics5"/>
      <sheetName val="Revenues_assumptions_5"/>
      <sheetName val="Staff_Acco_11"/>
      <sheetName val="Detail_In_Door_Stad5"/>
      <sheetName val="SBC-BH_195"/>
      <sheetName val="SPT_vs_PHI5"/>
      <sheetName val="CABLE_DATA5"/>
      <sheetName val="key_dates5"/>
      <sheetName val="Field_Values5"/>
      <sheetName val="Fill_this_out_first___5"/>
      <sheetName val="220_11__BS_5"/>
      <sheetName val="Balance_works_-_Direct_Cost6"/>
      <sheetName val="Expenditure_plan6"/>
      <sheetName val="Staff_Acco_12"/>
      <sheetName val="from_q26"/>
      <sheetName val="SPILL_OVER6"/>
      <sheetName val="Operating_Statistics6"/>
      <sheetName val="Revenues_assumptions_6"/>
      <sheetName val="Staff_Acco_13"/>
      <sheetName val="Detail_In_Door_Stad6"/>
      <sheetName val="SBC-BH_196"/>
      <sheetName val="SPT_vs_PHI6"/>
      <sheetName val="CABLE_DATA6"/>
      <sheetName val="key_dates6"/>
      <sheetName val="Field_Values6"/>
      <sheetName val="Fill_this_out_first___6"/>
      <sheetName val="220_11__BS_6"/>
      <sheetName val="Project Budget Worksheet"/>
      <sheetName val="Elect."/>
      <sheetName val="basdat"/>
      <sheetName val="BLOCK-A (MEA.SHEET)"/>
      <sheetName val="Detail"/>
      <sheetName val="Labour"/>
      <sheetName val="MASTER_RATE ANALYSIS"/>
      <sheetName val="Rate analysis civil"/>
      <sheetName val="material and Labour rate"/>
      <sheetName val="Design"/>
      <sheetName val="loadcal"/>
      <sheetName val="Name List"/>
      <sheetName val="final abstract"/>
      <sheetName val="Load Details-220kV"/>
      <sheetName val="Summary_Bank"/>
      <sheetName val="HPL"/>
      <sheetName val="analysis"/>
      <sheetName val="ACS(1)"/>
      <sheetName val="FAS-C(4)"/>
      <sheetName val="CCTV(old)"/>
      <sheetName val="Diawise steel abstract"/>
      <sheetName val="SUMMARY-client"/>
      <sheetName val="SCHEDULE"/>
      <sheetName val="Database"/>
      <sheetName val="schedule nos"/>
      <sheetName val="PRECAST lightconc-II"/>
      <sheetName val="2gii"/>
      <sheetName val="Bed Class"/>
      <sheetName val="Cd"/>
      <sheetName val="col-reinft1"/>
      <sheetName val="Tie Beam Steel-R0-1"/>
      <sheetName val="DLC lookups"/>
      <sheetName val=""/>
      <sheetName val="Deviation"/>
      <sheetName val="SILICATE"/>
      <sheetName val="Cul_detail"/>
      <sheetName val="procurement"/>
      <sheetName val="THK"/>
    </sheetNames>
    <sheetDataSet>
      <sheetData sheetId="0" refreshError="1"/>
      <sheetData sheetId="1">
        <row r="1">
          <cell r="J1">
            <v>1.7453292519943295E-2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maint"/>
      <sheetName val="coimbatore"/>
      <sheetName val="PRASAD"/>
      <sheetName val="paipay"/>
      <sheetName val="MIS"/>
      <sheetName val="CRtbobpljuly"/>
      <sheetName val="TBOBPLJul98"/>
      <sheetName val="CORPN OCT"/>
      <sheetName val="inout consol-nov"/>
      <sheetName val="inout consol (2)"/>
      <sheetName val="AS ON DT EXPS Mar"/>
      <sheetName val="J_fix asst"/>
      <sheetName val="J_fix asst sdpl"/>
      <sheetName val="f a_obpl"/>
      <sheetName val="J_fix asst obpl"/>
      <sheetName val="J_fix asst scc"/>
      <sheetName val="J_fix asst ripl"/>
      <sheetName val="fa-pl &amp; mach-site"/>
      <sheetName val="fa-veh"/>
      <sheetName val="fa_off eqp"/>
      <sheetName val="fa_fur&amp; fix"/>
      <sheetName val="fa_comp"/>
      <sheetName val="omantopaz"/>
      <sheetName val="I_Con WIP (2)"/>
      <sheetName val="TBAL9596 -IIIIRUN"/>
      <sheetName val="TBCRSsdpl July98"/>
      <sheetName val="TBSDPLJuly98"/>
      <sheetName val="G-1"/>
      <sheetName val="Other Proj Schdl"/>
      <sheetName val="OT CLIENTS"/>
      <sheetName val="inout consol July 98"/>
      <sheetName val="consol flow"/>
      <sheetName val="A_EQUITY-OBPL"/>
      <sheetName val="B_Equity-sdpl INC"/>
      <sheetName val="inout consol wkg"/>
      <sheetName val="inout consol WKNG"/>
      <sheetName val="B_Sheet 97"/>
      <sheetName val="P&amp;L 97 "/>
      <sheetName val="B_Sheet 97-BEXP"/>
      <sheetName val="P&amp;L 97 -BEXP"/>
      <sheetName val="consol flows"/>
      <sheetName val="G-1_sdpl_work"/>
      <sheetName val="G_1_obpl_Work"/>
      <sheetName val="sdpl_oth Liab"/>
      <sheetName val="obpl-oth liab"/>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TBCRSSdplmar98"/>
      <sheetName val="TB9798OBPL07"/>
      <sheetName val="D_Loan  Prom"/>
      <sheetName val="E_Bank Loan"/>
      <sheetName val="F_Adv-Client"/>
      <sheetName val="G_work Cap "/>
      <sheetName val="H_land adv"/>
      <sheetName val="detai Wip 2"/>
      <sheetName val="detai Wip I "/>
      <sheetName val="WIP"/>
      <sheetName val="J_Con WIP"/>
      <sheetName val="K_L_Oth Co "/>
      <sheetName val="fix asst_Obpl"/>
      <sheetName val="fixass-scc-obpl"/>
      <sheetName val="TBAL9697 _group wise  sdpl"/>
      <sheetName val="[sept98.xlsUomantopaz"/>
      <sheetName val="TBS_x0004_PLJuly98"/>
      <sheetName val="[sept98.xls_x001d_B_Sheet 97"/>
      <sheetName val="_sept98.xlsUomantopaz"/>
      <sheetName val="TBS_x005f_x0004_PLJuly98"/>
      <sheetName val="_sept98.xls_x005f_x001d_B_Sheet 97"/>
      <sheetName val="Boq"/>
      <sheetName val="_sept98.xls_x001d_B_Sheet 97"/>
      <sheetName val="Design"/>
      <sheetName val="[sept98.xls_x005f_x001d_B_Sheet 97"/>
      <sheetName val="CODE"/>
      <sheetName val="PRECAST lightconc-II"/>
      <sheetName val="Staff Acco."/>
      <sheetName val="SITE OVERHEADS"/>
      <sheetName val="Data"/>
      <sheetName val="Build-up"/>
      <sheetName val="RCC,Ret. Wall"/>
      <sheetName val="LIST OF MAKES"/>
      <sheetName val="TBS_x005f_x005f_x005f_x0004_PLJuly98"/>
      <sheetName val="_sept98.xls_x005f_x005f_x005f_x001d_B_Sheet"/>
      <sheetName val="[sept98.xls_x005f_x005f_x005f_x001d_B_Sheet"/>
      <sheetName val="salestax9697-t_x0000_"/>
      <sheetName val="crs -G-1_x001a__x0000__x0000_TBAL9697 -group wise"/>
      <sheetName val="salestax9697-t?"/>
      <sheetName val="crs -G-1_x001a_??TBAL9697 -group wise"/>
      <sheetName val="Sheet1"/>
      <sheetName val="Project Details.."/>
      <sheetName val="scurve calc (2)"/>
      <sheetName val="key dates"/>
      <sheetName val="Actuals"/>
      <sheetName val="col-reinft1"/>
      <sheetName val="salestax9697-t"/>
      <sheetName val="crs -G-1_x001a_"/>
      <sheetName val="salestax9697-t_"/>
      <sheetName val="crs -G-1_x001a___TBAL9697 -group wise"/>
      <sheetName val="oman_maint"/>
      <sheetName val="CORPN_OCT"/>
      <sheetName val="inout_consol-nov"/>
      <sheetName val="inout_consol_(2)"/>
      <sheetName val="AS_ON_DT_EXPS_Mar"/>
      <sheetName val="J_fix_asst"/>
      <sheetName val="J_fix_asst_sdpl"/>
      <sheetName val="f_a_obpl"/>
      <sheetName val="J_fix_asst_obpl"/>
      <sheetName val="J_fix_asst_scc"/>
      <sheetName val="J_fix_asst_ripl"/>
      <sheetName val="fa-pl_&amp;_mach-site"/>
      <sheetName val="fa_off_eqp"/>
      <sheetName val="fa_fur&amp;_fix"/>
      <sheetName val="I_Con_WIP_(2)"/>
      <sheetName val="TBAL9596_-IIIIRUN"/>
      <sheetName val="TBCRSsdpl_July98"/>
      <sheetName val="Other_Proj_Schdl"/>
      <sheetName val="OT_CLIENTS"/>
      <sheetName val="inout_consol_July_98"/>
      <sheetName val="consol_flow"/>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D_Loan__Prom"/>
      <sheetName val="E_Bank_Loan"/>
      <sheetName val="G_work_Cap_"/>
      <sheetName val="H_land_adv"/>
      <sheetName val="detai_Wip_2"/>
      <sheetName val="detai_Wip_I_"/>
      <sheetName val="J_Con_WIP"/>
      <sheetName val="K_L_Oth_Co_"/>
      <sheetName val="fix_asst_Obpl"/>
      <sheetName val="TBAL9697__group_wise__sdpl"/>
      <sheetName val="[sept98_xlsUomantopaz"/>
      <sheetName val="TBSPLJuly98"/>
      <sheetName val="[sept98_xlsB_Sheet_97"/>
      <sheetName val="_sept98_xlsUomantopaz"/>
      <sheetName val="_sept98_xlsB_Sheet_97"/>
      <sheetName val="_sept98_xls_x005f_x001d_B_Sheet_97"/>
      <sheetName val="[sept98_xls_x005f_x001d_B_Sheet_97"/>
      <sheetName val="PRECAST_lightconc-II"/>
      <sheetName val="final abstract"/>
      <sheetName val="Precalculation"/>
      <sheetName val="Sheet3"/>
      <sheetName val="TOS-F"/>
      <sheetName val="PULSATOR"/>
      <sheetName val="Customize Your Purchase Order"/>
      <sheetName val="Boq Block A"/>
      <sheetName val="#REF!"/>
      <sheetName val="[sept98.xls࡝sdpl_oth Liab"/>
      <sheetName val="_sept98.xls࡝sdpl_oth Liab"/>
      <sheetName val="TBS_x005f_x005f_x005f_x005f_x005f_x005f_x005f_x0004_PLJ"/>
      <sheetName val="_sept98.xls_x005f_x005f_x005f_x005f_x005f_x005f_x"/>
      <sheetName val="salestax9697-t_x005f_x0000_"/>
      <sheetName val="crs -G-1_x005f_x001a__x005f_x0000__x005f_x0000_TB"/>
      <sheetName val="crs -G-1_x005f_x001a___TBAL9697 -grou"/>
      <sheetName val="oman_maint17"/>
      <sheetName val="CORPN_OCT16"/>
      <sheetName val="inout_consol-nov16"/>
      <sheetName val="inout_consol_(2)16"/>
      <sheetName val="AS_ON_DT_EXPS_Mar16"/>
      <sheetName val="J_fix_asst16"/>
      <sheetName val="J_fix_asst_sdpl16"/>
      <sheetName val="f_a_obpl16"/>
      <sheetName val="J_fix_asst_obpl16"/>
      <sheetName val="J_fix_asst_scc16"/>
      <sheetName val="J_fix_asst_ripl16"/>
      <sheetName val="fa-pl_&amp;_mach-site16"/>
      <sheetName val="fa_off_eqp16"/>
      <sheetName val="fa_fur&amp;_fix16"/>
      <sheetName val="I_Con_WIP_(2)16"/>
      <sheetName val="TBAL9596_-IIIIRUN16"/>
      <sheetName val="TBCRSsdpl_July9816"/>
      <sheetName val="Other_Proj_Schdl16"/>
      <sheetName val="OT_CLIENTS16"/>
      <sheetName val="inout_consol_July_9816"/>
      <sheetName val="consol_flow16"/>
      <sheetName val="B_Equity-sdpl_INC16"/>
      <sheetName val="inout_consol_wkg16"/>
      <sheetName val="inout_consol_WKNG16"/>
      <sheetName val="B_Sheet_9716"/>
      <sheetName val="P&amp;L_97_16"/>
      <sheetName val="B_Sheet_97-BEXP16"/>
      <sheetName val="P&amp;L_97_-BEXP16"/>
      <sheetName val="consol_flows16"/>
      <sheetName val="sdpl_oth_Liab16"/>
      <sheetName val="obpl-oth_liab16"/>
      <sheetName val="I-Wip-ot_(2)16"/>
      <sheetName val="detail_WIP_(2)16"/>
      <sheetName val="detail_G-116"/>
      <sheetName val="sobha_menon_ac16"/>
      <sheetName val="pnc_ac16"/>
      <sheetName val="fix_-p_&amp;_M_-SCC16"/>
      <sheetName val="C_fix_asst16"/>
      <sheetName val="D_fix_asst_scdl_16"/>
      <sheetName val="creditors_tb_obpl16"/>
      <sheetName val="TBAL9697_-group_wise__sdpl17"/>
      <sheetName val="TBAL9697_-group_wise_16"/>
      <sheetName val="crs_-G-116"/>
      <sheetName val="TBAL9697_-group_wise__onpl16"/>
      <sheetName val="B_Sheet_97-OBPL16"/>
      <sheetName val="B_Sheet_97_sdpl16"/>
      <sheetName val="TBAL9697_-group_wise__sdpl216"/>
      <sheetName val="D_Loan__Prom16"/>
      <sheetName val="E_Bank_Loan16"/>
      <sheetName val="G_work_Cap_16"/>
      <sheetName val="H_land_adv16"/>
      <sheetName val="detai_Wip_216"/>
      <sheetName val="detai_Wip_I_16"/>
      <sheetName val="J_Con_WIP16"/>
      <sheetName val="K_L_Oth_Co_16"/>
      <sheetName val="fix_asst_Obpl16"/>
      <sheetName val="TBAL9697__group_wise__sdpl16"/>
      <sheetName val="_sept98_xlsUomantopaz13"/>
      <sheetName val="[sept98_xlsUomantopaz13"/>
      <sheetName val="_sept98_xls_x005f_x001d_B_Sheet_9713"/>
      <sheetName val="[sept98_xls_x005f_x001d_B_Sheet_9713"/>
      <sheetName val="PRECAST_lightconc-II13"/>
      <sheetName val="oman_maint9"/>
      <sheetName val="CORPN_OCT9"/>
      <sheetName val="inout_consol-nov9"/>
      <sheetName val="inout_consol_(2)9"/>
      <sheetName val="AS_ON_DT_EXPS_Mar9"/>
      <sheetName val="J_fix_asst9"/>
      <sheetName val="J_fix_asst_sdpl9"/>
      <sheetName val="f_a_obpl9"/>
      <sheetName val="J_fix_asst_obpl9"/>
      <sheetName val="J_fix_asst_scc9"/>
      <sheetName val="J_fix_asst_ripl9"/>
      <sheetName val="fa-pl_&amp;_mach-site9"/>
      <sheetName val="fa_off_eqp9"/>
      <sheetName val="fa_fur&amp;_fix9"/>
      <sheetName val="I_Con_WIP_(2)9"/>
      <sheetName val="TBAL9596_-IIIIRUN9"/>
      <sheetName val="TBCRSsdpl_July989"/>
      <sheetName val="Other_Proj_Schdl9"/>
      <sheetName val="OT_CLIENTS9"/>
      <sheetName val="inout_consol_July_989"/>
      <sheetName val="consol_flow9"/>
      <sheetName val="B_Equity-sdpl_INC9"/>
      <sheetName val="inout_consol_wkg9"/>
      <sheetName val="inout_consol_WKNG9"/>
      <sheetName val="B_Sheet_979"/>
      <sheetName val="P&amp;L_97_9"/>
      <sheetName val="B_Sheet_97-BEXP9"/>
      <sheetName val="P&amp;L_97_-BEXP9"/>
      <sheetName val="consol_flows9"/>
      <sheetName val="sdpl_oth_Liab9"/>
      <sheetName val="obpl-oth_liab9"/>
      <sheetName val="I-Wip-ot_(2)9"/>
      <sheetName val="detail_WIP_(2)9"/>
      <sheetName val="detail_G-19"/>
      <sheetName val="sobha_menon_ac9"/>
      <sheetName val="pnc_ac9"/>
      <sheetName val="fix_-p_&amp;_M_-SCC9"/>
      <sheetName val="C_fix_asst9"/>
      <sheetName val="D_fix_asst_scdl_9"/>
      <sheetName val="creditors_tb_obpl9"/>
      <sheetName val="TBAL9697_-group_wise__sdpl10"/>
      <sheetName val="TBAL9697_-group_wise_9"/>
      <sheetName val="crs_-G-19"/>
      <sheetName val="TBAL9697_-group_wise__onpl9"/>
      <sheetName val="B_Sheet_97-OBPL9"/>
      <sheetName val="B_Sheet_97_sdpl9"/>
      <sheetName val="TBAL9697_-group_wise__sdpl29"/>
      <sheetName val="D_Loan__Prom9"/>
      <sheetName val="E_Bank_Loan9"/>
      <sheetName val="G_work_Cap_9"/>
      <sheetName val="H_land_adv9"/>
      <sheetName val="detai_Wip_29"/>
      <sheetName val="detai_Wip_I_9"/>
      <sheetName val="J_Con_WIP9"/>
      <sheetName val="K_L_Oth_Co_9"/>
      <sheetName val="fix_asst_Obpl9"/>
      <sheetName val="TBAL9697__group_wise__sdpl9"/>
      <sheetName val="_sept98_xlsUomantopaz7"/>
      <sheetName val="[sept98_xlsUomantopaz7"/>
      <sheetName val="_sept98_xls_x005f_x001d_B_Sheet_977"/>
      <sheetName val="[sept98_xls_x005f_x001d_B_Sheet_977"/>
      <sheetName val="PRECAST_lightconc-II7"/>
      <sheetName val="oman_maint1"/>
      <sheetName val="CORPN_OCT1"/>
      <sheetName val="inout_consol-nov1"/>
      <sheetName val="inout_consol_(2)1"/>
      <sheetName val="AS_ON_DT_EXPS_Mar1"/>
      <sheetName val="J_fix_asst1"/>
      <sheetName val="J_fix_asst_sdpl1"/>
      <sheetName val="f_a_obpl1"/>
      <sheetName val="J_fix_asst_obpl1"/>
      <sheetName val="J_fix_asst_scc1"/>
      <sheetName val="J_fix_asst_ripl1"/>
      <sheetName val="fa-pl_&amp;_mach-site1"/>
      <sheetName val="fa_off_eqp1"/>
      <sheetName val="fa_fur&amp;_fix1"/>
      <sheetName val="I_Con_WIP_(2)1"/>
      <sheetName val="TBAL9596_-IIIIRUN1"/>
      <sheetName val="TBCRSsdpl_July981"/>
      <sheetName val="Other_Proj_Schdl1"/>
      <sheetName val="OT_CLIENTS1"/>
      <sheetName val="inout_consol_July_981"/>
      <sheetName val="consol_flow1"/>
      <sheetName val="B_Equity-sdpl_INC1"/>
      <sheetName val="inout_consol_wkg1"/>
      <sheetName val="inout_consol_WKNG1"/>
      <sheetName val="B_Sheet_971"/>
      <sheetName val="P&amp;L_97_1"/>
      <sheetName val="B_Sheet_97-BEXP1"/>
      <sheetName val="P&amp;L_97_-BEXP1"/>
      <sheetName val="consol_flows1"/>
      <sheetName val="sdpl_oth_Liab1"/>
      <sheetName val="obpl-oth_liab1"/>
      <sheetName val="I-Wip-ot_(2)1"/>
      <sheetName val="detail_WIP_(2)1"/>
      <sheetName val="detail_G-11"/>
      <sheetName val="sobha_menon_ac1"/>
      <sheetName val="pnc_ac1"/>
      <sheetName val="fix_-p_&amp;_M_-SCC1"/>
      <sheetName val="C_fix_asst1"/>
      <sheetName val="D_fix_asst_scdl_1"/>
      <sheetName val="creditors_tb_obpl1"/>
      <sheetName val="TBAL9697_-group_wise__sdpl1"/>
      <sheetName val="TBAL9697_-group_wise_1"/>
      <sheetName val="crs_-G-11"/>
      <sheetName val="TBAL9697_-group_wise__onpl1"/>
      <sheetName val="B_Sheet_97-OBPL1"/>
      <sheetName val="B_Sheet_97_sdpl1"/>
      <sheetName val="TBAL9697_-group_wise__sdpl21"/>
      <sheetName val="D_Loan__Prom1"/>
      <sheetName val="E_Bank_Loan1"/>
      <sheetName val="G_work_Cap_1"/>
      <sheetName val="H_land_adv1"/>
      <sheetName val="detai_Wip_21"/>
      <sheetName val="detai_Wip_I_1"/>
      <sheetName val="J_Con_WIP1"/>
      <sheetName val="K_L_Oth_Co_1"/>
      <sheetName val="fix_asst_Obpl1"/>
      <sheetName val="TBAL9697__group_wise__sdpl1"/>
      <sheetName val="_sept98_xlsUomantopaz1"/>
      <sheetName val="[sept98_xlsUomantopaz1"/>
      <sheetName val="_sept98_xls_x005f_x001d_B_Sheet_971"/>
      <sheetName val="[sept98_xls_x005f_x001d_B_Sheet_971"/>
      <sheetName val="PRECAST_lightconc-II1"/>
      <sheetName val="oman_maint2"/>
      <sheetName val="CORPN_OCT2"/>
      <sheetName val="inout_consol-nov2"/>
      <sheetName val="inout_consol_(2)2"/>
      <sheetName val="AS_ON_DT_EXPS_Mar2"/>
      <sheetName val="J_fix_asst2"/>
      <sheetName val="J_fix_asst_sdpl2"/>
      <sheetName val="f_a_obpl2"/>
      <sheetName val="J_fix_asst_obpl2"/>
      <sheetName val="J_fix_asst_scc2"/>
      <sheetName val="J_fix_asst_ripl2"/>
      <sheetName val="fa-pl_&amp;_mach-site2"/>
      <sheetName val="fa_off_eqp2"/>
      <sheetName val="fa_fur&amp;_fix2"/>
      <sheetName val="I_Con_WIP_(2)2"/>
      <sheetName val="TBAL9596_-IIIIRUN2"/>
      <sheetName val="TBCRSsdpl_July982"/>
      <sheetName val="Other_Proj_Schdl2"/>
      <sheetName val="OT_CLIENTS2"/>
      <sheetName val="inout_consol_July_982"/>
      <sheetName val="consol_flow2"/>
      <sheetName val="B_Equity-sdpl_INC2"/>
      <sheetName val="inout_consol_wkg2"/>
      <sheetName val="inout_consol_WKNG2"/>
      <sheetName val="B_Sheet_972"/>
      <sheetName val="P&amp;L_97_2"/>
      <sheetName val="B_Sheet_97-BEXP2"/>
      <sheetName val="P&amp;L_97_-BEXP2"/>
      <sheetName val="consol_flows2"/>
      <sheetName val="sdpl_oth_Liab2"/>
      <sheetName val="obpl-oth_liab2"/>
      <sheetName val="I-Wip-ot_(2)2"/>
      <sheetName val="detail_WIP_(2)2"/>
      <sheetName val="detail_G-12"/>
      <sheetName val="sobha_menon_ac2"/>
      <sheetName val="pnc_ac2"/>
      <sheetName val="fix_-p_&amp;_M_-SCC2"/>
      <sheetName val="C_fix_asst2"/>
      <sheetName val="D_fix_asst_scdl_2"/>
      <sheetName val="creditors_tb_obpl2"/>
      <sheetName val="TBAL9697_-group_wise__sdpl3"/>
      <sheetName val="TBAL9697_-group_wise_2"/>
      <sheetName val="crs_-G-12"/>
      <sheetName val="TBAL9697_-group_wise__onpl2"/>
      <sheetName val="B_Sheet_97-OBPL2"/>
      <sheetName val="B_Sheet_97_sdpl2"/>
      <sheetName val="TBAL9697_-group_wise__sdpl22"/>
      <sheetName val="D_Loan__Prom2"/>
      <sheetName val="E_Bank_Loan2"/>
      <sheetName val="G_work_Cap_2"/>
      <sheetName val="H_land_adv2"/>
      <sheetName val="detai_Wip_22"/>
      <sheetName val="detai_Wip_I_2"/>
      <sheetName val="J_Con_WIP2"/>
      <sheetName val="K_L_Oth_Co_2"/>
      <sheetName val="fix_asst_Obpl2"/>
      <sheetName val="TBAL9697__group_wise__sdpl2"/>
      <sheetName val="oman_maint3"/>
      <sheetName val="CORPN_OCT3"/>
      <sheetName val="inout_consol-nov3"/>
      <sheetName val="inout_consol_(2)3"/>
      <sheetName val="AS_ON_DT_EXPS_Mar3"/>
      <sheetName val="J_fix_asst3"/>
      <sheetName val="J_fix_asst_sdpl3"/>
      <sheetName val="f_a_obpl3"/>
      <sheetName val="J_fix_asst_obpl3"/>
      <sheetName val="J_fix_asst_scc3"/>
      <sheetName val="J_fix_asst_ripl3"/>
      <sheetName val="fa-pl_&amp;_mach-site3"/>
      <sheetName val="fa_off_eqp3"/>
      <sheetName val="fa_fur&amp;_fix3"/>
      <sheetName val="I_Con_WIP_(2)3"/>
      <sheetName val="TBAL9596_-IIIIRUN3"/>
      <sheetName val="TBCRSsdpl_July983"/>
      <sheetName val="Other_Proj_Schdl3"/>
      <sheetName val="OT_CLIENTS3"/>
      <sheetName val="inout_consol_July_983"/>
      <sheetName val="consol_flow3"/>
      <sheetName val="B_Equity-sdpl_INC3"/>
      <sheetName val="inout_consol_wkg3"/>
      <sheetName val="inout_consol_WKNG3"/>
      <sheetName val="B_Sheet_973"/>
      <sheetName val="P&amp;L_97_3"/>
      <sheetName val="B_Sheet_97-BEXP3"/>
      <sheetName val="P&amp;L_97_-BEXP3"/>
      <sheetName val="consol_flows3"/>
      <sheetName val="sdpl_oth_Liab3"/>
      <sheetName val="obpl-oth_liab3"/>
      <sheetName val="I-Wip-ot_(2)3"/>
      <sheetName val="detail_WIP_(2)3"/>
      <sheetName val="detail_G-13"/>
      <sheetName val="sobha_menon_ac3"/>
      <sheetName val="pnc_ac3"/>
      <sheetName val="fix_-p_&amp;_M_-SCC3"/>
      <sheetName val="C_fix_asst3"/>
      <sheetName val="D_fix_asst_scdl_3"/>
      <sheetName val="creditors_tb_obpl3"/>
      <sheetName val="TBAL9697_-group_wise__sdpl4"/>
      <sheetName val="TBAL9697_-group_wise_3"/>
      <sheetName val="crs_-G-13"/>
      <sheetName val="TBAL9697_-group_wise__onpl3"/>
      <sheetName val="B_Sheet_97-OBPL3"/>
      <sheetName val="B_Sheet_97_sdpl3"/>
      <sheetName val="TBAL9697_-group_wise__sdpl23"/>
      <sheetName val="D_Loan__Prom3"/>
      <sheetName val="E_Bank_Loan3"/>
      <sheetName val="G_work_Cap_3"/>
      <sheetName val="3MLKQ"/>
      <sheetName val="costing"/>
      <sheetName val="Labor abs-NMR"/>
      <sheetName val="factors"/>
      <sheetName val="oman_maint24"/>
      <sheetName val="CORPN_OCT22"/>
      <sheetName val="inout_consol-nov22"/>
      <sheetName val="inout_consol_(2)22"/>
      <sheetName val="AS_ON_DT_EXPS_Mar22"/>
      <sheetName val="J_fix_asst22"/>
      <sheetName val="J_fix_asst_sdpl22"/>
      <sheetName val="f_a_obpl22"/>
      <sheetName val="J_fix_asst_obpl22"/>
      <sheetName val="J_fix_asst_scc22"/>
      <sheetName val="J_fix_asst_ripl22"/>
      <sheetName val="fa-pl_&amp;_mach-site22"/>
      <sheetName val="fa_off_eqp22"/>
      <sheetName val="fa_fur&amp;_fix22"/>
      <sheetName val="I_Con_WIP_(2)22"/>
      <sheetName val="TBAL9596_-IIIIRUN22"/>
      <sheetName val="TBCRSsdpl_July9822"/>
      <sheetName val="Other_Proj_Schdl22"/>
      <sheetName val="OT_CLIENTS22"/>
      <sheetName val="inout_consol_July_9822"/>
      <sheetName val="consol_flow22"/>
      <sheetName val="B_Equity-sdpl_INC22"/>
      <sheetName val="inout_consol_wkg22"/>
      <sheetName val="inout_consol_WKNG22"/>
      <sheetName val="B_Sheet_9722"/>
      <sheetName val="P&amp;L_97_22"/>
      <sheetName val="B_Sheet_97-BEXP22"/>
      <sheetName val="P&amp;L_97_-BEXP22"/>
      <sheetName val="consol_flows22"/>
      <sheetName val="sdpl_oth_Liab22"/>
      <sheetName val="obpl-oth_liab22"/>
      <sheetName val="I-Wip-ot_(2)22"/>
      <sheetName val="detail_WIP_(2)22"/>
      <sheetName val="detail_G-122"/>
      <sheetName val="sobha_menon_ac22"/>
      <sheetName val="pnc_ac22"/>
      <sheetName val="fix_-p_&amp;_M_-SCC22"/>
      <sheetName val="C_fix_asst22"/>
      <sheetName val="D_fix_asst_scdl_22"/>
      <sheetName val="creditors_tb_obpl22"/>
      <sheetName val="TBAL9697_-group_wise__sdpl32"/>
      <sheetName val="TBAL9697_-group_wise_22"/>
      <sheetName val="crs_-G-122"/>
      <sheetName val="TBAL9697_-group_wise__onpl22"/>
      <sheetName val="B_Sheet_97-OBPL22"/>
      <sheetName val="B_Sheet_97_sdpl22"/>
      <sheetName val="TBAL9697_-group_wise__sdpl222"/>
      <sheetName val="D_Loan__Prom22"/>
      <sheetName val="E_Bank_Loan22"/>
      <sheetName val="G_work_Cap_22"/>
      <sheetName val="H_land_adv22"/>
      <sheetName val="detai_Wip_222"/>
      <sheetName val="detai_Wip_I_22"/>
      <sheetName val="J_Con_WIP22"/>
      <sheetName val="K_L_Oth_Co_22"/>
      <sheetName val="fix_asst_Obpl22"/>
      <sheetName val="TBAL9697__group_wise__sdpl22"/>
      <sheetName val="_sept98_xlsUomantopaz18"/>
      <sheetName val="[sept98_xlsUomantopaz18"/>
      <sheetName val="_sept98_xls_x005f_x001d_B_Sheet_9718"/>
      <sheetName val="[sept98_xls_x005f_x001d_B_Sheet_9718"/>
      <sheetName val="PRECAST_lightconc-II18"/>
      <sheetName val="oman_maint22"/>
      <sheetName val="CORPN_OCT20"/>
      <sheetName val="inout_consol-nov20"/>
      <sheetName val="inout_consol_(2)20"/>
      <sheetName val="AS_ON_DT_EXPS_Mar20"/>
      <sheetName val="J_fix_asst20"/>
      <sheetName val="J_fix_asst_sdpl20"/>
      <sheetName val="f_a_obpl20"/>
      <sheetName val="J_fix_asst_obpl20"/>
      <sheetName val="J_fix_asst_scc20"/>
      <sheetName val="J_fix_asst_ripl20"/>
      <sheetName val="fa-pl_&amp;_mach-site20"/>
      <sheetName val="fa_off_eqp20"/>
      <sheetName val="fa_fur&amp;_fix20"/>
      <sheetName val="I_Con_WIP_(2)20"/>
      <sheetName val="TBAL9596_-IIIIRUN20"/>
      <sheetName val="TBCRSsdpl_July9820"/>
      <sheetName val="Other_Proj_Schdl20"/>
      <sheetName val="OT_CLIENTS20"/>
      <sheetName val="inout_consol_July_9820"/>
      <sheetName val="consol_flow20"/>
      <sheetName val="B_Equity-sdpl_INC20"/>
      <sheetName val="inout_consol_wkg20"/>
      <sheetName val="inout_consol_WKNG20"/>
      <sheetName val="B_Sheet_9720"/>
      <sheetName val="P&amp;L_97_20"/>
      <sheetName val="B_Sheet_97-BEXP20"/>
      <sheetName val="P&amp;L_97_-BEXP20"/>
      <sheetName val="consol_flows20"/>
      <sheetName val="sdpl_oth_Liab20"/>
      <sheetName val="obpl-oth_liab20"/>
      <sheetName val="I-Wip-ot_(2)20"/>
      <sheetName val="detail_WIP_(2)20"/>
      <sheetName val="detail_G-120"/>
      <sheetName val="sobha_menon_ac20"/>
      <sheetName val="pnc_ac20"/>
      <sheetName val="fix_-p_&amp;_M_-SCC20"/>
      <sheetName val="C_fix_asst20"/>
      <sheetName val="D_fix_asst_scdl_20"/>
      <sheetName val="creditors_tb_obpl20"/>
      <sheetName val="TBAL9697_-group_wise__sdpl30"/>
      <sheetName val="TBAL9697_-group_wise_20"/>
      <sheetName val="crs_-G-120"/>
      <sheetName val="TBAL9697_-group_wise__onpl20"/>
      <sheetName val="B_Sheet_97-OBPL20"/>
      <sheetName val="B_Sheet_97_sdpl20"/>
      <sheetName val="TBAL9697_-group_wise__sdpl220"/>
      <sheetName val="D_Loan__Prom20"/>
      <sheetName val="E_Bank_Loan20"/>
      <sheetName val="G_work_Cap_20"/>
      <sheetName val="H_land_adv20"/>
      <sheetName val="detai_Wip_220"/>
      <sheetName val="detai_Wip_I_20"/>
      <sheetName val="J_Con_WIP20"/>
      <sheetName val="K_L_Oth_Co_20"/>
      <sheetName val="fix_asst_Obpl20"/>
      <sheetName val="TBAL9697__group_wise__sdpl20"/>
      <sheetName val="_sept98_xlsUomantopaz16"/>
      <sheetName val="[sept98_xlsUomantopaz16"/>
      <sheetName val="_sept98_xls_x005f_x001d_B_Sheet_9716"/>
      <sheetName val="[sept98_xls_x005f_x001d_B_Sheet_9716"/>
      <sheetName val="PRECAST_lightconc-II16"/>
      <sheetName val="_sept98.xls_x005f_x001d_B_Sheet"/>
      <sheetName val="Labels"/>
      <sheetName val="Cost_any"/>
      <sheetName val="IO LIST"/>
      <sheetName val="Control"/>
      <sheetName val="Fin Sum"/>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Rollup"/>
      <sheetName val="INPUT SHEET"/>
      <sheetName val="#REF"/>
      <sheetName val="Detail In Door Stad"/>
      <sheetName val="TBS_x005f_x005f_x005f_x0004_PLJ"/>
      <sheetName val="_sept98.xls_x001d_B_Sheet"/>
      <sheetName val="_sept98.xls_x005f_x005f_x"/>
      <sheetName val="ABB"/>
      <sheetName val="GE"/>
      <sheetName val="DETAILED  BOQ"/>
      <sheetName val="acevsSp (ABC)"/>
      <sheetName val="총괄표"/>
      <sheetName val="Direct Cost"/>
      <sheetName val="Summary_Bank"/>
      <sheetName val="p&amp;m"/>
      <sheetName val="KQ Cost Controlling"/>
      <sheetName val="KQ Appropriation"/>
      <sheetName val="crs -G-1_x001a__x0000__x0000_TB"/>
      <sheetName val="crs -G-1_x001a___TBAL9697 -grou"/>
      <sheetName val="_sept98_xls_x001d_B_Sheet_97"/>
      <sheetName val="_sept98.xls_x005f_x005f_x005f_x005f_x"/>
      <sheetName val="H_land_adv3"/>
      <sheetName val="detai_Wip_23"/>
      <sheetName val="detai_Wip_I_3"/>
      <sheetName val="J_Con_WIP3"/>
      <sheetName val="K_L_Oth_Co_3"/>
      <sheetName val="fix_asst_Obpl3"/>
      <sheetName val="TBAL9697__group_wise__sdpl3"/>
      <sheetName val="_sept98_xlsUomantopaz2"/>
      <sheetName val="[sept98_xlsUomantopaz2"/>
      <sheetName val="_sept98_xls_x005f_x001d_B_Sheet_972"/>
      <sheetName val="[sept98_xls_x005f_x001d_B_Sheet_972"/>
      <sheetName val="PRECAST_lightconc-II2"/>
      <sheetName val="MASTER_RATE ANALYSIS"/>
      <sheetName val="BEAM INPUT"/>
      <sheetName val="STD"/>
      <sheetName val="LTG-STG"/>
      <sheetName val="Plinth beam"/>
      <sheetName val="oman_maint4"/>
      <sheetName val="CORPN_OCT4"/>
      <sheetName val="inout_consol-nov4"/>
      <sheetName val="inout_consol_(2)4"/>
      <sheetName val="AS_ON_DT_EXPS_Mar4"/>
      <sheetName val="J_fix_asst4"/>
      <sheetName val="J_fix_asst_sdpl4"/>
      <sheetName val="f_a_obpl4"/>
      <sheetName val="J_fix_asst_obpl4"/>
      <sheetName val="J_fix_asst_scc4"/>
      <sheetName val="J_fix_asst_ripl4"/>
      <sheetName val="fa-pl_&amp;_mach-site4"/>
      <sheetName val="fa_off_eqp4"/>
      <sheetName val="fa_fur&amp;_fix4"/>
      <sheetName val="I_Con_WIP_(2)4"/>
      <sheetName val="TBAL9596_-IIIIRUN4"/>
      <sheetName val="TBCRSsdpl_July984"/>
      <sheetName val="Other_Proj_Schdl4"/>
      <sheetName val="OT_CLIENTS4"/>
      <sheetName val="inout_consol_July_984"/>
      <sheetName val="consol_flow4"/>
      <sheetName val="B_Equity-sdpl_INC4"/>
      <sheetName val="inout_consol_wkg4"/>
      <sheetName val="inout_consol_WKNG4"/>
      <sheetName val="B_Sheet_974"/>
      <sheetName val="P&amp;L_97_4"/>
      <sheetName val="B_Sheet_97-BEXP4"/>
      <sheetName val="P&amp;L_97_-BEXP4"/>
      <sheetName val="consol_flows4"/>
      <sheetName val="sdpl_oth_Liab4"/>
      <sheetName val="obpl-oth_liab4"/>
      <sheetName val="I-Wip-ot_(2)4"/>
      <sheetName val="detail_WIP_(2)4"/>
      <sheetName val="detail_G-14"/>
      <sheetName val="sobha_menon_ac4"/>
      <sheetName val="pnc_ac4"/>
      <sheetName val="fix_-p_&amp;_M_-SCC4"/>
      <sheetName val="C_fix_asst4"/>
      <sheetName val="Reinforcement"/>
      <sheetName val="Pilling_24"/>
      <sheetName val="ROH"/>
      <sheetName val=""/>
      <sheetName val="_x0000_⒤"/>
      <sheetName val="_x0000_⒄"/>
      <sheetName val="_x0000_ⓤ"/>
      <sheetName val="_x0000_┤"/>
      <sheetName val="_x0000_╄"/>
      <sheetName val="_x0000_┄"/>
      <sheetName val="crs -G-1_x005f_x001a_"/>
      <sheetName val="RA BILL (47-)"/>
      <sheetName val="D_fix_asst_scdl_4"/>
      <sheetName val="creditors_tb_obpl4"/>
      <sheetName val="TBAL9697_-group_wise__sdpl5"/>
      <sheetName val="TBAL9697_-group_wise_4"/>
      <sheetName val="crs_-G-14"/>
      <sheetName val="TBAL9697_-group_wise__onpl4"/>
      <sheetName val="B_Sheet_97-OBPL4"/>
      <sheetName val="B_Sheet_97_sdpl4"/>
      <sheetName val="TBAL9697_-group_wise__sdpl24"/>
      <sheetName val="D_Loan__Prom4"/>
      <sheetName val="E_Bank_Loan4"/>
      <sheetName val="G_work_Cap_4"/>
      <sheetName val="Debits as on 12.04.08"/>
      <sheetName val="Basic Rates"/>
      <sheetName val="5"/>
      <sheetName val="1"/>
      <sheetName val="Detail"/>
      <sheetName val="Works - Quote Sheet"/>
      <sheetName val="Cashflow projection"/>
      <sheetName val="DetEst"/>
      <sheetName val="Labour"/>
      <sheetName val="CCTV_EST1"/>
      <sheetName val="SUMMARY"/>
      <sheetName val="RW1"/>
      <sheetName val="RW3"/>
      <sheetName val="RW4"/>
      <sheetName val="RW5"/>
      <sheetName val="RW7"/>
      <sheetName val="RW2"/>
      <sheetName val="RW6"/>
      <sheetName val="_sept98_xls_x005f_x005f_x005f_x001d_B_Sheet"/>
      <sheetName val="Staff_Acco_"/>
      <sheetName val="SITE_OVERHEADS"/>
      <sheetName val="RCC,Ret__Wall"/>
      <sheetName val="Project_Details__"/>
      <sheetName val="scurve_calc_(2)"/>
      <sheetName val="key_dates"/>
      <sheetName val="LIST_OF_MAKES"/>
      <sheetName val="[sept98_xls_x005f_x005f_x005f_x001d_B_Sheet"/>
      <sheetName val="Boq_Block_A"/>
      <sheetName val="Labor_abs-NMR"/>
      <sheetName val="[sept98_xls࡝sdpl_oth_Liab"/>
      <sheetName val="crs_-G-1TBAL9697_-group_wise"/>
      <sheetName val="_sept98_xls࡝sdpl_oth_Liab"/>
      <sheetName val="crs_-G-1??TBAL9697_-group_wise"/>
      <sheetName val="crs_-G-1__TBAL9697_-group_wise"/>
      <sheetName val="Ref"/>
      <sheetName val="basic-data"/>
      <sheetName val="mem-property"/>
      <sheetName val="BALAN1"/>
      <sheetName val="GR.slab-reinft"/>
      <sheetName val="Assumption Inputs"/>
      <sheetName val="analysis"/>
      <sheetName val="TBS_x005f_x005f_x005f_x005f_x005f_x005f_x005f_x005f_x00"/>
      <sheetName val="Rate Analysis"/>
      <sheetName val="경비공통"/>
      <sheetName val="sept98"/>
      <sheetName val="TBS_x005f_x0004_PLJ"/>
      <sheetName val="TBS_x0004_PLJ"/>
      <sheetName val="_sept98.xls_x"/>
      <sheetName val="crs -G-1_x001a___TB"/>
      <sheetName val="Dropdowns"/>
      <sheetName val="_sept98_xls_x005f_x005f_x005f_x005f_x005f_x005f_x"/>
      <sheetName val="crs_-G-1_x005f_x001a__x005f_x0000__x005f_x0000_TB"/>
      <sheetName val="crs_-G-1_x005f_x001a___TBAL9697_-grou"/>
      <sheetName val="final_abstract"/>
      <sheetName val="Fin_Sum"/>
      <sheetName val="Customize_Your_Purchase_Order"/>
      <sheetName val="_sept98_xls_x005f_x001d_B_Sheet"/>
      <sheetName val="crs_-G-1TB"/>
      <sheetName val="crs_-G-1__TBAL9697_-grou"/>
      <sheetName val="_sept98_xls_x005f_x005f_x"/>
      <sheetName val="GF Columns"/>
      <sheetName val="gen"/>
      <sheetName val="TBAL9697 -group wise sdpl"/>
      <sheetName val="Tender Summary"/>
      <sheetName val="Break up Sheet"/>
      <sheetName val="220 11  BS "/>
      <sheetName val="oman_maint5"/>
      <sheetName val="CORPN_OCT5"/>
      <sheetName val="inout_consol-nov5"/>
      <sheetName val="inout_consol_(2)5"/>
      <sheetName val="AS_ON_DT_EXPS_Mar5"/>
      <sheetName val="J_fix_asst5"/>
      <sheetName val="J_fix_asst_sdpl5"/>
      <sheetName val="f_a_obpl5"/>
      <sheetName val="J_fix_asst_obpl5"/>
      <sheetName val="J_fix_asst_scc5"/>
      <sheetName val="J_fix_asst_ripl5"/>
      <sheetName val="fa-pl_&amp;_mach-site5"/>
      <sheetName val="fa_off_eqp5"/>
      <sheetName val="fa_fur&amp;_fix5"/>
      <sheetName val="I_Con_WIP_(2)5"/>
      <sheetName val="TBAL9596_-IIIIRUN5"/>
      <sheetName val="TBCRSsdpl_July985"/>
      <sheetName val="Other_Proj_Schdl5"/>
      <sheetName val="OT_CLIENTS5"/>
      <sheetName val="inout_consol_July_985"/>
      <sheetName val="consol_flow5"/>
      <sheetName val="B_Equity-sdpl_INC5"/>
      <sheetName val="inout_consol_wkg5"/>
      <sheetName val="inout_consol_WKNG5"/>
      <sheetName val="B_Sheet_975"/>
      <sheetName val="P&amp;L_97_5"/>
      <sheetName val="B_Sheet_97-BEXP5"/>
      <sheetName val="P&amp;L_97_-BEXP5"/>
      <sheetName val="consol_flows5"/>
      <sheetName val="sdpl_oth_Liab5"/>
      <sheetName val="obpl-oth_liab5"/>
      <sheetName val="I-Wip-ot_(2)5"/>
      <sheetName val="detail_WIP_(2)5"/>
      <sheetName val="detail_G-15"/>
      <sheetName val="sobha_menon_ac5"/>
      <sheetName val="pnc_ac5"/>
      <sheetName val="fix_-p_&amp;_M_-SCC5"/>
      <sheetName val="C_fix_asst5"/>
      <sheetName val="H_land_adv4"/>
      <sheetName val="detai_Wip_24"/>
      <sheetName val="detai_Wip_I_4"/>
      <sheetName val="J_Con_WIP4"/>
      <sheetName val="K_L_Oth_Co_4"/>
      <sheetName val="fix_asst_Obpl4"/>
      <sheetName val="TBAL9697__group_wise__sdpl4"/>
      <sheetName val="[sept98_xlsUomantopaz3"/>
      <sheetName val="_sept98_xlsUomantopaz3"/>
      <sheetName val="_sept98_xlsB_Sheet_971"/>
      <sheetName val="_sept98_xls_x005f_x001d_B_Sheet_973"/>
      <sheetName val="[sept98_xls_x005f_x001d_B_Sheet_973"/>
      <sheetName val="PRECAST_lightconc-II3"/>
      <sheetName val="BFS"/>
      <sheetName val="Cash Flow Input Data_ISC"/>
      <sheetName val="Interface_SC"/>
      <sheetName val="Calc_ISC"/>
      <sheetName val="Calc_SC"/>
      <sheetName val="Interface_ISC"/>
      <sheetName val="GD"/>
      <sheetName val="Legal Risk Analysis"/>
      <sheetName val="Sheet2"/>
      <sheetName val="PPM Dates 10-16-07"/>
      <sheetName val="Sheet1 (2)"/>
      <sheetName val="D_fix_asst_scdl_5"/>
      <sheetName val="creditors_tb_obpl5"/>
      <sheetName val="TBAL9697_-group_wise__sdpl6"/>
      <sheetName val="TBAL9697_-group_wise_5"/>
      <sheetName val="crs_-G-15"/>
      <sheetName val="TBAL9697_-group_wise__onpl5"/>
      <sheetName val="B_Sheet_97-OBPL5"/>
      <sheetName val="B_Sheet_97_sdpl5"/>
      <sheetName val="TBAL9697_-group_wise__sdpl25"/>
      <sheetName val="D_Loan__Prom5"/>
      <sheetName val="E_Bank_Loan5"/>
      <sheetName val="G_work_Cap_5"/>
      <sheetName val="H_land_adv5"/>
      <sheetName val="detai_Wip_25"/>
      <sheetName val="detai_Wip_I_5"/>
      <sheetName val="J_Con_WIP5"/>
      <sheetName val="K_L_Oth_Co_5"/>
      <sheetName val="fix_asst_Obpl5"/>
      <sheetName val="TBAL9697__group_wise__sdpl5"/>
      <sheetName val="oman_maint13"/>
      <sheetName val="CORPN_OCT13"/>
      <sheetName val="inout_consol-nov13"/>
      <sheetName val="inout_consol_(2)13"/>
      <sheetName val="AS_ON_DT_EXPS_Mar13"/>
      <sheetName val="J_fix_asst13"/>
      <sheetName val="J_fix_asst_sdpl13"/>
      <sheetName val="f_a_obpl13"/>
      <sheetName val="J_fix_asst_obpl13"/>
      <sheetName val="J_fix_asst_scc13"/>
      <sheetName val="J_fix_asst_ripl13"/>
      <sheetName val="fa-pl_&amp;_mach-site13"/>
      <sheetName val="fa_off_eqp13"/>
      <sheetName val="fa_fur&amp;_fix13"/>
      <sheetName val="I_Con_WIP_(2)13"/>
      <sheetName val="TBAL9596_-IIIIRUN13"/>
      <sheetName val="TBCRSsdpl_July9813"/>
      <sheetName val="Other_Proj_Schdl13"/>
      <sheetName val="OT_CLIENTS13"/>
      <sheetName val="inout_consol_July_9813"/>
      <sheetName val="consol_flow13"/>
      <sheetName val="B_Equity-sdpl_INC13"/>
      <sheetName val="inout_consol_wkg13"/>
      <sheetName val="inout_consol_WKNG13"/>
      <sheetName val="B_Sheet_9713"/>
      <sheetName val="P&amp;L_97_13"/>
      <sheetName val="B_Sheet_97-BEXP13"/>
      <sheetName val="P&amp;L_97_-BEXP13"/>
      <sheetName val="consol_flows13"/>
      <sheetName val="sdpl_oth_Liab13"/>
      <sheetName val="obpl-oth_liab13"/>
      <sheetName val="I-Wip-ot_(2)13"/>
      <sheetName val="detail_WIP_(2)13"/>
      <sheetName val="detail_G-113"/>
      <sheetName val="sobha_menon_ac13"/>
      <sheetName val="pnc_ac13"/>
      <sheetName val="fix_-p_&amp;_M_-SCC13"/>
      <sheetName val="C_fix_asst13"/>
      <sheetName val="D_fix_asst_scdl_13"/>
      <sheetName val="creditors_tb_obpl13"/>
      <sheetName val="TBAL9697_-group_wise__sdpl14"/>
      <sheetName val="TBAL9697_-group_wise_13"/>
      <sheetName val="crs_-G-113"/>
      <sheetName val="TBAL9697_-group_wise__onpl13"/>
      <sheetName val="B_Sheet_97-OBPL13"/>
      <sheetName val="B_Sheet_97_sdpl13"/>
      <sheetName val="TBAL9697_-group_wise__sdpl213"/>
      <sheetName val="D_Loan__Prom13"/>
      <sheetName val="E_Bank_Loan13"/>
      <sheetName val="G_work_Cap_13"/>
      <sheetName val="H_land_adv13"/>
      <sheetName val="detai_Wip_213"/>
      <sheetName val="detai_Wip_I_13"/>
      <sheetName val="J_Con_WIP13"/>
      <sheetName val="K_L_Oth_Co_13"/>
      <sheetName val="fix_asst_Obpl13"/>
      <sheetName val="TBAL9697__group_wise__sdpl13"/>
      <sheetName val="_sept98_xlsUomantopaz10"/>
      <sheetName val="[sept98_xlsUomantopaz10"/>
      <sheetName val="_sept98_xls_x005f_x001d_B_Sheet_9710"/>
      <sheetName val="[sept98_xls_x005f_x001d_B_Sheet_9710"/>
      <sheetName val="PRECAST_lightconc-II10"/>
      <sheetName val="oman_maint6"/>
      <sheetName val="CORPN_OCT6"/>
      <sheetName val="inout_consol-nov6"/>
      <sheetName val="inout_consol_(2)6"/>
      <sheetName val="AS_ON_DT_EXPS_Mar6"/>
      <sheetName val="J_fix_asst6"/>
      <sheetName val="J_fix_asst_sdpl6"/>
      <sheetName val="f_a_obpl6"/>
      <sheetName val="J_fix_asst_obpl6"/>
      <sheetName val="J_fix_asst_scc6"/>
      <sheetName val="J_fix_asst_ripl6"/>
      <sheetName val="fa-pl_&amp;_mach-site6"/>
      <sheetName val="fa_off_eqp6"/>
      <sheetName val="fa_fur&amp;_fix6"/>
      <sheetName val="I_Con_WIP_(2)6"/>
      <sheetName val="TBAL9596_-IIIIRUN6"/>
      <sheetName val="TBCRSsdpl_July986"/>
      <sheetName val="Other_Proj_Schdl6"/>
      <sheetName val="OT_CLIENTS6"/>
      <sheetName val="inout_consol_July_986"/>
      <sheetName val="consol_flow6"/>
      <sheetName val="B_Equity-sdpl_INC6"/>
      <sheetName val="inout_consol_wkg6"/>
      <sheetName val="inout_consol_WKNG6"/>
      <sheetName val="B_Sheet_976"/>
      <sheetName val="P&amp;L_97_6"/>
      <sheetName val="B_Sheet_97-BEXP6"/>
      <sheetName val="P&amp;L_97_-BEXP6"/>
      <sheetName val="consol_flows6"/>
      <sheetName val="sdpl_oth_Liab6"/>
      <sheetName val="obpl-oth_liab6"/>
      <sheetName val="I-Wip-ot_(2)6"/>
      <sheetName val="detail_WIP_(2)6"/>
      <sheetName val="detail_G-16"/>
      <sheetName val="sobha_menon_ac6"/>
      <sheetName val="pnc_ac6"/>
      <sheetName val="fix_-p_&amp;_M_-SCC6"/>
      <sheetName val="C_fix_asst6"/>
      <sheetName val="D_fix_asst_scdl_6"/>
      <sheetName val="creditors_tb_obpl6"/>
      <sheetName val="TBAL9697_-group_wise__sdpl7"/>
      <sheetName val="TBAL9697_-group_wise_6"/>
      <sheetName val="crs_-G-16"/>
      <sheetName val="TBAL9697_-group_wise__onpl6"/>
      <sheetName val="B_Sheet_97-OBPL6"/>
      <sheetName val="B_Sheet_97_sdpl6"/>
      <sheetName val="TBAL9697_-group_wise__sdpl26"/>
      <sheetName val="D_Loan__Prom6"/>
      <sheetName val="E_Bank_Loan6"/>
      <sheetName val="G_work_Cap_6"/>
      <sheetName val="H_land_adv6"/>
      <sheetName val="detai_Wip_26"/>
      <sheetName val="detai_Wip_I_6"/>
      <sheetName val="J_Con_WIP6"/>
      <sheetName val="K_L_Oth_Co_6"/>
      <sheetName val="fix_asst_Obpl6"/>
      <sheetName val="TBAL9697__group_wise__sdpl6"/>
      <sheetName val="_sept98_xlsUomantopaz4"/>
      <sheetName val="[sept98_xlsUomantopaz4"/>
      <sheetName val="oman_maint8"/>
      <sheetName val="CORPN_OCT8"/>
      <sheetName val="inout_consol-nov8"/>
      <sheetName val="inout_consol_(2)8"/>
      <sheetName val="AS_ON_DT_EXPS_Mar8"/>
      <sheetName val="J_fix_asst8"/>
      <sheetName val="J_fix_asst_sdpl8"/>
      <sheetName val="f_a_obpl8"/>
      <sheetName val="J_fix_asst_obpl8"/>
      <sheetName val="J_fix_asst_scc8"/>
      <sheetName val="J_fix_asst_ripl8"/>
      <sheetName val="fa-pl_&amp;_mach-site8"/>
      <sheetName val="fa_off_eqp8"/>
      <sheetName val="fa_fur&amp;_fix8"/>
      <sheetName val="I_Con_WIP_(2)8"/>
      <sheetName val="TBAL9596_-IIIIRUN8"/>
      <sheetName val="TBCRSsdpl_July988"/>
      <sheetName val="Other_Proj_Schdl8"/>
      <sheetName val="OT_CLIENTS8"/>
      <sheetName val="inout_consol_July_988"/>
      <sheetName val="consol_flow8"/>
      <sheetName val="B_Equity-sdpl_INC8"/>
      <sheetName val="inout_consol_wkg8"/>
      <sheetName val="inout_consol_WKNG8"/>
      <sheetName val="B_Sheet_978"/>
      <sheetName val="P&amp;L_97_8"/>
      <sheetName val="B_Sheet_97-BEXP8"/>
      <sheetName val="P&amp;L_97_-BEXP8"/>
      <sheetName val="consol_flows8"/>
      <sheetName val="sdpl_oth_Liab8"/>
      <sheetName val="obpl-oth_liab8"/>
      <sheetName val="I-Wip-ot_(2)8"/>
      <sheetName val="detail_WIP_(2)8"/>
      <sheetName val="detail_G-18"/>
      <sheetName val="sobha_menon_ac8"/>
      <sheetName val="pnc_ac8"/>
      <sheetName val="fix_-p_&amp;_M_-SCC8"/>
      <sheetName val="C_fix_asst8"/>
      <sheetName val="D_fix_asst_scdl_8"/>
      <sheetName val="creditors_tb_obpl8"/>
      <sheetName val="TBAL9697_-group_wise__sdpl9"/>
      <sheetName val="TBAL9697_-group_wise_8"/>
      <sheetName val="crs_-G-18"/>
      <sheetName val="TBAL9697_-group_wise__onpl8"/>
      <sheetName val="B_Sheet_97-OBPL8"/>
      <sheetName val="B_Sheet_97_sdpl8"/>
      <sheetName val="TBAL9697_-group_wise__sdpl28"/>
      <sheetName val="D_Loan__Prom8"/>
      <sheetName val="E_Bank_Loan8"/>
      <sheetName val="G_work_Cap_8"/>
      <sheetName val="H_land_adv8"/>
      <sheetName val="detai_Wip_28"/>
      <sheetName val="detai_Wip_I_8"/>
      <sheetName val="J_Con_WIP8"/>
      <sheetName val="K_L_Oth_Co_8"/>
      <sheetName val="fix_asst_Obpl8"/>
      <sheetName val="TBAL9697__group_wise__sdpl8"/>
      <sheetName val="_sept98_xlsUomantopaz6"/>
      <sheetName val="[sept98_xlsUomantopaz6"/>
      <sheetName val="_sept98_xls_x005f_x001d_B_Sheet_976"/>
      <sheetName val="[sept98_xls_x005f_x001d_B_Sheet_976"/>
      <sheetName val="PRECAST_lightconc-II6"/>
      <sheetName val="_sept98_xls_x005f_x001d_B_Sheet_974"/>
      <sheetName val="[sept98_xls_x005f_x001d_B_Sheet_974"/>
      <sheetName val="PRECAST_lightconc-II4"/>
      <sheetName val="oman_maint7"/>
      <sheetName val="CORPN_OCT7"/>
      <sheetName val="inout_consol-nov7"/>
      <sheetName val="inout_consol_(2)7"/>
      <sheetName val="AS_ON_DT_EXPS_Mar7"/>
      <sheetName val="J_fix_asst7"/>
      <sheetName val="J_fix_asst_sdpl7"/>
      <sheetName val="f_a_obpl7"/>
      <sheetName val="J_fix_asst_obpl7"/>
      <sheetName val="J_fix_asst_scc7"/>
      <sheetName val="J_fix_asst_ripl7"/>
      <sheetName val="fa-pl_&amp;_mach-site7"/>
      <sheetName val="fa_off_eqp7"/>
      <sheetName val="fa_fur&amp;_fix7"/>
      <sheetName val="I_Con_WIP_(2)7"/>
      <sheetName val="TBAL9596_-IIIIRUN7"/>
      <sheetName val="TBCRSsdpl_July987"/>
      <sheetName val="Other_Proj_Schdl7"/>
      <sheetName val="OT_CLIENTS7"/>
      <sheetName val="inout_consol_July_987"/>
      <sheetName val="consol_flow7"/>
      <sheetName val="B_Equity-sdpl_INC7"/>
      <sheetName val="inout_consol_wkg7"/>
      <sheetName val="inout_consol_WKNG7"/>
      <sheetName val="B_Sheet_977"/>
      <sheetName val="P&amp;L_97_7"/>
      <sheetName val="B_Sheet_97-BEXP7"/>
      <sheetName val="P&amp;L_97_-BEXP7"/>
      <sheetName val="consol_flows7"/>
      <sheetName val="sdpl_oth_Liab7"/>
      <sheetName val="obpl-oth_liab7"/>
      <sheetName val="I-Wip-ot_(2)7"/>
      <sheetName val="detail_WIP_(2)7"/>
      <sheetName val="detail_G-17"/>
      <sheetName val="sobha_menon_ac7"/>
      <sheetName val="pnc_ac7"/>
      <sheetName val="fix_-p_&amp;_M_-SCC7"/>
      <sheetName val="C_fix_asst7"/>
      <sheetName val="D_fix_asst_scdl_7"/>
      <sheetName val="creditors_tb_obpl7"/>
      <sheetName val="TBAL9697_-group_wise__sdpl8"/>
      <sheetName val="TBAL9697_-group_wise_7"/>
      <sheetName val="crs_-G-17"/>
      <sheetName val="TBAL9697_-group_wise__onpl7"/>
      <sheetName val="B_Sheet_97-OBPL7"/>
      <sheetName val="B_Sheet_97_sdpl7"/>
      <sheetName val="TBAL9697_-group_wise__sdpl27"/>
      <sheetName val="D_Loan__Prom7"/>
      <sheetName val="E_Bank_Loan7"/>
      <sheetName val="G_work_Cap_7"/>
      <sheetName val="H_land_adv7"/>
      <sheetName val="detai_Wip_27"/>
      <sheetName val="detai_Wip_I_7"/>
      <sheetName val="J_Con_WIP7"/>
      <sheetName val="K_L_Oth_Co_7"/>
      <sheetName val="fix_asst_Obpl7"/>
      <sheetName val="TBAL9697__group_wise__sdpl7"/>
      <sheetName val="_sept98_xlsUomantopaz5"/>
      <sheetName val="[sept98_xlsUomantopaz5"/>
      <sheetName val="_sept98_xls_x005f_x001d_B_Sheet_975"/>
      <sheetName val="[sept98_xls_x005f_x001d_B_Sheet_975"/>
      <sheetName val="PRECAST_lightconc-II5"/>
      <sheetName val="oman_maint10"/>
      <sheetName val="CORPN_OCT10"/>
      <sheetName val="inout_consol-nov10"/>
      <sheetName val="inout_consol_(2)10"/>
      <sheetName val="AS_ON_DT_EXPS_Mar10"/>
      <sheetName val="J_fix_asst10"/>
      <sheetName val="J_fix_asst_sdpl10"/>
      <sheetName val="f_a_obpl10"/>
      <sheetName val="J_fix_asst_obpl10"/>
      <sheetName val="J_fix_asst_scc10"/>
      <sheetName val="J_fix_asst_ripl10"/>
      <sheetName val="fa-pl_&amp;_mach-site10"/>
      <sheetName val="fa_off_eqp10"/>
      <sheetName val="fa_fur&amp;_fix10"/>
      <sheetName val="I_Con_WIP_(2)10"/>
      <sheetName val="TBAL9596_-IIIIRUN10"/>
      <sheetName val="TBCRSsdpl_July9810"/>
      <sheetName val="Other_Proj_Schdl10"/>
      <sheetName val="OT_CLIENTS10"/>
      <sheetName val="inout_consol_July_9810"/>
      <sheetName val="consol_flow10"/>
      <sheetName val="B_Equity-sdpl_INC10"/>
      <sheetName val="inout_consol_wkg10"/>
      <sheetName val="inout_consol_WKNG10"/>
      <sheetName val="B_Sheet_9710"/>
      <sheetName val="P&amp;L_97_10"/>
      <sheetName val="B_Sheet_97-BEXP10"/>
      <sheetName val="P&amp;L_97_-BEXP10"/>
      <sheetName val="consol_flows10"/>
      <sheetName val="sdpl_oth_Liab10"/>
      <sheetName val="obpl-oth_liab10"/>
      <sheetName val="I-Wip-ot_(2)10"/>
      <sheetName val="detail_WIP_(2)10"/>
      <sheetName val="detail_G-110"/>
      <sheetName val="sobha_menon_ac10"/>
      <sheetName val="pnc_ac10"/>
      <sheetName val="fix_-p_&amp;_M_-SCC10"/>
      <sheetName val="C_fix_asst10"/>
      <sheetName val="D_fix_asst_scdl_10"/>
      <sheetName val="creditors_tb_obpl10"/>
      <sheetName val="TBAL9697_-group_wise__sdpl11"/>
      <sheetName val="TBAL9697_-group_wise_10"/>
      <sheetName val="crs_-G-110"/>
      <sheetName val="TBAL9697_-group_wise__onpl10"/>
      <sheetName val="B_Sheet_97-OBPL10"/>
      <sheetName val="B_Sheet_97_sdpl10"/>
      <sheetName val="TBAL9697_-group_wise__sdpl210"/>
      <sheetName val="D_Loan__Prom10"/>
      <sheetName val="E_Bank_Loan10"/>
      <sheetName val="G_work_Cap_10"/>
      <sheetName val="H_land_adv10"/>
      <sheetName val="detai_Wip_210"/>
      <sheetName val="detai_Wip_I_10"/>
      <sheetName val="J_Con_WIP10"/>
      <sheetName val="K_L_Oth_Co_10"/>
      <sheetName val="fix_asst_Obpl10"/>
      <sheetName val="TBAL9697__group_wise__sdpl10"/>
      <sheetName val="_sept98_xlsUomantopaz8"/>
      <sheetName val="[sept98_xlsUomantopaz8"/>
      <sheetName val="_sept98_xls_x005f_x001d_B_Sheet_978"/>
      <sheetName val="[sept98_xls_x005f_x001d_B_Sheet_978"/>
      <sheetName val="PRECAST_lightconc-II8"/>
      <sheetName val="oman_maint11"/>
      <sheetName val="CORPN_OCT11"/>
      <sheetName val="inout_consol-nov11"/>
      <sheetName val="inout_consol_(2)11"/>
      <sheetName val="AS_ON_DT_EXPS_Mar11"/>
      <sheetName val="J_fix_asst11"/>
      <sheetName val="J_fix_asst_sdpl11"/>
      <sheetName val="f_a_obpl11"/>
      <sheetName val="J_fix_asst_obpl11"/>
      <sheetName val="J_fix_asst_scc11"/>
      <sheetName val="J_fix_asst_ripl11"/>
      <sheetName val="fa-pl_&amp;_mach-site11"/>
      <sheetName val="fa_off_eqp11"/>
      <sheetName val="fa_fur&amp;_fix11"/>
      <sheetName val="I_Con_WIP_(2)11"/>
      <sheetName val="TBAL9596_-IIIIRUN11"/>
      <sheetName val="TBCRSsdpl_July9811"/>
      <sheetName val="Other_Proj_Schdl11"/>
      <sheetName val="OT_CLIENTS11"/>
      <sheetName val="inout_consol_July_9811"/>
      <sheetName val="consol_flow11"/>
      <sheetName val="B_Equity-sdpl_INC11"/>
      <sheetName val="inout_consol_wkg11"/>
      <sheetName val="inout_consol_WKNG11"/>
      <sheetName val="B_Sheet_9711"/>
      <sheetName val="P&amp;L_97_11"/>
      <sheetName val="B_Sheet_97-BEXP11"/>
      <sheetName val="P&amp;L_97_-BEXP11"/>
      <sheetName val="consol_flows11"/>
      <sheetName val="sdpl_oth_Liab11"/>
      <sheetName val="obpl-oth_liab11"/>
      <sheetName val="I-Wip-ot_(2)11"/>
      <sheetName val="detail_WIP_(2)11"/>
      <sheetName val="detail_G-111"/>
      <sheetName val="sobha_menon_ac11"/>
      <sheetName val="pnc_ac11"/>
      <sheetName val="fix_-p_&amp;_M_-SCC11"/>
      <sheetName val="C_fix_asst11"/>
      <sheetName val="D_fix_asst_scdl_11"/>
      <sheetName val="creditors_tb_obpl11"/>
      <sheetName val="TBAL9697_-group_wise__sdpl12"/>
      <sheetName val="TBAL9697_-group_wise_11"/>
      <sheetName val="crs_-G-111"/>
      <sheetName val="TBAL9697_-group_wise__onpl11"/>
      <sheetName val="B_Sheet_97-OBPL11"/>
      <sheetName val="B_Sheet_97_sdpl11"/>
      <sheetName val="TBAL9697_-group_wise__sdpl211"/>
      <sheetName val="D_Loan__Prom11"/>
      <sheetName val="E_Bank_Loan11"/>
      <sheetName val="G_work_Cap_11"/>
      <sheetName val="H_land_adv11"/>
      <sheetName val="detai_Wip_211"/>
      <sheetName val="detai_Wip_I_11"/>
      <sheetName val="J_Con_WIP11"/>
      <sheetName val="K_L_Oth_Co_11"/>
      <sheetName val="fix_asst_Obpl11"/>
      <sheetName val="TBAL9697__group_wise__sdpl11"/>
      <sheetName val="oman_maint12"/>
      <sheetName val="CORPN_OCT12"/>
      <sheetName val="inout_consol-nov12"/>
      <sheetName val="inout_consol_(2)12"/>
      <sheetName val="AS_ON_DT_EXPS_Mar12"/>
      <sheetName val="J_fix_asst12"/>
      <sheetName val="J_fix_asst_sdpl12"/>
      <sheetName val="f_a_obpl12"/>
      <sheetName val="J_fix_asst_obpl12"/>
      <sheetName val="J_fix_asst_scc12"/>
      <sheetName val="J_fix_asst_ripl12"/>
      <sheetName val="fa-pl_&amp;_mach-site12"/>
      <sheetName val="fa_off_eqp12"/>
      <sheetName val="fa_fur&amp;_fix12"/>
      <sheetName val="I_Con_WIP_(2)12"/>
      <sheetName val="TBAL9596_-IIIIRUN12"/>
      <sheetName val="TBCRSsdpl_July9812"/>
      <sheetName val="Other_Proj_Schdl12"/>
      <sheetName val="OT_CLIENTS12"/>
      <sheetName val="inout_consol_July_9812"/>
      <sheetName val="consol_flow12"/>
      <sheetName val="B_Equity-sdpl_INC12"/>
      <sheetName val="inout_consol_wkg12"/>
      <sheetName val="inout_consol_WKNG12"/>
      <sheetName val="B_Sheet_9712"/>
      <sheetName val="P&amp;L_97_12"/>
      <sheetName val="B_Sheet_97-BEXP12"/>
      <sheetName val="P&amp;L_97_-BEXP12"/>
      <sheetName val="consol_flows12"/>
      <sheetName val="sdpl_oth_Liab12"/>
      <sheetName val="obpl-oth_liab12"/>
      <sheetName val="I-Wip-ot_(2)12"/>
      <sheetName val="detail_WIP_(2)12"/>
      <sheetName val="detail_G-112"/>
      <sheetName val="sobha_menon_ac12"/>
      <sheetName val="pnc_ac12"/>
      <sheetName val="fix_-p_&amp;_M_-SCC12"/>
      <sheetName val="C_fix_asst12"/>
      <sheetName val="D_fix_asst_scdl_12"/>
      <sheetName val="creditors_tb_obpl12"/>
      <sheetName val="TBAL9697_-group_wise__sdpl13"/>
      <sheetName val="TBAL9697_-group_wise_12"/>
      <sheetName val="crs_-G-112"/>
      <sheetName val="TBAL9697_-group_wise__onpl12"/>
      <sheetName val="B_Sheet_97-OBPL12"/>
      <sheetName val="B_Sheet_97_sdpl12"/>
      <sheetName val="TBAL9697_-group_wise__sdpl212"/>
      <sheetName val="D_Loan__Prom12"/>
      <sheetName val="E_Bank_Loan12"/>
      <sheetName val="G_work_Cap_12"/>
      <sheetName val="H_land_adv12"/>
      <sheetName val="detai_Wip_212"/>
      <sheetName val="detai_Wip_I_12"/>
      <sheetName val="J_Con_WIP12"/>
      <sheetName val="K_L_Oth_Co_12"/>
      <sheetName val="fix_asst_Obpl12"/>
      <sheetName val="TBAL9697__group_wise__sdpl12"/>
      <sheetName val="_sept98_xlsUomantopaz9"/>
      <sheetName val="[sept98_xlsUomantopaz9"/>
      <sheetName val="_sept98_xls_x005f_x001d_B_Sheet_979"/>
      <sheetName val="[sept98_xls_x005f_x001d_B_Sheet_979"/>
      <sheetName val="PRECAST_lightconc-II9"/>
      <sheetName val="oman_maint14"/>
      <sheetName val="CORPN_OCT14"/>
      <sheetName val="inout_consol-nov14"/>
      <sheetName val="inout_consol_(2)14"/>
      <sheetName val="AS_ON_DT_EXPS_Mar14"/>
      <sheetName val="J_fix_asst14"/>
      <sheetName val="J_fix_asst_sdpl14"/>
      <sheetName val="f_a_obpl14"/>
      <sheetName val="J_fix_asst_obpl14"/>
      <sheetName val="J_fix_asst_scc14"/>
      <sheetName val="J_fix_asst_ripl14"/>
      <sheetName val="fa-pl_&amp;_mach-site14"/>
      <sheetName val="fa_off_eqp14"/>
      <sheetName val="fa_fur&amp;_fix14"/>
      <sheetName val="I_Con_WIP_(2)14"/>
      <sheetName val="TBAL9596_-IIIIRUN14"/>
      <sheetName val="TBCRSsdpl_July9814"/>
      <sheetName val="Other_Proj_Schdl14"/>
      <sheetName val="OT_CLIENTS14"/>
      <sheetName val="inout_consol_July_9814"/>
      <sheetName val="consol_flow14"/>
      <sheetName val="B_Equity-sdpl_INC14"/>
      <sheetName val="inout_consol_wkg14"/>
      <sheetName val="inout_consol_WKNG14"/>
      <sheetName val="B_Sheet_9714"/>
      <sheetName val="P&amp;L_97_14"/>
      <sheetName val="B_Sheet_97-BEXP14"/>
      <sheetName val="P&amp;L_97_-BEXP14"/>
      <sheetName val="consol_flows14"/>
      <sheetName val="sdpl_oth_Liab14"/>
      <sheetName val="obpl-oth_liab14"/>
      <sheetName val="I-Wip-ot_(2)14"/>
      <sheetName val="detail_WIP_(2)14"/>
      <sheetName val="detail_G-114"/>
      <sheetName val="sobha_menon_ac14"/>
      <sheetName val="pnc_ac14"/>
      <sheetName val="fix_-p_&amp;_M_-SCC14"/>
      <sheetName val="C_fix_asst14"/>
      <sheetName val="D_fix_asst_scdl_14"/>
      <sheetName val="creditors_tb_obpl14"/>
      <sheetName val="TBAL9697_-group_wise__sdpl15"/>
      <sheetName val="TBAL9697_-group_wise_14"/>
      <sheetName val="crs_-G-114"/>
      <sheetName val="TBAL9697_-group_wise__onpl14"/>
      <sheetName val="B_Sheet_97-OBPL14"/>
      <sheetName val="B_Sheet_97_sdpl14"/>
      <sheetName val="TBAL9697_-group_wise__sdpl214"/>
      <sheetName val="D_Loan__Prom14"/>
      <sheetName val="E_Bank_Loan14"/>
      <sheetName val="G_work_Cap_14"/>
      <sheetName val="H_land_adv14"/>
      <sheetName val="detai_Wip_214"/>
      <sheetName val="detai_Wip_I_14"/>
      <sheetName val="J_Con_WIP14"/>
      <sheetName val="K_L_Oth_Co_14"/>
      <sheetName val="fix_asst_Obpl14"/>
      <sheetName val="TBAL9697__group_wise__sdpl14"/>
      <sheetName val="_sept98_xlsUomantopaz11"/>
      <sheetName val="[sept98_xlsUomantopaz11"/>
      <sheetName val="_sept98_xls_x005f_x001d_B_Sheet_9711"/>
      <sheetName val="[sept98_xls_x005f_x001d_B_Sheet_9711"/>
      <sheetName val="PRECAST_lightconc-II11"/>
      <sheetName val="oman_maint15"/>
      <sheetName val="CORPN_OCT15"/>
      <sheetName val="inout_consol-nov15"/>
      <sheetName val="inout_consol_(2)15"/>
      <sheetName val="AS_ON_DT_EXPS_Mar15"/>
      <sheetName val="J_fix_asst15"/>
      <sheetName val="J_fix_asst_sdpl15"/>
      <sheetName val="f_a_obpl15"/>
      <sheetName val="J_fix_asst_obpl15"/>
      <sheetName val="J_fix_asst_scc15"/>
      <sheetName val="J_fix_asst_ripl15"/>
      <sheetName val="fa-pl_&amp;_mach-site15"/>
      <sheetName val="fa_off_eqp15"/>
      <sheetName val="fa_fur&amp;_fix15"/>
      <sheetName val="I_Con_WIP_(2)15"/>
      <sheetName val="TBAL9596_-IIIIRUN15"/>
      <sheetName val="TBCRSsdpl_July9815"/>
      <sheetName val="Other_Proj_Schdl15"/>
      <sheetName val="OT_CLIENTS15"/>
      <sheetName val="inout_consol_July_9815"/>
      <sheetName val="consol_flow15"/>
      <sheetName val="B_Equity-sdpl_INC15"/>
      <sheetName val="inout_consol_wkg15"/>
      <sheetName val="inout_consol_WKNG15"/>
      <sheetName val="B_Sheet_9715"/>
      <sheetName val="P&amp;L_97_15"/>
      <sheetName val="B_Sheet_97-BEXP15"/>
      <sheetName val="P&amp;L_97_-BEXP15"/>
      <sheetName val="consol_flows15"/>
      <sheetName val="sdpl_oth_Liab15"/>
      <sheetName val="obpl-oth_liab15"/>
      <sheetName val="I-Wip-ot_(2)15"/>
      <sheetName val="detail_WIP_(2)15"/>
      <sheetName val="detail_G-115"/>
      <sheetName val="sobha_menon_ac15"/>
      <sheetName val="pnc_ac15"/>
      <sheetName val="fix_-p_&amp;_M_-SCC15"/>
      <sheetName val="C_fix_asst15"/>
      <sheetName val="D_fix_asst_scdl_15"/>
      <sheetName val="creditors_tb_obpl15"/>
      <sheetName val="TBAL9697_-group_wise__sdpl16"/>
      <sheetName val="TBAL9697_-group_wise_15"/>
      <sheetName val="crs_-G-115"/>
      <sheetName val="TBAL9697_-group_wise__onpl15"/>
      <sheetName val="B_Sheet_97-OBPL15"/>
      <sheetName val="B_Sheet_97_sdpl15"/>
      <sheetName val="TBAL9697_-group_wise__sdpl215"/>
      <sheetName val="D_Loan__Prom15"/>
      <sheetName val="E_Bank_Loan15"/>
      <sheetName val="G_work_Cap_15"/>
      <sheetName val="H_land_adv15"/>
      <sheetName val="detai_Wip_215"/>
      <sheetName val="detai_Wip_I_15"/>
      <sheetName val="J_Con_WIP15"/>
      <sheetName val="K_L_Oth_Co_15"/>
      <sheetName val="fix_asst_Obpl15"/>
      <sheetName val="TBAL9697__group_wise__sdpl15"/>
      <sheetName val="_sept98_xlsUomantopaz12"/>
      <sheetName val="[sept98_xlsUomantopaz12"/>
      <sheetName val="_sept98_xls_x005f_x001d_B_Sheet_9712"/>
      <sheetName val="[sept98_xls_x005f_x001d_B_Sheet_9712"/>
      <sheetName val="PRECAST_lightconc-II12"/>
      <sheetName val="oman_maint16"/>
      <sheetName val="oman_maint18"/>
      <sheetName val="CORPN_OCT17"/>
      <sheetName val="inout_consol-nov17"/>
      <sheetName val="inout_consol_(2)17"/>
      <sheetName val="AS_ON_DT_EXPS_Mar17"/>
      <sheetName val="J_fix_asst17"/>
      <sheetName val="J_fix_asst_sdpl17"/>
      <sheetName val="f_a_obpl17"/>
      <sheetName val="J_fix_asst_obpl17"/>
      <sheetName val="J_fix_asst_scc17"/>
      <sheetName val="J_fix_asst_ripl17"/>
      <sheetName val="fa-pl_&amp;_mach-site17"/>
      <sheetName val="fa_off_eqp17"/>
      <sheetName val="fa_fur&amp;_fix17"/>
      <sheetName val="I_Con_WIP_(2)17"/>
      <sheetName val="TBAL9596_-IIIIRUN17"/>
      <sheetName val="TBCRSsdpl_July9817"/>
      <sheetName val="Other_Proj_Schdl17"/>
      <sheetName val="OT_CLIENTS17"/>
      <sheetName val="inout_consol_July_9817"/>
      <sheetName val="consol_flow17"/>
      <sheetName val="B_Equity-sdpl_INC17"/>
      <sheetName val="inout_consol_wkg17"/>
      <sheetName val="inout_consol_WKNG17"/>
      <sheetName val="B_Sheet_9717"/>
      <sheetName val="P&amp;L_97_17"/>
      <sheetName val="B_Sheet_97-BEXP17"/>
      <sheetName val="P&amp;L_97_-BEXP17"/>
      <sheetName val="consol_flows17"/>
      <sheetName val="sdpl_oth_Liab17"/>
      <sheetName val="obpl-oth_liab17"/>
      <sheetName val="I-Wip-ot_(2)17"/>
      <sheetName val="detail_WIP_(2)17"/>
      <sheetName val="detail_G-117"/>
      <sheetName val="sobha_menon_ac17"/>
      <sheetName val="pnc_ac17"/>
      <sheetName val="fix_-p_&amp;_M_-SCC17"/>
      <sheetName val="C_fix_asst17"/>
      <sheetName val="D_fix_asst_scdl_17"/>
      <sheetName val="creditors_tb_obpl17"/>
      <sheetName val="TBAL9697_-group_wise__sdpl18"/>
      <sheetName val="TBAL9697_-group_wise_17"/>
      <sheetName val="crs_-G-117"/>
      <sheetName val="TBAL9697_-group_wise__onpl17"/>
      <sheetName val="B_Sheet_97-OBPL17"/>
      <sheetName val="B_Sheet_97_sdpl17"/>
      <sheetName val="TBAL9697_-group_wise__sdpl217"/>
      <sheetName val="D_Loan__Prom17"/>
      <sheetName val="E_Bank_Loan17"/>
      <sheetName val="G_work_Cap_17"/>
      <sheetName val="H_land_adv17"/>
      <sheetName val="detai_Wip_217"/>
      <sheetName val="detai_Wip_I_17"/>
      <sheetName val="J_Con_WIP17"/>
      <sheetName val="K_L_Oth_Co_17"/>
      <sheetName val="fix_asst_Obpl17"/>
      <sheetName val="TBAL9697__group_wise__sdpl17"/>
      <sheetName val="_sept98_xlsUomantopaz14"/>
      <sheetName val="[sept98_xlsUomantopaz14"/>
      <sheetName val="_sept98_xls_x005f_x001d_B_Sheet_9714"/>
      <sheetName val="[sept98_xls_x005f_x001d_B_Sheet_9714"/>
      <sheetName val="PRECAST_lightconc-II14"/>
      <sheetName val="oman_maint19"/>
      <sheetName val="CORPN_OCT18"/>
      <sheetName val="inout_consol-nov18"/>
      <sheetName val="inout_consol_(2)18"/>
      <sheetName val="AS_ON_DT_EXPS_Mar18"/>
      <sheetName val="J_fix_asst18"/>
      <sheetName val="J_fix_asst_sdpl18"/>
      <sheetName val="f_a_obpl18"/>
      <sheetName val="J_fix_asst_obpl18"/>
      <sheetName val="J_fix_asst_scc18"/>
      <sheetName val="J_fix_asst_ripl18"/>
      <sheetName val="fa-pl_&amp;_mach-site18"/>
      <sheetName val="fa_off_eqp18"/>
      <sheetName val="fa_fur&amp;_fix18"/>
      <sheetName val="I_Con_WIP_(2)18"/>
      <sheetName val="TBAL9596_-IIIIRUN18"/>
      <sheetName val="TBCRSsdpl_July9818"/>
      <sheetName val="Other_Proj_Schdl18"/>
      <sheetName val="OT_CLIENTS18"/>
      <sheetName val="inout_consol_July_9818"/>
      <sheetName val="consol_flow18"/>
      <sheetName val="B_Equity-sdpl_INC18"/>
      <sheetName val="inout_consol_wkg18"/>
      <sheetName val="inout_consol_WKNG18"/>
      <sheetName val="B_Sheet_9718"/>
      <sheetName val="P&amp;L_97_18"/>
      <sheetName val="B_Sheet_97-BEXP18"/>
      <sheetName val="P&amp;L_97_-BEXP18"/>
      <sheetName val="consol_flows18"/>
      <sheetName val="sdpl_oth_Liab18"/>
      <sheetName val="obpl-oth_liab18"/>
      <sheetName val="I-Wip-ot_(2)18"/>
      <sheetName val="detail_WIP_(2)18"/>
      <sheetName val="detail_G-118"/>
      <sheetName val="sobha_menon_ac18"/>
      <sheetName val="pnc_ac18"/>
      <sheetName val="fix_-p_&amp;_M_-SCC18"/>
      <sheetName val="C_fix_asst18"/>
      <sheetName val="D_fix_asst_scdl_18"/>
      <sheetName val="creditors_tb_obpl18"/>
      <sheetName val="TBAL9697_-group_wise__sdpl19"/>
      <sheetName val="TBAL9697_-group_wise_18"/>
      <sheetName val="crs_-G-118"/>
      <sheetName val="TBAL9697_-group_wise__onpl18"/>
      <sheetName val="B_Sheet_97-OBPL18"/>
      <sheetName val="B_Sheet_97_sdpl18"/>
      <sheetName val="TBAL9697_-group_wise__sdpl218"/>
      <sheetName val="D_Loan__Prom18"/>
      <sheetName val="E_Bank_Loan18"/>
      <sheetName val="G_work_Cap_18"/>
      <sheetName val="H_land_adv18"/>
      <sheetName val="detai_Wip_218"/>
      <sheetName val="detai_Wip_I_18"/>
      <sheetName val="J_Con_WIP18"/>
      <sheetName val="K_L_Oth_Co_18"/>
      <sheetName val="fix_asst_Obpl18"/>
      <sheetName val="TBAL9697__group_wise__sdpl18"/>
      <sheetName val="SPILL OVER"/>
      <sheetName val="boq actual"/>
      <sheetName val="VENDQRY"/>
      <sheetName val="crs -G-1_x005f_x005f_x005f_x001a_"/>
      <sheetName val="crs -G-1_x005f_x005f_x005f_x001a___TBAL9697"/>
      <sheetName val="salestax9697-t_x005f_x005f_x005f_x0000_"/>
      <sheetName val="crs -G-1_x005f_x005f_x005f_x001a__x005f_x005f_x00"/>
      <sheetName val="[sept98.xls_x005f_x005f_x005f_x005f_x005f_x005f_x"/>
      <sheetName val="crs -G-1_x005f_x001a_??TBAL9697 -grou"/>
      <sheetName val="FINOLEX"/>
      <sheetName val="RA-markate"/>
      <sheetName val="WBS"/>
      <sheetName val="PLAN_FEB97"/>
      <sheetName val="activit-graph  "/>
      <sheetName val="BHANDUP"/>
      <sheetName val="old boq"/>
      <sheetName val="Rate An"/>
      <sheetName val="DOOR-WINDOW SCHEDULE"/>
      <sheetName val="M- Rate"/>
      <sheetName val="BLOCK WORK-GRD FLR"/>
      <sheetName val="CABLERET"/>
      <sheetName val="BS1"/>
      <sheetName val="A-General"/>
      <sheetName val="Names&amp;Cases"/>
      <sheetName val="Detail P&amp;L"/>
      <sheetName val="Assumption Sheet"/>
      <sheetName val="P&amp;LSum"/>
      <sheetName val="WORK TABLE"/>
      <sheetName val="CABLE DATA"/>
      <sheetName val="Config"/>
      <sheetName val="Break Dw"/>
      <sheetName val="BLOCK-A (MEA.SHEET)"/>
      <sheetName val="General Info"/>
      <sheetName val="Headings"/>
      <sheetName val="Quotation"/>
      <sheetName val="KP1590_E"/>
      <sheetName val="COLUMN-CR"/>
      <sheetName val="TBS_x005f_x005f_x005f_x005f_x00"/>
      <sheetName val="_sept98_xls_x001d_B_Sheet_9713"/>
      <sheetName val="_sept98_xls_x001d_B_Sheet_977"/>
      <sheetName val="_sept98_xls_x001d_B_Sheet_971"/>
      <sheetName val="Columns"/>
      <sheetName val="SOLUT001"/>
      <sheetName val="12A"/>
      <sheetName val="12B"/>
      <sheetName val="7A"/>
      <sheetName val="7B"/>
      <sheetName val="Brand"/>
      <sheetName val="PackSize"/>
      <sheetName val="PackagingType"/>
      <sheetName val="ProductHierarchy"/>
      <sheetName val="PurchGroup"/>
      <sheetName val="Sub-brand"/>
      <sheetName val="UOM"/>
      <sheetName val="Variant"/>
      <sheetName val="Location"/>
      <sheetName val="Plant"/>
      <sheetName val="Development Strategy"/>
      <sheetName val="Development_Strategy"/>
      <sheetName val="B'Sheet"/>
      <sheetName val="Asmp"/>
      <sheetName val="H(Act)"/>
      <sheetName val="Next Weeks Plan"/>
      <sheetName val="GLOBAL_REFERRENCE_SHEET"/>
      <sheetName val="crs -G-1_x001a_??TB"/>
      <sheetName val="Labor abs-PW"/>
      <sheetName val="_sept98_xls_x005f_x005f_x005f_x001d_B_Shee6"/>
      <sheetName val="[sept98_xls_x005f_x005f_x005f_x001d_B_Shee6"/>
      <sheetName val="Staff_Acco_6"/>
      <sheetName val="SITE_OVERHEADS6"/>
      <sheetName val="Boq_Block_A6"/>
      <sheetName val="Project_Details__6"/>
      <sheetName val="[sept98_xls࡝sdpl_oth_Liab6"/>
      <sheetName val="RCC,Ret__Wall6"/>
      <sheetName val="scurve_calc_(2)6"/>
      <sheetName val="LIST_OF_MAKES6"/>
      <sheetName val="_sept98_xls࡝sdpl_oth_Liab6"/>
      <sheetName val="_sept98_xls_x005f_x005f_x005f_x005f_x005f_x005f_6"/>
      <sheetName val="crs_-G-1_x005f_x001a__x005f_x0000__x005f_x0000_T6"/>
      <sheetName val="crs_-G-1_x005f_x001a___TBAL9697_-gro6"/>
      <sheetName val="final_abstract6"/>
      <sheetName val="key_dates6"/>
      <sheetName val="Labor_abs-NMR6"/>
      <sheetName val="Fin_Sum6"/>
      <sheetName val="Customize_Your_Purchase_Order6"/>
      <sheetName val="_sept98_xls_x005f_x001d_B_Sheet6"/>
      <sheetName val="_sept98_xls_x005f_x005f_x6"/>
      <sheetName val="INPUT_SHEET5"/>
      <sheetName val="DETAILED__BOQ5"/>
      <sheetName val="acevsSp_(ABC)5"/>
      <sheetName val="MASTER_RATE_ANALYSIS5"/>
      <sheetName val="BEAM_INPUT5"/>
      <sheetName val="Plinth_beam5"/>
      <sheetName val="Direct_Cost5"/>
      <sheetName val="IO_LIST5"/>
      <sheetName val="_sept98_xls_x005f_x005f_x005f_x001d_B_Shee4"/>
      <sheetName val="[sept98_xls_x005f_x005f_x005f_x001d_B_Shee4"/>
      <sheetName val="Staff_Acco_4"/>
      <sheetName val="SITE_OVERHEADS4"/>
      <sheetName val="Boq_Block_A4"/>
      <sheetName val="Project_Details__4"/>
      <sheetName val="[sept98_xls࡝sdpl_oth_Liab4"/>
      <sheetName val="RCC,Ret__Wall4"/>
      <sheetName val="scurve_calc_(2)4"/>
      <sheetName val="LIST_OF_MAKES4"/>
      <sheetName val="_sept98_xls࡝sdpl_oth_Liab4"/>
      <sheetName val="_sept98_xls_x005f_x005f_x005f_x005f_x005f_x005f_4"/>
      <sheetName val="crs_-G-1_x005f_x001a__x005f_x0000__x005f_x0000_T4"/>
      <sheetName val="crs_-G-1_x005f_x001a___TBAL9697_-gro4"/>
      <sheetName val="final_abstract4"/>
      <sheetName val="key_dates4"/>
      <sheetName val="Labor_abs-NMR4"/>
      <sheetName val="Fin_Sum4"/>
      <sheetName val="Customize_Your_Purchase_Order4"/>
      <sheetName val="_sept98_xls_x005f_x001d_B_Sheet4"/>
      <sheetName val="_sept98_xls_x005f_x005f_x4"/>
      <sheetName val="INPUT_SHEET3"/>
      <sheetName val="DETAILED__BOQ3"/>
      <sheetName val="acevsSp_(ABC)3"/>
      <sheetName val="MASTER_RATE_ANALYSIS3"/>
      <sheetName val="BEAM_INPUT3"/>
      <sheetName val="Plinth_beam3"/>
      <sheetName val="Direct_Cost3"/>
      <sheetName val="IO_LIST3"/>
      <sheetName val="_sept98_xls_x005f_x005f_x005f_x001d_B_Shee3"/>
      <sheetName val="[sept98_xls_x005f_x005f_x005f_x001d_B_Shee3"/>
      <sheetName val="Staff_Acco_3"/>
      <sheetName val="SITE_OVERHEADS3"/>
      <sheetName val="Boq_Block_A3"/>
      <sheetName val="Project_Details__3"/>
      <sheetName val="[sept98_xls࡝sdpl_oth_Liab3"/>
      <sheetName val="RCC,Ret__Wall3"/>
      <sheetName val="scurve_calc_(2)3"/>
      <sheetName val="LIST_OF_MAKES3"/>
      <sheetName val="_sept98_xls࡝sdpl_oth_Liab3"/>
      <sheetName val="_sept98_xls_x005f_x005f_x005f_x005f_x005f_x005f_3"/>
      <sheetName val="crs_-G-1_x005f_x001a__x005f_x0000__x005f_x0000_T3"/>
      <sheetName val="crs_-G-1_x005f_x001a___TBAL9697_-gro3"/>
      <sheetName val="final_abstract3"/>
      <sheetName val="key_dates3"/>
      <sheetName val="Labor_abs-NMR3"/>
      <sheetName val="Fin_Sum3"/>
      <sheetName val="Customize_Your_Purchase_Order3"/>
      <sheetName val="_sept98_xls_x005f_x001d_B_Sheet3"/>
      <sheetName val="_sept98_xls_x005f_x005f_x3"/>
      <sheetName val="INPUT_SHEET2"/>
      <sheetName val="DETAILED__BOQ2"/>
      <sheetName val="acevsSp_(ABC)2"/>
      <sheetName val="MASTER_RATE_ANALYSIS2"/>
      <sheetName val="BEAM_INPUT2"/>
      <sheetName val="Plinth_beam2"/>
      <sheetName val="Direct_Cost2"/>
      <sheetName val="IO_LIST2"/>
      <sheetName val="_sept98_xls_x005f_x005f_x005f_x001d_B_Shee1"/>
      <sheetName val="[sept98_xls_x005f_x005f_x005f_x001d_B_Shee1"/>
      <sheetName val="Staff_Acco_1"/>
      <sheetName val="SITE_OVERHEADS1"/>
      <sheetName val="Boq_Block_A1"/>
      <sheetName val="Project_Details__1"/>
      <sheetName val="[sept98_xls࡝sdpl_oth_Liab1"/>
      <sheetName val="RCC,Ret__Wall1"/>
      <sheetName val="scurve_calc_(2)1"/>
      <sheetName val="LIST_OF_MAKES1"/>
      <sheetName val="_sept98_xls࡝sdpl_oth_Liab1"/>
      <sheetName val="_sept98_xls_x005f_x005f_x005f_x005f_x005f_x005f_1"/>
      <sheetName val="crs_-G-1_x005f_x001a__x005f_x0000__x005f_x0000_T1"/>
      <sheetName val="crs_-G-1_x005f_x001a___TBAL9697_-gro1"/>
      <sheetName val="final_abstract1"/>
      <sheetName val="key_dates1"/>
      <sheetName val="Labor_abs-NMR1"/>
      <sheetName val="Fin_Sum1"/>
      <sheetName val="Customize_Your_Purchase_Order1"/>
      <sheetName val="_sept98_xls_x005f_x001d_B_Sheet1"/>
      <sheetName val="_sept98_xls_x005f_x005f_x1"/>
      <sheetName val="INPUT_SHEET"/>
      <sheetName val="DETAILED__BOQ"/>
      <sheetName val="acevsSp_(ABC)"/>
      <sheetName val="MASTER_RATE_ANALYSIS"/>
      <sheetName val="BEAM_INPUT"/>
      <sheetName val="Plinth_beam"/>
      <sheetName val="Direct_Cost"/>
      <sheetName val="IO_LIST"/>
      <sheetName val="Detail_In_Door_Stad"/>
      <sheetName val="_sept98_xlsB_Sheet"/>
      <sheetName val="_sept98_xls_x005f_x005f_x005f_x005f_x"/>
      <sheetName val="Labor_abs-PW"/>
      <sheetName val="KQ_Cost_Controlling"/>
      <sheetName val="KQ_Appropriation"/>
      <sheetName val="Basic_Rates"/>
      <sheetName val="Works_-_Quote_Sheet"/>
      <sheetName val="Cashflow_projection"/>
      <sheetName val="Rate_Analysis"/>
      <sheetName val="crs_-G-1_x005f_x001a_"/>
      <sheetName val="Cash_Flow_Input_Data_ISC"/>
      <sheetName val="CABLE_DATA"/>
      <sheetName val="Break_Dw"/>
      <sheetName val="Debits_as_on_12_04_08"/>
      <sheetName val="220_11__BS_"/>
      <sheetName val="GR_slab-reinft"/>
      <sheetName val="Assumption_Inputs"/>
      <sheetName val="SPILL_OVER"/>
      <sheetName val="GF_Columns"/>
      <sheetName val="_sept98_xls_x005f_x005f_x005f_x001d_B_Shee2"/>
      <sheetName val="[sept98_xls_x005f_x005f_x005f_x001d_B_Shee2"/>
      <sheetName val="Staff_Acco_2"/>
      <sheetName val="SITE_OVERHEADS2"/>
      <sheetName val="Boq_Block_A2"/>
      <sheetName val="Project_Details__2"/>
      <sheetName val="[sept98_xls࡝sdpl_oth_Liab2"/>
      <sheetName val="RCC,Ret__Wall2"/>
      <sheetName val="scurve_calc_(2)2"/>
      <sheetName val="LIST_OF_MAKES2"/>
      <sheetName val="_sept98_xls࡝sdpl_oth_Liab2"/>
      <sheetName val="_sept98_xls_x005f_x005f_x005f_x005f_x005f_x005f_2"/>
      <sheetName val="crs_-G-1_x005f_x001a__x005f_x0000__x005f_x0000_T2"/>
      <sheetName val="crs_-G-1_x005f_x001a___TBAL9697_-gro2"/>
      <sheetName val="final_abstract2"/>
      <sheetName val="key_dates2"/>
      <sheetName val="Labor_abs-NMR2"/>
      <sheetName val="Fin_Sum2"/>
      <sheetName val="Customize_Your_Purchase_Order2"/>
      <sheetName val="_sept98_xls_x005f_x001d_B_Sheet2"/>
      <sheetName val="_sept98_xls_x005f_x005f_x2"/>
      <sheetName val="INPUT_SHEET1"/>
      <sheetName val="DETAILED__BOQ1"/>
      <sheetName val="acevsSp_(ABC)1"/>
      <sheetName val="MASTER_RATE_ANALYSIS1"/>
      <sheetName val="BEAM_INPUT1"/>
      <sheetName val="Plinth_beam1"/>
      <sheetName val="Direct_Cost1"/>
      <sheetName val="IO_LIST1"/>
      <sheetName val="Detail_In_Door_Stad1"/>
      <sheetName val="_sept98_xls_x005f_x005f_x005f_x005f_x1"/>
      <sheetName val="Labor_abs-PW1"/>
      <sheetName val="KQ_Cost_Controlling1"/>
      <sheetName val="KQ_Appropriation1"/>
      <sheetName val="Basic_Rates1"/>
      <sheetName val="Works_-_Quote_Sheet1"/>
      <sheetName val="Cashflow_projection1"/>
      <sheetName val="Rate_Analysis1"/>
      <sheetName val="crs_-G-1_x005f_x001a_1"/>
      <sheetName val="Cash_Flow_Input_Data_ISC1"/>
      <sheetName val="CABLE_DATA1"/>
      <sheetName val="Break_Dw1"/>
      <sheetName val="Debits_as_on_12_04_081"/>
      <sheetName val="220_11__BS_1"/>
      <sheetName val="GR_slab-reinft1"/>
      <sheetName val="Assumption_Inputs1"/>
      <sheetName val="SPILL_OVER1"/>
      <sheetName val="GF_Columns1"/>
      <sheetName val="Detail_In_Door_Stad2"/>
      <sheetName val="_sept98_xls_x005f_x005f_x005f_x005f_x2"/>
      <sheetName val="Labor_abs-PW2"/>
      <sheetName val="KQ_Cost_Controlling2"/>
      <sheetName val="KQ_Appropriation2"/>
      <sheetName val="Basic_Rates2"/>
      <sheetName val="Works_-_Quote_Sheet2"/>
      <sheetName val="Cashflow_projection2"/>
      <sheetName val="Rate_Analysis2"/>
      <sheetName val="crs_-G-1_x005f_x001a_2"/>
      <sheetName val="Cash_Flow_Input_Data_ISC2"/>
      <sheetName val="CABLE_DATA2"/>
      <sheetName val="Break_Dw2"/>
      <sheetName val="Debits_as_on_12_04_082"/>
      <sheetName val="220_11__BS_2"/>
      <sheetName val="GR_slab-reinft2"/>
      <sheetName val="Assumption_Inputs2"/>
      <sheetName val="SPILL_OVER2"/>
      <sheetName val="GF_Columns2"/>
      <sheetName val="_sept98_xls_x005f_x005f_x005f_x001d_B_Shee5"/>
      <sheetName val="[sept98_xls_x005f_x005f_x005f_x001d_B_Shee5"/>
      <sheetName val="Staff_Acco_5"/>
      <sheetName val="SITE_OVERHEADS5"/>
      <sheetName val="Boq_Block_A5"/>
      <sheetName val="Project_Details__5"/>
      <sheetName val="[sept98_xls࡝sdpl_oth_Liab5"/>
      <sheetName val="RCC,Ret__Wall5"/>
      <sheetName val="scurve_calc_(2)5"/>
      <sheetName val="LIST_OF_MAKES5"/>
      <sheetName val="_sept98_xls࡝sdpl_oth_Liab5"/>
      <sheetName val="_sept98_xls_x005f_x005f_x005f_x005f_x005f_x005f_5"/>
      <sheetName val="crs_-G-1_x005f_x001a__x005f_x0000__x005f_x0000_T5"/>
      <sheetName val="crs_-G-1_x005f_x001a___TBAL9697_-gro5"/>
      <sheetName val="final_abstract5"/>
      <sheetName val="key_dates5"/>
      <sheetName val="Labor_abs-NMR5"/>
      <sheetName val="Fin_Sum5"/>
      <sheetName val="Customize_Your_Purchase_Order5"/>
      <sheetName val="_sept98_xls_x005f_x001d_B_Sheet5"/>
      <sheetName val="_sept98_xls_x005f_x005f_x5"/>
      <sheetName val="INPUT_SHEET4"/>
      <sheetName val="DETAILED__BOQ4"/>
      <sheetName val="acevsSp_(ABC)4"/>
      <sheetName val="MASTER_RATE_ANALYSIS4"/>
      <sheetName val="BEAM_INPUT4"/>
      <sheetName val="Plinth_beam4"/>
      <sheetName val="Direct_Cost4"/>
      <sheetName val="IO_LIST4"/>
      <sheetName val="sheet6"/>
      <sheetName val="Area Statement"/>
      <sheetName val="Risk Analysis"/>
      <sheetName val="[sept98.xls_x005f_x001d_B_Sheet"/>
      <sheetName val="PHE BOQ"/>
      <sheetName val="Enquire"/>
      <sheetName val="Database"/>
      <sheetName val="schedule nos"/>
      <sheetName val="sheeet7"/>
      <sheetName val="SPT vs PHI"/>
      <sheetName val="oman_maint20"/>
      <sheetName val="CORPN_OCT19"/>
      <sheetName val="inout_consol-nov19"/>
      <sheetName val="inout_consol_(2)19"/>
      <sheetName val="AS_ON_DT_EXPS_Mar19"/>
      <sheetName val="J_fix_asst19"/>
      <sheetName val="J_fix_asst_sdpl19"/>
      <sheetName val="f_a_obpl19"/>
      <sheetName val="J_fix_asst_obpl19"/>
      <sheetName val="J_fix_asst_scc19"/>
      <sheetName val="J_fix_asst_ripl19"/>
      <sheetName val="fa-pl_&amp;_mach-site19"/>
      <sheetName val="fa_off_eqp19"/>
      <sheetName val="fa_fur&amp;_fix19"/>
      <sheetName val="I_Con_WIP_(2)19"/>
      <sheetName val="TBAL9596_-IIIIRUN19"/>
      <sheetName val="TBCRSsdpl_July9819"/>
      <sheetName val="Other_Proj_Schdl19"/>
      <sheetName val="OT_CLIENTS19"/>
      <sheetName val="inout_consol_July_9819"/>
      <sheetName val="consol_flow19"/>
      <sheetName val="B_Equity-sdpl_INC19"/>
      <sheetName val="inout_consol_wkg19"/>
      <sheetName val="inout_consol_WKNG19"/>
      <sheetName val="B_Sheet_9719"/>
      <sheetName val="P&amp;L_97_19"/>
      <sheetName val="B_Sheet_97-BEXP19"/>
      <sheetName val="P&amp;L_97_-BEXP19"/>
      <sheetName val="consol_flows19"/>
      <sheetName val="sdpl_oth_Liab19"/>
      <sheetName val="obpl-oth_liab19"/>
      <sheetName val="I-Wip-ot_(2)19"/>
      <sheetName val="detail_WIP_(2)19"/>
      <sheetName val="detail_G-119"/>
      <sheetName val="sobha_menon_ac19"/>
      <sheetName val="pnc_ac19"/>
      <sheetName val="fix_-p_&amp;_M_-SCC19"/>
      <sheetName val="C_fix_asst19"/>
      <sheetName val="D_fix_asst_scdl_19"/>
      <sheetName val="creditors_tb_obpl19"/>
      <sheetName val="TBAL9697_-group_wise__sdpl20"/>
      <sheetName val="TBAL9697_-group_wise_19"/>
      <sheetName val="crs_-G-119"/>
      <sheetName val="TBAL9697_-group_wise__onpl19"/>
      <sheetName val="B_Sheet_97-OBPL19"/>
      <sheetName val="B_Sheet_97_sdpl19"/>
      <sheetName val="TBAL9697_-group_wise__sdpl219"/>
      <sheetName val="D_Loan__Prom19"/>
      <sheetName val="E_Bank_Loan19"/>
      <sheetName val="G_work_Cap_19"/>
      <sheetName val="H_land_adv19"/>
      <sheetName val="detai_Wip_219"/>
      <sheetName val="detai_Wip_I_19"/>
      <sheetName val="J_Con_WIP19"/>
      <sheetName val="K_L_Oth_Co_19"/>
      <sheetName val="fix_asst_Obpl19"/>
      <sheetName val="TBAL9697__group_wise__sdpl19"/>
      <sheetName val="[sept98_xlsUomantopaz15"/>
      <sheetName val="_sept98_xlsUomantopaz15"/>
      <sheetName val="_sept98_xls_x005f_x001d_B_Sheet_9715"/>
      <sheetName val="[sept98_xls_x005f_x001d_B_Sheet_9715"/>
      <sheetName val="PRECAST_lightconc-II15"/>
      <sheetName val="Tender_Summary"/>
      <sheetName val="Area_Statement"/>
      <sheetName val="Risk_Analysis"/>
      <sheetName val="TBAL9697_-group_wise_sdpl"/>
      <sheetName val="Break_up_Sheet"/>
      <sheetName val="RA_BILL_(47-)"/>
      <sheetName val="Legal_Risk_Analysis"/>
      <sheetName val="PPM_Dates_10-16-07"/>
      <sheetName val="Sheet1_(2)"/>
      <sheetName val="TBSPLJ"/>
      <sheetName val="_sept98_xls_x"/>
      <sheetName val="crs_-G-1__TB"/>
      <sheetName val="[sept98_xls_x005f_x001d_B_Sheet"/>
      <sheetName val="PHE_BOQ"/>
      <sheetName val="oman_maint21"/>
      <sheetName val="CORPN_OCT21"/>
      <sheetName val="inout_consol-nov21"/>
      <sheetName val="inout_consol_(2)21"/>
      <sheetName val="AS_ON_DT_EXPS_Mar21"/>
      <sheetName val="J_fix_asst21"/>
      <sheetName val="J_fix_asst_sdpl21"/>
      <sheetName val="f_a_obpl21"/>
      <sheetName val="J_fix_asst_obpl21"/>
      <sheetName val="J_fix_asst_scc21"/>
      <sheetName val="J_fix_asst_ripl21"/>
      <sheetName val="fa-pl_&amp;_mach-site21"/>
      <sheetName val="fa_off_eqp21"/>
      <sheetName val="fa_fur&amp;_fix21"/>
      <sheetName val="I_Con_WIP_(2)21"/>
      <sheetName val="TBAL9596_-IIIIRUN21"/>
      <sheetName val="TBCRSsdpl_July9821"/>
      <sheetName val="Other_Proj_Schdl21"/>
      <sheetName val="OT_CLIENTS21"/>
      <sheetName val="inout_consol_July_9821"/>
      <sheetName val="consol_flow21"/>
      <sheetName val="B_Equity-sdpl_INC21"/>
      <sheetName val="inout_consol_wkg21"/>
      <sheetName val="inout_consol_WKNG21"/>
      <sheetName val="B_Sheet_9721"/>
      <sheetName val="P&amp;L_97_21"/>
      <sheetName val="B_Sheet_97-BEXP21"/>
      <sheetName val="P&amp;L_97_-BEXP21"/>
      <sheetName val="consol_flows21"/>
      <sheetName val="sdpl_oth_Liab21"/>
      <sheetName val="obpl-oth_liab21"/>
      <sheetName val="I-Wip-ot_(2)21"/>
      <sheetName val="detail_WIP_(2)21"/>
      <sheetName val="detail_G-121"/>
      <sheetName val="sobha_menon_ac21"/>
      <sheetName val="pnc_ac21"/>
      <sheetName val="fix_-p_&amp;_M_-SCC21"/>
      <sheetName val="C_fix_asst21"/>
      <sheetName val="D_fix_asst_scdl_21"/>
      <sheetName val="creditors_tb_obpl21"/>
      <sheetName val="TBAL9697_-group_wise__sdpl31"/>
      <sheetName val="TBAL9697_-group_wise_21"/>
      <sheetName val="crs_-G-121"/>
      <sheetName val="TBAL9697_-group_wise__onpl21"/>
      <sheetName val="B_Sheet_97-OBPL21"/>
      <sheetName val="B_Sheet_97_sdpl21"/>
      <sheetName val="TBAL9697_-group_wise__sdpl221"/>
      <sheetName val="D_Loan__Prom21"/>
      <sheetName val="E_Bank_Loan21"/>
      <sheetName val="G_work_Cap_21"/>
      <sheetName val="H_land_adv21"/>
      <sheetName val="detai_Wip_221"/>
      <sheetName val="detai_Wip_I_21"/>
      <sheetName val="J_Con_WIP21"/>
      <sheetName val="K_L_Oth_Co_21"/>
      <sheetName val="fix_asst_Obpl21"/>
      <sheetName val="TBAL9697__group_wise__sdpl21"/>
      <sheetName val="[sept98_xlsUomantopaz17"/>
      <sheetName val="_sept98_xlsUomantopaz17"/>
      <sheetName val="_sept98_xls_x005f_x001d_B_Sheet_9717"/>
      <sheetName val="[sept98_xls_x005f_x001d_B_Sheet_9717"/>
      <sheetName val="PRECAST_lightconc-II17"/>
      <sheetName val="Tender_Summary1"/>
      <sheetName val="Area_Statement1"/>
      <sheetName val="Risk_Analysis1"/>
      <sheetName val="TBAL9697_-group_wise_sdpl1"/>
      <sheetName val="Break_up_Sheet1"/>
      <sheetName val="RA_BILL_(47-)1"/>
      <sheetName val="Legal_Risk_Analysis1"/>
      <sheetName val="PPM_Dates_10-16-071"/>
      <sheetName val="Sheet1_(2)1"/>
      <sheetName val="_sept98_xls_x1"/>
      <sheetName val="[sept98_xls_x005f_x001d_B_Sheet1"/>
      <sheetName val="PHE_BOQ1"/>
      <sheetName val="oman_maint23"/>
      <sheetName val="CORPN_OCT23"/>
      <sheetName val="inout_consol-nov23"/>
      <sheetName val="inout_consol_(2)23"/>
      <sheetName val="AS_ON_DT_EXPS_Mar23"/>
      <sheetName val="J_fix_asst23"/>
      <sheetName val="J_fix_asst_sdpl23"/>
      <sheetName val="f_a_obpl23"/>
      <sheetName val="J_fix_asst_obpl23"/>
      <sheetName val="J_fix_asst_scc23"/>
      <sheetName val="J_fix_asst_ripl23"/>
      <sheetName val="fa-pl_&amp;_mach-site23"/>
      <sheetName val="fa_off_eqp23"/>
      <sheetName val="fa_fur&amp;_fix23"/>
      <sheetName val="I_Con_WIP_(2)23"/>
      <sheetName val="TBAL9596_-IIIIRUN23"/>
      <sheetName val="TBCRSsdpl_July9823"/>
      <sheetName val="Other_Proj_Schdl23"/>
      <sheetName val="OT_CLIENTS23"/>
      <sheetName val="inout_consol_July_9823"/>
      <sheetName val="consol_flow23"/>
      <sheetName val="B_Equity-sdpl_INC23"/>
      <sheetName val="inout_consol_wkg23"/>
      <sheetName val="inout_consol_WKNG23"/>
      <sheetName val="B_Sheet_9723"/>
      <sheetName val="P&amp;L_97_23"/>
      <sheetName val="B_Sheet_97-BEXP23"/>
      <sheetName val="P&amp;L_97_-BEXP23"/>
      <sheetName val="consol_flows23"/>
      <sheetName val="sdpl_oth_Liab23"/>
      <sheetName val="obpl-oth_liab23"/>
      <sheetName val="I-Wip-ot_(2)23"/>
      <sheetName val="detail_WIP_(2)23"/>
      <sheetName val="detail_G-123"/>
      <sheetName val="sobha_menon_ac23"/>
      <sheetName val="pnc_ac23"/>
      <sheetName val="fix_-p_&amp;_M_-SCC23"/>
      <sheetName val="C_fix_asst23"/>
      <sheetName val="D_fix_asst_scdl_23"/>
      <sheetName val="creditors_tb_obpl23"/>
      <sheetName val="TBAL9697_-group_wise__sdpl33"/>
      <sheetName val="TBAL9697_-group_wise_23"/>
      <sheetName val="crs_-G-123"/>
      <sheetName val="TBAL9697_-group_wise__onpl23"/>
      <sheetName val="B_Sheet_97-OBPL23"/>
      <sheetName val="B_Sheet_97_sdpl23"/>
      <sheetName val="TBAL9697_-group_wise__sdpl223"/>
      <sheetName val="D_Loan__Prom23"/>
      <sheetName val="E_Bank_Loan23"/>
      <sheetName val="G_work_Cap_23"/>
      <sheetName val="H_land_adv23"/>
      <sheetName val="detai_Wip_223"/>
      <sheetName val="detai_Wip_I_23"/>
      <sheetName val="J_Con_WIP23"/>
      <sheetName val="K_L_Oth_Co_23"/>
      <sheetName val="fix_asst_Obpl23"/>
      <sheetName val="TBAL9697__group_wise__sdpl23"/>
      <sheetName val="[sept98_xlsUomantopaz19"/>
      <sheetName val="_sept98_xlsUomantopaz19"/>
      <sheetName val="_sept98_xls_x005f_x001d_B_Sheet_9719"/>
      <sheetName val="[sept98_xls_x005f_x001d_B_Sheet_9719"/>
      <sheetName val="PRECAST_lightconc-II19"/>
      <sheetName val="Tender_Summary2"/>
      <sheetName val="Area_Statement2"/>
      <sheetName val="Risk_Analysis2"/>
      <sheetName val="TBAL9697_-group_wise_sdpl2"/>
      <sheetName val="Break_up_Sheet2"/>
      <sheetName val="RA_BILL_(47-)2"/>
      <sheetName val="Legal_Risk_Analysis2"/>
      <sheetName val="PPM_Dates_10-16-072"/>
      <sheetName val="Sheet1_(2)2"/>
      <sheetName val="_sept98_xls_x2"/>
      <sheetName val="[sept98_xls_x005f_x001d_B_Sheet2"/>
      <sheetName val="PHE_BOQ2"/>
      <sheetName val="Mat_Cost"/>
      <sheetName val="oman_maint25"/>
      <sheetName val="CORPN_OCT24"/>
      <sheetName val="inout_consol-nov24"/>
      <sheetName val="inout_consol_(2)24"/>
      <sheetName val="AS_ON_DT_EXPS_Mar24"/>
      <sheetName val="J_fix_asst24"/>
      <sheetName val="J_fix_asst_sdpl24"/>
      <sheetName val="f_a_obpl24"/>
      <sheetName val="J_fix_asst_obpl24"/>
      <sheetName val="J_fix_asst_scc24"/>
      <sheetName val="J_fix_asst_ripl24"/>
      <sheetName val="fa-pl_&amp;_mach-site24"/>
      <sheetName val="fa_off_eqp24"/>
      <sheetName val="fa_fur&amp;_fix24"/>
      <sheetName val="I_Con_WIP_(2)24"/>
      <sheetName val="TBAL9596_-IIIIRUN24"/>
      <sheetName val="TBCRSsdpl_July9824"/>
      <sheetName val="Other_Proj_Schdl24"/>
      <sheetName val="OT_CLIENTS24"/>
      <sheetName val="inout_consol_July_9824"/>
      <sheetName val="consol_flow24"/>
      <sheetName val="B_Equity-sdpl_INC24"/>
      <sheetName val="inout_consol_wkg24"/>
      <sheetName val="inout_consol_WKNG24"/>
      <sheetName val="B_Sheet_9724"/>
      <sheetName val="P&amp;L_97_24"/>
      <sheetName val="B_Sheet_97-BEXP24"/>
      <sheetName val="P&amp;L_97_-BEXP24"/>
      <sheetName val="consol_flows24"/>
      <sheetName val="sdpl_oth_Liab24"/>
      <sheetName val="obpl-oth_liab24"/>
      <sheetName val="I-Wip-ot_(2)24"/>
      <sheetName val="detail_WIP_(2)24"/>
      <sheetName val="detail_G-124"/>
      <sheetName val="sobha_menon_ac24"/>
      <sheetName val="pnc_ac24"/>
      <sheetName val="fix_-p_&amp;_M_-SCC24"/>
      <sheetName val="C_fix_asst24"/>
      <sheetName val="D_fix_asst_scdl_24"/>
      <sheetName val="creditors_tb_obpl24"/>
      <sheetName val="TBAL9697_-group_wise__sdpl34"/>
      <sheetName val="TBAL9697_-group_wise_24"/>
      <sheetName val="crs_-G-124"/>
      <sheetName val="TBAL9697_-group_wise__onpl24"/>
      <sheetName val="B_Sheet_97-OBPL24"/>
      <sheetName val="B_Sheet_97_sdpl24"/>
      <sheetName val="TBAL9697_-group_wise__sdpl224"/>
      <sheetName val="D_Loan__Prom24"/>
      <sheetName val="E_Bank_Loan24"/>
      <sheetName val="G_work_Cap_24"/>
      <sheetName val="H_land_adv24"/>
      <sheetName val="detai_Wip_224"/>
      <sheetName val="detai_Wip_I_24"/>
      <sheetName val="J_Con_WIP24"/>
      <sheetName val="K_L_Oth_Co_24"/>
      <sheetName val="fix_asst_Obpl24"/>
      <sheetName val="TBAL9697__group_wise__sdpl24"/>
      <sheetName val="[sept98_xlsUomantopaz20"/>
      <sheetName val="_sept98_xlsUomantopaz20"/>
      <sheetName val="_sept98_xls_x005f_x001d_B_Sheet_9720"/>
      <sheetName val="[sept98_xls_x005f_x001d_B_Sheet_9720"/>
      <sheetName val="PRECAST_lightconc-II20"/>
      <sheetName val="Detail_In_Door_Stad3"/>
      <sheetName val="GR_slab-reinft3"/>
      <sheetName val="Assumption_Inputs3"/>
      <sheetName val="_sept98_xls_x005f_x005f_x005f_x005f_x3"/>
      <sheetName val="Rate_Analysis3"/>
      <sheetName val="Tender_Summary3"/>
      <sheetName val="Basic_Rates3"/>
      <sheetName val="Works_-_Quote_Sheet3"/>
      <sheetName val="Cashflow_projection3"/>
      <sheetName val="GF_Columns3"/>
      <sheetName val="Area_Statement3"/>
      <sheetName val="Risk_Analysis3"/>
      <sheetName val="KQ_Cost_Controlling3"/>
      <sheetName val="KQ_Appropriation3"/>
      <sheetName val="TBAL9697_-group_wise_sdpl3"/>
      <sheetName val="crs_-G-1_x005f_x001a_3"/>
      <sheetName val="Break_up_Sheet3"/>
      <sheetName val="Debits_as_on_12_04_083"/>
      <sheetName val="220_11__BS_3"/>
      <sheetName val="RA_BILL_(47-)3"/>
      <sheetName val="SPILL_OVER3"/>
      <sheetName val="Legal_Risk_Analysis3"/>
      <sheetName val="Cash_Flow_Input_Data_ISC3"/>
      <sheetName val="PPM_Dates_10-16-073"/>
      <sheetName val="Sheet1_(2)3"/>
      <sheetName val="_sept98_xls_x3"/>
      <sheetName val="[sept98_xls_x005f_x001d_B_Sheet3"/>
      <sheetName val="PHE_BOQ3"/>
      <sheetName val="Code03"/>
      <sheetName val="AutoOpen Stub Data"/>
      <sheetName val="TBS_x005f_x005f_x005f_x005F_x005f_x0004_PLJ"/>
      <sheetName val="Material Rate"/>
      <sheetName val="SLAB SCH"/>
      <sheetName val="11B "/>
      <sheetName val="6B"/>
      <sheetName val="13"/>
      <sheetName val="_sept98_xls_x001d_B_Sheet_97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214">
          <cell r="A214" t="str">
            <v>ADMINISTRATIVE &amp; MANAGEMENT EXPENSES</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214">
          <cell r="A214" t="str">
            <v>ADMINISTRATIVE &amp; MANAGEMENT EXPENSES</v>
          </cell>
        </row>
      </sheetData>
      <sheetData sheetId="117"/>
      <sheetData sheetId="118"/>
      <sheetData sheetId="119">
        <row r="214">
          <cell r="A214" t="str">
            <v>ADMINISTRATIVE &amp; MANAGEMENT EXPENSES</v>
          </cell>
        </row>
      </sheetData>
      <sheetData sheetId="120"/>
      <sheetData sheetId="121">
        <row r="214">
          <cell r="A214" t="str">
            <v>ADMINISTRATIVE &amp; MANAGEMENT EXPENSES</v>
          </cell>
        </row>
      </sheetData>
      <sheetData sheetId="122">
        <row r="214">
          <cell r="A214" t="str">
            <v>ADMINISTRATIVE &amp; MANAGEMENT EXPENSES</v>
          </cell>
        </row>
      </sheetData>
      <sheetData sheetId="123">
        <row r="214">
          <cell r="A214" t="str">
            <v>ADMINISTRATIVE &amp; MANAGEMENT EXPENSES</v>
          </cell>
        </row>
      </sheetData>
      <sheetData sheetId="124"/>
      <sheetData sheetId="125">
        <row r="214">
          <cell r="A214" t="str">
            <v>ADMINISTRATIVE &amp; MANAGEMENT EXPENSES</v>
          </cell>
        </row>
      </sheetData>
      <sheetData sheetId="126">
        <row r="214">
          <cell r="A214" t="str">
            <v>ADMINISTRATIVE &amp; MANAGEMENT EXPENSES</v>
          </cell>
        </row>
      </sheetData>
      <sheetData sheetId="127"/>
      <sheetData sheetId="128">
        <row r="214">
          <cell r="A214" t="str">
            <v>ADMINISTRATIVE &amp; MANAGEMENT EXPENSES</v>
          </cell>
        </row>
      </sheetData>
      <sheetData sheetId="129">
        <row r="214">
          <cell r="A214" t="str">
            <v>ADMINISTRATIVE &amp; MANAGEMENT EXPENSES</v>
          </cell>
        </row>
      </sheetData>
      <sheetData sheetId="130"/>
      <sheetData sheetId="131"/>
      <sheetData sheetId="132">
        <row r="214">
          <cell r="A214" t="str">
            <v>ADMINISTRATIVE &amp; MANAGEMENT EXPENSES</v>
          </cell>
        </row>
      </sheetData>
      <sheetData sheetId="133"/>
      <sheetData sheetId="134"/>
      <sheetData sheetId="135"/>
      <sheetData sheetId="136">
        <row r="214">
          <cell r="A214" t="str">
            <v>ADMINISTRATIVE &amp; MANAGEMENT EXPENSES</v>
          </cell>
        </row>
      </sheetData>
      <sheetData sheetId="137"/>
      <sheetData sheetId="138"/>
      <sheetData sheetId="139"/>
      <sheetData sheetId="140">
        <row r="214">
          <cell r="A214" t="str">
            <v>ADMINISTRATIVE &amp; MANAGEMENT EXPENSES</v>
          </cell>
        </row>
      </sheetData>
      <sheetData sheetId="141"/>
      <sheetData sheetId="142">
        <row r="214">
          <cell r="A214" t="str">
            <v>ADMINISTRATIVE &amp; MANAGEMENT EXPENSES</v>
          </cell>
        </row>
      </sheetData>
      <sheetData sheetId="143">
        <row r="214">
          <cell r="A214" t="str">
            <v>ADMINISTRATIVE &amp; MANAGEMENT EXPENSES</v>
          </cell>
        </row>
      </sheetData>
      <sheetData sheetId="144"/>
      <sheetData sheetId="145"/>
      <sheetData sheetId="146">
        <row r="214">
          <cell r="A214" t="str">
            <v>ADMINISTRATIVE &amp; MANAGEMENT EXPENSES</v>
          </cell>
        </row>
      </sheetData>
      <sheetData sheetId="147">
        <row r="214">
          <cell r="A214" t="str">
            <v>ADMINISTRATIVE &amp; MANAGEMENT EXPENSES</v>
          </cell>
        </row>
      </sheetData>
      <sheetData sheetId="148">
        <row r="214">
          <cell r="A214" t="str">
            <v>ADMINISTRATIVE &amp; MANAGEMENT EXPENSES</v>
          </cell>
        </row>
      </sheetData>
      <sheetData sheetId="149">
        <row r="214">
          <cell r="A214" t="str">
            <v>ADMINISTRATIVE &amp; MANAGEMENT EXPENSES</v>
          </cell>
        </row>
      </sheetData>
      <sheetData sheetId="150">
        <row r="214">
          <cell r="A214" t="str">
            <v>ADMINISTRATIVE &amp; MANAGEMENT EXPENSES</v>
          </cell>
        </row>
      </sheetData>
      <sheetData sheetId="151"/>
      <sheetData sheetId="152"/>
      <sheetData sheetId="153">
        <row r="214">
          <cell r="A214" t="str">
            <v>ADMINISTRATIVE &amp; MANAGEMENT EXPENSES</v>
          </cell>
        </row>
      </sheetData>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ow r="214">
          <cell r="A214" t="str">
            <v>ADMINISTRATIVE &amp; MANAGEMENT EXPENSES</v>
          </cell>
        </row>
      </sheetData>
      <sheetData sheetId="197">
        <row r="214">
          <cell r="A214" t="str">
            <v>ADMINISTRATIVE &amp; MANAGEMENT EXPENSES</v>
          </cell>
        </row>
      </sheetData>
      <sheetData sheetId="198">
        <row r="214">
          <cell r="A214" t="str">
            <v>ADMINISTRATIVE &amp; MANAGEMENT EXPENSES</v>
          </cell>
        </row>
      </sheetData>
      <sheetData sheetId="199"/>
      <sheetData sheetId="200"/>
      <sheetData sheetId="201"/>
      <sheetData sheetId="202"/>
      <sheetData sheetId="203"/>
      <sheetData sheetId="204"/>
      <sheetData sheetId="205">
        <row r="214">
          <cell r="A214" t="str">
            <v>ADMINISTRATIVE &amp; MANAGEMENT EXPENSES</v>
          </cell>
        </row>
      </sheetData>
      <sheetData sheetId="206">
        <row r="214">
          <cell r="A214" t="str">
            <v>ADMINISTRATIVE &amp; MANAGEMENT EXPENSES</v>
          </cell>
        </row>
      </sheetData>
      <sheetData sheetId="207">
        <row r="214">
          <cell r="A214" t="str">
            <v>ADMINISTRATIVE &amp; MANAGEMENT EXPENSES</v>
          </cell>
        </row>
      </sheetData>
      <sheetData sheetId="208">
        <row r="214">
          <cell r="A214" t="str">
            <v>ADMINISTRATIVE &amp; MANAGEMENT EXPENSES</v>
          </cell>
        </row>
      </sheetData>
      <sheetData sheetId="209"/>
      <sheetData sheetId="210"/>
      <sheetData sheetId="211"/>
      <sheetData sheetId="212"/>
      <sheetData sheetId="213"/>
      <sheetData sheetId="214"/>
      <sheetData sheetId="215"/>
      <sheetData sheetId="216"/>
      <sheetData sheetId="217">
        <row r="214">
          <cell r="A214" t="str">
            <v>ADMINISTRATIVE &amp; MANAGEMENT EXPENSES</v>
          </cell>
        </row>
      </sheetData>
      <sheetData sheetId="218">
        <row r="214">
          <cell r="A214" t="str">
            <v>ADMINISTRATIVE &amp; MANAGEMENT EXPENSES</v>
          </cell>
        </row>
      </sheetData>
      <sheetData sheetId="219">
        <row r="214">
          <cell r="A214" t="str">
            <v>ADMINISTRATIVE &amp; MANAGEMENT EXPENSES</v>
          </cell>
        </row>
      </sheetData>
      <sheetData sheetId="220">
        <row r="214">
          <cell r="A214" t="str">
            <v>ADMINISTRATIVE &amp; MANAGEMENT EXPENSES</v>
          </cell>
        </row>
      </sheetData>
      <sheetData sheetId="221"/>
      <sheetData sheetId="222"/>
      <sheetData sheetId="223"/>
      <sheetData sheetId="224"/>
      <sheetData sheetId="225"/>
      <sheetData sheetId="226"/>
      <sheetData sheetId="227">
        <row r="214">
          <cell r="A214" t="str">
            <v>ADMINISTRATIVE &amp; MANAGEMENT EXPENSES</v>
          </cell>
        </row>
      </sheetData>
      <sheetData sheetId="228">
        <row r="214">
          <cell r="A214" t="str">
            <v>ADMINISTRATIVE &amp; MANAGEMENT EXPENSES</v>
          </cell>
        </row>
      </sheetData>
      <sheetData sheetId="229"/>
      <sheetData sheetId="230"/>
      <sheetData sheetId="231">
        <row r="214">
          <cell r="A214" t="str">
            <v>ADMINISTRATIVE &amp; MANAGEMENT EXPENSES</v>
          </cell>
        </row>
      </sheetData>
      <sheetData sheetId="232">
        <row r="214">
          <cell r="A214" t="str">
            <v>ADMINISTRATIVE &amp; MANAGEMENT EXPENSES</v>
          </cell>
        </row>
      </sheetData>
      <sheetData sheetId="233"/>
      <sheetData sheetId="234"/>
      <sheetData sheetId="235"/>
      <sheetData sheetId="236"/>
      <sheetData sheetId="237">
        <row r="214">
          <cell r="A214" t="str">
            <v>ADMINISTRATIVE &amp; MANAGEMENT EXPENSES</v>
          </cell>
        </row>
      </sheetData>
      <sheetData sheetId="238">
        <row r="214">
          <cell r="A214" t="str">
            <v>ADMINISTRATIVE &amp; MANAGEMENT EXPENSES</v>
          </cell>
        </row>
      </sheetData>
      <sheetData sheetId="239"/>
      <sheetData sheetId="240"/>
      <sheetData sheetId="241"/>
      <sheetData sheetId="242"/>
      <sheetData sheetId="243">
        <row r="214">
          <cell r="A214" t="str">
            <v>ADMINISTRATIVE &amp; MANAGEMENT EXPENSES</v>
          </cell>
        </row>
      </sheetData>
      <sheetData sheetId="244">
        <row r="214">
          <cell r="A214" t="str">
            <v>ADMINISTRATIVE &amp; MANAGEMENT EXPENSES</v>
          </cell>
        </row>
      </sheetData>
      <sheetData sheetId="245">
        <row r="214">
          <cell r="A214" t="str">
            <v>ADMINISTRATIVE &amp; MANAGEMENT EXPENSES</v>
          </cell>
        </row>
      </sheetData>
      <sheetData sheetId="246">
        <row r="214">
          <cell r="A214" t="str">
            <v>ADMINISTRATIVE &amp; MANAGEMENT EXPENSES</v>
          </cell>
        </row>
      </sheetData>
      <sheetData sheetId="247"/>
      <sheetData sheetId="248"/>
      <sheetData sheetId="249"/>
      <sheetData sheetId="250"/>
      <sheetData sheetId="251"/>
      <sheetData sheetId="252"/>
      <sheetData sheetId="253"/>
      <sheetData sheetId="254"/>
      <sheetData sheetId="255"/>
      <sheetData sheetId="256"/>
      <sheetData sheetId="257"/>
      <sheetData sheetId="258"/>
      <sheetData sheetId="259">
        <row r="214">
          <cell r="A214" t="str">
            <v>ADMINISTRATIVE &amp; MANAGEMENT EXPENSES</v>
          </cell>
        </row>
      </sheetData>
      <sheetData sheetId="260">
        <row r="214">
          <cell r="A214" t="str">
            <v>ADMINISTRATIVE &amp; MANAGEMENT EXPENSES</v>
          </cell>
        </row>
      </sheetData>
      <sheetData sheetId="261">
        <row r="214">
          <cell r="A214" t="str">
            <v>ADMINISTRATIVE &amp; MANAGEMENT EXPENSES</v>
          </cell>
        </row>
      </sheetData>
      <sheetData sheetId="262">
        <row r="214">
          <cell r="A214" t="str">
            <v>ADMINISTRATIVE &amp; MANAGEMENT EXPENSES</v>
          </cell>
        </row>
      </sheetData>
      <sheetData sheetId="263">
        <row r="214">
          <cell r="A214" t="str">
            <v>ADMINISTRATIVE &amp; MANAGEMENT EXPENSES</v>
          </cell>
        </row>
      </sheetData>
      <sheetData sheetId="264">
        <row r="214">
          <cell r="A214" t="str">
            <v>ADMINISTRATIVE &amp; MANAGEMENT EXPENSES</v>
          </cell>
        </row>
      </sheetData>
      <sheetData sheetId="265"/>
      <sheetData sheetId="266"/>
      <sheetData sheetId="267"/>
      <sheetData sheetId="268">
        <row r="214">
          <cell r="A214" t="str">
            <v>ADMINISTRATIVE &amp; MANAGEMENT EXPENSES</v>
          </cell>
        </row>
      </sheetData>
      <sheetData sheetId="269">
        <row r="214">
          <cell r="A214" t="str">
            <v>ADMINISTRATIVE &amp; MANAGEMENT EXPENSES</v>
          </cell>
        </row>
      </sheetData>
      <sheetData sheetId="270">
        <row r="214">
          <cell r="A214" t="str">
            <v>ADMINISTRATIVE &amp; MANAGEMENT EXPENSES</v>
          </cell>
        </row>
      </sheetData>
      <sheetData sheetId="271">
        <row r="214">
          <cell r="A214" t="str">
            <v>ADMINISTRATIVE &amp; MANAGEMENT EXPENSES</v>
          </cell>
        </row>
      </sheetData>
      <sheetData sheetId="272">
        <row r="214">
          <cell r="A214" t="str">
            <v>ADMINISTRATIVE &amp; MANAGEMENT EXPENSES</v>
          </cell>
        </row>
      </sheetData>
      <sheetData sheetId="273"/>
      <sheetData sheetId="274">
        <row r="214">
          <cell r="A214" t="str">
            <v>ADMINISTRATIVE &amp; MANAGEMENT EXPENSES</v>
          </cell>
        </row>
      </sheetData>
      <sheetData sheetId="275">
        <row r="214">
          <cell r="A214" t="str">
            <v>ADMINISTRATIVE &amp; MANAGEMENT EXPENSES</v>
          </cell>
        </row>
      </sheetData>
      <sheetData sheetId="276"/>
      <sheetData sheetId="277"/>
      <sheetData sheetId="278"/>
      <sheetData sheetId="279">
        <row r="214">
          <cell r="A214" t="str">
            <v>ADMINISTRATIVE &amp; MANAGEMENT EXPENSES</v>
          </cell>
        </row>
      </sheetData>
      <sheetData sheetId="280">
        <row r="214">
          <cell r="A214" t="str">
            <v>ADMINISTRATIVE &amp; MANAGEMENT EXPENSES</v>
          </cell>
        </row>
      </sheetData>
      <sheetData sheetId="281">
        <row r="214">
          <cell r="A214" t="str">
            <v>ADMINISTRATIVE &amp; MANAGEMENT EXPENSES</v>
          </cell>
        </row>
      </sheetData>
      <sheetData sheetId="282">
        <row r="214">
          <cell r="A214" t="str">
            <v>ADMINISTRATIVE &amp; MANAGEMENT EXPENSES</v>
          </cell>
        </row>
      </sheetData>
      <sheetData sheetId="283">
        <row r="214">
          <cell r="A214" t="str">
            <v>ADMINISTRATIVE &amp; MANAGEMENT EXPENSES</v>
          </cell>
        </row>
      </sheetData>
      <sheetData sheetId="284">
        <row r="214">
          <cell r="A214" t="str">
            <v>ADMINISTRATIVE &amp; MANAGEMENT EXPENSES</v>
          </cell>
        </row>
      </sheetData>
      <sheetData sheetId="285">
        <row r="214">
          <cell r="A214" t="str">
            <v>ADMINISTRATIVE &amp; MANAGEMENT EXPENSES</v>
          </cell>
        </row>
      </sheetData>
      <sheetData sheetId="286"/>
      <sheetData sheetId="287">
        <row r="214">
          <cell r="A214" t="str">
            <v>ADMINISTRATIVE &amp; MANAGEMENT EXPENSES</v>
          </cell>
        </row>
      </sheetData>
      <sheetData sheetId="288">
        <row r="214">
          <cell r="A214" t="str">
            <v>ADMINISTRATIVE &amp; MANAGEMENT EXPENSES</v>
          </cell>
        </row>
      </sheetData>
      <sheetData sheetId="289">
        <row r="214">
          <cell r="A214" t="str">
            <v>ADMINISTRATIVE &amp; MANAGEMENT EXPENSES</v>
          </cell>
        </row>
      </sheetData>
      <sheetData sheetId="290"/>
      <sheetData sheetId="291"/>
      <sheetData sheetId="292">
        <row r="214">
          <cell r="A214" t="str">
            <v>ADMINISTRATIVE &amp; MANAGEMENT EXPENSES</v>
          </cell>
        </row>
      </sheetData>
      <sheetData sheetId="293"/>
      <sheetData sheetId="294"/>
      <sheetData sheetId="295"/>
      <sheetData sheetId="296">
        <row r="214">
          <cell r="A214" t="str">
            <v>ADMINISTRATIVE &amp; MANAGEMENT EXPENSES</v>
          </cell>
        </row>
      </sheetData>
      <sheetData sheetId="297">
        <row r="214">
          <cell r="A214" t="str">
            <v>ADMINISTRATIVE &amp; MANAGEMENT EXPENSES</v>
          </cell>
        </row>
      </sheetData>
      <sheetData sheetId="298">
        <row r="214">
          <cell r="A214" t="str">
            <v>ADMINISTRATIVE &amp; MANAGEMENT EXPENSES</v>
          </cell>
        </row>
      </sheetData>
      <sheetData sheetId="299">
        <row r="214">
          <cell r="A214" t="str">
            <v>ADMINISTRATIVE &amp; MANAGEMENT EXPENSES</v>
          </cell>
        </row>
      </sheetData>
      <sheetData sheetId="300">
        <row r="214">
          <cell r="A214" t="str">
            <v>ADMINISTRATIVE &amp; MANAGEMENT EXPENSES</v>
          </cell>
        </row>
      </sheetData>
      <sheetData sheetId="301"/>
      <sheetData sheetId="302"/>
      <sheetData sheetId="303">
        <row r="214">
          <cell r="A214" t="str">
            <v>ADMINISTRATIVE &amp; MANAGEMENT EXPENSES</v>
          </cell>
        </row>
      </sheetData>
      <sheetData sheetId="304">
        <row r="214">
          <cell r="A214" t="str">
            <v>ADMINISTRATIVE &amp; MANAGEMENT EXPENSES</v>
          </cell>
        </row>
      </sheetData>
      <sheetData sheetId="305"/>
      <sheetData sheetId="306">
        <row r="214">
          <cell r="A214" t="str">
            <v>ADMINISTRATIVE &amp; MANAGEMENT EXPENSES</v>
          </cell>
        </row>
      </sheetData>
      <sheetData sheetId="307">
        <row r="214">
          <cell r="A214" t="str">
            <v>ADMINISTRATIVE &amp; MANAGEMENT EXPENSES</v>
          </cell>
        </row>
      </sheetData>
      <sheetData sheetId="308"/>
      <sheetData sheetId="309"/>
      <sheetData sheetId="310"/>
      <sheetData sheetId="311"/>
      <sheetData sheetId="312"/>
      <sheetData sheetId="313"/>
      <sheetData sheetId="314"/>
      <sheetData sheetId="315"/>
      <sheetData sheetId="316"/>
      <sheetData sheetId="317">
        <row r="214">
          <cell r="A214" t="str">
            <v>ADMINISTRATIVE &amp; MANAGEMENT EXPENSES</v>
          </cell>
        </row>
      </sheetData>
      <sheetData sheetId="318">
        <row r="214">
          <cell r="A214" t="str">
            <v>ADMINISTRATIVE &amp; MANAGEMENT EXPENSES</v>
          </cell>
        </row>
      </sheetData>
      <sheetData sheetId="319">
        <row r="214">
          <cell r="A214" t="str">
            <v>ADMINISTRATIVE &amp; MANAGEMENT EXPENSES</v>
          </cell>
        </row>
      </sheetData>
      <sheetData sheetId="320">
        <row r="214">
          <cell r="A214" t="str">
            <v>ADMINISTRATIVE &amp; MANAGEMENT EXPENSES</v>
          </cell>
        </row>
      </sheetData>
      <sheetData sheetId="321">
        <row r="214">
          <cell r="A214" t="str">
            <v>ADMINISTRATIVE &amp; MANAGEMENT EXPENSES</v>
          </cell>
        </row>
      </sheetData>
      <sheetData sheetId="322">
        <row r="214">
          <cell r="A214" t="str">
            <v>ADMINISTRATIVE &amp; MANAGEMENT EXPENSES</v>
          </cell>
        </row>
      </sheetData>
      <sheetData sheetId="323">
        <row r="214">
          <cell r="A214" t="str">
            <v>ADMINISTRATIVE &amp; MANAGEMENT EXPENSES</v>
          </cell>
        </row>
      </sheetData>
      <sheetData sheetId="324">
        <row r="214">
          <cell r="A214" t="str">
            <v>ADMINISTRATIVE &amp; MANAGEMENT EXPENSES</v>
          </cell>
        </row>
      </sheetData>
      <sheetData sheetId="325">
        <row r="214">
          <cell r="A214" t="str">
            <v>ADMINISTRATIVE &amp; MANAGEMENT EXPENSES</v>
          </cell>
        </row>
      </sheetData>
      <sheetData sheetId="326">
        <row r="214">
          <cell r="A214" t="str">
            <v>ADMINISTRATIVE &amp; MANAGEMENT EXPENSES</v>
          </cell>
        </row>
      </sheetData>
      <sheetData sheetId="327"/>
      <sheetData sheetId="328"/>
      <sheetData sheetId="329"/>
      <sheetData sheetId="330"/>
      <sheetData sheetId="331">
        <row r="214">
          <cell r="A214" t="str">
            <v>ADMINISTRATIVE &amp; MANAGEMENT EXPENSES</v>
          </cell>
        </row>
      </sheetData>
      <sheetData sheetId="332">
        <row r="214">
          <cell r="A214" t="str">
            <v>ADMINISTRATIVE &amp; MANAGEMENT EXPENSES</v>
          </cell>
        </row>
      </sheetData>
      <sheetData sheetId="333">
        <row r="214">
          <cell r="A214" t="str">
            <v>ADMINISTRATIVE &amp; MANAGEMENT EXPENSES</v>
          </cell>
        </row>
      </sheetData>
      <sheetData sheetId="334">
        <row r="214">
          <cell r="A214" t="str">
            <v>ADMINISTRATIVE &amp; MANAGEMENT EXPENSES</v>
          </cell>
        </row>
      </sheetData>
      <sheetData sheetId="335">
        <row r="214">
          <cell r="A214" t="str">
            <v>ADMINISTRATIVE &amp; MANAGEMENT EXPENSES</v>
          </cell>
        </row>
      </sheetData>
      <sheetData sheetId="336">
        <row r="214">
          <cell r="A214" t="str">
            <v>ADMINISTRATIVE &amp; MANAGEMENT EXPENSES</v>
          </cell>
        </row>
      </sheetData>
      <sheetData sheetId="337"/>
      <sheetData sheetId="338"/>
      <sheetData sheetId="339"/>
      <sheetData sheetId="340"/>
      <sheetData sheetId="341">
        <row r="214">
          <cell r="A214" t="str">
            <v>ADMINISTRATIVE &amp; MANAGEMENT EXPENSES</v>
          </cell>
        </row>
      </sheetData>
      <sheetData sheetId="342">
        <row r="214">
          <cell r="A214" t="str">
            <v>ADMINISTRATIVE &amp; MANAGEMENT EXPENSES</v>
          </cell>
        </row>
      </sheetData>
      <sheetData sheetId="343">
        <row r="214">
          <cell r="A214" t="str">
            <v>ADMINISTRATIVE &amp; MANAGEMENT EXPENSES</v>
          </cell>
        </row>
      </sheetData>
      <sheetData sheetId="344">
        <row r="214">
          <cell r="A214" t="str">
            <v>ADMINISTRATIVE &amp; MANAGEMENT EXPENSES</v>
          </cell>
        </row>
      </sheetData>
      <sheetData sheetId="345"/>
      <sheetData sheetId="346"/>
      <sheetData sheetId="347">
        <row r="214">
          <cell r="A214" t="str">
            <v>ADMINISTRATIVE &amp; MANAGEMENT EXPENSES</v>
          </cell>
        </row>
      </sheetData>
      <sheetData sheetId="348">
        <row r="214">
          <cell r="A214" t="str">
            <v>ADMINISTRATIVE &amp; MANAGEMENT EXPENSES</v>
          </cell>
        </row>
      </sheetData>
      <sheetData sheetId="349"/>
      <sheetData sheetId="350">
        <row r="214">
          <cell r="A214" t="str">
            <v>ADMINISTRATIVE &amp; MANAGEMENT EXPENSES</v>
          </cell>
        </row>
      </sheetData>
      <sheetData sheetId="351">
        <row r="214">
          <cell r="A214" t="str">
            <v>ADMINISTRATIVE &amp; MANAGEMENT EXPENSES</v>
          </cell>
        </row>
      </sheetData>
      <sheetData sheetId="352">
        <row r="214">
          <cell r="A214" t="str">
            <v>ADMINISTRATIVE &amp; MANAGEMENT EXPENSES</v>
          </cell>
        </row>
      </sheetData>
      <sheetData sheetId="353"/>
      <sheetData sheetId="354"/>
      <sheetData sheetId="355">
        <row r="214">
          <cell r="A214" t="str">
            <v>ADMINISTRATIVE &amp; MANAGEMENT EXPENSES</v>
          </cell>
        </row>
      </sheetData>
      <sheetData sheetId="356">
        <row r="214">
          <cell r="A214" t="str">
            <v>ADMINISTRATIVE &amp; MANAGEMENT EXPENSES</v>
          </cell>
        </row>
      </sheetData>
      <sheetData sheetId="357">
        <row r="214">
          <cell r="A214" t="str">
            <v>ADMINISTRATIVE &amp; MANAGEMENT EXPENSES</v>
          </cell>
        </row>
      </sheetData>
      <sheetData sheetId="358">
        <row r="214">
          <cell r="A214" t="str">
            <v>ADMINISTRATIVE &amp; MANAGEMENT EXPENSES</v>
          </cell>
        </row>
      </sheetData>
      <sheetData sheetId="359">
        <row r="214">
          <cell r="A214" t="str">
            <v>ADMINISTRATIVE &amp; MANAGEMENT EXPENSES</v>
          </cell>
        </row>
      </sheetData>
      <sheetData sheetId="360">
        <row r="214">
          <cell r="A214" t="str">
            <v>ADMINISTRATIVE &amp; MANAGEMENT EXPENSES</v>
          </cell>
        </row>
      </sheetData>
      <sheetData sheetId="361">
        <row r="214">
          <cell r="A214" t="str">
            <v>ADMINISTRATIVE &amp; MANAGEMENT EXPENSES</v>
          </cell>
        </row>
      </sheetData>
      <sheetData sheetId="362"/>
      <sheetData sheetId="363"/>
      <sheetData sheetId="364"/>
      <sheetData sheetId="365"/>
      <sheetData sheetId="366"/>
      <sheetData sheetId="367"/>
      <sheetData sheetId="368">
        <row r="214">
          <cell r="A214" t="str">
            <v>ADMINISTRATIVE &amp; MANAGEMENT EXPENSES</v>
          </cell>
        </row>
      </sheetData>
      <sheetData sheetId="369">
        <row r="214">
          <cell r="A214" t="str">
            <v>ADMINISTRATIVE &amp; MANAGEMENT EXPENSES</v>
          </cell>
        </row>
      </sheetData>
      <sheetData sheetId="370">
        <row r="214">
          <cell r="A214" t="str">
            <v>ADMINISTRATIVE &amp; MANAGEMENT EXPENSES</v>
          </cell>
        </row>
      </sheetData>
      <sheetData sheetId="371"/>
      <sheetData sheetId="372"/>
      <sheetData sheetId="373">
        <row r="214">
          <cell r="A214" t="str">
            <v>ADMINISTRATIVE &amp; MANAGEMENT EXPENSES</v>
          </cell>
        </row>
      </sheetData>
      <sheetData sheetId="374">
        <row r="214">
          <cell r="A214" t="str">
            <v>ADMINISTRATIVE &amp; MANAGEMENT EXPENSES</v>
          </cell>
        </row>
      </sheetData>
      <sheetData sheetId="375"/>
      <sheetData sheetId="376"/>
      <sheetData sheetId="377"/>
      <sheetData sheetId="378"/>
      <sheetData sheetId="379"/>
      <sheetData sheetId="380"/>
      <sheetData sheetId="381"/>
      <sheetData sheetId="382"/>
      <sheetData sheetId="383">
        <row r="214">
          <cell r="A214" t="str">
            <v>ADMINISTRATIVE &amp; MANAGEMENT EXPENSES</v>
          </cell>
        </row>
      </sheetData>
      <sheetData sheetId="384">
        <row r="214">
          <cell r="A214" t="str">
            <v>ADMINISTRATIVE &amp; MANAGEMENT EXPENSES</v>
          </cell>
        </row>
      </sheetData>
      <sheetData sheetId="385">
        <row r="214">
          <cell r="A214" t="str">
            <v>ADMINISTRATIVE &amp; MANAGEMENT EXPENSES</v>
          </cell>
        </row>
      </sheetData>
      <sheetData sheetId="386">
        <row r="214">
          <cell r="A214" t="str">
            <v>ADMINISTRATIVE &amp; MANAGEMENT EXPENSES</v>
          </cell>
        </row>
      </sheetData>
      <sheetData sheetId="387">
        <row r="214">
          <cell r="A214" t="str">
            <v>ADMINISTRATIVE &amp; MANAGEMENT EXPENSES</v>
          </cell>
        </row>
      </sheetData>
      <sheetData sheetId="388">
        <row r="214">
          <cell r="A214" t="str">
            <v>ADMINISTRATIVE &amp; MANAGEMENT EXPENSES</v>
          </cell>
        </row>
      </sheetData>
      <sheetData sheetId="389">
        <row r="214">
          <cell r="A214" t="str">
            <v>ADMINISTRATIVE &amp; MANAGEMENT EXPENSES</v>
          </cell>
        </row>
      </sheetData>
      <sheetData sheetId="390">
        <row r="214">
          <cell r="A214" t="str">
            <v>ADMINISTRATIVE &amp; MANAGEMENT EXPENSES</v>
          </cell>
        </row>
      </sheetData>
      <sheetData sheetId="391">
        <row r="214">
          <cell r="A214" t="str">
            <v>ADMINISTRATIVE &amp; MANAGEMENT EXPENSES</v>
          </cell>
        </row>
      </sheetData>
      <sheetData sheetId="392">
        <row r="214">
          <cell r="A214" t="str">
            <v>ADMINISTRATIVE &amp; MANAGEMENT EXPENSES</v>
          </cell>
        </row>
      </sheetData>
      <sheetData sheetId="393">
        <row r="214">
          <cell r="A214" t="str">
            <v>ADMINISTRATIVE &amp; MANAGEMENT EXPENSES</v>
          </cell>
        </row>
      </sheetData>
      <sheetData sheetId="394">
        <row r="214">
          <cell r="A214" t="str">
            <v>ADMINISTRATIVE &amp; MANAGEMENT EXPENSES</v>
          </cell>
        </row>
      </sheetData>
      <sheetData sheetId="395">
        <row r="214">
          <cell r="A214" t="str">
            <v>ADMINISTRATIVE &amp; MANAGEMENT EXPENSES</v>
          </cell>
        </row>
      </sheetData>
      <sheetData sheetId="396"/>
      <sheetData sheetId="397">
        <row r="214">
          <cell r="A214" t="str">
            <v>ADMINISTRATIVE &amp; MANAGEMENT EXPENSES</v>
          </cell>
        </row>
      </sheetData>
      <sheetData sheetId="398">
        <row r="214">
          <cell r="A214" t="str">
            <v>ADMINISTRATIVE &amp; MANAGEMENT EXPENSES</v>
          </cell>
        </row>
      </sheetData>
      <sheetData sheetId="399">
        <row r="214">
          <cell r="A214" t="str">
            <v>ADMINISTRATIVE &amp; MANAGEMENT EXPENSES</v>
          </cell>
        </row>
      </sheetData>
      <sheetData sheetId="400">
        <row r="214">
          <cell r="A214" t="str">
            <v>ADMINISTRATIVE &amp; MANAGEMENT EXPENSES</v>
          </cell>
        </row>
      </sheetData>
      <sheetData sheetId="401"/>
      <sheetData sheetId="402"/>
      <sheetData sheetId="403">
        <row r="214">
          <cell r="A214" t="str">
            <v>ADMINISTRATIVE &amp; MANAGEMENT EXPENSES</v>
          </cell>
        </row>
      </sheetData>
      <sheetData sheetId="404">
        <row r="214">
          <cell r="A214" t="str">
            <v>ADMINISTRATIVE &amp; MANAGEMENT EXPENSES</v>
          </cell>
        </row>
      </sheetData>
      <sheetData sheetId="405">
        <row r="214">
          <cell r="A214" t="str">
            <v>ADMINISTRATIVE &amp; MANAGEMENT EXPENSES</v>
          </cell>
        </row>
      </sheetData>
      <sheetData sheetId="406">
        <row r="214">
          <cell r="A214" t="str">
            <v>ADMINISTRATIVE &amp; MANAGEMENT EXPENSES</v>
          </cell>
        </row>
      </sheetData>
      <sheetData sheetId="407">
        <row r="214">
          <cell r="A214" t="str">
            <v>ADMINISTRATIVE &amp; MANAGEMENT EXPENSES</v>
          </cell>
        </row>
      </sheetData>
      <sheetData sheetId="408">
        <row r="214">
          <cell r="A214" t="str">
            <v>ADMINISTRATIVE &amp; MANAGEMENT EXPENSES</v>
          </cell>
        </row>
      </sheetData>
      <sheetData sheetId="409"/>
      <sheetData sheetId="410"/>
      <sheetData sheetId="411"/>
      <sheetData sheetId="412"/>
      <sheetData sheetId="413"/>
      <sheetData sheetId="414"/>
      <sheetData sheetId="415"/>
      <sheetData sheetId="416"/>
      <sheetData sheetId="417"/>
      <sheetData sheetId="418">
        <row r="214">
          <cell r="A214" t="str">
            <v>ADMINISTRATIVE &amp; MANAGEMENT EXPENSES</v>
          </cell>
        </row>
      </sheetData>
      <sheetData sheetId="419"/>
      <sheetData sheetId="420"/>
      <sheetData sheetId="421">
        <row r="214">
          <cell r="A214" t="str">
            <v>ADMINISTRATIVE &amp; MANAGEMENT EXPENSES</v>
          </cell>
        </row>
      </sheetData>
      <sheetData sheetId="422"/>
      <sheetData sheetId="423">
        <row r="214">
          <cell r="A214" t="str">
            <v>ADMINISTRATIVE &amp; MANAGEMENT EXPENSES</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row r="214">
          <cell r="A214" t="str">
            <v>ADMINISTRATIVE &amp; MANAGEMENT EXPENSES</v>
          </cell>
        </row>
      </sheetData>
      <sheetData sheetId="451">
        <row r="214">
          <cell r="A214" t="str">
            <v>ADMINISTRATIVE &amp; MANAGEMENT EXPENSES</v>
          </cell>
        </row>
      </sheetData>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ow r="214">
          <cell r="A214" t="str">
            <v>ADMINISTRATIVE &amp; MANAGEMENT EXPENSES</v>
          </cell>
        </row>
      </sheetData>
      <sheetData sheetId="853" refreshError="1"/>
      <sheetData sheetId="854"/>
      <sheetData sheetId="855">
        <row r="214">
          <cell r="A214" t="str">
            <v>ADMINISTRATIVE &amp; MANAGEMENT EXPENSES</v>
          </cell>
        </row>
      </sheetData>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ow r="214">
          <cell r="A214" t="str">
            <v>ADMINISTRATIVE &amp; MANAGEMENT EXPENSES</v>
          </cell>
        </row>
      </sheetData>
      <sheetData sheetId="876">
        <row r="214">
          <cell r="A214" t="str">
            <v>ADMINISTRATIVE &amp; MANAGEMENT EXPENSES</v>
          </cell>
        </row>
      </sheetData>
      <sheetData sheetId="877">
        <row r="214">
          <cell r="A214" t="str">
            <v>ADMINISTRATIVE &amp; MANAGEMENT EXPENSES</v>
          </cell>
        </row>
      </sheetData>
      <sheetData sheetId="878">
        <row r="214">
          <cell r="A214" t="str">
            <v>ADMINISTRATIVE &amp; MANAGEMENT EXPENSES</v>
          </cell>
        </row>
      </sheetData>
      <sheetData sheetId="879">
        <row r="214">
          <cell r="A214" t="str">
            <v>ADMINISTRATIVE &amp; MANAGEMENT EXPENSES</v>
          </cell>
        </row>
      </sheetData>
      <sheetData sheetId="880">
        <row r="214">
          <cell r="A214" t="str">
            <v>ADMINISTRATIVE &amp; MANAGEMENT EXPENSES</v>
          </cell>
        </row>
      </sheetData>
      <sheetData sheetId="881">
        <row r="214">
          <cell r="A214" t="str">
            <v>ADMINISTRATIVE &amp; MANAGEMENT EXPENSES</v>
          </cell>
        </row>
      </sheetData>
      <sheetData sheetId="882"/>
      <sheetData sheetId="883">
        <row r="214">
          <cell r="A214" t="str">
            <v>ADMINISTRATIVE &amp; MANAGEMENT EXPENSES</v>
          </cell>
        </row>
      </sheetData>
      <sheetData sheetId="884">
        <row r="214">
          <cell r="A214" t="str">
            <v>ADMINISTRATIVE &amp; MANAGEMENT EXPENSES</v>
          </cell>
        </row>
      </sheetData>
      <sheetData sheetId="885">
        <row r="214">
          <cell r="A214" t="str">
            <v>ADMINISTRATIVE &amp; MANAGEMENT EXPENSES</v>
          </cell>
        </row>
      </sheetData>
      <sheetData sheetId="886">
        <row r="214">
          <cell r="A214" t="str">
            <v>ADMINISTRATIVE &amp; MANAGEMENT EXPENSES</v>
          </cell>
        </row>
      </sheetData>
      <sheetData sheetId="887"/>
      <sheetData sheetId="888">
        <row r="214">
          <cell r="A214" t="str">
            <v>ADMINISTRATIVE &amp; MANAGEMENT EXPENSES</v>
          </cell>
        </row>
      </sheetData>
      <sheetData sheetId="889">
        <row r="214">
          <cell r="A214" t="str">
            <v>ADMINISTRATIVE &amp; MANAGEMENT EXPENSES</v>
          </cell>
        </row>
      </sheetData>
      <sheetData sheetId="890">
        <row r="214">
          <cell r="A214" t="str">
            <v>ADMINISTRATIVE &amp; MANAGEMENT EXPENSES</v>
          </cell>
        </row>
      </sheetData>
      <sheetData sheetId="891"/>
      <sheetData sheetId="892"/>
      <sheetData sheetId="893">
        <row r="214">
          <cell r="A214" t="str">
            <v>ADMINISTRATIVE &amp; MANAGEMENT EXPENSES</v>
          </cell>
        </row>
      </sheetData>
      <sheetData sheetId="894"/>
      <sheetData sheetId="895"/>
      <sheetData sheetId="896"/>
      <sheetData sheetId="897">
        <row r="214">
          <cell r="A214" t="str">
            <v>ADMINISTRATIVE &amp; MANAGEMENT EXPENSES</v>
          </cell>
        </row>
      </sheetData>
      <sheetData sheetId="898">
        <row r="214">
          <cell r="A214" t="str">
            <v>ADMINISTRATIVE &amp; MANAGEMENT EXPENSES</v>
          </cell>
        </row>
      </sheetData>
      <sheetData sheetId="899"/>
      <sheetData sheetId="900"/>
      <sheetData sheetId="901">
        <row r="214">
          <cell r="A214" t="str">
            <v>ADMINISTRATIVE &amp; MANAGEMENT EXPENSES</v>
          </cell>
        </row>
      </sheetData>
      <sheetData sheetId="902">
        <row r="214">
          <cell r="A214" t="str">
            <v>ADMINISTRATIVE &amp; MANAGEMENT EXPENSES</v>
          </cell>
        </row>
      </sheetData>
      <sheetData sheetId="903">
        <row r="214">
          <cell r="A214" t="str">
            <v>ADMINISTRATIVE &amp; MANAGEMENT EXPENSES</v>
          </cell>
        </row>
      </sheetData>
      <sheetData sheetId="904"/>
      <sheetData sheetId="905"/>
      <sheetData sheetId="906">
        <row r="214">
          <cell r="A214" t="str">
            <v>ADMINISTRATIVE &amp; MANAGEMENT EXPENSES</v>
          </cell>
        </row>
      </sheetData>
      <sheetData sheetId="907"/>
      <sheetData sheetId="908">
        <row r="214">
          <cell r="A214" t="str">
            <v>ADMINISTRATIVE &amp; MANAGEMENT EXPENSES</v>
          </cell>
        </row>
      </sheetData>
      <sheetData sheetId="909">
        <row r="214">
          <cell r="A214" t="str">
            <v>ADMINISTRATIVE &amp; MANAGEMENT EXPENSES</v>
          </cell>
        </row>
      </sheetData>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row r="214">
          <cell r="A214" t="str">
            <v>ADMINISTRATIVE &amp; MANAGEMENT EXPENSES</v>
          </cell>
        </row>
      </sheetData>
      <sheetData sheetId="926">
        <row r="214">
          <cell r="A214" t="str">
            <v>ADMINISTRATIVE &amp; MANAGEMENT EXPENSES</v>
          </cell>
        </row>
      </sheetData>
      <sheetData sheetId="927"/>
      <sheetData sheetId="928"/>
      <sheetData sheetId="929">
        <row r="214">
          <cell r="A214" t="str">
            <v>ADMINISTRATIVE &amp; MANAGEMENT EXPENSES</v>
          </cell>
        </row>
      </sheetData>
      <sheetData sheetId="930">
        <row r="214">
          <cell r="A214" t="str">
            <v>ADMINISTRATIVE &amp; MANAGEMENT EXPENSES</v>
          </cell>
        </row>
      </sheetData>
      <sheetData sheetId="931"/>
      <sheetData sheetId="932"/>
      <sheetData sheetId="933">
        <row r="214">
          <cell r="A214" t="str">
            <v>ADMINISTRATIVE &amp; MANAGEMENT EXPENSES</v>
          </cell>
        </row>
      </sheetData>
      <sheetData sheetId="934">
        <row r="214">
          <cell r="A214" t="str">
            <v>ADMINISTRATIVE &amp; MANAGEMENT EXPENSES</v>
          </cell>
        </row>
      </sheetData>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row r="214">
          <cell r="A214" t="str">
            <v>ADMINISTRATIVE &amp; MANAGEMENT EXPENSES</v>
          </cell>
        </row>
      </sheetData>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row r="214">
          <cell r="A214" t="str">
            <v>ADMINISTRATIVE &amp; MANAGEMENT EXPENSES</v>
          </cell>
        </row>
      </sheetData>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row r="214">
          <cell r="A214" t="str">
            <v>ADMINISTRATIVE &amp; MANAGEMENT EXPENSES</v>
          </cell>
        </row>
      </sheetData>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refreshError="1"/>
      <sheetData sheetId="1291" refreshError="1"/>
      <sheetData sheetId="1292" refreshError="1"/>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row r="214">
          <cell r="A214" t="str">
            <v>ADMINISTRATIVE &amp; MANAGEMENT EXPENSES</v>
          </cell>
        </row>
      </sheetData>
      <sheetData sheetId="1330">
        <row r="214">
          <cell r="A214" t="str">
            <v>ADMINISTRATIVE &amp; MANAGEMENT EXPENSES</v>
          </cell>
        </row>
      </sheetData>
      <sheetData sheetId="1331"/>
      <sheetData sheetId="1332"/>
      <sheetData sheetId="1333">
        <row r="214">
          <cell r="A214" t="str">
            <v>ADMINISTRATIVE &amp; MANAGEMENT EXPENSES</v>
          </cell>
        </row>
      </sheetData>
      <sheetData sheetId="1334">
        <row r="214">
          <cell r="A214" t="str">
            <v>ADMINISTRATIVE &amp; MANAGEMENT EXPENSES</v>
          </cell>
        </row>
      </sheetData>
      <sheetData sheetId="1335">
        <row r="214">
          <cell r="A214" t="str">
            <v>ADMINISTRATIVE &amp; MANAGEMENT EXPENSES</v>
          </cell>
        </row>
      </sheetData>
      <sheetData sheetId="1336"/>
      <sheetData sheetId="1337">
        <row r="214">
          <cell r="A214" t="str">
            <v>ADMINISTRATIVE &amp; MANAGEMENT EXPENSES</v>
          </cell>
        </row>
      </sheetData>
      <sheetData sheetId="1338">
        <row r="214">
          <cell r="A214" t="str">
            <v>ADMINISTRATIVE &amp; MANAGEMENT EXPENSES</v>
          </cell>
        </row>
      </sheetData>
      <sheetData sheetId="1339"/>
      <sheetData sheetId="1340"/>
      <sheetData sheetId="1341">
        <row r="214">
          <cell r="A214" t="str">
            <v>ADMINISTRATIVE &amp; MANAGEMENT EXPENSES</v>
          </cell>
        </row>
      </sheetData>
      <sheetData sheetId="1342">
        <row r="214">
          <cell r="A214" t="str">
            <v>ADMINISTRATIVE &amp; MANAGEMENT EXPENSES</v>
          </cell>
        </row>
      </sheetData>
      <sheetData sheetId="1343"/>
      <sheetData sheetId="1344"/>
      <sheetData sheetId="1345">
        <row r="214">
          <cell r="A214" t="str">
            <v>ADMINISTRATIVE &amp; MANAGEMENT EXPENSES</v>
          </cell>
        </row>
      </sheetData>
      <sheetData sheetId="1346"/>
      <sheetData sheetId="1347"/>
      <sheetData sheetId="1348"/>
      <sheetData sheetId="1349">
        <row r="214">
          <cell r="A214" t="str">
            <v>ADMINISTRATIVE &amp; MANAGEMENT EXPENSES</v>
          </cell>
        </row>
      </sheetData>
      <sheetData sheetId="1350">
        <row r="214">
          <cell r="A214" t="str">
            <v>ADMINISTRATIVE &amp; MANAGEMENT EXPENSES</v>
          </cell>
        </row>
      </sheetData>
      <sheetData sheetId="1351"/>
      <sheetData sheetId="1352"/>
      <sheetData sheetId="1353">
        <row r="214">
          <cell r="A214" t="str">
            <v>ADMINISTRATIVE &amp; MANAGEMENT EXPENSES</v>
          </cell>
        </row>
      </sheetData>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row r="214">
          <cell r="A214" t="str">
            <v>ADMINISTRATIVE &amp; MANAGEMENT EXPENSES</v>
          </cell>
        </row>
      </sheetData>
      <sheetData sheetId="1371">
        <row r="214">
          <cell r="A214" t="str">
            <v>ADMINISTRATIVE &amp; MANAGEMENT EXPENSES</v>
          </cell>
        </row>
      </sheetData>
      <sheetData sheetId="1372">
        <row r="214">
          <cell r="A214" t="str">
            <v>ADMINISTRATIVE &amp; MANAGEMENT EXPENSES</v>
          </cell>
        </row>
      </sheetData>
      <sheetData sheetId="1373">
        <row r="214">
          <cell r="A214" t="str">
            <v>ADMINISTRATIVE &amp; MANAGEMENT EXPENSES</v>
          </cell>
        </row>
      </sheetData>
      <sheetData sheetId="1374">
        <row r="214">
          <cell r="A214" t="str">
            <v>ADMINISTRATIVE &amp; MANAGEMENT EXPENSES</v>
          </cell>
        </row>
      </sheetData>
      <sheetData sheetId="1375">
        <row r="214">
          <cell r="A214" t="str">
            <v>ADMINISTRATIVE &amp; MANAGEMENT EXPENSES</v>
          </cell>
        </row>
      </sheetData>
      <sheetData sheetId="1376">
        <row r="214">
          <cell r="A214" t="str">
            <v>ADMINISTRATIVE &amp; MANAGEMENT EXPENSES</v>
          </cell>
        </row>
      </sheetData>
      <sheetData sheetId="1377">
        <row r="214">
          <cell r="A214" t="str">
            <v>ADMINISTRATIVE &amp; MANAGEMENT EXPENSES</v>
          </cell>
        </row>
      </sheetData>
      <sheetData sheetId="1378">
        <row r="214">
          <cell r="A214" t="str">
            <v>ADMINISTRATIVE &amp; MANAGEMENT EXPENSES</v>
          </cell>
        </row>
      </sheetData>
      <sheetData sheetId="1379">
        <row r="214">
          <cell r="A214" t="str">
            <v>ADMINISTRATIVE &amp; MANAGEMENT EXPENSES</v>
          </cell>
        </row>
      </sheetData>
      <sheetData sheetId="1380">
        <row r="214">
          <cell r="A214" t="str">
            <v>ADMINISTRATIVE &amp; MANAGEMENT EXPENSES</v>
          </cell>
        </row>
      </sheetData>
      <sheetData sheetId="1381">
        <row r="214">
          <cell r="A214" t="str">
            <v>ADMINISTRATIVE &amp; MANAGEMENT EXPENSES</v>
          </cell>
        </row>
      </sheetData>
      <sheetData sheetId="1382">
        <row r="214">
          <cell r="A214" t="str">
            <v>ADMINISTRATIVE &amp; MANAGEMENT EXPENSES</v>
          </cell>
        </row>
      </sheetData>
      <sheetData sheetId="1383">
        <row r="214">
          <cell r="A214" t="str">
            <v>ADMINISTRATIVE &amp; MANAGEMENT EXPENSES</v>
          </cell>
        </row>
      </sheetData>
      <sheetData sheetId="1384">
        <row r="214">
          <cell r="A214" t="str">
            <v>ADMINISTRATIVE &amp; MANAGEMENT EXPENSES</v>
          </cell>
        </row>
      </sheetData>
      <sheetData sheetId="1385">
        <row r="214">
          <cell r="A214" t="str">
            <v>ADMINISTRATIVE &amp; MANAGEMENT EXPENSES</v>
          </cell>
        </row>
      </sheetData>
      <sheetData sheetId="1386">
        <row r="214">
          <cell r="A214" t="str">
            <v>ADMINISTRATIVE &amp; MANAGEMENT EXPENSES</v>
          </cell>
        </row>
      </sheetData>
      <sheetData sheetId="1387"/>
      <sheetData sheetId="1388">
        <row r="214">
          <cell r="A214" t="str">
            <v>ADMINISTRATIVE &amp; MANAGEMENT EXPENSES</v>
          </cell>
        </row>
      </sheetData>
      <sheetData sheetId="1389">
        <row r="214">
          <cell r="A214" t="str">
            <v>ADMINISTRATIVE &amp; MANAGEMENT EXPENSES</v>
          </cell>
        </row>
      </sheetData>
      <sheetData sheetId="1390">
        <row r="214">
          <cell r="A214" t="str">
            <v>ADMINISTRATIVE &amp; MANAGEMENT EXPENSES</v>
          </cell>
        </row>
      </sheetData>
      <sheetData sheetId="1391">
        <row r="214">
          <cell r="A214" t="str">
            <v>ADMINISTRATIVE &amp; MANAGEMENT EXPENSES</v>
          </cell>
        </row>
      </sheetData>
      <sheetData sheetId="1392">
        <row r="214">
          <cell r="A214" t="str">
            <v>ADMINISTRATIVE &amp; MANAGEMENT EXPENSES</v>
          </cell>
        </row>
      </sheetData>
      <sheetData sheetId="1393">
        <row r="214">
          <cell r="A214" t="str">
            <v>ADMINISTRATIVE &amp; MANAGEMENT EXPENSES</v>
          </cell>
        </row>
      </sheetData>
      <sheetData sheetId="1394">
        <row r="214">
          <cell r="A214" t="str">
            <v>ADMINISTRATIVE &amp; MANAGEMENT EXPENSES</v>
          </cell>
        </row>
      </sheetData>
      <sheetData sheetId="1395">
        <row r="214">
          <cell r="A214" t="str">
            <v>ADMINISTRATIVE &amp; MANAGEMENT EXPENSES</v>
          </cell>
        </row>
      </sheetData>
      <sheetData sheetId="1396">
        <row r="214">
          <cell r="A214" t="str">
            <v>ADMINISTRATIVE &amp; MANAGEMENT EXPENSES</v>
          </cell>
        </row>
      </sheetData>
      <sheetData sheetId="1397">
        <row r="214">
          <cell r="A214" t="str">
            <v>ADMINISTRATIVE &amp; MANAGEMENT EXPENSES</v>
          </cell>
        </row>
      </sheetData>
      <sheetData sheetId="1398">
        <row r="214">
          <cell r="A214" t="str">
            <v>ADMINISTRATIVE &amp; MANAGEMENT EXPENSES</v>
          </cell>
        </row>
      </sheetData>
      <sheetData sheetId="1399">
        <row r="214">
          <cell r="A214" t="str">
            <v>ADMINISTRATIVE &amp; MANAGEMENT EXPENSES</v>
          </cell>
        </row>
      </sheetData>
      <sheetData sheetId="1400">
        <row r="214">
          <cell r="A214" t="str">
            <v>ADMINISTRATIVE &amp; MANAGEMENT EXPENSES</v>
          </cell>
        </row>
      </sheetData>
      <sheetData sheetId="1401">
        <row r="214">
          <cell r="A214" t="str">
            <v>ADMINISTRATIVE &amp; MANAGEMENT EXPENSES</v>
          </cell>
        </row>
      </sheetData>
      <sheetData sheetId="1402">
        <row r="214">
          <cell r="A214" t="str">
            <v>ADMINISTRATIVE &amp; MANAGEMENT EXPENSES</v>
          </cell>
        </row>
      </sheetData>
      <sheetData sheetId="1403">
        <row r="214">
          <cell r="A214" t="str">
            <v>ADMINISTRATIVE &amp; MANAGEMENT EXPENSES</v>
          </cell>
        </row>
      </sheetData>
      <sheetData sheetId="1404">
        <row r="214">
          <cell r="A214" t="str">
            <v>ADMINISTRATIVE &amp; MANAGEMENT EXPENSES</v>
          </cell>
        </row>
      </sheetData>
      <sheetData sheetId="1405"/>
      <sheetData sheetId="1406">
        <row r="214">
          <cell r="A214" t="str">
            <v>ADMINISTRATIVE &amp; MANAGEMENT EXPENSES</v>
          </cell>
        </row>
      </sheetData>
      <sheetData sheetId="1407">
        <row r="214">
          <cell r="A214" t="str">
            <v>ADMINISTRATIVE &amp; MANAGEMENT EXPENSES</v>
          </cell>
        </row>
      </sheetData>
      <sheetData sheetId="1408">
        <row r="214">
          <cell r="A214" t="str">
            <v>ADMINISTRATIVE &amp; MANAGEMENT EXPENSES</v>
          </cell>
        </row>
      </sheetData>
      <sheetData sheetId="1409"/>
      <sheetData sheetId="1410"/>
      <sheetData sheetId="1411">
        <row r="214">
          <cell r="A214" t="str">
            <v>ADMINISTRATIVE &amp; MANAGEMENT EXPENSES</v>
          </cell>
        </row>
      </sheetData>
      <sheetData sheetId="1412">
        <row r="214">
          <cell r="A214" t="str">
            <v>ADMINISTRATIVE &amp; MANAGEMENT EXPENSES</v>
          </cell>
        </row>
      </sheetData>
      <sheetData sheetId="1413">
        <row r="214">
          <cell r="A214" t="str">
            <v>ADMINISTRATIVE &amp; MANAGEMENT EXPENSES</v>
          </cell>
        </row>
      </sheetData>
      <sheetData sheetId="1414">
        <row r="214">
          <cell r="A214" t="str">
            <v>ADMINISTRATIVE &amp; MANAGEMENT EXPENSES</v>
          </cell>
        </row>
      </sheetData>
      <sheetData sheetId="1415"/>
      <sheetData sheetId="1416">
        <row r="214">
          <cell r="A214" t="str">
            <v>ADMINISTRATIVE &amp; MANAGEMENT EXPENSES</v>
          </cell>
        </row>
      </sheetData>
      <sheetData sheetId="1417">
        <row r="214">
          <cell r="A214" t="str">
            <v>ADMINISTRATIVE &amp; MANAGEMENT EXPENSES</v>
          </cell>
        </row>
      </sheetData>
      <sheetData sheetId="1418">
        <row r="214">
          <cell r="A214" t="str">
            <v>ADMINISTRATIVE &amp; MANAGEMENT EXPENSES</v>
          </cell>
        </row>
      </sheetData>
      <sheetData sheetId="1419">
        <row r="214">
          <cell r="A214" t="str">
            <v>ADMINISTRATIVE &amp; MANAGEMENT EXPENSES</v>
          </cell>
        </row>
      </sheetData>
      <sheetData sheetId="1420"/>
      <sheetData sheetId="1421">
        <row r="214">
          <cell r="A214" t="str">
            <v>ADMINISTRATIVE &amp; MANAGEMENT EXPENSES</v>
          </cell>
        </row>
      </sheetData>
      <sheetData sheetId="1422">
        <row r="214">
          <cell r="A214" t="str">
            <v>ADMINISTRATIVE &amp; MANAGEMENT EXPENSES</v>
          </cell>
        </row>
      </sheetData>
      <sheetData sheetId="1423">
        <row r="214">
          <cell r="A214" t="str">
            <v>ADMINISTRATIVE &amp; MANAGEMENT EXPENSES</v>
          </cell>
        </row>
      </sheetData>
      <sheetData sheetId="1424"/>
      <sheetData sheetId="1425">
        <row r="214">
          <cell r="A214" t="str">
            <v>ADMINISTRATIVE &amp; MANAGEMENT EXPENSES</v>
          </cell>
        </row>
      </sheetData>
      <sheetData sheetId="1426">
        <row r="214">
          <cell r="A214" t="str">
            <v>ADMINISTRATIVE &amp; MANAGEMENT EXPENSES</v>
          </cell>
        </row>
      </sheetData>
      <sheetData sheetId="1427">
        <row r="214">
          <cell r="A214" t="str">
            <v>ADMINISTRATIVE &amp; MANAGEMENT EXPENSES</v>
          </cell>
        </row>
      </sheetData>
      <sheetData sheetId="1428">
        <row r="214">
          <cell r="A214" t="str">
            <v>ADMINISTRATIVE &amp; MANAGEMENT EXPENSES</v>
          </cell>
        </row>
      </sheetData>
      <sheetData sheetId="1429">
        <row r="214">
          <cell r="A214" t="str">
            <v>ADMINISTRATIVE &amp; MANAGEMENT EXPENSES</v>
          </cell>
        </row>
      </sheetData>
      <sheetData sheetId="1430">
        <row r="214">
          <cell r="A214" t="str">
            <v>ADMINISTRATIVE &amp; MANAGEMENT EXPENSES</v>
          </cell>
        </row>
      </sheetData>
      <sheetData sheetId="1431">
        <row r="214">
          <cell r="A214" t="str">
            <v>ADMINISTRATIVE &amp; MANAGEMENT EXPENSES</v>
          </cell>
        </row>
      </sheetData>
      <sheetData sheetId="1432">
        <row r="214">
          <cell r="A214" t="str">
            <v>ADMINISTRATIVE &amp; MANAGEMENT EXPENSES</v>
          </cell>
        </row>
      </sheetData>
      <sheetData sheetId="1433">
        <row r="214">
          <cell r="A214" t="str">
            <v>ADMINISTRATIVE &amp; MANAGEMENT EXPENSES</v>
          </cell>
        </row>
      </sheetData>
      <sheetData sheetId="1434">
        <row r="214">
          <cell r="A214" t="str">
            <v>ADMINISTRATIVE &amp; MANAGEMENT EXPENSES</v>
          </cell>
        </row>
      </sheetData>
      <sheetData sheetId="1435">
        <row r="214">
          <cell r="A214" t="str">
            <v>ADMINISTRATIVE &amp; MANAGEMENT EXPENSES</v>
          </cell>
        </row>
      </sheetData>
      <sheetData sheetId="1436">
        <row r="214">
          <cell r="A214" t="str">
            <v>ADMINISTRATIVE &amp; MANAGEMENT EXPENSES</v>
          </cell>
        </row>
      </sheetData>
      <sheetData sheetId="1437">
        <row r="214">
          <cell r="A214" t="str">
            <v>ADMINISTRATIVE &amp; MANAGEMENT EXPENSES</v>
          </cell>
        </row>
      </sheetData>
      <sheetData sheetId="1438">
        <row r="214">
          <cell r="A214" t="str">
            <v>ADMINISTRATIVE &amp; MANAGEMENT EXPENSES</v>
          </cell>
        </row>
      </sheetData>
      <sheetData sheetId="1439">
        <row r="214">
          <cell r="A214" t="str">
            <v>ADMINISTRATIVE &amp; MANAGEMENT EXPENSES</v>
          </cell>
        </row>
      </sheetData>
      <sheetData sheetId="1440">
        <row r="214">
          <cell r="A214" t="str">
            <v>ADMINISTRATIVE &amp; MANAGEMENT EXPENSES</v>
          </cell>
        </row>
      </sheetData>
      <sheetData sheetId="1441">
        <row r="214">
          <cell r="A214" t="str">
            <v>ADMINISTRATIVE &amp; MANAGEMENT EXPENSES</v>
          </cell>
        </row>
      </sheetData>
      <sheetData sheetId="1442">
        <row r="214">
          <cell r="A214" t="str">
            <v>ADMINISTRATIVE &amp; MANAGEMENT EXPENSES</v>
          </cell>
        </row>
      </sheetData>
      <sheetData sheetId="1443">
        <row r="214">
          <cell r="A214" t="str">
            <v>ADMINISTRATIVE &amp; MANAGEMENT EXPENSES</v>
          </cell>
        </row>
      </sheetData>
      <sheetData sheetId="1444">
        <row r="214">
          <cell r="A214" t="str">
            <v>ADMINISTRATIVE &amp; MANAGEMENT EXPENSES</v>
          </cell>
        </row>
      </sheetData>
      <sheetData sheetId="1445">
        <row r="214">
          <cell r="A214" t="str">
            <v>ADMINISTRATIVE &amp; MANAGEMENT EXPENSES</v>
          </cell>
        </row>
      </sheetData>
      <sheetData sheetId="1446">
        <row r="214">
          <cell r="A214" t="str">
            <v>ADMINISTRATIVE &amp; MANAGEMENT EXPENSES</v>
          </cell>
        </row>
      </sheetData>
      <sheetData sheetId="1447">
        <row r="214">
          <cell r="A214" t="str">
            <v>ADMINISTRATIVE &amp; MANAGEMENT EXPENSES</v>
          </cell>
        </row>
      </sheetData>
      <sheetData sheetId="1448">
        <row r="214">
          <cell r="A214" t="str">
            <v>ADMINISTRATIVE &amp; MANAGEMENT EXPENSES</v>
          </cell>
        </row>
      </sheetData>
      <sheetData sheetId="1449">
        <row r="214">
          <cell r="A214" t="str">
            <v>ADMINISTRATIVE &amp; MANAGEMENT EXPENSES</v>
          </cell>
        </row>
      </sheetData>
      <sheetData sheetId="1450">
        <row r="214">
          <cell r="A214" t="str">
            <v>ADMINISTRATIVE &amp; MANAGEMENT EXPENSES</v>
          </cell>
        </row>
      </sheetData>
      <sheetData sheetId="1451"/>
      <sheetData sheetId="1452"/>
      <sheetData sheetId="1453">
        <row r="214">
          <cell r="A214" t="str">
            <v>ADMINISTRATIVE &amp; MANAGEMENT EXPENSES</v>
          </cell>
        </row>
      </sheetData>
      <sheetData sheetId="1454">
        <row r="214">
          <cell r="A214" t="str">
            <v>ADMINISTRATIVE &amp; MANAGEMENT EXPENSES</v>
          </cell>
        </row>
      </sheetData>
      <sheetData sheetId="1455"/>
      <sheetData sheetId="1456"/>
      <sheetData sheetId="1457"/>
      <sheetData sheetId="1458">
        <row r="214">
          <cell r="A214" t="str">
            <v>ADMINISTRATIVE &amp; MANAGEMENT EXPENSES</v>
          </cell>
        </row>
      </sheetData>
      <sheetData sheetId="1459"/>
      <sheetData sheetId="1460"/>
      <sheetData sheetId="1461"/>
      <sheetData sheetId="1462"/>
      <sheetData sheetId="1463"/>
      <sheetData sheetId="1464"/>
      <sheetData sheetId="1465"/>
      <sheetData sheetId="1466"/>
      <sheetData sheetId="1467"/>
      <sheetData sheetId="1468"/>
      <sheetData sheetId="1469">
        <row r="214">
          <cell r="A214" t="str">
            <v>ADMINISTRATIVE &amp; MANAGEMENT EXPENSES</v>
          </cell>
        </row>
      </sheetData>
      <sheetData sheetId="1470"/>
      <sheetData sheetId="1471"/>
      <sheetData sheetId="1472"/>
      <sheetData sheetId="1473"/>
      <sheetData sheetId="1474"/>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sheetData sheetId="1626" refreshError="1"/>
      <sheetData sheetId="1627" refreshError="1"/>
      <sheetData sheetId="1628" refreshError="1"/>
      <sheetData sheetId="1629" refreshError="1"/>
      <sheetData sheetId="1630" refreshError="1"/>
      <sheetData sheetId="1631" refreshError="1"/>
      <sheetData sheetId="1632" refreshError="1"/>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row r="214">
          <cell r="A214" t="str">
            <v>ADMINISTRATIVE &amp; MANAGEMENT EXPENSES</v>
          </cell>
        </row>
      </sheetData>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refreshError="1"/>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refreshError="1"/>
      <sheetData sheetId="2191" refreshError="1"/>
      <sheetData sheetId="2192"/>
      <sheetData sheetId="2193" refreshError="1"/>
      <sheetData sheetId="2194" refreshError="1"/>
      <sheetData sheetId="2195" refreshError="1"/>
      <sheetData sheetId="2196" refreshError="1"/>
      <sheetData sheetId="2197" refreshError="1"/>
      <sheetData sheetId="219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L_Oth Bo"/>
      <sheetName val="3‰AL9697 -group wise  onpl"/>
      <sheetName val=""/>
      <sheetName val="Boq"/>
      <sheetName val="Civil Boq"/>
      <sheetName val="p&amp;m"/>
      <sheetName val="Staff Acco."/>
      <sheetName val="STEEL"/>
      <sheetName val="Sheet3"/>
      <sheetName val="SITE OVERHEADS"/>
      <sheetName val="G-�"/>
      <sheetName val="3�AL9697 -group wise  onpl"/>
      <sheetName val="Sheet1"/>
      <sheetName val="PRECAST lightconc-II"/>
      <sheetName val="Cashflow projection"/>
      <sheetName val="A-General"/>
      <sheetName val="INPUT SHEET"/>
      <sheetName val="Names&amp;Cases"/>
      <sheetName val="Boq Block A"/>
      <sheetName val="SPT vs PHI"/>
      <sheetName val="Project-Material "/>
      <sheetName val="目录"/>
      <sheetName val="sept-plan"/>
      <sheetName val="analysis"/>
      <sheetName val="Headings"/>
      <sheetName val="Precalculation"/>
      <sheetName val="Build-up"/>
      <sheetName val="1. PayRec"/>
      <sheetName val="PL"/>
      <sheetName val="PRW"/>
      <sheetName val="DESIGN"/>
      <sheetName val="VCH-SLC"/>
      <sheetName val="Supplier"/>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3MLKQ"/>
      <sheetName val="G_1_obpl_x005f_x000b_Wori"/>
      <sheetName val="_x005f_x0003_dpl_oth Lia`"/>
      <sheetName val="TBAL9697 _x005f_x000d_grotp wise "/>
      <sheetName val="St.co.91.5lvl"/>
      <sheetName val="factors"/>
      <sheetName val="key dates"/>
      <sheetName val="Actuals"/>
      <sheetName val="Main-Material"/>
      <sheetName val="TBL9798_x0010_DPL03"/>
      <sheetName val="CORPN O_x0000_T"/>
      <sheetName val="ino4t conso,-nov"/>
      <sheetName val="(nout co,sol (2)"/>
      <sheetName val="Blr hire"/>
      <sheetName val="FORM7"/>
      <sheetName val="R2"/>
      <sheetName val="template"/>
      <sheetName val="data"/>
      <sheetName val="Sun E Type"/>
      <sheetName val="PCC"/>
      <sheetName val="Fin Sum"/>
      <sheetName val="CORPN O?T"/>
      <sheetName val="Labor abs-NMR"/>
      <sheetName val="Control"/>
      <sheetName val="CORPN O"/>
      <sheetName val="Stress Calculation"/>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ivil_Boq"/>
      <sheetName val="Staff_Acco_"/>
      <sheetName val="SITE_OVERHEADS"/>
      <sheetName val="PRECAST_lightconc-II"/>
      <sheetName val="Inventory"/>
      <sheetName val="CCTV_EST1"/>
      <sheetName val="gen"/>
      <sheetName val="MAR98"/>
      <sheetName val="환율"/>
      <sheetName val="Input"/>
      <sheetName val="TBAL9697 _x000a_grotp wise "/>
      <sheetName val="labour coeff"/>
      <sheetName val="beam-reinft"/>
      <sheetName val="Shuttering Analysis"/>
      <sheetName val="General P+M"/>
      <sheetName val="Curing Analysis "/>
      <sheetName val="Concrete P+M ( RMC )"/>
      <sheetName val="P+M ( SMC )"/>
      <sheetName val="P+M -EW"/>
      <sheetName val="Costing"/>
      <sheetName val="Pay_Sep06"/>
      <sheetName val="P&amp;L - AD"/>
      <sheetName val="Annex"/>
      <sheetName val="TBL9798_x005f_x0010_DPL03"/>
      <sheetName val="CORPN O_x005f_x0000_T"/>
      <sheetName val="External"/>
      <sheetName val="SUPPLY -Sanitary Fixtures"/>
      <sheetName val="ITEMS FOR CIVIL TENDER"/>
      <sheetName val="1__PayRec"/>
      <sheetName val="Boq_Block_A"/>
      <sheetName val="Cashflow_projection"/>
      <sheetName val="G_1_obpl_x005f_x005f_x005f_x000b_Wori"/>
      <sheetName val="_x005f_x005f_x005f_x0003_dpl_oth Lia`"/>
      <sheetName val="TBAL9697 _x005f_x005f_x005f_x000d_grotp wis"/>
      <sheetName val="CASHFLOWS"/>
      <sheetName val="Fin. Assumpt. - Sensitivities"/>
      <sheetName val="LOAD SHEET "/>
      <sheetName val="Fill this out first..."/>
      <sheetName val="Labour productivity"/>
      <sheetName val="RCC,Ret. Wall"/>
      <sheetName val="Basic"/>
      <sheetName val="SILICATE"/>
      <sheetName val="Labour"/>
      <sheetName val="Area &amp; Cate. Master"/>
      <sheetName val="BS1"/>
      <sheetName val="CORPN O_T"/>
      <sheetName val="Detail"/>
      <sheetName val="nanjprofit"/>
      <sheetName val="Bill No.5"/>
      <sheetName val="basic-data"/>
      <sheetName val="mem-property"/>
      <sheetName val="TBAL9697 _grotp wise "/>
      <sheetName val="Detail 1A"/>
      <sheetName val="Rate"/>
      <sheetName val="DG "/>
      <sheetName val="11B "/>
      <sheetName val="12A"/>
      <sheetName val="12B"/>
      <sheetName val="2A"/>
      <sheetName val="2B"/>
      <sheetName val="2C"/>
      <sheetName val="2D"/>
      <sheetName val="2E"/>
      <sheetName val="2F"/>
      <sheetName val="2G"/>
      <sheetName val="2H"/>
      <sheetName val="3A"/>
      <sheetName val="3B"/>
      <sheetName val="4"/>
      <sheetName val="6B"/>
      <sheetName val="7A"/>
      <sheetName val="7B"/>
      <sheetName val="8A"/>
      <sheetName val="8B"/>
      <sheetName val="9A"/>
      <sheetName val="9B"/>
      <sheetName val="9C"/>
      <sheetName val="9D"/>
      <sheetName val="9E"/>
      <sheetName val="9F"/>
      <sheetName val="9G"/>
      <sheetName val="9H"/>
      <sheetName val="9I"/>
      <sheetName val="9J"/>
      <sheetName val="9K"/>
      <sheetName val="1"/>
      <sheetName val="BOQ (2)"/>
      <sheetName val="Sheet2"/>
      <sheetName val="GBW"/>
      <sheetName val="Fee Rate Summary"/>
      <sheetName val="Name List"/>
      <sheetName val="TBL9798_x005f_x005f_x005f_x0010_DPL03"/>
      <sheetName val="CORPN O_x005f_x005f_x005f_x0000_T"/>
      <sheetName val="Quote Sheet"/>
      <sheetName val="d-safe DELUXE"/>
      <sheetName val="DLC lookups"/>
      <sheetName val="LIST OF MAKES"/>
      <sheetName val="Config"/>
      <sheetName val="Break Dw"/>
      <sheetName val="Driveway Beams"/>
      <sheetName val="RA-markate"/>
      <sheetName val="TBAL9697 _x005f_x000a_grotp wise "/>
      <sheetName val="Pivots"/>
      <sheetName val="Works - Quote Sheet"/>
      <sheetName val="細目"/>
      <sheetName val="2004"/>
      <sheetName val="Form 6"/>
      <sheetName val="acevsSp (ABC)"/>
      <sheetName val="A.O.R."/>
      <sheetName val="IO LIST"/>
      <sheetName val="TBAL9697 _x005f_x000d_grotp wis"/>
      <sheetName val="TBAL9697  grotp wise "/>
      <sheetName val="#REF"/>
      <sheetName val="BLOCK-A (MEA.SHEET)"/>
      <sheetName val="dBase"/>
      <sheetName val="inWords"/>
      <sheetName val="Cat A Change Control"/>
      <sheetName val="#REF!"/>
      <sheetName val="concrete"/>
      <sheetName val="Boq-Con"/>
      <sheetName val="Break up Sheet"/>
      <sheetName val="Manmaster"/>
      <sheetName val="Summary of P &amp; M"/>
      <sheetName val="Sheet 1"/>
      <sheetName val="3BPA00132-5-3 W plan HVPNL"/>
      <sheetName val="Mix Design"/>
      <sheetName val="std-rates"/>
      <sheetName val="Structure Bills Qty"/>
      <sheetName val="220 11  BS "/>
      <sheetName val="ISO.Reconcilation Statment"/>
      <sheetName val="AVG pur rate"/>
      <sheetName val="keyword"/>
      <sheetName val="입력"/>
      <sheetName val="FITZ MORT 94"/>
      <sheetName val="Civil Works"/>
      <sheetName val="총괄표"/>
      <sheetName val="Payroll_Statement"/>
      <sheetName val="Intro."/>
      <sheetName val="Capex-fixed"/>
      <sheetName val="NLD - Assum"/>
      <sheetName val="MRATES"/>
      <sheetName val="WWR"/>
      <sheetName val="Section Catalogue"/>
      <sheetName val="TB9798OBPL06_(2)1"/>
      <sheetName val="CORPN_OCT1"/>
      <sheetName val="inout_consol-nov1"/>
      <sheetName val="inout_consol_(2)1"/>
      <sheetName val="AS_ON_DT_EXPS_Mar1"/>
      <sheetName val="fa-pl_&amp;_mach-site1"/>
      <sheetName val="fa_off_eqp1"/>
      <sheetName val="fa_fur&amp;_fix1"/>
      <sheetName val="fa-pl_&amp;_mach-Off1"/>
      <sheetName val="B_Equity-sdpl_INC1"/>
      <sheetName val="inout_consol_wkg1"/>
      <sheetName val="inout_consol_WKNG1"/>
      <sheetName val="B_Sheet_971"/>
      <sheetName val="P&amp;L_97_1"/>
      <sheetName val="B_Sheet_97-BEXP1"/>
      <sheetName val="P&amp;L_97_-BEXP1"/>
      <sheetName val="consol_flows1"/>
      <sheetName val="sdpl_oth_Liab1"/>
      <sheetName val="obpl-oth_liab1"/>
      <sheetName val="G_land_advance1"/>
      <sheetName val="I-Wip-ot_(2)1"/>
      <sheetName val="detail_WIP_(2)1"/>
      <sheetName val="detail_G-11"/>
      <sheetName val="sobha_menon_ac1"/>
      <sheetName val="pnc_ac1"/>
      <sheetName val="fix_-p_&amp;_M_-SCC1"/>
      <sheetName val="C_fix_asst1"/>
      <sheetName val="D_fix_asst_scdl_1"/>
      <sheetName val="creditors_tb_obpl1"/>
      <sheetName val="TBAL9697_-group_wise__sdpl1"/>
      <sheetName val="TBAL9697_-group_wise_1"/>
      <sheetName val="crs_-G-11"/>
      <sheetName val="TBAL9697_-group_wise__onpl1"/>
      <sheetName val="B_Sheet_97-OBPL1"/>
      <sheetName val="B_Sheet_97_sdpl1"/>
      <sheetName val="TBAL9697_-group_wise__sdpl21"/>
      <sheetName val="inout_consol_jan1"/>
      <sheetName val="consol_flow1"/>
      <sheetName val="D_Loan__Prom1"/>
      <sheetName val="E_Bank_Loan1"/>
      <sheetName val="G_work_Cap1"/>
      <sheetName val="H_land_adv-dec1"/>
      <sheetName val="J_Con_WIP1"/>
      <sheetName val="detail_J1"/>
      <sheetName val="L_Oth_Co1"/>
      <sheetName val="K_fix_asst__1"/>
      <sheetName val="C_fix_asst-SDPL_1"/>
      <sheetName val="TBAL9697__group_wise__sdpl1"/>
      <sheetName val="inout_consol_okg1"/>
      <sheetName val="detail_OIP_(2)1"/>
      <sheetName val="D_fix_ysst_scdl_1"/>
      <sheetName val="cre`itors_tb_obpl1"/>
      <sheetName val="3AL9697_-group_wise__onpl1"/>
      <sheetName val="3‰AL9697_-group_wise__onpl1"/>
      <sheetName val="L_Oth_Bo1"/>
      <sheetName val="Civil_Boq1"/>
      <sheetName val="3�AL9697_-group_wise__onpl"/>
      <sheetName val="Staff_Acco_1"/>
      <sheetName val="SITE_OVERHEADS1"/>
      <sheetName val="PRECAST_lightconc-II1"/>
      <sheetName val="SPT_vs_PHI"/>
      <sheetName val="Project-Material_"/>
      <sheetName val="DG_"/>
      <sheetName val="key_dates"/>
      <sheetName val="TBL9798DPL03"/>
      <sheetName val="CORPN_OT"/>
      <sheetName val="ino4t_conso,-nov"/>
      <sheetName val="(nout_co,sol_(2)"/>
      <sheetName val="Blr_hire"/>
      <sheetName val="INPUT_SHEET"/>
      <sheetName val="Sun_E_Type"/>
      <sheetName val="G_1_obplWori"/>
      <sheetName val="dpl_oth_Lia`"/>
      <sheetName val="_bpl,oth_lia_"/>
      <sheetName val="G_,and_adv_nce"/>
      <sheetName val="I,Wip-ot__2)"/>
      <sheetName val="det!il_WIP_(2)"/>
      <sheetName val="de4ail_G-1"/>
      <sheetName val="sobha_mennn_ac"/>
      <sheetName val="C_&amp;ix_asst"/>
      <sheetName val="TBAL9697__x000a_grotp_wise_"/>
      <sheetName val="Fin_Sum"/>
      <sheetName val="_x005f_x0003_dpl_oth_Lia`"/>
      <sheetName val="TBAL9697__x005f_x000d_grotp_wise_"/>
      <sheetName val="St_co_91_5lvl"/>
      <sheetName val="Labor_abs-NMR"/>
      <sheetName val="CORPN_O_x005f_x0000_T"/>
      <sheetName val="SUPPLY_-Sanitary_Fixtures"/>
      <sheetName val="ITEMS_FOR_CIVIL_TENDER"/>
      <sheetName val="CORPN_O"/>
      <sheetName val="_x005f_x005f_x005f_x0003_dpl_oth_Lia`"/>
      <sheetName val="TBAL9697__x005f_x005f_x005f_x000d_grotp_wis"/>
      <sheetName val="CORPN_O?T"/>
      <sheetName val="Stress_Calculation"/>
      <sheetName val="TB9798OBPL06_(2)2"/>
      <sheetName val="CORPN_OCT2"/>
      <sheetName val="inout_consol-nov2"/>
      <sheetName val="inout_consol_(2)2"/>
      <sheetName val="AS_ON_DT_EXPS_Mar2"/>
      <sheetName val="fa-pl_&amp;_mach-site2"/>
      <sheetName val="fa_off_eqp2"/>
      <sheetName val="fa_fur&amp;_fix2"/>
      <sheetName val="fa-pl_&amp;_mach-Off2"/>
      <sheetName val="B_Equity-sdpl_INC2"/>
      <sheetName val="inout_consol_wkg2"/>
      <sheetName val="inout_consol_WKNG2"/>
      <sheetName val="B_Sheet_972"/>
      <sheetName val="P&amp;L_97_2"/>
      <sheetName val="B_Sheet_97-BEXP2"/>
      <sheetName val="P&amp;L_97_-BEXP2"/>
      <sheetName val="consol_flows2"/>
      <sheetName val="sdpl_oth_Liab2"/>
      <sheetName val="obpl-oth_liab2"/>
      <sheetName val="G_land_advance2"/>
      <sheetName val="I-Wip-ot_(2)2"/>
      <sheetName val="detail_WIP_(2)2"/>
      <sheetName val="detail_G-12"/>
      <sheetName val="sobha_menon_ac2"/>
      <sheetName val="pnc_ac2"/>
      <sheetName val="fix_-p_&amp;_M_-SCC2"/>
      <sheetName val="C_fix_asst2"/>
      <sheetName val="D_fix_asst_scdl_2"/>
      <sheetName val="creditors_tb_obpl2"/>
      <sheetName val="TBAL9697_-group_wise__sdpl3"/>
      <sheetName val="TBAL9697_-group_wise_2"/>
      <sheetName val="crs_-G-12"/>
      <sheetName val="TBAL9697_-group_wise__onpl2"/>
      <sheetName val="B_Sheet_97-OBPL2"/>
      <sheetName val="B_Sheet_97_sdpl2"/>
      <sheetName val="TBAL9697_-group_wise__sdpl22"/>
      <sheetName val="inout_consol_jan2"/>
      <sheetName val="consol_flow2"/>
      <sheetName val="D_Loan__Prom2"/>
      <sheetName val="E_Bank_Loan2"/>
      <sheetName val="G_work_Cap2"/>
      <sheetName val="H_land_adv-dec2"/>
      <sheetName val="J_Con_WIP2"/>
      <sheetName val="detail_J2"/>
      <sheetName val="L_Oth_Co2"/>
      <sheetName val="K_fix_asst__2"/>
      <sheetName val="C_fix_asst-SDPL_2"/>
      <sheetName val="TBAL9697__group_wise__sdpl2"/>
      <sheetName val="inout_consol_okg2"/>
      <sheetName val="detail_OIP_(2)2"/>
      <sheetName val="D_fix_ysst_scdl_2"/>
      <sheetName val="cre`itors_tb_obpl2"/>
      <sheetName val="3AL9697_-group_wise__onpl2"/>
      <sheetName val="3‰AL9697_-group_wise__onpl2"/>
      <sheetName val="L_Oth_Bo2"/>
      <sheetName val="Civil_Boq2"/>
      <sheetName val="3�AL9697_-group_wise__onpl1"/>
      <sheetName val="Staff_Acco_2"/>
      <sheetName val="SITE_OVERHEADS2"/>
      <sheetName val="PRECAST_lightconc-II2"/>
      <sheetName val="Cashflow_projection1"/>
      <sheetName val="SPT_vs_PHI1"/>
      <sheetName val="1__PayRec1"/>
      <sheetName val="Boq_Block_A1"/>
      <sheetName val="Project-Material_1"/>
      <sheetName val="DG_1"/>
      <sheetName val="key_dates1"/>
      <sheetName val="ino4t_conso,-nov1"/>
      <sheetName val="(nout_co,sol_(2)1"/>
      <sheetName val="Blr_hire1"/>
      <sheetName val="INPUT_SHEET1"/>
      <sheetName val="Sun_E_Type1"/>
      <sheetName val="_bpl,oth_lia_1"/>
      <sheetName val="G_,and_adv_nce1"/>
      <sheetName val="I,Wip-ot__2)1"/>
      <sheetName val="det!il_WIP_(2)1"/>
      <sheetName val="de4ail_G-11"/>
      <sheetName val="sobha_mennn_ac1"/>
      <sheetName val="C_&amp;ix_asst1"/>
      <sheetName val="Fin_Sum1"/>
      <sheetName val="_x005f_x0003_dpl_oth_Lia`1"/>
      <sheetName val="TBAL9697__x005f_x000d_grotp_wise_1"/>
      <sheetName val="St_co_91_5lvl1"/>
      <sheetName val="Labor_abs-NMR1"/>
      <sheetName val="CORPN_O_x005f_x0000_T1"/>
      <sheetName val="SUPPLY_-Sanitary_Fixtures1"/>
      <sheetName val="ITEMS_FOR_CIVIL_TENDER1"/>
      <sheetName val="CORPN_O1"/>
      <sheetName val="_x005f_x005f_x005f_x0003_dpl_oth_Lia`1"/>
      <sheetName val="TBAL9697__x005f_x005f_x005f_x000d_grotp_wi1"/>
      <sheetName val="TBAL9697__x000a_grotp_wise_1"/>
      <sheetName val="CORPN_O?T1"/>
      <sheetName val="Stress_Calculation1"/>
      <sheetName val="TB9798OBPL06_(2)3"/>
      <sheetName val="CORPN_OCT3"/>
      <sheetName val="inout_consol-nov3"/>
      <sheetName val="inout_consol_(2)3"/>
      <sheetName val="AS_ON_DT_EXPS_Mar3"/>
      <sheetName val="fa-pl_&amp;_mach-site3"/>
      <sheetName val="fa_off_eqp3"/>
      <sheetName val="fa_fur&amp;_fix3"/>
      <sheetName val="fa-pl_&amp;_mach-Off3"/>
      <sheetName val="B_Equity-sdpl_INC3"/>
      <sheetName val="inout_consol_wkg3"/>
      <sheetName val="inout_consol_WKNG3"/>
      <sheetName val="B_Sheet_973"/>
      <sheetName val="P&amp;L_97_3"/>
      <sheetName val="B_Sheet_97-BEXP3"/>
      <sheetName val="P&amp;L_97_-BEXP3"/>
      <sheetName val="consol_flows3"/>
      <sheetName val="sdpl_oth_Liab3"/>
      <sheetName val="obpl-oth_liab3"/>
      <sheetName val="G_land_advance3"/>
      <sheetName val="I-Wip-ot_(2)3"/>
      <sheetName val="detail_WIP_(2)3"/>
      <sheetName val="detail_G-13"/>
      <sheetName val="sobha_menon_ac3"/>
      <sheetName val="pnc_ac3"/>
      <sheetName val="fix_-p_&amp;_M_-SCC3"/>
      <sheetName val="C_fix_asst3"/>
      <sheetName val="D_fix_asst_scdl_3"/>
      <sheetName val="pol-60"/>
      <sheetName val="tie beam"/>
      <sheetName val="crews"/>
      <sheetName val="TB9798OBPL06_(2)16"/>
      <sheetName val="CORPN_OCT16"/>
      <sheetName val="inout_consol-nov16"/>
      <sheetName val="inout_consol_(2)16"/>
      <sheetName val="AS_ON_DT_EXPS_Mar16"/>
      <sheetName val="fa-pl_&amp;_mach-site16"/>
      <sheetName val="fa_off_eqp16"/>
      <sheetName val="fa_fur&amp;_fix16"/>
      <sheetName val="fa-pl_&amp;_mach-Off16"/>
      <sheetName val="B_Equity-sdpl_INC16"/>
      <sheetName val="inout_consol_wkg16"/>
      <sheetName val="inout_consol_WKNG16"/>
      <sheetName val="B_Sheet_9716"/>
      <sheetName val="P&amp;L_97_16"/>
      <sheetName val="B_Sheet_97-BEXP16"/>
      <sheetName val="P&amp;L_97_-BEXP16"/>
      <sheetName val="consol_flows16"/>
      <sheetName val="sdpl_oth_Liab16"/>
      <sheetName val="obpl-oth_liab16"/>
      <sheetName val="G_land_advance16"/>
      <sheetName val="I-Wip-ot_(2)16"/>
      <sheetName val="detail_WIP_(2)16"/>
      <sheetName val="detail_G-116"/>
      <sheetName val="sobha_menon_ac16"/>
      <sheetName val="pnc_ac16"/>
      <sheetName val="fix_-p_&amp;_M_-SCC16"/>
      <sheetName val="C_fix_asst16"/>
      <sheetName val="D_fix_asst_scdl_16"/>
      <sheetName val="creditors_tb_obpl16"/>
      <sheetName val="TBAL9697_-group_wise__sdpl17"/>
      <sheetName val="TBAL9697_-group_wise_16"/>
      <sheetName val="crs_-G-116"/>
      <sheetName val="TBAL9697_-group_wise__onpl16"/>
      <sheetName val="B_Sheet_97-OBPL16"/>
      <sheetName val="B_Sheet_97_sdpl16"/>
      <sheetName val="TBAL9697_-group_wise__sdpl216"/>
      <sheetName val="inout_consol_jan16"/>
      <sheetName val="consol_flow16"/>
      <sheetName val="D_Loan__Prom16"/>
      <sheetName val="E_Bank_Loan16"/>
      <sheetName val="G_work_Cap16"/>
      <sheetName val="H_land_adv-dec16"/>
      <sheetName val="J_Con_WIP16"/>
      <sheetName val="detail_J16"/>
      <sheetName val="L_Oth_Co16"/>
      <sheetName val="K_fix_asst__16"/>
      <sheetName val="C_fix_asst-SDPL_16"/>
      <sheetName val="TBAL9697__group_wise__sdpl16"/>
      <sheetName val="inout_consol_okg16"/>
      <sheetName val="detail_OIP_(2)16"/>
      <sheetName val="D_fix_ysst_scdl_16"/>
      <sheetName val="cre`itors_tb_obpl16"/>
      <sheetName val="3AL9697_-group_wise__onpl16"/>
      <sheetName val="3‰AL9697_-group_wise__onpl16"/>
      <sheetName val="L_Oth_Bo16"/>
      <sheetName val="Civil_Boq16"/>
      <sheetName val="3�AL9697_-group_wise__onpl16"/>
      <sheetName val="Staff_Acco_16"/>
      <sheetName val="SITE_OVERHEADS16"/>
      <sheetName val="Boq_Block_A16"/>
      <sheetName val="Project-Material_16"/>
      <sheetName val="TB9798OBPL06_(2)9"/>
      <sheetName val="CORPN_OCT9"/>
      <sheetName val="inout_consol-nov9"/>
      <sheetName val="inout_consol_(2)9"/>
      <sheetName val="AS_ON_DT_EXPS_Mar9"/>
      <sheetName val="fa-pl_&amp;_mach-site9"/>
      <sheetName val="fa_off_eqp9"/>
      <sheetName val="fa_fur&amp;_fix9"/>
      <sheetName val="fa-pl_&amp;_mach-Off9"/>
      <sheetName val="B_Equity-sdpl_INC9"/>
      <sheetName val="inout_consol_wkg9"/>
      <sheetName val="inout_consol_WKNG9"/>
      <sheetName val="B_Sheet_979"/>
      <sheetName val="P&amp;L_97_9"/>
      <sheetName val="B_Sheet_97-BEXP9"/>
      <sheetName val="P&amp;L_97_-BEXP9"/>
      <sheetName val="consol_flows9"/>
      <sheetName val="sdpl_oth_Liab9"/>
      <sheetName val="obpl-oth_liab9"/>
      <sheetName val="G_land_advance9"/>
      <sheetName val="I-Wip-ot_(2)9"/>
      <sheetName val="detail_WIP_(2)9"/>
      <sheetName val="detail_G-19"/>
      <sheetName val="sobha_menon_ac9"/>
      <sheetName val="pnc_ac9"/>
      <sheetName val="fix_-p_&amp;_M_-SCC9"/>
      <sheetName val="C_fix_asst9"/>
      <sheetName val="D_fix_asst_scdl_9"/>
      <sheetName val="creditors_tb_obpl9"/>
      <sheetName val="TBAL9697_-group_wise__sdpl10"/>
      <sheetName val="TBAL9697_-group_wise_9"/>
      <sheetName val="crs_-G-19"/>
      <sheetName val="TBAL9697_-group_wise__onpl9"/>
      <sheetName val="B_Sheet_97-OBPL9"/>
      <sheetName val="B_Sheet_97_sdpl9"/>
      <sheetName val="TBAL9697_-group_wise__sdpl29"/>
      <sheetName val="inout_consol_jan9"/>
      <sheetName val="consol_flow9"/>
      <sheetName val="D_Loan__Prom9"/>
      <sheetName val="E_Bank_Loan9"/>
      <sheetName val="G_work_Cap9"/>
      <sheetName val="H_land_adv-dec9"/>
      <sheetName val="J_Con_WIP9"/>
      <sheetName val="detail_J9"/>
      <sheetName val="L_Oth_Co9"/>
      <sheetName val="K_fix_asst__9"/>
      <sheetName val="C_fix_asst-SDPL_9"/>
      <sheetName val="TBAL9697__group_wise__sdpl9"/>
      <sheetName val="inout_consol_okg9"/>
      <sheetName val="detail_OIP_(2)9"/>
      <sheetName val="D_fix_ysst_scdl_9"/>
      <sheetName val="cre`itors_tb_obpl9"/>
      <sheetName val="3AL9697_-group_wise__onpl9"/>
      <sheetName val="3‰AL9697_-group_wise__onpl9"/>
      <sheetName val="L_Oth_Bo9"/>
      <sheetName val="Civil_Boq9"/>
      <sheetName val="3�AL9697_-group_wise__onpl9"/>
      <sheetName val="Staff_Acco_9"/>
      <sheetName val="SITE_OVERHEADS9"/>
      <sheetName val="Boq_Block_A9"/>
      <sheetName val="Project-Material_9"/>
      <sheetName val="3�AL9697_-group_wise__onpl2"/>
      <sheetName val="Boq_Block_A2"/>
      <sheetName val="Project-Material_2"/>
      <sheetName val="creditors_tb_obpl3"/>
      <sheetName val="TBAL9697_-group_wise__sdpl4"/>
      <sheetName val="TBAL9697_-group_wise_3"/>
      <sheetName val="crs_-G-13"/>
      <sheetName val="TBAL9697_-group_wise__onpl3"/>
      <sheetName val="B_Sheet_97-OBPL3"/>
      <sheetName val="B_Sheet_97_sdpl3"/>
      <sheetName val="TBAL9697_-group_wise__sdpl23"/>
      <sheetName val="inout_consol_jan3"/>
      <sheetName val="consol_flow3"/>
      <sheetName val="D_Loan__Prom3"/>
      <sheetName val="E_Bank_Loan3"/>
      <sheetName val="G_work_Cap3"/>
      <sheetName val="H_land_adv-dec3"/>
      <sheetName val="J_Con_WIP3"/>
      <sheetName val="detail_J3"/>
      <sheetName val="L_Oth_Co3"/>
      <sheetName val="K_fix_asst__3"/>
      <sheetName val="C_fix_asst-SDPL_3"/>
      <sheetName val="TBAL9697__group_wise__sdpl3"/>
      <sheetName val="inout_consol_okg3"/>
      <sheetName val="detail_OIP_(2)3"/>
      <sheetName val="D_fix_ysst_scdl_3"/>
      <sheetName val="cre`itors_tb_obpl3"/>
      <sheetName val="3AL9697_-group_wise__onpl3"/>
      <sheetName val="Cash Flow Input Data_ISC"/>
      <sheetName val="Interface_SC"/>
      <sheetName val="Calc_ISC"/>
      <sheetName val="Calc_SC"/>
      <sheetName val="Interface_ISC"/>
      <sheetName val="GD"/>
      <sheetName val="Phasing"/>
      <sheetName val="Mat.-Rates"/>
      <sheetName val="Assumption Inputs"/>
      <sheetName val="G_1_obpl_x005f_x005f_x005f_x005f_x005f_x005f_x000"/>
      <sheetName val="_x005f_x005f_x005f_x005f_x005f_x005f_x005f_x0003_dpl_ot"/>
      <sheetName val="TBAL9697 _x005f_x005f_x005f_x005f_x005f_x005f_x00"/>
      <sheetName val="Summary"/>
      <sheetName val="Legal Risk Analysis"/>
      <sheetName val="COST"/>
      <sheetName val="SICAM"/>
      <sheetName val="A1-Continuous"/>
      <sheetName val="Basis"/>
      <sheetName val="Assumptions"/>
      <sheetName val="Intro"/>
      <sheetName val="DetEst"/>
      <sheetName val="Mat_Cost"/>
      <sheetName val="DETAILED  BOQ"/>
      <sheetName val="fa-pl &amp; myy_x000b__x000b__x0002_"/>
      <sheetName val="TB9798OBPL06_(2)22"/>
      <sheetName val="CORPN_OCT22"/>
      <sheetName val="inout_consol-nov22"/>
      <sheetName val="inout_consol_(2)22"/>
      <sheetName val="AS_ON_DT_EXPS_Mar22"/>
      <sheetName val="fa-pl_&amp;_mach-site22"/>
      <sheetName val="fa_off_eqp22"/>
      <sheetName val="fa_fur&amp;_fix22"/>
      <sheetName val="fa-pl_&amp;_mach-Off22"/>
      <sheetName val="B_Equity-sdpl_INC22"/>
      <sheetName val="inout_consol_wkg22"/>
      <sheetName val="inout_consol_WKNG22"/>
      <sheetName val="B_Sheet_9722"/>
      <sheetName val="P&amp;L_97_22"/>
      <sheetName val="B_Sheet_97-BEXP22"/>
      <sheetName val="P&amp;L_97_-BEXP22"/>
      <sheetName val="consol_flows22"/>
      <sheetName val="sdpl_oth_Liab22"/>
      <sheetName val="obpl-oth_liab22"/>
      <sheetName val="G_land_advance22"/>
      <sheetName val="I-Wip-ot_(2)22"/>
      <sheetName val="detail_WIP_(2)22"/>
      <sheetName val="detail_G-122"/>
      <sheetName val="sobha_menon_ac22"/>
      <sheetName val="pnc_ac22"/>
      <sheetName val="fix_-p_&amp;_M_-SCC22"/>
      <sheetName val="C_fix_asst22"/>
      <sheetName val="D_fix_asst_scdl_22"/>
      <sheetName val="creditors_tb_obpl22"/>
      <sheetName val="TBAL9697_-group_wise__sdpl32"/>
      <sheetName val="TBAL9697_-group_wise_22"/>
      <sheetName val="crs_-G-122"/>
      <sheetName val="TBAL9697_-group_wise__onpl22"/>
      <sheetName val="B_Sheet_97-OBPL22"/>
      <sheetName val="B_Sheet_97_sdpl22"/>
      <sheetName val="TBAL9697_-group_wise__sdpl222"/>
      <sheetName val="inout_consol_jan22"/>
      <sheetName val="consol_flow22"/>
      <sheetName val="D_Loan__Prom22"/>
      <sheetName val="E_Bank_Loan22"/>
      <sheetName val="G_work_Cap22"/>
      <sheetName val="H_land_adv-dec22"/>
      <sheetName val="J_Con_WIP22"/>
      <sheetName val="detail_J22"/>
      <sheetName val="L_Oth_Co22"/>
      <sheetName val="K_fix_asst__22"/>
      <sheetName val="C_fix_asst-SDPL_22"/>
      <sheetName val="TBAL9697__group_wise__sdpl22"/>
      <sheetName val="inout_consol_okg22"/>
      <sheetName val="detail_OIP_(2)22"/>
      <sheetName val="D_fix_ysst_scdl_22"/>
      <sheetName val="cre`itors_tb_obpl22"/>
      <sheetName val="3AL9697_-group_wise__onpl22"/>
      <sheetName val="3‰AL9697_-group_wise__onpl22"/>
      <sheetName val="L_Oth_Bo22"/>
      <sheetName val="Civil_Boq22"/>
      <sheetName val="3�AL9697_-group_wise__onpl22"/>
      <sheetName val="Staff_Acco_22"/>
      <sheetName val="SITE_OVERHEADS22"/>
      <sheetName val="Boq_Block_A22"/>
      <sheetName val="Project-Material_22"/>
      <sheetName val="TB9798OBPL06_(2)20"/>
      <sheetName val="CORPN_OCT20"/>
      <sheetName val="inout_consol-nov20"/>
      <sheetName val="inout_consol_(2)20"/>
      <sheetName val="AS_ON_DT_EXPS_Mar20"/>
      <sheetName val="fa-pl_&amp;_mach-site20"/>
      <sheetName val="fa_off_eqp20"/>
      <sheetName val="fa_fur&amp;_fix20"/>
      <sheetName val="fa-pl_&amp;_mach-Off20"/>
      <sheetName val="B_Equity-sdpl_INC20"/>
      <sheetName val="inout_consol_wkg20"/>
      <sheetName val="inout_consol_WKNG20"/>
      <sheetName val="B_Sheet_9720"/>
      <sheetName val="P&amp;L_97_20"/>
      <sheetName val="B_Sheet_97-BEXP20"/>
      <sheetName val="P&amp;L_97_-BEXP20"/>
      <sheetName val="consol_flows20"/>
      <sheetName val="sdpl_oth_Liab20"/>
      <sheetName val="obpl-oth_liab20"/>
      <sheetName val="G_land_advance20"/>
      <sheetName val="I-Wip-ot_(2)20"/>
      <sheetName val="detail_WIP_(2)20"/>
      <sheetName val="detail_G-120"/>
      <sheetName val="sobha_menon_ac20"/>
      <sheetName val="pnc_ac20"/>
      <sheetName val="fix_-p_&amp;_M_-SCC20"/>
      <sheetName val="C_fix_asst20"/>
      <sheetName val="D_fix_asst_scdl_20"/>
      <sheetName val="creditors_tb_obpl20"/>
      <sheetName val="TBAL9697_-group_wise__sdpl30"/>
      <sheetName val="TBAL9697_-group_wise_20"/>
      <sheetName val="crs_-G-120"/>
      <sheetName val="TBAL9697_-group_wise__onpl20"/>
      <sheetName val="B_Sheet_97-OBPL20"/>
      <sheetName val="B_Sheet_97_sdpl20"/>
      <sheetName val="TBAL9697_-group_wise__sdpl220"/>
      <sheetName val="inout_consol_jan20"/>
      <sheetName val="consol_flow20"/>
      <sheetName val="D_Loan__Prom20"/>
      <sheetName val="E_Bank_Loan20"/>
      <sheetName val="G_work_Cap20"/>
      <sheetName val="H_land_adv-dec20"/>
      <sheetName val="J_Con_WIP20"/>
      <sheetName val="detail_J20"/>
      <sheetName val="L_Oth_Co20"/>
      <sheetName val="K_fix_asst__20"/>
      <sheetName val="C_fix_asst-SDPL_20"/>
      <sheetName val="TBAL9697__group_wise__sdpl20"/>
      <sheetName val="inout_consol_okg20"/>
      <sheetName val="detail_OIP_(2)20"/>
      <sheetName val="D_fix_ysst_scdl_20"/>
      <sheetName val="cre`itors_tb_obpl20"/>
      <sheetName val="3AL9697_-group_wise__onpl20"/>
      <sheetName val="3‰AL9697_-group_wise__onpl20"/>
      <sheetName val="L_Oth_Bo20"/>
      <sheetName val="Civil_Boq20"/>
      <sheetName val="3�AL9697_-group_wise__onpl20"/>
      <sheetName val="Staff_Acco_20"/>
      <sheetName val="SITE_OVERHEADS20"/>
      <sheetName val="Boq_Block_A20"/>
      <sheetName val="Project-Material_20"/>
      <sheetName val="3‰AL9697_-group_wise__onpl3"/>
      <sheetName val="L_Oth_Bo3"/>
      <sheetName val="Civil_Boq3"/>
      <sheetName val="Staff_Acco_3"/>
      <sheetName val="SITE_OVERHEADS3"/>
      <sheetName val="Boq_Block_A3"/>
      <sheetName val="Project-Material_3"/>
      <sheetName val="3�AL9697_-group_wise__onpl3"/>
      <sheetName val="TB9798OBPL06_(2)4"/>
      <sheetName val="CORPN_OCT4"/>
      <sheetName val="inout_consol-nov4"/>
      <sheetName val="inout_consol_(2)4"/>
      <sheetName val="AS_ON_DT_EXPS_Mar4"/>
      <sheetName val="fa-pl_&amp;_mach-site4"/>
      <sheetName val="fa_off_eqp4"/>
      <sheetName val="fa_fur&amp;_fix4"/>
      <sheetName val="fa-pl_&amp;_mach-Off4"/>
      <sheetName val="B_Equity-sdpl_INC4"/>
      <sheetName val="inout_consol_wkg4"/>
      <sheetName val="inout_consol_WKNG4"/>
      <sheetName val="B_Sheet_974"/>
      <sheetName val="P&amp;L_97_4"/>
      <sheetName val="B_Sheet_97-BEXP4"/>
      <sheetName val="P&amp;L_97_-BEXP4"/>
      <sheetName val="consol_flows4"/>
      <sheetName val="sdpl_oth_Liab4"/>
      <sheetName val="obpl-oth_liab4"/>
      <sheetName val="G_land_advance4"/>
      <sheetName val="I-Wip-ot_(2)4"/>
      <sheetName val="detail_WIP_(2)4"/>
      <sheetName val="detail_G-14"/>
      <sheetName val="sobha_menon_ac4"/>
      <sheetName val="pnc_ac4"/>
      <sheetName val="fix_-p_&amp;_M_-SCC4"/>
      <sheetName val="C_fix_asst4"/>
      <sheetName val="D_fix_asst_scdl_4"/>
      <sheetName val="creditors_tb_obpl4"/>
      <sheetName val="TBAL9697_-group_wise__sdpl5"/>
      <sheetName val="TBAL9697_-group_wise_4"/>
      <sheetName val="crs_-G-14"/>
      <sheetName val="TBAL9697_-group_wise__onpl4"/>
      <sheetName val="B_Sheet_97-OBPL4"/>
      <sheetName val="B_Sheet_97_sdpl4"/>
      <sheetName val="TBAL9697_-group_wise__sdpl24"/>
      <sheetName val="inout_consol_jan4"/>
      <sheetName val="consol_flow4"/>
      <sheetName val="D_Loan__Prom4"/>
      <sheetName val="E_Bank_Loan4"/>
      <sheetName val="G_work_Cap4"/>
      <sheetName val="H_land_adv-dec4"/>
      <sheetName val="J_Con_WIP4"/>
      <sheetName val="detail_J4"/>
      <sheetName val="L_Oth_Co4"/>
      <sheetName val="K_fix_asst__4"/>
      <sheetName val="C_fix_asst-SDPL_4"/>
      <sheetName val="INDIGINEOUS ITEMS "/>
      <sheetName val="Site Dev BOQ"/>
      <sheetName val="外気負荷"/>
      <sheetName val="Material"/>
      <sheetName val="Set"/>
      <sheetName val="Components"/>
      <sheetName val="CABLE DATA"/>
      <sheetName val="Exc"/>
      <sheetName val="Analy_7-10"/>
      <sheetName val="BALAN1"/>
      <sheetName val="Elect."/>
      <sheetName val="final abstract"/>
      <sheetName val="TBAL9697_ grotp_wise_"/>
      <sheetName val="TBAL9697_ grotp_wise_1"/>
      <sheetName val="BASIC RATES"/>
      <sheetName val="labour_coeff"/>
      <sheetName val="Shuttering_Analysis"/>
      <sheetName val="General_P+M"/>
      <sheetName val="Curing_Analysis_"/>
      <sheetName val="Concrete_P+M_(_RMC_)"/>
      <sheetName val="P+M_(_SMC_)"/>
      <sheetName val="P+M_-EW"/>
      <sheetName val="P&amp;L_-_AD"/>
      <sheetName val="CORPN_O_T"/>
      <sheetName val="Fin__Assumpt__-_Sensitivities"/>
      <sheetName val="LOAD_SHEET_"/>
      <sheetName val="Fill_this_out_first___"/>
      <sheetName val="Labour_productivity"/>
      <sheetName val="RCC,Ret__Wall"/>
      <sheetName val="Area_&amp;_Cate__Master"/>
      <sheetName val="Driveway_Beams"/>
      <sheetName val="TBAL9697__grotp_wise_"/>
      <sheetName val="Bill_No_5"/>
      <sheetName val="11B_"/>
      <sheetName val="BOQ_(2)"/>
      <sheetName val="Detail_1A"/>
      <sheetName val="Tender Summary"/>
      <sheetName val="Parameter"/>
      <sheetName val="1_Project_Profile"/>
      <sheetName val="Lead"/>
      <sheetName val="PRECAST_lightconc-II3"/>
      <sheetName val="1__PayRec2"/>
      <sheetName val="ino4t_conso,-nov2"/>
      <sheetName val="(nout_co,sol_(2)2"/>
      <sheetName val="Blr_hire2"/>
      <sheetName val="Cashflow_projection2"/>
      <sheetName val="SPT_vs_PHI2"/>
      <sheetName val="key_dates2"/>
      <sheetName val="INPUT_SHEET2"/>
      <sheetName val="_bpl,oth_lia_2"/>
      <sheetName val="G_,and_adv_nce2"/>
      <sheetName val="I,Wip-ot__2)2"/>
      <sheetName val="det!il_WIP_(2)2"/>
      <sheetName val="de4ail_G-12"/>
      <sheetName val="sobha_mennn_ac2"/>
      <sheetName val="C_&amp;ix_asst2"/>
      <sheetName val="_x005f_x0003_dpl_oth_Lia`2"/>
      <sheetName val="TBAL9697__x005f_x000d_grotp_wise_2"/>
      <sheetName val="St_co_91_5lvl2"/>
      <sheetName val="Sun_E_Type2"/>
      <sheetName val="Fin_Sum2"/>
      <sheetName val="CORPN_O?T2"/>
      <sheetName val="Labor_abs-NMR2"/>
      <sheetName val="Stress_Calculation2"/>
      <sheetName val="TBAL9697__x000a_grotp_wise_2"/>
      <sheetName val="CORPN_O_x005f_x0000_T2"/>
      <sheetName val="SUPPLY_-Sanitary_Fixtures2"/>
      <sheetName val="ITEMS_FOR_CIVIL_TENDER2"/>
      <sheetName val="_x005f_x005f_x005f_x0003_dpl_oth_Lia`2"/>
      <sheetName val="TBAL9697__x005f_x005f_x005f_x000d_grotp_wi2"/>
      <sheetName val="CORPN_O2"/>
      <sheetName val="DG_2"/>
      <sheetName val="DLC_lookups"/>
      <sheetName val="Structure_Bills_Qty"/>
      <sheetName val="Fee_Rate_Summary"/>
      <sheetName val="Name_List"/>
      <sheetName val="CORPN_O_x005f_x005f_x005f_x0000_T"/>
      <sheetName val="TBAL9697__x005f_x000a_grotp_wise_"/>
      <sheetName val="220_11__BS_"/>
      <sheetName val="ISO_Reconcilation_Statment"/>
      <sheetName val="AVG_pur_rate"/>
      <sheetName val="Cat_A_Change_Control"/>
      <sheetName val="Break_up_Sheet"/>
      <sheetName val="Summary_of_P_&amp;_M"/>
      <sheetName val="Break_Dw"/>
      <sheetName val="FITZ_MORT_94"/>
      <sheetName val="Sheet_1"/>
      <sheetName val="3BPA00132-5-3_W_plan_HVPNL"/>
      <sheetName val="Mix_Design"/>
      <sheetName val="BLOCK-A_(MEA_SHEET)"/>
      <sheetName val="Quote_Sheet"/>
      <sheetName val="d-safe_DELUXE"/>
      <sheetName val="Works_-_Quote_Sheet"/>
      <sheetName val="IO_LIST"/>
      <sheetName val="TBAL9697__x005f_x000d_grotp_wis"/>
      <sheetName val="TBAL9697__grotp_wise_1"/>
      <sheetName val="NLD_-_Assum"/>
      <sheetName val="Intro_"/>
      <sheetName val="TBAL9697__x005f_x005f_x005f_x005f_x005f_x005f_x00"/>
      <sheetName val="Form_6"/>
      <sheetName val="acevsSp_(ABC)"/>
      <sheetName val="A_O_R_"/>
      <sheetName val="LIST_OF_MAKES"/>
      <sheetName val="fa-pl_&amp;_myy"/>
      <sheetName val="Cash_Flow_Input_Data_ISC"/>
      <sheetName val="DETAILED__BOQ"/>
      <sheetName val="Civil_Works"/>
      <sheetName val="Legal_Risk_Analysis"/>
      <sheetName val="CABLE_DATA"/>
      <sheetName val="Mat_-Rates"/>
      <sheetName val="Meas.-Hotel Part"/>
      <sheetName val="TBAL9697__group_wise__sdpl4"/>
      <sheetName val="inout_consol_okg4"/>
      <sheetName val="detail_OIP_(2)4"/>
      <sheetName val="D_fix_ysst_scdl_4"/>
      <sheetName val="cre`itors_tb_obpl4"/>
      <sheetName val="3AL9697_-group_wise__onpl4"/>
      <sheetName val="tie_beam"/>
      <sheetName val="Assumption_Inputs"/>
      <sheetName val="Section_Catalogue"/>
      <sheetName val="TB9798OBPL06_(2)6"/>
      <sheetName val="CORPN_OCT6"/>
      <sheetName val="inout_consol-nov6"/>
      <sheetName val="inout_consol_(2)6"/>
      <sheetName val="AS_ON_DT_EXPS_Mar6"/>
      <sheetName val="fa-pl_&amp;_mach-site6"/>
      <sheetName val="fa_off_eqp6"/>
      <sheetName val="fa_fur&amp;_fix6"/>
      <sheetName val="fa-pl_&amp;_mach-Off6"/>
      <sheetName val="B_Equity-sdpl_INC6"/>
      <sheetName val="inout_consol_wkg6"/>
      <sheetName val="inout_consol_WKNG6"/>
      <sheetName val="B_Sheet_976"/>
      <sheetName val="P&amp;L_97_6"/>
      <sheetName val="B_Sheet_97-BEXP6"/>
      <sheetName val="P&amp;L_97_-BEXP6"/>
      <sheetName val="consol_flows6"/>
      <sheetName val="sdpl_oth_Liab6"/>
      <sheetName val="obpl-oth_liab6"/>
      <sheetName val="G_land_advance6"/>
      <sheetName val="I-Wip-ot_(2)6"/>
      <sheetName val="detail_WIP_(2)6"/>
      <sheetName val="detail_G-16"/>
      <sheetName val="sobha_menon_ac6"/>
      <sheetName val="pnc_ac6"/>
      <sheetName val="fix_-p_&amp;_M_-SCC6"/>
      <sheetName val="C_fix_asst6"/>
      <sheetName val="D_fix_asst_scdl_6"/>
      <sheetName val="creditors_tb_obpl6"/>
      <sheetName val="TBAL9697_-group_wise__sdpl7"/>
      <sheetName val="TBAL9697_-group_wise_6"/>
      <sheetName val="crs_-G-16"/>
      <sheetName val="TBAL9697_-group_wise__onpl6"/>
      <sheetName val="B_Sheet_97-OBPL6"/>
      <sheetName val="B_Sheet_97_sdpl6"/>
      <sheetName val="TBAL9697_-group_wise__sdpl26"/>
      <sheetName val="inout_consol_jan6"/>
      <sheetName val="consol_flow6"/>
      <sheetName val="D_Loan__Prom6"/>
      <sheetName val="E_Bank_Loan6"/>
      <sheetName val="G_work_Cap6"/>
      <sheetName val="H_land_adv-dec6"/>
      <sheetName val="J_Con_WIP6"/>
      <sheetName val="detail_J6"/>
      <sheetName val="L_Oth_Co6"/>
      <sheetName val="K_fix_asst__6"/>
      <sheetName val="C_fix_asst-SDPL_6"/>
      <sheetName val="TBAL9697__group_wise__sdpl6"/>
      <sheetName val="inout_consol_okg6"/>
      <sheetName val="detail_OIP_(2)6"/>
      <sheetName val="D_fix_ysst_scdl_6"/>
      <sheetName val="cre`itors_tb_obpl6"/>
      <sheetName val="3AL9697_-group_wise__onpl6"/>
      <sheetName val="3‰AL9697_-group_wise__onpl5"/>
      <sheetName val="L_Oth_Bo5"/>
      <sheetName val="Civil_Boq5"/>
      <sheetName val="Staff_Acco_5"/>
      <sheetName val="SITE_OVERHEADS5"/>
      <sheetName val="Boq_Block_A5"/>
      <sheetName val="INPUT_SHEET4"/>
      <sheetName val="3�AL9697_-group_wise__onpl5"/>
      <sheetName val="PRECAST_lightconc-II5"/>
      <sheetName val="Cashflow_projection4"/>
      <sheetName val="1__PayRec4"/>
      <sheetName val="Project-Material_5"/>
      <sheetName val="SPT_vs_PHI4"/>
      <sheetName val="key_dates4"/>
      <sheetName val="_bpl,oth_lia_4"/>
      <sheetName val="G_,and_adv_nce4"/>
      <sheetName val="I,Wip-ot__2)4"/>
      <sheetName val="det!il_WIP_(2)4"/>
      <sheetName val="de4ail_G-14"/>
      <sheetName val="sobha_mennn_ac4"/>
      <sheetName val="C_&amp;ix_asst4"/>
      <sheetName val="_x005f_x0003_dpl_oth_Lia`4"/>
      <sheetName val="TBAL9697__x005f_x000d_grotp_wise_4"/>
      <sheetName val="St_co_91_5lvl4"/>
      <sheetName val="ino4t_conso,-nov4"/>
      <sheetName val="(nout_co,sol_(2)4"/>
      <sheetName val="Blr_hire4"/>
      <sheetName val="Stress_Calculation4"/>
      <sheetName val="Labor_abs-NMR4"/>
      <sheetName val="Sun_E_Type4"/>
      <sheetName val="TBAL9697__x000a_grotp_wise_4"/>
      <sheetName val="Civil_Works2"/>
      <sheetName val="Fill_this_out_first___2"/>
      <sheetName val="LOAD_SHEET_2"/>
      <sheetName val="Fee_Rate_Summary2"/>
      <sheetName val="Name_List2"/>
      <sheetName val="Fin_Sum4"/>
      <sheetName val="CORPN_O?T4"/>
      <sheetName val="CORPN_O4"/>
      <sheetName val="LIST_OF_MAKES2"/>
      <sheetName val="labour_coeff2"/>
      <sheetName val="Shuttering_Analysis2"/>
      <sheetName val="General_P+M2"/>
      <sheetName val="Curing_Analysis_2"/>
      <sheetName val="Concrete_P+M_(_RMC_)2"/>
      <sheetName val="P+M_(_SMC_)2"/>
      <sheetName val="P+M_-EW2"/>
      <sheetName val="CORPN_O_x005f_x0000_T4"/>
      <sheetName val="DG_4"/>
      <sheetName val="P&amp;L_-_AD2"/>
      <sheetName val="_x005f_x005f_x005f_x0003_dpl_oth_Lia`4"/>
      <sheetName val="TBAL9697__x005f_x005f_x005f_x000d_grotp_wi4"/>
      <sheetName val="SUPPLY_-Sanitary_Fixtures4"/>
      <sheetName val="ITEMS_FOR_CIVIL_TENDER4"/>
      <sheetName val="Fin__Assumpt__-_Sensitivities2"/>
      <sheetName val="Labour_productivity2"/>
      <sheetName val="RCC,Ret__Wall2"/>
      <sheetName val="CORPN_O_T2"/>
      <sheetName val="Area_&amp;_Cate__Master2"/>
      <sheetName val="BOQ_(2)2"/>
      <sheetName val="TBAL9697__grotp_wise_4"/>
      <sheetName val="Form_62"/>
      <sheetName val="acevsSp_(ABC)2"/>
      <sheetName val="A_O_R_2"/>
      <sheetName val="DLC_lookups2"/>
      <sheetName val="Quote_Sheet2"/>
      <sheetName val="d-safe_DELUXE2"/>
      <sheetName val="Works_-_Quote_Sheet2"/>
      <sheetName val="BLOCK-A_(MEA_SHEET)2"/>
      <sheetName val="IO_LIST2"/>
      <sheetName val="TBAL9697__x005f_x000d_grotp_wis2"/>
      <sheetName val="TBAL9697__grotp_wise_5"/>
      <sheetName val="Break_Dw2"/>
      <sheetName val="Bill_No_52"/>
      <sheetName val="Driveway_Beams2"/>
      <sheetName val="11B_2"/>
      <sheetName val="Structure_Bills_Qty2"/>
      <sheetName val="Detail_1A2"/>
      <sheetName val="Sheet_12"/>
      <sheetName val="3BPA00132-5-3_W_plan_HVPNL2"/>
      <sheetName val="Mix_Design2"/>
      <sheetName val="CORPN_O_x005f_x005f_x005f_x0000_T2"/>
      <sheetName val="220_11__BS_2"/>
      <sheetName val="TBAL9697__x005f_x000a_grotp_wise_2"/>
      <sheetName val="Cat_A_Change_Control2"/>
      <sheetName val="Break_up_Sheet2"/>
      <sheetName val="Summary_of_P_&amp;_M2"/>
      <sheetName val="FITZ_MORT_942"/>
      <sheetName val="ISO_Reconcilation_Statment2"/>
      <sheetName val="AVG_pur_rate2"/>
      <sheetName val="Mat_-Rates2"/>
      <sheetName val="Intro_2"/>
      <sheetName val="tie_beam2"/>
      <sheetName val="NLD_-_Assum2"/>
      <sheetName val="Assumption_Inputs2"/>
      <sheetName val="Cash_Flow_Input_Data_ISC2"/>
      <sheetName val="Legal_Risk_Analysis2"/>
      <sheetName val="TBAL9697__x005f_x005f_x005f_x005f_x005f_x005f_x02"/>
      <sheetName val="Section_Catalogue2"/>
      <sheetName val="TB9798OBPL06_(2)5"/>
      <sheetName val="CORPN_OCT5"/>
      <sheetName val="inout_consol-nov5"/>
      <sheetName val="inout_consol_(2)5"/>
      <sheetName val="AS_ON_DT_EXPS_Mar5"/>
      <sheetName val="fa-pl_&amp;_mach-site5"/>
      <sheetName val="fa_off_eqp5"/>
      <sheetName val="fa_fur&amp;_fix5"/>
      <sheetName val="fa-pl_&amp;_mach-Off5"/>
      <sheetName val="B_Equity-sdpl_INC5"/>
      <sheetName val="inout_consol_wkg5"/>
      <sheetName val="inout_consol_WKNG5"/>
      <sheetName val="B_Sheet_975"/>
      <sheetName val="P&amp;L_97_5"/>
      <sheetName val="B_Sheet_97-BEXP5"/>
      <sheetName val="P&amp;L_97_-BEXP5"/>
      <sheetName val="consol_flows5"/>
      <sheetName val="sdpl_oth_Liab5"/>
      <sheetName val="obpl-oth_liab5"/>
      <sheetName val="G_land_advance5"/>
      <sheetName val="I-Wip-ot_(2)5"/>
      <sheetName val="detail_WIP_(2)5"/>
      <sheetName val="detail_G-15"/>
      <sheetName val="sobha_menon_ac5"/>
      <sheetName val="pnc_ac5"/>
      <sheetName val="fix_-p_&amp;_M_-SCC5"/>
      <sheetName val="C_fix_asst5"/>
      <sheetName val="D_fix_asst_scdl_5"/>
      <sheetName val="creditors_tb_obpl5"/>
      <sheetName val="TBAL9697_-group_wise__sdpl6"/>
      <sheetName val="TBAL9697_-group_wise_5"/>
      <sheetName val="crs_-G-15"/>
      <sheetName val="TBAL9697_-group_wise__onpl5"/>
      <sheetName val="B_Sheet_97-OBPL5"/>
      <sheetName val="B_Sheet_97_sdpl5"/>
      <sheetName val="TBAL9697_-group_wise__sdpl25"/>
      <sheetName val="inout_consol_jan5"/>
      <sheetName val="consol_flow5"/>
      <sheetName val="D_Loan__Prom5"/>
      <sheetName val="E_Bank_Loan5"/>
      <sheetName val="G_work_Cap5"/>
      <sheetName val="H_land_adv-dec5"/>
      <sheetName val="J_Con_WIP5"/>
      <sheetName val="detail_J5"/>
      <sheetName val="L_Oth_Co5"/>
      <sheetName val="K_fix_asst__5"/>
      <sheetName val="C_fix_asst-SDPL_5"/>
      <sheetName val="TBAL9697__group_wise__sdpl5"/>
      <sheetName val="inout_consol_okg5"/>
      <sheetName val="detail_OIP_(2)5"/>
      <sheetName val="D_fix_ysst_scdl_5"/>
      <sheetName val="cre`itors_tb_obpl5"/>
      <sheetName val="3AL9697_-group_wise__onpl5"/>
      <sheetName val="L_Oth_Bo4"/>
      <sheetName val="3‰AL9697_-group_wise__onpl4"/>
      <sheetName val="Civil_Boq4"/>
      <sheetName val="Staff_Acco_4"/>
      <sheetName val="SITE_OVERHEADS4"/>
      <sheetName val="Boq_Block_A4"/>
      <sheetName val="PRECAST_lightconc-II4"/>
      <sheetName val="1__PayRec3"/>
      <sheetName val="Cashflow_projection3"/>
      <sheetName val="Project-Material_4"/>
      <sheetName val="SPT_vs_PHI3"/>
      <sheetName val="key_dates3"/>
      <sheetName val="ino4t_conso,-nov3"/>
      <sheetName val="(nout_co,sol_(2)3"/>
      <sheetName val="Blr_hire3"/>
      <sheetName val="INPUT_SHEET3"/>
      <sheetName val="Sun_E_Type3"/>
      <sheetName val="3�AL9697_-group_wise__onpl4"/>
      <sheetName val="_bpl,oth_lia_3"/>
      <sheetName val="G_,and_adv_nce3"/>
      <sheetName val="I,Wip-ot__2)3"/>
      <sheetName val="det!il_WIP_(2)3"/>
      <sheetName val="de4ail_G-13"/>
      <sheetName val="sobha_mennn_ac3"/>
      <sheetName val="C_&amp;ix_asst3"/>
      <sheetName val="_x005f_x0003_dpl_oth_Lia`3"/>
      <sheetName val="TBAL9697__x005f_x000d_grotp_wise_3"/>
      <sheetName val="St_co_91_5lvl3"/>
      <sheetName val="Stress_Calculation3"/>
      <sheetName val="CORPN_O3"/>
      <sheetName val="CORPN_O?T3"/>
      <sheetName val="BOQ_(2)1"/>
      <sheetName val="DG_3"/>
      <sheetName val="TBAL9697__x000a_grotp_wise_3"/>
      <sheetName val="Fin_Sum3"/>
      <sheetName val="Labor_abs-NMR3"/>
      <sheetName val="CORPN_O_T1"/>
      <sheetName val="TBAL9697__grotp_wise_2"/>
      <sheetName val="CORPN_O_x005f_x0000_T3"/>
      <sheetName val="SUPPLY_-Sanitary_Fixtures3"/>
      <sheetName val="ITEMS_FOR_CIVIL_TENDER3"/>
      <sheetName val="labour_coeff1"/>
      <sheetName val="Shuttering_Analysis1"/>
      <sheetName val="General_P+M1"/>
      <sheetName val="Curing_Analysis_1"/>
      <sheetName val="Concrete_P+M_(_RMC_)1"/>
      <sheetName val="P+M_(_SMC_)1"/>
      <sheetName val="P+M_-EW1"/>
      <sheetName val="P&amp;L_-_AD1"/>
      <sheetName val="_x005f_x005f_x005f_x0003_dpl_oth_Lia`3"/>
      <sheetName val="TBAL9697__x005f_x005f_x005f_x000d_grotp_wi3"/>
      <sheetName val="Fin__Assumpt__-_Sensitivities1"/>
      <sheetName val="LOAD_SHEET_1"/>
      <sheetName val="Fill_this_out_first___1"/>
      <sheetName val="Labour_productivity1"/>
      <sheetName val="RCC,Ret__Wall1"/>
      <sheetName val="Area_&amp;_Cate__Master1"/>
      <sheetName val="Driveway_Beams1"/>
      <sheetName val="DLC_lookups1"/>
      <sheetName val="Fee_Rate_Summary1"/>
      <sheetName val="Name_List1"/>
      <sheetName val="Civil_Works1"/>
      <sheetName val="LIST_OF_MAKES1"/>
      <sheetName val="Form_61"/>
      <sheetName val="acevsSp_(ABC)1"/>
      <sheetName val="A_O_R_1"/>
      <sheetName val="Quote_Sheet1"/>
      <sheetName val="d-safe_DELUXE1"/>
      <sheetName val="Works_-_Quote_Sheet1"/>
      <sheetName val="Cat_A_Change_Control1"/>
      <sheetName val="Break_up_Sheet1"/>
      <sheetName val="Summary_of_P_&amp;_M1"/>
      <sheetName val="Bill_No_51"/>
      <sheetName val="Sheet_11"/>
      <sheetName val="3BPA00132-5-3_W_plan_HVPNL1"/>
      <sheetName val="Mix_Design1"/>
      <sheetName val="FITZ_MORT_941"/>
      <sheetName val="11B_1"/>
      <sheetName val="Detail_1A1"/>
      <sheetName val="IO_LIST1"/>
      <sheetName val="TBAL9697__x005f_x000d_grotp_wis1"/>
      <sheetName val="TBAL9697__grotp_wise_3"/>
      <sheetName val="CORPN_O_x005f_x005f_x005f_x0000_T1"/>
      <sheetName val="Structure_Bills_Qty1"/>
      <sheetName val="220_11__BS_1"/>
      <sheetName val="TBAL9697__x005f_x000a_grotp_wise_1"/>
      <sheetName val="ISO_Reconcilation_Statment1"/>
      <sheetName val="AVG_pur_rate1"/>
      <sheetName val="BLOCK-A_(MEA_SHEET)1"/>
      <sheetName val="Break_Dw1"/>
      <sheetName val="Mat_-Rates1"/>
      <sheetName val="tie_beam1"/>
      <sheetName val="NLD_-_Assum1"/>
      <sheetName val="Assumption_Inputs1"/>
      <sheetName val="Section_Catalogue1"/>
      <sheetName val="TBAL9697__x005f_x005f_x005f_x005f_x005f_x005f_x01"/>
      <sheetName val="Intro_1"/>
      <sheetName val="Cash_Flow_Input_Data_ISC1"/>
      <sheetName val="Legal_Risk_Analysis1"/>
      <sheetName val="TBAL9697 _x005f_x005f_x005f_x000a_grotp wis"/>
      <sheetName val="TBL9798_x005f_x005f_x005f_x005f_x005f_x005f_x0010"/>
      <sheetName val="CORPN O_x005f_x005f_x005f_x005f_x005f_x005f_x0000"/>
      <sheetName val="G_1_obpl_x005f_x005f_x005f_x005f_x005f_x005f_x005"/>
      <sheetName val="_x005f_x005f_x005f_x005f_x005f_x005f_x005f_x005f_x005f_x005f_"/>
      <sheetName val="Deduction of assets"/>
      <sheetName val="Excess Calc"/>
      <sheetName val="TEXT"/>
      <sheetName val="P&amp;L-BDMC"/>
      <sheetName val="dyes"/>
      <sheetName val="UTILITY"/>
      <sheetName val="Invoice"/>
      <sheetName val="TB9798OBPL06_(2)7"/>
      <sheetName val="CORPN_OCT7"/>
      <sheetName val="inout_consol-nov7"/>
      <sheetName val="inout_consol_(2)7"/>
      <sheetName val="AS_ON_DT_EXPS_Mar7"/>
      <sheetName val="fa-pl_&amp;_mach-site7"/>
      <sheetName val="fa_off_eqp7"/>
      <sheetName val="fa_fur&amp;_fix7"/>
      <sheetName val="fa-pl_&amp;_mach-Off7"/>
      <sheetName val="B_Equity-sdpl_INC7"/>
      <sheetName val="inout_consol_wkg7"/>
      <sheetName val="inout_consol_WKNG7"/>
      <sheetName val="B_Sheet_977"/>
      <sheetName val="P&amp;L_97_7"/>
      <sheetName val="B_Sheet_97-BEXP7"/>
      <sheetName val="P&amp;L_97_-BEXP7"/>
      <sheetName val="consol_flows7"/>
      <sheetName val="sdpl_oth_Liab7"/>
      <sheetName val="obpl-oth_liab7"/>
      <sheetName val="G_land_advance7"/>
      <sheetName val="I-Wip-ot_(2)7"/>
      <sheetName val="detail_WIP_(2)7"/>
      <sheetName val="detail_G-17"/>
      <sheetName val="sobha_menon_ac7"/>
      <sheetName val="pnc_ac7"/>
      <sheetName val="fix_-p_&amp;_M_-SCC7"/>
      <sheetName val="C_fix_asst7"/>
      <sheetName val="D_fix_asst_scdl_7"/>
      <sheetName val="creditors_tb_obpl7"/>
      <sheetName val="TBAL9697_-group_wise__sdpl8"/>
      <sheetName val="TBAL9697_-group_wise_7"/>
      <sheetName val="crs_-G-17"/>
      <sheetName val="TBAL9697_-group_wise__onpl7"/>
      <sheetName val="B_Sheet_97-OBPL7"/>
      <sheetName val="B_Sheet_97_sdpl7"/>
      <sheetName val="TBAL9697_-group_wise__sdpl27"/>
      <sheetName val="inout_consol_jan7"/>
      <sheetName val="consol_flow7"/>
      <sheetName val="D_Loan__Prom7"/>
      <sheetName val="E_Bank_Loan7"/>
      <sheetName val="G_work_Cap7"/>
      <sheetName val="H_land_adv-dec7"/>
      <sheetName val="J_Con_WIP7"/>
      <sheetName val="detail_J7"/>
      <sheetName val="L_Oth_Co7"/>
      <sheetName val="K_fix_asst__7"/>
      <sheetName val="C_fix_asst-SDPL_7"/>
      <sheetName val="TBAL9697__group_wise__sdpl7"/>
      <sheetName val="inout_consol_okg7"/>
      <sheetName val="detail_OIP_(2)7"/>
      <sheetName val="D_fix_ysst_scdl_7"/>
      <sheetName val="cre`itors_tb_obpl7"/>
      <sheetName val="3AL9697_-group_wise__onpl7"/>
      <sheetName val="L_Oth_Bo6"/>
      <sheetName val="3‰AL9697_-group_wise__onpl6"/>
      <sheetName val="Civil_Boq6"/>
      <sheetName val="Staff_Acco_6"/>
      <sheetName val="SITE_OVERHEADS6"/>
      <sheetName val="3�AL9697_-group_wise__onpl6"/>
      <sheetName val="PRECAST_lightconc-II6"/>
      <sheetName val="Cashflow_projection5"/>
      <sheetName val="INPUT_SHEET5"/>
      <sheetName val="Boq_Block_A6"/>
      <sheetName val="SPT_vs_PHI5"/>
      <sheetName val="Project-Material_6"/>
      <sheetName val="1__PayRec5"/>
      <sheetName val="_bpl,oth_lia_5"/>
      <sheetName val="G_,and_adv_nce5"/>
      <sheetName val="I,Wip-ot__2)5"/>
      <sheetName val="det!il_WIP_(2)5"/>
      <sheetName val="de4ail_G-15"/>
      <sheetName val="sobha_mennn_ac5"/>
      <sheetName val="C_&amp;ix_asst5"/>
      <sheetName val="_x005f_x0003_dpl_oth_Lia`5"/>
      <sheetName val="TBAL9697__x005f_x000d_grotp_wise_5"/>
      <sheetName val="St_co_91_5lvl5"/>
      <sheetName val="key_dates5"/>
      <sheetName val="ino4t_conso,-nov5"/>
      <sheetName val="(nout_co,sol_(2)5"/>
      <sheetName val="Blr_hire5"/>
      <sheetName val="Sun_E_Type5"/>
      <sheetName val="Fin_Sum5"/>
      <sheetName val="CORPN_O?T5"/>
      <sheetName val="Labor_abs-NMR5"/>
      <sheetName val="CORPN_O5"/>
      <sheetName val="Stress_Calculation5"/>
      <sheetName val="TBAL9697__x000a_grotp_wise_5"/>
      <sheetName val="labour_coeff3"/>
      <sheetName val="Shuttering_Analysis3"/>
      <sheetName val="General_P+M3"/>
      <sheetName val="Curing_Analysis_3"/>
      <sheetName val="Concrete_P+M_(_RMC_)3"/>
      <sheetName val="P+M_(_SMC_)3"/>
      <sheetName val="P+M_-EW3"/>
      <sheetName val="P&amp;L_-_AD3"/>
      <sheetName val="CORPN_O_x005f_x0000_T5"/>
      <sheetName val="SUPPLY_-Sanitary_Fixtures5"/>
      <sheetName val="ITEMS_FOR_CIVIL_TENDER5"/>
      <sheetName val="_x005f_x005f_x005f_x0003_dpl_oth_Lia`5"/>
      <sheetName val="TBAL9697__x005f_x005f_x005f_x000d_grotp_wi5"/>
      <sheetName val="Fin__Assumpt__-_Sensitivities3"/>
      <sheetName val="LOAD_SHEET_3"/>
      <sheetName val="Fill_this_out_first___3"/>
      <sheetName val="Labour_productivity3"/>
      <sheetName val="RCC,Ret__Wall3"/>
      <sheetName val="Area_&amp;_Cate__Master3"/>
      <sheetName val="CORPN_O_T3"/>
      <sheetName val="Bill_No_53"/>
      <sheetName val="TBAL9697__grotp_wise_6"/>
      <sheetName val="Detail_1A3"/>
      <sheetName val="DG_5"/>
      <sheetName val="11B_3"/>
      <sheetName val="BOQ_(2)3"/>
      <sheetName val="Fee_Rate_Summary3"/>
      <sheetName val="Name_List3"/>
      <sheetName val="CORPN_O_x005f_x005f_x005f_x0000_T3"/>
      <sheetName val="Quote_Sheet3"/>
      <sheetName val="d-safe_DELUXE3"/>
      <sheetName val="DLC_lookups3"/>
      <sheetName val="LIST_OF_MAKES3"/>
      <sheetName val="Break_Dw3"/>
      <sheetName val="Form_63"/>
      <sheetName val="acevsSp_(ABC)3"/>
      <sheetName val="A_O_R_3"/>
      <sheetName val="Works_-_Quote_Sheet3"/>
      <sheetName val="IO_LIST3"/>
      <sheetName val="TBAL9697__x005f_x000d_grotp_wis3"/>
      <sheetName val="TBAL9697__grotp_wise_7"/>
      <sheetName val="BLOCK-A_(MEA_SHEET)3"/>
      <sheetName val="Cat_A_Change_Control3"/>
      <sheetName val="Break_up_Sheet3"/>
      <sheetName val="Summary_of_P_&amp;_M3"/>
      <sheetName val="Sheet_13"/>
      <sheetName val="3BPA00132-5-3_W_plan_HVPNL3"/>
      <sheetName val="Mix_Design3"/>
      <sheetName val="Driveway_Beams3"/>
      <sheetName val="Structure_Bills_Qty3"/>
      <sheetName val="220_11__BS_3"/>
      <sheetName val="TBAL9697__x005f_x000a_grotp_wise_3"/>
      <sheetName val="ISO_Reconcilation_Statment3"/>
      <sheetName val="AVG_pur_rate3"/>
      <sheetName val="FITZ_MORT_943"/>
      <sheetName val="Civil_Works3"/>
      <sheetName val="Intro_3"/>
      <sheetName val="NLD_-_Assum3"/>
      <sheetName val="Section_Catalogue3"/>
      <sheetName val="tie_beam3"/>
      <sheetName val="Cash_Flow_Input_Data_ISC3"/>
      <sheetName val="Mat_-Rates3"/>
      <sheetName val="Assumption_Inputs3"/>
      <sheetName val="TBAL9697__x005f_x005f_x005f_x005f_x005f_x005f_x03"/>
      <sheetName val="Legal_Risk_Analysis3"/>
      <sheetName val="DETAILED__BOQ1"/>
      <sheetName val="INDIGINEOUS_ITEMS_"/>
      <sheetName val="Site_Dev_BOQ"/>
      <sheetName val="CABLE_DATA1"/>
      <sheetName val="Elect_"/>
      <sheetName val="final_abstract"/>
      <sheetName val="TBAL9697__grotp_wise_8"/>
      <sheetName val="TBAL9697__grotp_wise_11"/>
      <sheetName val="BASIC_RATES"/>
      <sheetName val="Tender_Summary"/>
      <sheetName val="TBAL9697__x005f_x005f_x005f_x000a_grotp_wis"/>
      <sheetName val="CORPN_O_x005f_x005f_x005f_x005f_x005f_x005f_x0000"/>
      <sheetName val="Deduction_of_assets"/>
      <sheetName val="Excess_Calc"/>
      <sheetName val="Meas_-Hotel_Part"/>
      <sheetName val="Capital_by_Years_Valuation"/>
      <sheetName val="ReportsParameters"/>
      <sheetName val="Nopat_by_Years_Valuation"/>
      <sheetName val="RA"/>
      <sheetName val="Contract Night Staff"/>
      <sheetName val="Contract Day Staff"/>
      <sheetName val="Day Shift"/>
      <sheetName val="Night Shift"/>
      <sheetName val="annx-1(Boq)"/>
      <sheetName val="Labels"/>
      <sheetName val="PO Payroll"/>
      <sheetName val="10"/>
      <sheetName val="11A"/>
      <sheetName val="6A"/>
      <sheetName val="5"/>
      <sheetName val="13"/>
      <sheetName val="14"/>
      <sheetName val="BOQ "/>
      <sheetName val="BOQ-Part1"/>
      <sheetName val="DETAILED__BOQ2"/>
      <sheetName val="CABLE_DATA2"/>
      <sheetName val="DETAILED__BOQ3"/>
      <sheetName val="CABLE_DATA3"/>
      <sheetName val="TB9798OBPL06_(2)8"/>
      <sheetName val="CORPN_OCT8"/>
      <sheetName val="inout_consol-nov8"/>
      <sheetName val="inout_consol_(2)8"/>
      <sheetName val="AS_ON_DT_EXPS_Mar8"/>
      <sheetName val="fa-pl_&amp;_mach-site8"/>
      <sheetName val="fa_off_eqp8"/>
      <sheetName val="fa_fur&amp;_fix8"/>
      <sheetName val="fa-pl_&amp;_mach-Off8"/>
      <sheetName val="B_Equity-sdpl_INC8"/>
      <sheetName val="inout_consol_wkg8"/>
      <sheetName val="inout_consol_WKNG8"/>
      <sheetName val="B_Sheet_978"/>
      <sheetName val="P&amp;L_97_8"/>
      <sheetName val="B_Sheet_97-BEXP8"/>
      <sheetName val="P&amp;L_97_-BEXP8"/>
      <sheetName val="consol_flows8"/>
      <sheetName val="sdpl_oth_Liab8"/>
      <sheetName val="obpl-oth_liab8"/>
      <sheetName val="G_land_advance8"/>
      <sheetName val="I-Wip-ot_(2)8"/>
      <sheetName val="detail_WIP_(2)8"/>
      <sheetName val="detail_G-18"/>
      <sheetName val="sobha_menon_ac8"/>
      <sheetName val="pnc_ac8"/>
      <sheetName val="fix_-p_&amp;_M_-SCC8"/>
      <sheetName val="C_fix_asst8"/>
      <sheetName val="D_fix_asst_scdl_8"/>
      <sheetName val="creditors_tb_obpl8"/>
      <sheetName val="3‰AL9697_-group_wise__onpl7"/>
      <sheetName val="L_Oth_Bo7"/>
      <sheetName val="Civil_Boq7"/>
      <sheetName val="Staff_Acco_7"/>
      <sheetName val="SITE_OVERHEADS7"/>
      <sheetName val="PRECAST_lightconc-II7"/>
      <sheetName val="1__PayRec6"/>
      <sheetName val="ino4t_conso,-nov6"/>
      <sheetName val="(nout_co,sol_(2)6"/>
      <sheetName val="Blr_hire6"/>
      <sheetName val="Cashflow_projection6"/>
      <sheetName val="SPT_vs_PHI6"/>
      <sheetName val="key_dates6"/>
      <sheetName val="INPUT_SHEET6"/>
      <sheetName val="_bpl,oth_lia_6"/>
      <sheetName val="G_,and_adv_nce6"/>
      <sheetName val="I,Wip-ot__2)6"/>
      <sheetName val="det!il_WIP_(2)6"/>
      <sheetName val="de4ail_G-16"/>
      <sheetName val="sobha_mennn_ac6"/>
      <sheetName val="C_&amp;ix_asst6"/>
      <sheetName val="_x005f_x0003_dpl_oth_Lia`6"/>
      <sheetName val="TBAL9697__x005f_x000d_grotp_wise_6"/>
      <sheetName val="St_co_91_5lvl6"/>
      <sheetName val="Sun_E_Type6"/>
      <sheetName val="Fin_Sum6"/>
      <sheetName val="CORPN_O?T6"/>
      <sheetName val="Labor_abs-NMR6"/>
      <sheetName val="Stress_Calculation6"/>
      <sheetName val="TBAL9697__x000a_grotp_wise_6"/>
      <sheetName val="labour_coeff4"/>
      <sheetName val="Shuttering_Analysis4"/>
      <sheetName val="General_P+M4"/>
      <sheetName val="Curing_Analysis_4"/>
      <sheetName val="Concrete_P+M_(_RMC_)4"/>
      <sheetName val="P+M_(_SMC_)4"/>
      <sheetName val="P+M_-EW4"/>
      <sheetName val="P&amp;L_-_AD4"/>
      <sheetName val="Fin__Assumpt__-_Sensitivities4"/>
      <sheetName val="LOAD_SHEET_4"/>
      <sheetName val="Fill_this_out_first___4"/>
      <sheetName val="Labour_productivity4"/>
      <sheetName val="RCC,Ret__Wall4"/>
      <sheetName val="CORPN_O_x005f_x0000_T6"/>
      <sheetName val="SUPPLY_-Sanitary_Fixtures6"/>
      <sheetName val="ITEMS_FOR_CIVIL_TENDER6"/>
      <sheetName val="_x005f_x005f_x005f_x0003_dpl_oth_Lia`6"/>
      <sheetName val="TBAL9697__x005f_x005f_x005f_x000d_grotp_wi6"/>
      <sheetName val="CORPN_O6"/>
      <sheetName val="CORPN_O_T4"/>
      <sheetName val="Area_&amp;_Cate__Master4"/>
      <sheetName val="Bill_No_54"/>
      <sheetName val="Detail_1A4"/>
      <sheetName val="DG_6"/>
      <sheetName val="11B_4"/>
      <sheetName val="BOQ_(2)4"/>
      <sheetName val="DLC_lookups4"/>
      <sheetName val="Structure_Bills_Qty4"/>
      <sheetName val="Fee_Rate_Summary4"/>
      <sheetName val="Name_List4"/>
      <sheetName val="CORPN_O_x005f_x005f_x005f_x0000_T4"/>
      <sheetName val="TBAL9697__x005f_x000a_grotp_wise_4"/>
      <sheetName val="220_11__BS_4"/>
      <sheetName val="ISO_Reconcilation_Statment4"/>
      <sheetName val="AVG_pur_rate4"/>
      <sheetName val="Driveway_Beams4"/>
      <sheetName val="Cat_A_Change_Control4"/>
      <sheetName val="Break_up_Sheet4"/>
      <sheetName val="Summary_of_P_&amp;_M4"/>
      <sheetName val="Break_Dw4"/>
      <sheetName val="FITZ_MORT_944"/>
      <sheetName val="Sheet_14"/>
      <sheetName val="3BPA00132-5-3_W_plan_HVPNL4"/>
      <sheetName val="Mix_Design4"/>
      <sheetName val="BLOCK-A_(MEA_SHEET)4"/>
      <sheetName val="Quote_Sheet4"/>
      <sheetName val="d-safe_DELUXE4"/>
      <sheetName val="Works_-_Quote_Sheet4"/>
      <sheetName val="IO_LIST4"/>
      <sheetName val="TBAL9697__x005f_x000d_grotp_wis4"/>
      <sheetName val="TBAL9697__grotp_wise_9"/>
      <sheetName val="NLD_-_Assum4"/>
      <sheetName val="Intro_4"/>
      <sheetName val="TBAL9697__x005f_x005f_x005f_x005f_x005f_x005f_x04"/>
      <sheetName val="Form_64"/>
      <sheetName val="acevsSp_(ABC)4"/>
      <sheetName val="A_O_R_4"/>
      <sheetName val="LIST_OF_MAKES4"/>
      <sheetName val="Cash_Flow_Input_Data_ISC4"/>
      <sheetName val="DETAILED__BOQ4"/>
      <sheetName val="Civil_Works4"/>
      <sheetName val="Legal_Risk_Analysis4"/>
      <sheetName val="CABLE_DATA4"/>
      <sheetName val="Mat_-Rates4"/>
      <sheetName val="TBAL9697_-group_wise__sdpl9"/>
      <sheetName val="TBAL9697_-group_wise_8"/>
      <sheetName val="crs_-G-18"/>
      <sheetName val="TBAL9697_-group_wise__onpl8"/>
      <sheetName val="B_Sheet_97-OBPL8"/>
      <sheetName val="B_Sheet_97_sdpl8"/>
      <sheetName val="TBAL9697_-group_wise__sdpl28"/>
      <sheetName val="inout_consol_jan8"/>
      <sheetName val="consol_flow8"/>
      <sheetName val="D_Loan__Prom8"/>
      <sheetName val="E_Bank_Loan8"/>
      <sheetName val="G_work_Cap8"/>
      <sheetName val="H_land_adv-dec8"/>
      <sheetName val="J_Con_WIP8"/>
      <sheetName val="detail_J8"/>
      <sheetName val="L_Oth_Co8"/>
      <sheetName val="K_fix_asst__8"/>
      <sheetName val="C_fix_asst-SDPL_8"/>
      <sheetName val="TBAL9697__group_wise__sdpl8"/>
      <sheetName val="inout_consol_okg8"/>
      <sheetName val="detail_OIP_(2)8"/>
      <sheetName val="D_fix_ysst_scdl_8"/>
      <sheetName val="cre`itors_tb_obpl8"/>
      <sheetName val="3AL9697_-group_wise__onpl8"/>
      <sheetName val="3‰AL9697_-group_wise__onpl8"/>
      <sheetName val="L_Oth_Bo8"/>
      <sheetName val="Civil_Boq8"/>
      <sheetName val="Boq_Block_A7"/>
      <sheetName val="Staff_Acco_8"/>
      <sheetName val="SITE_OVERHEADS8"/>
      <sheetName val="Project-Material_7"/>
      <sheetName val="PRECAST_lightconc-II8"/>
      <sheetName val="1__PayRec7"/>
      <sheetName val="ino4t_conso,-nov7"/>
      <sheetName val="(nout_co,sol_(2)7"/>
      <sheetName val="Blr_hire7"/>
      <sheetName val="Cashflow_projection7"/>
      <sheetName val="SPT_vs_PHI7"/>
      <sheetName val="key_dates7"/>
      <sheetName val="INPUT_SHEET7"/>
      <sheetName val="_bpl,oth_lia_7"/>
      <sheetName val="G_,and_adv_nce7"/>
      <sheetName val="I,Wip-ot__2)7"/>
      <sheetName val="det!il_WIP_(2)7"/>
      <sheetName val="de4ail_G-17"/>
      <sheetName val="sobha_mennn_ac7"/>
      <sheetName val="C_&amp;ix_asst7"/>
      <sheetName val="3�AL9697_-group_wise__onpl7"/>
      <sheetName val="_x005f_x0003_dpl_oth_Lia`7"/>
      <sheetName val="TBAL9697__x005f_x000d_grotp_wise_7"/>
      <sheetName val="St_co_91_5lvl7"/>
      <sheetName val="Sun_E_Type7"/>
      <sheetName val="Fin_Sum7"/>
      <sheetName val="CORPN_O?T7"/>
      <sheetName val="Labor_abs-NMR7"/>
      <sheetName val="Stress_Calculation7"/>
      <sheetName val="TBAL9697__x000a_grotp_wise_7"/>
      <sheetName val="labour_coeff5"/>
      <sheetName val="Shuttering_Analysis5"/>
      <sheetName val="General_P+M5"/>
      <sheetName val="Curing_Analysis_5"/>
      <sheetName val="Concrete_P+M_(_RMC_)5"/>
      <sheetName val="P+M_(_SMC_)5"/>
      <sheetName val="P+M_-EW5"/>
      <sheetName val="P&amp;L_-_AD5"/>
      <sheetName val="Fin__Assumpt__-_Sensitivities5"/>
      <sheetName val="LOAD_SHEET_5"/>
      <sheetName val="Fill_this_out_first___5"/>
      <sheetName val="Labour_productivity5"/>
      <sheetName val="RCC,Ret__Wall5"/>
      <sheetName val="CORPN_O_x005f_x0000_T7"/>
      <sheetName val="SUPPLY_-Sanitary_Fixtures7"/>
      <sheetName val="ITEMS_FOR_CIVIL_TENDER7"/>
      <sheetName val="_x005f_x005f_x005f_x0003_dpl_oth_Lia`7"/>
      <sheetName val="TBAL9697__x005f_x005f_x005f_x000d_grotp_wi7"/>
      <sheetName val="CORPN_O7"/>
      <sheetName val="CORPN_O_T5"/>
      <sheetName val="Area_&amp;_Cate__Master5"/>
      <sheetName val="Bill_No_55"/>
      <sheetName val="TBAL9697__grotp_wise_10"/>
      <sheetName val="Detail_1A5"/>
      <sheetName val="DG_7"/>
      <sheetName val="11B_5"/>
      <sheetName val="BOQ_(2)5"/>
      <sheetName val="DLC_lookups5"/>
      <sheetName val="Structure_Bills_Qty5"/>
      <sheetName val="Fee_Rate_Summary5"/>
      <sheetName val="Name_List5"/>
      <sheetName val="CORPN_O_x005f_x005f_x005f_x0000_T5"/>
      <sheetName val="TBAL9697__x005f_x000a_grotp_wise_5"/>
      <sheetName val="220_11__BS_5"/>
      <sheetName val="ISO_Reconcilation_Statment5"/>
      <sheetName val="AVG_pur_rate5"/>
      <sheetName val="Driveway_Beams5"/>
      <sheetName val="Cat_A_Change_Control5"/>
      <sheetName val="Break_up_Sheet5"/>
      <sheetName val="Summary_of_P_&amp;_M5"/>
      <sheetName val="Break_Dw5"/>
      <sheetName val="FITZ_MORT_945"/>
      <sheetName val="Sheet_15"/>
      <sheetName val="3BPA00132-5-3_W_plan_HVPNL5"/>
      <sheetName val="Mix_Design5"/>
      <sheetName val="BLOCK-A_(MEA_SHEET)5"/>
      <sheetName val="Quote_Sheet5"/>
      <sheetName val="d-safe_DELUXE5"/>
      <sheetName val="Works_-_Quote_Sheet5"/>
      <sheetName val="IO_LIST5"/>
      <sheetName val="TBAL9697__x005f_x000d_grotp_wis5"/>
      <sheetName val="NLD_-_Assum5"/>
      <sheetName val="Intro_5"/>
      <sheetName val="TBAL9697__x005f_x005f_x005f_x005f_x005f_x005f_x05"/>
      <sheetName val="Form_65"/>
      <sheetName val="acevsSp_(ABC)5"/>
      <sheetName val="A_O_R_5"/>
      <sheetName val="LIST_OF_MAKES5"/>
      <sheetName val="Cash_Flow_Input_Data_ISC5"/>
      <sheetName val="DETAILED__BOQ5"/>
      <sheetName val="Civil_Works5"/>
      <sheetName val="Legal_Risk_Analysis5"/>
      <sheetName val="CABLE_DATA5"/>
      <sheetName val="Mat_-Rates5"/>
      <sheetName val="TB9798OBPL06_(2)10"/>
      <sheetName val="CORPN_OCT10"/>
      <sheetName val="inout_consol-nov10"/>
      <sheetName val="inout_consol_(2)10"/>
      <sheetName val="AS_ON_DT_EXPS_Mar10"/>
      <sheetName val="fa-pl_&amp;_mach-site10"/>
      <sheetName val="fa_off_eqp10"/>
      <sheetName val="fa_fur&amp;_fix10"/>
      <sheetName val="fa-pl_&amp;_mach-Off10"/>
      <sheetName val="B_Equity-sdpl_INC10"/>
      <sheetName val="inout_consol_wkg10"/>
      <sheetName val="inout_consol_WKNG10"/>
      <sheetName val="B_Sheet_9710"/>
      <sheetName val="P&amp;L_97_10"/>
      <sheetName val="B_Sheet_97-BEXP10"/>
      <sheetName val="P&amp;L_97_-BEXP10"/>
      <sheetName val="consol_flows10"/>
      <sheetName val="sdpl_oth_Liab10"/>
      <sheetName val="obpl-oth_liab10"/>
      <sheetName val="G_land_advance10"/>
      <sheetName val="I-Wip-ot_(2)10"/>
      <sheetName val="detail_WIP_(2)10"/>
      <sheetName val="detail_G-110"/>
      <sheetName val="sobha_menon_ac10"/>
      <sheetName val="pnc_ac10"/>
      <sheetName val="fix_-p_&amp;_M_-SCC10"/>
      <sheetName val="C_fix_asst10"/>
      <sheetName val="D_fix_asst_scdl_10"/>
      <sheetName val="creditors_tb_obpl10"/>
      <sheetName val="Boq_Block_A8"/>
      <sheetName val="Project-Material_8"/>
      <sheetName val="PRECAST_lightconc-II9"/>
      <sheetName val="1__PayRec8"/>
      <sheetName val="ino4t_conso,-nov8"/>
      <sheetName val="(nout_co,sol_(2)8"/>
      <sheetName val="Blr_hire8"/>
      <sheetName val="Cashflow_projection8"/>
      <sheetName val="SPT_vs_PHI8"/>
      <sheetName val="key_dates8"/>
      <sheetName val="INPUT_SHEET8"/>
      <sheetName val="_bpl,oth_lia_8"/>
      <sheetName val="G_,and_adv_nce8"/>
      <sheetName val="I,Wip-ot__2)8"/>
      <sheetName val="det!il_WIP_(2)8"/>
      <sheetName val="de4ail_G-18"/>
      <sheetName val="sobha_mennn_ac8"/>
      <sheetName val="C_&amp;ix_asst8"/>
      <sheetName val="3�AL9697_-group_wise__onpl8"/>
      <sheetName val="_x005f_x0003_dpl_oth_Lia`8"/>
      <sheetName val="TBAL9697__x005f_x000d_grotp_wise_8"/>
      <sheetName val="St_co_91_5lvl8"/>
      <sheetName val="Sun_E_Type8"/>
      <sheetName val="Fin_Sum8"/>
      <sheetName val="CORPN_O?T8"/>
      <sheetName val="Labor_abs-NMR8"/>
      <sheetName val="Stress_Calculation8"/>
      <sheetName val="TBAL9697__x000a_grotp_wise_8"/>
      <sheetName val="labour_coeff6"/>
      <sheetName val="Shuttering_Analysis6"/>
      <sheetName val="General_P+M6"/>
      <sheetName val="Curing_Analysis_6"/>
      <sheetName val="Concrete_P+M_(_RMC_)6"/>
      <sheetName val="P+M_(_SMC_)6"/>
      <sheetName val="P+M_-EW6"/>
      <sheetName val="P&amp;L_-_AD6"/>
      <sheetName val="Fin__Assumpt__-_Sensitivities6"/>
      <sheetName val="LOAD_SHEET_6"/>
      <sheetName val="Fill_this_out_first___6"/>
      <sheetName val="Labour_productivity6"/>
      <sheetName val="RCC,Ret__Wall6"/>
      <sheetName val="CORPN_O_x005f_x0000_T8"/>
      <sheetName val="SUPPLY_-Sanitary_Fixtures8"/>
      <sheetName val="ITEMS_FOR_CIVIL_TENDER8"/>
      <sheetName val="_x005f_x005f_x005f_x0003_dpl_oth_Lia`8"/>
      <sheetName val="TBAL9697__x005f_x005f_x005f_x000d_grotp_wi8"/>
      <sheetName val="CORPN_O8"/>
      <sheetName val="CORPN_O_T6"/>
      <sheetName val="Area_&amp;_Cate__Master6"/>
      <sheetName val="Bill_No_56"/>
      <sheetName val="TBAL9697__grotp_wise_12"/>
      <sheetName val="Detail_1A6"/>
      <sheetName val="DG_8"/>
      <sheetName val="11B_6"/>
      <sheetName val="BOQ_(2)6"/>
      <sheetName val="DLC_lookups6"/>
      <sheetName val="Structure_Bills_Qty6"/>
      <sheetName val="Fee_Rate_Summary6"/>
      <sheetName val="Name_List6"/>
      <sheetName val="CORPN_O_x005f_x005f_x005f_x0000_T6"/>
      <sheetName val="TBAL9697__x005f_x000a_grotp_wise_6"/>
      <sheetName val="220_11__BS_6"/>
      <sheetName val="ISO_Reconcilation_Statment6"/>
      <sheetName val="AVG_pur_rate6"/>
      <sheetName val="Driveway_Beams6"/>
      <sheetName val="Cat_A_Change_Control6"/>
      <sheetName val="Break_up_Sheet6"/>
      <sheetName val="Summary_of_P_&amp;_M6"/>
      <sheetName val="Break_Dw6"/>
      <sheetName val="FITZ_MORT_946"/>
      <sheetName val="Sheet_16"/>
      <sheetName val="3BPA00132-5-3_W_plan_HVPNL6"/>
      <sheetName val="Mix_Design6"/>
      <sheetName val="BLOCK-A_(MEA_SHEET)6"/>
      <sheetName val="Quote_Sheet6"/>
      <sheetName val="d-safe_DELUXE6"/>
      <sheetName val="Works_-_Quote_Sheet6"/>
      <sheetName val="IO_LIST6"/>
      <sheetName val="TBAL9697__x005f_x000d_grotp_wis6"/>
      <sheetName val="TBAL9697__grotp_wise_13"/>
      <sheetName val="NLD_-_Assum6"/>
      <sheetName val="Intro_6"/>
      <sheetName val="TBAL9697__x005f_x005f_x005f_x005f_x005f_x005f_x06"/>
      <sheetName val="Form_66"/>
      <sheetName val="acevsSp_(ABC)6"/>
      <sheetName val="A_O_R_6"/>
      <sheetName val="LIST_OF_MAKES6"/>
      <sheetName val="Cash_Flow_Input_Data_ISC6"/>
      <sheetName val="DETAILED__BOQ6"/>
      <sheetName val="Civil_Works6"/>
      <sheetName val="Legal_Risk_Analysis6"/>
      <sheetName val="CABLE_DATA6"/>
      <sheetName val="Mat_-Rates6"/>
      <sheetName val="TB9798OBPL06_(2)11"/>
      <sheetName val="CORPN_OCT11"/>
      <sheetName val="inout_consol-nov11"/>
      <sheetName val="inout_consol_(2)11"/>
      <sheetName val="AS_ON_DT_EXPS_Mar11"/>
      <sheetName val="fa-pl_&amp;_mach-site11"/>
      <sheetName val="fa_off_eqp11"/>
      <sheetName val="fa_fur&amp;_fix11"/>
      <sheetName val="fa-pl_&amp;_mach-Off11"/>
      <sheetName val="B_Equity-sdpl_INC11"/>
      <sheetName val="inout_consol_wkg11"/>
      <sheetName val="inout_consol_WKNG11"/>
      <sheetName val="B_Sheet_9711"/>
      <sheetName val="P&amp;L_97_11"/>
      <sheetName val="B_Sheet_97-BEXP11"/>
      <sheetName val="P&amp;L_97_-BEXP11"/>
      <sheetName val="consol_flows11"/>
      <sheetName val="sdpl_oth_Liab11"/>
      <sheetName val="obpl-oth_liab11"/>
      <sheetName val="G_land_advance11"/>
      <sheetName val="I-Wip-ot_(2)11"/>
      <sheetName val="detail_WIP_(2)11"/>
      <sheetName val="detail_G-111"/>
      <sheetName val="sobha_menon_ac11"/>
      <sheetName val="pnc_ac11"/>
      <sheetName val="fix_-p_&amp;_M_-SCC11"/>
      <sheetName val="C_fix_asst11"/>
      <sheetName val="D_fix_asst_scdl_11"/>
      <sheetName val="creditors_tb_obpl11"/>
      <sheetName val="TBAL9697_-group_wise__sdpl11"/>
      <sheetName val="TBAL9697_-group_wise_10"/>
      <sheetName val="crs_-G-110"/>
      <sheetName val="TBAL9697_-group_wise__onpl10"/>
      <sheetName val="B_Sheet_97-OBPL10"/>
      <sheetName val="B_Sheet_97_sdpl10"/>
      <sheetName val="TBAL9697_-group_wise__sdpl210"/>
      <sheetName val="inout_consol_jan10"/>
      <sheetName val="consol_flow10"/>
      <sheetName val="D_Loan__Prom10"/>
      <sheetName val="E_Bank_Loan10"/>
      <sheetName val="G_work_Cap10"/>
      <sheetName val="H_land_adv-dec10"/>
      <sheetName val="J_Con_WIP10"/>
      <sheetName val="detail_J10"/>
      <sheetName val="L_Oth_Co10"/>
      <sheetName val="K_fix_asst__10"/>
      <sheetName val="C_fix_asst-SDPL_10"/>
      <sheetName val="TBAL9697__group_wise__sdpl10"/>
      <sheetName val="inout_consol_okg10"/>
      <sheetName val="detail_OIP_(2)10"/>
      <sheetName val="D_fix_ysst_scdl_10"/>
      <sheetName val="cre`itors_tb_obpl10"/>
      <sheetName val="3AL9697_-group_wise__onpl10"/>
      <sheetName val="3‰AL9697_-group_wise__onpl10"/>
      <sheetName val="L_Oth_Bo10"/>
      <sheetName val="Civil_Boq10"/>
      <sheetName val="Staff_Acco_10"/>
      <sheetName val="SITE_OVERHEADS10"/>
      <sheetName val="PRECAST_lightconc-II10"/>
      <sheetName val="1__PayRec9"/>
      <sheetName val="ino4t_conso,-nov9"/>
      <sheetName val="(nout_co,sol_(2)9"/>
      <sheetName val="Blr_hire9"/>
      <sheetName val="Cashflow_projection9"/>
      <sheetName val="SPT_vs_PHI9"/>
      <sheetName val="key_dates9"/>
      <sheetName val="INPUT_SHEET9"/>
      <sheetName val="_bpl,oth_lia_9"/>
      <sheetName val="G_,and_adv_nce9"/>
      <sheetName val="I,Wip-ot__2)9"/>
      <sheetName val="det!il_WIP_(2)9"/>
      <sheetName val="de4ail_G-19"/>
      <sheetName val="sobha_mennn_ac9"/>
      <sheetName val="C_&amp;ix_asst9"/>
      <sheetName val="_x005f_x0003_dpl_oth_Lia`9"/>
      <sheetName val="TBAL9697__x005f_x000d_grotp_wise_9"/>
      <sheetName val="St_co_91_5lvl9"/>
      <sheetName val="Sun_E_Type9"/>
      <sheetName val="Fin_Sum9"/>
      <sheetName val="CORPN_O?T9"/>
      <sheetName val="Labor_abs-NMR9"/>
      <sheetName val="Stress_Calculation9"/>
      <sheetName val="TBAL9697__x000a_grotp_wise_9"/>
      <sheetName val="labour_coeff7"/>
      <sheetName val="Shuttering_Analysis7"/>
      <sheetName val="General_P+M7"/>
      <sheetName val="Curing_Analysis_7"/>
      <sheetName val="Concrete_P+M_(_RMC_)7"/>
      <sheetName val="P+M_(_SMC_)7"/>
      <sheetName val="P+M_-EW7"/>
      <sheetName val="P&amp;L_-_AD7"/>
      <sheetName val="Fin__Assumpt__-_Sensitivities7"/>
      <sheetName val="LOAD_SHEET_7"/>
      <sheetName val="Fill_this_out_first___7"/>
      <sheetName val="Labour_productivity7"/>
      <sheetName val="RCC,Ret__Wall7"/>
      <sheetName val="CORPN_O_x005f_x0000_T9"/>
      <sheetName val="SUPPLY_-Sanitary_Fixtures9"/>
      <sheetName val="ITEMS_FOR_CIVIL_TENDER9"/>
      <sheetName val="_x005f_x005f_x005f_x0003_dpl_oth_Lia`9"/>
      <sheetName val="TBAL9697__x005f_x005f_x005f_x000d_grotp_wi9"/>
      <sheetName val="CORPN_O9"/>
      <sheetName val="CORPN_O_T7"/>
      <sheetName val="Area_&amp;_Cate__Master7"/>
      <sheetName val="Bill_No_57"/>
      <sheetName val="TBAL9697__grotp_wise_14"/>
      <sheetName val="Detail_1A7"/>
      <sheetName val="DG_9"/>
      <sheetName val="11B_7"/>
      <sheetName val="BOQ_(2)7"/>
      <sheetName val="DLC_lookups7"/>
      <sheetName val="Structure_Bills_Qty7"/>
      <sheetName val="Fee_Rate_Summary7"/>
      <sheetName val="Name_List7"/>
      <sheetName val="CORPN_O_x005f_x005f_x005f_x0000_T7"/>
      <sheetName val="TBAL9697__x005f_x000a_grotp_wise_7"/>
      <sheetName val="220_11__BS_7"/>
      <sheetName val="ISO_Reconcilation_Statment7"/>
      <sheetName val="AVG_pur_rate7"/>
      <sheetName val="Driveway_Beams7"/>
      <sheetName val="Cat_A_Change_Control7"/>
      <sheetName val="Break_up_Sheet7"/>
      <sheetName val="Summary_of_P_&amp;_M7"/>
      <sheetName val="Break_Dw7"/>
      <sheetName val="FITZ_MORT_947"/>
      <sheetName val="Sheet_17"/>
      <sheetName val="3BPA00132-5-3_W_plan_HVPNL7"/>
      <sheetName val="Mix_Design7"/>
      <sheetName val="BLOCK-A_(MEA_SHEET)7"/>
      <sheetName val="Quote_Sheet7"/>
      <sheetName val="d-safe_DELUXE7"/>
      <sheetName val="Works_-_Quote_Sheet7"/>
      <sheetName val="IO_LIST7"/>
      <sheetName val="TBAL9697__x005f_x000d_grotp_wis7"/>
      <sheetName val="TBAL9697__grotp_wise_15"/>
      <sheetName val="NLD_-_Assum7"/>
      <sheetName val="Intro_7"/>
      <sheetName val="TBAL9697__x005f_x005f_x005f_x005f_x005f_x005f_x07"/>
      <sheetName val="Form_67"/>
      <sheetName val="acevsSp_(ABC)7"/>
      <sheetName val="A_O_R_7"/>
      <sheetName val="LIST_OF_MAKES7"/>
      <sheetName val="Cash_Flow_Input_Data_ISC7"/>
      <sheetName val="DETAILED__BOQ7"/>
      <sheetName val="Civil_Works7"/>
      <sheetName val="Legal_Risk_Analysis7"/>
      <sheetName val="CABLE_DATA7"/>
      <sheetName val="Mat_-Rates7"/>
      <sheetName val="TB9798OBPL06_(2)12"/>
      <sheetName val="CORPN_OCT12"/>
      <sheetName val="inout_consol-nov12"/>
      <sheetName val="inout_consol_(2)12"/>
      <sheetName val="AS_ON_DT_EXPS_Mar12"/>
      <sheetName val="fa-pl_&amp;_mach-site12"/>
      <sheetName val="fa_off_eqp12"/>
      <sheetName val="fa_fur&amp;_fix12"/>
      <sheetName val="fa-pl_&amp;_mach-Off12"/>
      <sheetName val="B_Equity-sdpl_INC12"/>
      <sheetName val="inout_consol_wkg12"/>
      <sheetName val="inout_consol_WKNG12"/>
      <sheetName val="B_Sheet_9712"/>
      <sheetName val="P&amp;L_97_12"/>
      <sheetName val="B_Sheet_97-BEXP12"/>
      <sheetName val="P&amp;L_97_-BEXP12"/>
      <sheetName val="consol_flows12"/>
      <sheetName val="sdpl_oth_Liab12"/>
      <sheetName val="obpl-oth_liab12"/>
      <sheetName val="G_land_advance12"/>
      <sheetName val="I-Wip-ot_(2)12"/>
      <sheetName val="detail_WIP_(2)12"/>
      <sheetName val="detail_G-112"/>
      <sheetName val="sobha_menon_ac12"/>
      <sheetName val="pnc_ac12"/>
      <sheetName val="fix_-p_&amp;_M_-SCC12"/>
      <sheetName val="C_fix_asst12"/>
      <sheetName val="D_fix_asst_scdl_12"/>
      <sheetName val="creditors_tb_obpl12"/>
      <sheetName val="TBAL9697_-group_wise__sdpl12"/>
      <sheetName val="TBAL9697_-group_wise_11"/>
      <sheetName val="crs_-G-111"/>
      <sheetName val="TBAL9697_-group_wise__onpl11"/>
      <sheetName val="B_Sheet_97-OBPL11"/>
      <sheetName val="B_Sheet_97_sdpl11"/>
      <sheetName val="TBAL9697_-group_wise__sdpl211"/>
      <sheetName val="inout_consol_jan11"/>
      <sheetName val="consol_flow11"/>
      <sheetName val="D_Loan__Prom11"/>
      <sheetName val="E_Bank_Loan11"/>
      <sheetName val="G_work_Cap11"/>
      <sheetName val="H_land_adv-dec11"/>
      <sheetName val="J_Con_WIP11"/>
      <sheetName val="detail_J11"/>
      <sheetName val="L_Oth_Co11"/>
      <sheetName val="K_fix_asst__11"/>
      <sheetName val="C_fix_asst-SDPL_11"/>
      <sheetName val="TBAL9697__group_wise__sdpl11"/>
      <sheetName val="inout_consol_okg11"/>
      <sheetName val="detail_OIP_(2)11"/>
      <sheetName val="D_fix_ysst_scdl_11"/>
      <sheetName val="cre`itors_tb_obpl11"/>
      <sheetName val="3AL9697_-group_wise__onpl11"/>
      <sheetName val="3‰AL9697_-group_wise__onpl11"/>
      <sheetName val="L_Oth_Bo11"/>
      <sheetName val="Civil_Boq11"/>
      <sheetName val="Boq_Block_A10"/>
      <sheetName val="Staff_Acco_11"/>
      <sheetName val="SITE_OVERHEADS11"/>
      <sheetName val="Project-Material_10"/>
      <sheetName val="PRECAST_lightconc-II11"/>
      <sheetName val="1__PayRec10"/>
      <sheetName val="ino4t_conso,-nov10"/>
      <sheetName val="(nout_co,sol_(2)10"/>
      <sheetName val="Blr_hire10"/>
      <sheetName val="Cashflow_projection10"/>
      <sheetName val="SPT_vs_PHI10"/>
      <sheetName val="key_dates10"/>
      <sheetName val="INPUT_SHEET10"/>
      <sheetName val="_bpl,oth_lia_10"/>
      <sheetName val="G_,and_adv_nce10"/>
      <sheetName val="I,Wip-ot__2)10"/>
      <sheetName val="det!il_WIP_(2)10"/>
      <sheetName val="de4ail_G-110"/>
      <sheetName val="sobha_mennn_ac10"/>
      <sheetName val="C_&amp;ix_asst10"/>
      <sheetName val="3�AL9697_-group_wise__onpl10"/>
      <sheetName val="_x005f_x0003_dpl_oth_Lia`10"/>
      <sheetName val="TBAL9697__x005f_x000d_grotp_wise_10"/>
      <sheetName val="St_co_91_5lvl10"/>
      <sheetName val="Sun_E_Type10"/>
      <sheetName val="Fin_Sum10"/>
      <sheetName val="CORPN_O?T10"/>
      <sheetName val="Labor_abs-NMR10"/>
      <sheetName val="Stress_Calculation10"/>
      <sheetName val="TBAL9697__x000a_grotp_wise_10"/>
      <sheetName val="labour_coeff8"/>
      <sheetName val="Shuttering_Analysis8"/>
      <sheetName val="General_P+M8"/>
      <sheetName val="Curing_Analysis_8"/>
      <sheetName val="Concrete_P+M_(_RMC_)8"/>
      <sheetName val="P+M_(_SMC_)8"/>
      <sheetName val="P+M_-EW8"/>
      <sheetName val="P&amp;L_-_AD8"/>
      <sheetName val="Fin__Assumpt__-_Sensitivities8"/>
      <sheetName val="LOAD_SHEET_8"/>
      <sheetName val="Fill_this_out_first___8"/>
      <sheetName val="Labour_productivity8"/>
      <sheetName val="RCC,Ret__Wall8"/>
      <sheetName val="CORPN_O_x005f_x0000_T10"/>
      <sheetName val="SUPPLY_-Sanitary_Fixtures10"/>
      <sheetName val="ITEMS_FOR_CIVIL_TENDER10"/>
      <sheetName val="_x005f_x005f_x005f_x0003_dpl_oth_Lia`10"/>
      <sheetName val="TBAL9697__x005f_x005f_x005f_x000d_grotp_w10"/>
      <sheetName val="CORPN_O10"/>
      <sheetName val="CORPN_O_T8"/>
      <sheetName val="Area_&amp;_Cate__Master8"/>
      <sheetName val="Bill_No_58"/>
      <sheetName val="TBAL9697__grotp_wise_16"/>
      <sheetName val="Detail_1A8"/>
      <sheetName val="DG_10"/>
      <sheetName val="11B_8"/>
      <sheetName val="BOQ_(2)8"/>
      <sheetName val="DLC_lookups8"/>
      <sheetName val="Structure_Bills_Qty8"/>
      <sheetName val="Fee_Rate_Summary8"/>
      <sheetName val="Name_List8"/>
      <sheetName val="CORPN_O_x005f_x005f_x005f_x0000_T8"/>
      <sheetName val="TBAL9697__x005f_x000a_grotp_wise_8"/>
      <sheetName val="220_11__BS_8"/>
      <sheetName val="ISO_Reconcilation_Statment8"/>
      <sheetName val="AVG_pur_rate8"/>
      <sheetName val="Driveway_Beams8"/>
      <sheetName val="Cat_A_Change_Control8"/>
      <sheetName val="Break_up_Sheet8"/>
      <sheetName val="Summary_of_P_&amp;_M8"/>
      <sheetName val="Break_Dw8"/>
      <sheetName val="FITZ_MORT_948"/>
      <sheetName val="Sheet_18"/>
      <sheetName val="3BPA00132-5-3_W_plan_HVPNL8"/>
      <sheetName val="Mix_Design8"/>
      <sheetName val="BLOCK-A_(MEA_SHEET)8"/>
      <sheetName val="Quote_Sheet8"/>
      <sheetName val="d-safe_DELUXE8"/>
      <sheetName val="Works_-_Quote_Sheet8"/>
      <sheetName val="IO_LIST8"/>
      <sheetName val="TBAL9697__x005f_x000d_grotp_wis8"/>
      <sheetName val="TBAL9697__grotp_wise_17"/>
      <sheetName val="NLD_-_Assum8"/>
      <sheetName val="Intro_8"/>
      <sheetName val="TBAL9697__x005f_x005f_x005f_x005f_x005f_x005f_x08"/>
      <sheetName val="Form_68"/>
      <sheetName val="acevsSp_(ABC)8"/>
      <sheetName val="A_O_R_8"/>
      <sheetName val="LIST_OF_MAKES8"/>
      <sheetName val="Cash_Flow_Input_Data_ISC8"/>
      <sheetName val="DETAILED__BOQ8"/>
      <sheetName val="Civil_Works8"/>
      <sheetName val="Legal_Risk_Analysis8"/>
      <sheetName val="CABLE_DATA8"/>
      <sheetName val="Mat_-Rates8"/>
      <sheetName val="s"/>
      <sheetName val="Detail In Door Stad"/>
      <sheetName val="P&amp;L(F)"/>
      <sheetName val="BS(F)"/>
      <sheetName val="Base Assumptions"/>
      <sheetName val="Abstract Sheet"/>
      <sheetName val=" COP 100%"/>
      <sheetName val="Package-2"/>
      <sheetName val="Main Gate House"/>
      <sheetName val="Pentaerythritol"/>
      <sheetName val="COP Final"/>
      <sheetName val="TB9798OBPL06_(2)18"/>
      <sheetName val="CORPN_OCT18"/>
      <sheetName val="inout_consol-nov18"/>
      <sheetName val="inout_consol_(2)18"/>
      <sheetName val="AS_ON_DT_EXPS_Mar18"/>
      <sheetName val="fa-pl_&amp;_mach-site18"/>
      <sheetName val="fa_off_eqp18"/>
      <sheetName val="fa_fur&amp;_fix18"/>
      <sheetName val="fa-pl_&amp;_mach-Off18"/>
      <sheetName val="B_Equity-sdpl_INC18"/>
      <sheetName val="inout_consol_wkg18"/>
      <sheetName val="inout_consol_WKNG18"/>
      <sheetName val="B_Sheet_9718"/>
      <sheetName val="P&amp;L_97_18"/>
      <sheetName val="B_Sheet_97-BEXP18"/>
      <sheetName val="P&amp;L_97_-BEXP18"/>
      <sheetName val="consol_flows18"/>
      <sheetName val="sdpl_oth_Liab18"/>
      <sheetName val="obpl-oth_liab18"/>
      <sheetName val="G_land_advance18"/>
      <sheetName val="I-Wip-ot_(2)18"/>
      <sheetName val="detail_WIP_(2)18"/>
      <sheetName val="detail_G-118"/>
      <sheetName val="sobha_menon_ac18"/>
      <sheetName val="pnc_ac18"/>
      <sheetName val="fix_-p_&amp;_M_-SCC18"/>
      <sheetName val="C_fix_asst18"/>
      <sheetName val="D_fix_asst_scdl_18"/>
      <sheetName val="creditors_tb_obpl18"/>
      <sheetName val="TBAL9697_-group_wise__sdpl18"/>
      <sheetName val="TBAL9697_-group_wise_17"/>
      <sheetName val="crs_-G-117"/>
      <sheetName val="TBAL9697_-group_wise__onpl17"/>
      <sheetName val="B_Sheet_97-OBPL17"/>
      <sheetName val="B_Sheet_97_sdpl17"/>
      <sheetName val="TBAL9697_-group_wise__sdpl217"/>
      <sheetName val="inout_consol_jan17"/>
      <sheetName val="consol_flow17"/>
      <sheetName val="D_Loan__Prom17"/>
      <sheetName val="E_Bank_Loan17"/>
      <sheetName val="G_work_Cap17"/>
      <sheetName val="H_land_adv-dec17"/>
      <sheetName val="J_Con_WIP17"/>
      <sheetName val="detail_J17"/>
      <sheetName val="L_Oth_Co17"/>
      <sheetName val="K_fix_asst__17"/>
      <sheetName val="C_fix_asst-SDPL_17"/>
      <sheetName val="TBAL9697__group_wise__sdpl17"/>
      <sheetName val="inout_consol_okg17"/>
      <sheetName val="detail_OIP_(2)17"/>
      <sheetName val="D_fix_ysst_scdl_17"/>
      <sheetName val="cre`itors_tb_obpl17"/>
      <sheetName val="3AL9697_-group_wise__onpl17"/>
      <sheetName val="3‰AL9697_-group_wise__onpl17"/>
      <sheetName val="L_Oth_Bo17"/>
      <sheetName val="Civil_Boq17"/>
      <sheetName val="Staff_Acco_17"/>
      <sheetName val="SITE_OVERHEADS17"/>
      <sheetName val="PRECAST_lightconc-II17"/>
      <sheetName val="1__PayRec16"/>
      <sheetName val="ino4t_conso,-nov16"/>
      <sheetName val="(nout_co,sol_(2)16"/>
      <sheetName val="Blr_hire16"/>
      <sheetName val="Cashflow_projection16"/>
      <sheetName val="SPT_vs_PHI16"/>
      <sheetName val="key_dates16"/>
      <sheetName val="INPUT_SHEET16"/>
      <sheetName val="_bpl,oth_lia_16"/>
      <sheetName val="G_,and_adv_nce16"/>
      <sheetName val="I,Wip-ot__2)16"/>
      <sheetName val="det!il_WIP_(2)16"/>
      <sheetName val="de4ail_G-116"/>
      <sheetName val="sobha_mennn_ac16"/>
      <sheetName val="C_&amp;ix_asst16"/>
      <sheetName val="_x005f_x0003_dpl_oth_Lia`16"/>
      <sheetName val="TBAL9697__x005f_x000d_grotp_wise_16"/>
      <sheetName val="St_co_91_5lvl16"/>
      <sheetName val="Sun_E_Type16"/>
      <sheetName val="Fin_Sum16"/>
      <sheetName val="CORPN_O?T16"/>
      <sheetName val="Labor_abs-NMR16"/>
      <sheetName val="Stress_Calculation16"/>
      <sheetName val="TBAL9697__x000a_grotp_wise_16"/>
      <sheetName val="labour_coeff14"/>
      <sheetName val="Shuttering_Analysis14"/>
      <sheetName val="General_P+M14"/>
      <sheetName val="Curing_Analysis_14"/>
      <sheetName val="Concrete_P+M_(_RMC_)14"/>
      <sheetName val="P+M_(_SMC_)14"/>
      <sheetName val="P+M_-EW14"/>
      <sheetName val="P&amp;L_-_AD14"/>
      <sheetName val="Fin__Assumpt__-_Sensitivities14"/>
      <sheetName val="LOAD_SHEET_14"/>
      <sheetName val="Fill_this_out_first___14"/>
      <sheetName val="Labour_productivity14"/>
      <sheetName val="RCC,Ret__Wall14"/>
      <sheetName val="CORPN_O_x005f_x0000_T16"/>
      <sheetName val="SUPPLY_-Sanitary_Fixtures16"/>
      <sheetName val="ITEMS_FOR_CIVIL_TENDER16"/>
      <sheetName val="_x005f_x005f_x005f_x0003_dpl_oth_Lia`16"/>
      <sheetName val="TBAL9697__x005f_x005f_x005f_x000d_grotp_w16"/>
      <sheetName val="CORPN_O16"/>
      <sheetName val="CORPN_O_T14"/>
      <sheetName val="Area_&amp;_Cate__Master14"/>
      <sheetName val="Bill_No_514"/>
      <sheetName val="TBAL9697__grotp_wise_28"/>
      <sheetName val="Detail_1A14"/>
      <sheetName val="DG_16"/>
      <sheetName val="11B_14"/>
      <sheetName val="BOQ_(2)14"/>
      <sheetName val="DLC_lookups14"/>
      <sheetName val="Structure_Bills_Qty14"/>
      <sheetName val="Fee_Rate_Summary14"/>
      <sheetName val="Name_List14"/>
      <sheetName val="CORPN_O_x005f_x005f_x005f_x0000_T14"/>
      <sheetName val="TBAL9697__x005f_x000a_grotp_wise_14"/>
      <sheetName val="220_11__BS_14"/>
      <sheetName val="ISO_Reconcilation_Statment14"/>
      <sheetName val="AVG_pur_rate14"/>
      <sheetName val="Driveway_Beams14"/>
      <sheetName val="Cat_A_Change_Control14"/>
      <sheetName val="Break_up_Sheet14"/>
      <sheetName val="Summary_of_P_&amp;_M14"/>
      <sheetName val="Break_Dw14"/>
      <sheetName val="FITZ_MORT_9414"/>
      <sheetName val="Sheet_114"/>
      <sheetName val="3BPA00132-5-3_W_plan_HVPNL14"/>
      <sheetName val="Mix_Design14"/>
      <sheetName val="BLOCK-A_(MEA_SHEET)14"/>
      <sheetName val="Quote_Sheet14"/>
      <sheetName val="d-safe_DELUXE14"/>
      <sheetName val="Works_-_Quote_Sheet14"/>
      <sheetName val="IO_LIST14"/>
      <sheetName val="TBAL9697__x005f_x000d_grotp_wis14"/>
      <sheetName val="TBAL9697__grotp_wise_29"/>
      <sheetName val="NLD_-_Assum14"/>
      <sheetName val="Intro_14"/>
      <sheetName val="TBAL9697__x005f_x005f_x005f_x005f_x005f_x005f_x14"/>
      <sheetName val="Form_614"/>
      <sheetName val="acevsSp_(ABC)14"/>
      <sheetName val="A_O_R_14"/>
      <sheetName val="LIST_OF_MAKES14"/>
      <sheetName val="Cash_Flow_Input_Data_ISC14"/>
      <sheetName val="DETAILED__BOQ14"/>
      <sheetName val="Civil_Works14"/>
      <sheetName val="Legal_Risk_Analysis14"/>
      <sheetName val="CABLE_DATA14"/>
      <sheetName val="Mat_-Rates14"/>
      <sheetName val="TB9798OBPL06_(2)14"/>
      <sheetName val="CORPN_OCT14"/>
      <sheetName val="inout_consol-nov14"/>
      <sheetName val="inout_consol_(2)14"/>
      <sheetName val="AS_ON_DT_EXPS_Mar14"/>
      <sheetName val="fa-pl_&amp;_mach-site14"/>
      <sheetName val="fa_off_eqp14"/>
      <sheetName val="fa_fur&amp;_fix14"/>
      <sheetName val="fa-pl_&amp;_mach-Off14"/>
      <sheetName val="B_Equity-sdpl_INC14"/>
      <sheetName val="inout_consol_wkg14"/>
      <sheetName val="inout_consol_WKNG14"/>
      <sheetName val="B_Sheet_9714"/>
      <sheetName val="P&amp;L_97_14"/>
      <sheetName val="B_Sheet_97-BEXP14"/>
      <sheetName val="P&amp;L_97_-BEXP14"/>
      <sheetName val="consol_flows14"/>
      <sheetName val="sdpl_oth_Liab14"/>
      <sheetName val="obpl-oth_liab14"/>
      <sheetName val="G_land_advance14"/>
      <sheetName val="I-Wip-ot_(2)14"/>
      <sheetName val="detail_WIP_(2)14"/>
      <sheetName val="detail_G-114"/>
      <sheetName val="sobha_menon_ac14"/>
      <sheetName val="pnc_ac14"/>
      <sheetName val="fix_-p_&amp;_M_-SCC14"/>
      <sheetName val="C_fix_asst14"/>
      <sheetName val="D_fix_asst_scdl_14"/>
      <sheetName val="creditors_tb_obpl14"/>
      <sheetName val="TBAL9697_-group_wise__sdpl14"/>
      <sheetName val="TBAL9697_-group_wise_13"/>
      <sheetName val="crs_-G-113"/>
      <sheetName val="TBAL9697_-group_wise__onpl13"/>
      <sheetName val="B_Sheet_97-OBPL13"/>
      <sheetName val="B_Sheet_97_sdpl13"/>
      <sheetName val="TBAL9697_-group_wise__sdpl213"/>
      <sheetName val="inout_consol_jan13"/>
      <sheetName val="consol_flow13"/>
      <sheetName val="D_Loan__Prom13"/>
      <sheetName val="E_Bank_Loan13"/>
      <sheetName val="G_work_Cap13"/>
      <sheetName val="H_land_adv-dec13"/>
      <sheetName val="J_Con_WIP13"/>
      <sheetName val="detail_J13"/>
      <sheetName val="L_Oth_Co13"/>
      <sheetName val="K_fix_asst__13"/>
      <sheetName val="C_fix_asst-SDPL_13"/>
      <sheetName val="TBAL9697__group_wise__sdpl13"/>
      <sheetName val="inout_consol_okg13"/>
      <sheetName val="detail_OIP_(2)13"/>
      <sheetName val="D_fix_ysst_scdl_13"/>
      <sheetName val="cre`itors_tb_obpl13"/>
      <sheetName val="3AL9697_-group_wise__onpl13"/>
      <sheetName val="3‰AL9697_-group_wise__onpl13"/>
      <sheetName val="L_Oth_Bo13"/>
      <sheetName val="Civil_Boq13"/>
      <sheetName val="Boq_Block_A12"/>
      <sheetName val="Staff_Acco_13"/>
      <sheetName val="SITE_OVERHEADS13"/>
      <sheetName val="Project-Material_12"/>
      <sheetName val="PRECAST_lightconc-II13"/>
      <sheetName val="1__PayRec12"/>
      <sheetName val="ino4t_conso,-nov12"/>
      <sheetName val="(nout_co,sol_(2)12"/>
      <sheetName val="Blr_hire12"/>
      <sheetName val="Cashflow_projection12"/>
      <sheetName val="SPT_vs_PHI12"/>
      <sheetName val="key_dates12"/>
      <sheetName val="INPUT_SHEET12"/>
      <sheetName val="_bpl,oth_lia_12"/>
      <sheetName val="G_,and_adv_nce12"/>
      <sheetName val="I,Wip-ot__2)12"/>
      <sheetName val="det!il_WIP_(2)12"/>
      <sheetName val="de4ail_G-112"/>
      <sheetName val="sobha_mennn_ac12"/>
      <sheetName val="C_&amp;ix_asst12"/>
      <sheetName val="3�AL9697_-group_wise__onpl12"/>
      <sheetName val="_x005f_x0003_dpl_oth_Lia`12"/>
      <sheetName val="TBAL9697__x005f_x000d_grotp_wise_12"/>
      <sheetName val="St_co_91_5lvl12"/>
      <sheetName val="Sun_E_Type12"/>
      <sheetName val="Fin_Sum12"/>
      <sheetName val="CORPN_O?T12"/>
      <sheetName val="Labor_abs-NMR12"/>
      <sheetName val="Stress_Calculation12"/>
      <sheetName val="TBAL9697__x000a_grotp_wise_12"/>
      <sheetName val="labour_coeff10"/>
      <sheetName val="Shuttering_Analysis10"/>
      <sheetName val="General_P+M10"/>
      <sheetName val="Curing_Analysis_10"/>
      <sheetName val="Concrete_P+M_(_RMC_)10"/>
      <sheetName val="P+M_(_SMC_)10"/>
      <sheetName val="P+M_-EW10"/>
      <sheetName val="P&amp;L_-_AD10"/>
      <sheetName val="Fin__Assumpt__-_Sensitivities10"/>
      <sheetName val="LOAD_SHEET_10"/>
      <sheetName val="Fill_this_out_first___10"/>
      <sheetName val="Labour_productivity10"/>
      <sheetName val="RCC,Ret__Wall10"/>
      <sheetName val="CORPN_O_x005f_x0000_T12"/>
      <sheetName val="SUPPLY_-Sanitary_Fixtures12"/>
      <sheetName val="ITEMS_FOR_CIVIL_TENDER12"/>
      <sheetName val="_x005f_x005f_x005f_x0003_dpl_oth_Lia`12"/>
      <sheetName val="TBAL9697__x005f_x005f_x005f_x000d_grotp_w12"/>
      <sheetName val="CORPN_O12"/>
      <sheetName val="CORPN_O_T10"/>
      <sheetName val="Area_&amp;_Cate__Master10"/>
      <sheetName val="Bill_No_510"/>
      <sheetName val="TBAL9697__grotp_wise_20"/>
      <sheetName val="Detail_1A10"/>
      <sheetName val="DG_12"/>
      <sheetName val="11B_10"/>
      <sheetName val="BOQ_(2)10"/>
      <sheetName val="DLC_lookups10"/>
      <sheetName val="Structure_Bills_Qty10"/>
      <sheetName val="Fee_Rate_Summary10"/>
      <sheetName val="Name_List10"/>
      <sheetName val="CORPN_O_x005f_x005f_x005f_x0000_T10"/>
      <sheetName val="TBAL9697__x005f_x000a_grotp_wise_10"/>
      <sheetName val="220_11__BS_10"/>
      <sheetName val="ISO_Reconcilation_Statment10"/>
      <sheetName val="AVG_pur_rate10"/>
      <sheetName val="Driveway_Beams10"/>
      <sheetName val="Cat_A_Change_Control10"/>
      <sheetName val="Break_up_Sheet10"/>
      <sheetName val="Summary_of_P_&amp;_M10"/>
      <sheetName val="Break_Dw10"/>
      <sheetName val="FITZ_MORT_9410"/>
      <sheetName val="Sheet_110"/>
      <sheetName val="3BPA00132-5-3_W_plan_HVPNL10"/>
      <sheetName val="Mix_Design10"/>
      <sheetName val="BLOCK-A_(MEA_SHEET)10"/>
      <sheetName val="Quote_Sheet10"/>
      <sheetName val="d-safe_DELUXE10"/>
      <sheetName val="Works_-_Quote_Sheet10"/>
      <sheetName val="IO_LIST10"/>
      <sheetName val="TBAL9697__x005f_x000d_grotp_wis10"/>
      <sheetName val="TBAL9697__grotp_wise_21"/>
      <sheetName val="NLD_-_Assum10"/>
      <sheetName val="Intro_10"/>
      <sheetName val="TBAL9697__x005f_x005f_x005f_x005f_x005f_x005f_x10"/>
      <sheetName val="Form_610"/>
      <sheetName val="acevsSp_(ABC)10"/>
      <sheetName val="A_O_R_10"/>
      <sheetName val="LIST_OF_MAKES10"/>
      <sheetName val="Cash_Flow_Input_Data_ISC10"/>
      <sheetName val="DETAILED__BOQ10"/>
      <sheetName val="Civil_Works10"/>
      <sheetName val="Legal_Risk_Analysis10"/>
      <sheetName val="CABLE_DATA10"/>
      <sheetName val="Mat_-Rates10"/>
      <sheetName val="TB9798OBPL06_(2)13"/>
      <sheetName val="CORPN_OCT13"/>
      <sheetName val="inout_consol-nov13"/>
      <sheetName val="inout_consol_(2)13"/>
      <sheetName val="AS_ON_DT_EXPS_Mar13"/>
      <sheetName val="fa-pl_&amp;_mach-site13"/>
      <sheetName val="fa_off_eqp13"/>
      <sheetName val="fa_fur&amp;_fix13"/>
      <sheetName val="fa-pl_&amp;_mach-Off13"/>
      <sheetName val="B_Equity-sdpl_INC13"/>
      <sheetName val="inout_consol_wkg13"/>
      <sheetName val="inout_consol_WKNG13"/>
      <sheetName val="B_Sheet_9713"/>
      <sheetName val="P&amp;L_97_13"/>
      <sheetName val="B_Sheet_97-BEXP13"/>
      <sheetName val="P&amp;L_97_-BEXP13"/>
      <sheetName val="consol_flows13"/>
      <sheetName val="sdpl_oth_Liab13"/>
      <sheetName val="obpl-oth_liab13"/>
      <sheetName val="G_land_advance13"/>
      <sheetName val="I-Wip-ot_(2)13"/>
      <sheetName val="detail_WIP_(2)13"/>
      <sheetName val="detail_G-113"/>
      <sheetName val="sobha_menon_ac13"/>
      <sheetName val="pnc_ac13"/>
      <sheetName val="fix_-p_&amp;_M_-SCC13"/>
      <sheetName val="C_fix_asst13"/>
      <sheetName val="D_fix_asst_scdl_13"/>
      <sheetName val="creditors_tb_obpl13"/>
      <sheetName val="TBAL9697_-group_wise__sdpl13"/>
      <sheetName val="TBAL9697_-group_wise_12"/>
      <sheetName val="crs_-G-112"/>
      <sheetName val="TBAL9697_-group_wise__onpl12"/>
      <sheetName val="B_Sheet_97-OBPL12"/>
      <sheetName val="B_Sheet_97_sdpl12"/>
      <sheetName val="TBAL9697_-group_wise__sdpl212"/>
      <sheetName val="inout_consol_jan12"/>
      <sheetName val="consol_flow12"/>
      <sheetName val="D_Loan__Prom12"/>
      <sheetName val="E_Bank_Loan12"/>
      <sheetName val="G_work_Cap12"/>
      <sheetName val="H_land_adv-dec12"/>
      <sheetName val="J_Con_WIP12"/>
      <sheetName val="detail_J12"/>
      <sheetName val="L_Oth_Co12"/>
      <sheetName val="K_fix_asst__12"/>
      <sheetName val="C_fix_asst-SDPL_12"/>
      <sheetName val="TBAL9697__group_wise__sdpl12"/>
      <sheetName val="inout_consol_okg12"/>
      <sheetName val="detail_OIP_(2)12"/>
      <sheetName val="D_fix_ysst_scdl_12"/>
      <sheetName val="cre`itors_tb_obpl12"/>
      <sheetName val="3AL9697_-group_wise__onpl12"/>
      <sheetName val="3‰AL9697_-group_wise__onpl12"/>
      <sheetName val="L_Oth_Bo12"/>
      <sheetName val="Civil_Boq12"/>
      <sheetName val="Boq_Block_A11"/>
      <sheetName val="Staff_Acco_12"/>
      <sheetName val="SITE_OVERHEADS12"/>
      <sheetName val="Project-Material_11"/>
      <sheetName val="PRECAST_lightconc-II12"/>
      <sheetName val="1__PayRec11"/>
      <sheetName val="ino4t_conso,-nov11"/>
      <sheetName val="(nout_co,sol_(2)11"/>
      <sheetName val="Blr_hire11"/>
      <sheetName val="Cashflow_projection11"/>
      <sheetName val="SPT_vs_PHI11"/>
      <sheetName val="key_dates11"/>
      <sheetName val="INPUT_SHEET11"/>
      <sheetName val="_bpl,oth_lia_11"/>
      <sheetName val="G_,and_adv_nce11"/>
      <sheetName val="I,Wip-ot__2)11"/>
      <sheetName val="det!il_WIP_(2)11"/>
      <sheetName val="de4ail_G-111"/>
      <sheetName val="sobha_mennn_ac11"/>
      <sheetName val="C_&amp;ix_asst11"/>
      <sheetName val="3�AL9697_-group_wise__onpl11"/>
      <sheetName val="_x005f_x0003_dpl_oth_Lia`11"/>
      <sheetName val="TBAL9697__x005f_x000d_grotp_wise_11"/>
      <sheetName val="St_co_91_5lvl11"/>
      <sheetName val="Sun_E_Type11"/>
      <sheetName val="Fin_Sum11"/>
      <sheetName val="CORPN_O?T11"/>
      <sheetName val="Labor_abs-NMR11"/>
      <sheetName val="Stress_Calculation11"/>
      <sheetName val="TBAL9697__x000a_grotp_wise_11"/>
      <sheetName val="labour_coeff9"/>
      <sheetName val="Shuttering_Analysis9"/>
      <sheetName val="General_P+M9"/>
      <sheetName val="Curing_Analysis_9"/>
      <sheetName val="Concrete_P+M_(_RMC_)9"/>
      <sheetName val="P+M_(_SMC_)9"/>
      <sheetName val="P+M_-EW9"/>
      <sheetName val="P&amp;L_-_AD9"/>
      <sheetName val="Fin__Assumpt__-_Sensitivities9"/>
      <sheetName val="LOAD_SHEET_9"/>
      <sheetName val="Fill_this_out_first___9"/>
      <sheetName val="Labour_productivity9"/>
      <sheetName val="RCC,Ret__Wall9"/>
      <sheetName val="CORPN_O_x005f_x0000_T11"/>
      <sheetName val="SUPPLY_-Sanitary_Fixtures11"/>
      <sheetName val="ITEMS_FOR_CIVIL_TENDER11"/>
      <sheetName val="_x005f_x005f_x005f_x0003_dpl_oth_Lia`11"/>
      <sheetName val="TBAL9697__x005f_x005f_x005f_x000d_grotp_w11"/>
      <sheetName val="CORPN_O11"/>
      <sheetName val="CORPN_O_T9"/>
      <sheetName val="Area_&amp;_Cate__Master9"/>
      <sheetName val="Bill_No_59"/>
      <sheetName val="TBAL9697__grotp_wise_18"/>
      <sheetName val="Detail_1A9"/>
      <sheetName val="DG_11"/>
      <sheetName val="11B_9"/>
      <sheetName val="BOQ_(2)9"/>
      <sheetName val="DLC_lookups9"/>
      <sheetName val="Structure_Bills_Qty9"/>
      <sheetName val="Fee_Rate_Summary9"/>
      <sheetName val="Name_List9"/>
      <sheetName val="CORPN_O_x005f_x005f_x005f_x0000_T9"/>
      <sheetName val="TBAL9697__x005f_x000a_grotp_wise_9"/>
      <sheetName val="220_11__BS_9"/>
      <sheetName val="ISO_Reconcilation_Statment9"/>
      <sheetName val="AVG_pur_rate9"/>
      <sheetName val="Driveway_Beams9"/>
      <sheetName val="Cat_A_Change_Control9"/>
      <sheetName val="Break_up_Sheet9"/>
      <sheetName val="Summary_of_P_&amp;_M9"/>
      <sheetName val="Break_Dw9"/>
      <sheetName val="FITZ_MORT_949"/>
      <sheetName val="Sheet_19"/>
      <sheetName val="3BPA00132-5-3_W_plan_HVPNL9"/>
      <sheetName val="Mix_Design9"/>
      <sheetName val="BLOCK-A_(MEA_SHEET)9"/>
      <sheetName val="Quote_Sheet9"/>
      <sheetName val="d-safe_DELUXE9"/>
      <sheetName val="Works_-_Quote_Sheet9"/>
      <sheetName val="IO_LIST9"/>
      <sheetName val="TBAL9697__x005f_x000d_grotp_wis9"/>
      <sheetName val="TBAL9697__grotp_wise_19"/>
      <sheetName val="NLD_-_Assum9"/>
      <sheetName val="Intro_9"/>
      <sheetName val="TBAL9697__x005f_x005f_x005f_x005f_x005f_x005f_x09"/>
      <sheetName val="Form_69"/>
      <sheetName val="acevsSp_(ABC)9"/>
      <sheetName val="A_O_R_9"/>
      <sheetName val="LIST_OF_MAKES9"/>
      <sheetName val="Cash_Flow_Input_Data_ISC9"/>
      <sheetName val="DETAILED__BOQ9"/>
      <sheetName val="Civil_Works9"/>
      <sheetName val="Legal_Risk_Analysis9"/>
      <sheetName val="CABLE_DATA9"/>
      <sheetName val="Mat_-Rates9"/>
      <sheetName val="TB9798OBPL06_(2)15"/>
      <sheetName val="CORPN_OCT15"/>
      <sheetName val="inout_consol-nov15"/>
      <sheetName val="inout_consol_(2)15"/>
      <sheetName val="AS_ON_DT_EXPS_Mar15"/>
      <sheetName val="fa-pl_&amp;_mach-site15"/>
      <sheetName val="fa_off_eqp15"/>
      <sheetName val="fa_fur&amp;_fix15"/>
      <sheetName val="fa-pl_&amp;_mach-Off15"/>
      <sheetName val="B_Equity-sdpl_INC15"/>
      <sheetName val="inout_consol_wkg15"/>
      <sheetName val="inout_consol_WKNG15"/>
      <sheetName val="B_Sheet_9715"/>
      <sheetName val="P&amp;L_97_15"/>
      <sheetName val="B_Sheet_97-BEXP15"/>
      <sheetName val="P&amp;L_97_-BEXP15"/>
      <sheetName val="consol_flows15"/>
      <sheetName val="sdpl_oth_Liab15"/>
      <sheetName val="obpl-oth_liab15"/>
      <sheetName val="G_land_advance15"/>
      <sheetName val="I-Wip-ot_(2)15"/>
      <sheetName val="detail_WIP_(2)15"/>
      <sheetName val="detail_G-115"/>
      <sheetName val="sobha_menon_ac15"/>
      <sheetName val="pnc_ac15"/>
      <sheetName val="fix_-p_&amp;_M_-SCC15"/>
      <sheetName val="C_fix_asst15"/>
      <sheetName val="D_fix_asst_scdl_15"/>
      <sheetName val="creditors_tb_obpl15"/>
      <sheetName val="TBAL9697_-group_wise__sdpl15"/>
      <sheetName val="TBAL9697_-group_wise_14"/>
      <sheetName val="crs_-G-114"/>
      <sheetName val="TBAL9697_-group_wise__onpl14"/>
      <sheetName val="B_Sheet_97-OBPL14"/>
      <sheetName val="B_Sheet_97_sdpl14"/>
      <sheetName val="TBAL9697_-group_wise__sdpl214"/>
      <sheetName val="inout_consol_jan14"/>
      <sheetName val="consol_flow14"/>
      <sheetName val="D_Loan__Prom14"/>
      <sheetName val="E_Bank_Loan14"/>
      <sheetName val="G_work_Cap14"/>
      <sheetName val="H_land_adv-dec14"/>
      <sheetName val="J_Con_WIP14"/>
      <sheetName val="detail_J14"/>
      <sheetName val="L_Oth_Co14"/>
      <sheetName val="K_fix_asst__14"/>
      <sheetName val="C_fix_asst-SDPL_14"/>
      <sheetName val="TBAL9697__group_wise__sdpl14"/>
      <sheetName val="inout_consol_okg14"/>
      <sheetName val="detail_OIP_(2)14"/>
      <sheetName val="D_fix_ysst_scdl_14"/>
      <sheetName val="cre`itors_tb_obpl14"/>
      <sheetName val="3AL9697_-group_wise__onpl14"/>
      <sheetName val="3‰AL9697_-group_wise__onpl14"/>
      <sheetName val="L_Oth_Bo14"/>
      <sheetName val="Civil_Boq14"/>
      <sheetName val="Boq_Block_A13"/>
      <sheetName val="Staff_Acco_14"/>
      <sheetName val="SITE_OVERHEADS14"/>
      <sheetName val="Project-Material_13"/>
      <sheetName val="PRECAST_lightconc-II14"/>
      <sheetName val="1__PayRec13"/>
      <sheetName val="ino4t_conso,-nov13"/>
      <sheetName val="(nout_co,sol_(2)13"/>
      <sheetName val="Blr_hire13"/>
      <sheetName val="Cashflow_projection13"/>
      <sheetName val="SPT_vs_PHI13"/>
      <sheetName val="key_dates13"/>
      <sheetName val="INPUT_SHEET13"/>
      <sheetName val="_bpl,oth_lia_13"/>
      <sheetName val="G_,and_adv_nce13"/>
      <sheetName val="I,Wip-ot__2)13"/>
      <sheetName val="det!il_WIP_(2)13"/>
      <sheetName val="de4ail_G-113"/>
      <sheetName val="sobha_mennn_ac13"/>
      <sheetName val="C_&amp;ix_asst13"/>
      <sheetName val="3�AL9697_-group_wise__onpl13"/>
      <sheetName val="_x005f_x0003_dpl_oth_Lia`13"/>
      <sheetName val="TBAL9697__x005f_x000d_grotp_wise_13"/>
      <sheetName val="St_co_91_5lvl13"/>
      <sheetName val="Sun_E_Type13"/>
      <sheetName val="Fin_Sum13"/>
      <sheetName val="CORPN_O?T13"/>
      <sheetName val="Labor_abs-NMR13"/>
      <sheetName val="Stress_Calculation13"/>
      <sheetName val="TBAL9697__x000a_grotp_wise_13"/>
      <sheetName val="labour_coeff11"/>
      <sheetName val="Shuttering_Analysis11"/>
      <sheetName val="General_P+M11"/>
      <sheetName val="Curing_Analysis_11"/>
      <sheetName val="Concrete_P+M_(_RMC_)11"/>
      <sheetName val="P+M_(_SMC_)11"/>
      <sheetName val="P+M_-EW11"/>
      <sheetName val="P&amp;L_-_AD11"/>
      <sheetName val="Fin__Assumpt__-_Sensitivities11"/>
      <sheetName val="LOAD_SHEET_11"/>
      <sheetName val="Fill_this_out_first___11"/>
      <sheetName val="Labour_productivity11"/>
      <sheetName val="RCC,Ret__Wall11"/>
      <sheetName val="CORPN_O_x005f_x0000_T13"/>
      <sheetName val="SUPPLY_-Sanitary_Fixtures13"/>
      <sheetName val="ITEMS_FOR_CIVIL_TENDER13"/>
      <sheetName val="_x005f_x005f_x005f_x0003_dpl_oth_Lia`13"/>
      <sheetName val="TBAL9697__x005f_x005f_x005f_x000d_grotp_w13"/>
      <sheetName val="CORPN_O13"/>
      <sheetName val="CORPN_O_T11"/>
      <sheetName val="Area_&amp;_Cate__Master11"/>
      <sheetName val="Bill_No_511"/>
      <sheetName val="TBAL9697__grotp_wise_22"/>
      <sheetName val="Detail_1A11"/>
      <sheetName val="DG_13"/>
      <sheetName val="11B_11"/>
      <sheetName val="BOQ_(2)11"/>
      <sheetName val="DLC_lookups11"/>
      <sheetName val="Structure_Bills_Qty11"/>
      <sheetName val="Fee_Rate_Summary11"/>
      <sheetName val="Name_List11"/>
      <sheetName val="CORPN_O_x005f_x005f_x005f_x0000_T11"/>
      <sheetName val="TBAL9697__x005f_x000a_grotp_wise_11"/>
      <sheetName val="220_11__BS_11"/>
      <sheetName val="ISO_Reconcilation_Statment11"/>
      <sheetName val="AVG_pur_rate11"/>
      <sheetName val="Driveway_Beams11"/>
      <sheetName val="Cat_A_Change_Control11"/>
      <sheetName val="Break_up_Sheet11"/>
      <sheetName val="Summary_of_P_&amp;_M11"/>
      <sheetName val="Break_Dw11"/>
      <sheetName val="FITZ_MORT_9411"/>
      <sheetName val="Sheet_111"/>
      <sheetName val="3BPA00132-5-3_W_plan_HVPNL11"/>
      <sheetName val="Mix_Design11"/>
      <sheetName val="BLOCK-A_(MEA_SHEET)11"/>
      <sheetName val="Quote_Sheet11"/>
      <sheetName val="d-safe_DELUXE11"/>
      <sheetName val="Works_-_Quote_Sheet11"/>
      <sheetName val="IO_LIST11"/>
      <sheetName val="TBAL9697__x005f_x000d_grotp_wis11"/>
      <sheetName val="TBAL9697__grotp_wise_23"/>
      <sheetName val="NLD_-_Assum11"/>
      <sheetName val="Intro_11"/>
      <sheetName val="TBAL9697__x005f_x005f_x005f_x005f_x005f_x005f_x11"/>
      <sheetName val="Form_611"/>
      <sheetName val="acevsSp_(ABC)11"/>
      <sheetName val="A_O_R_11"/>
      <sheetName val="LIST_OF_MAKES11"/>
      <sheetName val="Cash_Flow_Input_Data_ISC11"/>
      <sheetName val="DETAILED__BOQ11"/>
      <sheetName val="Civil_Works11"/>
      <sheetName val="Legal_Risk_Analysis11"/>
      <sheetName val="CABLE_DATA11"/>
      <sheetName val="Mat_-Rates11"/>
      <sheetName val="TBAL9697_-group_wise__sdpl16"/>
      <sheetName val="TBAL9697_-group_wise_15"/>
      <sheetName val="crs_-G-115"/>
      <sheetName val="TBAL9697_-group_wise__onpl15"/>
      <sheetName val="B_Sheet_97-OBPL15"/>
      <sheetName val="B_Sheet_97_sdpl15"/>
      <sheetName val="TBAL9697_-group_wise__sdpl215"/>
      <sheetName val="inout_consol_jan15"/>
      <sheetName val="consol_flow15"/>
      <sheetName val="D_Loan__Prom15"/>
      <sheetName val="E_Bank_Loan15"/>
      <sheetName val="G_work_Cap15"/>
      <sheetName val="H_land_adv-dec15"/>
      <sheetName val="J_Con_WIP15"/>
      <sheetName val="detail_J15"/>
      <sheetName val="L_Oth_Co15"/>
      <sheetName val="K_fix_asst__15"/>
      <sheetName val="C_fix_asst-SDPL_15"/>
      <sheetName val="TBAL9697__group_wise__sdpl15"/>
      <sheetName val="inout_consol_okg15"/>
      <sheetName val="detail_OIP_(2)15"/>
      <sheetName val="D_fix_ysst_scdl_15"/>
      <sheetName val="cre`itors_tb_obpl15"/>
      <sheetName val="3AL9697_-group_wise__onpl15"/>
      <sheetName val="3‰AL9697_-group_wise__onpl15"/>
      <sheetName val="L_Oth_Bo15"/>
      <sheetName val="Civil_Boq15"/>
      <sheetName val="Boq_Block_A14"/>
      <sheetName val="Staff_Acco_15"/>
      <sheetName val="SITE_OVERHEADS15"/>
      <sheetName val="Project-Material_14"/>
      <sheetName val="PRECAST_lightconc-II15"/>
      <sheetName val="1__PayRec14"/>
      <sheetName val="ino4t_conso,-nov14"/>
      <sheetName val="(nout_co,sol_(2)14"/>
      <sheetName val="Blr_hire14"/>
      <sheetName val="Cashflow_projection14"/>
      <sheetName val="SPT_vs_PHI14"/>
      <sheetName val="key_dates14"/>
      <sheetName val="INPUT_SHEET14"/>
      <sheetName val="_bpl,oth_lia_14"/>
      <sheetName val="G_,and_adv_nce14"/>
      <sheetName val="I,Wip-ot__2)14"/>
      <sheetName val="det!il_WIP_(2)14"/>
      <sheetName val="de4ail_G-114"/>
      <sheetName val="sobha_mennn_ac14"/>
      <sheetName val="C_&amp;ix_asst14"/>
      <sheetName val="3�AL9697_-group_wise__onpl14"/>
      <sheetName val="_x005f_x0003_dpl_oth_Lia`14"/>
      <sheetName val="TBAL9697__x005f_x000d_grotp_wise_14"/>
      <sheetName val="St_co_91_5lvl14"/>
      <sheetName val="Sun_E_Type14"/>
      <sheetName val="Fin_Sum14"/>
      <sheetName val="CORPN_O?T14"/>
      <sheetName val="Labor_abs-NMR14"/>
      <sheetName val="Stress_Calculation14"/>
      <sheetName val="TBAL9697__x000a_grotp_wise_14"/>
      <sheetName val="labour_coeff12"/>
      <sheetName val="Shuttering_Analysis12"/>
      <sheetName val="General_P+M12"/>
      <sheetName val="Curing_Analysis_12"/>
      <sheetName val="Concrete_P+M_(_RMC_)12"/>
      <sheetName val="P+M_(_SMC_)12"/>
      <sheetName val="P+M_-EW12"/>
      <sheetName val="P&amp;L_-_AD12"/>
      <sheetName val="Fin__Assumpt__-_Sensitivities12"/>
      <sheetName val="LOAD_SHEET_12"/>
      <sheetName val="Fill_this_out_first___12"/>
      <sheetName val="Labour_productivity12"/>
      <sheetName val="RCC,Ret__Wall12"/>
      <sheetName val="CORPN_O_x005f_x0000_T14"/>
      <sheetName val="SUPPLY_-Sanitary_Fixtures14"/>
      <sheetName val="ITEMS_FOR_CIVIL_TENDER14"/>
      <sheetName val="_x005f_x005f_x005f_x0003_dpl_oth_Lia`14"/>
      <sheetName val="TBAL9697__x005f_x005f_x005f_x000d_grotp_w14"/>
      <sheetName val="CORPN_O14"/>
      <sheetName val="CORPN_O_T12"/>
      <sheetName val="Area_&amp;_Cate__Master12"/>
      <sheetName val="Bill_No_512"/>
      <sheetName val="TBAL9697__grotp_wise_24"/>
      <sheetName val="Detail_1A12"/>
      <sheetName val="DG_14"/>
      <sheetName val="11B_12"/>
      <sheetName val="BOQ_(2)12"/>
      <sheetName val="DLC_lookups12"/>
      <sheetName val="Structure_Bills_Qty12"/>
      <sheetName val="Fee_Rate_Summary12"/>
      <sheetName val="Name_List12"/>
      <sheetName val="CORPN_O_x005f_x005f_x005f_x0000_T12"/>
      <sheetName val="TBAL9697__x005f_x000a_grotp_wise_12"/>
      <sheetName val="220_11__BS_12"/>
      <sheetName val="ISO_Reconcilation_Statment12"/>
      <sheetName val="AVG_pur_rate12"/>
      <sheetName val="Driveway_Beams12"/>
      <sheetName val="Cat_A_Change_Control12"/>
      <sheetName val="Break_up_Sheet12"/>
      <sheetName val="Summary_of_P_&amp;_M12"/>
      <sheetName val="Break_Dw12"/>
      <sheetName val="FITZ_MORT_9412"/>
      <sheetName val="Sheet_112"/>
      <sheetName val="3BPA00132-5-3_W_plan_HVPNL12"/>
      <sheetName val="Mix_Design12"/>
      <sheetName val="BLOCK-A_(MEA_SHEET)12"/>
      <sheetName val="Quote_Sheet12"/>
      <sheetName val="d-safe_DELUXE12"/>
      <sheetName val="Works_-_Quote_Sheet12"/>
      <sheetName val="IO_LIST12"/>
      <sheetName val="TBAL9697__x005f_x000d_grotp_wis12"/>
      <sheetName val="TBAL9697__grotp_wise_25"/>
      <sheetName val="NLD_-_Assum12"/>
      <sheetName val="Intro_12"/>
      <sheetName val="TBAL9697__x005f_x005f_x005f_x005f_x005f_x005f_x12"/>
      <sheetName val="Form_612"/>
      <sheetName val="acevsSp_(ABC)12"/>
      <sheetName val="A_O_R_12"/>
      <sheetName val="LIST_OF_MAKES12"/>
      <sheetName val="Cash_Flow_Input_Data_ISC12"/>
      <sheetName val="DETAILED__BOQ12"/>
      <sheetName val="Civil_Works12"/>
      <sheetName val="Legal_Risk_Analysis12"/>
      <sheetName val="CABLE_DATA12"/>
      <sheetName val="Mat_-Rates12"/>
      <sheetName val="TB9798OBPL06_(2)17"/>
      <sheetName val="CORPN_OCT17"/>
      <sheetName val="inout_consol-nov17"/>
      <sheetName val="inout_consol_(2)17"/>
      <sheetName val="AS_ON_DT_EXPS_Mar17"/>
      <sheetName val="fa-pl_&amp;_mach-site17"/>
      <sheetName val="fa_off_eqp17"/>
      <sheetName val="fa_fur&amp;_fix17"/>
      <sheetName val="fa-pl_&amp;_mach-Off17"/>
      <sheetName val="B_Equity-sdpl_INC17"/>
      <sheetName val="inout_consol_wkg17"/>
      <sheetName val="inout_consol_WKNG17"/>
      <sheetName val="B_Sheet_9717"/>
      <sheetName val="P&amp;L_97_17"/>
      <sheetName val="B_Sheet_97-BEXP17"/>
      <sheetName val="P&amp;L_97_-BEXP17"/>
      <sheetName val="consol_flows17"/>
      <sheetName val="sdpl_oth_Liab17"/>
      <sheetName val="obpl-oth_liab17"/>
      <sheetName val="G_land_advance17"/>
      <sheetName val="I-Wip-ot_(2)17"/>
      <sheetName val="detail_WIP_(2)17"/>
      <sheetName val="detail_G-117"/>
      <sheetName val="sobha_menon_ac17"/>
      <sheetName val="pnc_ac17"/>
      <sheetName val="fix_-p_&amp;_M_-SCC17"/>
      <sheetName val="C_fix_asst17"/>
      <sheetName val="D_fix_asst_scdl_17"/>
      <sheetName val="creditors_tb_obpl17"/>
      <sheetName val="Boq_Block_A15"/>
      <sheetName val="Project-Material_15"/>
      <sheetName val="PRECAST_lightconc-II16"/>
      <sheetName val="1__PayRec15"/>
      <sheetName val="ino4t_conso,-nov15"/>
      <sheetName val="(nout_co,sol_(2)15"/>
      <sheetName val="Blr_hire15"/>
      <sheetName val="Cashflow_projection15"/>
      <sheetName val="SPT_vs_PHI15"/>
      <sheetName val="key_dates15"/>
      <sheetName val="INPUT_SHEET15"/>
      <sheetName val="_bpl,oth_lia_15"/>
      <sheetName val="G_,and_adv_nce15"/>
      <sheetName val="I,Wip-ot__2)15"/>
      <sheetName val="det!il_WIP_(2)15"/>
      <sheetName val="de4ail_G-115"/>
      <sheetName val="sobha_mennn_ac15"/>
      <sheetName val="C_&amp;ix_asst15"/>
      <sheetName val="3�AL9697_-group_wise__onpl15"/>
      <sheetName val="_x005f_x0003_dpl_oth_Lia`15"/>
      <sheetName val="TBAL9697__x005f_x000d_grotp_wise_15"/>
      <sheetName val="St_co_91_5lvl15"/>
      <sheetName val="Sun_E_Type15"/>
      <sheetName val="Fin_Sum15"/>
      <sheetName val="CORPN_O?T15"/>
      <sheetName val="Labor_abs-NMR15"/>
      <sheetName val="Stress_Calculation15"/>
      <sheetName val="TBAL9697__x000a_grotp_wise_15"/>
      <sheetName val="labour_coeff13"/>
      <sheetName val="Shuttering_Analysis13"/>
      <sheetName val="General_P+M13"/>
      <sheetName val="Curing_Analysis_13"/>
      <sheetName val="Concrete_P+M_(_RMC_)13"/>
      <sheetName val="P+M_(_SMC_)13"/>
      <sheetName val="P+M_-EW13"/>
      <sheetName val="P&amp;L_-_AD13"/>
      <sheetName val="Fin__Assumpt__-_Sensitivities13"/>
      <sheetName val="LOAD_SHEET_13"/>
      <sheetName val="Fill_this_out_first___13"/>
      <sheetName val="Labour_productivity13"/>
      <sheetName val="RCC,Ret__Wall13"/>
      <sheetName val="CORPN_O_x005f_x0000_T15"/>
      <sheetName val="SUPPLY_-Sanitary_Fixtures15"/>
      <sheetName val="ITEMS_FOR_CIVIL_TENDER15"/>
      <sheetName val="_x005f_x005f_x005f_x0003_dpl_oth_Lia`15"/>
      <sheetName val="TBAL9697__x005f_x005f_x005f_x000d_grotp_w15"/>
      <sheetName val="CORPN_O15"/>
      <sheetName val="CORPN_O_T13"/>
      <sheetName val="Area_&amp;_Cate__Master13"/>
      <sheetName val="Bill_No_513"/>
      <sheetName val="TBAL9697__grotp_wise_26"/>
      <sheetName val="Detail_1A13"/>
      <sheetName val="DG_15"/>
      <sheetName val="11B_13"/>
      <sheetName val="BOQ_(2)13"/>
      <sheetName val="DLC_lookups13"/>
      <sheetName val="Structure_Bills_Qty13"/>
      <sheetName val="Fee_Rate_Summary13"/>
      <sheetName val="Name_List13"/>
      <sheetName val="CORPN_O_x005f_x005f_x005f_x0000_T13"/>
      <sheetName val="TBAL9697__x005f_x000a_grotp_wise_13"/>
      <sheetName val="220_11__BS_13"/>
      <sheetName val="ISO_Reconcilation_Statment13"/>
      <sheetName val="AVG_pur_rate13"/>
      <sheetName val="Driveway_Beams13"/>
      <sheetName val="Cat_A_Change_Control13"/>
      <sheetName val="Break_up_Sheet13"/>
      <sheetName val="Summary_of_P_&amp;_M13"/>
      <sheetName val="Break_Dw13"/>
      <sheetName val="FITZ_MORT_9413"/>
      <sheetName val="Sheet_113"/>
      <sheetName val="3BPA00132-5-3_W_plan_HVPNL13"/>
      <sheetName val="Mix_Design13"/>
      <sheetName val="BLOCK-A_(MEA_SHEET)13"/>
      <sheetName val="Quote_Sheet13"/>
      <sheetName val="d-safe_DELUXE13"/>
      <sheetName val="Works_-_Quote_Sheet13"/>
      <sheetName val="IO_LIST13"/>
      <sheetName val="TBAL9697__x005f_x000d_grotp_wis13"/>
      <sheetName val="TBAL9697__grotp_wise_27"/>
      <sheetName val="NLD_-_Assum13"/>
      <sheetName val="Intro_13"/>
      <sheetName val="TBAL9697__x005f_x005f_x005f_x005f_x005f_x005f_x13"/>
      <sheetName val="Form_613"/>
      <sheetName val="acevsSp_(ABC)13"/>
      <sheetName val="A_O_R_13"/>
      <sheetName val="LIST_OF_MAKES13"/>
      <sheetName val="Cash_Flow_Input_Data_ISC13"/>
      <sheetName val="DETAILED__BOQ13"/>
      <sheetName val="Civil_Works13"/>
      <sheetName val="Legal_Risk_Analysis13"/>
      <sheetName val="CABLE_DATA13"/>
      <sheetName val="Mat_-Rates13"/>
      <sheetName val="TB9798OBPL06_(2)24"/>
      <sheetName val="CORPN_OCT24"/>
      <sheetName val="inout_consol-nov24"/>
      <sheetName val="inout_consol_(2)24"/>
      <sheetName val="AS_ON_DT_EXPS_Mar24"/>
      <sheetName val="fa-pl_&amp;_mach-site24"/>
      <sheetName val="fa_off_eqp24"/>
      <sheetName val="fa_fur&amp;_fix24"/>
      <sheetName val="fa-pl_&amp;_mach-Off24"/>
      <sheetName val="B_Equity-sdpl_INC24"/>
      <sheetName val="inout_consol_wkg24"/>
      <sheetName val="inout_consol_WKNG24"/>
      <sheetName val="B_Sheet_9724"/>
      <sheetName val="P&amp;L_97_24"/>
      <sheetName val="B_Sheet_97-BEXP24"/>
      <sheetName val="P&amp;L_97_-BEXP24"/>
      <sheetName val="consol_flows24"/>
      <sheetName val="sdpl_oth_Liab24"/>
      <sheetName val="obpl-oth_liab24"/>
      <sheetName val="G_land_advance24"/>
      <sheetName val="I-Wip-ot_(2)24"/>
      <sheetName val="detail_WIP_(2)24"/>
      <sheetName val="detail_G-124"/>
      <sheetName val="sobha_menon_ac24"/>
      <sheetName val="pnc_ac24"/>
      <sheetName val="fix_-p_&amp;_M_-SCC24"/>
      <sheetName val="C_fix_asst24"/>
      <sheetName val="D_fix_asst_scdl_24"/>
      <sheetName val="creditors_tb_obpl24"/>
      <sheetName val="TBAL9697_-group_wise__sdpl33"/>
      <sheetName val="TBAL9697_-group_wise_23"/>
      <sheetName val="crs_-G-123"/>
      <sheetName val="TBAL9697_-group_wise__onpl23"/>
      <sheetName val="B_Sheet_97-OBPL23"/>
      <sheetName val="B_Sheet_97_sdpl23"/>
      <sheetName val="TBAL9697_-group_wise__sdpl223"/>
      <sheetName val="inout_consol_jan23"/>
      <sheetName val="consol_flow23"/>
      <sheetName val="D_Loan__Prom23"/>
      <sheetName val="E_Bank_Loan23"/>
      <sheetName val="G_work_Cap23"/>
      <sheetName val="H_land_adv-dec23"/>
      <sheetName val="J_Con_WIP23"/>
      <sheetName val="detail_J23"/>
      <sheetName val="L_Oth_Co23"/>
      <sheetName val="K_fix_asst__23"/>
      <sheetName val="C_fix_asst-SDPL_23"/>
      <sheetName val="TBAL9697__group_wise__sdpl23"/>
      <sheetName val="inout_consol_okg23"/>
      <sheetName val="detail_OIP_(2)23"/>
      <sheetName val="D_fix_ysst_scdl_23"/>
      <sheetName val="cre`itors_tb_obpl23"/>
      <sheetName val="3AL9697_-group_wise__onpl23"/>
      <sheetName val="3‰AL9697_-group_wise__onpl23"/>
      <sheetName val="L_Oth_Bo23"/>
      <sheetName val="Civil_Boq23"/>
      <sheetName val="Staff_Acco_23"/>
      <sheetName val="SITE_OVERHEADS23"/>
      <sheetName val="PRECAST_lightconc-II23"/>
      <sheetName val="1__PayRec22"/>
      <sheetName val="ino4t_conso,-nov22"/>
      <sheetName val="(nout_co,sol_(2)22"/>
      <sheetName val="Blr_hire22"/>
      <sheetName val="Cashflow_projection22"/>
      <sheetName val="SPT_vs_PHI22"/>
      <sheetName val="key_dates22"/>
      <sheetName val="INPUT_SHEET22"/>
      <sheetName val="_bpl,oth_lia_22"/>
      <sheetName val="G_,and_adv_nce22"/>
      <sheetName val="I,Wip-ot__2)22"/>
      <sheetName val="det!il_WIP_(2)22"/>
      <sheetName val="de4ail_G-122"/>
      <sheetName val="sobha_mennn_ac22"/>
      <sheetName val="C_&amp;ix_asst22"/>
      <sheetName val="_x005f_x0003_dpl_oth_Lia`22"/>
      <sheetName val="TBAL9697__x005f_x000d_grotp_wise_22"/>
      <sheetName val="St_co_91_5lvl22"/>
      <sheetName val="Sun_E_Type22"/>
      <sheetName val="Fin_Sum22"/>
      <sheetName val="CORPN_O?T22"/>
      <sheetName val="Labor_abs-NMR22"/>
      <sheetName val="Stress_Calculation22"/>
      <sheetName val="TBAL9697__x000a_grotp_wise_22"/>
      <sheetName val="labour_coeff20"/>
      <sheetName val="Shuttering_Analysis20"/>
      <sheetName val="General_P+M20"/>
      <sheetName val="Curing_Analysis_20"/>
      <sheetName val="Concrete_P+M_(_RMC_)20"/>
      <sheetName val="P+M_(_SMC_)20"/>
      <sheetName val="P+M_-EW20"/>
      <sheetName val="P&amp;L_-_AD20"/>
      <sheetName val="Fin__Assumpt__-_Sensitivities20"/>
      <sheetName val="LOAD_SHEET_20"/>
      <sheetName val="Fill_this_out_first___20"/>
      <sheetName val="Labour_productivity20"/>
      <sheetName val="RCC,Ret__Wall20"/>
      <sheetName val="CORPN_O_x005f_x0000_T22"/>
      <sheetName val="SUPPLY_-Sanitary_Fixtures22"/>
      <sheetName val="ITEMS_FOR_CIVIL_TENDER22"/>
      <sheetName val="_x005f_x005f_x005f_x0003_dpl_oth_Lia`22"/>
      <sheetName val="TBAL9697__x005f_x005f_x005f_x000d_grotp_w22"/>
      <sheetName val="CORPN_O22"/>
      <sheetName val="CORPN_O_T20"/>
      <sheetName val="Area_&amp;_Cate__Master20"/>
      <sheetName val="Bill_No_520"/>
      <sheetName val="TBAL9697__grotp_wise_40"/>
      <sheetName val="Detail_1A20"/>
      <sheetName val="DG_22"/>
      <sheetName val="11B_20"/>
      <sheetName val="BOQ_(2)20"/>
      <sheetName val="DLC_lookups20"/>
      <sheetName val="Structure_Bills_Qty20"/>
      <sheetName val="Fee_Rate_Summary20"/>
      <sheetName val="Name_List20"/>
      <sheetName val="CORPN_O_x005f_x005f_x005f_x0000_T20"/>
      <sheetName val="TBAL9697__x005f_x000a_grotp_wise_20"/>
      <sheetName val="220_11__BS_20"/>
      <sheetName val="ISO_Reconcilation_Statment20"/>
      <sheetName val="AVG_pur_rate20"/>
      <sheetName val="Driveway_Beams20"/>
      <sheetName val="Cat_A_Change_Control20"/>
      <sheetName val="Break_up_Sheet20"/>
      <sheetName val="Summary_of_P_&amp;_M20"/>
      <sheetName val="Break_Dw20"/>
      <sheetName val="FITZ_MORT_9420"/>
      <sheetName val="Sheet_120"/>
      <sheetName val="3BPA00132-5-3_W_plan_HVPNL20"/>
      <sheetName val="Mix_Design20"/>
      <sheetName val="BLOCK-A_(MEA_SHEET)20"/>
      <sheetName val="Quote_Sheet20"/>
      <sheetName val="d-safe_DELUXE20"/>
      <sheetName val="Works_-_Quote_Sheet20"/>
      <sheetName val="IO_LIST20"/>
      <sheetName val="TBAL9697__x005f_x000d_grotp_wis20"/>
      <sheetName val="TBAL9697__grotp_wise_41"/>
      <sheetName val="NLD_-_Assum20"/>
      <sheetName val="Intro_20"/>
      <sheetName val="TBAL9697__x005f_x005f_x005f_x005f_x005f_x005f_x20"/>
      <sheetName val="Form_620"/>
      <sheetName val="acevsSp_(ABC)20"/>
      <sheetName val="A_O_R_20"/>
      <sheetName val="LIST_OF_MAKES20"/>
      <sheetName val="Cash_Flow_Input_Data_ISC20"/>
      <sheetName val="DETAILED__BOQ20"/>
      <sheetName val="Civil_Works20"/>
      <sheetName val="Legal_Risk_Analysis20"/>
      <sheetName val="CABLE_DATA20"/>
      <sheetName val="Mat_-Rates20"/>
      <sheetName val="TB9798OBPL06_(2)19"/>
      <sheetName val="CORPN_OCT19"/>
      <sheetName val="inout_consol-nov19"/>
      <sheetName val="inout_consol_(2)19"/>
      <sheetName val="AS_ON_DT_EXPS_Mar19"/>
      <sheetName val="fa-pl_&amp;_mach-site19"/>
      <sheetName val="fa_off_eqp19"/>
      <sheetName val="fa_fur&amp;_fix19"/>
      <sheetName val="fa-pl_&amp;_mach-Off19"/>
      <sheetName val="B_Equity-sdpl_INC19"/>
      <sheetName val="inout_consol_wkg19"/>
      <sheetName val="inout_consol_WKNG19"/>
      <sheetName val="B_Sheet_9719"/>
      <sheetName val="P&amp;L_97_19"/>
      <sheetName val="B_Sheet_97-BEXP19"/>
      <sheetName val="P&amp;L_97_-BEXP19"/>
      <sheetName val="consol_flows19"/>
      <sheetName val="sdpl_oth_Liab19"/>
      <sheetName val="obpl-oth_liab19"/>
      <sheetName val="G_land_advance19"/>
      <sheetName val="I-Wip-ot_(2)19"/>
      <sheetName val="detail_WIP_(2)19"/>
      <sheetName val="detail_G-119"/>
      <sheetName val="sobha_menon_ac19"/>
      <sheetName val="pnc_ac19"/>
      <sheetName val="fix_-p_&amp;_M_-SCC19"/>
      <sheetName val="C_fix_asst19"/>
      <sheetName val="D_fix_asst_scdl_19"/>
      <sheetName val="creditors_tb_obpl19"/>
      <sheetName val="TBAL9697_-group_wise__sdpl19"/>
      <sheetName val="TBAL9697_-group_wise_18"/>
      <sheetName val="crs_-G-118"/>
      <sheetName val="TBAL9697_-group_wise__onpl18"/>
      <sheetName val="B_Sheet_97-OBPL18"/>
      <sheetName val="B_Sheet_97_sdpl18"/>
      <sheetName val="TBAL9697_-group_wise__sdpl218"/>
      <sheetName val="inout_consol_jan18"/>
      <sheetName val="consol_flow18"/>
      <sheetName val="D_Loan__Prom18"/>
      <sheetName val="E_Bank_Loan18"/>
      <sheetName val="G_work_Cap18"/>
      <sheetName val="H_land_adv-dec18"/>
      <sheetName val="J_Con_WIP18"/>
      <sheetName val="detail_J18"/>
      <sheetName val="L_Oth_Co18"/>
      <sheetName val="K_fix_asst__18"/>
      <sheetName val="C_fix_asst-SDPL_18"/>
      <sheetName val="TBAL9697__group_wise__sdpl18"/>
      <sheetName val="inout_consol_okg18"/>
      <sheetName val="detail_OIP_(2)18"/>
      <sheetName val="D_fix_ysst_scdl_18"/>
      <sheetName val="cre`itors_tb_obpl18"/>
      <sheetName val="3AL9697_-group_wise__onpl18"/>
      <sheetName val="3‰AL9697_-group_wise__onpl18"/>
      <sheetName val="L_Oth_Bo18"/>
      <sheetName val="Civil_Boq18"/>
      <sheetName val="Boq_Block_A17"/>
      <sheetName val="Staff_Acco_18"/>
      <sheetName val="SITE_OVERHEADS18"/>
      <sheetName val="Project-Material_17"/>
      <sheetName val="PRECAST_lightconc-II18"/>
      <sheetName val="1__PayRec17"/>
      <sheetName val="ino4t_conso,-nov17"/>
      <sheetName val="(nout_co,sol_(2)17"/>
      <sheetName val="Blr_hire17"/>
      <sheetName val="Cashflow_projection17"/>
      <sheetName val="SPT_vs_PHI17"/>
      <sheetName val="key_dates17"/>
      <sheetName val="INPUT_SHEET17"/>
      <sheetName val="_bpl,oth_lia_17"/>
      <sheetName val="G_,and_adv_nce17"/>
      <sheetName val="I,Wip-ot__2)17"/>
      <sheetName val="det!il_WIP_(2)17"/>
      <sheetName val="de4ail_G-117"/>
      <sheetName val="sobha_mennn_ac17"/>
      <sheetName val="C_&amp;ix_asst17"/>
      <sheetName val="3�AL9697_-group_wise__onpl17"/>
      <sheetName val="_x005f_x0003_dpl_oth_Lia`17"/>
      <sheetName val="TBAL9697__x005f_x000d_grotp_wise_17"/>
      <sheetName val="St_co_91_5lvl17"/>
      <sheetName val="Sun_E_Type17"/>
      <sheetName val="Fin_Sum17"/>
      <sheetName val="CORPN_O?T17"/>
      <sheetName val="Labor_abs-NMR17"/>
      <sheetName val="Stress_Calculation17"/>
      <sheetName val="TBAL9697__x000a_grotp_wise_17"/>
      <sheetName val="labour_coeff15"/>
      <sheetName val="Shuttering_Analysis15"/>
      <sheetName val="General_P+M15"/>
      <sheetName val="Curing_Analysis_15"/>
      <sheetName val="Concrete_P+M_(_RMC_)15"/>
      <sheetName val="P+M_(_SMC_)15"/>
      <sheetName val="P+M_-EW15"/>
      <sheetName val="P&amp;L_-_AD15"/>
      <sheetName val="Fin__Assumpt__-_Sensitivities15"/>
      <sheetName val="LOAD_SHEET_15"/>
      <sheetName val="Fill_this_out_first___15"/>
      <sheetName val="Labour_productivity15"/>
      <sheetName val="RCC,Ret__Wall15"/>
      <sheetName val="CORPN_O_x005f_x0000_T17"/>
      <sheetName val="SUPPLY_-Sanitary_Fixtures17"/>
      <sheetName val="ITEMS_FOR_CIVIL_TENDER17"/>
      <sheetName val="_x005f_x005f_x005f_x0003_dpl_oth_Lia`17"/>
      <sheetName val="TBAL9697__x005f_x005f_x005f_x000d_grotp_w17"/>
      <sheetName val="CORPN_O17"/>
      <sheetName val="CORPN_O_T15"/>
      <sheetName val="Area_&amp;_Cate__Master15"/>
      <sheetName val="Bill_No_515"/>
      <sheetName val="TBAL9697__grotp_wise_30"/>
      <sheetName val="Detail_1A15"/>
      <sheetName val="DG_17"/>
      <sheetName val="11B_15"/>
      <sheetName val="BOQ_(2)15"/>
      <sheetName val="DLC_lookups15"/>
      <sheetName val="Structure_Bills_Qty15"/>
      <sheetName val="Fee_Rate_Summary15"/>
      <sheetName val="Name_List15"/>
      <sheetName val="CORPN_O_x005f_x005f_x005f_x0000_T15"/>
      <sheetName val="TBAL9697__x005f_x000a_grotp_wise_15"/>
      <sheetName val="220_11__BS_15"/>
      <sheetName val="ISO_Reconcilation_Statment15"/>
      <sheetName val="AVG_pur_rate15"/>
      <sheetName val="Driveway_Beams15"/>
      <sheetName val="Cat_A_Change_Control15"/>
      <sheetName val="Break_up_Sheet15"/>
      <sheetName val="Summary_of_P_&amp;_M15"/>
      <sheetName val="Break_Dw15"/>
      <sheetName val="FITZ_MORT_9415"/>
      <sheetName val="Sheet_115"/>
      <sheetName val="3BPA00132-5-3_W_plan_HVPNL15"/>
      <sheetName val="Mix_Design15"/>
      <sheetName val="BLOCK-A_(MEA_SHEET)15"/>
      <sheetName val="Quote_Sheet15"/>
      <sheetName val="d-safe_DELUXE15"/>
      <sheetName val="Works_-_Quote_Sheet15"/>
      <sheetName val="IO_LIST15"/>
      <sheetName val="TBAL9697__x005f_x000d_grotp_wis15"/>
      <sheetName val="TBAL9697__grotp_wise_31"/>
      <sheetName val="NLD_-_Assum15"/>
      <sheetName val="Intro_15"/>
      <sheetName val="TBAL9697__x005f_x005f_x005f_x005f_x005f_x005f_x15"/>
      <sheetName val="Form_615"/>
      <sheetName val="acevsSp_(ABC)15"/>
      <sheetName val="A_O_R_15"/>
      <sheetName val="LIST_OF_MAKES15"/>
      <sheetName val="Cash_Flow_Input_Data_ISC15"/>
      <sheetName val="DETAILED__BOQ15"/>
      <sheetName val="Civil_Works15"/>
      <sheetName val="Legal_Risk_Analysis15"/>
      <sheetName val="CABLE_DATA15"/>
      <sheetName val="Mat_-Rates15"/>
      <sheetName val="TBAL9697_-group_wise__sdpl20"/>
      <sheetName val="TBAL9697_-group_wise_19"/>
      <sheetName val="crs_-G-119"/>
      <sheetName val="TBAL9697_-group_wise__onpl19"/>
      <sheetName val="B_Sheet_97-OBPL19"/>
      <sheetName val="B_Sheet_97_sdpl19"/>
      <sheetName val="TBAL9697_-group_wise__sdpl219"/>
      <sheetName val="inout_consol_jan19"/>
      <sheetName val="consol_flow19"/>
      <sheetName val="D_Loan__Prom19"/>
      <sheetName val="E_Bank_Loan19"/>
      <sheetName val="G_work_Cap19"/>
      <sheetName val="H_land_adv-dec19"/>
      <sheetName val="J_Con_WIP19"/>
      <sheetName val="detail_J19"/>
      <sheetName val="L_Oth_Co19"/>
      <sheetName val="K_fix_asst__19"/>
      <sheetName val="C_fix_asst-SDPL_19"/>
      <sheetName val="TBAL9697__group_wise__sdpl19"/>
      <sheetName val="inout_consol_okg19"/>
      <sheetName val="detail_OIP_(2)19"/>
      <sheetName val="D_fix_ysst_scdl_19"/>
      <sheetName val="cre`itors_tb_obpl19"/>
      <sheetName val="3AL9697_-group_wise__onpl19"/>
      <sheetName val="3‰AL9697_-group_wise__onpl19"/>
      <sheetName val="L_Oth_Bo19"/>
      <sheetName val="Civil_Boq19"/>
      <sheetName val="Boq_Block_A18"/>
      <sheetName val="Staff_Acco_19"/>
      <sheetName val="SITE_OVERHEADS19"/>
      <sheetName val="Project-Material_18"/>
      <sheetName val="PRECAST_lightconc-II19"/>
      <sheetName val="1__PayRec18"/>
      <sheetName val="ino4t_conso,-nov18"/>
      <sheetName val="(nout_co,sol_(2)18"/>
      <sheetName val="Blr_hire18"/>
      <sheetName val="Cashflow_projection18"/>
      <sheetName val="SPT_vs_PHI18"/>
      <sheetName val="key_dates18"/>
      <sheetName val="INPUT_SHEET18"/>
      <sheetName val="_bpl,oth_lia_18"/>
      <sheetName val="G_,and_adv_nce18"/>
      <sheetName val="I,Wip-ot__2)18"/>
      <sheetName val="det!il_WIP_(2)18"/>
      <sheetName val="de4ail_G-118"/>
      <sheetName val="sobha_mennn_ac18"/>
      <sheetName val="C_&amp;ix_asst18"/>
      <sheetName val="3�AL9697_-group_wise__onpl18"/>
      <sheetName val="_x005f_x0003_dpl_oth_Lia`18"/>
      <sheetName val="TBAL9697__x005f_x000d_grotp_wise_18"/>
      <sheetName val="St_co_91_5lvl18"/>
      <sheetName val="Sun_E_Type18"/>
      <sheetName val="Fin_Sum18"/>
      <sheetName val="CORPN_O?T18"/>
      <sheetName val="Labor_abs-NMR18"/>
      <sheetName val="Stress_Calculation18"/>
      <sheetName val="TBAL9697__x000a_grotp_wise_18"/>
      <sheetName val="labour_coeff16"/>
      <sheetName val="Shuttering_Analysis16"/>
      <sheetName val="General_P+M16"/>
      <sheetName val="Curing_Analysis_16"/>
      <sheetName val="Concrete_P+M_(_RMC_)16"/>
      <sheetName val="P+M_(_SMC_)16"/>
      <sheetName val="P+M_-EW16"/>
      <sheetName val="P&amp;L_-_AD16"/>
      <sheetName val="Fin__Assumpt__-_Sensitivities16"/>
      <sheetName val="LOAD_SHEET_16"/>
      <sheetName val="Fill_this_out_first___16"/>
      <sheetName val="Labour_productivity16"/>
      <sheetName val="RCC,Ret__Wall16"/>
      <sheetName val="CORPN_O_x005f_x0000_T18"/>
      <sheetName val="SUPPLY_-Sanitary_Fixtures18"/>
      <sheetName val="ITEMS_FOR_CIVIL_TENDER18"/>
      <sheetName val="_x005f_x005f_x005f_x0003_dpl_oth_Lia`18"/>
      <sheetName val="TBAL9697__x005f_x005f_x005f_x000d_grotp_w18"/>
      <sheetName val="CORPN_O18"/>
      <sheetName val="CORPN_O_T16"/>
      <sheetName val="Area_&amp;_Cate__Master16"/>
      <sheetName val="Bill_No_516"/>
      <sheetName val="TBAL9697__grotp_wise_32"/>
      <sheetName val="Detail_1A16"/>
      <sheetName val="DG_18"/>
      <sheetName val="11B_16"/>
      <sheetName val="BOQ_(2)16"/>
      <sheetName val="DLC_lookups16"/>
      <sheetName val="Structure_Bills_Qty16"/>
      <sheetName val="Fee_Rate_Summary16"/>
      <sheetName val="Name_List16"/>
      <sheetName val="CORPN_O_x005f_x005f_x005f_x0000_T16"/>
      <sheetName val="TBAL9697__x005f_x000a_grotp_wise_16"/>
      <sheetName val="220_11__BS_16"/>
      <sheetName val="ISO_Reconcilation_Statment16"/>
      <sheetName val="AVG_pur_rate16"/>
      <sheetName val="Driveway_Beams16"/>
      <sheetName val="Cat_A_Change_Control16"/>
      <sheetName val="Break_up_Sheet16"/>
      <sheetName val="Summary_of_P_&amp;_M16"/>
      <sheetName val="Break_Dw16"/>
      <sheetName val="FITZ_MORT_9416"/>
      <sheetName val="Sheet_116"/>
      <sheetName val="3BPA00132-5-3_W_plan_HVPNL16"/>
      <sheetName val="Mix_Design16"/>
      <sheetName val="BLOCK-A_(MEA_SHEET)16"/>
      <sheetName val="Quote_Sheet16"/>
      <sheetName val="d-safe_DELUXE16"/>
      <sheetName val="Works_-_Quote_Sheet16"/>
      <sheetName val="IO_LIST16"/>
      <sheetName val="TBAL9697__x005f_x000d_grotp_wis16"/>
      <sheetName val="TBAL9697__grotp_wise_33"/>
      <sheetName val="NLD_-_Assum16"/>
      <sheetName val="Intro_16"/>
      <sheetName val="TBAL9697__x005f_x005f_x005f_x005f_x005f_x005f_x16"/>
      <sheetName val="Form_616"/>
      <sheetName val="acevsSp_(ABC)16"/>
      <sheetName val="A_O_R_16"/>
      <sheetName val="LIST_OF_MAKES16"/>
      <sheetName val="Cash_Flow_Input_Data_ISC16"/>
      <sheetName val="DETAILED__BOQ16"/>
      <sheetName val="Civil_Works16"/>
      <sheetName val="Legal_Risk_Analysis16"/>
      <sheetName val="CABLE_DATA16"/>
      <sheetName val="Mat_-Rates16"/>
      <sheetName val="Tender_Summary3"/>
      <sheetName val="TB9798OBPL06_(2)21"/>
      <sheetName val="CORPN_OCT21"/>
      <sheetName val="inout_consol-nov21"/>
      <sheetName val="inout_consol_(2)21"/>
      <sheetName val="AS_ON_DT_EXPS_Mar21"/>
      <sheetName val="fa-pl_&amp;_mach-site21"/>
      <sheetName val="fa_off_eqp21"/>
      <sheetName val="fa_fur&amp;_fix21"/>
      <sheetName val="fa-pl_&amp;_mach-Off21"/>
      <sheetName val="B_Equity-sdpl_INC21"/>
      <sheetName val="inout_consol_wkg21"/>
      <sheetName val="inout_consol_WKNG21"/>
      <sheetName val="B_Sheet_9721"/>
      <sheetName val="P&amp;L_97_21"/>
      <sheetName val="B_Sheet_97-BEXP21"/>
      <sheetName val="P&amp;L_97_-BEXP21"/>
      <sheetName val="consol_flows21"/>
      <sheetName val="sdpl_oth_Liab21"/>
      <sheetName val="obpl-oth_liab21"/>
      <sheetName val="G_land_advance21"/>
      <sheetName val="I-Wip-ot_(2)21"/>
      <sheetName val="detail_WIP_(2)21"/>
      <sheetName val="detail_G-121"/>
      <sheetName val="sobha_menon_ac21"/>
      <sheetName val="pnc_ac21"/>
      <sheetName val="fix_-p_&amp;_M_-SCC21"/>
      <sheetName val="C_fix_asst21"/>
      <sheetName val="D_fix_asst_scdl_21"/>
      <sheetName val="creditors_tb_obpl21"/>
      <sheetName val="Boq_Block_A19"/>
      <sheetName val="Project-Material_19"/>
      <sheetName val="PRECAST_lightconc-II20"/>
      <sheetName val="1__PayRec19"/>
      <sheetName val="ino4t_conso,-nov19"/>
      <sheetName val="(nout_co,sol_(2)19"/>
      <sheetName val="Blr_hire19"/>
      <sheetName val="Cashflow_projection19"/>
      <sheetName val="SPT_vs_PHI19"/>
      <sheetName val="key_dates19"/>
      <sheetName val="INPUT_SHEET19"/>
      <sheetName val="_bpl,oth_lia_19"/>
      <sheetName val="G_,and_adv_nce19"/>
      <sheetName val="I,Wip-ot__2)19"/>
      <sheetName val="det!il_WIP_(2)19"/>
      <sheetName val="de4ail_G-119"/>
      <sheetName val="sobha_mennn_ac19"/>
      <sheetName val="C_&amp;ix_asst19"/>
      <sheetName val="3�AL9697_-group_wise__onpl19"/>
      <sheetName val="_x005f_x0003_dpl_oth_Lia`19"/>
      <sheetName val="TBAL9697__x005f_x000d_grotp_wise_19"/>
      <sheetName val="St_co_91_5lvl19"/>
      <sheetName val="Sun_E_Type19"/>
      <sheetName val="Fin_Sum19"/>
      <sheetName val="CORPN_O?T19"/>
      <sheetName val="Labor_abs-NMR19"/>
      <sheetName val="Stress_Calculation19"/>
      <sheetName val="TBAL9697__x000a_grotp_wise_19"/>
      <sheetName val="labour_coeff17"/>
      <sheetName val="Shuttering_Analysis17"/>
      <sheetName val="General_P+M17"/>
      <sheetName val="Curing_Analysis_17"/>
      <sheetName val="Concrete_P+M_(_RMC_)17"/>
      <sheetName val="P+M_(_SMC_)17"/>
      <sheetName val="P+M_-EW17"/>
      <sheetName val="P&amp;L_-_AD17"/>
      <sheetName val="Fin__Assumpt__-_Sensitivities17"/>
      <sheetName val="LOAD_SHEET_17"/>
      <sheetName val="Fill_this_out_first___17"/>
      <sheetName val="Labour_productivity17"/>
      <sheetName val="RCC,Ret__Wall17"/>
      <sheetName val="CORPN_O_x005f_x0000_T19"/>
      <sheetName val="SUPPLY_-Sanitary_Fixtures19"/>
      <sheetName val="ITEMS_FOR_CIVIL_TENDER19"/>
      <sheetName val="_x005f_x005f_x005f_x0003_dpl_oth_Lia`19"/>
      <sheetName val="TBAL9697__x005f_x005f_x005f_x000d_grotp_w19"/>
      <sheetName val="CORPN_O19"/>
      <sheetName val="CORPN_O_T17"/>
      <sheetName val="Area_&amp;_Cate__Master17"/>
      <sheetName val="Bill_No_517"/>
      <sheetName val="TBAL9697__grotp_wise_34"/>
      <sheetName val="Detail_1A17"/>
      <sheetName val="DG_19"/>
      <sheetName val="11B_17"/>
      <sheetName val="BOQ_(2)17"/>
      <sheetName val="DLC_lookups17"/>
      <sheetName val="Structure_Bills_Qty17"/>
      <sheetName val="Fee_Rate_Summary17"/>
      <sheetName val="Name_List17"/>
      <sheetName val="CORPN_O_x005f_x005f_x005f_x0000_T17"/>
      <sheetName val="TBAL9697__x005f_x000a_grotp_wise_17"/>
      <sheetName val="220_11__BS_17"/>
      <sheetName val="ISO_Reconcilation_Statment17"/>
      <sheetName val="AVG_pur_rate17"/>
      <sheetName val="Driveway_Beams17"/>
      <sheetName val="Cat_A_Change_Control17"/>
      <sheetName val="Break_up_Sheet17"/>
      <sheetName val="Summary_of_P_&amp;_M17"/>
      <sheetName val="Break_Dw17"/>
      <sheetName val="FITZ_MORT_9417"/>
      <sheetName val="Sheet_117"/>
      <sheetName val="3BPA00132-5-3_W_plan_HVPNL17"/>
      <sheetName val="Mix_Design17"/>
      <sheetName val="BLOCK-A_(MEA_SHEET)17"/>
      <sheetName val="Quote_Sheet17"/>
      <sheetName val="d-safe_DELUXE17"/>
      <sheetName val="Works_-_Quote_Sheet17"/>
      <sheetName val="IO_LIST17"/>
      <sheetName val="TBAL9697__x005f_x000d_grotp_wis17"/>
      <sheetName val="TBAL9697__grotp_wise_35"/>
      <sheetName val="NLD_-_Assum17"/>
      <sheetName val="Intro_17"/>
      <sheetName val="TBAL9697__x005f_x005f_x005f_x005f_x005f_x005f_x17"/>
      <sheetName val="Form_617"/>
      <sheetName val="acevsSp_(ABC)17"/>
      <sheetName val="A_O_R_17"/>
      <sheetName val="LIST_OF_MAKES17"/>
      <sheetName val="Cash_Flow_Input_Data_ISC17"/>
      <sheetName val="DETAILED__BOQ17"/>
      <sheetName val="Civil_Works17"/>
      <sheetName val="Legal_Risk_Analysis17"/>
      <sheetName val="CABLE_DATA17"/>
      <sheetName val="Mat_-Rates17"/>
      <sheetName val="TBAL9697_-group_wise__sdpl31"/>
      <sheetName val="TBAL9697_-group_wise_21"/>
      <sheetName val="crs_-G-121"/>
      <sheetName val="TBAL9697_-group_wise__onpl21"/>
      <sheetName val="B_Sheet_97-OBPL21"/>
      <sheetName val="B_Sheet_97_sdpl21"/>
      <sheetName val="TBAL9697_-group_wise__sdpl221"/>
      <sheetName val="inout_consol_jan21"/>
      <sheetName val="consol_flow21"/>
      <sheetName val="D_Loan__Prom21"/>
      <sheetName val="E_Bank_Loan21"/>
      <sheetName val="G_work_Cap21"/>
      <sheetName val="H_land_adv-dec21"/>
      <sheetName val="J_Con_WIP21"/>
      <sheetName val="detail_J21"/>
      <sheetName val="L_Oth_Co21"/>
      <sheetName val="K_fix_asst__21"/>
      <sheetName val="C_fix_asst-SDPL_21"/>
      <sheetName val="TBAL9697__group_wise__sdpl21"/>
      <sheetName val="inout_consol_okg21"/>
      <sheetName val="detail_OIP_(2)21"/>
      <sheetName val="D_fix_ysst_scdl_21"/>
      <sheetName val="cre`itors_tb_obpl21"/>
      <sheetName val="3AL9697_-group_wise__onpl21"/>
      <sheetName val="3‰AL9697_-group_wise__onpl21"/>
      <sheetName val="L_Oth_Bo21"/>
      <sheetName val="Civil_Boq21"/>
      <sheetName val="Staff_Acco_21"/>
      <sheetName val="SITE_OVERHEADS21"/>
      <sheetName val="PRECAST_lightconc-II21"/>
      <sheetName val="1__PayRec20"/>
      <sheetName val="ino4t_conso,-nov20"/>
      <sheetName val="(nout_co,sol_(2)20"/>
      <sheetName val="Blr_hire20"/>
      <sheetName val="Cashflow_projection20"/>
      <sheetName val="SPT_vs_PHI20"/>
      <sheetName val="key_dates20"/>
      <sheetName val="INPUT_SHEET20"/>
      <sheetName val="_bpl,oth_lia_20"/>
      <sheetName val="G_,and_adv_nce20"/>
      <sheetName val="I,Wip-ot__2)20"/>
      <sheetName val="det!il_WIP_(2)20"/>
      <sheetName val="de4ail_G-120"/>
      <sheetName val="sobha_mennn_ac20"/>
      <sheetName val="C_&amp;ix_asst20"/>
      <sheetName val="_x005f_x0003_dpl_oth_Lia`20"/>
      <sheetName val="TBAL9697__x005f_x000d_grotp_wise_20"/>
      <sheetName val="St_co_91_5lvl20"/>
      <sheetName val="Sun_E_Type20"/>
      <sheetName val="Fin_Sum20"/>
      <sheetName val="CORPN_O?T20"/>
      <sheetName val="Labor_abs-NMR20"/>
      <sheetName val="Stress_Calculation20"/>
      <sheetName val="TBAL9697__x000a_grotp_wise_20"/>
      <sheetName val="labour_coeff18"/>
      <sheetName val="Shuttering_Analysis18"/>
      <sheetName val="General_P+M18"/>
      <sheetName val="Curing_Analysis_18"/>
      <sheetName val="Concrete_P+M_(_RMC_)18"/>
      <sheetName val="P+M_(_SMC_)18"/>
      <sheetName val="P+M_-EW18"/>
      <sheetName val="P&amp;L_-_AD18"/>
      <sheetName val="Fin__Assumpt__-_Sensitivities18"/>
      <sheetName val="LOAD_SHEET_18"/>
      <sheetName val="Fill_this_out_first___18"/>
      <sheetName val="Labour_productivity18"/>
      <sheetName val="RCC,Ret__Wall18"/>
      <sheetName val="CORPN_O_x005f_x0000_T20"/>
      <sheetName val="SUPPLY_-Sanitary_Fixtures20"/>
      <sheetName val="ITEMS_FOR_CIVIL_TENDER20"/>
      <sheetName val="_x005f_x005f_x005f_x0003_dpl_oth_Lia`20"/>
      <sheetName val="TBAL9697__x005f_x005f_x005f_x000d_grotp_w20"/>
      <sheetName val="CORPN_O20"/>
      <sheetName val="CORPN_O_T18"/>
      <sheetName val="Area_&amp;_Cate__Master18"/>
      <sheetName val="Bill_No_518"/>
      <sheetName val="TBAL9697__grotp_wise_36"/>
      <sheetName val="Detail_1A18"/>
      <sheetName val="DG_20"/>
      <sheetName val="11B_18"/>
      <sheetName val="BOQ_(2)18"/>
      <sheetName val="DLC_lookups18"/>
      <sheetName val="Structure_Bills_Qty18"/>
      <sheetName val="Fee_Rate_Summary18"/>
      <sheetName val="Name_List18"/>
      <sheetName val="CORPN_O_x005f_x005f_x005f_x0000_T18"/>
      <sheetName val="TBAL9697__x005f_x000a_grotp_wise_18"/>
      <sheetName val="220_11__BS_18"/>
      <sheetName val="ISO_Reconcilation_Statment18"/>
      <sheetName val="AVG_pur_rate18"/>
      <sheetName val="Driveway_Beams18"/>
      <sheetName val="Cat_A_Change_Control18"/>
      <sheetName val="Break_up_Sheet18"/>
      <sheetName val="Summary_of_P_&amp;_M18"/>
      <sheetName val="Break_Dw18"/>
      <sheetName val="FITZ_MORT_9418"/>
      <sheetName val="Sheet_118"/>
      <sheetName val="3BPA00132-5-3_W_plan_HVPNL18"/>
      <sheetName val="Mix_Design18"/>
      <sheetName val="BLOCK-A_(MEA_SHEET)18"/>
      <sheetName val="Quote_Sheet18"/>
      <sheetName val="d-safe_DELUXE18"/>
      <sheetName val="Works_-_Quote_Sheet18"/>
      <sheetName val="IO_LIST18"/>
      <sheetName val="TBAL9697__x005f_x000d_grotp_wis18"/>
      <sheetName val="TBAL9697__grotp_wise_37"/>
      <sheetName val="NLD_-_Assum18"/>
      <sheetName val="Intro_18"/>
      <sheetName val="TBAL9697__x005f_x005f_x005f_x005f_x005f_x005f_x18"/>
      <sheetName val="Form_618"/>
      <sheetName val="acevsSp_(ABC)18"/>
      <sheetName val="A_O_R_18"/>
      <sheetName val="LIST_OF_MAKES18"/>
      <sheetName val="Cash_Flow_Input_Data_ISC18"/>
      <sheetName val="DETAILED__BOQ18"/>
      <sheetName val="Civil_Works18"/>
      <sheetName val="Legal_Risk_Analysis18"/>
      <sheetName val="CABLE_DATA18"/>
      <sheetName val="Mat_-Rates18"/>
      <sheetName val="Tender_Summary1"/>
      <sheetName val="TB9798OBPL06_(2)23"/>
      <sheetName val="CORPN_OCT23"/>
      <sheetName val="inout_consol-nov23"/>
      <sheetName val="inout_consol_(2)23"/>
      <sheetName val="AS_ON_DT_EXPS_Mar23"/>
      <sheetName val="fa-pl_&amp;_mach-site23"/>
      <sheetName val="fa_off_eqp23"/>
      <sheetName val="fa_fur&amp;_fix23"/>
      <sheetName val="fa-pl_&amp;_mach-Off23"/>
      <sheetName val="B_Equity-sdpl_INC23"/>
      <sheetName val="inout_consol_wkg23"/>
      <sheetName val="inout_consol_WKNG23"/>
      <sheetName val="B_Sheet_9723"/>
      <sheetName val="P&amp;L_97_23"/>
      <sheetName val="B_Sheet_97-BEXP23"/>
      <sheetName val="P&amp;L_97_-BEXP23"/>
      <sheetName val="consol_flows23"/>
      <sheetName val="sdpl_oth_Liab23"/>
      <sheetName val="obpl-oth_liab23"/>
      <sheetName val="G_land_advance23"/>
      <sheetName val="I-Wip-ot_(2)23"/>
      <sheetName val="detail_WIP_(2)23"/>
      <sheetName val="detail_G-123"/>
      <sheetName val="sobha_menon_ac23"/>
      <sheetName val="pnc_ac23"/>
      <sheetName val="fix_-p_&amp;_M_-SCC23"/>
      <sheetName val="C_fix_asst23"/>
      <sheetName val="D_fix_asst_scdl_23"/>
      <sheetName val="creditors_tb_obpl23"/>
      <sheetName val="Boq_Block_A21"/>
      <sheetName val="Project-Material_21"/>
      <sheetName val="PRECAST_lightconc-II22"/>
      <sheetName val="1__PayRec21"/>
      <sheetName val="ino4t_conso,-nov21"/>
      <sheetName val="(nout_co,sol_(2)21"/>
      <sheetName val="Blr_hire21"/>
      <sheetName val="Cashflow_projection21"/>
      <sheetName val="SPT_vs_PHI21"/>
      <sheetName val="key_dates21"/>
      <sheetName val="INPUT_SHEET21"/>
      <sheetName val="_bpl,oth_lia_21"/>
      <sheetName val="G_,and_adv_nce21"/>
      <sheetName val="I,Wip-ot__2)21"/>
      <sheetName val="det!il_WIP_(2)21"/>
      <sheetName val="de4ail_G-121"/>
      <sheetName val="sobha_mennn_ac21"/>
      <sheetName val="C_&amp;ix_asst21"/>
      <sheetName val="3�AL9697_-group_wise__onpl21"/>
      <sheetName val="_x005f_x0003_dpl_oth_Lia`21"/>
      <sheetName val="TBAL9697__x005f_x000d_grotp_wise_21"/>
      <sheetName val="St_co_91_5lvl21"/>
      <sheetName val="Sun_E_Type21"/>
      <sheetName val="Fin_Sum21"/>
      <sheetName val="CORPN_O?T21"/>
      <sheetName val="Labor_abs-NMR21"/>
      <sheetName val="Stress_Calculation21"/>
      <sheetName val="TBAL9697__x000a_grotp_wise_21"/>
      <sheetName val="labour_coeff19"/>
      <sheetName val="Shuttering_Analysis19"/>
      <sheetName val="General_P+M19"/>
      <sheetName val="Curing_Analysis_19"/>
      <sheetName val="Concrete_P+M_(_RMC_)19"/>
      <sheetName val="P+M_(_SMC_)19"/>
      <sheetName val="P+M_-EW19"/>
      <sheetName val="P&amp;L_-_AD19"/>
      <sheetName val="Fin__Assumpt__-_Sensitivities19"/>
      <sheetName val="LOAD_SHEET_19"/>
      <sheetName val="Fill_this_out_first___19"/>
      <sheetName val="Labour_productivity19"/>
      <sheetName val="RCC,Ret__Wall19"/>
      <sheetName val="CORPN_O_x005f_x0000_T21"/>
      <sheetName val="SUPPLY_-Sanitary_Fixtures21"/>
      <sheetName val="ITEMS_FOR_CIVIL_TENDER21"/>
      <sheetName val="_x005f_x005f_x005f_x0003_dpl_oth_Lia`21"/>
      <sheetName val="TBAL9697__x005f_x005f_x005f_x000d_grotp_w21"/>
      <sheetName val="CORPN_O21"/>
      <sheetName val="CORPN_O_T19"/>
      <sheetName val="Area_&amp;_Cate__Master19"/>
      <sheetName val="Bill_No_519"/>
      <sheetName val="TBAL9697__grotp_wise_38"/>
      <sheetName val="Detail_1A19"/>
      <sheetName val="DG_21"/>
      <sheetName val="11B_19"/>
      <sheetName val="BOQ_(2)19"/>
      <sheetName val="DLC_lookups19"/>
      <sheetName val="Structure_Bills_Qty19"/>
      <sheetName val="Fee_Rate_Summary19"/>
      <sheetName val="Name_List19"/>
      <sheetName val="CORPN_O_x005f_x005f_x005f_x0000_T19"/>
      <sheetName val="TBAL9697__x005f_x000a_grotp_wise_19"/>
      <sheetName val="220_11__BS_19"/>
      <sheetName val="ISO_Reconcilation_Statment19"/>
      <sheetName val="AVG_pur_rate19"/>
      <sheetName val="Driveway_Beams19"/>
      <sheetName val="Cat_A_Change_Control19"/>
      <sheetName val="Break_up_Sheet19"/>
      <sheetName val="Summary_of_P_&amp;_M19"/>
      <sheetName val="Break_Dw19"/>
      <sheetName val="FITZ_MORT_9419"/>
      <sheetName val="Sheet_119"/>
      <sheetName val="3BPA00132-5-3_W_plan_HVPNL19"/>
      <sheetName val="Mix_Design19"/>
      <sheetName val="BLOCK-A_(MEA_SHEET)19"/>
      <sheetName val="Quote_Sheet19"/>
      <sheetName val="d-safe_DELUXE19"/>
      <sheetName val="Works_-_Quote_Sheet19"/>
      <sheetName val="IO_LIST19"/>
      <sheetName val="TBAL9697__x005f_x000d_grotp_wis19"/>
      <sheetName val="TBAL9697__grotp_wise_39"/>
      <sheetName val="NLD_-_Assum19"/>
      <sheetName val="Intro_19"/>
      <sheetName val="TBAL9697__x005f_x005f_x005f_x005f_x005f_x005f_x19"/>
      <sheetName val="Form_619"/>
      <sheetName val="acevsSp_(ABC)19"/>
      <sheetName val="A_O_R_19"/>
      <sheetName val="LIST_OF_MAKES19"/>
      <sheetName val="Cash_Flow_Input_Data_ISC19"/>
      <sheetName val="DETAILED__BOQ19"/>
      <sheetName val="Civil_Works19"/>
      <sheetName val="Legal_Risk_Analysis19"/>
      <sheetName val="CABLE_DATA19"/>
      <sheetName val="Mat_-Rates19"/>
      <sheetName val="Tender_Summary2"/>
      <sheetName val="TB9798OBPL06_(2)25"/>
      <sheetName val="CORPN_OCT25"/>
      <sheetName val="inout_consol-nov25"/>
      <sheetName val="inout_consol_(2)25"/>
      <sheetName val="AS_ON_DT_EXPS_Mar25"/>
      <sheetName val="fa-pl_&amp;_mach-site25"/>
      <sheetName val="fa_off_eqp25"/>
      <sheetName val="fa_fur&amp;_fix25"/>
      <sheetName val="fa-pl_&amp;_mach-Off25"/>
      <sheetName val="B_Equity-sdpl_INC25"/>
      <sheetName val="inout_consol_wkg25"/>
      <sheetName val="inout_consol_WKNG25"/>
      <sheetName val="B_Sheet_9725"/>
      <sheetName val="P&amp;L_97_25"/>
      <sheetName val="B_Sheet_97-BEXP25"/>
      <sheetName val="P&amp;L_97_-BEXP25"/>
      <sheetName val="consol_flows25"/>
      <sheetName val="sdpl_oth_Liab25"/>
      <sheetName val="obpl-oth_liab25"/>
      <sheetName val="G_land_advance25"/>
      <sheetName val="I-Wip-ot_(2)25"/>
      <sheetName val="detail_WIP_(2)25"/>
      <sheetName val="detail_G-125"/>
      <sheetName val="sobha_menon_ac25"/>
      <sheetName val="pnc_ac25"/>
      <sheetName val="fix_-p_&amp;_M_-SCC25"/>
      <sheetName val="C_fix_asst25"/>
      <sheetName val="D_fix_asst_scdl_25"/>
      <sheetName val="creditors_tb_obpl25"/>
      <sheetName val="TBAL9697_-group_wise__sdpl34"/>
      <sheetName val="TBAL9697_-group_wise_24"/>
      <sheetName val="crs_-G-124"/>
      <sheetName val="TBAL9697_-group_wise__onpl24"/>
      <sheetName val="B_Sheet_97-OBPL24"/>
      <sheetName val="B_Sheet_97_sdpl24"/>
      <sheetName val="TBAL9697_-group_wise__sdpl224"/>
      <sheetName val="inout_consol_jan24"/>
      <sheetName val="consol_flow24"/>
      <sheetName val="D_Loan__Prom24"/>
      <sheetName val="E_Bank_Loan24"/>
      <sheetName val="G_work_Cap24"/>
      <sheetName val="H_land_adv-dec24"/>
      <sheetName val="J_Con_WIP24"/>
      <sheetName val="detail_J24"/>
      <sheetName val="L_Oth_Co24"/>
      <sheetName val="K_fix_asst__24"/>
      <sheetName val="C_fix_asst-SDPL_24"/>
      <sheetName val="TBAL9697__group_wise__sdpl24"/>
      <sheetName val="inout_consol_okg24"/>
      <sheetName val="detail_OIP_(2)24"/>
      <sheetName val="D_fix_ysst_scdl_24"/>
      <sheetName val="cre`itors_tb_obpl24"/>
      <sheetName val="3AL9697_-group_wise__onpl24"/>
      <sheetName val="3‰AL9697_-group_wise__onpl24"/>
      <sheetName val="L_Oth_Bo24"/>
      <sheetName val="Civil_Boq24"/>
      <sheetName val="Boq_Block_A23"/>
      <sheetName val="Staff_Acco_24"/>
      <sheetName val="SITE_OVERHEADS24"/>
      <sheetName val="Project-Material_23"/>
      <sheetName val="PRECAST_lightconc-II24"/>
      <sheetName val="1__PayRec23"/>
      <sheetName val="ino4t_conso,-nov23"/>
      <sheetName val="(nout_co,sol_(2)23"/>
      <sheetName val="Blr_hire23"/>
      <sheetName val="Cashflow_projection23"/>
      <sheetName val="SPT_vs_PHI23"/>
      <sheetName val="key_dates23"/>
      <sheetName val="INPUT_SHEET23"/>
      <sheetName val="_bpl,oth_lia_23"/>
      <sheetName val="G_,and_adv_nce23"/>
      <sheetName val="I,Wip-ot__2)23"/>
      <sheetName val="det!il_WIP_(2)23"/>
      <sheetName val="de4ail_G-123"/>
      <sheetName val="sobha_mennn_ac23"/>
      <sheetName val="C_&amp;ix_asst23"/>
      <sheetName val="3�AL9697_-group_wise__onpl23"/>
      <sheetName val="_x005f_x0003_dpl_oth_Lia`23"/>
      <sheetName val="TBAL9697__x005f_x000d_grotp_wise_23"/>
      <sheetName val="St_co_91_5lvl23"/>
      <sheetName val="Sun_E_Type23"/>
      <sheetName val="Fin_Sum23"/>
      <sheetName val="CORPN_O?T23"/>
      <sheetName val="Labor_abs-NMR23"/>
      <sheetName val="Stress_Calculation23"/>
      <sheetName val="TBAL9697__x000a_grotp_wise_23"/>
      <sheetName val="labour_coeff21"/>
      <sheetName val="Shuttering_Analysis21"/>
      <sheetName val="General_P+M21"/>
      <sheetName val="Curing_Analysis_21"/>
      <sheetName val="Concrete_P+M_(_RMC_)21"/>
      <sheetName val="P+M_(_SMC_)21"/>
      <sheetName val="P+M_-EW21"/>
      <sheetName val="P&amp;L_-_AD21"/>
      <sheetName val="Fin__Assumpt__-_Sensitivities21"/>
      <sheetName val="LOAD_SHEET_21"/>
      <sheetName val="Fill_this_out_first___21"/>
      <sheetName val="Labour_productivity21"/>
      <sheetName val="RCC,Ret__Wall21"/>
      <sheetName val="CORPN_O_x005f_x0000_T23"/>
      <sheetName val="SUPPLY_-Sanitary_Fixtures23"/>
      <sheetName val="ITEMS_FOR_CIVIL_TENDER23"/>
      <sheetName val="_x005f_x005f_x005f_x0003_dpl_oth_Lia`23"/>
      <sheetName val="TBAL9697__x005f_x005f_x005f_x000d_grotp_w23"/>
      <sheetName val="CORPN_O23"/>
      <sheetName val="CORPN_O_T21"/>
      <sheetName val="Area_&amp;_Cate__Master21"/>
      <sheetName val="Bill_No_521"/>
      <sheetName val="TBAL9697__grotp_wise_42"/>
      <sheetName val="Detail_1A21"/>
      <sheetName val="DG_23"/>
      <sheetName val="11B_21"/>
      <sheetName val="BOQ_(2)21"/>
      <sheetName val="DLC_lookups21"/>
      <sheetName val="Structure_Bills_Qty21"/>
      <sheetName val="Fee_Rate_Summary21"/>
      <sheetName val="Name_List21"/>
      <sheetName val="CORPN_O_x005f_x005f_x005f_x0000_T21"/>
      <sheetName val="TBAL9697__x005f_x000a_grotp_wise_21"/>
      <sheetName val="220_11__BS_21"/>
      <sheetName val="ISO_Reconcilation_Statment21"/>
      <sheetName val="AVG_pur_rate21"/>
      <sheetName val="Driveway_Beams21"/>
      <sheetName val="Cat_A_Change_Control21"/>
      <sheetName val="Break_up_Sheet21"/>
      <sheetName val="Summary_of_P_&amp;_M21"/>
      <sheetName val="Break_Dw21"/>
      <sheetName val="FITZ_MORT_9421"/>
      <sheetName val="Sheet_121"/>
      <sheetName val="3BPA00132-5-3_W_plan_HVPNL21"/>
      <sheetName val="Mix_Design21"/>
      <sheetName val="BLOCK-A_(MEA_SHEET)21"/>
      <sheetName val="Quote_Sheet21"/>
      <sheetName val="d-safe_DELUXE21"/>
      <sheetName val="Works_-_Quote_Sheet21"/>
      <sheetName val="IO_LIST21"/>
      <sheetName val="TBAL9697__x005f_x000d_grotp_wis21"/>
      <sheetName val="TBAL9697__grotp_wise_43"/>
      <sheetName val="NLD_-_Assum21"/>
      <sheetName val="Intro_21"/>
      <sheetName val="TBAL9697__x005f_x005f_x005f_x005f_x005f_x005f_x21"/>
      <sheetName val="Form_621"/>
      <sheetName val="acevsSp_(ABC)21"/>
      <sheetName val="A_O_R_21"/>
      <sheetName val="LIST_OF_MAKES21"/>
      <sheetName val="Cash_Flow_Input_Data_ISC21"/>
      <sheetName val="DETAILED__BOQ21"/>
      <sheetName val="Civil_Works21"/>
      <sheetName val="Legal_Risk_Analysis21"/>
      <sheetName val="CABLE_DATA21"/>
      <sheetName val="Mat_-Rates21"/>
      <sheetName val="Assumption_Inputs4"/>
      <sheetName val="Tender_Summary4"/>
      <sheetName val="TB9798OBPL06_(2)26"/>
      <sheetName val="CORPN_OCT26"/>
      <sheetName val="inout_consol-nov26"/>
      <sheetName val="inout_consol_(2)26"/>
      <sheetName val="AS_ON_DT_EXPS_Mar26"/>
      <sheetName val="fa-pl_&amp;_mach-site26"/>
      <sheetName val="fa_off_eqp26"/>
      <sheetName val="fa_fur&amp;_fix26"/>
      <sheetName val="fa-pl_&amp;_mach-Off26"/>
      <sheetName val="B_Equity-sdpl_INC26"/>
      <sheetName val="inout_consol_wkg26"/>
      <sheetName val="inout_consol_WKNG26"/>
      <sheetName val="B_Sheet_9726"/>
      <sheetName val="P&amp;L_97_26"/>
      <sheetName val="B_Sheet_97-BEXP26"/>
      <sheetName val="P&amp;L_97_-BEXP26"/>
      <sheetName val="consol_flows26"/>
      <sheetName val="sdpl_oth_Liab26"/>
      <sheetName val="obpl-oth_liab26"/>
      <sheetName val="G_land_advance26"/>
      <sheetName val="I-Wip-ot_(2)26"/>
      <sheetName val="detail_WIP_(2)26"/>
      <sheetName val="detail_G-126"/>
      <sheetName val="sobha_menon_ac26"/>
      <sheetName val="pnc_ac26"/>
      <sheetName val="fix_-p_&amp;_M_-SCC26"/>
      <sheetName val="C_fix_asst26"/>
      <sheetName val="D_fix_asst_scdl_26"/>
      <sheetName val="creditors_tb_obpl26"/>
      <sheetName val="TBAL9697_-group_wise__sdpl35"/>
      <sheetName val="TBAL9697_-group_wise_25"/>
      <sheetName val="crs_-G-125"/>
      <sheetName val="TBAL9697_-group_wise__onpl25"/>
      <sheetName val="B_Sheet_97-OBPL25"/>
      <sheetName val="B_Sheet_97_sdpl25"/>
      <sheetName val="TBAL9697_-group_wise__sdpl225"/>
      <sheetName val="inout_consol_jan25"/>
      <sheetName val="consol_flow25"/>
      <sheetName val="D_Loan__Prom25"/>
      <sheetName val="E_Bank_Loan25"/>
      <sheetName val="G_work_Cap25"/>
      <sheetName val="H_land_adv-dec25"/>
      <sheetName val="J_Con_WIP25"/>
      <sheetName val="detail_J25"/>
      <sheetName val="L_Oth_Co25"/>
      <sheetName val="K_fix_asst__25"/>
      <sheetName val="C_fix_asst-SDPL_25"/>
      <sheetName val="TBAL9697__group_wise__sdpl25"/>
      <sheetName val="inout_consol_okg25"/>
      <sheetName val="detail_OIP_(2)25"/>
      <sheetName val="D_fix_ysst_scdl_25"/>
      <sheetName val="cre`itors_tb_obpl25"/>
      <sheetName val="3AL9697_-group_wise__onpl25"/>
      <sheetName val="3‰AL9697_-group_wise__onpl25"/>
      <sheetName val="L_Oth_Bo25"/>
      <sheetName val="Civil_Boq25"/>
      <sheetName val="Boq_Block_A24"/>
      <sheetName val="Staff_Acco_25"/>
      <sheetName val="SITE_OVERHEADS25"/>
      <sheetName val="Project-Material_24"/>
      <sheetName val="PRECAST_lightconc-II25"/>
      <sheetName val="1__PayRec24"/>
      <sheetName val="ino4t_conso,-nov24"/>
      <sheetName val="(nout_co,sol_(2)24"/>
      <sheetName val="Blr_hire24"/>
      <sheetName val="Cashflow_projection24"/>
      <sheetName val="SPT_vs_PHI24"/>
      <sheetName val="key_dates24"/>
      <sheetName val="INPUT_SHEET24"/>
      <sheetName val="_bpl,oth_lia_24"/>
      <sheetName val="G_,and_adv_nce24"/>
      <sheetName val="I,Wip-ot__2)24"/>
      <sheetName val="det!il_WIP_(2)24"/>
      <sheetName val="de4ail_G-124"/>
      <sheetName val="sobha_mennn_ac24"/>
      <sheetName val="C_&amp;ix_asst24"/>
      <sheetName val="3�AL9697_-group_wise__onpl24"/>
      <sheetName val="_x005f_x0003_dpl_oth_Lia`24"/>
      <sheetName val="TBAL9697__x005f_x000d_grotp_wise_24"/>
      <sheetName val="St_co_91_5lvl24"/>
      <sheetName val="Sun_E_Type24"/>
      <sheetName val="Fin_Sum24"/>
      <sheetName val="CORPN_O?T24"/>
      <sheetName val="Labor_abs-NMR24"/>
      <sheetName val="Stress_Calculation24"/>
      <sheetName val="TBAL9697__x000a_grotp_wise_24"/>
      <sheetName val="labour_coeff22"/>
      <sheetName val="Shuttering_Analysis22"/>
      <sheetName val="General_P+M22"/>
      <sheetName val="Curing_Analysis_22"/>
      <sheetName val="Concrete_P+M_(_RMC_)22"/>
      <sheetName val="P+M_(_SMC_)22"/>
      <sheetName val="P+M_-EW22"/>
      <sheetName val="P&amp;L_-_AD22"/>
      <sheetName val="Fin__Assumpt__-_Sensitivities22"/>
      <sheetName val="LOAD_SHEET_22"/>
      <sheetName val="Fill_this_out_first___22"/>
      <sheetName val="Labour_productivity22"/>
      <sheetName val="RCC,Ret__Wall22"/>
      <sheetName val="CORPN_O_x005f_x0000_T24"/>
      <sheetName val="SUPPLY_-Sanitary_Fixtures24"/>
      <sheetName val="ITEMS_FOR_CIVIL_TENDER24"/>
      <sheetName val="_x005f_x005f_x005f_x0003_dpl_oth_Lia`24"/>
      <sheetName val="TBAL9697__x005f_x005f_x005f_x000d_grotp_w24"/>
      <sheetName val="CORPN_O24"/>
      <sheetName val="CORPN_O_T22"/>
      <sheetName val="Area_&amp;_Cate__Master22"/>
      <sheetName val="Bill_No_522"/>
      <sheetName val="TBAL9697__grotp_wise_44"/>
      <sheetName val="Detail_1A22"/>
      <sheetName val="DG_24"/>
      <sheetName val="11B_22"/>
      <sheetName val="BOQ_(2)22"/>
      <sheetName val="DLC_lookups22"/>
      <sheetName val="Structure_Bills_Qty22"/>
      <sheetName val="Fee_Rate_Summary22"/>
      <sheetName val="Name_List22"/>
      <sheetName val="CORPN_O_x005f_x005f_x005f_x0000_T22"/>
      <sheetName val="TBAL9697__x005f_x000a_grotp_wise_22"/>
      <sheetName val="220_11__BS_22"/>
      <sheetName val="ISO_Reconcilation_Statment22"/>
      <sheetName val="AVG_pur_rate22"/>
      <sheetName val="Driveway_Beams22"/>
      <sheetName val="Cat_A_Change_Control22"/>
      <sheetName val="Break_up_Sheet22"/>
      <sheetName val="Summary_of_P_&amp;_M22"/>
      <sheetName val="Break_Dw22"/>
      <sheetName val="FITZ_MORT_9422"/>
      <sheetName val="Sheet_122"/>
      <sheetName val="3BPA00132-5-3_W_plan_HVPNL22"/>
      <sheetName val="Mix_Design22"/>
      <sheetName val="BLOCK-A_(MEA_SHEET)22"/>
      <sheetName val="Quote_Sheet22"/>
      <sheetName val="d-safe_DELUXE22"/>
      <sheetName val="Works_-_Quote_Sheet22"/>
      <sheetName val="IO_LIST22"/>
      <sheetName val="TBAL9697__x005f_x000d_grotp_wis22"/>
      <sheetName val="TBAL9697__grotp_wise_45"/>
      <sheetName val="NLD_-_Assum22"/>
      <sheetName val="Intro_22"/>
      <sheetName val="TBAL9697__x005f_x005f_x005f_x005f_x005f_x005f_x22"/>
      <sheetName val="Form_622"/>
      <sheetName val="acevsSp_(ABC)22"/>
      <sheetName val="A_O_R_22"/>
      <sheetName val="LIST_OF_MAKES22"/>
      <sheetName val="Cash_Flow_Input_Data_ISC22"/>
      <sheetName val="DETAILED__BOQ22"/>
      <sheetName val="Civil_Works22"/>
      <sheetName val="Legal_Risk_Analysis22"/>
      <sheetName val="CABLE_DATA22"/>
      <sheetName val="Mat_-Rates22"/>
      <sheetName val="Assumption_Inputs5"/>
      <sheetName val="Tender_Summary5"/>
      <sheetName val="Summary_Bank"/>
      <sheetName val="Admin"/>
      <sheetName val="hyperstatic"/>
      <sheetName val="sumary(3)"/>
      <sheetName val="General input"/>
      <sheetName val="6.05"/>
      <sheetName val="Boq- Civil"/>
      <sheetName val="TBAL9697 _x000d_grotp wis"/>
      <sheetName val="Gen Info"/>
      <sheetName val="Report"/>
      <sheetName val="288-1"/>
      <sheetName val="TB9798OBPL06_(2)27"/>
      <sheetName val="CORPN_OCT27"/>
      <sheetName val="inout_consol-nov27"/>
      <sheetName val="inout_consol_(2)27"/>
      <sheetName val="AS_ON_DT_EXPS_Mar27"/>
      <sheetName val="fa-pl_&amp;_mach-site27"/>
      <sheetName val="fa_off_eqp27"/>
      <sheetName val="fa_fur&amp;_fix27"/>
      <sheetName val="fa-pl_&amp;_mach-Off27"/>
      <sheetName val="B_Equity-sdpl_INC27"/>
      <sheetName val="inout_consol_wkg27"/>
      <sheetName val="inout_consol_WKNG27"/>
      <sheetName val="B_Sheet_9727"/>
      <sheetName val="P&amp;L_97_27"/>
      <sheetName val="B_Sheet_97-BEXP27"/>
      <sheetName val="P&amp;L_97_-BEXP27"/>
      <sheetName val="consol_flows27"/>
      <sheetName val="sdpl_oth_Liab27"/>
      <sheetName val="obpl-oth_liab27"/>
      <sheetName val="G_land_advance27"/>
      <sheetName val="I-Wip-ot_(2)27"/>
      <sheetName val="detail_WIP_(2)27"/>
      <sheetName val="detail_G-127"/>
      <sheetName val="sobha_menon_ac27"/>
      <sheetName val="pnc_ac27"/>
      <sheetName val="fix_-p_&amp;_M_-SCC27"/>
      <sheetName val="C_fix_asst27"/>
      <sheetName val="D_fix_asst_scdl_27"/>
      <sheetName val="creditors_tb_obpl27"/>
      <sheetName val="TBAL9697_-group_wise__sdpl36"/>
      <sheetName val="TBAL9697_-group_wise_26"/>
      <sheetName val="crs_-G-126"/>
      <sheetName val="TBAL9697_-group_wise__onpl26"/>
      <sheetName val="B_Sheet_97-OBPL26"/>
      <sheetName val="B_Sheet_97_sdpl26"/>
      <sheetName val="TBAL9697_-group_wise__sdpl226"/>
      <sheetName val="inout_consol_jan26"/>
      <sheetName val="consol_flow26"/>
      <sheetName val="D_Loan__Prom26"/>
      <sheetName val="E_Bank_Loan26"/>
      <sheetName val="G_work_Cap26"/>
      <sheetName val="H_land_adv-dec26"/>
      <sheetName val="J_Con_WIP26"/>
      <sheetName val="detail_J26"/>
      <sheetName val="L_Oth_Co26"/>
      <sheetName val="K_fix_asst__26"/>
      <sheetName val="C_fix_asst-SDPL_26"/>
      <sheetName val="TBAL9697__group_wise__sdpl26"/>
      <sheetName val="inout_consol_okg26"/>
      <sheetName val="detail_OIP_(2)26"/>
      <sheetName val="D_fix_ysst_scdl_26"/>
      <sheetName val="cre`itors_tb_obpl26"/>
      <sheetName val="3AL9697_-group_wise__onpl26"/>
      <sheetName val="3‰AL9697_-group_wise__onpl26"/>
      <sheetName val="L_Oth_Bo26"/>
      <sheetName val="Civil_Boq26"/>
      <sheetName val="Boq_Block_A25"/>
      <sheetName val="Staff_Acco_26"/>
      <sheetName val="SITE_OVERHEADS26"/>
      <sheetName val="Project-Material_25"/>
      <sheetName val="PRECAST_lightconc-II26"/>
      <sheetName val="1__PayRec25"/>
      <sheetName val="ino4t_conso,-nov25"/>
      <sheetName val="(nout_co,sol_(2)25"/>
      <sheetName val="Blr_hire25"/>
      <sheetName val="Cashflow_projection25"/>
      <sheetName val="SPT_vs_PHI25"/>
      <sheetName val="key_dates25"/>
      <sheetName val="INPUT_SHEET25"/>
      <sheetName val="_bpl,oth_lia_25"/>
      <sheetName val="G_,and_adv_nce25"/>
      <sheetName val="I,Wip-ot__2)25"/>
      <sheetName val="det!il_WIP_(2)25"/>
      <sheetName val="de4ail_G-125"/>
      <sheetName val="sobha_mennn_ac25"/>
      <sheetName val="C_&amp;ix_asst25"/>
      <sheetName val="3�AL9697_-group_wise__onpl25"/>
      <sheetName val="_x005f_x0003_dpl_oth_Lia`25"/>
      <sheetName val="TBAL9697__x005f_x000d_grotp_wise_25"/>
      <sheetName val="St_co_91_5lvl25"/>
      <sheetName val="Sun_E_Type25"/>
      <sheetName val="Fin_Sum25"/>
      <sheetName val="CORPN_O?T25"/>
      <sheetName val="Labor_abs-NMR25"/>
      <sheetName val="Stress_Calculation25"/>
      <sheetName val="TBAL9697__x000a_grotp_wise_25"/>
      <sheetName val="labour_coeff23"/>
      <sheetName val="Shuttering_Analysis23"/>
      <sheetName val="General_P+M23"/>
      <sheetName val="Curing_Analysis_23"/>
      <sheetName val="Concrete_P+M_(_RMC_)23"/>
      <sheetName val="P+M_(_SMC_)23"/>
      <sheetName val="P+M_-EW23"/>
      <sheetName val="P&amp;L_-_AD23"/>
      <sheetName val="Fin__Assumpt__-_Sensitivities23"/>
      <sheetName val="LOAD_SHEET_23"/>
      <sheetName val="Fill_this_out_first___23"/>
      <sheetName val="Labour_productivity23"/>
      <sheetName val="RCC,Ret__Wall23"/>
      <sheetName val="CORPN_O_x005f_x0000_T25"/>
      <sheetName val="SUPPLY_-Sanitary_Fixtures25"/>
      <sheetName val="ITEMS_FOR_CIVIL_TENDER25"/>
      <sheetName val="_x005f_x005f_x005f_x0003_dpl_oth_Lia`25"/>
      <sheetName val="TBAL9697__x005f_x005f_x005f_x000d_grotp_w25"/>
      <sheetName val="CORPN_O25"/>
      <sheetName val="CORPN_O_T23"/>
      <sheetName val="Area_&amp;_Cate__Master23"/>
      <sheetName val="Bill_No_523"/>
      <sheetName val="TBAL9697__grotp_wise_46"/>
      <sheetName val="Detail_1A23"/>
      <sheetName val="DG_25"/>
      <sheetName val="11B_23"/>
      <sheetName val="BOQ_(2)23"/>
      <sheetName val="DLC_lookups23"/>
      <sheetName val="Structure_Bills_Qty23"/>
      <sheetName val="Fee_Rate_Summary23"/>
      <sheetName val="Name_List23"/>
      <sheetName val="CORPN_O_x005f_x005f_x005f_x0000_T23"/>
      <sheetName val="TBAL9697__x005f_x000a_grotp_wise_23"/>
      <sheetName val="220_11__BS_23"/>
      <sheetName val="ISO_Reconcilation_Statment23"/>
      <sheetName val="AVG_pur_rate23"/>
      <sheetName val="Driveway_Beams23"/>
      <sheetName val="Cat_A_Change_Control23"/>
      <sheetName val="Break_up_Sheet23"/>
      <sheetName val="Summary_of_P_&amp;_M23"/>
      <sheetName val="Break_Dw23"/>
      <sheetName val="FITZ_MORT_9423"/>
      <sheetName val="Sheet_123"/>
      <sheetName val="3BPA00132-5-3_W_plan_HVPNL23"/>
      <sheetName val="Mix_Design23"/>
      <sheetName val="BLOCK-A_(MEA_SHEET)23"/>
      <sheetName val="Quote_Sheet23"/>
      <sheetName val="d-safe_DELUXE23"/>
      <sheetName val="Works_-_Quote_Sheet23"/>
      <sheetName val="IO_LIST23"/>
      <sheetName val="TBAL9697__x005f_x000d_grotp_wis23"/>
      <sheetName val="TBAL9697__grotp_wise_47"/>
      <sheetName val="NLD_-_Assum23"/>
      <sheetName val="Intro_23"/>
      <sheetName val="TBAL9697__x005f_x005f_x005f_x005f_x005f_x005f_x23"/>
      <sheetName val="Form_623"/>
      <sheetName val="acevsSp_(ABC)23"/>
      <sheetName val="A_O_R_23"/>
      <sheetName val="LIST_OF_MAKES23"/>
      <sheetName val="Cash_Flow_Input_Data_ISC23"/>
      <sheetName val="DETAILED__BOQ23"/>
      <sheetName val="Civil_Works23"/>
      <sheetName val="Legal_Risk_Analysis23"/>
      <sheetName val="CABLE_DATA23"/>
      <sheetName val="Mat_-Rates23"/>
      <sheetName val="Assumption_Inputs6"/>
      <sheetName val="Tender_Summary6"/>
      <sheetName val="TB9798OBPL06_(2)28"/>
      <sheetName val="CORPN_OCT28"/>
      <sheetName val="inout_consol-nov28"/>
      <sheetName val="inout_consol_(2)28"/>
      <sheetName val="AS_ON_DT_EXPS_Mar28"/>
      <sheetName val="fa-pl_&amp;_mach-site28"/>
      <sheetName val="fa_off_eqp28"/>
      <sheetName val="fa_fur&amp;_fix28"/>
      <sheetName val="fa-pl_&amp;_mach-Off28"/>
      <sheetName val="B_Equity-sdpl_INC28"/>
      <sheetName val="inout_consol_wkg28"/>
      <sheetName val="inout_consol_WKNG28"/>
      <sheetName val="B_Sheet_9728"/>
      <sheetName val="P&amp;L_97_28"/>
      <sheetName val="B_Sheet_97-BEXP28"/>
      <sheetName val="P&amp;L_97_-BEXP28"/>
      <sheetName val="consol_flows28"/>
      <sheetName val="sdpl_oth_Liab28"/>
      <sheetName val="obpl-oth_liab28"/>
      <sheetName val="G_land_advance28"/>
      <sheetName val="I-Wip-ot_(2)28"/>
      <sheetName val="detail_WIP_(2)28"/>
      <sheetName val="detail_G-128"/>
      <sheetName val="sobha_menon_ac28"/>
      <sheetName val="pnc_ac28"/>
      <sheetName val="fix_-p_&amp;_M_-SCC28"/>
      <sheetName val="C_fix_asst28"/>
      <sheetName val="D_fix_asst_scdl_28"/>
      <sheetName val="creditors_tb_obpl28"/>
      <sheetName val="TBAL9697_-group_wise__sdpl37"/>
      <sheetName val="TBAL9697_-group_wise_27"/>
      <sheetName val="crs_-G-127"/>
      <sheetName val="TBAL9697_-group_wise__onpl27"/>
      <sheetName val="B_Sheet_97-OBPL27"/>
      <sheetName val="B_Sheet_97_sdpl27"/>
      <sheetName val="TBAL9697_-group_wise__sdpl227"/>
      <sheetName val="inout_consol_jan27"/>
      <sheetName val="consol_flow27"/>
      <sheetName val="D_Loan__Prom27"/>
      <sheetName val="E_Bank_Loan27"/>
      <sheetName val="G_work_Cap27"/>
      <sheetName val="H_land_adv-dec27"/>
      <sheetName val="J_Con_WIP27"/>
      <sheetName val="detail_J27"/>
      <sheetName val="L_Oth_Co27"/>
      <sheetName val="K_fix_asst__27"/>
      <sheetName val="C_fix_asst-SDPL_27"/>
      <sheetName val="TBAL9697__group_wise__sdpl27"/>
      <sheetName val="inout_consol_okg27"/>
      <sheetName val="detail_OIP_(2)27"/>
      <sheetName val="D_fix_ysst_scdl_27"/>
      <sheetName val="cre`itors_tb_obpl27"/>
      <sheetName val="3AL9697_-group_wise__onpl27"/>
      <sheetName val="3‰AL9697_-group_wise__onpl27"/>
      <sheetName val="L_Oth_Bo27"/>
      <sheetName val="Civil_Boq27"/>
      <sheetName val="Boq_Block_A26"/>
      <sheetName val="Staff_Acco_27"/>
      <sheetName val="SITE_OVERHEADS27"/>
      <sheetName val="Project-Material_26"/>
      <sheetName val="PRECAST_lightconc-II27"/>
      <sheetName val="1__PayRec26"/>
      <sheetName val="ino4t_conso,-nov26"/>
      <sheetName val="(nout_co,sol_(2)26"/>
      <sheetName val="Blr_hire26"/>
      <sheetName val="Cashflow_projection26"/>
      <sheetName val="SPT_vs_PHI26"/>
      <sheetName val="key_dates26"/>
      <sheetName val="INPUT_SHEET26"/>
      <sheetName val="_bpl,oth_lia_26"/>
      <sheetName val="G_,and_adv_nce26"/>
      <sheetName val="I,Wip-ot__2)26"/>
      <sheetName val="det!il_WIP_(2)26"/>
      <sheetName val="de4ail_G-126"/>
      <sheetName val="sobha_mennn_ac26"/>
      <sheetName val="C_&amp;ix_asst26"/>
      <sheetName val="3�AL9697_-group_wise__onpl26"/>
      <sheetName val="_x005f_x0003_dpl_oth_Lia`26"/>
      <sheetName val="TBAL9697__x005f_x000d_grotp_wise_26"/>
      <sheetName val="St_co_91_5lvl26"/>
      <sheetName val="Sun_E_Type26"/>
      <sheetName val="Fin_Sum26"/>
      <sheetName val="CORPN_O?T26"/>
      <sheetName val="Labor_abs-NMR26"/>
      <sheetName val="Stress_Calculation26"/>
      <sheetName val="TBAL9697__x000a_grotp_wise_26"/>
      <sheetName val="labour_coeff24"/>
      <sheetName val="Shuttering_Analysis24"/>
      <sheetName val="General_P+M24"/>
      <sheetName val="Curing_Analysis_24"/>
      <sheetName val="Concrete_P+M_(_RMC_)24"/>
      <sheetName val="P+M_(_SMC_)24"/>
      <sheetName val="P+M_-EW24"/>
      <sheetName val="P&amp;L_-_AD24"/>
      <sheetName val="Fin__Assumpt__-_Sensitivities24"/>
      <sheetName val="LOAD_SHEET_24"/>
      <sheetName val="Fill_this_out_first___24"/>
      <sheetName val="Labour_productivity24"/>
      <sheetName val="RCC,Ret__Wall24"/>
      <sheetName val="CORPN_O_x005f_x0000_T26"/>
      <sheetName val="SUPPLY_-Sanitary_Fixtures26"/>
      <sheetName val="ITEMS_FOR_CIVIL_TENDER26"/>
      <sheetName val="_x005f_x005f_x005f_x0003_dpl_oth_Lia`26"/>
      <sheetName val="TBAL9697__x005f_x005f_x005f_x000d_grotp_w26"/>
      <sheetName val="CORPN_O26"/>
      <sheetName val="CORPN_O_T24"/>
      <sheetName val="Area_&amp;_Cate__Master24"/>
      <sheetName val="Bill_No_524"/>
      <sheetName val="TBAL9697__grotp_wise_48"/>
      <sheetName val="Detail_1A24"/>
      <sheetName val="DG_26"/>
      <sheetName val="11B_24"/>
      <sheetName val="BOQ_(2)24"/>
      <sheetName val="DLC_lookups24"/>
      <sheetName val="Structure_Bills_Qty24"/>
      <sheetName val="Fee_Rate_Summary24"/>
      <sheetName val="Name_List24"/>
      <sheetName val="CORPN_O_x005f_x005f_x005f_x0000_T24"/>
      <sheetName val="TBAL9697__x005f_x000a_grotp_wise_24"/>
      <sheetName val="220_11__BS_24"/>
      <sheetName val="ISO_Reconcilation_Statment24"/>
      <sheetName val="AVG_pur_rate24"/>
      <sheetName val="Driveway_Beams24"/>
      <sheetName val="Cat_A_Change_Control24"/>
      <sheetName val="Break_up_Sheet24"/>
      <sheetName val="Summary_of_P_&amp;_M24"/>
      <sheetName val="Break_Dw24"/>
      <sheetName val="FITZ_MORT_9424"/>
      <sheetName val="Sheet_124"/>
      <sheetName val="3BPA00132-5-3_W_plan_HVPNL24"/>
      <sheetName val="Mix_Design24"/>
      <sheetName val="BLOCK-A_(MEA_SHEET)24"/>
      <sheetName val="Quote_Sheet24"/>
      <sheetName val="d-safe_DELUXE24"/>
      <sheetName val="Works_-_Quote_Sheet24"/>
      <sheetName val="IO_LIST24"/>
      <sheetName val="TBAL9697__x005f_x000d_grotp_wis24"/>
      <sheetName val="TBAL9697__grotp_wise_49"/>
      <sheetName val="NLD_-_Assum24"/>
      <sheetName val="Intro_24"/>
      <sheetName val="TBAL9697__x005f_x005f_x005f_x005f_x005f_x005f_x24"/>
      <sheetName val="Form_624"/>
      <sheetName val="acevsSp_(ABC)24"/>
      <sheetName val="A_O_R_24"/>
      <sheetName val="LIST_OF_MAKES24"/>
      <sheetName val="Cash_Flow_Input_Data_ISC24"/>
      <sheetName val="DETAILED__BOQ24"/>
      <sheetName val="Civil_Works24"/>
      <sheetName val="Legal_Risk_Analysis24"/>
      <sheetName val="CABLE_DATA24"/>
      <sheetName val="Mat_-Rates24"/>
      <sheetName val="Assumption_Inputs7"/>
      <sheetName val="Tender_Summary7"/>
      <sheetName val="SPILL OVER"/>
      <sheetName val="Pacakges split"/>
      <sheetName val="Cost summary"/>
      <sheetName val="TBAL9697_ grotp_wise_2"/>
      <sheetName val="TBAL9697_ grotp_wise_4"/>
      <sheetName val="TBAL9697_ grotp_wise_3"/>
      <sheetName val="TBAL9697_ grotp_wise_5"/>
      <sheetName val="TBAL9697_ grotp_wise_6"/>
      <sheetName val="TBAL9697_ grotp_wise_7"/>
      <sheetName val="TBAL9697_ grotp_wise_8"/>
      <sheetName val="TBAL9697_ grotp_wise_9"/>
      <sheetName val="TBAL9697_ grotp_wise_10"/>
      <sheetName val="TBAL9697_ grotp_wise_16"/>
      <sheetName val="TBAL9697_ grotp_wise_12"/>
      <sheetName val="TBAL9697_ grotp_wise_11"/>
      <sheetName val="TBAL9697_ grotp_wise_13"/>
      <sheetName val="TBAL9697_ grotp_wise_14"/>
      <sheetName val="TBAL9697_ grotp_wise_15"/>
      <sheetName val="TBAL9697_ grotp_wise_22"/>
      <sheetName val="TBAL9697_ grotp_wise_17"/>
      <sheetName val="TBAL9697_ grotp_wise_18"/>
      <sheetName val="TBAL9697_ grotp_wise_19"/>
      <sheetName val="TBAL9697_ grotp_wise_20"/>
      <sheetName val="TBAL9697_ grotp_wise_21"/>
      <sheetName val="TBAL9697_ grotp_wise_23"/>
      <sheetName val="TBAL9697_ grotp_wise_24"/>
      <sheetName val="Data sheet"/>
      <sheetName val="Door"/>
      <sheetName val="Per Unit"/>
      <sheetName val="Window"/>
      <sheetName val="COLUMN"/>
      <sheetName val="lineby line consolidation"/>
      <sheetName val="Material "/>
      <sheetName val="Extra Item"/>
      <sheetName val="Labour &amp; Plant"/>
      <sheetName val="AutoOpen Stub Data"/>
      <sheetName val="Debits as on 12.04.08"/>
      <sheetName val="Reinforcement"/>
      <sheetName val="M40"/>
      <sheetName val="ELEC2071"/>
      <sheetName val="SUBSCRIPTION"/>
      <sheetName val="TBAL9697 -group wise sdpl"/>
      <sheetName val="G_1_obpl_x005f_x005f_x000"/>
      <sheetName val="_x005f_x005f_x005f_x0003_dpl_ot"/>
      <sheetName val="TBAL9697 _x005f_x005f_x00"/>
      <sheetName val="TBL9798_x005f_x005f_x0010"/>
      <sheetName val="CORPN O_x005f_x005f_x0000"/>
      <sheetName val="TBAL9697 _x005f_x000a_grotp wis"/>
      <sheetName val="G_1_obpl_x005f_x005f_x005"/>
      <sheetName val="_x005f_x005f_x005f_x005f_"/>
      <sheetName val="TBAL9697__x005f_x005f_x00"/>
      <sheetName val="fa-pl &amp; myy_x000b__x000b__x00"/>
      <sheetName val="Global"/>
      <sheetName val="TBAL9697__x000d_grotp_wise_"/>
      <sheetName val="TBAL9697__x000d_grotp_wise_1"/>
      <sheetName val="Lintel Beam 104.70 (GF)  "/>
      <sheetName val=" "/>
      <sheetName val="Labor abs-PW"/>
      <sheetName val="Groupings-final"/>
      <sheetName val="Sched"/>
      <sheetName val="Trial"/>
      <sheetName val="FA_Final"/>
      <sheetName val="zone-2"/>
      <sheetName val="RA_markate"/>
      <sheetName val="Columns"/>
      <sheetName val="sumary"/>
      <sheetName val="Rate Analysis"/>
      <sheetName val="Xenon(R2)"/>
      <sheetName val="Cash2"/>
      <sheetName val="2gii"/>
      <sheetName val="calcul"/>
      <sheetName val="INDEX"/>
      <sheetName val="AREAS"/>
      <sheetName val="TBAL9697_ grotp_wise_25"/>
      <sheetName val="TBAL9697_ grotp_wise_26"/>
      <sheetName val="Infrastructure"/>
      <sheetName val="STAFFSCHED_"/>
      <sheetName val="TB9798OBPL06_(2)29"/>
      <sheetName val="CORPN_OCT29"/>
      <sheetName val="inout_consol-nov29"/>
      <sheetName val="inout_consol_(2)29"/>
      <sheetName val="AS_ON_DT_EXPS_Mar29"/>
      <sheetName val="fa-pl_&amp;_mach-site29"/>
      <sheetName val="fa_off_eqp29"/>
      <sheetName val="fa_fur&amp;_fix29"/>
      <sheetName val="fa-pl_&amp;_mach-Off29"/>
      <sheetName val="B_Equity-sdpl_INC29"/>
      <sheetName val="inout_consol_wkg29"/>
      <sheetName val="inout_consol_WKNG29"/>
      <sheetName val="B_Sheet_9729"/>
      <sheetName val="P&amp;L_97_29"/>
      <sheetName val="B_Sheet_97-BEXP29"/>
      <sheetName val="P&amp;L_97_-BEXP29"/>
      <sheetName val="consol_flows29"/>
      <sheetName val="sdpl_oth_Liab29"/>
      <sheetName val="obpl-oth_liab29"/>
      <sheetName val="G_land_advance29"/>
      <sheetName val="I-Wip-ot_(2)29"/>
      <sheetName val="detail_WIP_(2)29"/>
      <sheetName val="detail_G-129"/>
      <sheetName val="sobha_menon_ac29"/>
      <sheetName val="pnc_ac29"/>
      <sheetName val="fix_-p_&amp;_M_-SCC29"/>
      <sheetName val="C_fix_asst29"/>
      <sheetName val="D_fix_asst_scdl_29"/>
      <sheetName val="creditors_tb_obpl29"/>
      <sheetName val="TBAL9697_-group_wise__sdpl38"/>
      <sheetName val="TBAL9697_-group_wise_28"/>
      <sheetName val="crs_-G-128"/>
      <sheetName val="TBAL9697_-group_wise__onpl28"/>
      <sheetName val="B_Sheet_97-OBPL28"/>
      <sheetName val="B_Sheet_97_sdpl28"/>
      <sheetName val="TBAL9697_-group_wise__sdpl228"/>
      <sheetName val="inout_consol_jan28"/>
      <sheetName val="consol_flow28"/>
      <sheetName val="D_Loan__Prom28"/>
      <sheetName val="E_Bank_Loan28"/>
      <sheetName val="G_work_Cap28"/>
      <sheetName val="H_land_adv-dec28"/>
      <sheetName val="J_Con_WIP28"/>
      <sheetName val="detail_J28"/>
      <sheetName val="L_Oth_Co28"/>
      <sheetName val="K_fix_asst__28"/>
      <sheetName val="C_fix_asst-SDPL_28"/>
      <sheetName val="TBAL9697__group_wise__sdpl28"/>
      <sheetName val="inout_consol_okg28"/>
      <sheetName val="detail_OIP_(2)28"/>
      <sheetName val="D_fix_ysst_scdl_28"/>
      <sheetName val="cre`itors_tb_obpl28"/>
      <sheetName val="3AL9697_-group_wise__onpl28"/>
      <sheetName val="3‰AL9697_-group_wise__onpl28"/>
      <sheetName val="L_Oth_Bo28"/>
      <sheetName val="Civil_Boq28"/>
      <sheetName val="Staff_Acco_28"/>
      <sheetName val="SITE_OVERHEADS28"/>
      <sheetName val="_bpl,oth_lia_27"/>
      <sheetName val="G_,and_adv_nce27"/>
      <sheetName val="I,Wip-ot__2)27"/>
      <sheetName val="det!il_WIP_(2)27"/>
      <sheetName val="de4ail_G-127"/>
      <sheetName val="sobha_mennn_ac27"/>
      <sheetName val="C_&amp;ix_asst27"/>
      <sheetName val="Boq_Block_A27"/>
      <sheetName val="PRECAST_lightconc-II28"/>
      <sheetName val="SPT_vs_PHI27"/>
      <sheetName val="INPUT_SHEET27"/>
      <sheetName val="1__PayRec27"/>
      <sheetName val="Cashflow_projection27"/>
      <sheetName val="3�AL9697_-group_wise__onpl27"/>
      <sheetName val="Project-Material_27"/>
      <sheetName val="key_dates27"/>
      <sheetName val="ino4t_conso,-nov27"/>
      <sheetName val="(nout_co,sol_(2)27"/>
      <sheetName val="Blr_hire27"/>
      <sheetName val="_x005f_x0003_dpl_oth_Lia`27"/>
      <sheetName val="TBAL9697__x005f_x000d_grotp_wise_27"/>
      <sheetName val="St_co_91_5lvl27"/>
      <sheetName val="Stress_Calculation27"/>
      <sheetName val="labour_coeff25"/>
      <sheetName val="Fill_this_out_first___25"/>
      <sheetName val="Labour_productivity25"/>
      <sheetName val="RCC,Ret__Wall25"/>
      <sheetName val="Sun_E_Type27"/>
      <sheetName val="Fin_Sum27"/>
      <sheetName val="Labor_abs-NMR27"/>
      <sheetName val="CORPN_O?T27"/>
      <sheetName val="Fin__Assumpt__-_Sensitivities25"/>
      <sheetName val="LOAD_SHEET_25"/>
      <sheetName val="TBAL9697__x000a_grotp_wise_27"/>
      <sheetName val="Shuttering_Analysis25"/>
      <sheetName val="General_P+M25"/>
      <sheetName val="Curing_Analysis_25"/>
      <sheetName val="Concrete_P+M_(_RMC_)25"/>
      <sheetName val="P+M_(_SMC_)25"/>
      <sheetName val="P+M_-EW25"/>
      <sheetName val="P&amp;L_-_AD25"/>
      <sheetName val="CORPN_O_x005f_x0000_T27"/>
      <sheetName val="SUPPLY_-Sanitary_Fixtures27"/>
      <sheetName val="ITEMS_FOR_CIVIL_TENDER27"/>
      <sheetName val="_x005f_x005f_x005f_x0003_dpl_oth_Lia`27"/>
      <sheetName val="TBAL9697__x005f_x005f_x005f_x000d_grotp_w27"/>
      <sheetName val="CORPN_O27"/>
      <sheetName val="CORPN_O_T25"/>
      <sheetName val="Area_&amp;_Cate__Master25"/>
      <sheetName val="TBAL9697__grotp_wise_50"/>
      <sheetName val="Bill_No_525"/>
      <sheetName val="DLC_lookups25"/>
      <sheetName val="BOQ_(2)25"/>
      <sheetName val="11B_25"/>
      <sheetName val="Detail_1A25"/>
      <sheetName val="DG_27"/>
      <sheetName val="Structure_Bills_Qty25"/>
      <sheetName val="CORPN_O_x005f_x005f_x005f_x0000_T25"/>
      <sheetName val="Fee_Rate_Summary25"/>
      <sheetName val="Name_List25"/>
      <sheetName val="220_11__BS_25"/>
      <sheetName val="Driveway_Beams25"/>
      <sheetName val="TBAL9697__x005f_x000a_grotp_wise_25"/>
      <sheetName val="Break_Dw25"/>
      <sheetName val="Quote_Sheet25"/>
      <sheetName val="d-safe_DELUXE25"/>
      <sheetName val="Works_-_Quote_Sheet25"/>
      <sheetName val="IO_LIST25"/>
      <sheetName val="TBAL9697__x005f_x000d_grotp_wis25"/>
      <sheetName val="TBAL9697__grotp_wise_51"/>
      <sheetName val="Cat_A_Change_Control25"/>
      <sheetName val="Break_up_Sheet25"/>
      <sheetName val="Summary_of_P_&amp;_M25"/>
      <sheetName val="Safety"/>
      <sheetName val="CIVIL BOQ (Final)"/>
      <sheetName val="Nov-Dec-08"/>
      <sheetName val="FitOutConfCentre"/>
      <sheetName val="office"/>
      <sheetName val="Lab"/>
      <sheetName val="L+M"/>
      <sheetName val="Area Statement"/>
      <sheetName val="Risk Analysis"/>
      <sheetName val="Quotation"/>
      <sheetName val="BFS"/>
      <sheetName val="detail'02"/>
      <sheetName val="_x0003_dpl_oth_Lia`"/>
      <sheetName val="CORPN_O_x0000_T"/>
      <sheetName val="_x0003_dpl_oth_Lia`1"/>
      <sheetName val="CORPN_O_x0000_T1"/>
      <sheetName val="TBAL9697__x005f_x000d_grotp_wi1"/>
      <sheetName val="_x005f_x0003_dpl_ot"/>
      <sheetName val="TBAL9697 _x000a_grotp wis"/>
      <sheetName val="_x005f_x005f_"/>
      <sheetName val="TBAL9697__x000d_grotp_wis"/>
      <sheetName val="_x0003_dpl_oth_Lia`2"/>
      <sheetName val="TBAL9697__x000d_grotp_wise_2"/>
      <sheetName val="CORPN_O_x0000_T2"/>
      <sheetName val="TBAL9697__x005f_x000d_grotp_wi2"/>
      <sheetName val="_x0003_dpl_oth_Lia`4"/>
      <sheetName val="TBAL9697__x000d_grotp_wise_4"/>
      <sheetName val="CORPN_O_x0000_T4"/>
      <sheetName val="TBAL9697__x005f_x000d_grotp_wi4"/>
      <sheetName val="TBAL9697__x000d_grotp_wis2"/>
      <sheetName val="_x0003_dpl_oth_Lia`3"/>
      <sheetName val="TBAL9697__x000d_grotp_wise_3"/>
      <sheetName val="CORPN_O_x0000_T3"/>
      <sheetName val="TBAL9697__x005f_x000d_grotp_wi3"/>
      <sheetName val="TBAL9697__x000d_grotp_wis1"/>
      <sheetName val="_x0003_dpl_oth_Lia`5"/>
      <sheetName val="TBAL9697__x000d_grotp_wise_5"/>
      <sheetName val="CORPN_O_x0000_T5"/>
      <sheetName val="TBAL9697__x005f_x000d_grotp_wi5"/>
      <sheetName val="TBAL9697__x000d_grotp_wis3"/>
      <sheetName val="_x0003_dpl_oth_Lia`6"/>
      <sheetName val="TBAL9697__x000d_grotp_wise_6"/>
      <sheetName val="CORPN_O_x0000_T6"/>
      <sheetName val="TBAL9697__x005f_x000d_grotp_wi6"/>
      <sheetName val="TBAL9697__x000d_grotp_wis4"/>
      <sheetName val="_x0003_dpl_oth_Lia`7"/>
      <sheetName val="TBAL9697__x000d_grotp_wise_7"/>
      <sheetName val="CORPN_O_x0000_T7"/>
      <sheetName val="TBAL9697__x005f_x000d_grotp_wi7"/>
      <sheetName val="TBAL9697__x000d_grotp_wis5"/>
      <sheetName val="_x0003_dpl_oth_Lia`8"/>
      <sheetName val="TBAL9697__x000d_grotp_wise_8"/>
      <sheetName val="CORPN_O_x0000_T8"/>
      <sheetName val="TBAL9697__x005f_x000d_grotp_wi8"/>
      <sheetName val="TBAL9697__x000d_grotp_wis6"/>
      <sheetName val="_x0003_dpl_oth_Lia`9"/>
      <sheetName val="TBAL9697__x000d_grotp_wise_9"/>
      <sheetName val="CORPN_O_x0000_T9"/>
      <sheetName val="TBAL9697__x005f_x000d_grotp_wi9"/>
      <sheetName val="TBAL9697__x000d_grotp_wis7"/>
      <sheetName val="_x0003_dpl_oth_Lia`10"/>
      <sheetName val="TBAL9697__x000d_grotp_wise_10"/>
      <sheetName val="CORPN_O_x0000_T10"/>
      <sheetName val="TBAL9697__x005f_x000d_grotp_w10"/>
      <sheetName val="TBAL9697__x000d_grotp_wis8"/>
      <sheetName val="_x0003_dpl_oth_Lia`16"/>
      <sheetName val="TBAL9697__x000d_grotp_wise_16"/>
      <sheetName val="CORPN_O_x0000_T16"/>
      <sheetName val="TBAL9697__x005f_x000d_grotp_w16"/>
      <sheetName val="TBAL9697__x000d_grotp_wis14"/>
      <sheetName val="_x0003_dpl_oth_Lia`12"/>
      <sheetName val="TBAL9697__x000d_grotp_wise_12"/>
      <sheetName val="CORPN_O_x0000_T12"/>
      <sheetName val="TBAL9697__x005f_x000d_grotp_w12"/>
      <sheetName val="TBAL9697__x000d_grotp_wis10"/>
      <sheetName val="_x0003_dpl_oth_Lia`11"/>
      <sheetName val="TBAL9697__x000d_grotp_wise_11"/>
      <sheetName val="CORPN_O_x0000_T11"/>
      <sheetName val="TBAL9697__x005f_x000d_grotp_w11"/>
      <sheetName val="TBAL9697__x000d_grotp_wis9"/>
      <sheetName val="_x0003_dpl_oth_Lia`13"/>
      <sheetName val="TBAL9697__x000d_grotp_wise_13"/>
      <sheetName val="CORPN_O_x0000_T13"/>
      <sheetName val="TBAL9697__x005f_x000d_grotp_w13"/>
      <sheetName val="TBAL9697__x000d_grotp_wis11"/>
      <sheetName val="_x0003_dpl_oth_Lia`14"/>
      <sheetName val="TBAL9697__x000d_grotp_wise_14"/>
      <sheetName val="CORPN_O_x0000_T14"/>
      <sheetName val="TBAL9697__x005f_x000d_grotp_w14"/>
      <sheetName val="TBAL9697__x000d_grotp_wis12"/>
      <sheetName val="_x0003_dpl_oth_Lia`15"/>
      <sheetName val="TBAL9697__x000d_grotp_wise_15"/>
      <sheetName val="CORPN_O_x0000_T15"/>
      <sheetName val="TBAL9697__x005f_x000d_grotp_w15"/>
      <sheetName val="TBAL9697__x000d_grotp_wis13"/>
      <sheetName val="_x0003_dpl_oth_Lia`22"/>
      <sheetName val="TBAL9697__x000d_grotp_wise_22"/>
      <sheetName val="CORPN_O_x0000_T22"/>
      <sheetName val="TBAL9697__x005f_x000d_grotp_w22"/>
      <sheetName val="TBAL9697__x000d_grotp_wis20"/>
      <sheetName val="_x0003_dpl_oth_Lia`17"/>
      <sheetName val="TBAL9697__x000d_grotp_wise_17"/>
      <sheetName val="CORPN_O_x0000_T17"/>
      <sheetName val="TBAL9697__x005f_x000d_grotp_w17"/>
      <sheetName val="TBAL9697__x000d_grotp_wis15"/>
      <sheetName val="_x0003_dpl_oth_Lia`18"/>
      <sheetName val="TBAL9697__x000d_grotp_wise_18"/>
      <sheetName val="CORPN_O_x0000_T18"/>
      <sheetName val="TBAL9697__x005f_x000d_grotp_w18"/>
      <sheetName val="TBAL9697__x000d_grotp_wis16"/>
      <sheetName val="_x0003_dpl_oth_Lia`19"/>
      <sheetName val="TBAL9697__x000d_grotp_wise_19"/>
      <sheetName val="CORPN_O_x0000_T19"/>
      <sheetName val="TBAL9697__x005f_x000d_grotp_w19"/>
      <sheetName val="TBAL9697__x000d_grotp_wis17"/>
      <sheetName val="_x0003_dpl_oth_Lia`20"/>
      <sheetName val="TBAL9697__x000d_grotp_wise_20"/>
      <sheetName val="CORPN_O_x0000_T20"/>
      <sheetName val="TBAL9697__x005f_x000d_grotp_w20"/>
      <sheetName val="TBAL9697__x000d_grotp_wis18"/>
      <sheetName val="_x0003_dpl_oth_Lia`21"/>
      <sheetName val="TBAL9697__x000d_grotp_wise_21"/>
      <sheetName val="CORPN_O_x0000_T21"/>
      <sheetName val="TBAL9697__x005f_x000d_grotp_w21"/>
      <sheetName val="TBAL9697__x000d_grotp_wis19"/>
      <sheetName val="_x0003_dpl_oth_Lia`23"/>
      <sheetName val="TBAL9697__x000d_grotp_wise_23"/>
      <sheetName val="CORPN_O_x0000_T23"/>
      <sheetName val="TBAL9697__x005f_x000d_grotp_w23"/>
      <sheetName val="TBAL9697__x000d_grotp_wis21"/>
      <sheetName val="_x0003_dpl_oth_Lia`24"/>
      <sheetName val="TBAL9697__x000d_grotp_wise_24"/>
      <sheetName val="CORPN_O_x0000_T24"/>
      <sheetName val="TBAL9697__x005f_x000d_grotp_w24"/>
      <sheetName val="TBAL9697__x000d_grotp_wis22"/>
      <sheetName val="_x0003_dpl_oth_Lia`25"/>
      <sheetName val="TBAL9697__x000d_grotp_wise_25"/>
      <sheetName val="CORPN_O_x0000_T25"/>
      <sheetName val="TBAL9697__x005f_x000d_grotp_w25"/>
      <sheetName val="TBAL9697__x000d_grotp_wis23"/>
      <sheetName val="_x0003_dpl_oth_Lia`26"/>
      <sheetName val="TBAL9697__x000d_grotp_wise_26"/>
      <sheetName val="CORPN_O_x0000_T26"/>
      <sheetName val="TBAL9697__x005f_x000d_grotp_w26"/>
      <sheetName val="TBAL9697__x000d_grotp_wis24"/>
      <sheetName val="G_1_obpl_x000"/>
      <sheetName val="TBAL9697 _x00"/>
      <sheetName val="TBL9798_x0010"/>
      <sheetName val="CORPN O_x0000"/>
      <sheetName val="G_1_obpl_x005"/>
      <sheetName val="TBAL9697__x00"/>
      <sheetName val="TBAL9697__x005f_x005f_x02"/>
      <sheetName val="TBAL9697__x005f_x005f_x01"/>
      <sheetName val="TBAL9697__x005f_x005f_x03"/>
      <sheetName val="TBAL9697__x005f_x005f_x04"/>
      <sheetName val="TBAL9697__x005f_x005f_x05"/>
      <sheetName val="TBAL9697__x005f_x005f_x06"/>
      <sheetName val="TBAL9697__x005f_x005f_x07"/>
      <sheetName val="TBAL9697__x005f_x005f_x08"/>
      <sheetName val="TBAL9697__x005f_x005f_x14"/>
      <sheetName val="TBAL9697__x005f_x005f_x10"/>
      <sheetName val="TBAL9697__x005f_x005f_x09"/>
      <sheetName val="TBAL9697__x005f_x005f_x11"/>
      <sheetName val="TBAL9697__x005f_x005f_x12"/>
      <sheetName val="TBAL9697__x005f_x005f_x13"/>
      <sheetName val="TBAL9697__x005f_x005f_x20"/>
      <sheetName val="TBAL9697__x005f_x005f_x15"/>
      <sheetName val="TBAL9697__x005f_x005f_x16"/>
      <sheetName val="TBAL9697__x005f_x005f_x17"/>
      <sheetName val="TBAL9697__x005f_x005f_x18"/>
      <sheetName val="TBAL9697__x005f_x005f_x19"/>
      <sheetName val="TBAL9697__x005f_x005f_x21"/>
      <sheetName val="TBAL9697__x005f_x005f_x22"/>
      <sheetName val="TBAL9697__x005f_x005f_x23"/>
      <sheetName val="TBAL9697__x005f_x005f_x24"/>
      <sheetName val="RES-PLANNING"/>
      <sheetName val="Approved MTD Proj #'s"/>
      <sheetName val="9. Package split - Cost "/>
      <sheetName val="Project Budget Worksheet"/>
      <sheetName val="TBAL9697__x005f_x000a_grotp_wis"/>
      <sheetName val="CORPN_O_x005f_x005f_x0000"/>
      <sheetName val="TBL9798_x005f_x005f_x005f"/>
      <sheetName val="CORPN O_x005f_x005f_x005f"/>
      <sheetName val="CORPN_O_T26"/>
      <sheetName val="KP1590_E"/>
      <sheetName val="Categories"/>
      <sheetName val="indices "/>
      <sheetName val="month"/>
      <sheetName val="partner"/>
      <sheetName val="year"/>
      <sheetName val="F1a-Pile"/>
      <sheetName val="CC June"/>
      <sheetName val="estimate"/>
      <sheetName val="NetBQ"/>
      <sheetName val="Sheet7"/>
      <sheetName val="Building 1"/>
      <sheetName val="Lead (Final)"/>
      <sheetName val="Pile cap"/>
      <sheetName val="M.S."/>
      <sheetName val="STRUCTURAL"/>
      <sheetName val="ARCHITECTURAL"/>
      <sheetName val="SITE DEVELOPMENT"/>
      <sheetName val="BOQ Distribution"/>
      <sheetName val="CFForecast detail"/>
      <sheetName val="col-reinft1"/>
      <sheetName val="beam-reinft-IIInd floor"/>
      <sheetName val="電気設備表"/>
      <sheetName val="Boiler&amp;TG"/>
      <sheetName val="ICO_budzet_97"/>
      <sheetName val="App_6"/>
      <sheetName val="BS - L+OE"/>
      <sheetName val="labor"/>
      <sheetName val="equipment"/>
      <sheetName val="upa"/>
      <sheetName val="TS"/>
      <sheetName val="Risk Assmnt"/>
      <sheetName val="DS"/>
      <sheetName val="MBOQ"/>
      <sheetName val="Escalation"/>
      <sheetName val="Loading"/>
      <sheetName val="Summary-Jaipur"/>
      <sheetName val="BoQ-Jaipur"/>
      <sheetName val="Enquiry"/>
      <sheetName val="VAT-cal"/>
      <sheetName val="Capex"/>
      <sheetName val="Comparison"/>
      <sheetName val="TC"/>
      <sheetName val="BP"/>
      <sheetName val="5_Calculation"/>
      <sheetName val="Subhead_IV"/>
      <sheetName val="Register"/>
      <sheetName val="TBAL9697  grotp wis"/>
      <sheetName val="WBS"/>
      <sheetName val="PLAN_FEB97"/>
      <sheetName val="BHANDUP"/>
      <sheetName val="FINOLEX"/>
      <sheetName val="activit-graph  "/>
      <sheetName val="appendix 2.5 final accounts"/>
      <sheetName val="Table-2 (Rate Comparison)"/>
      <sheetName val="CABLERET"/>
      <sheetName val="Bill 3 - Site Works"/>
      <sheetName val="CORPN O_x005f"/>
      <sheetName val="ACS(1)"/>
      <sheetName val="FAS-C(4)"/>
      <sheetName val="CCTV(old)"/>
      <sheetName val="Material Rate"/>
      <sheetName val="Sheet_125"/>
      <sheetName val="3BPA00132-5-3_W_plan_HVPNL25"/>
      <sheetName val="Mix_Design25"/>
      <sheetName val="LIST_OF_MAKES25"/>
      <sheetName val="Civil_Works25"/>
      <sheetName val="Form_625"/>
      <sheetName val="acevsSp_(ABC)25"/>
      <sheetName val="A_O_R_25"/>
      <sheetName val="ISO_Reconcilation_Statment25"/>
      <sheetName val="AVG_pur_rate25"/>
      <sheetName val="FITZ_MORT_9425"/>
      <sheetName val="BLOCK-A_(MEA_SHEET)25"/>
      <sheetName val="Intro_25"/>
      <sheetName val="Cash_Flow_Input_Data_ISC25"/>
      <sheetName val="NLD_-_Assum25"/>
      <sheetName val="Mat_-Rates25"/>
      <sheetName val="Assumption_Inputs8"/>
      <sheetName val="Legal_Risk_Analysis25"/>
      <sheetName val="TBAL9697__x005f_x005f_x005f_x005f_x005f_x005f_x25"/>
      <sheetName val="Tender_Summary8"/>
      <sheetName val="BOQ_"/>
      <sheetName val="PO_Payroll"/>
      <sheetName val="DETAILED__BOQ25"/>
      <sheetName val="CABLE_DATA25"/>
      <sheetName val="Main_Gate_House"/>
      <sheetName val="Detail_In_Door_Stad"/>
      <sheetName val="TBAL9697__x000a_grotp_wis"/>
      <sheetName val="TBAL9697__grotp_wise_52"/>
      <sheetName val="TBAL9697__grotp_wise_110"/>
      <sheetName val="COP_Final"/>
      <sheetName val="Cost_summary"/>
      <sheetName val="TBAL9697__grotp_wise_210"/>
      <sheetName val="TBAL9697__grotp_wise_410"/>
      <sheetName val="TBAL9697__grotp_wise_310"/>
      <sheetName val="TBAL9697__grotp_wise_53"/>
      <sheetName val="TBAL9697__grotp_wise_61"/>
      <sheetName val="TBAL9697__grotp_wise_71"/>
      <sheetName val="TBAL9697__grotp_wise_81"/>
      <sheetName val="TBAL9697__grotp_wise_91"/>
      <sheetName val="TBAL9697__grotp_wise_101"/>
      <sheetName val="TBAL9697__grotp_wise_161"/>
      <sheetName val="TBAL9697__grotp_wise_121"/>
      <sheetName val="TBAL9697__grotp_wise_111"/>
      <sheetName val="TBAL9697__grotp_wise_131"/>
      <sheetName val="TBAL9697__grotp_wise_141"/>
      <sheetName val="TBAL9697__grotp_wise_151"/>
      <sheetName val="TBAL9697__grotp_wise_221"/>
      <sheetName val="TBAL9697__grotp_wise_171"/>
      <sheetName val="TBAL9697__grotp_wise_181"/>
      <sheetName val="TBAL9697__grotp_wise_191"/>
      <sheetName val="TBAL9697__grotp_wise_201"/>
      <sheetName val="TBAL9697__grotp_wise_211"/>
      <sheetName val="TBAL9697__grotp_wise_231"/>
      <sheetName val="TBAL9697__grotp_wise_241"/>
      <sheetName val="SPILL_OVER"/>
      <sheetName val="Pacakges_split"/>
      <sheetName val="Data_sheet"/>
      <sheetName val="Per_Unit"/>
      <sheetName val="General_input"/>
      <sheetName val="6_05"/>
      <sheetName val="Abstract_Sheet"/>
      <sheetName val="Gen_Info"/>
      <sheetName val="Boq-_Civil"/>
      <sheetName val="TBAL9697__grotp_wise_251"/>
      <sheetName val="TBAL9697__grotp_wise_261"/>
      <sheetName val="Debits_as_on_12_04_08"/>
      <sheetName val="Material_"/>
      <sheetName val="Extra_Item"/>
      <sheetName val="Labour_&amp;_Plant"/>
      <sheetName val="AutoOpen_Stub_Data"/>
      <sheetName val="Base_Assumptions"/>
      <sheetName val="_COP_100%"/>
      <sheetName val="Lintel_Beam_104_70_(GF)__"/>
      <sheetName val="TBAL9697__x005f_x005f_x001"/>
      <sheetName val="Labor_abs-PW"/>
      <sheetName val="fa-pl_&amp;_myy_x00"/>
      <sheetName val="lineby_line_consolidation"/>
      <sheetName val="Contract_Night_Staff"/>
      <sheetName val="Contract_Day_Staff"/>
      <sheetName val="Day_Shift"/>
      <sheetName val="Night_Shift"/>
      <sheetName val="TBAL9697_-group_wise_sdpl"/>
      <sheetName val="_"/>
      <sheetName val="Cost Basis"/>
      <sheetName val="Rate Analysis "/>
      <sheetName val="Material List "/>
      <sheetName val="Area_Statement"/>
      <sheetName val="Risk_Analysis"/>
      <sheetName val="Basic Rate"/>
      <sheetName val="INFLUENCES ON GM"/>
      <sheetName val="Load Details(B2)"/>
      <sheetName val="Customize Your Purchase Order"/>
      <sheetName val="fa-pl &amp; myy_x005f_x000b__x005f_x000b__x00"/>
      <sheetName val="SCHEDULE"/>
      <sheetName val="Database"/>
      <sheetName val="schedule nos"/>
      <sheetName val="Cover"/>
      <sheetName val="01"/>
      <sheetName val="C-1"/>
      <sheetName val="C-10"/>
      <sheetName val="C-11"/>
      <sheetName val="C-12"/>
      <sheetName val="C-2"/>
      <sheetName val="C-3"/>
      <sheetName val="C-4"/>
      <sheetName val="C-5"/>
      <sheetName val="C-5A"/>
      <sheetName val="C-6"/>
      <sheetName val="C-6A"/>
      <sheetName val="C-7"/>
      <sheetName val="C-8"/>
      <sheetName val="C-9"/>
      <sheetName val="refer"/>
      <sheetName val="Service Function"/>
      <sheetName val="TBAL9697_ grotp_wise_27"/>
      <sheetName val="TBAL9697_ grotp_wis"/>
      <sheetName val="소상 &quot;1&quot;"/>
      <sheetName val="CORPN_O_x005f"/>
      <sheetName val="BLK2"/>
      <sheetName val="BLK3"/>
      <sheetName val="CPT POST UPLOAD"/>
      <sheetName val="KQ Cost Controlling"/>
      <sheetName val="KQ Appropriation"/>
      <sheetName val="class &amp; category"/>
      <sheetName val="code Control Sheet"/>
      <sheetName val="Check"/>
      <sheetName val="Site_Dev_BOQ1"/>
      <sheetName val="INDIGINEOUS_ITEMS_1"/>
      <sheetName val="Elect_1"/>
      <sheetName val="SPILL_OVER1"/>
      <sheetName val="Site_Dev_BOQ2"/>
      <sheetName val="INDIGINEOUS_ITEMS_2"/>
      <sheetName val="Elect_2"/>
      <sheetName val="SPILL_OVER2"/>
      <sheetName val="2.civil-RA"/>
      <sheetName val="Brand"/>
      <sheetName val="PackSize"/>
      <sheetName val="PackagingType"/>
      <sheetName val="ProductHierarchy"/>
      <sheetName val="PurchGroup"/>
      <sheetName val="Sub-brand"/>
      <sheetName val="UOM"/>
      <sheetName val="Variant"/>
      <sheetName val="Location"/>
      <sheetName val="Plant"/>
      <sheetName val="TBAL9697__grotp_䁷ise_18"/>
      <sheetName val="Sheet3 (2)"/>
      <sheetName val="Bill 1"/>
      <sheetName val="Bill 2"/>
      <sheetName val="Bill 3"/>
      <sheetName val="Bill 4"/>
      <sheetName val="Bill 5"/>
      <sheetName val="Bill 6"/>
      <sheetName val="Bill 7"/>
      <sheetName val="Section_Catalogue8"/>
      <sheetName val="Section_Catalogue7"/>
      <sheetName val="Section_Catalogue4"/>
      <sheetName val="Section_Catalogue5"/>
      <sheetName val="Section_Catalogue6"/>
      <sheetName val="Section_Catalogue9"/>
      <sheetName val="Section_Catalogue11"/>
      <sheetName val="Section_Catalogue10"/>
      <sheetName val="Section_Catalogue15"/>
      <sheetName val="Section_Catalogue14"/>
      <sheetName val="Section_Catalogue13"/>
      <sheetName val="Section_Catalogue12"/>
      <sheetName val="Section_Catalogue16"/>
      <sheetName val="Section_Catalogue17"/>
      <sheetName val="Section_Catalogue18"/>
      <sheetName val="INDIGINEOUS_ITEMS_3"/>
      <sheetName val="Section_Catalogue19"/>
      <sheetName val="INDIGINEOUS_ITEMS_4"/>
      <sheetName val="tie_beam4"/>
      <sheetName val="Section_Catalogue20"/>
      <sheetName val="INDIGINEOUS_ITEMS_5"/>
      <sheetName val="tie_beam5"/>
      <sheetName val="Section_Catalogue21"/>
      <sheetName val="INDIGINEOUS_ITEMS_6"/>
      <sheetName val="tie_beam6"/>
      <sheetName val="TB9798OBPL06_(2)30"/>
      <sheetName val="CORPN_OCT30"/>
      <sheetName val="inout_consol-nov30"/>
      <sheetName val="inout_consol_(2)30"/>
      <sheetName val="AS_ON_DT_EXPS_Mar30"/>
      <sheetName val="fa-pl_&amp;_mach-site30"/>
      <sheetName val="fa_off_eqp30"/>
      <sheetName val="fa_fur&amp;_fix30"/>
      <sheetName val="fa-pl_&amp;_mach-Off30"/>
      <sheetName val="B_Equity-sdpl_INC30"/>
      <sheetName val="inout_consol_wkg30"/>
      <sheetName val="inout_consol_WKNG30"/>
      <sheetName val="B_Sheet_9730"/>
      <sheetName val="P&amp;L_97_30"/>
      <sheetName val="B_Sheet_97-BEXP30"/>
      <sheetName val="P&amp;L_97_-BEXP30"/>
      <sheetName val="consol_flows30"/>
      <sheetName val="sdpl_oth_Liab30"/>
      <sheetName val="obpl-oth_liab30"/>
      <sheetName val="G_land_advance30"/>
      <sheetName val="I-Wip-ot_(2)30"/>
      <sheetName val="detail_WIP_(2)30"/>
      <sheetName val="detail_G-130"/>
      <sheetName val="sobha_menon_ac30"/>
      <sheetName val="pnc_ac30"/>
      <sheetName val="fix_-p_&amp;_M_-SCC30"/>
      <sheetName val="C_fix_asst30"/>
      <sheetName val="D_fix_asst_scdl_30"/>
      <sheetName val="TBAL9697_-group_wise__sdpl39"/>
      <sheetName val="TBAL9697_-group_wise_29"/>
      <sheetName val="crs_-G-129"/>
      <sheetName val="TBAL9697_-group_wise__onpl29"/>
      <sheetName val="B_Sheet_97-OBPL29"/>
      <sheetName val="B_Sheet_97_sdpl29"/>
      <sheetName val="TBAL9697_-group_wise__sdpl229"/>
      <sheetName val="inout_consol_jan29"/>
      <sheetName val="consol_flow29"/>
      <sheetName val="D_Loan__Prom29"/>
      <sheetName val="E_Bank_Loan29"/>
      <sheetName val="G_work_Cap29"/>
      <sheetName val="H_land_adv-dec29"/>
      <sheetName val="J_Con_WIP29"/>
      <sheetName val="detail_J29"/>
      <sheetName val="L_Oth_Co29"/>
      <sheetName val="K_fix_asst__29"/>
      <sheetName val="C_fix_asst-SDPL_29"/>
      <sheetName val="TBAL9697__group_wise__sdpl29"/>
      <sheetName val="inout_consol_okg29"/>
      <sheetName val="detail_OIP_(2)29"/>
      <sheetName val="D_fix_ysst_scdl_29"/>
      <sheetName val="cre`itors_tb_obpl29"/>
      <sheetName val="3AL9697_-group_wise__onpl29"/>
      <sheetName val="3‰AL9697_-group_wise__onpl29"/>
      <sheetName val="L_Oth_Bo29"/>
      <sheetName val="Civil_Boq29"/>
      <sheetName val="Boq_Block_A28"/>
      <sheetName val="Staff_Acco_29"/>
      <sheetName val="SITE_OVERHEADS29"/>
      <sheetName val="Project-Material_28"/>
      <sheetName val="3�AL9697_-group_wise__onpl28"/>
      <sheetName val="Section_Catalogue22"/>
      <sheetName val="INDIGINEOUS_ITEMS_7"/>
      <sheetName val="tie_beam7"/>
      <sheetName val="TB9798OBPL06_(2)33"/>
      <sheetName val="CORPN_OCT33"/>
      <sheetName val="inout_consol-nov33"/>
      <sheetName val="inout_consol_(2)33"/>
      <sheetName val="AS_ON_DT_EXPS_Mar33"/>
      <sheetName val="fa-pl_&amp;_mach-site33"/>
      <sheetName val="fa_off_eqp33"/>
      <sheetName val="fa_fur&amp;_fix33"/>
      <sheetName val="fa-pl_&amp;_mach-Off33"/>
      <sheetName val="B_Equity-sdpl_INC33"/>
      <sheetName val="inout_consol_wkg33"/>
      <sheetName val="inout_consol_WKNG33"/>
      <sheetName val="B_Sheet_9733"/>
      <sheetName val="P&amp;L_97_33"/>
      <sheetName val="B_Sheet_97-BEXP33"/>
      <sheetName val="P&amp;L_97_-BEXP33"/>
      <sheetName val="consol_flows33"/>
      <sheetName val="sdpl_oth_Liab33"/>
      <sheetName val="obpl-oth_liab33"/>
      <sheetName val="G_land_advance33"/>
      <sheetName val="I-Wip-ot_(2)33"/>
      <sheetName val="detail_WIP_(2)33"/>
      <sheetName val="detail_G-133"/>
      <sheetName val="sobha_menon_ac33"/>
      <sheetName val="pnc_ac33"/>
      <sheetName val="fix_-p_&amp;_M_-SCC33"/>
      <sheetName val="C_fix_asst33"/>
      <sheetName val="D_fix_asst_scdl_33"/>
      <sheetName val="creditors_tb_obpl32"/>
      <sheetName val="TBAL9697_-group_wise__sdpl42"/>
      <sheetName val="TBAL9697_-group_wise_32"/>
      <sheetName val="crs_-G-132"/>
      <sheetName val="TBAL9697_-group_wise__onpl32"/>
      <sheetName val="B_Sheet_97-OBPL32"/>
      <sheetName val="B_Sheet_97_sdpl32"/>
      <sheetName val="TBAL9697_-group_wise__sdpl232"/>
      <sheetName val="inout_consol_jan32"/>
      <sheetName val="consol_flow32"/>
      <sheetName val="D_Loan__Prom32"/>
      <sheetName val="E_Bank_Loan32"/>
      <sheetName val="G_work_Cap32"/>
      <sheetName val="H_land_adv-dec32"/>
      <sheetName val="J_Con_WIP32"/>
      <sheetName val="detail_J32"/>
      <sheetName val="L_Oth_Co32"/>
      <sheetName val="K_fix_asst__32"/>
      <sheetName val="C_fix_asst-SDPL_32"/>
      <sheetName val="TBAL9697__group_wise__sdpl32"/>
      <sheetName val="inout_consol_okg32"/>
      <sheetName val="detail_OIP_(2)32"/>
      <sheetName val="D_fix_ysst_scdl_32"/>
      <sheetName val="cre`itors_tb_obpl32"/>
      <sheetName val="3AL9697_-group_wise__onpl32"/>
      <sheetName val="3‰AL9697_-group_wise__onpl32"/>
      <sheetName val="L_Oth_Bo32"/>
      <sheetName val="Civil_Boq32"/>
      <sheetName val="Boq_Block_A31"/>
      <sheetName val="Staff_Acco_32"/>
      <sheetName val="SITE_OVERHEADS32"/>
      <sheetName val="Project-Material_31"/>
      <sheetName val="PRECAST_lightconc-II31"/>
      <sheetName val="1__PayRec30"/>
      <sheetName val="Cashflow_projection30"/>
      <sheetName val="SPT_vs_PHI30"/>
      <sheetName val="key_dates30"/>
      <sheetName val="ino4t_conso,-nov30"/>
      <sheetName val="(nout_co,sol_(2)30"/>
      <sheetName val="Blr_hire30"/>
      <sheetName val="_bpl,oth_lia_30"/>
      <sheetName val="G_,and_adv_nce30"/>
      <sheetName val="I,Wip-ot__2)30"/>
      <sheetName val="det!il_WIP_(2)30"/>
      <sheetName val="de4ail_G-130"/>
      <sheetName val="sobha_mennn_ac30"/>
      <sheetName val="C_&amp;ix_asst30"/>
      <sheetName val="_x005f_x0003_dpl_oth_Lia`30"/>
      <sheetName val="TBAL9697__x005f_x000d_grotp_wise_30"/>
      <sheetName val="St_co_91_5lvl30"/>
      <sheetName val="INPUT_SHEET30"/>
      <sheetName val="3�AL9697_-group_wise__onpl31"/>
      <sheetName val="Stress_Calculation30"/>
      <sheetName val="Labor_abs-NMR29"/>
      <sheetName val="Sun_E_Type29"/>
      <sheetName val="TBAL9697__x000a_grotp_wise_29"/>
      <sheetName val="Fin_Sum29"/>
      <sheetName val="CORPN_O?T29"/>
      <sheetName val="labour_coeff27"/>
      <sheetName val="Shuttering_Analysis27"/>
      <sheetName val="General_P+M27"/>
      <sheetName val="Curing_Analysis_27"/>
      <sheetName val="Concrete_P+M_(_RMC_)27"/>
      <sheetName val="P+M_(_SMC_)27"/>
      <sheetName val="P+M_-EW27"/>
      <sheetName val="CORPN_O29"/>
      <sheetName val="LIST_OF_MAKES27"/>
      <sheetName val="Fill_this_out_first___27"/>
      <sheetName val="CORPN_O_x005f_x0000_T29"/>
      <sheetName val="SUPPLY_-Sanitary_Fixtures29"/>
      <sheetName val="ITEMS_FOR_CIVIL_TENDER29"/>
      <sheetName val="P&amp;L_-_AD27"/>
      <sheetName val="_x005f_x005f_x005f_x0003_dpl_oth_Lia`29"/>
      <sheetName val="TBAL9697__x005f_x005f_x005f_x000d_grotp_w29"/>
      <sheetName val="DG_29"/>
      <sheetName val="Assumption_Inputs10"/>
      <sheetName val="Section_Catalogue25"/>
      <sheetName val="INDIGINEOUS_ITEMS_10"/>
      <sheetName val="tie_beam10"/>
      <sheetName val="TB9798OBPL06_(2)32"/>
      <sheetName val="CORPN_OCT32"/>
      <sheetName val="inout_consol-nov32"/>
      <sheetName val="inout_consol_(2)32"/>
      <sheetName val="AS_ON_DT_EXPS_Mar32"/>
      <sheetName val="fa-pl_&amp;_mach-site32"/>
      <sheetName val="fa_off_eqp32"/>
      <sheetName val="fa_fur&amp;_fix32"/>
      <sheetName val="fa-pl_&amp;_mach-Off32"/>
      <sheetName val="B_Equity-sdpl_INC32"/>
      <sheetName val="inout_consol_wkg32"/>
      <sheetName val="inout_consol_WKNG32"/>
      <sheetName val="B_Sheet_9732"/>
      <sheetName val="P&amp;L_97_32"/>
      <sheetName val="B_Sheet_97-BEXP32"/>
      <sheetName val="P&amp;L_97_-BEXP32"/>
      <sheetName val="consol_flows32"/>
      <sheetName val="sdpl_oth_Liab32"/>
      <sheetName val="obpl-oth_liab32"/>
      <sheetName val="G_land_advance32"/>
      <sheetName val="I-Wip-ot_(2)32"/>
      <sheetName val="detail_WIP_(2)32"/>
      <sheetName val="detail_G-132"/>
      <sheetName val="sobha_menon_ac32"/>
      <sheetName val="pnc_ac32"/>
      <sheetName val="fix_-p_&amp;_M_-SCC32"/>
      <sheetName val="C_fix_asst32"/>
      <sheetName val="D_fix_asst_scdl_32"/>
      <sheetName val="creditors_tb_obpl31"/>
      <sheetName val="TBAL9697_-group_wise__sdpl41"/>
      <sheetName val="TBAL9697_-group_wise_31"/>
      <sheetName val="crs_-G-131"/>
      <sheetName val="TBAL9697_-group_wise__onpl31"/>
      <sheetName val="B_Sheet_97-OBPL31"/>
      <sheetName val="B_Sheet_97_sdpl31"/>
      <sheetName val="TBAL9697_-group_wise__sdpl231"/>
      <sheetName val="inout_consol_jan31"/>
      <sheetName val="consol_flow31"/>
      <sheetName val="D_Loan__Prom31"/>
      <sheetName val="E_Bank_Loan31"/>
      <sheetName val="G_work_Cap31"/>
      <sheetName val="H_land_adv-dec31"/>
      <sheetName val="J_Con_WIP31"/>
      <sheetName val="detail_J31"/>
      <sheetName val="L_Oth_Co31"/>
      <sheetName val="K_fix_asst__31"/>
      <sheetName val="C_fix_asst-SDPL_31"/>
      <sheetName val="TBAL9697__group_wise__sdpl31"/>
      <sheetName val="inout_consol_okg31"/>
      <sheetName val="detail_OIP_(2)31"/>
      <sheetName val="D_fix_ysst_scdl_31"/>
      <sheetName val="cre`itors_tb_obpl31"/>
      <sheetName val="3AL9697_-group_wise__onpl31"/>
      <sheetName val="3‰AL9697_-group_wise__onpl31"/>
      <sheetName val="L_Oth_Bo31"/>
      <sheetName val="Civil_Boq31"/>
      <sheetName val="Boq_Block_A30"/>
      <sheetName val="Staff_Acco_31"/>
      <sheetName val="SITE_OVERHEADS31"/>
      <sheetName val="Project-Material_30"/>
      <sheetName val="PRECAST_lightconc-II30"/>
      <sheetName val="1__PayRec29"/>
      <sheetName val="Cashflow_projection29"/>
      <sheetName val="SPT_vs_PHI29"/>
      <sheetName val="key_dates29"/>
      <sheetName val="ino4t_conso,-nov29"/>
      <sheetName val="(nout_co,sol_(2)29"/>
      <sheetName val="Blr_hire29"/>
      <sheetName val="_bpl,oth_lia_29"/>
      <sheetName val="G_,and_adv_nce29"/>
      <sheetName val="I,Wip-ot__2)29"/>
      <sheetName val="det!il_WIP_(2)29"/>
      <sheetName val="de4ail_G-129"/>
      <sheetName val="sobha_mennn_ac29"/>
      <sheetName val="C_&amp;ix_asst29"/>
      <sheetName val="_x005f_x0003_dpl_oth_Lia`29"/>
      <sheetName val="TBAL9697__x005f_x000d_grotp_wise_29"/>
      <sheetName val="St_co_91_5lvl29"/>
      <sheetName val="INPUT_SHEET29"/>
      <sheetName val="3�AL9697_-group_wise__onpl30"/>
      <sheetName val="Stress_Calculation29"/>
      <sheetName val="Labor_abs-NMR28"/>
      <sheetName val="Sun_E_Type28"/>
      <sheetName val="TBAL9697__x000a_grotp_wise_28"/>
      <sheetName val="Fin_Sum28"/>
      <sheetName val="CORPN_O?T28"/>
      <sheetName val="labour_coeff26"/>
      <sheetName val="Shuttering_Analysis26"/>
      <sheetName val="General_P+M26"/>
      <sheetName val="Curing_Analysis_26"/>
      <sheetName val="Concrete_P+M_(_RMC_)26"/>
      <sheetName val="P+M_(_SMC_)26"/>
      <sheetName val="P+M_-EW26"/>
      <sheetName val="CORPN_O28"/>
      <sheetName val="LIST_OF_MAKES26"/>
      <sheetName val="Fill_this_out_first___26"/>
      <sheetName val="CORPN_O_x005f_x0000_T28"/>
      <sheetName val="SUPPLY_-Sanitary_Fixtures28"/>
      <sheetName val="ITEMS_FOR_CIVIL_TENDER28"/>
      <sheetName val="P&amp;L_-_AD26"/>
      <sheetName val="_x005f_x005f_x005f_x0003_dpl_oth_Lia`28"/>
      <sheetName val="TBAL9697__x005f_x005f_x005f_x000d_grotp_w28"/>
      <sheetName val="DG_28"/>
      <sheetName val="Assumption_Inputs9"/>
      <sheetName val="Section_Catalogue24"/>
      <sheetName val="INDIGINEOUS_ITEMS_9"/>
      <sheetName val="tie_beam9"/>
      <sheetName val="TB9798OBPL06_(2)31"/>
      <sheetName val="CORPN_OCT31"/>
      <sheetName val="inout_consol-nov31"/>
      <sheetName val="inout_consol_(2)31"/>
      <sheetName val="AS_ON_DT_EXPS_Mar31"/>
      <sheetName val="fa-pl_&amp;_mach-site31"/>
      <sheetName val="fa_off_eqp31"/>
      <sheetName val="fa_fur&amp;_fix31"/>
      <sheetName val="fa-pl_&amp;_mach-Off31"/>
      <sheetName val="B_Equity-sdpl_INC31"/>
      <sheetName val="inout_consol_wkg31"/>
      <sheetName val="inout_consol_WKNG31"/>
      <sheetName val="B_Sheet_9731"/>
      <sheetName val="P&amp;L_97_31"/>
      <sheetName val="B_Sheet_97-BEXP31"/>
      <sheetName val="P&amp;L_97_-BEXP31"/>
      <sheetName val="consol_flows31"/>
      <sheetName val="sdpl_oth_Liab31"/>
      <sheetName val="obpl-oth_liab31"/>
      <sheetName val="G_land_advance31"/>
      <sheetName val="I-Wip-ot_(2)31"/>
      <sheetName val="detail_WIP_(2)31"/>
      <sheetName val="detail_G-131"/>
      <sheetName val="sobha_menon_ac31"/>
      <sheetName val="pnc_ac31"/>
      <sheetName val="fix_-p_&amp;_M_-SCC31"/>
      <sheetName val="C_fix_asst31"/>
      <sheetName val="D_fix_asst_scdl_31"/>
      <sheetName val="creditors_tb_obpl30"/>
      <sheetName val="TBAL9697_-group_wise__sdpl40"/>
      <sheetName val="TBAL9697_-group_wise_30"/>
      <sheetName val="crs_-G-130"/>
      <sheetName val="TBAL9697_-group_wise__onpl30"/>
      <sheetName val="B_Sheet_97-OBPL30"/>
      <sheetName val="B_Sheet_97_sdpl30"/>
      <sheetName val="TBAL9697_-group_wise__sdpl230"/>
      <sheetName val="inout_consol_jan30"/>
      <sheetName val="consol_flow30"/>
      <sheetName val="D_Loan__Prom30"/>
      <sheetName val="E_Bank_Loan30"/>
      <sheetName val="G_work_Cap30"/>
      <sheetName val="H_land_adv-dec30"/>
      <sheetName val="J_Con_WIP30"/>
      <sheetName val="detail_J30"/>
      <sheetName val="L_Oth_Co30"/>
      <sheetName val="K_fix_asst__30"/>
      <sheetName val="C_fix_asst-SDPL_30"/>
      <sheetName val="TBAL9697__group_wise__sdpl30"/>
      <sheetName val="inout_consol_okg30"/>
      <sheetName val="detail_OIP_(2)30"/>
      <sheetName val="D_fix_ysst_scdl_30"/>
      <sheetName val="cre`itors_tb_obpl30"/>
      <sheetName val="3AL9697_-group_wise__onpl30"/>
      <sheetName val="3‰AL9697_-group_wise__onpl30"/>
      <sheetName val="L_Oth_Bo30"/>
      <sheetName val="Civil_Boq30"/>
      <sheetName val="Boq_Block_A29"/>
      <sheetName val="Staff_Acco_30"/>
      <sheetName val="SITE_OVERHEADS30"/>
      <sheetName val="Project-Material_29"/>
      <sheetName val="PRECAST_lightconc-II29"/>
      <sheetName val="1__PayRec28"/>
      <sheetName val="Cashflow_projection28"/>
      <sheetName val="SPT_vs_PHI28"/>
      <sheetName val="key_dates28"/>
      <sheetName val="ino4t_conso,-nov28"/>
      <sheetName val="(nout_co,sol_(2)28"/>
      <sheetName val="Blr_hire28"/>
      <sheetName val="_bpl,oth_lia_28"/>
      <sheetName val="G_,and_adv_nce28"/>
      <sheetName val="I,Wip-ot__2)28"/>
      <sheetName val="det!il_WIP_(2)28"/>
      <sheetName val="de4ail_G-128"/>
      <sheetName val="sobha_mennn_ac28"/>
      <sheetName val="C_&amp;ix_asst28"/>
      <sheetName val="_x005f_x0003_dpl_oth_Lia`28"/>
      <sheetName val="TBAL9697__x005f_x000d_grotp_wise_28"/>
      <sheetName val="St_co_91_5lvl28"/>
      <sheetName val="INPUT_SHEET28"/>
      <sheetName val="3�AL9697_-group_wise__onpl29"/>
      <sheetName val="Stress_Calculation28"/>
      <sheetName val="Section_Catalogue23"/>
      <sheetName val="INDIGINEOUS_ITEMS_8"/>
      <sheetName val="tie_beam8"/>
      <sheetName val="TB9798OBPL06_(2)34"/>
      <sheetName val="CORPN_OCT34"/>
      <sheetName val="inout_consol-nov34"/>
      <sheetName val="inout_consol_(2)34"/>
      <sheetName val="AS_ON_DT_EXPS_Mar34"/>
      <sheetName val="fa-pl_&amp;_mach-site34"/>
      <sheetName val="fa_off_eqp34"/>
      <sheetName val="fa_fur&amp;_fix34"/>
      <sheetName val="fa-pl_&amp;_mach-Off34"/>
      <sheetName val="B_Equity-sdpl_INC34"/>
      <sheetName val="inout_consol_wkg34"/>
      <sheetName val="inout_consol_WKNG34"/>
      <sheetName val="B_Sheet_9734"/>
      <sheetName val="P&amp;L_97_34"/>
      <sheetName val="B_Sheet_97-BEXP34"/>
      <sheetName val="P&amp;L_97_-BEXP34"/>
      <sheetName val="consol_flows34"/>
      <sheetName val="sdpl_oth_Liab34"/>
      <sheetName val="obpl-oth_liab34"/>
      <sheetName val="G_land_advance34"/>
      <sheetName val="I-Wip-ot_(2)34"/>
      <sheetName val="detail_WIP_(2)34"/>
      <sheetName val="detail_G-134"/>
      <sheetName val="sobha_menon_ac34"/>
      <sheetName val="pnc_ac34"/>
      <sheetName val="fix_-p_&amp;_M_-SCC34"/>
      <sheetName val="C_fix_asst34"/>
      <sheetName val="D_fix_asst_scdl_34"/>
      <sheetName val="creditors_tb_obpl33"/>
      <sheetName val="TBAL9697_-group_wise__sdpl43"/>
      <sheetName val="TBAL9697_-group_wise_33"/>
      <sheetName val="crs_-G-133"/>
      <sheetName val="TBAL9697_-group_wise__onpl33"/>
      <sheetName val="B_Sheet_97-OBPL33"/>
      <sheetName val="B_Sheet_97_sdpl33"/>
      <sheetName val="TBAL9697_-group_wise__sdpl233"/>
      <sheetName val="inout_consol_jan33"/>
      <sheetName val="consol_flow33"/>
      <sheetName val="D_Loan__Prom33"/>
      <sheetName val="E_Bank_Loan33"/>
      <sheetName val="G_work_Cap33"/>
      <sheetName val="H_land_adv-dec33"/>
      <sheetName val="J_Con_WIP33"/>
      <sheetName val="detail_J33"/>
      <sheetName val="L_Oth_Co33"/>
      <sheetName val="K_fix_asst__33"/>
      <sheetName val="C_fix_asst-SDPL_33"/>
      <sheetName val="TBAL9697__group_wise__sdpl33"/>
      <sheetName val="inout_consol_okg33"/>
      <sheetName val="detail_OIP_(2)33"/>
      <sheetName val="D_fix_ysst_scdl_33"/>
      <sheetName val="cre`itors_tb_obpl33"/>
      <sheetName val="3AL9697_-group_wise__onpl33"/>
      <sheetName val="3‰AL9697_-group_wise__onpl33"/>
      <sheetName val="L_Oth_Bo33"/>
      <sheetName val="Civil_Boq33"/>
      <sheetName val="Boq_Block_A32"/>
      <sheetName val="Staff_Acco_33"/>
      <sheetName val="SITE_OVERHEADS33"/>
      <sheetName val="Project-Material_32"/>
      <sheetName val="PRECAST_lightconc-II32"/>
      <sheetName val="1__PayRec31"/>
      <sheetName val="Cashflow_projection31"/>
      <sheetName val="SPT_vs_PHI31"/>
      <sheetName val="key_dates31"/>
      <sheetName val="ino4t_conso,-nov31"/>
      <sheetName val="(nout_co,sol_(2)31"/>
      <sheetName val="Blr_hire31"/>
      <sheetName val="_bpl,oth_lia_31"/>
      <sheetName val="G_,and_adv_nce31"/>
      <sheetName val="I,Wip-ot__2)31"/>
      <sheetName val="det!il_WIP_(2)31"/>
      <sheetName val="de4ail_G-131"/>
      <sheetName val="sobha_mennn_ac31"/>
      <sheetName val="C_&amp;ix_asst31"/>
      <sheetName val="_x005f_x0003_dpl_oth_Lia`31"/>
      <sheetName val="TBAL9697__x005f_x000d_grotp_wise_31"/>
      <sheetName val="St_co_91_5lvl31"/>
      <sheetName val="INPUT_SHEET31"/>
      <sheetName val="3�AL9697_-group_wise__onpl32"/>
      <sheetName val="Stress_Calculation31"/>
      <sheetName val="Labor_abs-NMR30"/>
      <sheetName val="Sun_E_Type30"/>
      <sheetName val="TBAL9697__x000a_grotp_wise_30"/>
      <sheetName val="Fin_Sum30"/>
      <sheetName val="CORPN_O?T30"/>
      <sheetName val="labour_coeff28"/>
      <sheetName val="Shuttering_Analysis28"/>
      <sheetName val="General_P+M28"/>
      <sheetName val="Curing_Analysis_28"/>
      <sheetName val="Concrete_P+M_(_RMC_)28"/>
      <sheetName val="P+M_(_SMC_)28"/>
      <sheetName val="P+M_-EW28"/>
      <sheetName val="CORPN_O30"/>
      <sheetName val="LIST_OF_MAKES28"/>
      <sheetName val="Fill_this_out_first___28"/>
      <sheetName val="CORPN_O_x005f_x0000_T30"/>
      <sheetName val="SUPPLY_-Sanitary_Fixtures30"/>
      <sheetName val="ITEMS_FOR_CIVIL_TENDER30"/>
      <sheetName val="P&amp;L_-_AD28"/>
      <sheetName val="_x005f_x005f_x005f_x0003_dpl_oth_Lia`30"/>
      <sheetName val="TBAL9697__x005f_x005f_x005f_x000d_grotp_w30"/>
      <sheetName val="DG_30"/>
      <sheetName val="Fin__Assumpt__-_Sensitivities26"/>
      <sheetName val="LOAD_SHEET_26"/>
      <sheetName val="Labour_productivity26"/>
      <sheetName val="RCC,Ret__Wall26"/>
      <sheetName val="Area_&amp;_Cate__Master26"/>
      <sheetName val="Bill_No_526"/>
      <sheetName val="11B_26"/>
      <sheetName val="BOQ_(2)26"/>
      <sheetName val="DLC_lookups26"/>
      <sheetName val="Driveway_Beams26"/>
      <sheetName val="Fee_Rate_Summary26"/>
      <sheetName val="Name_List26"/>
      <sheetName val="Quote_Sheet26"/>
      <sheetName val="d-safe_DELUXE26"/>
      <sheetName val="Works_-_Quote_Sheet26"/>
      <sheetName val="Cat_A_Change_Control26"/>
      <sheetName val="Break_up_Sheet26"/>
      <sheetName val="Summary_of_P_&amp;_M26"/>
      <sheetName val="Break_Dw26"/>
      <sheetName val="Detail_1A26"/>
      <sheetName val="Structure_Bills_Qty26"/>
      <sheetName val="Form_626"/>
      <sheetName val="TBAL9697__x005f_x000a_grotp_wise_26"/>
      <sheetName val="ISO_Reconcilation_Statment26"/>
      <sheetName val="AVG_pur_rate26"/>
      <sheetName val="CORPN_O_x005f_x005f_x005f_x0000_T26"/>
      <sheetName val="220_11__BS_26"/>
      <sheetName val="IO_LIST26"/>
      <sheetName val="TBAL9697__x005f_x000d_grotp_wis26"/>
      <sheetName val="Sheet_126"/>
      <sheetName val="3BPA00132-5-3_W_plan_HVPNL26"/>
      <sheetName val="Mix_Design26"/>
      <sheetName val="FITZ_MORT_9426"/>
      <sheetName val="Assumption_Inputs11"/>
      <sheetName val="Section_Catalogue26"/>
      <sheetName val="INDIGINEOUS_ITEMS_11"/>
      <sheetName val="tie_beam11"/>
      <sheetName val="ANNEXURE-A"/>
      <sheetName val="COLUMN-CR"/>
      <sheetName val="Cost Index"/>
      <sheetName val="Day2works"/>
      <sheetName val="CORPN_O_T27"/>
      <sheetName val="CORPN_O_x005f_x005f_x005f"/>
      <sheetName val="fa-pl &amp; myy_x005f_x000b__"/>
      <sheetName val="ecc_res"/>
      <sheetName val="banilad"/>
      <sheetName val="Mactan"/>
      <sheetName val="Mandaue"/>
      <sheetName val="Cost_any"/>
      <sheetName val="Mat.Cost"/>
      <sheetName val="DCF_VDF"/>
      <sheetName val="NOPAT_VDF"/>
      <sheetName val="Invested capital_VDF"/>
      <sheetName val="WACC_VDF"/>
      <sheetName val="PV of Op Leases_VDF"/>
      <sheetName val="glsrpt129909e"/>
      <sheetName val="BTB"/>
      <sheetName val="cf"/>
      <sheetName val="orders"/>
      <sheetName val="_x0003_dpl_oth_Lia`27"/>
      <sheetName val="TBAL9697__x000d_grotp_wise_27"/>
      <sheetName val="CORPN_O_x0000_T27"/>
      <sheetName val="TBAL9697__x005f_x000d_grotp_w27"/>
      <sheetName val="TBAL9697__x000d_grotp_wis25"/>
      <sheetName val="GR.slab-reinft"/>
      <sheetName val="crs"/>
      <sheetName val="PIMS"/>
      <sheetName val="Indirect expenses"/>
      <sheetName val="Sheet 2"/>
      <sheetName val="GN-ST-10"/>
      <sheetName val="AoR Finishing"/>
      <sheetName val="shuttering"/>
      <sheetName val="Elektrikal"/>
      <sheetName val="Bill-5.2"/>
      <sheetName val="Bill-9.1"/>
      <sheetName val="Bill-6.1.1-6.1.3"/>
      <sheetName val="final_abstract1"/>
      <sheetName val="Meas_-Hotel_Part1"/>
      <sheetName val="Deduction_of_assets1"/>
      <sheetName val="BOQ_1"/>
      <sheetName val="Deduction_of_assets2"/>
      <sheetName val="final_abstract2"/>
      <sheetName val="Meas_-Hotel_Part2"/>
      <sheetName val="BOQ_2"/>
      <sheetName val="Site_Dev_BOQ3"/>
      <sheetName val="TBAL9697__x005f_x005f_x005f_x000a_grotp_wi1"/>
      <sheetName val="CORPN_O_x005f_x005f_x005f_x005f_x005f_x005f_x0001"/>
      <sheetName val="Deduction_of_assets3"/>
      <sheetName val="final_abstract3"/>
      <sheetName val="Cost_summary1"/>
      <sheetName val="Meas_-Hotel_Part3"/>
      <sheetName val="BOQ_3"/>
      <sheetName val="BASIC_RATES1"/>
      <sheetName val="Excess_Calc1"/>
      <sheetName val="PO_Payroll1"/>
      <sheetName val="Detail_In_Door_Stad1"/>
      <sheetName val="COP_Final1"/>
      <sheetName val="General_input1"/>
      <sheetName val="6_051"/>
      <sheetName val="Abstract_Sheet1"/>
      <sheetName val="Boq-_Civil1"/>
      <sheetName val="CORPN_O_x0000"/>
      <sheetName val="TBL9798_x005f"/>
      <sheetName val="costing_ESDV"/>
      <sheetName val="costing_FE"/>
      <sheetName val="costing_Misc"/>
      <sheetName val="costing_MOV"/>
      <sheetName val="costing_Press"/>
      <sheetName val="Detail P&amp;L"/>
      <sheetName val="Assumption Sheet"/>
      <sheetName val="ABSTRACT"/>
      <sheetName val="BLOCK-A_(MEA_SHEET)26"/>
      <sheetName val="TBAL9697__grotp_wise_54"/>
      <sheetName val="TBAL9697__grotp_wise_55"/>
      <sheetName val="TBAL9697__x005f_x005f_x005f_x005f_x005f_x005f_x26"/>
      <sheetName val="acevsSp_(ABC)26"/>
      <sheetName val="A_O_R_26"/>
      <sheetName val="Civil_Works26"/>
      <sheetName val="Mat_-Rates26"/>
      <sheetName val="Intro_26"/>
      <sheetName val="NLD_-_Assum26"/>
      <sheetName val="Cash_Flow_Input_Data_ISC26"/>
      <sheetName val="Legal_Risk_Analysis26"/>
      <sheetName val="DETAILED__BOQ26"/>
      <sheetName val="TBAL9697__grotp_wise_56"/>
      <sheetName val="TBAL9697__grotp_wise_112"/>
      <sheetName val="CABLE_DATA26"/>
      <sheetName val="Tender_Summary9"/>
      <sheetName val="Contract_Night_Staff1"/>
      <sheetName val="Contract_Day_Staff1"/>
      <sheetName val="Day_Shift1"/>
      <sheetName val="Night_Shift1"/>
      <sheetName val="Base_Assumptions1"/>
      <sheetName val="_COP_100%1"/>
      <sheetName val="Gen_Info1"/>
      <sheetName val="Pacakges_split1"/>
      <sheetName val="TBAL9697__grotp_wise_212"/>
      <sheetName val="TBAL9697__grotp_wise_411"/>
      <sheetName val="TBAL9697__grotp_wise_311"/>
      <sheetName val="TBAL9697__grotp_wise_57"/>
      <sheetName val="TBAL9697__grotp_wise_62"/>
      <sheetName val="TBAL9697__grotp_wise_72"/>
      <sheetName val="TBAL9697__grotp_wise_82"/>
      <sheetName val="TBAL9697__grotp_wise_92"/>
      <sheetName val="TBAL9697__grotp_wise_102"/>
      <sheetName val="TBAL9697__grotp_wise_162"/>
      <sheetName val="TBAL9697__grotp_wise_122"/>
      <sheetName val="TBAL9697__grotp_wise_113"/>
      <sheetName val="TBAL9697__grotp_wise_132"/>
      <sheetName val="TBAL9697__grotp_wise_142"/>
      <sheetName val="TBAL9697__grotp_wise_152"/>
      <sheetName val="TBAL9697__grotp_wise_222"/>
      <sheetName val="TBAL9697__grotp_wise_172"/>
      <sheetName val="TBAL9697__grotp_wise_182"/>
      <sheetName val="TBAL9697__grotp_wise_192"/>
      <sheetName val="TBAL9697__grotp_wise_202"/>
      <sheetName val="TBAL9697__grotp_wise_213"/>
      <sheetName val="TBAL9697__grotp_wise_232"/>
      <sheetName val="TBAL9697__grotp_wise_242"/>
      <sheetName val="Data_sheet1"/>
      <sheetName val="Per_Unit1"/>
      <sheetName val="Main_Gate_House1"/>
      <sheetName val="lineby_line_consolidation1"/>
      <sheetName val="Area_Statement1"/>
      <sheetName val="Risk_Analysis1"/>
      <sheetName val="Basic_Rate"/>
      <sheetName val="INFLUENCES_ON_GM"/>
      <sheetName val="Labor_abs-PW1"/>
      <sheetName val="AutoOpen_Stub_Data1"/>
      <sheetName val="Material_1"/>
      <sheetName val="Extra_Item1"/>
      <sheetName val="Labour_&amp;_Plant1"/>
      <sheetName val="Load_Details(B2)"/>
      <sheetName val="Debits_as_on_12_04_081"/>
      <sheetName val="Material_List_"/>
      <sheetName val="Indirect_expenses"/>
      <sheetName val="Sheet_2"/>
      <sheetName val="AoR_Finishing"/>
      <sheetName val="BOQ_(2)27"/>
      <sheetName val="DLC_lookups27"/>
      <sheetName val="Fin__Assumpt__-_Sensitivities27"/>
      <sheetName val="LOAD_SHEET_27"/>
      <sheetName val="Labour_productivity27"/>
      <sheetName val="RCC,Ret__Wall27"/>
      <sheetName val="Area_&amp;_Cate__Master27"/>
      <sheetName val="Quote_Sheet27"/>
      <sheetName val="d-safe_DELUXE27"/>
      <sheetName val="Break_Dw27"/>
      <sheetName val="BLOCK-A_(MEA_SHEET)27"/>
      <sheetName val="TBAL9697__grotp_wise_58"/>
      <sheetName val="Cat_A_Change_Control27"/>
      <sheetName val="Break_up_Sheet27"/>
      <sheetName val="Summary_of_P_&amp;_M27"/>
      <sheetName val="Works_-_Quote_Sheet27"/>
      <sheetName val="IO_LIST27"/>
      <sheetName val="TBAL9697__x005f_x000d_grotp_wis27"/>
      <sheetName val="TBAL9697__grotp_wise_59"/>
      <sheetName val="Bill_No_527"/>
      <sheetName val="11B_27"/>
      <sheetName val="Fee_Rate_Summary27"/>
      <sheetName val="Name_List27"/>
      <sheetName val="Structure_Bills_Qty27"/>
      <sheetName val="Detail_1A27"/>
      <sheetName val="Driveway_Beams27"/>
      <sheetName val="CORPN_O_x005f_x005f_x005f_x0000_T27"/>
      <sheetName val="TBAL9697__x005f_x005f_x005f_x005f_x005f_x005f_x27"/>
      <sheetName val="Sheet_127"/>
      <sheetName val="3BPA00132-5-3_W_plan_HVPNL27"/>
      <sheetName val="Mix_Design27"/>
      <sheetName val="Form_627"/>
      <sheetName val="acevsSp_(ABC)27"/>
      <sheetName val="A_O_R_27"/>
      <sheetName val="220_11__BS_27"/>
      <sheetName val="TBAL9697__x005f_x000a_grotp_wise_27"/>
      <sheetName val="FITZ_MORT_9427"/>
      <sheetName val="ISO_Reconcilation_Statment27"/>
      <sheetName val="AVG_pur_rate27"/>
      <sheetName val="Civil_Works27"/>
      <sheetName val="Mat_-Rates27"/>
      <sheetName val="Intro_27"/>
      <sheetName val="NLD_-_Assum27"/>
      <sheetName val="Cash_Flow_Input_Data_ISC27"/>
      <sheetName val="Legal_Risk_Analysis27"/>
      <sheetName val="DETAILED__BOQ27"/>
      <sheetName val="TBAL9697__grotp_wise_60"/>
      <sheetName val="TBAL9697__grotp_wise_114"/>
      <sheetName val="CABLE_DATA27"/>
      <sheetName val="BASIC_RATES2"/>
      <sheetName val="Tender_Summary10"/>
      <sheetName val="TBAL9697__x005f_x005f_x005f_x000a_grotp_wi2"/>
      <sheetName val="CORPN_O_x005f_x005f_x005f_x005f_x005f_x005f_x0002"/>
      <sheetName val="Excess_Calc2"/>
      <sheetName val="Contract_Night_Staff2"/>
      <sheetName val="Contract_Day_Staff2"/>
      <sheetName val="Day_Shift2"/>
      <sheetName val="Night_Shift2"/>
      <sheetName val="Base_Assumptions2"/>
      <sheetName val="Abstract_Sheet2"/>
      <sheetName val="_COP_100%2"/>
      <sheetName val="PO_Payroll2"/>
      <sheetName val="Detail_In_Door_Stad2"/>
      <sheetName val="Gen_Info2"/>
      <sheetName val="COP_Final2"/>
      <sheetName val="General_input2"/>
      <sheetName val="6_052"/>
      <sheetName val="Boq-_Civil2"/>
      <sheetName val="Pacakges_split2"/>
      <sheetName val="Cost_summary2"/>
      <sheetName val="TBAL9697__grotp_wise_214"/>
      <sheetName val="TBAL9697__grotp_wise_412"/>
      <sheetName val="TBAL9697__grotp_wise_312"/>
      <sheetName val="TBAL9697__grotp_wise_510"/>
      <sheetName val="TBAL9697__grotp_wise_63"/>
      <sheetName val="TBAL9697__grotp_wise_73"/>
      <sheetName val="TBAL9697__grotp_wise_83"/>
      <sheetName val="TBAL9697__grotp_wise_93"/>
      <sheetName val="TBAL9697__grotp_wise_103"/>
      <sheetName val="TBAL9697__grotp_wise_163"/>
      <sheetName val="TBAL9697__grotp_wise_123"/>
      <sheetName val="TBAL9697__grotp_wise_115"/>
      <sheetName val="TBAL9697__grotp_wise_133"/>
      <sheetName val="TBAL9697__grotp_wise_143"/>
      <sheetName val="TBAL9697__grotp_wise_153"/>
      <sheetName val="TBAL9697__grotp_wise_223"/>
      <sheetName val="TBAL9697__grotp_wise_173"/>
      <sheetName val="TBAL9697__grotp_wise_183"/>
      <sheetName val="TBAL9697__grotp_wise_193"/>
      <sheetName val="TBAL9697__grotp_wise_203"/>
      <sheetName val="TBAL9697__grotp_wise_215"/>
      <sheetName val="TBAL9697__grotp_wise_233"/>
      <sheetName val="TBAL9697__grotp_wise_243"/>
      <sheetName val="Data_sheet2"/>
      <sheetName val="Per_Unit2"/>
      <sheetName val="Main_Gate_House2"/>
      <sheetName val="lineby_line_consolidation2"/>
      <sheetName val="Area_Statement2"/>
      <sheetName val="Risk_Analysis2"/>
      <sheetName val="Basic_Rate1"/>
      <sheetName val="INFLUENCES_ON_GM1"/>
      <sheetName val="Labor_abs-PW2"/>
      <sheetName val="AutoOpen_Stub_Data2"/>
      <sheetName val="Material_2"/>
      <sheetName val="Extra_Item2"/>
      <sheetName val="Labour_&amp;_Plant2"/>
      <sheetName val="Load_Details(B2)1"/>
      <sheetName val="Debits_as_on_12_04_082"/>
      <sheetName val="Material_List_1"/>
      <sheetName val="Indirect_expenses1"/>
      <sheetName val="Sheet_21"/>
      <sheetName val="AoR_Finishing1"/>
      <sheetName val="Bill 1-BOQ-Civil Works"/>
      <sheetName val="Concourse"/>
      <sheetName val="SCHEDULE OF RATES"/>
      <sheetName val="Layer Table"/>
      <sheetName val="P &amp; M"/>
      <sheetName val="MS Items"/>
      <sheetName val="purpose&amp;input"/>
      <sheetName val="Gujrat"/>
      <sheetName val="RBFC-BS"/>
      <sheetName val="CABLE"/>
      <sheetName val="number"/>
      <sheetName val="Input &amp; Calculations"/>
      <sheetName val="Values"/>
      <sheetName val="AA"/>
      <sheetName val="TAX INCOME"/>
      <sheetName val="Depart Budget"/>
      <sheetName val="Corporate"/>
      <sheetName val="Masters"/>
      <sheetName val="Detail_P&amp;L"/>
      <sheetName val="TBAL9697__x005f_x005f_x25"/>
      <sheetName val="TBAL9697__x005f_x000d_grotp_w29"/>
      <sheetName val="TBAL9697__x005f_x000d_grotp_w28"/>
      <sheetName val="TBAL9697__x005f_x000d_grotp_w30"/>
      <sheetName val="NPV"/>
      <sheetName val="Assumptions-Input"/>
      <sheetName val="Costs"/>
      <sheetName val="Basic rate summary"/>
      <sheetName val="Basic rate calculations"/>
      <sheetName val="2_civil-RA"/>
      <sheetName val="Footings"/>
      <sheetName val="organi synthesis lab"/>
      <sheetName val="Rates 7-20"/>
      <sheetName val="TOS-F"/>
      <sheetName val="구성비"/>
      <sheetName val="Customize Your Invoice"/>
      <sheetName val="schedule1"/>
      <sheetName val="BEAM SCH"/>
      <sheetName val="SLAB  SCH "/>
      <sheetName val="Financials"/>
      <sheetName val="Beam at Ground flr lvl(Steel)"/>
      <sheetName val="Main Assump."/>
      <sheetName val="Boq (Main Building)"/>
      <sheetName val="DDETABLE "/>
      <sheetName val="Sch-3"/>
      <sheetName val="New Construction"/>
      <sheetName val="fco"/>
      <sheetName val="TBL9798_x005f_x005f_x005f_x005f_x005f_x005f_x005f"/>
      <sheetName val="CORPN O_x005f_x005f_x005f_x005f_x005f_x005f_x005f"/>
      <sheetName val="Overall Summary"/>
      <sheetName val="Summary_CFA total - CP1 &amp; CP2"/>
      <sheetName val="S1BOQ"/>
      <sheetName val="BoQ-1"/>
      <sheetName val="BoQ-2"/>
      <sheetName val="PA- Consutant "/>
      <sheetName val="TBAL9697_ grotp_wise_29"/>
      <sheetName val="TBAL9697_ grotp_wise_28"/>
      <sheetName val="TBAL9697_ grotp_wise_30"/>
      <sheetName val="S-MMS without TFA"/>
      <sheetName val="Loan Amortization Schedule"/>
      <sheetName val="TBAL9697__x000d_grotp_wi1"/>
      <sheetName val="_x0003_dpl_oth_Lia`30"/>
      <sheetName val="TBAL9697__x000d_grotp_wise_30"/>
      <sheetName val="CORPN_O_T29"/>
      <sheetName val="CORPN_O_x0000_T29"/>
      <sheetName val="_x0003_dpl_oth_Lia`29"/>
      <sheetName val="TBAL9697__x000d_grotp_wise_29"/>
      <sheetName val="CORPN_O_T28"/>
      <sheetName val="CORPN_O_x0000_T28"/>
      <sheetName val="_x0003_dpl_oth_Lia`28"/>
      <sheetName val="TBAL9697__x000d_grotp_wise_28"/>
      <sheetName val="_x0003_dpl_oth_Lia`31"/>
      <sheetName val="TBAL9697__x000d_grotp_wise_31"/>
      <sheetName val="CORPN_O_T30"/>
      <sheetName val="CORPN_O_x0000_T30"/>
      <sheetName val="TBAL9697__x000d_grotp_wis26"/>
      <sheetName val="TB9798OBPL06_(2)35"/>
      <sheetName val="CORPN_OCT35"/>
      <sheetName val="inout_consol-nov35"/>
      <sheetName val="inout_consol_(2)35"/>
      <sheetName val="AS_ON_DT_EXPS_Mar35"/>
      <sheetName val="fa-pl_&amp;_mach-site35"/>
      <sheetName val="fa_off_eqp35"/>
      <sheetName val="fa_fur&amp;_fix35"/>
      <sheetName val="fa-pl_&amp;_mach-Off35"/>
      <sheetName val="B_Equity-sdpl_INC35"/>
      <sheetName val="inout_consol_wkg35"/>
      <sheetName val="inout_consol_WKNG35"/>
      <sheetName val="B_Sheet_9735"/>
      <sheetName val="P&amp;L_97_35"/>
      <sheetName val="B_Sheet_97-BEXP35"/>
      <sheetName val="P&amp;L_97_-BEXP35"/>
      <sheetName val="consol_flows35"/>
      <sheetName val="sdpl_oth_Liab35"/>
      <sheetName val="obpl-oth_liab35"/>
      <sheetName val="G_land_advance35"/>
      <sheetName val="I-Wip-ot_(2)35"/>
      <sheetName val="detail_WIP_(2)35"/>
      <sheetName val="detail_G-135"/>
      <sheetName val="sobha_menon_ac35"/>
      <sheetName val="pnc_ac35"/>
      <sheetName val="fix_-p_&amp;_M_-SCC35"/>
      <sheetName val="C_fix_asst35"/>
      <sheetName val="D_fix_asst_scdl_35"/>
      <sheetName val="creditors_tb_obpl34"/>
      <sheetName val="TBAL9697_-group_wise__sdpl44"/>
      <sheetName val="TBAL9697_-group_wise_34"/>
      <sheetName val="crs_-G-134"/>
      <sheetName val="TBAL9697_-group_wise__onpl34"/>
      <sheetName val="B_Sheet_97-OBPL34"/>
      <sheetName val="B_Sheet_97_sdpl34"/>
      <sheetName val="TBAL9697_-group_wise__sdpl234"/>
      <sheetName val="inout_consol_jan34"/>
      <sheetName val="consol_flow34"/>
      <sheetName val="D_Loan__Prom34"/>
      <sheetName val="E_Bank_Loan34"/>
      <sheetName val="G_work_Cap34"/>
      <sheetName val="H_land_adv-dec34"/>
      <sheetName val="J_Con_WIP34"/>
      <sheetName val="detail_J34"/>
      <sheetName val="L_Oth_Co34"/>
      <sheetName val="K_fix_asst__34"/>
      <sheetName val="C_fix_asst-SDPL_34"/>
      <sheetName val="TBAL9697__group_wise__sdpl34"/>
      <sheetName val="inout_consol_okg34"/>
      <sheetName val="detail_OIP_(2)34"/>
      <sheetName val="D_fix_ysst_scdl_34"/>
      <sheetName val="cre`itors_tb_obpl34"/>
      <sheetName val="3AL9697_-group_wise__onpl34"/>
      <sheetName val="L_Oth_Bo34"/>
      <sheetName val="3‰AL9697_-group_wise__onpl34"/>
      <sheetName val="Civil_Boq34"/>
      <sheetName val="Staff_Acco_34"/>
      <sheetName val="SITE_OVERHEADS34"/>
      <sheetName val="PRECAST_lightconc-II33"/>
      <sheetName val="Cashflow_projection32"/>
      <sheetName val="Boq_Block_A33"/>
      <sheetName val="1__PayRec32"/>
      <sheetName val="Project-Material_33"/>
      <sheetName val="SPT_vs_PHI32"/>
      <sheetName val="CORPN_OT27"/>
      <sheetName val="ino4t_conso,-nov32"/>
      <sheetName val="(nout_co,sol_(2)32"/>
      <sheetName val="Blr_hire32"/>
      <sheetName val="key_dates32"/>
      <sheetName val="3�AL9697_-group_wise__onpl33"/>
      <sheetName val="INPUT_SHEET32"/>
      <sheetName val="Sun_E_Type31"/>
      <sheetName val="dpl_oth_Lia`27"/>
      <sheetName val="_bpl,oth_lia_32"/>
      <sheetName val="G_,and_adv_nce32"/>
      <sheetName val="I,Wip-ot__2)32"/>
      <sheetName val="det!il_WIP_(2)32"/>
      <sheetName val="de4ail_G-132"/>
      <sheetName val="sobha_mennn_ac32"/>
      <sheetName val="C_&amp;ix_asst32"/>
      <sheetName val="Fin_Sum31"/>
      <sheetName val="_x005f_x0003_dpl_oth_Lia`32"/>
      <sheetName val="TBAL9697__x005f_x000d_grotp_wise_32"/>
      <sheetName val="St_co_91_5lvl32"/>
      <sheetName val="Labor_abs-NMR31"/>
      <sheetName val="CORPN_O?T31"/>
      <sheetName val="Stress_Calculation32"/>
      <sheetName val="CORPN_O_x005f_x0000_T31"/>
      <sheetName val="TBAL9697__x000a_grotp_wise_31"/>
      <sheetName val="DG_31"/>
      <sheetName val="SUPPLY_-Sanitary_Fixtures31"/>
      <sheetName val="ITEMS_FOR_CIVIL_TENDER31"/>
      <sheetName val="labour_coeff29"/>
      <sheetName val="Shuttering_Analysis29"/>
      <sheetName val="General_P+M29"/>
      <sheetName val="Curing_Analysis_29"/>
      <sheetName val="Concrete_P+M_(_RMC_)29"/>
      <sheetName val="P+M_(_SMC_)29"/>
      <sheetName val="P+M_-EW29"/>
      <sheetName val="CORPN_O31"/>
      <sheetName val="_x005f_x005f_x005f_x0003_dpl_oth_Lia`31"/>
      <sheetName val="TBAL9697__x005f_x005f_x005f_x000d_grotp_w31"/>
      <sheetName val="P&amp;L_-_AD29"/>
      <sheetName val="Fill_this_out_first___29"/>
      <sheetName val="Section_Catalogue27"/>
      <sheetName val="LIST_OF_MAKES29"/>
      <sheetName val="Assumption_Inputs12"/>
      <sheetName val="tie_beam12"/>
      <sheetName val="INDIGINEOUS_ITEMS_12"/>
      <sheetName val="TBAL9697__x000a_grotp_wis25"/>
      <sheetName val="Elect_3"/>
      <sheetName val="SPILL_OVER3"/>
      <sheetName val="Lintel_Beam_104_70_(GF)__1"/>
      <sheetName val="TBAL9697_-group_wise_sdpl1"/>
      <sheetName val="_1"/>
      <sheetName val="TBAL9697__grotp_wise_252"/>
      <sheetName val="TBAL9697__grotp_wise_262"/>
      <sheetName val="TBAL9697__x005f_x005f_x002"/>
      <sheetName val="CORPN_O_x005f_x005f_x00001"/>
      <sheetName val="TBAL9697__x005f_x000a_grotp_wis1"/>
      <sheetName val="Rate_Analysis"/>
      <sheetName val="indices_"/>
      <sheetName val="CORPN_O_x005f_x005f_x005f1"/>
      <sheetName val="Approved_MTD_Proj_#'s"/>
      <sheetName val="9__Package_split_-_Cost_"/>
      <sheetName val="Project_Budget_Worksheet"/>
      <sheetName val="CORPN_O_x005f1"/>
      <sheetName val="Material_Rate"/>
      <sheetName val="appendix_2_5_final_accounts"/>
      <sheetName val="BS_-_L+OE"/>
      <sheetName val="Rate_Analysis_"/>
      <sheetName val="Sheet3_(2)"/>
      <sheetName val="Bill_1"/>
      <sheetName val="Bill_2"/>
      <sheetName val="Bill_3"/>
      <sheetName val="Bill_4"/>
      <sheetName val="Bill_5"/>
      <sheetName val="Bill_6"/>
      <sheetName val="Bill_7"/>
      <sheetName val="Bill_3_-_Site_Works"/>
      <sheetName val="CFForecast_detail"/>
      <sheetName val="소상_&quot;1&quot;"/>
      <sheetName val="Cost_Basis"/>
      <sheetName val="beam-reinft-IIInd_floor"/>
      <sheetName val="SITE_DEVELOPMENT"/>
      <sheetName val="CPT_POST_UPLOAD"/>
      <sheetName val="KQ_Cost_Controlling"/>
      <sheetName val="KQ_Appropriation"/>
      <sheetName val="TBAL9697__x001"/>
      <sheetName val="CORPN_O_x00001"/>
      <sheetName val="TBAL9697__x000a_grotp_wis1"/>
      <sheetName val="dpl_oth_Lia`1"/>
      <sheetName val="CORPN_OT1"/>
      <sheetName val="dpl_oth_Lia`2"/>
      <sheetName val="CORPN_OT2"/>
      <sheetName val="dpl_oth_Lia`4"/>
      <sheetName val="CORPN_OT4"/>
      <sheetName val="dpl_oth_Lia`3"/>
      <sheetName val="CORPN_OT3"/>
      <sheetName val="dpl_oth_Lia`5"/>
      <sheetName val="CORPN_OT5"/>
      <sheetName val="dpl_oth_Lia`6"/>
      <sheetName val="CORPN_OT6"/>
      <sheetName val="dpl_oth_Lia`7"/>
      <sheetName val="CORPN_OT7"/>
      <sheetName val="dpl_oth_Lia`8"/>
      <sheetName val="CORPN_OT8"/>
      <sheetName val="dpl_oth_Lia`9"/>
      <sheetName val="CORPN_OT9"/>
      <sheetName val="dpl_oth_Lia`10"/>
      <sheetName val="CORPN_OT10"/>
      <sheetName val="dpl_oth_Lia`16"/>
      <sheetName val="CORPN_OT16"/>
      <sheetName val="dpl_oth_Lia`12"/>
      <sheetName val="CORPN_OT12"/>
      <sheetName val="dpl_oth_Lia`11"/>
      <sheetName val="CORPN_OT11"/>
      <sheetName val="dpl_oth_Lia`13"/>
      <sheetName val="CORPN_OT13"/>
      <sheetName val="dpl_oth_Lia`14"/>
      <sheetName val="CORPN_OT14"/>
      <sheetName val="dpl_oth_Lia`15"/>
      <sheetName val="CORPN_OT15"/>
      <sheetName val="dpl_oth_Lia`22"/>
      <sheetName val="CORPN_OT22"/>
      <sheetName val="dpl_oth_Lia`17"/>
      <sheetName val="CORPN_OT17"/>
      <sheetName val="dpl_oth_Lia`18"/>
      <sheetName val="CORPN_OT18"/>
      <sheetName val="dpl_oth_Lia`19"/>
      <sheetName val="CORPN_OT19"/>
      <sheetName val="dpl_oth_Lia`20"/>
      <sheetName val="CORPN_OT20"/>
      <sheetName val="dpl_oth_Lia`21"/>
      <sheetName val="CORPN_OT21"/>
      <sheetName val="dpl_oth_Lia`23"/>
      <sheetName val="CORPN_OT23"/>
      <sheetName val="dpl_oth_Lia`24"/>
      <sheetName val="CORPN_OT24"/>
      <sheetName val="dpl_oth_Lia`25"/>
      <sheetName val="CORPN_OT25"/>
      <sheetName val="dpl_oth_Lia`26"/>
      <sheetName val="CORPN_OT26"/>
      <sheetName val="TBAL9697__x000a_grotp_wis2"/>
      <sheetName val="TBAL9697__x000a_grotp_wis3"/>
      <sheetName val="TBAL9697__x000a_grotp_wis4"/>
      <sheetName val="TBAL9697__x000a_grotp_wis5"/>
      <sheetName val="TBAL9697__x000a_grotp_wis6"/>
      <sheetName val="TBAL9697__x000a_grotp_wis7"/>
      <sheetName val="TBAL9697__x000a_grotp_wis8"/>
      <sheetName val="TBAL9697__x000a_grotp_wis14"/>
      <sheetName val="TBAL9697__x000a_grotp_wis10"/>
      <sheetName val="TBAL9697__x000a_grotp_wis9"/>
      <sheetName val="TBAL9697__x000a_grotp_wis11"/>
      <sheetName val="TBAL9697__x000a_grotp_wis12"/>
      <sheetName val="TBAL9697__x000a_grotp_wis13"/>
      <sheetName val="TBAL9697__x000a_grotp_wis20"/>
      <sheetName val="TBAL9697__x000a_grotp_wis15"/>
      <sheetName val="TBAL9697__x000a_grotp_wis16"/>
      <sheetName val="TBAL9697__x000a_grotp_wis17"/>
      <sheetName val="TBAL9697__x000a_grotp_wis18"/>
      <sheetName val="TBAL9697__x000a_grotp_wis19"/>
      <sheetName val="TBAL9697__x000a_grotp_wis21"/>
      <sheetName val="TBAL9697__x000a_grotp_wis22"/>
      <sheetName val="TBAL9697__x000a_grotp_wis23"/>
      <sheetName val="TBAL9697__x000a_grotp_wis24"/>
      <sheetName val="Building_1"/>
      <sheetName val="Lead_(Final)"/>
      <sheetName val="Pile_cap"/>
      <sheetName val="M_S_"/>
      <sheetName val="schedule_nos"/>
      <sheetName val="Customize_Your_Purchase_Order"/>
      <sheetName val="fa-pl_&amp;_myy_x005f_x000b__x005f_x000b__x00"/>
      <sheetName val="Service_Function"/>
      <sheetName val="class_&amp;_category"/>
      <sheetName val="code_Control_Sheet"/>
      <sheetName val="fa-pl_&amp;_myy_x005f_x000b__"/>
      <sheetName val="TBAL9697__grotp_wise_271"/>
      <sheetName val="TBAL9697__grotp_wis"/>
      <sheetName val="Cost_Index"/>
      <sheetName val="BOQ_Distribution"/>
      <sheetName val="Risk_Assmnt"/>
      <sheetName val="02"/>
      <sheetName val="03"/>
      <sheetName val="04"/>
      <sheetName val="Labor Rates"/>
      <sheetName val="Capex Estimates"/>
      <sheetName val="General Assumptions"/>
      <sheetName val="PRSH"/>
      <sheetName val="Insts"/>
      <sheetName val="Deduction_of_assets4"/>
      <sheetName val="Deduction_of_assets5"/>
      <sheetName val="Deduction_of_assets6"/>
      <sheetName val="Deduction_of_assets7"/>
      <sheetName val="Deduction_of_assets8"/>
      <sheetName val="Sqn-Abs(G+6) "/>
      <sheetName val="WO-Abs (G+2) 6 DUs"/>
      <sheetName val="Air-Abs(G+6) 23 DUs"/>
      <sheetName val="5. EA"/>
      <sheetName val="Projects"/>
      <sheetName val="PRICE-COMP"/>
      <sheetName val="P&amp;LSum"/>
      <sheetName val="C_link"/>
      <sheetName val="P_link"/>
      <sheetName val="Ass4"/>
      <sheetName val="DCF"/>
      <sheetName val="Key Ass"/>
      <sheetName val="Hardware"/>
      <sheetName val="HPL"/>
      <sheetName val="TBAL9697__x005f_x005f_x003"/>
      <sheetName val="CORPN_O_x005f_x005f_x00002"/>
      <sheetName val="TBAL9697__x005f_x000a_grotp_wis2"/>
      <sheetName val="capg"/>
      <sheetName val="TB9899"/>
      <sheetName val="GUT (2)"/>
      <sheetName val="ACE-OUT"/>
      <sheetName val="MB.Prod"/>
      <sheetName val="R MTL"/>
      <sheetName val="Manpower Histogram"/>
      <sheetName val="bs BP 04 SA"/>
      <sheetName val="Col up to plinth"/>
      <sheetName val="Footing"/>
      <sheetName val="int. pla."/>
      <sheetName val="Story Drift-Part 2"/>
      <sheetName val="Civil (RA) _Resi_"/>
      <sheetName val="Sales"/>
      <sheetName val="Calcs"/>
      <sheetName val="DWTables"/>
      <sheetName val="TPL_RECEIPTS MB51"/>
      <sheetName val="Brazil-Russia-EuropeDecToMar-05"/>
      <sheetName val="ROW Orders for March 05"/>
      <sheetName val="PKG PO"/>
      <sheetName val="LLM DPRECEIPTS MB51"/>
      <sheetName val="PHS_RECEIPTS"/>
      <sheetName val="ZSEM stock (ympc038)"/>
      <sheetName val="MFG PO"/>
      <sheetName val="Design sheet"/>
      <sheetName val="Detailed Summary (4)"/>
      <sheetName val="CASH CONTRACTS"/>
      <sheetName val="Qty SR"/>
      <sheetName val="CORPN_OT28"/>
      <sheetName val="dpl_oth_Lia`28"/>
      <sheetName val="TBAL9697__x000a_grotp_wis26"/>
      <sheetName val="GR_slab-reinft"/>
      <sheetName val="P_&amp;_M"/>
      <sheetName val="MS_Items"/>
      <sheetName val="Lintel_Beam_104_70_(GF)__2"/>
      <sheetName val="_2"/>
      <sheetName val="Material_Rate1"/>
      <sheetName val="TBAL9697__grotp_wise_253"/>
      <sheetName val="TBAL9697__grotp_wise_263"/>
      <sheetName val="Building_11"/>
      <sheetName val="Lead_(Final)1"/>
      <sheetName val="GR_slab-reinft1"/>
      <sheetName val="TBAL9697_-group_wise_sdpl2"/>
      <sheetName val="Bill_3_-_Site_Works1"/>
      <sheetName val="appendix_2_5_final_accounts1"/>
      <sheetName val="Rate_analysis1"/>
      <sheetName val="Approved_MTD_Proj_#'s1"/>
      <sheetName val="9__Package_split_-_Cost_1"/>
      <sheetName val="Project_Budget_Worksheet1"/>
      <sheetName val="Risk_Assmnt1"/>
      <sheetName val="schedule_nos1"/>
      <sheetName val="TBAL9697__grotp_wise_272"/>
      <sheetName val="TBAL9697__grotp_wis1"/>
      <sheetName val="BS_-_L+OE1"/>
      <sheetName val="Rate_Analysis_1"/>
      <sheetName val="CORPN_O_x005f2"/>
      <sheetName val="BOQ_Distribution1"/>
      <sheetName val="CFForecast_detail1"/>
      <sheetName val="beam-reinft-IIInd_floor1"/>
      <sheetName val="TBAL9697__x000a_grotp_wis27"/>
      <sheetName val="TBAL9697__x002"/>
      <sheetName val="Service_Function1"/>
      <sheetName val="P_&amp;_M1"/>
      <sheetName val="MS_Items1"/>
      <sheetName val="Quote_Sheet28"/>
      <sheetName val="d-safe_DELUXE28"/>
      <sheetName val="DLC_lookups28"/>
      <sheetName val="BLOCK-A_(MEA_SHEET)28"/>
      <sheetName val="Fin__Assumpt__-_Sensitivities28"/>
      <sheetName val="LOAD_SHEET_28"/>
      <sheetName val="Labour_productivity28"/>
      <sheetName val="RCC,Ret__Wall28"/>
      <sheetName val="Area_&amp;_Cate__Master28"/>
      <sheetName val="TBAL9697__grotp_wise_64"/>
      <sheetName val="Cat_A_Change_Control28"/>
      <sheetName val="Break_up_Sheet28"/>
      <sheetName val="Summary_of_P_&amp;_M28"/>
      <sheetName val="Works_-_Quote_Sheet28"/>
      <sheetName val="IO_LIST28"/>
      <sheetName val="TBAL9697__x005f_x000d_grotp_wis28"/>
      <sheetName val="TBAL9697__grotp_wise_65"/>
      <sheetName val="Break_Dw28"/>
      <sheetName val="Bill_No_528"/>
      <sheetName val="Driveway_Beams28"/>
      <sheetName val="11B_28"/>
      <sheetName val="BOQ_(2)28"/>
      <sheetName val="TBAL9697__x005f_x000a_grotp_wise_28"/>
      <sheetName val="Detail_1A28"/>
      <sheetName val="Fee_Rate_Summary28"/>
      <sheetName val="Name_List28"/>
      <sheetName val="Structure_Bills_Qty28"/>
      <sheetName val="CORPN_O_x005f_x005f_x005f_x0000_T28"/>
      <sheetName val="220_11__BS_28"/>
      <sheetName val="FITZ_MORT_9428"/>
      <sheetName val="Sheet_128"/>
      <sheetName val="3BPA00132-5-3_W_plan_HVPNL28"/>
      <sheetName val="Mix_Design28"/>
      <sheetName val="NLD_-_Assum28"/>
      <sheetName val="Form_628"/>
      <sheetName val="Civil_Works28"/>
      <sheetName val="ISO_Reconcilation_Statment28"/>
      <sheetName val="AVG_pur_rate28"/>
      <sheetName val="acevsSp_(ABC)28"/>
      <sheetName val="A_O_R_28"/>
      <sheetName val="Cash_Flow_Input_Data_ISC28"/>
      <sheetName val="TBAL9697__x005f_x005f_x005f_x005f_x005f_x005f_x28"/>
      <sheetName val="Intro_28"/>
      <sheetName val="Mat_-Rates28"/>
      <sheetName val="Legal_Risk_Analysis28"/>
      <sheetName val="DETAILED__BOQ28"/>
      <sheetName val="CABLE_DATA28"/>
      <sheetName val="BASIC_RATES3"/>
      <sheetName val="TBAL9697__grotp_wise_66"/>
      <sheetName val="TBAL9697__grotp_wise_116"/>
      <sheetName val="Tender_Summary11"/>
      <sheetName val="Excess_Calc3"/>
      <sheetName val="PO_Payroll3"/>
      <sheetName val="TBAL9697__x005f_x005f_x005f_x000a_grotp_wi3"/>
      <sheetName val="CORPN_O_x005f_x005f_x005f_x005f_x005f_x005f_x0003"/>
      <sheetName val="Gen_Info3"/>
      <sheetName val="Detail_In_Door_Stad3"/>
      <sheetName val="COP_Final3"/>
      <sheetName val="Contract_Night_Staff3"/>
      <sheetName val="Contract_Day_Staff3"/>
      <sheetName val="Day_Shift3"/>
      <sheetName val="Night_Shift3"/>
      <sheetName val="General_input3"/>
      <sheetName val="6_053"/>
      <sheetName val="Abstract_Sheet3"/>
      <sheetName val="Boq-_Civil3"/>
      <sheetName val="Pacakges_split3"/>
      <sheetName val="Cost_summary3"/>
      <sheetName val="TBAL9697__grotp_wise_216"/>
      <sheetName val="TBAL9697__grotp_wise_413"/>
      <sheetName val="TBAL9697__grotp_wise_313"/>
      <sheetName val="TBAL9697__grotp_wise_511"/>
      <sheetName val="TBAL9697__grotp_wise_67"/>
      <sheetName val="TBAL9697__grotp_wise_74"/>
      <sheetName val="TBAL9697__grotp_wise_84"/>
      <sheetName val="TBAL9697__grotp_wise_94"/>
      <sheetName val="TBAL9697__grotp_wise_104"/>
      <sheetName val="TBAL9697__grotp_wise_164"/>
      <sheetName val="TBAL9697__grotp_wise_124"/>
      <sheetName val="TBAL9697__grotp_wise_117"/>
      <sheetName val="TBAL9697__grotp_wise_134"/>
      <sheetName val="TBAL9697__grotp_wise_144"/>
      <sheetName val="TBAL9697__grotp_wise_154"/>
      <sheetName val="TBAL9697__grotp_wise_224"/>
      <sheetName val="TBAL9697__grotp_wise_174"/>
      <sheetName val="TBAL9697__grotp_wise_184"/>
      <sheetName val="TBAL9697__grotp_wise_194"/>
      <sheetName val="TBAL9697__grotp_wise_204"/>
      <sheetName val="TBAL9697__grotp_wise_217"/>
      <sheetName val="TBAL9697__grotp_wise_234"/>
      <sheetName val="TBAL9697__grotp_wise_244"/>
      <sheetName val="Base_Assumptions3"/>
      <sheetName val="_COP_100%3"/>
      <sheetName val="Main_Gate_House3"/>
      <sheetName val="Data_sheet3"/>
      <sheetName val="Per_Unit3"/>
      <sheetName val="lineby_line_consolidation3"/>
      <sheetName val="Material_3"/>
      <sheetName val="Extra_Item3"/>
      <sheetName val="Labour_&amp;_Plant3"/>
      <sheetName val="AutoOpen_Stub_Data3"/>
      <sheetName val="Debits_as_on_12_04_083"/>
      <sheetName val="Labor_abs-PW3"/>
      <sheetName val="Area_Statement3"/>
      <sheetName val="Risk_Analysis3"/>
      <sheetName val="Lintel_Beam_104_70_(GF)__3"/>
      <sheetName val="_3"/>
      <sheetName val="Material_Rate2"/>
      <sheetName val="TBAL9697__grotp_wise_254"/>
      <sheetName val="TBAL9697__grotp_wise_264"/>
      <sheetName val="Material_List_2"/>
      <sheetName val="Basic_Rate2"/>
      <sheetName val="INFLUENCES_ON_GM2"/>
      <sheetName val="TBAL9697__x005f_x005f_x004"/>
      <sheetName val="CORPN_O_x005f_x005f_x00003"/>
      <sheetName val="TBAL9697__x005f_x000a_grotp_wis3"/>
      <sheetName val="Building_12"/>
      <sheetName val="Lead_(Final)2"/>
      <sheetName val="GR_slab-reinft2"/>
      <sheetName val="TBAL9697_-group_wise_sdpl3"/>
      <sheetName val="Bill_3_-_Site_Works2"/>
      <sheetName val="Load_Details(B2)2"/>
      <sheetName val="appendix_2_5_final_accounts2"/>
      <sheetName val="Rate_analysis2"/>
      <sheetName val="Approved_MTD_Proj_#'s2"/>
      <sheetName val="9__Package_split_-_Cost_2"/>
      <sheetName val="Project_Budget_Worksheet2"/>
      <sheetName val="CORPN_O_x005f_x005f_x005f2"/>
      <sheetName val="Indirect_expenses2"/>
      <sheetName val="Sheet_22"/>
      <sheetName val="Risk_Assmnt2"/>
      <sheetName val="schedule_nos2"/>
      <sheetName val="TBAL9697__grotp_wise_273"/>
      <sheetName val="TBAL9697__grotp_wis2"/>
      <sheetName val="AoR_Finishing2"/>
      <sheetName val="BS_-_L+OE2"/>
      <sheetName val="Rate_Analysis_2"/>
      <sheetName val="CORPN_O_x005f3"/>
      <sheetName val="BOQ_Distribution2"/>
      <sheetName val="CFForecast_detail2"/>
      <sheetName val="beam-reinft-IIInd_floor2"/>
      <sheetName val="TBAL9697__x000a_grotp_wis28"/>
      <sheetName val="TBAL9697__x003"/>
      <sheetName val="CORPN_O_x00002"/>
      <sheetName val="Service_Function2"/>
      <sheetName val="P_&amp;_M2"/>
      <sheetName val="MS_Items2"/>
      <sheetName val="Status"/>
      <sheetName val="Defer"/>
      <sheetName val="BG"/>
      <sheetName val="Liability"/>
      <sheetName val="RA Bill summary til Apr19"/>
      <sheetName val="APTIDCO CV A.SCOPE"/>
      <sheetName val="HVAC"/>
      <sheetName val="meas-wp"/>
      <sheetName val="Break_Up (bc)"/>
      <sheetName val="Break_Up (bc1)"/>
      <sheetName val="Break_Up (bc2)"/>
      <sheetName val="Quote_Sheet29"/>
      <sheetName val="d-safe_DELUXE29"/>
      <sheetName val="DLC_lookups29"/>
      <sheetName val="BLOCK-A_(MEA_SHEET)29"/>
      <sheetName val="Fin__Assumpt__-_Sensitivities29"/>
      <sheetName val="LOAD_SHEET_29"/>
      <sheetName val="Labour_productivity29"/>
      <sheetName val="RCC,Ret__Wall29"/>
      <sheetName val="CORPN_O_T31"/>
      <sheetName val="Area_&amp;_Cate__Master29"/>
      <sheetName val="TBAL9697__grotp_wise_68"/>
      <sheetName val="Cat_A_Change_Control29"/>
      <sheetName val="Break_up_Sheet29"/>
      <sheetName val="Summary_of_P_&amp;_M29"/>
      <sheetName val="Works_-_Quote_Sheet29"/>
      <sheetName val="IO_LIST29"/>
      <sheetName val="TBAL9697__x005f_x000d_grotp_wis29"/>
      <sheetName val="TBAL9697__grotp_wise_69"/>
      <sheetName val="Break_Dw29"/>
      <sheetName val="Bill_No_529"/>
      <sheetName val="Driveway_Beams29"/>
      <sheetName val="11B_29"/>
      <sheetName val="BOQ_(2)29"/>
      <sheetName val="TBAL9697__x005f_x000a_grotp_wise_29"/>
      <sheetName val="Detail_1A29"/>
      <sheetName val="Fee_Rate_Summary29"/>
      <sheetName val="Name_List29"/>
      <sheetName val="Structure_Bills_Qty29"/>
      <sheetName val="CORPN_O_x005f_x005f_x005f_x0000_T29"/>
      <sheetName val="220_11__BS_29"/>
      <sheetName val="FITZ_MORT_9429"/>
      <sheetName val="Sheet_129"/>
      <sheetName val="3BPA00132-5-3_W_plan_HVPNL29"/>
      <sheetName val="Mix_Design29"/>
      <sheetName val="NLD_-_Assum29"/>
      <sheetName val="Form_629"/>
      <sheetName val="Civil_Works29"/>
      <sheetName val="ISO_Reconcilation_Statment29"/>
      <sheetName val="AVG_pur_rate29"/>
      <sheetName val="acevsSp_(ABC)29"/>
      <sheetName val="A_O_R_29"/>
      <sheetName val="Cash_Flow_Input_Data_ISC29"/>
      <sheetName val="TBAL9697__x005f_x005f_x005f_x005f_x005f_x005f_x29"/>
      <sheetName val="Intro_29"/>
      <sheetName val="Mat_-Rates29"/>
      <sheetName val="Legal_Risk_Analysis29"/>
      <sheetName val="DETAILED__BOQ29"/>
      <sheetName val="CABLE_DATA29"/>
      <sheetName val="Site_Dev_BOQ4"/>
      <sheetName val="BASIC_RATES4"/>
      <sheetName val="TBAL9697__grotp_wise_70"/>
      <sheetName val="TBAL9697__grotp_wise_118"/>
      <sheetName val="Elect_4"/>
      <sheetName val="final_abstract4"/>
      <sheetName val="Tender_Summary12"/>
      <sheetName val="Excess_Calc4"/>
      <sheetName val="PO_Payroll4"/>
      <sheetName val="BOQ_4"/>
      <sheetName val="TBAL9697__x005f_x005f_x005f_x000a_grotp_wi4"/>
      <sheetName val="CORPN_O_x005f_x005f_x005f_x005f_x005f_x005f_x0004"/>
      <sheetName val="Gen_Info4"/>
      <sheetName val="Detail_In_Door_Stad4"/>
      <sheetName val="COP_Final4"/>
      <sheetName val="Contract_Night_Staff4"/>
      <sheetName val="Contract_Day_Staff4"/>
      <sheetName val="Day_Shift4"/>
      <sheetName val="Night_Shift4"/>
      <sheetName val="General_input4"/>
      <sheetName val="6_054"/>
      <sheetName val="Abstract_Sheet4"/>
      <sheetName val="Boq-_Civil4"/>
      <sheetName val="SPILL_OVER4"/>
      <sheetName val="Pacakges_split4"/>
      <sheetName val="Cost_summary4"/>
      <sheetName val="TBAL9697__grotp_wise_218"/>
      <sheetName val="TBAL9697__grotp_wise_414"/>
      <sheetName val="TBAL9697__grotp_wise_314"/>
      <sheetName val="TBAL9697__grotp_wise_512"/>
      <sheetName val="TBAL9697__grotp_wise_610"/>
      <sheetName val="TBAL9697__grotp_wise_75"/>
      <sheetName val="TBAL9697__grotp_wise_85"/>
      <sheetName val="TBAL9697__grotp_wise_95"/>
      <sheetName val="TBAL9697__grotp_wise_105"/>
      <sheetName val="TBAL9697__grotp_wise_165"/>
      <sheetName val="TBAL9697__grotp_wise_125"/>
      <sheetName val="TBAL9697__grotp_wise_119"/>
      <sheetName val="TBAL9697__grotp_wise_135"/>
      <sheetName val="TBAL9697__grotp_wise_145"/>
      <sheetName val="TBAL9697__grotp_wise_155"/>
      <sheetName val="TBAL9697__grotp_wise_225"/>
      <sheetName val="TBAL9697__grotp_wise_175"/>
      <sheetName val="TBAL9697__grotp_wise_185"/>
      <sheetName val="TBAL9697__grotp_wise_195"/>
      <sheetName val="TBAL9697__grotp_wise_205"/>
      <sheetName val="TBAL9697__grotp_wise_219"/>
      <sheetName val="TBAL9697__grotp_wise_235"/>
      <sheetName val="TBAL9697__grotp_wise_245"/>
      <sheetName val="Meas_-Hotel_Part4"/>
      <sheetName val="Base_Assumptions4"/>
      <sheetName val="_COP_100%4"/>
      <sheetName val="Main_Gate_House4"/>
      <sheetName val="Data_sheet4"/>
      <sheetName val="Per_Unit4"/>
      <sheetName val="lineby_line_consolidation4"/>
      <sheetName val="Material_4"/>
      <sheetName val="Extra_Item4"/>
      <sheetName val="Labour_&amp;_Plant4"/>
      <sheetName val="AutoOpen_Stub_Data4"/>
      <sheetName val="Debits_as_on_12_04_084"/>
      <sheetName val="Labor_abs-PW4"/>
      <sheetName val="Area_Statement4"/>
      <sheetName val="Risk_Analysis4"/>
      <sheetName val="Lintel_Beam_104_70_(GF)__4"/>
      <sheetName val="_4"/>
      <sheetName val="Material_Rate3"/>
      <sheetName val="TBAL9697__grotp_wise_255"/>
      <sheetName val="TBAL9697__grotp_wise_265"/>
      <sheetName val="Material_List_3"/>
      <sheetName val="Basic_Rate3"/>
      <sheetName val="INFLUENCES_ON_GM3"/>
      <sheetName val="TBAL9697__x005f_x005f_x005"/>
      <sheetName val="CORPN_O_x005f_x005f_x00004"/>
      <sheetName val="TBAL9697__x005f_x000a_grotp_wis4"/>
      <sheetName val="Building_13"/>
      <sheetName val="Lead_(Final)3"/>
      <sheetName val="GR_slab-reinft3"/>
      <sheetName val="TBAL9697_-group_wise_sdpl4"/>
      <sheetName val="Bill_3_-_Site_Works3"/>
      <sheetName val="Load_Details(B2)3"/>
      <sheetName val="appendix_2_5_final_accounts3"/>
      <sheetName val="Rate_analysis3"/>
      <sheetName val="Approved_MTD_Proj_#'s3"/>
      <sheetName val="9__Package_split_-_Cost_3"/>
      <sheetName val="Project_Budget_Worksheet3"/>
      <sheetName val="CORPN_O_x005f_x005f_x005f3"/>
      <sheetName val="Indirect_expenses3"/>
      <sheetName val="Sheet_23"/>
      <sheetName val="Risk_Assmnt3"/>
      <sheetName val="schedule_nos3"/>
      <sheetName val="TBAL9697__grotp_wise_274"/>
      <sheetName val="TBAL9697__grotp_wis3"/>
      <sheetName val="AoR_Finishing3"/>
      <sheetName val="BS_-_L+OE3"/>
      <sheetName val="Rate_Analysis_3"/>
      <sheetName val="CORPN_O_x005f4"/>
      <sheetName val="BOQ_Distribution3"/>
      <sheetName val="CFForecast_detail3"/>
      <sheetName val="beam-reinft-IIInd_floor3"/>
      <sheetName val="TBAL9697__x000a_grotp_wis29"/>
      <sheetName val="TBAL9697__x004"/>
      <sheetName val="CORPN_O_x00003"/>
      <sheetName val="Service_Function3"/>
      <sheetName val="P_&amp;_M3"/>
      <sheetName val="MS_Items3"/>
      <sheetName val="CP"/>
      <sheetName val="gVL"/>
      <sheetName val="A.O.R r1"/>
      <sheetName val="A.O.R r1Str"/>
      <sheetName val="Order Info"/>
      <sheetName val="OHT_Abs"/>
      <sheetName val="Micro"/>
      <sheetName val="Macro"/>
      <sheetName val="Scaff-Rose"/>
      <sheetName val="Inputs"/>
      <sheetName val="1st -vpd"/>
      <sheetName val="HEAD"/>
      <sheetName val="sheeet7"/>
      <sheetName val="재1"/>
      <sheetName val="KALK"/>
      <sheetName val="Cal"/>
      <sheetName val="Voucher"/>
      <sheetName val="Sum"/>
      <sheetName val="Input Data"/>
      <sheetName val="Calculation"/>
      <sheetName val="MLCP Connection Details"/>
      <sheetName val="BBS"/>
      <sheetName val="Flooring"/>
      <sheetName val="ELEC_BOQ"/>
      <sheetName val="RCC"/>
      <sheetName val="MERGED CODES &amp; NAMES"/>
      <sheetName val="TYPES"/>
      <sheetName val="INPUT (BPL)"/>
      <sheetName val="STD"/>
      <sheetName val="LINKS"/>
      <sheetName val="Legend"/>
      <sheetName val="MG"/>
      <sheetName val="Loan Schedule"/>
      <sheetName val="Labor_abs-NMR32"/>
      <sheetName val="Sun_E_Type32"/>
      <sheetName val="Fin_Sum32"/>
      <sheetName val="CORPN_O?T32"/>
      <sheetName val="CORPN_O_x005f_x0000_T32"/>
      <sheetName val="SUPPLY_-Sanitary_Fixtures32"/>
      <sheetName val="ITEMS_FOR_CIVIL_TENDER32"/>
      <sheetName val="TBAL9697__x000a_grotp_wise_32"/>
      <sheetName val="CORPN_O32"/>
      <sheetName val="labour_coeff30"/>
      <sheetName val="CORPN_O_T32"/>
      <sheetName val="Shuttering_Analysis30"/>
      <sheetName val="General_P+M30"/>
      <sheetName val="Curing_Analysis_30"/>
      <sheetName val="Concrete_P+M_(_RMC_)30"/>
      <sheetName val="P+M_(_SMC_)30"/>
      <sheetName val="P+M_-EW30"/>
      <sheetName val="Cat_A_Change_Control30"/>
      <sheetName val="Break_up_Sheet30"/>
      <sheetName val="Summary_of_P_&amp;_M30"/>
      <sheetName val="P&amp;L_-_AD30"/>
      <sheetName val="_x005f_x005f_x005f_x0003_dpl_oth_Lia`32"/>
      <sheetName val="TBAL9697__x005f_x005f_x005f_x000d_grotp_w32"/>
      <sheetName val="Fin__Assumpt__-_Sensitivities30"/>
      <sheetName val="LOAD_SHEET_30"/>
      <sheetName val="Fill_this_out_first___30"/>
      <sheetName val="Labour_productivity30"/>
      <sheetName val="RCC,Ret__Wall30"/>
      <sheetName val="Area_&amp;_Cate__Master30"/>
      <sheetName val="DG_32"/>
      <sheetName val="Bill_No_530"/>
      <sheetName val="Sheet_130"/>
      <sheetName val="3BPA00132-5-3_W_plan_HVPNL30"/>
      <sheetName val="Mix_Design30"/>
      <sheetName val="Fee_Rate_Summary30"/>
      <sheetName val="Name_List30"/>
      <sheetName val="BOQ_(2)30"/>
      <sheetName val="DLC_lookups30"/>
      <sheetName val="Quote_Sheet30"/>
      <sheetName val="d-safe_DELUXE30"/>
      <sheetName val="Works_-_Quote_Sheet30"/>
      <sheetName val="IO_LIST30"/>
      <sheetName val="TBAL9697__x005f_x000d_grotp_wis30"/>
      <sheetName val="FITZ_MORT_9430"/>
      <sheetName val="Structure_Bills_Qty30"/>
      <sheetName val="11B_30"/>
      <sheetName val="TBAL9697__x005f_x000a_grotp_wise_30"/>
      <sheetName val="Driveway_Beams30"/>
      <sheetName val="ISO_Reconcilation_Statment30"/>
      <sheetName val="AVG_pur_rate30"/>
      <sheetName val="Detail_1A30"/>
      <sheetName val="Break_Dw30"/>
      <sheetName val="CORPN_O_x005f_x005f_x005f_x0000_T30"/>
      <sheetName val="220_11__BS_30"/>
      <sheetName val="NLD_-_Assum30"/>
      <sheetName val="Cash_Flow_Input_Data_ISC30"/>
      <sheetName val="BLOCK-A_(MEA_SHEET)30"/>
      <sheetName val="Form_630"/>
      <sheetName val="acevsSp_(ABC)30"/>
      <sheetName val="A_O_R_30"/>
      <sheetName val="LIST_OF_MAKES30"/>
      <sheetName val="Intro_30"/>
      <sheetName val="TBAL9697__x005f_x005f_x005f_x005f_x005f_x005f_x30"/>
      <sheetName val="Assumption_Inputs13"/>
      <sheetName val="Civil_Works30"/>
      <sheetName val="DDETABLE_"/>
      <sheetName val="Customize_Your_Purchase_Order1"/>
      <sheetName val="fa-pl_&amp;_myy_x005f_x000b__x005f_x000b__x01"/>
      <sheetName val="SITE_DEVELOPMENT1"/>
      <sheetName val="DDETABLE_1"/>
      <sheetName val="Customize_Your_Purchase_Order2"/>
      <sheetName val="fa-pl_&amp;_myy_x005f_x000b__x005f_x000b__x02"/>
      <sheetName val="SITE_DEVELOPMENT2"/>
      <sheetName val="DDETABLE_2"/>
      <sheetName val="creditors_tb_obpl35"/>
      <sheetName val="PRECAST_lightconc-II34"/>
      <sheetName val="1__PayRec33"/>
      <sheetName val="Cashflow_projection33"/>
      <sheetName val="SPT_vs_PHI33"/>
      <sheetName val="Blr_hire33"/>
      <sheetName val="key_dates33"/>
      <sheetName val="Labor_abs-NMR33"/>
      <sheetName val="ino4t_conso,-nov33"/>
      <sheetName val="(nout_co,sol_(2)33"/>
      <sheetName val="_bpl,oth_lia_33"/>
      <sheetName val="G_,and_adv_nce33"/>
      <sheetName val="I,Wip-ot__2)33"/>
      <sheetName val="det!il_WIP_(2)33"/>
      <sheetName val="de4ail_G-133"/>
      <sheetName val="sobha_mennn_ac33"/>
      <sheetName val="C_&amp;ix_asst33"/>
      <sheetName val="_x005f_x0003_dpl_oth_Lia`33"/>
      <sheetName val="TBAL9697__x005f_x000d_grotp_wise_33"/>
      <sheetName val="St_co_91_5lvl33"/>
      <sheetName val="INPUT_SHEET33"/>
      <sheetName val="Sun_E_Type33"/>
      <sheetName val="Fin_Sum33"/>
      <sheetName val="CORPN_O?T33"/>
      <sheetName val="Stress_Calculation33"/>
      <sheetName val="CORPN_O_x005f_x0000_T33"/>
      <sheetName val="SUPPLY_-Sanitary_Fixtures33"/>
      <sheetName val="ITEMS_FOR_CIVIL_TENDER33"/>
      <sheetName val="TBAL9697__x000a_grotp_wise_33"/>
      <sheetName val="CORPN_O33"/>
      <sheetName val="labour_coeff31"/>
      <sheetName val="CORPN_O_T33"/>
      <sheetName val="DG_33"/>
      <sheetName val="Shuttering_Analysis31"/>
      <sheetName val="General_P+M31"/>
      <sheetName val="Curing_Analysis_31"/>
      <sheetName val="Concrete_P+M_(_RMC_)31"/>
      <sheetName val="P+M_(_SMC_)31"/>
      <sheetName val="P+M_-EW31"/>
      <sheetName val="Cat_A_Change_Control31"/>
      <sheetName val="Break_up_Sheet31"/>
      <sheetName val="Summary_of_P_&amp;_M31"/>
      <sheetName val="P&amp;L_-_AD31"/>
      <sheetName val="_x005f_x005f_x005f_x0003_dpl_oth_Lia`33"/>
      <sheetName val="TBAL9697__x005f_x005f_x005f_x000d_grotp_w33"/>
      <sheetName val="Fin__Assumpt__-_Sensitivities31"/>
      <sheetName val="LOAD_SHEET_31"/>
      <sheetName val="Fill_this_out_first___31"/>
      <sheetName val="Labour_productivity31"/>
      <sheetName val="RCC,Ret__Wall31"/>
      <sheetName val="Area_&amp;_Cate__Master31"/>
      <sheetName val="Bill_No_531"/>
      <sheetName val="Sheet_131"/>
      <sheetName val="3BPA00132-5-3_W_plan_HVPNL31"/>
      <sheetName val="Mix_Design31"/>
      <sheetName val="Fee_Rate_Summary31"/>
      <sheetName val="Name_List31"/>
      <sheetName val="BOQ_(2)31"/>
      <sheetName val="FITZ_MORT_9431"/>
      <sheetName val="DLC_lookups31"/>
      <sheetName val="Quote_Sheet31"/>
      <sheetName val="d-safe_DELUXE31"/>
      <sheetName val="Works_-_Quote_Sheet31"/>
      <sheetName val="IO_LIST31"/>
      <sheetName val="TBAL9697__x005f_x000d_grotp_wis31"/>
      <sheetName val="Structure_Bills_Qty31"/>
      <sheetName val="11B_31"/>
      <sheetName val="TBAL9697__x005f_x000a_grotp_wise_31"/>
      <sheetName val="Driveway_Beams31"/>
      <sheetName val="ISO_Reconcilation_Statment31"/>
      <sheetName val="AVG_pur_rate31"/>
      <sheetName val="Detail_1A31"/>
      <sheetName val="Break_Dw31"/>
      <sheetName val="CORPN_O_x005f_x005f_x005f_x0000_T31"/>
      <sheetName val="220_11__BS_31"/>
      <sheetName val="NLD_-_Assum31"/>
      <sheetName val="Cash_Flow_Input_Data_ISC31"/>
      <sheetName val="BLOCK-A_(MEA_SHEET)31"/>
      <sheetName val="Form_631"/>
      <sheetName val="acevsSp_(ABC)31"/>
      <sheetName val="A_O_R_31"/>
      <sheetName val="LIST_OF_MAKES31"/>
      <sheetName val="Intro_31"/>
      <sheetName val="TBAL9697__x005f_x005f_x005f_x005f_x005f_x005f_x31"/>
      <sheetName val="Assumption_Inputs14"/>
      <sheetName val="Civil_Works31"/>
      <sheetName val="TBAL9697__grotp_wise_76"/>
      <sheetName val="Site_Dev_BOQ5"/>
      <sheetName val="Elect_5"/>
      <sheetName val="TBAL9697__grotp_wise_77"/>
      <sheetName val="Customize_Your_Purchase_Order3"/>
      <sheetName val="fa-pl_&amp;_myy_x005f_x000b__x005f_x000b__x03"/>
      <sheetName val="SITE_DEVELOPMENT3"/>
      <sheetName val="DDETABLE_3"/>
      <sheetName val="TAX_INCOME"/>
      <sheetName val="Depart_Budget"/>
      <sheetName val="CC_June"/>
      <sheetName val="Assumption_Inputs15"/>
      <sheetName val="Assumption_Inputs16"/>
      <sheetName val="Assumption_Inputs18"/>
      <sheetName val="Assumption_Inputs17"/>
      <sheetName val="Assumption_Inputs20"/>
      <sheetName val="Assumption_Inputs19"/>
      <sheetName val="Assumption_Inputs21"/>
      <sheetName val="Assumption_Inputs22"/>
      <sheetName val="Assumption_Inputs23"/>
      <sheetName val="Assumption_Inputs24"/>
      <sheetName val="Assumption_Inputs26"/>
      <sheetName val="Assumption_Inputs25"/>
      <sheetName val="Assumption_Inputs27"/>
      <sheetName val="Assumption_Inputs28"/>
      <sheetName val="Section_Catalogue28"/>
      <sheetName val="TBAL9697_-group_wise__sdpl45"/>
      <sheetName val="TBAL9697_-group_wise_35"/>
      <sheetName val="crs_-G-135"/>
      <sheetName val="TBAL9697_-group_wise__onpl35"/>
      <sheetName val="B_Sheet_97-OBPL35"/>
      <sheetName val="B_Sheet_97_sdpl35"/>
      <sheetName val="TBAL9697_-group_wise__sdpl235"/>
      <sheetName val="inout_consol_jan35"/>
      <sheetName val="consol_flow35"/>
      <sheetName val="D_Loan__Prom35"/>
      <sheetName val="E_Bank_Loan35"/>
      <sheetName val="G_work_Cap35"/>
      <sheetName val="H_land_adv-dec35"/>
      <sheetName val="J_Con_WIP35"/>
      <sheetName val="detail_J35"/>
      <sheetName val="L_Oth_Co35"/>
      <sheetName val="K_fix_asst__35"/>
      <sheetName val="C_fix_asst-SDPL_35"/>
      <sheetName val="TBAL9697__group_wise__sdpl35"/>
      <sheetName val="inout_consol_okg35"/>
      <sheetName val="detail_OIP_(2)35"/>
      <sheetName val="D_fix_ysst_scdl_35"/>
      <sheetName val="cre`itors_tb_obpl35"/>
      <sheetName val="3AL9697_-group_wise__onpl35"/>
      <sheetName val="Boq_Block_A34"/>
      <sheetName val="Project-Material_34"/>
      <sheetName val="3�AL9697_-group_wise__onpl34"/>
      <sheetName val="Assumption_Inputs29"/>
      <sheetName val="Section_Catalogue29"/>
      <sheetName val="TB9798OBPL06_(2)36"/>
      <sheetName val="CORPN_OCT36"/>
      <sheetName val="inout_consol-nov36"/>
      <sheetName val="inout_consol_(2)36"/>
      <sheetName val="AS_ON_DT_EXPS_Mar36"/>
      <sheetName val="fa-pl_&amp;_mach-site36"/>
      <sheetName val="fa_off_eqp36"/>
      <sheetName val="fa_fur&amp;_fix36"/>
      <sheetName val="fa-pl_&amp;_mach-Off36"/>
      <sheetName val="B_Equity-sdpl_INC36"/>
      <sheetName val="inout_consol_wkg36"/>
      <sheetName val="inout_consol_WKNG36"/>
      <sheetName val="B_Sheet_9736"/>
      <sheetName val="P&amp;L_97_36"/>
      <sheetName val="B_Sheet_97-BEXP36"/>
      <sheetName val="P&amp;L_97_-BEXP36"/>
      <sheetName val="consol_flows36"/>
      <sheetName val="sdpl_oth_Liab36"/>
      <sheetName val="obpl-oth_liab36"/>
      <sheetName val="G_land_advance36"/>
      <sheetName val="I-Wip-ot_(2)36"/>
      <sheetName val="detail_WIP_(2)36"/>
      <sheetName val="detail_G-136"/>
      <sheetName val="sobha_menon_ac36"/>
      <sheetName val="pnc_ac36"/>
      <sheetName val="fix_-p_&amp;_M_-SCC36"/>
      <sheetName val="C_fix_asst36"/>
      <sheetName val="D_fix_asst_scdl_36"/>
      <sheetName val="creditors_tb_obpl36"/>
      <sheetName val="TBAL9697_-group_wise__sdpl46"/>
      <sheetName val="TBAL9697_-group_wise_36"/>
      <sheetName val="crs_-G-136"/>
      <sheetName val="TBAL9697_-group_wise__onpl36"/>
      <sheetName val="B_Sheet_97-OBPL36"/>
      <sheetName val="B_Sheet_97_sdpl36"/>
      <sheetName val="TBAL9697_-group_wise__sdpl236"/>
      <sheetName val="inout_consol_jan36"/>
      <sheetName val="consol_flow36"/>
      <sheetName val="D_Loan__Prom36"/>
      <sheetName val="E_Bank_Loan36"/>
      <sheetName val="G_work_Cap36"/>
      <sheetName val="H_land_adv-dec36"/>
      <sheetName val="J_Con_WIP36"/>
      <sheetName val="detail_J36"/>
      <sheetName val="L_Oth_Co36"/>
      <sheetName val="K_fix_asst__36"/>
      <sheetName val="C_fix_asst-SDPL_36"/>
      <sheetName val="TBAL9697__group_wise__sdpl36"/>
      <sheetName val="inout_consol_okg36"/>
      <sheetName val="detail_OIP_(2)36"/>
      <sheetName val="D_fix_ysst_scdl_36"/>
      <sheetName val="cre`itors_tb_obpl36"/>
      <sheetName val="3AL9697_-group_wise__onpl36"/>
      <sheetName val="L_Oth_Bo35"/>
      <sheetName val="3‰AL9697_-group_wise__onpl35"/>
      <sheetName val="Civil_Boq35"/>
      <sheetName val="Staff_Acco_35"/>
      <sheetName val="SITE_OVERHEADS35"/>
      <sheetName val="Boq_Block_A35"/>
      <sheetName val="Project-Material_35"/>
      <sheetName val="3�AL9697_-group_wise__onpl35"/>
      <sheetName val="Assumption_Inputs30"/>
      <sheetName val="Section_Catalogue30"/>
      <sheetName val="TB9798OBPL06_(2)38"/>
      <sheetName val="CORPN_OCT38"/>
      <sheetName val="inout_consol-nov38"/>
      <sheetName val="inout_consol_(2)38"/>
      <sheetName val="AS_ON_DT_EXPS_Mar38"/>
      <sheetName val="fa-pl_&amp;_mach-site38"/>
      <sheetName val="fa_off_eqp38"/>
      <sheetName val="fa_fur&amp;_fix38"/>
      <sheetName val="fa-pl_&amp;_mach-Off38"/>
      <sheetName val="B_Equity-sdpl_INC38"/>
      <sheetName val="inout_consol_wkg38"/>
      <sheetName val="inout_consol_WKNG38"/>
      <sheetName val="B_Sheet_9738"/>
      <sheetName val="P&amp;L_97_38"/>
      <sheetName val="B_Sheet_97-BEXP38"/>
      <sheetName val="P&amp;L_97_-BEXP38"/>
      <sheetName val="consol_flows38"/>
      <sheetName val="sdpl_oth_Liab38"/>
      <sheetName val="obpl-oth_liab38"/>
      <sheetName val="G_land_advance38"/>
      <sheetName val="I-Wip-ot_(2)38"/>
      <sheetName val="detail_WIP_(2)38"/>
      <sheetName val="detail_G-138"/>
      <sheetName val="sobha_menon_ac38"/>
      <sheetName val="pnc_ac38"/>
      <sheetName val="fix_-p_&amp;_M_-SCC38"/>
      <sheetName val="C_fix_asst38"/>
      <sheetName val="D_fix_asst_scdl_38"/>
      <sheetName val="creditors_tb_obpl38"/>
      <sheetName val="TBAL9697_-group_wise__sdpl48"/>
      <sheetName val="TBAL9697_-group_wise_38"/>
      <sheetName val="crs_-G-138"/>
      <sheetName val="TBAL9697_-group_wise__onpl38"/>
      <sheetName val="B_Sheet_97-OBPL38"/>
      <sheetName val="B_Sheet_97_sdpl38"/>
      <sheetName val="TBAL9697_-group_wise__sdpl238"/>
      <sheetName val="inout_consol_jan38"/>
      <sheetName val="consol_flow38"/>
      <sheetName val="D_Loan__Prom38"/>
      <sheetName val="E_Bank_Loan38"/>
      <sheetName val="G_work_Cap38"/>
      <sheetName val="H_land_adv-dec38"/>
      <sheetName val="J_Con_WIP38"/>
      <sheetName val="detail_J38"/>
      <sheetName val="L_Oth_Co38"/>
      <sheetName val="K_fix_asst__38"/>
      <sheetName val="C_fix_asst-SDPL_38"/>
      <sheetName val="TBAL9697__group_wise__sdpl38"/>
      <sheetName val="inout_consol_okg38"/>
      <sheetName val="detail_OIP_(2)38"/>
      <sheetName val="D_fix_ysst_scdl_38"/>
      <sheetName val="cre`itors_tb_obpl38"/>
      <sheetName val="3AL9697_-group_wise__onpl38"/>
      <sheetName val="L_Oth_Bo37"/>
      <sheetName val="3‰AL9697_-group_wise__onpl37"/>
      <sheetName val="Civil_Boq37"/>
      <sheetName val="Staff_Acco_37"/>
      <sheetName val="SITE_OVERHEADS37"/>
      <sheetName val="PRECAST_lightconc-II35"/>
      <sheetName val="1__PayRec34"/>
      <sheetName val="Boq_Block_A37"/>
      <sheetName val="Cashflow_projection34"/>
      <sheetName val="Project-Material_37"/>
      <sheetName val="SPT_vs_PHI34"/>
      <sheetName val="key_dates34"/>
      <sheetName val="ino4t_conso,-nov34"/>
      <sheetName val="(nout_co,sol_(2)34"/>
      <sheetName val="Blr_hire34"/>
      <sheetName val="_bpl,oth_lia_34"/>
      <sheetName val="G_,and_adv_nce34"/>
      <sheetName val="I,Wip-ot__2)34"/>
      <sheetName val="det!il_WIP_(2)34"/>
      <sheetName val="de4ail_G-134"/>
      <sheetName val="sobha_mennn_ac34"/>
      <sheetName val="C_&amp;ix_asst34"/>
      <sheetName val="_x005f_x0003_dpl_oth_Lia`34"/>
      <sheetName val="TBAL9697__x005f_x000d_grotp_wise_34"/>
      <sheetName val="St_co_91_5lvl34"/>
      <sheetName val="3�AL9697_-group_wise__onpl37"/>
      <sheetName val="INPUT_SHEET34"/>
      <sheetName val="Stress_Calculation34"/>
      <sheetName val="Labor_abs-NMR34"/>
      <sheetName val="Sun_E_Type34"/>
      <sheetName val="CORPN_O?T34"/>
      <sheetName val="Fin_Sum34"/>
      <sheetName val="CORPN_O_x005f_x0000_T34"/>
      <sheetName val="TBAL9697__x000a_grotp_wise_34"/>
      <sheetName val="labour_coeff32"/>
      <sheetName val="Shuttering_Analysis32"/>
      <sheetName val="General_P+M32"/>
      <sheetName val="Curing_Analysis_32"/>
      <sheetName val="Concrete_P+M_(_RMC_)32"/>
      <sheetName val="P+M_(_SMC_)32"/>
      <sheetName val="P+M_-EW32"/>
      <sheetName val="P&amp;L_-_AD32"/>
      <sheetName val="SUPPLY_-Sanitary_Fixtures34"/>
      <sheetName val="ITEMS_FOR_CIVIL_TENDER34"/>
      <sheetName val="_x005f_x005f_x005f_x0003_dpl_oth_Lia`34"/>
      <sheetName val="TBAL9697__x005f_x005f_x005f_x000d_grotp_w34"/>
      <sheetName val="Fin__Assumpt__-_Sensitivities32"/>
      <sheetName val="LOAD_SHEET_32"/>
      <sheetName val="Fill_this_out_first___32"/>
      <sheetName val="Labour_productivity32"/>
      <sheetName val="RCC,Ret__Wall32"/>
      <sheetName val="CORPN_O34"/>
      <sheetName val="Area_&amp;_Cate__Master32"/>
      <sheetName val="Bill_No_532"/>
      <sheetName val="11B_32"/>
      <sheetName val="Structure_Bills_Qty32"/>
      <sheetName val="DG_34"/>
      <sheetName val="BOQ_(2)32"/>
      <sheetName val="Fee_Rate_Summary32"/>
      <sheetName val="Name_List32"/>
      <sheetName val="Detail_1A32"/>
      <sheetName val="Sheet_132"/>
      <sheetName val="3BPA00132-5-3_W_plan_HVPNL32"/>
      <sheetName val="Mix_Design32"/>
      <sheetName val="DLC_lookups32"/>
      <sheetName val="Driveway_Beams32"/>
      <sheetName val="TBAL9697__x005f_x000a_grotp_wise_32"/>
      <sheetName val="Quote_Sheet32"/>
      <sheetName val="d-safe_DELUXE32"/>
      <sheetName val="Works_-_Quote_Sheet32"/>
      <sheetName val="IO_LIST32"/>
      <sheetName val="TBAL9697__x005f_x000d_grotp_wis32"/>
      <sheetName val="Cat_A_Change_Control32"/>
      <sheetName val="Break_up_Sheet32"/>
      <sheetName val="Summary_of_P_&amp;_M32"/>
      <sheetName val="ISO_Reconcilation_Statment32"/>
      <sheetName val="AVG_pur_rate32"/>
      <sheetName val="Break_Dw32"/>
      <sheetName val="LIST_OF_MAKES32"/>
      <sheetName val="Assumption_Inputs32"/>
      <sheetName val="Civil_Works32"/>
      <sheetName val="Form_632"/>
      <sheetName val="acevsSp_(ABC)32"/>
      <sheetName val="A_O_R_32"/>
      <sheetName val="CORPN_O_x005f_x005f_x005f_x0000_T32"/>
      <sheetName val="220_11__BS_32"/>
      <sheetName val="FITZ_MORT_9432"/>
      <sheetName val="Intro_32"/>
      <sheetName val="BLOCK-A_(MEA_SHEET)32"/>
      <sheetName val="NLD_-_Assum32"/>
      <sheetName val="Section_Catalogue32"/>
      <sheetName val="TB9798OBPL06_(2)37"/>
      <sheetName val="CORPN_OCT37"/>
      <sheetName val="inout_consol-nov37"/>
      <sheetName val="inout_consol_(2)37"/>
      <sheetName val="AS_ON_DT_EXPS_Mar37"/>
      <sheetName val="fa-pl_&amp;_mach-site37"/>
      <sheetName val="fa_off_eqp37"/>
      <sheetName val="fa_fur&amp;_fix37"/>
      <sheetName val="fa-pl_&amp;_mach-Off37"/>
      <sheetName val="B_Equity-sdpl_INC37"/>
      <sheetName val="inout_consol_wkg37"/>
      <sheetName val="inout_consol_WKNG37"/>
      <sheetName val="B_Sheet_9737"/>
      <sheetName val="P&amp;L_97_37"/>
      <sheetName val="B_Sheet_97-BEXP37"/>
      <sheetName val="P&amp;L_97_-BEXP37"/>
      <sheetName val="consol_flows37"/>
      <sheetName val="sdpl_oth_Liab37"/>
      <sheetName val="obpl-oth_liab37"/>
      <sheetName val="G_land_advance37"/>
      <sheetName val="I-Wip-ot_(2)37"/>
      <sheetName val="detail_WIP_(2)37"/>
      <sheetName val="detail_G-137"/>
      <sheetName val="sobha_menon_ac37"/>
      <sheetName val="pnc_ac37"/>
      <sheetName val="fix_-p_&amp;_M_-SCC37"/>
      <sheetName val="C_fix_asst37"/>
      <sheetName val="D_fix_asst_scdl_37"/>
      <sheetName val="creditors_tb_obpl37"/>
      <sheetName val="TBAL9697_-group_wise__sdpl47"/>
      <sheetName val="TBAL9697_-group_wise_37"/>
      <sheetName val="crs_-G-137"/>
      <sheetName val="TBAL9697_-group_wise__onpl37"/>
      <sheetName val="B_Sheet_97-OBPL37"/>
      <sheetName val="B_Sheet_97_sdpl37"/>
      <sheetName val="TBAL9697_-group_wise__sdpl237"/>
      <sheetName val="inout_consol_jan37"/>
      <sheetName val="consol_flow37"/>
      <sheetName val="D_Loan__Prom37"/>
      <sheetName val="E_Bank_Loan37"/>
      <sheetName val="G_work_Cap37"/>
      <sheetName val="H_land_adv-dec37"/>
      <sheetName val="J_Con_WIP37"/>
      <sheetName val="detail_J37"/>
      <sheetName val="L_Oth_Co37"/>
      <sheetName val="K_fix_asst__37"/>
      <sheetName val="C_fix_asst-SDPL_37"/>
      <sheetName val="TBAL9697__group_wise__sdpl37"/>
      <sheetName val="inout_consol_okg37"/>
      <sheetName val="detail_OIP_(2)37"/>
      <sheetName val="D_fix_ysst_scdl_37"/>
      <sheetName val="cre`itors_tb_obpl37"/>
      <sheetName val="3AL9697_-group_wise__onpl37"/>
      <sheetName val="L_Oth_Bo36"/>
      <sheetName val="3‰AL9697_-group_wise__onpl36"/>
      <sheetName val="Civil_Boq36"/>
      <sheetName val="Staff_Acco_36"/>
      <sheetName val="SITE_OVERHEADS36"/>
      <sheetName val="Boq_Block_A36"/>
      <sheetName val="Project-Material_36"/>
      <sheetName val="3�AL9697_-group_wise__onpl36"/>
      <sheetName val="Assumption_Inputs31"/>
      <sheetName val="Section_Catalogue31"/>
      <sheetName val="TB9798OBPL06_(2)39"/>
      <sheetName val="CORPN_OCT39"/>
      <sheetName val="inout_consol-nov39"/>
      <sheetName val="inout_consol_(2)39"/>
      <sheetName val="AS_ON_DT_EXPS_Mar39"/>
      <sheetName val="fa-pl_&amp;_mach-site39"/>
      <sheetName val="fa_off_eqp39"/>
      <sheetName val="fa_fur&amp;_fix39"/>
      <sheetName val="fa-pl_&amp;_mach-Off39"/>
      <sheetName val="B_Equity-sdpl_INC39"/>
      <sheetName val="inout_consol_wkg39"/>
      <sheetName val="inout_consol_WKNG39"/>
      <sheetName val="B_Sheet_9739"/>
      <sheetName val="P&amp;L_97_39"/>
      <sheetName val="B_Sheet_97-BEXP39"/>
      <sheetName val="P&amp;L_97_-BEXP39"/>
      <sheetName val="consol_flows39"/>
      <sheetName val="sdpl_oth_Liab39"/>
      <sheetName val="obpl-oth_liab39"/>
      <sheetName val="G_land_advance39"/>
      <sheetName val="I-Wip-ot_(2)39"/>
      <sheetName val="detail_WIP_(2)39"/>
      <sheetName val="detail_G-139"/>
      <sheetName val="sobha_menon_ac39"/>
      <sheetName val="pnc_ac39"/>
      <sheetName val="fix_-p_&amp;_M_-SCC39"/>
      <sheetName val="C_fix_asst39"/>
      <sheetName val="D_fix_asst_scdl_39"/>
      <sheetName val="creditors_tb_obpl39"/>
      <sheetName val="TBAL9697_-group_wise__sdpl49"/>
      <sheetName val="TBAL9697_-group_wise_39"/>
      <sheetName val="crs_-G-139"/>
      <sheetName val="TBAL9697_-group_wise__onpl39"/>
      <sheetName val="B_Sheet_97-OBPL39"/>
      <sheetName val="B_Sheet_97_sdpl39"/>
      <sheetName val="TBAL9697_-group_wise__sdpl239"/>
      <sheetName val="inout_consol_jan39"/>
      <sheetName val="consol_flow39"/>
      <sheetName val="D_Loan__Prom39"/>
      <sheetName val="E_Bank_Loan39"/>
      <sheetName val="G_work_Cap39"/>
      <sheetName val="H_land_adv-dec39"/>
      <sheetName val="J_Con_WIP39"/>
      <sheetName val="detail_J39"/>
      <sheetName val="L_Oth_Co39"/>
      <sheetName val="K_fix_asst__39"/>
      <sheetName val="C_fix_asst-SDPL_39"/>
      <sheetName val="TBAL9697__group_wise__sdpl39"/>
      <sheetName val="inout_consol_okg39"/>
      <sheetName val="detail_OIP_(2)39"/>
      <sheetName val="D_fix_ysst_scdl_39"/>
      <sheetName val="cre`itors_tb_obpl39"/>
      <sheetName val="3AL9697_-group_wise__onpl39"/>
      <sheetName val="L_Oth_Bo38"/>
      <sheetName val="3‰AL9697_-group_wise__onpl38"/>
      <sheetName val="Civil_Boq38"/>
      <sheetName val="Staff_Acco_38"/>
      <sheetName val="SITE_OVERHEADS38"/>
      <sheetName val="PRECAST_lightconc-II36"/>
      <sheetName val="1__PayRec35"/>
      <sheetName val="Boq_Block_A38"/>
      <sheetName val="Cashflow_projection35"/>
      <sheetName val="Project-Material_38"/>
      <sheetName val="SPT_vs_PHI35"/>
      <sheetName val="key_dates35"/>
      <sheetName val="ino4t_conso,-nov35"/>
      <sheetName val="(nout_co,sol_(2)35"/>
      <sheetName val="Blr_hire35"/>
      <sheetName val="_bpl,oth_lia_35"/>
      <sheetName val="G_,and_adv_nce35"/>
      <sheetName val="I,Wip-ot__2)35"/>
      <sheetName val="det!il_WIP_(2)35"/>
      <sheetName val="de4ail_G-135"/>
      <sheetName val="sobha_mennn_ac35"/>
      <sheetName val="C_&amp;ix_asst35"/>
      <sheetName val="_x005f_x0003_dpl_oth_Lia`35"/>
      <sheetName val="TBAL9697__x005f_x000d_grotp_wise_35"/>
      <sheetName val="St_co_91_5lvl35"/>
      <sheetName val="3�AL9697_-group_wise__onpl38"/>
      <sheetName val="INPUT_SHEET35"/>
      <sheetName val="Stress_Calculation35"/>
      <sheetName val="Labor_abs-NMR35"/>
      <sheetName val="Sun_E_Type35"/>
      <sheetName val="CORPN_O?T35"/>
      <sheetName val="Fin_Sum35"/>
      <sheetName val="CORPN_O_x005f_x0000_T35"/>
      <sheetName val="TBAL9697__x000a_grotp_wise_35"/>
      <sheetName val="labour_coeff33"/>
      <sheetName val="Shuttering_Analysis33"/>
      <sheetName val="General_P+M33"/>
      <sheetName val="Curing_Analysis_33"/>
      <sheetName val="Concrete_P+M_(_RMC_)33"/>
      <sheetName val="P+M_(_SMC_)33"/>
      <sheetName val="P+M_-EW33"/>
      <sheetName val="P&amp;L_-_AD33"/>
      <sheetName val="SUPPLY_-Sanitary_Fixtures35"/>
      <sheetName val="ITEMS_FOR_CIVIL_TENDER35"/>
      <sheetName val="_x005f_x005f_x005f_x0003_dpl_oth_Lia`35"/>
      <sheetName val="TBAL9697__x005f_x005f_x005f_x000d_grotp_w35"/>
      <sheetName val="Fin__Assumpt__-_Sensitivities33"/>
      <sheetName val="LOAD_SHEET_33"/>
      <sheetName val="Fill_this_out_first___33"/>
      <sheetName val="Labour_productivity33"/>
      <sheetName val="RCC,Ret__Wall33"/>
      <sheetName val="CORPN_O35"/>
      <sheetName val="Area_&amp;_Cate__Master33"/>
      <sheetName val="Bill_No_533"/>
      <sheetName val="11B_33"/>
      <sheetName val="Structure_Bills_Qty33"/>
      <sheetName val="DG_35"/>
      <sheetName val="BOQ_(2)33"/>
      <sheetName val="Fee_Rate_Summary33"/>
      <sheetName val="Name_List33"/>
      <sheetName val="Detail_1A33"/>
      <sheetName val="Sheet_133"/>
      <sheetName val="3BPA00132-5-3_W_plan_HVPNL33"/>
      <sheetName val="Mix_Design33"/>
      <sheetName val="DLC_lookups33"/>
      <sheetName val="Driveway_Beams33"/>
      <sheetName val="TBAL9697__x005f_x000a_grotp_wise_33"/>
      <sheetName val="Quote_Sheet33"/>
      <sheetName val="d-safe_DELUXE33"/>
      <sheetName val="Works_-_Quote_Sheet33"/>
      <sheetName val="IO_LIST33"/>
      <sheetName val="TBAL9697__x005f_x000d_grotp_wis33"/>
      <sheetName val="Cat_A_Change_Control33"/>
      <sheetName val="Break_up_Sheet33"/>
      <sheetName val="Summary_of_P_&amp;_M33"/>
      <sheetName val="ISO_Reconcilation_Statment33"/>
      <sheetName val="AVG_pur_rate33"/>
      <sheetName val="Break_Dw33"/>
      <sheetName val="LIST_OF_MAKES33"/>
      <sheetName val="Assumption_Inputs33"/>
      <sheetName val="Civil_Works33"/>
      <sheetName val="Form_633"/>
      <sheetName val="acevsSp_(ABC)33"/>
      <sheetName val="A_O_R_33"/>
      <sheetName val="CORPN_O_x005f_x005f_x005f_x0000_T33"/>
      <sheetName val="220_11__BS_33"/>
      <sheetName val="FITZ_MORT_9433"/>
      <sheetName val="Intro_33"/>
      <sheetName val="BLOCK-A_(MEA_SHEET)33"/>
      <sheetName val="NLD_-_Assum33"/>
      <sheetName val="Section_Catalogue33"/>
      <sheetName val="TB9798OBPL06_(2)40"/>
      <sheetName val="CORPN_OCT40"/>
      <sheetName val="inout_consol-nov40"/>
      <sheetName val="inout_consol_(2)40"/>
      <sheetName val="AS_ON_DT_EXPS_Mar40"/>
      <sheetName val="fa-pl_&amp;_mach-site40"/>
      <sheetName val="fa_off_eqp40"/>
      <sheetName val="fa_fur&amp;_fix40"/>
      <sheetName val="fa-pl_&amp;_mach-Off40"/>
      <sheetName val="B_Equity-sdpl_INC40"/>
      <sheetName val="inout_consol_wkg40"/>
      <sheetName val="inout_consol_WKNG40"/>
      <sheetName val="B_Sheet_9740"/>
      <sheetName val="P&amp;L_97_40"/>
      <sheetName val="B_Sheet_97-BEXP40"/>
      <sheetName val="P&amp;L_97_-BEXP40"/>
      <sheetName val="consol_flows40"/>
      <sheetName val="sdpl_oth_Liab40"/>
      <sheetName val="obpl-oth_liab40"/>
      <sheetName val="G_land_advance40"/>
      <sheetName val="I-Wip-ot_(2)40"/>
      <sheetName val="detail_WIP_(2)40"/>
      <sheetName val="detail_G-140"/>
      <sheetName val="sobha_menon_ac40"/>
      <sheetName val="pnc_ac40"/>
      <sheetName val="fix_-p_&amp;_M_-SCC40"/>
      <sheetName val="C_fix_asst40"/>
      <sheetName val="D_fix_asst_scdl_40"/>
      <sheetName val="creditors_tb_obpl40"/>
      <sheetName val="TBAL9697_-group_wise__sdpl50"/>
      <sheetName val="TBAL9697_-group_wise_40"/>
      <sheetName val="crs_-G-140"/>
      <sheetName val="TBAL9697_-group_wise__onpl40"/>
      <sheetName val="B_Sheet_97-OBPL40"/>
      <sheetName val="B_Sheet_97_sdpl40"/>
      <sheetName val="TBAL9697_-group_wise__sdpl240"/>
      <sheetName val="inout_consol_jan40"/>
      <sheetName val="consol_flow40"/>
      <sheetName val="D_Loan__Prom40"/>
      <sheetName val="E_Bank_Loan40"/>
      <sheetName val="G_work_Cap40"/>
      <sheetName val="H_land_adv-dec40"/>
      <sheetName val="J_Con_WIP40"/>
      <sheetName val="detail_J40"/>
      <sheetName val="L_Oth_Co40"/>
      <sheetName val="K_fix_asst__40"/>
      <sheetName val="C_fix_asst-SDPL_40"/>
      <sheetName val="TBAL9697__group_wise__sdpl40"/>
      <sheetName val="inout_consol_okg40"/>
      <sheetName val="detail_OIP_(2)40"/>
      <sheetName val="D_fix_ysst_scdl_40"/>
      <sheetName val="cre`itors_tb_obpl40"/>
      <sheetName val="3AL9697_-group_wise__onpl40"/>
      <sheetName val="L_Oth_Bo39"/>
      <sheetName val="3‰AL9697_-group_wise__onpl39"/>
      <sheetName val="Civil_Boq39"/>
      <sheetName val="Staff_Acco_39"/>
      <sheetName val="SITE_OVERHEADS39"/>
      <sheetName val="PRECAST_lightconc-II37"/>
      <sheetName val="1__PayRec36"/>
      <sheetName val="Boq_Block_A39"/>
      <sheetName val="Cashflow_projection36"/>
      <sheetName val="Project-Material_39"/>
      <sheetName val="SPT_vs_PHI36"/>
      <sheetName val="key_dates36"/>
      <sheetName val="ino4t_conso,-nov36"/>
      <sheetName val="(nout_co,sol_(2)36"/>
      <sheetName val="Blr_hire36"/>
      <sheetName val="_bpl,oth_lia_36"/>
      <sheetName val="G_,and_adv_nce36"/>
      <sheetName val="I,Wip-ot__2)36"/>
      <sheetName val="det!il_WIP_(2)36"/>
      <sheetName val="de4ail_G-136"/>
      <sheetName val="sobha_mennn_ac36"/>
      <sheetName val="C_&amp;ix_asst36"/>
      <sheetName val="_x005f_x0003_dpl_oth_Lia`36"/>
      <sheetName val="TBAL9697__x005f_x000d_grotp_wise_36"/>
      <sheetName val="St_co_91_5lvl36"/>
      <sheetName val="3�AL9697_-group_wise__onpl39"/>
      <sheetName val="INPUT_SHEET36"/>
      <sheetName val="Stress_Calculation36"/>
      <sheetName val="Labor_abs-NMR36"/>
      <sheetName val="Sun_E_Type36"/>
      <sheetName val="CORPN_O?T36"/>
      <sheetName val="Fin_Sum36"/>
      <sheetName val="CORPN_O_x005f_x0000_T36"/>
      <sheetName val="TBAL9697__x000a_grotp_wise_36"/>
      <sheetName val="labour_coeff34"/>
      <sheetName val="Shuttering_Analysis34"/>
      <sheetName val="General_P+M34"/>
      <sheetName val="Curing_Analysis_34"/>
      <sheetName val="Concrete_P+M_(_RMC_)34"/>
      <sheetName val="P+M_(_SMC_)34"/>
      <sheetName val="P+M_-EW34"/>
      <sheetName val="P&amp;L_-_AD34"/>
      <sheetName val="SUPPLY_-Sanitary_Fixtures36"/>
      <sheetName val="ITEMS_FOR_CIVIL_TENDER36"/>
      <sheetName val="_x005f_x005f_x005f_x0003_dpl_oth_Lia`36"/>
      <sheetName val="TBAL9697__x005f_x005f_x005f_x000d_grotp_w36"/>
      <sheetName val="Fin__Assumpt__-_Sensitivities34"/>
      <sheetName val="LOAD_SHEET_34"/>
      <sheetName val="Fill_this_out_first___34"/>
      <sheetName val="Labour_productivity34"/>
      <sheetName val="RCC,Ret__Wall34"/>
      <sheetName val="CORPN_O36"/>
      <sheetName val="CORPN_O_T34"/>
      <sheetName val="Area_&amp;_Cate__Master34"/>
      <sheetName val="Bill_No_534"/>
      <sheetName val="11B_34"/>
      <sheetName val="Structure_Bills_Qty34"/>
      <sheetName val="DG_36"/>
      <sheetName val="BOQ_(2)34"/>
      <sheetName val="Fee_Rate_Summary34"/>
      <sheetName val="Name_List34"/>
      <sheetName val="Detail_1A34"/>
      <sheetName val="Sheet_134"/>
      <sheetName val="3BPA00132-5-3_W_plan_HVPNL34"/>
      <sheetName val="Mix_Design34"/>
      <sheetName val="DLC_lookups34"/>
      <sheetName val="Driveway_Beams34"/>
      <sheetName val="TBAL9697__x005f_x000a_grotp_wise_34"/>
      <sheetName val="Quote_Sheet34"/>
      <sheetName val="d-safe_DELUXE34"/>
      <sheetName val="Works_-_Quote_Sheet34"/>
      <sheetName val="IO_LIST34"/>
      <sheetName val="TBAL9697__x005f_x000d_grotp_wis34"/>
      <sheetName val="Cat_A_Change_Control34"/>
      <sheetName val="Break_up_Sheet34"/>
      <sheetName val="Summary_of_P_&amp;_M34"/>
      <sheetName val="ISO_Reconcilation_Statment34"/>
      <sheetName val="AVG_pur_rate34"/>
      <sheetName val="Break_Dw34"/>
      <sheetName val="LIST_OF_MAKES34"/>
      <sheetName val="Assumption_Inputs34"/>
      <sheetName val="Civil_Works34"/>
      <sheetName val="Form_634"/>
      <sheetName val="acevsSp_(ABC)34"/>
      <sheetName val="A_O_R_34"/>
      <sheetName val="CORPN_O_x005f_x005f_x005f_x0000_T34"/>
      <sheetName val="220_11__BS_34"/>
      <sheetName val="FITZ_MORT_9434"/>
      <sheetName val="Intro_34"/>
      <sheetName val="BLOCK-A_(MEA_SHEET)34"/>
      <sheetName val="NLD_-_Assum34"/>
      <sheetName val="Section_Catalogue34"/>
      <sheetName val="TB9798OBPL06_(2)41"/>
      <sheetName val="CORPN_OCT41"/>
      <sheetName val="inout_consol-nov41"/>
      <sheetName val="inout_consol_(2)41"/>
      <sheetName val="AS_ON_DT_EXPS_Mar41"/>
      <sheetName val="fa-pl_&amp;_mach-site41"/>
      <sheetName val="fa_off_eqp41"/>
      <sheetName val="fa_fur&amp;_fix41"/>
      <sheetName val="fa-pl_&amp;_mach-Off41"/>
      <sheetName val="B_Equity-sdpl_INC41"/>
      <sheetName val="inout_consol_wkg41"/>
      <sheetName val="inout_consol_WKNG41"/>
      <sheetName val="B_Sheet_9741"/>
      <sheetName val="P&amp;L_97_41"/>
      <sheetName val="B_Sheet_97-BEXP41"/>
      <sheetName val="P&amp;L_97_-BEXP41"/>
      <sheetName val="consol_flows41"/>
      <sheetName val="sdpl_oth_Liab41"/>
      <sheetName val="obpl-oth_liab41"/>
      <sheetName val="G_land_advance41"/>
      <sheetName val="I-Wip-ot_(2)41"/>
      <sheetName val="detail_WIP_(2)41"/>
      <sheetName val="detail_G-141"/>
      <sheetName val="sobha_menon_ac41"/>
      <sheetName val="pnc_ac41"/>
      <sheetName val="fix_-p_&amp;_M_-SCC41"/>
      <sheetName val="C_fix_asst41"/>
      <sheetName val="D_fix_asst_scdl_41"/>
      <sheetName val="creditors_tb_obpl41"/>
      <sheetName val="TBAL9697_-group_wise__sdpl51"/>
      <sheetName val="TBAL9697_-group_wise_41"/>
      <sheetName val="crs_-G-141"/>
      <sheetName val="TBAL9697_-group_wise__onpl41"/>
      <sheetName val="B_Sheet_97-OBPL41"/>
      <sheetName val="B_Sheet_97_sdpl41"/>
      <sheetName val="TBAL9697_-group_wise__sdpl241"/>
      <sheetName val="inout_consol_jan41"/>
      <sheetName val="consol_flow41"/>
      <sheetName val="D_Loan__Prom41"/>
      <sheetName val="E_Bank_Loan41"/>
      <sheetName val="G_work_Cap41"/>
      <sheetName val="H_land_adv-dec41"/>
      <sheetName val="J_Con_WIP41"/>
      <sheetName val="detail_J41"/>
      <sheetName val="L_Oth_Co41"/>
      <sheetName val="K_fix_asst__41"/>
      <sheetName val="C_fix_asst-SDPL_41"/>
      <sheetName val="TBAL9697__group_wise__sdpl41"/>
      <sheetName val="inout_consol_okg41"/>
      <sheetName val="detail_OIP_(2)41"/>
      <sheetName val="D_fix_ysst_scdl_41"/>
      <sheetName val="cre`itors_tb_obpl41"/>
      <sheetName val="3AL9697_-group_wise__onpl41"/>
      <sheetName val="L_Oth_Bo40"/>
      <sheetName val="3‰AL9697_-group_wise__onpl40"/>
      <sheetName val="Civil_Boq40"/>
      <sheetName val="Staff_Acco_40"/>
      <sheetName val="SITE_OVERHEADS40"/>
      <sheetName val="PRECAST_lightconc-II38"/>
      <sheetName val="1__PayRec37"/>
      <sheetName val="Boq_Block_A40"/>
      <sheetName val="Cashflow_projection37"/>
      <sheetName val="Project-Material_40"/>
      <sheetName val="SPT_vs_PHI37"/>
      <sheetName val="key_dates37"/>
      <sheetName val="ino4t_conso,-nov37"/>
      <sheetName val="(nout_co,sol_(2)37"/>
      <sheetName val="Blr_hire37"/>
      <sheetName val="_bpl,oth_lia_37"/>
      <sheetName val="G_,and_adv_nce37"/>
      <sheetName val="I,Wip-ot__2)37"/>
      <sheetName val="det!il_WIP_(2)37"/>
      <sheetName val="de4ail_G-137"/>
      <sheetName val="sobha_mennn_ac37"/>
      <sheetName val="C_&amp;ix_asst37"/>
      <sheetName val="_x005f_x0003_dpl_oth_Lia`37"/>
      <sheetName val="TBAL9697__x005f_x000d_grotp_wise_37"/>
      <sheetName val="St_co_91_5lvl37"/>
      <sheetName val="3�AL9697_-group_wise__onpl40"/>
      <sheetName val="INPUT_SHEET37"/>
      <sheetName val="Stress_Calculation37"/>
      <sheetName val="Labor_abs-NMR37"/>
      <sheetName val="Sun_E_Type37"/>
      <sheetName val="CORPN_O?T37"/>
      <sheetName val="Fin_Sum37"/>
      <sheetName val="CORPN_O_x005f_x0000_T37"/>
      <sheetName val="TBAL9697__x000a_grotp_wise_37"/>
      <sheetName val="labour_coeff35"/>
      <sheetName val="Shuttering_Analysis35"/>
      <sheetName val="General_P+M35"/>
      <sheetName val="Curing_Analysis_35"/>
      <sheetName val="Concrete_P+M_(_RMC_)35"/>
      <sheetName val="P+M_(_SMC_)35"/>
      <sheetName val="P+M_-EW35"/>
      <sheetName val="P&amp;L_-_AD35"/>
      <sheetName val="SUPPLY_-Sanitary_Fixtures37"/>
      <sheetName val="ITEMS_FOR_CIVIL_TENDER37"/>
      <sheetName val="_x005f_x005f_x005f_x0003_dpl_oth_Lia`37"/>
      <sheetName val="TBAL9697__x005f_x005f_x005f_x000d_grotp_w37"/>
      <sheetName val="Fin__Assumpt__-_Sensitivities35"/>
      <sheetName val="LOAD_SHEET_35"/>
      <sheetName val="Fill_this_out_first___35"/>
      <sheetName val="Labour_productivity35"/>
      <sheetName val="RCC,Ret__Wall35"/>
      <sheetName val="CORPN_O37"/>
      <sheetName val="CORPN_O_T35"/>
      <sheetName val="Area_&amp;_Cate__Master35"/>
      <sheetName val="Bill_No_535"/>
      <sheetName val="11B_35"/>
      <sheetName val="Structure_Bills_Qty35"/>
      <sheetName val="DG_37"/>
      <sheetName val="BOQ_(2)35"/>
      <sheetName val="Fee_Rate_Summary35"/>
      <sheetName val="Name_List35"/>
      <sheetName val="Detail_1A35"/>
      <sheetName val="Sheet_135"/>
      <sheetName val="3BPA00132-5-3_W_plan_HVPNL35"/>
      <sheetName val="Mix_Design35"/>
      <sheetName val="DLC_lookups35"/>
      <sheetName val="Driveway_Beams35"/>
      <sheetName val="TBAL9697__x005f_x000a_grotp_wise_35"/>
      <sheetName val="Quote_Sheet35"/>
      <sheetName val="d-safe_DELUXE35"/>
      <sheetName val="Works_-_Quote_Sheet35"/>
      <sheetName val="IO_LIST35"/>
      <sheetName val="TBAL9697__x005f_x000d_grotp_wis35"/>
      <sheetName val="Cat_A_Change_Control35"/>
      <sheetName val="Break_up_Sheet35"/>
      <sheetName val="Summary_of_P_&amp;_M35"/>
      <sheetName val="ISO_Reconcilation_Statment35"/>
      <sheetName val="AVG_pur_rate35"/>
      <sheetName val="Break_Dw35"/>
      <sheetName val="LIST_OF_MAKES35"/>
      <sheetName val="Assumption_Inputs35"/>
      <sheetName val="Civil_Works35"/>
      <sheetName val="Form_635"/>
      <sheetName val="acevsSp_(ABC)35"/>
      <sheetName val="A_O_R_35"/>
      <sheetName val="CORPN_O_x005f_x005f_x005f_x0000_T35"/>
      <sheetName val="220_11__BS_35"/>
      <sheetName val="FITZ_MORT_9435"/>
      <sheetName val="Intro_35"/>
      <sheetName val="BLOCK-A_(MEA_SHEET)35"/>
      <sheetName val="NLD_-_Assum35"/>
      <sheetName val="Section_Catalogue35"/>
      <sheetName val="TB9798OBPL06_(2)43"/>
      <sheetName val="CORPN_OCT43"/>
      <sheetName val="inout_consol-nov43"/>
      <sheetName val="inout_consol_(2)43"/>
      <sheetName val="AS_ON_DT_EXPS_Mar43"/>
      <sheetName val="fa-pl_&amp;_mach-site43"/>
      <sheetName val="fa_off_eqp43"/>
      <sheetName val="fa_fur&amp;_fix43"/>
      <sheetName val="fa-pl_&amp;_mach-Off43"/>
      <sheetName val="B_Equity-sdpl_INC43"/>
      <sheetName val="inout_consol_wkg43"/>
      <sheetName val="inout_consol_WKNG43"/>
      <sheetName val="B_Sheet_9743"/>
      <sheetName val="P&amp;L_97_43"/>
      <sheetName val="B_Sheet_97-BEXP43"/>
      <sheetName val="P&amp;L_97_-BEXP43"/>
      <sheetName val="consol_flows43"/>
      <sheetName val="sdpl_oth_Liab43"/>
      <sheetName val="obpl-oth_liab43"/>
      <sheetName val="G_land_advance43"/>
      <sheetName val="I-Wip-ot_(2)43"/>
      <sheetName val="detail_WIP_(2)43"/>
      <sheetName val="detail_G-143"/>
      <sheetName val="sobha_menon_ac43"/>
      <sheetName val="pnc_ac43"/>
      <sheetName val="fix_-p_&amp;_M_-SCC43"/>
      <sheetName val="C_fix_asst43"/>
      <sheetName val="D_fix_asst_scdl_43"/>
      <sheetName val="creditors_tb_obpl43"/>
      <sheetName val="TBAL9697_-group_wise__sdpl53"/>
      <sheetName val="TBAL9697_-group_wise_43"/>
      <sheetName val="crs_-G-143"/>
      <sheetName val="TBAL9697_-group_wise__onpl43"/>
      <sheetName val="B_Sheet_97-OBPL43"/>
      <sheetName val="B_Sheet_97_sdpl43"/>
      <sheetName val="TBAL9697_-group_wise__sdpl243"/>
      <sheetName val="inout_consol_jan43"/>
      <sheetName val="consol_flow43"/>
      <sheetName val="D_Loan__Prom43"/>
      <sheetName val="E_Bank_Loan43"/>
      <sheetName val="G_work_Cap43"/>
      <sheetName val="H_land_adv-dec43"/>
      <sheetName val="J_Con_WIP43"/>
      <sheetName val="detail_J43"/>
      <sheetName val="L_Oth_Co43"/>
      <sheetName val="K_fix_asst__43"/>
      <sheetName val="C_fix_asst-SDPL_43"/>
      <sheetName val="TBAL9697__group_wise__sdpl43"/>
      <sheetName val="inout_consol_okg43"/>
      <sheetName val="detail_OIP_(2)43"/>
      <sheetName val="D_fix_ysst_scdl_43"/>
      <sheetName val="cre`itors_tb_obpl43"/>
      <sheetName val="3AL9697_-group_wise__onpl43"/>
      <sheetName val="L_Oth_Bo42"/>
      <sheetName val="3‰AL9697_-group_wise__onpl42"/>
      <sheetName val="Civil_Boq42"/>
      <sheetName val="Staff_Acco_42"/>
      <sheetName val="SITE_OVERHEADS42"/>
      <sheetName val="PRECAST_lightconc-II40"/>
      <sheetName val="1__PayRec39"/>
      <sheetName val="Boq_Block_A42"/>
      <sheetName val="Cashflow_projection39"/>
      <sheetName val="Project-Material_42"/>
      <sheetName val="SPT_vs_PHI39"/>
      <sheetName val="key_dates39"/>
      <sheetName val="ino4t_conso,-nov39"/>
      <sheetName val="(nout_co,sol_(2)39"/>
      <sheetName val="Blr_hire39"/>
      <sheetName val="_bpl,oth_lia_39"/>
      <sheetName val="G_,and_adv_nce39"/>
      <sheetName val="I,Wip-ot__2)39"/>
      <sheetName val="det!il_WIP_(2)39"/>
      <sheetName val="de4ail_G-139"/>
      <sheetName val="sobha_mennn_ac39"/>
      <sheetName val="C_&amp;ix_asst39"/>
      <sheetName val="_x005f_x0003_dpl_oth_Lia`39"/>
      <sheetName val="TBAL9697__x005f_x000d_grotp_wise_39"/>
      <sheetName val="St_co_91_5lvl39"/>
      <sheetName val="3�AL9697_-group_wise__onpl42"/>
      <sheetName val="INPUT_SHEET39"/>
      <sheetName val="Stress_Calculation39"/>
      <sheetName val="Labor_abs-NMR39"/>
      <sheetName val="Sun_E_Type39"/>
      <sheetName val="CORPN_O?T39"/>
      <sheetName val="Fin_Sum39"/>
      <sheetName val="CORPN_O_x005f_x0000_T39"/>
      <sheetName val="TBAL9697__x000a_grotp_wise_39"/>
      <sheetName val="labour_coeff37"/>
      <sheetName val="Shuttering_Analysis37"/>
      <sheetName val="General_P+M37"/>
      <sheetName val="Curing_Analysis_37"/>
      <sheetName val="Concrete_P+M_(_RMC_)37"/>
      <sheetName val="P+M_(_SMC_)37"/>
      <sheetName val="P+M_-EW37"/>
      <sheetName val="P&amp;L_-_AD37"/>
      <sheetName val="SUPPLY_-Sanitary_Fixtures39"/>
      <sheetName val="ITEMS_FOR_CIVIL_TENDER39"/>
      <sheetName val="_x005f_x005f_x005f_x0003_dpl_oth_Lia`39"/>
      <sheetName val="TBAL9697__x005f_x005f_x005f_x000d_grotp_w39"/>
      <sheetName val="Fin__Assumpt__-_Sensitivities37"/>
      <sheetName val="LOAD_SHEET_37"/>
      <sheetName val="Fill_this_out_first___37"/>
      <sheetName val="Labour_productivity37"/>
      <sheetName val="RCC,Ret__Wall37"/>
      <sheetName val="CORPN_O39"/>
      <sheetName val="CORPN_O_T37"/>
      <sheetName val="Area_&amp;_Cate__Master37"/>
      <sheetName val="Bill_No_537"/>
      <sheetName val="11B_37"/>
      <sheetName val="Structure_Bills_Qty37"/>
      <sheetName val="DG_39"/>
      <sheetName val="BOQ_(2)37"/>
      <sheetName val="Fee_Rate_Summary37"/>
      <sheetName val="Name_List37"/>
      <sheetName val="Detail_1A37"/>
      <sheetName val="Sheet_137"/>
      <sheetName val="3BPA00132-5-3_W_plan_HVPNL37"/>
      <sheetName val="Mix_Design37"/>
      <sheetName val="DLC_lookups37"/>
      <sheetName val="Driveway_Beams37"/>
      <sheetName val="TBAL9697__x005f_x000a_grotp_wise_37"/>
      <sheetName val="Quote_Sheet37"/>
      <sheetName val="d-safe_DELUXE37"/>
      <sheetName val="Works_-_Quote_Sheet37"/>
      <sheetName val="IO_LIST37"/>
      <sheetName val="TBAL9697__x005f_x000d_grotp_wis37"/>
      <sheetName val="Cat_A_Change_Control37"/>
      <sheetName val="Break_up_Sheet37"/>
      <sheetName val="Summary_of_P_&amp;_M37"/>
      <sheetName val="ISO_Reconcilation_Statment37"/>
      <sheetName val="AVG_pur_rate37"/>
      <sheetName val="Break_Dw37"/>
      <sheetName val="LIST_OF_MAKES37"/>
      <sheetName val="Assumption_Inputs37"/>
      <sheetName val="Civil_Works37"/>
      <sheetName val="Form_637"/>
      <sheetName val="acevsSp_(ABC)37"/>
      <sheetName val="A_O_R_37"/>
      <sheetName val="CORPN_O_x005f_x005f_x005f_x0000_T37"/>
      <sheetName val="220_11__BS_37"/>
      <sheetName val="FITZ_MORT_9437"/>
      <sheetName val="Intro_37"/>
      <sheetName val="BLOCK-A_(MEA_SHEET)37"/>
      <sheetName val="NLD_-_Assum37"/>
      <sheetName val="Section_Catalogue37"/>
      <sheetName val="TB9798OBPL06_(2)42"/>
      <sheetName val="CORPN_OCT42"/>
      <sheetName val="inout_consol-nov42"/>
      <sheetName val="inout_consol_(2)42"/>
      <sheetName val="AS_ON_DT_EXPS_Mar42"/>
      <sheetName val="fa-pl_&amp;_mach-site42"/>
      <sheetName val="fa_off_eqp42"/>
      <sheetName val="fa_fur&amp;_fix42"/>
      <sheetName val="fa-pl_&amp;_mach-Off42"/>
      <sheetName val="B_Equity-sdpl_INC42"/>
      <sheetName val="inout_consol_wkg42"/>
      <sheetName val="inout_consol_WKNG42"/>
      <sheetName val="B_Sheet_9742"/>
      <sheetName val="P&amp;L_97_42"/>
      <sheetName val="B_Sheet_97-BEXP42"/>
      <sheetName val="P&amp;L_97_-BEXP42"/>
      <sheetName val="consol_flows42"/>
      <sheetName val="sdpl_oth_Liab42"/>
      <sheetName val="obpl-oth_liab42"/>
      <sheetName val="G_land_advance42"/>
      <sheetName val="I-Wip-ot_(2)42"/>
      <sheetName val="detail_WIP_(2)42"/>
      <sheetName val="detail_G-142"/>
      <sheetName val="sobha_menon_ac42"/>
      <sheetName val="pnc_ac42"/>
      <sheetName val="fix_-p_&amp;_M_-SCC42"/>
      <sheetName val="C_fix_asst42"/>
      <sheetName val="D_fix_asst_scdl_42"/>
      <sheetName val="creditors_tb_obpl42"/>
      <sheetName val="TBAL9697_-group_wise__sdpl52"/>
      <sheetName val="TBAL9697_-group_wise_42"/>
      <sheetName val="crs_-G-142"/>
      <sheetName val="TBAL9697_-group_wise__onpl42"/>
      <sheetName val="B_Sheet_97-OBPL42"/>
      <sheetName val="B_Sheet_97_sdpl42"/>
      <sheetName val="TBAL9697_-group_wise__sdpl242"/>
      <sheetName val="inout_consol_jan42"/>
      <sheetName val="consol_flow42"/>
      <sheetName val="D_Loan__Prom42"/>
      <sheetName val="E_Bank_Loan42"/>
      <sheetName val="G_work_Cap42"/>
      <sheetName val="H_land_adv-dec42"/>
      <sheetName val="J_Con_WIP42"/>
      <sheetName val="detail_J42"/>
      <sheetName val="L_Oth_Co42"/>
      <sheetName val="K_fix_asst__42"/>
      <sheetName val="C_fix_asst-SDPL_42"/>
      <sheetName val="TBAL9697__group_wise__sdpl42"/>
      <sheetName val="inout_consol_okg42"/>
      <sheetName val="detail_OIP_(2)42"/>
      <sheetName val="D_fix_ysst_scdl_42"/>
      <sheetName val="cre`itors_tb_obpl42"/>
      <sheetName val="3AL9697_-group_wise__onpl42"/>
      <sheetName val="L_Oth_Bo41"/>
      <sheetName val="3‰AL9697_-group_wise__onpl41"/>
      <sheetName val="Civil_Boq41"/>
      <sheetName val="Staff_Acco_41"/>
      <sheetName val="SITE_OVERHEADS41"/>
      <sheetName val="PRECAST_lightconc-II39"/>
      <sheetName val="1__PayRec38"/>
      <sheetName val="Boq_Block_A41"/>
      <sheetName val="Cashflow_projection38"/>
      <sheetName val="Project-Material_41"/>
      <sheetName val="SPT_vs_PHI38"/>
      <sheetName val="key_dates38"/>
      <sheetName val="ino4t_conso,-nov38"/>
      <sheetName val="(nout_co,sol_(2)38"/>
      <sheetName val="Blr_hire38"/>
      <sheetName val="_bpl,oth_lia_38"/>
      <sheetName val="G_,and_adv_nce38"/>
      <sheetName val="I,Wip-ot__2)38"/>
      <sheetName val="det!il_WIP_(2)38"/>
      <sheetName val="de4ail_G-138"/>
      <sheetName val="sobha_mennn_ac38"/>
      <sheetName val="C_&amp;ix_asst38"/>
      <sheetName val="_x005f_x0003_dpl_oth_Lia`38"/>
      <sheetName val="TBAL9697__x005f_x000d_grotp_wise_38"/>
      <sheetName val="St_co_91_5lvl38"/>
      <sheetName val="3�AL9697_-group_wise__onpl41"/>
      <sheetName val="INPUT_SHEET38"/>
      <sheetName val="Stress_Calculation38"/>
      <sheetName val="Labor_abs-NMR38"/>
      <sheetName val="Sun_E_Type38"/>
      <sheetName val="CORPN_O?T38"/>
      <sheetName val="Fin_Sum38"/>
      <sheetName val="CORPN_O_x005f_x0000_T38"/>
      <sheetName val="TBAL9697__x000a_grotp_wise_38"/>
      <sheetName val="labour_coeff36"/>
      <sheetName val="Shuttering_Analysis36"/>
      <sheetName val="General_P+M36"/>
      <sheetName val="Curing_Analysis_36"/>
      <sheetName val="Concrete_P+M_(_RMC_)36"/>
      <sheetName val="P+M_(_SMC_)36"/>
      <sheetName val="P+M_-EW36"/>
      <sheetName val="P&amp;L_-_AD36"/>
      <sheetName val="SUPPLY_-Sanitary_Fixtures38"/>
      <sheetName val="ITEMS_FOR_CIVIL_TENDER38"/>
      <sheetName val="_x005f_x005f_x005f_x0003_dpl_oth_Lia`38"/>
      <sheetName val="TBAL9697__x005f_x005f_x005f_x000d_grotp_w38"/>
      <sheetName val="Fin__Assumpt__-_Sensitivities36"/>
      <sheetName val="LOAD_SHEET_36"/>
      <sheetName val="Fill_this_out_first___36"/>
      <sheetName val="Labour_productivity36"/>
      <sheetName val="RCC,Ret__Wall36"/>
      <sheetName val="CORPN_O38"/>
      <sheetName val="CORPN_O_T36"/>
      <sheetName val="Area_&amp;_Cate__Master36"/>
      <sheetName val="Bill_No_536"/>
      <sheetName val="11B_36"/>
      <sheetName val="Structure_Bills_Qty36"/>
      <sheetName val="DG_38"/>
      <sheetName val="BOQ_(2)36"/>
      <sheetName val="Fee_Rate_Summary36"/>
      <sheetName val="Name_List36"/>
      <sheetName val="Detail_1A36"/>
      <sheetName val="Sheet_136"/>
      <sheetName val="3BPA00132-5-3_W_plan_HVPNL36"/>
      <sheetName val="Mix_Design36"/>
      <sheetName val="DLC_lookups36"/>
      <sheetName val="Driveway_Beams36"/>
      <sheetName val="TBAL9697__x005f_x000a_grotp_wise_36"/>
      <sheetName val="Quote_Sheet36"/>
      <sheetName val="d-safe_DELUXE36"/>
      <sheetName val="Works_-_Quote_Sheet36"/>
      <sheetName val="IO_LIST36"/>
      <sheetName val="TBAL9697__x005f_x000d_grotp_wis36"/>
      <sheetName val="Cat_A_Change_Control36"/>
      <sheetName val="Break_up_Sheet36"/>
      <sheetName val="Summary_of_P_&amp;_M36"/>
      <sheetName val="ISO_Reconcilation_Statment36"/>
      <sheetName val="AVG_pur_rate36"/>
      <sheetName val="Break_Dw36"/>
      <sheetName val="LIST_OF_MAKES36"/>
      <sheetName val="Assumption_Inputs36"/>
      <sheetName val="Civil_Works36"/>
      <sheetName val="Form_636"/>
      <sheetName val="acevsSp_(ABC)36"/>
      <sheetName val="A_O_R_36"/>
      <sheetName val="CORPN_O_x005f_x005f_x005f_x0000_T36"/>
      <sheetName val="220_11__BS_36"/>
      <sheetName val="FITZ_MORT_9436"/>
      <sheetName val="Intro_36"/>
      <sheetName val="BLOCK-A_(MEA_SHEET)36"/>
      <sheetName val="NLD_-_Assum36"/>
      <sheetName val="Section_Catalogue36"/>
      <sheetName val="TB9798OBPL06_(2)44"/>
      <sheetName val="CORPN_OCT44"/>
      <sheetName val="inout_consol-nov44"/>
      <sheetName val="inout_consol_(2)44"/>
      <sheetName val="AS_ON_DT_EXPS_Mar44"/>
      <sheetName val="fa-pl_&amp;_mach-site44"/>
      <sheetName val="fa_off_eqp44"/>
      <sheetName val="fa_fur&amp;_fix44"/>
      <sheetName val="fa-pl_&amp;_mach-Off44"/>
      <sheetName val="B_Equity-sdpl_INC44"/>
      <sheetName val="inout_consol_wkg44"/>
      <sheetName val="inout_consol_WKNG44"/>
      <sheetName val="B_Sheet_9744"/>
      <sheetName val="P&amp;L_97_44"/>
      <sheetName val="B_Sheet_97-BEXP44"/>
      <sheetName val="P&amp;L_97_-BEXP44"/>
      <sheetName val="consol_flows44"/>
      <sheetName val="sdpl_oth_Liab44"/>
      <sheetName val="obpl-oth_liab44"/>
      <sheetName val="G_land_advance44"/>
      <sheetName val="I-Wip-ot_(2)44"/>
      <sheetName val="detail_WIP_(2)44"/>
      <sheetName val="detail_G-144"/>
      <sheetName val="sobha_menon_ac44"/>
      <sheetName val="pnc_ac44"/>
      <sheetName val="fix_-p_&amp;_M_-SCC44"/>
      <sheetName val="C_fix_asst44"/>
      <sheetName val="D_fix_asst_scdl_44"/>
      <sheetName val="creditors_tb_obpl44"/>
      <sheetName val="TBAL9697_-group_wise__sdpl54"/>
      <sheetName val="TBAL9697_-group_wise_44"/>
      <sheetName val="crs_-G-144"/>
      <sheetName val="TBAL9697_-group_wise__onpl44"/>
      <sheetName val="B_Sheet_97-OBPL44"/>
      <sheetName val="B_Sheet_97_sdpl44"/>
      <sheetName val="TBAL9697_-group_wise__sdpl244"/>
      <sheetName val="inout_consol_jan44"/>
      <sheetName val="consol_flow44"/>
      <sheetName val="D_Loan__Prom44"/>
      <sheetName val="E_Bank_Loan44"/>
      <sheetName val="G_work_Cap44"/>
      <sheetName val="H_land_adv-dec44"/>
      <sheetName val="J_Con_WIP44"/>
      <sheetName val="detail_J44"/>
      <sheetName val="L_Oth_Co44"/>
      <sheetName val="K_fix_asst__44"/>
      <sheetName val="C_fix_asst-SDPL_44"/>
      <sheetName val="TBAL9697__group_wise__sdpl44"/>
      <sheetName val="inout_consol_okg44"/>
      <sheetName val="detail_OIP_(2)44"/>
      <sheetName val="D_fix_ysst_scdl_44"/>
      <sheetName val="cre`itors_tb_obpl44"/>
      <sheetName val="3AL9697_-group_wise__onpl44"/>
      <sheetName val="L_Oth_Bo43"/>
      <sheetName val="3‰AL9697_-group_wise__onpl43"/>
      <sheetName val="Civil_Boq43"/>
      <sheetName val="Staff_Acco_43"/>
      <sheetName val="SITE_OVERHEADS43"/>
      <sheetName val="PRECAST_lightconc-II41"/>
      <sheetName val="1__PayRec40"/>
      <sheetName val="Boq_Block_A43"/>
      <sheetName val="Cashflow_projection40"/>
      <sheetName val="Project-Material_43"/>
      <sheetName val="SPT_vs_PHI40"/>
      <sheetName val="key_dates40"/>
      <sheetName val="ino4t_conso,-nov40"/>
      <sheetName val="(nout_co,sol_(2)40"/>
      <sheetName val="Blr_hire40"/>
      <sheetName val="_bpl,oth_lia_40"/>
      <sheetName val="G_,and_adv_nce40"/>
      <sheetName val="I,Wip-ot__2)40"/>
      <sheetName val="det!il_WIP_(2)40"/>
      <sheetName val="de4ail_G-140"/>
      <sheetName val="sobha_mennn_ac40"/>
      <sheetName val="C_&amp;ix_asst40"/>
      <sheetName val="_x005f_x0003_dpl_oth_Lia`40"/>
      <sheetName val="TBAL9697__x005f_x000d_grotp_wise_40"/>
      <sheetName val="St_co_91_5lvl40"/>
      <sheetName val="3�AL9697_-group_wise__onpl43"/>
      <sheetName val="INPUT_SHEET40"/>
      <sheetName val="Stress_Calculation40"/>
      <sheetName val="Labor_abs-NMR40"/>
      <sheetName val="Sun_E_Type40"/>
      <sheetName val="CORPN_O?T40"/>
      <sheetName val="Fin_Sum40"/>
      <sheetName val="CORPN_O_x005f_x0000_T40"/>
      <sheetName val="TBAL9697__x000a_grotp_wise_40"/>
      <sheetName val="labour_coeff38"/>
      <sheetName val="Shuttering_Analysis38"/>
      <sheetName val="General_P+M38"/>
      <sheetName val="Curing_Analysis_38"/>
      <sheetName val="Concrete_P+M_(_RMC_)38"/>
      <sheetName val="P+M_(_SMC_)38"/>
      <sheetName val="P+M_-EW38"/>
      <sheetName val="P&amp;L_-_AD38"/>
      <sheetName val="SUPPLY_-Sanitary_Fixtures40"/>
      <sheetName val="ITEMS_FOR_CIVIL_TENDER40"/>
      <sheetName val="_x005f_x005f_x005f_x0003_dpl_oth_Lia`40"/>
      <sheetName val="TBAL9697__x005f_x005f_x005f_x000d_grotp_w40"/>
      <sheetName val="Fin__Assumpt__-_Sensitivities38"/>
      <sheetName val="LOAD_SHEET_38"/>
      <sheetName val="Fill_this_out_first___38"/>
      <sheetName val="Labour_productivity38"/>
      <sheetName val="RCC,Ret__Wall38"/>
      <sheetName val="CORPN_O40"/>
      <sheetName val="CORPN_O_T38"/>
      <sheetName val="Area_&amp;_Cate__Master38"/>
      <sheetName val="Bill_No_538"/>
      <sheetName val="11B_38"/>
      <sheetName val="Structure_Bills_Qty38"/>
      <sheetName val="DG_40"/>
      <sheetName val="BOQ_(2)38"/>
      <sheetName val="Fee_Rate_Summary38"/>
      <sheetName val="Name_List38"/>
      <sheetName val="Detail_1A38"/>
      <sheetName val="Sheet_138"/>
      <sheetName val="3BPA00132-5-3_W_plan_HVPNL38"/>
      <sheetName val="Mix_Design38"/>
      <sheetName val="DLC_lookups38"/>
      <sheetName val="Driveway_Beams38"/>
      <sheetName val="TBAL9697__x005f_x000a_grotp_wise_38"/>
      <sheetName val="Quote_Sheet38"/>
      <sheetName val="d-safe_DELUXE38"/>
      <sheetName val="Works_-_Quote_Sheet38"/>
      <sheetName val="IO_LIST38"/>
      <sheetName val="TBAL9697__x005f_x000d_grotp_wis38"/>
      <sheetName val="Cat_A_Change_Control38"/>
      <sheetName val="Break_up_Sheet38"/>
      <sheetName val="Summary_of_P_&amp;_M38"/>
      <sheetName val="ISO_Reconcilation_Statment38"/>
      <sheetName val="AVG_pur_rate38"/>
      <sheetName val="Break_Dw38"/>
      <sheetName val="LIST_OF_MAKES38"/>
      <sheetName val="Assumption_Inputs38"/>
      <sheetName val="Civil_Works38"/>
      <sheetName val="Form_638"/>
      <sheetName val="acevsSp_(ABC)38"/>
      <sheetName val="A_O_R_38"/>
      <sheetName val="CORPN_O_x005f_x005f_x005f_x0000_T38"/>
      <sheetName val="220_11__BS_38"/>
      <sheetName val="FITZ_MORT_9438"/>
      <sheetName val="Intro_38"/>
      <sheetName val="BLOCK-A_(MEA_SHEET)38"/>
      <sheetName val="NLD_-_Assum38"/>
      <sheetName val="Section_Catalogue38"/>
      <sheetName val="TB9798OBPL06_(2)46"/>
      <sheetName val="CORPN_OCT46"/>
      <sheetName val="inout_consol-nov46"/>
      <sheetName val="inout_consol_(2)46"/>
      <sheetName val="AS_ON_DT_EXPS_Mar46"/>
      <sheetName val="fa-pl_&amp;_mach-site46"/>
      <sheetName val="fa_off_eqp46"/>
      <sheetName val="fa_fur&amp;_fix46"/>
      <sheetName val="fa-pl_&amp;_mach-Off46"/>
      <sheetName val="B_Equity-sdpl_INC46"/>
      <sheetName val="inout_consol_wkg46"/>
      <sheetName val="inout_consol_WKNG46"/>
      <sheetName val="B_Sheet_9746"/>
      <sheetName val="P&amp;L_97_46"/>
      <sheetName val="B_Sheet_97-BEXP46"/>
      <sheetName val="P&amp;L_97_-BEXP46"/>
      <sheetName val="consol_flows46"/>
      <sheetName val="sdpl_oth_Liab46"/>
      <sheetName val="obpl-oth_liab46"/>
      <sheetName val="G_land_advance46"/>
      <sheetName val="I-Wip-ot_(2)46"/>
      <sheetName val="detail_WIP_(2)46"/>
      <sheetName val="detail_G-146"/>
      <sheetName val="sobha_menon_ac46"/>
      <sheetName val="pnc_ac46"/>
      <sheetName val="fix_-p_&amp;_M_-SCC46"/>
      <sheetName val="C_fix_asst46"/>
      <sheetName val="D_fix_asst_scdl_46"/>
      <sheetName val="creditors_tb_obpl46"/>
      <sheetName val="TBAL9697_-group_wise__sdpl56"/>
      <sheetName val="TBAL9697_-group_wise_46"/>
      <sheetName val="crs_-G-146"/>
      <sheetName val="TBAL9697_-group_wise__onpl46"/>
      <sheetName val="B_Sheet_97-OBPL46"/>
      <sheetName val="B_Sheet_97_sdpl46"/>
      <sheetName val="TBAL9697_-group_wise__sdpl246"/>
      <sheetName val="inout_consol_jan46"/>
      <sheetName val="consol_flow46"/>
      <sheetName val="D_Loan__Prom46"/>
      <sheetName val="E_Bank_Loan46"/>
      <sheetName val="G_work_Cap46"/>
      <sheetName val="H_land_adv-dec46"/>
      <sheetName val="J_Con_WIP46"/>
      <sheetName val="detail_J46"/>
      <sheetName val="L_Oth_Co46"/>
      <sheetName val="K_fix_asst__46"/>
      <sheetName val="C_fix_asst-SDPL_46"/>
      <sheetName val="TBAL9697__group_wise__sdpl46"/>
      <sheetName val="inout_consol_okg46"/>
      <sheetName val="detail_OIP_(2)46"/>
      <sheetName val="D_fix_ysst_scdl_46"/>
      <sheetName val="cre`itors_tb_obpl46"/>
      <sheetName val="3AL9697_-group_wise__onpl46"/>
      <sheetName val="L_Oth_Bo45"/>
      <sheetName val="3‰AL9697_-group_wise__onpl45"/>
      <sheetName val="Civil_Boq45"/>
      <sheetName val="Staff_Acco_45"/>
      <sheetName val="SITE_OVERHEADS45"/>
      <sheetName val="PRECAST_lightconc-II43"/>
      <sheetName val="1__PayRec42"/>
      <sheetName val="Boq_Block_A45"/>
      <sheetName val="Cashflow_projection42"/>
      <sheetName val="Project-Material_45"/>
      <sheetName val="SPT_vs_PHI42"/>
      <sheetName val="key_dates42"/>
      <sheetName val="ino4t_conso,-nov42"/>
      <sheetName val="(nout_co,sol_(2)42"/>
      <sheetName val="Blr_hire42"/>
      <sheetName val="_bpl,oth_lia_42"/>
      <sheetName val="G_,and_adv_nce42"/>
      <sheetName val="I,Wip-ot__2)42"/>
      <sheetName val="det!il_WIP_(2)42"/>
      <sheetName val="de4ail_G-142"/>
      <sheetName val="sobha_mennn_ac42"/>
      <sheetName val="C_&amp;ix_asst42"/>
      <sheetName val="_x005f_x0003_dpl_oth_Lia`42"/>
      <sheetName val="TBAL9697__x005f_x000d_grotp_wise_42"/>
      <sheetName val="St_co_91_5lvl42"/>
      <sheetName val="3�AL9697_-group_wise__onpl45"/>
      <sheetName val="INPUT_SHEET42"/>
      <sheetName val="Stress_Calculation42"/>
      <sheetName val="Labor_abs-NMR42"/>
      <sheetName val="Sun_E_Type42"/>
      <sheetName val="CORPN_O?T42"/>
      <sheetName val="Fin_Sum42"/>
      <sheetName val="CORPN_O_x005f_x0000_T42"/>
      <sheetName val="TBAL9697__x000a_grotp_wise_42"/>
      <sheetName val="labour_coeff40"/>
      <sheetName val="Shuttering_Analysis40"/>
      <sheetName val="General_P+M40"/>
      <sheetName val="Curing_Analysis_40"/>
      <sheetName val="Concrete_P+M_(_RMC_)40"/>
      <sheetName val="P+M_(_SMC_)40"/>
      <sheetName val="P+M_-EW40"/>
      <sheetName val="P&amp;L_-_AD40"/>
      <sheetName val="SUPPLY_-Sanitary_Fixtures42"/>
      <sheetName val="ITEMS_FOR_CIVIL_TENDER42"/>
      <sheetName val="_x005f_x005f_x005f_x0003_dpl_oth_Lia`42"/>
      <sheetName val="TBAL9697__x005f_x005f_x005f_x000d_grotp_w42"/>
      <sheetName val="Fin__Assumpt__-_Sensitivities40"/>
      <sheetName val="LOAD_SHEET_40"/>
      <sheetName val="Fill_this_out_first___40"/>
      <sheetName val="Labour_productivity40"/>
      <sheetName val="RCC,Ret__Wall40"/>
      <sheetName val="CORPN_O42"/>
      <sheetName val="CORPN_O_T40"/>
      <sheetName val="Area_&amp;_Cate__Master40"/>
      <sheetName val="Bill_No_540"/>
      <sheetName val="TBAL9697__grotp_wise_80"/>
      <sheetName val="11B_40"/>
      <sheetName val="Structure_Bills_Qty40"/>
      <sheetName val="DG_42"/>
      <sheetName val="BOQ_(2)40"/>
      <sheetName val="Fee_Rate_Summary40"/>
      <sheetName val="Name_List40"/>
      <sheetName val="Detail_1A40"/>
      <sheetName val="Sheet_140"/>
      <sheetName val="3BPA00132-5-3_W_plan_HVPNL40"/>
      <sheetName val="Mix_Design40"/>
      <sheetName val="DLC_lookups40"/>
      <sheetName val="Driveway_Beams40"/>
      <sheetName val="TBAL9697__x005f_x000a_grotp_wise_40"/>
      <sheetName val="Quote_Sheet40"/>
      <sheetName val="d-safe_DELUXE40"/>
      <sheetName val="Works_-_Quote_Sheet40"/>
      <sheetName val="IO_LIST40"/>
      <sheetName val="TBAL9697__x005f_x000d_grotp_wis40"/>
      <sheetName val="Cat_A_Change_Control40"/>
      <sheetName val="Break_up_Sheet40"/>
      <sheetName val="Summary_of_P_&amp;_M40"/>
      <sheetName val="ISO_Reconcilation_Statment40"/>
      <sheetName val="AVG_pur_rate40"/>
      <sheetName val="Break_Dw40"/>
      <sheetName val="LIST_OF_MAKES40"/>
      <sheetName val="Assumption_Inputs40"/>
      <sheetName val="Civil_Works40"/>
      <sheetName val="Form_640"/>
      <sheetName val="acevsSp_(ABC)40"/>
      <sheetName val="A_O_R_40"/>
      <sheetName val="CORPN_O_x005f_x005f_x005f_x0000_T40"/>
      <sheetName val="220_11__BS_40"/>
      <sheetName val="FITZ_MORT_9440"/>
      <sheetName val="Intro_40"/>
      <sheetName val="BLOCK-A_(MEA_SHEET)40"/>
      <sheetName val="NLD_-_Assum40"/>
      <sheetName val="Section_Catalogue40"/>
      <sheetName val="TB9798OBPL06_(2)45"/>
      <sheetName val="CORPN_OCT45"/>
      <sheetName val="inout_consol-nov45"/>
      <sheetName val="inout_consol_(2)45"/>
      <sheetName val="AS_ON_DT_EXPS_Mar45"/>
      <sheetName val="fa-pl_&amp;_mach-site45"/>
      <sheetName val="fa_off_eqp45"/>
      <sheetName val="fa_fur&amp;_fix45"/>
      <sheetName val="fa-pl_&amp;_mach-Off45"/>
      <sheetName val="B_Equity-sdpl_INC45"/>
      <sheetName val="inout_consol_wkg45"/>
      <sheetName val="inout_consol_WKNG45"/>
      <sheetName val="B_Sheet_9745"/>
      <sheetName val="P&amp;L_97_45"/>
      <sheetName val="B_Sheet_97-BEXP45"/>
      <sheetName val="P&amp;L_97_-BEXP45"/>
      <sheetName val="consol_flows45"/>
      <sheetName val="sdpl_oth_Liab45"/>
      <sheetName val="obpl-oth_liab45"/>
      <sheetName val="G_land_advance45"/>
      <sheetName val="I-Wip-ot_(2)45"/>
      <sheetName val="detail_WIP_(2)45"/>
      <sheetName val="detail_G-145"/>
      <sheetName val="sobha_menon_ac45"/>
      <sheetName val="pnc_ac45"/>
      <sheetName val="fix_-p_&amp;_M_-SCC45"/>
      <sheetName val="C_fix_asst45"/>
      <sheetName val="D_fix_asst_scdl_45"/>
      <sheetName val="creditors_tb_obpl45"/>
      <sheetName val="TBAL9697_-group_wise__sdpl55"/>
      <sheetName val="TBAL9697_-group_wise_45"/>
      <sheetName val="crs_-G-145"/>
      <sheetName val="TBAL9697_-group_wise__onpl45"/>
      <sheetName val="B_Sheet_97-OBPL45"/>
      <sheetName val="B_Sheet_97_sdpl45"/>
      <sheetName val="TBAL9697_-group_wise__sdpl245"/>
      <sheetName val="inout_consol_jan45"/>
      <sheetName val="consol_flow45"/>
      <sheetName val="D_Loan__Prom45"/>
      <sheetName val="E_Bank_Loan45"/>
      <sheetName val="G_work_Cap45"/>
      <sheetName val="H_land_adv-dec45"/>
      <sheetName val="J_Con_WIP45"/>
      <sheetName val="detail_J45"/>
      <sheetName val="L_Oth_Co45"/>
      <sheetName val="K_fix_asst__45"/>
      <sheetName val="C_fix_asst-SDPL_45"/>
      <sheetName val="TBAL9697__group_wise__sdpl45"/>
      <sheetName val="inout_consol_okg45"/>
      <sheetName val="detail_OIP_(2)45"/>
      <sheetName val="D_fix_ysst_scdl_45"/>
      <sheetName val="cre`itors_tb_obpl45"/>
      <sheetName val="3AL9697_-group_wise__onpl45"/>
      <sheetName val="L_Oth_Bo44"/>
      <sheetName val="3‰AL9697_-group_wise__onpl44"/>
      <sheetName val="Civil_Boq44"/>
      <sheetName val="Staff_Acco_44"/>
      <sheetName val="SITE_OVERHEADS44"/>
      <sheetName val="PRECAST_lightconc-II42"/>
      <sheetName val="1__PayRec41"/>
      <sheetName val="Boq_Block_A44"/>
      <sheetName val="Cashflow_projection41"/>
      <sheetName val="Project-Material_44"/>
      <sheetName val="SPT_vs_PHI41"/>
      <sheetName val="key_dates41"/>
      <sheetName val="ino4t_conso,-nov41"/>
      <sheetName val="(nout_co,sol_(2)41"/>
      <sheetName val="Blr_hire41"/>
      <sheetName val="_bpl,oth_lia_41"/>
      <sheetName val="G_,and_adv_nce41"/>
      <sheetName val="I,Wip-ot__2)41"/>
      <sheetName val="det!il_WIP_(2)41"/>
      <sheetName val="de4ail_G-141"/>
      <sheetName val="sobha_mennn_ac41"/>
      <sheetName val="C_&amp;ix_asst41"/>
      <sheetName val="_x005f_x0003_dpl_oth_Lia`41"/>
      <sheetName val="TBAL9697__x005f_x000d_grotp_wise_41"/>
      <sheetName val="St_co_91_5lvl41"/>
      <sheetName val="3�AL9697_-group_wise__onpl44"/>
      <sheetName val="INPUT_SHEET41"/>
      <sheetName val="Stress_Calculation41"/>
      <sheetName val="Labor_abs-NMR41"/>
      <sheetName val="Sun_E_Type41"/>
      <sheetName val="CORPN_O?T41"/>
      <sheetName val="Fin_Sum41"/>
      <sheetName val="CORPN_O_x005f_x0000_T41"/>
      <sheetName val="TBAL9697__x000a_grotp_wise_41"/>
      <sheetName val="labour_coeff39"/>
      <sheetName val="Shuttering_Analysis39"/>
      <sheetName val="General_P+M39"/>
      <sheetName val="Curing_Analysis_39"/>
      <sheetName val="Concrete_P+M_(_RMC_)39"/>
      <sheetName val="P+M_(_SMC_)39"/>
      <sheetName val="P+M_-EW39"/>
      <sheetName val="P&amp;L_-_AD39"/>
      <sheetName val="SUPPLY_-Sanitary_Fixtures41"/>
      <sheetName val="ITEMS_FOR_CIVIL_TENDER41"/>
      <sheetName val="_x005f_x005f_x005f_x0003_dpl_oth_Lia`41"/>
      <sheetName val="TBAL9697__x005f_x005f_x005f_x000d_grotp_w41"/>
      <sheetName val="Fin__Assumpt__-_Sensitivities39"/>
      <sheetName val="LOAD_SHEET_39"/>
      <sheetName val="Fill_this_out_first___39"/>
      <sheetName val="Labour_productivity39"/>
      <sheetName val="RCC,Ret__Wall39"/>
      <sheetName val="CORPN_O41"/>
      <sheetName val="CORPN_O_T39"/>
      <sheetName val="Area_&amp;_Cate__Master39"/>
      <sheetName val="Bill_No_539"/>
      <sheetName val="TBAL9697__grotp_wise_78"/>
      <sheetName val="11B_39"/>
      <sheetName val="Structure_Bills_Qty39"/>
      <sheetName val="DG_41"/>
      <sheetName val="BOQ_(2)39"/>
      <sheetName val="Fee_Rate_Summary39"/>
      <sheetName val="Name_List39"/>
      <sheetName val="Detail_1A39"/>
      <sheetName val="Sheet_139"/>
      <sheetName val="3BPA00132-5-3_W_plan_HVPNL39"/>
      <sheetName val="Mix_Design39"/>
      <sheetName val="DLC_lookups39"/>
      <sheetName val="Driveway_Beams39"/>
      <sheetName val="TBAL9697__x005f_x000a_grotp_wise_39"/>
      <sheetName val="Quote_Sheet39"/>
      <sheetName val="d-safe_DELUXE39"/>
      <sheetName val="Works_-_Quote_Sheet39"/>
      <sheetName val="IO_LIST39"/>
      <sheetName val="TBAL9697__x005f_x000d_grotp_wis39"/>
      <sheetName val="TBAL9697__grotp_wise_79"/>
      <sheetName val="Cat_A_Change_Control39"/>
      <sheetName val="Break_up_Sheet39"/>
      <sheetName val="Summary_of_P_&amp;_M39"/>
      <sheetName val="ISO_Reconcilation_Statment39"/>
      <sheetName val="AVG_pur_rate39"/>
      <sheetName val="Break_Dw39"/>
      <sheetName val="LIST_OF_MAKES39"/>
      <sheetName val="Assumption_Inputs39"/>
      <sheetName val="Civil_Works39"/>
      <sheetName val="Form_639"/>
      <sheetName val="acevsSp_(ABC)39"/>
      <sheetName val="A_O_R_39"/>
      <sheetName val="CORPN_O_x005f_x005f_x005f_x0000_T39"/>
      <sheetName val="220_11__BS_39"/>
      <sheetName val="FITZ_MORT_9439"/>
      <sheetName val="Intro_39"/>
      <sheetName val="BLOCK-A_(MEA_SHEET)39"/>
      <sheetName val="NLD_-_Assum39"/>
      <sheetName val="Section_Catalogue39"/>
      <sheetName val="TB9798OBPL06_(2)47"/>
      <sheetName val="CORPN_OCT47"/>
      <sheetName val="inout_consol-nov47"/>
      <sheetName val="inout_consol_(2)47"/>
      <sheetName val="AS_ON_DT_EXPS_Mar47"/>
      <sheetName val="fa-pl_&amp;_mach-site47"/>
      <sheetName val="fa_off_eqp47"/>
      <sheetName val="fa_fur&amp;_fix47"/>
      <sheetName val="fa-pl_&amp;_mach-Off47"/>
      <sheetName val="B_Equity-sdpl_INC47"/>
      <sheetName val="inout_consol_wkg47"/>
      <sheetName val="inout_consol_WKNG47"/>
      <sheetName val="B_Sheet_9747"/>
      <sheetName val="P&amp;L_97_47"/>
      <sheetName val="B_Sheet_97-BEXP47"/>
      <sheetName val="P&amp;L_97_-BEXP47"/>
      <sheetName val="consol_flows47"/>
      <sheetName val="sdpl_oth_Liab47"/>
      <sheetName val="obpl-oth_liab47"/>
      <sheetName val="G_land_advance47"/>
      <sheetName val="I-Wip-ot_(2)47"/>
      <sheetName val="detail_WIP_(2)47"/>
      <sheetName val="detail_G-147"/>
      <sheetName val="sobha_menon_ac47"/>
      <sheetName val="pnc_ac47"/>
      <sheetName val="fix_-p_&amp;_M_-SCC47"/>
      <sheetName val="C_fix_asst47"/>
      <sheetName val="D_fix_asst_scdl_47"/>
      <sheetName val="creditors_tb_obpl47"/>
      <sheetName val="TBAL9697_-group_wise__sdpl57"/>
      <sheetName val="TBAL9697_-group_wise_47"/>
      <sheetName val="crs_-G-147"/>
      <sheetName val="TBAL9697_-group_wise__onpl47"/>
      <sheetName val="B_Sheet_97-OBPL47"/>
      <sheetName val="B_Sheet_97_sdpl47"/>
      <sheetName val="TBAL9697_-group_wise__sdpl247"/>
      <sheetName val="inout_consol_jan47"/>
      <sheetName val="consol_flow47"/>
      <sheetName val="D_Loan__Prom47"/>
      <sheetName val="E_Bank_Loan47"/>
      <sheetName val="G_work_Cap47"/>
      <sheetName val="H_land_adv-dec47"/>
      <sheetName val="J_Con_WIP47"/>
      <sheetName val="detail_J47"/>
      <sheetName val="L_Oth_Co47"/>
      <sheetName val="K_fix_asst__47"/>
      <sheetName val="C_fix_asst-SDPL_47"/>
      <sheetName val="TBAL9697__group_wise__sdpl47"/>
      <sheetName val="inout_consol_okg47"/>
      <sheetName val="detail_OIP_(2)47"/>
      <sheetName val="D_fix_ysst_scdl_47"/>
      <sheetName val="cre`itors_tb_obpl47"/>
      <sheetName val="3AL9697_-group_wise__onpl47"/>
      <sheetName val="L_Oth_Bo46"/>
      <sheetName val="3‰AL9697_-group_wise__onpl46"/>
      <sheetName val="Civil_Boq46"/>
      <sheetName val="Staff_Acco_46"/>
      <sheetName val="SITE_OVERHEADS46"/>
      <sheetName val="PRECAST_lightconc-II44"/>
      <sheetName val="1__PayRec43"/>
      <sheetName val="Boq_Block_A46"/>
      <sheetName val="Cashflow_projection43"/>
      <sheetName val="Project-Material_46"/>
      <sheetName val="SPT_vs_PHI43"/>
      <sheetName val="key_dates43"/>
      <sheetName val="ino4t_conso,-nov43"/>
      <sheetName val="(nout_co,sol_(2)43"/>
      <sheetName val="Blr_hire43"/>
      <sheetName val="_bpl,oth_lia_43"/>
      <sheetName val="G_,and_adv_nce43"/>
      <sheetName val="I,Wip-ot__2)43"/>
      <sheetName val="det!il_WIP_(2)43"/>
      <sheetName val="de4ail_G-143"/>
      <sheetName val="sobha_mennn_ac43"/>
      <sheetName val="C_&amp;ix_asst43"/>
      <sheetName val="_x005f_x0003_dpl_oth_Lia`43"/>
      <sheetName val="TBAL9697__x005f_x000d_grotp_wise_43"/>
      <sheetName val="St_co_91_5lvl43"/>
      <sheetName val="3�AL9697_-group_wise__onpl46"/>
      <sheetName val="INPUT_SHEET43"/>
      <sheetName val="Stress_Calculation43"/>
      <sheetName val="Labor_abs-NMR43"/>
      <sheetName val="Sun_E_Type43"/>
      <sheetName val="CORPN_O?T43"/>
      <sheetName val="Fin_Sum43"/>
      <sheetName val="CORPN_O_x005f_x0000_T43"/>
      <sheetName val="TBAL9697__x000a_grotp_wise_43"/>
      <sheetName val="labour_coeff41"/>
      <sheetName val="Shuttering_Analysis41"/>
      <sheetName val="General_P+M41"/>
      <sheetName val="Curing_Analysis_41"/>
      <sheetName val="Concrete_P+M_(_RMC_)41"/>
      <sheetName val="P+M_(_SMC_)41"/>
      <sheetName val="P+M_-EW41"/>
      <sheetName val="P&amp;L_-_AD41"/>
      <sheetName val="SUPPLY_-Sanitary_Fixtures43"/>
      <sheetName val="ITEMS_FOR_CIVIL_TENDER43"/>
      <sheetName val="_x005f_x005f_x005f_x0003_dpl_oth_Lia`43"/>
      <sheetName val="TBAL9697__x005f_x005f_x005f_x000d_grotp_w43"/>
      <sheetName val="Fin__Assumpt__-_Sensitivities41"/>
      <sheetName val="LOAD_SHEET_41"/>
      <sheetName val="Fill_this_out_first___41"/>
      <sheetName val="Labour_productivity41"/>
      <sheetName val="RCC,Ret__Wall41"/>
      <sheetName val="CORPN_O43"/>
      <sheetName val="CORPN_O_T41"/>
      <sheetName val="Area_&amp;_Cate__Master41"/>
      <sheetName val="Bill_No_541"/>
      <sheetName val="11B_41"/>
      <sheetName val="Structure_Bills_Qty41"/>
      <sheetName val="DG_43"/>
      <sheetName val="BOQ_(2)41"/>
      <sheetName val="Fee_Rate_Summary41"/>
      <sheetName val="Name_List41"/>
      <sheetName val="Detail_1A41"/>
      <sheetName val="Sheet_141"/>
      <sheetName val="3BPA00132-5-3_W_plan_HVPNL41"/>
      <sheetName val="Mix_Design41"/>
      <sheetName val="DLC_lookups41"/>
      <sheetName val="Driveway_Beams41"/>
      <sheetName val="TBAL9697__x005f_x000a_grotp_wise_41"/>
      <sheetName val="Quote_Sheet41"/>
      <sheetName val="d-safe_DELUXE41"/>
      <sheetName val="Works_-_Quote_Sheet41"/>
      <sheetName val="IO_LIST41"/>
      <sheetName val="TBAL9697__x005f_x000d_grotp_wis41"/>
      <sheetName val="Cat_A_Change_Control41"/>
      <sheetName val="Break_up_Sheet41"/>
      <sheetName val="Summary_of_P_&amp;_M41"/>
      <sheetName val="ISO_Reconcilation_Statment41"/>
      <sheetName val="AVG_pur_rate41"/>
      <sheetName val="Break_Dw41"/>
      <sheetName val="LIST_OF_MAKES41"/>
      <sheetName val="Assumption_Inputs41"/>
      <sheetName val="Civil_Works41"/>
      <sheetName val="Form_641"/>
      <sheetName val="acevsSp_(ABC)41"/>
      <sheetName val="A_O_R_41"/>
      <sheetName val="CORPN_O_x005f_x005f_x005f_x0000_T41"/>
      <sheetName val="220_11__BS_41"/>
      <sheetName val="FITZ_MORT_9441"/>
      <sheetName val="Intro_41"/>
      <sheetName val="BLOCK-A_(MEA_SHEET)41"/>
      <sheetName val="NLD_-_Assum41"/>
      <sheetName val="Section_Catalogue41"/>
      <sheetName val="TB9798OBPL06_(2)48"/>
      <sheetName val="CORPN_OCT48"/>
      <sheetName val="inout_consol-nov48"/>
      <sheetName val="inout_consol_(2)48"/>
      <sheetName val="AS_ON_DT_EXPS_Mar48"/>
      <sheetName val="fa-pl_&amp;_mach-site48"/>
      <sheetName val="fa_off_eqp48"/>
      <sheetName val="fa_fur&amp;_fix48"/>
      <sheetName val="fa-pl_&amp;_mach-Off48"/>
      <sheetName val="B_Equity-sdpl_INC48"/>
      <sheetName val="inout_consol_wkg48"/>
      <sheetName val="inout_consol_WKNG48"/>
      <sheetName val="B_Sheet_9748"/>
      <sheetName val="P&amp;L_97_48"/>
      <sheetName val="B_Sheet_97-BEXP48"/>
      <sheetName val="P&amp;L_97_-BEXP48"/>
      <sheetName val="consol_flows48"/>
      <sheetName val="sdpl_oth_Liab48"/>
      <sheetName val="obpl-oth_liab48"/>
      <sheetName val="G_land_advance48"/>
      <sheetName val="I-Wip-ot_(2)48"/>
      <sheetName val="detail_WIP_(2)48"/>
      <sheetName val="detail_G-148"/>
      <sheetName val="sobha_menon_ac48"/>
      <sheetName val="pnc_ac48"/>
      <sheetName val="fix_-p_&amp;_M_-SCC48"/>
      <sheetName val="C_fix_asst48"/>
      <sheetName val="D_fix_asst_scdl_48"/>
      <sheetName val="creditors_tb_obpl48"/>
      <sheetName val="TBAL9697_-group_wise__sdpl58"/>
      <sheetName val="TBAL9697_-group_wise_48"/>
      <sheetName val="crs_-G-148"/>
      <sheetName val="TBAL9697_-group_wise__onpl48"/>
      <sheetName val="B_Sheet_97-OBPL48"/>
      <sheetName val="B_Sheet_97_sdpl48"/>
      <sheetName val="TBAL9697_-group_wise__sdpl248"/>
      <sheetName val="inout_consol_jan48"/>
      <sheetName val="consol_flow48"/>
      <sheetName val="D_Loan__Prom48"/>
      <sheetName val="E_Bank_Loan48"/>
      <sheetName val="G_work_Cap48"/>
      <sheetName val="H_land_adv-dec48"/>
      <sheetName val="J_Con_WIP48"/>
      <sheetName val="detail_J48"/>
      <sheetName val="L_Oth_Co48"/>
      <sheetName val="K_fix_asst__48"/>
      <sheetName val="C_fix_asst-SDPL_48"/>
      <sheetName val="TBAL9697__group_wise__sdpl48"/>
      <sheetName val="inout_consol_okg48"/>
      <sheetName val="detail_OIP_(2)48"/>
      <sheetName val="D_fix_ysst_scdl_48"/>
      <sheetName val="cre`itors_tb_obpl48"/>
      <sheetName val="3AL9697_-group_wise__onpl48"/>
      <sheetName val="L_Oth_Bo47"/>
      <sheetName val="3‰AL9697_-group_wise__onpl47"/>
      <sheetName val="Civil_Boq47"/>
      <sheetName val="Staff_Acco_47"/>
      <sheetName val="SITE_OVERHEADS47"/>
      <sheetName val="PRECAST_lightconc-II45"/>
      <sheetName val="1__PayRec44"/>
      <sheetName val="Boq_Block_A47"/>
      <sheetName val="Cashflow_projection44"/>
      <sheetName val="Project-Material_47"/>
      <sheetName val="SPT_vs_PHI44"/>
      <sheetName val="key_dates44"/>
      <sheetName val="ino4t_conso,-nov44"/>
      <sheetName val="(nout_co,sol_(2)44"/>
      <sheetName val="Blr_hire44"/>
      <sheetName val="_bpl,oth_lia_44"/>
      <sheetName val="G_,and_adv_nce44"/>
      <sheetName val="I,Wip-ot__2)44"/>
      <sheetName val="det!il_WIP_(2)44"/>
      <sheetName val="de4ail_G-144"/>
      <sheetName val="sobha_mennn_ac44"/>
      <sheetName val="C_&amp;ix_asst44"/>
      <sheetName val="_x005f_x0003_dpl_oth_Lia`44"/>
      <sheetName val="TBAL9697__x005f_x000d_grotp_wise_44"/>
      <sheetName val="St_co_91_5lvl44"/>
      <sheetName val="3�AL9697_-group_wise__onpl47"/>
      <sheetName val="INPUT_SHEET44"/>
      <sheetName val="Stress_Calculation44"/>
      <sheetName val="Labor_abs-NMR44"/>
      <sheetName val="Sun_E_Type44"/>
      <sheetName val="CORPN_O?T44"/>
      <sheetName val="Fin_Sum44"/>
      <sheetName val="CORPN_O_x005f_x0000_T44"/>
      <sheetName val="TBAL9697__x000a_grotp_wise_44"/>
      <sheetName val="labour_coeff42"/>
      <sheetName val="Shuttering_Analysis42"/>
      <sheetName val="General_P+M42"/>
      <sheetName val="Curing_Analysis_42"/>
      <sheetName val="Concrete_P+M_(_RMC_)42"/>
      <sheetName val="P+M_(_SMC_)42"/>
      <sheetName val="P+M_-EW42"/>
      <sheetName val="P&amp;L_-_AD42"/>
      <sheetName val="SUPPLY_-Sanitary_Fixtures44"/>
      <sheetName val="ITEMS_FOR_CIVIL_TENDER44"/>
      <sheetName val="_x005f_x005f_x005f_x0003_dpl_oth_Lia`44"/>
      <sheetName val="TBAL9697__x005f_x005f_x005f_x000d_grotp_w44"/>
      <sheetName val="Fin__Assumpt__-_Sensitivities42"/>
      <sheetName val="LOAD_SHEET_42"/>
      <sheetName val="Fill_this_out_first___42"/>
      <sheetName val="Labour_productivity42"/>
      <sheetName val="RCC,Ret__Wall42"/>
      <sheetName val="CORPN_O44"/>
      <sheetName val="CORPN_O_T42"/>
      <sheetName val="Area_&amp;_Cate__Master42"/>
      <sheetName val="Bill_No_542"/>
      <sheetName val="11B_42"/>
      <sheetName val="Structure_Bills_Qty42"/>
      <sheetName val="DG_44"/>
      <sheetName val="BOQ_(2)42"/>
      <sheetName val="Fee_Rate_Summary42"/>
      <sheetName val="Name_List42"/>
      <sheetName val="Detail_1A42"/>
      <sheetName val="Sheet_142"/>
      <sheetName val="3BPA00132-5-3_W_plan_HVPNL42"/>
      <sheetName val="Mix_Design42"/>
      <sheetName val="DLC_lookups42"/>
      <sheetName val="Driveway_Beams42"/>
      <sheetName val="TBAL9697__x005f_x000a_grotp_wise_42"/>
      <sheetName val="Quote_Sheet42"/>
      <sheetName val="d-safe_DELUXE42"/>
      <sheetName val="Works_-_Quote_Sheet42"/>
      <sheetName val="IO_LIST42"/>
      <sheetName val="TBAL9697__x005f_x000d_grotp_wis42"/>
      <sheetName val="Cat_A_Change_Control42"/>
      <sheetName val="Break_up_Sheet42"/>
      <sheetName val="Summary_of_P_&amp;_M42"/>
      <sheetName val="ISO_Reconcilation_Statment42"/>
      <sheetName val="AVG_pur_rate42"/>
      <sheetName val="Break_Dw42"/>
      <sheetName val="LIST_OF_MAKES42"/>
      <sheetName val="Assumption_Inputs42"/>
      <sheetName val="Civil_Works42"/>
      <sheetName val="Form_642"/>
      <sheetName val="acevsSp_(ABC)42"/>
      <sheetName val="A_O_R_42"/>
      <sheetName val="CORPN_O_x005f_x005f_x005f_x0000_T42"/>
      <sheetName val="220_11__BS_42"/>
      <sheetName val="FITZ_MORT_9442"/>
      <sheetName val="Intro_42"/>
      <sheetName val="BLOCK-A_(MEA_SHEET)42"/>
      <sheetName val="NLD_-_Assum42"/>
      <sheetName val="Section_Catalogue42"/>
      <sheetName val="TB9798OBPL06_(2)49"/>
      <sheetName val="CORPN_OCT49"/>
      <sheetName val="inout_consol-nov49"/>
      <sheetName val="inout_consol_(2)49"/>
      <sheetName val="AS_ON_DT_EXPS_Mar49"/>
      <sheetName val="fa-pl_&amp;_mach-site49"/>
      <sheetName val="fa_off_eqp49"/>
      <sheetName val="fa_fur&amp;_fix49"/>
      <sheetName val="fa-pl_&amp;_mach-Off49"/>
      <sheetName val="B_Equity-sdpl_INC49"/>
      <sheetName val="inout_consol_wkg49"/>
      <sheetName val="inout_consol_WKNG49"/>
      <sheetName val="B_Sheet_9749"/>
      <sheetName val="P&amp;L_97_49"/>
      <sheetName val="B_Sheet_97-BEXP49"/>
      <sheetName val="P&amp;L_97_-BEXP49"/>
      <sheetName val="consol_flows49"/>
      <sheetName val="sdpl_oth_Liab49"/>
      <sheetName val="obpl-oth_liab49"/>
      <sheetName val="G_land_advance49"/>
      <sheetName val="I-Wip-ot_(2)49"/>
      <sheetName val="detail_WIP_(2)49"/>
      <sheetName val="detail_G-149"/>
      <sheetName val="sobha_menon_ac49"/>
      <sheetName val="pnc_ac49"/>
      <sheetName val="fix_-p_&amp;_M_-SCC49"/>
      <sheetName val="C_fix_asst49"/>
      <sheetName val="D_fix_asst_scdl_49"/>
      <sheetName val="creditors_tb_obpl49"/>
      <sheetName val="TBAL9697_-group_wise__sdpl59"/>
      <sheetName val="TBAL9697_-group_wise_49"/>
      <sheetName val="crs_-G-149"/>
      <sheetName val="TBAL9697_-group_wise__onpl49"/>
      <sheetName val="B_Sheet_97-OBPL49"/>
      <sheetName val="B_Sheet_97_sdpl49"/>
      <sheetName val="TBAL9697_-group_wise__sdpl249"/>
      <sheetName val="inout_consol_jan49"/>
      <sheetName val="consol_flow49"/>
      <sheetName val="D_Loan__Prom49"/>
      <sheetName val="E_Bank_Loan49"/>
      <sheetName val="G_work_Cap49"/>
      <sheetName val="H_land_adv-dec49"/>
      <sheetName val="J_Con_WIP49"/>
      <sheetName val="detail_J49"/>
      <sheetName val="L_Oth_Co49"/>
      <sheetName val="K_fix_asst__49"/>
      <sheetName val="C_fix_asst-SDPL_49"/>
      <sheetName val="TBAL9697__group_wise__sdpl49"/>
      <sheetName val="inout_consol_okg49"/>
      <sheetName val="detail_OIP_(2)49"/>
      <sheetName val="D_fix_ysst_scdl_49"/>
      <sheetName val="cre`itors_tb_obpl49"/>
      <sheetName val="3AL9697_-group_wise__onpl49"/>
      <sheetName val="L_Oth_Bo48"/>
      <sheetName val="3‰AL9697_-group_wise__onpl48"/>
      <sheetName val="Civil_Boq48"/>
      <sheetName val="Staff_Acco_48"/>
      <sheetName val="SITE_OVERHEADS48"/>
      <sheetName val="PRECAST_lightconc-II46"/>
      <sheetName val="1__PayRec45"/>
      <sheetName val="Boq_Block_A48"/>
      <sheetName val="Cashflow_projection45"/>
      <sheetName val="Project-Material_48"/>
      <sheetName val="SPT_vs_PHI45"/>
      <sheetName val="key_dates45"/>
      <sheetName val="ino4t_conso,-nov45"/>
      <sheetName val="(nout_co,sol_(2)45"/>
      <sheetName val="Blr_hire45"/>
      <sheetName val="_bpl,oth_lia_45"/>
      <sheetName val="G_,and_adv_nce45"/>
      <sheetName val="I,Wip-ot__2)45"/>
      <sheetName val="det!il_WIP_(2)45"/>
      <sheetName val="de4ail_G-145"/>
      <sheetName val="sobha_mennn_ac45"/>
      <sheetName val="C_&amp;ix_asst45"/>
      <sheetName val="_x005f_x0003_dpl_oth_Lia`45"/>
      <sheetName val="TBAL9697__x005f_x000d_grotp_wise_45"/>
      <sheetName val="St_co_91_5lvl45"/>
      <sheetName val="3�AL9697_-group_wise__onpl48"/>
      <sheetName val="INPUT_SHEET45"/>
      <sheetName val="Stress_Calculation45"/>
      <sheetName val="Labor_abs-NMR45"/>
      <sheetName val="Sun_E_Type45"/>
      <sheetName val="CORPN_O?T45"/>
      <sheetName val="Fin_Sum45"/>
      <sheetName val="CORPN_O_x005f_x0000_T45"/>
      <sheetName val="TBAL9697__x000a_grotp_wise_45"/>
      <sheetName val="labour_coeff43"/>
      <sheetName val="Shuttering_Analysis43"/>
      <sheetName val="General_P+M43"/>
      <sheetName val="Curing_Analysis_43"/>
      <sheetName val="Concrete_P+M_(_RMC_)43"/>
      <sheetName val="P+M_(_SMC_)43"/>
      <sheetName val="P+M_-EW43"/>
      <sheetName val="P&amp;L_-_AD43"/>
      <sheetName val="SUPPLY_-Sanitary_Fixtures45"/>
      <sheetName val="ITEMS_FOR_CIVIL_TENDER45"/>
      <sheetName val="_x005f_x005f_x005f_x0003_dpl_oth_Lia`45"/>
      <sheetName val="TBAL9697__x005f_x005f_x005f_x000d_grotp_w45"/>
      <sheetName val="Fin__Assumpt__-_Sensitivities43"/>
      <sheetName val="LOAD_SHEET_43"/>
      <sheetName val="Fill_this_out_first___43"/>
      <sheetName val="Labour_productivity43"/>
      <sheetName val="RCC,Ret__Wall43"/>
      <sheetName val="CORPN_O45"/>
      <sheetName val="CORPN_O_T43"/>
      <sheetName val="Area_&amp;_Cate__Master43"/>
      <sheetName val="Bill_No_543"/>
      <sheetName val="TBAL9697__grotp_wise_86"/>
      <sheetName val="11B_43"/>
      <sheetName val="Structure_Bills_Qty43"/>
      <sheetName val="DG_45"/>
      <sheetName val="BOQ_(2)43"/>
      <sheetName val="Fee_Rate_Summary43"/>
      <sheetName val="Name_List43"/>
      <sheetName val="Detail_1A43"/>
      <sheetName val="Sheet_143"/>
      <sheetName val="3BPA00132-5-3_W_plan_HVPNL43"/>
      <sheetName val="Mix_Design43"/>
      <sheetName val="DLC_lookups43"/>
      <sheetName val="Driveway_Beams43"/>
      <sheetName val="TBAL9697__x005f_x000a_grotp_wise_43"/>
      <sheetName val="Quote_Sheet43"/>
      <sheetName val="d-safe_DELUXE43"/>
      <sheetName val="Works_-_Quote_Sheet43"/>
      <sheetName val="IO_LIST43"/>
      <sheetName val="TBAL9697__x005f_x000d_grotp_wis43"/>
      <sheetName val="TBAL9697__grotp_wise_87"/>
      <sheetName val="Cat_A_Change_Control43"/>
      <sheetName val="Break_up_Sheet43"/>
      <sheetName val="Summary_of_P_&amp;_M43"/>
      <sheetName val="ISO_Reconcilation_Statment43"/>
      <sheetName val="AVG_pur_rate43"/>
      <sheetName val="Break_Dw43"/>
      <sheetName val="LIST_OF_MAKES43"/>
      <sheetName val="Assumption_Inputs43"/>
      <sheetName val="Civil_Works43"/>
      <sheetName val="Form_643"/>
      <sheetName val="acevsSp_(ABC)43"/>
      <sheetName val="A_O_R_43"/>
      <sheetName val="CORPN_O_x005f_x005f_x005f_x0000_T43"/>
      <sheetName val="220_11__BS_43"/>
      <sheetName val="FITZ_MORT_9443"/>
      <sheetName val="Intro_43"/>
      <sheetName val="BLOCK-A_(MEA_SHEET)43"/>
      <sheetName val="NLD_-_Assum43"/>
      <sheetName val="Section_Catalogue43"/>
      <sheetName val="TB9798OBPL06_(2)50"/>
      <sheetName val="CORPN_OCT50"/>
      <sheetName val="inout_consol-nov50"/>
      <sheetName val="inout_consol_(2)50"/>
      <sheetName val="AS_ON_DT_EXPS_Mar50"/>
      <sheetName val="fa-pl_&amp;_mach-site50"/>
      <sheetName val="fa_off_eqp50"/>
      <sheetName val="fa_fur&amp;_fix50"/>
      <sheetName val="fa-pl_&amp;_mach-Off50"/>
      <sheetName val="B_Equity-sdpl_INC50"/>
      <sheetName val="inout_consol_wkg50"/>
      <sheetName val="inout_consol_WKNG50"/>
      <sheetName val="B_Sheet_9750"/>
      <sheetName val="P&amp;L_97_50"/>
      <sheetName val="B_Sheet_97-BEXP50"/>
      <sheetName val="P&amp;L_97_-BEXP50"/>
      <sheetName val="consol_flows50"/>
      <sheetName val="sdpl_oth_Liab50"/>
      <sheetName val="obpl-oth_liab50"/>
      <sheetName val="G_land_advance50"/>
      <sheetName val="I-Wip-ot_(2)50"/>
      <sheetName val="detail_WIP_(2)50"/>
      <sheetName val="detail_G-150"/>
      <sheetName val="sobha_menon_ac50"/>
      <sheetName val="pnc_ac50"/>
      <sheetName val="fix_-p_&amp;_M_-SCC50"/>
      <sheetName val="C_fix_asst50"/>
      <sheetName val="D_fix_asst_scdl_50"/>
      <sheetName val="creditors_tb_obpl50"/>
      <sheetName val="TBAL9697_-group_wise__sdpl60"/>
      <sheetName val="TBAL9697_-group_wise_50"/>
      <sheetName val="crs_-G-150"/>
      <sheetName val="TBAL9697_-group_wise__onpl50"/>
      <sheetName val="B_Sheet_97-OBPL50"/>
      <sheetName val="B_Sheet_97_sdpl50"/>
      <sheetName val="TBAL9697_-group_wise__sdpl250"/>
      <sheetName val="inout_consol_jan50"/>
      <sheetName val="consol_flow50"/>
      <sheetName val="D_Loan__Prom50"/>
      <sheetName val="E_Bank_Loan50"/>
      <sheetName val="G_work_Cap50"/>
      <sheetName val="H_land_adv-dec50"/>
      <sheetName val="J_Con_WIP50"/>
      <sheetName val="detail_J50"/>
      <sheetName val="L_Oth_Co50"/>
      <sheetName val="K_fix_asst__50"/>
      <sheetName val="C_fix_asst-SDPL_50"/>
      <sheetName val="TBAL9697__group_wise__sdpl50"/>
      <sheetName val="inout_consol_okg50"/>
      <sheetName val="detail_OIP_(2)50"/>
      <sheetName val="D_fix_ysst_scdl_50"/>
      <sheetName val="cre`itors_tb_obpl50"/>
      <sheetName val="3AL9697_-group_wise__onpl50"/>
      <sheetName val="L_Oth_Bo49"/>
      <sheetName val="3‰AL9697_-group_wise__onpl49"/>
      <sheetName val="Civil_Boq49"/>
      <sheetName val="Staff_Acco_49"/>
      <sheetName val="SITE_OVERHEADS49"/>
      <sheetName val="PRECAST_lightconc-II47"/>
      <sheetName val="1__PayRec46"/>
      <sheetName val="Boq_Block_A49"/>
      <sheetName val="Cashflow_projection46"/>
      <sheetName val="Project-Material_49"/>
      <sheetName val="SPT_vs_PHI46"/>
      <sheetName val="key_dates46"/>
      <sheetName val="ino4t_conso,-nov46"/>
      <sheetName val="(nout_co,sol_(2)46"/>
      <sheetName val="Blr_hire46"/>
      <sheetName val="_bpl,oth_lia_46"/>
      <sheetName val="G_,and_adv_nce46"/>
      <sheetName val="I,Wip-ot__2)46"/>
      <sheetName val="det!il_WIP_(2)46"/>
      <sheetName val="de4ail_G-146"/>
      <sheetName val="sobha_mennn_ac46"/>
      <sheetName val="C_&amp;ix_asst46"/>
      <sheetName val="_x005f_x0003_dpl_oth_Lia`46"/>
      <sheetName val="TBAL9697__x005f_x000d_grotp_wise_46"/>
      <sheetName val="St_co_91_5lvl46"/>
      <sheetName val="3�AL9697_-group_wise__onpl49"/>
      <sheetName val="INPUT_SHEET46"/>
      <sheetName val="Stress_Calculation46"/>
      <sheetName val="Labor_abs-NMR46"/>
      <sheetName val="Sun_E_Type46"/>
      <sheetName val="CORPN_O?T46"/>
      <sheetName val="Fin_Sum46"/>
      <sheetName val="CORPN_O_x005f_x0000_T46"/>
      <sheetName val="TBAL9697__x000a_grotp_wise_46"/>
      <sheetName val="labour_coeff44"/>
      <sheetName val="Shuttering_Analysis44"/>
      <sheetName val="General_P+M44"/>
      <sheetName val="Curing_Analysis_44"/>
      <sheetName val="Concrete_P+M_(_RMC_)44"/>
      <sheetName val="P+M_(_SMC_)44"/>
      <sheetName val="P+M_-EW44"/>
      <sheetName val="P&amp;L_-_AD44"/>
      <sheetName val="SUPPLY_-Sanitary_Fixtures46"/>
      <sheetName val="ITEMS_FOR_CIVIL_TENDER46"/>
      <sheetName val="_x005f_x005f_x005f_x0003_dpl_oth_Lia`46"/>
      <sheetName val="TBAL9697__x005f_x005f_x005f_x000d_grotp_w46"/>
      <sheetName val="Fin__Assumpt__-_Sensitivities44"/>
      <sheetName val="LOAD_SHEET_44"/>
      <sheetName val="Fill_this_out_first___44"/>
      <sheetName val="Labour_productivity44"/>
      <sheetName val="RCC,Ret__Wall44"/>
      <sheetName val="CORPN_O46"/>
      <sheetName val="CORPN_O_T44"/>
      <sheetName val="Area_&amp;_Cate__Master44"/>
      <sheetName val="Bill_No_544"/>
      <sheetName val="TBAL9697__grotp_wise_88"/>
      <sheetName val="11B_44"/>
      <sheetName val="Structure_Bills_Qty44"/>
      <sheetName val="DG_46"/>
      <sheetName val="BOQ_(2)44"/>
      <sheetName val="Fee_Rate_Summary44"/>
      <sheetName val="Name_List44"/>
      <sheetName val="Detail_1A44"/>
      <sheetName val="Sheet_144"/>
      <sheetName val="3BPA00132-5-3_W_plan_HVPNL44"/>
      <sheetName val="Mix_Design44"/>
      <sheetName val="DLC_lookups44"/>
      <sheetName val="Driveway_Beams44"/>
      <sheetName val="TBAL9697__x005f_x000a_grotp_wise_44"/>
      <sheetName val="Quote_Sheet44"/>
      <sheetName val="d-safe_DELUXE44"/>
      <sheetName val="Works_-_Quote_Sheet44"/>
      <sheetName val="IO_LIST44"/>
      <sheetName val="TBAL9697__x005f_x000d_grotp_wis44"/>
      <sheetName val="TBAL9697__grotp_wise_89"/>
      <sheetName val="Cat_A_Change_Control44"/>
      <sheetName val="Break_up_Sheet44"/>
      <sheetName val="Summary_of_P_&amp;_M44"/>
      <sheetName val="ISO_Reconcilation_Statment44"/>
      <sheetName val="AVG_pur_rate44"/>
      <sheetName val="Break_Dw44"/>
      <sheetName val="LIST_OF_MAKES44"/>
      <sheetName val="Assumption_Inputs44"/>
      <sheetName val="Civil_Works44"/>
      <sheetName val="Form_644"/>
      <sheetName val="acevsSp_(ABC)44"/>
      <sheetName val="A_O_R_44"/>
      <sheetName val="CORPN_O_x005f_x005f_x005f_x0000_T44"/>
      <sheetName val="220_11__BS_44"/>
      <sheetName val="FITZ_MORT_9444"/>
      <sheetName val="Intro_44"/>
      <sheetName val="BLOCK-A_(MEA_SHEET)44"/>
      <sheetName val="NLD_-_Assum44"/>
      <sheetName val="Section_Catalogue44"/>
      <sheetName val="TB9798OBPL06_(2)51"/>
      <sheetName val="CORPN_OCT51"/>
      <sheetName val="inout_consol-nov51"/>
      <sheetName val="inout_consol_(2)51"/>
      <sheetName val="AS_ON_DT_EXPS_Mar51"/>
      <sheetName val="fa-pl_&amp;_mach-site51"/>
      <sheetName val="fa_off_eqp51"/>
      <sheetName val="fa_fur&amp;_fix51"/>
      <sheetName val="fa-pl_&amp;_mach-Off51"/>
      <sheetName val="B_Equity-sdpl_INC51"/>
      <sheetName val="inout_consol_wkg51"/>
      <sheetName val="inout_consol_WKNG51"/>
      <sheetName val="B_Sheet_9751"/>
      <sheetName val="P&amp;L_97_51"/>
      <sheetName val="B_Sheet_97-BEXP51"/>
      <sheetName val="P&amp;L_97_-BEXP51"/>
      <sheetName val="consol_flows51"/>
      <sheetName val="sdpl_oth_Liab51"/>
      <sheetName val="obpl-oth_liab51"/>
      <sheetName val="G_land_advance51"/>
      <sheetName val="I-Wip-ot_(2)51"/>
      <sheetName val="detail_WIP_(2)51"/>
      <sheetName val="detail_G-151"/>
      <sheetName val="sobha_menon_ac51"/>
      <sheetName val="pnc_ac51"/>
      <sheetName val="fix_-p_&amp;_M_-SCC51"/>
      <sheetName val="C_fix_asst51"/>
      <sheetName val="D_fix_asst_scdl_51"/>
      <sheetName val="creditors_tb_obpl51"/>
      <sheetName val="TBAL9697_-group_wise__sdpl61"/>
      <sheetName val="TBAL9697_-group_wise_51"/>
      <sheetName val="crs_-G-151"/>
      <sheetName val="TBAL9697_-group_wise__onpl51"/>
      <sheetName val="B_Sheet_97-OBPL51"/>
      <sheetName val="B_Sheet_97_sdpl51"/>
      <sheetName val="TBAL9697_-group_wise__sdpl251"/>
      <sheetName val="inout_consol_jan51"/>
      <sheetName val="consol_flow51"/>
      <sheetName val="D_Loan__Prom51"/>
      <sheetName val="E_Bank_Loan51"/>
      <sheetName val="G_work_Cap51"/>
      <sheetName val="H_land_adv-dec51"/>
      <sheetName val="J_Con_WIP51"/>
      <sheetName val="detail_J51"/>
      <sheetName val="L_Oth_Co51"/>
      <sheetName val="K_fix_asst__51"/>
      <sheetName val="C_fix_asst-SDPL_51"/>
      <sheetName val="TBAL9697__group_wise__sdpl51"/>
      <sheetName val="inout_consol_okg51"/>
      <sheetName val="detail_OIP_(2)51"/>
      <sheetName val="D_fix_ysst_scdl_51"/>
      <sheetName val="cre`itors_tb_obpl51"/>
      <sheetName val="3AL9697_-group_wise__onpl51"/>
      <sheetName val="L_Oth_Bo50"/>
      <sheetName val="3‰AL9697_-group_wise__onpl50"/>
      <sheetName val="Civil_Boq50"/>
      <sheetName val="Staff_Acco_50"/>
      <sheetName val="SITE_OVERHEADS50"/>
      <sheetName val="PRECAST_lightconc-II48"/>
      <sheetName val="1__PayRec47"/>
      <sheetName val="Boq_Block_A50"/>
      <sheetName val="Cashflow_projection47"/>
      <sheetName val="Project-Material_50"/>
      <sheetName val="SPT_vs_PHI47"/>
      <sheetName val="key_dates47"/>
      <sheetName val="ino4t_conso,-nov47"/>
      <sheetName val="(nout_co,sol_(2)47"/>
      <sheetName val="Blr_hire47"/>
      <sheetName val="_bpl,oth_lia_47"/>
      <sheetName val="G_,and_adv_nce47"/>
      <sheetName val="I,Wip-ot__2)47"/>
      <sheetName val="det!il_WIP_(2)47"/>
      <sheetName val="de4ail_G-147"/>
      <sheetName val="sobha_mennn_ac47"/>
      <sheetName val="C_&amp;ix_asst47"/>
      <sheetName val="_x005f_x0003_dpl_oth_Lia`47"/>
      <sheetName val="TBAL9697__x005f_x000d_grotp_wise_47"/>
      <sheetName val="St_co_91_5lvl47"/>
      <sheetName val="3�AL9697_-group_wise__onpl50"/>
      <sheetName val="INPUT_SHEET47"/>
      <sheetName val="Stress_Calculation47"/>
      <sheetName val="Labor_abs-NMR47"/>
      <sheetName val="Sun_E_Type47"/>
      <sheetName val="CORPN_O?T47"/>
      <sheetName val="Fin_Sum47"/>
      <sheetName val="CORPN_O_x005f_x0000_T47"/>
      <sheetName val="TBAL9697__x000a_grotp_wise_47"/>
      <sheetName val="labour_coeff45"/>
      <sheetName val="Shuttering_Analysis45"/>
      <sheetName val="General_P+M45"/>
      <sheetName val="Curing_Analysis_45"/>
      <sheetName val="Concrete_P+M_(_RMC_)45"/>
      <sheetName val="P+M_(_SMC_)45"/>
      <sheetName val="P+M_-EW45"/>
      <sheetName val="P&amp;L_-_AD45"/>
      <sheetName val="SUPPLY_-Sanitary_Fixtures47"/>
      <sheetName val="ITEMS_FOR_CIVIL_TENDER47"/>
      <sheetName val="_x005f_x005f_x005f_x0003_dpl_oth_Lia`47"/>
      <sheetName val="TBAL9697__x005f_x005f_x005f_x000d_grotp_w47"/>
      <sheetName val="Fin__Assumpt__-_Sensitivities45"/>
      <sheetName val="LOAD_SHEET_45"/>
      <sheetName val="Fill_this_out_first___45"/>
      <sheetName val="Labour_productivity45"/>
      <sheetName val="RCC,Ret__Wall45"/>
      <sheetName val="CORPN_O47"/>
      <sheetName val="CORPN_O_T45"/>
      <sheetName val="Area_&amp;_Cate__Master45"/>
      <sheetName val="Bill_No_545"/>
      <sheetName val="TBAL9697__grotp_wise_90"/>
      <sheetName val="11B_45"/>
      <sheetName val="Structure_Bills_Qty45"/>
      <sheetName val="DG_47"/>
      <sheetName val="BOQ_(2)45"/>
      <sheetName val="Fee_Rate_Summary45"/>
      <sheetName val="Name_List45"/>
      <sheetName val="Detail_1A45"/>
      <sheetName val="Sheet_145"/>
      <sheetName val="3BPA00132-5-3_W_plan_HVPNL45"/>
      <sheetName val="Mix_Design45"/>
      <sheetName val="DLC_lookups45"/>
      <sheetName val="Driveway_Beams45"/>
      <sheetName val="TBAL9697__x005f_x000a_grotp_wise_45"/>
      <sheetName val="Quote_Sheet45"/>
      <sheetName val="d-safe_DELUXE45"/>
      <sheetName val="Works_-_Quote_Sheet45"/>
      <sheetName val="IO_LIST45"/>
      <sheetName val="TBAL9697__x005f_x000d_grotp_wis45"/>
      <sheetName val="Cat_A_Change_Control45"/>
      <sheetName val="Break_up_Sheet45"/>
      <sheetName val="Summary_of_P_&amp;_M45"/>
      <sheetName val="ISO_Reconcilation_Statment45"/>
      <sheetName val="AVG_pur_rate45"/>
      <sheetName val="Break_Dw45"/>
      <sheetName val="LIST_OF_MAKES45"/>
      <sheetName val="Assumption_Inputs45"/>
      <sheetName val="Civil_Works45"/>
      <sheetName val="Form_645"/>
      <sheetName val="acevsSp_(ABC)45"/>
      <sheetName val="A_O_R_45"/>
      <sheetName val="CORPN_O_x005f_x005f_x005f_x0000_T45"/>
      <sheetName val="220_11__BS_45"/>
      <sheetName val="FITZ_MORT_9445"/>
      <sheetName val="Intro_45"/>
      <sheetName val="BLOCK-A_(MEA_SHEET)45"/>
      <sheetName val="NLD_-_Assum45"/>
      <sheetName val="Section_Catalogue45"/>
      <sheetName val="TB9798OBPL06_(2)52"/>
      <sheetName val="CORPN_OCT52"/>
      <sheetName val="inout_consol-nov52"/>
      <sheetName val="inout_consol_(2)52"/>
      <sheetName val="AS_ON_DT_EXPS_Mar52"/>
      <sheetName val="fa-pl_&amp;_mach-site52"/>
      <sheetName val="fa_off_eqp52"/>
      <sheetName val="fa_fur&amp;_fix52"/>
      <sheetName val="fa-pl_&amp;_mach-Off52"/>
      <sheetName val="B_Equity-sdpl_INC52"/>
      <sheetName val="inout_consol_wkg52"/>
      <sheetName val="inout_consol_WKNG52"/>
      <sheetName val="B_Sheet_9752"/>
      <sheetName val="P&amp;L_97_52"/>
      <sheetName val="B_Sheet_97-BEXP52"/>
      <sheetName val="P&amp;L_97_-BEXP52"/>
      <sheetName val="consol_flows52"/>
      <sheetName val="sdpl_oth_Liab52"/>
      <sheetName val="obpl-oth_liab52"/>
      <sheetName val="G_land_advance52"/>
      <sheetName val="I-Wip-ot_(2)52"/>
      <sheetName val="detail_WIP_(2)52"/>
      <sheetName val="detail_G-152"/>
      <sheetName val="sobha_menon_ac52"/>
      <sheetName val="pnc_ac52"/>
      <sheetName val="fix_-p_&amp;_M_-SCC52"/>
      <sheetName val="C_fix_asst52"/>
      <sheetName val="D_fix_asst_scdl_52"/>
      <sheetName val="creditors_tb_obpl52"/>
      <sheetName val="TBAL9697_-group_wise__sdpl62"/>
      <sheetName val="TBAL9697_-group_wise_52"/>
      <sheetName val="crs_-G-152"/>
      <sheetName val="TBAL9697_-group_wise__onpl52"/>
      <sheetName val="B_Sheet_97-OBPL52"/>
      <sheetName val="B_Sheet_97_sdpl52"/>
      <sheetName val="TBAL9697_-group_wise__sdpl252"/>
      <sheetName val="inout_consol_jan52"/>
      <sheetName val="consol_flow52"/>
      <sheetName val="D_Loan__Prom52"/>
      <sheetName val="E_Bank_Loan52"/>
      <sheetName val="G_work_Cap52"/>
      <sheetName val="H_land_adv-dec52"/>
      <sheetName val="J_Con_WIP52"/>
      <sheetName val="detail_J52"/>
      <sheetName val="L_Oth_Co52"/>
      <sheetName val="K_fix_asst__52"/>
      <sheetName val="C_fix_asst-SDPL_52"/>
      <sheetName val="TBAL9697__group_wise__sdpl52"/>
      <sheetName val="inout_consol_okg52"/>
      <sheetName val="detail_OIP_(2)52"/>
      <sheetName val="D_fix_ysst_scdl_52"/>
      <sheetName val="cre`itors_tb_obpl52"/>
      <sheetName val="3AL9697_-group_wise__onpl52"/>
      <sheetName val="L_Oth_Bo51"/>
      <sheetName val="3‰AL9697_-group_wise__onpl51"/>
      <sheetName val="Civil_Boq51"/>
      <sheetName val="Staff_Acco_51"/>
      <sheetName val="SITE_OVERHEADS51"/>
      <sheetName val="PRECAST_lightconc-II49"/>
      <sheetName val="1__PayRec48"/>
      <sheetName val="Boq_Block_A51"/>
      <sheetName val="Cashflow_projection48"/>
      <sheetName val="Project-Material_51"/>
      <sheetName val="SPT_vs_PHI48"/>
      <sheetName val="key_dates48"/>
      <sheetName val="ino4t_conso,-nov48"/>
      <sheetName val="(nout_co,sol_(2)48"/>
      <sheetName val="Blr_hire48"/>
      <sheetName val="_bpl,oth_lia_48"/>
      <sheetName val="G_,and_adv_nce48"/>
      <sheetName val="I,Wip-ot__2)48"/>
      <sheetName val="det!il_WIP_(2)48"/>
      <sheetName val="de4ail_G-148"/>
      <sheetName val="sobha_mennn_ac48"/>
      <sheetName val="C_&amp;ix_asst48"/>
      <sheetName val="_x005f_x0003_dpl_oth_Lia`48"/>
      <sheetName val="TBAL9697__x005f_x000d_grotp_wise_48"/>
      <sheetName val="St_co_91_5lvl48"/>
      <sheetName val="3�AL9697_-group_wise__onpl51"/>
      <sheetName val="INPUT_SHEET48"/>
      <sheetName val="Stress_Calculation48"/>
      <sheetName val="Labor_abs-NMR48"/>
      <sheetName val="Sun_E_Type48"/>
      <sheetName val="CORPN_O?T48"/>
      <sheetName val="Fin_Sum48"/>
      <sheetName val="CORPN_O_x005f_x0000_T48"/>
      <sheetName val="TBAL9697__x000a_grotp_wise_48"/>
      <sheetName val="labour_coeff46"/>
      <sheetName val="Shuttering_Analysis46"/>
      <sheetName val="General_P+M46"/>
      <sheetName val="Curing_Analysis_46"/>
      <sheetName val="Concrete_P+M_(_RMC_)46"/>
      <sheetName val="P+M_(_SMC_)46"/>
      <sheetName val="P+M_-EW46"/>
      <sheetName val="P&amp;L_-_AD46"/>
      <sheetName val="SUPPLY_-Sanitary_Fixtures48"/>
      <sheetName val="ITEMS_FOR_CIVIL_TENDER48"/>
      <sheetName val="_x005f_x005f_x005f_x0003_dpl_oth_Lia`48"/>
      <sheetName val="TBAL9697__x005f_x005f_x005f_x000d_grotp_w48"/>
      <sheetName val="Fin__Assumpt__-_Sensitivities46"/>
      <sheetName val="LOAD_SHEET_46"/>
      <sheetName val="Fill_this_out_first___46"/>
      <sheetName val="Labour_productivity46"/>
      <sheetName val="RCC,Ret__Wall46"/>
      <sheetName val="CORPN_O48"/>
      <sheetName val="CORPN_O_T46"/>
      <sheetName val="Area_&amp;_Cate__Master46"/>
      <sheetName val="Bill_No_546"/>
      <sheetName val="11B_46"/>
      <sheetName val="Structure_Bills_Qty46"/>
      <sheetName val="DG_48"/>
      <sheetName val="BOQ_(2)46"/>
      <sheetName val="Fee_Rate_Summary46"/>
      <sheetName val="Name_List46"/>
      <sheetName val="Detail_1A46"/>
      <sheetName val="Sheet_146"/>
      <sheetName val="3BPA00132-5-3_W_plan_HVPNL46"/>
      <sheetName val="Mix_Design46"/>
      <sheetName val="DLC_lookups46"/>
      <sheetName val="Driveway_Beams46"/>
      <sheetName val="TBAL9697__x005f_x000a_grotp_wise_46"/>
      <sheetName val="Quote_Sheet46"/>
      <sheetName val="d-safe_DELUXE46"/>
      <sheetName val="Works_-_Quote_Sheet46"/>
      <sheetName val="IO_LIST46"/>
      <sheetName val="TBAL9697__x005f_x000d_grotp_wis46"/>
      <sheetName val="Cat_A_Change_Control46"/>
      <sheetName val="Break_up_Sheet46"/>
      <sheetName val="Summary_of_P_&amp;_M46"/>
      <sheetName val="ISO_Reconcilation_Statment46"/>
      <sheetName val="AVG_pur_rate46"/>
      <sheetName val="Break_Dw46"/>
      <sheetName val="LIST_OF_MAKES46"/>
      <sheetName val="Assumption_Inputs46"/>
      <sheetName val="Civil_Works46"/>
      <sheetName val="Form_646"/>
      <sheetName val="acevsSp_(ABC)46"/>
      <sheetName val="A_O_R_46"/>
      <sheetName val="CORPN_O_x005f_x005f_x005f_x0000_T46"/>
      <sheetName val="220_11__BS_46"/>
      <sheetName val="FITZ_MORT_9446"/>
      <sheetName val="Intro_46"/>
      <sheetName val="BLOCK-A_(MEA_SHEET)46"/>
      <sheetName val="NLD_-_Assum46"/>
      <sheetName val="Section_Catalogue46"/>
      <sheetName val="TB9798OBPL06_(2)53"/>
      <sheetName val="CORPN_OCT53"/>
      <sheetName val="inout_consol-nov53"/>
      <sheetName val="inout_consol_(2)53"/>
      <sheetName val="AS_ON_DT_EXPS_Mar53"/>
      <sheetName val="fa-pl_&amp;_mach-site53"/>
      <sheetName val="fa_off_eqp53"/>
      <sheetName val="fa_fur&amp;_fix53"/>
      <sheetName val="fa-pl_&amp;_mach-Off53"/>
      <sheetName val="B_Equity-sdpl_INC53"/>
      <sheetName val="inout_consol_wkg53"/>
      <sheetName val="inout_consol_WKNG53"/>
      <sheetName val="B_Sheet_9753"/>
      <sheetName val="P&amp;L_97_53"/>
      <sheetName val="B_Sheet_97-BEXP53"/>
      <sheetName val="P&amp;L_97_-BEXP53"/>
      <sheetName val="consol_flows53"/>
      <sheetName val="sdpl_oth_Liab53"/>
      <sheetName val="obpl-oth_liab53"/>
      <sheetName val="G_land_advance53"/>
      <sheetName val="I-Wip-ot_(2)53"/>
      <sheetName val="detail_WIP_(2)53"/>
      <sheetName val="detail_G-153"/>
      <sheetName val="sobha_menon_ac53"/>
      <sheetName val="pnc_ac53"/>
      <sheetName val="fix_-p_&amp;_M_-SCC53"/>
      <sheetName val="C_fix_asst53"/>
      <sheetName val="D_fix_asst_scdl_53"/>
      <sheetName val="creditors_tb_obpl53"/>
      <sheetName val="TBAL9697_-group_wise__sdpl63"/>
      <sheetName val="TBAL9697_-group_wise_53"/>
      <sheetName val="crs_-G-153"/>
      <sheetName val="TBAL9697_-group_wise__onpl53"/>
      <sheetName val="B_Sheet_97-OBPL53"/>
      <sheetName val="B_Sheet_97_sdpl53"/>
      <sheetName val="TBAL9697_-group_wise__sdpl253"/>
      <sheetName val="inout_consol_jan53"/>
      <sheetName val="consol_flow53"/>
      <sheetName val="D_Loan__Prom53"/>
      <sheetName val="E_Bank_Loan53"/>
      <sheetName val="G_work_Cap53"/>
      <sheetName val="H_land_adv-dec53"/>
      <sheetName val="J_Con_WIP53"/>
      <sheetName val="detail_J53"/>
      <sheetName val="L_Oth_Co53"/>
      <sheetName val="K_fix_asst__53"/>
      <sheetName val="C_fix_asst-SDPL_53"/>
      <sheetName val="TBAL9697__group_wise__sdpl53"/>
      <sheetName val="inout_consol_okg53"/>
      <sheetName val="detail_OIP_(2)53"/>
      <sheetName val="D_fix_ysst_scdl_53"/>
      <sheetName val="cre`itors_tb_obpl53"/>
      <sheetName val="3AL9697_-group_wise__onpl53"/>
      <sheetName val="L_Oth_Bo52"/>
      <sheetName val="3‰AL9697_-group_wise__onpl52"/>
      <sheetName val="Civil_Boq52"/>
      <sheetName val="Staff_Acco_52"/>
      <sheetName val="SITE_OVERHEADS52"/>
      <sheetName val="PRECAST_lightconc-II50"/>
      <sheetName val="1__PayRec49"/>
      <sheetName val="Boq_Block_A52"/>
      <sheetName val="Cashflow_projection49"/>
      <sheetName val="Project-Material_52"/>
      <sheetName val="SPT_vs_PHI49"/>
      <sheetName val="key_dates49"/>
      <sheetName val="ino4t_conso,-nov49"/>
      <sheetName val="(nout_co,sol_(2)49"/>
      <sheetName val="Blr_hire49"/>
      <sheetName val="_bpl,oth_lia_49"/>
      <sheetName val="G_,and_adv_nce49"/>
      <sheetName val="I,Wip-ot__2)49"/>
      <sheetName val="det!il_WIP_(2)49"/>
      <sheetName val="de4ail_G-149"/>
      <sheetName val="sobha_mennn_ac49"/>
      <sheetName val="C_&amp;ix_asst49"/>
      <sheetName val="_x005f_x0003_dpl_oth_Lia`49"/>
      <sheetName val="TBAL9697__x005f_x000d_grotp_wise_49"/>
      <sheetName val="St_co_91_5lvl49"/>
      <sheetName val="3�AL9697_-group_wise__onpl52"/>
      <sheetName val="INPUT_SHEET49"/>
      <sheetName val="Stress_Calculation49"/>
      <sheetName val="Labor_abs-NMR49"/>
      <sheetName val="Sun_E_Type49"/>
      <sheetName val="CORPN_O?T49"/>
      <sheetName val="Fin_Sum49"/>
      <sheetName val="CORPN_O_x005f_x0000_T49"/>
      <sheetName val="TBAL9697__x000a_grotp_wise_49"/>
      <sheetName val="labour_coeff47"/>
      <sheetName val="Shuttering_Analysis47"/>
      <sheetName val="General_P+M47"/>
      <sheetName val="Curing_Analysis_47"/>
      <sheetName val="Concrete_P+M_(_RMC_)47"/>
      <sheetName val="P+M_(_SMC_)47"/>
      <sheetName val="P+M_-EW47"/>
      <sheetName val="P&amp;L_-_AD47"/>
      <sheetName val="SUPPLY_-Sanitary_Fixtures49"/>
      <sheetName val="ITEMS_FOR_CIVIL_TENDER49"/>
      <sheetName val="_x005f_x005f_x005f_x0003_dpl_oth_Lia`49"/>
      <sheetName val="TBAL9697__x005f_x005f_x005f_x000d_grotp_w49"/>
      <sheetName val="Fin__Assumpt__-_Sensitivities47"/>
      <sheetName val="LOAD_SHEET_47"/>
      <sheetName val="Fill_this_out_first___47"/>
      <sheetName val="Labour_productivity47"/>
      <sheetName val="RCC,Ret__Wall47"/>
      <sheetName val="CORPN_O49"/>
      <sheetName val="CORPN_O_T47"/>
      <sheetName val="Area_&amp;_Cate__Master47"/>
      <sheetName val="Bill_No_547"/>
      <sheetName val="11B_47"/>
      <sheetName val="Structure_Bills_Qty47"/>
      <sheetName val="DG_49"/>
      <sheetName val="BOQ_(2)47"/>
      <sheetName val="Fee_Rate_Summary47"/>
      <sheetName val="Name_List47"/>
      <sheetName val="Detail_1A47"/>
      <sheetName val="Sheet_147"/>
      <sheetName val="3BPA00132-5-3_W_plan_HVPNL47"/>
      <sheetName val="Mix_Design47"/>
      <sheetName val="DLC_lookups47"/>
      <sheetName val="Driveway_Beams47"/>
      <sheetName val="TBAL9697__x005f_x000a_grotp_wise_47"/>
      <sheetName val="Quote_Sheet47"/>
      <sheetName val="d-safe_DELUXE47"/>
      <sheetName val="Works_-_Quote_Sheet47"/>
      <sheetName val="IO_LIST47"/>
      <sheetName val="TBAL9697__x005f_x000d_grotp_wis47"/>
      <sheetName val="Cat_A_Change_Control47"/>
      <sheetName val="Break_up_Sheet47"/>
      <sheetName val="Summary_of_P_&amp;_M47"/>
      <sheetName val="ISO_Reconcilation_Statment47"/>
      <sheetName val="AVG_pur_rate47"/>
      <sheetName val="Break_Dw47"/>
      <sheetName val="LIST_OF_MAKES47"/>
      <sheetName val="Assumption_Inputs47"/>
      <sheetName val="Civil_Works47"/>
      <sheetName val="Form_647"/>
      <sheetName val="acevsSp_(ABC)47"/>
      <sheetName val="A_O_R_47"/>
      <sheetName val="CORPN_O_x005f_x005f_x005f_x0000_T47"/>
      <sheetName val="220_11__BS_47"/>
      <sheetName val="FITZ_MORT_9447"/>
      <sheetName val="Intro_47"/>
      <sheetName val="BLOCK-A_(MEA_SHEET)47"/>
      <sheetName val="NLD_-_Assum47"/>
      <sheetName val="Section_Catalogue47"/>
      <sheetName val="TB9798OBPL06_(2)54"/>
      <sheetName val="CORPN_OCT54"/>
      <sheetName val="inout_consol-nov54"/>
      <sheetName val="inout_consol_(2)54"/>
      <sheetName val="AS_ON_DT_EXPS_Mar54"/>
      <sheetName val="fa-pl_&amp;_mach-site54"/>
      <sheetName val="fa_off_eqp54"/>
      <sheetName val="fa_fur&amp;_fix54"/>
      <sheetName val="fa-pl_&amp;_mach-Off54"/>
      <sheetName val="B_Equity-sdpl_INC54"/>
      <sheetName val="inout_consol_wkg54"/>
      <sheetName val="inout_consol_WKNG54"/>
      <sheetName val="B_Sheet_9754"/>
      <sheetName val="P&amp;L_97_54"/>
      <sheetName val="B_Sheet_97-BEXP54"/>
      <sheetName val="P&amp;L_97_-BEXP54"/>
      <sheetName val="consol_flows54"/>
      <sheetName val="sdpl_oth_Liab54"/>
      <sheetName val="obpl-oth_liab54"/>
      <sheetName val="G_land_advance54"/>
      <sheetName val="I-Wip-ot_(2)54"/>
      <sheetName val="detail_WIP_(2)54"/>
      <sheetName val="detail_G-154"/>
      <sheetName val="sobha_menon_ac54"/>
      <sheetName val="pnc_ac54"/>
      <sheetName val="fix_-p_&amp;_M_-SCC54"/>
      <sheetName val="C_fix_asst54"/>
      <sheetName val="D_fix_asst_scdl_54"/>
      <sheetName val="creditors_tb_obpl54"/>
      <sheetName val="TBAL9697_-group_wise__sdpl64"/>
      <sheetName val="TBAL9697_-group_wise_54"/>
      <sheetName val="crs_-G-154"/>
      <sheetName val="TBAL9697_-group_wise__onpl54"/>
      <sheetName val="B_Sheet_97-OBPL54"/>
      <sheetName val="B_Sheet_97_sdpl54"/>
      <sheetName val="TBAL9697_-group_wise__sdpl254"/>
      <sheetName val="inout_consol_jan54"/>
      <sheetName val="consol_flow54"/>
      <sheetName val="D_Loan__Prom54"/>
      <sheetName val="E_Bank_Loan54"/>
      <sheetName val="G_work_Cap54"/>
      <sheetName val="H_land_adv-dec54"/>
      <sheetName val="J_Con_WIP54"/>
      <sheetName val="detail_J54"/>
      <sheetName val="L_Oth_Co54"/>
      <sheetName val="K_fix_asst__54"/>
      <sheetName val="C_fix_asst-SDPL_54"/>
      <sheetName val="TBAL9697__group_wise__sdpl54"/>
      <sheetName val="inout_consol_okg54"/>
      <sheetName val="detail_OIP_(2)54"/>
      <sheetName val="D_fix_ysst_scdl_54"/>
      <sheetName val="cre`itors_tb_obpl54"/>
      <sheetName val="3AL9697_-group_wise__onpl54"/>
      <sheetName val="L_Oth_Bo53"/>
      <sheetName val="3‰AL9697_-group_wise__onpl53"/>
      <sheetName val="Civil_Boq53"/>
      <sheetName val="Staff_Acco_53"/>
      <sheetName val="SITE_OVERHEADS53"/>
      <sheetName val="PRECAST_lightconc-II51"/>
      <sheetName val="1__PayRec50"/>
      <sheetName val="Boq_Block_A53"/>
      <sheetName val="Cashflow_projection50"/>
      <sheetName val="Project-Material_53"/>
      <sheetName val="SPT_vs_PHI50"/>
      <sheetName val="key_dates50"/>
      <sheetName val="ino4t_conso,-nov50"/>
      <sheetName val="(nout_co,sol_(2)50"/>
      <sheetName val="Blr_hire50"/>
      <sheetName val="_bpl,oth_lia_50"/>
      <sheetName val="G_,and_adv_nce50"/>
      <sheetName val="I,Wip-ot__2)50"/>
      <sheetName val="det!il_WIP_(2)50"/>
      <sheetName val="de4ail_G-150"/>
      <sheetName val="sobha_mennn_ac50"/>
      <sheetName val="C_&amp;ix_asst50"/>
      <sheetName val="_x005f_x0003_dpl_oth_Lia`50"/>
      <sheetName val="TBAL9697__x005f_x000d_grotp_wise_50"/>
      <sheetName val="St_co_91_5lvl50"/>
      <sheetName val="3�AL9697_-group_wise__onpl53"/>
      <sheetName val="INPUT_SHEET50"/>
      <sheetName val="Stress_Calculation50"/>
      <sheetName val="Labor_abs-NMR50"/>
      <sheetName val="Sun_E_Type50"/>
      <sheetName val="CORPN_O?T50"/>
      <sheetName val="Fin_Sum50"/>
      <sheetName val="CORPN_O_x005f_x0000_T50"/>
      <sheetName val="TBAL9697__x000a_grotp_wise_50"/>
      <sheetName val="labour_coeff48"/>
      <sheetName val="Shuttering_Analysis48"/>
      <sheetName val="General_P+M48"/>
      <sheetName val="Curing_Analysis_48"/>
      <sheetName val="Concrete_P+M_(_RMC_)48"/>
      <sheetName val="P+M_(_SMC_)48"/>
      <sheetName val="P+M_-EW48"/>
      <sheetName val="P&amp;L_-_AD48"/>
      <sheetName val="SUPPLY_-Sanitary_Fixtures50"/>
      <sheetName val="ITEMS_FOR_CIVIL_TENDER50"/>
      <sheetName val="_x005f_x005f_x005f_x0003_dpl_oth_Lia`50"/>
      <sheetName val="TBAL9697__x005f_x005f_x005f_x000d_grotp_w50"/>
      <sheetName val="Fin__Assumpt__-_Sensitivities48"/>
      <sheetName val="LOAD_SHEET_48"/>
      <sheetName val="Fill_this_out_first___48"/>
      <sheetName val="Labour_productivity48"/>
      <sheetName val="RCC,Ret__Wall48"/>
      <sheetName val="CORPN_O50"/>
      <sheetName val="CORPN_O_T48"/>
      <sheetName val="Area_&amp;_Cate__Master48"/>
      <sheetName val="Bill_No_548"/>
      <sheetName val="TBAL9697__grotp_wise_96"/>
      <sheetName val="11B_48"/>
      <sheetName val="Structure_Bills_Qty48"/>
      <sheetName val="DG_50"/>
      <sheetName val="BOQ_(2)48"/>
      <sheetName val="Fee_Rate_Summary48"/>
      <sheetName val="Name_List48"/>
      <sheetName val="Detail_1A48"/>
      <sheetName val="Sheet_148"/>
      <sheetName val="3BPA00132-5-3_W_plan_HVPNL48"/>
      <sheetName val="Mix_Design48"/>
      <sheetName val="DLC_lookups48"/>
      <sheetName val="Driveway_Beams48"/>
      <sheetName val="TBAL9697__x005f_x000a_grotp_wise_48"/>
      <sheetName val="Quote_Sheet48"/>
      <sheetName val="d-safe_DELUXE48"/>
      <sheetName val="Works_-_Quote_Sheet48"/>
      <sheetName val="IO_LIST48"/>
      <sheetName val="TBAL9697__x005f_x000d_grotp_wis48"/>
      <sheetName val="TBAL9697__grotp_wise_97"/>
      <sheetName val="Cat_A_Change_Control48"/>
      <sheetName val="Break_up_Sheet48"/>
      <sheetName val="Summary_of_P_&amp;_M48"/>
      <sheetName val="ISO_Reconcilation_Statment48"/>
      <sheetName val="AVG_pur_rate48"/>
      <sheetName val="Break_Dw48"/>
      <sheetName val="LIST_OF_MAKES48"/>
      <sheetName val="Assumption_Inputs48"/>
      <sheetName val="Civil_Works48"/>
      <sheetName val="Form_648"/>
      <sheetName val="acevsSp_(ABC)48"/>
      <sheetName val="A_O_R_48"/>
      <sheetName val="CORPN_O_x005f_x005f_x005f_x0000_T48"/>
      <sheetName val="220_11__BS_48"/>
      <sheetName val="FITZ_MORT_9448"/>
      <sheetName val="Intro_48"/>
      <sheetName val="BLOCK-A_(MEA_SHEET)48"/>
      <sheetName val="NLD_-_Assum48"/>
      <sheetName val="Section_Catalogue48"/>
      <sheetName val="TB9798OBPL06_(2)55"/>
      <sheetName val="CORPN_OCT55"/>
      <sheetName val="inout_consol-nov55"/>
      <sheetName val="inout_consol_(2)55"/>
      <sheetName val="AS_ON_DT_EXPS_Mar55"/>
      <sheetName val="fa-pl_&amp;_mach-site55"/>
      <sheetName val="fa_off_eqp55"/>
      <sheetName val="fa_fur&amp;_fix55"/>
      <sheetName val="fa-pl_&amp;_mach-Off55"/>
      <sheetName val="B_Equity-sdpl_INC55"/>
      <sheetName val="inout_consol_wkg55"/>
      <sheetName val="inout_consol_WKNG55"/>
      <sheetName val="B_Sheet_9755"/>
      <sheetName val="P&amp;L_97_55"/>
      <sheetName val="B_Sheet_97-BEXP55"/>
      <sheetName val="P&amp;L_97_-BEXP55"/>
      <sheetName val="consol_flows55"/>
      <sheetName val="sdpl_oth_Liab55"/>
      <sheetName val="obpl-oth_liab55"/>
      <sheetName val="G_land_advance55"/>
      <sheetName val="I-Wip-ot_(2)55"/>
      <sheetName val="detail_WIP_(2)55"/>
      <sheetName val="detail_G-155"/>
      <sheetName val="sobha_menon_ac55"/>
      <sheetName val="pnc_ac55"/>
      <sheetName val="fix_-p_&amp;_M_-SCC55"/>
      <sheetName val="C_fix_asst55"/>
      <sheetName val="D_fix_asst_scdl_55"/>
      <sheetName val="creditors_tb_obpl55"/>
      <sheetName val="TBAL9697_-group_wise__sdpl65"/>
      <sheetName val="TBAL9697_-group_wise_55"/>
      <sheetName val="crs_-G-155"/>
      <sheetName val="TBAL9697_-group_wise__onpl55"/>
      <sheetName val="B_Sheet_97-OBPL55"/>
      <sheetName val="B_Sheet_97_sdpl55"/>
      <sheetName val="TBAL9697_-group_wise__sdpl255"/>
      <sheetName val="inout_consol_jan55"/>
      <sheetName val="consol_flow55"/>
      <sheetName val="D_Loan__Prom55"/>
      <sheetName val="E_Bank_Loan55"/>
      <sheetName val="G_work_Cap55"/>
      <sheetName val="H_land_adv-dec55"/>
      <sheetName val="J_Con_WIP55"/>
      <sheetName val="detail_J55"/>
      <sheetName val="L_Oth_Co55"/>
      <sheetName val="K_fix_asst__55"/>
      <sheetName val="C_fix_asst-SDPL_55"/>
      <sheetName val="TBAL9697__group_wise__sdpl55"/>
      <sheetName val="inout_consol_okg55"/>
      <sheetName val="detail_OIP_(2)55"/>
      <sheetName val="D_fix_ysst_scdl_55"/>
      <sheetName val="cre`itors_tb_obpl55"/>
      <sheetName val="3AL9697_-group_wise__onpl55"/>
      <sheetName val="L_Oth_Bo54"/>
      <sheetName val="3‰AL9697_-group_wise__onpl54"/>
      <sheetName val="Civil_Boq54"/>
      <sheetName val="Staff_Acco_54"/>
      <sheetName val="SITE_OVERHEADS54"/>
      <sheetName val="PRECAST_lightconc-II52"/>
      <sheetName val="1__PayRec51"/>
      <sheetName val="Boq_Block_A54"/>
      <sheetName val="Cashflow_projection51"/>
      <sheetName val="Project-Material_54"/>
      <sheetName val="SPT_vs_PHI51"/>
      <sheetName val="key_dates51"/>
      <sheetName val="ino4t_conso,-nov51"/>
      <sheetName val="(nout_co,sol_(2)51"/>
      <sheetName val="Blr_hire51"/>
      <sheetName val="_bpl,oth_lia_51"/>
      <sheetName val="G_,and_adv_nce51"/>
      <sheetName val="I,Wip-ot__2)51"/>
      <sheetName val="det!il_WIP_(2)51"/>
      <sheetName val="de4ail_G-151"/>
      <sheetName val="sobha_mennn_ac51"/>
      <sheetName val="C_&amp;ix_asst51"/>
      <sheetName val="_x005f_x0003_dpl_oth_Lia`51"/>
      <sheetName val="TBAL9697__x005f_x000d_grotp_wise_51"/>
      <sheetName val="St_co_91_5lvl51"/>
      <sheetName val="3�AL9697_-group_wise__onpl54"/>
      <sheetName val="INPUT_SHEET51"/>
      <sheetName val="Stress_Calculation51"/>
      <sheetName val="Labor_abs-NMR51"/>
      <sheetName val="Sun_E_Type51"/>
      <sheetName val="CORPN_O?T51"/>
      <sheetName val="Fin_Sum51"/>
      <sheetName val="CORPN_O_x005f_x0000_T51"/>
      <sheetName val="TBAL9697__x000a_grotp_wise_51"/>
      <sheetName val="labour_coeff49"/>
      <sheetName val="Shuttering_Analysis49"/>
      <sheetName val="General_P+M49"/>
      <sheetName val="Curing_Analysis_49"/>
      <sheetName val="Concrete_P+M_(_RMC_)49"/>
      <sheetName val="P+M_(_SMC_)49"/>
      <sheetName val="P+M_-EW49"/>
      <sheetName val="P&amp;L_-_AD49"/>
      <sheetName val="SUPPLY_-Sanitary_Fixtures51"/>
      <sheetName val="ITEMS_FOR_CIVIL_TENDER51"/>
      <sheetName val="_x005f_x005f_x005f_x0003_dpl_oth_Lia`51"/>
      <sheetName val="TBAL9697__x005f_x005f_x005f_x000d_grotp_w51"/>
      <sheetName val="Fin__Assumpt__-_Sensitivities49"/>
      <sheetName val="LOAD_SHEET_49"/>
      <sheetName val="Fill_this_out_first___49"/>
      <sheetName val="Labour_productivity49"/>
      <sheetName val="RCC,Ret__Wall49"/>
      <sheetName val="CORPN_O51"/>
      <sheetName val="CORPN_O_T49"/>
      <sheetName val="Area_&amp;_Cate__Master49"/>
      <sheetName val="Bill_No_549"/>
      <sheetName val="TBAL9697__grotp_wise_98"/>
      <sheetName val="11B_49"/>
      <sheetName val="Structure_Bills_Qty49"/>
      <sheetName val="DG_51"/>
      <sheetName val="BOQ_(2)49"/>
      <sheetName val="Fee_Rate_Summary49"/>
      <sheetName val="Name_List49"/>
      <sheetName val="Detail_1A49"/>
      <sheetName val="Sheet_149"/>
      <sheetName val="3BPA00132-5-3_W_plan_HVPNL49"/>
      <sheetName val="Mix_Design49"/>
      <sheetName val="DLC_lookups49"/>
      <sheetName val="Driveway_Beams49"/>
      <sheetName val="TBAL9697__x005f_x000a_grotp_wise_49"/>
      <sheetName val="Quote_Sheet49"/>
      <sheetName val="d-safe_DELUXE49"/>
      <sheetName val="Works_-_Quote_Sheet49"/>
      <sheetName val="IO_LIST49"/>
      <sheetName val="TBAL9697__x005f_x000d_grotp_wis49"/>
      <sheetName val="TBAL9697__grotp_wise_99"/>
      <sheetName val="Cat_A_Change_Control49"/>
      <sheetName val="Break_up_Sheet49"/>
      <sheetName val="Summary_of_P_&amp;_M49"/>
      <sheetName val="ISO_Reconcilation_Statment49"/>
      <sheetName val="AVG_pur_rate49"/>
      <sheetName val="Break_Dw49"/>
      <sheetName val="LIST_OF_MAKES49"/>
      <sheetName val="Assumption_Inputs49"/>
      <sheetName val="Civil_Works49"/>
      <sheetName val="Form_649"/>
      <sheetName val="acevsSp_(ABC)49"/>
      <sheetName val="A_O_R_49"/>
      <sheetName val="CORPN_O_x005f_x005f_x005f_x0000_T49"/>
      <sheetName val="220_11__BS_49"/>
      <sheetName val="FITZ_MORT_9449"/>
      <sheetName val="Intro_49"/>
      <sheetName val="BLOCK-A_(MEA_SHEET)49"/>
      <sheetName val="NLD_-_Assum49"/>
      <sheetName val="Section_Catalogue49"/>
      <sheetName val="TB9798OBPL06_(2)56"/>
      <sheetName val="CORPN_OCT56"/>
      <sheetName val="inout_consol-nov56"/>
      <sheetName val="inout_consol_(2)56"/>
      <sheetName val="AS_ON_DT_EXPS_Mar56"/>
      <sheetName val="fa-pl_&amp;_mach-site56"/>
      <sheetName val="fa_off_eqp56"/>
      <sheetName val="fa_fur&amp;_fix56"/>
      <sheetName val="fa-pl_&amp;_mach-Off56"/>
      <sheetName val="B_Equity-sdpl_INC56"/>
      <sheetName val="inout_consol_wkg56"/>
      <sheetName val="inout_consol_WKNG56"/>
      <sheetName val="B_Sheet_9756"/>
      <sheetName val="P&amp;L_97_56"/>
      <sheetName val="B_Sheet_97-BEXP56"/>
      <sheetName val="P&amp;L_97_-BEXP56"/>
      <sheetName val="consol_flows56"/>
      <sheetName val="sdpl_oth_Liab56"/>
      <sheetName val="obpl-oth_liab56"/>
      <sheetName val="G_land_advance56"/>
      <sheetName val="I-Wip-ot_(2)56"/>
      <sheetName val="detail_WIP_(2)56"/>
      <sheetName val="detail_G-156"/>
      <sheetName val="sobha_menon_ac56"/>
      <sheetName val="pnc_ac56"/>
      <sheetName val="fix_-p_&amp;_M_-SCC56"/>
      <sheetName val="C_fix_asst56"/>
      <sheetName val="D_fix_asst_scdl_56"/>
      <sheetName val="creditors_tb_obpl56"/>
      <sheetName val="TBAL9697_-group_wise__sdpl66"/>
      <sheetName val="TBAL9697_-group_wise_56"/>
      <sheetName val="crs_-G-156"/>
      <sheetName val="TBAL9697_-group_wise__onpl56"/>
      <sheetName val="B_Sheet_97-OBPL56"/>
      <sheetName val="B_Sheet_97_sdpl56"/>
      <sheetName val="TBAL9697_-group_wise__sdpl256"/>
      <sheetName val="inout_consol_jan56"/>
      <sheetName val="consol_flow56"/>
      <sheetName val="D_Loan__Prom56"/>
      <sheetName val="E_Bank_Loan56"/>
      <sheetName val="G_work_Cap56"/>
      <sheetName val="H_land_adv-dec56"/>
      <sheetName val="J_Con_WIP56"/>
      <sheetName val="detail_J56"/>
      <sheetName val="L_Oth_Co56"/>
      <sheetName val="K_fix_asst__56"/>
      <sheetName val="C_fix_asst-SDPL_56"/>
      <sheetName val="TBAL9697__group_wise__sdpl56"/>
      <sheetName val="inout_consol_okg56"/>
      <sheetName val="detail_OIP_(2)56"/>
      <sheetName val="D_fix_ysst_scdl_56"/>
      <sheetName val="cre`itors_tb_obpl56"/>
      <sheetName val="3AL9697_-group_wise__onpl56"/>
      <sheetName val="L_Oth_Bo55"/>
      <sheetName val="3‰AL9697_-group_wise__onpl55"/>
      <sheetName val="Civil_Boq55"/>
      <sheetName val="Staff_Acco_55"/>
      <sheetName val="SITE_OVERHEADS55"/>
      <sheetName val="PRECAST_lightconc-II53"/>
      <sheetName val="1__PayRec52"/>
      <sheetName val="Boq_Block_A55"/>
      <sheetName val="Cashflow_projection52"/>
      <sheetName val="Project-Material_55"/>
      <sheetName val="SPT_vs_PHI52"/>
      <sheetName val="key_dates52"/>
      <sheetName val="ino4t_conso,-nov52"/>
      <sheetName val="(nout_co,sol_(2)52"/>
      <sheetName val="Blr_hire52"/>
      <sheetName val="_bpl,oth_lia_52"/>
      <sheetName val="G_,and_adv_nce52"/>
      <sheetName val="I,Wip-ot__2)52"/>
      <sheetName val="det!il_WIP_(2)52"/>
      <sheetName val="de4ail_G-152"/>
      <sheetName val="sobha_mennn_ac52"/>
      <sheetName val="C_&amp;ix_asst52"/>
      <sheetName val="_x005f_x0003_dpl_oth_Lia`52"/>
      <sheetName val="TBAL9697__x005f_x000d_grotp_wise_52"/>
      <sheetName val="St_co_91_5lvl52"/>
      <sheetName val="3�AL9697_-group_wise__onpl55"/>
      <sheetName val="INPUT_SHEET52"/>
      <sheetName val="Stress_Calculation52"/>
      <sheetName val="Labor_abs-NMR52"/>
      <sheetName val="Sun_E_Type52"/>
      <sheetName val="CORPN_O?T52"/>
      <sheetName val="Fin_Sum52"/>
      <sheetName val="CORPN_O_x005f_x0000_T52"/>
      <sheetName val="TBAL9697__x000a_grotp_wise_52"/>
      <sheetName val="labour_coeff50"/>
      <sheetName val="Shuttering_Analysis50"/>
      <sheetName val="General_P+M50"/>
      <sheetName val="Curing_Analysis_50"/>
      <sheetName val="Concrete_P+M_(_RMC_)50"/>
      <sheetName val="P+M_(_SMC_)50"/>
      <sheetName val="P+M_-EW50"/>
      <sheetName val="P&amp;L_-_AD50"/>
      <sheetName val="SUPPLY_-Sanitary_Fixtures52"/>
      <sheetName val="ITEMS_FOR_CIVIL_TENDER52"/>
      <sheetName val="_x005f_x005f_x005f_x0003_dpl_oth_Lia`52"/>
      <sheetName val="TBAL9697__x005f_x005f_x005f_x000d_grotp_w52"/>
      <sheetName val="Fin__Assumpt__-_Sensitivities50"/>
      <sheetName val="LOAD_SHEET_50"/>
      <sheetName val="Fill_this_out_first___50"/>
      <sheetName val="Labour_productivity50"/>
      <sheetName val="RCC,Ret__Wall50"/>
      <sheetName val="CORPN_O52"/>
      <sheetName val="CORPN_O_T50"/>
      <sheetName val="Area_&amp;_Cate__Master50"/>
      <sheetName val="Bill_No_550"/>
      <sheetName val="TBAL9697__grotp_wise_100"/>
      <sheetName val="11B_50"/>
      <sheetName val="Structure_Bills_Qty50"/>
      <sheetName val="DG_52"/>
      <sheetName val="BOQ_(2)50"/>
      <sheetName val="Fee_Rate_Summary50"/>
      <sheetName val="Name_List50"/>
      <sheetName val="Detail_1A50"/>
      <sheetName val="Sheet_150"/>
      <sheetName val="3BPA00132-5-3_W_plan_HVPNL50"/>
      <sheetName val="Mix_Design50"/>
      <sheetName val="DLC_lookups50"/>
      <sheetName val="Driveway_Beams50"/>
      <sheetName val="TBAL9697__x005f_x000a_grotp_wise_50"/>
      <sheetName val="Quote_Sheet50"/>
      <sheetName val="d-safe_DELUXE50"/>
      <sheetName val="Works_-_Quote_Sheet50"/>
      <sheetName val="IO_LIST50"/>
      <sheetName val="TBAL9697__x005f_x000d_grotp_wis50"/>
      <sheetName val="Cat_A_Change_Control50"/>
      <sheetName val="Break_up_Sheet50"/>
      <sheetName val="Summary_of_P_&amp;_M50"/>
      <sheetName val="ISO_Reconcilation_Statment50"/>
      <sheetName val="AVG_pur_rate50"/>
      <sheetName val="Break_Dw50"/>
      <sheetName val="LIST_OF_MAKES50"/>
      <sheetName val="Assumption_Inputs50"/>
      <sheetName val="Civil_Works50"/>
      <sheetName val="Form_650"/>
      <sheetName val="acevsSp_(ABC)50"/>
      <sheetName val="A_O_R_50"/>
      <sheetName val="CORPN_O_x005f_x005f_x005f_x0000_T50"/>
      <sheetName val="220_11__BS_50"/>
      <sheetName val="FITZ_MORT_9450"/>
      <sheetName val="Intro_50"/>
      <sheetName val="BLOCK-A_(MEA_SHEET)50"/>
      <sheetName val="NLD_-_Assum50"/>
      <sheetName val="Section_Catalogue50"/>
      <sheetName val="TB9798OBPL06_(2)62"/>
      <sheetName val="CORPN_OCT62"/>
      <sheetName val="inout_consol-nov62"/>
      <sheetName val="inout_consol_(2)62"/>
      <sheetName val="AS_ON_DT_EXPS_Mar62"/>
      <sheetName val="fa-pl_&amp;_mach-site62"/>
      <sheetName val="fa_off_eqp62"/>
      <sheetName val="fa_fur&amp;_fix62"/>
      <sheetName val="fa-pl_&amp;_mach-Off62"/>
      <sheetName val="B_Equity-sdpl_INC62"/>
      <sheetName val="inout_consol_wkg62"/>
      <sheetName val="inout_consol_WKNG62"/>
      <sheetName val="B_Sheet_9762"/>
      <sheetName val="P&amp;L_97_62"/>
      <sheetName val="B_Sheet_97-BEXP62"/>
      <sheetName val="P&amp;L_97_-BEXP62"/>
      <sheetName val="consol_flows62"/>
      <sheetName val="sdpl_oth_Liab62"/>
      <sheetName val="obpl-oth_liab62"/>
      <sheetName val="G_land_advance62"/>
      <sheetName val="I-Wip-ot_(2)62"/>
      <sheetName val="detail_WIP_(2)62"/>
      <sheetName val="detail_G-162"/>
      <sheetName val="sobha_menon_ac62"/>
      <sheetName val="pnc_ac62"/>
      <sheetName val="fix_-p_&amp;_M_-SCC62"/>
      <sheetName val="C_fix_asst62"/>
      <sheetName val="D_fix_asst_scdl_62"/>
      <sheetName val="creditors_tb_obpl62"/>
      <sheetName val="TBAL9697_-group_wise__sdpl72"/>
      <sheetName val="TBAL9697_-group_wise_62"/>
      <sheetName val="crs_-G-162"/>
      <sheetName val="TBAL9697_-group_wise__onpl62"/>
      <sheetName val="B_Sheet_97-OBPL62"/>
      <sheetName val="B_Sheet_97_sdpl62"/>
      <sheetName val="TBAL9697_-group_wise__sdpl262"/>
      <sheetName val="inout_consol_jan62"/>
      <sheetName val="consol_flow62"/>
      <sheetName val="D_Loan__Prom62"/>
      <sheetName val="E_Bank_Loan62"/>
      <sheetName val="G_work_Cap62"/>
      <sheetName val="H_land_adv-dec62"/>
      <sheetName val="J_Con_WIP62"/>
      <sheetName val="detail_J62"/>
      <sheetName val="L_Oth_Co62"/>
      <sheetName val="K_fix_asst__62"/>
      <sheetName val="C_fix_asst-SDPL_62"/>
      <sheetName val="TBAL9697__group_wise__sdpl62"/>
      <sheetName val="inout_consol_okg62"/>
      <sheetName val="detail_OIP_(2)62"/>
      <sheetName val="D_fix_ysst_scdl_62"/>
      <sheetName val="cre`itors_tb_obpl62"/>
      <sheetName val="3AL9697_-group_wise__onpl62"/>
      <sheetName val="L_Oth_Bo61"/>
      <sheetName val="3‰AL9697_-group_wise__onpl61"/>
      <sheetName val="Civil_Boq61"/>
      <sheetName val="Staff_Acco_61"/>
      <sheetName val="SITE_OVERHEADS61"/>
      <sheetName val="PRECAST_lightconc-II59"/>
      <sheetName val="1__PayRec58"/>
      <sheetName val="Boq_Block_A61"/>
      <sheetName val="Cashflow_projection58"/>
      <sheetName val="Project-Material_61"/>
      <sheetName val="SPT_vs_PHI58"/>
      <sheetName val="key_dates58"/>
      <sheetName val="ino4t_conso,-nov58"/>
      <sheetName val="(nout_co,sol_(2)58"/>
      <sheetName val="Blr_hire58"/>
      <sheetName val="_bpl,oth_lia_58"/>
      <sheetName val="G_,and_adv_nce58"/>
      <sheetName val="I,Wip-ot__2)58"/>
      <sheetName val="det!il_WIP_(2)58"/>
      <sheetName val="de4ail_G-158"/>
      <sheetName val="sobha_mennn_ac58"/>
      <sheetName val="C_&amp;ix_asst58"/>
      <sheetName val="_x005f_x0003_dpl_oth_Lia`58"/>
      <sheetName val="TBAL9697__x005f_x000d_grotp_wise_58"/>
      <sheetName val="St_co_91_5lvl58"/>
      <sheetName val="3�AL9697_-group_wise__onpl61"/>
      <sheetName val="INPUT_SHEET58"/>
      <sheetName val="Stress_Calculation58"/>
      <sheetName val="Labor_abs-NMR58"/>
      <sheetName val="Sun_E_Type58"/>
      <sheetName val="CORPN_O?T58"/>
      <sheetName val="Fin_Sum58"/>
      <sheetName val="CORPN_O_x005f_x0000_T58"/>
      <sheetName val="TBAL9697__x000a_grotp_wise_58"/>
      <sheetName val="labour_coeff56"/>
      <sheetName val="Shuttering_Analysis56"/>
      <sheetName val="General_P+M56"/>
      <sheetName val="Curing_Analysis_56"/>
      <sheetName val="Concrete_P+M_(_RMC_)56"/>
      <sheetName val="P+M_(_SMC_)56"/>
      <sheetName val="P+M_-EW56"/>
      <sheetName val="P&amp;L_-_AD56"/>
      <sheetName val="SUPPLY_-Sanitary_Fixtures58"/>
      <sheetName val="ITEMS_FOR_CIVIL_TENDER58"/>
      <sheetName val="_x005f_x005f_x005f_x0003_dpl_oth_Lia`58"/>
      <sheetName val="TBAL9697__x005f_x005f_x005f_x000d_grotp_w58"/>
      <sheetName val="Fin__Assumpt__-_Sensitivities56"/>
      <sheetName val="LOAD_SHEET_56"/>
      <sheetName val="Fill_this_out_first___56"/>
      <sheetName val="Labour_productivity56"/>
      <sheetName val="RCC,Ret__Wall56"/>
      <sheetName val="CORPN_O58"/>
      <sheetName val="CORPN_O_T56"/>
      <sheetName val="Area_&amp;_Cate__Master56"/>
      <sheetName val="Bill_No_556"/>
      <sheetName val="11B_56"/>
      <sheetName val="Structure_Bills_Qty56"/>
      <sheetName val="DG_58"/>
      <sheetName val="BOQ_(2)56"/>
      <sheetName val="Fee_Rate_Summary56"/>
      <sheetName val="Name_List56"/>
      <sheetName val="Detail_1A56"/>
      <sheetName val="Sheet_156"/>
      <sheetName val="3BPA00132-5-3_W_plan_HVPNL56"/>
      <sheetName val="Mix_Design56"/>
      <sheetName val="DLC_lookups56"/>
      <sheetName val="Driveway_Beams56"/>
      <sheetName val="TBAL9697__x005f_x000a_grotp_wise_56"/>
      <sheetName val="Quote_Sheet56"/>
      <sheetName val="d-safe_DELUXE56"/>
      <sheetName val="Works_-_Quote_Sheet56"/>
      <sheetName val="IO_LIST56"/>
      <sheetName val="TBAL9697__x005f_x000d_grotp_wis56"/>
      <sheetName val="Cat_A_Change_Control56"/>
      <sheetName val="Break_up_Sheet56"/>
      <sheetName val="Summary_of_P_&amp;_M56"/>
      <sheetName val="ISO_Reconcilation_Statment56"/>
      <sheetName val="AVG_pur_rate56"/>
      <sheetName val="Break_Dw56"/>
      <sheetName val="LIST_OF_MAKES56"/>
      <sheetName val="Assumption_Inputs56"/>
      <sheetName val="Civil_Works56"/>
      <sheetName val="Form_656"/>
      <sheetName val="acevsSp_(ABC)56"/>
      <sheetName val="A_O_R_56"/>
      <sheetName val="CORPN_O_x005f_x005f_x005f_x0000_T56"/>
      <sheetName val="220_11__BS_56"/>
      <sheetName val="FITZ_MORT_9456"/>
      <sheetName val="Intro_56"/>
      <sheetName val="BLOCK-A_(MEA_SHEET)56"/>
      <sheetName val="NLD_-_Assum56"/>
      <sheetName val="Section_Catalogue56"/>
      <sheetName val="TB9798OBPL06_(2)57"/>
      <sheetName val="CORPN_OCT57"/>
      <sheetName val="inout_consol-nov57"/>
      <sheetName val="inout_consol_(2)57"/>
      <sheetName val="AS_ON_DT_EXPS_Mar57"/>
      <sheetName val="fa-pl_&amp;_mach-site57"/>
      <sheetName val="fa_off_eqp57"/>
      <sheetName val="fa_fur&amp;_fix57"/>
      <sheetName val="fa-pl_&amp;_mach-Off57"/>
      <sheetName val="B_Equity-sdpl_INC57"/>
      <sheetName val="inout_consol_wkg57"/>
      <sheetName val="inout_consol_WKNG57"/>
      <sheetName val="B_Sheet_9757"/>
      <sheetName val="P&amp;L_97_57"/>
      <sheetName val="B_Sheet_97-BEXP57"/>
      <sheetName val="P&amp;L_97_-BEXP57"/>
      <sheetName val="consol_flows57"/>
      <sheetName val="sdpl_oth_Liab57"/>
      <sheetName val="obpl-oth_liab57"/>
      <sheetName val="G_land_advance57"/>
      <sheetName val="I-Wip-ot_(2)57"/>
      <sheetName val="detail_WIP_(2)57"/>
      <sheetName val="detail_G-157"/>
      <sheetName val="sobha_menon_ac57"/>
      <sheetName val="pnc_ac57"/>
      <sheetName val="fix_-p_&amp;_M_-SCC57"/>
      <sheetName val="C_fix_asst57"/>
      <sheetName val="D_fix_asst_scdl_57"/>
      <sheetName val="creditors_tb_obpl57"/>
      <sheetName val="TBAL9697_-group_wise__sdpl67"/>
      <sheetName val="TBAL9697_-group_wise_57"/>
      <sheetName val="crs_-G-157"/>
      <sheetName val="TBAL9697_-group_wise__onpl57"/>
      <sheetName val="B_Sheet_97-OBPL57"/>
      <sheetName val="B_Sheet_97_sdpl57"/>
      <sheetName val="TBAL9697_-group_wise__sdpl257"/>
      <sheetName val="inout_consol_jan57"/>
      <sheetName val="consol_flow57"/>
      <sheetName val="D_Loan__Prom57"/>
      <sheetName val="E_Bank_Loan57"/>
      <sheetName val="G_work_Cap57"/>
      <sheetName val="H_land_adv-dec57"/>
      <sheetName val="J_Con_WIP57"/>
      <sheetName val="detail_J57"/>
      <sheetName val="L_Oth_Co57"/>
      <sheetName val="K_fix_asst__57"/>
      <sheetName val="C_fix_asst-SDPL_57"/>
      <sheetName val="TBAL9697__group_wise__sdpl57"/>
      <sheetName val="inout_consol_okg57"/>
      <sheetName val="detail_OIP_(2)57"/>
      <sheetName val="D_fix_ysst_scdl_57"/>
      <sheetName val="cre`itors_tb_obpl57"/>
      <sheetName val="3AL9697_-group_wise__onpl57"/>
      <sheetName val="L_Oth_Bo56"/>
      <sheetName val="3‰AL9697_-group_wise__onpl56"/>
      <sheetName val="Civil_Boq56"/>
      <sheetName val="Staff_Acco_56"/>
      <sheetName val="SITE_OVERHEADS56"/>
      <sheetName val="PRECAST_lightconc-II54"/>
      <sheetName val="1__PayRec53"/>
      <sheetName val="Boq_Block_A56"/>
      <sheetName val="Cashflow_projection53"/>
      <sheetName val="Project-Material_56"/>
      <sheetName val="SPT_vs_PHI53"/>
      <sheetName val="key_dates53"/>
      <sheetName val="ino4t_conso,-nov53"/>
      <sheetName val="(nout_co,sol_(2)53"/>
      <sheetName val="Blr_hire53"/>
      <sheetName val="_bpl,oth_lia_53"/>
      <sheetName val="G_,and_adv_nce53"/>
      <sheetName val="I,Wip-ot__2)53"/>
      <sheetName val="det!il_WIP_(2)53"/>
      <sheetName val="de4ail_G-153"/>
      <sheetName val="sobha_mennn_ac53"/>
      <sheetName val="C_&amp;ix_asst53"/>
      <sheetName val="_x005f_x0003_dpl_oth_Lia`53"/>
      <sheetName val="TBAL9697__x005f_x000d_grotp_wise_53"/>
      <sheetName val="St_co_91_5lvl53"/>
      <sheetName val="3�AL9697_-group_wise__onpl56"/>
      <sheetName val="INPUT_SHEET53"/>
      <sheetName val="Stress_Calculation53"/>
      <sheetName val="Labor_abs-NMR53"/>
      <sheetName val="Sun_E_Type53"/>
      <sheetName val="CORPN_O?T53"/>
      <sheetName val="Fin_Sum53"/>
      <sheetName val="CORPN_O_x005f_x0000_T53"/>
      <sheetName val="TBAL9697__x000a_grotp_wise_53"/>
      <sheetName val="labour_coeff51"/>
      <sheetName val="Shuttering_Analysis51"/>
      <sheetName val="General_P+M51"/>
      <sheetName val="Curing_Analysis_51"/>
      <sheetName val="Concrete_P+M_(_RMC_)51"/>
      <sheetName val="P+M_(_SMC_)51"/>
      <sheetName val="P+M_-EW51"/>
      <sheetName val="P&amp;L_-_AD51"/>
      <sheetName val="SUPPLY_-Sanitary_Fixtures53"/>
      <sheetName val="ITEMS_FOR_CIVIL_TENDER53"/>
      <sheetName val="_x005f_x005f_x005f_x0003_dpl_oth_Lia`53"/>
      <sheetName val="TBAL9697__x005f_x005f_x005f_x000d_grotp_w53"/>
      <sheetName val="Fin__Assumpt__-_Sensitivities51"/>
      <sheetName val="LOAD_SHEET_51"/>
      <sheetName val="Fill_this_out_first___51"/>
      <sheetName val="Labour_productivity51"/>
      <sheetName val="RCC,Ret__Wall51"/>
      <sheetName val="CORPN_O53"/>
      <sheetName val="CORPN_O_T51"/>
      <sheetName val="Area_&amp;_Cate__Master51"/>
      <sheetName val="Bill_No_551"/>
      <sheetName val="11B_51"/>
      <sheetName val="Structure_Bills_Qty51"/>
      <sheetName val="DG_53"/>
      <sheetName val="BOQ_(2)51"/>
      <sheetName val="Fee_Rate_Summary51"/>
      <sheetName val="Name_List51"/>
      <sheetName val="Detail_1A51"/>
      <sheetName val="Sheet_151"/>
      <sheetName val="3BPA00132-5-3_W_plan_HVPNL51"/>
      <sheetName val="Mix_Design51"/>
      <sheetName val="DLC_lookups51"/>
      <sheetName val="Driveway_Beams51"/>
      <sheetName val="TBAL9697__x005f_x000a_grotp_wise_51"/>
      <sheetName val="Quote_Sheet51"/>
      <sheetName val="d-safe_DELUXE51"/>
      <sheetName val="Works_-_Quote_Sheet51"/>
      <sheetName val="IO_LIST51"/>
      <sheetName val="TBAL9697__x005f_x000d_grotp_wis51"/>
      <sheetName val="Cat_A_Change_Control51"/>
      <sheetName val="Break_up_Sheet51"/>
      <sheetName val="Summary_of_P_&amp;_M51"/>
      <sheetName val="ISO_Reconcilation_Statment51"/>
      <sheetName val="AVG_pur_rate51"/>
      <sheetName val="Break_Dw51"/>
      <sheetName val="LIST_OF_MAKES51"/>
      <sheetName val="Assumption_Inputs51"/>
      <sheetName val="Civil_Works51"/>
      <sheetName val="Form_651"/>
      <sheetName val="acevsSp_(ABC)51"/>
      <sheetName val="A_O_R_51"/>
      <sheetName val="CORPN_O_x005f_x005f_x005f_x0000_T51"/>
      <sheetName val="220_11__BS_51"/>
      <sheetName val="FITZ_MORT_9451"/>
      <sheetName val="Intro_51"/>
      <sheetName val="BLOCK-A_(MEA_SHEET)51"/>
      <sheetName val="NLD_-_Assum51"/>
      <sheetName val="Section_Catalogue51"/>
      <sheetName val="TB9798OBPL06_(2)58"/>
      <sheetName val="CORPN_OCT58"/>
      <sheetName val="inout_consol-nov58"/>
      <sheetName val="inout_consol_(2)58"/>
      <sheetName val="AS_ON_DT_EXPS_Mar58"/>
      <sheetName val="fa-pl_&amp;_mach-site58"/>
      <sheetName val="fa_off_eqp58"/>
      <sheetName val="fa_fur&amp;_fix58"/>
      <sheetName val="fa-pl_&amp;_mach-Off58"/>
      <sheetName val="B_Equity-sdpl_INC58"/>
      <sheetName val="inout_consol_wkg58"/>
      <sheetName val="inout_consol_WKNG58"/>
      <sheetName val="B_Sheet_9758"/>
      <sheetName val="P&amp;L_97_58"/>
      <sheetName val="B_Sheet_97-BEXP58"/>
      <sheetName val="P&amp;L_97_-BEXP58"/>
      <sheetName val="consol_flows58"/>
      <sheetName val="sdpl_oth_Liab58"/>
      <sheetName val="obpl-oth_liab58"/>
      <sheetName val="G_land_advance58"/>
      <sheetName val="I-Wip-ot_(2)58"/>
      <sheetName val="detail_WIP_(2)58"/>
      <sheetName val="detail_G-158"/>
      <sheetName val="sobha_menon_ac58"/>
      <sheetName val="pnc_ac58"/>
      <sheetName val="fix_-p_&amp;_M_-SCC58"/>
      <sheetName val="C_fix_asst58"/>
      <sheetName val="D_fix_asst_scdl_58"/>
      <sheetName val="creditors_tb_obpl58"/>
      <sheetName val="TBAL9697_-group_wise__sdpl68"/>
      <sheetName val="TBAL9697_-group_wise_58"/>
      <sheetName val="crs_-G-158"/>
      <sheetName val="TBAL9697_-group_wise__onpl58"/>
      <sheetName val="B_Sheet_97-OBPL58"/>
      <sheetName val="B_Sheet_97_sdpl58"/>
      <sheetName val="TBAL9697_-group_wise__sdpl258"/>
      <sheetName val="inout_consol_jan58"/>
      <sheetName val="consol_flow58"/>
      <sheetName val="D_Loan__Prom58"/>
      <sheetName val="E_Bank_Loan58"/>
      <sheetName val="G_work_Cap58"/>
      <sheetName val="H_land_adv-dec58"/>
      <sheetName val="J_Con_WIP58"/>
      <sheetName val="detail_J58"/>
      <sheetName val="L_Oth_Co58"/>
      <sheetName val="K_fix_asst__58"/>
      <sheetName val="C_fix_asst-SDPL_58"/>
      <sheetName val="TBAL9697__group_wise__sdpl58"/>
      <sheetName val="inout_consol_okg58"/>
      <sheetName val="detail_OIP_(2)58"/>
      <sheetName val="D_fix_ysst_scdl_58"/>
      <sheetName val="cre`itors_tb_obpl58"/>
      <sheetName val="3AL9697_-group_wise__onpl58"/>
      <sheetName val="L_Oth_Bo57"/>
      <sheetName val="3‰AL9697_-group_wise__onpl57"/>
      <sheetName val="Civil_Boq57"/>
      <sheetName val="Staff_Acco_57"/>
      <sheetName val="SITE_OVERHEADS57"/>
      <sheetName val="PRECAST_lightconc-II55"/>
      <sheetName val="1__PayRec54"/>
      <sheetName val="Boq_Block_A57"/>
      <sheetName val="Cashflow_projection54"/>
      <sheetName val="Project-Material_57"/>
      <sheetName val="SPT_vs_PHI54"/>
      <sheetName val="key_dates54"/>
      <sheetName val="ino4t_conso,-nov54"/>
      <sheetName val="(nout_co,sol_(2)54"/>
      <sheetName val="Blr_hire54"/>
      <sheetName val="_bpl,oth_lia_54"/>
      <sheetName val="G_,and_adv_nce54"/>
      <sheetName val="I,Wip-ot__2)54"/>
      <sheetName val="det!il_WIP_(2)54"/>
      <sheetName val="de4ail_G-154"/>
      <sheetName val="sobha_mennn_ac54"/>
      <sheetName val="C_&amp;ix_asst54"/>
      <sheetName val="_x005f_x0003_dpl_oth_Lia`54"/>
      <sheetName val="TBAL9697__x005f_x000d_grotp_wise_54"/>
      <sheetName val="St_co_91_5lvl54"/>
      <sheetName val="3�AL9697_-group_wise__onpl57"/>
      <sheetName val="INPUT_SHEET54"/>
      <sheetName val="Stress_Calculation54"/>
      <sheetName val="Labor_abs-NMR54"/>
      <sheetName val="Sun_E_Type54"/>
      <sheetName val="CORPN_O?T54"/>
      <sheetName val="Fin_Sum54"/>
      <sheetName val="CORPN_O_x005f_x0000_T54"/>
      <sheetName val="TBAL9697__x000a_grotp_wise_54"/>
      <sheetName val="labour_coeff52"/>
      <sheetName val="Shuttering_Analysis52"/>
      <sheetName val="General_P+M52"/>
      <sheetName val="Curing_Analysis_52"/>
      <sheetName val="Concrete_P+M_(_RMC_)52"/>
      <sheetName val="P+M_(_SMC_)52"/>
      <sheetName val="P+M_-EW52"/>
      <sheetName val="P&amp;L_-_AD52"/>
      <sheetName val="SUPPLY_-Sanitary_Fixtures54"/>
      <sheetName val="ITEMS_FOR_CIVIL_TENDER54"/>
      <sheetName val="_x005f_x005f_x005f_x0003_dpl_oth_Lia`54"/>
      <sheetName val="TBAL9697__x005f_x005f_x005f_x000d_grotp_w54"/>
      <sheetName val="Fin__Assumpt__-_Sensitivities52"/>
      <sheetName val="LOAD_SHEET_52"/>
      <sheetName val="Fill_this_out_first___52"/>
      <sheetName val="Labour_productivity52"/>
      <sheetName val="RCC,Ret__Wall52"/>
      <sheetName val="CORPN_O54"/>
      <sheetName val="CORPN_O_T52"/>
      <sheetName val="Area_&amp;_Cate__Master52"/>
      <sheetName val="Bill_No_552"/>
      <sheetName val="11B_52"/>
      <sheetName val="Structure_Bills_Qty52"/>
      <sheetName val="DG_54"/>
      <sheetName val="BOQ_(2)52"/>
      <sheetName val="Fee_Rate_Summary52"/>
      <sheetName val="Name_List52"/>
      <sheetName val="Detail_1A52"/>
      <sheetName val="Sheet_152"/>
      <sheetName val="3BPA00132-5-3_W_plan_HVPNL52"/>
      <sheetName val="Mix_Design52"/>
      <sheetName val="DLC_lookups52"/>
      <sheetName val="Driveway_Beams52"/>
      <sheetName val="TBAL9697__x005f_x000a_grotp_wise_52"/>
      <sheetName val="Quote_Sheet52"/>
      <sheetName val="d-safe_DELUXE52"/>
      <sheetName val="Works_-_Quote_Sheet52"/>
      <sheetName val="IO_LIST52"/>
      <sheetName val="TBAL9697__x005f_x000d_grotp_wis52"/>
      <sheetName val="Cat_A_Change_Control52"/>
      <sheetName val="Break_up_Sheet52"/>
      <sheetName val="Summary_of_P_&amp;_M52"/>
      <sheetName val="ISO_Reconcilation_Statment52"/>
      <sheetName val="AVG_pur_rate52"/>
      <sheetName val="Break_Dw52"/>
      <sheetName val="LIST_OF_MAKES52"/>
      <sheetName val="Assumption_Inputs52"/>
      <sheetName val="Civil_Works52"/>
      <sheetName val="Form_652"/>
      <sheetName val="acevsSp_(ABC)52"/>
      <sheetName val="A_O_R_52"/>
      <sheetName val="CORPN_O_x005f_x005f_x005f_x0000_T52"/>
      <sheetName val="220_11__BS_52"/>
      <sheetName val="FITZ_MORT_9452"/>
      <sheetName val="Intro_52"/>
      <sheetName val="BLOCK-A_(MEA_SHEET)52"/>
      <sheetName val="NLD_-_Assum52"/>
      <sheetName val="Section_Catalogue52"/>
      <sheetName val="TB9798OBPL06_(2)59"/>
      <sheetName val="CORPN_OCT59"/>
      <sheetName val="inout_consol-nov59"/>
      <sheetName val="inout_consol_(2)59"/>
      <sheetName val="AS_ON_DT_EXPS_Mar59"/>
      <sheetName val="fa-pl_&amp;_mach-site59"/>
      <sheetName val="fa_off_eqp59"/>
      <sheetName val="fa_fur&amp;_fix59"/>
      <sheetName val="fa-pl_&amp;_mach-Off59"/>
      <sheetName val="B_Equity-sdpl_INC59"/>
      <sheetName val="inout_consol_wkg59"/>
      <sheetName val="inout_consol_WKNG59"/>
      <sheetName val="B_Sheet_9759"/>
      <sheetName val="P&amp;L_97_59"/>
      <sheetName val="B_Sheet_97-BEXP59"/>
      <sheetName val="P&amp;L_97_-BEXP59"/>
      <sheetName val="consol_flows59"/>
      <sheetName val="sdpl_oth_Liab59"/>
      <sheetName val="obpl-oth_liab59"/>
      <sheetName val="G_land_advance59"/>
      <sheetName val="I-Wip-ot_(2)59"/>
      <sheetName val="detail_WIP_(2)59"/>
      <sheetName val="detail_G-159"/>
      <sheetName val="sobha_menon_ac59"/>
      <sheetName val="pnc_ac59"/>
      <sheetName val="fix_-p_&amp;_M_-SCC59"/>
      <sheetName val="C_fix_asst59"/>
      <sheetName val="D_fix_asst_scdl_59"/>
      <sheetName val="creditors_tb_obpl59"/>
      <sheetName val="TBAL9697_-group_wise__sdpl69"/>
      <sheetName val="TBAL9697_-group_wise_59"/>
      <sheetName val="crs_-G-159"/>
      <sheetName val="TBAL9697_-group_wise__onpl59"/>
      <sheetName val="B_Sheet_97-OBPL59"/>
      <sheetName val="B_Sheet_97_sdpl59"/>
      <sheetName val="TBAL9697_-group_wise__sdpl259"/>
      <sheetName val="inout_consol_jan59"/>
      <sheetName val="consol_flow59"/>
      <sheetName val="D_Loan__Prom59"/>
      <sheetName val="E_Bank_Loan59"/>
      <sheetName val="G_work_Cap59"/>
      <sheetName val="H_land_adv-dec59"/>
      <sheetName val="J_Con_WIP59"/>
      <sheetName val="detail_J59"/>
      <sheetName val="L_Oth_Co59"/>
      <sheetName val="K_fix_asst__59"/>
      <sheetName val="C_fix_asst-SDPL_59"/>
      <sheetName val="TBAL9697__group_wise__sdpl59"/>
      <sheetName val="inout_consol_okg59"/>
      <sheetName val="detail_OIP_(2)59"/>
      <sheetName val="D_fix_ysst_scdl_59"/>
      <sheetName val="cre`itors_tb_obpl59"/>
      <sheetName val="3AL9697_-group_wise__onpl59"/>
      <sheetName val="L_Oth_Bo58"/>
      <sheetName val="3‰AL9697_-group_wise__onpl58"/>
      <sheetName val="Civil_Boq58"/>
      <sheetName val="Staff_Acco_58"/>
      <sheetName val="SITE_OVERHEADS58"/>
      <sheetName val="PRECAST_lightconc-II56"/>
      <sheetName val="1__PayRec55"/>
      <sheetName val="Boq_Block_A58"/>
      <sheetName val="Cashflow_projection55"/>
      <sheetName val="Project-Material_58"/>
      <sheetName val="SPT_vs_PHI55"/>
      <sheetName val="key_dates55"/>
      <sheetName val="ino4t_conso,-nov55"/>
      <sheetName val="(nout_co,sol_(2)55"/>
      <sheetName val="Blr_hire55"/>
      <sheetName val="_bpl,oth_lia_55"/>
      <sheetName val="G_,and_adv_nce55"/>
      <sheetName val="I,Wip-ot__2)55"/>
      <sheetName val="det!il_WIP_(2)55"/>
      <sheetName val="de4ail_G-155"/>
      <sheetName val="sobha_mennn_ac55"/>
      <sheetName val="C_&amp;ix_asst55"/>
      <sheetName val="_x005f_x0003_dpl_oth_Lia`55"/>
      <sheetName val="TBAL9697__x005f_x000d_grotp_wise_55"/>
      <sheetName val="St_co_91_5lvl55"/>
      <sheetName val="3�AL9697_-group_wise__onpl58"/>
      <sheetName val="INPUT_SHEET55"/>
      <sheetName val="Stress_Calculation55"/>
      <sheetName val="Labor_abs-NMR55"/>
      <sheetName val="Sun_E_Type55"/>
      <sheetName val="CORPN_O?T55"/>
      <sheetName val="Fin_Sum55"/>
      <sheetName val="CORPN_O_x005f_x0000_T55"/>
      <sheetName val="TBAL9697__x000a_grotp_wise_55"/>
      <sheetName val="labour_coeff53"/>
      <sheetName val="Shuttering_Analysis53"/>
      <sheetName val="General_P+M53"/>
      <sheetName val="Curing_Analysis_53"/>
      <sheetName val="Concrete_P+M_(_RMC_)53"/>
      <sheetName val="P+M_(_SMC_)53"/>
      <sheetName val="P+M_-EW53"/>
      <sheetName val="P&amp;L_-_AD53"/>
      <sheetName val="SUPPLY_-Sanitary_Fixtures55"/>
      <sheetName val="ITEMS_FOR_CIVIL_TENDER55"/>
      <sheetName val="_x005f_x005f_x005f_x0003_dpl_oth_Lia`55"/>
      <sheetName val="TBAL9697__x005f_x005f_x005f_x000d_grotp_w55"/>
      <sheetName val="Fin__Assumpt__-_Sensitivities53"/>
      <sheetName val="LOAD_SHEET_53"/>
      <sheetName val="Fill_this_out_first___53"/>
      <sheetName val="Labour_productivity53"/>
      <sheetName val="RCC,Ret__Wall53"/>
      <sheetName val="CORPN_O55"/>
      <sheetName val="CORPN_O_T53"/>
      <sheetName val="Area_&amp;_Cate__Master53"/>
      <sheetName val="Bill_No_553"/>
      <sheetName val="TBAL9697__grotp_wise_106"/>
      <sheetName val="11B_53"/>
      <sheetName val="Structure_Bills_Qty53"/>
      <sheetName val="DG_55"/>
      <sheetName val="BOQ_(2)53"/>
      <sheetName val="Fee_Rate_Summary53"/>
      <sheetName val="Name_List53"/>
      <sheetName val="Detail_1A53"/>
      <sheetName val="Sheet_153"/>
      <sheetName val="3BPA00132-5-3_W_plan_HVPNL53"/>
      <sheetName val="Mix_Design53"/>
      <sheetName val="DLC_lookups53"/>
      <sheetName val="Driveway_Beams53"/>
      <sheetName val="TBAL9697__x005f_x000a_grotp_wise_53"/>
      <sheetName val="Quote_Sheet53"/>
      <sheetName val="d-safe_DELUXE53"/>
      <sheetName val="Works_-_Quote_Sheet53"/>
      <sheetName val="IO_LIST53"/>
      <sheetName val="TBAL9697__x005f_x000d_grotp_wis53"/>
      <sheetName val="TBAL9697__grotp_wise_107"/>
      <sheetName val="Cat_A_Change_Control53"/>
      <sheetName val="Break_up_Sheet53"/>
      <sheetName val="Summary_of_P_&amp;_M53"/>
      <sheetName val="ISO_Reconcilation_Statment53"/>
      <sheetName val="AVG_pur_rate53"/>
      <sheetName val="Break_Dw53"/>
      <sheetName val="LIST_OF_MAKES53"/>
      <sheetName val="Assumption_Inputs53"/>
      <sheetName val="Civil_Works53"/>
      <sheetName val="Form_653"/>
      <sheetName val="acevsSp_(ABC)53"/>
      <sheetName val="A_O_R_53"/>
      <sheetName val="CORPN_O_x005f_x005f_x005f_x0000_T53"/>
      <sheetName val="220_11__BS_53"/>
      <sheetName val="FITZ_MORT_9453"/>
      <sheetName val="Intro_53"/>
      <sheetName val="BLOCK-A_(MEA_SHEET)53"/>
      <sheetName val="NLD_-_Assum53"/>
      <sheetName val="Section_Catalogue53"/>
      <sheetName val="TB9798OBPL06_(2)61"/>
      <sheetName val="CORPN_OCT61"/>
      <sheetName val="inout_consol-nov61"/>
      <sheetName val="inout_consol_(2)61"/>
      <sheetName val="AS_ON_DT_EXPS_Mar61"/>
      <sheetName val="fa-pl_&amp;_mach-site61"/>
      <sheetName val="fa_off_eqp61"/>
      <sheetName val="fa_fur&amp;_fix61"/>
      <sheetName val="fa-pl_&amp;_mach-Off61"/>
      <sheetName val="B_Equity-sdpl_INC61"/>
      <sheetName val="inout_consol_wkg61"/>
      <sheetName val="inout_consol_WKNG61"/>
      <sheetName val="B_Sheet_9761"/>
      <sheetName val="P&amp;L_97_61"/>
      <sheetName val="B_Sheet_97-BEXP61"/>
      <sheetName val="P&amp;L_97_-BEXP61"/>
      <sheetName val="consol_flows61"/>
      <sheetName val="sdpl_oth_Liab61"/>
      <sheetName val="obpl-oth_liab61"/>
      <sheetName val="G_land_advance61"/>
      <sheetName val="I-Wip-ot_(2)61"/>
      <sheetName val="detail_WIP_(2)61"/>
      <sheetName val="detail_G-161"/>
      <sheetName val="sobha_menon_ac61"/>
      <sheetName val="pnc_ac61"/>
      <sheetName val="fix_-p_&amp;_M_-SCC61"/>
      <sheetName val="C_fix_asst61"/>
      <sheetName val="D_fix_asst_scdl_61"/>
      <sheetName val="creditors_tb_obpl61"/>
      <sheetName val="TBAL9697_-group_wise__sdpl71"/>
      <sheetName val="TBAL9697_-group_wise_61"/>
      <sheetName val="crs_-G-161"/>
      <sheetName val="TBAL9697_-group_wise__onpl61"/>
      <sheetName val="B_Sheet_97-OBPL61"/>
      <sheetName val="B_Sheet_97_sdpl61"/>
      <sheetName val="TBAL9697_-group_wise__sdpl261"/>
      <sheetName val="inout_consol_jan61"/>
      <sheetName val="consol_flow61"/>
      <sheetName val="D_Loan__Prom61"/>
      <sheetName val="E_Bank_Loan61"/>
      <sheetName val="G_work_Cap61"/>
      <sheetName val="H_land_adv-dec61"/>
      <sheetName val="J_Con_WIP61"/>
      <sheetName val="detail_J61"/>
      <sheetName val="L_Oth_Co61"/>
      <sheetName val="K_fix_asst__61"/>
      <sheetName val="C_fix_asst-SDPL_61"/>
      <sheetName val="TBAL9697__group_wise__sdpl61"/>
      <sheetName val="inout_consol_okg61"/>
      <sheetName val="detail_OIP_(2)61"/>
      <sheetName val="D_fix_ysst_scdl_61"/>
      <sheetName val="cre`itors_tb_obpl61"/>
      <sheetName val="3AL9697_-group_wise__onpl61"/>
      <sheetName val="L_Oth_Bo60"/>
      <sheetName val="3‰AL9697_-group_wise__onpl60"/>
      <sheetName val="Civil_Boq60"/>
      <sheetName val="Staff_Acco_60"/>
      <sheetName val="SITE_OVERHEADS60"/>
      <sheetName val="PRECAST_lightconc-II58"/>
      <sheetName val="1__PayRec57"/>
      <sheetName val="Boq_Block_A60"/>
      <sheetName val="Cashflow_projection57"/>
      <sheetName val="Project-Material_60"/>
      <sheetName val="SPT_vs_PHI57"/>
      <sheetName val="key_dates57"/>
      <sheetName val="ino4t_conso,-nov57"/>
      <sheetName val="(nout_co,sol_(2)57"/>
      <sheetName val="Blr_hire57"/>
      <sheetName val="_bpl,oth_lia_57"/>
      <sheetName val="G_,and_adv_nce57"/>
      <sheetName val="I,Wip-ot__2)57"/>
      <sheetName val="det!il_WIP_(2)57"/>
      <sheetName val="de4ail_G-157"/>
      <sheetName val="sobha_mennn_ac57"/>
      <sheetName val="C_&amp;ix_asst57"/>
      <sheetName val="_x005f_x0003_dpl_oth_Lia`57"/>
      <sheetName val="TBAL9697__x005f_x000d_grotp_wise_57"/>
      <sheetName val="St_co_91_5lvl57"/>
      <sheetName val="3�AL9697_-group_wise__onpl60"/>
      <sheetName val="INPUT_SHEET57"/>
      <sheetName val="Stress_Calculation57"/>
      <sheetName val="Labor_abs-NMR57"/>
      <sheetName val="Sun_E_Type57"/>
      <sheetName val="CORPN_O?T57"/>
      <sheetName val="Fin_Sum57"/>
      <sheetName val="CORPN_O_x005f_x0000_T57"/>
      <sheetName val="TBAL9697__x000a_grotp_wise_57"/>
      <sheetName val="labour_coeff55"/>
      <sheetName val="Shuttering_Analysis55"/>
      <sheetName val="General_P+M55"/>
      <sheetName val="Curing_Analysis_55"/>
      <sheetName val="Concrete_P+M_(_RMC_)55"/>
      <sheetName val="P+M_(_SMC_)55"/>
      <sheetName val="P+M_-EW55"/>
      <sheetName val="P&amp;L_-_AD55"/>
      <sheetName val="SUPPLY_-Sanitary_Fixtures57"/>
      <sheetName val="ITEMS_FOR_CIVIL_TENDER57"/>
      <sheetName val="_x005f_x005f_x005f_x0003_dpl_oth_Lia`57"/>
      <sheetName val="TBAL9697__x005f_x005f_x005f_x000d_grotp_w57"/>
      <sheetName val="Fin__Assumpt__-_Sensitivities55"/>
      <sheetName val="LOAD_SHEET_55"/>
      <sheetName val="Fill_this_out_first___55"/>
      <sheetName val="Labour_productivity55"/>
      <sheetName val="RCC,Ret__Wall55"/>
      <sheetName val="CORPN_O57"/>
      <sheetName val="CORPN_O_T55"/>
      <sheetName val="Area_&amp;_Cate__Master55"/>
      <sheetName val="Bill_No_555"/>
      <sheetName val="11B_55"/>
      <sheetName val="Structure_Bills_Qty55"/>
      <sheetName val="DG_57"/>
      <sheetName val="BOQ_(2)55"/>
      <sheetName val="Fee_Rate_Summary55"/>
      <sheetName val="Name_List55"/>
      <sheetName val="Detail_1A55"/>
      <sheetName val="Sheet_155"/>
      <sheetName val="3BPA00132-5-3_W_plan_HVPNL55"/>
      <sheetName val="Mix_Design55"/>
      <sheetName val="DLC_lookups55"/>
      <sheetName val="Driveway_Beams55"/>
      <sheetName val="TBAL9697__x005f_x000a_grotp_wise_55"/>
      <sheetName val="Quote_Sheet55"/>
      <sheetName val="d-safe_DELUXE55"/>
      <sheetName val="Works_-_Quote_Sheet55"/>
      <sheetName val="IO_LIST55"/>
      <sheetName val="TBAL9697__x005f_x000d_grotp_wis55"/>
      <sheetName val="Cat_A_Change_Control55"/>
      <sheetName val="Break_up_Sheet55"/>
      <sheetName val="Summary_of_P_&amp;_M55"/>
      <sheetName val="ISO_Reconcilation_Statment55"/>
      <sheetName val="AVG_pur_rate55"/>
      <sheetName val="Break_Dw55"/>
      <sheetName val="LIST_OF_MAKES55"/>
      <sheetName val="Assumption_Inputs55"/>
      <sheetName val="Civil_Works55"/>
      <sheetName val="Form_655"/>
      <sheetName val="acevsSp_(ABC)55"/>
      <sheetName val="A_O_R_55"/>
      <sheetName val="CORPN_O_x005f_x005f_x005f_x0000_T55"/>
      <sheetName val="220_11__BS_55"/>
      <sheetName val="FITZ_MORT_9455"/>
      <sheetName val="Intro_55"/>
      <sheetName val="BLOCK-A_(MEA_SHEET)55"/>
      <sheetName val="NLD_-_Assum55"/>
      <sheetName val="Section_Catalogue55"/>
      <sheetName val="TB9798OBPL06_(2)60"/>
      <sheetName val="CORPN_OCT60"/>
      <sheetName val="inout_consol-nov60"/>
      <sheetName val="inout_consol_(2)60"/>
      <sheetName val="AS_ON_DT_EXPS_Mar60"/>
      <sheetName val="fa-pl_&amp;_mach-site60"/>
      <sheetName val="fa_off_eqp60"/>
      <sheetName val="fa_fur&amp;_fix60"/>
      <sheetName val="fa-pl_&amp;_mach-Off60"/>
      <sheetName val="B_Equity-sdpl_INC60"/>
      <sheetName val="inout_consol_wkg60"/>
      <sheetName val="inout_consol_WKNG60"/>
      <sheetName val="B_Sheet_9760"/>
      <sheetName val="P&amp;L_97_60"/>
      <sheetName val="B_Sheet_97-BEXP60"/>
      <sheetName val="P&amp;L_97_-BEXP60"/>
      <sheetName val="consol_flows60"/>
      <sheetName val="sdpl_oth_Liab60"/>
      <sheetName val="obpl-oth_liab60"/>
      <sheetName val="G_land_advance60"/>
      <sheetName val="I-Wip-ot_(2)60"/>
      <sheetName val="detail_WIP_(2)60"/>
      <sheetName val="detail_G-160"/>
      <sheetName val="sobha_menon_ac60"/>
      <sheetName val="pnc_ac60"/>
      <sheetName val="fix_-p_&amp;_M_-SCC60"/>
      <sheetName val="C_fix_asst60"/>
      <sheetName val="D_fix_asst_scdl_60"/>
      <sheetName val="creditors_tb_obpl60"/>
      <sheetName val="TBAL9697_-group_wise__sdpl70"/>
      <sheetName val="TBAL9697_-group_wise_60"/>
      <sheetName val="crs_-G-160"/>
      <sheetName val="TBAL9697_-group_wise__onpl60"/>
      <sheetName val="B_Sheet_97-OBPL60"/>
      <sheetName val="B_Sheet_97_sdpl60"/>
      <sheetName val="TBAL9697_-group_wise__sdpl260"/>
      <sheetName val="inout_consol_jan60"/>
      <sheetName val="consol_flow60"/>
      <sheetName val="D_Loan__Prom60"/>
      <sheetName val="E_Bank_Loan60"/>
      <sheetName val="G_work_Cap60"/>
      <sheetName val="H_land_adv-dec60"/>
      <sheetName val="J_Con_WIP60"/>
      <sheetName val="detail_J60"/>
      <sheetName val="L_Oth_Co60"/>
      <sheetName val="K_fix_asst__60"/>
      <sheetName val="C_fix_asst-SDPL_60"/>
      <sheetName val="TBAL9697__group_wise__sdpl60"/>
      <sheetName val="inout_consol_okg60"/>
      <sheetName val="detail_OIP_(2)60"/>
      <sheetName val="D_fix_ysst_scdl_60"/>
      <sheetName val="cre`itors_tb_obpl60"/>
      <sheetName val="3AL9697_-group_wise__onpl60"/>
      <sheetName val="L_Oth_Bo59"/>
      <sheetName val="3‰AL9697_-group_wise__onpl59"/>
      <sheetName val="Civil_Boq59"/>
      <sheetName val="Staff_Acco_59"/>
      <sheetName val="SITE_OVERHEADS59"/>
      <sheetName val="PRECAST_lightconc-II57"/>
      <sheetName val="1__PayRec56"/>
      <sheetName val="Boq_Block_A59"/>
      <sheetName val="Cashflow_projection56"/>
      <sheetName val="Project-Material_59"/>
      <sheetName val="SPT_vs_PHI56"/>
      <sheetName val="key_dates56"/>
      <sheetName val="ino4t_conso,-nov56"/>
      <sheetName val="(nout_co,sol_(2)56"/>
      <sheetName val="Blr_hire56"/>
      <sheetName val="_bpl,oth_lia_56"/>
      <sheetName val="G_,and_adv_nce56"/>
      <sheetName val="I,Wip-ot__2)56"/>
      <sheetName val="det!il_WIP_(2)56"/>
      <sheetName val="de4ail_G-156"/>
      <sheetName val="sobha_mennn_ac56"/>
      <sheetName val="C_&amp;ix_asst56"/>
      <sheetName val="_x005f_x0003_dpl_oth_Lia`56"/>
      <sheetName val="TBAL9697__x005f_x000d_grotp_wise_56"/>
      <sheetName val="St_co_91_5lvl56"/>
      <sheetName val="3�AL9697_-group_wise__onpl59"/>
      <sheetName val="INPUT_SHEET56"/>
      <sheetName val="Stress_Calculation56"/>
      <sheetName val="Labor_abs-NMR56"/>
      <sheetName val="Sun_E_Type56"/>
      <sheetName val="CORPN_O?T56"/>
      <sheetName val="Fin_Sum56"/>
      <sheetName val="CORPN_O_x005f_x0000_T56"/>
      <sheetName val="TBAL9697__x000a_grotp_wise_56"/>
      <sheetName val="labour_coeff54"/>
      <sheetName val="Shuttering_Analysis54"/>
      <sheetName val="General_P+M54"/>
      <sheetName val="Curing_Analysis_54"/>
      <sheetName val="Concrete_P+M_(_RMC_)54"/>
      <sheetName val="P+M_(_SMC_)54"/>
      <sheetName val="P+M_-EW54"/>
      <sheetName val="P&amp;L_-_AD54"/>
      <sheetName val="SUPPLY_-Sanitary_Fixtures56"/>
      <sheetName val="ITEMS_FOR_CIVIL_TENDER56"/>
      <sheetName val="_x005f_x005f_x005f_x0003_dpl_oth_Lia`56"/>
      <sheetName val="TBAL9697__x005f_x005f_x005f_x000d_grotp_w56"/>
      <sheetName val="Fin__Assumpt__-_Sensitivities54"/>
      <sheetName val="LOAD_SHEET_54"/>
      <sheetName val="Fill_this_out_first___54"/>
      <sheetName val="Labour_productivity54"/>
      <sheetName val="RCC,Ret__Wall54"/>
      <sheetName val="CORPN_O56"/>
      <sheetName val="CORPN_O_T54"/>
      <sheetName val="Area_&amp;_Cate__Master54"/>
      <sheetName val="Bill_No_554"/>
      <sheetName val="TBAL9697__grotp_wise_108"/>
      <sheetName val="11B_54"/>
      <sheetName val="Structure_Bills_Qty54"/>
      <sheetName val="DG_56"/>
      <sheetName val="BOQ_(2)54"/>
      <sheetName val="Fee_Rate_Summary54"/>
      <sheetName val="Name_List54"/>
      <sheetName val="Detail_1A54"/>
      <sheetName val="Sheet_154"/>
      <sheetName val="3BPA00132-5-3_W_plan_HVPNL54"/>
      <sheetName val="Mix_Design54"/>
      <sheetName val="DLC_lookups54"/>
      <sheetName val="Driveway_Beams54"/>
      <sheetName val="TBAL9697__x005f_x000a_grotp_wise_54"/>
      <sheetName val="Quote_Sheet54"/>
      <sheetName val="d-safe_DELUXE54"/>
      <sheetName val="Works_-_Quote_Sheet54"/>
      <sheetName val="IO_LIST54"/>
      <sheetName val="TBAL9697__x005f_x000d_grotp_wis54"/>
      <sheetName val="TBAL9697__grotp_wise_109"/>
      <sheetName val="Cat_A_Change_Control54"/>
      <sheetName val="Break_up_Sheet54"/>
      <sheetName val="Summary_of_P_&amp;_M54"/>
      <sheetName val="ISO_Reconcilation_Statment54"/>
      <sheetName val="AVG_pur_rate54"/>
      <sheetName val="Break_Dw54"/>
      <sheetName val="LIST_OF_MAKES54"/>
      <sheetName val="Assumption_Inputs54"/>
      <sheetName val="Civil_Works54"/>
      <sheetName val="Form_654"/>
      <sheetName val="acevsSp_(ABC)54"/>
      <sheetName val="A_O_R_54"/>
      <sheetName val="CORPN_O_x005f_x005f_x005f_x0000_T54"/>
      <sheetName val="220_11__BS_54"/>
      <sheetName val="FITZ_MORT_9454"/>
      <sheetName val="Intro_54"/>
      <sheetName val="BLOCK-A_(MEA_SHEET)54"/>
      <sheetName val="NLD_-_Assum54"/>
      <sheetName val="Section_Catalogue54"/>
      <sheetName val="TB9798OBPL06_(2)63"/>
      <sheetName val="CORPN_OCT63"/>
      <sheetName val="inout_consol-nov63"/>
      <sheetName val="inout_consol_(2)63"/>
      <sheetName val="AS_ON_DT_EXPS_Mar63"/>
      <sheetName val="fa-pl_&amp;_mach-site63"/>
      <sheetName val="fa_off_eqp63"/>
      <sheetName val="fa_fur&amp;_fix63"/>
      <sheetName val="fa-pl_&amp;_mach-Off63"/>
      <sheetName val="B_Equity-sdpl_INC63"/>
      <sheetName val="inout_consol_wkg63"/>
      <sheetName val="inout_consol_WKNG63"/>
      <sheetName val="B_Sheet_9763"/>
      <sheetName val="P&amp;L_97_63"/>
      <sheetName val="B_Sheet_97-BEXP63"/>
      <sheetName val="P&amp;L_97_-BEXP63"/>
      <sheetName val="consol_flows63"/>
      <sheetName val="sdpl_oth_Liab63"/>
      <sheetName val="obpl-oth_liab63"/>
      <sheetName val="G_land_advance63"/>
      <sheetName val="I-Wip-ot_(2)63"/>
      <sheetName val="detail_WIP_(2)63"/>
      <sheetName val="detail_G-163"/>
      <sheetName val="sobha_menon_ac63"/>
      <sheetName val="pnc_ac63"/>
      <sheetName val="fix_-p_&amp;_M_-SCC63"/>
      <sheetName val="C_fix_asst63"/>
      <sheetName val="D_fix_asst_scdl_63"/>
      <sheetName val="creditors_tb_obpl63"/>
      <sheetName val="TBAL9697_-group_wise__sdpl73"/>
      <sheetName val="TBAL9697_-group_wise_63"/>
      <sheetName val="crs_-G-163"/>
      <sheetName val="TBAL9697_-group_wise__onpl63"/>
      <sheetName val="B_Sheet_97-OBPL63"/>
      <sheetName val="B_Sheet_97_sdpl63"/>
      <sheetName val="TBAL9697_-group_wise__sdpl263"/>
      <sheetName val="inout_consol_jan63"/>
      <sheetName val="consol_flow63"/>
      <sheetName val="D_Loan__Prom63"/>
      <sheetName val="E_Bank_Loan63"/>
      <sheetName val="G_work_Cap63"/>
      <sheetName val="H_land_adv-dec63"/>
      <sheetName val="J_Con_WIP63"/>
      <sheetName val="detail_J63"/>
      <sheetName val="L_Oth_Co63"/>
      <sheetName val="K_fix_asst__63"/>
      <sheetName val="C_fix_asst-SDPL_63"/>
      <sheetName val="TBAL9697__group_wise__sdpl63"/>
      <sheetName val="inout_consol_okg63"/>
      <sheetName val="detail_OIP_(2)63"/>
      <sheetName val="D_fix_ysst_scdl_63"/>
      <sheetName val="cre`itors_tb_obpl63"/>
      <sheetName val="3AL9697_-group_wise__onpl63"/>
      <sheetName val="L_Oth_Bo62"/>
      <sheetName val="3‰AL9697_-group_wise__onpl62"/>
      <sheetName val="Civil_Boq62"/>
      <sheetName val="Staff_Acco_62"/>
      <sheetName val="SITE_OVERHEADS62"/>
      <sheetName val="PRECAST_lightconc-II60"/>
      <sheetName val="1__PayRec59"/>
      <sheetName val="Boq_Block_A62"/>
      <sheetName val="Cashflow_projection59"/>
      <sheetName val="Project-Material_62"/>
      <sheetName val="SPT_vs_PHI59"/>
      <sheetName val="key_dates59"/>
      <sheetName val="ino4t_conso,-nov59"/>
      <sheetName val="(nout_co,sol_(2)59"/>
      <sheetName val="Blr_hire59"/>
      <sheetName val="_bpl,oth_lia_59"/>
      <sheetName val="G_,and_adv_nce59"/>
      <sheetName val="I,Wip-ot__2)59"/>
      <sheetName val="det!il_WIP_(2)59"/>
      <sheetName val="de4ail_G-159"/>
      <sheetName val="sobha_mennn_ac59"/>
      <sheetName val="C_&amp;ix_asst59"/>
      <sheetName val="_x005f_x0003_dpl_oth_Lia`59"/>
      <sheetName val="TBAL9697__x005f_x000d_grotp_wise_59"/>
      <sheetName val="St_co_91_5lvl59"/>
      <sheetName val="3�AL9697_-group_wise__onpl62"/>
      <sheetName val="INPUT_SHEET59"/>
      <sheetName val="Stress_Calculation59"/>
      <sheetName val="Labor_abs-NMR59"/>
      <sheetName val="Sun_E_Type59"/>
      <sheetName val="CORPN_O?T59"/>
      <sheetName val="Fin_Sum59"/>
      <sheetName val="CORPN_O_x005f_x0000_T59"/>
      <sheetName val="TBAL9697__x000a_grotp_wise_59"/>
      <sheetName val="labour_coeff57"/>
      <sheetName val="Shuttering_Analysis57"/>
      <sheetName val="General_P+M57"/>
      <sheetName val="Curing_Analysis_57"/>
      <sheetName val="Concrete_P+M_(_RMC_)57"/>
      <sheetName val="P+M_(_SMC_)57"/>
      <sheetName val="P+M_-EW57"/>
      <sheetName val="P&amp;L_-_AD57"/>
      <sheetName val="SUPPLY_-Sanitary_Fixtures59"/>
      <sheetName val="ITEMS_FOR_CIVIL_TENDER59"/>
      <sheetName val="_x005f_x005f_x005f_x0003_dpl_oth_Lia`59"/>
      <sheetName val="TBAL9697__x005f_x005f_x005f_x000d_grotp_w59"/>
      <sheetName val="Fin__Assumpt__-_Sensitivities57"/>
      <sheetName val="LOAD_SHEET_57"/>
      <sheetName val="Fill_this_out_first___57"/>
      <sheetName val="Labour_productivity57"/>
      <sheetName val="RCC,Ret__Wall57"/>
      <sheetName val="CORPN_O59"/>
      <sheetName val="CORPN_O_T57"/>
      <sheetName val="Area_&amp;_Cate__Master57"/>
      <sheetName val="Bill_No_557"/>
      <sheetName val="11B_57"/>
      <sheetName val="Structure_Bills_Qty57"/>
      <sheetName val="DG_59"/>
      <sheetName val="BOQ_(2)57"/>
      <sheetName val="Fee_Rate_Summary57"/>
      <sheetName val="Name_List57"/>
      <sheetName val="Detail_1A57"/>
      <sheetName val="Sheet_157"/>
      <sheetName val="3BPA00132-5-3_W_plan_HVPNL57"/>
      <sheetName val="Mix_Design57"/>
      <sheetName val="DLC_lookups57"/>
      <sheetName val="Driveway_Beams57"/>
      <sheetName val="TBAL9697__x005f_x000a_grotp_wise_57"/>
      <sheetName val="Quote_Sheet57"/>
      <sheetName val="d-safe_DELUXE57"/>
      <sheetName val="Works_-_Quote_Sheet57"/>
      <sheetName val="IO_LIST57"/>
      <sheetName val="TBAL9697__x005f_x000d_grotp_wis57"/>
      <sheetName val="Cat_A_Change_Control57"/>
      <sheetName val="Break_up_Sheet57"/>
      <sheetName val="Summary_of_P_&amp;_M57"/>
      <sheetName val="ISO_Reconcilation_Statment57"/>
      <sheetName val="AVG_pur_rate57"/>
      <sheetName val="Break_Dw57"/>
      <sheetName val="LIST_OF_MAKES57"/>
      <sheetName val="Assumption_Inputs57"/>
      <sheetName val="Civil_Works57"/>
      <sheetName val="Form_657"/>
      <sheetName val="acevsSp_(ABC)57"/>
      <sheetName val="A_O_R_57"/>
      <sheetName val="CORPN_O_x005f_x005f_x005f_x0000_T57"/>
      <sheetName val="220_11__BS_57"/>
      <sheetName val="FITZ_MORT_9457"/>
      <sheetName val="Intro_57"/>
      <sheetName val="BLOCK-A_(MEA_SHEET)57"/>
      <sheetName val="NLD_-_Assum57"/>
      <sheetName val="Section_Catalogue57"/>
      <sheetName val="TB9798OBPL06_(2)64"/>
      <sheetName val="CORPN_OCT64"/>
      <sheetName val="inout_consol-nov64"/>
      <sheetName val="inout_consol_(2)64"/>
      <sheetName val="AS_ON_DT_EXPS_Mar64"/>
      <sheetName val="fa-pl_&amp;_mach-site64"/>
      <sheetName val="fa_off_eqp64"/>
      <sheetName val="fa_fur&amp;_fix64"/>
      <sheetName val="fa-pl_&amp;_mach-Off64"/>
      <sheetName val="B_Equity-sdpl_INC64"/>
      <sheetName val="inout_consol_wkg64"/>
      <sheetName val="inout_consol_WKNG64"/>
      <sheetName val="B_Sheet_9764"/>
      <sheetName val="P&amp;L_97_64"/>
      <sheetName val="B_Sheet_97-BEXP64"/>
      <sheetName val="P&amp;L_97_-BEXP64"/>
      <sheetName val="consol_flows64"/>
      <sheetName val="sdpl_oth_Liab64"/>
      <sheetName val="obpl-oth_liab64"/>
      <sheetName val="G_land_advance64"/>
      <sheetName val="I-Wip-ot_(2)64"/>
      <sheetName val="detail_WIP_(2)64"/>
      <sheetName val="detail_G-164"/>
      <sheetName val="sobha_menon_ac64"/>
      <sheetName val="pnc_ac64"/>
      <sheetName val="fix_-p_&amp;_M_-SCC64"/>
      <sheetName val="C_fix_asst64"/>
      <sheetName val="D_fix_asst_scdl_64"/>
      <sheetName val="creditors_tb_obpl64"/>
      <sheetName val="TBAL9697_-group_wise__sdpl74"/>
      <sheetName val="TBAL9697_-group_wise_64"/>
      <sheetName val="crs_-G-164"/>
      <sheetName val="TBAL9697_-group_wise__onpl64"/>
      <sheetName val="B_Sheet_97-OBPL64"/>
      <sheetName val="B_Sheet_97_sdpl64"/>
      <sheetName val="TBAL9697_-group_wise__sdpl264"/>
      <sheetName val="inout_consol_jan64"/>
      <sheetName val="consol_flow64"/>
      <sheetName val="D_Loan__Prom64"/>
      <sheetName val="E_Bank_Loan64"/>
      <sheetName val="G_work_Cap64"/>
      <sheetName val="H_land_adv-dec64"/>
      <sheetName val="J_Con_WIP64"/>
      <sheetName val="detail_J64"/>
      <sheetName val="L_Oth_Co64"/>
      <sheetName val="K_fix_asst__64"/>
      <sheetName val="C_fix_asst-SDPL_64"/>
      <sheetName val="TBAL9697__group_wise__sdpl64"/>
      <sheetName val="inout_consol_okg64"/>
      <sheetName val="detail_OIP_(2)64"/>
      <sheetName val="D_fix_ysst_scdl_64"/>
      <sheetName val="cre`itors_tb_obpl64"/>
      <sheetName val="3AL9697_-group_wise__onpl64"/>
      <sheetName val="L_Oth_Bo63"/>
      <sheetName val="3‰AL9697_-group_wise__onpl63"/>
      <sheetName val="Civil_Boq63"/>
      <sheetName val="Staff_Acco_63"/>
      <sheetName val="SITE_OVERHEADS63"/>
      <sheetName val="PRECAST_lightconc-II61"/>
      <sheetName val="1__PayRec60"/>
      <sheetName val="Boq_Block_A63"/>
      <sheetName val="Cashflow_projection60"/>
      <sheetName val="Project-Material_63"/>
      <sheetName val="SPT_vs_PHI60"/>
      <sheetName val="key_dates60"/>
      <sheetName val="ino4t_conso,-nov60"/>
      <sheetName val="(nout_co,sol_(2)60"/>
      <sheetName val="Blr_hire60"/>
      <sheetName val="_bpl,oth_lia_60"/>
      <sheetName val="G_,and_adv_nce60"/>
      <sheetName val="I,Wip-ot__2)60"/>
      <sheetName val="det!il_WIP_(2)60"/>
      <sheetName val="de4ail_G-160"/>
      <sheetName val="sobha_mennn_ac60"/>
      <sheetName val="C_&amp;ix_asst60"/>
      <sheetName val="_x005f_x0003_dpl_oth_Lia`60"/>
      <sheetName val="TBAL9697__x005f_x000d_grotp_wise_60"/>
      <sheetName val="St_co_91_5lvl60"/>
      <sheetName val="3�AL9697_-group_wise__onpl63"/>
      <sheetName val="INPUT_SHEET60"/>
      <sheetName val="Stress_Calculation60"/>
      <sheetName val="Labor_abs-NMR60"/>
      <sheetName val="Sun_E_Type60"/>
      <sheetName val="CORPN_O?T60"/>
      <sheetName val="Fin_Sum60"/>
      <sheetName val="CORPN_O_x005f_x0000_T60"/>
      <sheetName val="TBAL9697__x000a_grotp_wise_60"/>
      <sheetName val="labour_coeff58"/>
      <sheetName val="Shuttering_Analysis58"/>
      <sheetName val="General_P+M58"/>
      <sheetName val="Curing_Analysis_58"/>
      <sheetName val="Concrete_P+M_(_RMC_)58"/>
      <sheetName val="P+M_(_SMC_)58"/>
      <sheetName val="P+M_-EW58"/>
      <sheetName val="P&amp;L_-_AD58"/>
      <sheetName val="SUPPLY_-Sanitary_Fixtures60"/>
      <sheetName val="ITEMS_FOR_CIVIL_TENDER60"/>
      <sheetName val="_x005f_x005f_x005f_x0003_dpl_oth_Lia`60"/>
      <sheetName val="TBAL9697__x005f_x005f_x005f_x000d_grotp_w60"/>
      <sheetName val="Fin__Assumpt__-_Sensitivities58"/>
      <sheetName val="LOAD_SHEET_58"/>
      <sheetName val="Fill_this_out_first___58"/>
      <sheetName val="Labour_productivity58"/>
      <sheetName val="RCC,Ret__Wall58"/>
      <sheetName val="CORPN_O60"/>
      <sheetName val="CORPN_O_T58"/>
      <sheetName val="Area_&amp;_Cate__Master58"/>
      <sheetName val="Bill_No_558"/>
      <sheetName val="11B_58"/>
      <sheetName val="Structure_Bills_Qty58"/>
      <sheetName val="DG_60"/>
      <sheetName val="BOQ_(2)58"/>
      <sheetName val="Fee_Rate_Summary58"/>
      <sheetName val="Name_List58"/>
      <sheetName val="Detail_1A58"/>
      <sheetName val="Sheet_158"/>
      <sheetName val="3BPA00132-5-3_W_plan_HVPNL58"/>
      <sheetName val="Mix_Design58"/>
      <sheetName val="DLC_lookups58"/>
      <sheetName val="Driveway_Beams58"/>
      <sheetName val="TBAL9697__x005f_x000a_grotp_wise_58"/>
      <sheetName val="Quote_Sheet58"/>
      <sheetName val="d-safe_DELUXE58"/>
      <sheetName val="Works_-_Quote_Sheet58"/>
      <sheetName val="IO_LIST58"/>
      <sheetName val="TBAL9697__x005f_x000d_grotp_wis58"/>
      <sheetName val="Cat_A_Change_Control58"/>
      <sheetName val="Break_up_Sheet58"/>
      <sheetName val="Summary_of_P_&amp;_M58"/>
      <sheetName val="ISO_Reconcilation_Statment58"/>
      <sheetName val="AVG_pur_rate58"/>
      <sheetName val="Break_Dw58"/>
      <sheetName val="LIST_OF_MAKES58"/>
      <sheetName val="Assumption_Inputs58"/>
      <sheetName val="Civil_Works58"/>
      <sheetName val="Form_658"/>
      <sheetName val="acevsSp_(ABC)58"/>
      <sheetName val="A_O_R_58"/>
      <sheetName val="CORPN_O_x005f_x005f_x005f_x0000_T58"/>
      <sheetName val="220_11__BS_58"/>
      <sheetName val="FITZ_MORT_9458"/>
      <sheetName val="Intro_58"/>
      <sheetName val="BLOCK-A_(MEA_SHEET)58"/>
      <sheetName val="NLD_-_Assum58"/>
      <sheetName val="Section_Catalogue58"/>
      <sheetName val="TB9798OBPL06_(2)65"/>
      <sheetName val="CORPN_OCT65"/>
      <sheetName val="inout_consol-nov65"/>
      <sheetName val="inout_consol_(2)65"/>
      <sheetName val="AS_ON_DT_EXPS_Mar65"/>
      <sheetName val="fa-pl_&amp;_mach-site65"/>
      <sheetName val="fa_off_eqp65"/>
      <sheetName val="fa_fur&amp;_fix65"/>
      <sheetName val="fa-pl_&amp;_mach-Off65"/>
      <sheetName val="B_Equity-sdpl_INC65"/>
      <sheetName val="inout_consol_wkg65"/>
      <sheetName val="inout_consol_WKNG65"/>
      <sheetName val="B_Sheet_9765"/>
      <sheetName val="P&amp;L_97_65"/>
      <sheetName val="B_Sheet_97-BEXP65"/>
      <sheetName val="P&amp;L_97_-BEXP65"/>
      <sheetName val="consol_flows65"/>
      <sheetName val="sdpl_oth_Liab65"/>
      <sheetName val="obpl-oth_liab65"/>
      <sheetName val="G_land_advance65"/>
      <sheetName val="I-Wip-ot_(2)65"/>
      <sheetName val="detail_WIP_(2)65"/>
      <sheetName val="detail_G-165"/>
      <sheetName val="sobha_menon_ac65"/>
      <sheetName val="pnc_ac65"/>
      <sheetName val="fix_-p_&amp;_M_-SCC65"/>
      <sheetName val="C_fix_asst65"/>
      <sheetName val="D_fix_asst_scdl_65"/>
      <sheetName val="creditors_tb_obpl65"/>
      <sheetName val="TBAL9697_-group_wise__sdpl75"/>
      <sheetName val="TBAL9697_-group_wise_65"/>
      <sheetName val="crs_-G-165"/>
      <sheetName val="TBAL9697_-group_wise__onpl65"/>
      <sheetName val="B_Sheet_97-OBPL65"/>
      <sheetName val="B_Sheet_97_sdpl65"/>
      <sheetName val="TBAL9697_-group_wise__sdpl265"/>
      <sheetName val="inout_consol_jan65"/>
      <sheetName val="consol_flow65"/>
      <sheetName val="D_Loan__Prom65"/>
      <sheetName val="E_Bank_Loan65"/>
      <sheetName val="G_work_Cap65"/>
      <sheetName val="H_land_adv-dec65"/>
      <sheetName val="J_Con_WIP65"/>
      <sheetName val="detail_J65"/>
      <sheetName val="L_Oth_Co65"/>
      <sheetName val="K_fix_asst__65"/>
      <sheetName val="C_fix_asst-SDPL_65"/>
      <sheetName val="TBAL9697__group_wise__sdpl65"/>
      <sheetName val="inout_consol_okg65"/>
      <sheetName val="detail_OIP_(2)65"/>
      <sheetName val="D_fix_ysst_scdl_65"/>
      <sheetName val="cre`itors_tb_obpl65"/>
      <sheetName val="3AL9697_-group_wise__onpl65"/>
      <sheetName val="L_Oth_Bo64"/>
      <sheetName val="3‰AL9697_-group_wise__onpl64"/>
      <sheetName val="Civil_Boq64"/>
      <sheetName val="Staff_Acco_64"/>
      <sheetName val="SITE_OVERHEADS64"/>
      <sheetName val="PRECAST_lightconc-II62"/>
      <sheetName val="1__PayRec61"/>
      <sheetName val="Boq_Block_A64"/>
      <sheetName val="Cashflow_projection61"/>
      <sheetName val="Project-Material_64"/>
      <sheetName val="SPT_vs_PHI61"/>
      <sheetName val="key_dates61"/>
      <sheetName val="ino4t_conso,-nov61"/>
      <sheetName val="(nout_co,sol_(2)61"/>
      <sheetName val="Blr_hire61"/>
      <sheetName val="_bpl,oth_lia_61"/>
      <sheetName val="G_,and_adv_nce61"/>
      <sheetName val="I,Wip-ot__2)61"/>
      <sheetName val="det!il_WIP_(2)61"/>
      <sheetName val="de4ail_G-161"/>
      <sheetName val="sobha_mennn_ac61"/>
      <sheetName val="C_&amp;ix_asst61"/>
      <sheetName val="_x005f_x0003_dpl_oth_Lia`61"/>
      <sheetName val="TBAL9697__x005f_x000d_grotp_wise_61"/>
      <sheetName val="St_co_91_5lvl61"/>
      <sheetName val="3�AL9697_-group_wise__onpl64"/>
      <sheetName val="INPUT_SHEET61"/>
      <sheetName val="Stress_Calculation61"/>
      <sheetName val="Labor_abs-NMR61"/>
      <sheetName val="Sun_E_Type61"/>
      <sheetName val="CORPN_O?T61"/>
      <sheetName val="Fin_Sum61"/>
      <sheetName val="CORPN_O_x005f_x0000_T61"/>
      <sheetName val="TBAL9697__x000a_grotp_wise_61"/>
      <sheetName val="labour_coeff59"/>
      <sheetName val="Shuttering_Analysis59"/>
      <sheetName val="General_P+M59"/>
      <sheetName val="Curing_Analysis_59"/>
      <sheetName val="Concrete_P+M_(_RMC_)59"/>
      <sheetName val="P+M_(_SMC_)59"/>
      <sheetName val="P+M_-EW59"/>
      <sheetName val="P&amp;L_-_AD59"/>
      <sheetName val="SUPPLY_-Sanitary_Fixtures61"/>
      <sheetName val="ITEMS_FOR_CIVIL_TENDER61"/>
      <sheetName val="_x005f_x005f_x005f_x0003_dpl_oth_Lia`61"/>
      <sheetName val="TBAL9697__x005f_x005f_x005f_x000d_grotp_w61"/>
      <sheetName val="Fin__Assumpt__-_Sensitivities59"/>
      <sheetName val="LOAD_SHEET_59"/>
      <sheetName val="Fill_this_out_first___59"/>
      <sheetName val="Labour_productivity59"/>
      <sheetName val="RCC,Ret__Wall59"/>
      <sheetName val="CORPN_O61"/>
      <sheetName val="CORPN_O_T59"/>
      <sheetName val="Area_&amp;_Cate__Master59"/>
      <sheetName val="Bill_No_559"/>
      <sheetName val="11B_59"/>
      <sheetName val="Structure_Bills_Qty59"/>
      <sheetName val="DG_61"/>
      <sheetName val="BOQ_(2)59"/>
      <sheetName val="Fee_Rate_Summary59"/>
      <sheetName val="Name_List59"/>
      <sheetName val="Detail_1A59"/>
      <sheetName val="Sheet_159"/>
      <sheetName val="3BPA00132-5-3_W_plan_HVPNL59"/>
      <sheetName val="Mix_Design59"/>
      <sheetName val="DLC_lookups59"/>
      <sheetName val="Driveway_Beams59"/>
      <sheetName val="TBAL9697__x005f_x000a_grotp_wise_59"/>
      <sheetName val="Quote_Sheet59"/>
      <sheetName val="d-safe_DELUXE59"/>
      <sheetName val="Works_-_Quote_Sheet59"/>
      <sheetName val="IO_LIST59"/>
      <sheetName val="TBAL9697__x005f_x000d_grotp_wis59"/>
      <sheetName val="Cat_A_Change_Control59"/>
      <sheetName val="Break_up_Sheet59"/>
      <sheetName val="Summary_of_P_&amp;_M59"/>
      <sheetName val="ISO_Reconcilation_Statment59"/>
      <sheetName val="AVG_pur_rate59"/>
      <sheetName val="Break_Dw59"/>
      <sheetName val="LIST_OF_MAKES59"/>
      <sheetName val="Assumption_Inputs59"/>
      <sheetName val="Civil_Works59"/>
      <sheetName val="Form_659"/>
      <sheetName val="acevsSp_(ABC)59"/>
      <sheetName val="A_O_R_59"/>
      <sheetName val="CORPN_O_x005f_x005f_x005f_x0000_T59"/>
      <sheetName val="220_11__BS_59"/>
      <sheetName val="FITZ_MORT_9459"/>
      <sheetName val="Intro_59"/>
      <sheetName val="BLOCK-A_(MEA_SHEET)59"/>
      <sheetName val="NLD_-_Assum59"/>
      <sheetName val="Section_Catalogue59"/>
      <sheetName val="TB9798OBPL06_(2)67"/>
      <sheetName val="CORPN_OCT67"/>
      <sheetName val="inout_consol-nov67"/>
      <sheetName val="inout_consol_(2)67"/>
      <sheetName val="AS_ON_DT_EXPS_Mar67"/>
      <sheetName val="fa-pl_&amp;_mach-site67"/>
      <sheetName val="fa_off_eqp67"/>
      <sheetName val="fa_fur&amp;_fix67"/>
      <sheetName val="fa-pl_&amp;_mach-Off67"/>
      <sheetName val="B_Equity-sdpl_INC67"/>
      <sheetName val="inout_consol_wkg67"/>
      <sheetName val="inout_consol_WKNG67"/>
      <sheetName val="B_Sheet_9767"/>
      <sheetName val="P&amp;L_97_67"/>
      <sheetName val="B_Sheet_97-BEXP67"/>
      <sheetName val="P&amp;L_97_-BEXP67"/>
      <sheetName val="consol_flows67"/>
      <sheetName val="sdpl_oth_Liab67"/>
      <sheetName val="obpl-oth_liab67"/>
      <sheetName val="G_land_advance67"/>
      <sheetName val="I-Wip-ot_(2)67"/>
      <sheetName val="detail_WIP_(2)67"/>
      <sheetName val="detail_G-167"/>
      <sheetName val="sobha_menon_ac67"/>
      <sheetName val="pnc_ac67"/>
      <sheetName val="fix_-p_&amp;_M_-SCC67"/>
      <sheetName val="C_fix_asst67"/>
      <sheetName val="D_fix_asst_scdl_67"/>
      <sheetName val="creditors_tb_obpl67"/>
      <sheetName val="TBAL9697_-group_wise__sdpl77"/>
      <sheetName val="TBAL9697_-group_wise_67"/>
      <sheetName val="crs_-G-167"/>
      <sheetName val="TBAL9697_-group_wise__onpl67"/>
      <sheetName val="B_Sheet_97-OBPL67"/>
      <sheetName val="B_Sheet_97_sdpl67"/>
      <sheetName val="TBAL9697_-group_wise__sdpl267"/>
      <sheetName val="inout_consol_jan67"/>
      <sheetName val="consol_flow67"/>
      <sheetName val="D_Loan__Prom67"/>
      <sheetName val="E_Bank_Loan67"/>
      <sheetName val="G_work_Cap67"/>
      <sheetName val="H_land_adv-dec67"/>
      <sheetName val="J_Con_WIP67"/>
      <sheetName val="detail_J67"/>
      <sheetName val="L_Oth_Co67"/>
      <sheetName val="K_fix_asst__67"/>
      <sheetName val="C_fix_asst-SDPL_67"/>
      <sheetName val="TBAL9697__group_wise__sdpl67"/>
      <sheetName val="inout_consol_okg67"/>
      <sheetName val="detail_OIP_(2)67"/>
      <sheetName val="D_fix_ysst_scdl_67"/>
      <sheetName val="cre`itors_tb_obpl67"/>
      <sheetName val="3AL9697_-group_wise__onpl67"/>
      <sheetName val="L_Oth_Bo66"/>
      <sheetName val="3‰AL9697_-group_wise__onpl66"/>
      <sheetName val="Civil_Boq66"/>
      <sheetName val="Staff_Acco_66"/>
      <sheetName val="SITE_OVERHEADS66"/>
      <sheetName val="PRECAST_lightconc-II64"/>
      <sheetName val="1__PayRec63"/>
      <sheetName val="_bpl,oth_lia_63"/>
      <sheetName val="G_,and_adv_nce63"/>
      <sheetName val="I,Wip-ot__2)63"/>
      <sheetName val="det!il_WIP_(2)63"/>
      <sheetName val="de4ail_G-163"/>
      <sheetName val="sobha_mennn_ac63"/>
      <sheetName val="C_&amp;ix_asst63"/>
      <sheetName val="SPT_vs_PHI63"/>
      <sheetName val="Boq_Block_A66"/>
      <sheetName val="Project-Material_66"/>
      <sheetName val="Cashflow_projection63"/>
      <sheetName val="key_dates63"/>
      <sheetName val="ino4t_conso,-nov63"/>
      <sheetName val="(nout_co,sol_(2)63"/>
      <sheetName val="Blr_hire63"/>
      <sheetName val="INPUT_SHEET63"/>
      <sheetName val="Sun_E_Type63"/>
      <sheetName val="3�AL9697_-group_wise__onpl66"/>
      <sheetName val="Fin_Sum63"/>
      <sheetName val="_x005f_x0003_dpl_oth_Lia`63"/>
      <sheetName val="TBAL9697__x005f_x000d_grotp_wise_63"/>
      <sheetName val="St_co_91_5lvl63"/>
      <sheetName val="CORPN_O?T63"/>
      <sheetName val="Labor_abs-NMR63"/>
      <sheetName val="Stress_Calculation63"/>
      <sheetName val="TBAL9697__x000a_grotp_wise_63"/>
      <sheetName val="labour_coeff61"/>
      <sheetName val="Shuttering_Analysis61"/>
      <sheetName val="General_P+M61"/>
      <sheetName val="Curing_Analysis_61"/>
      <sheetName val="Concrete_P+M_(_RMC_)61"/>
      <sheetName val="P+M_(_SMC_)61"/>
      <sheetName val="P+M_-EW61"/>
      <sheetName val="DG_63"/>
      <sheetName val="P&amp;L_-_AD61"/>
      <sheetName val="DLC_lookups61"/>
      <sheetName val="Fin__Assumpt__-_Sensitivities61"/>
      <sheetName val="LOAD_SHEET_61"/>
      <sheetName val="CORPN_O_x005f_x0000_T63"/>
      <sheetName val="Fill_this_out_first___61"/>
      <sheetName val="CORPN_O63"/>
      <sheetName val="SUPPLY_-Sanitary_Fixtures63"/>
      <sheetName val="ITEMS_FOR_CIVIL_TENDER63"/>
      <sheetName val="Labour_productivity61"/>
      <sheetName val="RCC,Ret__Wall61"/>
      <sheetName val="_x005f_x005f_x005f_x0003_dpl_oth_Lia`63"/>
      <sheetName val="TBAL9697__x005f_x005f_x005f_x000d_grotp_w63"/>
      <sheetName val="CORPN_O_T61"/>
      <sheetName val="Cat_A_Change_Control61"/>
      <sheetName val="Break_up_Sheet61"/>
      <sheetName val="Summary_of_P_&amp;_M61"/>
      <sheetName val="Area_&amp;_Cate__Master61"/>
      <sheetName val="Bill_No_561"/>
      <sheetName val="Sheet_161"/>
      <sheetName val="3BPA00132-5-3_W_plan_HVPNL61"/>
      <sheetName val="Mix_Design61"/>
      <sheetName val="Fee_Rate_Summary61"/>
      <sheetName val="Name_List61"/>
      <sheetName val="BOQ_(2)61"/>
      <sheetName val="Quote_Sheet61"/>
      <sheetName val="d-safe_DELUXE61"/>
      <sheetName val="Works_-_Quote_Sheet61"/>
      <sheetName val="IO_LIST61"/>
      <sheetName val="TBAL9697__x005f_x000d_grotp_wis61"/>
      <sheetName val="FITZ_MORT_9461"/>
      <sheetName val="Structure_Bills_Qty61"/>
      <sheetName val="11B_61"/>
      <sheetName val="TBAL9697__x005f_x000a_grotp_wise_61"/>
      <sheetName val="Driveway_Beams61"/>
      <sheetName val="ISO_Reconcilation_Statment61"/>
      <sheetName val="AVG_pur_rate61"/>
      <sheetName val="Detail_1A61"/>
      <sheetName val="Break_Dw61"/>
      <sheetName val="CORPN_O_x005f_x005f_x005f_x0000_T61"/>
      <sheetName val="220_11__BS_61"/>
      <sheetName val="NLD_-_Assum61"/>
      <sheetName val="LIST_OF_MAKES61"/>
      <sheetName val="Form_661"/>
      <sheetName val="acevsSp_(ABC)61"/>
      <sheetName val="A_O_R_61"/>
      <sheetName val="BLOCK-A_(MEA_SHEET)61"/>
      <sheetName val="Intro_61"/>
      <sheetName val="Assumption_Inputs61"/>
      <sheetName val="Civil_Works61"/>
      <sheetName val="Section_Catalogue61"/>
      <sheetName val="TB9798OBPL06_(2)66"/>
      <sheetName val="CORPN_OCT66"/>
      <sheetName val="inout_consol-nov66"/>
      <sheetName val="inout_consol_(2)66"/>
      <sheetName val="AS_ON_DT_EXPS_Mar66"/>
      <sheetName val="fa-pl_&amp;_mach-site66"/>
      <sheetName val="fa_off_eqp66"/>
      <sheetName val="fa_fur&amp;_fix66"/>
      <sheetName val="fa-pl_&amp;_mach-Off66"/>
      <sheetName val="B_Equity-sdpl_INC66"/>
      <sheetName val="inout_consol_wkg66"/>
      <sheetName val="inout_consol_WKNG66"/>
      <sheetName val="B_Sheet_9766"/>
      <sheetName val="P&amp;L_97_66"/>
      <sheetName val="B_Sheet_97-BEXP66"/>
      <sheetName val="P&amp;L_97_-BEXP66"/>
      <sheetName val="consol_flows66"/>
      <sheetName val="sdpl_oth_Liab66"/>
      <sheetName val="obpl-oth_liab66"/>
      <sheetName val="G_land_advance66"/>
      <sheetName val="I-Wip-ot_(2)66"/>
      <sheetName val="detail_WIP_(2)66"/>
      <sheetName val="detail_G-166"/>
      <sheetName val="sobha_menon_ac66"/>
      <sheetName val="pnc_ac66"/>
      <sheetName val="fix_-p_&amp;_M_-SCC66"/>
      <sheetName val="C_fix_asst66"/>
      <sheetName val="D_fix_asst_scdl_66"/>
      <sheetName val="creditors_tb_obpl66"/>
      <sheetName val="TBAL9697_-group_wise__sdpl76"/>
      <sheetName val="TBAL9697_-group_wise_66"/>
      <sheetName val="crs_-G-166"/>
      <sheetName val="TBAL9697_-group_wise__onpl66"/>
      <sheetName val="B_Sheet_97-OBPL66"/>
      <sheetName val="B_Sheet_97_sdpl66"/>
      <sheetName val="TBAL9697_-group_wise__sdpl266"/>
      <sheetName val="inout_consol_jan66"/>
      <sheetName val="consol_flow66"/>
      <sheetName val="D_Loan__Prom66"/>
      <sheetName val="E_Bank_Loan66"/>
      <sheetName val="G_work_Cap66"/>
      <sheetName val="H_land_adv-dec66"/>
      <sheetName val="J_Con_WIP66"/>
      <sheetName val="detail_J66"/>
      <sheetName val="L_Oth_Co66"/>
      <sheetName val="K_fix_asst__66"/>
      <sheetName val="C_fix_asst-SDPL_66"/>
      <sheetName val="TBAL9697__group_wise__sdpl66"/>
      <sheetName val="inout_consol_okg66"/>
      <sheetName val="detail_OIP_(2)66"/>
      <sheetName val="D_fix_ysst_scdl_66"/>
      <sheetName val="cre`itors_tb_obpl66"/>
      <sheetName val="3AL9697_-group_wise__onpl66"/>
      <sheetName val="L_Oth_Bo65"/>
      <sheetName val="3‰AL9697_-group_wise__onpl65"/>
      <sheetName val="Civil_Boq65"/>
      <sheetName val="Staff_Acco_65"/>
      <sheetName val="SITE_OVERHEADS65"/>
      <sheetName val="PRECAST_lightconc-II63"/>
      <sheetName val="1__PayRec62"/>
      <sheetName val="Boq_Block_A65"/>
      <sheetName val="Cashflow_projection62"/>
      <sheetName val="Project-Material_65"/>
      <sheetName val="SPT_vs_PHI62"/>
      <sheetName val="key_dates62"/>
      <sheetName val="ino4t_conso,-nov62"/>
      <sheetName val="(nout_co,sol_(2)62"/>
      <sheetName val="Blr_hire62"/>
      <sheetName val="_bpl,oth_lia_62"/>
      <sheetName val="G_,and_adv_nce62"/>
      <sheetName val="I,Wip-ot__2)62"/>
      <sheetName val="det!il_WIP_(2)62"/>
      <sheetName val="de4ail_G-162"/>
      <sheetName val="sobha_mennn_ac62"/>
      <sheetName val="C_&amp;ix_asst62"/>
      <sheetName val="_x005f_x0003_dpl_oth_Lia`62"/>
      <sheetName val="TBAL9697__x005f_x000d_grotp_wise_62"/>
      <sheetName val="St_co_91_5lvl62"/>
      <sheetName val="3�AL9697_-group_wise__onpl65"/>
      <sheetName val="INPUT_SHEET62"/>
      <sheetName val="Stress_Calculation62"/>
      <sheetName val="Labor_abs-NMR62"/>
      <sheetName val="Sun_E_Type62"/>
      <sheetName val="CORPN_O?T62"/>
      <sheetName val="Fin_Sum62"/>
      <sheetName val="CORPN_O_x005f_x0000_T62"/>
      <sheetName val="TBAL9697__x000a_grotp_wise_62"/>
      <sheetName val="labour_coeff60"/>
      <sheetName val="Shuttering_Analysis60"/>
      <sheetName val="General_P+M60"/>
      <sheetName val="Curing_Analysis_60"/>
      <sheetName val="Concrete_P+M_(_RMC_)60"/>
      <sheetName val="P+M_(_SMC_)60"/>
      <sheetName val="P+M_-EW60"/>
      <sheetName val="P&amp;L_-_AD60"/>
      <sheetName val="SUPPLY_-Sanitary_Fixtures62"/>
      <sheetName val="ITEMS_FOR_CIVIL_TENDER62"/>
      <sheetName val="_x005f_x005f_x005f_x0003_dpl_oth_Lia`62"/>
      <sheetName val="TBAL9697__x005f_x005f_x005f_x000d_grotp_w62"/>
      <sheetName val="Fin__Assumpt__-_Sensitivities60"/>
      <sheetName val="LOAD_SHEET_60"/>
      <sheetName val="Fill_this_out_first___60"/>
      <sheetName val="Labour_productivity60"/>
      <sheetName val="RCC,Ret__Wall60"/>
      <sheetName val="CORPN_O62"/>
      <sheetName val="CORPN_O_T60"/>
      <sheetName val="Area_&amp;_Cate__Master60"/>
      <sheetName val="Bill_No_560"/>
      <sheetName val="TBAL9697__grotp_wise_120"/>
      <sheetName val="11B_60"/>
      <sheetName val="Structure_Bills_Qty60"/>
      <sheetName val="DG_62"/>
      <sheetName val="BOQ_(2)60"/>
      <sheetName val="Fee_Rate_Summary60"/>
      <sheetName val="Name_List60"/>
      <sheetName val="Detail_1A60"/>
      <sheetName val="Sheet_160"/>
      <sheetName val="3BPA00132-5-3_W_plan_HVPNL60"/>
      <sheetName val="Mix_Design60"/>
      <sheetName val="DLC_lookups60"/>
      <sheetName val="Driveway_Beams60"/>
      <sheetName val="TBAL9697__x005f_x000a_grotp_wise_60"/>
      <sheetName val="Quote_Sheet60"/>
      <sheetName val="d-safe_DELUXE60"/>
      <sheetName val="Works_-_Quote_Sheet60"/>
      <sheetName val="IO_LIST60"/>
      <sheetName val="TBAL9697__x005f_x000d_grotp_wis60"/>
      <sheetName val="Cat_A_Change_Control60"/>
      <sheetName val="Break_up_Sheet60"/>
      <sheetName val="Summary_of_P_&amp;_M60"/>
      <sheetName val="ISO_Reconcilation_Statment60"/>
      <sheetName val="AVG_pur_rate60"/>
      <sheetName val="Break_Dw60"/>
      <sheetName val="LIST_OF_MAKES60"/>
      <sheetName val="Assumption_Inputs60"/>
      <sheetName val="Civil_Works60"/>
      <sheetName val="Form_660"/>
      <sheetName val="acevsSp_(ABC)60"/>
      <sheetName val="A_O_R_60"/>
      <sheetName val="CORPN_O_x005f_x005f_x005f_x0000_T60"/>
      <sheetName val="220_11__BS_60"/>
      <sheetName val="FITZ_MORT_9460"/>
      <sheetName val="Intro_60"/>
      <sheetName val="BLOCK-A_(MEA_SHEET)60"/>
      <sheetName val="NLD_-_Assum60"/>
      <sheetName val="Section_Catalogue60"/>
      <sheetName val="TBAL9697__grotp_wise_710"/>
      <sheetName val="TBAL9697__grotp_wise_810"/>
      <sheetName val="TBAL9697__grotp_wise_910"/>
      <sheetName val="TBAL9697__grotp_wise_1010"/>
      <sheetName val="TBAL9697__grotp_wise_126"/>
      <sheetName val="TBAL9697__grotp_wise_1110"/>
      <sheetName val="TB9798OBPL06_(2)68"/>
      <sheetName val="CORPN_OCT68"/>
      <sheetName val="inout_consol-nov68"/>
      <sheetName val="inout_consol_(2)68"/>
      <sheetName val="AS_ON_DT_EXPS_Mar68"/>
      <sheetName val="fa-pl_&amp;_mach-site68"/>
      <sheetName val="fa_off_eqp68"/>
      <sheetName val="fa_fur&amp;_fix68"/>
      <sheetName val="fa-pl_&amp;_mach-Off68"/>
      <sheetName val="B_Equity-sdpl_INC68"/>
      <sheetName val="inout_consol_wkg68"/>
      <sheetName val="inout_consol_WKNG68"/>
      <sheetName val="B_Sheet_9768"/>
      <sheetName val="P&amp;L_97_68"/>
      <sheetName val="B_Sheet_97-BEXP68"/>
      <sheetName val="P&amp;L_97_-BEXP68"/>
      <sheetName val="consol_flows68"/>
      <sheetName val="sdpl_oth_Liab68"/>
      <sheetName val="obpl-oth_liab68"/>
      <sheetName val="G_land_advance68"/>
      <sheetName val="I-Wip-ot_(2)68"/>
      <sheetName val="detail_WIP_(2)68"/>
      <sheetName val="detail_G-168"/>
      <sheetName val="sobha_menon_ac68"/>
      <sheetName val="pnc_ac68"/>
      <sheetName val="fix_-p_&amp;_M_-SCC68"/>
      <sheetName val="C_fix_asst68"/>
      <sheetName val="D_fix_asst_scdl_68"/>
      <sheetName val="creditors_tb_obpl68"/>
      <sheetName val="TBAL9697_-group_wise__sdpl78"/>
      <sheetName val="TBAL9697_-group_wise_68"/>
      <sheetName val="crs_-G-168"/>
      <sheetName val="TBAL9697_-group_wise__onpl68"/>
      <sheetName val="B_Sheet_97-OBPL68"/>
      <sheetName val="B_Sheet_97_sdpl68"/>
      <sheetName val="TBAL9697_-group_wise__sdpl268"/>
      <sheetName val="inout_consol_jan68"/>
      <sheetName val="consol_flow68"/>
      <sheetName val="D_Loan__Prom68"/>
      <sheetName val="E_Bank_Loan68"/>
      <sheetName val="G_work_Cap68"/>
      <sheetName val="H_land_adv-dec68"/>
      <sheetName val="J_Con_WIP68"/>
      <sheetName val="detail_J68"/>
      <sheetName val="L_Oth_Co68"/>
      <sheetName val="K_fix_asst__68"/>
      <sheetName val="C_fix_asst-SDPL_68"/>
      <sheetName val="TBAL9697__group_wise__sdpl68"/>
      <sheetName val="inout_consol_okg68"/>
      <sheetName val="detail_OIP_(2)68"/>
      <sheetName val="D_fix_ysst_scdl_68"/>
      <sheetName val="cre`itors_tb_obpl68"/>
      <sheetName val="3AL9697_-group_wise__onpl68"/>
      <sheetName val="L_Oth_Bo67"/>
      <sheetName val="3‰AL9697_-group_wise__onpl67"/>
      <sheetName val="Civil_Boq67"/>
      <sheetName val="Staff_Acco_67"/>
      <sheetName val="SITE_OVERHEADS67"/>
      <sheetName val="PRECAST_lightconc-II65"/>
      <sheetName val="1__PayRec64"/>
      <sheetName val="_bpl,oth_lia_64"/>
      <sheetName val="G_,and_adv_nce64"/>
      <sheetName val="I,Wip-ot__2)64"/>
      <sheetName val="det!il_WIP_(2)64"/>
      <sheetName val="de4ail_G-164"/>
      <sheetName val="sobha_mennn_ac64"/>
      <sheetName val="C_&amp;ix_asst64"/>
      <sheetName val="SPT_vs_PHI64"/>
      <sheetName val="Boq_Block_A67"/>
      <sheetName val="Project-Material_67"/>
      <sheetName val="Cashflow_projection64"/>
      <sheetName val="key_dates64"/>
      <sheetName val="ino4t_conso,-nov64"/>
      <sheetName val="(nout_co,sol_(2)64"/>
      <sheetName val="Blr_hire64"/>
      <sheetName val="INPUT_SHEET64"/>
      <sheetName val="Sun_E_Type64"/>
      <sheetName val="3�AL9697_-group_wise__onpl67"/>
      <sheetName val="Fin_Sum64"/>
      <sheetName val="_x005f_x0003_dpl_oth_Lia`64"/>
      <sheetName val="TBAL9697__x005f_x000d_grotp_wise_64"/>
      <sheetName val="St_co_91_5lvl64"/>
      <sheetName val="CORPN_O?T64"/>
      <sheetName val="Labor_abs-NMR64"/>
      <sheetName val="Stress_Calculation64"/>
      <sheetName val="TBAL9697__x000a_grotp_wise_64"/>
      <sheetName val="labour_coeff62"/>
      <sheetName val="Shuttering_Analysis62"/>
      <sheetName val="General_P+M62"/>
      <sheetName val="Curing_Analysis_62"/>
      <sheetName val="Concrete_P+M_(_RMC_)62"/>
      <sheetName val="P+M_(_SMC_)62"/>
      <sheetName val="P+M_-EW62"/>
      <sheetName val="DG_64"/>
      <sheetName val="P&amp;L_-_AD62"/>
      <sheetName val="DLC_lookups62"/>
      <sheetName val="Fin__Assumpt__-_Sensitivities62"/>
      <sheetName val="LOAD_SHEET_62"/>
      <sheetName val="CORPN_O_x005f_x0000_T64"/>
      <sheetName val="Fill_this_out_first___62"/>
      <sheetName val="CORPN_O64"/>
      <sheetName val="SUPPLY_-Sanitary_Fixtures64"/>
      <sheetName val="ITEMS_FOR_CIVIL_TENDER64"/>
      <sheetName val="Labour_productivity62"/>
      <sheetName val="RCC,Ret__Wall62"/>
      <sheetName val="_x005f_x005f_x005f_x0003_dpl_oth_Lia`64"/>
      <sheetName val="TBAL9697__x005f_x005f_x005f_x000d_grotp_w64"/>
      <sheetName val="CORPN_O_T62"/>
      <sheetName val="TBAL9697__grotp_wise_127"/>
      <sheetName val="Cat_A_Change_Control62"/>
      <sheetName val="Break_up_Sheet62"/>
      <sheetName val="Summary_of_P_&amp;_M62"/>
      <sheetName val="Area_&amp;_Cate__Master62"/>
      <sheetName val="Bill_No_562"/>
      <sheetName val="Sheet_162"/>
      <sheetName val="3BPA00132-5-3_W_plan_HVPNL62"/>
      <sheetName val="Mix_Design62"/>
      <sheetName val="Fee_Rate_Summary62"/>
      <sheetName val="Name_List62"/>
      <sheetName val="BOQ_(2)62"/>
      <sheetName val="Quote_Sheet62"/>
      <sheetName val="d-safe_DELUXE62"/>
      <sheetName val="Works_-_Quote_Sheet62"/>
      <sheetName val="IO_LIST62"/>
      <sheetName val="TBAL9697__x005f_x000d_grotp_wis62"/>
      <sheetName val="TBAL9697__grotp_wise_128"/>
      <sheetName val="FITZ_MORT_9462"/>
      <sheetName val="Structure_Bills_Qty62"/>
      <sheetName val="11B_62"/>
      <sheetName val="TBAL9697__x005f_x000a_grotp_wise_62"/>
      <sheetName val="Driveway_Beams62"/>
      <sheetName val="ISO_Reconcilation_Statment62"/>
      <sheetName val="AVG_pur_rate62"/>
      <sheetName val="Detail_1A62"/>
      <sheetName val="Break_Dw62"/>
      <sheetName val="CORPN_O_x005f_x005f_x005f_x0000_T62"/>
      <sheetName val="220_11__BS_62"/>
      <sheetName val="NLD_-_Assum62"/>
      <sheetName val="LIST_OF_MAKES62"/>
      <sheetName val="Form_662"/>
      <sheetName val="acevsSp_(ABC)62"/>
      <sheetName val="A_O_R_62"/>
      <sheetName val="BLOCK-A_(MEA_SHEET)62"/>
      <sheetName val="Intro_62"/>
      <sheetName val="Assumption_Inputs62"/>
      <sheetName val="Civil_Works62"/>
      <sheetName val="Section_Catalogue62"/>
      <sheetName val="TBAL9697__grotp_wise_129"/>
      <sheetName val="TBAL9697__grotp_wise_130"/>
      <sheetName val="TBAL9697__grotp_wise_611"/>
      <sheetName val="TBAL9697__grotp_wise_711"/>
      <sheetName val="TBAL9697__grotp_wise_811"/>
      <sheetName val="TBAL9697__grotp_wise_911"/>
      <sheetName val="TBAL9697__grotp_wise_1011"/>
      <sheetName val="TBAL9697__grotp_wise_1210"/>
      <sheetName val="TBAL9697__grotp_wise_1111"/>
      <sheetName val="BS8007"/>
      <sheetName val="Commodity Plan Front Block"/>
      <sheetName val="Commodity Plan Rear Block"/>
      <sheetName val="WXY"/>
      <sheetName val="99 조정금액"/>
      <sheetName val="Boq_ structure "/>
      <sheetName val="Category A - No Material"/>
      <sheetName val="Category B - Major Works"/>
      <sheetName val="Category C - Minor Works"/>
      <sheetName val="INPUT-DATA"/>
      <sheetName val="CI"/>
      <sheetName val="V.O.4 - PCC Qty"/>
      <sheetName val="Item- Compact"/>
      <sheetName val="Intake"/>
      <sheetName val="N-Amritsar 135"/>
      <sheetName val="rcc( sub)"/>
      <sheetName val="CONNECT"/>
      <sheetName val="FORM-16"/>
      <sheetName val="factor "/>
      <sheetName val="BS"/>
      <sheetName val="Combined Results "/>
      <sheetName val="COA-17"/>
      <sheetName val="C-18"/>
      <sheetName val="Lowside"/>
      <sheetName val="12-27"/>
      <sheetName val="Base"/>
      <sheetName val="COA"/>
      <sheetName val="Sch4_14"/>
      <sheetName val="Sch1_3"/>
      <sheetName val="TBAL9697_ grotp_wis1"/>
      <sheetName val="TBAL9697_ grotp_wis2"/>
      <sheetName val="TBAL9697_ grotp_wis3"/>
      <sheetName val="TBAL9697_ grotp_wis4"/>
      <sheetName val="TBAL9697_ grotp_wis5"/>
      <sheetName val="TBAL9697_ grotp_wis6"/>
      <sheetName val="TBAL9697_ grotp_wis7"/>
      <sheetName val="TBAL9697_ grotp_wis8"/>
      <sheetName val="TBAL9697_ grotp_wis14"/>
      <sheetName val="TBAL9697_ grotp_wis10"/>
      <sheetName val="TBAL9697_ grotp_wis9"/>
      <sheetName val="TBAL9697_ grotp_wis11"/>
      <sheetName val="TBAL9697_ grotp_wis12"/>
      <sheetName val="TBAL9697_ grotp_wis13"/>
      <sheetName val="TBAL9697_ grotp_wis20"/>
      <sheetName val="TBAL9697_ grotp_wis15"/>
      <sheetName val="TBAL9697_ grotp_wis16"/>
      <sheetName val="TBAL9697_ grotp_wis17"/>
      <sheetName val="TBAL9697_ grotp_wis18"/>
      <sheetName val="TBAL9697_ grotp_wis19"/>
      <sheetName val="TBAL9697_ grotp_wis21"/>
      <sheetName val="TBAL9697_ grotp_wis22"/>
      <sheetName val="TBAL9697_ grotp_wis23"/>
      <sheetName val="TBAL9697_ grotp_wis24"/>
      <sheetName val="TBAL9697_ grotp_wis25"/>
      <sheetName val="PB WORK"/>
      <sheetName val="Basement Budget"/>
      <sheetName val="TBAL9697__x000d_grotp_wi2"/>
      <sheetName val="TBAL9697__x000d_grotp_wi4"/>
      <sheetName val="TBAL9697__x000d_grotp_wi3"/>
      <sheetName val="TBAL9697__x000d_grotp_wi5"/>
      <sheetName val="TBAL9697__x000d_grotp_wi6"/>
      <sheetName val="TBAL9697__x000d_grotp_wi7"/>
      <sheetName val="TBAL9697__x000d_grotp_wi8"/>
      <sheetName val="TBAL9697__x000d_grotp_wi9"/>
      <sheetName val="TBAL9697__x000d_grotp_w10"/>
      <sheetName val="TBAL9697__x000d_grotp_w16"/>
      <sheetName val="TBAL9697__x000d_grotp_w12"/>
      <sheetName val="TBAL9697__x000d_grotp_w11"/>
      <sheetName val="TBAL9697__x000d_grotp_w13"/>
      <sheetName val="TBAL9697__x000d_grotp_w14"/>
      <sheetName val="TBAL9697__x000d_grotp_w15"/>
      <sheetName val="TBAL9697__x000d_grotp_w22"/>
      <sheetName val="TBAL9697__x000d_grotp_w17"/>
      <sheetName val="TBAL9697__x000d_grotp_w18"/>
      <sheetName val="TBAL9697__x000d_grotp_w19"/>
      <sheetName val="TBAL9697__x000d_grotp_w20"/>
      <sheetName val="TBAL9697__x000d_grotp_w21"/>
      <sheetName val="TBAL9697__x000d_grotp_w23"/>
      <sheetName val="TBAL9697__x000d_grotp_w24"/>
      <sheetName val="TBAL9697__x000d_grotp_w25"/>
      <sheetName val="TBAL9697__x000d_grotp_w26"/>
      <sheetName val="_x0003_dpl_ot"/>
      <sheetName val="TBAL9697 _grotp wis"/>
      <sheetName val="TBAL9697__x02"/>
      <sheetName val="TBAL9697__x01"/>
      <sheetName val="TBAL9697__x03"/>
      <sheetName val="TBAL9697__x04"/>
      <sheetName val="TBAL9697__x05"/>
      <sheetName val="TBAL9697__x06"/>
      <sheetName val="TBAL9697__x07"/>
      <sheetName val="TBAL9697__x08"/>
      <sheetName val="TBAL9697__x14"/>
      <sheetName val="TBAL9697__x10"/>
      <sheetName val="TBAL9697__x09"/>
      <sheetName val="TBAL9697__x11"/>
      <sheetName val="TBAL9697__x12"/>
      <sheetName val="TBAL9697__x13"/>
      <sheetName val="TBAL9697__x20"/>
      <sheetName val="TBAL9697__x15"/>
      <sheetName val="TBAL9697__x16"/>
      <sheetName val="TBAL9697__x17"/>
      <sheetName val="TBAL9697__x18"/>
      <sheetName val="TBAL9697__x19"/>
      <sheetName val="TBAL9697__x21"/>
      <sheetName val="TBAL9697__x22"/>
      <sheetName val="TBAL9697__x23"/>
      <sheetName val="TBAL9697__x24"/>
      <sheetName val="GM 000"/>
      <sheetName val="csdim"/>
      <sheetName val="cdsload"/>
      <sheetName val="chsload"/>
      <sheetName val="CLAMP"/>
      <sheetName val="cvsload"/>
      <sheetName val="pipe"/>
      <sheetName val="OLD IC"/>
      <sheetName val="M-BOQ"/>
      <sheetName val="TENDER STUDY"/>
      <sheetName val="DRG.STUDY"/>
      <sheetName val="BOM"/>
      <sheetName val="INQUIRY"/>
      <sheetName val="BOUGHT OUT"/>
      <sheetName val="RA "/>
      <sheetName val="STAFFSCHED "/>
      <sheetName val="IT-Fri Base"/>
      <sheetName val="CMISFA"/>
      <sheetName val="00acttbl"/>
      <sheetName val="PSrpt25"/>
      <sheetName val="00budtbl"/>
      <sheetName val="Table"/>
      <sheetName val="Q3"/>
      <sheetName val="Capital Structure"/>
      <sheetName val="BASIC MATERIALS"/>
      <sheetName val="EA Sheet"/>
      <sheetName val="Reference"/>
      <sheetName val="7 Other Costs"/>
      <sheetName val="D.UT-MECH"/>
      <sheetName val="PIP&amp;EQPT"/>
      <sheetName val="Cem_Recon"/>
      <sheetName val="P3"/>
      <sheetName val="cus_image"/>
      <sheetName val="GrossMgn 98"/>
      <sheetName val="zone-8"/>
      <sheetName val="MHNO_LEV"/>
      <sheetName val="UK"/>
      <sheetName val="RCC Rates"/>
      <sheetName val="Ring Details"/>
      <sheetName val="Column all floor R1"/>
      <sheetName val="Hypothèses"/>
      <sheetName val="M- Rate"/>
      <sheetName val="Triggers"/>
      <sheetName val="Cabinet details"/>
      <sheetName val="Tools Rev"/>
      <sheetName val="TB MAR2004"/>
      <sheetName val="Staffing Sheet"/>
      <sheetName val="Data Elements-Staffing"/>
      <sheetName val="SCEL Funding"/>
      <sheetName val="Bed Class"/>
      <sheetName val="Cd"/>
      <sheetName val="Liqplan_R1"/>
      <sheetName val="Tower1"/>
      <sheetName val="labour rates"/>
      <sheetName val="New C PM"/>
      <sheetName val="Controls"/>
      <sheetName val="Rates"/>
      <sheetName val="Client Addresses"/>
      <sheetName val="New May"/>
      <sheetName val="7 Steel Rein."/>
      <sheetName val="Co1Input"/>
      <sheetName val="ONE TIME"/>
      <sheetName val="water prop."/>
      <sheetName val="beam"/>
      <sheetName val="cALC"/>
      <sheetName val="CASH-FLOW"/>
      <sheetName val="Tie Beam Steel-R0-1"/>
      <sheetName val="switch"/>
      <sheetName val="Staff Acco_"/>
      <sheetName val="Code"/>
      <sheetName val="Opening"/>
      <sheetName val="L (4)"/>
      <sheetName val="F4.13"/>
      <sheetName val="GM_000"/>
      <sheetName val="Table 4"/>
      <sheetName val="Table 5"/>
      <sheetName val="Table 2"/>
      <sheetName val="Table 27"/>
      <sheetName val="macros"/>
      <sheetName val="Sensitivity"/>
      <sheetName val="Measurment"/>
      <sheetName val="Item-_Compact"/>
      <sheetName val="Detail_P&amp;L1"/>
      <sheetName val="Assumption_Sheet"/>
      <sheetName val="PUR"/>
      <sheetName val="Final"/>
      <sheetName val="PARAMETRES"/>
      <sheetName val="TAX_INCOME1"/>
      <sheetName val="Depart_Budget1"/>
      <sheetName val="TAX_INCOME2"/>
      <sheetName val="Depart_Budget2"/>
      <sheetName val="Customize_Your_Invoice"/>
      <sheetName val="TAX_INCOME3"/>
      <sheetName val="Depart_Budget3"/>
      <sheetName val="Customize_Your_Invoice1"/>
      <sheetName val="INPUT_SHEET_-_A2"/>
      <sheetName val="INPUT SHEET - A"/>
      <sheetName val="PROG_DATA"/>
      <sheetName val="PANEL ANNEXURE"/>
      <sheetName val="para"/>
      <sheetName val="Operating Statistics"/>
      <sheetName val="Chennai"/>
      <sheetName val="TB9798OBPL06_(2)70"/>
      <sheetName val="CORPN_OCT70"/>
      <sheetName val="inout_consol-nov70"/>
      <sheetName val="inout_consol_(2)70"/>
      <sheetName val="AS_ON_DT_EXPS_Mar70"/>
      <sheetName val="fa-pl_&amp;_mach-site70"/>
      <sheetName val="fa_off_eqp70"/>
      <sheetName val="fa_fur&amp;_fix70"/>
      <sheetName val="fa-pl_&amp;_mach-Off70"/>
      <sheetName val="B_Equity-sdpl_INC70"/>
      <sheetName val="inout_consol_wkg70"/>
      <sheetName val="inout_consol_WKNG70"/>
      <sheetName val="B_Sheet_9770"/>
      <sheetName val="P&amp;L_97_70"/>
      <sheetName val="B_Sheet_97-BEXP70"/>
      <sheetName val="P&amp;L_97_-BEXP70"/>
      <sheetName val="consol_flows70"/>
      <sheetName val="sdpl_oth_Liab70"/>
      <sheetName val="obpl-oth_liab70"/>
      <sheetName val="G_land_advance70"/>
      <sheetName val="I-Wip-ot_(2)70"/>
      <sheetName val="detail_WIP_(2)70"/>
      <sheetName val="detail_G-170"/>
      <sheetName val="sobha_menon_ac70"/>
      <sheetName val="pnc_ac70"/>
      <sheetName val="fix_-p_&amp;_M_-SCC70"/>
      <sheetName val="C_fix_asst70"/>
      <sheetName val="D_fix_asst_scdl_70"/>
      <sheetName val="creditors_tb_obpl70"/>
      <sheetName val="TBAL9697_-group_wise__sdpl80"/>
      <sheetName val="TBAL9697_-group_wise_70"/>
      <sheetName val="crs_-G-170"/>
      <sheetName val="TBAL9697_-group_wise__onpl70"/>
      <sheetName val="B_Sheet_97-OBPL70"/>
      <sheetName val="B_Sheet_97_sdpl70"/>
      <sheetName val="TBAL9697_-group_wise__sdpl270"/>
      <sheetName val="inout_consol_jan70"/>
      <sheetName val="consol_flow70"/>
      <sheetName val="D_Loan__Prom70"/>
      <sheetName val="E_Bank_Loan70"/>
      <sheetName val="G_work_Cap70"/>
      <sheetName val="H_land_adv-dec70"/>
      <sheetName val="J_Con_WIP70"/>
      <sheetName val="detail_J70"/>
      <sheetName val="L_Oth_Co70"/>
      <sheetName val="K_fix_asst__70"/>
      <sheetName val="C_fix_asst-SDPL_70"/>
      <sheetName val="TBAL9697__group_wise__sdpl70"/>
      <sheetName val="inout_consol_okg70"/>
      <sheetName val="detail_OIP_(2)70"/>
      <sheetName val="D_fix_ysst_scdl_70"/>
      <sheetName val="cre`itors_tb_obpl70"/>
      <sheetName val="3AL9697_-group_wise__onpl70"/>
      <sheetName val="3‰AL9697_-group_wise__onpl69"/>
      <sheetName val="L_Oth_Bo69"/>
      <sheetName val="Civil_Boq69"/>
      <sheetName val="Staff_Acco_69"/>
      <sheetName val="SITE_OVERHEADS69"/>
      <sheetName val="Boq_Block_A69"/>
      <sheetName val="Cashflow_projection66"/>
      <sheetName val="PRECAST_lightconc-II67"/>
      <sheetName val="1__PayRec66"/>
      <sheetName val="key_dates66"/>
      <sheetName val="SPT_vs_PHI66"/>
      <sheetName val="Project-Material_69"/>
      <sheetName val="3�AL9697_-group_wise__onpl69"/>
      <sheetName val="CORPN_OT31"/>
      <sheetName val="ino4t_conso,-nov66"/>
      <sheetName val="(nout_co,sol_(2)66"/>
      <sheetName val="Blr_hire66"/>
      <sheetName val="dpl_oth_Lia`32"/>
      <sheetName val="_bpl,oth_lia_66"/>
      <sheetName val="G_,and_adv_nce66"/>
      <sheetName val="I,Wip-ot__2)66"/>
      <sheetName val="det!il_WIP_(2)66"/>
      <sheetName val="de4ail_G-166"/>
      <sheetName val="sobha_mennn_ac66"/>
      <sheetName val="C_&amp;ix_asst66"/>
      <sheetName val="_x005f_x0003_dpl_oth_Lia`66"/>
      <sheetName val="TBAL9697__x005f_x000d_grotp_wise_66"/>
      <sheetName val="St_co_91_5lvl66"/>
      <sheetName val="Stress_Calculation66"/>
      <sheetName val="INPUT_SHEET66"/>
      <sheetName val="Labor_abs-NMR66"/>
      <sheetName val="Sun_E_Type66"/>
      <sheetName val="Fin_Sum66"/>
      <sheetName val="CORPN_O_x005f_x0000_T66"/>
      <sheetName val="SUPPLY_-Sanitary_Fixtures66"/>
      <sheetName val="ITEMS_FOR_CIVIL_TENDER66"/>
      <sheetName val="CORPN_O?T66"/>
      <sheetName val="TBAL9697__x000a_grotp_wise_66"/>
      <sheetName val="DG_66"/>
      <sheetName val="Quote_Sheet64"/>
      <sheetName val="d-safe_DELUXE64"/>
      <sheetName val="DLC_lookups64"/>
      <sheetName val="Works_-_Quote_Sheet64"/>
      <sheetName val="IO_LIST64"/>
      <sheetName val="_x005f_x005f_x005f_x0003_dpl_oth_Lia`66"/>
      <sheetName val="TBAL9697__x005f_x005f_x005f_x000d_grotp_w66"/>
      <sheetName val="TBAL9697__x005f_x000d_grotp_wis64"/>
      <sheetName val="TBAL9697__grotp_wise_140"/>
      <sheetName val="CORPN_O66"/>
      <sheetName val="labour_coeff64"/>
      <sheetName val="Shuttering_Analysis64"/>
      <sheetName val="General_P+M64"/>
      <sheetName val="Curing_Analysis_64"/>
      <sheetName val="Concrete_P+M_(_RMC_)64"/>
      <sheetName val="P+M_(_SMC_)64"/>
      <sheetName val="P+M_-EW64"/>
      <sheetName val="P&amp;L_-_AD64"/>
      <sheetName val="CORPN_O_T64"/>
      <sheetName val="Fin__Assumpt__-_Sensitivities64"/>
      <sheetName val="LOAD_SHEET_64"/>
      <sheetName val="Fill_this_out_first___64"/>
      <sheetName val="Labour_productivity64"/>
      <sheetName val="RCC,Ret__Wall64"/>
      <sheetName val="Area_&amp;_Cate__Master64"/>
      <sheetName val="Driveway_Beams64"/>
      <sheetName val="TBAL9697__grotp_wise_147"/>
      <sheetName val="Section_Catalogue64"/>
      <sheetName val="Form_664"/>
      <sheetName val="final_abstract6"/>
      <sheetName val="Bill_No_564"/>
      <sheetName val="Break_Dw64"/>
      <sheetName val="11B_64"/>
      <sheetName val="BOQ_(2)64"/>
      <sheetName val="Detail_1A64"/>
      <sheetName val="Fee_Rate_Summary64"/>
      <sheetName val="Name_List64"/>
      <sheetName val="Structure_Bills_Qty64"/>
      <sheetName val="TBAL9697__x005f_x000a_grotp_wise_64"/>
      <sheetName val="Sheet_164"/>
      <sheetName val="3BPA00132-5-3_W_plan_HVPNL64"/>
      <sheetName val="Mix_Design64"/>
      <sheetName val="Cat_A_Change_Control64"/>
      <sheetName val="Break_up_Sheet64"/>
      <sheetName val="Summary_of_P_&amp;_M64"/>
      <sheetName val="FITZ_MORT_9464"/>
      <sheetName val="LIST_OF_MAKES64"/>
      <sheetName val="Civil_Works64"/>
      <sheetName val="acevsSp_(ABC)64"/>
      <sheetName val="A_O_R_64"/>
      <sheetName val="ISO_Reconcilation_Statment64"/>
      <sheetName val="AVG_pur_rate64"/>
      <sheetName val="CORPN_O_x005f_x005f_x005f_x0000_T64"/>
      <sheetName val="220_11__BS_64"/>
      <sheetName val="Intro_64"/>
      <sheetName val="BLOCK-A_(MEA_SHEET)64"/>
      <sheetName val="NLD_-_Assum64"/>
      <sheetName val="TBAL9697__x005f_x005f_x005f_x005f_x005f_x005f_x33"/>
      <sheetName val="Assumption_Inputs64"/>
      <sheetName val="Mat_-Rates31"/>
      <sheetName val="Legal_Risk_Analysis31"/>
      <sheetName val="Cash_Flow_Input_Data_ISC33"/>
      <sheetName val="Tender_Summary14"/>
      <sheetName val="tie_beam14"/>
      <sheetName val="Meas_-Hotel_Part6"/>
      <sheetName val="INDIGINEOUS_ITEMS_14"/>
      <sheetName val="Site_Dev_BOQ7"/>
      <sheetName val="DETAILED__BOQ31"/>
      <sheetName val="CABLE_DATA31"/>
      <sheetName val="Elect_7"/>
      <sheetName val="TBAL9697__grotp_wise_148"/>
      <sheetName val="TBAL9697__grotp_wise_149"/>
      <sheetName val="BASIC_RATES6"/>
      <sheetName val="TBAL9697__x005f_x005f_x005f_x000a_grotp_wi6"/>
      <sheetName val="CORPN_O_x005f_x005f_x005f_x005f_x005f_x005f_x0006"/>
      <sheetName val="Deduction_of_assets10"/>
      <sheetName val="Excess_Calc6"/>
      <sheetName val="PO_Payroll6"/>
      <sheetName val="Contract_Night_Staff6"/>
      <sheetName val="Contract_Day_Staff6"/>
      <sheetName val="Day_Shift6"/>
      <sheetName val="Night_Shift6"/>
      <sheetName val="BOQ_6"/>
      <sheetName val="Detail_In_Door_Stad6"/>
      <sheetName val="Gen_Info6"/>
      <sheetName val="COP_Final6"/>
      <sheetName val="General_input6"/>
      <sheetName val="6_056"/>
      <sheetName val="Abstract_Sheet6"/>
      <sheetName val="Boq-_Civil6"/>
      <sheetName val="SPILL_OVER6"/>
      <sheetName val="Pacakges_split6"/>
      <sheetName val="Cost_summary6"/>
      <sheetName val="TBAL9697__grotp_wise_227"/>
      <sheetName val="TBAL9697__grotp_wise_416"/>
      <sheetName val="TBAL9697__grotp_wise_316"/>
      <sheetName val="TBAL9697__grotp_wise_514"/>
      <sheetName val="TBAL9697__grotp_wise_613"/>
      <sheetName val="TBAL9697__grotp_wise_713"/>
      <sheetName val="TBAL9697__grotp_wise_813"/>
      <sheetName val="TBAL9697__grotp_wise_913"/>
      <sheetName val="TBAL9697__grotp_wise_1013"/>
      <sheetName val="TBAL9697__grotp_wise_167"/>
      <sheetName val="TBAL9697__grotp_wise_1212"/>
      <sheetName val="TBAL9697__grotp_wise_1113"/>
      <sheetName val="TBAL9697__grotp_wise_1311"/>
      <sheetName val="TBAL9697__grotp_wise_1410"/>
      <sheetName val="TBAL9697__grotp_wise_157"/>
      <sheetName val="TBAL9697__grotp_wise_228"/>
      <sheetName val="TBAL9697__grotp_wise_177"/>
      <sheetName val="TBAL9697__grotp_wise_187"/>
      <sheetName val="TBAL9697__grotp_wise_197"/>
      <sheetName val="TBAL9697__grotp_wise_207"/>
      <sheetName val="TBAL9697__grotp_wise_2111"/>
      <sheetName val="TBAL9697__grotp_wise_237"/>
      <sheetName val="TBAL9697__grotp_wise_247"/>
      <sheetName val="Data_sheet6"/>
      <sheetName val="Per_Unit6"/>
      <sheetName val="Material_6"/>
      <sheetName val="Extra_Item6"/>
      <sheetName val="Labour_&amp;_Plant6"/>
      <sheetName val="AutoOpen_Stub_Data6"/>
      <sheetName val="Debits_as_on_12_04_086"/>
      <sheetName val="Base_Assumptions6"/>
      <sheetName val="_COP_100%6"/>
      <sheetName val="TAX_INCOME5"/>
      <sheetName val="Depart_Budget5"/>
      <sheetName val="Main_Gate_House6"/>
      <sheetName val="lineby_line_consolidation6"/>
      <sheetName val="Labor_abs-PW6"/>
      <sheetName val="Area_Statement6"/>
      <sheetName val="Risk_Analysis6"/>
      <sheetName val="SITE_DEVELOPMENT5"/>
      <sheetName val="Lintel_Beam_104_70_(GF)__6"/>
      <sheetName val="_6"/>
      <sheetName val="Material_List_5"/>
      <sheetName val="TBAL9697__x005f_x005f_x007"/>
      <sheetName val="CORPN_O_x005f_x005f_x00006"/>
      <sheetName val="TBAL9697__x005f_x000a_grotp_wis6"/>
      <sheetName val="TBAL9697__grotp_wise_257"/>
      <sheetName val="TBAL9697__grotp_wise_267"/>
      <sheetName val="TBAL9697_-group_wise_sdpl6"/>
      <sheetName val="Detail_P&amp;L2"/>
      <sheetName val="Assumption_Sheet1"/>
      <sheetName val="CORPN_O_x005f_x005f_x005f5"/>
      <sheetName val="Rate_analysis5"/>
      <sheetName val="Approved_MTD_Proj_#'s5"/>
      <sheetName val="9__Package_split_-_Cost_5"/>
      <sheetName val="Project_Budget_Worksheet5"/>
      <sheetName val="indices_2"/>
      <sheetName val="Material_Rate5"/>
      <sheetName val="Basic_Rate5"/>
      <sheetName val="INFLUENCES_ON_GM5"/>
      <sheetName val="TBAL9697__grotp_wise_276"/>
      <sheetName val="TBAL9697__grotp_wis26"/>
      <sheetName val="Load_Details(B2)5"/>
      <sheetName val="appendix_2_5_final_accounts5"/>
      <sheetName val="GUT_(2)1"/>
      <sheetName val="MB_Prod1"/>
      <sheetName val="GR_slab-reinft5"/>
      <sheetName val="Customize_Your_Purchase_Order5"/>
      <sheetName val="fa-pl_&amp;_myy_x005f_x000b__x005f_x000b__x05"/>
      <sheetName val="Building_15"/>
      <sheetName val="Lead_(Final)5"/>
      <sheetName val="Pile_cap2"/>
      <sheetName val="M_S_2"/>
      <sheetName val="TBAL9697__grotp_wis27"/>
      <sheetName val="CORPN_O_x005f6"/>
      <sheetName val="Invested_capital_VDF1"/>
      <sheetName val="PV_of_Op_Leases_VDF1"/>
      <sheetName val="Mat_Cost2"/>
      <sheetName val="BS_-_L+OE5"/>
      <sheetName val="Indirect_expenses5"/>
      <sheetName val="Sheet_25"/>
      <sheetName val="SCHEDULE_OF_RATES1"/>
      <sheetName val="AoR_Finishing5"/>
      <sheetName val="schedule_nos5"/>
      <sheetName val="Bill_3_-_Site_Works5"/>
      <sheetName val="Rate_Analysis_5"/>
      <sheetName val="beam-reinft-IIInd_floor5"/>
      <sheetName val="Cost_Basis2"/>
      <sheetName val="CFForecast_detail5"/>
      <sheetName val="소상_&quot;1&quot;2"/>
      <sheetName val="KQ_Cost_Controlling2"/>
      <sheetName val="KQ_Appropriation2"/>
      <sheetName val="BEAM_SCH1"/>
      <sheetName val="SLAB__SCH_1"/>
      <sheetName val="Beam_at_Ground_flr_lvl(Steel)1"/>
      <sheetName val="Main_Assump_1"/>
      <sheetName val="Risk_Assmnt5"/>
      <sheetName val="Loan_Amortization_Schedule1"/>
      <sheetName val="Sheet3_(2)2"/>
      <sheetName val="Bill_12"/>
      <sheetName val="Bill_22"/>
      <sheetName val="Bill_32"/>
      <sheetName val="Bill_42"/>
      <sheetName val="Bill_52"/>
      <sheetName val="Bill_62"/>
      <sheetName val="Bill_72"/>
      <sheetName val="CPT_POST_UPLOAD2"/>
      <sheetName val="Service_Function5"/>
      <sheetName val="class_&amp;_category2"/>
      <sheetName val="code_Control_Sheet2"/>
      <sheetName val="2_civil-RA2"/>
      <sheetName val="fa-pl_&amp;_myy_x005f_x000b__2"/>
      <sheetName val="Cost_Index2"/>
      <sheetName val="Manpower_Histogram1"/>
      <sheetName val="BOQ_Distribution5"/>
      <sheetName val="TBAL9697__x000a_grotp_wis31"/>
      <sheetName val="TBAL9697__x006"/>
      <sheetName val="CORPN_O_x00005"/>
      <sheetName val="P_&amp;_M5"/>
      <sheetName val="MS_Items5"/>
      <sheetName val="TBAL9697__grotp_wis110"/>
      <sheetName val="TBAL9697__grotp_wis28"/>
      <sheetName val="TBAL9697__grotp_wis32"/>
      <sheetName val="TBAL9697__grotp_wis42"/>
      <sheetName val="TBAL9697__grotp_wis52"/>
      <sheetName val="TBAL9697__grotp_wis61"/>
      <sheetName val="TBAL9697__grotp_wis71"/>
      <sheetName val="TBAL9697__grotp_wis81"/>
      <sheetName val="TBAL9697__grotp_wis141"/>
      <sheetName val="TBAL9697__grotp_wis101"/>
      <sheetName val="TBAL9697__grotp_wis91"/>
      <sheetName val="TBAL9697__grotp_wis112"/>
      <sheetName val="TBAL9697__grotp_wis121"/>
      <sheetName val="TBAL9697__grotp_wis131"/>
      <sheetName val="TBAL9697__grotp_wis201"/>
      <sheetName val="TBAL9697__grotp_wis151"/>
      <sheetName val="TBAL9697__grotp_wis161"/>
      <sheetName val="TBAL9697__grotp_wis171"/>
      <sheetName val="TBAL9697__grotp_wis181"/>
      <sheetName val="TBAL9697__grotp_wis191"/>
      <sheetName val="TBAL9697__grotp_wis212"/>
      <sheetName val="TBAL9697__grotp_wis221"/>
      <sheetName val="TBAL9697__grotp_wis231"/>
      <sheetName val="TBAL9697__grotp_wis241"/>
      <sheetName val="TBAL9697__grotp_wis251"/>
      <sheetName val="Bill_1-BOQ-Civil_Works1"/>
      <sheetName val="R_MTL1"/>
      <sheetName val="CIVIL_BOQ_(Final)1"/>
      <sheetName val="Sqn-Abs(G+6)_1"/>
      <sheetName val="WO-Abs_(G+2)_6_DUs1"/>
      <sheetName val="Air-Abs(G+6)_23_DUs1"/>
      <sheetName val="Customize_Your_Invoice3"/>
      <sheetName val="DDETABLE_5"/>
      <sheetName val="New_Construction1"/>
      <sheetName val="CC_June2"/>
      <sheetName val="Layer_Table1"/>
      <sheetName val="Input_&amp;_Calculations1"/>
      <sheetName val="Key_Ass1"/>
      <sheetName val="bs_BP_04_SA1"/>
      <sheetName val="Col_up_to_plinth1"/>
      <sheetName val="int__pla_1"/>
      <sheetName val="Basic_rate_summary1"/>
      <sheetName val="Basic_rate_calculations1"/>
      <sheetName val="INPUT_SHEET_-_A1"/>
      <sheetName val="Item-_Compact1"/>
      <sheetName val="5__EA1"/>
      <sheetName val="Overall_Summary1"/>
      <sheetName val="Summary_CFA_total_-_CP1_&amp;_CP21"/>
      <sheetName val="PA-_Consutant_1"/>
      <sheetName val="TBAL9697__x000a_grotp_wi1"/>
      <sheetName val="dpl_oth_Lia`30"/>
      <sheetName val="CORPN_OT29"/>
      <sheetName val="dpl_oth_Lia`29"/>
      <sheetName val="dpl_oth_Lia`31"/>
      <sheetName val="CORPN_OT30"/>
      <sheetName val="Bill-5_21"/>
      <sheetName val="Bill-9_11"/>
      <sheetName val="Bill-6_1_1-6_1_31"/>
      <sheetName val="RA_Bill_summary_til_Apr191"/>
      <sheetName val="APTIDCO_CV_A_SCOPE1"/>
      <sheetName val="Civil_(RA)__Resi_1"/>
      <sheetName val="A_O_R_r11"/>
      <sheetName val="A_O_R_r1Str1"/>
      <sheetName val="Order_Info1"/>
      <sheetName val="1st_-vpd1"/>
      <sheetName val="Input_Data1"/>
      <sheetName val="MLCP_Connection_Details1"/>
      <sheetName val="MERGED_CODES_&amp;_NAMES1"/>
      <sheetName val="INPUT_(BPL)1"/>
      <sheetName val="Break_Up_(bc)1"/>
      <sheetName val="Break_Up_(bc1)1"/>
      <sheetName val="Break_Up_(bc2)1"/>
      <sheetName val="Labor_Rates1"/>
      <sheetName val="Capex_Estimates1"/>
      <sheetName val="General_Assumptions1"/>
      <sheetName val="organi_synthesis_lab1"/>
      <sheetName val="Rates_7-201"/>
      <sheetName val="S-MMS_without_TFA1"/>
      <sheetName val="TBAL9697__grotp_wise_292"/>
      <sheetName val="TBAL9697__grotp_wise_282"/>
      <sheetName val="TBAL9697__grotp_wise_302"/>
      <sheetName val="Boq_(Main_Building)1"/>
      <sheetName val="CORPN_O_x005f_x005f_x005f_x005f_x005f_x005f_x0051"/>
      <sheetName val="Detailed_Summary_(4)1"/>
      <sheetName val="Combined_Results_1"/>
      <sheetName val="Loan_Schedule1"/>
      <sheetName val="Bed_Class1"/>
      <sheetName val="TB9798OBPL06_(2)69"/>
      <sheetName val="CORPN_OCT69"/>
      <sheetName val="inout_consol-nov69"/>
      <sheetName val="inout_consol_(2)69"/>
      <sheetName val="AS_ON_DT_EXPS_Mar69"/>
      <sheetName val="fa-pl_&amp;_mach-site69"/>
      <sheetName val="fa_off_eqp69"/>
      <sheetName val="fa_fur&amp;_fix69"/>
      <sheetName val="fa-pl_&amp;_mach-Off69"/>
      <sheetName val="B_Equity-sdpl_INC69"/>
      <sheetName val="inout_consol_wkg69"/>
      <sheetName val="inout_consol_WKNG69"/>
      <sheetName val="B_Sheet_9769"/>
      <sheetName val="P&amp;L_97_69"/>
      <sheetName val="B_Sheet_97-BEXP69"/>
      <sheetName val="P&amp;L_97_-BEXP69"/>
      <sheetName val="consol_flows69"/>
      <sheetName val="sdpl_oth_Liab69"/>
      <sheetName val="obpl-oth_liab69"/>
      <sheetName val="G_land_advance69"/>
      <sheetName val="I-Wip-ot_(2)69"/>
      <sheetName val="detail_WIP_(2)69"/>
      <sheetName val="detail_G-169"/>
      <sheetName val="sobha_menon_ac69"/>
      <sheetName val="pnc_ac69"/>
      <sheetName val="fix_-p_&amp;_M_-SCC69"/>
      <sheetName val="C_fix_asst69"/>
      <sheetName val="D_fix_asst_scdl_69"/>
      <sheetName val="creditors_tb_obpl69"/>
      <sheetName val="TBAL9697_-group_wise__sdpl79"/>
      <sheetName val="TBAL9697_-group_wise_69"/>
      <sheetName val="crs_-G-169"/>
      <sheetName val="TBAL9697_-group_wise__onpl69"/>
      <sheetName val="B_Sheet_97-OBPL69"/>
      <sheetName val="B_Sheet_97_sdpl69"/>
      <sheetName val="TBAL9697_-group_wise__sdpl269"/>
      <sheetName val="inout_consol_jan69"/>
      <sheetName val="consol_flow69"/>
      <sheetName val="D_Loan__Prom69"/>
      <sheetName val="E_Bank_Loan69"/>
      <sheetName val="G_work_Cap69"/>
      <sheetName val="H_land_adv-dec69"/>
      <sheetName val="J_Con_WIP69"/>
      <sheetName val="detail_J69"/>
      <sheetName val="L_Oth_Co69"/>
      <sheetName val="K_fix_asst__69"/>
      <sheetName val="C_fix_asst-SDPL_69"/>
      <sheetName val="TBAL9697__group_wise__sdpl69"/>
      <sheetName val="inout_consol_okg69"/>
      <sheetName val="detail_OIP_(2)69"/>
      <sheetName val="D_fix_ysst_scdl_69"/>
      <sheetName val="cre`itors_tb_obpl69"/>
      <sheetName val="3AL9697_-group_wise__onpl69"/>
      <sheetName val="3‰AL9697_-group_wise__onpl68"/>
      <sheetName val="L_Oth_Bo68"/>
      <sheetName val="Civil_Boq68"/>
      <sheetName val="Staff_Acco_68"/>
      <sheetName val="SITE_OVERHEADS68"/>
      <sheetName val="Boq_Block_A68"/>
      <sheetName val="Cashflow_projection65"/>
      <sheetName val="PRECAST_lightconc-II66"/>
      <sheetName val="1__PayRec65"/>
      <sheetName val="key_dates65"/>
      <sheetName val="SPT_vs_PHI65"/>
      <sheetName val="Project-Material_68"/>
      <sheetName val="3�AL9697_-group_wise__onpl68"/>
      <sheetName val="ino4t_conso,-nov65"/>
      <sheetName val="(nout_co,sol_(2)65"/>
      <sheetName val="Blr_hire65"/>
      <sheetName val="_bpl,oth_lia_65"/>
      <sheetName val="G_,and_adv_nce65"/>
      <sheetName val="I,Wip-ot__2)65"/>
      <sheetName val="det!il_WIP_(2)65"/>
      <sheetName val="de4ail_G-165"/>
      <sheetName val="sobha_mennn_ac65"/>
      <sheetName val="C_&amp;ix_asst65"/>
      <sheetName val="_x005f_x0003_dpl_oth_Lia`65"/>
      <sheetName val="TBAL9697__x005f_x000d_grotp_wise_65"/>
      <sheetName val="St_co_91_5lvl65"/>
      <sheetName val="Stress_Calculation65"/>
      <sheetName val="INPUT_SHEET65"/>
      <sheetName val="Labor_abs-NMR65"/>
      <sheetName val="Sun_E_Type65"/>
      <sheetName val="Fin_Sum65"/>
      <sheetName val="CORPN_O_x005f_x0000_T65"/>
      <sheetName val="SUPPLY_-Sanitary_Fixtures65"/>
      <sheetName val="ITEMS_FOR_CIVIL_TENDER65"/>
      <sheetName val="CORPN_O?T65"/>
      <sheetName val="TBAL9697__x000a_grotp_wise_65"/>
      <sheetName val="DG_65"/>
      <sheetName val="Quote_Sheet63"/>
      <sheetName val="d-safe_DELUXE63"/>
      <sheetName val="DLC_lookups63"/>
      <sheetName val="Works_-_Quote_Sheet63"/>
      <sheetName val="IO_LIST63"/>
      <sheetName val="_x005f_x005f_x005f_x0003_dpl_oth_Lia`65"/>
      <sheetName val="TBAL9697__x005f_x005f_x005f_x000d_grotp_w65"/>
      <sheetName val="TBAL9697__x005f_x000d_grotp_wis63"/>
      <sheetName val="TBAL9697__grotp_wise_136"/>
      <sheetName val="CORPN_O65"/>
      <sheetName val="labour_coeff63"/>
      <sheetName val="Shuttering_Analysis63"/>
      <sheetName val="General_P+M63"/>
      <sheetName val="Curing_Analysis_63"/>
      <sheetName val="Concrete_P+M_(_RMC_)63"/>
      <sheetName val="P+M_(_SMC_)63"/>
      <sheetName val="P+M_-EW63"/>
      <sheetName val="P&amp;L_-_AD63"/>
      <sheetName val="CORPN_O_T63"/>
      <sheetName val="Fin__Assumpt__-_Sensitivities63"/>
      <sheetName val="LOAD_SHEET_63"/>
      <sheetName val="Fill_this_out_first___63"/>
      <sheetName val="Labour_productivity63"/>
      <sheetName val="RCC,Ret__Wall63"/>
      <sheetName val="Area_&amp;_Cate__Master63"/>
      <sheetName val="Driveway_Beams63"/>
      <sheetName val="TBAL9697__grotp_wise_137"/>
      <sheetName val="Section_Catalogue63"/>
      <sheetName val="Form_663"/>
      <sheetName val="final_abstract5"/>
      <sheetName val="Bill_No_563"/>
      <sheetName val="Break_Dw63"/>
      <sheetName val="11B_63"/>
      <sheetName val="BOQ_(2)63"/>
      <sheetName val="Detail_1A63"/>
      <sheetName val="Fee_Rate_Summary63"/>
      <sheetName val="Name_List63"/>
      <sheetName val="Structure_Bills_Qty63"/>
      <sheetName val="TBAL9697__x005f_x000a_grotp_wise_63"/>
      <sheetName val="Sheet_163"/>
      <sheetName val="3BPA00132-5-3_W_plan_HVPNL63"/>
      <sheetName val="Mix_Design63"/>
      <sheetName val="Cat_A_Change_Control63"/>
      <sheetName val="Break_up_Sheet63"/>
      <sheetName val="Summary_of_P_&amp;_M63"/>
      <sheetName val="FITZ_MORT_9463"/>
      <sheetName val="LIST_OF_MAKES63"/>
      <sheetName val="Civil_Works63"/>
      <sheetName val="acevsSp_(ABC)63"/>
      <sheetName val="A_O_R_63"/>
      <sheetName val="ISO_Reconcilation_Statment63"/>
      <sheetName val="AVG_pur_rate63"/>
      <sheetName val="CORPN_O_x005f_x005f_x005f_x0000_T63"/>
      <sheetName val="220_11__BS_63"/>
      <sheetName val="Intro_63"/>
      <sheetName val="BLOCK-A_(MEA_SHEET)63"/>
      <sheetName val="NLD_-_Assum63"/>
      <sheetName val="TBAL9697__x005f_x005f_x005f_x005f_x005f_x005f_x32"/>
      <sheetName val="Assumption_Inputs63"/>
      <sheetName val="Mat_-Rates30"/>
      <sheetName val="Legal_Risk_Analysis30"/>
      <sheetName val="Cash_Flow_Input_Data_ISC32"/>
      <sheetName val="Tender_Summary13"/>
      <sheetName val="tie_beam13"/>
      <sheetName val="Meas_-Hotel_Part5"/>
      <sheetName val="INDIGINEOUS_ITEMS_13"/>
      <sheetName val="Site_Dev_BOQ6"/>
      <sheetName val="DETAILED__BOQ30"/>
      <sheetName val="CABLE_DATA30"/>
      <sheetName val="Elect_6"/>
      <sheetName val="TBAL9697__grotp_wise_138"/>
      <sheetName val="TBAL9697__grotp_wise_139"/>
      <sheetName val="BASIC_RATES5"/>
      <sheetName val="TBAL9697__x005f_x005f_x005f_x000a_grotp_wi5"/>
      <sheetName val="CORPN_O_x005f_x005f_x005f_x005f_x005f_x005f_x0005"/>
      <sheetName val="Deduction_of_assets9"/>
      <sheetName val="Excess_Calc5"/>
      <sheetName val="PO_Payroll5"/>
      <sheetName val="Contract_Night_Staff5"/>
      <sheetName val="Contract_Day_Staff5"/>
      <sheetName val="Day_Shift5"/>
      <sheetName val="Night_Shift5"/>
      <sheetName val="BOQ_5"/>
      <sheetName val="Detail_In_Door_Stad5"/>
      <sheetName val="Gen_Info5"/>
      <sheetName val="COP_Final5"/>
      <sheetName val="General_input5"/>
      <sheetName val="6_055"/>
      <sheetName val="Abstract_Sheet5"/>
      <sheetName val="Boq-_Civil5"/>
      <sheetName val="SPILL_OVER5"/>
      <sheetName val="Pacakges_split5"/>
      <sheetName val="Cost_summary5"/>
      <sheetName val="TBAL9697__grotp_wise_220"/>
      <sheetName val="TBAL9697__grotp_wise_415"/>
      <sheetName val="TBAL9697__grotp_wise_315"/>
      <sheetName val="TBAL9697__grotp_wise_513"/>
      <sheetName val="TBAL9697__grotp_wise_612"/>
      <sheetName val="TBAL9697__grotp_wise_712"/>
      <sheetName val="TBAL9697__grotp_wise_812"/>
      <sheetName val="TBAL9697__grotp_wise_912"/>
      <sheetName val="TBAL9697__grotp_wise_1012"/>
      <sheetName val="TBAL9697__grotp_wise_166"/>
      <sheetName val="TBAL9697__grotp_wise_1211"/>
      <sheetName val="TBAL9697__grotp_wise_1112"/>
      <sheetName val="TBAL9697__grotp_wise_1310"/>
      <sheetName val="TBAL9697__grotp_wise_146"/>
      <sheetName val="TBAL9697__grotp_wise_156"/>
      <sheetName val="TBAL9697__grotp_wise_226"/>
      <sheetName val="TBAL9697__grotp_wise_176"/>
      <sheetName val="TBAL9697__grotp_wise_186"/>
      <sheetName val="TBAL9697__grotp_wise_196"/>
      <sheetName val="TBAL9697__grotp_wise_206"/>
      <sheetName val="TBAL9697__grotp_wise_2110"/>
      <sheetName val="TBAL9697__grotp_wise_236"/>
      <sheetName val="TBAL9697__grotp_wise_246"/>
      <sheetName val="Data_sheet5"/>
      <sheetName val="Per_Unit5"/>
      <sheetName val="Material_5"/>
      <sheetName val="Extra_Item5"/>
      <sheetName val="Labour_&amp;_Plant5"/>
      <sheetName val="AutoOpen_Stub_Data5"/>
      <sheetName val="Debits_as_on_12_04_085"/>
      <sheetName val="Base_Assumptions5"/>
      <sheetName val="_COP_100%5"/>
      <sheetName val="TAX_INCOME4"/>
      <sheetName val="Depart_Budget4"/>
      <sheetName val="Main_Gate_House5"/>
      <sheetName val="lineby_line_consolidation5"/>
      <sheetName val="Labor_abs-PW5"/>
      <sheetName val="Area_Statement5"/>
      <sheetName val="Risk_Analysis5"/>
      <sheetName val="SITE_DEVELOPMENT4"/>
      <sheetName val="Lintel_Beam_104_70_(GF)__5"/>
      <sheetName val="_5"/>
      <sheetName val="Material_List_4"/>
      <sheetName val="TBAL9697__x005f_x005f_x006"/>
      <sheetName val="CORPN_O_x005f_x005f_x00005"/>
      <sheetName val="TBAL9697__x005f_x000a_grotp_wis5"/>
      <sheetName val="TBAL9697__grotp_wise_256"/>
      <sheetName val="TBAL9697__grotp_wise_266"/>
      <sheetName val="TBAL9697_-group_wise_sdpl5"/>
      <sheetName val="CORPN_O_x005f_x005f_x005f4"/>
      <sheetName val="Rate_analysis4"/>
      <sheetName val="Approved_MTD_Proj_#'s4"/>
      <sheetName val="9__Package_split_-_Cost_4"/>
      <sheetName val="Project_Budget_Worksheet4"/>
      <sheetName val="indices_1"/>
      <sheetName val="Material_Rate4"/>
      <sheetName val="Basic_Rate4"/>
      <sheetName val="INFLUENCES_ON_GM4"/>
      <sheetName val="TBAL9697__grotp_wise_275"/>
      <sheetName val="TBAL9697__grotp_wis4"/>
      <sheetName val="Load_Details(B2)4"/>
      <sheetName val="appendix_2_5_final_accounts4"/>
      <sheetName val="GUT_(2)"/>
      <sheetName val="MB_Prod"/>
      <sheetName val="GR_slab-reinft4"/>
      <sheetName val="Customize_Your_Purchase_Order4"/>
      <sheetName val="fa-pl_&amp;_myy_x005f_x000b__x005f_x000b__x04"/>
      <sheetName val="Building_14"/>
      <sheetName val="Lead_(Final)4"/>
      <sheetName val="Pile_cap1"/>
      <sheetName val="M_S_1"/>
      <sheetName val="TBAL9697__grotp_wis5"/>
      <sheetName val="CORPN_O_x005f5"/>
      <sheetName val="Invested_capital_VDF"/>
      <sheetName val="PV_of_Op_Leases_VDF"/>
      <sheetName val="Mat_Cost1"/>
      <sheetName val="BS_-_L+OE4"/>
      <sheetName val="Indirect_expenses4"/>
      <sheetName val="Sheet_24"/>
      <sheetName val="SCHEDULE_OF_RATES"/>
      <sheetName val="AoR_Finishing4"/>
      <sheetName val="schedule_nos4"/>
      <sheetName val="Bill_3_-_Site_Works4"/>
      <sheetName val="Rate_Analysis_4"/>
      <sheetName val="beam-reinft-IIInd_floor4"/>
      <sheetName val="Cost_Basis1"/>
      <sheetName val="CFForecast_detail4"/>
      <sheetName val="소상_&quot;1&quot;1"/>
      <sheetName val="KQ_Cost_Controlling1"/>
      <sheetName val="KQ_Appropriation1"/>
      <sheetName val="BEAM_SCH"/>
      <sheetName val="SLAB__SCH_"/>
      <sheetName val="Beam_at_Ground_flr_lvl(Steel)"/>
      <sheetName val="Main_Assump_"/>
      <sheetName val="Risk_Assmnt4"/>
      <sheetName val="Loan_Amortization_Schedule"/>
      <sheetName val="Sheet3_(2)1"/>
      <sheetName val="Bill_11"/>
      <sheetName val="Bill_21"/>
      <sheetName val="Bill_31"/>
      <sheetName val="Bill_41"/>
      <sheetName val="Bill_51"/>
      <sheetName val="Bill_61"/>
      <sheetName val="Bill_71"/>
      <sheetName val="CPT_POST_UPLOAD1"/>
      <sheetName val="Service_Function4"/>
      <sheetName val="class_&amp;_category1"/>
      <sheetName val="code_Control_Sheet1"/>
      <sheetName val="2_civil-RA1"/>
      <sheetName val="fa-pl_&amp;_myy_x005f_x000b__1"/>
      <sheetName val="Cost_Index1"/>
      <sheetName val="Manpower_Histogram"/>
      <sheetName val="BOQ_Distribution4"/>
      <sheetName val="TBAL9697__x000a_grotp_wis30"/>
      <sheetName val="TBAL9697__x005"/>
      <sheetName val="CORPN_O_x00004"/>
      <sheetName val="P_&amp;_M4"/>
      <sheetName val="MS_Items4"/>
      <sheetName val="TBAL9697__grotp_wis11"/>
      <sheetName val="TBAL9697__grotp_wis21"/>
      <sheetName val="TBAL9697__grotp_wis31"/>
      <sheetName val="TBAL9697__grotp_wis41"/>
      <sheetName val="TBAL9697__grotp_wis51"/>
      <sheetName val="TBAL9697__grotp_wis6"/>
      <sheetName val="TBAL9697__grotp_wis7"/>
      <sheetName val="TBAL9697__grotp_wis8"/>
      <sheetName val="TBAL9697__grotp_wis14"/>
      <sheetName val="TBAL9697__grotp_wis10"/>
      <sheetName val="TBAL9697__grotp_wis9"/>
      <sheetName val="TBAL9697__grotp_wis111"/>
      <sheetName val="TBAL9697__grotp_wis12"/>
      <sheetName val="TBAL9697__grotp_wis13"/>
      <sheetName val="TBAL9697__grotp_wis20"/>
      <sheetName val="TBAL9697__grotp_wis15"/>
      <sheetName val="TBAL9697__grotp_wis16"/>
      <sheetName val="TBAL9697__grotp_wis17"/>
      <sheetName val="TBAL9697__grotp_wis18"/>
      <sheetName val="TBAL9697__grotp_wis19"/>
      <sheetName val="TBAL9697__grotp_wis211"/>
      <sheetName val="TBAL9697__grotp_wis22"/>
      <sheetName val="TBAL9697__grotp_wis23"/>
      <sheetName val="TBAL9697__grotp_wis24"/>
      <sheetName val="TBAL9697__grotp_wis25"/>
      <sheetName val="Bill_1-BOQ-Civil_Works"/>
      <sheetName val="R_MTL"/>
      <sheetName val="CIVIL_BOQ_(Final)"/>
      <sheetName val="Sqn-Abs(G+6)_"/>
      <sheetName val="WO-Abs_(G+2)_6_DUs"/>
      <sheetName val="Air-Abs(G+6)_23_DUs"/>
      <sheetName val="Customize_Your_Invoice2"/>
      <sheetName val="DDETABLE_4"/>
      <sheetName val="New_Construction"/>
      <sheetName val="CC_June1"/>
      <sheetName val="Layer_Table"/>
      <sheetName val="Input_&amp;_Calculations"/>
      <sheetName val="Key_Ass"/>
      <sheetName val="bs_BP_04_SA"/>
      <sheetName val="Col_up_to_plinth"/>
      <sheetName val="int__pla_"/>
      <sheetName val="Basic_rate_summary"/>
      <sheetName val="Basic_rate_calculations"/>
      <sheetName val="INPUT_SHEET_-_A"/>
      <sheetName val="5__EA"/>
      <sheetName val="Overall_Summary"/>
      <sheetName val="Summary_CFA_total_-_CP1_&amp;_CP2"/>
      <sheetName val="PA-_Consutant_"/>
      <sheetName val="Bill-5_2"/>
      <sheetName val="Bill-9_1"/>
      <sheetName val="Bill-6_1_1-6_1_3"/>
      <sheetName val="RA_Bill_summary_til_Apr19"/>
      <sheetName val="APTIDCO_CV_A_SCOPE"/>
      <sheetName val="Civil_(RA)__Resi_"/>
      <sheetName val="A_O_R_r1"/>
      <sheetName val="A_O_R_r1Str"/>
      <sheetName val="Order_Info"/>
      <sheetName val="1st_-vpd"/>
      <sheetName val="Input_Data"/>
      <sheetName val="MLCP_Connection_Details"/>
      <sheetName val="MERGED_CODES_&amp;_NAMES"/>
      <sheetName val="INPUT_(BPL)"/>
      <sheetName val="Break_Up_(bc)"/>
      <sheetName val="Break_Up_(bc1)"/>
      <sheetName val="Break_Up_(bc2)"/>
      <sheetName val="Labor_Rates"/>
      <sheetName val="Capex_Estimates"/>
      <sheetName val="General_Assumptions"/>
      <sheetName val="organi_synthesis_lab"/>
      <sheetName val="Rates_7-20"/>
      <sheetName val="S-MMS_without_TFA"/>
      <sheetName val="TBAL9697__grotp_wise_291"/>
      <sheetName val="TBAL9697__grotp_wise_281"/>
      <sheetName val="TBAL9697__grotp_wise_301"/>
      <sheetName val="Boq_(Main_Building)"/>
      <sheetName val="CORPN_O_x005f_x005f_x005f_x005f_x005f_x005f_x005f"/>
      <sheetName val="Detailed_Summary_(4)"/>
      <sheetName val="Combined_Results_"/>
      <sheetName val="Loan_Schedule"/>
      <sheetName val="Bed_Class"/>
      <sheetName val="TB9798OBPL06_(2)71"/>
      <sheetName val="CORPN_OCT71"/>
      <sheetName val="inout_consol-nov71"/>
      <sheetName val="inout_consol_(2)71"/>
      <sheetName val="AS_ON_DT_EXPS_Mar71"/>
      <sheetName val="fa-pl_&amp;_mach-site71"/>
      <sheetName val="fa_off_eqp71"/>
      <sheetName val="fa_fur&amp;_fix71"/>
      <sheetName val="fa-pl_&amp;_mach-Off71"/>
      <sheetName val="B_Equity-sdpl_INC71"/>
      <sheetName val="inout_consol_wkg71"/>
      <sheetName val="inout_consol_WKNG71"/>
      <sheetName val="B_Sheet_9771"/>
      <sheetName val="P&amp;L_97_71"/>
      <sheetName val="B_Sheet_97-BEXP71"/>
      <sheetName val="P&amp;L_97_-BEXP71"/>
      <sheetName val="consol_flows71"/>
      <sheetName val="sdpl_oth_Liab71"/>
      <sheetName val="obpl-oth_liab71"/>
      <sheetName val="G_land_advance71"/>
      <sheetName val="I-Wip-ot_(2)71"/>
      <sheetName val="detail_WIP_(2)71"/>
      <sheetName val="detail_G-171"/>
      <sheetName val="sobha_menon_ac71"/>
      <sheetName val="pnc_ac71"/>
      <sheetName val="fix_-p_&amp;_M_-SCC71"/>
      <sheetName val="C_fix_asst71"/>
      <sheetName val="D_fix_asst_scdl_71"/>
      <sheetName val="creditors_tb_obpl71"/>
      <sheetName val="TBAL9697_-group_wise__sdpl81"/>
      <sheetName val="TBAL9697_-group_wise_71"/>
      <sheetName val="crs_-G-171"/>
      <sheetName val="TBAL9697_-group_wise__onpl71"/>
      <sheetName val="B_Sheet_97-OBPL71"/>
      <sheetName val="B_Sheet_97_sdpl71"/>
      <sheetName val="TBAL9697_-group_wise__sdpl271"/>
      <sheetName val="inout_consol_jan71"/>
      <sheetName val="consol_flow71"/>
      <sheetName val="D_Loan__Prom71"/>
      <sheetName val="E_Bank_Loan71"/>
      <sheetName val="G_work_Cap71"/>
      <sheetName val="H_land_adv-dec71"/>
      <sheetName val="J_Con_WIP71"/>
      <sheetName val="detail_J71"/>
      <sheetName val="L_Oth_Co71"/>
      <sheetName val="K_fix_asst__71"/>
      <sheetName val="C_fix_asst-SDPL_71"/>
      <sheetName val="TBAL9697__group_wise__sdpl71"/>
      <sheetName val="inout_consol_okg71"/>
      <sheetName val="detail_OIP_(2)71"/>
      <sheetName val="D_fix_ysst_scdl_71"/>
      <sheetName val="cre`itors_tb_obpl71"/>
      <sheetName val="3AL9697_-group_wise__onpl71"/>
      <sheetName val="3‰AL9697_-group_wise__onpl70"/>
      <sheetName val="L_Oth_Bo70"/>
      <sheetName val="Civil_Boq70"/>
      <sheetName val="Staff_Acco_70"/>
      <sheetName val="SITE_OVERHEADS70"/>
      <sheetName val="Boq_Block_A70"/>
      <sheetName val="Cashflow_projection67"/>
      <sheetName val="PRECAST_lightconc-II68"/>
      <sheetName val="1__PayRec67"/>
      <sheetName val="key_dates67"/>
      <sheetName val="SPT_vs_PHI67"/>
      <sheetName val="Project-Material_70"/>
      <sheetName val="3�AL9697_-group_wise__onpl70"/>
      <sheetName val="ino4t_conso,-nov67"/>
      <sheetName val="(nout_co,sol_(2)67"/>
      <sheetName val="Blr_hire67"/>
      <sheetName val="_bpl,oth_lia_67"/>
      <sheetName val="G_,and_adv_nce67"/>
      <sheetName val="I,Wip-ot__2)67"/>
      <sheetName val="det!il_WIP_(2)67"/>
      <sheetName val="de4ail_G-167"/>
      <sheetName val="sobha_mennn_ac67"/>
      <sheetName val="C_&amp;ix_asst67"/>
      <sheetName val="_x005f_x0003_dpl_oth_Lia`67"/>
      <sheetName val="TBAL9697__x005f_x000d_grotp_wise_67"/>
      <sheetName val="St_co_91_5lvl67"/>
      <sheetName val="Stress_Calculation67"/>
      <sheetName val="INPUT_SHEET67"/>
      <sheetName val="Labor_abs-NMR67"/>
      <sheetName val="Sun_E_Type67"/>
      <sheetName val="Fin_Sum67"/>
      <sheetName val="CORPN_O_x005f_x0000_T67"/>
      <sheetName val="SUPPLY_-Sanitary_Fixtures67"/>
      <sheetName val="ITEMS_FOR_CIVIL_TENDER67"/>
      <sheetName val="CORPN_O?T67"/>
      <sheetName val="TBAL9697__x000a_grotp_wise_67"/>
      <sheetName val="CORPN_O67"/>
      <sheetName val="DG_67"/>
      <sheetName val="Quote_Sheet65"/>
      <sheetName val="d-safe_DELUXE65"/>
      <sheetName val="DLC_lookups65"/>
      <sheetName val="Works_-_Quote_Sheet65"/>
      <sheetName val="IO_LIST65"/>
      <sheetName val="_x005f_x005f_x005f_x0003_dpl_oth_Lia`67"/>
      <sheetName val="TBAL9697__x005f_x005f_x005f_x000d_grotp_w67"/>
      <sheetName val="TBAL9697__x005f_x000d_grotp_wis65"/>
      <sheetName val="TBAL9697__grotp_wise_150"/>
      <sheetName val="labour_coeff65"/>
      <sheetName val="Shuttering_Analysis65"/>
      <sheetName val="General_P+M65"/>
      <sheetName val="Curing_Analysis_65"/>
      <sheetName val="Concrete_P+M_(_RMC_)65"/>
      <sheetName val="P+M_(_SMC_)65"/>
      <sheetName val="P+M_-EW65"/>
      <sheetName val="P&amp;L_-_AD65"/>
      <sheetName val="CORPN_O_T65"/>
      <sheetName val="Fin__Assumpt__-_Sensitivities65"/>
      <sheetName val="LOAD_SHEET_65"/>
      <sheetName val="Fill_this_out_first___65"/>
      <sheetName val="Labour_productivity65"/>
      <sheetName val="RCC,Ret__Wall65"/>
      <sheetName val="Area_&amp;_Cate__Master65"/>
      <sheetName val="Driveway_Beams65"/>
      <sheetName val="TBAL9697__grotp_wise_158"/>
      <sheetName val="Section_Catalogue65"/>
      <sheetName val="Form_665"/>
      <sheetName val="final_abstract7"/>
      <sheetName val="BOQ_(2)65"/>
      <sheetName val="acevsSp_(ABC)65"/>
      <sheetName val="A_O_R_65"/>
      <sheetName val="Bill_No_565"/>
      <sheetName val="Break_Dw65"/>
      <sheetName val="BLOCK-A_(MEA_SHEET)65"/>
      <sheetName val="11B_65"/>
      <sheetName val="Fee_Rate_Summary65"/>
      <sheetName val="Name_List65"/>
      <sheetName val="Structure_Bills_Qty65"/>
      <sheetName val="Detail_1A65"/>
      <sheetName val="Sheet_165"/>
      <sheetName val="3BPA00132-5-3_W_plan_HVPNL65"/>
      <sheetName val="Mix_Design65"/>
      <sheetName val="CORPN_O_x005f_x005f_x005f_x0000_T65"/>
      <sheetName val="220_11__BS_65"/>
      <sheetName val="TBAL9697__x005f_x000a_grotp_wise_65"/>
      <sheetName val="Cat_A_Change_Control65"/>
      <sheetName val="Break_up_Sheet65"/>
      <sheetName val="Summary_of_P_&amp;_M65"/>
      <sheetName val="FITZ_MORT_9465"/>
      <sheetName val="LIST_OF_MAKES65"/>
      <sheetName val="ISO_Reconcilation_Statment65"/>
      <sheetName val="AVG_pur_rate65"/>
      <sheetName val="NLD_-_Assum65"/>
      <sheetName val="Intro_65"/>
      <sheetName val="TBAL9697__x005f_x005f_x005f_x005f_x005f_x005f_x34"/>
      <sheetName val="Civil_Works65"/>
      <sheetName val="Assumption_Inputs65"/>
      <sheetName val="Mat_-Rates32"/>
      <sheetName val="Legal_Risk_Analysis32"/>
      <sheetName val="Cash_Flow_Input_Data_ISC34"/>
      <sheetName val="Tender_Summary15"/>
      <sheetName val="tie_beam15"/>
      <sheetName val="Meas_-Hotel_Part7"/>
      <sheetName val="INDIGINEOUS_ITEMS_15"/>
      <sheetName val="Site_Dev_BOQ8"/>
      <sheetName val="DETAILED__BOQ32"/>
      <sheetName val="CABLE_DATA32"/>
      <sheetName val="Elect_8"/>
      <sheetName val="TBAL9697__grotp_wise_159"/>
      <sheetName val="TBAL9697__grotp_wise_160"/>
      <sheetName val="BASIC_RATES7"/>
      <sheetName val="TBAL9697__x005f_x005f_x005f_x000a_grotp_wi7"/>
      <sheetName val="CORPN_O_x005f_x005f_x005f_x005f_x005f_x005f_x0007"/>
      <sheetName val="Deduction_of_assets11"/>
      <sheetName val="Excess_Calc7"/>
      <sheetName val="PO_Payroll7"/>
      <sheetName val="Contract_Night_Staff7"/>
      <sheetName val="Contract_Day_Staff7"/>
      <sheetName val="Day_Shift7"/>
      <sheetName val="Night_Shift7"/>
      <sheetName val="BOQ_7"/>
      <sheetName val="Detail_In_Door_Stad7"/>
      <sheetName val="Gen_Info7"/>
      <sheetName val="COP_Final7"/>
      <sheetName val="General_input7"/>
      <sheetName val="6_057"/>
      <sheetName val="Abstract_Sheet7"/>
      <sheetName val="Boq-_Civil7"/>
      <sheetName val="SPILL_OVER7"/>
      <sheetName val="Pacakges_split7"/>
      <sheetName val="Cost_summary7"/>
      <sheetName val="TBAL9697__grotp_wise_229"/>
      <sheetName val="TBAL9697__grotp_wise_417"/>
      <sheetName val="TBAL9697__grotp_wise_317"/>
      <sheetName val="TBAL9697__grotp_wise_515"/>
      <sheetName val="TBAL9697__grotp_wise_614"/>
      <sheetName val="TBAL9697__grotp_wise_714"/>
      <sheetName val="TBAL9697__grotp_wise_814"/>
      <sheetName val="TBAL9697__grotp_wise_914"/>
      <sheetName val="TBAL9697__grotp_wise_1014"/>
      <sheetName val="TBAL9697__grotp_wise_168"/>
      <sheetName val="TBAL9697__grotp_wise_1213"/>
      <sheetName val="TBAL9697__grotp_wise_1114"/>
      <sheetName val="TBAL9697__grotp_wise_1312"/>
      <sheetName val="TBAL9697__grotp_wise_1411"/>
      <sheetName val="TBAL9697__grotp_wise_1510"/>
      <sheetName val="TBAL9697__grotp_wise_2210"/>
      <sheetName val="TBAL9697__grotp_wise_178"/>
      <sheetName val="TBAL9697__grotp_wise_188"/>
      <sheetName val="TBAL9697__grotp_wise_198"/>
      <sheetName val="TBAL9697__grotp_wise_208"/>
      <sheetName val="TBAL9697__grotp_wise_2112"/>
      <sheetName val="TBAL9697__grotp_wise_238"/>
      <sheetName val="TBAL9697__grotp_wise_248"/>
      <sheetName val="Data_sheet7"/>
      <sheetName val="Per_Unit7"/>
      <sheetName val="Base_Assumptions7"/>
      <sheetName val="_COP_100%7"/>
      <sheetName val="Material_7"/>
      <sheetName val="Extra_Item7"/>
      <sheetName val="Labour_&amp;_Plant7"/>
      <sheetName val="AutoOpen_Stub_Data7"/>
      <sheetName val="Debits_as_on_12_04_087"/>
      <sheetName val="TAX_INCOME6"/>
      <sheetName val="Depart_Budget6"/>
      <sheetName val="Main_Gate_House7"/>
      <sheetName val="lineby_line_consolidation7"/>
      <sheetName val="Labor_abs-PW7"/>
      <sheetName val="Area_Statement7"/>
      <sheetName val="Risk_Analysis7"/>
      <sheetName val="TBAL9697__x005f_x005f_x008"/>
      <sheetName val="CORPN_O_x005f_x005f_x00007"/>
      <sheetName val="TBAL9697__x005f_x000a_grotp_wis7"/>
      <sheetName val="TBAL9697__grotp_wise_258"/>
      <sheetName val="TBAL9697__grotp_wise_268"/>
      <sheetName val="Lintel_Beam_104_70_(GF)__7"/>
      <sheetName val="_7"/>
      <sheetName val="TBAL9697_-group_wise_sdpl7"/>
      <sheetName val="SITE_DEVELOPMENT6"/>
      <sheetName val="Material_List_6"/>
      <sheetName val="Detail_P&amp;L3"/>
      <sheetName val="Assumption_Sheet2"/>
      <sheetName val="CORPN_O_x005f_x005f_x005f6"/>
      <sheetName val="Rate_analysis6"/>
      <sheetName val="Approved_MTD_Proj_#'s6"/>
      <sheetName val="9__Package_split_-_Cost_6"/>
      <sheetName val="Project_Budget_Worksheet6"/>
      <sheetName val="indices_3"/>
      <sheetName val="Material_Rate6"/>
      <sheetName val="Basic_Rate6"/>
      <sheetName val="INFLUENCES_ON_GM6"/>
      <sheetName val="TBAL9697__grotp_wise_277"/>
      <sheetName val="TBAL9697__grotp_wis29"/>
      <sheetName val="Load_Details(B2)6"/>
      <sheetName val="appendix_2_5_final_accounts6"/>
      <sheetName val="GUT_(2)2"/>
      <sheetName val="MB_Prod2"/>
      <sheetName val="GR_slab-reinft6"/>
      <sheetName val="Customize_Your_Purchase_Order6"/>
      <sheetName val="fa-pl_&amp;_myy_x005f_x000b__x005f_x000b__x06"/>
      <sheetName val="Building_16"/>
      <sheetName val="Lead_(Final)6"/>
      <sheetName val="Pile_cap3"/>
      <sheetName val="M_S_3"/>
      <sheetName val="TBAL9697__grotp_wis30"/>
      <sheetName val="CORPN_O_x005f7"/>
      <sheetName val="Bill_3_-_Site_Works6"/>
      <sheetName val="beam-reinft-IIInd_floor6"/>
      <sheetName val="Cost_Basis3"/>
      <sheetName val="BS_-_L+OE6"/>
      <sheetName val="CFForecast_detail6"/>
      <sheetName val="소상_&quot;1&quot;3"/>
      <sheetName val="KQ_Cost_Controlling3"/>
      <sheetName val="KQ_Appropriation3"/>
      <sheetName val="schedule_nos6"/>
      <sheetName val="SCHEDULE_OF_RATES2"/>
      <sheetName val="Invested_capital_VDF2"/>
      <sheetName val="PV_of_Op_Leases_VDF2"/>
      <sheetName val="Mat_Cost3"/>
      <sheetName val="Indirect_expenses6"/>
      <sheetName val="Sheet_26"/>
      <sheetName val="AoR_Finishing6"/>
      <sheetName val="Rate_Analysis_6"/>
      <sheetName val="BEAM_SCH2"/>
      <sheetName val="SLAB__SCH_2"/>
      <sheetName val="Beam_at_Ground_flr_lvl(Steel)2"/>
      <sheetName val="Main_Assump_2"/>
      <sheetName val="Risk_Assmnt6"/>
      <sheetName val="Loan_Amortization_Schedule2"/>
      <sheetName val="Sheet3_(2)3"/>
      <sheetName val="Bill_13"/>
      <sheetName val="Bill_23"/>
      <sheetName val="Bill_33"/>
      <sheetName val="Bill_43"/>
      <sheetName val="Bill_53"/>
      <sheetName val="Bill_63"/>
      <sheetName val="Bill_73"/>
      <sheetName val="CPT_POST_UPLOAD3"/>
      <sheetName val="Service_Function6"/>
      <sheetName val="class_&amp;_category3"/>
      <sheetName val="code_Control_Sheet3"/>
      <sheetName val="2_civil-RA3"/>
      <sheetName val="fa-pl_&amp;_myy_x005f_x000b__3"/>
      <sheetName val="Input_&amp;_Calculations2"/>
      <sheetName val="Cost_Index3"/>
      <sheetName val="Manpower_Histogram2"/>
      <sheetName val="BOQ_Distribution6"/>
      <sheetName val="TBAL9697__x000a_grotp_wis32"/>
      <sheetName val="TBAL9697__x007"/>
      <sheetName val="CORPN_O_x00006"/>
      <sheetName val="P_&amp;_M6"/>
      <sheetName val="MS_Items6"/>
      <sheetName val="TBAL9697__grotp_wis113"/>
      <sheetName val="TBAL9697__grotp_wis210"/>
      <sheetName val="TBAL9697__grotp_wis33"/>
      <sheetName val="TBAL9697__grotp_wis43"/>
      <sheetName val="TBAL9697__grotp_wis53"/>
      <sheetName val="TBAL9697__grotp_wis62"/>
      <sheetName val="TBAL9697__grotp_wis72"/>
      <sheetName val="TBAL9697__grotp_wis82"/>
      <sheetName val="TBAL9697__grotp_wis142"/>
      <sheetName val="TBAL9697__grotp_wis102"/>
      <sheetName val="TBAL9697__grotp_wis92"/>
      <sheetName val="TBAL9697__grotp_wis114"/>
      <sheetName val="TBAL9697__grotp_wis122"/>
      <sheetName val="TBAL9697__grotp_wis132"/>
      <sheetName val="TBAL9697__grotp_wis202"/>
      <sheetName val="TBAL9697__grotp_wis152"/>
      <sheetName val="TBAL9697__grotp_wis162"/>
      <sheetName val="TBAL9697__grotp_wis172"/>
      <sheetName val="TBAL9697__grotp_wis182"/>
      <sheetName val="TBAL9697__grotp_wis192"/>
      <sheetName val="TBAL9697__grotp_wis213"/>
      <sheetName val="TBAL9697__grotp_wis222"/>
      <sheetName val="TBAL9697__grotp_wis232"/>
      <sheetName val="TBAL9697__grotp_wis242"/>
      <sheetName val="TBAL9697__grotp_wis252"/>
      <sheetName val="Bill_1-BOQ-Civil_Works2"/>
      <sheetName val="R_MTL2"/>
      <sheetName val="CIVIL_BOQ_(Final)2"/>
      <sheetName val="Sqn-Abs(G+6)_2"/>
      <sheetName val="WO-Abs_(G+2)_6_DUs2"/>
      <sheetName val="Air-Abs(G+6)_23_DUs2"/>
      <sheetName val="Customize_Your_Invoice4"/>
      <sheetName val="DDETABLE_6"/>
      <sheetName val="New_Construction2"/>
      <sheetName val="CC_June3"/>
      <sheetName val="Layer_Table2"/>
      <sheetName val="Key_Ass2"/>
      <sheetName val="bs_BP_04_SA2"/>
      <sheetName val="Col_up_to_plinth2"/>
      <sheetName val="int__pla_2"/>
      <sheetName val="Basic_rate_summary2"/>
      <sheetName val="Basic_rate_calculations2"/>
      <sheetName val="INPUT_SHEET_-_A3"/>
      <sheetName val="Item-_Compact2"/>
      <sheetName val="5__EA2"/>
      <sheetName val="Overall_Summary2"/>
      <sheetName val="Summary_CFA_total_-_CP1_&amp;_CP22"/>
      <sheetName val="PA-_Consutant_2"/>
      <sheetName val="Bill-5_22"/>
      <sheetName val="Bill-9_12"/>
      <sheetName val="Bill-6_1_1-6_1_32"/>
      <sheetName val="RA_Bill_summary_til_Apr192"/>
      <sheetName val="APTIDCO_CV_A_SCOPE2"/>
      <sheetName val="Civil_(RA)__Resi_2"/>
      <sheetName val="A_O_R_r12"/>
      <sheetName val="A_O_R_r1Str2"/>
      <sheetName val="Order_Info2"/>
      <sheetName val="1st_-vpd2"/>
      <sheetName val="Input_Data2"/>
      <sheetName val="MLCP_Connection_Details2"/>
      <sheetName val="MERGED_CODES_&amp;_NAMES2"/>
      <sheetName val="INPUT_(BPL)2"/>
      <sheetName val="Break_Up_(bc)2"/>
      <sheetName val="Break_Up_(bc1)2"/>
      <sheetName val="Break_Up_(bc2)2"/>
      <sheetName val="Labor_Rates2"/>
      <sheetName val="Capex_Estimates2"/>
      <sheetName val="General_Assumptions2"/>
      <sheetName val="organi_synthesis_lab2"/>
      <sheetName val="Rates_7-202"/>
      <sheetName val="S-MMS_without_TFA2"/>
      <sheetName val="TBAL9697__grotp_wise_293"/>
      <sheetName val="TBAL9697__grotp_wise_283"/>
      <sheetName val="TBAL9697__grotp_wise_303"/>
      <sheetName val="Boq_(Main_Building)2"/>
      <sheetName val="CORPN_O_x005f_x005f_x005f_x005f_x005f_x005f_x0052"/>
      <sheetName val="Detailed_Summary_(4)2"/>
      <sheetName val="Combined_Results_2"/>
      <sheetName val="Loan_Schedule2"/>
      <sheetName val="Bed_Class2"/>
      <sheetName val="TB9798OBPL06_(2)73"/>
      <sheetName val="CORPN_OCT73"/>
      <sheetName val="inout_consol-nov73"/>
      <sheetName val="inout_consol_(2)73"/>
      <sheetName val="AS_ON_DT_EXPS_Mar73"/>
      <sheetName val="fa-pl_&amp;_mach-site73"/>
      <sheetName val="fa_off_eqp73"/>
      <sheetName val="fa_fur&amp;_fix73"/>
      <sheetName val="fa-pl_&amp;_mach-Off73"/>
      <sheetName val="B_Equity-sdpl_INC73"/>
      <sheetName val="inout_consol_wkg73"/>
      <sheetName val="inout_consol_WKNG73"/>
      <sheetName val="B_Sheet_9773"/>
      <sheetName val="P&amp;L_97_73"/>
      <sheetName val="B_Sheet_97-BEXP73"/>
      <sheetName val="P&amp;L_97_-BEXP73"/>
      <sheetName val="consol_flows73"/>
      <sheetName val="sdpl_oth_Liab73"/>
      <sheetName val="obpl-oth_liab73"/>
      <sheetName val="G_land_advance73"/>
      <sheetName val="I-Wip-ot_(2)73"/>
      <sheetName val="detail_WIP_(2)73"/>
      <sheetName val="detail_G-173"/>
      <sheetName val="sobha_menon_ac73"/>
      <sheetName val="pnc_ac73"/>
      <sheetName val="fix_-p_&amp;_M_-SCC73"/>
      <sheetName val="C_fix_asst73"/>
      <sheetName val="D_fix_asst_scdl_73"/>
      <sheetName val="creditors_tb_obpl73"/>
      <sheetName val="TBAL9697_-group_wise__sdpl83"/>
      <sheetName val="TBAL9697_-group_wise_73"/>
      <sheetName val="crs_-G-173"/>
      <sheetName val="TBAL9697_-group_wise__onpl73"/>
      <sheetName val="B_Sheet_97-OBPL73"/>
      <sheetName val="B_Sheet_97_sdpl73"/>
      <sheetName val="TBAL9697_-group_wise__sdpl273"/>
      <sheetName val="inout_consol_jan73"/>
      <sheetName val="consol_flow73"/>
      <sheetName val="D_Loan__Prom73"/>
      <sheetName val="E_Bank_Loan73"/>
      <sheetName val="G_work_Cap73"/>
      <sheetName val="H_land_adv-dec73"/>
      <sheetName val="J_Con_WIP73"/>
      <sheetName val="detail_J73"/>
      <sheetName val="L_Oth_Co73"/>
      <sheetName val="K_fix_asst__73"/>
      <sheetName val="C_fix_asst-SDPL_73"/>
      <sheetName val="TBAL9697__group_wise__sdpl73"/>
      <sheetName val="inout_consol_okg73"/>
      <sheetName val="detail_OIP_(2)73"/>
      <sheetName val="D_fix_ysst_scdl_73"/>
      <sheetName val="cre`itors_tb_obpl73"/>
      <sheetName val="3AL9697_-group_wise__onpl73"/>
      <sheetName val="3‰AL9697_-group_wise__onpl72"/>
      <sheetName val="L_Oth_Bo72"/>
      <sheetName val="Civil_Boq72"/>
      <sheetName val="Staff_Acco_72"/>
      <sheetName val="SITE_OVERHEADS72"/>
      <sheetName val="Boq_Block_A72"/>
      <sheetName val="Cashflow_projection69"/>
      <sheetName val="PRECAST_lightconc-II70"/>
      <sheetName val="1__PayRec69"/>
      <sheetName val="key_dates69"/>
      <sheetName val="SPT_vs_PHI69"/>
      <sheetName val="Project-Material_72"/>
      <sheetName val="3�AL9697_-group_wise__onpl72"/>
      <sheetName val="ino4t_conso,-nov69"/>
      <sheetName val="(nout_co,sol_(2)69"/>
      <sheetName val="Blr_hire69"/>
      <sheetName val="_bpl,oth_lia_69"/>
      <sheetName val="G_,and_adv_nce69"/>
      <sheetName val="I,Wip-ot__2)69"/>
      <sheetName val="det!il_WIP_(2)69"/>
      <sheetName val="de4ail_G-169"/>
      <sheetName val="sobha_mennn_ac69"/>
      <sheetName val="C_&amp;ix_asst69"/>
      <sheetName val="_x005f_x0003_dpl_oth_Lia`69"/>
      <sheetName val="TBAL9697__x005f_x000d_grotp_wise_69"/>
      <sheetName val="St_co_91_5lvl69"/>
      <sheetName val="Stress_Calculation69"/>
      <sheetName val="INPUT_SHEET69"/>
      <sheetName val="Labor_abs-NMR69"/>
      <sheetName val="Sun_E_Type69"/>
      <sheetName val="Fin_Sum69"/>
      <sheetName val="CORPN_O_x005f_x0000_T69"/>
      <sheetName val="SUPPLY_-Sanitary_Fixtures69"/>
      <sheetName val="ITEMS_FOR_CIVIL_TENDER69"/>
      <sheetName val="CORPN_O?T69"/>
      <sheetName val="TBAL9697__x000a_grotp_wise_69"/>
      <sheetName val="DG_69"/>
      <sheetName val="Quote_Sheet67"/>
      <sheetName val="d-safe_DELUXE67"/>
      <sheetName val="DLC_lookups67"/>
      <sheetName val="Works_-_Quote_Sheet67"/>
      <sheetName val="IO_LIST67"/>
      <sheetName val="_x005f_x005f_x005f_x0003_dpl_oth_Lia`69"/>
      <sheetName val="TBAL9697__x005f_x005f_x005f_x000d_grotp_w69"/>
      <sheetName val="TBAL9697__x005f_x000d_grotp_wis67"/>
      <sheetName val="TBAL9697__grotp_wise_190"/>
      <sheetName val="CORPN_O69"/>
      <sheetName val="labour_coeff67"/>
      <sheetName val="Labour_productivity67"/>
      <sheetName val="Section_Catalogue67"/>
      <sheetName val="Form_667"/>
      <sheetName val="final_abstract9"/>
      <sheetName val="Shuttering_Analysis67"/>
      <sheetName val="General_P+M67"/>
      <sheetName val="Curing_Analysis_67"/>
      <sheetName val="Concrete_P+M_(_RMC_)67"/>
      <sheetName val="P+M_(_SMC_)67"/>
      <sheetName val="P+M_-EW67"/>
      <sheetName val="P&amp;L_-_AD67"/>
      <sheetName val="CORPN_O_T67"/>
      <sheetName val="Fin__Assumpt__-_Sensitivities67"/>
      <sheetName val="LOAD_SHEET_67"/>
      <sheetName val="Fill_this_out_first___67"/>
      <sheetName val="RCC,Ret__Wall67"/>
      <sheetName val="Area_&amp;_Cate__Master67"/>
      <sheetName val="Driveway_Beams67"/>
      <sheetName val="TBAL9697__grotp_wise_200"/>
      <sheetName val="Bill_No_567"/>
      <sheetName val="Break_Dw67"/>
      <sheetName val="11B_67"/>
      <sheetName val="BOQ_(2)67"/>
      <sheetName val="Detail_1A67"/>
      <sheetName val="Fee_Rate_Summary67"/>
      <sheetName val="Name_List67"/>
      <sheetName val="Structure_Bills_Qty67"/>
      <sheetName val="TBAL9697__x005f_x000a_grotp_wise_67"/>
      <sheetName val="Sheet_167"/>
      <sheetName val="3BPA00132-5-3_W_plan_HVPNL67"/>
      <sheetName val="Mix_Design67"/>
      <sheetName val="Cat_A_Change_Control67"/>
      <sheetName val="Break_up_Sheet67"/>
      <sheetName val="Summary_of_P_&amp;_M67"/>
      <sheetName val="FITZ_MORT_9467"/>
      <sheetName val="LIST_OF_MAKES67"/>
      <sheetName val="Civil_Works67"/>
      <sheetName val="acevsSp_(ABC)67"/>
      <sheetName val="A_O_R_67"/>
      <sheetName val="ISO_Reconcilation_Statment67"/>
      <sheetName val="AVG_pur_rate67"/>
      <sheetName val="CORPN_O_x005f_x005f_x005f_x0000_T67"/>
      <sheetName val="220_11__BS_67"/>
      <sheetName val="Intro_67"/>
      <sheetName val="BLOCK-A_(MEA_SHEET)67"/>
      <sheetName val="NLD_-_Assum67"/>
      <sheetName val="TBAL9697__x005f_x005f_x005f_x005f_x005f_x005f_x36"/>
      <sheetName val="Assumption_Inputs67"/>
      <sheetName val="Mat_-Rates34"/>
      <sheetName val="Legal_Risk_Analysis34"/>
      <sheetName val="Cash_Flow_Input_Data_ISC36"/>
      <sheetName val="CABLE_DATA34"/>
      <sheetName val="DETAILED__BOQ34"/>
      <sheetName val="Tender_Summary17"/>
      <sheetName val="tie_beam17"/>
      <sheetName val="Elect_10"/>
      <sheetName val="Site_Dev_BOQ10"/>
      <sheetName val="INDIGINEOUS_ITEMS_17"/>
      <sheetName val="COP_Final9"/>
      <sheetName val="Deduction_of_assets13"/>
      <sheetName val="General_input9"/>
      <sheetName val="6_059"/>
      <sheetName val="Abstract_Sheet9"/>
      <sheetName val="Boq-_Civil9"/>
      <sheetName val="TBAL9697__grotp_wise_240"/>
      <sheetName val="TBAL9697__grotp_wise_1100"/>
      <sheetName val="CORPN_O_x005f_x005f_x005f_x005f_x005f_x005f_x0009"/>
      <sheetName val="TBAL9697__x005f_x005f_x005f_x000a_grotp_wi9"/>
      <sheetName val="BOQ_9"/>
      <sheetName val="Detail_In_Door_Stad9"/>
      <sheetName val="Excess_Calc9"/>
      <sheetName val="PO_Payroll9"/>
      <sheetName val="SPILL_OVER9"/>
      <sheetName val="Data_sheet9"/>
      <sheetName val="Per_Unit9"/>
      <sheetName val="Pacakges_split9"/>
      <sheetName val="Material_9"/>
      <sheetName val="Extra_Item9"/>
      <sheetName val="Labour_&amp;_Plant9"/>
      <sheetName val="AutoOpen_Stub_Data9"/>
      <sheetName val="Debits_as_on_12_04_089"/>
      <sheetName val="Meas_-Hotel_Part9"/>
      <sheetName val="BASIC_RATES9"/>
      <sheetName val="Contract_Night_Staff9"/>
      <sheetName val="Contract_Day_Staff9"/>
      <sheetName val="Day_Shift9"/>
      <sheetName val="Night_Shift9"/>
      <sheetName val="Gen_Info9"/>
      <sheetName val="Cost_summary9"/>
      <sheetName val="TBAL9697__grotp_wise_250"/>
      <sheetName val="TBAL9697__grotp_wise_419"/>
      <sheetName val="TBAL9697__grotp_wise_319"/>
      <sheetName val="TBAL9697__grotp_wise_517"/>
      <sheetName val="TBAL9697__grotp_wise_616"/>
      <sheetName val="TBAL9697__grotp_wise_716"/>
      <sheetName val="TBAL9697__grotp_wise_816"/>
      <sheetName val="TBAL9697__grotp_wise_916"/>
      <sheetName val="TBAL9697__grotp_wise_1016"/>
      <sheetName val="TBAL9697__grotp_wise_1611"/>
      <sheetName val="TBAL9697__grotp_wise_1215"/>
      <sheetName val="TBAL9697__grotp_wise_1116"/>
      <sheetName val="TBAL9697__grotp_wise_1314"/>
      <sheetName val="TBAL9697__grotp_wise_1413"/>
      <sheetName val="TBAL9697__grotp_wise_1512"/>
      <sheetName val="TBAL9697__grotp_wise_2212"/>
      <sheetName val="TBAL9697__grotp_wise_1711"/>
      <sheetName val="TBAL9697__grotp_wise_1810"/>
      <sheetName val="TBAL9697__grotp_wise_1910"/>
      <sheetName val="TBAL9697__grotp_wise_2010"/>
      <sheetName val="TBAL9697__grotp_wise_2114"/>
      <sheetName val="TBAL9697__grotp_wise_2310"/>
      <sheetName val="TBAL9697__grotp_wise_2410"/>
      <sheetName val="Base_Assumptions9"/>
      <sheetName val="_COP_100%9"/>
      <sheetName val="TAX_INCOME8"/>
      <sheetName val="Depart_Budget8"/>
      <sheetName val="Main_Gate_House9"/>
      <sheetName val="lineby_line_consolidation9"/>
      <sheetName val="Labor_abs-PW9"/>
      <sheetName val="Area_Statement9"/>
      <sheetName val="Risk_Analysis9"/>
      <sheetName val="Detail_P&amp;L5"/>
      <sheetName val="Assumption_Sheet4"/>
      <sheetName val="SITE_DEVELOPMENT8"/>
      <sheetName val="Lintel_Beam_104_70_(GF)__9"/>
      <sheetName val="_9"/>
      <sheetName val="Material_List_8"/>
      <sheetName val="TBAL9697__x005f_x005f_x0010"/>
      <sheetName val="CORPN_O_x005f_x005f_x00009"/>
      <sheetName val="TBAL9697__x005f_x000a_grotp_wis9"/>
      <sheetName val="TBAL9697__grotp_wise_2510"/>
      <sheetName val="TBAL9697__grotp_wise_2610"/>
      <sheetName val="TBAL9697_-group_wise_sdpl9"/>
      <sheetName val="CORPN_O_x005f_x005f_x005f8"/>
      <sheetName val="Rate_analysis8"/>
      <sheetName val="Approved_MTD_Proj_#'s8"/>
      <sheetName val="9__Package_split_-_Cost_8"/>
      <sheetName val="Project_Budget_Worksheet8"/>
      <sheetName val="indices_5"/>
      <sheetName val="Material_Rate8"/>
      <sheetName val="Basic_Rate8"/>
      <sheetName val="INFLUENCES_ON_GM8"/>
      <sheetName val="TBAL9697__grotp_wise_279"/>
      <sheetName val="TBAL9697__grotp_wis37"/>
      <sheetName val="Load_Details(B2)8"/>
      <sheetName val="appendix_2_5_final_accounts8"/>
      <sheetName val="GUT_(2)4"/>
      <sheetName val="MB_Prod4"/>
      <sheetName val="GR_slab-reinft8"/>
      <sheetName val="Customize_Your_Purchase_Order8"/>
      <sheetName val="fa-pl_&amp;_myy_x005f_x000b__x005f_x000b__x08"/>
      <sheetName val="Building_18"/>
      <sheetName val="Lead_(Final)8"/>
      <sheetName val="Pile_cap5"/>
      <sheetName val="M_S_5"/>
      <sheetName val="TBAL9697__grotp_wis38"/>
      <sheetName val="CORPN_O_x005f9"/>
      <sheetName val="Bill_3_-_Site_Works8"/>
      <sheetName val="beam-reinft-IIInd_floor8"/>
      <sheetName val="Cost_Basis5"/>
      <sheetName val="BS_-_L+OE8"/>
      <sheetName val="CFForecast_detail8"/>
      <sheetName val="소상_&quot;1&quot;5"/>
      <sheetName val="KQ_Cost_Controlling5"/>
      <sheetName val="KQ_Appropriation5"/>
      <sheetName val="schedule_nos8"/>
      <sheetName val="SCHEDULE_OF_RATES4"/>
      <sheetName val="Invested_capital_VDF4"/>
      <sheetName val="PV_of_Op_Leases_VDF4"/>
      <sheetName val="Mat_Cost5"/>
      <sheetName val="Indirect_expenses8"/>
      <sheetName val="Sheet_28"/>
      <sheetName val="AoR_Finishing8"/>
      <sheetName val="Rate_Analysis_8"/>
      <sheetName val="BEAM_SCH4"/>
      <sheetName val="SLAB__SCH_4"/>
      <sheetName val="Beam_at_Ground_flr_lvl(Steel)4"/>
      <sheetName val="Main_Assump_4"/>
      <sheetName val="Risk_Assmnt8"/>
      <sheetName val="Loan_Amortization_Schedule4"/>
      <sheetName val="Sheet3_(2)5"/>
      <sheetName val="Bill_15"/>
      <sheetName val="Bill_25"/>
      <sheetName val="Bill_35"/>
      <sheetName val="Bill_45"/>
      <sheetName val="Bill_55"/>
      <sheetName val="Bill_65"/>
      <sheetName val="Bill_75"/>
      <sheetName val="CPT_POST_UPLOAD5"/>
      <sheetName val="Service_Function8"/>
      <sheetName val="class_&amp;_category5"/>
      <sheetName val="code_Control_Sheet5"/>
      <sheetName val="2_civil-RA5"/>
      <sheetName val="fa-pl_&amp;_myy_x005f_x000b__5"/>
      <sheetName val="Input_&amp;_Calculations4"/>
      <sheetName val="Cost_Index5"/>
      <sheetName val="Manpower_Histogram4"/>
      <sheetName val="BOQ_Distribution8"/>
      <sheetName val="TBAL9697__x000a_grotp_wis34"/>
      <sheetName val="TBAL9697__x009"/>
      <sheetName val="CORPN_O_x00008"/>
      <sheetName val="P_&amp;_M8"/>
      <sheetName val="MS_Items8"/>
      <sheetName val="TBAL9697__grotp_wis117"/>
      <sheetName val="TBAL9697__grotp_wis216"/>
      <sheetName val="TBAL9697__grotp_wis39"/>
      <sheetName val="TBAL9697__grotp_wis45"/>
      <sheetName val="TBAL9697__grotp_wis55"/>
      <sheetName val="TBAL9697__grotp_wis64"/>
      <sheetName val="TBAL9697__grotp_wis74"/>
      <sheetName val="TBAL9697__grotp_wis84"/>
      <sheetName val="TBAL9697__grotp_wis144"/>
      <sheetName val="TBAL9697__grotp_wis104"/>
      <sheetName val="TBAL9697__grotp_wis94"/>
      <sheetName val="TBAL9697__grotp_wis118"/>
      <sheetName val="TBAL9697__grotp_wis124"/>
      <sheetName val="TBAL9697__grotp_wis134"/>
      <sheetName val="TBAL9697__grotp_wis204"/>
      <sheetName val="TBAL9697__grotp_wis154"/>
      <sheetName val="TBAL9697__grotp_wis164"/>
      <sheetName val="TBAL9697__grotp_wis174"/>
      <sheetName val="TBAL9697__grotp_wis184"/>
      <sheetName val="TBAL9697__grotp_wis194"/>
      <sheetName val="TBAL9697__grotp_wis217"/>
      <sheetName val="TBAL9697__grotp_wis224"/>
      <sheetName val="TBAL9697__grotp_wis234"/>
      <sheetName val="TBAL9697__grotp_wis244"/>
      <sheetName val="TBAL9697__grotp_wis254"/>
      <sheetName val="Bill_1-BOQ-Civil_Works4"/>
      <sheetName val="R_MTL4"/>
      <sheetName val="CIVIL_BOQ_(Final)4"/>
      <sheetName val="Sqn-Abs(G+6)_4"/>
      <sheetName val="WO-Abs_(G+2)_6_DUs4"/>
      <sheetName val="Air-Abs(G+6)_23_DUs4"/>
      <sheetName val="Customize_Your_Invoice6"/>
      <sheetName val="DDETABLE_8"/>
      <sheetName val="New_Construction4"/>
      <sheetName val="CC_June5"/>
      <sheetName val="Layer_Table4"/>
      <sheetName val="Key_Ass4"/>
      <sheetName val="bs_BP_04_SA4"/>
      <sheetName val="Col_up_to_plinth4"/>
      <sheetName val="int__pla_4"/>
      <sheetName val="Basic_rate_summary4"/>
      <sheetName val="Basic_rate_calculations4"/>
      <sheetName val="INPUT_SHEET_-_A5"/>
      <sheetName val="Item-_Compact4"/>
      <sheetName val="5__EA4"/>
      <sheetName val="Overall_Summary4"/>
      <sheetName val="Summary_CFA_total_-_CP1_&amp;_CP24"/>
      <sheetName val="PA-_Consutant_4"/>
      <sheetName val="Bill-5_24"/>
      <sheetName val="Bill-9_14"/>
      <sheetName val="Bill-6_1_1-6_1_34"/>
      <sheetName val="RA_Bill_summary_til_Apr194"/>
      <sheetName val="APTIDCO_CV_A_SCOPE4"/>
      <sheetName val="Civil_(RA)__Resi_4"/>
      <sheetName val="A_O_R_r14"/>
      <sheetName val="A_O_R_r1Str4"/>
      <sheetName val="Order_Info4"/>
      <sheetName val="1st_-vpd4"/>
      <sheetName val="Input_Data4"/>
      <sheetName val="MLCP_Connection_Details4"/>
      <sheetName val="MERGED_CODES_&amp;_NAMES4"/>
      <sheetName val="INPUT_(BPL)4"/>
      <sheetName val="Break_Up_(bc)4"/>
      <sheetName val="Break_Up_(bc1)4"/>
      <sheetName val="Break_Up_(bc2)4"/>
      <sheetName val="Labor_Rates4"/>
      <sheetName val="Capex_Estimates4"/>
      <sheetName val="General_Assumptions4"/>
      <sheetName val="organi_synthesis_lab4"/>
      <sheetName val="Rates_7-204"/>
      <sheetName val="S-MMS_without_TFA4"/>
      <sheetName val="TBAL9697__grotp_wise_295"/>
      <sheetName val="TBAL9697__grotp_wise_285"/>
      <sheetName val="TBAL9697__grotp_wise_305"/>
      <sheetName val="Boq_(Main_Building)4"/>
      <sheetName val="CORPN_O_x005f_x005f_x005f_x005f_x005f_x005f_x0054"/>
      <sheetName val="TB9798OBPL06_(2)72"/>
      <sheetName val="CORPN_OCT72"/>
      <sheetName val="inout_consol-nov72"/>
      <sheetName val="inout_consol_(2)72"/>
      <sheetName val="AS_ON_DT_EXPS_Mar72"/>
      <sheetName val="fa-pl_&amp;_mach-site72"/>
      <sheetName val="fa_off_eqp72"/>
      <sheetName val="fa_fur&amp;_fix72"/>
      <sheetName val="fa-pl_&amp;_mach-Off72"/>
      <sheetName val="B_Equity-sdpl_INC72"/>
      <sheetName val="inout_consol_wkg72"/>
      <sheetName val="inout_consol_WKNG72"/>
      <sheetName val="B_Sheet_9772"/>
      <sheetName val="P&amp;L_97_72"/>
      <sheetName val="B_Sheet_97-BEXP72"/>
      <sheetName val="P&amp;L_97_-BEXP72"/>
      <sheetName val="consol_flows72"/>
      <sheetName val="sdpl_oth_Liab72"/>
      <sheetName val="obpl-oth_liab72"/>
      <sheetName val="G_land_advance72"/>
      <sheetName val="I-Wip-ot_(2)72"/>
      <sheetName val="detail_WIP_(2)72"/>
      <sheetName val="detail_G-172"/>
      <sheetName val="sobha_menon_ac72"/>
      <sheetName val="pnc_ac72"/>
      <sheetName val="fix_-p_&amp;_M_-SCC72"/>
      <sheetName val="C_fix_asst72"/>
      <sheetName val="D_fix_asst_scdl_72"/>
      <sheetName val="creditors_tb_obpl72"/>
      <sheetName val="TBAL9697_-group_wise__sdpl82"/>
      <sheetName val="TBAL9697_-group_wise_72"/>
      <sheetName val="crs_-G-172"/>
      <sheetName val="TBAL9697_-group_wise__onpl72"/>
      <sheetName val="B_Sheet_97-OBPL72"/>
      <sheetName val="B_Sheet_97_sdpl72"/>
      <sheetName val="TBAL9697_-group_wise__sdpl272"/>
      <sheetName val="inout_consol_jan72"/>
      <sheetName val="consol_flow72"/>
      <sheetName val="D_Loan__Prom72"/>
      <sheetName val="E_Bank_Loan72"/>
      <sheetName val="G_work_Cap72"/>
      <sheetName val="H_land_adv-dec72"/>
      <sheetName val="J_Con_WIP72"/>
      <sheetName val="detail_J72"/>
      <sheetName val="L_Oth_Co72"/>
      <sheetName val="K_fix_asst__72"/>
      <sheetName val="C_fix_asst-SDPL_72"/>
      <sheetName val="TBAL9697__group_wise__sdpl72"/>
      <sheetName val="inout_consol_okg72"/>
      <sheetName val="detail_OIP_(2)72"/>
      <sheetName val="D_fix_ysst_scdl_72"/>
      <sheetName val="cre`itors_tb_obpl72"/>
      <sheetName val="3AL9697_-group_wise__onpl72"/>
      <sheetName val="3‰AL9697_-group_wise__onpl71"/>
      <sheetName val="L_Oth_Bo71"/>
      <sheetName val="Civil_Boq71"/>
      <sheetName val="Staff_Acco_71"/>
      <sheetName val="SITE_OVERHEADS71"/>
      <sheetName val="Boq_Block_A71"/>
      <sheetName val="Cashflow_projection68"/>
      <sheetName val="PRECAST_lightconc-II69"/>
      <sheetName val="1__PayRec68"/>
      <sheetName val="key_dates68"/>
      <sheetName val="SPT_vs_PHI68"/>
      <sheetName val="Project-Material_71"/>
      <sheetName val="3�AL9697_-group_wise__onpl71"/>
      <sheetName val="ino4t_conso,-nov68"/>
      <sheetName val="(nout_co,sol_(2)68"/>
      <sheetName val="Blr_hire68"/>
      <sheetName val="_bpl,oth_lia_68"/>
      <sheetName val="G_,and_adv_nce68"/>
      <sheetName val="I,Wip-ot__2)68"/>
      <sheetName val="det!il_WIP_(2)68"/>
      <sheetName val="de4ail_G-168"/>
      <sheetName val="sobha_mennn_ac68"/>
      <sheetName val="C_&amp;ix_asst68"/>
      <sheetName val="_x005f_x0003_dpl_oth_Lia`68"/>
      <sheetName val="TBAL9697__x005f_x000d_grotp_wise_68"/>
      <sheetName val="St_co_91_5lvl68"/>
      <sheetName val="Stress_Calculation68"/>
      <sheetName val="INPUT_SHEET68"/>
      <sheetName val="Labor_abs-NMR68"/>
      <sheetName val="Sun_E_Type68"/>
      <sheetName val="Fin_Sum68"/>
      <sheetName val="CORPN_O_x005f_x0000_T68"/>
      <sheetName val="SUPPLY_-Sanitary_Fixtures68"/>
      <sheetName val="ITEMS_FOR_CIVIL_TENDER68"/>
      <sheetName val="CORPN_O?T68"/>
      <sheetName val="TBAL9697__x000a_grotp_wise_68"/>
      <sheetName val="CORPN_O68"/>
      <sheetName val="DG_68"/>
      <sheetName val="Quote_Sheet66"/>
      <sheetName val="d-safe_DELUXE66"/>
      <sheetName val="DLC_lookups66"/>
      <sheetName val="Works_-_Quote_Sheet66"/>
      <sheetName val="IO_LIST66"/>
      <sheetName val="_x005f_x005f_x005f_x0003_dpl_oth_Lia`68"/>
      <sheetName val="TBAL9697__x005f_x005f_x005f_x000d_grotp_w68"/>
      <sheetName val="TBAL9697__x005f_x000d_grotp_wis66"/>
      <sheetName val="TBAL9697__grotp_wise_169"/>
      <sheetName val="labour_coeff66"/>
      <sheetName val="Shuttering_Analysis66"/>
      <sheetName val="General_P+M66"/>
      <sheetName val="Curing_Analysis_66"/>
      <sheetName val="Concrete_P+M_(_RMC_)66"/>
      <sheetName val="P+M_(_SMC_)66"/>
      <sheetName val="P+M_-EW66"/>
      <sheetName val="P&amp;L_-_AD66"/>
      <sheetName val="CORPN_O_T66"/>
      <sheetName val="Fin__Assumpt__-_Sensitivities66"/>
      <sheetName val="LOAD_SHEET_66"/>
      <sheetName val="Fill_this_out_first___66"/>
      <sheetName val="Labour_productivity66"/>
      <sheetName val="RCC,Ret__Wall66"/>
      <sheetName val="Area_&amp;_Cate__Master66"/>
      <sheetName val="Driveway_Beams66"/>
      <sheetName val="TBAL9697__grotp_wise_170"/>
      <sheetName val="Section_Catalogue66"/>
      <sheetName val="Form_666"/>
      <sheetName val="final_abstract8"/>
      <sheetName val="BOQ_(2)66"/>
      <sheetName val="acevsSp_(ABC)66"/>
      <sheetName val="A_O_R_66"/>
      <sheetName val="Bill_No_566"/>
      <sheetName val="Break_Dw66"/>
      <sheetName val="BLOCK-A_(MEA_SHEET)66"/>
      <sheetName val="11B_66"/>
      <sheetName val="Fee_Rate_Summary66"/>
      <sheetName val="Name_List66"/>
      <sheetName val="Structure_Bills_Qty66"/>
      <sheetName val="Detail_1A66"/>
      <sheetName val="Sheet_166"/>
      <sheetName val="3BPA00132-5-3_W_plan_HVPNL66"/>
      <sheetName val="Mix_Design66"/>
      <sheetName val="CORPN_O_x005f_x005f_x005f_x0000_T66"/>
      <sheetName val="220_11__BS_66"/>
      <sheetName val="TBAL9697__x005f_x000a_grotp_wise_66"/>
      <sheetName val="Cat_A_Change_Control66"/>
      <sheetName val="Break_up_Sheet66"/>
      <sheetName val="Summary_of_P_&amp;_M66"/>
      <sheetName val="FITZ_MORT_9466"/>
      <sheetName val="LIST_OF_MAKES66"/>
      <sheetName val="ISO_Reconcilation_Statment66"/>
      <sheetName val="AVG_pur_rate66"/>
      <sheetName val="NLD_-_Assum66"/>
      <sheetName val="Intro_66"/>
      <sheetName val="TBAL9697__x005f_x005f_x005f_x005f_x005f_x005f_x35"/>
      <sheetName val="Civil_Works66"/>
      <sheetName val="Assumption_Inputs66"/>
      <sheetName val="Mat_-Rates33"/>
      <sheetName val="Legal_Risk_Analysis33"/>
      <sheetName val="Cash_Flow_Input_Data_ISC35"/>
      <sheetName val="Tender_Summary16"/>
      <sheetName val="tie_beam16"/>
      <sheetName val="Meas_-Hotel_Part8"/>
      <sheetName val="INDIGINEOUS_ITEMS_16"/>
      <sheetName val="Site_Dev_BOQ9"/>
      <sheetName val="DETAILED__BOQ33"/>
      <sheetName val="CABLE_DATA33"/>
      <sheetName val="Elect_9"/>
      <sheetName val="TBAL9697__grotp_wise_179"/>
      <sheetName val="TBAL9697__grotp_wise_180"/>
      <sheetName val="BASIC_RATES8"/>
      <sheetName val="TBAL9697__x005f_x005f_x005f_x000a_grotp_wi8"/>
      <sheetName val="CORPN_O_x005f_x005f_x005f_x005f_x005f_x005f_x0008"/>
      <sheetName val="Deduction_of_assets12"/>
      <sheetName val="Excess_Calc8"/>
      <sheetName val="PO_Payroll8"/>
      <sheetName val="Contract_Night_Staff8"/>
      <sheetName val="Contract_Day_Staff8"/>
      <sheetName val="Day_Shift8"/>
      <sheetName val="Night_Shift8"/>
      <sheetName val="BOQ_8"/>
      <sheetName val="Detail_In_Door_Stad8"/>
      <sheetName val="Gen_Info8"/>
      <sheetName val="COP_Final8"/>
      <sheetName val="General_input8"/>
      <sheetName val="6_058"/>
      <sheetName val="Abstract_Sheet8"/>
      <sheetName val="Boq-_Civil8"/>
      <sheetName val="SPILL_OVER8"/>
      <sheetName val="Pacakges_split8"/>
      <sheetName val="Cost_summary8"/>
      <sheetName val="TBAL9697__grotp_wise_230"/>
      <sheetName val="TBAL9697__grotp_wise_418"/>
      <sheetName val="TBAL9697__grotp_wise_318"/>
      <sheetName val="TBAL9697__grotp_wise_516"/>
      <sheetName val="TBAL9697__grotp_wise_615"/>
      <sheetName val="TBAL9697__grotp_wise_715"/>
      <sheetName val="TBAL9697__grotp_wise_815"/>
      <sheetName val="TBAL9697__grotp_wise_915"/>
      <sheetName val="TBAL9697__grotp_wise_1015"/>
      <sheetName val="TBAL9697__grotp_wise_1610"/>
      <sheetName val="TBAL9697__grotp_wise_1214"/>
      <sheetName val="TBAL9697__grotp_wise_1115"/>
      <sheetName val="TBAL9697__grotp_wise_1313"/>
      <sheetName val="TBAL9697__grotp_wise_1412"/>
      <sheetName val="TBAL9697__grotp_wise_1511"/>
      <sheetName val="TBAL9697__grotp_wise_2211"/>
      <sheetName val="TBAL9697__grotp_wise_1710"/>
      <sheetName val="TBAL9697__grotp_wise_189"/>
      <sheetName val="TBAL9697__grotp_wise_199"/>
      <sheetName val="TBAL9697__grotp_wise_209"/>
      <sheetName val="TBAL9697__grotp_wise_2113"/>
      <sheetName val="TBAL9697__grotp_wise_239"/>
      <sheetName val="TBAL9697__grotp_wise_249"/>
      <sheetName val="Data_sheet8"/>
      <sheetName val="Per_Unit8"/>
      <sheetName val="Base_Assumptions8"/>
      <sheetName val="_COP_100%8"/>
      <sheetName val="Material_8"/>
      <sheetName val="Extra_Item8"/>
      <sheetName val="Labour_&amp;_Plant8"/>
      <sheetName val="AutoOpen_Stub_Data8"/>
      <sheetName val="Debits_as_on_12_04_088"/>
      <sheetName val="TAX_INCOME7"/>
      <sheetName val="Depart_Budget7"/>
      <sheetName val="Main_Gate_House8"/>
      <sheetName val="lineby_line_consolidation8"/>
      <sheetName val="Labor_abs-PW8"/>
      <sheetName val="Area_Statement8"/>
      <sheetName val="Risk_Analysis8"/>
      <sheetName val="TBAL9697__x005f_x005f_x009"/>
      <sheetName val="CORPN_O_x005f_x005f_x00008"/>
      <sheetName val="TBAL9697__x005f_x000a_grotp_wis8"/>
      <sheetName val="TBAL9697__grotp_wise_259"/>
      <sheetName val="TBAL9697__grotp_wise_269"/>
      <sheetName val="Lintel_Beam_104_70_(GF)__8"/>
      <sheetName val="_8"/>
      <sheetName val="TBAL9697_-group_wise_sdpl8"/>
      <sheetName val="SITE_DEVELOPMENT7"/>
      <sheetName val="Material_List_7"/>
      <sheetName val="Detail_P&amp;L4"/>
      <sheetName val="Assumption_Sheet3"/>
      <sheetName val="CORPN_O_x005f_x005f_x005f7"/>
      <sheetName val="Rate_analysis7"/>
      <sheetName val="Approved_MTD_Proj_#'s7"/>
      <sheetName val="9__Package_split_-_Cost_7"/>
      <sheetName val="Project_Budget_Worksheet7"/>
      <sheetName val="indices_4"/>
      <sheetName val="Material_Rate7"/>
      <sheetName val="Basic_Rate7"/>
      <sheetName val="INFLUENCES_ON_GM7"/>
      <sheetName val="TBAL9697__grotp_wise_278"/>
      <sheetName val="TBAL9697__grotp_wis34"/>
      <sheetName val="Load_Details(B2)7"/>
      <sheetName val="appendix_2_5_final_accounts7"/>
      <sheetName val="GUT_(2)3"/>
      <sheetName val="MB_Prod3"/>
      <sheetName val="GR_slab-reinft7"/>
      <sheetName val="Customize_Your_Purchase_Order7"/>
      <sheetName val="fa-pl_&amp;_myy_x005f_x000b__x005f_x000b__x07"/>
      <sheetName val="Building_17"/>
      <sheetName val="Lead_(Final)7"/>
      <sheetName val="Pile_cap4"/>
      <sheetName val="M_S_4"/>
      <sheetName val="TBAL9697__grotp_wis35"/>
      <sheetName val="CORPN_O_x005f8"/>
      <sheetName val="Bill_3_-_Site_Works7"/>
      <sheetName val="beam-reinft-IIInd_floor7"/>
      <sheetName val="Cost_Basis4"/>
      <sheetName val="BS_-_L+OE7"/>
      <sheetName val="CFForecast_detail7"/>
      <sheetName val="소상_&quot;1&quot;4"/>
      <sheetName val="KQ_Cost_Controlling4"/>
      <sheetName val="KQ_Appropriation4"/>
      <sheetName val="schedule_nos7"/>
      <sheetName val="SCHEDULE_OF_RATES3"/>
      <sheetName val="Invested_capital_VDF3"/>
      <sheetName val="PV_of_Op_Leases_VDF3"/>
      <sheetName val="Mat_Cost4"/>
      <sheetName val="Indirect_expenses7"/>
      <sheetName val="Sheet_27"/>
      <sheetName val="AoR_Finishing7"/>
      <sheetName val="Rate_Analysis_7"/>
      <sheetName val="BEAM_SCH3"/>
      <sheetName val="SLAB__SCH_3"/>
      <sheetName val="Beam_at_Ground_flr_lvl(Steel)3"/>
      <sheetName val="Main_Assump_3"/>
      <sheetName val="Risk_Assmnt7"/>
      <sheetName val="Loan_Amortization_Schedule3"/>
      <sheetName val="Sheet3_(2)4"/>
      <sheetName val="Bill_14"/>
      <sheetName val="Bill_24"/>
      <sheetName val="Bill_34"/>
      <sheetName val="Bill_44"/>
      <sheetName val="Bill_54"/>
      <sheetName val="Bill_64"/>
      <sheetName val="Bill_74"/>
      <sheetName val="CPT_POST_UPLOAD4"/>
      <sheetName val="Service_Function7"/>
      <sheetName val="class_&amp;_category4"/>
      <sheetName val="code_Control_Sheet4"/>
      <sheetName val="2_civil-RA4"/>
      <sheetName val="fa-pl_&amp;_myy_x005f_x000b__4"/>
      <sheetName val="Input_&amp;_Calculations3"/>
      <sheetName val="Cost_Index4"/>
      <sheetName val="Manpower_Histogram3"/>
      <sheetName val="BOQ_Distribution7"/>
      <sheetName val="TBAL9697__x000a_grotp_wis33"/>
      <sheetName val="TBAL9697__x008"/>
      <sheetName val="CORPN_O_x00007"/>
      <sheetName val="P_&amp;_M7"/>
      <sheetName val="MS_Items7"/>
      <sheetName val="TBAL9697__grotp_wis115"/>
      <sheetName val="TBAL9697__grotp_wis214"/>
      <sheetName val="TBAL9697__grotp_wis36"/>
      <sheetName val="TBAL9697__grotp_wis44"/>
      <sheetName val="TBAL9697__grotp_wis54"/>
      <sheetName val="TBAL9697__grotp_wis63"/>
      <sheetName val="TBAL9697__grotp_wis73"/>
      <sheetName val="TBAL9697__grotp_wis83"/>
      <sheetName val="TBAL9697__grotp_wis143"/>
      <sheetName val="TBAL9697__grotp_wis103"/>
      <sheetName val="TBAL9697__grotp_wis93"/>
      <sheetName val="TBAL9697__grotp_wis116"/>
      <sheetName val="TBAL9697__grotp_wis123"/>
      <sheetName val="TBAL9697__grotp_wis133"/>
      <sheetName val="TBAL9697__grotp_wis203"/>
      <sheetName val="TBAL9697__grotp_wis153"/>
      <sheetName val="TBAL9697__grotp_wis163"/>
      <sheetName val="TBAL9697__grotp_wis173"/>
      <sheetName val="TBAL9697__grotp_wis183"/>
      <sheetName val="TBAL9697__grotp_wis193"/>
      <sheetName val="TBAL9697__grotp_wis215"/>
      <sheetName val="TBAL9697__grotp_wis223"/>
      <sheetName val="TBAL9697__grotp_wis233"/>
      <sheetName val="TBAL9697__grotp_wis243"/>
      <sheetName val="TBAL9697__grotp_wis253"/>
      <sheetName val="Bill_1-BOQ-Civil_Works3"/>
      <sheetName val="R_MTL3"/>
      <sheetName val="CIVIL_BOQ_(Final)3"/>
      <sheetName val="Sqn-Abs(G+6)_3"/>
      <sheetName val="WO-Abs_(G+2)_6_DUs3"/>
      <sheetName val="Air-Abs(G+6)_23_DUs3"/>
      <sheetName val="Customize_Your_Invoice5"/>
      <sheetName val="DDETABLE_7"/>
      <sheetName val="New_Construction3"/>
      <sheetName val="CC_June4"/>
      <sheetName val="Layer_Table3"/>
      <sheetName val="Key_Ass3"/>
      <sheetName val="bs_BP_04_SA3"/>
      <sheetName val="Col_up_to_plinth3"/>
      <sheetName val="int__pla_3"/>
      <sheetName val="Basic_rate_summary3"/>
      <sheetName val="Basic_rate_calculations3"/>
      <sheetName val="INPUT_SHEET_-_A4"/>
      <sheetName val="Item-_Compact3"/>
      <sheetName val="5__EA3"/>
      <sheetName val="Overall_Summary3"/>
      <sheetName val="Summary_CFA_total_-_CP1_&amp;_CP23"/>
      <sheetName val="PA-_Consutant_3"/>
      <sheetName val="Bill-5_23"/>
      <sheetName val="Bill-9_13"/>
      <sheetName val="Bill-6_1_1-6_1_33"/>
      <sheetName val="RA_Bill_summary_til_Apr193"/>
      <sheetName val="APTIDCO_CV_A_SCOPE3"/>
      <sheetName val="Civil_(RA)__Resi_3"/>
      <sheetName val="A_O_R_r13"/>
      <sheetName val="A_O_R_r1Str3"/>
      <sheetName val="Order_Info3"/>
      <sheetName val="1st_-vpd3"/>
      <sheetName val="Input_Data3"/>
      <sheetName val="MLCP_Connection_Details3"/>
      <sheetName val="MERGED_CODES_&amp;_NAMES3"/>
      <sheetName val="INPUT_(BPL)3"/>
      <sheetName val="Break_Up_(bc)3"/>
      <sheetName val="Break_Up_(bc1)3"/>
      <sheetName val="Break_Up_(bc2)3"/>
      <sheetName val="Labor_Rates3"/>
      <sheetName val="Capex_Estimates3"/>
      <sheetName val="General_Assumptions3"/>
      <sheetName val="organi_synthesis_lab3"/>
      <sheetName val="Rates_7-203"/>
      <sheetName val="S-MMS_without_TFA3"/>
      <sheetName val="TBAL9697__grotp_wise_294"/>
      <sheetName val="TBAL9697__grotp_wise_284"/>
      <sheetName val="TBAL9697__grotp_wise_304"/>
      <sheetName val="Boq_(Main_Building)3"/>
      <sheetName val="CORPN_O_x005f_x005f_x005f_x005f_x005f_x005f_x0053"/>
      <sheetName val="Detailed_Summary_(4)3"/>
      <sheetName val="Combined_Results_3"/>
      <sheetName val="Loan_Schedule3"/>
      <sheetName val="Bed_Class3"/>
      <sheetName val="Parel"/>
      <sheetName val="1.01.1 to 1.01.5"/>
      <sheetName val="1.01.6"/>
      <sheetName val="1.01.7"/>
      <sheetName val="1.02.1"/>
      <sheetName val="1.03.1"/>
      <sheetName val="1.03.2"/>
      <sheetName val="1.03.3"/>
      <sheetName val="1.04.1"/>
      <sheetName val="1.05.1"/>
      <sheetName val="1.06.1"/>
      <sheetName val="1.06.2"/>
      <sheetName val="2.01.1 to 2.01.5-"/>
      <sheetName val="2.01.6"/>
      <sheetName val="2.01.7"/>
      <sheetName val="2.01.8"/>
      <sheetName val="2.02.1"/>
      <sheetName val="2.03.1"/>
      <sheetName val="2.03.2"/>
      <sheetName val="2.03.3"/>
      <sheetName val="2.04.1"/>
      <sheetName val="2.05.1"/>
      <sheetName val="2.06.1"/>
      <sheetName val="2.06.2"/>
      <sheetName val="2.07.1"/>
      <sheetName val="2.07.2"/>
      <sheetName val="2.07.3"/>
      <sheetName val="2.07.4"/>
      <sheetName val="2.07.5"/>
      <sheetName val="2.07.6"/>
      <sheetName val="2.07.7"/>
      <sheetName val="2.07.8"/>
      <sheetName val="2.07.9"/>
      <sheetName val="2.07.10"/>
      <sheetName val="2.07.11"/>
      <sheetName val="2.07.12"/>
      <sheetName val="2.07.13"/>
      <sheetName val="2.07.14"/>
      <sheetName val="2.07.15"/>
      <sheetName val="2.07.16"/>
      <sheetName val="3.01.1 to 3.01.5"/>
      <sheetName val="3.01.6"/>
      <sheetName val="3.01.7"/>
      <sheetName val="3.03.1"/>
      <sheetName val="3.03.2"/>
      <sheetName val="3.04.1"/>
      <sheetName val="3.05.1"/>
      <sheetName val="4.01.1 to 4.01.5"/>
      <sheetName val="4.01.6"/>
      <sheetName val="4.01.7"/>
      <sheetName val="4.01.8"/>
      <sheetName val="4.03.1"/>
      <sheetName val="4.03.2"/>
      <sheetName val="4.04.1"/>
      <sheetName val="4.05.1"/>
      <sheetName val="4.07.1"/>
      <sheetName val="4.07.2"/>
      <sheetName val="4.07.3"/>
      <sheetName val="4.07.4"/>
      <sheetName val="4.07.5"/>
      <sheetName val="4.07.6"/>
      <sheetName val="4.07.7"/>
      <sheetName val="4.07.8"/>
      <sheetName val="4.07.9"/>
      <sheetName val="4.07.10"/>
      <sheetName val="4.07.11"/>
      <sheetName val="4.07.12"/>
      <sheetName val="4.07.13"/>
      <sheetName val="4.07.14"/>
      <sheetName val="4.07.15"/>
      <sheetName val="4.07.16"/>
      <sheetName val="5.01.1"/>
      <sheetName val="5.01.2"/>
      <sheetName val="5.01.3"/>
      <sheetName val="5.01.4"/>
      <sheetName val="5.02.1"/>
      <sheetName val="5.02.2"/>
      <sheetName val="5.02.3"/>
      <sheetName val="5.02.4"/>
      <sheetName val="6.01.1 to 6.01.5"/>
      <sheetName val="6.01.6"/>
      <sheetName val="6.02.1 to 6.02.5"/>
      <sheetName val="6.02.6"/>
      <sheetName val="7.01.1"/>
      <sheetName val="7.01.2"/>
      <sheetName val="7.02.1"/>
      <sheetName val="7.02.2"/>
      <sheetName val="7.03.1"/>
      <sheetName val="7.03.2"/>
      <sheetName val="Canceled"/>
      <sheetName val="8.01.1"/>
      <sheetName val="8.01.2"/>
      <sheetName val="8.01.3"/>
      <sheetName val="8.01.4"/>
      <sheetName val="Canceled-1"/>
      <sheetName val="Cancled-2"/>
      <sheetName val="Abstract-1"/>
      <sheetName val="BOQ in CRN Formate"/>
      <sheetName val="Cumul."/>
      <sheetName val="GST. Inv.."/>
      <sheetName val="Ill. Imm. Cert."/>
      <sheetName val="Work Compl. Cert."/>
      <sheetName val="TBAL9697__x005f_x000a_grotp_wi1"/>
      <sheetName val="CORPN_O_x005f_x005f_x0001"/>
      <sheetName val="Balance Sheet "/>
      <sheetName val="cost centre"/>
      <sheetName val="CC_flatfile"/>
      <sheetName val="BOB DETAILS"/>
      <sheetName val="Schedule v1"/>
      <sheetName val="SOA"/>
      <sheetName val="Podium Areas"/>
      <sheetName val="8. Cover"/>
      <sheetName val="Pivot"/>
      <sheetName val="bending stress"/>
      <sheetName val="RECAPITULATION"/>
      <sheetName val="L4-L15"/>
      <sheetName val="Site Infrastructure"/>
      <sheetName val="Transfer"/>
      <sheetName val="MB FOR SUPERSTRUCTURE"/>
      <sheetName val="A.O.R (2)"/>
      <sheetName val="foot-slab reinft"/>
      <sheetName val="Detail Top Sheet"/>
      <sheetName val="ONE_TIME"/>
      <sheetName val="EA_Sheet"/>
      <sheetName val="rcc(_sub)"/>
      <sheetName val="Detail_Top_Sheet"/>
      <sheetName val="ONE_TIME1"/>
      <sheetName val="EA_Sheet1"/>
      <sheetName val="rcc(_sub)1"/>
      <sheetName val="Detail_Top_Sheet1"/>
      <sheetName val="ONE_TIME2"/>
      <sheetName val="EA_Sheet2"/>
      <sheetName val="rcc(_sub)2"/>
      <sheetName val="Detail_Top_Sheet2"/>
      <sheetName val="ONE_TIME3"/>
      <sheetName val="EA_Sheet3"/>
      <sheetName val="rcc(_sub)3"/>
      <sheetName val="Detail_Top_Sheet3"/>
      <sheetName val="M.R.List (2)"/>
      <sheetName val="NDOCBT"/>
      <sheetName val="Misc. Data"/>
      <sheetName val="1st Slab"/>
      <sheetName val="Canteen"/>
      <sheetName val="Formula"/>
      <sheetName val="E150-4"/>
      <sheetName val="X rate"/>
      <sheetName val="Gazebo"/>
      <sheetName val="Power req_High side"/>
      <sheetName val="column(T) Gr. to Upp. Gr."/>
      <sheetName val="Weightage-Sub Sht"/>
      <sheetName val="MATMC"/>
      <sheetName val="INDIG.PLAN"/>
      <sheetName val="Group"/>
      <sheetName val="ELE "/>
      <sheetName val="CMGRPM20"/>
      <sheetName val="JAN03 latest MIS FSV  Summary"/>
      <sheetName val="WTB - BS-Assets"/>
      <sheetName val="Exchange Rate"/>
      <sheetName val="Dropdown list"/>
      <sheetName val="Annexue B"/>
      <sheetName val="MN T.B."/>
      <sheetName val="Introduction"/>
      <sheetName val="G_1_obpl_x005f_x005f_x005f_x005f_x000"/>
      <sheetName val="TBAL9697 _x005f_x005f_x005f_x005f_x00"/>
      <sheetName val="TBL9798_x005f_x005f_x005f_x005f_x0010"/>
      <sheetName val="CORPN O_x005f_x005f_x005f_x005f_x0000"/>
      <sheetName val="G_1_obpl_x005f_x005f_x005f_x005f_x005"/>
      <sheetName val="_x005f_x005f_x005f_x005f_x005f_x005f_x005f_x005f_"/>
      <sheetName val="TBAL9697__x005f_x005f_x005f_x005f_x00"/>
      <sheetName val="CORPN_O_x005f_x005f_x005f_x005f_x0000"/>
      <sheetName val="TBL9798_x005f_x005f_x005f_x005f_x005f"/>
      <sheetName val="CORPN O_x005f_x005f_x005f_x005f_x005f"/>
      <sheetName val="TBAL9697__x005f_x005f_x005f_x005f_x02"/>
      <sheetName val="TBAL9697__x005f_x005f_x005f_x005f_x01"/>
      <sheetName val="TBAL9697__x005f_x005f_x005f_x005f_x03"/>
      <sheetName val="TBAL9697__x005f_x005f_x005f_x005f_x04"/>
      <sheetName val="TBAL9697__x005f_x005f_x005f_x005f_x05"/>
      <sheetName val="TBAL9697__x005f_x005f_x005f_x005f_x06"/>
      <sheetName val="TBAL9697__x005f_x005f_x005f_x005f_x07"/>
      <sheetName val="TBAL9697__x005f_x005f_x005f_x005f_x08"/>
      <sheetName val="TBAL9697__x005f_x005f_x005f_x005f_x14"/>
      <sheetName val="TBAL9697__x005f_x005f_x005f_x005f_x10"/>
      <sheetName val="TBAL9697__x005f_x005f_x005f_x005f_x09"/>
      <sheetName val="TBAL9697__x005f_x005f_x005f_x005f_x11"/>
      <sheetName val="TBAL9697__x005f_x005f_x005f_x005f_x12"/>
      <sheetName val="TBAL9697__x005f_x005f_x005f_x005f_x13"/>
      <sheetName val="TBAL9697__x005f_x005f_x005f_x005f_x20"/>
      <sheetName val="TBAL9697__x005f_x005f_x005f_x005f_x15"/>
      <sheetName val="TBAL9697__x005f_x005f_x005f_x005f_x16"/>
      <sheetName val="TBAL9697__x005f_x005f_x005f_x005f_x17"/>
      <sheetName val="TBAL9697__x005f_x005f_x005f_x005f_x18"/>
      <sheetName val="TBAL9697__x005f_x005f_x005f_x005f_x19"/>
      <sheetName val="TBAL9697__x005f_x005f_x005f_x005f_x21"/>
      <sheetName val="TBAL9697__x005f_x005f_x005f_x005f_x22"/>
      <sheetName val="TBAL9697__x005f_x005f_x005f_x005f_x23"/>
      <sheetName val="TBAL9697__x005f_x005f_x005f_x005f_x24"/>
      <sheetName val="fa-pl &amp; myy_x005f_x005f_x005f_x000b__x005f_x005f_"/>
      <sheetName val="TBAL9697__x005f_x005f_x005f_x005f_x001"/>
      <sheetName val="4K - (6a) Non Manual Breakdown"/>
      <sheetName val="Publicbuilding"/>
      <sheetName val="Beam-Schedule-1"/>
      <sheetName val="girder"/>
      <sheetName val="Internet"/>
      <sheetName val="coa_ramco_168"/>
      <sheetName val="WORK TABLE"/>
      <sheetName val="Cash Flow Working"/>
      <sheetName val="boq_E"/>
      <sheetName val="boq_M"/>
      <sheetName val="boq_Ms"/>
      <sheetName val="boq_P"/>
      <sheetName val="boq_C"/>
      <sheetName val="(31)"/>
      <sheetName val="Plant &amp;  Machinery"/>
      <sheetName val="Reference Data"/>
      <sheetName val="Sum1"/>
      <sheetName val="fa-pl &amp; myy_x000b__"/>
      <sheetName val="TBAL9697__x000d_grotp_w27"/>
      <sheetName val="TBAL9697__x005f_x005f_x26"/>
      <sheetName val="TBAL9697__x000d_grotp_wis27"/>
      <sheetName val="TBAL9697__x005f_x005f_x27"/>
      <sheetName val="TBAL9697__x005f_x000a_grotp_wi2"/>
      <sheetName val="CORPN_O_x005f_x005f_x0002"/>
      <sheetName val="TBAL9697__x25"/>
      <sheetName val="TBAL9697__x000d_grotp_w29"/>
      <sheetName val="TBAL9697__x000d_grotp_w28"/>
      <sheetName val="TBAL9697__x000d_grotp_w30"/>
      <sheetName val="TBAL9697_ grotp_wi1"/>
      <sheetName val="TBAL9697_ grotp_wise_31"/>
      <sheetName val="TBAL9697_ grotp_wis26"/>
      <sheetName val="TBAL9697__x000d_grotp_wis28"/>
      <sheetName val="TBAL9697__x005f_x005f_x28"/>
      <sheetName val="TBAL9697__x005f_x000a_grotp_wi3"/>
      <sheetName val="CORPN_O_x005f_x005f_x0003"/>
      <sheetName val="CORPN_O_x0000_T31"/>
      <sheetName val="TBAL9697__x005f_x000d_grotp_w31"/>
      <sheetName val="TBAL9697__x000d_grotp_wis29"/>
      <sheetName val="TBAL9697__x005f_x005f_x29"/>
      <sheetName val="TBAL9697__x005f_x000a_grotp_wi4"/>
      <sheetName val="CORPN_O_x005f_x005f_x0004"/>
      <sheetName val="_x0003_dpl_oth_Lia`32"/>
      <sheetName val="TBAL9697__x000d_grotp_wise_32"/>
      <sheetName val="fa-pl_&amp;_myy_x000b__x000b__x00"/>
      <sheetName val="fa-pl_&amp;_myy_x000b__"/>
      <sheetName val="CORPN_O_x0000_T32"/>
      <sheetName val="TBAL9697__x005f_x000d_grotp_w32"/>
      <sheetName val="TBAL9697__x000d_grotp_wis30"/>
      <sheetName val="TBAL9697__x005f_x005f_x30"/>
      <sheetName val="fa-pl_&amp;_myy_x000b__x000b__x01"/>
      <sheetName val="fa-pl_&amp;_myy_x000b__x000b__x02"/>
      <sheetName val="_x0003_dpl_oth_Lia`38"/>
      <sheetName val="TBAL9697__x000d_grotp_wise_38"/>
      <sheetName val="CORPN_O_x0000_T38"/>
      <sheetName val="TBAL9697__x005f_x000d_grotp_w38"/>
      <sheetName val="TBAL9697__x000d_grotp_wis36"/>
      <sheetName val="_x0003_dpl_oth_Lia`34"/>
      <sheetName val="TBAL9697__x000d_grotp_wise_34"/>
      <sheetName val="CORPN_O_x0000_T34"/>
      <sheetName val="TBAL9697__x005f_x000d_grotp_w34"/>
      <sheetName val="TBAL9697__x000d_grotp_wis32"/>
      <sheetName val="_x0003_dpl_oth_Lia`33"/>
      <sheetName val="TBAL9697__x000d_grotp_wise_33"/>
      <sheetName val="CORPN_O_x0000_T33"/>
      <sheetName val="TBAL9697__x005f_x000d_grotp_w33"/>
      <sheetName val="TBAL9697__x000d_grotp_wis31"/>
      <sheetName val="_x0003_dpl_oth_Lia`35"/>
      <sheetName val="TBAL9697__x000d_grotp_wise_35"/>
      <sheetName val="CORPN_O_x0000_T35"/>
      <sheetName val="TBAL9697__x005f_x000d_grotp_w35"/>
      <sheetName val="TBAL9697__x000d_grotp_wis33"/>
      <sheetName val="_x0003_dpl_oth_Lia`36"/>
      <sheetName val="TBAL9697__x000d_grotp_wise_36"/>
      <sheetName val="CORPN_O_x0000_T36"/>
      <sheetName val="TBAL9697__x005f_x000d_grotp_w36"/>
      <sheetName val="TBAL9697__x000d_grotp_wis34"/>
      <sheetName val="_x0003_dpl_oth_Lia`37"/>
      <sheetName val="TBAL9697__x000d_grotp_wise_37"/>
      <sheetName val="CORPN_O_x0000_T37"/>
      <sheetName val="TBAL9697__x005f_x000d_grotp_w37"/>
      <sheetName val="TBAL9697__x000d_grotp_wis35"/>
      <sheetName val="_x0003_dpl_oth_Lia`44"/>
      <sheetName val="TBAL9697__x000d_grotp_wise_44"/>
      <sheetName val="CORPN_O_x0000_T44"/>
      <sheetName val="TBAL9697__x005f_x000d_grotp_w44"/>
      <sheetName val="TBAL9697__x000d_grotp_wis42"/>
      <sheetName val="_x0003_dpl_oth_Lia`39"/>
      <sheetName val="TBAL9697__x000d_grotp_wise_39"/>
      <sheetName val="CORPN_O_x0000_T39"/>
      <sheetName val="TBAL9697__x005f_x000d_grotp_w39"/>
      <sheetName val="TBAL9697__x000d_grotp_wis37"/>
      <sheetName val="_x0003_dpl_oth_Lia`40"/>
      <sheetName val="TBAL9697__x000d_grotp_wise_40"/>
      <sheetName val="CORPN_O_x0000_T40"/>
      <sheetName val="TBAL9697__x005f_x000d_grotp_w40"/>
      <sheetName val="TBAL9697__x000d_grotp_wis38"/>
      <sheetName val="_x0003_dpl_oth_Lia`42"/>
      <sheetName val="TBAL9697__x000d_grotp_wise_42"/>
      <sheetName val="CORPN_O_x0000_T42"/>
      <sheetName val="TBAL9697__x005f_x000d_grotp_w42"/>
      <sheetName val="TBAL9697__x000d_grotp_wis40"/>
      <sheetName val="_x0003_dpl_oth_Lia`41"/>
      <sheetName val="TBAL9697__x000d_grotp_wise_41"/>
      <sheetName val="CORPN_O_x0000_T41"/>
      <sheetName val="TBAL9697__x005f_x000d_grotp_w41"/>
      <sheetName val="TBAL9697__x000d_grotp_wis39"/>
      <sheetName val="_x0003_dpl_oth_Lia`43"/>
      <sheetName val="TBAL9697__x000d_grotp_wise_43"/>
      <sheetName val="CORPN_O_x0000_T43"/>
      <sheetName val="TBAL9697__x005f_x000d_grotp_w43"/>
      <sheetName val="TBAL9697__x000d_grotp_wis41"/>
      <sheetName val="_x0003_dpl_oth_Lia`45"/>
      <sheetName val="TBAL9697__x000d_grotp_wise_45"/>
      <sheetName val="CORPN_O_x0000_T45"/>
      <sheetName val="TBAL9697__x005f_x000d_grotp_w45"/>
      <sheetName val="TBAL9697__x000d_grotp_wis43"/>
      <sheetName val="_x0003_dpl_oth_Lia`58"/>
      <sheetName val="TBAL9697__x000d_grotp_wise_58"/>
      <sheetName val="CORPN_O_x0000_T58"/>
      <sheetName val="TBAL9697__x005f_x000d_grotp_w58"/>
      <sheetName val="TBAL9697__x000d_grotp_wis56"/>
      <sheetName val="_x0003_dpl_oth_Lia`46"/>
      <sheetName val="TBAL9697__x000d_grotp_wise_46"/>
      <sheetName val="CORPN_O_x0000_T46"/>
      <sheetName val="TBAL9697__x005f_x000d_grotp_w46"/>
      <sheetName val="TBAL9697__x000d_grotp_wis44"/>
      <sheetName val="_x0003_dpl_oth_Lia`47"/>
      <sheetName val="TBAL9697__x000d_grotp_wise_47"/>
      <sheetName val="CORPN_O_x0000_T47"/>
      <sheetName val="TBAL9697__x005f_x000d_grotp_w47"/>
      <sheetName val="TBAL9697__x000d_grotp_wis45"/>
      <sheetName val="_x0003_dpl_oth_Lia`50"/>
      <sheetName val="TBAL9697__x000d_grotp_wise_50"/>
      <sheetName val="CORPN_O_x0000_T50"/>
      <sheetName val="TBAL9697__x005f_x000d_grotp_w50"/>
      <sheetName val="TBAL9697__x000d_grotp_wis48"/>
      <sheetName val="_x0003_dpl_oth_Lia`48"/>
      <sheetName val="TBAL9697__x000d_grotp_wise_48"/>
      <sheetName val="CORPN_O_x0000_T48"/>
      <sheetName val="TBAL9697__x005f_x000d_grotp_w48"/>
      <sheetName val="TBAL9697__x000d_grotp_wis46"/>
      <sheetName val="_x0003_dpl_oth_Lia`49"/>
      <sheetName val="TBAL9697__x000d_grotp_wise_49"/>
      <sheetName val="CORPN_O_x0000_T49"/>
      <sheetName val="TBAL9697__x005f_x000d_grotp_w49"/>
      <sheetName val="TBAL9697__x000d_grotp_wis47"/>
      <sheetName val="_x0003_dpl_oth_Lia`51"/>
      <sheetName val="TBAL9697__x000d_grotp_wise_51"/>
      <sheetName val="CORPN_O_x0000_T51"/>
      <sheetName val="TBAL9697__x005f_x000d_grotp_w51"/>
      <sheetName val="TBAL9697__x000d_grotp_wis49"/>
      <sheetName val="_x0003_dpl_oth_Lia`52"/>
      <sheetName val="TBAL9697__x000d_grotp_wise_52"/>
      <sheetName val="CORPN_O_x0000_T52"/>
      <sheetName val="TBAL9697__x005f_x000d_grotp_w52"/>
      <sheetName val="TBAL9697__x000d_grotp_wis50"/>
      <sheetName val="_x0003_dpl_oth_Lia`53"/>
      <sheetName val="TBAL9697__x000d_grotp_wise_53"/>
      <sheetName val="CORPN_O_x0000_T53"/>
      <sheetName val="TBAL9697__x005f_x000d_grotp_w53"/>
      <sheetName val="TBAL9697__x000d_grotp_wis51"/>
      <sheetName val="_x0003_dpl_oth_Lia`54"/>
      <sheetName val="TBAL9697__x000d_grotp_wise_54"/>
      <sheetName val="CORPN_O_x0000_T54"/>
      <sheetName val="TBAL9697__x005f_x000d_grotp_w54"/>
      <sheetName val="TBAL9697__x000d_grotp_wis52"/>
      <sheetName val="_x0003_dpl_oth_Lia`55"/>
      <sheetName val="TBAL9697__x000d_grotp_wise_55"/>
      <sheetName val="CORPN_O_x0000_T55"/>
      <sheetName val="TBAL9697__x005f_x000d_grotp_w55"/>
      <sheetName val="TBAL9697__x000d_grotp_wis53"/>
      <sheetName val="_x0003_dpl_oth_Lia`57"/>
      <sheetName val="TBAL9697__x000d_grotp_wise_57"/>
      <sheetName val="CORPN_O_x0000_T57"/>
      <sheetName val="TBAL9697__x005f_x000d_grotp_w57"/>
      <sheetName val="TBAL9697__x000d_grotp_wis55"/>
      <sheetName val="_x0003_dpl_oth_Lia`56"/>
      <sheetName val="TBAL9697__x000d_grotp_wise_56"/>
      <sheetName val="CORPN_O_x0000_T56"/>
      <sheetName val="TBAL9697__x005f_x000d_grotp_w56"/>
      <sheetName val="TBAL9697__x000d_grotp_wis54"/>
      <sheetName val="_x0003_dpl_oth_Lia`59"/>
      <sheetName val="TBAL9697__x000d_grotp_wise_59"/>
      <sheetName val="CORPN_O_x0000_T59"/>
      <sheetName val="TBAL9697__x005f_x000d_grotp_w59"/>
      <sheetName val="TBAL9697__x000d_grotp_wis57"/>
      <sheetName val="_x0003_dpl_oth_Lia`60"/>
      <sheetName val="TBAL9697__x000d_grotp_wise_60"/>
      <sheetName val="CORPN_O_x0000_T60"/>
      <sheetName val="TBAL9697__x005f_x000d_grotp_w60"/>
      <sheetName val="TBAL9697__x000d_grotp_wis58"/>
      <sheetName val="_x0003_dpl_oth_Lia`61"/>
      <sheetName val="TBAL9697__x000d_grotp_wise_61"/>
      <sheetName val="CORPN_O_x0000_T61"/>
      <sheetName val="TBAL9697__x005f_x000d_grotp_w61"/>
      <sheetName val="TBAL9697__x000d_grotp_wis59"/>
      <sheetName val="DBM"/>
      <sheetName val="LB020A(月)"/>
      <sheetName val="PB_WORK1"/>
      <sheetName val="Basement_Budget1"/>
      <sheetName val="TBAL9697__x000a_grotp_wi2"/>
      <sheetName val="TBAL9697__x000a_grotp_wi4"/>
      <sheetName val="TBAL9697__x000a_grotp_wi3"/>
      <sheetName val="TBAL9697__x000a_grotp_wi5"/>
      <sheetName val="TBAL9697__x000a_grotp_wi6"/>
      <sheetName val="TBAL9697__x000a_grotp_wi7"/>
      <sheetName val="TBAL9697__x000a_grotp_wi8"/>
      <sheetName val="TBAL9697__x000a_grotp_wi9"/>
      <sheetName val="TBAL9697__x000a_grotp_w10"/>
      <sheetName val="TBAL9697__x000a_grotp_w16"/>
      <sheetName val="TBAL9697__x000a_grotp_w12"/>
      <sheetName val="TBAL9697__x000a_grotp_w11"/>
      <sheetName val="TBAL9697__x000a_grotp_w13"/>
      <sheetName val="TBAL9697__x000a_grotp_w14"/>
      <sheetName val="TBAL9697__x000a_grotp_w15"/>
      <sheetName val="TBAL9697__x000a_grotp_w22"/>
      <sheetName val="TBAL9697__x000a_grotp_w17"/>
      <sheetName val="TBAL9697__x000a_grotp_w18"/>
      <sheetName val="TBAL9697__x000a_grotp_w19"/>
      <sheetName val="TBAL9697__x000a_grotp_w20"/>
      <sheetName val="TBAL9697__x000a_grotp_w21"/>
      <sheetName val="TBAL9697__x000a_grotp_w23"/>
      <sheetName val="TBAL9697__x000a_grotp_w24"/>
      <sheetName val="TBAL9697__x000a_grotp_w25"/>
      <sheetName val="TBAL9697__x000a_grotp_w26"/>
      <sheetName val="dpl_ot"/>
      <sheetName val="PB_WORK"/>
      <sheetName val="Basement_Budget"/>
      <sheetName val="PB_WORK2"/>
      <sheetName val="Basement_Budget2"/>
      <sheetName val="PB_WORK3"/>
      <sheetName val="Basement_Budget3"/>
      <sheetName val="TBAL9697__grotp_wis40"/>
      <sheetName val="dlvoid"/>
      <sheetName val="Comparative"/>
      <sheetName val="E &amp; R"/>
      <sheetName val="radar"/>
      <sheetName val="UG"/>
      <sheetName val="Cost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34">
          <cell r="A34" t="str">
            <v>Investments Govt Securities</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34">
          <cell r="A34" t="str">
            <v>Investments Govt Securities</v>
          </cell>
        </row>
      </sheetData>
      <sheetData sheetId="66">
        <row r="34">
          <cell r="A34" t="str">
            <v>Investments Govt Securities</v>
          </cell>
        </row>
      </sheetData>
      <sheetData sheetId="67">
        <row r="34">
          <cell r="A34" t="str">
            <v>Investments Govt Securities</v>
          </cell>
        </row>
      </sheetData>
      <sheetData sheetId="68">
        <row r="34">
          <cell r="A34" t="str">
            <v>Investments Govt Securities</v>
          </cell>
        </row>
      </sheetData>
      <sheetData sheetId="69">
        <row r="34">
          <cell r="A34" t="str">
            <v>Investments Govt Securities</v>
          </cell>
        </row>
      </sheetData>
      <sheetData sheetId="70">
        <row r="34">
          <cell r="A34" t="str">
            <v>Investments Govt Securities</v>
          </cell>
        </row>
      </sheetData>
      <sheetData sheetId="71">
        <row r="34">
          <cell r="A34" t="str">
            <v>Investments Govt Securities</v>
          </cell>
        </row>
      </sheetData>
      <sheetData sheetId="72">
        <row r="34">
          <cell r="A34" t="str">
            <v>Investments Govt Securities</v>
          </cell>
        </row>
      </sheetData>
      <sheetData sheetId="73" refreshError="1"/>
      <sheetData sheetId="74">
        <row r="34">
          <cell r="A34" t="str">
            <v>Investments Govt Securities</v>
          </cell>
        </row>
      </sheetData>
      <sheetData sheetId="75" refreshError="1"/>
      <sheetData sheetId="76">
        <row r="34">
          <cell r="A34" t="str">
            <v>Investments Govt Securities</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ow r="34">
          <cell r="A34" t="str">
            <v>Investments Govt Securities</v>
          </cell>
        </row>
      </sheetData>
      <sheetData sheetId="340">
        <row r="34">
          <cell r="A34" t="str">
            <v>Investments Govt Securities</v>
          </cell>
        </row>
      </sheetData>
      <sheetData sheetId="341" refreshError="1"/>
      <sheetData sheetId="342" refreshError="1"/>
      <sheetData sheetId="343" refreshError="1"/>
      <sheetData sheetId="344" refreshError="1"/>
      <sheetData sheetId="345" refreshError="1"/>
      <sheetData sheetId="346" refreshError="1"/>
      <sheetData sheetId="347">
        <row r="34">
          <cell r="A34" t="str">
            <v>Investments Govt Securities</v>
          </cell>
        </row>
      </sheetData>
      <sheetData sheetId="348">
        <row r="34">
          <cell r="A34" t="str">
            <v>Investments Govt Securities</v>
          </cell>
        </row>
      </sheetData>
      <sheetData sheetId="349">
        <row r="34">
          <cell r="A34" t="str">
            <v>Investments Govt Securities</v>
          </cell>
        </row>
      </sheetData>
      <sheetData sheetId="350">
        <row r="34">
          <cell r="A34" t="str">
            <v>Investments Govt Securities</v>
          </cell>
        </row>
      </sheetData>
      <sheetData sheetId="351">
        <row r="34">
          <cell r="A34" t="str">
            <v>Investments Govt Securities</v>
          </cell>
        </row>
      </sheetData>
      <sheetData sheetId="352">
        <row r="34">
          <cell r="A34" t="str">
            <v>Investments Govt Securities</v>
          </cell>
        </row>
      </sheetData>
      <sheetData sheetId="353">
        <row r="34">
          <cell r="A34" t="str">
            <v>Investments Govt Securities</v>
          </cell>
        </row>
      </sheetData>
      <sheetData sheetId="354">
        <row r="34">
          <cell r="A34" t="str">
            <v>Investments Govt Securities</v>
          </cell>
        </row>
      </sheetData>
      <sheetData sheetId="355">
        <row r="34">
          <cell r="A34" t="str">
            <v>Investments Govt Securities</v>
          </cell>
        </row>
      </sheetData>
      <sheetData sheetId="356">
        <row r="34">
          <cell r="A34" t="str">
            <v>Investments Govt Securities</v>
          </cell>
        </row>
      </sheetData>
      <sheetData sheetId="357">
        <row r="34">
          <cell r="A34" t="str">
            <v>Investments Govt Securities</v>
          </cell>
        </row>
      </sheetData>
      <sheetData sheetId="358">
        <row r="34">
          <cell r="A34" t="str">
            <v>Investments Govt Securities</v>
          </cell>
        </row>
      </sheetData>
      <sheetData sheetId="359">
        <row r="34">
          <cell r="A34" t="str">
            <v>Investments Govt Securities</v>
          </cell>
        </row>
      </sheetData>
      <sheetData sheetId="360">
        <row r="34">
          <cell r="A34" t="str">
            <v>Investments Govt Securities</v>
          </cell>
        </row>
      </sheetData>
      <sheetData sheetId="361">
        <row r="34">
          <cell r="A34" t="str">
            <v>Investments Govt Securities</v>
          </cell>
        </row>
      </sheetData>
      <sheetData sheetId="362">
        <row r="34">
          <cell r="A34" t="str">
            <v>Investments Govt Securities</v>
          </cell>
        </row>
      </sheetData>
      <sheetData sheetId="363">
        <row r="34">
          <cell r="A34" t="str">
            <v>Investments Govt Securities</v>
          </cell>
        </row>
      </sheetData>
      <sheetData sheetId="364">
        <row r="34">
          <cell r="A34" t="str">
            <v>Investments Govt Securities</v>
          </cell>
        </row>
      </sheetData>
      <sheetData sheetId="365">
        <row r="34">
          <cell r="A34" t="str">
            <v>Investments Govt Securities</v>
          </cell>
        </row>
      </sheetData>
      <sheetData sheetId="366">
        <row r="34">
          <cell r="A34" t="str">
            <v>Investments Govt Securities</v>
          </cell>
        </row>
      </sheetData>
      <sheetData sheetId="367">
        <row r="34">
          <cell r="A34" t="str">
            <v>Investments Govt Securities</v>
          </cell>
        </row>
      </sheetData>
      <sheetData sheetId="368">
        <row r="34">
          <cell r="A34" t="str">
            <v>Investments Govt Securities</v>
          </cell>
        </row>
      </sheetData>
      <sheetData sheetId="369">
        <row r="34">
          <cell r="A34" t="str">
            <v>Investments Govt Securities</v>
          </cell>
        </row>
      </sheetData>
      <sheetData sheetId="370">
        <row r="34">
          <cell r="A34" t="str">
            <v>Investments Govt Securities</v>
          </cell>
        </row>
      </sheetData>
      <sheetData sheetId="371">
        <row r="34">
          <cell r="A34" t="str">
            <v>Investments Govt Securities</v>
          </cell>
        </row>
      </sheetData>
      <sheetData sheetId="372">
        <row r="34">
          <cell r="A34" t="str">
            <v>Investments Govt Securities</v>
          </cell>
        </row>
      </sheetData>
      <sheetData sheetId="373">
        <row r="34">
          <cell r="A34" t="str">
            <v>Investments Govt Securities</v>
          </cell>
        </row>
      </sheetData>
      <sheetData sheetId="374">
        <row r="34">
          <cell r="A34" t="str">
            <v>Investments Govt Securities</v>
          </cell>
        </row>
      </sheetData>
      <sheetData sheetId="375">
        <row r="34">
          <cell r="A34" t="str">
            <v>Investments Govt Securities</v>
          </cell>
        </row>
      </sheetData>
      <sheetData sheetId="376">
        <row r="34">
          <cell r="A34" t="str">
            <v>Investments Govt Securities</v>
          </cell>
        </row>
      </sheetData>
      <sheetData sheetId="377">
        <row r="34">
          <cell r="A34" t="str">
            <v>Investments Govt Securities</v>
          </cell>
        </row>
      </sheetData>
      <sheetData sheetId="378">
        <row r="34">
          <cell r="A34" t="str">
            <v>Investments Govt Securities</v>
          </cell>
        </row>
      </sheetData>
      <sheetData sheetId="379">
        <row r="34">
          <cell r="A34" t="str">
            <v>Investments Govt Securities</v>
          </cell>
        </row>
      </sheetData>
      <sheetData sheetId="380">
        <row r="34">
          <cell r="A34" t="str">
            <v>Investments Govt Securities</v>
          </cell>
        </row>
      </sheetData>
      <sheetData sheetId="381">
        <row r="34">
          <cell r="A34" t="str">
            <v>Investments Govt Securities</v>
          </cell>
        </row>
      </sheetData>
      <sheetData sheetId="382">
        <row r="34">
          <cell r="A34" t="str">
            <v>Investments Govt Securities</v>
          </cell>
        </row>
      </sheetData>
      <sheetData sheetId="383">
        <row r="34">
          <cell r="A34" t="str">
            <v>Investments Govt Securities</v>
          </cell>
        </row>
      </sheetData>
      <sheetData sheetId="384">
        <row r="34">
          <cell r="A34" t="str">
            <v>Investments Govt Securities</v>
          </cell>
        </row>
      </sheetData>
      <sheetData sheetId="385">
        <row r="34">
          <cell r="A34" t="str">
            <v>Investments Govt Securities</v>
          </cell>
        </row>
      </sheetData>
      <sheetData sheetId="386">
        <row r="34">
          <cell r="A34" t="str">
            <v>Investments Govt Securities</v>
          </cell>
        </row>
      </sheetData>
      <sheetData sheetId="387">
        <row r="34">
          <cell r="A34" t="str">
            <v>Investments Govt Securities</v>
          </cell>
        </row>
      </sheetData>
      <sheetData sheetId="388">
        <row r="34">
          <cell r="A34" t="str">
            <v>Investments Govt Securities</v>
          </cell>
        </row>
      </sheetData>
      <sheetData sheetId="389">
        <row r="34">
          <cell r="A34" t="str">
            <v>Investments Govt Securities</v>
          </cell>
        </row>
      </sheetData>
      <sheetData sheetId="390">
        <row r="34">
          <cell r="A34" t="str">
            <v>Investments Govt Securities</v>
          </cell>
        </row>
      </sheetData>
      <sheetData sheetId="391">
        <row r="34">
          <cell r="A34" t="str">
            <v>Investments Govt Securities</v>
          </cell>
        </row>
      </sheetData>
      <sheetData sheetId="392">
        <row r="34">
          <cell r="A34" t="str">
            <v>Investments Govt Securities</v>
          </cell>
        </row>
      </sheetData>
      <sheetData sheetId="393">
        <row r="34">
          <cell r="A34" t="str">
            <v>Investments Govt Securities</v>
          </cell>
        </row>
      </sheetData>
      <sheetData sheetId="394">
        <row r="34">
          <cell r="A34" t="str">
            <v>Investments Govt Securities</v>
          </cell>
        </row>
      </sheetData>
      <sheetData sheetId="395">
        <row r="34">
          <cell r="A34" t="str">
            <v>Investments Govt Securities</v>
          </cell>
        </row>
      </sheetData>
      <sheetData sheetId="396">
        <row r="34">
          <cell r="A34" t="str">
            <v>Investments Govt Securities</v>
          </cell>
        </row>
      </sheetData>
      <sheetData sheetId="397">
        <row r="34">
          <cell r="A34" t="str">
            <v>Investments Govt Securities</v>
          </cell>
        </row>
      </sheetData>
      <sheetData sheetId="398">
        <row r="34">
          <cell r="A34" t="str">
            <v>Investments Govt Securities</v>
          </cell>
        </row>
      </sheetData>
      <sheetData sheetId="399">
        <row r="34">
          <cell r="A34" t="str">
            <v>Investments Govt Securities</v>
          </cell>
        </row>
      </sheetData>
      <sheetData sheetId="400">
        <row r="34">
          <cell r="A34" t="str">
            <v>Investments Govt Securities</v>
          </cell>
        </row>
      </sheetData>
      <sheetData sheetId="401">
        <row r="34">
          <cell r="A34" t="str">
            <v>Investments Govt Securities</v>
          </cell>
        </row>
      </sheetData>
      <sheetData sheetId="402">
        <row r="34">
          <cell r="A34" t="str">
            <v>Investments Govt Securities</v>
          </cell>
        </row>
      </sheetData>
      <sheetData sheetId="403">
        <row r="34">
          <cell r="A34" t="str">
            <v>Investments Govt Securities</v>
          </cell>
        </row>
      </sheetData>
      <sheetData sheetId="404">
        <row r="34">
          <cell r="A34" t="str">
            <v>Investments Govt Securities</v>
          </cell>
        </row>
      </sheetData>
      <sheetData sheetId="405">
        <row r="34">
          <cell r="A34" t="str">
            <v>Investments Govt Securities</v>
          </cell>
        </row>
      </sheetData>
      <sheetData sheetId="406">
        <row r="34">
          <cell r="A34" t="str">
            <v>Investments Govt Securities</v>
          </cell>
        </row>
      </sheetData>
      <sheetData sheetId="407">
        <row r="34">
          <cell r="A34" t="str">
            <v>Investments Govt Securities</v>
          </cell>
        </row>
      </sheetData>
      <sheetData sheetId="408">
        <row r="34">
          <cell r="A34" t="str">
            <v>Investments Govt Securities</v>
          </cell>
        </row>
      </sheetData>
      <sheetData sheetId="409">
        <row r="34">
          <cell r="A34" t="str">
            <v>Investments Govt Securities</v>
          </cell>
        </row>
      </sheetData>
      <sheetData sheetId="410">
        <row r="34">
          <cell r="A34" t="str">
            <v>Investments Govt Securities</v>
          </cell>
        </row>
      </sheetData>
      <sheetData sheetId="411">
        <row r="34">
          <cell r="A34" t="str">
            <v>Investments Govt Securities</v>
          </cell>
        </row>
      </sheetData>
      <sheetData sheetId="412">
        <row r="34">
          <cell r="A34" t="str">
            <v>Investments Govt Securities</v>
          </cell>
        </row>
      </sheetData>
      <sheetData sheetId="413">
        <row r="34">
          <cell r="A34" t="str">
            <v>Investments Govt Securities</v>
          </cell>
        </row>
      </sheetData>
      <sheetData sheetId="414">
        <row r="34">
          <cell r="A34" t="str">
            <v>Investments Govt Securities</v>
          </cell>
        </row>
      </sheetData>
      <sheetData sheetId="415">
        <row r="34">
          <cell r="A34" t="str">
            <v>Investments Govt Securities</v>
          </cell>
        </row>
      </sheetData>
      <sheetData sheetId="416">
        <row r="34">
          <cell r="A34" t="str">
            <v>Investments Govt Securities</v>
          </cell>
        </row>
      </sheetData>
      <sheetData sheetId="417">
        <row r="34">
          <cell r="A34" t="str">
            <v>Investments Govt Securities</v>
          </cell>
        </row>
      </sheetData>
      <sheetData sheetId="418">
        <row r="34">
          <cell r="A34" t="str">
            <v>Investments Govt Securities</v>
          </cell>
        </row>
      </sheetData>
      <sheetData sheetId="419">
        <row r="34">
          <cell r="A34" t="str">
            <v>Investments Govt Securities</v>
          </cell>
        </row>
      </sheetData>
      <sheetData sheetId="420">
        <row r="34">
          <cell r="A34" t="str">
            <v>Investments Govt Securities</v>
          </cell>
        </row>
      </sheetData>
      <sheetData sheetId="421">
        <row r="34">
          <cell r="A34" t="str">
            <v>Investments Govt Securities</v>
          </cell>
        </row>
      </sheetData>
      <sheetData sheetId="422">
        <row r="34">
          <cell r="A34" t="str">
            <v>Investments Govt Securities</v>
          </cell>
        </row>
      </sheetData>
      <sheetData sheetId="423">
        <row r="34">
          <cell r="A34" t="str">
            <v>Investments Govt Securities</v>
          </cell>
        </row>
      </sheetData>
      <sheetData sheetId="424">
        <row r="34">
          <cell r="A34" t="str">
            <v>Investments Govt Securities</v>
          </cell>
        </row>
      </sheetData>
      <sheetData sheetId="425">
        <row r="34">
          <cell r="A34" t="str">
            <v>Investments Govt Securities</v>
          </cell>
        </row>
      </sheetData>
      <sheetData sheetId="426">
        <row r="34">
          <cell r="A34" t="str">
            <v>Investments Govt Securities</v>
          </cell>
        </row>
      </sheetData>
      <sheetData sheetId="427">
        <row r="34">
          <cell r="A34" t="str">
            <v>Investments Govt Securities</v>
          </cell>
        </row>
      </sheetData>
      <sheetData sheetId="428">
        <row r="34">
          <cell r="A34" t="str">
            <v>Investments Govt Securities</v>
          </cell>
        </row>
      </sheetData>
      <sheetData sheetId="429">
        <row r="34">
          <cell r="A34" t="str">
            <v>Investments Govt Securities</v>
          </cell>
        </row>
      </sheetData>
      <sheetData sheetId="430">
        <row r="34">
          <cell r="A34" t="str">
            <v>Investments Govt Securities</v>
          </cell>
        </row>
      </sheetData>
      <sheetData sheetId="431">
        <row r="34">
          <cell r="A34" t="str">
            <v>Investments Govt Securities</v>
          </cell>
        </row>
      </sheetData>
      <sheetData sheetId="432">
        <row r="34">
          <cell r="A34" t="str">
            <v>Investments Govt Securities</v>
          </cell>
        </row>
      </sheetData>
      <sheetData sheetId="433">
        <row r="34">
          <cell r="A34" t="str">
            <v>Investments Govt Securities</v>
          </cell>
        </row>
      </sheetData>
      <sheetData sheetId="434">
        <row r="34">
          <cell r="A34" t="str">
            <v>Investments Govt Securities</v>
          </cell>
        </row>
      </sheetData>
      <sheetData sheetId="435">
        <row r="34">
          <cell r="A34" t="str">
            <v>Investments Govt Securities</v>
          </cell>
        </row>
      </sheetData>
      <sheetData sheetId="436">
        <row r="34">
          <cell r="A34" t="str">
            <v>Investments Govt Securities</v>
          </cell>
        </row>
      </sheetData>
      <sheetData sheetId="437">
        <row r="34">
          <cell r="A34" t="str">
            <v>Investments Govt Securities</v>
          </cell>
        </row>
      </sheetData>
      <sheetData sheetId="438">
        <row r="34">
          <cell r="A34" t="str">
            <v>Investments Govt Securities</v>
          </cell>
        </row>
      </sheetData>
      <sheetData sheetId="439">
        <row r="34">
          <cell r="A34" t="str">
            <v>Investments Govt Securities</v>
          </cell>
        </row>
      </sheetData>
      <sheetData sheetId="440">
        <row r="34">
          <cell r="A34" t="str">
            <v>Investments Govt Securities</v>
          </cell>
        </row>
      </sheetData>
      <sheetData sheetId="441">
        <row r="34">
          <cell r="A34" t="str">
            <v>Investments Govt Securities</v>
          </cell>
        </row>
      </sheetData>
      <sheetData sheetId="442">
        <row r="34">
          <cell r="A34" t="str">
            <v>Investments Govt Securities</v>
          </cell>
        </row>
      </sheetData>
      <sheetData sheetId="443">
        <row r="34">
          <cell r="A34" t="str">
            <v>Investments Govt Securities</v>
          </cell>
        </row>
      </sheetData>
      <sheetData sheetId="444">
        <row r="34">
          <cell r="A34" t="str">
            <v>Investments Govt Securities</v>
          </cell>
        </row>
      </sheetData>
      <sheetData sheetId="445">
        <row r="34">
          <cell r="A34" t="str">
            <v>Investments Govt Securities</v>
          </cell>
        </row>
      </sheetData>
      <sheetData sheetId="446">
        <row r="34">
          <cell r="A34" t="str">
            <v>Investments Govt Securities</v>
          </cell>
        </row>
      </sheetData>
      <sheetData sheetId="447">
        <row r="34">
          <cell r="A34" t="str">
            <v>Investments Govt Securities</v>
          </cell>
        </row>
      </sheetData>
      <sheetData sheetId="448">
        <row r="34">
          <cell r="A34" t="str">
            <v>Investments Govt Securities</v>
          </cell>
        </row>
      </sheetData>
      <sheetData sheetId="449">
        <row r="34">
          <cell r="A34" t="str">
            <v>Investments Govt Securities</v>
          </cell>
        </row>
      </sheetData>
      <sheetData sheetId="450">
        <row r="34">
          <cell r="A34" t="str">
            <v>Investments Govt Securities</v>
          </cell>
        </row>
      </sheetData>
      <sheetData sheetId="451">
        <row r="34">
          <cell r="A34" t="str">
            <v>Investments Govt Securities</v>
          </cell>
        </row>
      </sheetData>
      <sheetData sheetId="452">
        <row r="34">
          <cell r="A34" t="str">
            <v>Investments Govt Securities</v>
          </cell>
        </row>
      </sheetData>
      <sheetData sheetId="453">
        <row r="34">
          <cell r="A34" t="str">
            <v>Investments Govt Securities</v>
          </cell>
        </row>
      </sheetData>
      <sheetData sheetId="454">
        <row r="34">
          <cell r="A34" t="str">
            <v>Investments Govt Securities</v>
          </cell>
        </row>
      </sheetData>
      <sheetData sheetId="455">
        <row r="34">
          <cell r="A34" t="str">
            <v>Investments Govt Securities</v>
          </cell>
        </row>
      </sheetData>
      <sheetData sheetId="456">
        <row r="34">
          <cell r="A34" t="str">
            <v>Investments Govt Securities</v>
          </cell>
        </row>
      </sheetData>
      <sheetData sheetId="457">
        <row r="34">
          <cell r="A34" t="str">
            <v>Investments Govt Securities</v>
          </cell>
        </row>
      </sheetData>
      <sheetData sheetId="458">
        <row r="34">
          <cell r="A34" t="str">
            <v>Investments Govt Securities</v>
          </cell>
        </row>
      </sheetData>
      <sheetData sheetId="459">
        <row r="34">
          <cell r="A34" t="str">
            <v>Investments Govt Securities</v>
          </cell>
        </row>
      </sheetData>
      <sheetData sheetId="460">
        <row r="34">
          <cell r="A34" t="str">
            <v>Investments Govt Securities</v>
          </cell>
        </row>
      </sheetData>
      <sheetData sheetId="461">
        <row r="34">
          <cell r="A34" t="str">
            <v>Investments Govt Securities</v>
          </cell>
        </row>
      </sheetData>
      <sheetData sheetId="462">
        <row r="34">
          <cell r="A34" t="str">
            <v>Investments Govt Securities</v>
          </cell>
        </row>
      </sheetData>
      <sheetData sheetId="463">
        <row r="34">
          <cell r="A34" t="str">
            <v>Investments Govt Securities</v>
          </cell>
        </row>
      </sheetData>
      <sheetData sheetId="464">
        <row r="34">
          <cell r="A34" t="str">
            <v>Investments Govt Securities</v>
          </cell>
        </row>
      </sheetData>
      <sheetData sheetId="465">
        <row r="34">
          <cell r="A34" t="str">
            <v>Investments Govt Securities</v>
          </cell>
        </row>
      </sheetData>
      <sheetData sheetId="466">
        <row r="34">
          <cell r="A34" t="str">
            <v>Investments Govt Securities</v>
          </cell>
        </row>
      </sheetData>
      <sheetData sheetId="467">
        <row r="34">
          <cell r="A34" t="str">
            <v>Investments Govt Securities</v>
          </cell>
        </row>
      </sheetData>
      <sheetData sheetId="468">
        <row r="34">
          <cell r="A34" t="str">
            <v>Investments Govt Securities</v>
          </cell>
        </row>
      </sheetData>
      <sheetData sheetId="469">
        <row r="34">
          <cell r="A34" t="str">
            <v>Investments Govt Securities</v>
          </cell>
        </row>
      </sheetData>
      <sheetData sheetId="470">
        <row r="34">
          <cell r="A34" t="str">
            <v>Investments Govt Securities</v>
          </cell>
        </row>
      </sheetData>
      <sheetData sheetId="471">
        <row r="34">
          <cell r="A34" t="str">
            <v>Investments Govt Securities</v>
          </cell>
        </row>
      </sheetData>
      <sheetData sheetId="472">
        <row r="34">
          <cell r="A34" t="str">
            <v>Investments Govt Securities</v>
          </cell>
        </row>
      </sheetData>
      <sheetData sheetId="473">
        <row r="34">
          <cell r="A34" t="str">
            <v>Investments Govt Securities</v>
          </cell>
        </row>
      </sheetData>
      <sheetData sheetId="474">
        <row r="34">
          <cell r="A34" t="str">
            <v>Investments Govt Securities</v>
          </cell>
        </row>
      </sheetData>
      <sheetData sheetId="475">
        <row r="34">
          <cell r="A34" t="str">
            <v>Investments Govt Securities</v>
          </cell>
        </row>
      </sheetData>
      <sheetData sheetId="476">
        <row r="34">
          <cell r="A34" t="str">
            <v>Investments Govt Securities</v>
          </cell>
        </row>
      </sheetData>
      <sheetData sheetId="477">
        <row r="34">
          <cell r="A34" t="str">
            <v>Investments Govt Securities</v>
          </cell>
        </row>
      </sheetData>
      <sheetData sheetId="478">
        <row r="34">
          <cell r="A34" t="str">
            <v>Investments Govt Securities</v>
          </cell>
        </row>
      </sheetData>
      <sheetData sheetId="479">
        <row r="34">
          <cell r="A34" t="str">
            <v>Investments Govt Securities</v>
          </cell>
        </row>
      </sheetData>
      <sheetData sheetId="480">
        <row r="34">
          <cell r="A34" t="str">
            <v>Investments Govt Securities</v>
          </cell>
        </row>
      </sheetData>
      <sheetData sheetId="481">
        <row r="34">
          <cell r="A34" t="str">
            <v>Investments Govt Securities</v>
          </cell>
        </row>
      </sheetData>
      <sheetData sheetId="482">
        <row r="34">
          <cell r="A34" t="str">
            <v>Investments Govt Securities</v>
          </cell>
        </row>
      </sheetData>
      <sheetData sheetId="483">
        <row r="34">
          <cell r="A34" t="str">
            <v>Investments Govt Securities</v>
          </cell>
        </row>
      </sheetData>
      <sheetData sheetId="484">
        <row r="34">
          <cell r="A34" t="str">
            <v>Investments Govt Securities</v>
          </cell>
        </row>
      </sheetData>
      <sheetData sheetId="485">
        <row r="34">
          <cell r="A34" t="str">
            <v>Investments Govt Securities</v>
          </cell>
        </row>
      </sheetData>
      <sheetData sheetId="486">
        <row r="34">
          <cell r="A34" t="str">
            <v>Investments Govt Securities</v>
          </cell>
        </row>
      </sheetData>
      <sheetData sheetId="487">
        <row r="34">
          <cell r="A34" t="str">
            <v>Investments Govt Securities</v>
          </cell>
        </row>
      </sheetData>
      <sheetData sheetId="488">
        <row r="34">
          <cell r="A34" t="str">
            <v>Investments Govt Securities</v>
          </cell>
        </row>
      </sheetData>
      <sheetData sheetId="489">
        <row r="34">
          <cell r="A34" t="str">
            <v>Investments Govt Securities</v>
          </cell>
        </row>
      </sheetData>
      <sheetData sheetId="490">
        <row r="34">
          <cell r="A34" t="str">
            <v>Investments Govt Securities</v>
          </cell>
        </row>
      </sheetData>
      <sheetData sheetId="491">
        <row r="34">
          <cell r="A34" t="str">
            <v>Investments Govt Securities</v>
          </cell>
        </row>
      </sheetData>
      <sheetData sheetId="492">
        <row r="34">
          <cell r="A34" t="str">
            <v>Investments Govt Securities</v>
          </cell>
        </row>
      </sheetData>
      <sheetData sheetId="493">
        <row r="34">
          <cell r="A34" t="str">
            <v>Investments Govt Securities</v>
          </cell>
        </row>
      </sheetData>
      <sheetData sheetId="494">
        <row r="34">
          <cell r="A34" t="str">
            <v>Investments Govt Securities</v>
          </cell>
        </row>
      </sheetData>
      <sheetData sheetId="495">
        <row r="34">
          <cell r="A34" t="str">
            <v>Investments Govt Securities</v>
          </cell>
        </row>
      </sheetData>
      <sheetData sheetId="496">
        <row r="34">
          <cell r="A34" t="str">
            <v>Investments Govt Securities</v>
          </cell>
        </row>
      </sheetData>
      <sheetData sheetId="497">
        <row r="34">
          <cell r="A34" t="str">
            <v>Investments Govt Securities</v>
          </cell>
        </row>
      </sheetData>
      <sheetData sheetId="498">
        <row r="34">
          <cell r="A34" t="str">
            <v>Investments Govt Securities</v>
          </cell>
        </row>
      </sheetData>
      <sheetData sheetId="499">
        <row r="34">
          <cell r="A34" t="str">
            <v>Investments Govt Securities</v>
          </cell>
        </row>
      </sheetData>
      <sheetData sheetId="500">
        <row r="34">
          <cell r="A34" t="str">
            <v>Investments Govt Securities</v>
          </cell>
        </row>
      </sheetData>
      <sheetData sheetId="501">
        <row r="34">
          <cell r="A34" t="str">
            <v>Investments Govt Securities</v>
          </cell>
        </row>
      </sheetData>
      <sheetData sheetId="502">
        <row r="34">
          <cell r="A34" t="str">
            <v>Investments Govt Securities</v>
          </cell>
        </row>
      </sheetData>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ow r="34">
          <cell r="A34" t="str">
            <v>Investments Govt Securities</v>
          </cell>
        </row>
      </sheetData>
      <sheetData sheetId="532">
        <row r="34">
          <cell r="A34" t="str">
            <v>Investments Govt Securities</v>
          </cell>
        </row>
      </sheetData>
      <sheetData sheetId="533">
        <row r="34">
          <cell r="A34" t="str">
            <v>Investments Govt Securities</v>
          </cell>
        </row>
      </sheetData>
      <sheetData sheetId="534">
        <row r="34">
          <cell r="A34" t="str">
            <v>Investments Govt Securities</v>
          </cell>
        </row>
      </sheetData>
      <sheetData sheetId="535">
        <row r="34">
          <cell r="A34" t="str">
            <v>Investments Govt Securities</v>
          </cell>
        </row>
      </sheetData>
      <sheetData sheetId="536">
        <row r="34">
          <cell r="A34" t="str">
            <v>Investments Govt Securities</v>
          </cell>
        </row>
      </sheetData>
      <sheetData sheetId="537">
        <row r="34">
          <cell r="A34" t="str">
            <v>Investments Govt Securities</v>
          </cell>
        </row>
      </sheetData>
      <sheetData sheetId="538">
        <row r="34">
          <cell r="A34" t="str">
            <v>Investments Govt Securities</v>
          </cell>
        </row>
      </sheetData>
      <sheetData sheetId="539">
        <row r="34">
          <cell r="A34" t="str">
            <v>Investments Govt Securities</v>
          </cell>
        </row>
      </sheetData>
      <sheetData sheetId="540">
        <row r="34">
          <cell r="A34" t="str">
            <v>Investments Govt Securities</v>
          </cell>
        </row>
      </sheetData>
      <sheetData sheetId="541">
        <row r="34">
          <cell r="A34" t="str">
            <v>Investments Govt Securities</v>
          </cell>
        </row>
      </sheetData>
      <sheetData sheetId="542">
        <row r="34">
          <cell r="A34" t="str">
            <v>Investments Govt Securities</v>
          </cell>
        </row>
      </sheetData>
      <sheetData sheetId="543">
        <row r="34">
          <cell r="A34" t="str">
            <v>Investments Govt Securities</v>
          </cell>
        </row>
      </sheetData>
      <sheetData sheetId="544">
        <row r="34">
          <cell r="A34" t="str">
            <v>Investments Govt Securities</v>
          </cell>
        </row>
      </sheetData>
      <sheetData sheetId="545">
        <row r="34">
          <cell r="A34" t="str">
            <v>Investments Govt Securities</v>
          </cell>
        </row>
      </sheetData>
      <sheetData sheetId="546">
        <row r="34">
          <cell r="A34" t="str">
            <v>Investments Govt Securities</v>
          </cell>
        </row>
      </sheetData>
      <sheetData sheetId="547">
        <row r="34">
          <cell r="A34" t="str">
            <v>Investments Govt Securities</v>
          </cell>
        </row>
      </sheetData>
      <sheetData sheetId="548">
        <row r="34">
          <cell r="A34" t="str">
            <v>Investments Govt Securities</v>
          </cell>
        </row>
      </sheetData>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34">
          <cell r="A34" t="str">
            <v>Investments Govt Securities</v>
          </cell>
        </row>
      </sheetData>
      <sheetData sheetId="561">
        <row r="34">
          <cell r="A34" t="str">
            <v>Investments Govt Securities</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ow r="34">
          <cell r="A34" t="str">
            <v>Investments Govt Securities</v>
          </cell>
        </row>
      </sheetData>
      <sheetData sheetId="678">
        <row r="34">
          <cell r="A34" t="str">
            <v>Investments Govt Securities</v>
          </cell>
        </row>
      </sheetData>
      <sheetData sheetId="679">
        <row r="34">
          <cell r="A34" t="str">
            <v>Investments Govt Securities</v>
          </cell>
        </row>
      </sheetData>
      <sheetData sheetId="680">
        <row r="34">
          <cell r="A34" t="str">
            <v>Investments Govt Securities</v>
          </cell>
        </row>
      </sheetData>
      <sheetData sheetId="681">
        <row r="34">
          <cell r="A34" t="str">
            <v>Investments Govt Securities</v>
          </cell>
        </row>
      </sheetData>
      <sheetData sheetId="682">
        <row r="34">
          <cell r="A34" t="str">
            <v>Investments Govt Securities</v>
          </cell>
        </row>
      </sheetData>
      <sheetData sheetId="683">
        <row r="34">
          <cell r="A34" t="str">
            <v>Investments Govt Securities</v>
          </cell>
        </row>
      </sheetData>
      <sheetData sheetId="684">
        <row r="34">
          <cell r="A34" t="str">
            <v>Investments Govt Securities</v>
          </cell>
        </row>
      </sheetData>
      <sheetData sheetId="685">
        <row r="34">
          <cell r="A34" t="str">
            <v>Investments Govt Securities</v>
          </cell>
        </row>
      </sheetData>
      <sheetData sheetId="686">
        <row r="34">
          <cell r="A34" t="str">
            <v>Investments Govt Securities</v>
          </cell>
        </row>
      </sheetData>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ow r="34">
          <cell r="A34" t="str">
            <v>Investments Govt Securities</v>
          </cell>
        </row>
      </sheetData>
      <sheetData sheetId="719"/>
      <sheetData sheetId="720" refreshError="1"/>
      <sheetData sheetId="721" refreshError="1"/>
      <sheetData sheetId="722" refreshError="1"/>
      <sheetData sheetId="723" refreshError="1"/>
      <sheetData sheetId="724">
        <row r="34">
          <cell r="A34" t="str">
            <v>Investments Govt Securities</v>
          </cell>
        </row>
      </sheetData>
      <sheetData sheetId="725">
        <row r="34">
          <cell r="A34" t="str">
            <v>Investments Govt Securities</v>
          </cell>
        </row>
      </sheetData>
      <sheetData sheetId="726">
        <row r="34">
          <cell r="A34" t="str">
            <v>Investments Govt Securities</v>
          </cell>
        </row>
      </sheetData>
      <sheetData sheetId="727">
        <row r="34">
          <cell r="A34" t="str">
            <v>Investments Govt Securities</v>
          </cell>
        </row>
      </sheetData>
      <sheetData sheetId="728">
        <row r="34">
          <cell r="A34" t="str">
            <v>Investments Govt Securities</v>
          </cell>
        </row>
      </sheetData>
      <sheetData sheetId="729">
        <row r="34">
          <cell r="A34" t="str">
            <v>Investments Govt Securities</v>
          </cell>
        </row>
      </sheetData>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ow r="34">
          <cell r="A34" t="str">
            <v>Investments Govt Securities</v>
          </cell>
        </row>
      </sheetData>
      <sheetData sheetId="864">
        <row r="34">
          <cell r="A34" t="str">
            <v>Investments Govt Securities</v>
          </cell>
        </row>
      </sheetData>
      <sheetData sheetId="865">
        <row r="34">
          <cell r="A34" t="str">
            <v>Investments Govt Securities</v>
          </cell>
        </row>
      </sheetData>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ow r="34">
          <cell r="A34" t="str">
            <v>Investments Govt Securities</v>
          </cell>
        </row>
      </sheetData>
      <sheetData sheetId="896">
        <row r="34">
          <cell r="A34" t="str">
            <v>Investments Govt Securities</v>
          </cell>
        </row>
      </sheetData>
      <sheetData sheetId="897">
        <row r="34">
          <cell r="A34" t="str">
            <v>Investments Govt Securities</v>
          </cell>
        </row>
      </sheetData>
      <sheetData sheetId="898">
        <row r="34">
          <cell r="A34" t="str">
            <v>Investments Govt Securities</v>
          </cell>
        </row>
      </sheetData>
      <sheetData sheetId="899">
        <row r="34">
          <cell r="A34" t="str">
            <v>Investments Govt Securities</v>
          </cell>
        </row>
      </sheetData>
      <sheetData sheetId="900">
        <row r="34">
          <cell r="A34" t="str">
            <v>Investments Govt Securities</v>
          </cell>
        </row>
      </sheetData>
      <sheetData sheetId="901">
        <row r="34">
          <cell r="A34" t="str">
            <v>Investments Govt Securities</v>
          </cell>
        </row>
      </sheetData>
      <sheetData sheetId="902">
        <row r="34">
          <cell r="A34" t="str">
            <v>Investments Govt Securities</v>
          </cell>
        </row>
      </sheetData>
      <sheetData sheetId="903">
        <row r="34">
          <cell r="A34" t="str">
            <v>Investments Govt Securities</v>
          </cell>
        </row>
      </sheetData>
      <sheetData sheetId="904">
        <row r="34">
          <cell r="A34" t="str">
            <v>Investments Govt Securities</v>
          </cell>
        </row>
      </sheetData>
      <sheetData sheetId="905">
        <row r="34">
          <cell r="A34" t="str">
            <v>Investments Govt Securities</v>
          </cell>
        </row>
      </sheetData>
      <sheetData sheetId="906">
        <row r="34">
          <cell r="A34" t="str">
            <v>Investments Govt Securities</v>
          </cell>
        </row>
      </sheetData>
      <sheetData sheetId="907">
        <row r="34">
          <cell r="A34" t="str">
            <v>Investments Govt Securities</v>
          </cell>
        </row>
      </sheetData>
      <sheetData sheetId="908">
        <row r="34">
          <cell r="A34" t="str">
            <v>Investments Govt Securities</v>
          </cell>
        </row>
      </sheetData>
      <sheetData sheetId="909">
        <row r="34">
          <cell r="A34" t="str">
            <v>Investments Govt Securities</v>
          </cell>
        </row>
      </sheetData>
      <sheetData sheetId="910">
        <row r="34">
          <cell r="A34" t="str">
            <v>Investments Govt Securities</v>
          </cell>
        </row>
      </sheetData>
      <sheetData sheetId="911">
        <row r="34">
          <cell r="A34" t="str">
            <v>Investments Govt Securities</v>
          </cell>
        </row>
      </sheetData>
      <sheetData sheetId="912">
        <row r="34">
          <cell r="A34" t="str">
            <v>Investments Govt Securities</v>
          </cell>
        </row>
      </sheetData>
      <sheetData sheetId="913">
        <row r="34">
          <cell r="A34" t="str">
            <v>Investments Govt Securities</v>
          </cell>
        </row>
      </sheetData>
      <sheetData sheetId="914">
        <row r="34">
          <cell r="A34" t="str">
            <v>Investments Govt Securities</v>
          </cell>
        </row>
      </sheetData>
      <sheetData sheetId="915" refreshError="1"/>
      <sheetData sheetId="916" refreshError="1"/>
      <sheetData sheetId="917" refreshError="1"/>
      <sheetData sheetId="918" refreshError="1"/>
      <sheetData sheetId="919" refreshError="1"/>
      <sheetData sheetId="920" refreshError="1"/>
      <sheetData sheetId="921" refreshError="1"/>
      <sheetData sheetId="922">
        <row r="34">
          <cell r="A34" t="str">
            <v>Investments Govt Securities</v>
          </cell>
        </row>
      </sheetData>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ow r="34">
          <cell r="A34" t="str">
            <v>Investments Govt Securities</v>
          </cell>
        </row>
      </sheetData>
      <sheetData sheetId="1025">
        <row r="34">
          <cell r="A34" t="str">
            <v>Investments Govt Securities</v>
          </cell>
        </row>
      </sheetData>
      <sheetData sheetId="1026">
        <row r="34">
          <cell r="A34" t="str">
            <v>Investments Govt Securities</v>
          </cell>
        </row>
      </sheetData>
      <sheetData sheetId="1027">
        <row r="34">
          <cell r="A34" t="str">
            <v>Investments Govt Securities</v>
          </cell>
        </row>
      </sheetData>
      <sheetData sheetId="1028">
        <row r="34">
          <cell r="A34" t="str">
            <v>Investments Govt Securities</v>
          </cell>
        </row>
      </sheetData>
      <sheetData sheetId="1029">
        <row r="34">
          <cell r="A34" t="str">
            <v>Investments Govt Securities</v>
          </cell>
        </row>
      </sheetData>
      <sheetData sheetId="1030">
        <row r="34">
          <cell r="A34" t="str">
            <v>Investments Govt Securities</v>
          </cell>
        </row>
      </sheetData>
      <sheetData sheetId="1031">
        <row r="34">
          <cell r="A34" t="str">
            <v>Investments Govt Securities</v>
          </cell>
        </row>
      </sheetData>
      <sheetData sheetId="1032" refreshError="1"/>
      <sheetData sheetId="1033">
        <row r="34">
          <cell r="A34" t="str">
            <v>Investments Govt Securities</v>
          </cell>
        </row>
      </sheetData>
      <sheetData sheetId="1034">
        <row r="34">
          <cell r="A34" t="str">
            <v>Investments Govt Securities</v>
          </cell>
        </row>
      </sheetData>
      <sheetData sheetId="1035">
        <row r="34">
          <cell r="A34" t="str">
            <v>Investments Govt Securities</v>
          </cell>
        </row>
      </sheetData>
      <sheetData sheetId="1036">
        <row r="34">
          <cell r="A34" t="str">
            <v>Investments Govt Securities</v>
          </cell>
        </row>
      </sheetData>
      <sheetData sheetId="1037">
        <row r="34">
          <cell r="A34" t="str">
            <v>Investments Govt Securities</v>
          </cell>
        </row>
      </sheetData>
      <sheetData sheetId="1038">
        <row r="34">
          <cell r="A34" t="str">
            <v>Investments Govt Securities</v>
          </cell>
        </row>
      </sheetData>
      <sheetData sheetId="1039">
        <row r="34">
          <cell r="A34" t="str">
            <v>Investments Govt Securities</v>
          </cell>
        </row>
      </sheetData>
      <sheetData sheetId="1040">
        <row r="34">
          <cell r="A34" t="str">
            <v>Investments Govt Securities</v>
          </cell>
        </row>
      </sheetData>
      <sheetData sheetId="1041">
        <row r="34">
          <cell r="A34" t="str">
            <v>Investments Govt Securities</v>
          </cell>
        </row>
      </sheetData>
      <sheetData sheetId="1042">
        <row r="34">
          <cell r="A34" t="str">
            <v>Investments Govt Securities</v>
          </cell>
        </row>
      </sheetData>
      <sheetData sheetId="1043">
        <row r="34">
          <cell r="A34" t="str">
            <v>Investments Govt Securities</v>
          </cell>
        </row>
      </sheetData>
      <sheetData sheetId="1044">
        <row r="34">
          <cell r="A34" t="str">
            <v>Investments Govt Securities</v>
          </cell>
        </row>
      </sheetData>
      <sheetData sheetId="1045">
        <row r="34">
          <cell r="A34" t="str">
            <v>Investments Govt Securities</v>
          </cell>
        </row>
      </sheetData>
      <sheetData sheetId="1046">
        <row r="34">
          <cell r="A34" t="str">
            <v>Investments Govt Securities</v>
          </cell>
        </row>
      </sheetData>
      <sheetData sheetId="1047">
        <row r="34">
          <cell r="A34" t="str">
            <v>Investments Govt Securities</v>
          </cell>
        </row>
      </sheetData>
      <sheetData sheetId="1048">
        <row r="34">
          <cell r="A34" t="str">
            <v>Investments Govt Securities</v>
          </cell>
        </row>
      </sheetData>
      <sheetData sheetId="1049">
        <row r="34">
          <cell r="A34" t="str">
            <v>Investments Govt Securities</v>
          </cell>
        </row>
      </sheetData>
      <sheetData sheetId="1050">
        <row r="34">
          <cell r="A34" t="str">
            <v>Investments Govt Securities</v>
          </cell>
        </row>
      </sheetData>
      <sheetData sheetId="1051">
        <row r="34">
          <cell r="A34" t="str">
            <v>Investments Govt Securities</v>
          </cell>
        </row>
      </sheetData>
      <sheetData sheetId="1052">
        <row r="34">
          <cell r="A34" t="str">
            <v>Investments Govt Securities</v>
          </cell>
        </row>
      </sheetData>
      <sheetData sheetId="1053">
        <row r="34">
          <cell r="A34" t="str">
            <v>Investments Govt Securities</v>
          </cell>
        </row>
      </sheetData>
      <sheetData sheetId="1054">
        <row r="34">
          <cell r="A34" t="str">
            <v>Investments Govt Securities</v>
          </cell>
        </row>
      </sheetData>
      <sheetData sheetId="1055">
        <row r="34">
          <cell r="A34" t="str">
            <v>Investments Govt Securities</v>
          </cell>
        </row>
      </sheetData>
      <sheetData sheetId="1056">
        <row r="34">
          <cell r="A34" t="str">
            <v>Investments Govt Securities</v>
          </cell>
        </row>
      </sheetData>
      <sheetData sheetId="1057">
        <row r="34">
          <cell r="A34" t="str">
            <v>Investments Govt Securities</v>
          </cell>
        </row>
      </sheetData>
      <sheetData sheetId="1058">
        <row r="34">
          <cell r="A34" t="str">
            <v>Investments Govt Securities</v>
          </cell>
        </row>
      </sheetData>
      <sheetData sheetId="1059">
        <row r="34">
          <cell r="A34" t="str">
            <v>Investments Govt Securities</v>
          </cell>
        </row>
      </sheetData>
      <sheetData sheetId="1060">
        <row r="34">
          <cell r="A34" t="str">
            <v>Investments Govt Securities</v>
          </cell>
        </row>
      </sheetData>
      <sheetData sheetId="1061">
        <row r="34">
          <cell r="A34" t="str">
            <v>Investments Govt Securities</v>
          </cell>
        </row>
      </sheetData>
      <sheetData sheetId="1062">
        <row r="34">
          <cell r="A34" t="str">
            <v>Investments Govt Securities</v>
          </cell>
        </row>
      </sheetData>
      <sheetData sheetId="1063">
        <row r="34">
          <cell r="A34" t="str">
            <v>Investments Govt Securities</v>
          </cell>
        </row>
      </sheetData>
      <sheetData sheetId="1064">
        <row r="34">
          <cell r="A34" t="str">
            <v>Investments Govt Securities</v>
          </cell>
        </row>
      </sheetData>
      <sheetData sheetId="1065">
        <row r="34">
          <cell r="A34" t="str">
            <v>Investments Govt Securities</v>
          </cell>
        </row>
      </sheetData>
      <sheetData sheetId="1066">
        <row r="34">
          <cell r="A34" t="str">
            <v>Investments Govt Securities</v>
          </cell>
        </row>
      </sheetData>
      <sheetData sheetId="1067">
        <row r="34">
          <cell r="A34" t="str">
            <v>Investments Govt Securities</v>
          </cell>
        </row>
      </sheetData>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ow r="34">
          <cell r="A34" t="str">
            <v>Investments Govt Securities</v>
          </cell>
        </row>
      </sheetData>
      <sheetData sheetId="1087">
        <row r="34">
          <cell r="A34" t="str">
            <v>Investments Govt Securities</v>
          </cell>
        </row>
      </sheetData>
      <sheetData sheetId="1088">
        <row r="34">
          <cell r="A34" t="str">
            <v>Investments Govt Securities</v>
          </cell>
        </row>
      </sheetData>
      <sheetData sheetId="1089">
        <row r="34">
          <cell r="A34" t="str">
            <v>Investments Govt Securities</v>
          </cell>
        </row>
      </sheetData>
      <sheetData sheetId="1090">
        <row r="34">
          <cell r="A34" t="str">
            <v>Investments Govt Securities</v>
          </cell>
        </row>
      </sheetData>
      <sheetData sheetId="1091" refreshError="1"/>
      <sheetData sheetId="1092">
        <row r="34">
          <cell r="A34" t="str">
            <v>Investments Govt Securities</v>
          </cell>
        </row>
      </sheetData>
      <sheetData sheetId="1093">
        <row r="34">
          <cell r="A34" t="str">
            <v>Investments Govt Securities</v>
          </cell>
        </row>
      </sheetData>
      <sheetData sheetId="1094">
        <row r="34">
          <cell r="A34" t="str">
            <v>Investments Govt Securities</v>
          </cell>
        </row>
      </sheetData>
      <sheetData sheetId="1095">
        <row r="34">
          <cell r="A34" t="str">
            <v>Investments Govt Securities</v>
          </cell>
        </row>
      </sheetData>
      <sheetData sheetId="1096">
        <row r="34">
          <cell r="A34" t="str">
            <v>Investments Govt Securities</v>
          </cell>
        </row>
      </sheetData>
      <sheetData sheetId="1097" refreshError="1"/>
      <sheetData sheetId="1098">
        <row r="34">
          <cell r="A34" t="str">
            <v>Investments Govt Securities</v>
          </cell>
        </row>
      </sheetData>
      <sheetData sheetId="1099">
        <row r="34">
          <cell r="A34" t="str">
            <v>Investments Govt Securities</v>
          </cell>
        </row>
      </sheetData>
      <sheetData sheetId="1100">
        <row r="34">
          <cell r="A34" t="str">
            <v>Investments Govt Securities</v>
          </cell>
        </row>
      </sheetData>
      <sheetData sheetId="1101">
        <row r="34">
          <cell r="A34" t="str">
            <v>Investments Govt Securities</v>
          </cell>
        </row>
      </sheetData>
      <sheetData sheetId="1102">
        <row r="34">
          <cell r="A34" t="str">
            <v>Investments Govt Securities</v>
          </cell>
        </row>
      </sheetData>
      <sheetData sheetId="1103">
        <row r="34">
          <cell r="A34" t="str">
            <v>Investments Govt Securities</v>
          </cell>
        </row>
      </sheetData>
      <sheetData sheetId="1104">
        <row r="34">
          <cell r="A34" t="str">
            <v>Investments Govt Securities</v>
          </cell>
        </row>
      </sheetData>
      <sheetData sheetId="1105">
        <row r="34">
          <cell r="A34" t="str">
            <v>Investments Govt Securities</v>
          </cell>
        </row>
      </sheetData>
      <sheetData sheetId="1106">
        <row r="34">
          <cell r="A34" t="str">
            <v>Investments Govt Securities</v>
          </cell>
        </row>
      </sheetData>
      <sheetData sheetId="1107">
        <row r="34">
          <cell r="A34" t="str">
            <v>Investments Govt Securities</v>
          </cell>
        </row>
      </sheetData>
      <sheetData sheetId="1108">
        <row r="34">
          <cell r="A34" t="str">
            <v>Investments Govt Securities</v>
          </cell>
        </row>
      </sheetData>
      <sheetData sheetId="1109">
        <row r="34">
          <cell r="A34" t="str">
            <v>Investments Govt Securities</v>
          </cell>
        </row>
      </sheetData>
      <sheetData sheetId="1110">
        <row r="34">
          <cell r="A34" t="str">
            <v>Investments Govt Securities</v>
          </cell>
        </row>
      </sheetData>
      <sheetData sheetId="1111">
        <row r="34">
          <cell r="A34" t="str">
            <v>Investments Govt Securities</v>
          </cell>
        </row>
      </sheetData>
      <sheetData sheetId="1112">
        <row r="34">
          <cell r="A34" t="str">
            <v>Investments Govt Securities</v>
          </cell>
        </row>
      </sheetData>
      <sheetData sheetId="1113">
        <row r="34">
          <cell r="A34" t="str">
            <v>Investments Govt Securities</v>
          </cell>
        </row>
      </sheetData>
      <sheetData sheetId="1114">
        <row r="34">
          <cell r="A34" t="str">
            <v>Investments Govt Securities</v>
          </cell>
        </row>
      </sheetData>
      <sheetData sheetId="1115">
        <row r="34">
          <cell r="A34" t="str">
            <v>Investments Govt Securities</v>
          </cell>
        </row>
      </sheetData>
      <sheetData sheetId="1116">
        <row r="34">
          <cell r="A34" t="str">
            <v>Investments Govt Securities</v>
          </cell>
        </row>
      </sheetData>
      <sheetData sheetId="1117">
        <row r="34">
          <cell r="A34" t="str">
            <v>Investments Govt Securities</v>
          </cell>
        </row>
      </sheetData>
      <sheetData sheetId="1118">
        <row r="34">
          <cell r="A34" t="str">
            <v>Investments Govt Securities</v>
          </cell>
        </row>
      </sheetData>
      <sheetData sheetId="1119">
        <row r="34">
          <cell r="A34" t="str">
            <v>Investments Govt Securities</v>
          </cell>
        </row>
      </sheetData>
      <sheetData sheetId="1120">
        <row r="34">
          <cell r="A34" t="str">
            <v>Investments Govt Securities</v>
          </cell>
        </row>
      </sheetData>
      <sheetData sheetId="1121">
        <row r="34">
          <cell r="A34" t="str">
            <v>Investments Govt Securities</v>
          </cell>
        </row>
      </sheetData>
      <sheetData sheetId="1122">
        <row r="34">
          <cell r="A34" t="str">
            <v>Investments Govt Securities</v>
          </cell>
        </row>
      </sheetData>
      <sheetData sheetId="1123">
        <row r="34">
          <cell r="A34" t="str">
            <v>Investments Govt Securities</v>
          </cell>
        </row>
      </sheetData>
      <sheetData sheetId="1124">
        <row r="34">
          <cell r="A34" t="str">
            <v>Investments Govt Securities</v>
          </cell>
        </row>
      </sheetData>
      <sheetData sheetId="1125">
        <row r="34">
          <cell r="A34" t="str">
            <v>Investments Govt Securities</v>
          </cell>
        </row>
      </sheetData>
      <sheetData sheetId="1126">
        <row r="34">
          <cell r="A34" t="str">
            <v>Investments Govt Securities</v>
          </cell>
        </row>
      </sheetData>
      <sheetData sheetId="1127">
        <row r="34">
          <cell r="A34" t="str">
            <v>Investments Govt Securities</v>
          </cell>
        </row>
      </sheetData>
      <sheetData sheetId="1128">
        <row r="34">
          <cell r="A34" t="str">
            <v>Investments Govt Securities</v>
          </cell>
        </row>
      </sheetData>
      <sheetData sheetId="1129">
        <row r="34">
          <cell r="A34" t="str">
            <v>Investments Govt Securities</v>
          </cell>
        </row>
      </sheetData>
      <sheetData sheetId="1130">
        <row r="34">
          <cell r="A34" t="str">
            <v>Investments Govt Securities</v>
          </cell>
        </row>
      </sheetData>
      <sheetData sheetId="1131">
        <row r="34">
          <cell r="A34" t="str">
            <v>Investments Govt Securities</v>
          </cell>
        </row>
      </sheetData>
      <sheetData sheetId="1132">
        <row r="34">
          <cell r="A34" t="str">
            <v>Investments Govt Securities</v>
          </cell>
        </row>
      </sheetData>
      <sheetData sheetId="1133">
        <row r="34">
          <cell r="A34" t="str">
            <v>Investments Govt Securities</v>
          </cell>
        </row>
      </sheetData>
      <sheetData sheetId="1134">
        <row r="34">
          <cell r="A34" t="str">
            <v>Investments Govt Securities</v>
          </cell>
        </row>
      </sheetData>
      <sheetData sheetId="1135">
        <row r="34">
          <cell r="A34" t="str">
            <v>Investments Govt Securities</v>
          </cell>
        </row>
      </sheetData>
      <sheetData sheetId="1136">
        <row r="34">
          <cell r="A34" t="str">
            <v>Investments Govt Securities</v>
          </cell>
        </row>
      </sheetData>
      <sheetData sheetId="1137">
        <row r="34">
          <cell r="A34" t="str">
            <v>Investments Govt Securities</v>
          </cell>
        </row>
      </sheetData>
      <sheetData sheetId="1138">
        <row r="34">
          <cell r="A34" t="str">
            <v>Investments Govt Securities</v>
          </cell>
        </row>
      </sheetData>
      <sheetData sheetId="1139">
        <row r="34">
          <cell r="A34" t="str">
            <v>Investments Govt Securities</v>
          </cell>
        </row>
      </sheetData>
      <sheetData sheetId="1140">
        <row r="34">
          <cell r="A34" t="str">
            <v>Investments Govt Securities</v>
          </cell>
        </row>
      </sheetData>
      <sheetData sheetId="1141">
        <row r="34">
          <cell r="A34" t="str">
            <v>Investments Govt Securities</v>
          </cell>
        </row>
      </sheetData>
      <sheetData sheetId="1142">
        <row r="34">
          <cell r="A34" t="str">
            <v>Investments Govt Securities</v>
          </cell>
        </row>
      </sheetData>
      <sheetData sheetId="1143">
        <row r="34">
          <cell r="A34" t="str">
            <v>Investments Govt Securities</v>
          </cell>
        </row>
      </sheetData>
      <sheetData sheetId="1144">
        <row r="34">
          <cell r="A34" t="str">
            <v>Investments Govt Securities</v>
          </cell>
        </row>
      </sheetData>
      <sheetData sheetId="1145">
        <row r="34">
          <cell r="A34" t="str">
            <v>Investments Govt Securities</v>
          </cell>
        </row>
      </sheetData>
      <sheetData sheetId="1146">
        <row r="34">
          <cell r="A34" t="str">
            <v>Investments Govt Securities</v>
          </cell>
        </row>
      </sheetData>
      <sheetData sheetId="1147">
        <row r="34">
          <cell r="A34" t="str">
            <v>Investments Govt Securities</v>
          </cell>
        </row>
      </sheetData>
      <sheetData sheetId="1148">
        <row r="34">
          <cell r="A34" t="str">
            <v>Investments Govt Securities</v>
          </cell>
        </row>
      </sheetData>
      <sheetData sheetId="1149">
        <row r="34">
          <cell r="A34" t="str">
            <v>Investments Govt Securities</v>
          </cell>
        </row>
      </sheetData>
      <sheetData sheetId="1150">
        <row r="34">
          <cell r="A34" t="str">
            <v>Investments Govt Securities</v>
          </cell>
        </row>
      </sheetData>
      <sheetData sheetId="1151">
        <row r="34">
          <cell r="A34" t="str">
            <v>Investments Govt Securities</v>
          </cell>
        </row>
      </sheetData>
      <sheetData sheetId="1152">
        <row r="34">
          <cell r="A34" t="str">
            <v>Investments Govt Securities</v>
          </cell>
        </row>
      </sheetData>
      <sheetData sheetId="1153">
        <row r="34">
          <cell r="A34" t="str">
            <v>Investments Govt Securities</v>
          </cell>
        </row>
      </sheetData>
      <sheetData sheetId="1154">
        <row r="34">
          <cell r="A34" t="str">
            <v>Investments Govt Securities</v>
          </cell>
        </row>
      </sheetData>
      <sheetData sheetId="1155">
        <row r="34">
          <cell r="A34" t="str">
            <v>Investments Govt Securities</v>
          </cell>
        </row>
      </sheetData>
      <sheetData sheetId="1156">
        <row r="34">
          <cell r="A34" t="str">
            <v>Investments Govt Securities</v>
          </cell>
        </row>
      </sheetData>
      <sheetData sheetId="1157">
        <row r="34">
          <cell r="A34" t="str">
            <v>Investments Govt Securities</v>
          </cell>
        </row>
      </sheetData>
      <sheetData sheetId="1158">
        <row r="34">
          <cell r="A34" t="str">
            <v>Investments Govt Securities</v>
          </cell>
        </row>
      </sheetData>
      <sheetData sheetId="1159">
        <row r="34">
          <cell r="A34" t="str">
            <v>Investments Govt Securities</v>
          </cell>
        </row>
      </sheetData>
      <sheetData sheetId="1160">
        <row r="34">
          <cell r="A34" t="str">
            <v>Investments Govt Securities</v>
          </cell>
        </row>
      </sheetData>
      <sheetData sheetId="1161">
        <row r="34">
          <cell r="A34" t="str">
            <v>Investments Govt Securities</v>
          </cell>
        </row>
      </sheetData>
      <sheetData sheetId="1162">
        <row r="34">
          <cell r="A34" t="str">
            <v>Investments Govt Securities</v>
          </cell>
        </row>
      </sheetData>
      <sheetData sheetId="1163">
        <row r="34">
          <cell r="A34" t="str">
            <v>Investments Govt Securities</v>
          </cell>
        </row>
      </sheetData>
      <sheetData sheetId="1164">
        <row r="34">
          <cell r="A34" t="str">
            <v>Investments Govt Securities</v>
          </cell>
        </row>
      </sheetData>
      <sheetData sheetId="1165">
        <row r="34">
          <cell r="A34" t="str">
            <v>Investments Govt Securities</v>
          </cell>
        </row>
      </sheetData>
      <sheetData sheetId="1166">
        <row r="34">
          <cell r="A34" t="str">
            <v>Investments Govt Securities</v>
          </cell>
        </row>
      </sheetData>
      <sheetData sheetId="1167">
        <row r="34">
          <cell r="A34" t="str">
            <v>Investments Govt Securities</v>
          </cell>
        </row>
      </sheetData>
      <sheetData sheetId="1168">
        <row r="34">
          <cell r="A34" t="str">
            <v>Investments Govt Securities</v>
          </cell>
        </row>
      </sheetData>
      <sheetData sheetId="1169">
        <row r="34">
          <cell r="A34" t="str">
            <v>Investments Govt Securities</v>
          </cell>
        </row>
      </sheetData>
      <sheetData sheetId="1170">
        <row r="34">
          <cell r="A34" t="str">
            <v>Investments Govt Securities</v>
          </cell>
        </row>
      </sheetData>
      <sheetData sheetId="1171">
        <row r="34">
          <cell r="A34" t="str">
            <v>Investments Govt Securities</v>
          </cell>
        </row>
      </sheetData>
      <sheetData sheetId="1172">
        <row r="34">
          <cell r="A34" t="str">
            <v>Investments Govt Securities</v>
          </cell>
        </row>
      </sheetData>
      <sheetData sheetId="1173">
        <row r="34">
          <cell r="A34" t="str">
            <v>Investments Govt Securities</v>
          </cell>
        </row>
      </sheetData>
      <sheetData sheetId="1174">
        <row r="34">
          <cell r="A34" t="str">
            <v>Investments Govt Securities</v>
          </cell>
        </row>
      </sheetData>
      <sheetData sheetId="1175">
        <row r="34">
          <cell r="A34" t="str">
            <v>Investments Govt Securities</v>
          </cell>
        </row>
      </sheetData>
      <sheetData sheetId="1176">
        <row r="34">
          <cell r="A34" t="str">
            <v>Investments Govt Securities</v>
          </cell>
        </row>
      </sheetData>
      <sheetData sheetId="1177">
        <row r="34">
          <cell r="A34" t="str">
            <v>Investments Govt Securities</v>
          </cell>
        </row>
      </sheetData>
      <sheetData sheetId="1178">
        <row r="34">
          <cell r="A34" t="str">
            <v>Investments Govt Securities</v>
          </cell>
        </row>
      </sheetData>
      <sheetData sheetId="1179">
        <row r="34">
          <cell r="A34" t="str">
            <v>Investments Govt Securities</v>
          </cell>
        </row>
      </sheetData>
      <sheetData sheetId="1180">
        <row r="34">
          <cell r="A34" t="str">
            <v>Investments Govt Securities</v>
          </cell>
        </row>
      </sheetData>
      <sheetData sheetId="1181">
        <row r="34">
          <cell r="A34" t="str">
            <v>Investments Govt Securities</v>
          </cell>
        </row>
      </sheetData>
      <sheetData sheetId="1182">
        <row r="34">
          <cell r="A34" t="str">
            <v>Investments Govt Securities</v>
          </cell>
        </row>
      </sheetData>
      <sheetData sheetId="1183">
        <row r="34">
          <cell r="A34" t="str">
            <v>Investments Govt Securities</v>
          </cell>
        </row>
      </sheetData>
      <sheetData sheetId="1184">
        <row r="34">
          <cell r="A34" t="str">
            <v>Investments Govt Securities</v>
          </cell>
        </row>
      </sheetData>
      <sheetData sheetId="1185">
        <row r="34">
          <cell r="A34" t="str">
            <v>Investments Govt Securities</v>
          </cell>
        </row>
      </sheetData>
      <sheetData sheetId="1186">
        <row r="34">
          <cell r="A34" t="str">
            <v>Investments Govt Securities</v>
          </cell>
        </row>
      </sheetData>
      <sheetData sheetId="1187">
        <row r="34">
          <cell r="A34" t="str">
            <v>Investments Govt Securities</v>
          </cell>
        </row>
      </sheetData>
      <sheetData sheetId="1188">
        <row r="34">
          <cell r="A34" t="str">
            <v>Investments Govt Securities</v>
          </cell>
        </row>
      </sheetData>
      <sheetData sheetId="1189">
        <row r="34">
          <cell r="A34" t="str">
            <v>Investments Govt Securities</v>
          </cell>
        </row>
      </sheetData>
      <sheetData sheetId="1190">
        <row r="34">
          <cell r="A34" t="str">
            <v>Investments Govt Securities</v>
          </cell>
        </row>
      </sheetData>
      <sheetData sheetId="1191">
        <row r="34">
          <cell r="A34" t="str">
            <v>Investments Govt Securities</v>
          </cell>
        </row>
      </sheetData>
      <sheetData sheetId="1192">
        <row r="34">
          <cell r="A34" t="str">
            <v>Investments Govt Securities</v>
          </cell>
        </row>
      </sheetData>
      <sheetData sheetId="1193">
        <row r="34">
          <cell r="A34" t="str">
            <v>Investments Govt Securities</v>
          </cell>
        </row>
      </sheetData>
      <sheetData sheetId="1194">
        <row r="34">
          <cell r="A34" t="str">
            <v>Investments Govt Securities</v>
          </cell>
        </row>
      </sheetData>
      <sheetData sheetId="1195">
        <row r="34">
          <cell r="A34" t="str">
            <v>Investments Govt Securities</v>
          </cell>
        </row>
      </sheetData>
      <sheetData sheetId="1196">
        <row r="34">
          <cell r="A34" t="str">
            <v>Investments Govt Securities</v>
          </cell>
        </row>
      </sheetData>
      <sheetData sheetId="1197">
        <row r="34">
          <cell r="A34" t="str">
            <v>Investments Govt Securities</v>
          </cell>
        </row>
      </sheetData>
      <sheetData sheetId="1198">
        <row r="34">
          <cell r="A34" t="str">
            <v>Investments Govt Securities</v>
          </cell>
        </row>
      </sheetData>
      <sheetData sheetId="1199">
        <row r="34">
          <cell r="A34" t="str">
            <v>Investments Govt Securities</v>
          </cell>
        </row>
      </sheetData>
      <sheetData sheetId="1200">
        <row r="34">
          <cell r="A34" t="str">
            <v>Investments Govt Securities</v>
          </cell>
        </row>
      </sheetData>
      <sheetData sheetId="1201">
        <row r="34">
          <cell r="A34" t="str">
            <v>Investments Govt Securities</v>
          </cell>
        </row>
      </sheetData>
      <sheetData sheetId="1202">
        <row r="34">
          <cell r="A34" t="str">
            <v>Investments Govt Securities</v>
          </cell>
        </row>
      </sheetData>
      <sheetData sheetId="1203">
        <row r="34">
          <cell r="A34" t="str">
            <v>Investments Govt Securities</v>
          </cell>
        </row>
      </sheetData>
      <sheetData sheetId="1204">
        <row r="34">
          <cell r="A34" t="str">
            <v>Investments Govt Securities</v>
          </cell>
        </row>
      </sheetData>
      <sheetData sheetId="1205">
        <row r="34">
          <cell r="A34" t="str">
            <v>Investments Govt Securities</v>
          </cell>
        </row>
      </sheetData>
      <sheetData sheetId="1206">
        <row r="34">
          <cell r="A34" t="str">
            <v>Investments Govt Securities</v>
          </cell>
        </row>
      </sheetData>
      <sheetData sheetId="1207">
        <row r="34">
          <cell r="A34" t="str">
            <v>Investments Govt Securities</v>
          </cell>
        </row>
      </sheetData>
      <sheetData sheetId="1208">
        <row r="34">
          <cell r="A34" t="str">
            <v>Investments Govt Securities</v>
          </cell>
        </row>
      </sheetData>
      <sheetData sheetId="1209">
        <row r="34">
          <cell r="A34" t="str">
            <v>Investments Govt Securities</v>
          </cell>
        </row>
      </sheetData>
      <sheetData sheetId="1210">
        <row r="34">
          <cell r="A34" t="str">
            <v>Investments Govt Securities</v>
          </cell>
        </row>
      </sheetData>
      <sheetData sheetId="1211">
        <row r="34">
          <cell r="A34" t="str">
            <v>Investments Govt Securities</v>
          </cell>
        </row>
      </sheetData>
      <sheetData sheetId="1212">
        <row r="34">
          <cell r="A34" t="str">
            <v>Investments Govt Securities</v>
          </cell>
        </row>
      </sheetData>
      <sheetData sheetId="1213">
        <row r="34">
          <cell r="A34" t="str">
            <v>Investments Govt Securities</v>
          </cell>
        </row>
      </sheetData>
      <sheetData sheetId="1214" refreshError="1"/>
      <sheetData sheetId="1215" refreshError="1"/>
      <sheetData sheetId="1216" refreshError="1"/>
      <sheetData sheetId="1217">
        <row r="34">
          <cell r="A34" t="str">
            <v>Investments Govt Securities</v>
          </cell>
        </row>
      </sheetData>
      <sheetData sheetId="1218" refreshError="1"/>
      <sheetData sheetId="1219" refreshError="1"/>
      <sheetData sheetId="1220">
        <row r="34">
          <cell r="A34" t="str">
            <v>Investments Govt Securities</v>
          </cell>
        </row>
      </sheetData>
      <sheetData sheetId="1221">
        <row r="34">
          <cell r="A34" t="str">
            <v>Investments Govt Securities</v>
          </cell>
        </row>
      </sheetData>
      <sheetData sheetId="1222">
        <row r="34">
          <cell r="A34" t="str">
            <v>Investments Govt Securities</v>
          </cell>
        </row>
      </sheetData>
      <sheetData sheetId="1223">
        <row r="34">
          <cell r="A34" t="str">
            <v>Investments Govt Securities</v>
          </cell>
        </row>
      </sheetData>
      <sheetData sheetId="1224">
        <row r="34">
          <cell r="A34" t="str">
            <v>Investments Govt Securities</v>
          </cell>
        </row>
      </sheetData>
      <sheetData sheetId="1225">
        <row r="34">
          <cell r="A34" t="str">
            <v>Investments Govt Securities</v>
          </cell>
        </row>
      </sheetData>
      <sheetData sheetId="1226">
        <row r="34">
          <cell r="A34" t="str">
            <v>Investments Govt Securities</v>
          </cell>
        </row>
      </sheetData>
      <sheetData sheetId="1227">
        <row r="34">
          <cell r="A34" t="str">
            <v>Investments Govt Securities</v>
          </cell>
        </row>
      </sheetData>
      <sheetData sheetId="1228">
        <row r="34">
          <cell r="A34" t="str">
            <v>Investments Govt Securities</v>
          </cell>
        </row>
      </sheetData>
      <sheetData sheetId="1229">
        <row r="34">
          <cell r="A34" t="str">
            <v>Investments Govt Securities</v>
          </cell>
        </row>
      </sheetData>
      <sheetData sheetId="1230">
        <row r="34">
          <cell r="A34" t="str">
            <v>Investments Govt Securities</v>
          </cell>
        </row>
      </sheetData>
      <sheetData sheetId="1231">
        <row r="34">
          <cell r="A34" t="str">
            <v>Investments Govt Securities</v>
          </cell>
        </row>
      </sheetData>
      <sheetData sheetId="1232">
        <row r="34">
          <cell r="A34" t="str">
            <v>Investments Govt Securities</v>
          </cell>
        </row>
      </sheetData>
      <sheetData sheetId="1233">
        <row r="34">
          <cell r="A34" t="str">
            <v>Investments Govt Securities</v>
          </cell>
        </row>
      </sheetData>
      <sheetData sheetId="1234">
        <row r="34">
          <cell r="A34" t="str">
            <v>Investments Govt Securities</v>
          </cell>
        </row>
      </sheetData>
      <sheetData sheetId="1235">
        <row r="34">
          <cell r="A34" t="str">
            <v>Investments Govt Securities</v>
          </cell>
        </row>
      </sheetData>
      <sheetData sheetId="1236">
        <row r="34">
          <cell r="A34" t="str">
            <v>Investments Govt Securities</v>
          </cell>
        </row>
      </sheetData>
      <sheetData sheetId="1237">
        <row r="34">
          <cell r="A34" t="str">
            <v>Investments Govt Securities</v>
          </cell>
        </row>
      </sheetData>
      <sheetData sheetId="1238">
        <row r="34">
          <cell r="A34" t="str">
            <v>Investments Govt Securities</v>
          </cell>
        </row>
      </sheetData>
      <sheetData sheetId="1239">
        <row r="34">
          <cell r="A34" t="str">
            <v>Investments Govt Securities</v>
          </cell>
        </row>
      </sheetData>
      <sheetData sheetId="1240">
        <row r="34">
          <cell r="A34" t="str">
            <v>Investments Govt Securities</v>
          </cell>
        </row>
      </sheetData>
      <sheetData sheetId="1241">
        <row r="34">
          <cell r="A34" t="str">
            <v>Investments Govt Securities</v>
          </cell>
        </row>
      </sheetData>
      <sheetData sheetId="1242">
        <row r="34">
          <cell r="A34" t="str">
            <v>Investments Govt Securities</v>
          </cell>
        </row>
      </sheetData>
      <sheetData sheetId="1243">
        <row r="34">
          <cell r="A34" t="str">
            <v>Investments Govt Securities</v>
          </cell>
        </row>
      </sheetData>
      <sheetData sheetId="1244">
        <row r="34">
          <cell r="A34" t="str">
            <v>Investments Govt Securities</v>
          </cell>
        </row>
      </sheetData>
      <sheetData sheetId="1245">
        <row r="34">
          <cell r="A34" t="str">
            <v>Investments Govt Securities</v>
          </cell>
        </row>
      </sheetData>
      <sheetData sheetId="1246">
        <row r="34">
          <cell r="A34" t="str">
            <v>Investments Govt Securities</v>
          </cell>
        </row>
      </sheetData>
      <sheetData sheetId="1247">
        <row r="34">
          <cell r="A34" t="str">
            <v>Investments Govt Securities</v>
          </cell>
        </row>
      </sheetData>
      <sheetData sheetId="1248">
        <row r="34">
          <cell r="A34" t="str">
            <v>Investments Govt Securities</v>
          </cell>
        </row>
      </sheetData>
      <sheetData sheetId="1249">
        <row r="34">
          <cell r="A34" t="str">
            <v>Investments Govt Securities</v>
          </cell>
        </row>
      </sheetData>
      <sheetData sheetId="1250">
        <row r="34">
          <cell r="A34" t="str">
            <v>Investments Govt Securities</v>
          </cell>
        </row>
      </sheetData>
      <sheetData sheetId="1251">
        <row r="34">
          <cell r="A34" t="str">
            <v>Investments Govt Securities</v>
          </cell>
        </row>
      </sheetData>
      <sheetData sheetId="1252">
        <row r="34">
          <cell r="A34" t="str">
            <v>Investments Govt Securities</v>
          </cell>
        </row>
      </sheetData>
      <sheetData sheetId="1253">
        <row r="34">
          <cell r="A34" t="str">
            <v>Investments Govt Securities</v>
          </cell>
        </row>
      </sheetData>
      <sheetData sheetId="1254">
        <row r="34">
          <cell r="A34" t="str">
            <v>Investments Govt Securities</v>
          </cell>
        </row>
      </sheetData>
      <sheetData sheetId="1255">
        <row r="34">
          <cell r="A34" t="str">
            <v>Investments Govt Securities</v>
          </cell>
        </row>
      </sheetData>
      <sheetData sheetId="1256">
        <row r="34">
          <cell r="A34" t="str">
            <v>Investments Govt Securities</v>
          </cell>
        </row>
      </sheetData>
      <sheetData sheetId="1257">
        <row r="34">
          <cell r="A34" t="str">
            <v>Investments Govt Securities</v>
          </cell>
        </row>
      </sheetData>
      <sheetData sheetId="1258">
        <row r="34">
          <cell r="A34" t="str">
            <v>Investments Govt Securities</v>
          </cell>
        </row>
      </sheetData>
      <sheetData sheetId="1259">
        <row r="34">
          <cell r="A34" t="str">
            <v>Investments Govt Securities</v>
          </cell>
        </row>
      </sheetData>
      <sheetData sheetId="1260">
        <row r="34">
          <cell r="A34" t="str">
            <v>Investments Govt Securities</v>
          </cell>
        </row>
      </sheetData>
      <sheetData sheetId="1261">
        <row r="34">
          <cell r="A34" t="str">
            <v>Investments Govt Securities</v>
          </cell>
        </row>
      </sheetData>
      <sheetData sheetId="1262">
        <row r="34">
          <cell r="A34" t="str">
            <v>Investments Govt Securities</v>
          </cell>
        </row>
      </sheetData>
      <sheetData sheetId="1263">
        <row r="34">
          <cell r="A34" t="str">
            <v>Investments Govt Securities</v>
          </cell>
        </row>
      </sheetData>
      <sheetData sheetId="1264">
        <row r="34">
          <cell r="A34" t="str">
            <v>Investments Govt Securities</v>
          </cell>
        </row>
      </sheetData>
      <sheetData sheetId="1265">
        <row r="34">
          <cell r="A34" t="str">
            <v>Investments Govt Securities</v>
          </cell>
        </row>
      </sheetData>
      <sheetData sheetId="1266">
        <row r="34">
          <cell r="A34" t="str">
            <v>Investments Govt Securities</v>
          </cell>
        </row>
      </sheetData>
      <sheetData sheetId="1267">
        <row r="34">
          <cell r="A34" t="str">
            <v>Investments Govt Securities</v>
          </cell>
        </row>
      </sheetData>
      <sheetData sheetId="1268">
        <row r="34">
          <cell r="A34" t="str">
            <v>Investments Govt Securities</v>
          </cell>
        </row>
      </sheetData>
      <sheetData sheetId="1269">
        <row r="34">
          <cell r="A34" t="str">
            <v>Investments Govt Securities</v>
          </cell>
        </row>
      </sheetData>
      <sheetData sheetId="1270">
        <row r="34">
          <cell r="A34" t="str">
            <v>Investments Govt Securities</v>
          </cell>
        </row>
      </sheetData>
      <sheetData sheetId="1271">
        <row r="34">
          <cell r="A34" t="str">
            <v>Investments Govt Securities</v>
          </cell>
        </row>
      </sheetData>
      <sheetData sheetId="1272">
        <row r="34">
          <cell r="A34" t="str">
            <v>Investments Govt Securities</v>
          </cell>
        </row>
      </sheetData>
      <sheetData sheetId="1273">
        <row r="34">
          <cell r="A34" t="str">
            <v>Investments Govt Securities</v>
          </cell>
        </row>
      </sheetData>
      <sheetData sheetId="1274">
        <row r="34">
          <cell r="A34" t="str">
            <v>Investments Govt Securities</v>
          </cell>
        </row>
      </sheetData>
      <sheetData sheetId="1275">
        <row r="34">
          <cell r="A34" t="str">
            <v>Investments Govt Securities</v>
          </cell>
        </row>
      </sheetData>
      <sheetData sheetId="1276">
        <row r="34">
          <cell r="A34" t="str">
            <v>Investments Govt Securities</v>
          </cell>
        </row>
      </sheetData>
      <sheetData sheetId="1277">
        <row r="34">
          <cell r="A34" t="str">
            <v>Investments Govt Securities</v>
          </cell>
        </row>
      </sheetData>
      <sheetData sheetId="1278">
        <row r="34">
          <cell r="A34" t="str">
            <v>Investments Govt Securities</v>
          </cell>
        </row>
      </sheetData>
      <sheetData sheetId="1279">
        <row r="34">
          <cell r="A34" t="str">
            <v>Investments Govt Securities</v>
          </cell>
        </row>
      </sheetData>
      <sheetData sheetId="1280">
        <row r="34">
          <cell r="A34" t="str">
            <v>Investments Govt Securities</v>
          </cell>
        </row>
      </sheetData>
      <sheetData sheetId="1281">
        <row r="34">
          <cell r="A34" t="str">
            <v>Investments Govt Securities</v>
          </cell>
        </row>
      </sheetData>
      <sheetData sheetId="1282">
        <row r="34">
          <cell r="A34" t="str">
            <v>Investments Govt Securities</v>
          </cell>
        </row>
      </sheetData>
      <sheetData sheetId="1283">
        <row r="34">
          <cell r="A34" t="str">
            <v>Investments Govt Securities</v>
          </cell>
        </row>
      </sheetData>
      <sheetData sheetId="1284">
        <row r="34">
          <cell r="A34" t="str">
            <v>Investments Govt Securities</v>
          </cell>
        </row>
      </sheetData>
      <sheetData sheetId="1285">
        <row r="34">
          <cell r="A34" t="str">
            <v>Investments Govt Securities</v>
          </cell>
        </row>
      </sheetData>
      <sheetData sheetId="1286">
        <row r="34">
          <cell r="A34" t="str">
            <v>Investments Govt Securities</v>
          </cell>
        </row>
      </sheetData>
      <sheetData sheetId="1287">
        <row r="34">
          <cell r="A34" t="str">
            <v>Investments Govt Securities</v>
          </cell>
        </row>
      </sheetData>
      <sheetData sheetId="1288">
        <row r="34">
          <cell r="A34" t="str">
            <v>Investments Govt Securities</v>
          </cell>
        </row>
      </sheetData>
      <sheetData sheetId="1289">
        <row r="34">
          <cell r="A34" t="str">
            <v>Investments Govt Securities</v>
          </cell>
        </row>
      </sheetData>
      <sheetData sheetId="1290">
        <row r="34">
          <cell r="A34" t="str">
            <v>Investments Govt Securities</v>
          </cell>
        </row>
      </sheetData>
      <sheetData sheetId="1291">
        <row r="34">
          <cell r="A34" t="str">
            <v>Investments Govt Securities</v>
          </cell>
        </row>
      </sheetData>
      <sheetData sheetId="1292">
        <row r="34">
          <cell r="A34" t="str">
            <v>Investments Govt Securities</v>
          </cell>
        </row>
      </sheetData>
      <sheetData sheetId="1293">
        <row r="34">
          <cell r="A34" t="str">
            <v>Investments Govt Securities</v>
          </cell>
        </row>
      </sheetData>
      <sheetData sheetId="1294">
        <row r="34">
          <cell r="A34" t="str">
            <v>Investments Govt Securities</v>
          </cell>
        </row>
      </sheetData>
      <sheetData sheetId="1295">
        <row r="34">
          <cell r="A34" t="str">
            <v>Investments Govt Securities</v>
          </cell>
        </row>
      </sheetData>
      <sheetData sheetId="1296">
        <row r="34">
          <cell r="A34" t="str">
            <v>Investments Govt Securities</v>
          </cell>
        </row>
      </sheetData>
      <sheetData sheetId="1297">
        <row r="34">
          <cell r="A34" t="str">
            <v>Investments Govt Securities</v>
          </cell>
        </row>
      </sheetData>
      <sheetData sheetId="1298">
        <row r="34">
          <cell r="A34" t="str">
            <v>Investments Govt Securities</v>
          </cell>
        </row>
      </sheetData>
      <sheetData sheetId="1299">
        <row r="34">
          <cell r="A34" t="str">
            <v>Investments Govt Securities</v>
          </cell>
        </row>
      </sheetData>
      <sheetData sheetId="1300">
        <row r="34">
          <cell r="A34" t="str">
            <v>Investments Govt Securities</v>
          </cell>
        </row>
      </sheetData>
      <sheetData sheetId="1301">
        <row r="34">
          <cell r="A34" t="str">
            <v>Investments Govt Securities</v>
          </cell>
        </row>
      </sheetData>
      <sheetData sheetId="1302">
        <row r="34">
          <cell r="A34" t="str">
            <v>Investments Govt Securities</v>
          </cell>
        </row>
      </sheetData>
      <sheetData sheetId="1303">
        <row r="34">
          <cell r="A34" t="str">
            <v>Investments Govt Securities</v>
          </cell>
        </row>
      </sheetData>
      <sheetData sheetId="1304">
        <row r="34">
          <cell r="A34" t="str">
            <v>Investments Govt Securities</v>
          </cell>
        </row>
      </sheetData>
      <sheetData sheetId="1305">
        <row r="34">
          <cell r="A34" t="str">
            <v>Investments Govt Securities</v>
          </cell>
        </row>
      </sheetData>
      <sheetData sheetId="1306">
        <row r="34">
          <cell r="A34" t="str">
            <v>Investments Govt Securities</v>
          </cell>
        </row>
      </sheetData>
      <sheetData sheetId="1307">
        <row r="34">
          <cell r="A34" t="str">
            <v>Investments Govt Securities</v>
          </cell>
        </row>
      </sheetData>
      <sheetData sheetId="1308">
        <row r="34">
          <cell r="A34" t="str">
            <v>Investments Govt Securities</v>
          </cell>
        </row>
      </sheetData>
      <sheetData sheetId="1309">
        <row r="34">
          <cell r="A34" t="str">
            <v>Investments Govt Securities</v>
          </cell>
        </row>
      </sheetData>
      <sheetData sheetId="1310">
        <row r="34">
          <cell r="A34" t="str">
            <v>Investments Govt Securities</v>
          </cell>
        </row>
      </sheetData>
      <sheetData sheetId="1311">
        <row r="34">
          <cell r="A34" t="str">
            <v>Investments Govt Securities</v>
          </cell>
        </row>
      </sheetData>
      <sheetData sheetId="1312">
        <row r="34">
          <cell r="A34" t="str">
            <v>Investments Govt Securities</v>
          </cell>
        </row>
      </sheetData>
      <sheetData sheetId="1313">
        <row r="34">
          <cell r="A34" t="str">
            <v>Investments Govt Securities</v>
          </cell>
        </row>
      </sheetData>
      <sheetData sheetId="1314">
        <row r="34">
          <cell r="A34" t="str">
            <v>Investments Govt Securities</v>
          </cell>
        </row>
      </sheetData>
      <sheetData sheetId="1315">
        <row r="34">
          <cell r="A34" t="str">
            <v>Investments Govt Securities</v>
          </cell>
        </row>
      </sheetData>
      <sheetData sheetId="1316">
        <row r="34">
          <cell r="A34" t="str">
            <v>Investments Govt Securities</v>
          </cell>
        </row>
      </sheetData>
      <sheetData sheetId="1317">
        <row r="34">
          <cell r="A34" t="str">
            <v>Investments Govt Securities</v>
          </cell>
        </row>
      </sheetData>
      <sheetData sheetId="1318">
        <row r="34">
          <cell r="A34" t="str">
            <v>Investments Govt Securities</v>
          </cell>
        </row>
      </sheetData>
      <sheetData sheetId="1319">
        <row r="34">
          <cell r="A34" t="str">
            <v>Investments Govt Securities</v>
          </cell>
        </row>
      </sheetData>
      <sheetData sheetId="1320">
        <row r="34">
          <cell r="A34" t="str">
            <v>Investments Govt Securities</v>
          </cell>
        </row>
      </sheetData>
      <sheetData sheetId="1321">
        <row r="34">
          <cell r="A34" t="str">
            <v>Investments Govt Securities</v>
          </cell>
        </row>
      </sheetData>
      <sheetData sheetId="1322">
        <row r="34">
          <cell r="A34" t="str">
            <v>Investments Govt Securities</v>
          </cell>
        </row>
      </sheetData>
      <sheetData sheetId="1323">
        <row r="34">
          <cell r="A34" t="str">
            <v>Investments Govt Securities</v>
          </cell>
        </row>
      </sheetData>
      <sheetData sheetId="1324">
        <row r="34">
          <cell r="A34" t="str">
            <v>Investments Govt Securities</v>
          </cell>
        </row>
      </sheetData>
      <sheetData sheetId="1325">
        <row r="34">
          <cell r="A34" t="str">
            <v>Investments Govt Securities</v>
          </cell>
        </row>
      </sheetData>
      <sheetData sheetId="1326">
        <row r="34">
          <cell r="A34" t="str">
            <v>Investments Govt Securities</v>
          </cell>
        </row>
      </sheetData>
      <sheetData sheetId="1327">
        <row r="34">
          <cell r="A34" t="str">
            <v>Investments Govt Securities</v>
          </cell>
        </row>
      </sheetData>
      <sheetData sheetId="1328">
        <row r="34">
          <cell r="A34" t="str">
            <v>Investments Govt Securities</v>
          </cell>
        </row>
      </sheetData>
      <sheetData sheetId="1329">
        <row r="34">
          <cell r="A34" t="str">
            <v>Investments Govt Securities</v>
          </cell>
        </row>
      </sheetData>
      <sheetData sheetId="1330">
        <row r="34">
          <cell r="A34" t="str">
            <v>Investments Govt Securities</v>
          </cell>
        </row>
      </sheetData>
      <sheetData sheetId="1331" refreshError="1"/>
      <sheetData sheetId="1332">
        <row r="34">
          <cell r="A34" t="str">
            <v>Investments Govt Securities</v>
          </cell>
        </row>
      </sheetData>
      <sheetData sheetId="1333">
        <row r="34">
          <cell r="A34" t="str">
            <v>Investments Govt Securities</v>
          </cell>
        </row>
      </sheetData>
      <sheetData sheetId="1334">
        <row r="34">
          <cell r="A34" t="str">
            <v>Investments Govt Securities</v>
          </cell>
        </row>
      </sheetData>
      <sheetData sheetId="1335">
        <row r="34">
          <cell r="A34" t="str">
            <v>Investments Govt Securities</v>
          </cell>
        </row>
      </sheetData>
      <sheetData sheetId="1336">
        <row r="34">
          <cell r="A34" t="str">
            <v>Investments Govt Securities</v>
          </cell>
        </row>
      </sheetData>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ow r="34">
          <cell r="A34" t="str">
            <v>Investments Govt Securities</v>
          </cell>
        </row>
      </sheetData>
      <sheetData sheetId="1350">
        <row r="34">
          <cell r="A34" t="str">
            <v>Investments Govt Securities</v>
          </cell>
        </row>
      </sheetData>
      <sheetData sheetId="1351">
        <row r="34">
          <cell r="A34" t="str">
            <v>Investments Govt Securities</v>
          </cell>
        </row>
      </sheetData>
      <sheetData sheetId="1352">
        <row r="34">
          <cell r="A34" t="str">
            <v>Investments Govt Securities</v>
          </cell>
        </row>
      </sheetData>
      <sheetData sheetId="1353">
        <row r="34">
          <cell r="A34" t="str">
            <v>Investments Govt Securities</v>
          </cell>
        </row>
      </sheetData>
      <sheetData sheetId="1354">
        <row r="34">
          <cell r="A34" t="str">
            <v>Investments Govt Securities</v>
          </cell>
        </row>
      </sheetData>
      <sheetData sheetId="1355">
        <row r="34">
          <cell r="A34" t="str">
            <v>Investments Govt Securities</v>
          </cell>
        </row>
      </sheetData>
      <sheetData sheetId="1356">
        <row r="34">
          <cell r="A34" t="str">
            <v>Investments Govt Securities</v>
          </cell>
        </row>
      </sheetData>
      <sheetData sheetId="1357">
        <row r="34">
          <cell r="A34" t="str">
            <v>Investments Govt Securities</v>
          </cell>
        </row>
      </sheetData>
      <sheetData sheetId="1358">
        <row r="34">
          <cell r="A34" t="str">
            <v>Investments Govt Securities</v>
          </cell>
        </row>
      </sheetData>
      <sheetData sheetId="1359">
        <row r="34">
          <cell r="A34" t="str">
            <v>Investments Govt Securities</v>
          </cell>
        </row>
      </sheetData>
      <sheetData sheetId="1360">
        <row r="34">
          <cell r="A34" t="str">
            <v>Investments Govt Securities</v>
          </cell>
        </row>
      </sheetData>
      <sheetData sheetId="1361">
        <row r="34">
          <cell r="A34" t="str">
            <v>Investments Govt Securities</v>
          </cell>
        </row>
      </sheetData>
      <sheetData sheetId="1362">
        <row r="34">
          <cell r="A34" t="str">
            <v>Investments Govt Securities</v>
          </cell>
        </row>
      </sheetData>
      <sheetData sheetId="1363">
        <row r="34">
          <cell r="A34" t="str">
            <v>Investments Govt Securities</v>
          </cell>
        </row>
      </sheetData>
      <sheetData sheetId="1364">
        <row r="34">
          <cell r="A34" t="str">
            <v>Investments Govt Securities</v>
          </cell>
        </row>
      </sheetData>
      <sheetData sheetId="1365">
        <row r="34">
          <cell r="A34" t="str">
            <v>Investments Govt Securities</v>
          </cell>
        </row>
      </sheetData>
      <sheetData sheetId="1366">
        <row r="34">
          <cell r="A34" t="str">
            <v>Investments Govt Securities</v>
          </cell>
        </row>
      </sheetData>
      <sheetData sheetId="1367">
        <row r="34">
          <cell r="A34" t="str">
            <v>Investments Govt Securities</v>
          </cell>
        </row>
      </sheetData>
      <sheetData sheetId="1368">
        <row r="34">
          <cell r="A34" t="str">
            <v>Investments Govt Securities</v>
          </cell>
        </row>
      </sheetData>
      <sheetData sheetId="1369">
        <row r="34">
          <cell r="A34" t="str">
            <v>Investments Govt Securities</v>
          </cell>
        </row>
      </sheetData>
      <sheetData sheetId="1370">
        <row r="34">
          <cell r="A34" t="str">
            <v>Investments Govt Securities</v>
          </cell>
        </row>
      </sheetData>
      <sheetData sheetId="1371">
        <row r="34">
          <cell r="A34" t="str">
            <v>Investments Govt Securities</v>
          </cell>
        </row>
      </sheetData>
      <sheetData sheetId="1372">
        <row r="34">
          <cell r="A34" t="str">
            <v>Investments Govt Securities</v>
          </cell>
        </row>
      </sheetData>
      <sheetData sheetId="1373">
        <row r="34">
          <cell r="A34" t="str">
            <v>Investments Govt Securities</v>
          </cell>
        </row>
      </sheetData>
      <sheetData sheetId="1374">
        <row r="34">
          <cell r="A34" t="str">
            <v>Investments Govt Securities</v>
          </cell>
        </row>
      </sheetData>
      <sheetData sheetId="1375">
        <row r="34">
          <cell r="A34" t="str">
            <v>Investments Govt Securities</v>
          </cell>
        </row>
      </sheetData>
      <sheetData sheetId="1376">
        <row r="34">
          <cell r="A34" t="str">
            <v>Investments Govt Securities</v>
          </cell>
        </row>
      </sheetData>
      <sheetData sheetId="1377">
        <row r="34">
          <cell r="A34" t="str">
            <v>Investments Govt Securities</v>
          </cell>
        </row>
      </sheetData>
      <sheetData sheetId="1378">
        <row r="34">
          <cell r="A34" t="str">
            <v>Investments Govt Securities</v>
          </cell>
        </row>
      </sheetData>
      <sheetData sheetId="1379">
        <row r="34">
          <cell r="A34" t="str">
            <v>Investments Govt Securities</v>
          </cell>
        </row>
      </sheetData>
      <sheetData sheetId="1380">
        <row r="34">
          <cell r="A34" t="str">
            <v>Investments Govt Securities</v>
          </cell>
        </row>
      </sheetData>
      <sheetData sheetId="1381">
        <row r="34">
          <cell r="A34" t="str">
            <v>Investments Govt Securities</v>
          </cell>
        </row>
      </sheetData>
      <sheetData sheetId="1382">
        <row r="34">
          <cell r="A34" t="str">
            <v>Investments Govt Securities</v>
          </cell>
        </row>
      </sheetData>
      <sheetData sheetId="1383">
        <row r="34">
          <cell r="A34" t="str">
            <v>Investments Govt Securities</v>
          </cell>
        </row>
      </sheetData>
      <sheetData sheetId="1384">
        <row r="34">
          <cell r="A34" t="str">
            <v>Investments Govt Securities</v>
          </cell>
        </row>
      </sheetData>
      <sheetData sheetId="1385">
        <row r="34">
          <cell r="A34" t="str">
            <v>Investments Govt Securities</v>
          </cell>
        </row>
      </sheetData>
      <sheetData sheetId="1386">
        <row r="34">
          <cell r="A34" t="str">
            <v>Investments Govt Securities</v>
          </cell>
        </row>
      </sheetData>
      <sheetData sheetId="1387">
        <row r="34">
          <cell r="A34" t="str">
            <v>Investments Govt Securities</v>
          </cell>
        </row>
      </sheetData>
      <sheetData sheetId="1388">
        <row r="34">
          <cell r="A34" t="str">
            <v>Investments Govt Securities</v>
          </cell>
        </row>
      </sheetData>
      <sheetData sheetId="1389">
        <row r="34">
          <cell r="A34" t="str">
            <v>Investments Govt Securities</v>
          </cell>
        </row>
      </sheetData>
      <sheetData sheetId="1390">
        <row r="34">
          <cell r="A34" t="str">
            <v>Investments Govt Securities</v>
          </cell>
        </row>
      </sheetData>
      <sheetData sheetId="1391">
        <row r="34">
          <cell r="A34" t="str">
            <v>Investments Govt Securities</v>
          </cell>
        </row>
      </sheetData>
      <sheetData sheetId="1392">
        <row r="34">
          <cell r="A34" t="str">
            <v>Investments Govt Securities</v>
          </cell>
        </row>
      </sheetData>
      <sheetData sheetId="1393">
        <row r="34">
          <cell r="A34" t="str">
            <v>Investments Govt Securities</v>
          </cell>
        </row>
      </sheetData>
      <sheetData sheetId="1394">
        <row r="34">
          <cell r="A34" t="str">
            <v>Investments Govt Securities</v>
          </cell>
        </row>
      </sheetData>
      <sheetData sheetId="1395">
        <row r="34">
          <cell r="A34" t="str">
            <v>Investments Govt Securities</v>
          </cell>
        </row>
      </sheetData>
      <sheetData sheetId="1396">
        <row r="34">
          <cell r="A34" t="str">
            <v>Investments Govt Securities</v>
          </cell>
        </row>
      </sheetData>
      <sheetData sheetId="1397">
        <row r="34">
          <cell r="A34" t="str">
            <v>Investments Govt Securities</v>
          </cell>
        </row>
      </sheetData>
      <sheetData sheetId="1398">
        <row r="34">
          <cell r="A34" t="str">
            <v>Investments Govt Securities</v>
          </cell>
        </row>
      </sheetData>
      <sheetData sheetId="1399">
        <row r="34">
          <cell r="A34" t="str">
            <v>Investments Govt Securities</v>
          </cell>
        </row>
      </sheetData>
      <sheetData sheetId="1400">
        <row r="34">
          <cell r="A34" t="str">
            <v>Investments Govt Securities</v>
          </cell>
        </row>
      </sheetData>
      <sheetData sheetId="1401">
        <row r="34">
          <cell r="A34" t="str">
            <v>Investments Govt Securities</v>
          </cell>
        </row>
      </sheetData>
      <sheetData sheetId="1402" refreshError="1"/>
      <sheetData sheetId="1403" refreshError="1"/>
      <sheetData sheetId="1404" refreshError="1"/>
      <sheetData sheetId="1405" refreshError="1"/>
      <sheetData sheetId="1406" refreshError="1"/>
      <sheetData sheetId="1407" refreshError="1"/>
      <sheetData sheetId="1408" refreshError="1"/>
      <sheetData sheetId="1409">
        <row r="34">
          <cell r="A34" t="str">
            <v>Investments Govt Securities</v>
          </cell>
        </row>
      </sheetData>
      <sheetData sheetId="1410">
        <row r="34">
          <cell r="A34" t="str">
            <v>Investments Govt Securities</v>
          </cell>
        </row>
      </sheetData>
      <sheetData sheetId="1411">
        <row r="34">
          <cell r="A34" t="str">
            <v>Investments Govt Securities</v>
          </cell>
        </row>
      </sheetData>
      <sheetData sheetId="1412">
        <row r="34">
          <cell r="A34" t="str">
            <v>Investments Govt Securities</v>
          </cell>
        </row>
      </sheetData>
      <sheetData sheetId="1413">
        <row r="34">
          <cell r="A34" t="str">
            <v>Investments Govt Securities</v>
          </cell>
        </row>
      </sheetData>
      <sheetData sheetId="1414" refreshError="1"/>
      <sheetData sheetId="1415">
        <row r="34">
          <cell r="A34" t="str">
            <v>Investments Govt Securities</v>
          </cell>
        </row>
      </sheetData>
      <sheetData sheetId="1416">
        <row r="34">
          <cell r="A34" t="str">
            <v>Investments Govt Securities</v>
          </cell>
        </row>
      </sheetData>
      <sheetData sheetId="1417">
        <row r="34">
          <cell r="A34" t="str">
            <v>Investments Govt Securities</v>
          </cell>
        </row>
      </sheetData>
      <sheetData sheetId="1418">
        <row r="34">
          <cell r="A34" t="str">
            <v>Investments Govt Securities</v>
          </cell>
        </row>
      </sheetData>
      <sheetData sheetId="1419">
        <row r="34">
          <cell r="A34" t="str">
            <v>Investments Govt Securities</v>
          </cell>
        </row>
      </sheetData>
      <sheetData sheetId="1420">
        <row r="34">
          <cell r="A34" t="str">
            <v>Investments Govt Securities</v>
          </cell>
        </row>
      </sheetData>
      <sheetData sheetId="1421">
        <row r="34">
          <cell r="A34" t="str">
            <v>Investments Govt Securities</v>
          </cell>
        </row>
      </sheetData>
      <sheetData sheetId="1422">
        <row r="34">
          <cell r="A34" t="str">
            <v>Investments Govt Securities</v>
          </cell>
        </row>
      </sheetData>
      <sheetData sheetId="1423">
        <row r="34">
          <cell r="A34" t="str">
            <v>Investments Govt Securities</v>
          </cell>
        </row>
      </sheetData>
      <sheetData sheetId="1424">
        <row r="34">
          <cell r="A34" t="str">
            <v>Investments Govt Securities</v>
          </cell>
        </row>
      </sheetData>
      <sheetData sheetId="1425">
        <row r="34">
          <cell r="A34" t="str">
            <v>Investments Govt Securities</v>
          </cell>
        </row>
      </sheetData>
      <sheetData sheetId="1426" refreshError="1"/>
      <sheetData sheetId="1427" refreshError="1"/>
      <sheetData sheetId="1428">
        <row r="34">
          <cell r="A34" t="str">
            <v>Investments Govt Securities</v>
          </cell>
        </row>
      </sheetData>
      <sheetData sheetId="1429">
        <row r="34">
          <cell r="A34" t="str">
            <v>Investments Govt Securities</v>
          </cell>
        </row>
      </sheetData>
      <sheetData sheetId="1430">
        <row r="34">
          <cell r="A34" t="str">
            <v>Investments Govt Securities</v>
          </cell>
        </row>
      </sheetData>
      <sheetData sheetId="1431">
        <row r="34">
          <cell r="A34" t="str">
            <v>Investments Govt Securities</v>
          </cell>
        </row>
      </sheetData>
      <sheetData sheetId="1432">
        <row r="34">
          <cell r="A34" t="str">
            <v>Investments Govt Securities</v>
          </cell>
        </row>
      </sheetData>
      <sheetData sheetId="1433">
        <row r="34">
          <cell r="A34" t="str">
            <v>Investments Govt Securities</v>
          </cell>
        </row>
      </sheetData>
      <sheetData sheetId="1434">
        <row r="34">
          <cell r="A34" t="str">
            <v>Investments Govt Securities</v>
          </cell>
        </row>
      </sheetData>
      <sheetData sheetId="1435">
        <row r="34">
          <cell r="A34" t="str">
            <v>Investments Govt Securities</v>
          </cell>
        </row>
      </sheetData>
      <sheetData sheetId="1436">
        <row r="34">
          <cell r="A34" t="str">
            <v>Investments Govt Securities</v>
          </cell>
        </row>
      </sheetData>
      <sheetData sheetId="1437">
        <row r="34">
          <cell r="A34" t="str">
            <v>Investments Govt Securities</v>
          </cell>
        </row>
      </sheetData>
      <sheetData sheetId="1438">
        <row r="34">
          <cell r="A34" t="str">
            <v>Investments Govt Securities</v>
          </cell>
        </row>
      </sheetData>
      <sheetData sheetId="1439">
        <row r="34">
          <cell r="A34" t="str">
            <v>Investments Govt Securities</v>
          </cell>
        </row>
      </sheetData>
      <sheetData sheetId="1440">
        <row r="34">
          <cell r="A34" t="str">
            <v>Investments Govt Securities</v>
          </cell>
        </row>
      </sheetData>
      <sheetData sheetId="1441">
        <row r="34">
          <cell r="A34" t="str">
            <v>Investments Govt Securities</v>
          </cell>
        </row>
      </sheetData>
      <sheetData sheetId="1442">
        <row r="34">
          <cell r="A34" t="str">
            <v>Investments Govt Securities</v>
          </cell>
        </row>
      </sheetData>
      <sheetData sheetId="1443">
        <row r="34">
          <cell r="A34" t="str">
            <v>Investments Govt Securities</v>
          </cell>
        </row>
      </sheetData>
      <sheetData sheetId="1444">
        <row r="34">
          <cell r="A34" t="str">
            <v>Investments Govt Securities</v>
          </cell>
        </row>
      </sheetData>
      <sheetData sheetId="1445">
        <row r="34">
          <cell r="A34" t="str">
            <v>Investments Govt Securities</v>
          </cell>
        </row>
      </sheetData>
      <sheetData sheetId="1446">
        <row r="34">
          <cell r="A34" t="str">
            <v>Investments Govt Securities</v>
          </cell>
        </row>
      </sheetData>
      <sheetData sheetId="1447">
        <row r="34">
          <cell r="A34" t="str">
            <v>Investments Govt Securities</v>
          </cell>
        </row>
      </sheetData>
      <sheetData sheetId="1448">
        <row r="34">
          <cell r="A34" t="str">
            <v>Investments Govt Securities</v>
          </cell>
        </row>
      </sheetData>
      <sheetData sheetId="1449">
        <row r="34">
          <cell r="A34" t="str">
            <v>Investments Govt Securities</v>
          </cell>
        </row>
      </sheetData>
      <sheetData sheetId="1450">
        <row r="34">
          <cell r="A34" t="str">
            <v>Investments Govt Securities</v>
          </cell>
        </row>
      </sheetData>
      <sheetData sheetId="1451">
        <row r="34">
          <cell r="A34" t="str">
            <v>Investments Govt Securities</v>
          </cell>
        </row>
      </sheetData>
      <sheetData sheetId="1452">
        <row r="34">
          <cell r="A34" t="str">
            <v>Investments Govt Securities</v>
          </cell>
        </row>
      </sheetData>
      <sheetData sheetId="1453">
        <row r="34">
          <cell r="A34" t="str">
            <v>Investments Govt Securities</v>
          </cell>
        </row>
      </sheetData>
      <sheetData sheetId="1454">
        <row r="34">
          <cell r="A34" t="str">
            <v>Investments Govt Securities</v>
          </cell>
        </row>
      </sheetData>
      <sheetData sheetId="1455">
        <row r="34">
          <cell r="A34" t="str">
            <v>Investments Govt Securities</v>
          </cell>
        </row>
      </sheetData>
      <sheetData sheetId="1456">
        <row r="34">
          <cell r="A34" t="str">
            <v>Investments Govt Securities</v>
          </cell>
        </row>
      </sheetData>
      <sheetData sheetId="1457">
        <row r="34">
          <cell r="A34" t="str">
            <v>Investments Govt Securities</v>
          </cell>
        </row>
      </sheetData>
      <sheetData sheetId="1458">
        <row r="34">
          <cell r="A34" t="str">
            <v>Investments Govt Securities</v>
          </cell>
        </row>
      </sheetData>
      <sheetData sheetId="1459">
        <row r="34">
          <cell r="A34" t="str">
            <v>Investments Govt Securities</v>
          </cell>
        </row>
      </sheetData>
      <sheetData sheetId="1460">
        <row r="34">
          <cell r="A34" t="str">
            <v>Investments Govt Securities</v>
          </cell>
        </row>
      </sheetData>
      <sheetData sheetId="1461">
        <row r="34">
          <cell r="A34" t="str">
            <v>Investments Govt Securities</v>
          </cell>
        </row>
      </sheetData>
      <sheetData sheetId="1462">
        <row r="34">
          <cell r="A34" t="str">
            <v>Investments Govt Securities</v>
          </cell>
        </row>
      </sheetData>
      <sheetData sheetId="1463">
        <row r="34">
          <cell r="A34" t="str">
            <v>Investments Govt Securities</v>
          </cell>
        </row>
      </sheetData>
      <sheetData sheetId="1464">
        <row r="34">
          <cell r="A34" t="str">
            <v>Investments Govt Securities</v>
          </cell>
        </row>
      </sheetData>
      <sheetData sheetId="1465">
        <row r="34">
          <cell r="A34" t="str">
            <v>Investments Govt Securities</v>
          </cell>
        </row>
      </sheetData>
      <sheetData sheetId="1466">
        <row r="34">
          <cell r="A34" t="str">
            <v>Investments Govt Securities</v>
          </cell>
        </row>
      </sheetData>
      <sheetData sheetId="1467">
        <row r="34">
          <cell r="A34" t="str">
            <v>Investments Govt Securities</v>
          </cell>
        </row>
      </sheetData>
      <sheetData sheetId="1468">
        <row r="34">
          <cell r="A34" t="str">
            <v>Investments Govt Securities</v>
          </cell>
        </row>
      </sheetData>
      <sheetData sheetId="1469">
        <row r="34">
          <cell r="A34" t="str">
            <v>Investments Govt Securities</v>
          </cell>
        </row>
      </sheetData>
      <sheetData sheetId="1470">
        <row r="34">
          <cell r="A34" t="str">
            <v>Investments Govt Securities</v>
          </cell>
        </row>
      </sheetData>
      <sheetData sheetId="1471">
        <row r="34">
          <cell r="A34" t="str">
            <v>Investments Govt Securities</v>
          </cell>
        </row>
      </sheetData>
      <sheetData sheetId="1472">
        <row r="34">
          <cell r="A34" t="str">
            <v>Investments Govt Securities</v>
          </cell>
        </row>
      </sheetData>
      <sheetData sheetId="1473">
        <row r="34">
          <cell r="A34" t="str">
            <v>Investments Govt Securities</v>
          </cell>
        </row>
      </sheetData>
      <sheetData sheetId="1474">
        <row r="34">
          <cell r="A34" t="str">
            <v>Investments Govt Securities</v>
          </cell>
        </row>
      </sheetData>
      <sheetData sheetId="1475">
        <row r="34">
          <cell r="A34" t="str">
            <v>Investments Govt Securities</v>
          </cell>
        </row>
      </sheetData>
      <sheetData sheetId="1476">
        <row r="34">
          <cell r="A34" t="str">
            <v>Investments Govt Securities</v>
          </cell>
        </row>
      </sheetData>
      <sheetData sheetId="1477">
        <row r="34">
          <cell r="A34" t="str">
            <v>Investments Govt Securities</v>
          </cell>
        </row>
      </sheetData>
      <sheetData sheetId="1478">
        <row r="34">
          <cell r="A34" t="str">
            <v>Investments Govt Securities</v>
          </cell>
        </row>
      </sheetData>
      <sheetData sheetId="1479">
        <row r="34">
          <cell r="A34" t="str">
            <v>Investments Govt Securities</v>
          </cell>
        </row>
      </sheetData>
      <sheetData sheetId="1480">
        <row r="34">
          <cell r="A34" t="str">
            <v>Investments Govt Securities</v>
          </cell>
        </row>
      </sheetData>
      <sheetData sheetId="1481">
        <row r="34">
          <cell r="A34" t="str">
            <v>Investments Govt Securities</v>
          </cell>
        </row>
      </sheetData>
      <sheetData sheetId="1482">
        <row r="34">
          <cell r="A34" t="str">
            <v>Investments Govt Securities</v>
          </cell>
        </row>
      </sheetData>
      <sheetData sheetId="1483">
        <row r="34">
          <cell r="A34" t="str">
            <v>Investments Govt Securities</v>
          </cell>
        </row>
      </sheetData>
      <sheetData sheetId="1484">
        <row r="34">
          <cell r="A34" t="str">
            <v>Investments Govt Securities</v>
          </cell>
        </row>
      </sheetData>
      <sheetData sheetId="1485">
        <row r="34">
          <cell r="A34" t="str">
            <v>Investments Govt Securities</v>
          </cell>
        </row>
      </sheetData>
      <sheetData sheetId="1486">
        <row r="34">
          <cell r="A34" t="str">
            <v>Investments Govt Securities</v>
          </cell>
        </row>
      </sheetData>
      <sheetData sheetId="1487">
        <row r="34">
          <cell r="A34" t="str">
            <v>Investments Govt Securities</v>
          </cell>
        </row>
      </sheetData>
      <sheetData sheetId="1488">
        <row r="34">
          <cell r="A34" t="str">
            <v>Investments Govt Securities</v>
          </cell>
        </row>
      </sheetData>
      <sheetData sheetId="1489">
        <row r="34">
          <cell r="A34" t="str">
            <v>Investments Govt Securities</v>
          </cell>
        </row>
      </sheetData>
      <sheetData sheetId="1490">
        <row r="34">
          <cell r="A34" t="str">
            <v>Investments Govt Securities</v>
          </cell>
        </row>
      </sheetData>
      <sheetData sheetId="1491">
        <row r="34">
          <cell r="A34" t="str">
            <v>Investments Govt Securities</v>
          </cell>
        </row>
      </sheetData>
      <sheetData sheetId="1492">
        <row r="34">
          <cell r="A34" t="str">
            <v>Investments Govt Securities</v>
          </cell>
        </row>
      </sheetData>
      <sheetData sheetId="1493">
        <row r="34">
          <cell r="A34" t="str">
            <v>Investments Govt Securities</v>
          </cell>
        </row>
      </sheetData>
      <sheetData sheetId="1494" refreshError="1"/>
      <sheetData sheetId="1495" refreshError="1"/>
      <sheetData sheetId="1496">
        <row r="34">
          <cell r="A34" t="str">
            <v>Investments Govt Securities</v>
          </cell>
        </row>
      </sheetData>
      <sheetData sheetId="1497">
        <row r="34">
          <cell r="A34" t="str">
            <v>Investments Govt Securities</v>
          </cell>
        </row>
      </sheetData>
      <sheetData sheetId="1498">
        <row r="34">
          <cell r="A34" t="str">
            <v>Investments Govt Securities</v>
          </cell>
        </row>
      </sheetData>
      <sheetData sheetId="1499">
        <row r="34">
          <cell r="A34" t="str">
            <v>Investments Govt Securities</v>
          </cell>
        </row>
      </sheetData>
      <sheetData sheetId="1500">
        <row r="34">
          <cell r="A34" t="str">
            <v>Investments Govt Securities</v>
          </cell>
        </row>
      </sheetData>
      <sheetData sheetId="1501">
        <row r="34">
          <cell r="A34" t="str">
            <v>Investments Govt Securities</v>
          </cell>
        </row>
      </sheetData>
      <sheetData sheetId="1502" refreshError="1"/>
      <sheetData sheetId="1503" refreshError="1"/>
      <sheetData sheetId="1504">
        <row r="34">
          <cell r="A34" t="str">
            <v>Investments Govt Securities</v>
          </cell>
        </row>
      </sheetData>
      <sheetData sheetId="1505" refreshError="1"/>
      <sheetData sheetId="1506" refreshError="1"/>
      <sheetData sheetId="1507">
        <row r="34">
          <cell r="A34" t="str">
            <v>Investments Govt Securities</v>
          </cell>
        </row>
      </sheetData>
      <sheetData sheetId="1508">
        <row r="34">
          <cell r="A34" t="str">
            <v>Investments Govt Securities</v>
          </cell>
        </row>
      </sheetData>
      <sheetData sheetId="1509" refreshError="1"/>
      <sheetData sheetId="1510">
        <row r="34">
          <cell r="A34" t="str">
            <v>Investments Govt Securities</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ow r="34">
          <cell r="A34" t="str">
            <v>Investments Govt Securities</v>
          </cell>
        </row>
      </sheetData>
      <sheetData sheetId="1534" refreshError="1"/>
      <sheetData sheetId="1535">
        <row r="34">
          <cell r="A34" t="str">
            <v>Investments Govt Securities</v>
          </cell>
        </row>
      </sheetData>
      <sheetData sheetId="1536">
        <row r="34">
          <cell r="A34" t="str">
            <v>Investments Govt Securities</v>
          </cell>
        </row>
      </sheetData>
      <sheetData sheetId="1537">
        <row r="34">
          <cell r="A34" t="str">
            <v>Investments Govt Securities</v>
          </cell>
        </row>
      </sheetData>
      <sheetData sheetId="1538">
        <row r="34">
          <cell r="A34" t="str">
            <v>Investments Govt Securities</v>
          </cell>
        </row>
      </sheetData>
      <sheetData sheetId="1539">
        <row r="34">
          <cell r="A34" t="str">
            <v>Investments Govt Securities</v>
          </cell>
        </row>
      </sheetData>
      <sheetData sheetId="1540">
        <row r="34">
          <cell r="A34" t="str">
            <v>Investments Govt Securities</v>
          </cell>
        </row>
      </sheetData>
      <sheetData sheetId="1541">
        <row r="34">
          <cell r="A34" t="str">
            <v>Investments Govt Securities</v>
          </cell>
        </row>
      </sheetData>
      <sheetData sheetId="1542">
        <row r="34">
          <cell r="A34" t="str">
            <v>Investments Govt Securities</v>
          </cell>
        </row>
      </sheetData>
      <sheetData sheetId="1543">
        <row r="34">
          <cell r="A34" t="str">
            <v>Investments Govt Securities</v>
          </cell>
        </row>
      </sheetData>
      <sheetData sheetId="1544">
        <row r="34">
          <cell r="A34" t="str">
            <v>Investments Govt Securities</v>
          </cell>
        </row>
      </sheetData>
      <sheetData sheetId="1545">
        <row r="34">
          <cell r="A34" t="str">
            <v>Investments Govt Securities</v>
          </cell>
        </row>
      </sheetData>
      <sheetData sheetId="1546">
        <row r="34">
          <cell r="A34" t="str">
            <v>Investments Govt Securities</v>
          </cell>
        </row>
      </sheetData>
      <sheetData sheetId="1547">
        <row r="34">
          <cell r="A34" t="str">
            <v>Investments Govt Securities</v>
          </cell>
        </row>
      </sheetData>
      <sheetData sheetId="1548">
        <row r="34">
          <cell r="A34" t="str">
            <v>Investments Govt Securities</v>
          </cell>
        </row>
      </sheetData>
      <sheetData sheetId="1549">
        <row r="34">
          <cell r="A34" t="str">
            <v>Investments Govt Securities</v>
          </cell>
        </row>
      </sheetData>
      <sheetData sheetId="1550">
        <row r="34">
          <cell r="A34" t="str">
            <v>Investments Govt Securities</v>
          </cell>
        </row>
      </sheetData>
      <sheetData sheetId="1551">
        <row r="34">
          <cell r="A34" t="str">
            <v>Investments Govt Securities</v>
          </cell>
        </row>
      </sheetData>
      <sheetData sheetId="1552">
        <row r="34">
          <cell r="A34" t="str">
            <v>Investments Govt Securities</v>
          </cell>
        </row>
      </sheetData>
      <sheetData sheetId="1553">
        <row r="34">
          <cell r="A34" t="str">
            <v>Investments Govt Securities</v>
          </cell>
        </row>
      </sheetData>
      <sheetData sheetId="1554">
        <row r="34">
          <cell r="A34" t="str">
            <v>Investments Govt Securities</v>
          </cell>
        </row>
      </sheetData>
      <sheetData sheetId="1555">
        <row r="34">
          <cell r="A34" t="str">
            <v>Investments Govt Securities</v>
          </cell>
        </row>
      </sheetData>
      <sheetData sheetId="1556">
        <row r="34">
          <cell r="A34" t="str">
            <v>Investments Govt Securities</v>
          </cell>
        </row>
      </sheetData>
      <sheetData sheetId="1557">
        <row r="34">
          <cell r="A34" t="str">
            <v>Investments Govt Securities</v>
          </cell>
        </row>
      </sheetData>
      <sheetData sheetId="1558">
        <row r="34">
          <cell r="A34" t="str">
            <v>Investments Govt Securities</v>
          </cell>
        </row>
      </sheetData>
      <sheetData sheetId="1559">
        <row r="34">
          <cell r="A34" t="str">
            <v>Investments Govt Securities</v>
          </cell>
        </row>
      </sheetData>
      <sheetData sheetId="1560">
        <row r="34">
          <cell r="A34" t="str">
            <v>Investments Govt Securities</v>
          </cell>
        </row>
      </sheetData>
      <sheetData sheetId="1561">
        <row r="34">
          <cell r="A34" t="str">
            <v>Investments Govt Securities</v>
          </cell>
        </row>
      </sheetData>
      <sheetData sheetId="1562">
        <row r="34">
          <cell r="A34" t="str">
            <v>Investments Govt Securities</v>
          </cell>
        </row>
      </sheetData>
      <sheetData sheetId="1563">
        <row r="34">
          <cell r="A34" t="str">
            <v>Investments Govt Securities</v>
          </cell>
        </row>
      </sheetData>
      <sheetData sheetId="1564">
        <row r="34">
          <cell r="A34" t="str">
            <v>Investments Govt Securities</v>
          </cell>
        </row>
      </sheetData>
      <sheetData sheetId="1565">
        <row r="34">
          <cell r="A34" t="str">
            <v>Investments Govt Securities</v>
          </cell>
        </row>
      </sheetData>
      <sheetData sheetId="1566">
        <row r="34">
          <cell r="A34" t="str">
            <v>Investments Govt Securities</v>
          </cell>
        </row>
      </sheetData>
      <sheetData sheetId="1567">
        <row r="34">
          <cell r="A34" t="str">
            <v>Investments Govt Securities</v>
          </cell>
        </row>
      </sheetData>
      <sheetData sheetId="1568">
        <row r="34">
          <cell r="A34" t="str">
            <v>Investments Govt Securities</v>
          </cell>
        </row>
      </sheetData>
      <sheetData sheetId="1569">
        <row r="34">
          <cell r="A34" t="str">
            <v>Investments Govt Securities</v>
          </cell>
        </row>
      </sheetData>
      <sheetData sheetId="1570">
        <row r="34">
          <cell r="A34" t="str">
            <v>Investments Govt Securities</v>
          </cell>
        </row>
      </sheetData>
      <sheetData sheetId="1571">
        <row r="34">
          <cell r="A34" t="str">
            <v>Investments Govt Securities</v>
          </cell>
        </row>
      </sheetData>
      <sheetData sheetId="1572">
        <row r="34">
          <cell r="A34" t="str">
            <v>Investments Govt Securities</v>
          </cell>
        </row>
      </sheetData>
      <sheetData sheetId="1573">
        <row r="34">
          <cell r="A34" t="str">
            <v>Investments Govt Securities</v>
          </cell>
        </row>
      </sheetData>
      <sheetData sheetId="1574">
        <row r="34">
          <cell r="A34" t="str">
            <v>Investments Govt Securities</v>
          </cell>
        </row>
      </sheetData>
      <sheetData sheetId="1575">
        <row r="34">
          <cell r="A34" t="str">
            <v>Investments Govt Securities</v>
          </cell>
        </row>
      </sheetData>
      <sheetData sheetId="1576">
        <row r="34">
          <cell r="A34" t="str">
            <v>Investments Govt Securities</v>
          </cell>
        </row>
      </sheetData>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ow r="34">
          <cell r="A34" t="str">
            <v>Investments Govt Securities</v>
          </cell>
        </row>
      </sheetData>
      <sheetData sheetId="1604" refreshError="1"/>
      <sheetData sheetId="1605" refreshError="1"/>
      <sheetData sheetId="1606">
        <row r="34">
          <cell r="A34" t="str">
            <v>Investments Govt Securities</v>
          </cell>
        </row>
      </sheetData>
      <sheetData sheetId="1607">
        <row r="34">
          <cell r="A34" t="str">
            <v>Investments Govt Securities</v>
          </cell>
        </row>
      </sheetData>
      <sheetData sheetId="1608">
        <row r="34">
          <cell r="A34" t="str">
            <v>Investments Govt Securities</v>
          </cell>
        </row>
      </sheetData>
      <sheetData sheetId="1609">
        <row r="34">
          <cell r="A34" t="str">
            <v>Investments Govt Securities</v>
          </cell>
        </row>
      </sheetData>
      <sheetData sheetId="1610">
        <row r="34">
          <cell r="A34" t="str">
            <v>Investments Govt Securities</v>
          </cell>
        </row>
      </sheetData>
      <sheetData sheetId="1611">
        <row r="34">
          <cell r="A34" t="str">
            <v>Investments Govt Securities</v>
          </cell>
        </row>
      </sheetData>
      <sheetData sheetId="1612">
        <row r="34">
          <cell r="A34" t="str">
            <v>Investments Govt Securities</v>
          </cell>
        </row>
      </sheetData>
      <sheetData sheetId="1613">
        <row r="34">
          <cell r="A34" t="str">
            <v>Investments Govt Securities</v>
          </cell>
        </row>
      </sheetData>
      <sheetData sheetId="1614">
        <row r="34">
          <cell r="A34" t="str">
            <v>Investments Govt Securities</v>
          </cell>
        </row>
      </sheetData>
      <sheetData sheetId="1615">
        <row r="34">
          <cell r="A34" t="str">
            <v>Investments Govt Securities</v>
          </cell>
        </row>
      </sheetData>
      <sheetData sheetId="1616">
        <row r="34">
          <cell r="A34" t="str">
            <v>Investments Govt Securities</v>
          </cell>
        </row>
      </sheetData>
      <sheetData sheetId="1617">
        <row r="34">
          <cell r="A34" t="str">
            <v>Investments Govt Securities</v>
          </cell>
        </row>
      </sheetData>
      <sheetData sheetId="1618">
        <row r="34">
          <cell r="A34" t="str">
            <v>Investments Govt Securities</v>
          </cell>
        </row>
      </sheetData>
      <sheetData sheetId="1619">
        <row r="34">
          <cell r="A34" t="str">
            <v>Investments Govt Securities</v>
          </cell>
        </row>
      </sheetData>
      <sheetData sheetId="1620">
        <row r="34">
          <cell r="A34" t="str">
            <v>Investments Govt Securities</v>
          </cell>
        </row>
      </sheetData>
      <sheetData sheetId="1621">
        <row r="34">
          <cell r="A34" t="str">
            <v>Investments Govt Securities</v>
          </cell>
        </row>
      </sheetData>
      <sheetData sheetId="1622">
        <row r="34">
          <cell r="A34" t="str">
            <v>Investments Govt Securities</v>
          </cell>
        </row>
      </sheetData>
      <sheetData sheetId="1623">
        <row r="34">
          <cell r="A34" t="str">
            <v>Investments Govt Securities</v>
          </cell>
        </row>
      </sheetData>
      <sheetData sheetId="1624">
        <row r="34">
          <cell r="A34" t="str">
            <v>Investments Govt Securities</v>
          </cell>
        </row>
      </sheetData>
      <sheetData sheetId="1625">
        <row r="34">
          <cell r="A34" t="str">
            <v>Investments Govt Securities</v>
          </cell>
        </row>
      </sheetData>
      <sheetData sheetId="1626">
        <row r="34">
          <cell r="A34" t="str">
            <v>Investments Govt Securities</v>
          </cell>
        </row>
      </sheetData>
      <sheetData sheetId="1627">
        <row r="34">
          <cell r="A34" t="str">
            <v>Investments Govt Securities</v>
          </cell>
        </row>
      </sheetData>
      <sheetData sheetId="1628">
        <row r="34">
          <cell r="A34" t="str">
            <v>Investments Govt Securities</v>
          </cell>
        </row>
      </sheetData>
      <sheetData sheetId="1629">
        <row r="34">
          <cell r="A34" t="str">
            <v>Investments Govt Securities</v>
          </cell>
        </row>
      </sheetData>
      <sheetData sheetId="1630">
        <row r="34">
          <cell r="A34" t="str">
            <v>Investments Govt Securities</v>
          </cell>
        </row>
      </sheetData>
      <sheetData sheetId="1631">
        <row r="34">
          <cell r="A34" t="str">
            <v>Investments Govt Securities</v>
          </cell>
        </row>
      </sheetData>
      <sheetData sheetId="1632">
        <row r="34">
          <cell r="A34" t="str">
            <v>Investments Govt Securities</v>
          </cell>
        </row>
      </sheetData>
      <sheetData sheetId="1633">
        <row r="34">
          <cell r="A34" t="str">
            <v>Investments Govt Securities</v>
          </cell>
        </row>
      </sheetData>
      <sheetData sheetId="1634">
        <row r="34">
          <cell r="A34" t="str">
            <v>Investments Govt Securities</v>
          </cell>
        </row>
      </sheetData>
      <sheetData sheetId="1635">
        <row r="34">
          <cell r="A34" t="str">
            <v>Investments Govt Securities</v>
          </cell>
        </row>
      </sheetData>
      <sheetData sheetId="1636">
        <row r="34">
          <cell r="A34" t="str">
            <v>Investments Govt Securities</v>
          </cell>
        </row>
      </sheetData>
      <sheetData sheetId="1637">
        <row r="34">
          <cell r="A34" t="str">
            <v>Investments Govt Securities</v>
          </cell>
        </row>
      </sheetData>
      <sheetData sheetId="1638">
        <row r="34">
          <cell r="A34" t="str">
            <v>Investments Govt Securities</v>
          </cell>
        </row>
      </sheetData>
      <sheetData sheetId="1639">
        <row r="34">
          <cell r="A34" t="str">
            <v>Investments Govt Securities</v>
          </cell>
        </row>
      </sheetData>
      <sheetData sheetId="1640">
        <row r="34">
          <cell r="A34" t="str">
            <v>Investments Govt Securities</v>
          </cell>
        </row>
      </sheetData>
      <sheetData sheetId="1641">
        <row r="34">
          <cell r="A34" t="str">
            <v>Investments Govt Securities</v>
          </cell>
        </row>
      </sheetData>
      <sheetData sheetId="1642">
        <row r="34">
          <cell r="A34" t="str">
            <v>Investments Govt Securities</v>
          </cell>
        </row>
      </sheetData>
      <sheetData sheetId="1643">
        <row r="34">
          <cell r="A34" t="str">
            <v>Investments Govt Securities</v>
          </cell>
        </row>
      </sheetData>
      <sheetData sheetId="1644">
        <row r="34">
          <cell r="A34" t="str">
            <v>Investments Govt Securities</v>
          </cell>
        </row>
      </sheetData>
      <sheetData sheetId="1645">
        <row r="34">
          <cell r="A34" t="str">
            <v>Investments Govt Securities</v>
          </cell>
        </row>
      </sheetData>
      <sheetData sheetId="1646">
        <row r="34">
          <cell r="A34" t="str">
            <v>Investments Govt Securities</v>
          </cell>
        </row>
      </sheetData>
      <sheetData sheetId="1647">
        <row r="34">
          <cell r="A34" t="str">
            <v>Investments Govt Securities</v>
          </cell>
        </row>
      </sheetData>
      <sheetData sheetId="1648">
        <row r="34">
          <cell r="A34" t="str">
            <v>Investments Govt Securities</v>
          </cell>
        </row>
      </sheetData>
      <sheetData sheetId="1649">
        <row r="34">
          <cell r="A34" t="str">
            <v>Investments Govt Securities</v>
          </cell>
        </row>
      </sheetData>
      <sheetData sheetId="1650">
        <row r="34">
          <cell r="A34" t="str">
            <v>Investments Govt Securities</v>
          </cell>
        </row>
      </sheetData>
      <sheetData sheetId="1651">
        <row r="34">
          <cell r="A34" t="str">
            <v>Investments Govt Securities</v>
          </cell>
        </row>
      </sheetData>
      <sheetData sheetId="1652">
        <row r="34">
          <cell r="A34" t="str">
            <v>Investments Govt Securities</v>
          </cell>
        </row>
      </sheetData>
      <sheetData sheetId="1653">
        <row r="34">
          <cell r="A34" t="str">
            <v>Investments Govt Securities</v>
          </cell>
        </row>
      </sheetData>
      <sheetData sheetId="1654">
        <row r="34">
          <cell r="A34" t="str">
            <v>Investments Govt Securities</v>
          </cell>
        </row>
      </sheetData>
      <sheetData sheetId="1655">
        <row r="34">
          <cell r="A34" t="str">
            <v>Investments Govt Securities</v>
          </cell>
        </row>
      </sheetData>
      <sheetData sheetId="1656">
        <row r="34">
          <cell r="A34" t="str">
            <v>Investments Govt Securities</v>
          </cell>
        </row>
      </sheetData>
      <sheetData sheetId="1657">
        <row r="34">
          <cell r="A34" t="str">
            <v>Investments Govt Securities</v>
          </cell>
        </row>
      </sheetData>
      <sheetData sheetId="1658">
        <row r="34">
          <cell r="A34" t="str">
            <v>Investments Govt Securities</v>
          </cell>
        </row>
      </sheetData>
      <sheetData sheetId="1659">
        <row r="34">
          <cell r="A34" t="str">
            <v>Investments Govt Securities</v>
          </cell>
        </row>
      </sheetData>
      <sheetData sheetId="1660">
        <row r="34">
          <cell r="A34" t="str">
            <v>Investments Govt Securities</v>
          </cell>
        </row>
      </sheetData>
      <sheetData sheetId="1661">
        <row r="34">
          <cell r="A34" t="str">
            <v>Investments Govt Securities</v>
          </cell>
        </row>
      </sheetData>
      <sheetData sheetId="1662">
        <row r="34">
          <cell r="A34" t="str">
            <v>Investments Govt Securities</v>
          </cell>
        </row>
      </sheetData>
      <sheetData sheetId="1663">
        <row r="34">
          <cell r="A34" t="str">
            <v>Investments Govt Securities</v>
          </cell>
        </row>
      </sheetData>
      <sheetData sheetId="1664">
        <row r="34">
          <cell r="A34" t="str">
            <v>Investments Govt Securities</v>
          </cell>
        </row>
      </sheetData>
      <sheetData sheetId="1665">
        <row r="34">
          <cell r="A34" t="str">
            <v>Investments Govt Securities</v>
          </cell>
        </row>
      </sheetData>
      <sheetData sheetId="1666">
        <row r="34">
          <cell r="A34" t="str">
            <v>Investments Govt Securities</v>
          </cell>
        </row>
      </sheetData>
      <sheetData sheetId="1667">
        <row r="34">
          <cell r="A34" t="str">
            <v>Investments Govt Securities</v>
          </cell>
        </row>
      </sheetData>
      <sheetData sheetId="1668">
        <row r="34">
          <cell r="A34" t="str">
            <v>Investments Govt Securities</v>
          </cell>
        </row>
      </sheetData>
      <sheetData sheetId="1669">
        <row r="34">
          <cell r="A34" t="str">
            <v>Investments Govt Securities</v>
          </cell>
        </row>
      </sheetData>
      <sheetData sheetId="1670">
        <row r="34">
          <cell r="A34" t="str">
            <v>Investments Govt Securities</v>
          </cell>
        </row>
      </sheetData>
      <sheetData sheetId="1671">
        <row r="34">
          <cell r="A34" t="str">
            <v>Investments Govt Securities</v>
          </cell>
        </row>
      </sheetData>
      <sheetData sheetId="1672">
        <row r="34">
          <cell r="A34" t="str">
            <v>Investments Govt Securities</v>
          </cell>
        </row>
      </sheetData>
      <sheetData sheetId="1673">
        <row r="34">
          <cell r="A34" t="str">
            <v>Investments Govt Securities</v>
          </cell>
        </row>
      </sheetData>
      <sheetData sheetId="1674">
        <row r="34">
          <cell r="A34" t="str">
            <v>Investments Govt Securities</v>
          </cell>
        </row>
      </sheetData>
      <sheetData sheetId="1675">
        <row r="34">
          <cell r="A34" t="str">
            <v>Investments Govt Securities</v>
          </cell>
        </row>
      </sheetData>
      <sheetData sheetId="1676">
        <row r="34">
          <cell r="A34" t="str">
            <v>Investments Govt Securities</v>
          </cell>
        </row>
      </sheetData>
      <sheetData sheetId="1677">
        <row r="34">
          <cell r="A34" t="str">
            <v>Investments Govt Securities</v>
          </cell>
        </row>
      </sheetData>
      <sheetData sheetId="1678">
        <row r="34">
          <cell r="A34" t="str">
            <v>Investments Govt Securities</v>
          </cell>
        </row>
      </sheetData>
      <sheetData sheetId="1679">
        <row r="34">
          <cell r="A34" t="str">
            <v>Investments Govt Securities</v>
          </cell>
        </row>
      </sheetData>
      <sheetData sheetId="1680">
        <row r="34">
          <cell r="A34" t="str">
            <v>Investments Govt Securities</v>
          </cell>
        </row>
      </sheetData>
      <sheetData sheetId="1681">
        <row r="34">
          <cell r="A34" t="str">
            <v>Investments Govt Securities</v>
          </cell>
        </row>
      </sheetData>
      <sheetData sheetId="1682">
        <row r="34">
          <cell r="A34" t="str">
            <v>Investments Govt Securities</v>
          </cell>
        </row>
      </sheetData>
      <sheetData sheetId="1683">
        <row r="34">
          <cell r="A34" t="str">
            <v>Investments Govt Securities</v>
          </cell>
        </row>
      </sheetData>
      <sheetData sheetId="1684">
        <row r="34">
          <cell r="A34" t="str">
            <v>Investments Govt Securities</v>
          </cell>
        </row>
      </sheetData>
      <sheetData sheetId="1685">
        <row r="34">
          <cell r="A34" t="str">
            <v>Investments Govt Securities</v>
          </cell>
        </row>
      </sheetData>
      <sheetData sheetId="1686">
        <row r="34">
          <cell r="A34" t="str">
            <v>Investments Govt Securities</v>
          </cell>
        </row>
      </sheetData>
      <sheetData sheetId="1687">
        <row r="34">
          <cell r="A34" t="str">
            <v>Investments Govt Securities</v>
          </cell>
        </row>
      </sheetData>
      <sheetData sheetId="1688">
        <row r="34">
          <cell r="A34" t="str">
            <v>Investments Govt Securities</v>
          </cell>
        </row>
      </sheetData>
      <sheetData sheetId="1689">
        <row r="34">
          <cell r="A34" t="str">
            <v>Investments Govt Securities</v>
          </cell>
        </row>
      </sheetData>
      <sheetData sheetId="1690">
        <row r="34">
          <cell r="A34" t="str">
            <v>Investments Govt Securities</v>
          </cell>
        </row>
      </sheetData>
      <sheetData sheetId="1691">
        <row r="34">
          <cell r="A34" t="str">
            <v>Investments Govt Securities</v>
          </cell>
        </row>
      </sheetData>
      <sheetData sheetId="1692">
        <row r="34">
          <cell r="A34" t="str">
            <v>Investments Govt Securities</v>
          </cell>
        </row>
      </sheetData>
      <sheetData sheetId="1693">
        <row r="34">
          <cell r="A34" t="str">
            <v>Investments Govt Securities</v>
          </cell>
        </row>
      </sheetData>
      <sheetData sheetId="1694">
        <row r="34">
          <cell r="A34" t="str">
            <v>Investments Govt Securities</v>
          </cell>
        </row>
      </sheetData>
      <sheetData sheetId="1695">
        <row r="34">
          <cell r="A34" t="str">
            <v>Investments Govt Securities</v>
          </cell>
        </row>
      </sheetData>
      <sheetData sheetId="1696">
        <row r="34">
          <cell r="A34" t="str">
            <v>Investments Govt Securities</v>
          </cell>
        </row>
      </sheetData>
      <sheetData sheetId="1697">
        <row r="34">
          <cell r="A34" t="str">
            <v>Investments Govt Securities</v>
          </cell>
        </row>
      </sheetData>
      <sheetData sheetId="1698">
        <row r="34">
          <cell r="A34" t="str">
            <v>Investments Govt Securities</v>
          </cell>
        </row>
      </sheetData>
      <sheetData sheetId="1699">
        <row r="34">
          <cell r="A34" t="str">
            <v>Investments Govt Securities</v>
          </cell>
        </row>
      </sheetData>
      <sheetData sheetId="1700">
        <row r="34">
          <cell r="A34" t="str">
            <v>Investments Govt Securities</v>
          </cell>
        </row>
      </sheetData>
      <sheetData sheetId="1701">
        <row r="34">
          <cell r="A34" t="str">
            <v>Investments Govt Securities</v>
          </cell>
        </row>
      </sheetData>
      <sheetData sheetId="1702">
        <row r="34">
          <cell r="A34" t="str">
            <v>Investments Govt Securities</v>
          </cell>
        </row>
      </sheetData>
      <sheetData sheetId="1703">
        <row r="34">
          <cell r="A34" t="str">
            <v>Investments Govt Securities</v>
          </cell>
        </row>
      </sheetData>
      <sheetData sheetId="1704">
        <row r="34">
          <cell r="A34" t="str">
            <v>Investments Govt Securities</v>
          </cell>
        </row>
      </sheetData>
      <sheetData sheetId="1705">
        <row r="34">
          <cell r="A34" t="str">
            <v>Investments Govt Securities</v>
          </cell>
        </row>
      </sheetData>
      <sheetData sheetId="1706">
        <row r="34">
          <cell r="A34" t="str">
            <v>Investments Govt Securities</v>
          </cell>
        </row>
      </sheetData>
      <sheetData sheetId="1707">
        <row r="34">
          <cell r="A34" t="str">
            <v>Investments Govt Securities</v>
          </cell>
        </row>
      </sheetData>
      <sheetData sheetId="1708">
        <row r="34">
          <cell r="A34" t="str">
            <v>Investments Govt Securities</v>
          </cell>
        </row>
      </sheetData>
      <sheetData sheetId="1709">
        <row r="34">
          <cell r="A34" t="str">
            <v>Investments Govt Securities</v>
          </cell>
        </row>
      </sheetData>
      <sheetData sheetId="1710">
        <row r="34">
          <cell r="A34" t="str">
            <v>Investments Govt Securities</v>
          </cell>
        </row>
      </sheetData>
      <sheetData sheetId="1711">
        <row r="34">
          <cell r="A34" t="str">
            <v>Investments Govt Securities</v>
          </cell>
        </row>
      </sheetData>
      <sheetData sheetId="1712">
        <row r="34">
          <cell r="A34" t="str">
            <v>Investments Govt Securities</v>
          </cell>
        </row>
      </sheetData>
      <sheetData sheetId="1713">
        <row r="34">
          <cell r="A34" t="str">
            <v>Investments Govt Securities</v>
          </cell>
        </row>
      </sheetData>
      <sheetData sheetId="1714">
        <row r="34">
          <cell r="A34" t="str">
            <v>Investments Govt Securities</v>
          </cell>
        </row>
      </sheetData>
      <sheetData sheetId="1715">
        <row r="34">
          <cell r="A34" t="str">
            <v>Investments Govt Securities</v>
          </cell>
        </row>
      </sheetData>
      <sheetData sheetId="1716">
        <row r="34">
          <cell r="A34" t="str">
            <v>Investments Govt Securities</v>
          </cell>
        </row>
      </sheetData>
      <sheetData sheetId="1717">
        <row r="34">
          <cell r="A34" t="str">
            <v>Investments Govt Securities</v>
          </cell>
        </row>
      </sheetData>
      <sheetData sheetId="1718">
        <row r="34">
          <cell r="A34" t="str">
            <v>Investments Govt Securities</v>
          </cell>
        </row>
      </sheetData>
      <sheetData sheetId="1719">
        <row r="34">
          <cell r="A34" t="str">
            <v>Investments Govt Securities</v>
          </cell>
        </row>
      </sheetData>
      <sheetData sheetId="1720">
        <row r="34">
          <cell r="A34" t="str">
            <v>Investments Govt Securities</v>
          </cell>
        </row>
      </sheetData>
      <sheetData sheetId="1721">
        <row r="34">
          <cell r="A34" t="str">
            <v>Investments Govt Securities</v>
          </cell>
        </row>
      </sheetData>
      <sheetData sheetId="1722">
        <row r="34">
          <cell r="A34" t="str">
            <v>Investments Govt Securities</v>
          </cell>
        </row>
      </sheetData>
      <sheetData sheetId="1723">
        <row r="34">
          <cell r="A34" t="str">
            <v>Investments Govt Securities</v>
          </cell>
        </row>
      </sheetData>
      <sheetData sheetId="1724">
        <row r="34">
          <cell r="A34" t="str">
            <v>Investments Govt Securities</v>
          </cell>
        </row>
      </sheetData>
      <sheetData sheetId="1725">
        <row r="34">
          <cell r="A34" t="str">
            <v>Investments Govt Securities</v>
          </cell>
        </row>
      </sheetData>
      <sheetData sheetId="1726">
        <row r="34">
          <cell r="A34" t="str">
            <v>Investments Govt Securities</v>
          </cell>
        </row>
      </sheetData>
      <sheetData sheetId="1727">
        <row r="34">
          <cell r="A34" t="str">
            <v>Investments Govt Securities</v>
          </cell>
        </row>
      </sheetData>
      <sheetData sheetId="1728">
        <row r="34">
          <cell r="A34" t="str">
            <v>Investments Govt Securities</v>
          </cell>
        </row>
      </sheetData>
      <sheetData sheetId="1729">
        <row r="34">
          <cell r="A34" t="str">
            <v>Investments Govt Securities</v>
          </cell>
        </row>
      </sheetData>
      <sheetData sheetId="1730">
        <row r="34">
          <cell r="A34" t="str">
            <v>Investments Govt Securities</v>
          </cell>
        </row>
      </sheetData>
      <sheetData sheetId="1731">
        <row r="34">
          <cell r="A34" t="str">
            <v>Investments Govt Securities</v>
          </cell>
        </row>
      </sheetData>
      <sheetData sheetId="1732">
        <row r="34">
          <cell r="A34" t="str">
            <v>Investments Govt Securities</v>
          </cell>
        </row>
      </sheetData>
      <sheetData sheetId="1733">
        <row r="34">
          <cell r="A34" t="str">
            <v>Investments Govt Securities</v>
          </cell>
        </row>
      </sheetData>
      <sheetData sheetId="1734">
        <row r="34">
          <cell r="A34" t="str">
            <v>Investments Govt Securities</v>
          </cell>
        </row>
      </sheetData>
      <sheetData sheetId="1735">
        <row r="34">
          <cell r="A34" t="str">
            <v>Investments Govt Securities</v>
          </cell>
        </row>
      </sheetData>
      <sheetData sheetId="1736">
        <row r="34">
          <cell r="A34" t="str">
            <v>Investments Govt Securities</v>
          </cell>
        </row>
      </sheetData>
      <sheetData sheetId="1737">
        <row r="34">
          <cell r="A34" t="str">
            <v>Investments Govt Securities</v>
          </cell>
        </row>
      </sheetData>
      <sheetData sheetId="1738">
        <row r="34">
          <cell r="A34" t="str">
            <v>Investments Govt Securities</v>
          </cell>
        </row>
      </sheetData>
      <sheetData sheetId="1739">
        <row r="34">
          <cell r="A34" t="str">
            <v>Investments Govt Securities</v>
          </cell>
        </row>
      </sheetData>
      <sheetData sheetId="1740">
        <row r="34">
          <cell r="A34" t="str">
            <v>Investments Govt Securities</v>
          </cell>
        </row>
      </sheetData>
      <sheetData sheetId="1741">
        <row r="34">
          <cell r="A34" t="str">
            <v>Investments Govt Securities</v>
          </cell>
        </row>
      </sheetData>
      <sheetData sheetId="1742">
        <row r="34">
          <cell r="A34" t="str">
            <v>Investments Govt Securities</v>
          </cell>
        </row>
      </sheetData>
      <sheetData sheetId="1743">
        <row r="34">
          <cell r="A34" t="str">
            <v>Investments Govt Securities</v>
          </cell>
        </row>
      </sheetData>
      <sheetData sheetId="1744">
        <row r="34">
          <cell r="A34" t="str">
            <v>Investments Govt Securities</v>
          </cell>
        </row>
      </sheetData>
      <sheetData sheetId="1745">
        <row r="34">
          <cell r="A34" t="str">
            <v>Investments Govt Securities</v>
          </cell>
        </row>
      </sheetData>
      <sheetData sheetId="1746">
        <row r="34">
          <cell r="A34" t="str">
            <v>Investments Govt Securities</v>
          </cell>
        </row>
      </sheetData>
      <sheetData sheetId="1747">
        <row r="34">
          <cell r="A34" t="str">
            <v>Investments Govt Securities</v>
          </cell>
        </row>
      </sheetData>
      <sheetData sheetId="1748">
        <row r="34">
          <cell r="A34" t="str">
            <v>Investments Govt Securities</v>
          </cell>
        </row>
      </sheetData>
      <sheetData sheetId="1749">
        <row r="34">
          <cell r="A34" t="str">
            <v>Investments Govt Securities</v>
          </cell>
        </row>
      </sheetData>
      <sheetData sheetId="1750">
        <row r="34">
          <cell r="A34" t="str">
            <v>Investments Govt Securities</v>
          </cell>
        </row>
      </sheetData>
      <sheetData sheetId="1751">
        <row r="34">
          <cell r="A34" t="str">
            <v>Investments Govt Securities</v>
          </cell>
        </row>
      </sheetData>
      <sheetData sheetId="1752">
        <row r="34">
          <cell r="A34" t="str">
            <v>Investments Govt Securities</v>
          </cell>
        </row>
      </sheetData>
      <sheetData sheetId="1753" refreshError="1"/>
      <sheetData sheetId="1754">
        <row r="34">
          <cell r="A34" t="str">
            <v>Investments Govt Securities</v>
          </cell>
        </row>
      </sheetData>
      <sheetData sheetId="1755">
        <row r="34">
          <cell r="A34" t="str">
            <v>Investments Govt Securities</v>
          </cell>
        </row>
      </sheetData>
      <sheetData sheetId="1756" refreshError="1"/>
      <sheetData sheetId="1757">
        <row r="34">
          <cell r="A34" t="str">
            <v>Investments Govt Securities</v>
          </cell>
        </row>
      </sheetData>
      <sheetData sheetId="1758">
        <row r="34">
          <cell r="A34" t="str">
            <v>Investments Govt Securities</v>
          </cell>
        </row>
      </sheetData>
      <sheetData sheetId="1759">
        <row r="34">
          <cell r="A34" t="str">
            <v>Investments Govt Securities</v>
          </cell>
        </row>
      </sheetData>
      <sheetData sheetId="1760">
        <row r="34">
          <cell r="A34" t="str">
            <v>Investments Govt Securities</v>
          </cell>
        </row>
      </sheetData>
      <sheetData sheetId="1761">
        <row r="34">
          <cell r="A34" t="str">
            <v>Investments Govt Securities</v>
          </cell>
        </row>
      </sheetData>
      <sheetData sheetId="1762">
        <row r="34">
          <cell r="A34" t="str">
            <v>Investments Govt Securities</v>
          </cell>
        </row>
      </sheetData>
      <sheetData sheetId="1763">
        <row r="34">
          <cell r="A34" t="str">
            <v>Investments Govt Securities</v>
          </cell>
        </row>
      </sheetData>
      <sheetData sheetId="1764">
        <row r="34">
          <cell r="A34" t="str">
            <v>Investments Govt Securities</v>
          </cell>
        </row>
      </sheetData>
      <sheetData sheetId="1765">
        <row r="34">
          <cell r="A34" t="str">
            <v>Investments Govt Securities</v>
          </cell>
        </row>
      </sheetData>
      <sheetData sheetId="1766">
        <row r="34">
          <cell r="A34" t="str">
            <v>Investments Govt Securities</v>
          </cell>
        </row>
      </sheetData>
      <sheetData sheetId="1767">
        <row r="34">
          <cell r="A34" t="str">
            <v>Investments Govt Securities</v>
          </cell>
        </row>
      </sheetData>
      <sheetData sheetId="1768">
        <row r="34">
          <cell r="A34" t="str">
            <v>Investments Govt Securities</v>
          </cell>
        </row>
      </sheetData>
      <sheetData sheetId="1769">
        <row r="34">
          <cell r="A34" t="str">
            <v>Investments Govt Securities</v>
          </cell>
        </row>
      </sheetData>
      <sheetData sheetId="1770">
        <row r="34">
          <cell r="A34" t="str">
            <v>Investments Govt Securities</v>
          </cell>
        </row>
      </sheetData>
      <sheetData sheetId="1771">
        <row r="34">
          <cell r="A34" t="str">
            <v>Investments Govt Securities</v>
          </cell>
        </row>
      </sheetData>
      <sheetData sheetId="1772" refreshError="1"/>
      <sheetData sheetId="1773">
        <row r="34">
          <cell r="A34" t="str">
            <v>Investments Govt Securities</v>
          </cell>
        </row>
      </sheetData>
      <sheetData sheetId="1774">
        <row r="34">
          <cell r="A34" t="str">
            <v>Investments Govt Securities</v>
          </cell>
        </row>
      </sheetData>
      <sheetData sheetId="1775">
        <row r="34">
          <cell r="A34" t="str">
            <v>Investments Govt Securities</v>
          </cell>
        </row>
      </sheetData>
      <sheetData sheetId="1776">
        <row r="34">
          <cell r="A34" t="str">
            <v>Investments Govt Securities</v>
          </cell>
        </row>
      </sheetData>
      <sheetData sheetId="1777">
        <row r="34">
          <cell r="A34" t="str">
            <v>Investments Govt Securities</v>
          </cell>
        </row>
      </sheetData>
      <sheetData sheetId="1778">
        <row r="34">
          <cell r="A34" t="str">
            <v>Investments Govt Securities</v>
          </cell>
        </row>
      </sheetData>
      <sheetData sheetId="1779">
        <row r="34">
          <cell r="A34" t="str">
            <v>Investments Govt Securities</v>
          </cell>
        </row>
      </sheetData>
      <sheetData sheetId="1780">
        <row r="34">
          <cell r="A34" t="str">
            <v>Investments Govt Securities</v>
          </cell>
        </row>
      </sheetData>
      <sheetData sheetId="1781">
        <row r="34">
          <cell r="A34" t="str">
            <v>Investments Govt Securities</v>
          </cell>
        </row>
      </sheetData>
      <sheetData sheetId="1782">
        <row r="34">
          <cell r="A34" t="str">
            <v>Investments Govt Securities</v>
          </cell>
        </row>
      </sheetData>
      <sheetData sheetId="1783">
        <row r="34">
          <cell r="A34" t="str">
            <v>Investments Govt Securities</v>
          </cell>
        </row>
      </sheetData>
      <sheetData sheetId="1784">
        <row r="34">
          <cell r="A34" t="str">
            <v>Investments Govt Securities</v>
          </cell>
        </row>
      </sheetData>
      <sheetData sheetId="1785">
        <row r="34">
          <cell r="A34" t="str">
            <v>Investments Govt Securities</v>
          </cell>
        </row>
      </sheetData>
      <sheetData sheetId="1786">
        <row r="34">
          <cell r="A34" t="str">
            <v>Investments Govt Securities</v>
          </cell>
        </row>
      </sheetData>
      <sheetData sheetId="1787">
        <row r="34">
          <cell r="A34" t="str">
            <v>Investments Govt Securities</v>
          </cell>
        </row>
      </sheetData>
      <sheetData sheetId="1788">
        <row r="34">
          <cell r="A34" t="str">
            <v>Investments Govt Securities</v>
          </cell>
        </row>
      </sheetData>
      <sheetData sheetId="1789">
        <row r="34">
          <cell r="A34" t="str">
            <v>Investments Govt Securities</v>
          </cell>
        </row>
      </sheetData>
      <sheetData sheetId="1790">
        <row r="34">
          <cell r="A34" t="str">
            <v>Investments Govt Securities</v>
          </cell>
        </row>
      </sheetData>
      <sheetData sheetId="1791">
        <row r="34">
          <cell r="A34" t="str">
            <v>Investments Govt Securities</v>
          </cell>
        </row>
      </sheetData>
      <sheetData sheetId="1792">
        <row r="34">
          <cell r="A34" t="str">
            <v>Investments Govt Securities</v>
          </cell>
        </row>
      </sheetData>
      <sheetData sheetId="1793">
        <row r="34">
          <cell r="A34" t="str">
            <v>Investments Govt Securities</v>
          </cell>
        </row>
      </sheetData>
      <sheetData sheetId="1794">
        <row r="34">
          <cell r="A34" t="str">
            <v>Investments Govt Securities</v>
          </cell>
        </row>
      </sheetData>
      <sheetData sheetId="1795">
        <row r="34">
          <cell r="A34" t="str">
            <v>Investments Govt Securities</v>
          </cell>
        </row>
      </sheetData>
      <sheetData sheetId="1796">
        <row r="34">
          <cell r="A34" t="str">
            <v>Investments Govt Securities</v>
          </cell>
        </row>
      </sheetData>
      <sheetData sheetId="1797">
        <row r="34">
          <cell r="A34" t="str">
            <v>Investments Govt Securities</v>
          </cell>
        </row>
      </sheetData>
      <sheetData sheetId="1798">
        <row r="34">
          <cell r="A34" t="str">
            <v>Investments Govt Securities</v>
          </cell>
        </row>
      </sheetData>
      <sheetData sheetId="1799">
        <row r="34">
          <cell r="A34" t="str">
            <v>Investments Govt Securities</v>
          </cell>
        </row>
      </sheetData>
      <sheetData sheetId="1800">
        <row r="34">
          <cell r="A34" t="str">
            <v>Investments Govt Securities</v>
          </cell>
        </row>
      </sheetData>
      <sheetData sheetId="1801">
        <row r="34">
          <cell r="A34" t="str">
            <v>Investments Govt Securities</v>
          </cell>
        </row>
      </sheetData>
      <sheetData sheetId="1802">
        <row r="34">
          <cell r="A34" t="str">
            <v>Investments Govt Securities</v>
          </cell>
        </row>
      </sheetData>
      <sheetData sheetId="1803">
        <row r="34">
          <cell r="A34" t="str">
            <v>Investments Govt Securities</v>
          </cell>
        </row>
      </sheetData>
      <sheetData sheetId="1804">
        <row r="34">
          <cell r="A34" t="str">
            <v>Investments Govt Securities</v>
          </cell>
        </row>
      </sheetData>
      <sheetData sheetId="1805">
        <row r="34">
          <cell r="A34" t="str">
            <v>Investments Govt Securities</v>
          </cell>
        </row>
      </sheetData>
      <sheetData sheetId="1806">
        <row r="34">
          <cell r="A34" t="str">
            <v>Investments Govt Securities</v>
          </cell>
        </row>
      </sheetData>
      <sheetData sheetId="1807">
        <row r="34">
          <cell r="A34" t="str">
            <v>Investments Govt Securities</v>
          </cell>
        </row>
      </sheetData>
      <sheetData sheetId="1808">
        <row r="34">
          <cell r="A34" t="str">
            <v>Investments Govt Securities</v>
          </cell>
        </row>
      </sheetData>
      <sheetData sheetId="1809">
        <row r="34">
          <cell r="A34" t="str">
            <v>Investments Govt Securities</v>
          </cell>
        </row>
      </sheetData>
      <sheetData sheetId="1810">
        <row r="34">
          <cell r="A34" t="str">
            <v>Investments Govt Securities</v>
          </cell>
        </row>
      </sheetData>
      <sheetData sheetId="1811">
        <row r="34">
          <cell r="A34" t="str">
            <v>Investments Govt Securities</v>
          </cell>
        </row>
      </sheetData>
      <sheetData sheetId="1812">
        <row r="34">
          <cell r="A34" t="str">
            <v>Investments Govt Securities</v>
          </cell>
        </row>
      </sheetData>
      <sheetData sheetId="1813">
        <row r="34">
          <cell r="A34" t="str">
            <v>Investments Govt Securities</v>
          </cell>
        </row>
      </sheetData>
      <sheetData sheetId="1814">
        <row r="34">
          <cell r="A34" t="str">
            <v>Investments Govt Securities</v>
          </cell>
        </row>
      </sheetData>
      <sheetData sheetId="1815">
        <row r="34">
          <cell r="A34" t="str">
            <v>Investments Govt Securities</v>
          </cell>
        </row>
      </sheetData>
      <sheetData sheetId="1816">
        <row r="34">
          <cell r="A34" t="str">
            <v>Investments Govt Securities</v>
          </cell>
        </row>
      </sheetData>
      <sheetData sheetId="1817">
        <row r="34">
          <cell r="A34" t="str">
            <v>Investments Govt Securities</v>
          </cell>
        </row>
      </sheetData>
      <sheetData sheetId="1818">
        <row r="34">
          <cell r="A34" t="str">
            <v>Investments Govt Securities</v>
          </cell>
        </row>
      </sheetData>
      <sheetData sheetId="1819">
        <row r="34">
          <cell r="A34" t="str">
            <v>Investments Govt Securities</v>
          </cell>
        </row>
      </sheetData>
      <sheetData sheetId="1820">
        <row r="34">
          <cell r="A34" t="str">
            <v>Investments Govt Securities</v>
          </cell>
        </row>
      </sheetData>
      <sheetData sheetId="1821">
        <row r="34">
          <cell r="A34" t="str">
            <v>Investments Govt Securities</v>
          </cell>
        </row>
      </sheetData>
      <sheetData sheetId="1822">
        <row r="34">
          <cell r="A34" t="str">
            <v>Investments Govt Securities</v>
          </cell>
        </row>
      </sheetData>
      <sheetData sheetId="1823">
        <row r="34">
          <cell r="A34" t="str">
            <v>Investments Govt Securities</v>
          </cell>
        </row>
      </sheetData>
      <sheetData sheetId="1824">
        <row r="34">
          <cell r="A34" t="str">
            <v>Investments Govt Securities</v>
          </cell>
        </row>
      </sheetData>
      <sheetData sheetId="1825">
        <row r="34">
          <cell r="A34" t="str">
            <v>Investments Govt Securities</v>
          </cell>
        </row>
      </sheetData>
      <sheetData sheetId="1826">
        <row r="34">
          <cell r="A34" t="str">
            <v>Investments Govt Securities</v>
          </cell>
        </row>
      </sheetData>
      <sheetData sheetId="1827">
        <row r="34">
          <cell r="A34" t="str">
            <v>Investments Govt Securities</v>
          </cell>
        </row>
      </sheetData>
      <sheetData sheetId="1828">
        <row r="34">
          <cell r="A34" t="str">
            <v>Investments Govt Securities</v>
          </cell>
        </row>
      </sheetData>
      <sheetData sheetId="1829">
        <row r="34">
          <cell r="A34" t="str">
            <v>Investments Govt Securities</v>
          </cell>
        </row>
      </sheetData>
      <sheetData sheetId="1830">
        <row r="34">
          <cell r="A34" t="str">
            <v>Investments Govt Securities</v>
          </cell>
        </row>
      </sheetData>
      <sheetData sheetId="1831">
        <row r="34">
          <cell r="A34" t="str">
            <v>Investments Govt Securities</v>
          </cell>
        </row>
      </sheetData>
      <sheetData sheetId="1832">
        <row r="34">
          <cell r="A34" t="str">
            <v>Investments Govt Securities</v>
          </cell>
        </row>
      </sheetData>
      <sheetData sheetId="1833">
        <row r="34">
          <cell r="A34" t="str">
            <v>Investments Govt Securities</v>
          </cell>
        </row>
      </sheetData>
      <sheetData sheetId="1834">
        <row r="34">
          <cell r="A34" t="str">
            <v>Investments Govt Securities</v>
          </cell>
        </row>
      </sheetData>
      <sheetData sheetId="1835">
        <row r="34">
          <cell r="A34" t="str">
            <v>Investments Govt Securities</v>
          </cell>
        </row>
      </sheetData>
      <sheetData sheetId="1836">
        <row r="34">
          <cell r="A34" t="str">
            <v>Investments Govt Securities</v>
          </cell>
        </row>
      </sheetData>
      <sheetData sheetId="1837">
        <row r="34">
          <cell r="A34" t="str">
            <v>Investments Govt Securities</v>
          </cell>
        </row>
      </sheetData>
      <sheetData sheetId="1838">
        <row r="34">
          <cell r="A34" t="str">
            <v>Investments Govt Securities</v>
          </cell>
        </row>
      </sheetData>
      <sheetData sheetId="1839">
        <row r="34">
          <cell r="A34" t="str">
            <v>Investments Govt Securities</v>
          </cell>
        </row>
      </sheetData>
      <sheetData sheetId="1840">
        <row r="34">
          <cell r="A34" t="str">
            <v>Investments Govt Securities</v>
          </cell>
        </row>
      </sheetData>
      <sheetData sheetId="1841">
        <row r="34">
          <cell r="A34" t="str">
            <v>Investments Govt Securities</v>
          </cell>
        </row>
      </sheetData>
      <sheetData sheetId="1842">
        <row r="34">
          <cell r="A34" t="str">
            <v>Investments Govt Securities</v>
          </cell>
        </row>
      </sheetData>
      <sheetData sheetId="1843">
        <row r="34">
          <cell r="A34" t="str">
            <v>Investments Govt Securities</v>
          </cell>
        </row>
      </sheetData>
      <sheetData sheetId="1844">
        <row r="34">
          <cell r="A34" t="str">
            <v>Investments Govt Securities</v>
          </cell>
        </row>
      </sheetData>
      <sheetData sheetId="1845">
        <row r="34">
          <cell r="A34" t="str">
            <v>Investments Govt Securities</v>
          </cell>
        </row>
      </sheetData>
      <sheetData sheetId="1846">
        <row r="34">
          <cell r="A34" t="str">
            <v>Investments Govt Securities</v>
          </cell>
        </row>
      </sheetData>
      <sheetData sheetId="1847">
        <row r="34">
          <cell r="A34" t="str">
            <v>Investments Govt Securities</v>
          </cell>
        </row>
      </sheetData>
      <sheetData sheetId="1848">
        <row r="34">
          <cell r="A34" t="str">
            <v>Investments Govt Securities</v>
          </cell>
        </row>
      </sheetData>
      <sheetData sheetId="1849">
        <row r="34">
          <cell r="A34" t="str">
            <v>Investments Govt Securities</v>
          </cell>
        </row>
      </sheetData>
      <sheetData sheetId="1850">
        <row r="34">
          <cell r="A34" t="str">
            <v>Investments Govt Securities</v>
          </cell>
        </row>
      </sheetData>
      <sheetData sheetId="1851">
        <row r="34">
          <cell r="A34" t="str">
            <v>Investments Govt Securities</v>
          </cell>
        </row>
      </sheetData>
      <sheetData sheetId="1852">
        <row r="34">
          <cell r="A34" t="str">
            <v>Investments Govt Securities</v>
          </cell>
        </row>
      </sheetData>
      <sheetData sheetId="1853">
        <row r="34">
          <cell r="A34" t="str">
            <v>Investments Govt Securities</v>
          </cell>
        </row>
      </sheetData>
      <sheetData sheetId="1854">
        <row r="34">
          <cell r="A34" t="str">
            <v>Investments Govt Securities</v>
          </cell>
        </row>
      </sheetData>
      <sheetData sheetId="1855">
        <row r="34">
          <cell r="A34" t="str">
            <v>Investments Govt Securities</v>
          </cell>
        </row>
      </sheetData>
      <sheetData sheetId="1856">
        <row r="34">
          <cell r="A34" t="str">
            <v>Investments Govt Securities</v>
          </cell>
        </row>
      </sheetData>
      <sheetData sheetId="1857">
        <row r="34">
          <cell r="A34" t="str">
            <v>Investments Govt Securities</v>
          </cell>
        </row>
      </sheetData>
      <sheetData sheetId="1858">
        <row r="34">
          <cell r="A34" t="str">
            <v>Investments Govt Securities</v>
          </cell>
        </row>
      </sheetData>
      <sheetData sheetId="1859">
        <row r="34">
          <cell r="A34" t="str">
            <v>Investments Govt Securities</v>
          </cell>
        </row>
      </sheetData>
      <sheetData sheetId="1860">
        <row r="34">
          <cell r="A34" t="str">
            <v>Investments Govt Securities</v>
          </cell>
        </row>
      </sheetData>
      <sheetData sheetId="1861">
        <row r="34">
          <cell r="A34" t="str">
            <v>Investments Govt Securities</v>
          </cell>
        </row>
      </sheetData>
      <sheetData sheetId="1862">
        <row r="34">
          <cell r="A34" t="str">
            <v>Investments Govt Securities</v>
          </cell>
        </row>
      </sheetData>
      <sheetData sheetId="1863">
        <row r="34">
          <cell r="A34" t="str">
            <v>Investments Govt Securities</v>
          </cell>
        </row>
      </sheetData>
      <sheetData sheetId="1864">
        <row r="34">
          <cell r="A34" t="str">
            <v>Investments Govt Securities</v>
          </cell>
        </row>
      </sheetData>
      <sheetData sheetId="1865">
        <row r="34">
          <cell r="A34" t="str">
            <v>Investments Govt Securities</v>
          </cell>
        </row>
      </sheetData>
      <sheetData sheetId="1866">
        <row r="34">
          <cell r="A34" t="str">
            <v>Investments Govt Securities</v>
          </cell>
        </row>
      </sheetData>
      <sheetData sheetId="1867">
        <row r="34">
          <cell r="A34" t="str">
            <v>Investments Govt Securities</v>
          </cell>
        </row>
      </sheetData>
      <sheetData sheetId="1868">
        <row r="34">
          <cell r="A34" t="str">
            <v>Investments Govt Securities</v>
          </cell>
        </row>
      </sheetData>
      <sheetData sheetId="1869">
        <row r="34">
          <cell r="A34" t="str">
            <v>Investments Govt Securities</v>
          </cell>
        </row>
      </sheetData>
      <sheetData sheetId="1870">
        <row r="34">
          <cell r="A34" t="str">
            <v>Investments Govt Securities</v>
          </cell>
        </row>
      </sheetData>
      <sheetData sheetId="1871">
        <row r="34">
          <cell r="A34" t="str">
            <v>Investments Govt Securities</v>
          </cell>
        </row>
      </sheetData>
      <sheetData sheetId="1872">
        <row r="34">
          <cell r="A34" t="str">
            <v>Investments Govt Securities</v>
          </cell>
        </row>
      </sheetData>
      <sheetData sheetId="1873">
        <row r="34">
          <cell r="A34" t="str">
            <v>Investments Govt Securities</v>
          </cell>
        </row>
      </sheetData>
      <sheetData sheetId="1874">
        <row r="34">
          <cell r="A34" t="str">
            <v>Investments Govt Securities</v>
          </cell>
        </row>
      </sheetData>
      <sheetData sheetId="1875">
        <row r="34">
          <cell r="A34" t="str">
            <v>Investments Govt Securities</v>
          </cell>
        </row>
      </sheetData>
      <sheetData sheetId="1876">
        <row r="34">
          <cell r="A34" t="str">
            <v>Investments Govt Securities</v>
          </cell>
        </row>
      </sheetData>
      <sheetData sheetId="1877">
        <row r="34">
          <cell r="A34" t="str">
            <v>Investments Govt Securities</v>
          </cell>
        </row>
      </sheetData>
      <sheetData sheetId="1878">
        <row r="34">
          <cell r="A34" t="str">
            <v>Investments Govt Securities</v>
          </cell>
        </row>
      </sheetData>
      <sheetData sheetId="1879">
        <row r="34">
          <cell r="A34" t="str">
            <v>Investments Govt Securities</v>
          </cell>
        </row>
      </sheetData>
      <sheetData sheetId="1880">
        <row r="34">
          <cell r="A34" t="str">
            <v>Investments Govt Securities</v>
          </cell>
        </row>
      </sheetData>
      <sheetData sheetId="1881">
        <row r="34">
          <cell r="A34" t="str">
            <v>Investments Govt Securities</v>
          </cell>
        </row>
      </sheetData>
      <sheetData sheetId="1882">
        <row r="34">
          <cell r="A34" t="str">
            <v>Investments Govt Securities</v>
          </cell>
        </row>
      </sheetData>
      <sheetData sheetId="1883">
        <row r="34">
          <cell r="A34" t="str">
            <v>Investments Govt Securities</v>
          </cell>
        </row>
      </sheetData>
      <sheetData sheetId="1884">
        <row r="34">
          <cell r="A34" t="str">
            <v>Investments Govt Securities</v>
          </cell>
        </row>
      </sheetData>
      <sheetData sheetId="1885">
        <row r="34">
          <cell r="A34" t="str">
            <v>Investments Govt Securities</v>
          </cell>
        </row>
      </sheetData>
      <sheetData sheetId="1886">
        <row r="34">
          <cell r="A34" t="str">
            <v>Investments Govt Securities</v>
          </cell>
        </row>
      </sheetData>
      <sheetData sheetId="1887">
        <row r="34">
          <cell r="A34" t="str">
            <v>Investments Govt Securities</v>
          </cell>
        </row>
      </sheetData>
      <sheetData sheetId="1888">
        <row r="34">
          <cell r="A34" t="str">
            <v>Investments Govt Securities</v>
          </cell>
        </row>
      </sheetData>
      <sheetData sheetId="1889">
        <row r="34">
          <cell r="A34" t="str">
            <v>Investments Govt Securities</v>
          </cell>
        </row>
      </sheetData>
      <sheetData sheetId="1890">
        <row r="34">
          <cell r="A34" t="str">
            <v>Investments Govt Securities</v>
          </cell>
        </row>
      </sheetData>
      <sheetData sheetId="1891">
        <row r="34">
          <cell r="A34" t="str">
            <v>Investments Govt Securities</v>
          </cell>
        </row>
      </sheetData>
      <sheetData sheetId="1892">
        <row r="34">
          <cell r="A34" t="str">
            <v>Investments Govt Securities</v>
          </cell>
        </row>
      </sheetData>
      <sheetData sheetId="1893">
        <row r="34">
          <cell r="A34" t="str">
            <v>Investments Govt Securities</v>
          </cell>
        </row>
      </sheetData>
      <sheetData sheetId="1894">
        <row r="34">
          <cell r="A34" t="str">
            <v>Investments Govt Securities</v>
          </cell>
        </row>
      </sheetData>
      <sheetData sheetId="1895">
        <row r="34">
          <cell r="A34" t="str">
            <v>Investments Govt Securities</v>
          </cell>
        </row>
      </sheetData>
      <sheetData sheetId="1896">
        <row r="34">
          <cell r="A34" t="str">
            <v>Investments Govt Securities</v>
          </cell>
        </row>
      </sheetData>
      <sheetData sheetId="1897">
        <row r="34">
          <cell r="A34" t="str">
            <v>Investments Govt Securities</v>
          </cell>
        </row>
      </sheetData>
      <sheetData sheetId="1898">
        <row r="34">
          <cell r="A34" t="str">
            <v>Investments Govt Securities</v>
          </cell>
        </row>
      </sheetData>
      <sheetData sheetId="1899">
        <row r="34">
          <cell r="A34" t="str">
            <v>Investments Govt Securities</v>
          </cell>
        </row>
      </sheetData>
      <sheetData sheetId="1900">
        <row r="34">
          <cell r="A34" t="str">
            <v>Investments Govt Securities</v>
          </cell>
        </row>
      </sheetData>
      <sheetData sheetId="1901">
        <row r="34">
          <cell r="A34" t="str">
            <v>Investments Govt Securities</v>
          </cell>
        </row>
      </sheetData>
      <sheetData sheetId="1902">
        <row r="34">
          <cell r="A34" t="str">
            <v>Investments Govt Securities</v>
          </cell>
        </row>
      </sheetData>
      <sheetData sheetId="1903">
        <row r="34">
          <cell r="A34" t="str">
            <v>Investments Govt Securities</v>
          </cell>
        </row>
      </sheetData>
      <sheetData sheetId="1904">
        <row r="34">
          <cell r="A34" t="str">
            <v>Investments Govt Securities</v>
          </cell>
        </row>
      </sheetData>
      <sheetData sheetId="1905">
        <row r="34">
          <cell r="A34" t="str">
            <v>Investments Govt Securities</v>
          </cell>
        </row>
      </sheetData>
      <sheetData sheetId="1906">
        <row r="34">
          <cell r="A34" t="str">
            <v>Investments Govt Securities</v>
          </cell>
        </row>
      </sheetData>
      <sheetData sheetId="1907">
        <row r="34">
          <cell r="A34" t="str">
            <v>Investments Govt Securities</v>
          </cell>
        </row>
      </sheetData>
      <sheetData sheetId="1908">
        <row r="34">
          <cell r="A34" t="str">
            <v>Investments Govt Securities</v>
          </cell>
        </row>
      </sheetData>
      <sheetData sheetId="1909">
        <row r="34">
          <cell r="A34" t="str">
            <v>Investments Govt Securities</v>
          </cell>
        </row>
      </sheetData>
      <sheetData sheetId="1910">
        <row r="34">
          <cell r="A34" t="str">
            <v>Investments Govt Securities</v>
          </cell>
        </row>
      </sheetData>
      <sheetData sheetId="1911">
        <row r="34">
          <cell r="A34" t="str">
            <v>Investments Govt Securities</v>
          </cell>
        </row>
      </sheetData>
      <sheetData sheetId="1912">
        <row r="34">
          <cell r="A34" t="str">
            <v>Investments Govt Securities</v>
          </cell>
        </row>
      </sheetData>
      <sheetData sheetId="1913">
        <row r="34">
          <cell r="A34" t="str">
            <v>Investments Govt Securities</v>
          </cell>
        </row>
      </sheetData>
      <sheetData sheetId="1914">
        <row r="34">
          <cell r="A34" t="str">
            <v>Investments Govt Securities</v>
          </cell>
        </row>
      </sheetData>
      <sheetData sheetId="1915">
        <row r="34">
          <cell r="A34" t="str">
            <v>Investments Govt Securities</v>
          </cell>
        </row>
      </sheetData>
      <sheetData sheetId="1916">
        <row r="34">
          <cell r="A34" t="str">
            <v>Investments Govt Securities</v>
          </cell>
        </row>
      </sheetData>
      <sheetData sheetId="1917">
        <row r="34">
          <cell r="A34" t="str">
            <v>Investments Govt Securities</v>
          </cell>
        </row>
      </sheetData>
      <sheetData sheetId="1918">
        <row r="34">
          <cell r="A34" t="str">
            <v>Investments Govt Securities</v>
          </cell>
        </row>
      </sheetData>
      <sheetData sheetId="1919">
        <row r="34">
          <cell r="A34" t="str">
            <v>Investments Govt Securities</v>
          </cell>
        </row>
      </sheetData>
      <sheetData sheetId="1920">
        <row r="34">
          <cell r="A34" t="str">
            <v>Investments Govt Securities</v>
          </cell>
        </row>
      </sheetData>
      <sheetData sheetId="1921">
        <row r="34">
          <cell r="A34" t="str">
            <v>Investments Govt Securities</v>
          </cell>
        </row>
      </sheetData>
      <sheetData sheetId="1922">
        <row r="34">
          <cell r="A34" t="str">
            <v>Investments Govt Securities</v>
          </cell>
        </row>
      </sheetData>
      <sheetData sheetId="1923">
        <row r="34">
          <cell r="A34" t="str">
            <v>Investments Govt Securities</v>
          </cell>
        </row>
      </sheetData>
      <sheetData sheetId="1924">
        <row r="34">
          <cell r="A34" t="str">
            <v>Investments Govt Securities</v>
          </cell>
        </row>
      </sheetData>
      <sheetData sheetId="1925">
        <row r="34">
          <cell r="A34" t="str">
            <v>Investments Govt Securities</v>
          </cell>
        </row>
      </sheetData>
      <sheetData sheetId="1926">
        <row r="34">
          <cell r="A34" t="str">
            <v>Investments Govt Securities</v>
          </cell>
        </row>
      </sheetData>
      <sheetData sheetId="1927">
        <row r="34">
          <cell r="A34" t="str">
            <v>Investments Govt Securities</v>
          </cell>
        </row>
      </sheetData>
      <sheetData sheetId="1928">
        <row r="34">
          <cell r="A34" t="str">
            <v>Investments Govt Securities</v>
          </cell>
        </row>
      </sheetData>
      <sheetData sheetId="1929">
        <row r="34">
          <cell r="A34" t="str">
            <v>Investments Govt Securities</v>
          </cell>
        </row>
      </sheetData>
      <sheetData sheetId="1930">
        <row r="34">
          <cell r="A34" t="str">
            <v>Investments Govt Securities</v>
          </cell>
        </row>
      </sheetData>
      <sheetData sheetId="1931">
        <row r="34">
          <cell r="A34" t="str">
            <v>Investments Govt Securities</v>
          </cell>
        </row>
      </sheetData>
      <sheetData sheetId="1932">
        <row r="34">
          <cell r="A34" t="str">
            <v>Investments Govt Securities</v>
          </cell>
        </row>
      </sheetData>
      <sheetData sheetId="1933">
        <row r="34">
          <cell r="A34" t="str">
            <v>Investments Govt Securities</v>
          </cell>
        </row>
      </sheetData>
      <sheetData sheetId="1934">
        <row r="34">
          <cell r="A34" t="str">
            <v>Investments Govt Securities</v>
          </cell>
        </row>
      </sheetData>
      <sheetData sheetId="1935">
        <row r="34">
          <cell r="A34" t="str">
            <v>Investments Govt Securities</v>
          </cell>
        </row>
      </sheetData>
      <sheetData sheetId="1936">
        <row r="34">
          <cell r="A34" t="str">
            <v>Investments Govt Securities</v>
          </cell>
        </row>
      </sheetData>
      <sheetData sheetId="1937">
        <row r="34">
          <cell r="A34" t="str">
            <v>Investments Govt Securities</v>
          </cell>
        </row>
      </sheetData>
      <sheetData sheetId="1938">
        <row r="34">
          <cell r="A34" t="str">
            <v>Investments Govt Securities</v>
          </cell>
        </row>
      </sheetData>
      <sheetData sheetId="1939">
        <row r="34">
          <cell r="A34" t="str">
            <v>Investments Govt Securities</v>
          </cell>
        </row>
      </sheetData>
      <sheetData sheetId="1940">
        <row r="34">
          <cell r="A34" t="str">
            <v>Investments Govt Securities</v>
          </cell>
        </row>
      </sheetData>
      <sheetData sheetId="1941">
        <row r="34">
          <cell r="A34" t="str">
            <v>Investments Govt Securities</v>
          </cell>
        </row>
      </sheetData>
      <sheetData sheetId="1942">
        <row r="34">
          <cell r="A34" t="str">
            <v>Investments Govt Securities</v>
          </cell>
        </row>
      </sheetData>
      <sheetData sheetId="1943">
        <row r="34">
          <cell r="A34" t="str">
            <v>Investments Govt Securities</v>
          </cell>
        </row>
      </sheetData>
      <sheetData sheetId="1944">
        <row r="34">
          <cell r="A34" t="str">
            <v>Investments Govt Securities</v>
          </cell>
        </row>
      </sheetData>
      <sheetData sheetId="1945">
        <row r="34">
          <cell r="A34" t="str">
            <v>Investments Govt Securities</v>
          </cell>
        </row>
      </sheetData>
      <sheetData sheetId="1946">
        <row r="34">
          <cell r="A34" t="str">
            <v>Investments Govt Securities</v>
          </cell>
        </row>
      </sheetData>
      <sheetData sheetId="1947">
        <row r="34">
          <cell r="A34" t="str">
            <v>Investments Govt Securities</v>
          </cell>
        </row>
      </sheetData>
      <sheetData sheetId="1948">
        <row r="34">
          <cell r="A34" t="str">
            <v>Investments Govt Securities</v>
          </cell>
        </row>
      </sheetData>
      <sheetData sheetId="1949">
        <row r="34">
          <cell r="A34" t="str">
            <v>Investments Govt Securities</v>
          </cell>
        </row>
      </sheetData>
      <sheetData sheetId="1950">
        <row r="34">
          <cell r="A34" t="str">
            <v>Investments Govt Securities</v>
          </cell>
        </row>
      </sheetData>
      <sheetData sheetId="1951">
        <row r="34">
          <cell r="A34" t="str">
            <v>Investments Govt Securities</v>
          </cell>
        </row>
      </sheetData>
      <sheetData sheetId="1952">
        <row r="34">
          <cell r="A34" t="str">
            <v>Investments Govt Securities</v>
          </cell>
        </row>
      </sheetData>
      <sheetData sheetId="1953">
        <row r="34">
          <cell r="A34" t="str">
            <v>Investments Govt Securities</v>
          </cell>
        </row>
      </sheetData>
      <sheetData sheetId="1954">
        <row r="34">
          <cell r="A34" t="str">
            <v>Investments Govt Securities</v>
          </cell>
        </row>
      </sheetData>
      <sheetData sheetId="1955">
        <row r="34">
          <cell r="A34" t="str">
            <v>Investments Govt Securities</v>
          </cell>
        </row>
      </sheetData>
      <sheetData sheetId="1956">
        <row r="34">
          <cell r="A34" t="str">
            <v>Investments Govt Securities</v>
          </cell>
        </row>
      </sheetData>
      <sheetData sheetId="1957">
        <row r="34">
          <cell r="A34" t="str">
            <v>Investments Govt Securities</v>
          </cell>
        </row>
      </sheetData>
      <sheetData sheetId="1958">
        <row r="34">
          <cell r="A34" t="str">
            <v>Investments Govt Securities</v>
          </cell>
        </row>
      </sheetData>
      <sheetData sheetId="1959">
        <row r="34">
          <cell r="A34" t="str">
            <v>Investments Govt Securities</v>
          </cell>
        </row>
      </sheetData>
      <sheetData sheetId="1960">
        <row r="34">
          <cell r="A34" t="str">
            <v>Investments Govt Securities</v>
          </cell>
        </row>
      </sheetData>
      <sheetData sheetId="1961">
        <row r="34">
          <cell r="A34" t="str">
            <v>Investments Govt Securities</v>
          </cell>
        </row>
      </sheetData>
      <sheetData sheetId="1962">
        <row r="34">
          <cell r="A34" t="str">
            <v>Investments Govt Securities</v>
          </cell>
        </row>
      </sheetData>
      <sheetData sheetId="1963">
        <row r="34">
          <cell r="A34" t="str">
            <v>Investments Govt Securities</v>
          </cell>
        </row>
      </sheetData>
      <sheetData sheetId="1964">
        <row r="34">
          <cell r="A34" t="str">
            <v>Investments Govt Securities</v>
          </cell>
        </row>
      </sheetData>
      <sheetData sheetId="1965">
        <row r="34">
          <cell r="A34" t="str">
            <v>Investments Govt Securities</v>
          </cell>
        </row>
      </sheetData>
      <sheetData sheetId="1966">
        <row r="34">
          <cell r="A34" t="str">
            <v>Investments Govt Securities</v>
          </cell>
        </row>
      </sheetData>
      <sheetData sheetId="1967">
        <row r="34">
          <cell r="A34" t="str">
            <v>Investments Govt Securities</v>
          </cell>
        </row>
      </sheetData>
      <sheetData sheetId="1968">
        <row r="34">
          <cell r="A34" t="str">
            <v>Investments Govt Securities</v>
          </cell>
        </row>
      </sheetData>
      <sheetData sheetId="1969">
        <row r="34">
          <cell r="A34" t="str">
            <v>Investments Govt Securities</v>
          </cell>
        </row>
      </sheetData>
      <sheetData sheetId="1970">
        <row r="34">
          <cell r="A34" t="str">
            <v>Investments Govt Securities</v>
          </cell>
        </row>
      </sheetData>
      <sheetData sheetId="1971">
        <row r="34">
          <cell r="A34" t="str">
            <v>Investments Govt Securities</v>
          </cell>
        </row>
      </sheetData>
      <sheetData sheetId="1972">
        <row r="34">
          <cell r="A34" t="str">
            <v>Investments Govt Securities</v>
          </cell>
        </row>
      </sheetData>
      <sheetData sheetId="1973">
        <row r="34">
          <cell r="A34" t="str">
            <v>Investments Govt Securities</v>
          </cell>
        </row>
      </sheetData>
      <sheetData sheetId="1974">
        <row r="34">
          <cell r="A34" t="str">
            <v>Investments Govt Securities</v>
          </cell>
        </row>
      </sheetData>
      <sheetData sheetId="1975">
        <row r="34">
          <cell r="A34" t="str">
            <v>Investments Govt Securities</v>
          </cell>
        </row>
      </sheetData>
      <sheetData sheetId="1976">
        <row r="34">
          <cell r="A34" t="str">
            <v>Investments Govt Securities</v>
          </cell>
        </row>
      </sheetData>
      <sheetData sheetId="1977">
        <row r="34">
          <cell r="A34" t="str">
            <v>Investments Govt Securities</v>
          </cell>
        </row>
      </sheetData>
      <sheetData sheetId="1978">
        <row r="34">
          <cell r="A34" t="str">
            <v>Investments Govt Securities</v>
          </cell>
        </row>
      </sheetData>
      <sheetData sheetId="1979">
        <row r="34">
          <cell r="A34" t="str">
            <v>Investments Govt Securities</v>
          </cell>
        </row>
      </sheetData>
      <sheetData sheetId="1980">
        <row r="34">
          <cell r="A34" t="str">
            <v>Investments Govt Securities</v>
          </cell>
        </row>
      </sheetData>
      <sheetData sheetId="1981">
        <row r="34">
          <cell r="A34" t="str">
            <v>Investments Govt Securities</v>
          </cell>
        </row>
      </sheetData>
      <sheetData sheetId="1982">
        <row r="34">
          <cell r="A34" t="str">
            <v>Investments Govt Securities</v>
          </cell>
        </row>
      </sheetData>
      <sheetData sheetId="1983">
        <row r="34">
          <cell r="A34" t="str">
            <v>Investments Govt Securities</v>
          </cell>
        </row>
      </sheetData>
      <sheetData sheetId="1984">
        <row r="34">
          <cell r="A34" t="str">
            <v>Investments Govt Securities</v>
          </cell>
        </row>
      </sheetData>
      <sheetData sheetId="1985">
        <row r="34">
          <cell r="A34" t="str">
            <v>Investments Govt Securities</v>
          </cell>
        </row>
      </sheetData>
      <sheetData sheetId="1986">
        <row r="34">
          <cell r="A34" t="str">
            <v>Investments Govt Securities</v>
          </cell>
        </row>
      </sheetData>
      <sheetData sheetId="1987">
        <row r="34">
          <cell r="A34" t="str">
            <v>Investments Govt Securities</v>
          </cell>
        </row>
      </sheetData>
      <sheetData sheetId="1988">
        <row r="34">
          <cell r="A34" t="str">
            <v>Investments Govt Securities</v>
          </cell>
        </row>
      </sheetData>
      <sheetData sheetId="1989">
        <row r="34">
          <cell r="A34" t="str">
            <v>Investments Govt Securities</v>
          </cell>
        </row>
      </sheetData>
      <sheetData sheetId="1990">
        <row r="34">
          <cell r="A34" t="str">
            <v>Investments Govt Securities</v>
          </cell>
        </row>
      </sheetData>
      <sheetData sheetId="1991">
        <row r="34">
          <cell r="A34" t="str">
            <v>Investments Govt Securities</v>
          </cell>
        </row>
      </sheetData>
      <sheetData sheetId="1992">
        <row r="34">
          <cell r="A34" t="str">
            <v>Investments Govt Securities</v>
          </cell>
        </row>
      </sheetData>
      <sheetData sheetId="1993">
        <row r="34">
          <cell r="A34" t="str">
            <v>Investments Govt Securities</v>
          </cell>
        </row>
      </sheetData>
      <sheetData sheetId="1994">
        <row r="34">
          <cell r="A34" t="str">
            <v>Investments Govt Securities</v>
          </cell>
        </row>
      </sheetData>
      <sheetData sheetId="1995">
        <row r="34">
          <cell r="A34" t="str">
            <v>Investments Govt Securities</v>
          </cell>
        </row>
      </sheetData>
      <sheetData sheetId="1996">
        <row r="34">
          <cell r="A34" t="str">
            <v>Investments Govt Securities</v>
          </cell>
        </row>
      </sheetData>
      <sheetData sheetId="1997">
        <row r="34">
          <cell r="A34" t="str">
            <v>Investments Govt Securities</v>
          </cell>
        </row>
      </sheetData>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ow r="34">
          <cell r="A34" t="str">
            <v>Investments Govt Securities</v>
          </cell>
        </row>
      </sheetData>
      <sheetData sheetId="2080">
        <row r="34">
          <cell r="A34" t="str">
            <v>Investments Govt Securities</v>
          </cell>
        </row>
      </sheetData>
      <sheetData sheetId="2081">
        <row r="34">
          <cell r="A34" t="str">
            <v>Investments Govt Securities</v>
          </cell>
        </row>
      </sheetData>
      <sheetData sheetId="2082">
        <row r="34">
          <cell r="A34" t="str">
            <v>Investments Govt Securities</v>
          </cell>
        </row>
      </sheetData>
      <sheetData sheetId="2083">
        <row r="34">
          <cell r="A34" t="str">
            <v>Investments Govt Securities</v>
          </cell>
        </row>
      </sheetData>
      <sheetData sheetId="2084">
        <row r="34">
          <cell r="A34" t="str">
            <v>Investments Govt Securities</v>
          </cell>
        </row>
      </sheetData>
      <sheetData sheetId="2085">
        <row r="34">
          <cell r="A34" t="str">
            <v>Investments Govt Securities</v>
          </cell>
        </row>
      </sheetData>
      <sheetData sheetId="2086">
        <row r="34">
          <cell r="A34" t="str">
            <v>Investments Govt Securities</v>
          </cell>
        </row>
      </sheetData>
      <sheetData sheetId="2087">
        <row r="34">
          <cell r="A34" t="str">
            <v>Investments Govt Securities</v>
          </cell>
        </row>
      </sheetData>
      <sheetData sheetId="2088">
        <row r="34">
          <cell r="A34" t="str">
            <v>Investments Govt Securities</v>
          </cell>
        </row>
      </sheetData>
      <sheetData sheetId="2089">
        <row r="34">
          <cell r="A34" t="str">
            <v>Investments Govt Securities</v>
          </cell>
        </row>
      </sheetData>
      <sheetData sheetId="2090">
        <row r="34">
          <cell r="A34" t="str">
            <v>Investments Govt Securities</v>
          </cell>
        </row>
      </sheetData>
      <sheetData sheetId="2091">
        <row r="34">
          <cell r="A34" t="str">
            <v>Investments Govt Securities</v>
          </cell>
        </row>
      </sheetData>
      <sheetData sheetId="2092">
        <row r="34">
          <cell r="A34" t="str">
            <v>Investments Govt Securities</v>
          </cell>
        </row>
      </sheetData>
      <sheetData sheetId="2093">
        <row r="34">
          <cell r="A34" t="str">
            <v>Investments Govt Securities</v>
          </cell>
        </row>
      </sheetData>
      <sheetData sheetId="2094">
        <row r="34">
          <cell r="A34" t="str">
            <v>Investments Govt Securities</v>
          </cell>
        </row>
      </sheetData>
      <sheetData sheetId="2095">
        <row r="34">
          <cell r="A34" t="str">
            <v>Investments Govt Securities</v>
          </cell>
        </row>
      </sheetData>
      <sheetData sheetId="2096">
        <row r="34">
          <cell r="A34" t="str">
            <v>Investments Govt Securities</v>
          </cell>
        </row>
      </sheetData>
      <sheetData sheetId="2097">
        <row r="34">
          <cell r="A34" t="str">
            <v>Investments Govt Securities</v>
          </cell>
        </row>
      </sheetData>
      <sheetData sheetId="2098">
        <row r="34">
          <cell r="A34" t="str">
            <v>Investments Govt Securities</v>
          </cell>
        </row>
      </sheetData>
      <sheetData sheetId="2099">
        <row r="34">
          <cell r="A34" t="str">
            <v>Investments Govt Securities</v>
          </cell>
        </row>
      </sheetData>
      <sheetData sheetId="2100">
        <row r="34">
          <cell r="A34" t="str">
            <v>Investments Govt Securities</v>
          </cell>
        </row>
      </sheetData>
      <sheetData sheetId="2101">
        <row r="34">
          <cell r="A34" t="str">
            <v>Investments Govt Securities</v>
          </cell>
        </row>
      </sheetData>
      <sheetData sheetId="2102">
        <row r="34">
          <cell r="A34" t="str">
            <v>Investments Govt Securities</v>
          </cell>
        </row>
      </sheetData>
      <sheetData sheetId="2103">
        <row r="34">
          <cell r="A34" t="str">
            <v>Investments Govt Securities</v>
          </cell>
        </row>
      </sheetData>
      <sheetData sheetId="2104">
        <row r="34">
          <cell r="A34" t="str">
            <v>Investments Govt Securities</v>
          </cell>
        </row>
      </sheetData>
      <sheetData sheetId="2105">
        <row r="34">
          <cell r="A34" t="str">
            <v>Investments Govt Securities</v>
          </cell>
        </row>
      </sheetData>
      <sheetData sheetId="2106">
        <row r="34">
          <cell r="A34" t="str">
            <v>Investments Govt Securities</v>
          </cell>
        </row>
      </sheetData>
      <sheetData sheetId="2107">
        <row r="34">
          <cell r="A34" t="str">
            <v>Investments Govt Securities</v>
          </cell>
        </row>
      </sheetData>
      <sheetData sheetId="2108">
        <row r="34">
          <cell r="A34" t="str">
            <v>Investments Govt Securities</v>
          </cell>
        </row>
      </sheetData>
      <sheetData sheetId="2109">
        <row r="34">
          <cell r="A34" t="str">
            <v>Investments Govt Securities</v>
          </cell>
        </row>
      </sheetData>
      <sheetData sheetId="2110">
        <row r="34">
          <cell r="A34" t="str">
            <v>Investments Govt Securities</v>
          </cell>
        </row>
      </sheetData>
      <sheetData sheetId="2111">
        <row r="34">
          <cell r="A34" t="str">
            <v>Investments Govt Securities</v>
          </cell>
        </row>
      </sheetData>
      <sheetData sheetId="2112">
        <row r="34">
          <cell r="A34" t="str">
            <v>Investments Govt Securities</v>
          </cell>
        </row>
      </sheetData>
      <sheetData sheetId="2113">
        <row r="34">
          <cell r="A34" t="str">
            <v>Investments Govt Securities</v>
          </cell>
        </row>
      </sheetData>
      <sheetData sheetId="2114">
        <row r="34">
          <cell r="A34" t="str">
            <v>Investments Govt Securities</v>
          </cell>
        </row>
      </sheetData>
      <sheetData sheetId="2115">
        <row r="34">
          <cell r="A34" t="str">
            <v>Investments Govt Securities</v>
          </cell>
        </row>
      </sheetData>
      <sheetData sheetId="2116">
        <row r="34">
          <cell r="A34" t="str">
            <v>Investments Govt Securities</v>
          </cell>
        </row>
      </sheetData>
      <sheetData sheetId="2117">
        <row r="34">
          <cell r="A34" t="str">
            <v>Investments Govt Securities</v>
          </cell>
        </row>
      </sheetData>
      <sheetData sheetId="2118">
        <row r="34">
          <cell r="A34" t="str">
            <v>Investments Govt Securities</v>
          </cell>
        </row>
      </sheetData>
      <sheetData sheetId="2119">
        <row r="34">
          <cell r="A34" t="str">
            <v>Investments Govt Securities</v>
          </cell>
        </row>
      </sheetData>
      <sheetData sheetId="2120">
        <row r="34">
          <cell r="A34" t="str">
            <v>Investments Govt Securities</v>
          </cell>
        </row>
      </sheetData>
      <sheetData sheetId="2121">
        <row r="34">
          <cell r="A34" t="str">
            <v>Investments Govt Securities</v>
          </cell>
        </row>
      </sheetData>
      <sheetData sheetId="2122">
        <row r="34">
          <cell r="A34" t="str">
            <v>Investments Govt Securities</v>
          </cell>
        </row>
      </sheetData>
      <sheetData sheetId="2123">
        <row r="34">
          <cell r="A34" t="str">
            <v>Investments Govt Securities</v>
          </cell>
        </row>
      </sheetData>
      <sheetData sheetId="2124">
        <row r="34">
          <cell r="A34" t="str">
            <v>Investments Govt Securities</v>
          </cell>
        </row>
      </sheetData>
      <sheetData sheetId="2125">
        <row r="34">
          <cell r="A34" t="str">
            <v>Investments Govt Securities</v>
          </cell>
        </row>
      </sheetData>
      <sheetData sheetId="2126">
        <row r="34">
          <cell r="A34" t="str">
            <v>Investments Govt Securities</v>
          </cell>
        </row>
      </sheetData>
      <sheetData sheetId="2127">
        <row r="34">
          <cell r="A34" t="str">
            <v>Investments Govt Securities</v>
          </cell>
        </row>
      </sheetData>
      <sheetData sheetId="2128">
        <row r="34">
          <cell r="A34" t="str">
            <v>Investments Govt Securities</v>
          </cell>
        </row>
      </sheetData>
      <sheetData sheetId="2129">
        <row r="34">
          <cell r="A34" t="str">
            <v>Investments Govt Securities</v>
          </cell>
        </row>
      </sheetData>
      <sheetData sheetId="2130">
        <row r="34">
          <cell r="A34" t="str">
            <v>Investments Govt Securities</v>
          </cell>
        </row>
      </sheetData>
      <sheetData sheetId="2131">
        <row r="34">
          <cell r="A34" t="str">
            <v>Investments Govt Securities</v>
          </cell>
        </row>
      </sheetData>
      <sheetData sheetId="2132">
        <row r="34">
          <cell r="A34" t="str">
            <v>Investments Govt Securities</v>
          </cell>
        </row>
      </sheetData>
      <sheetData sheetId="2133">
        <row r="34">
          <cell r="A34" t="str">
            <v>Investments Govt Securities</v>
          </cell>
        </row>
      </sheetData>
      <sheetData sheetId="2134">
        <row r="34">
          <cell r="A34" t="str">
            <v>Investments Govt Securities</v>
          </cell>
        </row>
      </sheetData>
      <sheetData sheetId="2135">
        <row r="34">
          <cell r="A34" t="str">
            <v>Investments Govt Securities</v>
          </cell>
        </row>
      </sheetData>
      <sheetData sheetId="2136">
        <row r="34">
          <cell r="A34" t="str">
            <v>Investments Govt Securities</v>
          </cell>
        </row>
      </sheetData>
      <sheetData sheetId="2137">
        <row r="34">
          <cell r="A34" t="str">
            <v>Investments Govt Securities</v>
          </cell>
        </row>
      </sheetData>
      <sheetData sheetId="2138">
        <row r="34">
          <cell r="A34" t="str">
            <v>Investments Govt Securities</v>
          </cell>
        </row>
      </sheetData>
      <sheetData sheetId="2139">
        <row r="34">
          <cell r="A34" t="str">
            <v>Investments Govt Securities</v>
          </cell>
        </row>
      </sheetData>
      <sheetData sheetId="2140">
        <row r="34">
          <cell r="A34" t="str">
            <v>Investments Govt Securities</v>
          </cell>
        </row>
      </sheetData>
      <sheetData sheetId="2141">
        <row r="34">
          <cell r="A34" t="str">
            <v>Investments Govt Securities</v>
          </cell>
        </row>
      </sheetData>
      <sheetData sheetId="2142">
        <row r="34">
          <cell r="A34" t="str">
            <v>Investments Govt Securities</v>
          </cell>
        </row>
      </sheetData>
      <sheetData sheetId="2143">
        <row r="34">
          <cell r="A34" t="str">
            <v>Investments Govt Securities</v>
          </cell>
        </row>
      </sheetData>
      <sheetData sheetId="2144">
        <row r="34">
          <cell r="A34" t="str">
            <v>Investments Govt Securities</v>
          </cell>
        </row>
      </sheetData>
      <sheetData sheetId="2145">
        <row r="34">
          <cell r="A34" t="str">
            <v>Investments Govt Securities</v>
          </cell>
        </row>
      </sheetData>
      <sheetData sheetId="2146">
        <row r="34">
          <cell r="A34" t="str">
            <v>Investments Govt Securities</v>
          </cell>
        </row>
      </sheetData>
      <sheetData sheetId="2147">
        <row r="34">
          <cell r="A34" t="str">
            <v>Investments Govt Securities</v>
          </cell>
        </row>
      </sheetData>
      <sheetData sheetId="2148">
        <row r="34">
          <cell r="A34" t="str">
            <v>Investments Govt Securities</v>
          </cell>
        </row>
      </sheetData>
      <sheetData sheetId="2149">
        <row r="34">
          <cell r="A34" t="str">
            <v>Investments Govt Securities</v>
          </cell>
        </row>
      </sheetData>
      <sheetData sheetId="2150">
        <row r="34">
          <cell r="A34" t="str">
            <v>Investments Govt Securities</v>
          </cell>
        </row>
      </sheetData>
      <sheetData sheetId="2151">
        <row r="34">
          <cell r="A34" t="str">
            <v>Investments Govt Securities</v>
          </cell>
        </row>
      </sheetData>
      <sheetData sheetId="2152">
        <row r="34">
          <cell r="A34" t="str">
            <v>Investments Govt Securities</v>
          </cell>
        </row>
      </sheetData>
      <sheetData sheetId="2153">
        <row r="34">
          <cell r="A34" t="str">
            <v>Investments Govt Securities</v>
          </cell>
        </row>
      </sheetData>
      <sheetData sheetId="2154">
        <row r="34">
          <cell r="A34" t="str">
            <v>Investments Govt Securities</v>
          </cell>
        </row>
      </sheetData>
      <sheetData sheetId="2155">
        <row r="34">
          <cell r="A34" t="str">
            <v>Investments Govt Securities</v>
          </cell>
        </row>
      </sheetData>
      <sheetData sheetId="2156">
        <row r="34">
          <cell r="A34" t="str">
            <v>Investments Govt Securities</v>
          </cell>
        </row>
      </sheetData>
      <sheetData sheetId="2157">
        <row r="34">
          <cell r="A34" t="str">
            <v>Investments Govt Securities</v>
          </cell>
        </row>
      </sheetData>
      <sheetData sheetId="2158">
        <row r="34">
          <cell r="A34" t="str">
            <v>Investments Govt Securities</v>
          </cell>
        </row>
      </sheetData>
      <sheetData sheetId="2159">
        <row r="34">
          <cell r="A34" t="str">
            <v>Investments Govt Securities</v>
          </cell>
        </row>
      </sheetData>
      <sheetData sheetId="2160">
        <row r="34">
          <cell r="A34" t="str">
            <v>Investments Govt Securities</v>
          </cell>
        </row>
      </sheetData>
      <sheetData sheetId="2161">
        <row r="34">
          <cell r="A34" t="str">
            <v>Investments Govt Securities</v>
          </cell>
        </row>
      </sheetData>
      <sheetData sheetId="2162">
        <row r="34">
          <cell r="A34" t="str">
            <v>Investments Govt Securities</v>
          </cell>
        </row>
      </sheetData>
      <sheetData sheetId="2163">
        <row r="34">
          <cell r="A34" t="str">
            <v>Investments Govt Securities</v>
          </cell>
        </row>
      </sheetData>
      <sheetData sheetId="2164">
        <row r="34">
          <cell r="A34" t="str">
            <v>Investments Govt Securities</v>
          </cell>
        </row>
      </sheetData>
      <sheetData sheetId="2165">
        <row r="34">
          <cell r="A34" t="str">
            <v>Investments Govt Securities</v>
          </cell>
        </row>
      </sheetData>
      <sheetData sheetId="2166">
        <row r="34">
          <cell r="A34" t="str">
            <v>Investments Govt Securities</v>
          </cell>
        </row>
      </sheetData>
      <sheetData sheetId="2167">
        <row r="34">
          <cell r="A34" t="str">
            <v>Investments Govt Securities</v>
          </cell>
        </row>
      </sheetData>
      <sheetData sheetId="2168">
        <row r="34">
          <cell r="A34" t="str">
            <v>Investments Govt Securities</v>
          </cell>
        </row>
      </sheetData>
      <sheetData sheetId="2169">
        <row r="34">
          <cell r="A34" t="str">
            <v>Investments Govt Securities</v>
          </cell>
        </row>
      </sheetData>
      <sheetData sheetId="2170">
        <row r="34">
          <cell r="A34" t="str">
            <v>Investments Govt Securities</v>
          </cell>
        </row>
      </sheetData>
      <sheetData sheetId="2171">
        <row r="34">
          <cell r="A34" t="str">
            <v>Investments Govt Securities</v>
          </cell>
        </row>
      </sheetData>
      <sheetData sheetId="2172">
        <row r="34">
          <cell r="A34" t="str">
            <v>Investments Govt Securities</v>
          </cell>
        </row>
      </sheetData>
      <sheetData sheetId="2173">
        <row r="34">
          <cell r="A34" t="str">
            <v>Investments Govt Securities</v>
          </cell>
        </row>
      </sheetData>
      <sheetData sheetId="2174">
        <row r="34">
          <cell r="A34" t="str">
            <v>Investments Govt Securities</v>
          </cell>
        </row>
      </sheetData>
      <sheetData sheetId="2175">
        <row r="34">
          <cell r="A34" t="str">
            <v>Investments Govt Securities</v>
          </cell>
        </row>
      </sheetData>
      <sheetData sheetId="2176">
        <row r="34">
          <cell r="A34" t="str">
            <v>Investments Govt Securities</v>
          </cell>
        </row>
      </sheetData>
      <sheetData sheetId="2177">
        <row r="34">
          <cell r="A34" t="str">
            <v>Investments Govt Securities</v>
          </cell>
        </row>
      </sheetData>
      <sheetData sheetId="2178">
        <row r="34">
          <cell r="A34" t="str">
            <v>Investments Govt Securities</v>
          </cell>
        </row>
      </sheetData>
      <sheetData sheetId="2179">
        <row r="34">
          <cell r="A34" t="str">
            <v>Investments Govt Securities</v>
          </cell>
        </row>
      </sheetData>
      <sheetData sheetId="2180">
        <row r="34">
          <cell r="A34" t="str">
            <v>Investments Govt Securities</v>
          </cell>
        </row>
      </sheetData>
      <sheetData sheetId="2181">
        <row r="34">
          <cell r="A34" t="str">
            <v>Investments Govt Securities</v>
          </cell>
        </row>
      </sheetData>
      <sheetData sheetId="2182">
        <row r="34">
          <cell r="A34" t="str">
            <v>Investments Govt Securities</v>
          </cell>
        </row>
      </sheetData>
      <sheetData sheetId="2183">
        <row r="34">
          <cell r="A34" t="str">
            <v>Investments Govt Securities</v>
          </cell>
        </row>
      </sheetData>
      <sheetData sheetId="2184">
        <row r="34">
          <cell r="A34" t="str">
            <v>Investments Govt Securities</v>
          </cell>
        </row>
      </sheetData>
      <sheetData sheetId="2185">
        <row r="34">
          <cell r="A34" t="str">
            <v>Investments Govt Securities</v>
          </cell>
        </row>
      </sheetData>
      <sheetData sheetId="2186">
        <row r="34">
          <cell r="A34" t="str">
            <v>Investments Govt Securities</v>
          </cell>
        </row>
      </sheetData>
      <sheetData sheetId="2187">
        <row r="34">
          <cell r="A34" t="str">
            <v>Investments Govt Securities</v>
          </cell>
        </row>
      </sheetData>
      <sheetData sheetId="2188">
        <row r="34">
          <cell r="A34" t="str">
            <v>Investments Govt Securities</v>
          </cell>
        </row>
      </sheetData>
      <sheetData sheetId="2189">
        <row r="34">
          <cell r="A34" t="str">
            <v>Investments Govt Securities</v>
          </cell>
        </row>
      </sheetData>
      <sheetData sheetId="2190">
        <row r="34">
          <cell r="A34" t="str">
            <v>Investments Govt Securities</v>
          </cell>
        </row>
      </sheetData>
      <sheetData sheetId="2191">
        <row r="34">
          <cell r="A34" t="str">
            <v>Investments Govt Securities</v>
          </cell>
        </row>
      </sheetData>
      <sheetData sheetId="2192">
        <row r="34">
          <cell r="A34" t="str">
            <v>Investments Govt Securities</v>
          </cell>
        </row>
      </sheetData>
      <sheetData sheetId="2193">
        <row r="34">
          <cell r="A34" t="str">
            <v>Investments Govt Securities</v>
          </cell>
        </row>
      </sheetData>
      <sheetData sheetId="2194">
        <row r="34">
          <cell r="A34" t="str">
            <v>Investments Govt Securities</v>
          </cell>
        </row>
      </sheetData>
      <sheetData sheetId="2195">
        <row r="34">
          <cell r="A34" t="str">
            <v>Investments Govt Securities</v>
          </cell>
        </row>
      </sheetData>
      <sheetData sheetId="2196">
        <row r="34">
          <cell r="A34" t="str">
            <v>Investments Govt Securities</v>
          </cell>
        </row>
      </sheetData>
      <sheetData sheetId="2197">
        <row r="34">
          <cell r="A34" t="str">
            <v>Investments Govt Securities</v>
          </cell>
        </row>
      </sheetData>
      <sheetData sheetId="2198">
        <row r="34">
          <cell r="A34" t="str">
            <v>Investments Govt Securities</v>
          </cell>
        </row>
      </sheetData>
      <sheetData sheetId="2199">
        <row r="34">
          <cell r="A34" t="str">
            <v>Investments Govt Securities</v>
          </cell>
        </row>
      </sheetData>
      <sheetData sheetId="2200">
        <row r="34">
          <cell r="A34" t="str">
            <v>Investments Govt Securities</v>
          </cell>
        </row>
      </sheetData>
      <sheetData sheetId="2201">
        <row r="34">
          <cell r="A34" t="str">
            <v>Investments Govt Securities</v>
          </cell>
        </row>
      </sheetData>
      <sheetData sheetId="2202">
        <row r="34">
          <cell r="A34" t="str">
            <v>Investments Govt Securities</v>
          </cell>
        </row>
      </sheetData>
      <sheetData sheetId="2203">
        <row r="34">
          <cell r="A34" t="str">
            <v>Investments Govt Securities</v>
          </cell>
        </row>
      </sheetData>
      <sheetData sheetId="2204">
        <row r="34">
          <cell r="A34" t="str">
            <v>Investments Govt Securities</v>
          </cell>
        </row>
      </sheetData>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ow r="34">
          <cell r="A34" t="str">
            <v>Investments Govt Securities</v>
          </cell>
        </row>
      </sheetData>
      <sheetData sheetId="2215">
        <row r="34">
          <cell r="A34" t="str">
            <v>Investments Govt Securities</v>
          </cell>
        </row>
      </sheetData>
      <sheetData sheetId="2216">
        <row r="34">
          <cell r="A34" t="str">
            <v>Investments Govt Securities</v>
          </cell>
        </row>
      </sheetData>
      <sheetData sheetId="2217">
        <row r="34">
          <cell r="A34" t="str">
            <v>Investments Govt Securities</v>
          </cell>
        </row>
      </sheetData>
      <sheetData sheetId="2218">
        <row r="34">
          <cell r="A34" t="str">
            <v>Investments Govt Securities</v>
          </cell>
        </row>
      </sheetData>
      <sheetData sheetId="2219">
        <row r="34">
          <cell r="A34" t="str">
            <v>Investments Govt Securities</v>
          </cell>
        </row>
      </sheetData>
      <sheetData sheetId="2220">
        <row r="34">
          <cell r="A34" t="str">
            <v>Investments Govt Securities</v>
          </cell>
        </row>
      </sheetData>
      <sheetData sheetId="2221">
        <row r="34">
          <cell r="A34" t="str">
            <v>Investments Govt Securities</v>
          </cell>
        </row>
      </sheetData>
      <sheetData sheetId="2222">
        <row r="34">
          <cell r="A34" t="str">
            <v>Investments Govt Securities</v>
          </cell>
        </row>
      </sheetData>
      <sheetData sheetId="2223">
        <row r="34">
          <cell r="A34" t="str">
            <v>Investments Govt Securities</v>
          </cell>
        </row>
      </sheetData>
      <sheetData sheetId="2224">
        <row r="34">
          <cell r="A34" t="str">
            <v>Investments Govt Securities</v>
          </cell>
        </row>
      </sheetData>
      <sheetData sheetId="2225">
        <row r="34">
          <cell r="A34" t="str">
            <v>Investments Govt Securities</v>
          </cell>
        </row>
      </sheetData>
      <sheetData sheetId="2226">
        <row r="34">
          <cell r="A34" t="str">
            <v>Investments Govt Securities</v>
          </cell>
        </row>
      </sheetData>
      <sheetData sheetId="2227">
        <row r="34">
          <cell r="A34" t="str">
            <v>Investments Govt Securities</v>
          </cell>
        </row>
      </sheetData>
      <sheetData sheetId="2228">
        <row r="34">
          <cell r="A34" t="str">
            <v>Investments Govt Securities</v>
          </cell>
        </row>
      </sheetData>
      <sheetData sheetId="2229">
        <row r="34">
          <cell r="A34" t="str">
            <v>Investments Govt Securities</v>
          </cell>
        </row>
      </sheetData>
      <sheetData sheetId="2230">
        <row r="34">
          <cell r="A34" t="str">
            <v>Investments Govt Securities</v>
          </cell>
        </row>
      </sheetData>
      <sheetData sheetId="2231">
        <row r="34">
          <cell r="A34" t="str">
            <v>Investments Govt Securities</v>
          </cell>
        </row>
      </sheetData>
      <sheetData sheetId="2232">
        <row r="34">
          <cell r="A34" t="str">
            <v>Investments Govt Securities</v>
          </cell>
        </row>
      </sheetData>
      <sheetData sheetId="2233">
        <row r="34">
          <cell r="A34" t="str">
            <v>Investments Govt Securities</v>
          </cell>
        </row>
      </sheetData>
      <sheetData sheetId="2234">
        <row r="34">
          <cell r="A34" t="str">
            <v>Investments Govt Securities</v>
          </cell>
        </row>
      </sheetData>
      <sheetData sheetId="2235">
        <row r="34">
          <cell r="A34" t="str">
            <v>Investments Govt Securities</v>
          </cell>
        </row>
      </sheetData>
      <sheetData sheetId="2236">
        <row r="34">
          <cell r="A34" t="str">
            <v>Investments Govt Securities</v>
          </cell>
        </row>
      </sheetData>
      <sheetData sheetId="2237">
        <row r="34">
          <cell r="A34" t="str">
            <v>Investments Govt Securities</v>
          </cell>
        </row>
      </sheetData>
      <sheetData sheetId="2238">
        <row r="34">
          <cell r="A34" t="str">
            <v>Investments Govt Securities</v>
          </cell>
        </row>
      </sheetData>
      <sheetData sheetId="2239">
        <row r="34">
          <cell r="A34" t="str">
            <v>Investments Govt Securities</v>
          </cell>
        </row>
      </sheetData>
      <sheetData sheetId="2240">
        <row r="34">
          <cell r="A34" t="str">
            <v>Investments Govt Securities</v>
          </cell>
        </row>
      </sheetData>
      <sheetData sheetId="2241">
        <row r="34">
          <cell r="A34" t="str">
            <v>Investments Govt Securities</v>
          </cell>
        </row>
      </sheetData>
      <sheetData sheetId="2242">
        <row r="34">
          <cell r="A34" t="str">
            <v>Investments Govt Securities</v>
          </cell>
        </row>
      </sheetData>
      <sheetData sheetId="2243">
        <row r="34">
          <cell r="A34" t="str">
            <v>Investments Govt Securities</v>
          </cell>
        </row>
      </sheetData>
      <sheetData sheetId="2244">
        <row r="34">
          <cell r="A34" t="str">
            <v>Investments Govt Securities</v>
          </cell>
        </row>
      </sheetData>
      <sheetData sheetId="2245">
        <row r="34">
          <cell r="A34" t="str">
            <v>Investments Govt Securities</v>
          </cell>
        </row>
      </sheetData>
      <sheetData sheetId="2246">
        <row r="34">
          <cell r="A34" t="str">
            <v>Investments Govt Securities</v>
          </cell>
        </row>
      </sheetData>
      <sheetData sheetId="2247">
        <row r="34">
          <cell r="A34" t="str">
            <v>Investments Govt Securities</v>
          </cell>
        </row>
      </sheetData>
      <sheetData sheetId="2248">
        <row r="34">
          <cell r="A34" t="str">
            <v>Investments Govt Securities</v>
          </cell>
        </row>
      </sheetData>
      <sheetData sheetId="2249">
        <row r="34">
          <cell r="A34" t="str">
            <v>Investments Govt Securities</v>
          </cell>
        </row>
      </sheetData>
      <sheetData sheetId="2250">
        <row r="34">
          <cell r="A34" t="str">
            <v>Investments Govt Securities</v>
          </cell>
        </row>
      </sheetData>
      <sheetData sheetId="2251">
        <row r="34">
          <cell r="A34" t="str">
            <v>Investments Govt Securities</v>
          </cell>
        </row>
      </sheetData>
      <sheetData sheetId="2252">
        <row r="34">
          <cell r="A34" t="str">
            <v>Investments Govt Securities</v>
          </cell>
        </row>
      </sheetData>
      <sheetData sheetId="2253">
        <row r="34">
          <cell r="A34" t="str">
            <v>Investments Govt Securities</v>
          </cell>
        </row>
      </sheetData>
      <sheetData sheetId="2254">
        <row r="34">
          <cell r="A34" t="str">
            <v>Investments Govt Securities</v>
          </cell>
        </row>
      </sheetData>
      <sheetData sheetId="2255">
        <row r="34">
          <cell r="A34" t="str">
            <v>Investments Govt Securities</v>
          </cell>
        </row>
      </sheetData>
      <sheetData sheetId="2256">
        <row r="34">
          <cell r="A34" t="str">
            <v>Investments Govt Securities</v>
          </cell>
        </row>
      </sheetData>
      <sheetData sheetId="2257">
        <row r="34">
          <cell r="A34" t="str">
            <v>Investments Govt Securities</v>
          </cell>
        </row>
      </sheetData>
      <sheetData sheetId="2258">
        <row r="34">
          <cell r="A34" t="str">
            <v>Investments Govt Securities</v>
          </cell>
        </row>
      </sheetData>
      <sheetData sheetId="2259">
        <row r="34">
          <cell r="A34" t="str">
            <v>Investments Govt Securities</v>
          </cell>
        </row>
      </sheetData>
      <sheetData sheetId="2260">
        <row r="34">
          <cell r="A34" t="str">
            <v>Investments Govt Securities</v>
          </cell>
        </row>
      </sheetData>
      <sheetData sheetId="2261">
        <row r="34">
          <cell r="A34" t="str">
            <v>Investments Govt Securities</v>
          </cell>
        </row>
      </sheetData>
      <sheetData sheetId="2262">
        <row r="34">
          <cell r="A34" t="str">
            <v>Investments Govt Securities</v>
          </cell>
        </row>
      </sheetData>
      <sheetData sheetId="2263">
        <row r="34">
          <cell r="A34" t="str">
            <v>Investments Govt Securities</v>
          </cell>
        </row>
      </sheetData>
      <sheetData sheetId="2264">
        <row r="34">
          <cell r="A34" t="str">
            <v>Investments Govt Securities</v>
          </cell>
        </row>
      </sheetData>
      <sheetData sheetId="2265">
        <row r="34">
          <cell r="A34" t="str">
            <v>Investments Govt Securities</v>
          </cell>
        </row>
      </sheetData>
      <sheetData sheetId="2266">
        <row r="34">
          <cell r="A34" t="str">
            <v>Investments Govt Securities</v>
          </cell>
        </row>
      </sheetData>
      <sheetData sheetId="2267">
        <row r="34">
          <cell r="A34" t="str">
            <v>Investments Govt Securities</v>
          </cell>
        </row>
      </sheetData>
      <sheetData sheetId="2268">
        <row r="34">
          <cell r="A34" t="str">
            <v>Investments Govt Securities</v>
          </cell>
        </row>
      </sheetData>
      <sheetData sheetId="2269">
        <row r="34">
          <cell r="A34" t="str">
            <v>Investments Govt Securities</v>
          </cell>
        </row>
      </sheetData>
      <sheetData sheetId="2270">
        <row r="34">
          <cell r="A34" t="str">
            <v>Investments Govt Securities</v>
          </cell>
        </row>
      </sheetData>
      <sheetData sheetId="2271">
        <row r="34">
          <cell r="A34" t="str">
            <v>Investments Govt Securities</v>
          </cell>
        </row>
      </sheetData>
      <sheetData sheetId="2272">
        <row r="34">
          <cell r="A34" t="str">
            <v>Investments Govt Securities</v>
          </cell>
        </row>
      </sheetData>
      <sheetData sheetId="2273">
        <row r="34">
          <cell r="A34" t="str">
            <v>Investments Govt Securities</v>
          </cell>
        </row>
      </sheetData>
      <sheetData sheetId="2274">
        <row r="34">
          <cell r="A34" t="str">
            <v>Investments Govt Securities</v>
          </cell>
        </row>
      </sheetData>
      <sheetData sheetId="2275">
        <row r="34">
          <cell r="A34" t="str">
            <v>Investments Govt Securities</v>
          </cell>
        </row>
      </sheetData>
      <sheetData sheetId="2276">
        <row r="34">
          <cell r="A34" t="str">
            <v>Investments Govt Securities</v>
          </cell>
        </row>
      </sheetData>
      <sheetData sheetId="2277">
        <row r="34">
          <cell r="A34" t="str">
            <v>Investments Govt Securities</v>
          </cell>
        </row>
      </sheetData>
      <sheetData sheetId="2278">
        <row r="34">
          <cell r="A34" t="str">
            <v>Investments Govt Securities</v>
          </cell>
        </row>
      </sheetData>
      <sheetData sheetId="2279">
        <row r="34">
          <cell r="A34" t="str">
            <v>Investments Govt Securities</v>
          </cell>
        </row>
      </sheetData>
      <sheetData sheetId="2280">
        <row r="34">
          <cell r="A34" t="str">
            <v>Investments Govt Securities</v>
          </cell>
        </row>
      </sheetData>
      <sheetData sheetId="2281">
        <row r="34">
          <cell r="A34" t="str">
            <v>Investments Govt Securities</v>
          </cell>
        </row>
      </sheetData>
      <sheetData sheetId="2282">
        <row r="34">
          <cell r="A34" t="str">
            <v>Investments Govt Securities</v>
          </cell>
        </row>
      </sheetData>
      <sheetData sheetId="2283">
        <row r="34">
          <cell r="A34" t="str">
            <v>Investments Govt Securities</v>
          </cell>
        </row>
      </sheetData>
      <sheetData sheetId="2284">
        <row r="34">
          <cell r="A34" t="str">
            <v>Investments Govt Securities</v>
          </cell>
        </row>
      </sheetData>
      <sheetData sheetId="2285">
        <row r="34">
          <cell r="A34" t="str">
            <v>Investments Govt Securities</v>
          </cell>
        </row>
      </sheetData>
      <sheetData sheetId="2286">
        <row r="34">
          <cell r="A34" t="str">
            <v>Investments Govt Securities</v>
          </cell>
        </row>
      </sheetData>
      <sheetData sheetId="2287">
        <row r="34">
          <cell r="A34" t="str">
            <v>Investments Govt Securities</v>
          </cell>
        </row>
      </sheetData>
      <sheetData sheetId="2288">
        <row r="34">
          <cell r="A34" t="str">
            <v>Investments Govt Securities</v>
          </cell>
        </row>
      </sheetData>
      <sheetData sheetId="2289">
        <row r="34">
          <cell r="A34" t="str">
            <v>Investments Govt Securities</v>
          </cell>
        </row>
      </sheetData>
      <sheetData sheetId="2290">
        <row r="34">
          <cell r="A34" t="str">
            <v>Investments Govt Securities</v>
          </cell>
        </row>
      </sheetData>
      <sheetData sheetId="2291">
        <row r="34">
          <cell r="A34" t="str">
            <v>Investments Govt Securities</v>
          </cell>
        </row>
      </sheetData>
      <sheetData sheetId="2292">
        <row r="34">
          <cell r="A34" t="str">
            <v>Investments Govt Securities</v>
          </cell>
        </row>
      </sheetData>
      <sheetData sheetId="2293">
        <row r="34">
          <cell r="A34" t="str">
            <v>Investments Govt Securities</v>
          </cell>
        </row>
      </sheetData>
      <sheetData sheetId="2294">
        <row r="34">
          <cell r="A34" t="str">
            <v>Investments Govt Securities</v>
          </cell>
        </row>
      </sheetData>
      <sheetData sheetId="2295">
        <row r="34">
          <cell r="A34" t="str">
            <v>Investments Govt Securities</v>
          </cell>
        </row>
      </sheetData>
      <sheetData sheetId="2296">
        <row r="34">
          <cell r="A34" t="str">
            <v>Investments Govt Securities</v>
          </cell>
        </row>
      </sheetData>
      <sheetData sheetId="2297">
        <row r="34">
          <cell r="A34" t="str">
            <v>Investments Govt Securities</v>
          </cell>
        </row>
      </sheetData>
      <sheetData sheetId="2298">
        <row r="34">
          <cell r="A34" t="str">
            <v>Investments Govt Securities</v>
          </cell>
        </row>
      </sheetData>
      <sheetData sheetId="2299">
        <row r="34">
          <cell r="A34" t="str">
            <v>Investments Govt Securities</v>
          </cell>
        </row>
      </sheetData>
      <sheetData sheetId="2300">
        <row r="34">
          <cell r="A34" t="str">
            <v>Investments Govt Securities</v>
          </cell>
        </row>
      </sheetData>
      <sheetData sheetId="2301">
        <row r="34">
          <cell r="A34" t="str">
            <v>Investments Govt Securities</v>
          </cell>
        </row>
      </sheetData>
      <sheetData sheetId="2302">
        <row r="34">
          <cell r="A34" t="str">
            <v>Investments Govt Securities</v>
          </cell>
        </row>
      </sheetData>
      <sheetData sheetId="2303">
        <row r="34">
          <cell r="A34" t="str">
            <v>Investments Govt Securities</v>
          </cell>
        </row>
      </sheetData>
      <sheetData sheetId="2304">
        <row r="34">
          <cell r="A34" t="str">
            <v>Investments Govt Securities</v>
          </cell>
        </row>
      </sheetData>
      <sheetData sheetId="2305">
        <row r="34">
          <cell r="A34" t="str">
            <v>Investments Govt Securities</v>
          </cell>
        </row>
      </sheetData>
      <sheetData sheetId="2306">
        <row r="34">
          <cell r="A34" t="str">
            <v>Investments Govt Securities</v>
          </cell>
        </row>
      </sheetData>
      <sheetData sheetId="2307">
        <row r="34">
          <cell r="A34" t="str">
            <v>Investments Govt Securities</v>
          </cell>
        </row>
      </sheetData>
      <sheetData sheetId="2308">
        <row r="34">
          <cell r="A34" t="str">
            <v>Investments Govt Securities</v>
          </cell>
        </row>
      </sheetData>
      <sheetData sheetId="2309">
        <row r="34">
          <cell r="A34" t="str">
            <v>Investments Govt Securities</v>
          </cell>
        </row>
      </sheetData>
      <sheetData sheetId="2310">
        <row r="34">
          <cell r="A34" t="str">
            <v>Investments Govt Securities</v>
          </cell>
        </row>
      </sheetData>
      <sheetData sheetId="2311">
        <row r="34">
          <cell r="A34" t="str">
            <v>Investments Govt Securities</v>
          </cell>
        </row>
      </sheetData>
      <sheetData sheetId="2312">
        <row r="34">
          <cell r="A34" t="str">
            <v>Investments Govt Securities</v>
          </cell>
        </row>
      </sheetData>
      <sheetData sheetId="2313">
        <row r="34">
          <cell r="A34" t="str">
            <v>Investments Govt Securities</v>
          </cell>
        </row>
      </sheetData>
      <sheetData sheetId="2314">
        <row r="34">
          <cell r="A34" t="str">
            <v>Investments Govt Securities</v>
          </cell>
        </row>
      </sheetData>
      <sheetData sheetId="2315">
        <row r="34">
          <cell r="A34" t="str">
            <v>Investments Govt Securities</v>
          </cell>
        </row>
      </sheetData>
      <sheetData sheetId="2316">
        <row r="34">
          <cell r="A34" t="str">
            <v>Investments Govt Securities</v>
          </cell>
        </row>
      </sheetData>
      <sheetData sheetId="2317">
        <row r="34">
          <cell r="A34" t="str">
            <v>Investments Govt Securities</v>
          </cell>
        </row>
      </sheetData>
      <sheetData sheetId="2318">
        <row r="34">
          <cell r="A34" t="str">
            <v>Investments Govt Securities</v>
          </cell>
        </row>
      </sheetData>
      <sheetData sheetId="2319">
        <row r="34">
          <cell r="A34" t="str">
            <v>Investments Govt Securities</v>
          </cell>
        </row>
      </sheetData>
      <sheetData sheetId="2320">
        <row r="34">
          <cell r="A34" t="str">
            <v>Investments Govt Securities</v>
          </cell>
        </row>
      </sheetData>
      <sheetData sheetId="2321">
        <row r="34">
          <cell r="A34" t="str">
            <v>Investments Govt Securities</v>
          </cell>
        </row>
      </sheetData>
      <sheetData sheetId="2322">
        <row r="34">
          <cell r="A34" t="str">
            <v>Investments Govt Securities</v>
          </cell>
        </row>
      </sheetData>
      <sheetData sheetId="2323">
        <row r="34">
          <cell r="A34" t="str">
            <v>Investments Govt Securities</v>
          </cell>
        </row>
      </sheetData>
      <sheetData sheetId="2324">
        <row r="34">
          <cell r="A34" t="str">
            <v>Investments Govt Securities</v>
          </cell>
        </row>
      </sheetData>
      <sheetData sheetId="2325">
        <row r="34">
          <cell r="A34" t="str">
            <v>Investments Govt Securities</v>
          </cell>
        </row>
      </sheetData>
      <sheetData sheetId="2326">
        <row r="34">
          <cell r="A34" t="str">
            <v>Investments Govt Securities</v>
          </cell>
        </row>
      </sheetData>
      <sheetData sheetId="2327">
        <row r="34">
          <cell r="A34" t="str">
            <v>Investments Govt Securities</v>
          </cell>
        </row>
      </sheetData>
      <sheetData sheetId="2328">
        <row r="34">
          <cell r="A34" t="str">
            <v>Investments Govt Securities</v>
          </cell>
        </row>
      </sheetData>
      <sheetData sheetId="2329">
        <row r="34">
          <cell r="A34" t="str">
            <v>Investments Govt Securities</v>
          </cell>
        </row>
      </sheetData>
      <sheetData sheetId="2330">
        <row r="34">
          <cell r="A34" t="str">
            <v>Investments Govt Securities</v>
          </cell>
        </row>
      </sheetData>
      <sheetData sheetId="2331">
        <row r="34">
          <cell r="A34" t="str">
            <v>Investments Govt Securities</v>
          </cell>
        </row>
      </sheetData>
      <sheetData sheetId="2332">
        <row r="34">
          <cell r="A34" t="str">
            <v>Investments Govt Securities</v>
          </cell>
        </row>
      </sheetData>
      <sheetData sheetId="2333">
        <row r="34">
          <cell r="A34" t="str">
            <v>Investments Govt Securities</v>
          </cell>
        </row>
      </sheetData>
      <sheetData sheetId="2334">
        <row r="34">
          <cell r="A34" t="str">
            <v>Investments Govt Securities</v>
          </cell>
        </row>
      </sheetData>
      <sheetData sheetId="2335">
        <row r="34">
          <cell r="A34" t="str">
            <v>Investments Govt Securities</v>
          </cell>
        </row>
      </sheetData>
      <sheetData sheetId="2336">
        <row r="34">
          <cell r="A34" t="str">
            <v>Investments Govt Securities</v>
          </cell>
        </row>
      </sheetData>
      <sheetData sheetId="2337">
        <row r="34">
          <cell r="A34" t="str">
            <v>Investments Govt Securities</v>
          </cell>
        </row>
      </sheetData>
      <sheetData sheetId="2338">
        <row r="34">
          <cell r="A34" t="str">
            <v>Investments Govt Securities</v>
          </cell>
        </row>
      </sheetData>
      <sheetData sheetId="2339">
        <row r="34">
          <cell r="A34" t="str">
            <v>Investments Govt Securities</v>
          </cell>
        </row>
      </sheetData>
      <sheetData sheetId="2340">
        <row r="34">
          <cell r="A34" t="str">
            <v>Investments Govt Securities</v>
          </cell>
        </row>
      </sheetData>
      <sheetData sheetId="2341">
        <row r="34">
          <cell r="A34" t="str">
            <v>Investments Govt Securities</v>
          </cell>
        </row>
      </sheetData>
      <sheetData sheetId="2342">
        <row r="34">
          <cell r="A34" t="str">
            <v>Investments Govt Securities</v>
          </cell>
        </row>
      </sheetData>
      <sheetData sheetId="2343">
        <row r="34">
          <cell r="A34" t="str">
            <v>Investments Govt Securities</v>
          </cell>
        </row>
      </sheetData>
      <sheetData sheetId="2344">
        <row r="34">
          <cell r="A34" t="str">
            <v>Investments Govt Securities</v>
          </cell>
        </row>
      </sheetData>
      <sheetData sheetId="2345">
        <row r="34">
          <cell r="A34" t="str">
            <v>Investments Govt Securities</v>
          </cell>
        </row>
      </sheetData>
      <sheetData sheetId="2346">
        <row r="34">
          <cell r="A34" t="str">
            <v>Investments Govt Securities</v>
          </cell>
        </row>
      </sheetData>
      <sheetData sheetId="2347">
        <row r="34">
          <cell r="A34" t="str">
            <v>Investments Govt Securities</v>
          </cell>
        </row>
      </sheetData>
      <sheetData sheetId="2348">
        <row r="34">
          <cell r="A34" t="str">
            <v>Investments Govt Securities</v>
          </cell>
        </row>
      </sheetData>
      <sheetData sheetId="2349">
        <row r="34">
          <cell r="A34" t="str">
            <v>Investments Govt Securities</v>
          </cell>
        </row>
      </sheetData>
      <sheetData sheetId="2350">
        <row r="34">
          <cell r="A34" t="str">
            <v>Investments Govt Securities</v>
          </cell>
        </row>
      </sheetData>
      <sheetData sheetId="2351">
        <row r="34">
          <cell r="A34" t="str">
            <v>Investments Govt Securities</v>
          </cell>
        </row>
      </sheetData>
      <sheetData sheetId="2352">
        <row r="34">
          <cell r="A34" t="str">
            <v>Investments Govt Securities</v>
          </cell>
        </row>
      </sheetData>
      <sheetData sheetId="2353">
        <row r="34">
          <cell r="A34" t="str">
            <v>Investments Govt Securities</v>
          </cell>
        </row>
      </sheetData>
      <sheetData sheetId="2354">
        <row r="34">
          <cell r="A34" t="str">
            <v>Investments Govt Securities</v>
          </cell>
        </row>
      </sheetData>
      <sheetData sheetId="2355">
        <row r="34">
          <cell r="A34" t="str">
            <v>Investments Govt Securities</v>
          </cell>
        </row>
      </sheetData>
      <sheetData sheetId="2356">
        <row r="34">
          <cell r="A34" t="str">
            <v>Investments Govt Securities</v>
          </cell>
        </row>
      </sheetData>
      <sheetData sheetId="2357">
        <row r="34">
          <cell r="A34" t="str">
            <v>Investments Govt Securities</v>
          </cell>
        </row>
      </sheetData>
      <sheetData sheetId="2358">
        <row r="34">
          <cell r="A34" t="str">
            <v>Investments Govt Securities</v>
          </cell>
        </row>
      </sheetData>
      <sheetData sheetId="2359">
        <row r="34">
          <cell r="A34" t="str">
            <v>Investments Govt Securities</v>
          </cell>
        </row>
      </sheetData>
      <sheetData sheetId="2360">
        <row r="34">
          <cell r="A34" t="str">
            <v>Investments Govt Securities</v>
          </cell>
        </row>
      </sheetData>
      <sheetData sheetId="2361">
        <row r="34">
          <cell r="A34" t="str">
            <v>Investments Govt Securities</v>
          </cell>
        </row>
      </sheetData>
      <sheetData sheetId="2362">
        <row r="34">
          <cell r="A34" t="str">
            <v>Investments Govt Securities</v>
          </cell>
        </row>
      </sheetData>
      <sheetData sheetId="2363">
        <row r="34">
          <cell r="A34" t="str">
            <v>Investments Govt Securities</v>
          </cell>
        </row>
      </sheetData>
      <sheetData sheetId="2364">
        <row r="34">
          <cell r="A34" t="str">
            <v>Investments Govt Securities</v>
          </cell>
        </row>
      </sheetData>
      <sheetData sheetId="2365">
        <row r="34">
          <cell r="A34" t="str">
            <v>Investments Govt Securities</v>
          </cell>
        </row>
      </sheetData>
      <sheetData sheetId="2366">
        <row r="34">
          <cell r="A34" t="str">
            <v>Investments Govt Securities</v>
          </cell>
        </row>
      </sheetData>
      <sheetData sheetId="2367">
        <row r="34">
          <cell r="A34" t="str">
            <v>Investments Govt Securities</v>
          </cell>
        </row>
      </sheetData>
      <sheetData sheetId="2368">
        <row r="34">
          <cell r="A34" t="str">
            <v>Investments Govt Securities</v>
          </cell>
        </row>
      </sheetData>
      <sheetData sheetId="2369">
        <row r="34">
          <cell r="A34" t="str">
            <v>Investments Govt Securities</v>
          </cell>
        </row>
      </sheetData>
      <sheetData sheetId="2370">
        <row r="34">
          <cell r="A34" t="str">
            <v>Investments Govt Securities</v>
          </cell>
        </row>
      </sheetData>
      <sheetData sheetId="2371">
        <row r="34">
          <cell r="A34" t="str">
            <v>Investments Govt Securities</v>
          </cell>
        </row>
      </sheetData>
      <sheetData sheetId="2372">
        <row r="34">
          <cell r="A34" t="str">
            <v>Investments Govt Securities</v>
          </cell>
        </row>
      </sheetData>
      <sheetData sheetId="2373">
        <row r="34">
          <cell r="A34" t="str">
            <v>Investments Govt Securities</v>
          </cell>
        </row>
      </sheetData>
      <sheetData sheetId="2374">
        <row r="34">
          <cell r="A34" t="str">
            <v>Investments Govt Securities</v>
          </cell>
        </row>
      </sheetData>
      <sheetData sheetId="2375">
        <row r="34">
          <cell r="A34" t="str">
            <v>Investments Govt Securities</v>
          </cell>
        </row>
      </sheetData>
      <sheetData sheetId="2376">
        <row r="34">
          <cell r="A34" t="str">
            <v>Investments Govt Securities</v>
          </cell>
        </row>
      </sheetData>
      <sheetData sheetId="2377">
        <row r="34">
          <cell r="A34" t="str">
            <v>Investments Govt Securities</v>
          </cell>
        </row>
      </sheetData>
      <sheetData sheetId="2378">
        <row r="34">
          <cell r="A34" t="str">
            <v>Investments Govt Securities</v>
          </cell>
        </row>
      </sheetData>
      <sheetData sheetId="2379">
        <row r="34">
          <cell r="A34" t="str">
            <v>Investments Govt Securities</v>
          </cell>
        </row>
      </sheetData>
      <sheetData sheetId="2380">
        <row r="34">
          <cell r="A34" t="str">
            <v>Investments Govt Securities</v>
          </cell>
        </row>
      </sheetData>
      <sheetData sheetId="2381">
        <row r="34">
          <cell r="A34" t="str">
            <v>Investments Govt Securities</v>
          </cell>
        </row>
      </sheetData>
      <sheetData sheetId="2382">
        <row r="34">
          <cell r="A34" t="str">
            <v>Investments Govt Securities</v>
          </cell>
        </row>
      </sheetData>
      <sheetData sheetId="2383">
        <row r="34">
          <cell r="A34" t="str">
            <v>Investments Govt Securities</v>
          </cell>
        </row>
      </sheetData>
      <sheetData sheetId="2384">
        <row r="34">
          <cell r="A34" t="str">
            <v>Investments Govt Securities</v>
          </cell>
        </row>
      </sheetData>
      <sheetData sheetId="2385">
        <row r="34">
          <cell r="A34" t="str">
            <v>Investments Govt Securities</v>
          </cell>
        </row>
      </sheetData>
      <sheetData sheetId="2386">
        <row r="34">
          <cell r="A34" t="str">
            <v>Investments Govt Securities</v>
          </cell>
        </row>
      </sheetData>
      <sheetData sheetId="2387">
        <row r="34">
          <cell r="A34" t="str">
            <v>Investments Govt Securities</v>
          </cell>
        </row>
      </sheetData>
      <sheetData sheetId="2388">
        <row r="34">
          <cell r="A34" t="str">
            <v>Investments Govt Securities</v>
          </cell>
        </row>
      </sheetData>
      <sheetData sheetId="2389">
        <row r="34">
          <cell r="A34" t="str">
            <v>Investments Govt Securities</v>
          </cell>
        </row>
      </sheetData>
      <sheetData sheetId="2390">
        <row r="34">
          <cell r="A34" t="str">
            <v>Investments Govt Securities</v>
          </cell>
        </row>
      </sheetData>
      <sheetData sheetId="2391">
        <row r="34">
          <cell r="A34" t="str">
            <v>Investments Govt Securities</v>
          </cell>
        </row>
      </sheetData>
      <sheetData sheetId="2392">
        <row r="34">
          <cell r="A34" t="str">
            <v>Investments Govt Securities</v>
          </cell>
        </row>
      </sheetData>
      <sheetData sheetId="2393">
        <row r="34">
          <cell r="A34" t="str">
            <v>Investments Govt Securities</v>
          </cell>
        </row>
      </sheetData>
      <sheetData sheetId="2394">
        <row r="34">
          <cell r="A34" t="str">
            <v>Investments Govt Securities</v>
          </cell>
        </row>
      </sheetData>
      <sheetData sheetId="2395">
        <row r="34">
          <cell r="A34" t="str">
            <v>Investments Govt Securities</v>
          </cell>
        </row>
      </sheetData>
      <sheetData sheetId="2396">
        <row r="34">
          <cell r="A34" t="str">
            <v>Investments Govt Securities</v>
          </cell>
        </row>
      </sheetData>
      <sheetData sheetId="2397">
        <row r="34">
          <cell r="A34" t="str">
            <v>Investments Govt Securities</v>
          </cell>
        </row>
      </sheetData>
      <sheetData sheetId="2398">
        <row r="34">
          <cell r="A34" t="str">
            <v>Investments Govt Securities</v>
          </cell>
        </row>
      </sheetData>
      <sheetData sheetId="2399">
        <row r="34">
          <cell r="A34" t="str">
            <v>Investments Govt Securities</v>
          </cell>
        </row>
      </sheetData>
      <sheetData sheetId="2400">
        <row r="34">
          <cell r="A34" t="str">
            <v>Investments Govt Securities</v>
          </cell>
        </row>
      </sheetData>
      <sheetData sheetId="2401">
        <row r="34">
          <cell r="A34" t="str">
            <v>Investments Govt Securities</v>
          </cell>
        </row>
      </sheetData>
      <sheetData sheetId="2402">
        <row r="34">
          <cell r="A34" t="str">
            <v>Investments Govt Securities</v>
          </cell>
        </row>
      </sheetData>
      <sheetData sheetId="2403">
        <row r="34">
          <cell r="A34" t="str">
            <v>Investments Govt Securities</v>
          </cell>
        </row>
      </sheetData>
      <sheetData sheetId="2404">
        <row r="34">
          <cell r="A34" t="str">
            <v>Investments Govt Securities</v>
          </cell>
        </row>
      </sheetData>
      <sheetData sheetId="2405">
        <row r="34">
          <cell r="A34" t="str">
            <v>Investments Govt Securities</v>
          </cell>
        </row>
      </sheetData>
      <sheetData sheetId="2406">
        <row r="34">
          <cell r="A34" t="str">
            <v>Investments Govt Securities</v>
          </cell>
        </row>
      </sheetData>
      <sheetData sheetId="2407">
        <row r="34">
          <cell r="A34" t="str">
            <v>Investments Govt Securities</v>
          </cell>
        </row>
      </sheetData>
      <sheetData sheetId="2408">
        <row r="34">
          <cell r="A34" t="str">
            <v>Investments Govt Securities</v>
          </cell>
        </row>
      </sheetData>
      <sheetData sheetId="2409">
        <row r="34">
          <cell r="A34" t="str">
            <v>Investments Govt Securities</v>
          </cell>
        </row>
      </sheetData>
      <sheetData sheetId="2410">
        <row r="34">
          <cell r="A34" t="str">
            <v>Investments Govt Securities</v>
          </cell>
        </row>
      </sheetData>
      <sheetData sheetId="2411">
        <row r="34">
          <cell r="A34" t="str">
            <v>Investments Govt Securities</v>
          </cell>
        </row>
      </sheetData>
      <sheetData sheetId="2412">
        <row r="34">
          <cell r="A34" t="str">
            <v>Investments Govt Securities</v>
          </cell>
        </row>
      </sheetData>
      <sheetData sheetId="2413">
        <row r="34">
          <cell r="A34" t="str">
            <v>Investments Govt Securities</v>
          </cell>
        </row>
      </sheetData>
      <sheetData sheetId="2414">
        <row r="34">
          <cell r="A34" t="str">
            <v>Investments Govt Securities</v>
          </cell>
        </row>
      </sheetData>
      <sheetData sheetId="2415">
        <row r="34">
          <cell r="A34" t="str">
            <v>Investments Govt Securities</v>
          </cell>
        </row>
      </sheetData>
      <sheetData sheetId="2416">
        <row r="34">
          <cell r="A34" t="str">
            <v>Investments Govt Securities</v>
          </cell>
        </row>
      </sheetData>
      <sheetData sheetId="2417">
        <row r="34">
          <cell r="A34" t="str">
            <v>Investments Govt Securities</v>
          </cell>
        </row>
      </sheetData>
      <sheetData sheetId="2418">
        <row r="34">
          <cell r="A34" t="str">
            <v>Investments Govt Securities</v>
          </cell>
        </row>
      </sheetData>
      <sheetData sheetId="2419">
        <row r="34">
          <cell r="A34" t="str">
            <v>Investments Govt Securities</v>
          </cell>
        </row>
      </sheetData>
      <sheetData sheetId="2420">
        <row r="34">
          <cell r="A34" t="str">
            <v>Investments Govt Securities</v>
          </cell>
        </row>
      </sheetData>
      <sheetData sheetId="2421">
        <row r="34">
          <cell r="A34" t="str">
            <v>Investments Govt Securities</v>
          </cell>
        </row>
      </sheetData>
      <sheetData sheetId="2422">
        <row r="34">
          <cell r="A34" t="str">
            <v>Investments Govt Securities</v>
          </cell>
        </row>
      </sheetData>
      <sheetData sheetId="2423">
        <row r="34">
          <cell r="A34" t="str">
            <v>Investments Govt Securities</v>
          </cell>
        </row>
      </sheetData>
      <sheetData sheetId="2424">
        <row r="34">
          <cell r="A34" t="str">
            <v>Investments Govt Securities</v>
          </cell>
        </row>
      </sheetData>
      <sheetData sheetId="2425">
        <row r="34">
          <cell r="A34" t="str">
            <v>Investments Govt Securities</v>
          </cell>
        </row>
      </sheetData>
      <sheetData sheetId="2426">
        <row r="34">
          <cell r="A34" t="str">
            <v>Investments Govt Securities</v>
          </cell>
        </row>
      </sheetData>
      <sheetData sheetId="2427">
        <row r="34">
          <cell r="A34" t="str">
            <v>Investments Govt Securities</v>
          </cell>
        </row>
      </sheetData>
      <sheetData sheetId="2428">
        <row r="34">
          <cell r="A34" t="str">
            <v>Investments Govt Securities</v>
          </cell>
        </row>
      </sheetData>
      <sheetData sheetId="2429">
        <row r="34">
          <cell r="A34" t="str">
            <v>Investments Govt Securities</v>
          </cell>
        </row>
      </sheetData>
      <sheetData sheetId="2430">
        <row r="34">
          <cell r="A34" t="str">
            <v>Investments Govt Securities</v>
          </cell>
        </row>
      </sheetData>
      <sheetData sheetId="2431">
        <row r="34">
          <cell r="A34" t="str">
            <v>Investments Govt Securities</v>
          </cell>
        </row>
      </sheetData>
      <sheetData sheetId="2432">
        <row r="34">
          <cell r="A34" t="str">
            <v>Investments Govt Securities</v>
          </cell>
        </row>
      </sheetData>
      <sheetData sheetId="2433">
        <row r="34">
          <cell r="A34" t="str">
            <v>Investments Govt Securities</v>
          </cell>
        </row>
      </sheetData>
      <sheetData sheetId="2434">
        <row r="34">
          <cell r="A34" t="str">
            <v>Investments Govt Securities</v>
          </cell>
        </row>
      </sheetData>
      <sheetData sheetId="2435">
        <row r="34">
          <cell r="A34" t="str">
            <v>Investments Govt Securities</v>
          </cell>
        </row>
      </sheetData>
      <sheetData sheetId="2436">
        <row r="34">
          <cell r="A34" t="str">
            <v>Investments Govt Securities</v>
          </cell>
        </row>
      </sheetData>
      <sheetData sheetId="2437">
        <row r="34">
          <cell r="A34" t="str">
            <v>Investments Govt Securities</v>
          </cell>
        </row>
      </sheetData>
      <sheetData sheetId="2438">
        <row r="34">
          <cell r="A34" t="str">
            <v>Investments Govt Securities</v>
          </cell>
        </row>
      </sheetData>
      <sheetData sheetId="2439">
        <row r="34">
          <cell r="A34" t="str">
            <v>Investments Govt Securities</v>
          </cell>
        </row>
      </sheetData>
      <sheetData sheetId="2440">
        <row r="34">
          <cell r="A34" t="str">
            <v>Investments Govt Securities</v>
          </cell>
        </row>
      </sheetData>
      <sheetData sheetId="2441">
        <row r="34">
          <cell r="A34" t="str">
            <v>Investments Govt Securities</v>
          </cell>
        </row>
      </sheetData>
      <sheetData sheetId="2442">
        <row r="34">
          <cell r="A34" t="str">
            <v>Investments Govt Securities</v>
          </cell>
        </row>
      </sheetData>
      <sheetData sheetId="2443">
        <row r="34">
          <cell r="A34" t="str">
            <v>Investments Govt Securities</v>
          </cell>
        </row>
      </sheetData>
      <sheetData sheetId="2444">
        <row r="34">
          <cell r="A34" t="str">
            <v>Investments Govt Securities</v>
          </cell>
        </row>
      </sheetData>
      <sheetData sheetId="2445">
        <row r="34">
          <cell r="A34" t="str">
            <v>Investments Govt Securities</v>
          </cell>
        </row>
      </sheetData>
      <sheetData sheetId="2446">
        <row r="34">
          <cell r="A34" t="str">
            <v>Investments Govt Securities</v>
          </cell>
        </row>
      </sheetData>
      <sheetData sheetId="2447">
        <row r="34">
          <cell r="A34" t="str">
            <v>Investments Govt Securities</v>
          </cell>
        </row>
      </sheetData>
      <sheetData sheetId="2448">
        <row r="34">
          <cell r="A34" t="str">
            <v>Investments Govt Securities</v>
          </cell>
        </row>
      </sheetData>
      <sheetData sheetId="2449">
        <row r="34">
          <cell r="A34" t="str">
            <v>Investments Govt Securities</v>
          </cell>
        </row>
      </sheetData>
      <sheetData sheetId="2450">
        <row r="34">
          <cell r="A34" t="str">
            <v>Investments Govt Securities</v>
          </cell>
        </row>
      </sheetData>
      <sheetData sheetId="2451">
        <row r="34">
          <cell r="A34" t="str">
            <v>Investments Govt Securities</v>
          </cell>
        </row>
      </sheetData>
      <sheetData sheetId="2452">
        <row r="34">
          <cell r="A34" t="str">
            <v>Investments Govt Securities</v>
          </cell>
        </row>
      </sheetData>
      <sheetData sheetId="2453">
        <row r="34">
          <cell r="A34" t="str">
            <v>Investments Govt Securities</v>
          </cell>
        </row>
      </sheetData>
      <sheetData sheetId="2454">
        <row r="34">
          <cell r="A34" t="str">
            <v>Investments Govt Securities</v>
          </cell>
        </row>
      </sheetData>
      <sheetData sheetId="2455">
        <row r="34">
          <cell r="A34" t="str">
            <v>Investments Govt Securities</v>
          </cell>
        </row>
      </sheetData>
      <sheetData sheetId="2456">
        <row r="34">
          <cell r="A34" t="str">
            <v>Investments Govt Securities</v>
          </cell>
        </row>
      </sheetData>
      <sheetData sheetId="2457">
        <row r="34">
          <cell r="A34" t="str">
            <v>Investments Govt Securities</v>
          </cell>
        </row>
      </sheetData>
      <sheetData sheetId="2458">
        <row r="34">
          <cell r="A34" t="str">
            <v>Investments Govt Securities</v>
          </cell>
        </row>
      </sheetData>
      <sheetData sheetId="2459">
        <row r="34">
          <cell r="A34" t="str">
            <v>Investments Govt Securities</v>
          </cell>
        </row>
      </sheetData>
      <sheetData sheetId="2460">
        <row r="34">
          <cell r="A34" t="str">
            <v>Investments Govt Securities</v>
          </cell>
        </row>
      </sheetData>
      <sheetData sheetId="2461">
        <row r="34">
          <cell r="A34" t="str">
            <v>Investments Govt Securities</v>
          </cell>
        </row>
      </sheetData>
      <sheetData sheetId="2462">
        <row r="34">
          <cell r="A34" t="str">
            <v>Investments Govt Securities</v>
          </cell>
        </row>
      </sheetData>
      <sheetData sheetId="2463">
        <row r="34">
          <cell r="A34" t="str">
            <v>Investments Govt Securities</v>
          </cell>
        </row>
      </sheetData>
      <sheetData sheetId="2464">
        <row r="34">
          <cell r="A34" t="str">
            <v>Investments Govt Securities</v>
          </cell>
        </row>
      </sheetData>
      <sheetData sheetId="2465">
        <row r="34">
          <cell r="A34" t="str">
            <v>Investments Govt Securities</v>
          </cell>
        </row>
      </sheetData>
      <sheetData sheetId="2466">
        <row r="34">
          <cell r="A34" t="str">
            <v>Investments Govt Securities</v>
          </cell>
        </row>
      </sheetData>
      <sheetData sheetId="2467">
        <row r="34">
          <cell r="A34" t="str">
            <v>Investments Govt Securities</v>
          </cell>
        </row>
      </sheetData>
      <sheetData sheetId="2468">
        <row r="34">
          <cell r="A34" t="str">
            <v>Investments Govt Securities</v>
          </cell>
        </row>
      </sheetData>
      <sheetData sheetId="2469">
        <row r="34">
          <cell r="A34" t="str">
            <v>Investments Govt Securities</v>
          </cell>
        </row>
      </sheetData>
      <sheetData sheetId="2470">
        <row r="34">
          <cell r="A34" t="str">
            <v>Investments Govt Securities</v>
          </cell>
        </row>
      </sheetData>
      <sheetData sheetId="2471">
        <row r="34">
          <cell r="A34" t="str">
            <v>Investments Govt Securities</v>
          </cell>
        </row>
      </sheetData>
      <sheetData sheetId="2472">
        <row r="34">
          <cell r="A34" t="str">
            <v>Investments Govt Securities</v>
          </cell>
        </row>
      </sheetData>
      <sheetData sheetId="2473">
        <row r="34">
          <cell r="A34" t="str">
            <v>Investments Govt Securities</v>
          </cell>
        </row>
      </sheetData>
      <sheetData sheetId="2474">
        <row r="34">
          <cell r="A34" t="str">
            <v>Investments Govt Securities</v>
          </cell>
        </row>
      </sheetData>
      <sheetData sheetId="2475">
        <row r="34">
          <cell r="A34" t="str">
            <v>Investments Govt Securities</v>
          </cell>
        </row>
      </sheetData>
      <sheetData sheetId="2476">
        <row r="34">
          <cell r="A34" t="str">
            <v>Investments Govt Securities</v>
          </cell>
        </row>
      </sheetData>
      <sheetData sheetId="2477">
        <row r="34">
          <cell r="A34" t="str">
            <v>Investments Govt Securities</v>
          </cell>
        </row>
      </sheetData>
      <sheetData sheetId="2478">
        <row r="34">
          <cell r="A34" t="str">
            <v>Investments Govt Securities</v>
          </cell>
        </row>
      </sheetData>
      <sheetData sheetId="2479">
        <row r="34">
          <cell r="A34" t="str">
            <v>Investments Govt Securities</v>
          </cell>
        </row>
      </sheetData>
      <sheetData sheetId="2480">
        <row r="34">
          <cell r="A34" t="str">
            <v>Investments Govt Securities</v>
          </cell>
        </row>
      </sheetData>
      <sheetData sheetId="2481">
        <row r="34">
          <cell r="A34" t="str">
            <v>Investments Govt Securities</v>
          </cell>
        </row>
      </sheetData>
      <sheetData sheetId="2482">
        <row r="34">
          <cell r="A34" t="str">
            <v>Investments Govt Securities</v>
          </cell>
        </row>
      </sheetData>
      <sheetData sheetId="2483">
        <row r="34">
          <cell r="A34" t="str">
            <v>Investments Govt Securities</v>
          </cell>
        </row>
      </sheetData>
      <sheetData sheetId="2484">
        <row r="34">
          <cell r="A34" t="str">
            <v>Investments Govt Securities</v>
          </cell>
        </row>
      </sheetData>
      <sheetData sheetId="2485">
        <row r="34">
          <cell r="A34" t="str">
            <v>Investments Govt Securities</v>
          </cell>
        </row>
      </sheetData>
      <sheetData sheetId="2486">
        <row r="34">
          <cell r="A34" t="str">
            <v>Investments Govt Securities</v>
          </cell>
        </row>
      </sheetData>
      <sheetData sheetId="2487">
        <row r="34">
          <cell r="A34" t="str">
            <v>Investments Govt Securities</v>
          </cell>
        </row>
      </sheetData>
      <sheetData sheetId="2488">
        <row r="34">
          <cell r="A34" t="str">
            <v>Investments Govt Securities</v>
          </cell>
        </row>
      </sheetData>
      <sheetData sheetId="2489">
        <row r="34">
          <cell r="A34" t="str">
            <v>Investments Govt Securities</v>
          </cell>
        </row>
      </sheetData>
      <sheetData sheetId="2490">
        <row r="34">
          <cell r="A34" t="str">
            <v>Investments Govt Securities</v>
          </cell>
        </row>
      </sheetData>
      <sheetData sheetId="2491">
        <row r="34">
          <cell r="A34" t="str">
            <v>Investments Govt Securities</v>
          </cell>
        </row>
      </sheetData>
      <sheetData sheetId="2492">
        <row r="34">
          <cell r="A34" t="str">
            <v>Investments Govt Securities</v>
          </cell>
        </row>
      </sheetData>
      <sheetData sheetId="2493">
        <row r="34">
          <cell r="A34" t="str">
            <v>Investments Govt Securities</v>
          </cell>
        </row>
      </sheetData>
      <sheetData sheetId="2494">
        <row r="34">
          <cell r="A34" t="str">
            <v>Investments Govt Securities</v>
          </cell>
        </row>
      </sheetData>
      <sheetData sheetId="2495">
        <row r="34">
          <cell r="A34" t="str">
            <v>Investments Govt Securities</v>
          </cell>
        </row>
      </sheetData>
      <sheetData sheetId="2496">
        <row r="34">
          <cell r="A34" t="str">
            <v>Investments Govt Securities</v>
          </cell>
        </row>
      </sheetData>
      <sheetData sheetId="2497">
        <row r="34">
          <cell r="A34" t="str">
            <v>Investments Govt Securities</v>
          </cell>
        </row>
      </sheetData>
      <sheetData sheetId="2498">
        <row r="34">
          <cell r="A34" t="str">
            <v>Investments Govt Securities</v>
          </cell>
        </row>
      </sheetData>
      <sheetData sheetId="2499">
        <row r="34">
          <cell r="A34" t="str">
            <v>Investments Govt Securities</v>
          </cell>
        </row>
      </sheetData>
      <sheetData sheetId="2500">
        <row r="34">
          <cell r="A34" t="str">
            <v>Investments Govt Securities</v>
          </cell>
        </row>
      </sheetData>
      <sheetData sheetId="2501">
        <row r="34">
          <cell r="A34" t="str">
            <v>Investments Govt Securities</v>
          </cell>
        </row>
      </sheetData>
      <sheetData sheetId="2502">
        <row r="34">
          <cell r="A34" t="str">
            <v>Investments Govt Securities</v>
          </cell>
        </row>
      </sheetData>
      <sheetData sheetId="2503">
        <row r="34">
          <cell r="A34" t="str">
            <v>Investments Govt Securities</v>
          </cell>
        </row>
      </sheetData>
      <sheetData sheetId="2504">
        <row r="34">
          <cell r="A34" t="str">
            <v>Investments Govt Securities</v>
          </cell>
        </row>
      </sheetData>
      <sheetData sheetId="2505">
        <row r="34">
          <cell r="A34" t="str">
            <v>Investments Govt Securities</v>
          </cell>
        </row>
      </sheetData>
      <sheetData sheetId="2506">
        <row r="34">
          <cell r="A34" t="str">
            <v>Investments Govt Securities</v>
          </cell>
        </row>
      </sheetData>
      <sheetData sheetId="2507">
        <row r="34">
          <cell r="A34" t="str">
            <v>Investments Govt Securities</v>
          </cell>
        </row>
      </sheetData>
      <sheetData sheetId="2508">
        <row r="34">
          <cell r="A34" t="str">
            <v>Investments Govt Securities</v>
          </cell>
        </row>
      </sheetData>
      <sheetData sheetId="2509">
        <row r="34">
          <cell r="A34" t="str">
            <v>Investments Govt Securities</v>
          </cell>
        </row>
      </sheetData>
      <sheetData sheetId="2510">
        <row r="34">
          <cell r="A34" t="str">
            <v>Investments Govt Securities</v>
          </cell>
        </row>
      </sheetData>
      <sheetData sheetId="2511">
        <row r="34">
          <cell r="A34" t="str">
            <v>Investments Govt Securities</v>
          </cell>
        </row>
      </sheetData>
      <sheetData sheetId="2512">
        <row r="34">
          <cell r="A34" t="str">
            <v>Investments Govt Securities</v>
          </cell>
        </row>
      </sheetData>
      <sheetData sheetId="2513">
        <row r="34">
          <cell r="A34" t="str">
            <v>Investments Govt Securities</v>
          </cell>
        </row>
      </sheetData>
      <sheetData sheetId="2514">
        <row r="34">
          <cell r="A34" t="str">
            <v>Investments Govt Securities</v>
          </cell>
        </row>
      </sheetData>
      <sheetData sheetId="2515">
        <row r="34">
          <cell r="A34" t="str">
            <v>Investments Govt Securities</v>
          </cell>
        </row>
      </sheetData>
      <sheetData sheetId="2516">
        <row r="34">
          <cell r="A34" t="str">
            <v>Investments Govt Securities</v>
          </cell>
        </row>
      </sheetData>
      <sheetData sheetId="2517">
        <row r="34">
          <cell r="A34" t="str">
            <v>Investments Govt Securities</v>
          </cell>
        </row>
      </sheetData>
      <sheetData sheetId="2518">
        <row r="34">
          <cell r="A34" t="str">
            <v>Investments Govt Securities</v>
          </cell>
        </row>
      </sheetData>
      <sheetData sheetId="2519">
        <row r="34">
          <cell r="A34" t="str">
            <v>Investments Govt Securities</v>
          </cell>
        </row>
      </sheetData>
      <sheetData sheetId="2520">
        <row r="34">
          <cell r="A34" t="str">
            <v>Investments Govt Securities</v>
          </cell>
        </row>
      </sheetData>
      <sheetData sheetId="2521">
        <row r="34">
          <cell r="A34" t="str">
            <v>Investments Govt Securities</v>
          </cell>
        </row>
      </sheetData>
      <sheetData sheetId="2522">
        <row r="34">
          <cell r="A34" t="str">
            <v>Investments Govt Securities</v>
          </cell>
        </row>
      </sheetData>
      <sheetData sheetId="2523">
        <row r="34">
          <cell r="A34" t="str">
            <v>Investments Govt Securities</v>
          </cell>
        </row>
      </sheetData>
      <sheetData sheetId="2524">
        <row r="34">
          <cell r="A34" t="str">
            <v>Investments Govt Securities</v>
          </cell>
        </row>
      </sheetData>
      <sheetData sheetId="2525">
        <row r="34">
          <cell r="A34" t="str">
            <v>Investments Govt Securities</v>
          </cell>
        </row>
      </sheetData>
      <sheetData sheetId="2526">
        <row r="34">
          <cell r="A34" t="str">
            <v>Investments Govt Securities</v>
          </cell>
        </row>
      </sheetData>
      <sheetData sheetId="2527">
        <row r="34">
          <cell r="A34" t="str">
            <v>Investments Govt Securities</v>
          </cell>
        </row>
      </sheetData>
      <sheetData sheetId="2528">
        <row r="34">
          <cell r="A34" t="str">
            <v>Investments Govt Securities</v>
          </cell>
        </row>
      </sheetData>
      <sheetData sheetId="2529">
        <row r="34">
          <cell r="A34" t="str">
            <v>Investments Govt Securities</v>
          </cell>
        </row>
      </sheetData>
      <sheetData sheetId="2530">
        <row r="34">
          <cell r="A34" t="str">
            <v>Investments Govt Securities</v>
          </cell>
        </row>
      </sheetData>
      <sheetData sheetId="2531">
        <row r="34">
          <cell r="A34" t="str">
            <v>Investments Govt Securities</v>
          </cell>
        </row>
      </sheetData>
      <sheetData sheetId="2532">
        <row r="34">
          <cell r="A34" t="str">
            <v>Investments Govt Securities</v>
          </cell>
        </row>
      </sheetData>
      <sheetData sheetId="2533">
        <row r="34">
          <cell r="A34" t="str">
            <v>Investments Govt Securities</v>
          </cell>
        </row>
      </sheetData>
      <sheetData sheetId="2534">
        <row r="34">
          <cell r="A34" t="str">
            <v>Investments Govt Securities</v>
          </cell>
        </row>
      </sheetData>
      <sheetData sheetId="2535">
        <row r="34">
          <cell r="A34" t="str">
            <v>Investments Govt Securities</v>
          </cell>
        </row>
      </sheetData>
      <sheetData sheetId="2536">
        <row r="34">
          <cell r="A34" t="str">
            <v>Investments Govt Securities</v>
          </cell>
        </row>
      </sheetData>
      <sheetData sheetId="2537">
        <row r="34">
          <cell r="A34" t="str">
            <v>Investments Govt Securities</v>
          </cell>
        </row>
      </sheetData>
      <sheetData sheetId="2538">
        <row r="34">
          <cell r="A34" t="str">
            <v>Investments Govt Securities</v>
          </cell>
        </row>
      </sheetData>
      <sheetData sheetId="2539">
        <row r="34">
          <cell r="A34" t="str">
            <v>Investments Govt Securities</v>
          </cell>
        </row>
      </sheetData>
      <sheetData sheetId="2540">
        <row r="34">
          <cell r="A34" t="str">
            <v>Investments Govt Securities</v>
          </cell>
        </row>
      </sheetData>
      <sheetData sheetId="2541">
        <row r="34">
          <cell r="A34" t="str">
            <v>Investments Govt Securities</v>
          </cell>
        </row>
      </sheetData>
      <sheetData sheetId="2542">
        <row r="34">
          <cell r="A34" t="str">
            <v>Investments Govt Securities</v>
          </cell>
        </row>
      </sheetData>
      <sheetData sheetId="2543">
        <row r="34">
          <cell r="A34" t="str">
            <v>Investments Govt Securities</v>
          </cell>
        </row>
      </sheetData>
      <sheetData sheetId="2544">
        <row r="34">
          <cell r="A34" t="str">
            <v>Investments Govt Securities</v>
          </cell>
        </row>
      </sheetData>
      <sheetData sheetId="2545">
        <row r="34">
          <cell r="A34" t="str">
            <v>Investments Govt Securities</v>
          </cell>
        </row>
      </sheetData>
      <sheetData sheetId="2546">
        <row r="34">
          <cell r="A34" t="str">
            <v>Investments Govt Securities</v>
          </cell>
        </row>
      </sheetData>
      <sheetData sheetId="2547">
        <row r="34">
          <cell r="A34" t="str">
            <v>Investments Govt Securities</v>
          </cell>
        </row>
      </sheetData>
      <sheetData sheetId="2548">
        <row r="34">
          <cell r="A34" t="str">
            <v>Investments Govt Securities</v>
          </cell>
        </row>
      </sheetData>
      <sheetData sheetId="2549">
        <row r="34">
          <cell r="A34" t="str">
            <v>Investments Govt Securities</v>
          </cell>
        </row>
      </sheetData>
      <sheetData sheetId="2550">
        <row r="34">
          <cell r="A34" t="str">
            <v>Investments Govt Securities</v>
          </cell>
        </row>
      </sheetData>
      <sheetData sheetId="2551">
        <row r="34">
          <cell r="A34" t="str">
            <v>Investments Govt Securities</v>
          </cell>
        </row>
      </sheetData>
      <sheetData sheetId="2552">
        <row r="34">
          <cell r="A34" t="str">
            <v>Investments Govt Securities</v>
          </cell>
        </row>
      </sheetData>
      <sheetData sheetId="2553">
        <row r="34">
          <cell r="A34" t="str">
            <v>Investments Govt Securities</v>
          </cell>
        </row>
      </sheetData>
      <sheetData sheetId="2554">
        <row r="34">
          <cell r="A34" t="str">
            <v>Investments Govt Securities</v>
          </cell>
        </row>
      </sheetData>
      <sheetData sheetId="2555">
        <row r="34">
          <cell r="A34" t="str">
            <v>Investments Govt Securities</v>
          </cell>
        </row>
      </sheetData>
      <sheetData sheetId="2556">
        <row r="34">
          <cell r="A34" t="str">
            <v>Investments Govt Securities</v>
          </cell>
        </row>
      </sheetData>
      <sheetData sheetId="2557">
        <row r="34">
          <cell r="A34" t="str">
            <v>Investments Govt Securities</v>
          </cell>
        </row>
      </sheetData>
      <sheetData sheetId="2558">
        <row r="34">
          <cell r="A34" t="str">
            <v>Investments Govt Securities</v>
          </cell>
        </row>
      </sheetData>
      <sheetData sheetId="2559">
        <row r="34">
          <cell r="A34" t="str">
            <v>Investments Govt Securities</v>
          </cell>
        </row>
      </sheetData>
      <sheetData sheetId="2560">
        <row r="34">
          <cell r="A34" t="str">
            <v>Investments Govt Securities</v>
          </cell>
        </row>
      </sheetData>
      <sheetData sheetId="2561">
        <row r="34">
          <cell r="A34" t="str">
            <v>Investments Govt Securities</v>
          </cell>
        </row>
      </sheetData>
      <sheetData sheetId="2562">
        <row r="34">
          <cell r="A34" t="str">
            <v>Investments Govt Securities</v>
          </cell>
        </row>
      </sheetData>
      <sheetData sheetId="2563">
        <row r="34">
          <cell r="A34" t="str">
            <v>Investments Govt Securities</v>
          </cell>
        </row>
      </sheetData>
      <sheetData sheetId="2564">
        <row r="34">
          <cell r="A34" t="str">
            <v>Investments Govt Securities</v>
          </cell>
        </row>
      </sheetData>
      <sheetData sheetId="2565">
        <row r="34">
          <cell r="A34" t="str">
            <v>Investments Govt Securities</v>
          </cell>
        </row>
      </sheetData>
      <sheetData sheetId="2566">
        <row r="34">
          <cell r="A34" t="str">
            <v>Investments Govt Securities</v>
          </cell>
        </row>
      </sheetData>
      <sheetData sheetId="2567">
        <row r="34">
          <cell r="A34" t="str">
            <v>Investments Govt Securities</v>
          </cell>
        </row>
      </sheetData>
      <sheetData sheetId="2568">
        <row r="34">
          <cell r="A34" t="str">
            <v>Investments Govt Securities</v>
          </cell>
        </row>
      </sheetData>
      <sheetData sheetId="2569">
        <row r="34">
          <cell r="A34" t="str">
            <v>Investments Govt Securities</v>
          </cell>
        </row>
      </sheetData>
      <sheetData sheetId="2570">
        <row r="34">
          <cell r="A34" t="str">
            <v>Investments Govt Securities</v>
          </cell>
        </row>
      </sheetData>
      <sheetData sheetId="2571">
        <row r="34">
          <cell r="A34" t="str">
            <v>Investments Govt Securities</v>
          </cell>
        </row>
      </sheetData>
      <sheetData sheetId="2572">
        <row r="34">
          <cell r="A34" t="str">
            <v>Investments Govt Securities</v>
          </cell>
        </row>
      </sheetData>
      <sheetData sheetId="2573">
        <row r="34">
          <cell r="A34" t="str">
            <v>Investments Govt Securities</v>
          </cell>
        </row>
      </sheetData>
      <sheetData sheetId="2574">
        <row r="34">
          <cell r="A34" t="str">
            <v>Investments Govt Securities</v>
          </cell>
        </row>
      </sheetData>
      <sheetData sheetId="2575">
        <row r="34">
          <cell r="A34" t="str">
            <v>Investments Govt Securities</v>
          </cell>
        </row>
      </sheetData>
      <sheetData sheetId="2576">
        <row r="34">
          <cell r="A34" t="str">
            <v>Investments Govt Securities</v>
          </cell>
        </row>
      </sheetData>
      <sheetData sheetId="2577">
        <row r="34">
          <cell r="A34" t="str">
            <v>Investments Govt Securities</v>
          </cell>
        </row>
      </sheetData>
      <sheetData sheetId="2578">
        <row r="34">
          <cell r="A34" t="str">
            <v>Investments Govt Securities</v>
          </cell>
        </row>
      </sheetData>
      <sheetData sheetId="2579">
        <row r="34">
          <cell r="A34" t="str">
            <v>Investments Govt Securities</v>
          </cell>
        </row>
      </sheetData>
      <sheetData sheetId="2580">
        <row r="34">
          <cell r="A34" t="str">
            <v>Investments Govt Securities</v>
          </cell>
        </row>
      </sheetData>
      <sheetData sheetId="2581">
        <row r="34">
          <cell r="A34" t="str">
            <v>Investments Govt Securities</v>
          </cell>
        </row>
      </sheetData>
      <sheetData sheetId="2582">
        <row r="34">
          <cell r="A34" t="str">
            <v>Investments Govt Securities</v>
          </cell>
        </row>
      </sheetData>
      <sheetData sheetId="2583">
        <row r="34">
          <cell r="A34" t="str">
            <v>Investments Govt Securities</v>
          </cell>
        </row>
      </sheetData>
      <sheetData sheetId="2584">
        <row r="34">
          <cell r="A34" t="str">
            <v>Investments Govt Securities</v>
          </cell>
        </row>
      </sheetData>
      <sheetData sheetId="2585">
        <row r="34">
          <cell r="A34" t="str">
            <v>Investments Govt Securities</v>
          </cell>
        </row>
      </sheetData>
      <sheetData sheetId="2586">
        <row r="34">
          <cell r="A34" t="str">
            <v>Investments Govt Securities</v>
          </cell>
        </row>
      </sheetData>
      <sheetData sheetId="2587">
        <row r="34">
          <cell r="A34" t="str">
            <v>Investments Govt Securities</v>
          </cell>
        </row>
      </sheetData>
      <sheetData sheetId="2588">
        <row r="34">
          <cell r="A34" t="str">
            <v>Investments Govt Securities</v>
          </cell>
        </row>
      </sheetData>
      <sheetData sheetId="2589">
        <row r="34">
          <cell r="A34" t="str">
            <v>Investments Govt Securities</v>
          </cell>
        </row>
      </sheetData>
      <sheetData sheetId="2590">
        <row r="34">
          <cell r="A34" t="str">
            <v>Investments Govt Securities</v>
          </cell>
        </row>
      </sheetData>
      <sheetData sheetId="2591">
        <row r="34">
          <cell r="A34" t="str">
            <v>Investments Govt Securities</v>
          </cell>
        </row>
      </sheetData>
      <sheetData sheetId="2592">
        <row r="34">
          <cell r="A34" t="str">
            <v>Investments Govt Securities</v>
          </cell>
        </row>
      </sheetData>
      <sheetData sheetId="2593">
        <row r="34">
          <cell r="A34" t="str">
            <v>Investments Govt Securities</v>
          </cell>
        </row>
      </sheetData>
      <sheetData sheetId="2594">
        <row r="34">
          <cell r="A34" t="str">
            <v>Investments Govt Securities</v>
          </cell>
        </row>
      </sheetData>
      <sheetData sheetId="2595">
        <row r="34">
          <cell r="A34" t="str">
            <v>Investments Govt Securities</v>
          </cell>
        </row>
      </sheetData>
      <sheetData sheetId="2596">
        <row r="34">
          <cell r="A34" t="str">
            <v>Investments Govt Securities</v>
          </cell>
        </row>
      </sheetData>
      <sheetData sheetId="2597">
        <row r="34">
          <cell r="A34" t="str">
            <v>Investments Govt Securities</v>
          </cell>
        </row>
      </sheetData>
      <sheetData sheetId="2598">
        <row r="34">
          <cell r="A34" t="str">
            <v>Investments Govt Securities</v>
          </cell>
        </row>
      </sheetData>
      <sheetData sheetId="2599">
        <row r="34">
          <cell r="A34" t="str">
            <v>Investments Govt Securities</v>
          </cell>
        </row>
      </sheetData>
      <sheetData sheetId="2600">
        <row r="34">
          <cell r="A34" t="str">
            <v>Investments Govt Securities</v>
          </cell>
        </row>
      </sheetData>
      <sheetData sheetId="2601">
        <row r="34">
          <cell r="A34" t="str">
            <v>Investments Govt Securities</v>
          </cell>
        </row>
      </sheetData>
      <sheetData sheetId="2602">
        <row r="34">
          <cell r="A34" t="str">
            <v>Investments Govt Securities</v>
          </cell>
        </row>
      </sheetData>
      <sheetData sheetId="2603">
        <row r="34">
          <cell r="A34" t="str">
            <v>Investments Govt Securities</v>
          </cell>
        </row>
      </sheetData>
      <sheetData sheetId="2604">
        <row r="34">
          <cell r="A34" t="str">
            <v>Investments Govt Securities</v>
          </cell>
        </row>
      </sheetData>
      <sheetData sheetId="2605">
        <row r="34">
          <cell r="A34" t="str">
            <v>Investments Govt Securities</v>
          </cell>
        </row>
      </sheetData>
      <sheetData sheetId="2606">
        <row r="34">
          <cell r="A34" t="str">
            <v>Investments Govt Securities</v>
          </cell>
        </row>
      </sheetData>
      <sheetData sheetId="2607">
        <row r="34">
          <cell r="A34" t="str">
            <v>Investments Govt Securities</v>
          </cell>
        </row>
      </sheetData>
      <sheetData sheetId="2608">
        <row r="34">
          <cell r="A34" t="str">
            <v>Investments Govt Securities</v>
          </cell>
        </row>
      </sheetData>
      <sheetData sheetId="2609">
        <row r="34">
          <cell r="A34" t="str">
            <v>Investments Govt Securities</v>
          </cell>
        </row>
      </sheetData>
      <sheetData sheetId="2610">
        <row r="34">
          <cell r="A34" t="str">
            <v>Investments Govt Securities</v>
          </cell>
        </row>
      </sheetData>
      <sheetData sheetId="2611">
        <row r="34">
          <cell r="A34" t="str">
            <v>Investments Govt Securities</v>
          </cell>
        </row>
      </sheetData>
      <sheetData sheetId="2612">
        <row r="34">
          <cell r="A34" t="str">
            <v>Investments Govt Securities</v>
          </cell>
        </row>
      </sheetData>
      <sheetData sheetId="2613">
        <row r="34">
          <cell r="A34" t="str">
            <v>Investments Govt Securities</v>
          </cell>
        </row>
      </sheetData>
      <sheetData sheetId="2614">
        <row r="34">
          <cell r="A34" t="str">
            <v>Investments Govt Securities</v>
          </cell>
        </row>
      </sheetData>
      <sheetData sheetId="2615">
        <row r="34">
          <cell r="A34" t="str">
            <v>Investments Govt Securities</v>
          </cell>
        </row>
      </sheetData>
      <sheetData sheetId="2616">
        <row r="34">
          <cell r="A34" t="str">
            <v>Investments Govt Securities</v>
          </cell>
        </row>
      </sheetData>
      <sheetData sheetId="2617">
        <row r="34">
          <cell r="A34" t="str">
            <v>Investments Govt Securities</v>
          </cell>
        </row>
      </sheetData>
      <sheetData sheetId="2618">
        <row r="34">
          <cell r="A34" t="str">
            <v>Investments Govt Securities</v>
          </cell>
        </row>
      </sheetData>
      <sheetData sheetId="2619">
        <row r="34">
          <cell r="A34" t="str">
            <v>Investments Govt Securities</v>
          </cell>
        </row>
      </sheetData>
      <sheetData sheetId="2620">
        <row r="34">
          <cell r="A34" t="str">
            <v>Investments Govt Securities</v>
          </cell>
        </row>
      </sheetData>
      <sheetData sheetId="2621">
        <row r="34">
          <cell r="A34" t="str">
            <v>Investments Govt Securities</v>
          </cell>
        </row>
      </sheetData>
      <sheetData sheetId="2622">
        <row r="34">
          <cell r="A34" t="str">
            <v>Investments Govt Securities</v>
          </cell>
        </row>
      </sheetData>
      <sheetData sheetId="2623">
        <row r="34">
          <cell r="A34" t="str">
            <v>Investments Govt Securities</v>
          </cell>
        </row>
      </sheetData>
      <sheetData sheetId="2624">
        <row r="34">
          <cell r="A34" t="str">
            <v>Investments Govt Securities</v>
          </cell>
        </row>
      </sheetData>
      <sheetData sheetId="2625">
        <row r="34">
          <cell r="A34" t="str">
            <v>Investments Govt Securities</v>
          </cell>
        </row>
      </sheetData>
      <sheetData sheetId="2626">
        <row r="34">
          <cell r="A34" t="str">
            <v>Investments Govt Securities</v>
          </cell>
        </row>
      </sheetData>
      <sheetData sheetId="2627">
        <row r="34">
          <cell r="A34" t="str">
            <v>Investments Govt Securities</v>
          </cell>
        </row>
      </sheetData>
      <sheetData sheetId="2628">
        <row r="34">
          <cell r="A34" t="str">
            <v>Investments Govt Securities</v>
          </cell>
        </row>
      </sheetData>
      <sheetData sheetId="2629">
        <row r="34">
          <cell r="A34" t="str">
            <v>Investments Govt Securities</v>
          </cell>
        </row>
      </sheetData>
      <sheetData sheetId="2630">
        <row r="34">
          <cell r="A34" t="str">
            <v>Investments Govt Securities</v>
          </cell>
        </row>
      </sheetData>
      <sheetData sheetId="2631">
        <row r="34">
          <cell r="A34" t="str">
            <v>Investments Govt Securities</v>
          </cell>
        </row>
      </sheetData>
      <sheetData sheetId="2632">
        <row r="34">
          <cell r="A34" t="str">
            <v>Investments Govt Securities</v>
          </cell>
        </row>
      </sheetData>
      <sheetData sheetId="2633">
        <row r="34">
          <cell r="A34" t="str">
            <v>Investments Govt Securities</v>
          </cell>
        </row>
      </sheetData>
      <sheetData sheetId="2634">
        <row r="34">
          <cell r="A34" t="str">
            <v>Investments Govt Securities</v>
          </cell>
        </row>
      </sheetData>
      <sheetData sheetId="2635">
        <row r="34">
          <cell r="A34" t="str">
            <v>Investments Govt Securities</v>
          </cell>
        </row>
      </sheetData>
      <sheetData sheetId="2636">
        <row r="34">
          <cell r="A34" t="str">
            <v>Investments Govt Securities</v>
          </cell>
        </row>
      </sheetData>
      <sheetData sheetId="2637">
        <row r="34">
          <cell r="A34" t="str">
            <v>Investments Govt Securities</v>
          </cell>
        </row>
      </sheetData>
      <sheetData sheetId="2638">
        <row r="34">
          <cell r="A34" t="str">
            <v>Investments Govt Securities</v>
          </cell>
        </row>
      </sheetData>
      <sheetData sheetId="2639">
        <row r="34">
          <cell r="A34" t="str">
            <v>Investments Govt Securities</v>
          </cell>
        </row>
      </sheetData>
      <sheetData sheetId="2640">
        <row r="34">
          <cell r="A34" t="str">
            <v>Investments Govt Securities</v>
          </cell>
        </row>
      </sheetData>
      <sheetData sheetId="2641">
        <row r="34">
          <cell r="A34" t="str">
            <v>Investments Govt Securities</v>
          </cell>
        </row>
      </sheetData>
      <sheetData sheetId="2642">
        <row r="34">
          <cell r="A34" t="str">
            <v>Investments Govt Securities</v>
          </cell>
        </row>
      </sheetData>
      <sheetData sheetId="2643">
        <row r="34">
          <cell r="A34" t="str">
            <v>Investments Govt Securities</v>
          </cell>
        </row>
      </sheetData>
      <sheetData sheetId="2644">
        <row r="34">
          <cell r="A34" t="str">
            <v>Investments Govt Securities</v>
          </cell>
        </row>
      </sheetData>
      <sheetData sheetId="2645">
        <row r="34">
          <cell r="A34" t="str">
            <v>Investments Govt Securities</v>
          </cell>
        </row>
      </sheetData>
      <sheetData sheetId="2646">
        <row r="34">
          <cell r="A34" t="str">
            <v>Investments Govt Securities</v>
          </cell>
        </row>
      </sheetData>
      <sheetData sheetId="2647">
        <row r="34">
          <cell r="A34" t="str">
            <v>Investments Govt Securities</v>
          </cell>
        </row>
      </sheetData>
      <sheetData sheetId="2648">
        <row r="34">
          <cell r="A34" t="str">
            <v>Investments Govt Securities</v>
          </cell>
        </row>
      </sheetData>
      <sheetData sheetId="2649">
        <row r="34">
          <cell r="A34" t="str">
            <v>Investments Govt Securities</v>
          </cell>
        </row>
      </sheetData>
      <sheetData sheetId="2650">
        <row r="34">
          <cell r="A34" t="str">
            <v>Investments Govt Securities</v>
          </cell>
        </row>
      </sheetData>
      <sheetData sheetId="2651">
        <row r="34">
          <cell r="A34" t="str">
            <v>Investments Govt Securities</v>
          </cell>
        </row>
      </sheetData>
      <sheetData sheetId="2652">
        <row r="34">
          <cell r="A34" t="str">
            <v>Investments Govt Securities</v>
          </cell>
        </row>
      </sheetData>
      <sheetData sheetId="2653">
        <row r="34">
          <cell r="A34" t="str">
            <v>Investments Govt Securities</v>
          </cell>
        </row>
      </sheetData>
      <sheetData sheetId="2654">
        <row r="34">
          <cell r="A34" t="str">
            <v>Investments Govt Securities</v>
          </cell>
        </row>
      </sheetData>
      <sheetData sheetId="2655">
        <row r="34">
          <cell r="A34" t="str">
            <v>Investments Govt Securities</v>
          </cell>
        </row>
      </sheetData>
      <sheetData sheetId="2656">
        <row r="34">
          <cell r="A34" t="str">
            <v>Investments Govt Securities</v>
          </cell>
        </row>
      </sheetData>
      <sheetData sheetId="2657">
        <row r="34">
          <cell r="A34" t="str">
            <v>Investments Govt Securities</v>
          </cell>
        </row>
      </sheetData>
      <sheetData sheetId="2658">
        <row r="34">
          <cell r="A34" t="str">
            <v>Investments Govt Securities</v>
          </cell>
        </row>
      </sheetData>
      <sheetData sheetId="2659">
        <row r="34">
          <cell r="A34" t="str">
            <v>Investments Govt Securities</v>
          </cell>
        </row>
      </sheetData>
      <sheetData sheetId="2660">
        <row r="34">
          <cell r="A34" t="str">
            <v>Investments Govt Securities</v>
          </cell>
        </row>
      </sheetData>
      <sheetData sheetId="2661">
        <row r="34">
          <cell r="A34" t="str">
            <v>Investments Govt Securities</v>
          </cell>
        </row>
      </sheetData>
      <sheetData sheetId="2662">
        <row r="34">
          <cell r="A34" t="str">
            <v>Investments Govt Securities</v>
          </cell>
        </row>
      </sheetData>
      <sheetData sheetId="2663">
        <row r="34">
          <cell r="A34" t="str">
            <v>Investments Govt Securities</v>
          </cell>
        </row>
      </sheetData>
      <sheetData sheetId="2664">
        <row r="34">
          <cell r="A34" t="str">
            <v>Investments Govt Securities</v>
          </cell>
        </row>
      </sheetData>
      <sheetData sheetId="2665">
        <row r="34">
          <cell r="A34" t="str">
            <v>Investments Govt Securities</v>
          </cell>
        </row>
      </sheetData>
      <sheetData sheetId="2666">
        <row r="34">
          <cell r="A34" t="str">
            <v>Investments Govt Securities</v>
          </cell>
        </row>
      </sheetData>
      <sheetData sheetId="2667">
        <row r="34">
          <cell r="A34" t="str">
            <v>Investments Govt Securities</v>
          </cell>
        </row>
      </sheetData>
      <sheetData sheetId="2668">
        <row r="34">
          <cell r="A34" t="str">
            <v>Investments Govt Securities</v>
          </cell>
        </row>
      </sheetData>
      <sheetData sheetId="2669">
        <row r="34">
          <cell r="A34" t="str">
            <v>Investments Govt Securities</v>
          </cell>
        </row>
      </sheetData>
      <sheetData sheetId="2670">
        <row r="34">
          <cell r="A34" t="str">
            <v>Investments Govt Securities</v>
          </cell>
        </row>
      </sheetData>
      <sheetData sheetId="2671">
        <row r="34">
          <cell r="A34" t="str">
            <v>Investments Govt Securities</v>
          </cell>
        </row>
      </sheetData>
      <sheetData sheetId="2672">
        <row r="34">
          <cell r="A34" t="str">
            <v>Investments Govt Securities</v>
          </cell>
        </row>
      </sheetData>
      <sheetData sheetId="2673">
        <row r="34">
          <cell r="A34" t="str">
            <v>Investments Govt Securities</v>
          </cell>
        </row>
      </sheetData>
      <sheetData sheetId="2674">
        <row r="34">
          <cell r="A34" t="str">
            <v>Investments Govt Securities</v>
          </cell>
        </row>
      </sheetData>
      <sheetData sheetId="2675">
        <row r="34">
          <cell r="A34" t="str">
            <v>Investments Govt Securities</v>
          </cell>
        </row>
      </sheetData>
      <sheetData sheetId="2676">
        <row r="34">
          <cell r="A34" t="str">
            <v>Investments Govt Securities</v>
          </cell>
        </row>
      </sheetData>
      <sheetData sheetId="2677">
        <row r="34">
          <cell r="A34" t="str">
            <v>Investments Govt Securities</v>
          </cell>
        </row>
      </sheetData>
      <sheetData sheetId="2678">
        <row r="34">
          <cell r="A34" t="str">
            <v>Investments Govt Securities</v>
          </cell>
        </row>
      </sheetData>
      <sheetData sheetId="2679">
        <row r="34">
          <cell r="A34" t="str">
            <v>Investments Govt Securities</v>
          </cell>
        </row>
      </sheetData>
      <sheetData sheetId="2680">
        <row r="34">
          <cell r="A34" t="str">
            <v>Investments Govt Securities</v>
          </cell>
        </row>
      </sheetData>
      <sheetData sheetId="2681">
        <row r="34">
          <cell r="A34" t="str">
            <v>Investments Govt Securities</v>
          </cell>
        </row>
      </sheetData>
      <sheetData sheetId="2682">
        <row r="34">
          <cell r="A34" t="str">
            <v>Investments Govt Securities</v>
          </cell>
        </row>
      </sheetData>
      <sheetData sheetId="2683">
        <row r="34">
          <cell r="A34" t="str">
            <v>Investments Govt Securities</v>
          </cell>
        </row>
      </sheetData>
      <sheetData sheetId="2684">
        <row r="34">
          <cell r="A34" t="str">
            <v>Investments Govt Securities</v>
          </cell>
        </row>
      </sheetData>
      <sheetData sheetId="2685">
        <row r="34">
          <cell r="A34" t="str">
            <v>Investments Govt Securities</v>
          </cell>
        </row>
      </sheetData>
      <sheetData sheetId="2686">
        <row r="34">
          <cell r="A34" t="str">
            <v>Investments Govt Securities</v>
          </cell>
        </row>
      </sheetData>
      <sheetData sheetId="2687">
        <row r="34">
          <cell r="A34" t="str">
            <v>Investments Govt Securities</v>
          </cell>
        </row>
      </sheetData>
      <sheetData sheetId="2688">
        <row r="34">
          <cell r="A34" t="str">
            <v>Investments Govt Securities</v>
          </cell>
        </row>
      </sheetData>
      <sheetData sheetId="2689">
        <row r="34">
          <cell r="A34" t="str">
            <v>Investments Govt Securities</v>
          </cell>
        </row>
      </sheetData>
      <sheetData sheetId="2690">
        <row r="34">
          <cell r="A34" t="str">
            <v>Investments Govt Securities</v>
          </cell>
        </row>
      </sheetData>
      <sheetData sheetId="2691">
        <row r="34">
          <cell r="A34" t="str">
            <v>Investments Govt Securities</v>
          </cell>
        </row>
      </sheetData>
      <sheetData sheetId="2692">
        <row r="34">
          <cell r="A34" t="str">
            <v>Investments Govt Securities</v>
          </cell>
        </row>
      </sheetData>
      <sheetData sheetId="2693">
        <row r="34">
          <cell r="A34" t="str">
            <v>Investments Govt Securities</v>
          </cell>
        </row>
      </sheetData>
      <sheetData sheetId="2694">
        <row r="34">
          <cell r="A34" t="str">
            <v>Investments Govt Securities</v>
          </cell>
        </row>
      </sheetData>
      <sheetData sheetId="2695">
        <row r="34">
          <cell r="A34" t="str">
            <v>Investments Govt Securities</v>
          </cell>
        </row>
      </sheetData>
      <sheetData sheetId="2696">
        <row r="34">
          <cell r="A34" t="str">
            <v>Investments Govt Securities</v>
          </cell>
        </row>
      </sheetData>
      <sheetData sheetId="2697">
        <row r="34">
          <cell r="A34" t="str">
            <v>Investments Govt Securities</v>
          </cell>
        </row>
      </sheetData>
      <sheetData sheetId="2698">
        <row r="34">
          <cell r="A34" t="str">
            <v>Investments Govt Securities</v>
          </cell>
        </row>
      </sheetData>
      <sheetData sheetId="2699">
        <row r="34">
          <cell r="A34" t="str">
            <v>Investments Govt Securities</v>
          </cell>
        </row>
      </sheetData>
      <sheetData sheetId="2700">
        <row r="34">
          <cell r="A34" t="str">
            <v>Investments Govt Securities</v>
          </cell>
        </row>
      </sheetData>
      <sheetData sheetId="2701">
        <row r="34">
          <cell r="A34" t="str">
            <v>Investments Govt Securities</v>
          </cell>
        </row>
      </sheetData>
      <sheetData sheetId="2702">
        <row r="34">
          <cell r="A34" t="str">
            <v>Investments Govt Securities</v>
          </cell>
        </row>
      </sheetData>
      <sheetData sheetId="2703">
        <row r="34">
          <cell r="A34" t="str">
            <v>Investments Govt Securities</v>
          </cell>
        </row>
      </sheetData>
      <sheetData sheetId="2704">
        <row r="34">
          <cell r="A34" t="str">
            <v>Investments Govt Securities</v>
          </cell>
        </row>
      </sheetData>
      <sheetData sheetId="2705">
        <row r="34">
          <cell r="A34" t="str">
            <v>Investments Govt Securities</v>
          </cell>
        </row>
      </sheetData>
      <sheetData sheetId="2706">
        <row r="34">
          <cell r="A34" t="str">
            <v>Investments Govt Securities</v>
          </cell>
        </row>
      </sheetData>
      <sheetData sheetId="2707">
        <row r="34">
          <cell r="A34" t="str">
            <v>Investments Govt Securities</v>
          </cell>
        </row>
      </sheetData>
      <sheetData sheetId="2708">
        <row r="34">
          <cell r="A34" t="str">
            <v>Investments Govt Securities</v>
          </cell>
        </row>
      </sheetData>
      <sheetData sheetId="2709">
        <row r="34">
          <cell r="A34" t="str">
            <v>Investments Govt Securities</v>
          </cell>
        </row>
      </sheetData>
      <sheetData sheetId="2710">
        <row r="34">
          <cell r="A34" t="str">
            <v>Investments Govt Securities</v>
          </cell>
        </row>
      </sheetData>
      <sheetData sheetId="2711">
        <row r="34">
          <cell r="A34" t="str">
            <v>Investments Govt Securities</v>
          </cell>
        </row>
      </sheetData>
      <sheetData sheetId="2712">
        <row r="34">
          <cell r="A34" t="str">
            <v>Investments Govt Securities</v>
          </cell>
        </row>
      </sheetData>
      <sheetData sheetId="2713">
        <row r="34">
          <cell r="A34" t="str">
            <v>Investments Govt Securities</v>
          </cell>
        </row>
      </sheetData>
      <sheetData sheetId="2714">
        <row r="34">
          <cell r="A34" t="str">
            <v>Investments Govt Securities</v>
          </cell>
        </row>
      </sheetData>
      <sheetData sheetId="2715">
        <row r="34">
          <cell r="A34" t="str">
            <v>Investments Govt Securities</v>
          </cell>
        </row>
      </sheetData>
      <sheetData sheetId="2716">
        <row r="34">
          <cell r="A34" t="str">
            <v>Investments Govt Securities</v>
          </cell>
        </row>
      </sheetData>
      <sheetData sheetId="2717">
        <row r="34">
          <cell r="A34" t="str">
            <v>Investments Govt Securities</v>
          </cell>
        </row>
      </sheetData>
      <sheetData sheetId="2718">
        <row r="34">
          <cell r="A34" t="str">
            <v>Investments Govt Securities</v>
          </cell>
        </row>
      </sheetData>
      <sheetData sheetId="2719">
        <row r="34">
          <cell r="A34" t="str">
            <v>Investments Govt Securities</v>
          </cell>
        </row>
      </sheetData>
      <sheetData sheetId="2720">
        <row r="34">
          <cell r="A34" t="str">
            <v>Investments Govt Securities</v>
          </cell>
        </row>
      </sheetData>
      <sheetData sheetId="2721">
        <row r="34">
          <cell r="A34" t="str">
            <v>Investments Govt Securities</v>
          </cell>
        </row>
      </sheetData>
      <sheetData sheetId="2722">
        <row r="34">
          <cell r="A34" t="str">
            <v>Investments Govt Securities</v>
          </cell>
        </row>
      </sheetData>
      <sheetData sheetId="2723">
        <row r="34">
          <cell r="A34" t="str">
            <v>Investments Govt Securities</v>
          </cell>
        </row>
      </sheetData>
      <sheetData sheetId="2724">
        <row r="34">
          <cell r="A34" t="str">
            <v>Investments Govt Securities</v>
          </cell>
        </row>
      </sheetData>
      <sheetData sheetId="2725">
        <row r="34">
          <cell r="A34" t="str">
            <v>Investments Govt Securities</v>
          </cell>
        </row>
      </sheetData>
      <sheetData sheetId="2726">
        <row r="34">
          <cell r="A34" t="str">
            <v>Investments Govt Securities</v>
          </cell>
        </row>
      </sheetData>
      <sheetData sheetId="2727">
        <row r="34">
          <cell r="A34" t="str">
            <v>Investments Govt Securities</v>
          </cell>
        </row>
      </sheetData>
      <sheetData sheetId="2728">
        <row r="34">
          <cell r="A34" t="str">
            <v>Investments Govt Securities</v>
          </cell>
        </row>
      </sheetData>
      <sheetData sheetId="2729">
        <row r="34">
          <cell r="A34" t="str">
            <v>Investments Govt Securities</v>
          </cell>
        </row>
      </sheetData>
      <sheetData sheetId="2730">
        <row r="34">
          <cell r="A34" t="str">
            <v>Investments Govt Securities</v>
          </cell>
        </row>
      </sheetData>
      <sheetData sheetId="2731">
        <row r="34">
          <cell r="A34" t="str">
            <v>Investments Govt Securities</v>
          </cell>
        </row>
      </sheetData>
      <sheetData sheetId="2732">
        <row r="34">
          <cell r="A34" t="str">
            <v>Investments Govt Securities</v>
          </cell>
        </row>
      </sheetData>
      <sheetData sheetId="2733">
        <row r="34">
          <cell r="A34" t="str">
            <v>Investments Govt Securities</v>
          </cell>
        </row>
      </sheetData>
      <sheetData sheetId="2734">
        <row r="34">
          <cell r="A34" t="str">
            <v>Investments Govt Securities</v>
          </cell>
        </row>
      </sheetData>
      <sheetData sheetId="2735">
        <row r="34">
          <cell r="A34" t="str">
            <v>Investments Govt Securities</v>
          </cell>
        </row>
      </sheetData>
      <sheetData sheetId="2736">
        <row r="34">
          <cell r="A34" t="str">
            <v>Investments Govt Securities</v>
          </cell>
        </row>
      </sheetData>
      <sheetData sheetId="2737">
        <row r="34">
          <cell r="A34" t="str">
            <v>Investments Govt Securities</v>
          </cell>
        </row>
      </sheetData>
      <sheetData sheetId="2738">
        <row r="34">
          <cell r="A34" t="str">
            <v>Investments Govt Securities</v>
          </cell>
        </row>
      </sheetData>
      <sheetData sheetId="2739">
        <row r="34">
          <cell r="A34" t="str">
            <v>Investments Govt Securities</v>
          </cell>
        </row>
      </sheetData>
      <sheetData sheetId="2740">
        <row r="34">
          <cell r="A34" t="str">
            <v>Investments Govt Securities</v>
          </cell>
        </row>
      </sheetData>
      <sheetData sheetId="2741">
        <row r="34">
          <cell r="A34" t="str">
            <v>Investments Govt Securities</v>
          </cell>
        </row>
      </sheetData>
      <sheetData sheetId="2742">
        <row r="34">
          <cell r="A34" t="str">
            <v>Investments Govt Securities</v>
          </cell>
        </row>
      </sheetData>
      <sheetData sheetId="2743">
        <row r="34">
          <cell r="A34" t="str">
            <v>Investments Govt Securities</v>
          </cell>
        </row>
      </sheetData>
      <sheetData sheetId="2744">
        <row r="34">
          <cell r="A34" t="str">
            <v>Investments Govt Securities</v>
          </cell>
        </row>
      </sheetData>
      <sheetData sheetId="2745">
        <row r="34">
          <cell r="A34" t="str">
            <v>Investments Govt Securities</v>
          </cell>
        </row>
      </sheetData>
      <sheetData sheetId="2746">
        <row r="34">
          <cell r="A34" t="str">
            <v>Investments Govt Securities</v>
          </cell>
        </row>
      </sheetData>
      <sheetData sheetId="2747">
        <row r="34">
          <cell r="A34" t="str">
            <v>Investments Govt Securities</v>
          </cell>
        </row>
      </sheetData>
      <sheetData sheetId="2748">
        <row r="34">
          <cell r="A34" t="str">
            <v>Investments Govt Securities</v>
          </cell>
        </row>
      </sheetData>
      <sheetData sheetId="2749">
        <row r="34">
          <cell r="A34" t="str">
            <v>Investments Govt Securities</v>
          </cell>
        </row>
      </sheetData>
      <sheetData sheetId="2750">
        <row r="34">
          <cell r="A34" t="str">
            <v>Investments Govt Securities</v>
          </cell>
        </row>
      </sheetData>
      <sheetData sheetId="2751">
        <row r="34">
          <cell r="A34" t="str">
            <v>Investments Govt Securities</v>
          </cell>
        </row>
      </sheetData>
      <sheetData sheetId="2752">
        <row r="34">
          <cell r="A34" t="str">
            <v>Investments Govt Securities</v>
          </cell>
        </row>
      </sheetData>
      <sheetData sheetId="2753">
        <row r="34">
          <cell r="A34" t="str">
            <v>Investments Govt Securities</v>
          </cell>
        </row>
      </sheetData>
      <sheetData sheetId="2754">
        <row r="34">
          <cell r="A34" t="str">
            <v>Investments Govt Securities</v>
          </cell>
        </row>
      </sheetData>
      <sheetData sheetId="2755">
        <row r="34">
          <cell r="A34" t="str">
            <v>Investments Govt Securities</v>
          </cell>
        </row>
      </sheetData>
      <sheetData sheetId="2756">
        <row r="34">
          <cell r="A34" t="str">
            <v>Investments Govt Securities</v>
          </cell>
        </row>
      </sheetData>
      <sheetData sheetId="2757">
        <row r="34">
          <cell r="A34" t="str">
            <v>Investments Govt Securities</v>
          </cell>
        </row>
      </sheetData>
      <sheetData sheetId="2758">
        <row r="34">
          <cell r="A34" t="str">
            <v>Investments Govt Securities</v>
          </cell>
        </row>
      </sheetData>
      <sheetData sheetId="2759">
        <row r="34">
          <cell r="A34" t="str">
            <v>Investments Govt Securities</v>
          </cell>
        </row>
      </sheetData>
      <sheetData sheetId="2760">
        <row r="34">
          <cell r="A34" t="str">
            <v>Investments Govt Securities</v>
          </cell>
        </row>
      </sheetData>
      <sheetData sheetId="2761">
        <row r="34">
          <cell r="A34" t="str">
            <v>Investments Govt Securities</v>
          </cell>
        </row>
      </sheetData>
      <sheetData sheetId="2762">
        <row r="34">
          <cell r="A34" t="str">
            <v>Investments Govt Securities</v>
          </cell>
        </row>
      </sheetData>
      <sheetData sheetId="2763">
        <row r="34">
          <cell r="A34" t="str">
            <v>Investments Govt Securities</v>
          </cell>
        </row>
      </sheetData>
      <sheetData sheetId="2764">
        <row r="34">
          <cell r="A34" t="str">
            <v>Investments Govt Securities</v>
          </cell>
        </row>
      </sheetData>
      <sheetData sheetId="2765">
        <row r="34">
          <cell r="A34" t="str">
            <v>Investments Govt Securities</v>
          </cell>
        </row>
      </sheetData>
      <sheetData sheetId="2766">
        <row r="34">
          <cell r="A34" t="str">
            <v>Investments Govt Securities</v>
          </cell>
        </row>
      </sheetData>
      <sheetData sheetId="2767">
        <row r="34">
          <cell r="A34" t="str">
            <v>Investments Govt Securities</v>
          </cell>
        </row>
      </sheetData>
      <sheetData sheetId="2768">
        <row r="34">
          <cell r="A34" t="str">
            <v>Investments Govt Securities</v>
          </cell>
        </row>
      </sheetData>
      <sheetData sheetId="2769">
        <row r="34">
          <cell r="A34" t="str">
            <v>Investments Govt Securities</v>
          </cell>
        </row>
      </sheetData>
      <sheetData sheetId="2770">
        <row r="34">
          <cell r="A34" t="str">
            <v>Investments Govt Securities</v>
          </cell>
        </row>
      </sheetData>
      <sheetData sheetId="2771">
        <row r="34">
          <cell r="A34" t="str">
            <v>Investments Govt Securities</v>
          </cell>
        </row>
      </sheetData>
      <sheetData sheetId="2772">
        <row r="34">
          <cell r="A34" t="str">
            <v>Investments Govt Securities</v>
          </cell>
        </row>
      </sheetData>
      <sheetData sheetId="2773">
        <row r="34">
          <cell r="A34" t="str">
            <v>Investments Govt Securities</v>
          </cell>
        </row>
      </sheetData>
      <sheetData sheetId="2774">
        <row r="34">
          <cell r="A34" t="str">
            <v>Investments Govt Securities</v>
          </cell>
        </row>
      </sheetData>
      <sheetData sheetId="2775">
        <row r="34">
          <cell r="A34" t="str">
            <v>Investments Govt Securities</v>
          </cell>
        </row>
      </sheetData>
      <sheetData sheetId="2776">
        <row r="34">
          <cell r="A34" t="str">
            <v>Investments Govt Securities</v>
          </cell>
        </row>
      </sheetData>
      <sheetData sheetId="2777">
        <row r="34">
          <cell r="A34" t="str">
            <v>Investments Govt Securities</v>
          </cell>
        </row>
      </sheetData>
      <sheetData sheetId="2778">
        <row r="34">
          <cell r="A34" t="str">
            <v>Investments Govt Securities</v>
          </cell>
        </row>
      </sheetData>
      <sheetData sheetId="2779">
        <row r="34">
          <cell r="A34" t="str">
            <v>Investments Govt Securities</v>
          </cell>
        </row>
      </sheetData>
      <sheetData sheetId="2780">
        <row r="34">
          <cell r="A34" t="str">
            <v>Investments Govt Securities</v>
          </cell>
        </row>
      </sheetData>
      <sheetData sheetId="2781">
        <row r="34">
          <cell r="A34" t="str">
            <v>Investments Govt Securities</v>
          </cell>
        </row>
      </sheetData>
      <sheetData sheetId="2782">
        <row r="34">
          <cell r="A34" t="str">
            <v>Investments Govt Securities</v>
          </cell>
        </row>
      </sheetData>
      <sheetData sheetId="2783">
        <row r="34">
          <cell r="A34" t="str">
            <v>Investments Govt Securities</v>
          </cell>
        </row>
      </sheetData>
      <sheetData sheetId="2784">
        <row r="34">
          <cell r="A34" t="str">
            <v>Investments Govt Securities</v>
          </cell>
        </row>
      </sheetData>
      <sheetData sheetId="2785">
        <row r="34">
          <cell r="A34" t="str">
            <v>Investments Govt Securities</v>
          </cell>
        </row>
      </sheetData>
      <sheetData sheetId="2786">
        <row r="34">
          <cell r="A34" t="str">
            <v>Investments Govt Securities</v>
          </cell>
        </row>
      </sheetData>
      <sheetData sheetId="2787">
        <row r="34">
          <cell r="A34" t="str">
            <v>Investments Govt Securities</v>
          </cell>
        </row>
      </sheetData>
      <sheetData sheetId="2788">
        <row r="34">
          <cell r="A34" t="str">
            <v>Investments Govt Securities</v>
          </cell>
        </row>
      </sheetData>
      <sheetData sheetId="2789">
        <row r="34">
          <cell r="A34" t="str">
            <v>Investments Govt Securities</v>
          </cell>
        </row>
      </sheetData>
      <sheetData sheetId="2790">
        <row r="34">
          <cell r="A34" t="str">
            <v>Investments Govt Securities</v>
          </cell>
        </row>
      </sheetData>
      <sheetData sheetId="2791">
        <row r="34">
          <cell r="A34" t="str">
            <v>Investments Govt Securities</v>
          </cell>
        </row>
      </sheetData>
      <sheetData sheetId="2792">
        <row r="34">
          <cell r="A34" t="str">
            <v>Investments Govt Securities</v>
          </cell>
        </row>
      </sheetData>
      <sheetData sheetId="2793">
        <row r="34">
          <cell r="A34" t="str">
            <v>Investments Govt Securities</v>
          </cell>
        </row>
      </sheetData>
      <sheetData sheetId="2794">
        <row r="34">
          <cell r="A34" t="str">
            <v>Investments Govt Securities</v>
          </cell>
        </row>
      </sheetData>
      <sheetData sheetId="2795">
        <row r="34">
          <cell r="A34" t="str">
            <v>Investments Govt Securities</v>
          </cell>
        </row>
      </sheetData>
      <sheetData sheetId="2796">
        <row r="34">
          <cell r="A34" t="str">
            <v>Investments Govt Securities</v>
          </cell>
        </row>
      </sheetData>
      <sheetData sheetId="2797">
        <row r="34">
          <cell r="A34" t="str">
            <v>Investments Govt Securities</v>
          </cell>
        </row>
      </sheetData>
      <sheetData sheetId="2798">
        <row r="34">
          <cell r="A34" t="str">
            <v>Investments Govt Securities</v>
          </cell>
        </row>
      </sheetData>
      <sheetData sheetId="2799">
        <row r="34">
          <cell r="A34" t="str">
            <v>Investments Govt Securities</v>
          </cell>
        </row>
      </sheetData>
      <sheetData sheetId="2800">
        <row r="34">
          <cell r="A34" t="str">
            <v>Investments Govt Securities</v>
          </cell>
        </row>
      </sheetData>
      <sheetData sheetId="2801">
        <row r="34">
          <cell r="A34" t="str">
            <v>Investments Govt Securities</v>
          </cell>
        </row>
      </sheetData>
      <sheetData sheetId="2802">
        <row r="34">
          <cell r="A34" t="str">
            <v>Investments Govt Securities</v>
          </cell>
        </row>
      </sheetData>
      <sheetData sheetId="2803">
        <row r="34">
          <cell r="A34" t="str">
            <v>Investments Govt Securities</v>
          </cell>
        </row>
      </sheetData>
      <sheetData sheetId="2804">
        <row r="34">
          <cell r="A34" t="str">
            <v>Investments Govt Securities</v>
          </cell>
        </row>
      </sheetData>
      <sheetData sheetId="2805">
        <row r="34">
          <cell r="A34" t="str">
            <v>Investments Govt Securities</v>
          </cell>
        </row>
      </sheetData>
      <sheetData sheetId="2806">
        <row r="34">
          <cell r="A34" t="str">
            <v>Investments Govt Securities</v>
          </cell>
        </row>
      </sheetData>
      <sheetData sheetId="2807">
        <row r="34">
          <cell r="A34" t="str">
            <v>Investments Govt Securities</v>
          </cell>
        </row>
      </sheetData>
      <sheetData sheetId="2808">
        <row r="34">
          <cell r="A34" t="str">
            <v>Investments Govt Securities</v>
          </cell>
        </row>
      </sheetData>
      <sheetData sheetId="2809">
        <row r="34">
          <cell r="A34" t="str">
            <v>Investments Govt Securities</v>
          </cell>
        </row>
      </sheetData>
      <sheetData sheetId="2810">
        <row r="34">
          <cell r="A34" t="str">
            <v>Investments Govt Securities</v>
          </cell>
        </row>
      </sheetData>
      <sheetData sheetId="2811">
        <row r="34">
          <cell r="A34" t="str">
            <v>Investments Govt Securities</v>
          </cell>
        </row>
      </sheetData>
      <sheetData sheetId="2812">
        <row r="34">
          <cell r="A34" t="str">
            <v>Investments Govt Securities</v>
          </cell>
        </row>
      </sheetData>
      <sheetData sheetId="2813">
        <row r="34">
          <cell r="A34" t="str">
            <v>Investments Govt Securities</v>
          </cell>
        </row>
      </sheetData>
      <sheetData sheetId="2814">
        <row r="34">
          <cell r="A34" t="str">
            <v>Investments Govt Securities</v>
          </cell>
        </row>
      </sheetData>
      <sheetData sheetId="2815">
        <row r="34">
          <cell r="A34" t="str">
            <v>Investments Govt Securities</v>
          </cell>
        </row>
      </sheetData>
      <sheetData sheetId="2816">
        <row r="34">
          <cell r="A34" t="str">
            <v>Investments Govt Securities</v>
          </cell>
        </row>
      </sheetData>
      <sheetData sheetId="2817">
        <row r="34">
          <cell r="A34" t="str">
            <v>Investments Govt Securities</v>
          </cell>
        </row>
      </sheetData>
      <sheetData sheetId="2818">
        <row r="34">
          <cell r="A34" t="str">
            <v>Investments Govt Securities</v>
          </cell>
        </row>
      </sheetData>
      <sheetData sheetId="2819">
        <row r="34">
          <cell r="A34" t="str">
            <v>Investments Govt Securities</v>
          </cell>
        </row>
      </sheetData>
      <sheetData sheetId="2820">
        <row r="34">
          <cell r="A34" t="str">
            <v>Investments Govt Securities</v>
          </cell>
        </row>
      </sheetData>
      <sheetData sheetId="2821">
        <row r="34">
          <cell r="A34" t="str">
            <v>Investments Govt Securities</v>
          </cell>
        </row>
      </sheetData>
      <sheetData sheetId="2822">
        <row r="34">
          <cell r="A34" t="str">
            <v>Investments Govt Securities</v>
          </cell>
        </row>
      </sheetData>
      <sheetData sheetId="2823">
        <row r="34">
          <cell r="A34" t="str">
            <v>Investments Govt Securities</v>
          </cell>
        </row>
      </sheetData>
      <sheetData sheetId="2824">
        <row r="34">
          <cell r="A34" t="str">
            <v>Investments Govt Securities</v>
          </cell>
        </row>
      </sheetData>
      <sheetData sheetId="2825">
        <row r="34">
          <cell r="A34" t="str">
            <v>Investments Govt Securities</v>
          </cell>
        </row>
      </sheetData>
      <sheetData sheetId="2826">
        <row r="34">
          <cell r="A34" t="str">
            <v>Investments Govt Securities</v>
          </cell>
        </row>
      </sheetData>
      <sheetData sheetId="2827">
        <row r="34">
          <cell r="A34" t="str">
            <v>Investments Govt Securities</v>
          </cell>
        </row>
      </sheetData>
      <sheetData sheetId="2828">
        <row r="34">
          <cell r="A34" t="str">
            <v>Investments Govt Securities</v>
          </cell>
        </row>
      </sheetData>
      <sheetData sheetId="2829">
        <row r="34">
          <cell r="A34" t="str">
            <v>Investments Govt Securities</v>
          </cell>
        </row>
      </sheetData>
      <sheetData sheetId="2830">
        <row r="34">
          <cell r="A34" t="str">
            <v>Investments Govt Securities</v>
          </cell>
        </row>
      </sheetData>
      <sheetData sheetId="2831">
        <row r="34">
          <cell r="A34" t="str">
            <v>Investments Govt Securities</v>
          </cell>
        </row>
      </sheetData>
      <sheetData sheetId="2832">
        <row r="34">
          <cell r="A34" t="str">
            <v>Investments Govt Securities</v>
          </cell>
        </row>
      </sheetData>
      <sheetData sheetId="2833">
        <row r="34">
          <cell r="A34" t="str">
            <v>Investments Govt Securities</v>
          </cell>
        </row>
      </sheetData>
      <sheetData sheetId="2834">
        <row r="34">
          <cell r="A34" t="str">
            <v>Investments Govt Securities</v>
          </cell>
        </row>
      </sheetData>
      <sheetData sheetId="2835">
        <row r="34">
          <cell r="A34" t="str">
            <v>Investments Govt Securities</v>
          </cell>
        </row>
      </sheetData>
      <sheetData sheetId="2836">
        <row r="34">
          <cell r="A34" t="str">
            <v>Investments Govt Securities</v>
          </cell>
        </row>
      </sheetData>
      <sheetData sheetId="2837">
        <row r="34">
          <cell r="A34" t="str">
            <v>Investments Govt Securities</v>
          </cell>
        </row>
      </sheetData>
      <sheetData sheetId="2838">
        <row r="34">
          <cell r="A34" t="str">
            <v>Investments Govt Securities</v>
          </cell>
        </row>
      </sheetData>
      <sheetData sheetId="2839">
        <row r="34">
          <cell r="A34" t="str">
            <v>Investments Govt Securities</v>
          </cell>
        </row>
      </sheetData>
      <sheetData sheetId="2840">
        <row r="34">
          <cell r="A34" t="str">
            <v>Investments Govt Securities</v>
          </cell>
        </row>
      </sheetData>
      <sheetData sheetId="2841">
        <row r="34">
          <cell r="A34" t="str">
            <v>Investments Govt Securities</v>
          </cell>
        </row>
      </sheetData>
      <sheetData sheetId="2842">
        <row r="34">
          <cell r="A34" t="str">
            <v>Investments Govt Securities</v>
          </cell>
        </row>
      </sheetData>
      <sheetData sheetId="2843">
        <row r="34">
          <cell r="A34" t="str">
            <v>Investments Govt Securities</v>
          </cell>
        </row>
      </sheetData>
      <sheetData sheetId="2844">
        <row r="34">
          <cell r="A34" t="str">
            <v>Investments Govt Securities</v>
          </cell>
        </row>
      </sheetData>
      <sheetData sheetId="2845">
        <row r="34">
          <cell r="A34" t="str">
            <v>Investments Govt Securities</v>
          </cell>
        </row>
      </sheetData>
      <sheetData sheetId="2846">
        <row r="34">
          <cell r="A34" t="str">
            <v>Investments Govt Securities</v>
          </cell>
        </row>
      </sheetData>
      <sheetData sheetId="2847">
        <row r="34">
          <cell r="A34" t="str">
            <v>Investments Govt Securities</v>
          </cell>
        </row>
      </sheetData>
      <sheetData sheetId="2848">
        <row r="34">
          <cell r="A34" t="str">
            <v>Investments Govt Securities</v>
          </cell>
        </row>
      </sheetData>
      <sheetData sheetId="2849">
        <row r="34">
          <cell r="A34" t="str">
            <v>Investments Govt Securities</v>
          </cell>
        </row>
      </sheetData>
      <sheetData sheetId="2850">
        <row r="34">
          <cell r="A34" t="str">
            <v>Investments Govt Securities</v>
          </cell>
        </row>
      </sheetData>
      <sheetData sheetId="2851">
        <row r="34">
          <cell r="A34" t="str">
            <v>Investments Govt Securities</v>
          </cell>
        </row>
      </sheetData>
      <sheetData sheetId="2852">
        <row r="34">
          <cell r="A34" t="str">
            <v>Investments Govt Securities</v>
          </cell>
        </row>
      </sheetData>
      <sheetData sheetId="2853">
        <row r="34">
          <cell r="A34" t="str">
            <v>Investments Govt Securities</v>
          </cell>
        </row>
      </sheetData>
      <sheetData sheetId="2854">
        <row r="34">
          <cell r="A34" t="str">
            <v>Investments Govt Securities</v>
          </cell>
        </row>
      </sheetData>
      <sheetData sheetId="2855">
        <row r="34">
          <cell r="A34" t="str">
            <v>Investments Govt Securities</v>
          </cell>
        </row>
      </sheetData>
      <sheetData sheetId="2856">
        <row r="34">
          <cell r="A34" t="str">
            <v>Investments Govt Securities</v>
          </cell>
        </row>
      </sheetData>
      <sheetData sheetId="2857">
        <row r="34">
          <cell r="A34" t="str">
            <v>Investments Govt Securities</v>
          </cell>
        </row>
      </sheetData>
      <sheetData sheetId="2858">
        <row r="34">
          <cell r="A34" t="str">
            <v>Investments Govt Securities</v>
          </cell>
        </row>
      </sheetData>
      <sheetData sheetId="2859">
        <row r="34">
          <cell r="A34" t="str">
            <v>Investments Govt Securities</v>
          </cell>
        </row>
      </sheetData>
      <sheetData sheetId="2860">
        <row r="34">
          <cell r="A34" t="str">
            <v>Investments Govt Securities</v>
          </cell>
        </row>
      </sheetData>
      <sheetData sheetId="2861">
        <row r="34">
          <cell r="A34" t="str">
            <v>Investments Govt Securities</v>
          </cell>
        </row>
      </sheetData>
      <sheetData sheetId="2862">
        <row r="34">
          <cell r="A34" t="str">
            <v>Investments Govt Securities</v>
          </cell>
        </row>
      </sheetData>
      <sheetData sheetId="2863">
        <row r="34">
          <cell r="A34" t="str">
            <v>Investments Govt Securities</v>
          </cell>
        </row>
      </sheetData>
      <sheetData sheetId="2864">
        <row r="34">
          <cell r="A34" t="str">
            <v>Investments Govt Securities</v>
          </cell>
        </row>
      </sheetData>
      <sheetData sheetId="2865">
        <row r="34">
          <cell r="A34" t="str">
            <v>Investments Govt Securities</v>
          </cell>
        </row>
      </sheetData>
      <sheetData sheetId="2866">
        <row r="34">
          <cell r="A34" t="str">
            <v>Investments Govt Securities</v>
          </cell>
        </row>
      </sheetData>
      <sheetData sheetId="2867">
        <row r="34">
          <cell r="A34" t="str">
            <v>Investments Govt Securities</v>
          </cell>
        </row>
      </sheetData>
      <sheetData sheetId="2868">
        <row r="34">
          <cell r="A34" t="str">
            <v>Investments Govt Securities</v>
          </cell>
        </row>
      </sheetData>
      <sheetData sheetId="2869">
        <row r="34">
          <cell r="A34" t="str">
            <v>Investments Govt Securities</v>
          </cell>
        </row>
      </sheetData>
      <sheetData sheetId="2870">
        <row r="34">
          <cell r="A34" t="str">
            <v>Investments Govt Securities</v>
          </cell>
        </row>
      </sheetData>
      <sheetData sheetId="2871">
        <row r="34">
          <cell r="A34" t="str">
            <v>Investments Govt Securities</v>
          </cell>
        </row>
      </sheetData>
      <sheetData sheetId="2872">
        <row r="34">
          <cell r="A34" t="str">
            <v>Investments Govt Securities</v>
          </cell>
        </row>
      </sheetData>
      <sheetData sheetId="2873">
        <row r="34">
          <cell r="A34" t="str">
            <v>Investments Govt Securities</v>
          </cell>
        </row>
      </sheetData>
      <sheetData sheetId="2874">
        <row r="34">
          <cell r="A34" t="str">
            <v>Investments Govt Securities</v>
          </cell>
        </row>
      </sheetData>
      <sheetData sheetId="2875">
        <row r="34">
          <cell r="A34" t="str">
            <v>Investments Govt Securities</v>
          </cell>
        </row>
      </sheetData>
      <sheetData sheetId="2876">
        <row r="34">
          <cell r="A34" t="str">
            <v>Investments Govt Securities</v>
          </cell>
        </row>
      </sheetData>
      <sheetData sheetId="2877">
        <row r="34">
          <cell r="A34" t="str">
            <v>Investments Govt Securities</v>
          </cell>
        </row>
      </sheetData>
      <sheetData sheetId="2878">
        <row r="34">
          <cell r="A34" t="str">
            <v>Investments Govt Securities</v>
          </cell>
        </row>
      </sheetData>
      <sheetData sheetId="2879">
        <row r="34">
          <cell r="A34" t="str">
            <v>Investments Govt Securities</v>
          </cell>
        </row>
      </sheetData>
      <sheetData sheetId="2880">
        <row r="34">
          <cell r="A34" t="str">
            <v>Investments Govt Securities</v>
          </cell>
        </row>
      </sheetData>
      <sheetData sheetId="2881">
        <row r="34">
          <cell r="A34" t="str">
            <v>Investments Govt Securities</v>
          </cell>
        </row>
      </sheetData>
      <sheetData sheetId="2882">
        <row r="34">
          <cell r="A34" t="str">
            <v>Investments Govt Securities</v>
          </cell>
        </row>
      </sheetData>
      <sheetData sheetId="2883">
        <row r="34">
          <cell r="A34" t="str">
            <v>Investments Govt Securities</v>
          </cell>
        </row>
      </sheetData>
      <sheetData sheetId="2884">
        <row r="34">
          <cell r="A34" t="str">
            <v>Investments Govt Securities</v>
          </cell>
        </row>
      </sheetData>
      <sheetData sheetId="2885">
        <row r="34">
          <cell r="A34" t="str">
            <v>Investments Govt Securities</v>
          </cell>
        </row>
      </sheetData>
      <sheetData sheetId="2886">
        <row r="34">
          <cell r="A34" t="str">
            <v>Investments Govt Securities</v>
          </cell>
        </row>
      </sheetData>
      <sheetData sheetId="2887">
        <row r="34">
          <cell r="A34" t="str">
            <v>Investments Govt Securities</v>
          </cell>
        </row>
      </sheetData>
      <sheetData sheetId="2888">
        <row r="34">
          <cell r="A34" t="str">
            <v>Investments Govt Securities</v>
          </cell>
        </row>
      </sheetData>
      <sheetData sheetId="2889">
        <row r="34">
          <cell r="A34" t="str">
            <v>Investments Govt Securities</v>
          </cell>
        </row>
      </sheetData>
      <sheetData sheetId="2890">
        <row r="34">
          <cell r="A34" t="str">
            <v>Investments Govt Securities</v>
          </cell>
        </row>
      </sheetData>
      <sheetData sheetId="2891">
        <row r="34">
          <cell r="A34" t="str">
            <v>Investments Govt Securities</v>
          </cell>
        </row>
      </sheetData>
      <sheetData sheetId="2892">
        <row r="34">
          <cell r="A34" t="str">
            <v>Investments Govt Securities</v>
          </cell>
        </row>
      </sheetData>
      <sheetData sheetId="2893">
        <row r="34">
          <cell r="A34" t="str">
            <v>Investments Govt Securities</v>
          </cell>
        </row>
      </sheetData>
      <sheetData sheetId="2894">
        <row r="34">
          <cell r="A34" t="str">
            <v>Investments Govt Securities</v>
          </cell>
        </row>
      </sheetData>
      <sheetData sheetId="2895">
        <row r="34">
          <cell r="A34" t="str">
            <v>Investments Govt Securities</v>
          </cell>
        </row>
      </sheetData>
      <sheetData sheetId="2896">
        <row r="34">
          <cell r="A34" t="str">
            <v>Investments Govt Securities</v>
          </cell>
        </row>
      </sheetData>
      <sheetData sheetId="2897">
        <row r="34">
          <cell r="A34" t="str">
            <v>Investments Govt Securities</v>
          </cell>
        </row>
      </sheetData>
      <sheetData sheetId="2898">
        <row r="34">
          <cell r="A34" t="str">
            <v>Investments Govt Securities</v>
          </cell>
        </row>
      </sheetData>
      <sheetData sheetId="2899">
        <row r="34">
          <cell r="A34" t="str">
            <v>Investments Govt Securities</v>
          </cell>
        </row>
      </sheetData>
      <sheetData sheetId="2900">
        <row r="34">
          <cell r="A34" t="str">
            <v>Investments Govt Securities</v>
          </cell>
        </row>
      </sheetData>
      <sheetData sheetId="2901">
        <row r="34">
          <cell r="A34" t="str">
            <v>Investments Govt Securities</v>
          </cell>
        </row>
      </sheetData>
      <sheetData sheetId="2902">
        <row r="34">
          <cell r="A34" t="str">
            <v>Investments Govt Securities</v>
          </cell>
        </row>
      </sheetData>
      <sheetData sheetId="2903">
        <row r="34">
          <cell r="A34" t="str">
            <v>Investments Govt Securities</v>
          </cell>
        </row>
      </sheetData>
      <sheetData sheetId="2904">
        <row r="34">
          <cell r="A34" t="str">
            <v>Investments Govt Securities</v>
          </cell>
        </row>
      </sheetData>
      <sheetData sheetId="2905">
        <row r="34">
          <cell r="A34" t="str">
            <v>Investments Govt Securities</v>
          </cell>
        </row>
      </sheetData>
      <sheetData sheetId="2906">
        <row r="34">
          <cell r="A34" t="str">
            <v>Investments Govt Securities</v>
          </cell>
        </row>
      </sheetData>
      <sheetData sheetId="2907">
        <row r="34">
          <cell r="A34" t="str">
            <v>Investments Govt Securities</v>
          </cell>
        </row>
      </sheetData>
      <sheetData sheetId="2908">
        <row r="34">
          <cell r="A34" t="str">
            <v>Investments Govt Securities</v>
          </cell>
        </row>
      </sheetData>
      <sheetData sheetId="2909">
        <row r="34">
          <cell r="A34" t="str">
            <v>Investments Govt Securities</v>
          </cell>
        </row>
      </sheetData>
      <sheetData sheetId="2910">
        <row r="34">
          <cell r="A34" t="str">
            <v>Investments Govt Securities</v>
          </cell>
        </row>
      </sheetData>
      <sheetData sheetId="2911">
        <row r="34">
          <cell r="A34" t="str">
            <v>Investments Govt Securities</v>
          </cell>
        </row>
      </sheetData>
      <sheetData sheetId="2912">
        <row r="34">
          <cell r="A34" t="str">
            <v>Investments Govt Securities</v>
          </cell>
        </row>
      </sheetData>
      <sheetData sheetId="2913">
        <row r="34">
          <cell r="A34" t="str">
            <v>Investments Govt Securities</v>
          </cell>
        </row>
      </sheetData>
      <sheetData sheetId="2914">
        <row r="34">
          <cell r="A34" t="str">
            <v>Investments Govt Securities</v>
          </cell>
        </row>
      </sheetData>
      <sheetData sheetId="2915">
        <row r="34">
          <cell r="A34" t="str">
            <v>Investments Govt Securities</v>
          </cell>
        </row>
      </sheetData>
      <sheetData sheetId="2916">
        <row r="34">
          <cell r="A34" t="str">
            <v>Investments Govt Securities</v>
          </cell>
        </row>
      </sheetData>
      <sheetData sheetId="2917">
        <row r="34">
          <cell r="A34" t="str">
            <v>Investments Govt Securities</v>
          </cell>
        </row>
      </sheetData>
      <sheetData sheetId="2918">
        <row r="34">
          <cell r="A34" t="str">
            <v>Investments Govt Securities</v>
          </cell>
        </row>
      </sheetData>
      <sheetData sheetId="2919">
        <row r="34">
          <cell r="A34" t="str">
            <v>Investments Govt Securities</v>
          </cell>
        </row>
      </sheetData>
      <sheetData sheetId="2920">
        <row r="34">
          <cell r="A34" t="str">
            <v>Investments Govt Securities</v>
          </cell>
        </row>
      </sheetData>
      <sheetData sheetId="2921">
        <row r="34">
          <cell r="A34" t="str">
            <v>Investments Govt Securities</v>
          </cell>
        </row>
      </sheetData>
      <sheetData sheetId="2922">
        <row r="34">
          <cell r="A34" t="str">
            <v>Investments Govt Securities</v>
          </cell>
        </row>
      </sheetData>
      <sheetData sheetId="2923">
        <row r="34">
          <cell r="A34" t="str">
            <v>Investments Govt Securities</v>
          </cell>
        </row>
      </sheetData>
      <sheetData sheetId="2924">
        <row r="34">
          <cell r="A34" t="str">
            <v>Investments Govt Securities</v>
          </cell>
        </row>
      </sheetData>
      <sheetData sheetId="2925">
        <row r="34">
          <cell r="A34" t="str">
            <v>Investments Govt Securities</v>
          </cell>
        </row>
      </sheetData>
      <sheetData sheetId="2926">
        <row r="34">
          <cell r="A34" t="str">
            <v>Investments Govt Securities</v>
          </cell>
        </row>
      </sheetData>
      <sheetData sheetId="2927">
        <row r="34">
          <cell r="A34" t="str">
            <v>Investments Govt Securities</v>
          </cell>
        </row>
      </sheetData>
      <sheetData sheetId="2928">
        <row r="34">
          <cell r="A34" t="str">
            <v>Investments Govt Securities</v>
          </cell>
        </row>
      </sheetData>
      <sheetData sheetId="2929">
        <row r="34">
          <cell r="A34" t="str">
            <v>Investments Govt Securities</v>
          </cell>
        </row>
      </sheetData>
      <sheetData sheetId="2930">
        <row r="34">
          <cell r="A34" t="str">
            <v>Investments Govt Securities</v>
          </cell>
        </row>
      </sheetData>
      <sheetData sheetId="2931">
        <row r="34">
          <cell r="A34" t="str">
            <v>Investments Govt Securities</v>
          </cell>
        </row>
      </sheetData>
      <sheetData sheetId="2932">
        <row r="34">
          <cell r="A34" t="str">
            <v>Investments Govt Securities</v>
          </cell>
        </row>
      </sheetData>
      <sheetData sheetId="2933">
        <row r="34">
          <cell r="A34" t="str">
            <v>Investments Govt Securities</v>
          </cell>
        </row>
      </sheetData>
      <sheetData sheetId="2934">
        <row r="34">
          <cell r="A34" t="str">
            <v>Investments Govt Securities</v>
          </cell>
        </row>
      </sheetData>
      <sheetData sheetId="2935">
        <row r="34">
          <cell r="A34" t="str">
            <v>Investments Govt Securities</v>
          </cell>
        </row>
      </sheetData>
      <sheetData sheetId="2936">
        <row r="34">
          <cell r="A34" t="str">
            <v>Investments Govt Securities</v>
          </cell>
        </row>
      </sheetData>
      <sheetData sheetId="2937">
        <row r="34">
          <cell r="A34" t="str">
            <v>Investments Govt Securities</v>
          </cell>
        </row>
      </sheetData>
      <sheetData sheetId="2938">
        <row r="34">
          <cell r="A34" t="str">
            <v>Investments Govt Securities</v>
          </cell>
        </row>
      </sheetData>
      <sheetData sheetId="2939">
        <row r="34">
          <cell r="A34" t="str">
            <v>Investments Govt Securities</v>
          </cell>
        </row>
      </sheetData>
      <sheetData sheetId="2940">
        <row r="34">
          <cell r="A34" t="str">
            <v>Investments Govt Securities</v>
          </cell>
        </row>
      </sheetData>
      <sheetData sheetId="2941">
        <row r="34">
          <cell r="A34" t="str">
            <v>Investments Govt Securities</v>
          </cell>
        </row>
      </sheetData>
      <sheetData sheetId="2942">
        <row r="34">
          <cell r="A34" t="str">
            <v>Investments Govt Securities</v>
          </cell>
        </row>
      </sheetData>
      <sheetData sheetId="2943">
        <row r="34">
          <cell r="A34" t="str">
            <v>Investments Govt Securities</v>
          </cell>
        </row>
      </sheetData>
      <sheetData sheetId="2944">
        <row r="34">
          <cell r="A34" t="str">
            <v>Investments Govt Securities</v>
          </cell>
        </row>
      </sheetData>
      <sheetData sheetId="2945">
        <row r="34">
          <cell r="A34" t="str">
            <v>Investments Govt Securities</v>
          </cell>
        </row>
      </sheetData>
      <sheetData sheetId="2946">
        <row r="34">
          <cell r="A34" t="str">
            <v>Investments Govt Securities</v>
          </cell>
        </row>
      </sheetData>
      <sheetData sheetId="2947">
        <row r="34">
          <cell r="A34" t="str">
            <v>Investments Govt Securities</v>
          </cell>
        </row>
      </sheetData>
      <sheetData sheetId="2948">
        <row r="34">
          <cell r="A34" t="str">
            <v>Investments Govt Securities</v>
          </cell>
        </row>
      </sheetData>
      <sheetData sheetId="2949">
        <row r="34">
          <cell r="A34" t="str">
            <v>Investments Govt Securities</v>
          </cell>
        </row>
      </sheetData>
      <sheetData sheetId="2950">
        <row r="34">
          <cell r="A34" t="str">
            <v>Investments Govt Securities</v>
          </cell>
        </row>
      </sheetData>
      <sheetData sheetId="2951">
        <row r="34">
          <cell r="A34" t="str">
            <v>Investments Govt Securities</v>
          </cell>
        </row>
      </sheetData>
      <sheetData sheetId="2952">
        <row r="34">
          <cell r="A34" t="str">
            <v>Investments Govt Securities</v>
          </cell>
        </row>
      </sheetData>
      <sheetData sheetId="2953">
        <row r="34">
          <cell r="A34" t="str">
            <v>Investments Govt Securities</v>
          </cell>
        </row>
      </sheetData>
      <sheetData sheetId="2954">
        <row r="34">
          <cell r="A34" t="str">
            <v>Investments Govt Securities</v>
          </cell>
        </row>
      </sheetData>
      <sheetData sheetId="2955">
        <row r="34">
          <cell r="A34" t="str">
            <v>Investments Govt Securities</v>
          </cell>
        </row>
      </sheetData>
      <sheetData sheetId="2956">
        <row r="34">
          <cell r="A34" t="str">
            <v>Investments Govt Securities</v>
          </cell>
        </row>
      </sheetData>
      <sheetData sheetId="2957">
        <row r="34">
          <cell r="A34" t="str">
            <v>Investments Govt Securities</v>
          </cell>
        </row>
      </sheetData>
      <sheetData sheetId="2958">
        <row r="34">
          <cell r="A34" t="str">
            <v>Investments Govt Securities</v>
          </cell>
        </row>
      </sheetData>
      <sheetData sheetId="2959">
        <row r="34">
          <cell r="A34" t="str">
            <v>Investments Govt Securities</v>
          </cell>
        </row>
      </sheetData>
      <sheetData sheetId="2960">
        <row r="34">
          <cell r="A34" t="str">
            <v>Investments Govt Securities</v>
          </cell>
        </row>
      </sheetData>
      <sheetData sheetId="2961">
        <row r="34">
          <cell r="A34" t="str">
            <v>Investments Govt Securities</v>
          </cell>
        </row>
      </sheetData>
      <sheetData sheetId="2962">
        <row r="34">
          <cell r="A34" t="str">
            <v>Investments Govt Securities</v>
          </cell>
        </row>
      </sheetData>
      <sheetData sheetId="2963">
        <row r="34">
          <cell r="A34" t="str">
            <v>Investments Govt Securities</v>
          </cell>
        </row>
      </sheetData>
      <sheetData sheetId="2964">
        <row r="34">
          <cell r="A34" t="str">
            <v>Investments Govt Securities</v>
          </cell>
        </row>
      </sheetData>
      <sheetData sheetId="2965">
        <row r="34">
          <cell r="A34" t="str">
            <v>Investments Govt Securities</v>
          </cell>
        </row>
      </sheetData>
      <sheetData sheetId="2966">
        <row r="34">
          <cell r="A34" t="str">
            <v>Investments Govt Securities</v>
          </cell>
        </row>
      </sheetData>
      <sheetData sheetId="2967">
        <row r="34">
          <cell r="A34" t="str">
            <v>Investments Govt Securities</v>
          </cell>
        </row>
      </sheetData>
      <sheetData sheetId="2968">
        <row r="34">
          <cell r="A34" t="str">
            <v>Investments Govt Securities</v>
          </cell>
        </row>
      </sheetData>
      <sheetData sheetId="2969">
        <row r="34">
          <cell r="A34" t="str">
            <v>Investments Govt Securities</v>
          </cell>
        </row>
      </sheetData>
      <sheetData sheetId="2970">
        <row r="34">
          <cell r="A34" t="str">
            <v>Investments Govt Securities</v>
          </cell>
        </row>
      </sheetData>
      <sheetData sheetId="2971">
        <row r="34">
          <cell r="A34" t="str">
            <v>Investments Govt Securities</v>
          </cell>
        </row>
      </sheetData>
      <sheetData sheetId="2972">
        <row r="34">
          <cell r="A34" t="str">
            <v>Investments Govt Securities</v>
          </cell>
        </row>
      </sheetData>
      <sheetData sheetId="2973">
        <row r="34">
          <cell r="A34" t="str">
            <v>Investments Govt Securities</v>
          </cell>
        </row>
      </sheetData>
      <sheetData sheetId="2974">
        <row r="34">
          <cell r="A34" t="str">
            <v>Investments Govt Securities</v>
          </cell>
        </row>
      </sheetData>
      <sheetData sheetId="2975">
        <row r="34">
          <cell r="A34" t="str">
            <v>Investments Govt Securities</v>
          </cell>
        </row>
      </sheetData>
      <sheetData sheetId="2976">
        <row r="34">
          <cell r="A34" t="str">
            <v>Investments Govt Securities</v>
          </cell>
        </row>
      </sheetData>
      <sheetData sheetId="2977">
        <row r="34">
          <cell r="A34" t="str">
            <v>Investments Govt Securities</v>
          </cell>
        </row>
      </sheetData>
      <sheetData sheetId="2978">
        <row r="34">
          <cell r="A34" t="str">
            <v>Investments Govt Securities</v>
          </cell>
        </row>
      </sheetData>
      <sheetData sheetId="2979">
        <row r="34">
          <cell r="A34" t="str">
            <v>Investments Govt Securities</v>
          </cell>
        </row>
      </sheetData>
      <sheetData sheetId="2980">
        <row r="34">
          <cell r="A34" t="str">
            <v>Investments Govt Securities</v>
          </cell>
        </row>
      </sheetData>
      <sheetData sheetId="2981">
        <row r="34">
          <cell r="A34" t="str">
            <v>Investments Govt Securities</v>
          </cell>
        </row>
      </sheetData>
      <sheetData sheetId="2982">
        <row r="34">
          <cell r="A34" t="str">
            <v>Investments Govt Securities</v>
          </cell>
        </row>
      </sheetData>
      <sheetData sheetId="2983">
        <row r="34">
          <cell r="A34" t="str">
            <v>Investments Govt Securities</v>
          </cell>
        </row>
      </sheetData>
      <sheetData sheetId="2984">
        <row r="34">
          <cell r="A34" t="str">
            <v>Investments Govt Securities</v>
          </cell>
        </row>
      </sheetData>
      <sheetData sheetId="2985">
        <row r="34">
          <cell r="A34" t="str">
            <v>Investments Govt Securities</v>
          </cell>
        </row>
      </sheetData>
      <sheetData sheetId="2986">
        <row r="34">
          <cell r="A34" t="str">
            <v>Investments Govt Securities</v>
          </cell>
        </row>
      </sheetData>
      <sheetData sheetId="2987">
        <row r="34">
          <cell r="A34" t="str">
            <v>Investments Govt Securities</v>
          </cell>
        </row>
      </sheetData>
      <sheetData sheetId="2988">
        <row r="34">
          <cell r="A34" t="str">
            <v>Investments Govt Securities</v>
          </cell>
        </row>
      </sheetData>
      <sheetData sheetId="2989">
        <row r="34">
          <cell r="A34" t="str">
            <v>Investments Govt Securities</v>
          </cell>
        </row>
      </sheetData>
      <sheetData sheetId="2990">
        <row r="34">
          <cell r="A34" t="str">
            <v>Investments Govt Securities</v>
          </cell>
        </row>
      </sheetData>
      <sheetData sheetId="2991">
        <row r="34">
          <cell r="A34" t="str">
            <v>Investments Govt Securities</v>
          </cell>
        </row>
      </sheetData>
      <sheetData sheetId="2992">
        <row r="34">
          <cell r="A34" t="str">
            <v>Investments Govt Securities</v>
          </cell>
        </row>
      </sheetData>
      <sheetData sheetId="2993">
        <row r="34">
          <cell r="A34" t="str">
            <v>Investments Govt Securities</v>
          </cell>
        </row>
      </sheetData>
      <sheetData sheetId="2994">
        <row r="34">
          <cell r="A34" t="str">
            <v>Investments Govt Securities</v>
          </cell>
        </row>
      </sheetData>
      <sheetData sheetId="2995">
        <row r="34">
          <cell r="A34" t="str">
            <v>Investments Govt Securities</v>
          </cell>
        </row>
      </sheetData>
      <sheetData sheetId="2996">
        <row r="34">
          <cell r="A34" t="str">
            <v>Investments Govt Securities</v>
          </cell>
        </row>
      </sheetData>
      <sheetData sheetId="2997">
        <row r="34">
          <cell r="A34" t="str">
            <v>Investments Govt Securities</v>
          </cell>
        </row>
      </sheetData>
      <sheetData sheetId="2998">
        <row r="34">
          <cell r="A34" t="str">
            <v>Investments Govt Securities</v>
          </cell>
        </row>
      </sheetData>
      <sheetData sheetId="2999">
        <row r="34">
          <cell r="A34" t="str">
            <v>Investments Govt Securities</v>
          </cell>
        </row>
      </sheetData>
      <sheetData sheetId="3000">
        <row r="34">
          <cell r="A34" t="str">
            <v>Investments Govt Securities</v>
          </cell>
        </row>
      </sheetData>
      <sheetData sheetId="3001">
        <row r="34">
          <cell r="A34" t="str">
            <v>Investments Govt Securities</v>
          </cell>
        </row>
      </sheetData>
      <sheetData sheetId="3002">
        <row r="34">
          <cell r="A34" t="str">
            <v>Investments Govt Securities</v>
          </cell>
        </row>
      </sheetData>
      <sheetData sheetId="3003">
        <row r="34">
          <cell r="A34" t="str">
            <v>Investments Govt Securities</v>
          </cell>
        </row>
      </sheetData>
      <sheetData sheetId="3004">
        <row r="34">
          <cell r="A34" t="str">
            <v>Investments Govt Securities</v>
          </cell>
        </row>
      </sheetData>
      <sheetData sheetId="3005">
        <row r="34">
          <cell r="A34" t="str">
            <v>Investments Govt Securities</v>
          </cell>
        </row>
      </sheetData>
      <sheetData sheetId="3006">
        <row r="34">
          <cell r="A34" t="str">
            <v>Investments Govt Securities</v>
          </cell>
        </row>
      </sheetData>
      <sheetData sheetId="3007">
        <row r="34">
          <cell r="A34" t="str">
            <v>Investments Govt Securities</v>
          </cell>
        </row>
      </sheetData>
      <sheetData sheetId="3008">
        <row r="34">
          <cell r="A34" t="str">
            <v>Investments Govt Securities</v>
          </cell>
        </row>
      </sheetData>
      <sheetData sheetId="3009">
        <row r="34">
          <cell r="A34" t="str">
            <v>Investments Govt Securities</v>
          </cell>
        </row>
      </sheetData>
      <sheetData sheetId="3010">
        <row r="34">
          <cell r="A34" t="str">
            <v>Investments Govt Securities</v>
          </cell>
        </row>
      </sheetData>
      <sheetData sheetId="3011">
        <row r="34">
          <cell r="A34" t="str">
            <v>Investments Govt Securities</v>
          </cell>
        </row>
      </sheetData>
      <sheetData sheetId="3012">
        <row r="34">
          <cell r="A34" t="str">
            <v>Investments Govt Securities</v>
          </cell>
        </row>
      </sheetData>
      <sheetData sheetId="3013">
        <row r="34">
          <cell r="A34" t="str">
            <v>Investments Govt Securities</v>
          </cell>
        </row>
      </sheetData>
      <sheetData sheetId="3014">
        <row r="34">
          <cell r="A34" t="str">
            <v>Investments Govt Securities</v>
          </cell>
        </row>
      </sheetData>
      <sheetData sheetId="3015">
        <row r="34">
          <cell r="A34" t="str">
            <v>Investments Govt Securities</v>
          </cell>
        </row>
      </sheetData>
      <sheetData sheetId="3016">
        <row r="34">
          <cell r="A34" t="str">
            <v>Investments Govt Securities</v>
          </cell>
        </row>
      </sheetData>
      <sheetData sheetId="3017">
        <row r="34">
          <cell r="A34" t="str">
            <v>Investments Govt Securities</v>
          </cell>
        </row>
      </sheetData>
      <sheetData sheetId="3018">
        <row r="34">
          <cell r="A34" t="str">
            <v>Investments Govt Securities</v>
          </cell>
        </row>
      </sheetData>
      <sheetData sheetId="3019">
        <row r="34">
          <cell r="A34" t="str">
            <v>Investments Govt Securities</v>
          </cell>
        </row>
      </sheetData>
      <sheetData sheetId="3020">
        <row r="34">
          <cell r="A34" t="str">
            <v>Investments Govt Securities</v>
          </cell>
        </row>
      </sheetData>
      <sheetData sheetId="3021">
        <row r="34">
          <cell r="A34" t="str">
            <v>Investments Govt Securities</v>
          </cell>
        </row>
      </sheetData>
      <sheetData sheetId="3022">
        <row r="34">
          <cell r="A34" t="str">
            <v>Investments Govt Securities</v>
          </cell>
        </row>
      </sheetData>
      <sheetData sheetId="3023">
        <row r="34">
          <cell r="A34" t="str">
            <v>Investments Govt Securities</v>
          </cell>
        </row>
      </sheetData>
      <sheetData sheetId="3024">
        <row r="34">
          <cell r="A34" t="str">
            <v>Investments Govt Securities</v>
          </cell>
        </row>
      </sheetData>
      <sheetData sheetId="3025">
        <row r="34">
          <cell r="A34" t="str">
            <v>Investments Govt Securities</v>
          </cell>
        </row>
      </sheetData>
      <sheetData sheetId="3026">
        <row r="34">
          <cell r="A34" t="str">
            <v>Investments Govt Securities</v>
          </cell>
        </row>
      </sheetData>
      <sheetData sheetId="3027">
        <row r="34">
          <cell r="A34" t="str">
            <v>Investments Govt Securities</v>
          </cell>
        </row>
      </sheetData>
      <sheetData sheetId="3028">
        <row r="34">
          <cell r="A34" t="str">
            <v>Investments Govt Securities</v>
          </cell>
        </row>
      </sheetData>
      <sheetData sheetId="3029">
        <row r="34">
          <cell r="A34" t="str">
            <v>Investments Govt Securities</v>
          </cell>
        </row>
      </sheetData>
      <sheetData sheetId="3030">
        <row r="34">
          <cell r="A34" t="str">
            <v>Investments Govt Securities</v>
          </cell>
        </row>
      </sheetData>
      <sheetData sheetId="3031">
        <row r="34">
          <cell r="A34" t="str">
            <v>Investments Govt Securities</v>
          </cell>
        </row>
      </sheetData>
      <sheetData sheetId="3032">
        <row r="34">
          <cell r="A34" t="str">
            <v>Investments Govt Securities</v>
          </cell>
        </row>
      </sheetData>
      <sheetData sheetId="3033">
        <row r="34">
          <cell r="A34" t="str">
            <v>Investments Govt Securities</v>
          </cell>
        </row>
      </sheetData>
      <sheetData sheetId="3034">
        <row r="34">
          <cell r="A34" t="str">
            <v>Investments Govt Securities</v>
          </cell>
        </row>
      </sheetData>
      <sheetData sheetId="3035">
        <row r="34">
          <cell r="A34" t="str">
            <v>Investments Govt Securities</v>
          </cell>
        </row>
      </sheetData>
      <sheetData sheetId="3036">
        <row r="34">
          <cell r="A34" t="str">
            <v>Investments Govt Securities</v>
          </cell>
        </row>
      </sheetData>
      <sheetData sheetId="3037">
        <row r="34">
          <cell r="A34" t="str">
            <v>Investments Govt Securities</v>
          </cell>
        </row>
      </sheetData>
      <sheetData sheetId="3038">
        <row r="34">
          <cell r="A34" t="str">
            <v>Investments Govt Securities</v>
          </cell>
        </row>
      </sheetData>
      <sheetData sheetId="3039">
        <row r="34">
          <cell r="A34" t="str">
            <v>Investments Govt Securities</v>
          </cell>
        </row>
      </sheetData>
      <sheetData sheetId="3040">
        <row r="34">
          <cell r="A34" t="str">
            <v>Investments Govt Securities</v>
          </cell>
        </row>
      </sheetData>
      <sheetData sheetId="3041">
        <row r="34">
          <cell r="A34" t="str">
            <v>Investments Govt Securities</v>
          </cell>
        </row>
      </sheetData>
      <sheetData sheetId="3042">
        <row r="34">
          <cell r="A34" t="str">
            <v>Investments Govt Securities</v>
          </cell>
        </row>
      </sheetData>
      <sheetData sheetId="3043">
        <row r="34">
          <cell r="A34" t="str">
            <v>Investments Govt Securities</v>
          </cell>
        </row>
      </sheetData>
      <sheetData sheetId="3044">
        <row r="34">
          <cell r="A34" t="str">
            <v>Investments Govt Securities</v>
          </cell>
        </row>
      </sheetData>
      <sheetData sheetId="3045">
        <row r="34">
          <cell r="A34" t="str">
            <v>Investments Govt Securities</v>
          </cell>
        </row>
      </sheetData>
      <sheetData sheetId="3046">
        <row r="34">
          <cell r="A34" t="str">
            <v>Investments Govt Securities</v>
          </cell>
        </row>
      </sheetData>
      <sheetData sheetId="3047">
        <row r="34">
          <cell r="A34" t="str">
            <v>Investments Govt Securities</v>
          </cell>
        </row>
      </sheetData>
      <sheetData sheetId="3048">
        <row r="34">
          <cell r="A34" t="str">
            <v>Investments Govt Securities</v>
          </cell>
        </row>
      </sheetData>
      <sheetData sheetId="3049">
        <row r="34">
          <cell r="A34" t="str">
            <v>Investments Govt Securities</v>
          </cell>
        </row>
      </sheetData>
      <sheetData sheetId="3050">
        <row r="34">
          <cell r="A34" t="str">
            <v>Investments Govt Securities</v>
          </cell>
        </row>
      </sheetData>
      <sheetData sheetId="3051">
        <row r="34">
          <cell r="A34" t="str">
            <v>Investments Govt Securities</v>
          </cell>
        </row>
      </sheetData>
      <sheetData sheetId="3052">
        <row r="34">
          <cell r="A34" t="str">
            <v>Investments Govt Securities</v>
          </cell>
        </row>
      </sheetData>
      <sheetData sheetId="3053">
        <row r="34">
          <cell r="A34" t="str">
            <v>Investments Govt Securities</v>
          </cell>
        </row>
      </sheetData>
      <sheetData sheetId="3054">
        <row r="34">
          <cell r="A34" t="str">
            <v>Investments Govt Securities</v>
          </cell>
        </row>
      </sheetData>
      <sheetData sheetId="3055">
        <row r="34">
          <cell r="A34" t="str">
            <v>Investments Govt Securities</v>
          </cell>
        </row>
      </sheetData>
      <sheetData sheetId="3056">
        <row r="34">
          <cell r="A34" t="str">
            <v>Investments Govt Securities</v>
          </cell>
        </row>
      </sheetData>
      <sheetData sheetId="3057">
        <row r="34">
          <cell r="A34" t="str">
            <v>Investments Govt Securities</v>
          </cell>
        </row>
      </sheetData>
      <sheetData sheetId="3058">
        <row r="34">
          <cell r="A34" t="str">
            <v>Investments Govt Securities</v>
          </cell>
        </row>
      </sheetData>
      <sheetData sheetId="3059">
        <row r="34">
          <cell r="A34" t="str">
            <v>Investments Govt Securities</v>
          </cell>
        </row>
      </sheetData>
      <sheetData sheetId="3060">
        <row r="34">
          <cell r="A34" t="str">
            <v>Investments Govt Securities</v>
          </cell>
        </row>
      </sheetData>
      <sheetData sheetId="3061">
        <row r="34">
          <cell r="A34" t="str">
            <v>Investments Govt Securities</v>
          </cell>
        </row>
      </sheetData>
      <sheetData sheetId="3062">
        <row r="34">
          <cell r="A34" t="str">
            <v>Investments Govt Securities</v>
          </cell>
        </row>
      </sheetData>
      <sheetData sheetId="3063">
        <row r="34">
          <cell r="A34" t="str">
            <v>Investments Govt Securities</v>
          </cell>
        </row>
      </sheetData>
      <sheetData sheetId="3064">
        <row r="34">
          <cell r="A34" t="str">
            <v>Investments Govt Securities</v>
          </cell>
        </row>
      </sheetData>
      <sheetData sheetId="3065">
        <row r="34">
          <cell r="A34" t="str">
            <v>Investments Govt Securities</v>
          </cell>
        </row>
      </sheetData>
      <sheetData sheetId="3066">
        <row r="34">
          <cell r="A34" t="str">
            <v>Investments Govt Securities</v>
          </cell>
        </row>
      </sheetData>
      <sheetData sheetId="3067">
        <row r="34">
          <cell r="A34" t="str">
            <v>Investments Govt Securities</v>
          </cell>
        </row>
      </sheetData>
      <sheetData sheetId="3068">
        <row r="34">
          <cell r="A34" t="str">
            <v>Investments Govt Securities</v>
          </cell>
        </row>
      </sheetData>
      <sheetData sheetId="3069">
        <row r="34">
          <cell r="A34" t="str">
            <v>Investments Govt Securities</v>
          </cell>
        </row>
      </sheetData>
      <sheetData sheetId="3070">
        <row r="34">
          <cell r="A34" t="str">
            <v>Investments Govt Securities</v>
          </cell>
        </row>
      </sheetData>
      <sheetData sheetId="3071">
        <row r="34">
          <cell r="A34" t="str">
            <v>Investments Govt Securities</v>
          </cell>
        </row>
      </sheetData>
      <sheetData sheetId="3072">
        <row r="34">
          <cell r="A34" t="str">
            <v>Investments Govt Securities</v>
          </cell>
        </row>
      </sheetData>
      <sheetData sheetId="3073">
        <row r="34">
          <cell r="A34" t="str">
            <v>Investments Govt Securities</v>
          </cell>
        </row>
      </sheetData>
      <sheetData sheetId="3074">
        <row r="34">
          <cell r="A34" t="str">
            <v>Investments Govt Securities</v>
          </cell>
        </row>
      </sheetData>
      <sheetData sheetId="3075">
        <row r="34">
          <cell r="A34" t="str">
            <v>Investments Govt Securities</v>
          </cell>
        </row>
      </sheetData>
      <sheetData sheetId="3076">
        <row r="34">
          <cell r="A34" t="str">
            <v>Investments Govt Securities</v>
          </cell>
        </row>
      </sheetData>
      <sheetData sheetId="3077">
        <row r="34">
          <cell r="A34" t="str">
            <v>Investments Govt Securities</v>
          </cell>
        </row>
      </sheetData>
      <sheetData sheetId="3078">
        <row r="34">
          <cell r="A34" t="str">
            <v>Investments Govt Securities</v>
          </cell>
        </row>
      </sheetData>
      <sheetData sheetId="3079">
        <row r="34">
          <cell r="A34" t="str">
            <v>Investments Govt Securities</v>
          </cell>
        </row>
      </sheetData>
      <sheetData sheetId="3080">
        <row r="34">
          <cell r="A34" t="str">
            <v>Investments Govt Securities</v>
          </cell>
        </row>
      </sheetData>
      <sheetData sheetId="3081">
        <row r="34">
          <cell r="A34" t="str">
            <v>Investments Govt Securities</v>
          </cell>
        </row>
      </sheetData>
      <sheetData sheetId="3082">
        <row r="34">
          <cell r="A34" t="str">
            <v>Investments Govt Securities</v>
          </cell>
        </row>
      </sheetData>
      <sheetData sheetId="3083">
        <row r="34">
          <cell r="A34" t="str">
            <v>Investments Govt Securities</v>
          </cell>
        </row>
      </sheetData>
      <sheetData sheetId="3084">
        <row r="34">
          <cell r="A34" t="str">
            <v>Investments Govt Securities</v>
          </cell>
        </row>
      </sheetData>
      <sheetData sheetId="3085">
        <row r="34">
          <cell r="A34" t="str">
            <v>Investments Govt Securities</v>
          </cell>
        </row>
      </sheetData>
      <sheetData sheetId="3086">
        <row r="34">
          <cell r="A34" t="str">
            <v>Investments Govt Securities</v>
          </cell>
        </row>
      </sheetData>
      <sheetData sheetId="3087">
        <row r="34">
          <cell r="A34" t="str">
            <v>Investments Govt Securities</v>
          </cell>
        </row>
      </sheetData>
      <sheetData sheetId="3088">
        <row r="34">
          <cell r="A34" t="str">
            <v>Investments Govt Securities</v>
          </cell>
        </row>
      </sheetData>
      <sheetData sheetId="3089">
        <row r="34">
          <cell r="A34" t="str">
            <v>Investments Govt Securities</v>
          </cell>
        </row>
      </sheetData>
      <sheetData sheetId="3090">
        <row r="34">
          <cell r="A34" t="str">
            <v>Investments Govt Securities</v>
          </cell>
        </row>
      </sheetData>
      <sheetData sheetId="3091">
        <row r="34">
          <cell r="A34" t="str">
            <v>Investments Govt Securities</v>
          </cell>
        </row>
      </sheetData>
      <sheetData sheetId="3092">
        <row r="34">
          <cell r="A34" t="str">
            <v>Investments Govt Securities</v>
          </cell>
        </row>
      </sheetData>
      <sheetData sheetId="3093">
        <row r="34">
          <cell r="A34" t="str">
            <v>Investments Govt Securities</v>
          </cell>
        </row>
      </sheetData>
      <sheetData sheetId="3094">
        <row r="34">
          <cell r="A34" t="str">
            <v>Investments Govt Securities</v>
          </cell>
        </row>
      </sheetData>
      <sheetData sheetId="3095">
        <row r="34">
          <cell r="A34" t="str">
            <v>Investments Govt Securities</v>
          </cell>
        </row>
      </sheetData>
      <sheetData sheetId="3096">
        <row r="34">
          <cell r="A34" t="str">
            <v>Investments Govt Securities</v>
          </cell>
        </row>
      </sheetData>
      <sheetData sheetId="3097">
        <row r="34">
          <cell r="A34" t="str">
            <v>Investments Govt Securities</v>
          </cell>
        </row>
      </sheetData>
      <sheetData sheetId="3098">
        <row r="34">
          <cell r="A34" t="str">
            <v>Investments Govt Securities</v>
          </cell>
        </row>
      </sheetData>
      <sheetData sheetId="3099">
        <row r="34">
          <cell r="A34" t="str">
            <v>Investments Govt Securities</v>
          </cell>
        </row>
      </sheetData>
      <sheetData sheetId="3100">
        <row r="34">
          <cell r="A34" t="str">
            <v>Investments Govt Securities</v>
          </cell>
        </row>
      </sheetData>
      <sheetData sheetId="3101">
        <row r="34">
          <cell r="A34" t="str">
            <v>Investments Govt Securities</v>
          </cell>
        </row>
      </sheetData>
      <sheetData sheetId="3102">
        <row r="34">
          <cell r="A34" t="str">
            <v>Investments Govt Securities</v>
          </cell>
        </row>
      </sheetData>
      <sheetData sheetId="3103">
        <row r="34">
          <cell r="A34" t="str">
            <v>Investments Govt Securities</v>
          </cell>
        </row>
      </sheetData>
      <sheetData sheetId="3104">
        <row r="34">
          <cell r="A34" t="str">
            <v>Investments Govt Securities</v>
          </cell>
        </row>
      </sheetData>
      <sheetData sheetId="3105">
        <row r="34">
          <cell r="A34" t="str">
            <v>Investments Govt Securities</v>
          </cell>
        </row>
      </sheetData>
      <sheetData sheetId="3106">
        <row r="34">
          <cell r="A34" t="str">
            <v>Investments Govt Securities</v>
          </cell>
        </row>
      </sheetData>
      <sheetData sheetId="3107">
        <row r="34">
          <cell r="A34" t="str">
            <v>Investments Govt Securities</v>
          </cell>
        </row>
      </sheetData>
      <sheetData sheetId="3108">
        <row r="34">
          <cell r="A34" t="str">
            <v>Investments Govt Securities</v>
          </cell>
        </row>
      </sheetData>
      <sheetData sheetId="3109">
        <row r="34">
          <cell r="A34" t="str">
            <v>Investments Govt Securities</v>
          </cell>
        </row>
      </sheetData>
      <sheetData sheetId="3110">
        <row r="34">
          <cell r="A34" t="str">
            <v>Investments Govt Securities</v>
          </cell>
        </row>
      </sheetData>
      <sheetData sheetId="3111">
        <row r="34">
          <cell r="A34" t="str">
            <v>Investments Govt Securities</v>
          </cell>
        </row>
      </sheetData>
      <sheetData sheetId="3112">
        <row r="34">
          <cell r="A34" t="str">
            <v>Investments Govt Securities</v>
          </cell>
        </row>
      </sheetData>
      <sheetData sheetId="3113">
        <row r="34">
          <cell r="A34" t="str">
            <v>Investments Govt Securities</v>
          </cell>
        </row>
      </sheetData>
      <sheetData sheetId="3114">
        <row r="34">
          <cell r="A34" t="str">
            <v>Investments Govt Securities</v>
          </cell>
        </row>
      </sheetData>
      <sheetData sheetId="3115">
        <row r="34">
          <cell r="A34" t="str">
            <v>Investments Govt Securities</v>
          </cell>
        </row>
      </sheetData>
      <sheetData sheetId="3116">
        <row r="34">
          <cell r="A34" t="str">
            <v>Investments Govt Securities</v>
          </cell>
        </row>
      </sheetData>
      <sheetData sheetId="3117">
        <row r="34">
          <cell r="A34" t="str">
            <v>Investments Govt Securities</v>
          </cell>
        </row>
      </sheetData>
      <sheetData sheetId="3118">
        <row r="34">
          <cell r="A34" t="str">
            <v>Investments Govt Securities</v>
          </cell>
        </row>
      </sheetData>
      <sheetData sheetId="3119">
        <row r="34">
          <cell r="A34" t="str">
            <v>Investments Govt Securities</v>
          </cell>
        </row>
      </sheetData>
      <sheetData sheetId="3120">
        <row r="34">
          <cell r="A34" t="str">
            <v>Investments Govt Securities</v>
          </cell>
        </row>
      </sheetData>
      <sheetData sheetId="3121">
        <row r="34">
          <cell r="A34" t="str">
            <v>Investments Govt Securities</v>
          </cell>
        </row>
      </sheetData>
      <sheetData sheetId="3122">
        <row r="34">
          <cell r="A34" t="str">
            <v>Investments Govt Securities</v>
          </cell>
        </row>
      </sheetData>
      <sheetData sheetId="3123">
        <row r="34">
          <cell r="A34" t="str">
            <v>Investments Govt Securities</v>
          </cell>
        </row>
      </sheetData>
      <sheetData sheetId="3124">
        <row r="34">
          <cell r="A34" t="str">
            <v>Investments Govt Securities</v>
          </cell>
        </row>
      </sheetData>
      <sheetData sheetId="3125">
        <row r="34">
          <cell r="A34" t="str">
            <v>Investments Govt Securities</v>
          </cell>
        </row>
      </sheetData>
      <sheetData sheetId="3126">
        <row r="34">
          <cell r="A34" t="str">
            <v>Investments Govt Securities</v>
          </cell>
        </row>
      </sheetData>
      <sheetData sheetId="3127">
        <row r="34">
          <cell r="A34" t="str">
            <v>Investments Govt Securities</v>
          </cell>
        </row>
      </sheetData>
      <sheetData sheetId="3128">
        <row r="34">
          <cell r="A34" t="str">
            <v>Investments Govt Securities</v>
          </cell>
        </row>
      </sheetData>
      <sheetData sheetId="3129">
        <row r="34">
          <cell r="A34" t="str">
            <v>Investments Govt Securities</v>
          </cell>
        </row>
      </sheetData>
      <sheetData sheetId="3130">
        <row r="34">
          <cell r="A34" t="str">
            <v>Investments Govt Securities</v>
          </cell>
        </row>
      </sheetData>
      <sheetData sheetId="3131">
        <row r="34">
          <cell r="A34" t="str">
            <v>Investments Govt Securities</v>
          </cell>
        </row>
      </sheetData>
      <sheetData sheetId="3132">
        <row r="34">
          <cell r="A34" t="str">
            <v>Investments Govt Securities</v>
          </cell>
        </row>
      </sheetData>
      <sheetData sheetId="3133">
        <row r="34">
          <cell r="A34" t="str">
            <v>Investments Govt Securities</v>
          </cell>
        </row>
      </sheetData>
      <sheetData sheetId="3134">
        <row r="34">
          <cell r="A34" t="str">
            <v>Investments Govt Securities</v>
          </cell>
        </row>
      </sheetData>
      <sheetData sheetId="3135">
        <row r="34">
          <cell r="A34" t="str">
            <v>Investments Govt Securities</v>
          </cell>
        </row>
      </sheetData>
      <sheetData sheetId="3136">
        <row r="34">
          <cell r="A34" t="str">
            <v>Investments Govt Securities</v>
          </cell>
        </row>
      </sheetData>
      <sheetData sheetId="3137">
        <row r="34">
          <cell r="A34" t="str">
            <v>Investments Govt Securities</v>
          </cell>
        </row>
      </sheetData>
      <sheetData sheetId="3138">
        <row r="34">
          <cell r="A34" t="str">
            <v>Investments Govt Securities</v>
          </cell>
        </row>
      </sheetData>
      <sheetData sheetId="3139">
        <row r="34">
          <cell r="A34" t="str">
            <v>Investments Govt Securities</v>
          </cell>
        </row>
      </sheetData>
      <sheetData sheetId="3140">
        <row r="34">
          <cell r="A34" t="str">
            <v>Investments Govt Securities</v>
          </cell>
        </row>
      </sheetData>
      <sheetData sheetId="3141">
        <row r="34">
          <cell r="A34" t="str">
            <v>Investments Govt Securities</v>
          </cell>
        </row>
      </sheetData>
      <sheetData sheetId="3142">
        <row r="34">
          <cell r="A34" t="str">
            <v>Investments Govt Securities</v>
          </cell>
        </row>
      </sheetData>
      <sheetData sheetId="3143">
        <row r="34">
          <cell r="A34" t="str">
            <v>Investments Govt Securities</v>
          </cell>
        </row>
      </sheetData>
      <sheetData sheetId="3144">
        <row r="34">
          <cell r="A34" t="str">
            <v>Investments Govt Securities</v>
          </cell>
        </row>
      </sheetData>
      <sheetData sheetId="3145">
        <row r="34">
          <cell r="A34" t="str">
            <v>Investments Govt Securities</v>
          </cell>
        </row>
      </sheetData>
      <sheetData sheetId="3146">
        <row r="34">
          <cell r="A34" t="str">
            <v>Investments Govt Securities</v>
          </cell>
        </row>
      </sheetData>
      <sheetData sheetId="3147">
        <row r="34">
          <cell r="A34" t="str">
            <v>Investments Govt Securities</v>
          </cell>
        </row>
      </sheetData>
      <sheetData sheetId="3148">
        <row r="34">
          <cell r="A34" t="str">
            <v>Investments Govt Securities</v>
          </cell>
        </row>
      </sheetData>
      <sheetData sheetId="3149">
        <row r="34">
          <cell r="A34" t="str">
            <v>Investments Govt Securities</v>
          </cell>
        </row>
      </sheetData>
      <sheetData sheetId="3150">
        <row r="34">
          <cell r="A34" t="str">
            <v>Investments Govt Securities</v>
          </cell>
        </row>
      </sheetData>
      <sheetData sheetId="3151">
        <row r="34">
          <cell r="A34" t="str">
            <v>Investments Govt Securities</v>
          </cell>
        </row>
      </sheetData>
      <sheetData sheetId="3152">
        <row r="34">
          <cell r="A34" t="str">
            <v>Investments Govt Securities</v>
          </cell>
        </row>
      </sheetData>
      <sheetData sheetId="3153">
        <row r="34">
          <cell r="A34" t="str">
            <v>Investments Govt Securities</v>
          </cell>
        </row>
      </sheetData>
      <sheetData sheetId="3154">
        <row r="34">
          <cell r="A34" t="str">
            <v>Investments Govt Securities</v>
          </cell>
        </row>
      </sheetData>
      <sheetData sheetId="3155">
        <row r="34">
          <cell r="A34" t="str">
            <v>Investments Govt Securities</v>
          </cell>
        </row>
      </sheetData>
      <sheetData sheetId="3156">
        <row r="34">
          <cell r="A34" t="str">
            <v>Investments Govt Securities</v>
          </cell>
        </row>
      </sheetData>
      <sheetData sheetId="3157">
        <row r="34">
          <cell r="A34" t="str">
            <v>Investments Govt Securities</v>
          </cell>
        </row>
      </sheetData>
      <sheetData sheetId="3158">
        <row r="34">
          <cell r="A34" t="str">
            <v>Investments Govt Securities</v>
          </cell>
        </row>
      </sheetData>
      <sheetData sheetId="3159">
        <row r="34">
          <cell r="A34" t="str">
            <v>Investments Govt Securities</v>
          </cell>
        </row>
      </sheetData>
      <sheetData sheetId="3160">
        <row r="34">
          <cell r="A34" t="str">
            <v>Investments Govt Securities</v>
          </cell>
        </row>
      </sheetData>
      <sheetData sheetId="3161">
        <row r="34">
          <cell r="A34" t="str">
            <v>Investments Govt Securities</v>
          </cell>
        </row>
      </sheetData>
      <sheetData sheetId="3162">
        <row r="34">
          <cell r="A34" t="str">
            <v>Investments Govt Securities</v>
          </cell>
        </row>
      </sheetData>
      <sheetData sheetId="3163">
        <row r="34">
          <cell r="A34" t="str">
            <v>Investments Govt Securities</v>
          </cell>
        </row>
      </sheetData>
      <sheetData sheetId="3164">
        <row r="34">
          <cell r="A34" t="str">
            <v>Investments Govt Securities</v>
          </cell>
        </row>
      </sheetData>
      <sheetData sheetId="3165">
        <row r="34">
          <cell r="A34" t="str">
            <v>Investments Govt Securities</v>
          </cell>
        </row>
      </sheetData>
      <sheetData sheetId="3166">
        <row r="34">
          <cell r="A34" t="str">
            <v>Investments Govt Securities</v>
          </cell>
        </row>
      </sheetData>
      <sheetData sheetId="3167">
        <row r="34">
          <cell r="A34" t="str">
            <v>Investments Govt Securities</v>
          </cell>
        </row>
      </sheetData>
      <sheetData sheetId="3168">
        <row r="34">
          <cell r="A34" t="str">
            <v>Investments Govt Securities</v>
          </cell>
        </row>
      </sheetData>
      <sheetData sheetId="3169">
        <row r="34">
          <cell r="A34" t="str">
            <v>Investments Govt Securities</v>
          </cell>
        </row>
      </sheetData>
      <sheetData sheetId="3170">
        <row r="34">
          <cell r="A34" t="str">
            <v>Investments Govt Securities</v>
          </cell>
        </row>
      </sheetData>
      <sheetData sheetId="3171">
        <row r="34">
          <cell r="A34" t="str">
            <v>Investments Govt Securities</v>
          </cell>
        </row>
      </sheetData>
      <sheetData sheetId="3172">
        <row r="34">
          <cell r="A34" t="str">
            <v>Investments Govt Securities</v>
          </cell>
        </row>
      </sheetData>
      <sheetData sheetId="3173">
        <row r="34">
          <cell r="A34" t="str">
            <v>Investments Govt Securities</v>
          </cell>
        </row>
      </sheetData>
      <sheetData sheetId="3174">
        <row r="34">
          <cell r="A34" t="str">
            <v>Investments Govt Securities</v>
          </cell>
        </row>
      </sheetData>
      <sheetData sheetId="3175">
        <row r="34">
          <cell r="A34" t="str">
            <v>Investments Govt Securities</v>
          </cell>
        </row>
      </sheetData>
      <sheetData sheetId="3176">
        <row r="34">
          <cell r="A34" t="str">
            <v>Investments Govt Securities</v>
          </cell>
        </row>
      </sheetData>
      <sheetData sheetId="3177">
        <row r="34">
          <cell r="A34" t="str">
            <v>Investments Govt Securities</v>
          </cell>
        </row>
      </sheetData>
      <sheetData sheetId="3178">
        <row r="34">
          <cell r="A34" t="str">
            <v>Investments Govt Securities</v>
          </cell>
        </row>
      </sheetData>
      <sheetData sheetId="3179">
        <row r="34">
          <cell r="A34" t="str">
            <v>Investments Govt Securities</v>
          </cell>
        </row>
      </sheetData>
      <sheetData sheetId="3180">
        <row r="34">
          <cell r="A34" t="str">
            <v>Investments Govt Securities</v>
          </cell>
        </row>
      </sheetData>
      <sheetData sheetId="3181">
        <row r="34">
          <cell r="A34" t="str">
            <v>Investments Govt Securities</v>
          </cell>
        </row>
      </sheetData>
      <sheetData sheetId="3182">
        <row r="34">
          <cell r="A34" t="str">
            <v>Investments Govt Securities</v>
          </cell>
        </row>
      </sheetData>
      <sheetData sheetId="3183">
        <row r="34">
          <cell r="A34" t="str">
            <v>Investments Govt Securities</v>
          </cell>
        </row>
      </sheetData>
      <sheetData sheetId="3184">
        <row r="34">
          <cell r="A34" t="str">
            <v>Investments Govt Securities</v>
          </cell>
        </row>
      </sheetData>
      <sheetData sheetId="3185">
        <row r="34">
          <cell r="A34" t="str">
            <v>Investments Govt Securities</v>
          </cell>
        </row>
      </sheetData>
      <sheetData sheetId="3186">
        <row r="34">
          <cell r="A34" t="str">
            <v>Investments Govt Securities</v>
          </cell>
        </row>
      </sheetData>
      <sheetData sheetId="3187">
        <row r="34">
          <cell r="A34" t="str">
            <v>Investments Govt Securities</v>
          </cell>
        </row>
      </sheetData>
      <sheetData sheetId="3188">
        <row r="34">
          <cell r="A34" t="str">
            <v>Investments Govt Securities</v>
          </cell>
        </row>
      </sheetData>
      <sheetData sheetId="3189">
        <row r="34">
          <cell r="A34" t="str">
            <v>Investments Govt Securities</v>
          </cell>
        </row>
      </sheetData>
      <sheetData sheetId="3190">
        <row r="34">
          <cell r="A34" t="str">
            <v>Investments Govt Securities</v>
          </cell>
        </row>
      </sheetData>
      <sheetData sheetId="3191">
        <row r="34">
          <cell r="A34" t="str">
            <v>Investments Govt Securities</v>
          </cell>
        </row>
      </sheetData>
      <sheetData sheetId="3192">
        <row r="34">
          <cell r="A34" t="str">
            <v>Investments Govt Securities</v>
          </cell>
        </row>
      </sheetData>
      <sheetData sheetId="3193">
        <row r="34">
          <cell r="A34" t="str">
            <v>Investments Govt Securities</v>
          </cell>
        </row>
      </sheetData>
      <sheetData sheetId="3194">
        <row r="34">
          <cell r="A34" t="str">
            <v>Investments Govt Securities</v>
          </cell>
        </row>
      </sheetData>
      <sheetData sheetId="3195">
        <row r="34">
          <cell r="A34" t="str">
            <v>Investments Govt Securities</v>
          </cell>
        </row>
      </sheetData>
      <sheetData sheetId="3196">
        <row r="34">
          <cell r="A34" t="str">
            <v>Investments Govt Securities</v>
          </cell>
        </row>
      </sheetData>
      <sheetData sheetId="3197">
        <row r="34">
          <cell r="A34" t="str">
            <v>Investments Govt Securities</v>
          </cell>
        </row>
      </sheetData>
      <sheetData sheetId="3198">
        <row r="34">
          <cell r="A34" t="str">
            <v>Investments Govt Securities</v>
          </cell>
        </row>
      </sheetData>
      <sheetData sheetId="3199">
        <row r="34">
          <cell r="A34" t="str">
            <v>Investments Govt Securities</v>
          </cell>
        </row>
      </sheetData>
      <sheetData sheetId="3200">
        <row r="34">
          <cell r="A34" t="str">
            <v>Investments Govt Securities</v>
          </cell>
        </row>
      </sheetData>
      <sheetData sheetId="3201">
        <row r="34">
          <cell r="A34" t="str">
            <v>Investments Govt Securities</v>
          </cell>
        </row>
      </sheetData>
      <sheetData sheetId="3202">
        <row r="34">
          <cell r="A34" t="str">
            <v>Investments Govt Securities</v>
          </cell>
        </row>
      </sheetData>
      <sheetData sheetId="3203">
        <row r="34">
          <cell r="A34" t="str">
            <v>Investments Govt Securities</v>
          </cell>
        </row>
      </sheetData>
      <sheetData sheetId="3204">
        <row r="34">
          <cell r="A34" t="str">
            <v>Investments Govt Securities</v>
          </cell>
        </row>
      </sheetData>
      <sheetData sheetId="3205">
        <row r="34">
          <cell r="A34" t="str">
            <v>Investments Govt Securities</v>
          </cell>
        </row>
      </sheetData>
      <sheetData sheetId="3206">
        <row r="34">
          <cell r="A34" t="str">
            <v>Investments Govt Securities</v>
          </cell>
        </row>
      </sheetData>
      <sheetData sheetId="3207">
        <row r="34">
          <cell r="A34" t="str">
            <v>Investments Govt Securities</v>
          </cell>
        </row>
      </sheetData>
      <sheetData sheetId="3208">
        <row r="34">
          <cell r="A34" t="str">
            <v>Investments Govt Securities</v>
          </cell>
        </row>
      </sheetData>
      <sheetData sheetId="3209">
        <row r="34">
          <cell r="A34" t="str">
            <v>Investments Govt Securities</v>
          </cell>
        </row>
      </sheetData>
      <sheetData sheetId="3210">
        <row r="34">
          <cell r="A34" t="str">
            <v>Investments Govt Securities</v>
          </cell>
        </row>
      </sheetData>
      <sheetData sheetId="3211">
        <row r="34">
          <cell r="A34" t="str">
            <v>Investments Govt Securities</v>
          </cell>
        </row>
      </sheetData>
      <sheetData sheetId="3212">
        <row r="34">
          <cell r="A34" t="str">
            <v>Investments Govt Securities</v>
          </cell>
        </row>
      </sheetData>
      <sheetData sheetId="3213">
        <row r="34">
          <cell r="A34" t="str">
            <v>Investments Govt Securities</v>
          </cell>
        </row>
      </sheetData>
      <sheetData sheetId="3214">
        <row r="34">
          <cell r="A34" t="str">
            <v>Investments Govt Securities</v>
          </cell>
        </row>
      </sheetData>
      <sheetData sheetId="3215">
        <row r="34">
          <cell r="A34" t="str">
            <v>Investments Govt Securities</v>
          </cell>
        </row>
      </sheetData>
      <sheetData sheetId="3216">
        <row r="34">
          <cell r="A34" t="str">
            <v>Investments Govt Securities</v>
          </cell>
        </row>
      </sheetData>
      <sheetData sheetId="3217">
        <row r="34">
          <cell r="A34" t="str">
            <v>Investments Govt Securities</v>
          </cell>
        </row>
      </sheetData>
      <sheetData sheetId="3218">
        <row r="34">
          <cell r="A34" t="str">
            <v>Investments Govt Securities</v>
          </cell>
        </row>
      </sheetData>
      <sheetData sheetId="3219">
        <row r="34">
          <cell r="A34" t="str">
            <v>Investments Govt Securities</v>
          </cell>
        </row>
      </sheetData>
      <sheetData sheetId="3220">
        <row r="34">
          <cell r="A34" t="str">
            <v>Investments Govt Securities</v>
          </cell>
        </row>
      </sheetData>
      <sheetData sheetId="3221">
        <row r="34">
          <cell r="A34" t="str">
            <v>Investments Govt Securities</v>
          </cell>
        </row>
      </sheetData>
      <sheetData sheetId="3222">
        <row r="34">
          <cell r="A34" t="str">
            <v>Investments Govt Securities</v>
          </cell>
        </row>
      </sheetData>
      <sheetData sheetId="3223">
        <row r="34">
          <cell r="A34" t="str">
            <v>Investments Govt Securities</v>
          </cell>
        </row>
      </sheetData>
      <sheetData sheetId="3224">
        <row r="34">
          <cell r="A34" t="str">
            <v>Investments Govt Securities</v>
          </cell>
        </row>
      </sheetData>
      <sheetData sheetId="3225">
        <row r="34">
          <cell r="A34" t="str">
            <v>Investments Govt Securities</v>
          </cell>
        </row>
      </sheetData>
      <sheetData sheetId="3226">
        <row r="34">
          <cell r="A34" t="str">
            <v>Investments Govt Securities</v>
          </cell>
        </row>
      </sheetData>
      <sheetData sheetId="3227">
        <row r="34">
          <cell r="A34" t="str">
            <v>Investments Govt Securities</v>
          </cell>
        </row>
      </sheetData>
      <sheetData sheetId="3228">
        <row r="34">
          <cell r="A34" t="str">
            <v>Investments Govt Securities</v>
          </cell>
        </row>
      </sheetData>
      <sheetData sheetId="3229">
        <row r="34">
          <cell r="A34" t="str">
            <v>Investments Govt Securities</v>
          </cell>
        </row>
      </sheetData>
      <sheetData sheetId="3230">
        <row r="34">
          <cell r="A34" t="str">
            <v>Investments Govt Securities</v>
          </cell>
        </row>
      </sheetData>
      <sheetData sheetId="3231">
        <row r="34">
          <cell r="A34" t="str">
            <v>Investments Govt Securities</v>
          </cell>
        </row>
      </sheetData>
      <sheetData sheetId="3232">
        <row r="34">
          <cell r="A34" t="str">
            <v>Investments Govt Securities</v>
          </cell>
        </row>
      </sheetData>
      <sheetData sheetId="3233">
        <row r="34">
          <cell r="A34" t="str">
            <v>Investments Govt Securities</v>
          </cell>
        </row>
      </sheetData>
      <sheetData sheetId="3234">
        <row r="34">
          <cell r="A34" t="str">
            <v>Investments Govt Securities</v>
          </cell>
        </row>
      </sheetData>
      <sheetData sheetId="3235">
        <row r="34">
          <cell r="A34" t="str">
            <v>Investments Govt Securities</v>
          </cell>
        </row>
      </sheetData>
      <sheetData sheetId="3236">
        <row r="34">
          <cell r="A34" t="str">
            <v>Investments Govt Securities</v>
          </cell>
        </row>
      </sheetData>
      <sheetData sheetId="3237">
        <row r="34">
          <cell r="A34" t="str">
            <v>Investments Govt Securities</v>
          </cell>
        </row>
      </sheetData>
      <sheetData sheetId="3238">
        <row r="34">
          <cell r="A34" t="str">
            <v>Investments Govt Securities</v>
          </cell>
        </row>
      </sheetData>
      <sheetData sheetId="3239">
        <row r="34">
          <cell r="A34" t="str">
            <v>Investments Govt Securities</v>
          </cell>
        </row>
      </sheetData>
      <sheetData sheetId="3240">
        <row r="34">
          <cell r="A34" t="str">
            <v>Investments Govt Securities</v>
          </cell>
        </row>
      </sheetData>
      <sheetData sheetId="3241">
        <row r="34">
          <cell r="A34" t="str">
            <v>Investments Govt Securities</v>
          </cell>
        </row>
      </sheetData>
      <sheetData sheetId="3242">
        <row r="34">
          <cell r="A34" t="str">
            <v>Investments Govt Securities</v>
          </cell>
        </row>
      </sheetData>
      <sheetData sheetId="3243">
        <row r="34">
          <cell r="A34" t="str">
            <v>Investments Govt Securities</v>
          </cell>
        </row>
      </sheetData>
      <sheetData sheetId="3244">
        <row r="34">
          <cell r="A34" t="str">
            <v>Investments Govt Securities</v>
          </cell>
        </row>
      </sheetData>
      <sheetData sheetId="3245">
        <row r="34">
          <cell r="A34" t="str">
            <v>Investments Govt Securities</v>
          </cell>
        </row>
      </sheetData>
      <sheetData sheetId="3246">
        <row r="34">
          <cell r="A34" t="str">
            <v>Investments Govt Securities</v>
          </cell>
        </row>
      </sheetData>
      <sheetData sheetId="3247">
        <row r="34">
          <cell r="A34" t="str">
            <v>Investments Govt Securities</v>
          </cell>
        </row>
      </sheetData>
      <sheetData sheetId="3248">
        <row r="34">
          <cell r="A34" t="str">
            <v>Investments Govt Securities</v>
          </cell>
        </row>
      </sheetData>
      <sheetData sheetId="3249">
        <row r="34">
          <cell r="A34" t="str">
            <v>Investments Govt Securities</v>
          </cell>
        </row>
      </sheetData>
      <sheetData sheetId="3250">
        <row r="34">
          <cell r="A34" t="str">
            <v>Investments Govt Securities</v>
          </cell>
        </row>
      </sheetData>
      <sheetData sheetId="3251">
        <row r="34">
          <cell r="A34" t="str">
            <v>Investments Govt Securities</v>
          </cell>
        </row>
      </sheetData>
      <sheetData sheetId="3252">
        <row r="34">
          <cell r="A34" t="str">
            <v>Investments Govt Securities</v>
          </cell>
        </row>
      </sheetData>
      <sheetData sheetId="3253">
        <row r="34">
          <cell r="A34" t="str">
            <v>Investments Govt Securities</v>
          </cell>
        </row>
      </sheetData>
      <sheetData sheetId="3254">
        <row r="34">
          <cell r="A34" t="str">
            <v>Investments Govt Securities</v>
          </cell>
        </row>
      </sheetData>
      <sheetData sheetId="3255">
        <row r="34">
          <cell r="A34" t="str">
            <v>Investments Govt Securities</v>
          </cell>
        </row>
      </sheetData>
      <sheetData sheetId="3256">
        <row r="34">
          <cell r="A34" t="str">
            <v>Investments Govt Securities</v>
          </cell>
        </row>
      </sheetData>
      <sheetData sheetId="3257">
        <row r="34">
          <cell r="A34" t="str">
            <v>Investments Govt Securities</v>
          </cell>
        </row>
      </sheetData>
      <sheetData sheetId="3258">
        <row r="34">
          <cell r="A34" t="str">
            <v>Investments Govt Securities</v>
          </cell>
        </row>
      </sheetData>
      <sheetData sheetId="3259">
        <row r="34">
          <cell r="A34" t="str">
            <v>Investments Govt Securities</v>
          </cell>
        </row>
      </sheetData>
      <sheetData sheetId="3260">
        <row r="34">
          <cell r="A34" t="str">
            <v>Investments Govt Securities</v>
          </cell>
        </row>
      </sheetData>
      <sheetData sheetId="3261">
        <row r="34">
          <cell r="A34" t="str">
            <v>Investments Govt Securities</v>
          </cell>
        </row>
      </sheetData>
      <sheetData sheetId="3262">
        <row r="34">
          <cell r="A34" t="str">
            <v>Investments Govt Securities</v>
          </cell>
        </row>
      </sheetData>
      <sheetData sheetId="3263">
        <row r="34">
          <cell r="A34" t="str">
            <v>Investments Govt Securities</v>
          </cell>
        </row>
      </sheetData>
      <sheetData sheetId="3264">
        <row r="34">
          <cell r="A34" t="str">
            <v>Investments Govt Securities</v>
          </cell>
        </row>
      </sheetData>
      <sheetData sheetId="3265">
        <row r="34">
          <cell r="A34" t="str">
            <v>Investments Govt Securities</v>
          </cell>
        </row>
      </sheetData>
      <sheetData sheetId="3266">
        <row r="34">
          <cell r="A34" t="str">
            <v>Investments Govt Securities</v>
          </cell>
        </row>
      </sheetData>
      <sheetData sheetId="3267">
        <row r="34">
          <cell r="A34" t="str">
            <v>Investments Govt Securities</v>
          </cell>
        </row>
      </sheetData>
      <sheetData sheetId="3268">
        <row r="34">
          <cell r="A34" t="str">
            <v>Investments Govt Securities</v>
          </cell>
        </row>
      </sheetData>
      <sheetData sheetId="3269">
        <row r="34">
          <cell r="A34" t="str">
            <v>Investments Govt Securities</v>
          </cell>
        </row>
      </sheetData>
      <sheetData sheetId="3270">
        <row r="34">
          <cell r="A34" t="str">
            <v>Investments Govt Securities</v>
          </cell>
        </row>
      </sheetData>
      <sheetData sheetId="3271">
        <row r="34">
          <cell r="A34" t="str">
            <v>Investments Govt Securities</v>
          </cell>
        </row>
      </sheetData>
      <sheetData sheetId="3272">
        <row r="34">
          <cell r="A34" t="str">
            <v>Investments Govt Securities</v>
          </cell>
        </row>
      </sheetData>
      <sheetData sheetId="3273">
        <row r="34">
          <cell r="A34" t="str">
            <v>Investments Govt Securities</v>
          </cell>
        </row>
      </sheetData>
      <sheetData sheetId="3274">
        <row r="34">
          <cell r="A34" t="str">
            <v>Investments Govt Securities</v>
          </cell>
        </row>
      </sheetData>
      <sheetData sheetId="3275">
        <row r="34">
          <cell r="A34" t="str">
            <v>Investments Govt Securities</v>
          </cell>
        </row>
      </sheetData>
      <sheetData sheetId="3276">
        <row r="34">
          <cell r="A34" t="str">
            <v>Investments Govt Securities</v>
          </cell>
        </row>
      </sheetData>
      <sheetData sheetId="3277">
        <row r="34">
          <cell r="A34" t="str">
            <v>Investments Govt Securities</v>
          </cell>
        </row>
      </sheetData>
      <sheetData sheetId="3278">
        <row r="34">
          <cell r="A34" t="str">
            <v>Investments Govt Securities</v>
          </cell>
        </row>
      </sheetData>
      <sheetData sheetId="3279">
        <row r="34">
          <cell r="A34" t="str">
            <v>Investments Govt Securities</v>
          </cell>
        </row>
      </sheetData>
      <sheetData sheetId="3280">
        <row r="34">
          <cell r="A34" t="str">
            <v>Investments Govt Securities</v>
          </cell>
        </row>
      </sheetData>
      <sheetData sheetId="3281">
        <row r="34">
          <cell r="A34" t="str">
            <v>Investments Govt Securities</v>
          </cell>
        </row>
      </sheetData>
      <sheetData sheetId="3282">
        <row r="34">
          <cell r="A34" t="str">
            <v>Investments Govt Securities</v>
          </cell>
        </row>
      </sheetData>
      <sheetData sheetId="3283">
        <row r="34">
          <cell r="A34" t="str">
            <v>Investments Govt Securities</v>
          </cell>
        </row>
      </sheetData>
      <sheetData sheetId="3284">
        <row r="34">
          <cell r="A34" t="str">
            <v>Investments Govt Securities</v>
          </cell>
        </row>
      </sheetData>
      <sheetData sheetId="3285">
        <row r="34">
          <cell r="A34" t="str">
            <v>Investments Govt Securities</v>
          </cell>
        </row>
      </sheetData>
      <sheetData sheetId="3286">
        <row r="34">
          <cell r="A34" t="str">
            <v>Investments Govt Securities</v>
          </cell>
        </row>
      </sheetData>
      <sheetData sheetId="3287">
        <row r="34">
          <cell r="A34" t="str">
            <v>Investments Govt Securities</v>
          </cell>
        </row>
      </sheetData>
      <sheetData sheetId="3288">
        <row r="34">
          <cell r="A34" t="str">
            <v>Investments Govt Securities</v>
          </cell>
        </row>
      </sheetData>
      <sheetData sheetId="3289">
        <row r="34">
          <cell r="A34" t="str">
            <v>Investments Govt Securities</v>
          </cell>
        </row>
      </sheetData>
      <sheetData sheetId="3290">
        <row r="34">
          <cell r="A34" t="str">
            <v>Investments Govt Securities</v>
          </cell>
        </row>
      </sheetData>
      <sheetData sheetId="3291">
        <row r="34">
          <cell r="A34" t="str">
            <v>Investments Govt Securities</v>
          </cell>
        </row>
      </sheetData>
      <sheetData sheetId="3292">
        <row r="34">
          <cell r="A34" t="str">
            <v>Investments Govt Securities</v>
          </cell>
        </row>
      </sheetData>
      <sheetData sheetId="3293">
        <row r="34">
          <cell r="A34" t="str">
            <v>Investments Govt Securities</v>
          </cell>
        </row>
      </sheetData>
      <sheetData sheetId="3294">
        <row r="34">
          <cell r="A34" t="str">
            <v>Investments Govt Securities</v>
          </cell>
        </row>
      </sheetData>
      <sheetData sheetId="3295">
        <row r="34">
          <cell r="A34" t="str">
            <v>Investments Govt Securities</v>
          </cell>
        </row>
      </sheetData>
      <sheetData sheetId="3296">
        <row r="34">
          <cell r="A34" t="str">
            <v>Investments Govt Securities</v>
          </cell>
        </row>
      </sheetData>
      <sheetData sheetId="3297">
        <row r="34">
          <cell r="A34" t="str">
            <v>Investments Govt Securities</v>
          </cell>
        </row>
      </sheetData>
      <sheetData sheetId="3298">
        <row r="34">
          <cell r="A34" t="str">
            <v>Investments Govt Securities</v>
          </cell>
        </row>
      </sheetData>
      <sheetData sheetId="3299">
        <row r="34">
          <cell r="A34" t="str">
            <v>Investments Govt Securities</v>
          </cell>
        </row>
      </sheetData>
      <sheetData sheetId="3300">
        <row r="34">
          <cell r="A34" t="str">
            <v>Investments Govt Securities</v>
          </cell>
        </row>
      </sheetData>
      <sheetData sheetId="3301">
        <row r="34">
          <cell r="A34" t="str">
            <v>Investments Govt Securities</v>
          </cell>
        </row>
      </sheetData>
      <sheetData sheetId="3302">
        <row r="34">
          <cell r="A34" t="str">
            <v>Investments Govt Securities</v>
          </cell>
        </row>
      </sheetData>
      <sheetData sheetId="3303">
        <row r="34">
          <cell r="A34" t="str">
            <v>Investments Govt Securities</v>
          </cell>
        </row>
      </sheetData>
      <sheetData sheetId="3304">
        <row r="34">
          <cell r="A34" t="str">
            <v>Investments Govt Securities</v>
          </cell>
        </row>
      </sheetData>
      <sheetData sheetId="3305">
        <row r="34">
          <cell r="A34" t="str">
            <v>Investments Govt Securities</v>
          </cell>
        </row>
      </sheetData>
      <sheetData sheetId="3306">
        <row r="34">
          <cell r="A34" t="str">
            <v>Investments Govt Securities</v>
          </cell>
        </row>
      </sheetData>
      <sheetData sheetId="3307">
        <row r="34">
          <cell r="A34" t="str">
            <v>Investments Govt Securities</v>
          </cell>
        </row>
      </sheetData>
      <sheetData sheetId="3308">
        <row r="34">
          <cell r="A34" t="str">
            <v>Investments Govt Securities</v>
          </cell>
        </row>
      </sheetData>
      <sheetData sheetId="3309">
        <row r="34">
          <cell r="A34" t="str">
            <v>Investments Govt Securities</v>
          </cell>
        </row>
      </sheetData>
      <sheetData sheetId="3310">
        <row r="34">
          <cell r="A34" t="str">
            <v>Investments Govt Securities</v>
          </cell>
        </row>
      </sheetData>
      <sheetData sheetId="3311">
        <row r="34">
          <cell r="A34" t="str">
            <v>Investments Govt Securities</v>
          </cell>
        </row>
      </sheetData>
      <sheetData sheetId="3312">
        <row r="34">
          <cell r="A34" t="str">
            <v>Investments Govt Securities</v>
          </cell>
        </row>
      </sheetData>
      <sheetData sheetId="3313">
        <row r="34">
          <cell r="A34" t="str">
            <v>Investments Govt Securities</v>
          </cell>
        </row>
      </sheetData>
      <sheetData sheetId="3314">
        <row r="34">
          <cell r="A34" t="str">
            <v>Investments Govt Securities</v>
          </cell>
        </row>
      </sheetData>
      <sheetData sheetId="3315">
        <row r="34">
          <cell r="A34" t="str">
            <v>Investments Govt Securities</v>
          </cell>
        </row>
      </sheetData>
      <sheetData sheetId="3316">
        <row r="34">
          <cell r="A34" t="str">
            <v>Investments Govt Securities</v>
          </cell>
        </row>
      </sheetData>
      <sheetData sheetId="3317">
        <row r="34">
          <cell r="A34" t="str">
            <v>Investments Govt Securities</v>
          </cell>
        </row>
      </sheetData>
      <sheetData sheetId="3318">
        <row r="34">
          <cell r="A34" t="str">
            <v>Investments Govt Securities</v>
          </cell>
        </row>
      </sheetData>
      <sheetData sheetId="3319">
        <row r="34">
          <cell r="A34" t="str">
            <v>Investments Govt Securities</v>
          </cell>
        </row>
      </sheetData>
      <sheetData sheetId="3320">
        <row r="34">
          <cell r="A34" t="str">
            <v>Investments Govt Securities</v>
          </cell>
        </row>
      </sheetData>
      <sheetData sheetId="3321">
        <row r="34">
          <cell r="A34" t="str">
            <v>Investments Govt Securities</v>
          </cell>
        </row>
      </sheetData>
      <sheetData sheetId="3322">
        <row r="34">
          <cell r="A34" t="str">
            <v>Investments Govt Securities</v>
          </cell>
        </row>
      </sheetData>
      <sheetData sheetId="3323">
        <row r="34">
          <cell r="A34" t="str">
            <v>Investments Govt Securities</v>
          </cell>
        </row>
      </sheetData>
      <sheetData sheetId="3324">
        <row r="34">
          <cell r="A34" t="str">
            <v>Investments Govt Securities</v>
          </cell>
        </row>
      </sheetData>
      <sheetData sheetId="3325">
        <row r="34">
          <cell r="A34" t="str">
            <v>Investments Govt Securities</v>
          </cell>
        </row>
      </sheetData>
      <sheetData sheetId="3326">
        <row r="34">
          <cell r="A34" t="str">
            <v>Investments Govt Securities</v>
          </cell>
        </row>
      </sheetData>
      <sheetData sheetId="3327">
        <row r="34">
          <cell r="A34" t="str">
            <v>Investments Govt Securities</v>
          </cell>
        </row>
      </sheetData>
      <sheetData sheetId="3328">
        <row r="34">
          <cell r="A34" t="str">
            <v>Investments Govt Securities</v>
          </cell>
        </row>
      </sheetData>
      <sheetData sheetId="3329">
        <row r="34">
          <cell r="A34" t="str">
            <v>Investments Govt Securities</v>
          </cell>
        </row>
      </sheetData>
      <sheetData sheetId="3330">
        <row r="34">
          <cell r="A34" t="str">
            <v>Investments Govt Securities</v>
          </cell>
        </row>
      </sheetData>
      <sheetData sheetId="3331">
        <row r="34">
          <cell r="A34" t="str">
            <v>Investments Govt Securities</v>
          </cell>
        </row>
      </sheetData>
      <sheetData sheetId="3332">
        <row r="34">
          <cell r="A34" t="str">
            <v>Investments Govt Securities</v>
          </cell>
        </row>
      </sheetData>
      <sheetData sheetId="3333">
        <row r="34">
          <cell r="A34" t="str">
            <v>Investments Govt Securities</v>
          </cell>
        </row>
      </sheetData>
      <sheetData sheetId="3334">
        <row r="34">
          <cell r="A34" t="str">
            <v>Investments Govt Securities</v>
          </cell>
        </row>
      </sheetData>
      <sheetData sheetId="3335">
        <row r="34">
          <cell r="A34" t="str">
            <v>Investments Govt Securities</v>
          </cell>
        </row>
      </sheetData>
      <sheetData sheetId="3336">
        <row r="34">
          <cell r="A34" t="str">
            <v>Investments Govt Securities</v>
          </cell>
        </row>
      </sheetData>
      <sheetData sheetId="3337">
        <row r="34">
          <cell r="A34" t="str">
            <v>Investments Govt Securities</v>
          </cell>
        </row>
      </sheetData>
      <sheetData sheetId="3338">
        <row r="34">
          <cell r="A34" t="str">
            <v>Investments Govt Securities</v>
          </cell>
        </row>
      </sheetData>
      <sheetData sheetId="3339">
        <row r="34">
          <cell r="A34" t="str">
            <v>Investments Govt Securities</v>
          </cell>
        </row>
      </sheetData>
      <sheetData sheetId="3340">
        <row r="34">
          <cell r="A34" t="str">
            <v>Investments Govt Securities</v>
          </cell>
        </row>
      </sheetData>
      <sheetData sheetId="3341">
        <row r="34">
          <cell r="A34" t="str">
            <v>Investments Govt Securities</v>
          </cell>
        </row>
      </sheetData>
      <sheetData sheetId="3342">
        <row r="34">
          <cell r="A34" t="str">
            <v>Investments Govt Securities</v>
          </cell>
        </row>
      </sheetData>
      <sheetData sheetId="3343">
        <row r="34">
          <cell r="A34" t="str">
            <v>Investments Govt Securities</v>
          </cell>
        </row>
      </sheetData>
      <sheetData sheetId="3344">
        <row r="34">
          <cell r="A34" t="str">
            <v>Investments Govt Securities</v>
          </cell>
        </row>
      </sheetData>
      <sheetData sheetId="3345">
        <row r="34">
          <cell r="A34" t="str">
            <v>Investments Govt Securities</v>
          </cell>
        </row>
      </sheetData>
      <sheetData sheetId="3346">
        <row r="34">
          <cell r="A34" t="str">
            <v>Investments Govt Securities</v>
          </cell>
        </row>
      </sheetData>
      <sheetData sheetId="3347">
        <row r="34">
          <cell r="A34" t="str">
            <v>Investments Govt Securities</v>
          </cell>
        </row>
      </sheetData>
      <sheetData sheetId="3348">
        <row r="34">
          <cell r="A34" t="str">
            <v>Investments Govt Securities</v>
          </cell>
        </row>
      </sheetData>
      <sheetData sheetId="3349">
        <row r="34">
          <cell r="A34" t="str">
            <v>Investments Govt Securities</v>
          </cell>
        </row>
      </sheetData>
      <sheetData sheetId="3350">
        <row r="34">
          <cell r="A34" t="str">
            <v>Investments Govt Securities</v>
          </cell>
        </row>
      </sheetData>
      <sheetData sheetId="3351">
        <row r="34">
          <cell r="A34" t="str">
            <v>Investments Govt Securities</v>
          </cell>
        </row>
      </sheetData>
      <sheetData sheetId="3352">
        <row r="34">
          <cell r="A34" t="str">
            <v>Investments Govt Securities</v>
          </cell>
        </row>
      </sheetData>
      <sheetData sheetId="3353">
        <row r="34">
          <cell r="A34" t="str">
            <v>Investments Govt Securities</v>
          </cell>
        </row>
      </sheetData>
      <sheetData sheetId="3354">
        <row r="34">
          <cell r="A34" t="str">
            <v>Investments Govt Securities</v>
          </cell>
        </row>
      </sheetData>
      <sheetData sheetId="3355">
        <row r="34">
          <cell r="A34" t="str">
            <v>Investments Govt Securities</v>
          </cell>
        </row>
      </sheetData>
      <sheetData sheetId="3356">
        <row r="34">
          <cell r="A34" t="str">
            <v>Investments Govt Securities</v>
          </cell>
        </row>
      </sheetData>
      <sheetData sheetId="3357">
        <row r="34">
          <cell r="A34" t="str">
            <v>Investments Govt Securities</v>
          </cell>
        </row>
      </sheetData>
      <sheetData sheetId="3358">
        <row r="34">
          <cell r="A34" t="str">
            <v>Investments Govt Securities</v>
          </cell>
        </row>
      </sheetData>
      <sheetData sheetId="3359">
        <row r="34">
          <cell r="A34" t="str">
            <v>Investments Govt Securities</v>
          </cell>
        </row>
      </sheetData>
      <sheetData sheetId="3360">
        <row r="34">
          <cell r="A34" t="str">
            <v>Investments Govt Securities</v>
          </cell>
        </row>
      </sheetData>
      <sheetData sheetId="3361">
        <row r="34">
          <cell r="A34" t="str">
            <v>Investments Govt Securities</v>
          </cell>
        </row>
      </sheetData>
      <sheetData sheetId="3362">
        <row r="34">
          <cell r="A34" t="str">
            <v>Investments Govt Securities</v>
          </cell>
        </row>
      </sheetData>
      <sheetData sheetId="3363">
        <row r="34">
          <cell r="A34" t="str">
            <v>Investments Govt Securities</v>
          </cell>
        </row>
      </sheetData>
      <sheetData sheetId="3364">
        <row r="34">
          <cell r="A34" t="str">
            <v>Investments Govt Securities</v>
          </cell>
        </row>
      </sheetData>
      <sheetData sheetId="3365">
        <row r="34">
          <cell r="A34" t="str">
            <v>Investments Govt Securities</v>
          </cell>
        </row>
      </sheetData>
      <sheetData sheetId="3366">
        <row r="34">
          <cell r="A34" t="str">
            <v>Investments Govt Securities</v>
          </cell>
        </row>
      </sheetData>
      <sheetData sheetId="3367">
        <row r="34">
          <cell r="A34" t="str">
            <v>Investments Govt Securities</v>
          </cell>
        </row>
      </sheetData>
      <sheetData sheetId="3368">
        <row r="34">
          <cell r="A34" t="str">
            <v>Investments Govt Securities</v>
          </cell>
        </row>
      </sheetData>
      <sheetData sheetId="3369">
        <row r="34">
          <cell r="A34" t="str">
            <v>Investments Govt Securities</v>
          </cell>
        </row>
      </sheetData>
      <sheetData sheetId="3370">
        <row r="34">
          <cell r="A34" t="str">
            <v>Investments Govt Securities</v>
          </cell>
        </row>
      </sheetData>
      <sheetData sheetId="3371">
        <row r="34">
          <cell r="A34" t="str">
            <v>Investments Govt Securities</v>
          </cell>
        </row>
      </sheetData>
      <sheetData sheetId="3372">
        <row r="34">
          <cell r="A34" t="str">
            <v>Investments Govt Securities</v>
          </cell>
        </row>
      </sheetData>
      <sheetData sheetId="3373">
        <row r="34">
          <cell r="A34" t="str">
            <v>Investments Govt Securities</v>
          </cell>
        </row>
      </sheetData>
      <sheetData sheetId="3374">
        <row r="34">
          <cell r="A34" t="str">
            <v>Investments Govt Securities</v>
          </cell>
        </row>
      </sheetData>
      <sheetData sheetId="3375">
        <row r="34">
          <cell r="A34" t="str">
            <v>Investments Govt Securities</v>
          </cell>
        </row>
      </sheetData>
      <sheetData sheetId="3376">
        <row r="34">
          <cell r="A34" t="str">
            <v>Investments Govt Securities</v>
          </cell>
        </row>
      </sheetData>
      <sheetData sheetId="3377">
        <row r="34">
          <cell r="A34" t="str">
            <v>Investments Govt Securities</v>
          </cell>
        </row>
      </sheetData>
      <sheetData sheetId="3378">
        <row r="34">
          <cell r="A34" t="str">
            <v>Investments Govt Securities</v>
          </cell>
        </row>
      </sheetData>
      <sheetData sheetId="3379">
        <row r="34">
          <cell r="A34" t="str">
            <v>Investments Govt Securities</v>
          </cell>
        </row>
      </sheetData>
      <sheetData sheetId="3380">
        <row r="34">
          <cell r="A34" t="str">
            <v>Investments Govt Securities</v>
          </cell>
        </row>
      </sheetData>
      <sheetData sheetId="3381">
        <row r="34">
          <cell r="A34" t="str">
            <v>Investments Govt Securities</v>
          </cell>
        </row>
      </sheetData>
      <sheetData sheetId="3382">
        <row r="34">
          <cell r="A34" t="str">
            <v>Investments Govt Securities</v>
          </cell>
        </row>
      </sheetData>
      <sheetData sheetId="3383">
        <row r="34">
          <cell r="A34" t="str">
            <v>Investments Govt Securities</v>
          </cell>
        </row>
      </sheetData>
      <sheetData sheetId="3384">
        <row r="34">
          <cell r="A34" t="str">
            <v>Investments Govt Securities</v>
          </cell>
        </row>
      </sheetData>
      <sheetData sheetId="3385">
        <row r="34">
          <cell r="A34" t="str">
            <v>Investments Govt Securities</v>
          </cell>
        </row>
      </sheetData>
      <sheetData sheetId="3386">
        <row r="34">
          <cell r="A34" t="str">
            <v>Investments Govt Securities</v>
          </cell>
        </row>
      </sheetData>
      <sheetData sheetId="3387">
        <row r="34">
          <cell r="A34" t="str">
            <v>Investments Govt Securities</v>
          </cell>
        </row>
      </sheetData>
      <sheetData sheetId="3388">
        <row r="34">
          <cell r="A34" t="str">
            <v>Investments Govt Securities</v>
          </cell>
        </row>
      </sheetData>
      <sheetData sheetId="3389">
        <row r="34">
          <cell r="A34" t="str">
            <v>Investments Govt Securities</v>
          </cell>
        </row>
      </sheetData>
      <sheetData sheetId="3390">
        <row r="34">
          <cell r="A34" t="str">
            <v>Investments Govt Securities</v>
          </cell>
        </row>
      </sheetData>
      <sheetData sheetId="3391">
        <row r="34">
          <cell r="A34" t="str">
            <v>Investments Govt Securities</v>
          </cell>
        </row>
      </sheetData>
      <sheetData sheetId="3392">
        <row r="34">
          <cell r="A34" t="str">
            <v>Investments Govt Securities</v>
          </cell>
        </row>
      </sheetData>
      <sheetData sheetId="3393">
        <row r="34">
          <cell r="A34" t="str">
            <v>Investments Govt Securities</v>
          </cell>
        </row>
      </sheetData>
      <sheetData sheetId="3394">
        <row r="34">
          <cell r="A34" t="str">
            <v>Investments Govt Securities</v>
          </cell>
        </row>
      </sheetData>
      <sheetData sheetId="3395">
        <row r="34">
          <cell r="A34" t="str">
            <v>Investments Govt Securities</v>
          </cell>
        </row>
      </sheetData>
      <sheetData sheetId="3396">
        <row r="34">
          <cell r="A34" t="str">
            <v>Investments Govt Securities</v>
          </cell>
        </row>
      </sheetData>
      <sheetData sheetId="3397">
        <row r="34">
          <cell r="A34" t="str">
            <v>Investments Govt Securities</v>
          </cell>
        </row>
      </sheetData>
      <sheetData sheetId="3398">
        <row r="34">
          <cell r="A34" t="str">
            <v>Investments Govt Securities</v>
          </cell>
        </row>
      </sheetData>
      <sheetData sheetId="3399">
        <row r="34">
          <cell r="A34" t="str">
            <v>Investments Govt Securities</v>
          </cell>
        </row>
      </sheetData>
      <sheetData sheetId="3400">
        <row r="34">
          <cell r="A34" t="str">
            <v>Investments Govt Securities</v>
          </cell>
        </row>
      </sheetData>
      <sheetData sheetId="3401">
        <row r="34">
          <cell r="A34" t="str">
            <v>Investments Govt Securities</v>
          </cell>
        </row>
      </sheetData>
      <sheetData sheetId="3402">
        <row r="34">
          <cell r="A34" t="str">
            <v>Investments Govt Securities</v>
          </cell>
        </row>
      </sheetData>
      <sheetData sheetId="3403">
        <row r="34">
          <cell r="A34" t="str">
            <v>Investments Govt Securities</v>
          </cell>
        </row>
      </sheetData>
      <sheetData sheetId="3404">
        <row r="34">
          <cell r="A34" t="str">
            <v>Investments Govt Securities</v>
          </cell>
        </row>
      </sheetData>
      <sheetData sheetId="3405">
        <row r="34">
          <cell r="A34" t="str">
            <v>Investments Govt Securities</v>
          </cell>
        </row>
      </sheetData>
      <sheetData sheetId="3406">
        <row r="34">
          <cell r="A34" t="str">
            <v>Investments Govt Securities</v>
          </cell>
        </row>
      </sheetData>
      <sheetData sheetId="3407">
        <row r="34">
          <cell r="A34" t="str">
            <v>Investments Govt Securities</v>
          </cell>
        </row>
      </sheetData>
      <sheetData sheetId="3408">
        <row r="34">
          <cell r="A34" t="str">
            <v>Investments Govt Securities</v>
          </cell>
        </row>
      </sheetData>
      <sheetData sheetId="3409">
        <row r="34">
          <cell r="A34" t="str">
            <v>Investments Govt Securities</v>
          </cell>
        </row>
      </sheetData>
      <sheetData sheetId="3410">
        <row r="34">
          <cell r="A34" t="str">
            <v>Investments Govt Securities</v>
          </cell>
        </row>
      </sheetData>
      <sheetData sheetId="3411">
        <row r="34">
          <cell r="A34" t="str">
            <v>Investments Govt Securities</v>
          </cell>
        </row>
      </sheetData>
      <sheetData sheetId="3412">
        <row r="34">
          <cell r="A34" t="str">
            <v>Investments Govt Securities</v>
          </cell>
        </row>
      </sheetData>
      <sheetData sheetId="3413">
        <row r="34">
          <cell r="A34" t="str">
            <v>Investments Govt Securities</v>
          </cell>
        </row>
      </sheetData>
      <sheetData sheetId="3414">
        <row r="34">
          <cell r="A34" t="str">
            <v>Investments Govt Securities</v>
          </cell>
        </row>
      </sheetData>
      <sheetData sheetId="3415">
        <row r="34">
          <cell r="A34" t="str">
            <v>Investments Govt Securities</v>
          </cell>
        </row>
      </sheetData>
      <sheetData sheetId="3416">
        <row r="34">
          <cell r="A34" t="str">
            <v>Investments Govt Securities</v>
          </cell>
        </row>
      </sheetData>
      <sheetData sheetId="3417">
        <row r="34">
          <cell r="A34" t="str">
            <v>Investments Govt Securities</v>
          </cell>
        </row>
      </sheetData>
      <sheetData sheetId="3418">
        <row r="34">
          <cell r="A34" t="str">
            <v>Investments Govt Securities</v>
          </cell>
        </row>
      </sheetData>
      <sheetData sheetId="3419">
        <row r="34">
          <cell r="A34" t="str">
            <v>Investments Govt Securities</v>
          </cell>
        </row>
      </sheetData>
      <sheetData sheetId="3420">
        <row r="34">
          <cell r="A34" t="str">
            <v>Investments Govt Securities</v>
          </cell>
        </row>
      </sheetData>
      <sheetData sheetId="3421">
        <row r="34">
          <cell r="A34" t="str">
            <v>Investments Govt Securities</v>
          </cell>
        </row>
      </sheetData>
      <sheetData sheetId="3422">
        <row r="34">
          <cell r="A34" t="str">
            <v>Investments Govt Securities</v>
          </cell>
        </row>
      </sheetData>
      <sheetData sheetId="3423">
        <row r="34">
          <cell r="A34" t="str">
            <v>Investments Govt Securities</v>
          </cell>
        </row>
      </sheetData>
      <sheetData sheetId="3424">
        <row r="34">
          <cell r="A34" t="str">
            <v>Investments Govt Securities</v>
          </cell>
        </row>
      </sheetData>
      <sheetData sheetId="3425">
        <row r="34">
          <cell r="A34" t="str">
            <v>Investments Govt Securities</v>
          </cell>
        </row>
      </sheetData>
      <sheetData sheetId="3426">
        <row r="34">
          <cell r="A34" t="str">
            <v>Investments Govt Securities</v>
          </cell>
        </row>
      </sheetData>
      <sheetData sheetId="3427">
        <row r="34">
          <cell r="A34" t="str">
            <v>Investments Govt Securities</v>
          </cell>
        </row>
      </sheetData>
      <sheetData sheetId="3428">
        <row r="34">
          <cell r="A34" t="str">
            <v>Investments Govt Securities</v>
          </cell>
        </row>
      </sheetData>
      <sheetData sheetId="3429">
        <row r="34">
          <cell r="A34" t="str">
            <v>Investments Govt Securities</v>
          </cell>
        </row>
      </sheetData>
      <sheetData sheetId="3430">
        <row r="34">
          <cell r="A34" t="str">
            <v>Investments Govt Securities</v>
          </cell>
        </row>
      </sheetData>
      <sheetData sheetId="3431">
        <row r="34">
          <cell r="A34" t="str">
            <v>Investments Govt Securities</v>
          </cell>
        </row>
      </sheetData>
      <sheetData sheetId="3432">
        <row r="34">
          <cell r="A34" t="str">
            <v>Investments Govt Securities</v>
          </cell>
        </row>
      </sheetData>
      <sheetData sheetId="3433">
        <row r="34">
          <cell r="A34" t="str">
            <v>Investments Govt Securities</v>
          </cell>
        </row>
      </sheetData>
      <sheetData sheetId="3434">
        <row r="34">
          <cell r="A34" t="str">
            <v>Investments Govt Securities</v>
          </cell>
        </row>
      </sheetData>
      <sheetData sheetId="3435">
        <row r="34">
          <cell r="A34" t="str">
            <v>Investments Govt Securities</v>
          </cell>
        </row>
      </sheetData>
      <sheetData sheetId="3436">
        <row r="34">
          <cell r="A34" t="str">
            <v>Investments Govt Securities</v>
          </cell>
        </row>
      </sheetData>
      <sheetData sheetId="3437">
        <row r="34">
          <cell r="A34" t="str">
            <v>Investments Govt Securities</v>
          </cell>
        </row>
      </sheetData>
      <sheetData sheetId="3438">
        <row r="34">
          <cell r="A34" t="str">
            <v>Investments Govt Securities</v>
          </cell>
        </row>
      </sheetData>
      <sheetData sheetId="3439">
        <row r="34">
          <cell r="A34" t="str">
            <v>Investments Govt Securities</v>
          </cell>
        </row>
      </sheetData>
      <sheetData sheetId="3440">
        <row r="34">
          <cell r="A34" t="str">
            <v>Investments Govt Securities</v>
          </cell>
        </row>
      </sheetData>
      <sheetData sheetId="3441">
        <row r="34">
          <cell r="A34" t="str">
            <v>Investments Govt Securities</v>
          </cell>
        </row>
      </sheetData>
      <sheetData sheetId="3442">
        <row r="34">
          <cell r="A34" t="str">
            <v>Investments Govt Securities</v>
          </cell>
        </row>
      </sheetData>
      <sheetData sheetId="3443">
        <row r="34">
          <cell r="A34" t="str">
            <v>Investments Govt Securities</v>
          </cell>
        </row>
      </sheetData>
      <sheetData sheetId="3444">
        <row r="34">
          <cell r="A34" t="str">
            <v>Investments Govt Securities</v>
          </cell>
        </row>
      </sheetData>
      <sheetData sheetId="3445">
        <row r="34">
          <cell r="A34" t="str">
            <v>Investments Govt Securities</v>
          </cell>
        </row>
      </sheetData>
      <sheetData sheetId="3446">
        <row r="34">
          <cell r="A34" t="str">
            <v>Investments Govt Securities</v>
          </cell>
        </row>
      </sheetData>
      <sheetData sheetId="3447">
        <row r="34">
          <cell r="A34" t="str">
            <v>Investments Govt Securities</v>
          </cell>
        </row>
      </sheetData>
      <sheetData sheetId="3448">
        <row r="34">
          <cell r="A34" t="str">
            <v>Investments Govt Securities</v>
          </cell>
        </row>
      </sheetData>
      <sheetData sheetId="3449">
        <row r="34">
          <cell r="A34" t="str">
            <v>Investments Govt Securities</v>
          </cell>
        </row>
      </sheetData>
      <sheetData sheetId="3450">
        <row r="34">
          <cell r="A34" t="str">
            <v>Investments Govt Securities</v>
          </cell>
        </row>
      </sheetData>
      <sheetData sheetId="3451">
        <row r="34">
          <cell r="A34" t="str">
            <v>Investments Govt Securities</v>
          </cell>
        </row>
      </sheetData>
      <sheetData sheetId="3452">
        <row r="34">
          <cell r="A34" t="str">
            <v>Investments Govt Securities</v>
          </cell>
        </row>
      </sheetData>
      <sheetData sheetId="3453">
        <row r="34">
          <cell r="A34" t="str">
            <v>Investments Govt Securities</v>
          </cell>
        </row>
      </sheetData>
      <sheetData sheetId="3454">
        <row r="34">
          <cell r="A34" t="str">
            <v>Investments Govt Securities</v>
          </cell>
        </row>
      </sheetData>
      <sheetData sheetId="3455">
        <row r="34">
          <cell r="A34" t="str">
            <v>Investments Govt Securities</v>
          </cell>
        </row>
      </sheetData>
      <sheetData sheetId="3456">
        <row r="34">
          <cell r="A34" t="str">
            <v>Investments Govt Securities</v>
          </cell>
        </row>
      </sheetData>
      <sheetData sheetId="3457">
        <row r="34">
          <cell r="A34" t="str">
            <v>Investments Govt Securities</v>
          </cell>
        </row>
      </sheetData>
      <sheetData sheetId="3458">
        <row r="34">
          <cell r="A34" t="str">
            <v>Investments Govt Securities</v>
          </cell>
        </row>
      </sheetData>
      <sheetData sheetId="3459">
        <row r="34">
          <cell r="A34" t="str">
            <v>Investments Govt Securities</v>
          </cell>
        </row>
      </sheetData>
      <sheetData sheetId="3460">
        <row r="34">
          <cell r="A34" t="str">
            <v>Investments Govt Securities</v>
          </cell>
        </row>
      </sheetData>
      <sheetData sheetId="3461">
        <row r="34">
          <cell r="A34" t="str">
            <v>Investments Govt Securities</v>
          </cell>
        </row>
      </sheetData>
      <sheetData sheetId="3462">
        <row r="34">
          <cell r="A34" t="str">
            <v>Investments Govt Securities</v>
          </cell>
        </row>
      </sheetData>
      <sheetData sheetId="3463">
        <row r="34">
          <cell r="A34" t="str">
            <v>Investments Govt Securities</v>
          </cell>
        </row>
      </sheetData>
      <sheetData sheetId="3464">
        <row r="34">
          <cell r="A34" t="str">
            <v>Investments Govt Securities</v>
          </cell>
        </row>
      </sheetData>
      <sheetData sheetId="3465">
        <row r="34">
          <cell r="A34" t="str">
            <v>Investments Govt Securities</v>
          </cell>
        </row>
      </sheetData>
      <sheetData sheetId="3466">
        <row r="34">
          <cell r="A34" t="str">
            <v>Investments Govt Securities</v>
          </cell>
        </row>
      </sheetData>
      <sheetData sheetId="3467">
        <row r="34">
          <cell r="A34" t="str">
            <v>Investments Govt Securities</v>
          </cell>
        </row>
      </sheetData>
      <sheetData sheetId="3468">
        <row r="34">
          <cell r="A34" t="str">
            <v>Investments Govt Securities</v>
          </cell>
        </row>
      </sheetData>
      <sheetData sheetId="3469">
        <row r="34">
          <cell r="A34" t="str">
            <v>Investments Govt Securities</v>
          </cell>
        </row>
      </sheetData>
      <sheetData sheetId="3470">
        <row r="34">
          <cell r="A34" t="str">
            <v>Investments Govt Securities</v>
          </cell>
        </row>
      </sheetData>
      <sheetData sheetId="3471">
        <row r="34">
          <cell r="A34" t="str">
            <v>Investments Govt Securities</v>
          </cell>
        </row>
      </sheetData>
      <sheetData sheetId="3472">
        <row r="34">
          <cell r="A34" t="str">
            <v>Investments Govt Securities</v>
          </cell>
        </row>
      </sheetData>
      <sheetData sheetId="3473">
        <row r="34">
          <cell r="A34" t="str">
            <v>Investments Govt Securities</v>
          </cell>
        </row>
      </sheetData>
      <sheetData sheetId="3474">
        <row r="34">
          <cell r="A34" t="str">
            <v>Investments Govt Securities</v>
          </cell>
        </row>
      </sheetData>
      <sheetData sheetId="3475">
        <row r="34">
          <cell r="A34" t="str">
            <v>Investments Govt Securities</v>
          </cell>
        </row>
      </sheetData>
      <sheetData sheetId="3476">
        <row r="34">
          <cell r="A34" t="str">
            <v>Investments Govt Securities</v>
          </cell>
        </row>
      </sheetData>
      <sheetData sheetId="3477">
        <row r="34">
          <cell r="A34" t="str">
            <v>Investments Govt Securities</v>
          </cell>
        </row>
      </sheetData>
      <sheetData sheetId="3478">
        <row r="34">
          <cell r="A34" t="str">
            <v>Investments Govt Securities</v>
          </cell>
        </row>
      </sheetData>
      <sheetData sheetId="3479">
        <row r="34">
          <cell r="A34" t="str">
            <v>Investments Govt Securities</v>
          </cell>
        </row>
      </sheetData>
      <sheetData sheetId="3480">
        <row r="34">
          <cell r="A34" t="str">
            <v>Investments Govt Securities</v>
          </cell>
        </row>
      </sheetData>
      <sheetData sheetId="3481">
        <row r="34">
          <cell r="A34" t="str">
            <v>Investments Govt Securities</v>
          </cell>
        </row>
      </sheetData>
      <sheetData sheetId="3482">
        <row r="34">
          <cell r="A34" t="str">
            <v>Investments Govt Securities</v>
          </cell>
        </row>
      </sheetData>
      <sheetData sheetId="3483">
        <row r="34">
          <cell r="A34" t="str">
            <v>Investments Govt Securities</v>
          </cell>
        </row>
      </sheetData>
      <sheetData sheetId="3484">
        <row r="34">
          <cell r="A34" t="str">
            <v>Investments Govt Securities</v>
          </cell>
        </row>
      </sheetData>
      <sheetData sheetId="3485">
        <row r="34">
          <cell r="A34" t="str">
            <v>Investments Govt Securities</v>
          </cell>
        </row>
      </sheetData>
      <sheetData sheetId="3486">
        <row r="34">
          <cell r="A34" t="str">
            <v>Investments Govt Securities</v>
          </cell>
        </row>
      </sheetData>
      <sheetData sheetId="3487">
        <row r="34">
          <cell r="A34" t="str">
            <v>Investments Govt Securities</v>
          </cell>
        </row>
      </sheetData>
      <sheetData sheetId="3488">
        <row r="34">
          <cell r="A34" t="str">
            <v>Investments Govt Securities</v>
          </cell>
        </row>
      </sheetData>
      <sheetData sheetId="3489">
        <row r="34">
          <cell r="A34" t="str">
            <v>Investments Govt Securities</v>
          </cell>
        </row>
      </sheetData>
      <sheetData sheetId="3490">
        <row r="34">
          <cell r="A34" t="str">
            <v>Investments Govt Securities</v>
          </cell>
        </row>
      </sheetData>
      <sheetData sheetId="3491">
        <row r="34">
          <cell r="A34" t="str">
            <v>Investments Govt Securities</v>
          </cell>
        </row>
      </sheetData>
      <sheetData sheetId="3492">
        <row r="34">
          <cell r="A34" t="str">
            <v>Investments Govt Securities</v>
          </cell>
        </row>
      </sheetData>
      <sheetData sheetId="3493">
        <row r="34">
          <cell r="A34" t="str">
            <v>Investments Govt Securities</v>
          </cell>
        </row>
      </sheetData>
      <sheetData sheetId="3494">
        <row r="34">
          <cell r="A34" t="str">
            <v>Investments Govt Securities</v>
          </cell>
        </row>
      </sheetData>
      <sheetData sheetId="3495">
        <row r="34">
          <cell r="A34" t="str">
            <v>Investments Govt Securities</v>
          </cell>
        </row>
      </sheetData>
      <sheetData sheetId="3496">
        <row r="34">
          <cell r="A34" t="str">
            <v>Investments Govt Securities</v>
          </cell>
        </row>
      </sheetData>
      <sheetData sheetId="3497">
        <row r="34">
          <cell r="A34" t="str">
            <v>Investments Govt Securities</v>
          </cell>
        </row>
      </sheetData>
      <sheetData sheetId="3498">
        <row r="34">
          <cell r="A34" t="str">
            <v>Investments Govt Securities</v>
          </cell>
        </row>
      </sheetData>
      <sheetData sheetId="3499">
        <row r="34">
          <cell r="A34" t="str">
            <v>Investments Govt Securities</v>
          </cell>
        </row>
      </sheetData>
      <sheetData sheetId="3500">
        <row r="34">
          <cell r="A34" t="str">
            <v>Investments Govt Securities</v>
          </cell>
        </row>
      </sheetData>
      <sheetData sheetId="3501">
        <row r="34">
          <cell r="A34" t="str">
            <v>Investments Govt Securities</v>
          </cell>
        </row>
      </sheetData>
      <sheetData sheetId="3502">
        <row r="34">
          <cell r="A34" t="str">
            <v>Investments Govt Securities</v>
          </cell>
        </row>
      </sheetData>
      <sheetData sheetId="3503">
        <row r="34">
          <cell r="A34" t="str">
            <v>Investments Govt Securities</v>
          </cell>
        </row>
      </sheetData>
      <sheetData sheetId="3504">
        <row r="34">
          <cell r="A34" t="str">
            <v>Investments Govt Securities</v>
          </cell>
        </row>
      </sheetData>
      <sheetData sheetId="3505">
        <row r="34">
          <cell r="A34" t="str">
            <v>Investments Govt Securities</v>
          </cell>
        </row>
      </sheetData>
      <sheetData sheetId="3506">
        <row r="34">
          <cell r="A34" t="str">
            <v>Investments Govt Securities</v>
          </cell>
        </row>
      </sheetData>
      <sheetData sheetId="3507">
        <row r="34">
          <cell r="A34" t="str">
            <v>Investments Govt Securities</v>
          </cell>
        </row>
      </sheetData>
      <sheetData sheetId="3508">
        <row r="34">
          <cell r="A34" t="str">
            <v>Investments Govt Securities</v>
          </cell>
        </row>
      </sheetData>
      <sheetData sheetId="3509">
        <row r="34">
          <cell r="A34" t="str">
            <v>Investments Govt Securities</v>
          </cell>
        </row>
      </sheetData>
      <sheetData sheetId="3510">
        <row r="34">
          <cell r="A34" t="str">
            <v>Investments Govt Securities</v>
          </cell>
        </row>
      </sheetData>
      <sheetData sheetId="3511">
        <row r="34">
          <cell r="A34" t="str">
            <v>Investments Govt Securities</v>
          </cell>
        </row>
      </sheetData>
      <sheetData sheetId="3512">
        <row r="34">
          <cell r="A34" t="str">
            <v>Investments Govt Securities</v>
          </cell>
        </row>
      </sheetData>
      <sheetData sheetId="3513">
        <row r="34">
          <cell r="A34" t="str">
            <v>Investments Govt Securities</v>
          </cell>
        </row>
      </sheetData>
      <sheetData sheetId="3514">
        <row r="34">
          <cell r="A34" t="str">
            <v>Investments Govt Securities</v>
          </cell>
        </row>
      </sheetData>
      <sheetData sheetId="3515">
        <row r="34">
          <cell r="A34" t="str">
            <v>Investments Govt Securities</v>
          </cell>
        </row>
      </sheetData>
      <sheetData sheetId="3516">
        <row r="34">
          <cell r="A34" t="str">
            <v>Investments Govt Securities</v>
          </cell>
        </row>
      </sheetData>
      <sheetData sheetId="3517">
        <row r="34">
          <cell r="A34" t="str">
            <v>Investments Govt Securities</v>
          </cell>
        </row>
      </sheetData>
      <sheetData sheetId="3518">
        <row r="34">
          <cell r="A34" t="str">
            <v>Investments Govt Securities</v>
          </cell>
        </row>
      </sheetData>
      <sheetData sheetId="3519">
        <row r="34">
          <cell r="A34" t="str">
            <v>Investments Govt Securities</v>
          </cell>
        </row>
      </sheetData>
      <sheetData sheetId="3520">
        <row r="34">
          <cell r="A34" t="str">
            <v>Investments Govt Securities</v>
          </cell>
        </row>
      </sheetData>
      <sheetData sheetId="3521">
        <row r="34">
          <cell r="A34" t="str">
            <v>Investments Govt Securities</v>
          </cell>
        </row>
      </sheetData>
      <sheetData sheetId="3522">
        <row r="34">
          <cell r="A34" t="str">
            <v>Investments Govt Securities</v>
          </cell>
        </row>
      </sheetData>
      <sheetData sheetId="3523">
        <row r="34">
          <cell r="A34" t="str">
            <v>Investments Govt Securities</v>
          </cell>
        </row>
      </sheetData>
      <sheetData sheetId="3524">
        <row r="34">
          <cell r="A34" t="str">
            <v>Investments Govt Securities</v>
          </cell>
        </row>
      </sheetData>
      <sheetData sheetId="3525">
        <row r="34">
          <cell r="A34" t="str">
            <v>Investments Govt Securities</v>
          </cell>
        </row>
      </sheetData>
      <sheetData sheetId="3526">
        <row r="34">
          <cell r="A34" t="str">
            <v>Investments Govt Securities</v>
          </cell>
        </row>
      </sheetData>
      <sheetData sheetId="3527">
        <row r="34">
          <cell r="A34" t="str">
            <v>Investments Govt Securities</v>
          </cell>
        </row>
      </sheetData>
      <sheetData sheetId="3528">
        <row r="34">
          <cell r="A34" t="str">
            <v>Investments Govt Securities</v>
          </cell>
        </row>
      </sheetData>
      <sheetData sheetId="3529">
        <row r="34">
          <cell r="A34" t="str">
            <v>Investments Govt Securities</v>
          </cell>
        </row>
      </sheetData>
      <sheetData sheetId="3530">
        <row r="34">
          <cell r="A34" t="str">
            <v>Investments Govt Securities</v>
          </cell>
        </row>
      </sheetData>
      <sheetData sheetId="3531">
        <row r="34">
          <cell r="A34" t="str">
            <v>Investments Govt Securities</v>
          </cell>
        </row>
      </sheetData>
      <sheetData sheetId="3532">
        <row r="34">
          <cell r="A34" t="str">
            <v>Investments Govt Securities</v>
          </cell>
        </row>
      </sheetData>
      <sheetData sheetId="3533">
        <row r="34">
          <cell r="A34" t="str">
            <v>Investments Govt Securities</v>
          </cell>
        </row>
      </sheetData>
      <sheetData sheetId="3534">
        <row r="34">
          <cell r="A34" t="str">
            <v>Investments Govt Securities</v>
          </cell>
        </row>
      </sheetData>
      <sheetData sheetId="3535">
        <row r="34">
          <cell r="A34" t="str">
            <v>Investments Govt Securities</v>
          </cell>
        </row>
      </sheetData>
      <sheetData sheetId="3536">
        <row r="34">
          <cell r="A34" t="str">
            <v>Investments Govt Securities</v>
          </cell>
        </row>
      </sheetData>
      <sheetData sheetId="3537">
        <row r="34">
          <cell r="A34" t="str">
            <v>Investments Govt Securities</v>
          </cell>
        </row>
      </sheetData>
      <sheetData sheetId="3538">
        <row r="34">
          <cell r="A34" t="str">
            <v>Investments Govt Securities</v>
          </cell>
        </row>
      </sheetData>
      <sheetData sheetId="3539">
        <row r="34">
          <cell r="A34" t="str">
            <v>Investments Govt Securities</v>
          </cell>
        </row>
      </sheetData>
      <sheetData sheetId="3540">
        <row r="34">
          <cell r="A34" t="str">
            <v>Investments Govt Securities</v>
          </cell>
        </row>
      </sheetData>
      <sheetData sheetId="3541">
        <row r="34">
          <cell r="A34" t="str">
            <v>Investments Govt Securities</v>
          </cell>
        </row>
      </sheetData>
      <sheetData sheetId="3542">
        <row r="34">
          <cell r="A34" t="str">
            <v>Investments Govt Securities</v>
          </cell>
        </row>
      </sheetData>
      <sheetData sheetId="3543">
        <row r="34">
          <cell r="A34" t="str">
            <v>Investments Govt Securities</v>
          </cell>
        </row>
      </sheetData>
      <sheetData sheetId="3544">
        <row r="34">
          <cell r="A34" t="str">
            <v>Investments Govt Securities</v>
          </cell>
        </row>
      </sheetData>
      <sheetData sheetId="3545">
        <row r="34">
          <cell r="A34" t="str">
            <v>Investments Govt Securities</v>
          </cell>
        </row>
      </sheetData>
      <sheetData sheetId="3546">
        <row r="34">
          <cell r="A34" t="str">
            <v>Investments Govt Securities</v>
          </cell>
        </row>
      </sheetData>
      <sheetData sheetId="3547">
        <row r="34">
          <cell r="A34" t="str">
            <v>Investments Govt Securities</v>
          </cell>
        </row>
      </sheetData>
      <sheetData sheetId="3548">
        <row r="34">
          <cell r="A34" t="str">
            <v>Investments Govt Securities</v>
          </cell>
        </row>
      </sheetData>
      <sheetData sheetId="3549">
        <row r="34">
          <cell r="A34" t="str">
            <v>Investments Govt Securities</v>
          </cell>
        </row>
      </sheetData>
      <sheetData sheetId="3550">
        <row r="34">
          <cell r="A34" t="str">
            <v>Investments Govt Securities</v>
          </cell>
        </row>
      </sheetData>
      <sheetData sheetId="3551">
        <row r="34">
          <cell r="A34" t="str">
            <v>Investments Govt Securities</v>
          </cell>
        </row>
      </sheetData>
      <sheetData sheetId="3552">
        <row r="34">
          <cell r="A34" t="str">
            <v>Investments Govt Securities</v>
          </cell>
        </row>
      </sheetData>
      <sheetData sheetId="3553">
        <row r="34">
          <cell r="A34" t="str">
            <v>Investments Govt Securities</v>
          </cell>
        </row>
      </sheetData>
      <sheetData sheetId="3554">
        <row r="34">
          <cell r="A34" t="str">
            <v>Investments Govt Securities</v>
          </cell>
        </row>
      </sheetData>
      <sheetData sheetId="3555">
        <row r="34">
          <cell r="A34" t="str">
            <v>Investments Govt Securities</v>
          </cell>
        </row>
      </sheetData>
      <sheetData sheetId="3556">
        <row r="34">
          <cell r="A34" t="str">
            <v>Investments Govt Securities</v>
          </cell>
        </row>
      </sheetData>
      <sheetData sheetId="3557">
        <row r="34">
          <cell r="A34" t="str">
            <v>Investments Govt Securities</v>
          </cell>
        </row>
      </sheetData>
      <sheetData sheetId="3558">
        <row r="34">
          <cell r="A34" t="str">
            <v>Investments Govt Securities</v>
          </cell>
        </row>
      </sheetData>
      <sheetData sheetId="3559">
        <row r="34">
          <cell r="A34" t="str">
            <v>Investments Govt Securities</v>
          </cell>
        </row>
      </sheetData>
      <sheetData sheetId="3560">
        <row r="34">
          <cell r="A34" t="str">
            <v>Investments Govt Securities</v>
          </cell>
        </row>
      </sheetData>
      <sheetData sheetId="3561">
        <row r="34">
          <cell r="A34" t="str">
            <v>Investments Govt Securities</v>
          </cell>
        </row>
      </sheetData>
      <sheetData sheetId="3562">
        <row r="34">
          <cell r="A34" t="str">
            <v>Investments Govt Securities</v>
          </cell>
        </row>
      </sheetData>
      <sheetData sheetId="3563">
        <row r="34">
          <cell r="A34" t="str">
            <v>Investments Govt Securities</v>
          </cell>
        </row>
      </sheetData>
      <sheetData sheetId="3564">
        <row r="34">
          <cell r="A34" t="str">
            <v>Investments Govt Securities</v>
          </cell>
        </row>
      </sheetData>
      <sheetData sheetId="3565">
        <row r="34">
          <cell r="A34" t="str">
            <v>Investments Govt Securities</v>
          </cell>
        </row>
      </sheetData>
      <sheetData sheetId="3566">
        <row r="34">
          <cell r="A34" t="str">
            <v>Investments Govt Securities</v>
          </cell>
        </row>
      </sheetData>
      <sheetData sheetId="3567">
        <row r="34">
          <cell r="A34" t="str">
            <v>Investments Govt Securities</v>
          </cell>
        </row>
      </sheetData>
      <sheetData sheetId="3568">
        <row r="34">
          <cell r="A34" t="str">
            <v>Investments Govt Securities</v>
          </cell>
        </row>
      </sheetData>
      <sheetData sheetId="3569">
        <row r="34">
          <cell r="A34" t="str">
            <v>Investments Govt Securities</v>
          </cell>
        </row>
      </sheetData>
      <sheetData sheetId="3570">
        <row r="34">
          <cell r="A34" t="str">
            <v>Investments Govt Securities</v>
          </cell>
        </row>
      </sheetData>
      <sheetData sheetId="3571">
        <row r="34">
          <cell r="A34" t="str">
            <v>Investments Govt Securities</v>
          </cell>
        </row>
      </sheetData>
      <sheetData sheetId="3572">
        <row r="34">
          <cell r="A34" t="str">
            <v>Investments Govt Securities</v>
          </cell>
        </row>
      </sheetData>
      <sheetData sheetId="3573">
        <row r="34">
          <cell r="A34" t="str">
            <v>Investments Govt Securities</v>
          </cell>
        </row>
      </sheetData>
      <sheetData sheetId="3574">
        <row r="34">
          <cell r="A34" t="str">
            <v>Investments Govt Securities</v>
          </cell>
        </row>
      </sheetData>
      <sheetData sheetId="3575">
        <row r="34">
          <cell r="A34" t="str">
            <v>Investments Govt Securities</v>
          </cell>
        </row>
      </sheetData>
      <sheetData sheetId="3576">
        <row r="34">
          <cell r="A34" t="str">
            <v>Investments Govt Securities</v>
          </cell>
        </row>
      </sheetData>
      <sheetData sheetId="3577">
        <row r="34">
          <cell r="A34" t="str">
            <v>Investments Govt Securities</v>
          </cell>
        </row>
      </sheetData>
      <sheetData sheetId="3578">
        <row r="34">
          <cell r="A34" t="str">
            <v>Investments Govt Securities</v>
          </cell>
        </row>
      </sheetData>
      <sheetData sheetId="3579">
        <row r="34">
          <cell r="A34" t="str">
            <v>Investments Govt Securities</v>
          </cell>
        </row>
      </sheetData>
      <sheetData sheetId="3580">
        <row r="34">
          <cell r="A34" t="str">
            <v>Investments Govt Securities</v>
          </cell>
        </row>
      </sheetData>
      <sheetData sheetId="3581">
        <row r="34">
          <cell r="A34" t="str">
            <v>Investments Govt Securities</v>
          </cell>
        </row>
      </sheetData>
      <sheetData sheetId="3582">
        <row r="34">
          <cell r="A34" t="str">
            <v>Investments Govt Securities</v>
          </cell>
        </row>
      </sheetData>
      <sheetData sheetId="3583">
        <row r="34">
          <cell r="A34" t="str">
            <v>Investments Govt Securities</v>
          </cell>
        </row>
      </sheetData>
      <sheetData sheetId="3584">
        <row r="34">
          <cell r="A34" t="str">
            <v>Investments Govt Securities</v>
          </cell>
        </row>
      </sheetData>
      <sheetData sheetId="3585">
        <row r="34">
          <cell r="A34" t="str">
            <v>Investments Govt Securities</v>
          </cell>
        </row>
      </sheetData>
      <sheetData sheetId="3586">
        <row r="34">
          <cell r="A34" t="str">
            <v>Investments Govt Securities</v>
          </cell>
        </row>
      </sheetData>
      <sheetData sheetId="3587">
        <row r="34">
          <cell r="A34" t="str">
            <v>Investments Govt Securities</v>
          </cell>
        </row>
      </sheetData>
      <sheetData sheetId="3588">
        <row r="34">
          <cell r="A34" t="str">
            <v>Investments Govt Securities</v>
          </cell>
        </row>
      </sheetData>
      <sheetData sheetId="3589">
        <row r="34">
          <cell r="A34" t="str">
            <v>Investments Govt Securities</v>
          </cell>
        </row>
      </sheetData>
      <sheetData sheetId="3590">
        <row r="34">
          <cell r="A34" t="str">
            <v>Investments Govt Securities</v>
          </cell>
        </row>
      </sheetData>
      <sheetData sheetId="3591">
        <row r="34">
          <cell r="A34" t="str">
            <v>Investments Govt Securities</v>
          </cell>
        </row>
      </sheetData>
      <sheetData sheetId="3592">
        <row r="34">
          <cell r="A34" t="str">
            <v>Investments Govt Securities</v>
          </cell>
        </row>
      </sheetData>
      <sheetData sheetId="3593">
        <row r="34">
          <cell r="A34" t="str">
            <v>Investments Govt Securities</v>
          </cell>
        </row>
      </sheetData>
      <sheetData sheetId="3594">
        <row r="34">
          <cell r="A34" t="str">
            <v>Investments Govt Securities</v>
          </cell>
        </row>
      </sheetData>
      <sheetData sheetId="3595">
        <row r="34">
          <cell r="A34" t="str">
            <v>Investments Govt Securities</v>
          </cell>
        </row>
      </sheetData>
      <sheetData sheetId="3596">
        <row r="34">
          <cell r="A34" t="str">
            <v>Investments Govt Securities</v>
          </cell>
        </row>
      </sheetData>
      <sheetData sheetId="3597">
        <row r="34">
          <cell r="A34" t="str">
            <v>Investments Govt Securities</v>
          </cell>
        </row>
      </sheetData>
      <sheetData sheetId="3598">
        <row r="34">
          <cell r="A34" t="str">
            <v>Investments Govt Securities</v>
          </cell>
        </row>
      </sheetData>
      <sheetData sheetId="3599">
        <row r="34">
          <cell r="A34" t="str">
            <v>Investments Govt Securities</v>
          </cell>
        </row>
      </sheetData>
      <sheetData sheetId="3600">
        <row r="34">
          <cell r="A34" t="str">
            <v>Investments Govt Securities</v>
          </cell>
        </row>
      </sheetData>
      <sheetData sheetId="3601">
        <row r="34">
          <cell r="A34" t="str">
            <v>Investments Govt Securities</v>
          </cell>
        </row>
      </sheetData>
      <sheetData sheetId="3602">
        <row r="34">
          <cell r="A34" t="str">
            <v>Investments Govt Securities</v>
          </cell>
        </row>
      </sheetData>
      <sheetData sheetId="3603">
        <row r="34">
          <cell r="A34" t="str">
            <v>Investments Govt Securities</v>
          </cell>
        </row>
      </sheetData>
      <sheetData sheetId="3604">
        <row r="34">
          <cell r="A34" t="str">
            <v>Investments Govt Securities</v>
          </cell>
        </row>
      </sheetData>
      <sheetData sheetId="3605">
        <row r="34">
          <cell r="A34" t="str">
            <v>Investments Govt Securities</v>
          </cell>
        </row>
      </sheetData>
      <sheetData sheetId="3606">
        <row r="34">
          <cell r="A34" t="str">
            <v>Investments Govt Securities</v>
          </cell>
        </row>
      </sheetData>
      <sheetData sheetId="3607">
        <row r="34">
          <cell r="A34" t="str">
            <v>Investments Govt Securities</v>
          </cell>
        </row>
      </sheetData>
      <sheetData sheetId="3608">
        <row r="34">
          <cell r="A34" t="str">
            <v>Investments Govt Securities</v>
          </cell>
        </row>
      </sheetData>
      <sheetData sheetId="3609">
        <row r="34">
          <cell r="A34" t="str">
            <v>Investments Govt Securities</v>
          </cell>
        </row>
      </sheetData>
      <sheetData sheetId="3610">
        <row r="34">
          <cell r="A34" t="str">
            <v>Investments Govt Securities</v>
          </cell>
        </row>
      </sheetData>
      <sheetData sheetId="3611">
        <row r="34">
          <cell r="A34" t="str">
            <v>Investments Govt Securities</v>
          </cell>
        </row>
      </sheetData>
      <sheetData sheetId="3612">
        <row r="34">
          <cell r="A34" t="str">
            <v>Investments Govt Securities</v>
          </cell>
        </row>
      </sheetData>
      <sheetData sheetId="3613">
        <row r="34">
          <cell r="A34" t="str">
            <v>Investments Govt Securities</v>
          </cell>
        </row>
      </sheetData>
      <sheetData sheetId="3614">
        <row r="34">
          <cell r="A34" t="str">
            <v>Investments Govt Securities</v>
          </cell>
        </row>
      </sheetData>
      <sheetData sheetId="3615">
        <row r="34">
          <cell r="A34" t="str">
            <v>Investments Govt Securities</v>
          </cell>
        </row>
      </sheetData>
      <sheetData sheetId="3616">
        <row r="34">
          <cell r="A34" t="str">
            <v>Investments Govt Securities</v>
          </cell>
        </row>
      </sheetData>
      <sheetData sheetId="3617">
        <row r="34">
          <cell r="A34" t="str">
            <v>Investments Govt Securities</v>
          </cell>
        </row>
      </sheetData>
      <sheetData sheetId="3618">
        <row r="34">
          <cell r="A34" t="str">
            <v>Investments Govt Securities</v>
          </cell>
        </row>
      </sheetData>
      <sheetData sheetId="3619">
        <row r="34">
          <cell r="A34" t="str">
            <v>Investments Govt Securities</v>
          </cell>
        </row>
      </sheetData>
      <sheetData sheetId="3620">
        <row r="34">
          <cell r="A34" t="str">
            <v>Investments Govt Securities</v>
          </cell>
        </row>
      </sheetData>
      <sheetData sheetId="3621">
        <row r="34">
          <cell r="A34" t="str">
            <v>Investments Govt Securities</v>
          </cell>
        </row>
      </sheetData>
      <sheetData sheetId="3622">
        <row r="34">
          <cell r="A34" t="str">
            <v>Investments Govt Securities</v>
          </cell>
        </row>
      </sheetData>
      <sheetData sheetId="3623">
        <row r="34">
          <cell r="A34" t="str">
            <v>Investments Govt Securities</v>
          </cell>
        </row>
      </sheetData>
      <sheetData sheetId="3624">
        <row r="34">
          <cell r="A34" t="str">
            <v>Investments Govt Securities</v>
          </cell>
        </row>
      </sheetData>
      <sheetData sheetId="3625">
        <row r="34">
          <cell r="A34" t="str">
            <v>Investments Govt Securities</v>
          </cell>
        </row>
      </sheetData>
      <sheetData sheetId="3626">
        <row r="34">
          <cell r="A34" t="str">
            <v>Investments Govt Securities</v>
          </cell>
        </row>
      </sheetData>
      <sheetData sheetId="3627">
        <row r="34">
          <cell r="A34" t="str">
            <v>Investments Govt Securities</v>
          </cell>
        </row>
      </sheetData>
      <sheetData sheetId="3628">
        <row r="34">
          <cell r="A34" t="str">
            <v>Investments Govt Securities</v>
          </cell>
        </row>
      </sheetData>
      <sheetData sheetId="3629">
        <row r="34">
          <cell r="A34" t="str">
            <v>Investments Govt Securities</v>
          </cell>
        </row>
      </sheetData>
      <sheetData sheetId="3630">
        <row r="34">
          <cell r="A34" t="str">
            <v>Investments Govt Securities</v>
          </cell>
        </row>
      </sheetData>
      <sheetData sheetId="3631">
        <row r="34">
          <cell r="A34" t="str">
            <v>Investments Govt Securities</v>
          </cell>
        </row>
      </sheetData>
      <sheetData sheetId="3632">
        <row r="34">
          <cell r="A34" t="str">
            <v>Investments Govt Securities</v>
          </cell>
        </row>
      </sheetData>
      <sheetData sheetId="3633">
        <row r="34">
          <cell r="A34" t="str">
            <v>Investments Govt Securities</v>
          </cell>
        </row>
      </sheetData>
      <sheetData sheetId="3634">
        <row r="34">
          <cell r="A34" t="str">
            <v>Investments Govt Securities</v>
          </cell>
        </row>
      </sheetData>
      <sheetData sheetId="3635">
        <row r="34">
          <cell r="A34" t="str">
            <v>Investments Govt Securities</v>
          </cell>
        </row>
      </sheetData>
      <sheetData sheetId="3636">
        <row r="34">
          <cell r="A34" t="str">
            <v>Investments Govt Securities</v>
          </cell>
        </row>
      </sheetData>
      <sheetData sheetId="3637">
        <row r="34">
          <cell r="A34" t="str">
            <v>Investments Govt Securities</v>
          </cell>
        </row>
      </sheetData>
      <sheetData sheetId="3638">
        <row r="34">
          <cell r="A34" t="str">
            <v>Investments Govt Securities</v>
          </cell>
        </row>
      </sheetData>
      <sheetData sheetId="3639">
        <row r="34">
          <cell r="A34" t="str">
            <v>Investments Govt Securities</v>
          </cell>
        </row>
      </sheetData>
      <sheetData sheetId="3640">
        <row r="34">
          <cell r="A34" t="str">
            <v>Investments Govt Securities</v>
          </cell>
        </row>
      </sheetData>
      <sheetData sheetId="3641">
        <row r="34">
          <cell r="A34" t="str">
            <v>Investments Govt Securities</v>
          </cell>
        </row>
      </sheetData>
      <sheetData sheetId="3642">
        <row r="34">
          <cell r="A34" t="str">
            <v>Investments Govt Securities</v>
          </cell>
        </row>
      </sheetData>
      <sheetData sheetId="3643">
        <row r="34">
          <cell r="A34" t="str">
            <v>Investments Govt Securities</v>
          </cell>
        </row>
      </sheetData>
      <sheetData sheetId="3644">
        <row r="34">
          <cell r="A34" t="str">
            <v>Investments Govt Securities</v>
          </cell>
        </row>
      </sheetData>
      <sheetData sheetId="3645">
        <row r="34">
          <cell r="A34" t="str">
            <v>Investments Govt Securities</v>
          </cell>
        </row>
      </sheetData>
      <sheetData sheetId="3646">
        <row r="34">
          <cell r="A34" t="str">
            <v>Investments Govt Securities</v>
          </cell>
        </row>
      </sheetData>
      <sheetData sheetId="3647">
        <row r="34">
          <cell r="A34" t="str">
            <v>Investments Govt Securities</v>
          </cell>
        </row>
      </sheetData>
      <sheetData sheetId="3648">
        <row r="34">
          <cell r="A34" t="str">
            <v>Investments Govt Securities</v>
          </cell>
        </row>
      </sheetData>
      <sheetData sheetId="3649">
        <row r="34">
          <cell r="A34" t="str">
            <v>Investments Govt Securities</v>
          </cell>
        </row>
      </sheetData>
      <sheetData sheetId="3650">
        <row r="34">
          <cell r="A34" t="str">
            <v>Investments Govt Securities</v>
          </cell>
        </row>
      </sheetData>
      <sheetData sheetId="3651">
        <row r="34">
          <cell r="A34" t="str">
            <v>Investments Govt Securities</v>
          </cell>
        </row>
      </sheetData>
      <sheetData sheetId="3652">
        <row r="34">
          <cell r="A34" t="str">
            <v>Investments Govt Securities</v>
          </cell>
        </row>
      </sheetData>
      <sheetData sheetId="3653">
        <row r="34">
          <cell r="A34" t="str">
            <v>Investments Govt Securities</v>
          </cell>
        </row>
      </sheetData>
      <sheetData sheetId="3654">
        <row r="34">
          <cell r="A34" t="str">
            <v>Investments Govt Securities</v>
          </cell>
        </row>
      </sheetData>
      <sheetData sheetId="3655">
        <row r="34">
          <cell r="A34" t="str">
            <v>Investments Govt Securities</v>
          </cell>
        </row>
      </sheetData>
      <sheetData sheetId="3656">
        <row r="34">
          <cell r="A34" t="str">
            <v>Investments Govt Securities</v>
          </cell>
        </row>
      </sheetData>
      <sheetData sheetId="3657">
        <row r="34">
          <cell r="A34" t="str">
            <v>Investments Govt Securities</v>
          </cell>
        </row>
      </sheetData>
      <sheetData sheetId="3658">
        <row r="34">
          <cell r="A34" t="str">
            <v>Investments Govt Securities</v>
          </cell>
        </row>
      </sheetData>
      <sheetData sheetId="3659">
        <row r="34">
          <cell r="A34" t="str">
            <v>Investments Govt Securities</v>
          </cell>
        </row>
      </sheetData>
      <sheetData sheetId="3660">
        <row r="34">
          <cell r="A34" t="str">
            <v>Investments Govt Securities</v>
          </cell>
        </row>
      </sheetData>
      <sheetData sheetId="3661">
        <row r="34">
          <cell r="A34" t="str">
            <v>Investments Govt Securities</v>
          </cell>
        </row>
      </sheetData>
      <sheetData sheetId="3662">
        <row r="34">
          <cell r="A34" t="str">
            <v>Investments Govt Securities</v>
          </cell>
        </row>
      </sheetData>
      <sheetData sheetId="3663">
        <row r="34">
          <cell r="A34" t="str">
            <v>Investments Govt Securities</v>
          </cell>
        </row>
      </sheetData>
      <sheetData sheetId="3664">
        <row r="34">
          <cell r="A34" t="str">
            <v>Investments Govt Securities</v>
          </cell>
        </row>
      </sheetData>
      <sheetData sheetId="3665">
        <row r="34">
          <cell r="A34" t="str">
            <v>Investments Govt Securities</v>
          </cell>
        </row>
      </sheetData>
      <sheetData sheetId="3666">
        <row r="34">
          <cell r="A34" t="str">
            <v>Investments Govt Securities</v>
          </cell>
        </row>
      </sheetData>
      <sheetData sheetId="3667">
        <row r="34">
          <cell r="A34" t="str">
            <v>Investments Govt Securities</v>
          </cell>
        </row>
      </sheetData>
      <sheetData sheetId="3668">
        <row r="34">
          <cell r="A34" t="str">
            <v>Investments Govt Securities</v>
          </cell>
        </row>
      </sheetData>
      <sheetData sheetId="3669">
        <row r="34">
          <cell r="A34" t="str">
            <v>Investments Govt Securities</v>
          </cell>
        </row>
      </sheetData>
      <sheetData sheetId="3670">
        <row r="34">
          <cell r="A34" t="str">
            <v>Investments Govt Securities</v>
          </cell>
        </row>
      </sheetData>
      <sheetData sheetId="3671">
        <row r="34">
          <cell r="A34" t="str">
            <v>Investments Govt Securities</v>
          </cell>
        </row>
      </sheetData>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ow r="34">
          <cell r="A34" t="str">
            <v>Investments Govt Securities</v>
          </cell>
        </row>
      </sheetData>
      <sheetData sheetId="3825">
        <row r="34">
          <cell r="A34" t="str">
            <v>Investments Govt Securities</v>
          </cell>
        </row>
      </sheetData>
      <sheetData sheetId="3826">
        <row r="34">
          <cell r="A34" t="str">
            <v>Investments Govt Securities</v>
          </cell>
        </row>
      </sheetData>
      <sheetData sheetId="3827">
        <row r="34">
          <cell r="A34" t="str">
            <v>Investments Govt Securities</v>
          </cell>
        </row>
      </sheetData>
      <sheetData sheetId="3828">
        <row r="34">
          <cell r="A34" t="str">
            <v>Investments Govt Securities</v>
          </cell>
        </row>
      </sheetData>
      <sheetData sheetId="3829">
        <row r="34">
          <cell r="A34" t="str">
            <v>Investments Govt Securities</v>
          </cell>
        </row>
      </sheetData>
      <sheetData sheetId="3830">
        <row r="34">
          <cell r="A34" t="str">
            <v>Investments Govt Securities</v>
          </cell>
        </row>
      </sheetData>
      <sheetData sheetId="3831">
        <row r="34">
          <cell r="A34" t="str">
            <v>Investments Govt Securities</v>
          </cell>
        </row>
      </sheetData>
      <sheetData sheetId="3832">
        <row r="34">
          <cell r="A34" t="str">
            <v>Investments Govt Securities</v>
          </cell>
        </row>
      </sheetData>
      <sheetData sheetId="3833">
        <row r="34">
          <cell r="A34" t="str">
            <v>Investments Govt Securities</v>
          </cell>
        </row>
      </sheetData>
      <sheetData sheetId="3834">
        <row r="34">
          <cell r="A34" t="str">
            <v>Investments Govt Securities</v>
          </cell>
        </row>
      </sheetData>
      <sheetData sheetId="3835">
        <row r="34">
          <cell r="A34" t="str">
            <v>Investments Govt Securities</v>
          </cell>
        </row>
      </sheetData>
      <sheetData sheetId="3836">
        <row r="34">
          <cell r="A34" t="str">
            <v>Investments Govt Securities</v>
          </cell>
        </row>
      </sheetData>
      <sheetData sheetId="3837">
        <row r="34">
          <cell r="A34" t="str">
            <v>Investments Govt Securities</v>
          </cell>
        </row>
      </sheetData>
      <sheetData sheetId="3838">
        <row r="34">
          <cell r="A34" t="str">
            <v>Investments Govt Securities</v>
          </cell>
        </row>
      </sheetData>
      <sheetData sheetId="3839">
        <row r="34">
          <cell r="A34" t="str">
            <v>Investments Govt Securities</v>
          </cell>
        </row>
      </sheetData>
      <sheetData sheetId="3840">
        <row r="34">
          <cell r="A34" t="str">
            <v>Investments Govt Securities</v>
          </cell>
        </row>
      </sheetData>
      <sheetData sheetId="3841">
        <row r="34">
          <cell r="A34" t="str">
            <v>Investments Govt Securities</v>
          </cell>
        </row>
      </sheetData>
      <sheetData sheetId="3842">
        <row r="34">
          <cell r="A34" t="str">
            <v>Investments Govt Securities</v>
          </cell>
        </row>
      </sheetData>
      <sheetData sheetId="3843">
        <row r="34">
          <cell r="A34" t="str">
            <v>Investments Govt Securities</v>
          </cell>
        </row>
      </sheetData>
      <sheetData sheetId="3844">
        <row r="34">
          <cell r="A34" t="str">
            <v>Investments Govt Securities</v>
          </cell>
        </row>
      </sheetData>
      <sheetData sheetId="3845">
        <row r="34">
          <cell r="A34" t="str">
            <v>Investments Govt Securities</v>
          </cell>
        </row>
      </sheetData>
      <sheetData sheetId="3846">
        <row r="34">
          <cell r="A34" t="str">
            <v>Investments Govt Securities</v>
          </cell>
        </row>
      </sheetData>
      <sheetData sheetId="3847">
        <row r="34">
          <cell r="A34" t="str">
            <v>Investments Govt Securities</v>
          </cell>
        </row>
      </sheetData>
      <sheetData sheetId="3848">
        <row r="34">
          <cell r="A34" t="str">
            <v>Investments Govt Securities</v>
          </cell>
        </row>
      </sheetData>
      <sheetData sheetId="3849">
        <row r="34">
          <cell r="A34" t="str">
            <v>Investments Govt Securities</v>
          </cell>
        </row>
      </sheetData>
      <sheetData sheetId="3850">
        <row r="34">
          <cell r="A34" t="str">
            <v>Investments Govt Securities</v>
          </cell>
        </row>
      </sheetData>
      <sheetData sheetId="3851">
        <row r="34">
          <cell r="A34" t="str">
            <v>Investments Govt Securities</v>
          </cell>
        </row>
      </sheetData>
      <sheetData sheetId="3852" refreshError="1"/>
      <sheetData sheetId="3853">
        <row r="34">
          <cell r="A34" t="str">
            <v>Investments Govt Securities</v>
          </cell>
        </row>
      </sheetData>
      <sheetData sheetId="3854">
        <row r="34">
          <cell r="A34" t="str">
            <v>Investments Govt Securities</v>
          </cell>
        </row>
      </sheetData>
      <sheetData sheetId="3855">
        <row r="34">
          <cell r="A34" t="str">
            <v>Investments Govt Securities</v>
          </cell>
        </row>
      </sheetData>
      <sheetData sheetId="3856">
        <row r="34">
          <cell r="A34" t="str">
            <v>Investments Govt Securities</v>
          </cell>
        </row>
      </sheetData>
      <sheetData sheetId="3857">
        <row r="34">
          <cell r="A34" t="str">
            <v>Investments Govt Securities</v>
          </cell>
        </row>
      </sheetData>
      <sheetData sheetId="3858">
        <row r="34">
          <cell r="A34" t="str">
            <v>Investments Govt Securities</v>
          </cell>
        </row>
      </sheetData>
      <sheetData sheetId="3859">
        <row r="34">
          <cell r="A34" t="str">
            <v>Investments Govt Securities</v>
          </cell>
        </row>
      </sheetData>
      <sheetData sheetId="3860">
        <row r="34">
          <cell r="A34" t="str">
            <v>Investments Govt Securities</v>
          </cell>
        </row>
      </sheetData>
      <sheetData sheetId="3861">
        <row r="34">
          <cell r="A34" t="str">
            <v>Investments Govt Securities</v>
          </cell>
        </row>
      </sheetData>
      <sheetData sheetId="3862">
        <row r="34">
          <cell r="A34" t="str">
            <v>Investments Govt Securities</v>
          </cell>
        </row>
      </sheetData>
      <sheetData sheetId="3863">
        <row r="34">
          <cell r="A34" t="str">
            <v>Investments Govt Securities</v>
          </cell>
        </row>
      </sheetData>
      <sheetData sheetId="3864">
        <row r="34">
          <cell r="A34" t="str">
            <v>Investments Govt Securities</v>
          </cell>
        </row>
      </sheetData>
      <sheetData sheetId="3865">
        <row r="34">
          <cell r="A34" t="str">
            <v>Investments Govt Securities</v>
          </cell>
        </row>
      </sheetData>
      <sheetData sheetId="3866">
        <row r="34">
          <cell r="A34" t="str">
            <v>Investments Govt Securities</v>
          </cell>
        </row>
      </sheetData>
      <sheetData sheetId="3867">
        <row r="34">
          <cell r="A34" t="str">
            <v>Investments Govt Securities</v>
          </cell>
        </row>
      </sheetData>
      <sheetData sheetId="3868">
        <row r="34">
          <cell r="A34" t="str">
            <v>Investments Govt Securities</v>
          </cell>
        </row>
      </sheetData>
      <sheetData sheetId="3869">
        <row r="34">
          <cell r="A34" t="str">
            <v>Investments Govt Securities</v>
          </cell>
        </row>
      </sheetData>
      <sheetData sheetId="3870">
        <row r="34">
          <cell r="A34" t="str">
            <v>Investments Govt Securities</v>
          </cell>
        </row>
      </sheetData>
      <sheetData sheetId="3871">
        <row r="34">
          <cell r="A34" t="str">
            <v>Investments Govt Securities</v>
          </cell>
        </row>
      </sheetData>
      <sheetData sheetId="3872">
        <row r="34">
          <cell r="A34" t="str">
            <v>Investments Govt Securities</v>
          </cell>
        </row>
      </sheetData>
      <sheetData sheetId="3873">
        <row r="34">
          <cell r="A34" t="str">
            <v>Investments Govt Securities</v>
          </cell>
        </row>
      </sheetData>
      <sheetData sheetId="3874">
        <row r="34">
          <cell r="A34" t="str">
            <v>Investments Govt Securities</v>
          </cell>
        </row>
      </sheetData>
      <sheetData sheetId="3875" refreshError="1"/>
      <sheetData sheetId="3876" refreshError="1"/>
      <sheetData sheetId="3877">
        <row r="34">
          <cell r="A34" t="str">
            <v>Investments Govt Securities</v>
          </cell>
        </row>
      </sheetData>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ow r="34">
          <cell r="A34" t="str">
            <v>Investments Govt Securities</v>
          </cell>
        </row>
      </sheetData>
      <sheetData sheetId="3978" refreshError="1"/>
      <sheetData sheetId="3979" refreshError="1"/>
      <sheetData sheetId="3980" refreshError="1"/>
      <sheetData sheetId="3981" refreshError="1"/>
      <sheetData sheetId="3982" refreshError="1"/>
      <sheetData sheetId="3983">
        <row r="34">
          <cell r="A34" t="str">
            <v>Investments Govt Securities</v>
          </cell>
        </row>
      </sheetData>
      <sheetData sheetId="3984">
        <row r="34">
          <cell r="A34" t="str">
            <v>Investments Govt Securities</v>
          </cell>
        </row>
      </sheetData>
      <sheetData sheetId="3985">
        <row r="34">
          <cell r="A34" t="str">
            <v>Investments Govt Securities</v>
          </cell>
        </row>
      </sheetData>
      <sheetData sheetId="3986">
        <row r="34">
          <cell r="A34" t="str">
            <v>Investments Govt Securities</v>
          </cell>
        </row>
      </sheetData>
      <sheetData sheetId="3987">
        <row r="34">
          <cell r="A34" t="str">
            <v>Investments Govt Securities</v>
          </cell>
        </row>
      </sheetData>
      <sheetData sheetId="3988">
        <row r="34">
          <cell r="A34" t="str">
            <v>Investments Govt Securities</v>
          </cell>
        </row>
      </sheetData>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ow r="34">
          <cell r="A34" t="str">
            <v>Investments Govt Securities</v>
          </cell>
        </row>
      </sheetData>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ow r="34">
          <cell r="A34" t="str">
            <v>Investments Govt Securities</v>
          </cell>
        </row>
      </sheetData>
      <sheetData sheetId="4161" refreshError="1"/>
      <sheetData sheetId="4162" refreshError="1"/>
      <sheetData sheetId="4163" refreshError="1"/>
      <sheetData sheetId="4164" refreshError="1"/>
      <sheetData sheetId="4165" refreshError="1"/>
      <sheetData sheetId="4166" refreshError="1"/>
      <sheetData sheetId="4167">
        <row r="34">
          <cell r="A34" t="str">
            <v>Investments Govt Securities</v>
          </cell>
        </row>
      </sheetData>
      <sheetData sheetId="4168">
        <row r="34">
          <cell r="A34" t="str">
            <v>Investments Govt Securities</v>
          </cell>
        </row>
      </sheetData>
      <sheetData sheetId="4169">
        <row r="34">
          <cell r="A34" t="str">
            <v>Investments Govt Securities</v>
          </cell>
        </row>
      </sheetData>
      <sheetData sheetId="4170">
        <row r="34">
          <cell r="A34" t="str">
            <v>Investments Govt Securities</v>
          </cell>
        </row>
      </sheetData>
      <sheetData sheetId="4171">
        <row r="34">
          <cell r="A34" t="str">
            <v>Investments Govt Securities</v>
          </cell>
        </row>
      </sheetData>
      <sheetData sheetId="4172">
        <row r="34">
          <cell r="A34" t="str">
            <v>Investments Govt Securities</v>
          </cell>
        </row>
      </sheetData>
      <sheetData sheetId="4173">
        <row r="34">
          <cell r="A34" t="str">
            <v>Investments Govt Securities</v>
          </cell>
        </row>
      </sheetData>
      <sheetData sheetId="4174">
        <row r="34">
          <cell r="A34" t="str">
            <v>Investments Govt Securities</v>
          </cell>
        </row>
      </sheetData>
      <sheetData sheetId="4175">
        <row r="34">
          <cell r="A34" t="str">
            <v>Investments Govt Securities</v>
          </cell>
        </row>
      </sheetData>
      <sheetData sheetId="4176">
        <row r="34">
          <cell r="A34" t="str">
            <v>Investments Govt Securities</v>
          </cell>
        </row>
      </sheetData>
      <sheetData sheetId="4177">
        <row r="34">
          <cell r="A34" t="str">
            <v>Investments Govt Securities</v>
          </cell>
        </row>
      </sheetData>
      <sheetData sheetId="4178">
        <row r="34">
          <cell r="A34" t="str">
            <v>Investments Govt Securities</v>
          </cell>
        </row>
      </sheetData>
      <sheetData sheetId="4179">
        <row r="34">
          <cell r="A34" t="str">
            <v>Investments Govt Securities</v>
          </cell>
        </row>
      </sheetData>
      <sheetData sheetId="4180">
        <row r="34">
          <cell r="A34" t="str">
            <v>Investments Govt Securities</v>
          </cell>
        </row>
      </sheetData>
      <sheetData sheetId="4181">
        <row r="34">
          <cell r="A34" t="str">
            <v>Investments Govt Securities</v>
          </cell>
        </row>
      </sheetData>
      <sheetData sheetId="4182">
        <row r="34">
          <cell r="A34" t="str">
            <v>Investments Govt Securities</v>
          </cell>
        </row>
      </sheetData>
      <sheetData sheetId="4183">
        <row r="34">
          <cell r="A34" t="str">
            <v>Investments Govt Securities</v>
          </cell>
        </row>
      </sheetData>
      <sheetData sheetId="4184">
        <row r="34">
          <cell r="A34" t="str">
            <v>Investments Govt Securities</v>
          </cell>
        </row>
      </sheetData>
      <sheetData sheetId="4185">
        <row r="34">
          <cell r="A34" t="str">
            <v>Investments Govt Securities</v>
          </cell>
        </row>
      </sheetData>
      <sheetData sheetId="4186">
        <row r="34">
          <cell r="A34" t="str">
            <v>Investments Govt Securities</v>
          </cell>
        </row>
      </sheetData>
      <sheetData sheetId="4187">
        <row r="34">
          <cell r="A34" t="str">
            <v>Investments Govt Securities</v>
          </cell>
        </row>
      </sheetData>
      <sheetData sheetId="4188">
        <row r="34">
          <cell r="A34" t="str">
            <v>Investments Govt Securities</v>
          </cell>
        </row>
      </sheetData>
      <sheetData sheetId="4189">
        <row r="34">
          <cell r="A34" t="str">
            <v>Investments Govt Securities</v>
          </cell>
        </row>
      </sheetData>
      <sheetData sheetId="4190">
        <row r="34">
          <cell r="A34" t="str">
            <v>Investments Govt Securities</v>
          </cell>
        </row>
      </sheetData>
      <sheetData sheetId="4191">
        <row r="34">
          <cell r="A34" t="str">
            <v>Investments Govt Securities</v>
          </cell>
        </row>
      </sheetData>
      <sheetData sheetId="4192">
        <row r="34">
          <cell r="A34" t="str">
            <v>Investments Govt Securities</v>
          </cell>
        </row>
      </sheetData>
      <sheetData sheetId="4193">
        <row r="34">
          <cell r="A34" t="str">
            <v>Investments Govt Securities</v>
          </cell>
        </row>
      </sheetData>
      <sheetData sheetId="4194">
        <row r="34">
          <cell r="A34" t="str">
            <v>Investments Govt Securities</v>
          </cell>
        </row>
      </sheetData>
      <sheetData sheetId="4195">
        <row r="34">
          <cell r="A34" t="str">
            <v>Investments Govt Securities</v>
          </cell>
        </row>
      </sheetData>
      <sheetData sheetId="4196">
        <row r="34">
          <cell r="A34" t="str">
            <v>Investments Govt Securities</v>
          </cell>
        </row>
      </sheetData>
      <sheetData sheetId="4197">
        <row r="34">
          <cell r="A34" t="str">
            <v>Investments Govt Securities</v>
          </cell>
        </row>
      </sheetData>
      <sheetData sheetId="4198">
        <row r="34">
          <cell r="A34" t="str">
            <v>Investments Govt Securities</v>
          </cell>
        </row>
      </sheetData>
      <sheetData sheetId="4199">
        <row r="34">
          <cell r="A34" t="str">
            <v>Investments Govt Securities</v>
          </cell>
        </row>
      </sheetData>
      <sheetData sheetId="4200">
        <row r="34">
          <cell r="A34" t="str">
            <v>Investments Govt Securities</v>
          </cell>
        </row>
      </sheetData>
      <sheetData sheetId="4201">
        <row r="34">
          <cell r="A34" t="str">
            <v>Investments Govt Securities</v>
          </cell>
        </row>
      </sheetData>
      <sheetData sheetId="4202">
        <row r="34">
          <cell r="A34" t="str">
            <v>Investments Govt Securities</v>
          </cell>
        </row>
      </sheetData>
      <sheetData sheetId="4203">
        <row r="34">
          <cell r="A34" t="str">
            <v>Investments Govt Securities</v>
          </cell>
        </row>
      </sheetData>
      <sheetData sheetId="4204">
        <row r="34">
          <cell r="A34" t="str">
            <v>Investments Govt Securities</v>
          </cell>
        </row>
      </sheetData>
      <sheetData sheetId="4205">
        <row r="34">
          <cell r="A34" t="str">
            <v>Investments Govt Securities</v>
          </cell>
        </row>
      </sheetData>
      <sheetData sheetId="4206">
        <row r="34">
          <cell r="A34" t="str">
            <v>Investments Govt Securities</v>
          </cell>
        </row>
      </sheetData>
      <sheetData sheetId="4207">
        <row r="34">
          <cell r="A34" t="str">
            <v>Investments Govt Securities</v>
          </cell>
        </row>
      </sheetData>
      <sheetData sheetId="4208">
        <row r="34">
          <cell r="A34" t="str">
            <v>Investments Govt Securities</v>
          </cell>
        </row>
      </sheetData>
      <sheetData sheetId="4209">
        <row r="34">
          <cell r="A34" t="str">
            <v>Investments Govt Securities</v>
          </cell>
        </row>
      </sheetData>
      <sheetData sheetId="4210">
        <row r="34">
          <cell r="A34" t="str">
            <v>Investments Govt Securities</v>
          </cell>
        </row>
      </sheetData>
      <sheetData sheetId="4211">
        <row r="34">
          <cell r="A34" t="str">
            <v>Investments Govt Securities</v>
          </cell>
        </row>
      </sheetData>
      <sheetData sheetId="4212">
        <row r="34">
          <cell r="A34" t="str">
            <v>Investments Govt Securities</v>
          </cell>
        </row>
      </sheetData>
      <sheetData sheetId="4213">
        <row r="34">
          <cell r="A34" t="str">
            <v>Investments Govt Securities</v>
          </cell>
        </row>
      </sheetData>
      <sheetData sheetId="4214">
        <row r="34">
          <cell r="A34" t="str">
            <v>Investments Govt Securities</v>
          </cell>
        </row>
      </sheetData>
      <sheetData sheetId="4215">
        <row r="34">
          <cell r="A34" t="str">
            <v>Investments Govt Securities</v>
          </cell>
        </row>
      </sheetData>
      <sheetData sheetId="4216">
        <row r="34">
          <cell r="A34" t="str">
            <v>Investments Govt Securities</v>
          </cell>
        </row>
      </sheetData>
      <sheetData sheetId="4217">
        <row r="34">
          <cell r="A34" t="str">
            <v>Investments Govt Securities</v>
          </cell>
        </row>
      </sheetData>
      <sheetData sheetId="4218">
        <row r="34">
          <cell r="A34" t="str">
            <v>Investments Govt Securities</v>
          </cell>
        </row>
      </sheetData>
      <sheetData sheetId="4219">
        <row r="34">
          <cell r="A34" t="str">
            <v>Investments Govt Securities</v>
          </cell>
        </row>
      </sheetData>
      <sheetData sheetId="4220">
        <row r="34">
          <cell r="A34" t="str">
            <v>Investments Govt Securities</v>
          </cell>
        </row>
      </sheetData>
      <sheetData sheetId="4221">
        <row r="34">
          <cell r="A34" t="str">
            <v>Investments Govt Securities</v>
          </cell>
        </row>
      </sheetData>
      <sheetData sheetId="4222">
        <row r="34">
          <cell r="A34" t="str">
            <v>Investments Govt Securities</v>
          </cell>
        </row>
      </sheetData>
      <sheetData sheetId="4223">
        <row r="34">
          <cell r="A34" t="str">
            <v>Investments Govt Securities</v>
          </cell>
        </row>
      </sheetData>
      <sheetData sheetId="4224">
        <row r="34">
          <cell r="A34" t="str">
            <v>Investments Govt Securities</v>
          </cell>
        </row>
      </sheetData>
      <sheetData sheetId="4225">
        <row r="34">
          <cell r="A34" t="str">
            <v>Investments Govt Securities</v>
          </cell>
        </row>
      </sheetData>
      <sheetData sheetId="4226">
        <row r="34">
          <cell r="A34" t="str">
            <v>Investments Govt Securities</v>
          </cell>
        </row>
      </sheetData>
      <sheetData sheetId="4227">
        <row r="34">
          <cell r="A34" t="str">
            <v>Investments Govt Securities</v>
          </cell>
        </row>
      </sheetData>
      <sheetData sheetId="4228">
        <row r="34">
          <cell r="A34" t="str">
            <v>Investments Govt Securities</v>
          </cell>
        </row>
      </sheetData>
      <sheetData sheetId="4229">
        <row r="34">
          <cell r="A34" t="str">
            <v>Investments Govt Securities</v>
          </cell>
        </row>
      </sheetData>
      <sheetData sheetId="4230">
        <row r="34">
          <cell r="A34" t="str">
            <v>Investments Govt Securities</v>
          </cell>
        </row>
      </sheetData>
      <sheetData sheetId="4231">
        <row r="34">
          <cell r="A34" t="str">
            <v>Investments Govt Securities</v>
          </cell>
        </row>
      </sheetData>
      <sheetData sheetId="4232">
        <row r="34">
          <cell r="A34" t="str">
            <v>Investments Govt Securities</v>
          </cell>
        </row>
      </sheetData>
      <sheetData sheetId="4233">
        <row r="34">
          <cell r="A34" t="str">
            <v>Investments Govt Securities</v>
          </cell>
        </row>
      </sheetData>
      <sheetData sheetId="4234">
        <row r="34">
          <cell r="A34" t="str">
            <v>Investments Govt Securities</v>
          </cell>
        </row>
      </sheetData>
      <sheetData sheetId="4235">
        <row r="34">
          <cell r="A34" t="str">
            <v>Investments Govt Securities</v>
          </cell>
        </row>
      </sheetData>
      <sheetData sheetId="4236">
        <row r="34">
          <cell r="A34" t="str">
            <v>Investments Govt Securities</v>
          </cell>
        </row>
      </sheetData>
      <sheetData sheetId="4237">
        <row r="34">
          <cell r="A34" t="str">
            <v>Investments Govt Securities</v>
          </cell>
        </row>
      </sheetData>
      <sheetData sheetId="4238">
        <row r="34">
          <cell r="A34" t="str">
            <v>Investments Govt Securities</v>
          </cell>
        </row>
      </sheetData>
      <sheetData sheetId="4239">
        <row r="34">
          <cell r="A34" t="str">
            <v>Investments Govt Securities</v>
          </cell>
        </row>
      </sheetData>
      <sheetData sheetId="4240">
        <row r="34">
          <cell r="A34" t="str">
            <v>Investments Govt Securities</v>
          </cell>
        </row>
      </sheetData>
      <sheetData sheetId="4241">
        <row r="34">
          <cell r="A34" t="str">
            <v>Investments Govt Securities</v>
          </cell>
        </row>
      </sheetData>
      <sheetData sheetId="4242">
        <row r="34">
          <cell r="A34" t="str">
            <v>Investments Govt Securities</v>
          </cell>
        </row>
      </sheetData>
      <sheetData sheetId="4243">
        <row r="34">
          <cell r="A34" t="str">
            <v>Investments Govt Securities</v>
          </cell>
        </row>
      </sheetData>
      <sheetData sheetId="4244">
        <row r="34">
          <cell r="A34" t="str">
            <v>Investments Govt Securities</v>
          </cell>
        </row>
      </sheetData>
      <sheetData sheetId="4245">
        <row r="34">
          <cell r="A34" t="str">
            <v>Investments Govt Securities</v>
          </cell>
        </row>
      </sheetData>
      <sheetData sheetId="4246">
        <row r="34">
          <cell r="A34" t="str">
            <v>Investments Govt Securities</v>
          </cell>
        </row>
      </sheetData>
      <sheetData sheetId="4247">
        <row r="34">
          <cell r="A34" t="str">
            <v>Investments Govt Securities</v>
          </cell>
        </row>
      </sheetData>
      <sheetData sheetId="4248">
        <row r="34">
          <cell r="A34" t="str">
            <v>Investments Govt Securities</v>
          </cell>
        </row>
      </sheetData>
      <sheetData sheetId="4249">
        <row r="34">
          <cell r="A34" t="str">
            <v>Investments Govt Securities</v>
          </cell>
        </row>
      </sheetData>
      <sheetData sheetId="4250">
        <row r="34">
          <cell r="A34" t="str">
            <v>Investments Govt Securities</v>
          </cell>
        </row>
      </sheetData>
      <sheetData sheetId="4251">
        <row r="34">
          <cell r="A34" t="str">
            <v>Investments Govt Securities</v>
          </cell>
        </row>
      </sheetData>
      <sheetData sheetId="4252">
        <row r="34">
          <cell r="A34" t="str">
            <v>Investments Govt Securities</v>
          </cell>
        </row>
      </sheetData>
      <sheetData sheetId="4253">
        <row r="34">
          <cell r="A34" t="str">
            <v>Investments Govt Securities</v>
          </cell>
        </row>
      </sheetData>
      <sheetData sheetId="4254">
        <row r="34">
          <cell r="A34" t="str">
            <v>Investments Govt Securities</v>
          </cell>
        </row>
      </sheetData>
      <sheetData sheetId="4255">
        <row r="34">
          <cell r="A34" t="str">
            <v>Investments Govt Securities</v>
          </cell>
        </row>
      </sheetData>
      <sheetData sheetId="4256">
        <row r="34">
          <cell r="A34" t="str">
            <v>Investments Govt Securities</v>
          </cell>
        </row>
      </sheetData>
      <sheetData sheetId="4257">
        <row r="34">
          <cell r="A34" t="str">
            <v>Investments Govt Securities</v>
          </cell>
        </row>
      </sheetData>
      <sheetData sheetId="4258">
        <row r="34">
          <cell r="A34" t="str">
            <v>Investments Govt Securities</v>
          </cell>
        </row>
      </sheetData>
      <sheetData sheetId="4259">
        <row r="34">
          <cell r="A34" t="str">
            <v>Investments Govt Securities</v>
          </cell>
        </row>
      </sheetData>
      <sheetData sheetId="4260">
        <row r="34">
          <cell r="A34" t="str">
            <v>Investments Govt Securities</v>
          </cell>
        </row>
      </sheetData>
      <sheetData sheetId="4261">
        <row r="34">
          <cell r="A34" t="str">
            <v>Investments Govt Securities</v>
          </cell>
        </row>
      </sheetData>
      <sheetData sheetId="4262">
        <row r="34">
          <cell r="A34" t="str">
            <v>Investments Govt Securities</v>
          </cell>
        </row>
      </sheetData>
      <sheetData sheetId="4263">
        <row r="34">
          <cell r="A34" t="str">
            <v>Investments Govt Securities</v>
          </cell>
        </row>
      </sheetData>
      <sheetData sheetId="4264">
        <row r="34">
          <cell r="A34" t="str">
            <v>Investments Govt Securities</v>
          </cell>
        </row>
      </sheetData>
      <sheetData sheetId="4265">
        <row r="34">
          <cell r="A34" t="str">
            <v>Investments Govt Securities</v>
          </cell>
        </row>
      </sheetData>
      <sheetData sheetId="4266">
        <row r="34">
          <cell r="A34" t="str">
            <v>Investments Govt Securities</v>
          </cell>
        </row>
      </sheetData>
      <sheetData sheetId="4267">
        <row r="34">
          <cell r="A34" t="str">
            <v>Investments Govt Securities</v>
          </cell>
        </row>
      </sheetData>
      <sheetData sheetId="4268">
        <row r="34">
          <cell r="A34" t="str">
            <v>Investments Govt Securities</v>
          </cell>
        </row>
      </sheetData>
      <sheetData sheetId="4269">
        <row r="34">
          <cell r="A34" t="str">
            <v>Investments Govt Securities</v>
          </cell>
        </row>
      </sheetData>
      <sheetData sheetId="4270">
        <row r="34">
          <cell r="A34" t="str">
            <v>Investments Govt Securities</v>
          </cell>
        </row>
      </sheetData>
      <sheetData sheetId="4271">
        <row r="34">
          <cell r="A34" t="str">
            <v>Investments Govt Securities</v>
          </cell>
        </row>
      </sheetData>
      <sheetData sheetId="4272">
        <row r="34">
          <cell r="A34" t="str">
            <v>Investments Govt Securities</v>
          </cell>
        </row>
      </sheetData>
      <sheetData sheetId="4273">
        <row r="34">
          <cell r="A34" t="str">
            <v>Investments Govt Securities</v>
          </cell>
        </row>
      </sheetData>
      <sheetData sheetId="4274">
        <row r="34">
          <cell r="A34" t="str">
            <v>Investments Govt Securities</v>
          </cell>
        </row>
      </sheetData>
      <sheetData sheetId="4275">
        <row r="34">
          <cell r="A34" t="str">
            <v>Investments Govt Securities</v>
          </cell>
        </row>
      </sheetData>
      <sheetData sheetId="4276">
        <row r="34">
          <cell r="A34" t="str">
            <v>Investments Govt Securities</v>
          </cell>
        </row>
      </sheetData>
      <sheetData sheetId="4277">
        <row r="34">
          <cell r="A34" t="str">
            <v>Investments Govt Securities</v>
          </cell>
        </row>
      </sheetData>
      <sheetData sheetId="4278">
        <row r="34">
          <cell r="A34" t="str">
            <v>Investments Govt Securities</v>
          </cell>
        </row>
      </sheetData>
      <sheetData sheetId="4279">
        <row r="34">
          <cell r="A34" t="str">
            <v>Investments Govt Securities</v>
          </cell>
        </row>
      </sheetData>
      <sheetData sheetId="4280">
        <row r="34">
          <cell r="A34" t="str">
            <v>Investments Govt Securities</v>
          </cell>
        </row>
      </sheetData>
      <sheetData sheetId="4281">
        <row r="34">
          <cell r="A34" t="str">
            <v>Investments Govt Securities</v>
          </cell>
        </row>
      </sheetData>
      <sheetData sheetId="4282">
        <row r="34">
          <cell r="A34" t="str">
            <v>Investments Govt Securities</v>
          </cell>
        </row>
      </sheetData>
      <sheetData sheetId="4283">
        <row r="34">
          <cell r="A34" t="str">
            <v>Investments Govt Securities</v>
          </cell>
        </row>
      </sheetData>
      <sheetData sheetId="4284">
        <row r="34">
          <cell r="A34" t="str">
            <v>Investments Govt Securities</v>
          </cell>
        </row>
      </sheetData>
      <sheetData sheetId="4285">
        <row r="34">
          <cell r="A34" t="str">
            <v>Investments Govt Securities</v>
          </cell>
        </row>
      </sheetData>
      <sheetData sheetId="4286">
        <row r="34">
          <cell r="A34" t="str">
            <v>Investments Govt Securities</v>
          </cell>
        </row>
      </sheetData>
      <sheetData sheetId="4287">
        <row r="34">
          <cell r="A34" t="str">
            <v>Investments Govt Securities</v>
          </cell>
        </row>
      </sheetData>
      <sheetData sheetId="4288">
        <row r="34">
          <cell r="A34" t="str">
            <v>Investments Govt Securities</v>
          </cell>
        </row>
      </sheetData>
      <sheetData sheetId="4289" refreshError="1"/>
      <sheetData sheetId="4290">
        <row r="34">
          <cell r="A34" t="str">
            <v>Investments Govt Securities</v>
          </cell>
        </row>
      </sheetData>
      <sheetData sheetId="4291">
        <row r="34">
          <cell r="A34" t="str">
            <v>Investments Govt Securities</v>
          </cell>
        </row>
      </sheetData>
      <sheetData sheetId="4292">
        <row r="34">
          <cell r="A34" t="str">
            <v>Investments Govt Securities</v>
          </cell>
        </row>
      </sheetData>
      <sheetData sheetId="4293">
        <row r="34">
          <cell r="A34" t="str">
            <v>Investments Govt Securities</v>
          </cell>
        </row>
      </sheetData>
      <sheetData sheetId="4294">
        <row r="34">
          <cell r="A34" t="str">
            <v>Investments Govt Securities</v>
          </cell>
        </row>
      </sheetData>
      <sheetData sheetId="4295">
        <row r="34">
          <cell r="A34" t="str">
            <v>Investments Govt Securities</v>
          </cell>
        </row>
      </sheetData>
      <sheetData sheetId="4296">
        <row r="34">
          <cell r="A34" t="str">
            <v>Investments Govt Securities</v>
          </cell>
        </row>
      </sheetData>
      <sheetData sheetId="4297">
        <row r="34">
          <cell r="A34" t="str">
            <v>Investments Govt Securities</v>
          </cell>
        </row>
      </sheetData>
      <sheetData sheetId="4298">
        <row r="34">
          <cell r="A34" t="str">
            <v>Investments Govt Securities</v>
          </cell>
        </row>
      </sheetData>
      <sheetData sheetId="4299">
        <row r="34">
          <cell r="A34" t="str">
            <v>Investments Govt Securities</v>
          </cell>
        </row>
      </sheetData>
      <sheetData sheetId="4300">
        <row r="34">
          <cell r="A34" t="str">
            <v>Investments Govt Securities</v>
          </cell>
        </row>
      </sheetData>
      <sheetData sheetId="4301">
        <row r="34">
          <cell r="A34" t="str">
            <v>Investments Govt Securities</v>
          </cell>
        </row>
      </sheetData>
      <sheetData sheetId="4302">
        <row r="34">
          <cell r="A34" t="str">
            <v>Investments Govt Securities</v>
          </cell>
        </row>
      </sheetData>
      <sheetData sheetId="4303">
        <row r="34">
          <cell r="A34" t="str">
            <v>Investments Govt Securities</v>
          </cell>
        </row>
      </sheetData>
      <sheetData sheetId="4304">
        <row r="34">
          <cell r="A34" t="str">
            <v>Investments Govt Securities</v>
          </cell>
        </row>
      </sheetData>
      <sheetData sheetId="4305">
        <row r="34">
          <cell r="A34" t="str">
            <v>Investments Govt Securities</v>
          </cell>
        </row>
      </sheetData>
      <sheetData sheetId="4306">
        <row r="34">
          <cell r="A34" t="str">
            <v>Investments Govt Securities</v>
          </cell>
        </row>
      </sheetData>
      <sheetData sheetId="4307">
        <row r="34">
          <cell r="A34" t="str">
            <v>Investments Govt Securities</v>
          </cell>
        </row>
      </sheetData>
      <sheetData sheetId="4308">
        <row r="34">
          <cell r="A34" t="str">
            <v>Investments Govt Securities</v>
          </cell>
        </row>
      </sheetData>
      <sheetData sheetId="4309">
        <row r="34">
          <cell r="A34" t="str">
            <v>Investments Govt Securities</v>
          </cell>
        </row>
      </sheetData>
      <sheetData sheetId="4310">
        <row r="34">
          <cell r="A34" t="str">
            <v>Investments Govt Securities</v>
          </cell>
        </row>
      </sheetData>
      <sheetData sheetId="4311">
        <row r="34">
          <cell r="A34" t="str">
            <v>Investments Govt Securities</v>
          </cell>
        </row>
      </sheetData>
      <sheetData sheetId="4312">
        <row r="34">
          <cell r="A34" t="str">
            <v>Investments Govt Securities</v>
          </cell>
        </row>
      </sheetData>
      <sheetData sheetId="4313">
        <row r="34">
          <cell r="A34" t="str">
            <v>Investments Govt Securities</v>
          </cell>
        </row>
      </sheetData>
      <sheetData sheetId="4314">
        <row r="34">
          <cell r="A34" t="str">
            <v>Investments Govt Securities</v>
          </cell>
        </row>
      </sheetData>
      <sheetData sheetId="4315">
        <row r="34">
          <cell r="A34" t="str">
            <v>Investments Govt Securities</v>
          </cell>
        </row>
      </sheetData>
      <sheetData sheetId="4316">
        <row r="34">
          <cell r="A34" t="str">
            <v>Investments Govt Securities</v>
          </cell>
        </row>
      </sheetData>
      <sheetData sheetId="4317">
        <row r="34">
          <cell r="A34" t="str">
            <v>Investments Govt Securities</v>
          </cell>
        </row>
      </sheetData>
      <sheetData sheetId="4318">
        <row r="34">
          <cell r="A34" t="str">
            <v>Investments Govt Securities</v>
          </cell>
        </row>
      </sheetData>
      <sheetData sheetId="4319">
        <row r="34">
          <cell r="A34" t="str">
            <v>Investments Govt Securities</v>
          </cell>
        </row>
      </sheetData>
      <sheetData sheetId="4320">
        <row r="34">
          <cell r="A34" t="str">
            <v>Investments Govt Securities</v>
          </cell>
        </row>
      </sheetData>
      <sheetData sheetId="4321">
        <row r="34">
          <cell r="A34" t="str">
            <v>Investments Govt Securities</v>
          </cell>
        </row>
      </sheetData>
      <sheetData sheetId="4322">
        <row r="34">
          <cell r="A34" t="str">
            <v>Investments Govt Securities</v>
          </cell>
        </row>
      </sheetData>
      <sheetData sheetId="4323">
        <row r="34">
          <cell r="A34" t="str">
            <v>Investments Govt Securities</v>
          </cell>
        </row>
      </sheetData>
      <sheetData sheetId="4324">
        <row r="34">
          <cell r="A34" t="str">
            <v>Investments Govt Securities</v>
          </cell>
        </row>
      </sheetData>
      <sheetData sheetId="4325">
        <row r="34">
          <cell r="A34" t="str">
            <v>Investments Govt Securities</v>
          </cell>
        </row>
      </sheetData>
      <sheetData sheetId="4326">
        <row r="34">
          <cell r="A34" t="str">
            <v>Investments Govt Securities</v>
          </cell>
        </row>
      </sheetData>
      <sheetData sheetId="4327">
        <row r="34">
          <cell r="A34" t="str">
            <v>Investments Govt Securities</v>
          </cell>
        </row>
      </sheetData>
      <sheetData sheetId="4328">
        <row r="34">
          <cell r="A34" t="str">
            <v>Investments Govt Securities</v>
          </cell>
        </row>
      </sheetData>
      <sheetData sheetId="4329">
        <row r="34">
          <cell r="A34" t="str">
            <v>Investments Govt Securities</v>
          </cell>
        </row>
      </sheetData>
      <sheetData sheetId="4330">
        <row r="34">
          <cell r="A34" t="str">
            <v>Investments Govt Securities</v>
          </cell>
        </row>
      </sheetData>
      <sheetData sheetId="4331">
        <row r="34">
          <cell r="A34" t="str">
            <v>Investments Govt Securities</v>
          </cell>
        </row>
      </sheetData>
      <sheetData sheetId="4332">
        <row r="34">
          <cell r="A34" t="str">
            <v>Investments Govt Securities</v>
          </cell>
        </row>
      </sheetData>
      <sheetData sheetId="4333">
        <row r="34">
          <cell r="A34" t="str">
            <v>Investments Govt Securities</v>
          </cell>
        </row>
      </sheetData>
      <sheetData sheetId="4334">
        <row r="34">
          <cell r="A34" t="str">
            <v>Investments Govt Securities</v>
          </cell>
        </row>
      </sheetData>
      <sheetData sheetId="4335">
        <row r="34">
          <cell r="A34" t="str">
            <v>Investments Govt Securities</v>
          </cell>
        </row>
      </sheetData>
      <sheetData sheetId="4336">
        <row r="34">
          <cell r="A34" t="str">
            <v>Investments Govt Securities</v>
          </cell>
        </row>
      </sheetData>
      <sheetData sheetId="4337">
        <row r="34">
          <cell r="A34" t="str">
            <v>Investments Govt Securities</v>
          </cell>
        </row>
      </sheetData>
      <sheetData sheetId="4338">
        <row r="34">
          <cell r="A34" t="str">
            <v>Investments Govt Securities</v>
          </cell>
        </row>
      </sheetData>
      <sheetData sheetId="4339">
        <row r="34">
          <cell r="A34" t="str">
            <v>Investments Govt Securities</v>
          </cell>
        </row>
      </sheetData>
      <sheetData sheetId="4340">
        <row r="34">
          <cell r="A34" t="str">
            <v>Investments Govt Securities</v>
          </cell>
        </row>
      </sheetData>
      <sheetData sheetId="4341">
        <row r="34">
          <cell r="A34" t="str">
            <v>Investments Govt Securities</v>
          </cell>
        </row>
      </sheetData>
      <sheetData sheetId="4342">
        <row r="34">
          <cell r="A34" t="str">
            <v>Investments Govt Securities</v>
          </cell>
        </row>
      </sheetData>
      <sheetData sheetId="4343">
        <row r="34">
          <cell r="A34" t="str">
            <v>Investments Govt Securities</v>
          </cell>
        </row>
      </sheetData>
      <sheetData sheetId="4344">
        <row r="34">
          <cell r="A34" t="str">
            <v>Investments Govt Securities</v>
          </cell>
        </row>
      </sheetData>
      <sheetData sheetId="4345">
        <row r="34">
          <cell r="A34" t="str">
            <v>Investments Govt Securities</v>
          </cell>
        </row>
      </sheetData>
      <sheetData sheetId="4346">
        <row r="34">
          <cell r="A34" t="str">
            <v>Investments Govt Securities</v>
          </cell>
        </row>
      </sheetData>
      <sheetData sheetId="4347">
        <row r="34">
          <cell r="A34" t="str">
            <v>Investments Govt Securities</v>
          </cell>
        </row>
      </sheetData>
      <sheetData sheetId="4348">
        <row r="34">
          <cell r="A34" t="str">
            <v>Investments Govt Securities</v>
          </cell>
        </row>
      </sheetData>
      <sheetData sheetId="4349">
        <row r="34">
          <cell r="A34" t="str">
            <v>Investments Govt Securities</v>
          </cell>
        </row>
      </sheetData>
      <sheetData sheetId="4350">
        <row r="34">
          <cell r="A34" t="str">
            <v>Investments Govt Securities</v>
          </cell>
        </row>
      </sheetData>
      <sheetData sheetId="4351">
        <row r="34">
          <cell r="A34" t="str">
            <v>Investments Govt Securities</v>
          </cell>
        </row>
      </sheetData>
      <sheetData sheetId="4352">
        <row r="34">
          <cell r="A34" t="str">
            <v>Investments Govt Securities</v>
          </cell>
        </row>
      </sheetData>
      <sheetData sheetId="4353">
        <row r="34">
          <cell r="A34" t="str">
            <v>Investments Govt Securities</v>
          </cell>
        </row>
      </sheetData>
      <sheetData sheetId="4354">
        <row r="34">
          <cell r="A34" t="str">
            <v>Investments Govt Securities</v>
          </cell>
        </row>
      </sheetData>
      <sheetData sheetId="4355">
        <row r="34">
          <cell r="A34" t="str">
            <v>Investments Govt Securities</v>
          </cell>
        </row>
      </sheetData>
      <sheetData sheetId="4356">
        <row r="34">
          <cell r="A34" t="str">
            <v>Investments Govt Securities</v>
          </cell>
        </row>
      </sheetData>
      <sheetData sheetId="4357">
        <row r="34">
          <cell r="A34" t="str">
            <v>Investments Govt Securities</v>
          </cell>
        </row>
      </sheetData>
      <sheetData sheetId="4358">
        <row r="34">
          <cell r="A34" t="str">
            <v>Investments Govt Securities</v>
          </cell>
        </row>
      </sheetData>
      <sheetData sheetId="4359">
        <row r="34">
          <cell r="A34" t="str">
            <v>Investments Govt Securities</v>
          </cell>
        </row>
      </sheetData>
      <sheetData sheetId="4360">
        <row r="34">
          <cell r="A34" t="str">
            <v>Investments Govt Securities</v>
          </cell>
        </row>
      </sheetData>
      <sheetData sheetId="4361">
        <row r="34">
          <cell r="A34" t="str">
            <v>Investments Govt Securities</v>
          </cell>
        </row>
      </sheetData>
      <sheetData sheetId="4362">
        <row r="34">
          <cell r="A34" t="str">
            <v>Investments Govt Securities</v>
          </cell>
        </row>
      </sheetData>
      <sheetData sheetId="4363">
        <row r="34">
          <cell r="A34" t="str">
            <v>Investments Govt Securities</v>
          </cell>
        </row>
      </sheetData>
      <sheetData sheetId="4364">
        <row r="34">
          <cell r="A34" t="str">
            <v>Investments Govt Securities</v>
          </cell>
        </row>
      </sheetData>
      <sheetData sheetId="4365">
        <row r="34">
          <cell r="A34" t="str">
            <v>Investments Govt Securities</v>
          </cell>
        </row>
      </sheetData>
      <sheetData sheetId="4366">
        <row r="34">
          <cell r="A34" t="str">
            <v>Investments Govt Securities</v>
          </cell>
        </row>
      </sheetData>
      <sheetData sheetId="4367">
        <row r="34">
          <cell r="A34" t="str">
            <v>Investments Govt Securities</v>
          </cell>
        </row>
      </sheetData>
      <sheetData sheetId="4368">
        <row r="34">
          <cell r="A34" t="str">
            <v>Investments Govt Securities</v>
          </cell>
        </row>
      </sheetData>
      <sheetData sheetId="4369">
        <row r="34">
          <cell r="A34" t="str">
            <v>Investments Govt Securities</v>
          </cell>
        </row>
      </sheetData>
      <sheetData sheetId="4370">
        <row r="34">
          <cell r="A34" t="str">
            <v>Investments Govt Securities</v>
          </cell>
        </row>
      </sheetData>
      <sheetData sheetId="4371">
        <row r="34">
          <cell r="A34" t="str">
            <v>Investments Govt Securities</v>
          </cell>
        </row>
      </sheetData>
      <sheetData sheetId="4372">
        <row r="34">
          <cell r="A34" t="str">
            <v>Investments Govt Securities</v>
          </cell>
        </row>
      </sheetData>
      <sheetData sheetId="4373">
        <row r="34">
          <cell r="A34" t="str">
            <v>Investments Govt Securities</v>
          </cell>
        </row>
      </sheetData>
      <sheetData sheetId="4374">
        <row r="34">
          <cell r="A34" t="str">
            <v>Investments Govt Securities</v>
          </cell>
        </row>
      </sheetData>
      <sheetData sheetId="4375">
        <row r="34">
          <cell r="A34" t="str">
            <v>Investments Govt Securities</v>
          </cell>
        </row>
      </sheetData>
      <sheetData sheetId="4376">
        <row r="34">
          <cell r="A34" t="str">
            <v>Investments Govt Securities</v>
          </cell>
        </row>
      </sheetData>
      <sheetData sheetId="4377">
        <row r="34">
          <cell r="A34" t="str">
            <v>Investments Govt Securities</v>
          </cell>
        </row>
      </sheetData>
      <sheetData sheetId="4378">
        <row r="34">
          <cell r="A34" t="str">
            <v>Investments Govt Securities</v>
          </cell>
        </row>
      </sheetData>
      <sheetData sheetId="4379">
        <row r="34">
          <cell r="A34" t="str">
            <v>Investments Govt Securities</v>
          </cell>
        </row>
      </sheetData>
      <sheetData sheetId="4380">
        <row r="34">
          <cell r="A34" t="str">
            <v>Investments Govt Securities</v>
          </cell>
        </row>
      </sheetData>
      <sheetData sheetId="4381">
        <row r="34">
          <cell r="A34" t="str">
            <v>Investments Govt Securities</v>
          </cell>
        </row>
      </sheetData>
      <sheetData sheetId="4382">
        <row r="34">
          <cell r="A34" t="str">
            <v>Investments Govt Securities</v>
          </cell>
        </row>
      </sheetData>
      <sheetData sheetId="4383">
        <row r="34">
          <cell r="A34" t="str">
            <v>Investments Govt Securities</v>
          </cell>
        </row>
      </sheetData>
      <sheetData sheetId="4384">
        <row r="34">
          <cell r="A34" t="str">
            <v>Investments Govt Securities</v>
          </cell>
        </row>
      </sheetData>
      <sheetData sheetId="4385">
        <row r="34">
          <cell r="A34" t="str">
            <v>Investments Govt Securities</v>
          </cell>
        </row>
      </sheetData>
      <sheetData sheetId="4386">
        <row r="34">
          <cell r="A34" t="str">
            <v>Investments Govt Securities</v>
          </cell>
        </row>
      </sheetData>
      <sheetData sheetId="4387">
        <row r="34">
          <cell r="A34" t="str">
            <v>Investments Govt Securities</v>
          </cell>
        </row>
      </sheetData>
      <sheetData sheetId="4388">
        <row r="34">
          <cell r="A34" t="str">
            <v>Investments Govt Securities</v>
          </cell>
        </row>
      </sheetData>
      <sheetData sheetId="4389">
        <row r="34">
          <cell r="A34" t="str">
            <v>Investments Govt Securities</v>
          </cell>
        </row>
      </sheetData>
      <sheetData sheetId="4390">
        <row r="34">
          <cell r="A34" t="str">
            <v>Investments Govt Securities</v>
          </cell>
        </row>
      </sheetData>
      <sheetData sheetId="4391">
        <row r="34">
          <cell r="A34" t="str">
            <v>Investments Govt Securities</v>
          </cell>
        </row>
      </sheetData>
      <sheetData sheetId="4392">
        <row r="34">
          <cell r="A34" t="str">
            <v>Investments Govt Securities</v>
          </cell>
        </row>
      </sheetData>
      <sheetData sheetId="4393">
        <row r="34">
          <cell r="A34" t="str">
            <v>Investments Govt Securities</v>
          </cell>
        </row>
      </sheetData>
      <sheetData sheetId="4394">
        <row r="34">
          <cell r="A34" t="str">
            <v>Investments Govt Securities</v>
          </cell>
        </row>
      </sheetData>
      <sheetData sheetId="4395">
        <row r="34">
          <cell r="A34" t="str">
            <v>Investments Govt Securities</v>
          </cell>
        </row>
      </sheetData>
      <sheetData sheetId="4396">
        <row r="34">
          <cell r="A34" t="str">
            <v>Investments Govt Securities</v>
          </cell>
        </row>
      </sheetData>
      <sheetData sheetId="4397">
        <row r="34">
          <cell r="A34" t="str">
            <v>Investments Govt Securities</v>
          </cell>
        </row>
      </sheetData>
      <sheetData sheetId="4398">
        <row r="34">
          <cell r="A34" t="str">
            <v>Investments Govt Securities</v>
          </cell>
        </row>
      </sheetData>
      <sheetData sheetId="4399">
        <row r="34">
          <cell r="A34" t="str">
            <v>Investments Govt Securities</v>
          </cell>
        </row>
      </sheetData>
      <sheetData sheetId="4400">
        <row r="34">
          <cell r="A34" t="str">
            <v>Investments Govt Securities</v>
          </cell>
        </row>
      </sheetData>
      <sheetData sheetId="4401">
        <row r="34">
          <cell r="A34" t="str">
            <v>Investments Govt Securities</v>
          </cell>
        </row>
      </sheetData>
      <sheetData sheetId="4402">
        <row r="34">
          <cell r="A34" t="str">
            <v>Investments Govt Securities</v>
          </cell>
        </row>
      </sheetData>
      <sheetData sheetId="4403">
        <row r="34">
          <cell r="A34" t="str">
            <v>Investments Govt Securities</v>
          </cell>
        </row>
      </sheetData>
      <sheetData sheetId="4404">
        <row r="34">
          <cell r="A34" t="str">
            <v>Investments Govt Securities</v>
          </cell>
        </row>
      </sheetData>
      <sheetData sheetId="4405">
        <row r="34">
          <cell r="A34" t="str">
            <v>Investments Govt Securities</v>
          </cell>
        </row>
      </sheetData>
      <sheetData sheetId="4406">
        <row r="34">
          <cell r="A34" t="str">
            <v>Investments Govt Securities</v>
          </cell>
        </row>
      </sheetData>
      <sheetData sheetId="4407">
        <row r="34">
          <cell r="A34" t="str">
            <v>Investments Govt Securities</v>
          </cell>
        </row>
      </sheetData>
      <sheetData sheetId="4408">
        <row r="34">
          <cell r="A34" t="str">
            <v>Investments Govt Securities</v>
          </cell>
        </row>
      </sheetData>
      <sheetData sheetId="4409">
        <row r="34">
          <cell r="A34" t="str">
            <v>Investments Govt Securities</v>
          </cell>
        </row>
      </sheetData>
      <sheetData sheetId="4410">
        <row r="34">
          <cell r="A34" t="str">
            <v>Investments Govt Securities</v>
          </cell>
        </row>
      </sheetData>
      <sheetData sheetId="4411">
        <row r="34">
          <cell r="A34" t="str">
            <v>Investments Govt Securities</v>
          </cell>
        </row>
      </sheetData>
      <sheetData sheetId="4412">
        <row r="34">
          <cell r="A34" t="str">
            <v>Investments Govt Securities</v>
          </cell>
        </row>
      </sheetData>
      <sheetData sheetId="4413">
        <row r="34">
          <cell r="A34" t="str">
            <v>Investments Govt Securities</v>
          </cell>
        </row>
      </sheetData>
      <sheetData sheetId="4414">
        <row r="34">
          <cell r="A34" t="str">
            <v>Investments Govt Securities</v>
          </cell>
        </row>
      </sheetData>
      <sheetData sheetId="4415">
        <row r="34">
          <cell r="A34" t="str">
            <v>Investments Govt Securities</v>
          </cell>
        </row>
      </sheetData>
      <sheetData sheetId="4416">
        <row r="34">
          <cell r="A34" t="str">
            <v>Investments Govt Securities</v>
          </cell>
        </row>
      </sheetData>
      <sheetData sheetId="4417">
        <row r="34">
          <cell r="A34" t="str">
            <v>Investments Govt Securities</v>
          </cell>
        </row>
      </sheetData>
      <sheetData sheetId="4418">
        <row r="34">
          <cell r="A34" t="str">
            <v>Investments Govt Securities</v>
          </cell>
        </row>
      </sheetData>
      <sheetData sheetId="4419">
        <row r="34">
          <cell r="A34" t="str">
            <v>Investments Govt Securities</v>
          </cell>
        </row>
      </sheetData>
      <sheetData sheetId="4420">
        <row r="34">
          <cell r="A34" t="str">
            <v>Investments Govt Securities</v>
          </cell>
        </row>
      </sheetData>
      <sheetData sheetId="4421">
        <row r="34">
          <cell r="A34" t="str">
            <v>Investments Govt Securities</v>
          </cell>
        </row>
      </sheetData>
      <sheetData sheetId="4422">
        <row r="34">
          <cell r="A34" t="str">
            <v>Investments Govt Securities</v>
          </cell>
        </row>
      </sheetData>
      <sheetData sheetId="4423">
        <row r="34">
          <cell r="A34" t="str">
            <v>Investments Govt Securities</v>
          </cell>
        </row>
      </sheetData>
      <sheetData sheetId="4424">
        <row r="34">
          <cell r="A34" t="str">
            <v>Investments Govt Securities</v>
          </cell>
        </row>
      </sheetData>
      <sheetData sheetId="4425">
        <row r="34">
          <cell r="A34" t="str">
            <v>Investments Govt Securities</v>
          </cell>
        </row>
      </sheetData>
      <sheetData sheetId="4426">
        <row r="34">
          <cell r="A34" t="str">
            <v>Investments Govt Securities</v>
          </cell>
        </row>
      </sheetData>
      <sheetData sheetId="4427">
        <row r="34">
          <cell r="A34" t="str">
            <v>Investments Govt Securities</v>
          </cell>
        </row>
      </sheetData>
      <sheetData sheetId="4428">
        <row r="34">
          <cell r="A34" t="str">
            <v>Investments Govt Securities</v>
          </cell>
        </row>
      </sheetData>
      <sheetData sheetId="4429">
        <row r="34">
          <cell r="A34" t="str">
            <v>Investments Govt Securities</v>
          </cell>
        </row>
      </sheetData>
      <sheetData sheetId="4430">
        <row r="34">
          <cell r="A34" t="str">
            <v>Investments Govt Securities</v>
          </cell>
        </row>
      </sheetData>
      <sheetData sheetId="4431">
        <row r="34">
          <cell r="A34" t="str">
            <v>Investments Govt Securities</v>
          </cell>
        </row>
      </sheetData>
      <sheetData sheetId="4432">
        <row r="34">
          <cell r="A34" t="str">
            <v>Investments Govt Securities</v>
          </cell>
        </row>
      </sheetData>
      <sheetData sheetId="4433">
        <row r="34">
          <cell r="A34" t="str">
            <v>Investments Govt Securities</v>
          </cell>
        </row>
      </sheetData>
      <sheetData sheetId="4434">
        <row r="34">
          <cell r="A34" t="str">
            <v>Investments Govt Securities</v>
          </cell>
        </row>
      </sheetData>
      <sheetData sheetId="4435">
        <row r="34">
          <cell r="A34" t="str">
            <v>Investments Govt Securities</v>
          </cell>
        </row>
      </sheetData>
      <sheetData sheetId="4436">
        <row r="34">
          <cell r="A34" t="str">
            <v>Investments Govt Securities</v>
          </cell>
        </row>
      </sheetData>
      <sheetData sheetId="4437">
        <row r="34">
          <cell r="A34" t="str">
            <v>Investments Govt Securities</v>
          </cell>
        </row>
      </sheetData>
      <sheetData sheetId="4438">
        <row r="34">
          <cell r="A34" t="str">
            <v>Investments Govt Securities</v>
          </cell>
        </row>
      </sheetData>
      <sheetData sheetId="4439">
        <row r="34">
          <cell r="A34" t="str">
            <v>Investments Govt Securities</v>
          </cell>
        </row>
      </sheetData>
      <sheetData sheetId="4440">
        <row r="34">
          <cell r="A34" t="str">
            <v>Investments Govt Securities</v>
          </cell>
        </row>
      </sheetData>
      <sheetData sheetId="4441">
        <row r="34">
          <cell r="A34" t="str">
            <v>Investments Govt Securities</v>
          </cell>
        </row>
      </sheetData>
      <sheetData sheetId="4442">
        <row r="34">
          <cell r="A34" t="str">
            <v>Investments Govt Securities</v>
          </cell>
        </row>
      </sheetData>
      <sheetData sheetId="4443">
        <row r="34">
          <cell r="A34" t="str">
            <v>Investments Govt Securities</v>
          </cell>
        </row>
      </sheetData>
      <sheetData sheetId="4444" refreshError="1"/>
      <sheetData sheetId="4445" refreshError="1"/>
      <sheetData sheetId="4446" refreshError="1"/>
      <sheetData sheetId="4447" refreshError="1"/>
      <sheetData sheetId="4448" refreshError="1"/>
      <sheetData sheetId="4449" refreshError="1"/>
      <sheetData sheetId="4450">
        <row r="34">
          <cell r="A34" t="str">
            <v>Investments Govt Securities</v>
          </cell>
        </row>
      </sheetData>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ow r="34">
          <cell r="A34" t="str">
            <v>Investments Govt Securities</v>
          </cell>
        </row>
      </sheetData>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ow r="34">
          <cell r="A34" t="str">
            <v>Investments Govt Securities</v>
          </cell>
        </row>
      </sheetData>
      <sheetData sheetId="4544">
        <row r="34">
          <cell r="A34" t="str">
            <v>Investments Govt Securities</v>
          </cell>
        </row>
      </sheetData>
      <sheetData sheetId="4545" refreshError="1"/>
      <sheetData sheetId="4546" refreshError="1"/>
      <sheetData sheetId="4547">
        <row r="34">
          <cell r="A34" t="str">
            <v>Investments Govt Securities</v>
          </cell>
        </row>
      </sheetData>
      <sheetData sheetId="4548">
        <row r="34">
          <cell r="A34" t="str">
            <v>Investments Govt Securities</v>
          </cell>
        </row>
      </sheetData>
      <sheetData sheetId="4549">
        <row r="34">
          <cell r="A34" t="str">
            <v>Investments Govt Securities</v>
          </cell>
        </row>
      </sheetData>
      <sheetData sheetId="4550">
        <row r="34">
          <cell r="A34" t="str">
            <v>Investments Govt Securities</v>
          </cell>
        </row>
      </sheetData>
      <sheetData sheetId="4551">
        <row r="34">
          <cell r="A34" t="str">
            <v>Investments Govt Securities</v>
          </cell>
        </row>
      </sheetData>
      <sheetData sheetId="4552">
        <row r="34">
          <cell r="A34" t="str">
            <v>Investments Govt Securities</v>
          </cell>
        </row>
      </sheetData>
      <sheetData sheetId="4553">
        <row r="34">
          <cell r="A34" t="str">
            <v>Investments Govt Securities</v>
          </cell>
        </row>
      </sheetData>
      <sheetData sheetId="4554">
        <row r="34">
          <cell r="A34" t="str">
            <v>Investments Govt Securities</v>
          </cell>
        </row>
      </sheetData>
      <sheetData sheetId="4555">
        <row r="34">
          <cell r="A34" t="str">
            <v>Investments Govt Securities</v>
          </cell>
        </row>
      </sheetData>
      <sheetData sheetId="4556">
        <row r="34">
          <cell r="A34" t="str">
            <v>Investments Govt Securities</v>
          </cell>
        </row>
      </sheetData>
      <sheetData sheetId="4557">
        <row r="34">
          <cell r="A34" t="str">
            <v>Investments Govt Securities</v>
          </cell>
        </row>
      </sheetData>
      <sheetData sheetId="4558">
        <row r="34">
          <cell r="A34" t="str">
            <v>Investments Govt Securities</v>
          </cell>
        </row>
      </sheetData>
      <sheetData sheetId="4559">
        <row r="34">
          <cell r="A34" t="str">
            <v>Investments Govt Securities</v>
          </cell>
        </row>
      </sheetData>
      <sheetData sheetId="4560">
        <row r="34">
          <cell r="A34" t="str">
            <v>Investments Govt Securities</v>
          </cell>
        </row>
      </sheetData>
      <sheetData sheetId="4561">
        <row r="34">
          <cell r="A34" t="str">
            <v>Investments Govt Securities</v>
          </cell>
        </row>
      </sheetData>
      <sheetData sheetId="4562">
        <row r="34">
          <cell r="A34" t="str">
            <v>Investments Govt Securities</v>
          </cell>
        </row>
      </sheetData>
      <sheetData sheetId="4563">
        <row r="34">
          <cell r="A34" t="str">
            <v>Investments Govt Securities</v>
          </cell>
        </row>
      </sheetData>
      <sheetData sheetId="4564">
        <row r="34">
          <cell r="A34" t="str">
            <v>Investments Govt Securities</v>
          </cell>
        </row>
      </sheetData>
      <sheetData sheetId="4565">
        <row r="34">
          <cell r="A34" t="str">
            <v>Investments Govt Securities</v>
          </cell>
        </row>
      </sheetData>
      <sheetData sheetId="4566">
        <row r="34">
          <cell r="A34" t="str">
            <v>Investments Govt Securities</v>
          </cell>
        </row>
      </sheetData>
      <sheetData sheetId="4567">
        <row r="34">
          <cell r="A34" t="str">
            <v>Investments Govt Securities</v>
          </cell>
        </row>
      </sheetData>
      <sheetData sheetId="4568">
        <row r="34">
          <cell r="A34" t="str">
            <v>Investments Govt Securities</v>
          </cell>
        </row>
      </sheetData>
      <sheetData sheetId="4569">
        <row r="34">
          <cell r="A34" t="str">
            <v>Investments Govt Securities</v>
          </cell>
        </row>
      </sheetData>
      <sheetData sheetId="4570">
        <row r="34">
          <cell r="A34" t="str">
            <v>Investments Govt Securities</v>
          </cell>
        </row>
      </sheetData>
      <sheetData sheetId="4571">
        <row r="34">
          <cell r="A34" t="str">
            <v>Investments Govt Securities</v>
          </cell>
        </row>
      </sheetData>
      <sheetData sheetId="4572">
        <row r="34">
          <cell r="A34" t="str">
            <v>Investments Govt Securities</v>
          </cell>
        </row>
      </sheetData>
      <sheetData sheetId="4573">
        <row r="34">
          <cell r="A34" t="str">
            <v>Investments Govt Securities</v>
          </cell>
        </row>
      </sheetData>
      <sheetData sheetId="4574">
        <row r="34">
          <cell r="A34" t="str">
            <v>Investments Govt Securities</v>
          </cell>
        </row>
      </sheetData>
      <sheetData sheetId="4575">
        <row r="34">
          <cell r="A34" t="str">
            <v>Investments Govt Securities</v>
          </cell>
        </row>
      </sheetData>
      <sheetData sheetId="4576">
        <row r="34">
          <cell r="A34" t="str">
            <v>Investments Govt Securities</v>
          </cell>
        </row>
      </sheetData>
      <sheetData sheetId="4577">
        <row r="34">
          <cell r="A34" t="str">
            <v>Investments Govt Securities</v>
          </cell>
        </row>
      </sheetData>
      <sheetData sheetId="4578">
        <row r="34">
          <cell r="A34" t="str">
            <v>Investments Govt Securities</v>
          </cell>
        </row>
      </sheetData>
      <sheetData sheetId="4579">
        <row r="34">
          <cell r="A34" t="str">
            <v>Investments Govt Securities</v>
          </cell>
        </row>
      </sheetData>
      <sheetData sheetId="4580">
        <row r="34">
          <cell r="A34" t="str">
            <v>Investments Govt Securities</v>
          </cell>
        </row>
      </sheetData>
      <sheetData sheetId="4581">
        <row r="34">
          <cell r="A34" t="str">
            <v>Investments Govt Securities</v>
          </cell>
        </row>
      </sheetData>
      <sheetData sheetId="4582">
        <row r="34">
          <cell r="A34" t="str">
            <v>Investments Govt Securities</v>
          </cell>
        </row>
      </sheetData>
      <sheetData sheetId="4583">
        <row r="34">
          <cell r="A34" t="str">
            <v>Investments Govt Securities</v>
          </cell>
        </row>
      </sheetData>
      <sheetData sheetId="4584">
        <row r="34">
          <cell r="A34" t="str">
            <v>Investments Govt Securities</v>
          </cell>
        </row>
      </sheetData>
      <sheetData sheetId="4585">
        <row r="34">
          <cell r="A34" t="str">
            <v>Investments Govt Securities</v>
          </cell>
        </row>
      </sheetData>
      <sheetData sheetId="4586">
        <row r="34">
          <cell r="A34" t="str">
            <v>Investments Govt Securities</v>
          </cell>
        </row>
      </sheetData>
      <sheetData sheetId="4587">
        <row r="34">
          <cell r="A34" t="str">
            <v>Investments Govt Securities</v>
          </cell>
        </row>
      </sheetData>
      <sheetData sheetId="4588">
        <row r="34">
          <cell r="A34" t="str">
            <v>Investments Govt Securities</v>
          </cell>
        </row>
      </sheetData>
      <sheetData sheetId="4589">
        <row r="34">
          <cell r="A34" t="str">
            <v>Investments Govt Securities</v>
          </cell>
        </row>
      </sheetData>
      <sheetData sheetId="4590">
        <row r="34">
          <cell r="A34" t="str">
            <v>Investments Govt Securities</v>
          </cell>
        </row>
      </sheetData>
      <sheetData sheetId="4591">
        <row r="34">
          <cell r="A34" t="str">
            <v>Investments Govt Securities</v>
          </cell>
        </row>
      </sheetData>
      <sheetData sheetId="4592">
        <row r="34">
          <cell r="A34" t="str">
            <v>Investments Govt Securities</v>
          </cell>
        </row>
      </sheetData>
      <sheetData sheetId="4593">
        <row r="34">
          <cell r="A34" t="str">
            <v>Investments Govt Securities</v>
          </cell>
        </row>
      </sheetData>
      <sheetData sheetId="4594">
        <row r="34">
          <cell r="A34" t="str">
            <v>Investments Govt Securities</v>
          </cell>
        </row>
      </sheetData>
      <sheetData sheetId="4595">
        <row r="34">
          <cell r="A34" t="str">
            <v>Investments Govt Securities</v>
          </cell>
        </row>
      </sheetData>
      <sheetData sheetId="4596">
        <row r="34">
          <cell r="A34" t="str">
            <v>Investments Govt Securities</v>
          </cell>
        </row>
      </sheetData>
      <sheetData sheetId="4597">
        <row r="34">
          <cell r="A34" t="str">
            <v>Investments Govt Securities</v>
          </cell>
        </row>
      </sheetData>
      <sheetData sheetId="4598">
        <row r="34">
          <cell r="A34" t="str">
            <v>Investments Govt Securities</v>
          </cell>
        </row>
      </sheetData>
      <sheetData sheetId="4599">
        <row r="34">
          <cell r="A34" t="str">
            <v>Investments Govt Securities</v>
          </cell>
        </row>
      </sheetData>
      <sheetData sheetId="4600">
        <row r="34">
          <cell r="A34" t="str">
            <v>Investments Govt Securities</v>
          </cell>
        </row>
      </sheetData>
      <sheetData sheetId="4601">
        <row r="34">
          <cell r="A34" t="str">
            <v>Investments Govt Securities</v>
          </cell>
        </row>
      </sheetData>
      <sheetData sheetId="4602">
        <row r="34">
          <cell r="A34" t="str">
            <v>Investments Govt Securities</v>
          </cell>
        </row>
      </sheetData>
      <sheetData sheetId="4603">
        <row r="34">
          <cell r="A34" t="str">
            <v>Investments Govt Securities</v>
          </cell>
        </row>
      </sheetData>
      <sheetData sheetId="4604">
        <row r="34">
          <cell r="A34" t="str">
            <v>Investments Govt Securities</v>
          </cell>
        </row>
      </sheetData>
      <sheetData sheetId="4605">
        <row r="34">
          <cell r="A34" t="str">
            <v>Investments Govt Securities</v>
          </cell>
        </row>
      </sheetData>
      <sheetData sheetId="4606">
        <row r="34">
          <cell r="A34" t="str">
            <v>Investments Govt Securities</v>
          </cell>
        </row>
      </sheetData>
      <sheetData sheetId="4607">
        <row r="34">
          <cell r="A34" t="str">
            <v>Investments Govt Securities</v>
          </cell>
        </row>
      </sheetData>
      <sheetData sheetId="4608">
        <row r="34">
          <cell r="A34" t="str">
            <v>Investments Govt Securities</v>
          </cell>
        </row>
      </sheetData>
      <sheetData sheetId="4609">
        <row r="34">
          <cell r="A34" t="str">
            <v>Investments Govt Securities</v>
          </cell>
        </row>
      </sheetData>
      <sheetData sheetId="4610">
        <row r="34">
          <cell r="A34" t="str">
            <v>Investments Govt Securities</v>
          </cell>
        </row>
      </sheetData>
      <sheetData sheetId="4611">
        <row r="34">
          <cell r="A34" t="str">
            <v>Investments Govt Securities</v>
          </cell>
        </row>
      </sheetData>
      <sheetData sheetId="4612">
        <row r="34">
          <cell r="A34" t="str">
            <v>Investments Govt Securities</v>
          </cell>
        </row>
      </sheetData>
      <sheetData sheetId="4613">
        <row r="34">
          <cell r="A34" t="str">
            <v>Investments Govt Securities</v>
          </cell>
        </row>
      </sheetData>
      <sheetData sheetId="4614">
        <row r="34">
          <cell r="A34" t="str">
            <v>Investments Govt Securities</v>
          </cell>
        </row>
      </sheetData>
      <sheetData sheetId="4615">
        <row r="34">
          <cell r="A34" t="str">
            <v>Investments Govt Securities</v>
          </cell>
        </row>
      </sheetData>
      <sheetData sheetId="4616">
        <row r="34">
          <cell r="A34" t="str">
            <v>Investments Govt Securities</v>
          </cell>
        </row>
      </sheetData>
      <sheetData sheetId="4617">
        <row r="34">
          <cell r="A34" t="str">
            <v>Investments Govt Securities</v>
          </cell>
        </row>
      </sheetData>
      <sheetData sheetId="4618">
        <row r="34">
          <cell r="A34" t="str">
            <v>Investments Govt Securities</v>
          </cell>
        </row>
      </sheetData>
      <sheetData sheetId="4619">
        <row r="34">
          <cell r="A34" t="str">
            <v>Investments Govt Securities</v>
          </cell>
        </row>
      </sheetData>
      <sheetData sheetId="4620">
        <row r="34">
          <cell r="A34" t="str">
            <v>Investments Govt Securities</v>
          </cell>
        </row>
      </sheetData>
      <sheetData sheetId="4621">
        <row r="34">
          <cell r="A34" t="str">
            <v>Investments Govt Securities</v>
          </cell>
        </row>
      </sheetData>
      <sheetData sheetId="4622">
        <row r="34">
          <cell r="A34" t="str">
            <v>Investments Govt Securities</v>
          </cell>
        </row>
      </sheetData>
      <sheetData sheetId="4623">
        <row r="34">
          <cell r="A34" t="str">
            <v>Investments Govt Securities</v>
          </cell>
        </row>
      </sheetData>
      <sheetData sheetId="4624">
        <row r="34">
          <cell r="A34" t="str">
            <v>Investments Govt Securities</v>
          </cell>
        </row>
      </sheetData>
      <sheetData sheetId="4625">
        <row r="34">
          <cell r="A34" t="str">
            <v>Investments Govt Securities</v>
          </cell>
        </row>
      </sheetData>
      <sheetData sheetId="4626">
        <row r="34">
          <cell r="A34" t="str">
            <v>Investments Govt Securities</v>
          </cell>
        </row>
      </sheetData>
      <sheetData sheetId="4627">
        <row r="34">
          <cell r="A34" t="str">
            <v>Investments Govt Securities</v>
          </cell>
        </row>
      </sheetData>
      <sheetData sheetId="4628">
        <row r="34">
          <cell r="A34" t="str">
            <v>Investments Govt Securities</v>
          </cell>
        </row>
      </sheetData>
      <sheetData sheetId="4629">
        <row r="34">
          <cell r="A34" t="str">
            <v>Investments Govt Securities</v>
          </cell>
        </row>
      </sheetData>
      <sheetData sheetId="4630">
        <row r="34">
          <cell r="A34" t="str">
            <v>Investments Govt Securities</v>
          </cell>
        </row>
      </sheetData>
      <sheetData sheetId="4631">
        <row r="34">
          <cell r="A34" t="str">
            <v>Investments Govt Securities</v>
          </cell>
        </row>
      </sheetData>
      <sheetData sheetId="4632">
        <row r="34">
          <cell r="A34" t="str">
            <v>Investments Govt Securities</v>
          </cell>
        </row>
      </sheetData>
      <sheetData sheetId="4633">
        <row r="34">
          <cell r="A34" t="str">
            <v>Investments Govt Securities</v>
          </cell>
        </row>
      </sheetData>
      <sheetData sheetId="4634">
        <row r="34">
          <cell r="A34" t="str">
            <v>Investments Govt Securities</v>
          </cell>
        </row>
      </sheetData>
      <sheetData sheetId="4635">
        <row r="34">
          <cell r="A34" t="str">
            <v>Investments Govt Securities</v>
          </cell>
        </row>
      </sheetData>
      <sheetData sheetId="4636">
        <row r="34">
          <cell r="A34" t="str">
            <v>Investments Govt Securities</v>
          </cell>
        </row>
      </sheetData>
      <sheetData sheetId="4637">
        <row r="34">
          <cell r="A34" t="str">
            <v>Investments Govt Securities</v>
          </cell>
        </row>
      </sheetData>
      <sheetData sheetId="4638">
        <row r="34">
          <cell r="A34" t="str">
            <v>Investments Govt Securities</v>
          </cell>
        </row>
      </sheetData>
      <sheetData sheetId="4639">
        <row r="34">
          <cell r="A34" t="str">
            <v>Investments Govt Securities</v>
          </cell>
        </row>
      </sheetData>
      <sheetData sheetId="4640">
        <row r="34">
          <cell r="A34" t="str">
            <v>Investments Govt Securities</v>
          </cell>
        </row>
      </sheetData>
      <sheetData sheetId="4641">
        <row r="34">
          <cell r="A34" t="str">
            <v>Investments Govt Securities</v>
          </cell>
        </row>
      </sheetData>
      <sheetData sheetId="4642">
        <row r="34">
          <cell r="A34" t="str">
            <v>Investments Govt Securities</v>
          </cell>
        </row>
      </sheetData>
      <sheetData sheetId="4643">
        <row r="34">
          <cell r="A34" t="str">
            <v>Investments Govt Securities</v>
          </cell>
        </row>
      </sheetData>
      <sheetData sheetId="4644">
        <row r="34">
          <cell r="A34" t="str">
            <v>Investments Govt Securities</v>
          </cell>
        </row>
      </sheetData>
      <sheetData sheetId="4645">
        <row r="34">
          <cell r="A34" t="str">
            <v>Investments Govt Securities</v>
          </cell>
        </row>
      </sheetData>
      <sheetData sheetId="4646">
        <row r="34">
          <cell r="A34" t="str">
            <v>Investments Govt Securities</v>
          </cell>
        </row>
      </sheetData>
      <sheetData sheetId="4647">
        <row r="34">
          <cell r="A34" t="str">
            <v>Investments Govt Securities</v>
          </cell>
        </row>
      </sheetData>
      <sheetData sheetId="4648">
        <row r="34">
          <cell r="A34" t="str">
            <v>Investments Govt Securities</v>
          </cell>
        </row>
      </sheetData>
      <sheetData sheetId="4649">
        <row r="34">
          <cell r="A34" t="str">
            <v>Investments Govt Securities</v>
          </cell>
        </row>
      </sheetData>
      <sheetData sheetId="4650">
        <row r="34">
          <cell r="A34" t="str">
            <v>Investments Govt Securities</v>
          </cell>
        </row>
      </sheetData>
      <sheetData sheetId="4651">
        <row r="34">
          <cell r="A34" t="str">
            <v>Investments Govt Securities</v>
          </cell>
        </row>
      </sheetData>
      <sheetData sheetId="4652">
        <row r="34">
          <cell r="A34" t="str">
            <v>Investments Govt Securities</v>
          </cell>
        </row>
      </sheetData>
      <sheetData sheetId="4653">
        <row r="34">
          <cell r="A34" t="str">
            <v>Investments Govt Securities</v>
          </cell>
        </row>
      </sheetData>
      <sheetData sheetId="4654">
        <row r="34">
          <cell r="A34" t="str">
            <v>Investments Govt Securities</v>
          </cell>
        </row>
      </sheetData>
      <sheetData sheetId="4655">
        <row r="34">
          <cell r="A34" t="str">
            <v>Investments Govt Securities</v>
          </cell>
        </row>
      </sheetData>
      <sheetData sheetId="4656">
        <row r="34">
          <cell r="A34" t="str">
            <v>Investments Govt Securities</v>
          </cell>
        </row>
      </sheetData>
      <sheetData sheetId="4657">
        <row r="34">
          <cell r="A34" t="str">
            <v>Investments Govt Securities</v>
          </cell>
        </row>
      </sheetData>
      <sheetData sheetId="4658">
        <row r="34">
          <cell r="A34" t="str">
            <v>Investments Govt Securities</v>
          </cell>
        </row>
      </sheetData>
      <sheetData sheetId="4659">
        <row r="34">
          <cell r="A34" t="str">
            <v>Investments Govt Securities</v>
          </cell>
        </row>
      </sheetData>
      <sheetData sheetId="4660">
        <row r="34">
          <cell r="A34" t="str">
            <v>Investments Govt Securities</v>
          </cell>
        </row>
      </sheetData>
      <sheetData sheetId="4661">
        <row r="34">
          <cell r="A34" t="str">
            <v>Investments Govt Securities</v>
          </cell>
        </row>
      </sheetData>
      <sheetData sheetId="4662">
        <row r="34">
          <cell r="A34" t="str">
            <v>Investments Govt Securities</v>
          </cell>
        </row>
      </sheetData>
      <sheetData sheetId="4663">
        <row r="34">
          <cell r="A34" t="str">
            <v>Investments Govt Securities</v>
          </cell>
        </row>
      </sheetData>
      <sheetData sheetId="4664">
        <row r="34">
          <cell r="A34" t="str">
            <v>Investments Govt Securities</v>
          </cell>
        </row>
      </sheetData>
      <sheetData sheetId="4665">
        <row r="34">
          <cell r="A34" t="str">
            <v>Investments Govt Securities</v>
          </cell>
        </row>
      </sheetData>
      <sheetData sheetId="4666">
        <row r="34">
          <cell r="A34" t="str">
            <v>Investments Govt Securities</v>
          </cell>
        </row>
      </sheetData>
      <sheetData sheetId="4667">
        <row r="34">
          <cell r="A34" t="str">
            <v>Investments Govt Securities</v>
          </cell>
        </row>
      </sheetData>
      <sheetData sheetId="4668">
        <row r="34">
          <cell r="A34" t="str">
            <v>Investments Govt Securities</v>
          </cell>
        </row>
      </sheetData>
      <sheetData sheetId="4669">
        <row r="34">
          <cell r="A34" t="str">
            <v>Investments Govt Securities</v>
          </cell>
        </row>
      </sheetData>
      <sheetData sheetId="4670">
        <row r="34">
          <cell r="A34" t="str">
            <v>Investments Govt Securities</v>
          </cell>
        </row>
      </sheetData>
      <sheetData sheetId="4671">
        <row r="34">
          <cell r="A34" t="str">
            <v>Investments Govt Securities</v>
          </cell>
        </row>
      </sheetData>
      <sheetData sheetId="4672">
        <row r="34">
          <cell r="A34" t="str">
            <v>Investments Govt Securities</v>
          </cell>
        </row>
      </sheetData>
      <sheetData sheetId="4673">
        <row r="34">
          <cell r="A34" t="str">
            <v>Investments Govt Securities</v>
          </cell>
        </row>
      </sheetData>
      <sheetData sheetId="4674">
        <row r="34">
          <cell r="A34" t="str">
            <v>Investments Govt Securities</v>
          </cell>
        </row>
      </sheetData>
      <sheetData sheetId="4675">
        <row r="34">
          <cell r="A34" t="str">
            <v>Investments Govt Securities</v>
          </cell>
        </row>
      </sheetData>
      <sheetData sheetId="4676">
        <row r="34">
          <cell r="A34" t="str">
            <v>Investments Govt Securities</v>
          </cell>
        </row>
      </sheetData>
      <sheetData sheetId="4677">
        <row r="34">
          <cell r="A34" t="str">
            <v>Investments Govt Securities</v>
          </cell>
        </row>
      </sheetData>
      <sheetData sheetId="4678" refreshError="1"/>
      <sheetData sheetId="4679">
        <row r="34">
          <cell r="A34" t="str">
            <v>Investments Govt Securities</v>
          </cell>
        </row>
      </sheetData>
      <sheetData sheetId="4680" refreshError="1"/>
      <sheetData sheetId="4681" refreshError="1"/>
      <sheetData sheetId="4682"/>
      <sheetData sheetId="4683"/>
      <sheetData sheetId="4684"/>
      <sheetData sheetId="4685" refreshError="1"/>
      <sheetData sheetId="4686" refreshError="1"/>
      <sheetData sheetId="4687" refreshError="1"/>
      <sheetData sheetId="4688" refreshError="1"/>
      <sheetData sheetId="4689">
        <row r="34">
          <cell r="A34" t="str">
            <v>Investments Govt Securities</v>
          </cell>
        </row>
      </sheetData>
      <sheetData sheetId="4690" refreshError="1"/>
      <sheetData sheetId="4691" refreshError="1"/>
      <sheetData sheetId="4692" refreshError="1"/>
      <sheetData sheetId="4693">
        <row r="34">
          <cell r="A34" t="str">
            <v>Investments Govt Securities</v>
          </cell>
        </row>
      </sheetData>
      <sheetData sheetId="4694">
        <row r="34">
          <cell r="A34" t="str">
            <v>Investments Govt Securities</v>
          </cell>
        </row>
      </sheetData>
      <sheetData sheetId="4695">
        <row r="34">
          <cell r="A34" t="str">
            <v>Investments Govt Securities</v>
          </cell>
        </row>
      </sheetData>
      <sheetData sheetId="4696">
        <row r="34">
          <cell r="A34" t="str">
            <v>Investments Govt Securities</v>
          </cell>
        </row>
      </sheetData>
      <sheetData sheetId="4697">
        <row r="34">
          <cell r="A34" t="str">
            <v>Investments Govt Securities</v>
          </cell>
        </row>
      </sheetData>
      <sheetData sheetId="4698">
        <row r="34">
          <cell r="A34" t="str">
            <v>Investments Govt Securities</v>
          </cell>
        </row>
      </sheetData>
      <sheetData sheetId="4699"/>
      <sheetData sheetId="4700">
        <row r="34">
          <cell r="A34" t="str">
            <v>Investments Govt Securities</v>
          </cell>
        </row>
      </sheetData>
      <sheetData sheetId="4701">
        <row r="34">
          <cell r="A34" t="str">
            <v>Investments Govt Securities</v>
          </cell>
        </row>
      </sheetData>
      <sheetData sheetId="4702">
        <row r="34">
          <cell r="A34" t="str">
            <v>Investments Govt Securities</v>
          </cell>
        </row>
      </sheetData>
      <sheetData sheetId="4703">
        <row r="34">
          <cell r="A34" t="str">
            <v>Investments Govt Securities</v>
          </cell>
        </row>
      </sheetData>
      <sheetData sheetId="4704">
        <row r="34">
          <cell r="A34" t="str">
            <v>Investments Govt Securities</v>
          </cell>
        </row>
      </sheetData>
      <sheetData sheetId="4705">
        <row r="34">
          <cell r="A34" t="str">
            <v>Investments Govt Securities</v>
          </cell>
        </row>
      </sheetData>
      <sheetData sheetId="4706">
        <row r="34">
          <cell r="A34" t="str">
            <v>Investments Govt Securities</v>
          </cell>
        </row>
      </sheetData>
      <sheetData sheetId="4707">
        <row r="34">
          <cell r="A34" t="str">
            <v>Investments Govt Securities</v>
          </cell>
        </row>
      </sheetData>
      <sheetData sheetId="4708">
        <row r="34">
          <cell r="A34" t="str">
            <v>Investments Govt Securities</v>
          </cell>
        </row>
      </sheetData>
      <sheetData sheetId="4709">
        <row r="34">
          <cell r="A34" t="str">
            <v>Investments Govt Securities</v>
          </cell>
        </row>
      </sheetData>
      <sheetData sheetId="4710">
        <row r="34">
          <cell r="A34" t="str">
            <v>Investments Govt Securities</v>
          </cell>
        </row>
      </sheetData>
      <sheetData sheetId="4711">
        <row r="34">
          <cell r="A34" t="str">
            <v>Investments Govt Securities</v>
          </cell>
        </row>
      </sheetData>
      <sheetData sheetId="4712">
        <row r="34">
          <cell r="A34" t="str">
            <v>Investments Govt Securities</v>
          </cell>
        </row>
      </sheetData>
      <sheetData sheetId="4713" refreshError="1"/>
      <sheetData sheetId="4714" refreshError="1"/>
      <sheetData sheetId="4715">
        <row r="34">
          <cell r="A34" t="str">
            <v>Investments Govt Securities</v>
          </cell>
        </row>
      </sheetData>
      <sheetData sheetId="4716">
        <row r="34">
          <cell r="A34" t="str">
            <v>Investments Govt Securities</v>
          </cell>
        </row>
      </sheetData>
      <sheetData sheetId="4717">
        <row r="34">
          <cell r="A34" t="str">
            <v>Investments Govt Securities</v>
          </cell>
        </row>
      </sheetData>
      <sheetData sheetId="4718">
        <row r="34">
          <cell r="A34" t="str">
            <v>Investments Govt Securities</v>
          </cell>
        </row>
      </sheetData>
      <sheetData sheetId="4719">
        <row r="34">
          <cell r="A34" t="str">
            <v>Investments Govt Securities</v>
          </cell>
        </row>
      </sheetData>
      <sheetData sheetId="4720">
        <row r="34">
          <cell r="A34" t="str">
            <v>Investments Govt Securities</v>
          </cell>
        </row>
      </sheetData>
      <sheetData sheetId="4721">
        <row r="34">
          <cell r="A34" t="str">
            <v>Investments Govt Securities</v>
          </cell>
        </row>
      </sheetData>
      <sheetData sheetId="4722">
        <row r="34">
          <cell r="A34" t="str">
            <v>Investments Govt Securities</v>
          </cell>
        </row>
      </sheetData>
      <sheetData sheetId="4723">
        <row r="34">
          <cell r="A34" t="str">
            <v>Investments Govt Securities</v>
          </cell>
        </row>
      </sheetData>
      <sheetData sheetId="4724">
        <row r="34">
          <cell r="A34" t="str">
            <v>Investments Govt Securities</v>
          </cell>
        </row>
      </sheetData>
      <sheetData sheetId="4725">
        <row r="34">
          <cell r="A34" t="str">
            <v>Investments Govt Securities</v>
          </cell>
        </row>
      </sheetData>
      <sheetData sheetId="4726">
        <row r="34">
          <cell r="A34" t="str">
            <v>Investments Govt Securities</v>
          </cell>
        </row>
      </sheetData>
      <sheetData sheetId="4727">
        <row r="34">
          <cell r="A34" t="str">
            <v>Investments Govt Securities</v>
          </cell>
        </row>
      </sheetData>
      <sheetData sheetId="4728" refreshError="1"/>
      <sheetData sheetId="4729" refreshError="1"/>
      <sheetData sheetId="4730" refreshError="1"/>
      <sheetData sheetId="4731" refreshError="1"/>
      <sheetData sheetId="4732" refreshError="1"/>
      <sheetData sheetId="4733">
        <row r="34">
          <cell r="A34" t="str">
            <v>Investments Govt Securities</v>
          </cell>
        </row>
      </sheetData>
      <sheetData sheetId="4734">
        <row r="34">
          <cell r="A34" t="str">
            <v>Investments Govt Securities</v>
          </cell>
        </row>
      </sheetData>
      <sheetData sheetId="4735">
        <row r="34">
          <cell r="A34" t="str">
            <v>Investments Govt Securities</v>
          </cell>
        </row>
      </sheetData>
      <sheetData sheetId="4736">
        <row r="34">
          <cell r="A34" t="str">
            <v>Investments Govt Securities</v>
          </cell>
        </row>
      </sheetData>
      <sheetData sheetId="4737">
        <row r="34">
          <cell r="A34" t="str">
            <v>Investments Govt Securities</v>
          </cell>
        </row>
      </sheetData>
      <sheetData sheetId="4738">
        <row r="34">
          <cell r="A34" t="str">
            <v>Investments Govt Securities</v>
          </cell>
        </row>
      </sheetData>
      <sheetData sheetId="4739">
        <row r="34">
          <cell r="A34" t="str">
            <v>Investments Govt Securities</v>
          </cell>
        </row>
      </sheetData>
      <sheetData sheetId="4740">
        <row r="34">
          <cell r="A34" t="str">
            <v>Investments Govt Securities</v>
          </cell>
        </row>
      </sheetData>
      <sheetData sheetId="4741">
        <row r="34">
          <cell r="A34" t="str">
            <v>Investments Govt Securities</v>
          </cell>
        </row>
      </sheetData>
      <sheetData sheetId="4742">
        <row r="34">
          <cell r="A34" t="str">
            <v>Investments Govt Securities</v>
          </cell>
        </row>
      </sheetData>
      <sheetData sheetId="4743">
        <row r="34">
          <cell r="A34" t="str">
            <v>Investments Govt Securities</v>
          </cell>
        </row>
      </sheetData>
      <sheetData sheetId="4744">
        <row r="34">
          <cell r="A34" t="str">
            <v>Investments Govt Securities</v>
          </cell>
        </row>
      </sheetData>
      <sheetData sheetId="4745">
        <row r="34">
          <cell r="A34" t="str">
            <v>Investments Govt Securities</v>
          </cell>
        </row>
      </sheetData>
      <sheetData sheetId="4746">
        <row r="34">
          <cell r="A34" t="str">
            <v>Investments Govt Securities</v>
          </cell>
        </row>
      </sheetData>
      <sheetData sheetId="4747">
        <row r="34">
          <cell r="A34" t="str">
            <v>Investments Govt Securities</v>
          </cell>
        </row>
      </sheetData>
      <sheetData sheetId="4748">
        <row r="34">
          <cell r="A34" t="str">
            <v>Investments Govt Securities</v>
          </cell>
        </row>
      </sheetData>
      <sheetData sheetId="4749">
        <row r="34">
          <cell r="A34" t="str">
            <v>Investments Govt Securities</v>
          </cell>
        </row>
      </sheetData>
      <sheetData sheetId="4750">
        <row r="34">
          <cell r="A34" t="str">
            <v>Investments Govt Securities</v>
          </cell>
        </row>
      </sheetData>
      <sheetData sheetId="4751">
        <row r="34">
          <cell r="A34" t="str">
            <v>Investments Govt Securities</v>
          </cell>
        </row>
      </sheetData>
      <sheetData sheetId="4752">
        <row r="34">
          <cell r="A34" t="str">
            <v>Investments Govt Securities</v>
          </cell>
        </row>
      </sheetData>
      <sheetData sheetId="4753">
        <row r="34">
          <cell r="A34" t="str">
            <v>Investments Govt Securities</v>
          </cell>
        </row>
      </sheetData>
      <sheetData sheetId="4754">
        <row r="34">
          <cell r="A34" t="str">
            <v>Investments Govt Securities</v>
          </cell>
        </row>
      </sheetData>
      <sheetData sheetId="4755">
        <row r="34">
          <cell r="A34" t="str">
            <v>Investments Govt Securities</v>
          </cell>
        </row>
      </sheetData>
      <sheetData sheetId="4756">
        <row r="34">
          <cell r="A34" t="str">
            <v>Investments Govt Securities</v>
          </cell>
        </row>
      </sheetData>
      <sheetData sheetId="4757">
        <row r="34">
          <cell r="A34" t="str">
            <v>Investments Govt Securities</v>
          </cell>
        </row>
      </sheetData>
      <sheetData sheetId="4758">
        <row r="34">
          <cell r="A34" t="str">
            <v>Investments Govt Securities</v>
          </cell>
        </row>
      </sheetData>
      <sheetData sheetId="4759">
        <row r="34">
          <cell r="A34" t="str">
            <v>Investments Govt Securities</v>
          </cell>
        </row>
      </sheetData>
      <sheetData sheetId="4760">
        <row r="34">
          <cell r="A34" t="str">
            <v>Investments Govt Securities</v>
          </cell>
        </row>
      </sheetData>
      <sheetData sheetId="4761">
        <row r="34">
          <cell r="A34" t="str">
            <v>Investments Govt Securities</v>
          </cell>
        </row>
      </sheetData>
      <sheetData sheetId="4762">
        <row r="34">
          <cell r="A34" t="str">
            <v>Investments Govt Securities</v>
          </cell>
        </row>
      </sheetData>
      <sheetData sheetId="4763">
        <row r="34">
          <cell r="A34" t="str">
            <v>Investments Govt Securities</v>
          </cell>
        </row>
      </sheetData>
      <sheetData sheetId="4764">
        <row r="34">
          <cell r="A34" t="str">
            <v>Investments Govt Securities</v>
          </cell>
        </row>
      </sheetData>
      <sheetData sheetId="4765">
        <row r="34">
          <cell r="A34" t="str">
            <v>Investments Govt Securities</v>
          </cell>
        </row>
      </sheetData>
      <sheetData sheetId="4766">
        <row r="34">
          <cell r="A34" t="str">
            <v>Investments Govt Securities</v>
          </cell>
        </row>
      </sheetData>
      <sheetData sheetId="4767">
        <row r="34">
          <cell r="A34" t="str">
            <v>Investments Govt Securities</v>
          </cell>
        </row>
      </sheetData>
      <sheetData sheetId="4768">
        <row r="34">
          <cell r="A34" t="str">
            <v>Investments Govt Securities</v>
          </cell>
        </row>
      </sheetData>
      <sheetData sheetId="4769">
        <row r="34">
          <cell r="A34" t="str">
            <v>Investments Govt Securities</v>
          </cell>
        </row>
      </sheetData>
      <sheetData sheetId="4770">
        <row r="34">
          <cell r="A34" t="str">
            <v>Investments Govt Securities</v>
          </cell>
        </row>
      </sheetData>
      <sheetData sheetId="4771">
        <row r="34">
          <cell r="A34" t="str">
            <v>Investments Govt Securities</v>
          </cell>
        </row>
      </sheetData>
      <sheetData sheetId="4772">
        <row r="34">
          <cell r="A34" t="str">
            <v>Investments Govt Securities</v>
          </cell>
        </row>
      </sheetData>
      <sheetData sheetId="4773">
        <row r="34">
          <cell r="A34" t="str">
            <v>Investments Govt Securities</v>
          </cell>
        </row>
      </sheetData>
      <sheetData sheetId="4774">
        <row r="34">
          <cell r="A34" t="str">
            <v>Investments Govt Securities</v>
          </cell>
        </row>
      </sheetData>
      <sheetData sheetId="4775">
        <row r="34">
          <cell r="A34" t="str">
            <v>Investments Govt Securities</v>
          </cell>
        </row>
      </sheetData>
      <sheetData sheetId="4776">
        <row r="34">
          <cell r="A34" t="str">
            <v>Investments Govt Securities</v>
          </cell>
        </row>
      </sheetData>
      <sheetData sheetId="4777">
        <row r="34">
          <cell r="A34" t="str">
            <v>Investments Govt Securities</v>
          </cell>
        </row>
      </sheetData>
      <sheetData sheetId="4778">
        <row r="34">
          <cell r="A34" t="str">
            <v>Investments Govt Securities</v>
          </cell>
        </row>
      </sheetData>
      <sheetData sheetId="4779">
        <row r="34">
          <cell r="A34" t="str">
            <v>Investments Govt Securities</v>
          </cell>
        </row>
      </sheetData>
      <sheetData sheetId="4780">
        <row r="34">
          <cell r="A34" t="str">
            <v>Investments Govt Securities</v>
          </cell>
        </row>
      </sheetData>
      <sheetData sheetId="4781">
        <row r="34">
          <cell r="A34" t="str">
            <v>Investments Govt Securities</v>
          </cell>
        </row>
      </sheetData>
      <sheetData sheetId="4782">
        <row r="34">
          <cell r="A34" t="str">
            <v>Investments Govt Securities</v>
          </cell>
        </row>
      </sheetData>
      <sheetData sheetId="4783">
        <row r="34">
          <cell r="A34" t="str">
            <v>Investments Govt Securities</v>
          </cell>
        </row>
      </sheetData>
      <sheetData sheetId="4784">
        <row r="34">
          <cell r="A34" t="str">
            <v>Investments Govt Securities</v>
          </cell>
        </row>
      </sheetData>
      <sheetData sheetId="4785">
        <row r="34">
          <cell r="A34" t="str">
            <v>Investments Govt Securities</v>
          </cell>
        </row>
      </sheetData>
      <sheetData sheetId="4786">
        <row r="34">
          <cell r="A34" t="str">
            <v>Investments Govt Securities</v>
          </cell>
        </row>
      </sheetData>
      <sheetData sheetId="4787" refreshError="1"/>
      <sheetData sheetId="4788" refreshError="1"/>
      <sheetData sheetId="4789" refreshError="1"/>
      <sheetData sheetId="4790" refreshError="1"/>
      <sheetData sheetId="4791" refreshError="1"/>
      <sheetData sheetId="4792">
        <row r="34">
          <cell r="A34" t="str">
            <v>Investments Govt Securities</v>
          </cell>
        </row>
      </sheetData>
      <sheetData sheetId="4793" refreshError="1"/>
      <sheetData sheetId="4794" refreshError="1"/>
      <sheetData sheetId="4795" refreshError="1"/>
      <sheetData sheetId="4796" refreshError="1"/>
      <sheetData sheetId="4797">
        <row r="34">
          <cell r="A34" t="str">
            <v>Investments Govt Securities</v>
          </cell>
        </row>
      </sheetData>
      <sheetData sheetId="4798" refreshError="1"/>
      <sheetData sheetId="4799" refreshError="1"/>
      <sheetData sheetId="4800" refreshError="1"/>
      <sheetData sheetId="4801" refreshError="1"/>
      <sheetData sheetId="4802" refreshError="1"/>
      <sheetData sheetId="4803">
        <row r="34">
          <cell r="A34" t="str">
            <v>Investments Govt Securities</v>
          </cell>
        </row>
      </sheetData>
      <sheetData sheetId="4804">
        <row r="34">
          <cell r="A34" t="str">
            <v>Investments Govt Securities</v>
          </cell>
        </row>
      </sheetData>
      <sheetData sheetId="4805">
        <row r="34">
          <cell r="A34" t="str">
            <v>Investments Govt Securities</v>
          </cell>
        </row>
      </sheetData>
      <sheetData sheetId="4806">
        <row r="34">
          <cell r="A34" t="str">
            <v>Investments Govt Securities</v>
          </cell>
        </row>
      </sheetData>
      <sheetData sheetId="4807">
        <row r="34">
          <cell r="A34" t="str">
            <v>Investments Govt Securities</v>
          </cell>
        </row>
      </sheetData>
      <sheetData sheetId="4808">
        <row r="34">
          <cell r="A34" t="str">
            <v>Investments Govt Securities</v>
          </cell>
        </row>
      </sheetData>
      <sheetData sheetId="4809">
        <row r="34">
          <cell r="A34" t="str">
            <v>Investments Govt Securities</v>
          </cell>
        </row>
      </sheetData>
      <sheetData sheetId="4810">
        <row r="34">
          <cell r="A34" t="str">
            <v>Investments Govt Securities</v>
          </cell>
        </row>
      </sheetData>
      <sheetData sheetId="4811">
        <row r="34">
          <cell r="A34" t="str">
            <v>Investments Govt Securities</v>
          </cell>
        </row>
      </sheetData>
      <sheetData sheetId="4812" refreshError="1"/>
      <sheetData sheetId="4813">
        <row r="34">
          <cell r="A34" t="str">
            <v>Investments Govt Securities</v>
          </cell>
        </row>
      </sheetData>
      <sheetData sheetId="4814">
        <row r="34">
          <cell r="A34" t="str">
            <v>Investments Govt Securities</v>
          </cell>
        </row>
      </sheetData>
      <sheetData sheetId="4815"/>
      <sheetData sheetId="4816">
        <row r="34">
          <cell r="A34" t="str">
            <v>Investments Govt Securities</v>
          </cell>
        </row>
      </sheetData>
      <sheetData sheetId="4817"/>
      <sheetData sheetId="4818"/>
      <sheetData sheetId="4819"/>
      <sheetData sheetId="4820">
        <row r="34">
          <cell r="A34" t="str">
            <v>Investments Govt Securities</v>
          </cell>
        </row>
      </sheetData>
      <sheetData sheetId="4821">
        <row r="34">
          <cell r="A34" t="str">
            <v>Investments Govt Securities</v>
          </cell>
        </row>
      </sheetData>
      <sheetData sheetId="4822">
        <row r="34">
          <cell r="A34" t="str">
            <v>Investments Govt Securities</v>
          </cell>
        </row>
      </sheetData>
      <sheetData sheetId="4823">
        <row r="34">
          <cell r="A34" t="str">
            <v>Investments Govt Securities</v>
          </cell>
        </row>
      </sheetData>
      <sheetData sheetId="4824"/>
      <sheetData sheetId="4825"/>
      <sheetData sheetId="4826" refreshError="1"/>
      <sheetData sheetId="4827">
        <row r="34">
          <cell r="A34" t="str">
            <v>Investments Govt Securities</v>
          </cell>
        </row>
      </sheetData>
      <sheetData sheetId="4828">
        <row r="34">
          <cell r="A34" t="str">
            <v>Investments Govt Securities</v>
          </cell>
        </row>
      </sheetData>
      <sheetData sheetId="4829">
        <row r="34">
          <cell r="A34" t="str">
            <v>Investments Govt Securities</v>
          </cell>
        </row>
      </sheetData>
      <sheetData sheetId="4830">
        <row r="34">
          <cell r="A34" t="str">
            <v>Investments Govt Securities</v>
          </cell>
        </row>
      </sheetData>
      <sheetData sheetId="4831">
        <row r="34">
          <cell r="A34" t="str">
            <v>Investments Govt Securities</v>
          </cell>
        </row>
      </sheetData>
      <sheetData sheetId="4832"/>
      <sheetData sheetId="4833">
        <row r="34">
          <cell r="A34" t="str">
            <v>Investments Govt Securities</v>
          </cell>
        </row>
      </sheetData>
      <sheetData sheetId="4834">
        <row r="34">
          <cell r="A34" t="str">
            <v>Investments Govt Securities</v>
          </cell>
        </row>
      </sheetData>
      <sheetData sheetId="4835">
        <row r="34">
          <cell r="A34" t="str">
            <v>Investments Govt Securities</v>
          </cell>
        </row>
      </sheetData>
      <sheetData sheetId="4836">
        <row r="34">
          <cell r="A34" t="str">
            <v>Investments Govt Securities</v>
          </cell>
        </row>
      </sheetData>
      <sheetData sheetId="4837" refreshError="1"/>
      <sheetData sheetId="4838">
        <row r="34">
          <cell r="A34" t="str">
            <v>Investments Govt Securities</v>
          </cell>
        </row>
      </sheetData>
      <sheetData sheetId="4839" refreshError="1"/>
      <sheetData sheetId="4840" refreshError="1"/>
      <sheetData sheetId="4841">
        <row r="34">
          <cell r="A34" t="str">
            <v>Investments Govt Securities</v>
          </cell>
        </row>
      </sheetData>
      <sheetData sheetId="4842" refreshError="1"/>
      <sheetData sheetId="4843">
        <row r="34">
          <cell r="A34" t="str">
            <v>Investments Govt Securities</v>
          </cell>
        </row>
      </sheetData>
      <sheetData sheetId="4844">
        <row r="34">
          <cell r="A34" t="str">
            <v>Investments Govt Securities</v>
          </cell>
        </row>
      </sheetData>
      <sheetData sheetId="4845">
        <row r="34">
          <cell r="A34" t="str">
            <v>Investments Govt Securities</v>
          </cell>
        </row>
      </sheetData>
      <sheetData sheetId="4846">
        <row r="34">
          <cell r="A34" t="str">
            <v>Investments Govt Securities</v>
          </cell>
        </row>
      </sheetData>
      <sheetData sheetId="4847" refreshError="1"/>
      <sheetData sheetId="4848">
        <row r="34">
          <cell r="A34" t="str">
            <v>Investments Govt Securities</v>
          </cell>
        </row>
      </sheetData>
      <sheetData sheetId="4849" refreshError="1"/>
      <sheetData sheetId="4850" refreshError="1"/>
      <sheetData sheetId="4851">
        <row r="34">
          <cell r="A34" t="str">
            <v>Investments Govt Securities</v>
          </cell>
        </row>
      </sheetData>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ow r="34">
          <cell r="A34" t="str">
            <v>Investments Govt Securities</v>
          </cell>
        </row>
      </sheetData>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ow r="34">
          <cell r="A34" t="str">
            <v>Investments Govt Securities</v>
          </cell>
        </row>
      </sheetData>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ow r="34">
          <cell r="A34" t="str">
            <v>Investments Govt Securities</v>
          </cell>
        </row>
      </sheetData>
      <sheetData sheetId="4925">
        <row r="34">
          <cell r="A34" t="str">
            <v>Investments Govt Securities</v>
          </cell>
        </row>
      </sheetData>
      <sheetData sheetId="4926">
        <row r="34">
          <cell r="A34" t="str">
            <v>Investments Govt Securities</v>
          </cell>
        </row>
      </sheetData>
      <sheetData sheetId="4927">
        <row r="34">
          <cell r="A34" t="str">
            <v>Investments Govt Securities</v>
          </cell>
        </row>
      </sheetData>
      <sheetData sheetId="4928">
        <row r="34">
          <cell r="A34" t="str">
            <v>Investments Govt Securities</v>
          </cell>
        </row>
      </sheetData>
      <sheetData sheetId="4929">
        <row r="34">
          <cell r="A34" t="str">
            <v>Investments Govt Securities</v>
          </cell>
        </row>
      </sheetData>
      <sheetData sheetId="4930">
        <row r="34">
          <cell r="A34" t="str">
            <v>Investments Govt Securities</v>
          </cell>
        </row>
      </sheetData>
      <sheetData sheetId="4931">
        <row r="34">
          <cell r="A34" t="str">
            <v>Investments Govt Securities</v>
          </cell>
        </row>
      </sheetData>
      <sheetData sheetId="4932">
        <row r="34">
          <cell r="A34" t="str">
            <v>Investments Govt Securities</v>
          </cell>
        </row>
      </sheetData>
      <sheetData sheetId="4933">
        <row r="34">
          <cell r="A34" t="str">
            <v>Investments Govt Securities</v>
          </cell>
        </row>
      </sheetData>
      <sheetData sheetId="4934">
        <row r="34">
          <cell r="A34" t="str">
            <v>Investments Govt Securities</v>
          </cell>
        </row>
      </sheetData>
      <sheetData sheetId="4935">
        <row r="34">
          <cell r="A34" t="str">
            <v>Investments Govt Securities</v>
          </cell>
        </row>
      </sheetData>
      <sheetData sheetId="4936">
        <row r="34">
          <cell r="A34" t="str">
            <v>Investments Govt Securities</v>
          </cell>
        </row>
      </sheetData>
      <sheetData sheetId="4937">
        <row r="34">
          <cell r="A34" t="str">
            <v>Investments Govt Securities</v>
          </cell>
        </row>
      </sheetData>
      <sheetData sheetId="4938">
        <row r="34">
          <cell r="A34" t="str">
            <v>Investments Govt Securities</v>
          </cell>
        </row>
      </sheetData>
      <sheetData sheetId="4939">
        <row r="34">
          <cell r="A34" t="str">
            <v>Investments Govt Securities</v>
          </cell>
        </row>
      </sheetData>
      <sheetData sheetId="4940">
        <row r="34">
          <cell r="A34" t="str">
            <v>Investments Govt Securities</v>
          </cell>
        </row>
      </sheetData>
      <sheetData sheetId="4941">
        <row r="34">
          <cell r="A34" t="str">
            <v>Investments Govt Securities</v>
          </cell>
        </row>
      </sheetData>
      <sheetData sheetId="4942">
        <row r="34">
          <cell r="A34" t="str">
            <v>Investments Govt Securities</v>
          </cell>
        </row>
      </sheetData>
      <sheetData sheetId="4943">
        <row r="34">
          <cell r="A34" t="str">
            <v>Investments Govt Securities</v>
          </cell>
        </row>
      </sheetData>
      <sheetData sheetId="4944">
        <row r="34">
          <cell r="A34" t="str">
            <v>Investments Govt Securities</v>
          </cell>
        </row>
      </sheetData>
      <sheetData sheetId="4945">
        <row r="34">
          <cell r="A34" t="str">
            <v>Investments Govt Securities</v>
          </cell>
        </row>
      </sheetData>
      <sheetData sheetId="4946">
        <row r="34">
          <cell r="A34" t="str">
            <v>Investments Govt Securities</v>
          </cell>
        </row>
      </sheetData>
      <sheetData sheetId="4947">
        <row r="34">
          <cell r="A34" t="str">
            <v>Investments Govt Securities</v>
          </cell>
        </row>
      </sheetData>
      <sheetData sheetId="4948">
        <row r="34">
          <cell r="A34" t="str">
            <v>Investments Govt Securities</v>
          </cell>
        </row>
      </sheetData>
      <sheetData sheetId="4949">
        <row r="34">
          <cell r="A34" t="str">
            <v>Investments Govt Securities</v>
          </cell>
        </row>
      </sheetData>
      <sheetData sheetId="4950">
        <row r="34">
          <cell r="A34" t="str">
            <v>Investments Govt Securities</v>
          </cell>
        </row>
      </sheetData>
      <sheetData sheetId="4951">
        <row r="34">
          <cell r="A34" t="str">
            <v>Investments Govt Securities</v>
          </cell>
        </row>
      </sheetData>
      <sheetData sheetId="4952">
        <row r="34">
          <cell r="A34" t="str">
            <v>Investments Govt Securities</v>
          </cell>
        </row>
      </sheetData>
      <sheetData sheetId="4953">
        <row r="34">
          <cell r="A34" t="str">
            <v>Investments Govt Securities</v>
          </cell>
        </row>
      </sheetData>
      <sheetData sheetId="4954">
        <row r="34">
          <cell r="A34" t="str">
            <v>Investments Govt Securities</v>
          </cell>
        </row>
      </sheetData>
      <sheetData sheetId="4955">
        <row r="34">
          <cell r="A34" t="str">
            <v>Investments Govt Securities</v>
          </cell>
        </row>
      </sheetData>
      <sheetData sheetId="4956">
        <row r="34">
          <cell r="A34" t="str">
            <v>Investments Govt Securities</v>
          </cell>
        </row>
      </sheetData>
      <sheetData sheetId="4957">
        <row r="34">
          <cell r="A34" t="str">
            <v>Investments Govt Securities</v>
          </cell>
        </row>
      </sheetData>
      <sheetData sheetId="4958">
        <row r="34">
          <cell r="A34" t="str">
            <v>Investments Govt Securities</v>
          </cell>
        </row>
      </sheetData>
      <sheetData sheetId="4959">
        <row r="34">
          <cell r="A34" t="str">
            <v>Investments Govt Securities</v>
          </cell>
        </row>
      </sheetData>
      <sheetData sheetId="4960">
        <row r="34">
          <cell r="A34" t="str">
            <v>Investments Govt Securities</v>
          </cell>
        </row>
      </sheetData>
      <sheetData sheetId="4961">
        <row r="34">
          <cell r="A34" t="str">
            <v>Investments Govt Securities</v>
          </cell>
        </row>
      </sheetData>
      <sheetData sheetId="4962">
        <row r="34">
          <cell r="A34" t="str">
            <v>Investments Govt Securities</v>
          </cell>
        </row>
      </sheetData>
      <sheetData sheetId="4963">
        <row r="34">
          <cell r="A34" t="str">
            <v>Investments Govt Securities</v>
          </cell>
        </row>
      </sheetData>
      <sheetData sheetId="4964">
        <row r="34">
          <cell r="A34" t="str">
            <v>Investments Govt Securities</v>
          </cell>
        </row>
      </sheetData>
      <sheetData sheetId="4965">
        <row r="34">
          <cell r="A34" t="str">
            <v>Investments Govt Securities</v>
          </cell>
        </row>
      </sheetData>
      <sheetData sheetId="4966">
        <row r="34">
          <cell r="A34" t="str">
            <v>Investments Govt Securities</v>
          </cell>
        </row>
      </sheetData>
      <sheetData sheetId="4967">
        <row r="34">
          <cell r="A34" t="str">
            <v>Investments Govt Securities</v>
          </cell>
        </row>
      </sheetData>
      <sheetData sheetId="4968">
        <row r="34">
          <cell r="A34" t="str">
            <v>Investments Govt Securities</v>
          </cell>
        </row>
      </sheetData>
      <sheetData sheetId="4969">
        <row r="34">
          <cell r="A34" t="str">
            <v>Investments Govt Securities</v>
          </cell>
        </row>
      </sheetData>
      <sheetData sheetId="4970">
        <row r="34">
          <cell r="A34" t="str">
            <v>Investments Govt Securities</v>
          </cell>
        </row>
      </sheetData>
      <sheetData sheetId="4971">
        <row r="34">
          <cell r="A34" t="str">
            <v>Investments Govt Securities</v>
          </cell>
        </row>
      </sheetData>
      <sheetData sheetId="4972">
        <row r="34">
          <cell r="A34" t="str">
            <v>Investments Govt Securities</v>
          </cell>
        </row>
      </sheetData>
      <sheetData sheetId="4973">
        <row r="34">
          <cell r="A34" t="str">
            <v>Investments Govt Securities</v>
          </cell>
        </row>
      </sheetData>
      <sheetData sheetId="4974">
        <row r="34">
          <cell r="A34" t="str">
            <v>Investments Govt Securities</v>
          </cell>
        </row>
      </sheetData>
      <sheetData sheetId="4975">
        <row r="34">
          <cell r="A34" t="str">
            <v>Investments Govt Securities</v>
          </cell>
        </row>
      </sheetData>
      <sheetData sheetId="4976">
        <row r="34">
          <cell r="A34" t="str">
            <v>Investments Govt Securities</v>
          </cell>
        </row>
      </sheetData>
      <sheetData sheetId="4977">
        <row r="34">
          <cell r="A34" t="str">
            <v>Investments Govt Securities</v>
          </cell>
        </row>
      </sheetData>
      <sheetData sheetId="4978">
        <row r="34">
          <cell r="A34" t="str">
            <v>Investments Govt Securities</v>
          </cell>
        </row>
      </sheetData>
      <sheetData sheetId="4979">
        <row r="34">
          <cell r="A34" t="str">
            <v>Investments Govt Securities</v>
          </cell>
        </row>
      </sheetData>
      <sheetData sheetId="4980">
        <row r="34">
          <cell r="A34" t="str">
            <v>Investments Govt Securities</v>
          </cell>
        </row>
      </sheetData>
      <sheetData sheetId="4981">
        <row r="34">
          <cell r="A34" t="str">
            <v>Investments Govt Securities</v>
          </cell>
        </row>
      </sheetData>
      <sheetData sheetId="4982">
        <row r="34">
          <cell r="A34" t="str">
            <v>Investments Govt Securities</v>
          </cell>
        </row>
      </sheetData>
      <sheetData sheetId="4983">
        <row r="34">
          <cell r="A34" t="str">
            <v>Investments Govt Securities</v>
          </cell>
        </row>
      </sheetData>
      <sheetData sheetId="4984">
        <row r="34">
          <cell r="A34" t="str">
            <v>Investments Govt Securities</v>
          </cell>
        </row>
      </sheetData>
      <sheetData sheetId="4985">
        <row r="34">
          <cell r="A34" t="str">
            <v>Investments Govt Securities</v>
          </cell>
        </row>
      </sheetData>
      <sheetData sheetId="4986">
        <row r="34">
          <cell r="A34" t="str">
            <v>Investments Govt Securities</v>
          </cell>
        </row>
      </sheetData>
      <sheetData sheetId="4987">
        <row r="34">
          <cell r="A34" t="str">
            <v>Investments Govt Securities</v>
          </cell>
        </row>
      </sheetData>
      <sheetData sheetId="4988">
        <row r="34">
          <cell r="A34" t="str">
            <v>Investments Govt Securities</v>
          </cell>
        </row>
      </sheetData>
      <sheetData sheetId="4989" refreshError="1"/>
      <sheetData sheetId="4990">
        <row r="34">
          <cell r="A34" t="str">
            <v>Investments Govt Securities</v>
          </cell>
        </row>
      </sheetData>
      <sheetData sheetId="4991" refreshError="1"/>
      <sheetData sheetId="4992" refreshError="1"/>
      <sheetData sheetId="4993" refreshError="1"/>
      <sheetData sheetId="4994">
        <row r="34">
          <cell r="A34" t="str">
            <v>Investments Govt Securities</v>
          </cell>
        </row>
      </sheetData>
      <sheetData sheetId="4995">
        <row r="34">
          <cell r="A34" t="str">
            <v>Investments Govt Securities</v>
          </cell>
        </row>
      </sheetData>
      <sheetData sheetId="4996" refreshError="1"/>
      <sheetData sheetId="4997" refreshError="1"/>
      <sheetData sheetId="4998" refreshError="1"/>
      <sheetData sheetId="4999" refreshError="1"/>
      <sheetData sheetId="5000">
        <row r="34">
          <cell r="A34" t="str">
            <v>Investments Govt Securities</v>
          </cell>
        </row>
      </sheetData>
      <sheetData sheetId="5001">
        <row r="34">
          <cell r="A34" t="str">
            <v>Investments Govt Securities</v>
          </cell>
        </row>
      </sheetData>
      <sheetData sheetId="5002">
        <row r="34">
          <cell r="A34" t="str">
            <v>Investments Govt Securities</v>
          </cell>
        </row>
      </sheetData>
      <sheetData sheetId="5003">
        <row r="34">
          <cell r="A34" t="str">
            <v>Investments Govt Securities</v>
          </cell>
        </row>
      </sheetData>
      <sheetData sheetId="5004">
        <row r="34">
          <cell r="A34" t="str">
            <v>Investments Govt Securities</v>
          </cell>
        </row>
      </sheetData>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ow r="34">
          <cell r="A34" t="str">
            <v>Investments Govt Securities</v>
          </cell>
        </row>
      </sheetData>
      <sheetData sheetId="5039">
        <row r="34">
          <cell r="A34" t="str">
            <v>Investments Govt Securities</v>
          </cell>
        </row>
      </sheetData>
      <sheetData sheetId="5040" refreshError="1"/>
      <sheetData sheetId="5041">
        <row r="34">
          <cell r="A34" t="str">
            <v>Investments Govt Securities</v>
          </cell>
        </row>
      </sheetData>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ow r="34">
          <cell r="A34" t="str">
            <v>Investments Govt Securities</v>
          </cell>
        </row>
      </sheetData>
      <sheetData sheetId="5059">
        <row r="34">
          <cell r="A34" t="str">
            <v>Investments Govt Securities</v>
          </cell>
        </row>
      </sheetData>
      <sheetData sheetId="5060">
        <row r="34">
          <cell r="A34" t="str">
            <v>Investments Govt Securities</v>
          </cell>
        </row>
      </sheetData>
      <sheetData sheetId="5061">
        <row r="34">
          <cell r="A34" t="str">
            <v>Investments Govt Securities</v>
          </cell>
        </row>
      </sheetData>
      <sheetData sheetId="5062"/>
      <sheetData sheetId="5063"/>
      <sheetData sheetId="5064">
        <row r="34">
          <cell r="A34" t="str">
            <v>Investments Govt Securities</v>
          </cell>
        </row>
      </sheetData>
      <sheetData sheetId="5065">
        <row r="34">
          <cell r="A34" t="str">
            <v>Investments Govt Securities</v>
          </cell>
        </row>
      </sheetData>
      <sheetData sheetId="5066"/>
      <sheetData sheetId="5067">
        <row r="34">
          <cell r="A34" t="str">
            <v>Investments Govt Securities</v>
          </cell>
        </row>
      </sheetData>
      <sheetData sheetId="5068">
        <row r="34">
          <cell r="A34" t="str">
            <v>Investments Govt Securities</v>
          </cell>
        </row>
      </sheetData>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ow r="34">
          <cell r="A34" t="str">
            <v>Investments Govt Securities</v>
          </cell>
        </row>
      </sheetData>
      <sheetData sheetId="5079">
        <row r="34">
          <cell r="A34" t="str">
            <v>Investments Govt Securities</v>
          </cell>
        </row>
      </sheetData>
      <sheetData sheetId="5080" refreshError="1"/>
      <sheetData sheetId="5081" refreshError="1"/>
      <sheetData sheetId="5082" refreshError="1"/>
      <sheetData sheetId="5083">
        <row r="34">
          <cell r="A34" t="str">
            <v>Investments Govt Securities</v>
          </cell>
        </row>
      </sheetData>
      <sheetData sheetId="5084">
        <row r="34">
          <cell r="A34" t="str">
            <v>Investments Govt Securities</v>
          </cell>
        </row>
      </sheetData>
      <sheetData sheetId="5085">
        <row r="34">
          <cell r="A34" t="str">
            <v>Investments Govt Securities</v>
          </cell>
        </row>
      </sheetData>
      <sheetData sheetId="5086">
        <row r="34">
          <cell r="A34" t="str">
            <v>Investments Govt Securities</v>
          </cell>
        </row>
      </sheetData>
      <sheetData sheetId="5087">
        <row r="34">
          <cell r="A34" t="str">
            <v>Investments Govt Securities</v>
          </cell>
        </row>
      </sheetData>
      <sheetData sheetId="5088">
        <row r="34">
          <cell r="A34" t="str">
            <v>Investments Govt Securities</v>
          </cell>
        </row>
      </sheetData>
      <sheetData sheetId="5089">
        <row r="34">
          <cell r="A34" t="str">
            <v>Investments Govt Securities</v>
          </cell>
        </row>
      </sheetData>
      <sheetData sheetId="5090">
        <row r="34">
          <cell r="A34" t="str">
            <v>Investments Govt Securities</v>
          </cell>
        </row>
      </sheetData>
      <sheetData sheetId="5091">
        <row r="34">
          <cell r="A34" t="str">
            <v>Investments Govt Securities</v>
          </cell>
        </row>
      </sheetData>
      <sheetData sheetId="5092">
        <row r="34">
          <cell r="A34" t="str">
            <v>Investments Govt Securities</v>
          </cell>
        </row>
      </sheetData>
      <sheetData sheetId="5093" refreshError="1"/>
      <sheetData sheetId="5094">
        <row r="34">
          <cell r="A34" t="str">
            <v>Investments Govt Securities</v>
          </cell>
        </row>
      </sheetData>
      <sheetData sheetId="5095">
        <row r="34">
          <cell r="A34" t="str">
            <v>Investments Govt Securities</v>
          </cell>
        </row>
      </sheetData>
      <sheetData sheetId="5096" refreshError="1"/>
      <sheetData sheetId="5097">
        <row r="34">
          <cell r="A34" t="str">
            <v>Investments Govt Securities</v>
          </cell>
        </row>
      </sheetData>
      <sheetData sheetId="5098">
        <row r="34">
          <cell r="A34" t="str">
            <v>Investments Govt Securities</v>
          </cell>
        </row>
      </sheetData>
      <sheetData sheetId="5099" refreshError="1"/>
      <sheetData sheetId="5100">
        <row r="34">
          <cell r="A34" t="str">
            <v>Investments Govt Securities</v>
          </cell>
        </row>
      </sheetData>
      <sheetData sheetId="5101">
        <row r="34">
          <cell r="A34" t="str">
            <v>Investments Govt Securities</v>
          </cell>
        </row>
      </sheetData>
      <sheetData sheetId="5102" refreshError="1"/>
      <sheetData sheetId="5103">
        <row r="34">
          <cell r="A34" t="str">
            <v>Investments Govt Securities</v>
          </cell>
        </row>
      </sheetData>
      <sheetData sheetId="5104">
        <row r="34">
          <cell r="A34" t="str">
            <v>Investments Govt Securities</v>
          </cell>
        </row>
      </sheetData>
      <sheetData sheetId="5105">
        <row r="34">
          <cell r="A34" t="str">
            <v>Investments Govt Securities</v>
          </cell>
        </row>
      </sheetData>
      <sheetData sheetId="5106">
        <row r="34">
          <cell r="A34" t="str">
            <v>Investments Govt Securities</v>
          </cell>
        </row>
      </sheetData>
      <sheetData sheetId="5107">
        <row r="34">
          <cell r="A34" t="str">
            <v>Investments Govt Securities</v>
          </cell>
        </row>
      </sheetData>
      <sheetData sheetId="5108">
        <row r="34">
          <cell r="A34" t="str">
            <v>Investments Govt Securities</v>
          </cell>
        </row>
      </sheetData>
      <sheetData sheetId="5109">
        <row r="34">
          <cell r="A34" t="str">
            <v>Investments Govt Securities</v>
          </cell>
        </row>
      </sheetData>
      <sheetData sheetId="5110">
        <row r="34">
          <cell r="A34" t="str">
            <v>Investments Govt Securities</v>
          </cell>
        </row>
      </sheetData>
      <sheetData sheetId="5111">
        <row r="34">
          <cell r="A34" t="str">
            <v>Investments Govt Securities</v>
          </cell>
        </row>
      </sheetData>
      <sheetData sheetId="5112">
        <row r="34">
          <cell r="A34" t="str">
            <v>Investments Govt Securities</v>
          </cell>
        </row>
      </sheetData>
      <sheetData sheetId="5113">
        <row r="34">
          <cell r="A34" t="str">
            <v>Investments Govt Securities</v>
          </cell>
        </row>
      </sheetData>
      <sheetData sheetId="5114">
        <row r="34">
          <cell r="A34" t="str">
            <v>Investments Govt Securities</v>
          </cell>
        </row>
      </sheetData>
      <sheetData sheetId="5115">
        <row r="34">
          <cell r="A34" t="str">
            <v>Investments Govt Securities</v>
          </cell>
        </row>
      </sheetData>
      <sheetData sheetId="5116">
        <row r="34">
          <cell r="A34" t="str">
            <v>Investments Govt Securities</v>
          </cell>
        </row>
      </sheetData>
      <sheetData sheetId="5117">
        <row r="34">
          <cell r="A34" t="str">
            <v>Investments Govt Securities</v>
          </cell>
        </row>
      </sheetData>
      <sheetData sheetId="5118">
        <row r="34">
          <cell r="A34" t="str">
            <v>Investments Govt Securities</v>
          </cell>
        </row>
      </sheetData>
      <sheetData sheetId="5119">
        <row r="34">
          <cell r="A34" t="str">
            <v>Investments Govt Securities</v>
          </cell>
        </row>
      </sheetData>
      <sheetData sheetId="5120">
        <row r="34">
          <cell r="A34" t="str">
            <v>Investments Govt Securities</v>
          </cell>
        </row>
      </sheetData>
      <sheetData sheetId="5121">
        <row r="34">
          <cell r="A34" t="str">
            <v>Investments Govt Securities</v>
          </cell>
        </row>
      </sheetData>
      <sheetData sheetId="5122">
        <row r="34">
          <cell r="A34" t="str">
            <v>Investments Govt Securities</v>
          </cell>
        </row>
      </sheetData>
      <sheetData sheetId="5123">
        <row r="34">
          <cell r="A34" t="str">
            <v>Investments Govt Securities</v>
          </cell>
        </row>
      </sheetData>
      <sheetData sheetId="5124">
        <row r="34">
          <cell r="A34" t="str">
            <v>Investments Govt Securities</v>
          </cell>
        </row>
      </sheetData>
      <sheetData sheetId="5125">
        <row r="34">
          <cell r="A34" t="str">
            <v>Investments Govt Securities</v>
          </cell>
        </row>
      </sheetData>
      <sheetData sheetId="5126">
        <row r="34">
          <cell r="A34" t="str">
            <v>Investments Govt Securities</v>
          </cell>
        </row>
      </sheetData>
      <sheetData sheetId="5127">
        <row r="34">
          <cell r="A34" t="str">
            <v>Investments Govt Securities</v>
          </cell>
        </row>
      </sheetData>
      <sheetData sheetId="5128">
        <row r="34">
          <cell r="A34" t="str">
            <v>Investments Govt Securities</v>
          </cell>
        </row>
      </sheetData>
      <sheetData sheetId="5129">
        <row r="34">
          <cell r="A34" t="str">
            <v>Investments Govt Securities</v>
          </cell>
        </row>
      </sheetData>
      <sheetData sheetId="5130">
        <row r="34">
          <cell r="A34" t="str">
            <v>Investments Govt Securities</v>
          </cell>
        </row>
      </sheetData>
      <sheetData sheetId="5131">
        <row r="34">
          <cell r="A34" t="str">
            <v>Investments Govt Securities</v>
          </cell>
        </row>
      </sheetData>
      <sheetData sheetId="5132">
        <row r="34">
          <cell r="A34" t="str">
            <v>Investments Govt Securities</v>
          </cell>
        </row>
      </sheetData>
      <sheetData sheetId="5133">
        <row r="34">
          <cell r="A34" t="str">
            <v>Investments Govt Securities</v>
          </cell>
        </row>
      </sheetData>
      <sheetData sheetId="5134">
        <row r="34">
          <cell r="A34" t="str">
            <v>Investments Govt Securities</v>
          </cell>
        </row>
      </sheetData>
      <sheetData sheetId="5135">
        <row r="34">
          <cell r="A34" t="str">
            <v>Investments Govt Securities</v>
          </cell>
        </row>
      </sheetData>
      <sheetData sheetId="5136">
        <row r="34">
          <cell r="A34" t="str">
            <v>Investments Govt Securities</v>
          </cell>
        </row>
      </sheetData>
      <sheetData sheetId="5137">
        <row r="34">
          <cell r="A34" t="str">
            <v>Investments Govt Securities</v>
          </cell>
        </row>
      </sheetData>
      <sheetData sheetId="5138">
        <row r="34">
          <cell r="A34" t="str">
            <v>Investments Govt Securities</v>
          </cell>
        </row>
      </sheetData>
      <sheetData sheetId="5139">
        <row r="34">
          <cell r="A34" t="str">
            <v>Investments Govt Securities</v>
          </cell>
        </row>
      </sheetData>
      <sheetData sheetId="5140">
        <row r="34">
          <cell r="A34" t="str">
            <v>Investments Govt Securities</v>
          </cell>
        </row>
      </sheetData>
      <sheetData sheetId="5141">
        <row r="34">
          <cell r="A34" t="str">
            <v>Investments Govt Securities</v>
          </cell>
        </row>
      </sheetData>
      <sheetData sheetId="5142">
        <row r="34">
          <cell r="A34" t="str">
            <v>Investments Govt Securities</v>
          </cell>
        </row>
      </sheetData>
      <sheetData sheetId="5143">
        <row r="34">
          <cell r="A34" t="str">
            <v>Investments Govt Securities</v>
          </cell>
        </row>
      </sheetData>
      <sheetData sheetId="5144">
        <row r="34">
          <cell r="A34" t="str">
            <v>Investments Govt Securities</v>
          </cell>
        </row>
      </sheetData>
      <sheetData sheetId="5145">
        <row r="34">
          <cell r="A34" t="str">
            <v>Investments Govt Securities</v>
          </cell>
        </row>
      </sheetData>
      <sheetData sheetId="5146">
        <row r="34">
          <cell r="A34" t="str">
            <v>Investments Govt Securities</v>
          </cell>
        </row>
      </sheetData>
      <sheetData sheetId="5147">
        <row r="34">
          <cell r="A34" t="str">
            <v>Investments Govt Securities</v>
          </cell>
        </row>
      </sheetData>
      <sheetData sheetId="5148">
        <row r="34">
          <cell r="A34" t="str">
            <v>Investments Govt Securities</v>
          </cell>
        </row>
      </sheetData>
      <sheetData sheetId="5149">
        <row r="34">
          <cell r="A34" t="str">
            <v>Investments Govt Securities</v>
          </cell>
        </row>
      </sheetData>
      <sheetData sheetId="5150">
        <row r="34">
          <cell r="A34" t="str">
            <v>Investments Govt Securities</v>
          </cell>
        </row>
      </sheetData>
      <sheetData sheetId="5151">
        <row r="34">
          <cell r="A34" t="str">
            <v>Investments Govt Securities</v>
          </cell>
        </row>
      </sheetData>
      <sheetData sheetId="5152">
        <row r="34">
          <cell r="A34" t="str">
            <v>Investments Govt Securities</v>
          </cell>
        </row>
      </sheetData>
      <sheetData sheetId="5153">
        <row r="34">
          <cell r="A34" t="str">
            <v>Investments Govt Securities</v>
          </cell>
        </row>
      </sheetData>
      <sheetData sheetId="5154">
        <row r="34">
          <cell r="A34" t="str">
            <v>Investments Govt Securities</v>
          </cell>
        </row>
      </sheetData>
      <sheetData sheetId="5155">
        <row r="34">
          <cell r="A34" t="str">
            <v>Investments Govt Securities</v>
          </cell>
        </row>
      </sheetData>
      <sheetData sheetId="5156">
        <row r="34">
          <cell r="A34" t="str">
            <v>Investments Govt Securities</v>
          </cell>
        </row>
      </sheetData>
      <sheetData sheetId="5157">
        <row r="34">
          <cell r="A34" t="str">
            <v>Investments Govt Securities</v>
          </cell>
        </row>
      </sheetData>
      <sheetData sheetId="5158">
        <row r="34">
          <cell r="A34" t="str">
            <v>Investments Govt Securities</v>
          </cell>
        </row>
      </sheetData>
      <sheetData sheetId="5159">
        <row r="34">
          <cell r="A34" t="str">
            <v>Investments Govt Securities</v>
          </cell>
        </row>
      </sheetData>
      <sheetData sheetId="5160">
        <row r="34">
          <cell r="A34" t="str">
            <v>Investments Govt Securities</v>
          </cell>
        </row>
      </sheetData>
      <sheetData sheetId="5161">
        <row r="34">
          <cell r="A34" t="str">
            <v>Investments Govt Securities</v>
          </cell>
        </row>
      </sheetData>
      <sheetData sheetId="5162">
        <row r="34">
          <cell r="A34" t="str">
            <v>Investments Govt Securities</v>
          </cell>
        </row>
      </sheetData>
      <sheetData sheetId="5163">
        <row r="34">
          <cell r="A34" t="str">
            <v>Investments Govt Securities</v>
          </cell>
        </row>
      </sheetData>
      <sheetData sheetId="5164">
        <row r="34">
          <cell r="A34" t="str">
            <v>Investments Govt Securities</v>
          </cell>
        </row>
      </sheetData>
      <sheetData sheetId="5165">
        <row r="34">
          <cell r="A34" t="str">
            <v>Investments Govt Securities</v>
          </cell>
        </row>
      </sheetData>
      <sheetData sheetId="5166">
        <row r="34">
          <cell r="A34" t="str">
            <v>Investments Govt Securities</v>
          </cell>
        </row>
      </sheetData>
      <sheetData sheetId="5167">
        <row r="34">
          <cell r="A34" t="str">
            <v>Investments Govt Securities</v>
          </cell>
        </row>
      </sheetData>
      <sheetData sheetId="5168">
        <row r="34">
          <cell r="A34" t="str">
            <v>Investments Govt Securities</v>
          </cell>
        </row>
      </sheetData>
      <sheetData sheetId="5169">
        <row r="34">
          <cell r="A34" t="str">
            <v>Investments Govt Securities</v>
          </cell>
        </row>
      </sheetData>
      <sheetData sheetId="5170">
        <row r="34">
          <cell r="A34" t="str">
            <v>Investments Govt Securities</v>
          </cell>
        </row>
      </sheetData>
      <sheetData sheetId="5171">
        <row r="34">
          <cell r="A34" t="str">
            <v>Investments Govt Securities</v>
          </cell>
        </row>
      </sheetData>
      <sheetData sheetId="5172">
        <row r="34">
          <cell r="A34" t="str">
            <v>Investments Govt Securities</v>
          </cell>
        </row>
      </sheetData>
      <sheetData sheetId="5173">
        <row r="34">
          <cell r="A34" t="str">
            <v>Investments Govt Securities</v>
          </cell>
        </row>
      </sheetData>
      <sheetData sheetId="5174">
        <row r="34">
          <cell r="A34" t="str">
            <v>Investments Govt Securities</v>
          </cell>
        </row>
      </sheetData>
      <sheetData sheetId="5175">
        <row r="34">
          <cell r="A34" t="str">
            <v>Investments Govt Securities</v>
          </cell>
        </row>
      </sheetData>
      <sheetData sheetId="5176">
        <row r="34">
          <cell r="A34" t="str">
            <v>Investments Govt Securities</v>
          </cell>
        </row>
      </sheetData>
      <sheetData sheetId="5177">
        <row r="34">
          <cell r="A34" t="str">
            <v>Investments Govt Securities</v>
          </cell>
        </row>
      </sheetData>
      <sheetData sheetId="5178">
        <row r="34">
          <cell r="A34" t="str">
            <v>Investments Govt Securities</v>
          </cell>
        </row>
      </sheetData>
      <sheetData sheetId="5179">
        <row r="34">
          <cell r="A34" t="str">
            <v>Investments Govt Securities</v>
          </cell>
        </row>
      </sheetData>
      <sheetData sheetId="5180">
        <row r="34">
          <cell r="A34" t="str">
            <v>Investments Govt Securities</v>
          </cell>
        </row>
      </sheetData>
      <sheetData sheetId="5181">
        <row r="34">
          <cell r="A34" t="str">
            <v>Investments Govt Securities</v>
          </cell>
        </row>
      </sheetData>
      <sheetData sheetId="5182">
        <row r="34">
          <cell r="A34" t="str">
            <v>Investments Govt Securities</v>
          </cell>
        </row>
      </sheetData>
      <sheetData sheetId="5183"/>
      <sheetData sheetId="5184"/>
      <sheetData sheetId="5185"/>
      <sheetData sheetId="5186">
        <row r="34">
          <cell r="A34" t="str">
            <v>Investments Govt Securities</v>
          </cell>
        </row>
      </sheetData>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ow r="34">
          <cell r="A34" t="str">
            <v>Investments Govt Securities</v>
          </cell>
        </row>
      </sheetData>
      <sheetData sheetId="5355">
        <row r="34">
          <cell r="A34" t="str">
            <v>Investments Govt Securities</v>
          </cell>
        </row>
      </sheetData>
      <sheetData sheetId="5356"/>
      <sheetData sheetId="5357">
        <row r="34">
          <cell r="A34" t="str">
            <v>Investments Govt Securities</v>
          </cell>
        </row>
      </sheetData>
      <sheetData sheetId="5358">
        <row r="34">
          <cell r="A34" t="str">
            <v>Investments Govt Securities</v>
          </cell>
        </row>
      </sheetData>
      <sheetData sheetId="5359"/>
      <sheetData sheetId="5360">
        <row r="34">
          <cell r="A34" t="str">
            <v>Investments Govt Securities</v>
          </cell>
        </row>
      </sheetData>
      <sheetData sheetId="5361">
        <row r="34">
          <cell r="A34" t="str">
            <v>Investments Govt Securities</v>
          </cell>
        </row>
      </sheetData>
      <sheetData sheetId="5362">
        <row r="34">
          <cell r="A34" t="str">
            <v>Investments Govt Securities</v>
          </cell>
        </row>
      </sheetData>
      <sheetData sheetId="5363">
        <row r="34">
          <cell r="A34" t="str">
            <v>Investments Govt Securities</v>
          </cell>
        </row>
      </sheetData>
      <sheetData sheetId="5364">
        <row r="34">
          <cell r="A34" t="str">
            <v>Investments Govt Securities</v>
          </cell>
        </row>
      </sheetData>
      <sheetData sheetId="5365"/>
      <sheetData sheetId="5366">
        <row r="34">
          <cell r="A34" t="str">
            <v>Investments Govt Securities</v>
          </cell>
        </row>
      </sheetData>
      <sheetData sheetId="5367"/>
      <sheetData sheetId="5368">
        <row r="34">
          <cell r="A34" t="str">
            <v>Investments Govt Securities</v>
          </cell>
        </row>
      </sheetData>
      <sheetData sheetId="5369">
        <row r="34">
          <cell r="A34" t="str">
            <v>Investments Govt Securities</v>
          </cell>
        </row>
      </sheetData>
      <sheetData sheetId="5370"/>
      <sheetData sheetId="5371"/>
      <sheetData sheetId="5372"/>
      <sheetData sheetId="5373"/>
      <sheetData sheetId="5374">
        <row r="34">
          <cell r="A34" t="str">
            <v>Investments Govt Securities</v>
          </cell>
        </row>
      </sheetData>
      <sheetData sheetId="5375"/>
      <sheetData sheetId="5376"/>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ow r="34">
          <cell r="A34" t="str">
            <v>Investments Govt Securities</v>
          </cell>
        </row>
      </sheetData>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ow r="34">
          <cell r="A34" t="str">
            <v>Investments Govt Securities</v>
          </cell>
        </row>
      </sheetData>
      <sheetData sheetId="5441">
        <row r="34">
          <cell r="A34" t="str">
            <v>Investments Govt Securities</v>
          </cell>
        </row>
      </sheetData>
      <sheetData sheetId="5442"/>
      <sheetData sheetId="5443"/>
      <sheetData sheetId="5444"/>
      <sheetData sheetId="5445"/>
      <sheetData sheetId="5446"/>
      <sheetData sheetId="5447"/>
      <sheetData sheetId="5448"/>
      <sheetData sheetId="5449"/>
      <sheetData sheetId="5450"/>
      <sheetData sheetId="5451"/>
      <sheetData sheetId="5452">
        <row r="34">
          <cell r="A34" t="str">
            <v>Investments Govt Securities</v>
          </cell>
        </row>
      </sheetData>
      <sheetData sheetId="5453">
        <row r="34">
          <cell r="A34" t="str">
            <v>Investments Govt Securities</v>
          </cell>
        </row>
      </sheetData>
      <sheetData sheetId="5454">
        <row r="34">
          <cell r="A34" t="str">
            <v>Investments Govt Securities</v>
          </cell>
        </row>
      </sheetData>
      <sheetData sheetId="5455"/>
      <sheetData sheetId="5456"/>
      <sheetData sheetId="5457"/>
      <sheetData sheetId="5458">
        <row r="34">
          <cell r="A34" t="str">
            <v>Investments Govt Securities</v>
          </cell>
        </row>
      </sheetData>
      <sheetData sheetId="5459" refreshError="1"/>
      <sheetData sheetId="5460">
        <row r="34">
          <cell r="A34" t="str">
            <v>Investments Govt Securities</v>
          </cell>
        </row>
      </sheetData>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ow r="34">
          <cell r="A34" t="str">
            <v>Investments Govt Securities</v>
          </cell>
        </row>
      </sheetData>
      <sheetData sheetId="5568">
        <row r="34">
          <cell r="A34" t="str">
            <v>Investments Govt Securities</v>
          </cell>
        </row>
      </sheetData>
      <sheetData sheetId="5569"/>
      <sheetData sheetId="5570"/>
      <sheetData sheetId="5571"/>
      <sheetData sheetId="5572">
        <row r="34">
          <cell r="A34" t="str">
            <v>Investments Govt Securities</v>
          </cell>
        </row>
      </sheetData>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row r="34">
          <cell r="A34" t="str">
            <v>Investments Govt Securities</v>
          </cell>
        </row>
      </sheetData>
      <sheetData sheetId="5586"/>
      <sheetData sheetId="5587"/>
      <sheetData sheetId="5588"/>
      <sheetData sheetId="5589"/>
      <sheetData sheetId="5590"/>
      <sheetData sheetId="5591">
        <row r="34">
          <cell r="A34" t="str">
            <v>Investments Govt Securities</v>
          </cell>
        </row>
      </sheetData>
      <sheetData sheetId="5592"/>
      <sheetData sheetId="5593"/>
      <sheetData sheetId="5594"/>
      <sheetData sheetId="5595"/>
      <sheetData sheetId="5596">
        <row r="34">
          <cell r="A34" t="str">
            <v>Investments Govt Securities</v>
          </cell>
        </row>
      </sheetData>
      <sheetData sheetId="5597">
        <row r="34">
          <cell r="A34" t="str">
            <v>Investments Govt Securities</v>
          </cell>
        </row>
      </sheetData>
      <sheetData sheetId="5598">
        <row r="34">
          <cell r="A34" t="str">
            <v>Investments Govt Securities</v>
          </cell>
        </row>
      </sheetData>
      <sheetData sheetId="5599">
        <row r="34">
          <cell r="A34" t="str">
            <v>Investments Govt Securities</v>
          </cell>
        </row>
      </sheetData>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sheetData sheetId="5625"/>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ow r="34">
          <cell r="A34" t="str">
            <v>Investments Govt Securities</v>
          </cell>
        </row>
      </sheetData>
      <sheetData sheetId="5679">
        <row r="34">
          <cell r="A34" t="str">
            <v>Investments Govt Securities</v>
          </cell>
        </row>
      </sheetData>
      <sheetData sheetId="5680">
        <row r="34">
          <cell r="A34" t="str">
            <v>Investments Govt Securities</v>
          </cell>
        </row>
      </sheetData>
      <sheetData sheetId="5681">
        <row r="34">
          <cell r="A34" t="str">
            <v>Investments Govt Securities</v>
          </cell>
        </row>
      </sheetData>
      <sheetData sheetId="5682">
        <row r="34">
          <cell r="A34" t="str">
            <v>Investments Govt Securities</v>
          </cell>
        </row>
      </sheetData>
      <sheetData sheetId="5683">
        <row r="34">
          <cell r="A34" t="str">
            <v>Investments Govt Securities</v>
          </cell>
        </row>
      </sheetData>
      <sheetData sheetId="5684">
        <row r="34">
          <cell r="A34" t="str">
            <v>Investments Govt Securities</v>
          </cell>
        </row>
      </sheetData>
      <sheetData sheetId="5685">
        <row r="34">
          <cell r="A34" t="str">
            <v>Investments Govt Securities</v>
          </cell>
        </row>
      </sheetData>
      <sheetData sheetId="5686">
        <row r="34">
          <cell r="A34" t="str">
            <v>Investments Govt Securities</v>
          </cell>
        </row>
      </sheetData>
      <sheetData sheetId="5687">
        <row r="34">
          <cell r="A34" t="str">
            <v>Investments Govt Securities</v>
          </cell>
        </row>
      </sheetData>
      <sheetData sheetId="5688">
        <row r="34">
          <cell r="A34" t="str">
            <v>Investments Govt Securities</v>
          </cell>
        </row>
      </sheetData>
      <sheetData sheetId="5689">
        <row r="34">
          <cell r="A34" t="str">
            <v>Investments Govt Securities</v>
          </cell>
        </row>
      </sheetData>
      <sheetData sheetId="5690">
        <row r="34">
          <cell r="A34" t="str">
            <v>Investments Govt Securities</v>
          </cell>
        </row>
      </sheetData>
      <sheetData sheetId="5691">
        <row r="34">
          <cell r="A34" t="str">
            <v>Investments Govt Securities</v>
          </cell>
        </row>
      </sheetData>
      <sheetData sheetId="5692">
        <row r="34">
          <cell r="A34" t="str">
            <v>Investments Govt Securities</v>
          </cell>
        </row>
      </sheetData>
      <sheetData sheetId="5693">
        <row r="34">
          <cell r="A34" t="str">
            <v>Investments Govt Securities</v>
          </cell>
        </row>
      </sheetData>
      <sheetData sheetId="5694">
        <row r="34">
          <cell r="A34" t="str">
            <v>Investments Govt Securities</v>
          </cell>
        </row>
      </sheetData>
      <sheetData sheetId="5695">
        <row r="34">
          <cell r="A34" t="str">
            <v>Investments Govt Securities</v>
          </cell>
        </row>
      </sheetData>
      <sheetData sheetId="5696">
        <row r="34">
          <cell r="A34" t="str">
            <v>Investments Govt Securities</v>
          </cell>
        </row>
      </sheetData>
      <sheetData sheetId="5697">
        <row r="34">
          <cell r="A34" t="str">
            <v>Investments Govt Securities</v>
          </cell>
        </row>
      </sheetData>
      <sheetData sheetId="5698">
        <row r="34">
          <cell r="A34" t="str">
            <v>Investments Govt Securities</v>
          </cell>
        </row>
      </sheetData>
      <sheetData sheetId="5699">
        <row r="34">
          <cell r="A34" t="str">
            <v>Investments Govt Securities</v>
          </cell>
        </row>
      </sheetData>
      <sheetData sheetId="5700">
        <row r="34">
          <cell r="A34" t="str">
            <v>Investments Govt Securities</v>
          </cell>
        </row>
      </sheetData>
      <sheetData sheetId="5701">
        <row r="34">
          <cell r="A34" t="str">
            <v>Investments Govt Securities</v>
          </cell>
        </row>
      </sheetData>
      <sheetData sheetId="5702">
        <row r="34">
          <cell r="A34" t="str">
            <v>Investments Govt Securities</v>
          </cell>
        </row>
      </sheetData>
      <sheetData sheetId="5703">
        <row r="34">
          <cell r="A34" t="str">
            <v>Investments Govt Securities</v>
          </cell>
        </row>
      </sheetData>
      <sheetData sheetId="5704">
        <row r="34">
          <cell r="A34" t="str">
            <v>Investments Govt Securities</v>
          </cell>
        </row>
      </sheetData>
      <sheetData sheetId="5705">
        <row r="34">
          <cell r="A34" t="str">
            <v>Investments Govt Securities</v>
          </cell>
        </row>
      </sheetData>
      <sheetData sheetId="5706">
        <row r="34">
          <cell r="A34" t="str">
            <v>Investments Govt Securities</v>
          </cell>
        </row>
      </sheetData>
      <sheetData sheetId="5707">
        <row r="34">
          <cell r="A34" t="str">
            <v>Investments Govt Securities</v>
          </cell>
        </row>
      </sheetData>
      <sheetData sheetId="5708">
        <row r="34">
          <cell r="A34" t="str">
            <v>Investments Govt Securities</v>
          </cell>
        </row>
      </sheetData>
      <sheetData sheetId="5709">
        <row r="34">
          <cell r="A34" t="str">
            <v>Investments Govt Securities</v>
          </cell>
        </row>
      </sheetData>
      <sheetData sheetId="5710">
        <row r="34">
          <cell r="A34" t="str">
            <v>Investments Govt Securities</v>
          </cell>
        </row>
      </sheetData>
      <sheetData sheetId="5711">
        <row r="34">
          <cell r="A34" t="str">
            <v>Investments Govt Securities</v>
          </cell>
        </row>
      </sheetData>
      <sheetData sheetId="5712">
        <row r="34">
          <cell r="A34" t="str">
            <v>Investments Govt Securities</v>
          </cell>
        </row>
      </sheetData>
      <sheetData sheetId="5713">
        <row r="34">
          <cell r="A34" t="str">
            <v>Investments Govt Securities</v>
          </cell>
        </row>
      </sheetData>
      <sheetData sheetId="5714">
        <row r="34">
          <cell r="A34" t="str">
            <v>Investments Govt Securities</v>
          </cell>
        </row>
      </sheetData>
      <sheetData sheetId="5715">
        <row r="34">
          <cell r="A34" t="str">
            <v>Investments Govt Securities</v>
          </cell>
        </row>
      </sheetData>
      <sheetData sheetId="5716">
        <row r="34">
          <cell r="A34" t="str">
            <v>Investments Govt Securities</v>
          </cell>
        </row>
      </sheetData>
      <sheetData sheetId="5717">
        <row r="34">
          <cell r="A34" t="str">
            <v>Investments Govt Securities</v>
          </cell>
        </row>
      </sheetData>
      <sheetData sheetId="5718">
        <row r="34">
          <cell r="A34" t="str">
            <v>Investments Govt Securities</v>
          </cell>
        </row>
      </sheetData>
      <sheetData sheetId="5719">
        <row r="34">
          <cell r="A34" t="str">
            <v>Investments Govt Securities</v>
          </cell>
        </row>
      </sheetData>
      <sheetData sheetId="5720">
        <row r="34">
          <cell r="A34" t="str">
            <v>Investments Govt Securities</v>
          </cell>
        </row>
      </sheetData>
      <sheetData sheetId="5721">
        <row r="34">
          <cell r="A34" t="str">
            <v>Investments Govt Securities</v>
          </cell>
        </row>
      </sheetData>
      <sheetData sheetId="5722">
        <row r="34">
          <cell r="A34" t="str">
            <v>Investments Govt Securities</v>
          </cell>
        </row>
      </sheetData>
      <sheetData sheetId="5723">
        <row r="34">
          <cell r="A34" t="str">
            <v>Investments Govt Securities</v>
          </cell>
        </row>
      </sheetData>
      <sheetData sheetId="5724">
        <row r="34">
          <cell r="A34" t="str">
            <v>Investments Govt Securities</v>
          </cell>
        </row>
      </sheetData>
      <sheetData sheetId="5725">
        <row r="34">
          <cell r="A34" t="str">
            <v>Investments Govt Securities</v>
          </cell>
        </row>
      </sheetData>
      <sheetData sheetId="5726">
        <row r="34">
          <cell r="A34" t="str">
            <v>Investments Govt Securities</v>
          </cell>
        </row>
      </sheetData>
      <sheetData sheetId="5727">
        <row r="34">
          <cell r="A34" t="str">
            <v>Investments Govt Securities</v>
          </cell>
        </row>
      </sheetData>
      <sheetData sheetId="5728">
        <row r="34">
          <cell r="A34" t="str">
            <v>Investments Govt Securities</v>
          </cell>
        </row>
      </sheetData>
      <sheetData sheetId="5729">
        <row r="34">
          <cell r="A34" t="str">
            <v>Investments Govt Securities</v>
          </cell>
        </row>
      </sheetData>
      <sheetData sheetId="5730">
        <row r="34">
          <cell r="A34" t="str">
            <v>Investments Govt Securities</v>
          </cell>
        </row>
      </sheetData>
      <sheetData sheetId="5731">
        <row r="34">
          <cell r="A34" t="str">
            <v>Investments Govt Securities</v>
          </cell>
        </row>
      </sheetData>
      <sheetData sheetId="5732">
        <row r="34">
          <cell r="A34" t="str">
            <v>Investments Govt Securities</v>
          </cell>
        </row>
      </sheetData>
      <sheetData sheetId="5733">
        <row r="34">
          <cell r="A34" t="str">
            <v>Investments Govt Securities</v>
          </cell>
        </row>
      </sheetData>
      <sheetData sheetId="5734">
        <row r="34">
          <cell r="A34" t="str">
            <v>Investments Govt Securities</v>
          </cell>
        </row>
      </sheetData>
      <sheetData sheetId="5735">
        <row r="34">
          <cell r="A34" t="str">
            <v>Investments Govt Securities</v>
          </cell>
        </row>
      </sheetData>
      <sheetData sheetId="5736">
        <row r="34">
          <cell r="A34" t="str">
            <v>Investments Govt Securities</v>
          </cell>
        </row>
      </sheetData>
      <sheetData sheetId="5737">
        <row r="34">
          <cell r="A34" t="str">
            <v>Investments Govt Securities</v>
          </cell>
        </row>
      </sheetData>
      <sheetData sheetId="5738">
        <row r="34">
          <cell r="A34" t="str">
            <v>Investments Govt Securities</v>
          </cell>
        </row>
      </sheetData>
      <sheetData sheetId="5739">
        <row r="34">
          <cell r="A34" t="str">
            <v>Investments Govt Securities</v>
          </cell>
        </row>
      </sheetData>
      <sheetData sheetId="5740">
        <row r="34">
          <cell r="A34" t="str">
            <v>Investments Govt Securities</v>
          </cell>
        </row>
      </sheetData>
      <sheetData sheetId="5741">
        <row r="34">
          <cell r="A34" t="str">
            <v>Investments Govt Securities</v>
          </cell>
        </row>
      </sheetData>
      <sheetData sheetId="5742">
        <row r="34">
          <cell r="A34" t="str">
            <v>Investments Govt Securities</v>
          </cell>
        </row>
      </sheetData>
      <sheetData sheetId="5743">
        <row r="34">
          <cell r="A34" t="str">
            <v>Investments Govt Securities</v>
          </cell>
        </row>
      </sheetData>
      <sheetData sheetId="5744">
        <row r="34">
          <cell r="A34" t="str">
            <v>Investments Govt Securities</v>
          </cell>
        </row>
      </sheetData>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ow r="34">
          <cell r="A34" t="str">
            <v>Investments Govt Securities</v>
          </cell>
        </row>
      </sheetData>
      <sheetData sheetId="5800">
        <row r="34">
          <cell r="A34" t="str">
            <v>Investments Govt Securities</v>
          </cell>
        </row>
      </sheetData>
      <sheetData sheetId="5801">
        <row r="34">
          <cell r="A34" t="str">
            <v>Investments Govt Securities</v>
          </cell>
        </row>
      </sheetData>
      <sheetData sheetId="5802">
        <row r="34">
          <cell r="A34" t="str">
            <v>Investments Govt Securities</v>
          </cell>
        </row>
      </sheetData>
      <sheetData sheetId="5803">
        <row r="34">
          <cell r="A34" t="str">
            <v>Investments Govt Securities</v>
          </cell>
        </row>
      </sheetData>
      <sheetData sheetId="5804" refreshError="1"/>
      <sheetData sheetId="5805">
        <row r="34">
          <cell r="A34" t="str">
            <v>Investments Govt Securities</v>
          </cell>
        </row>
      </sheetData>
      <sheetData sheetId="5806" refreshError="1"/>
      <sheetData sheetId="5807" refreshError="1"/>
      <sheetData sheetId="5808">
        <row r="34">
          <cell r="A34" t="str">
            <v>Investments Govt Securities</v>
          </cell>
        </row>
      </sheetData>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ow r="34">
          <cell r="A34" t="str">
            <v>Investments Govt Securities</v>
          </cell>
        </row>
      </sheetData>
      <sheetData sheetId="5839">
        <row r="34">
          <cell r="A34" t="str">
            <v>Investments Govt Securities</v>
          </cell>
        </row>
      </sheetData>
      <sheetData sheetId="5840" refreshError="1"/>
      <sheetData sheetId="5841">
        <row r="34">
          <cell r="A34" t="str">
            <v>Investments Govt Securities</v>
          </cell>
        </row>
      </sheetData>
      <sheetData sheetId="5842">
        <row r="34">
          <cell r="A34" t="str">
            <v>Investments Govt Securities</v>
          </cell>
        </row>
      </sheetData>
      <sheetData sheetId="5843">
        <row r="34">
          <cell r="A34" t="str">
            <v>Investments Govt Securities</v>
          </cell>
        </row>
      </sheetData>
      <sheetData sheetId="5844">
        <row r="34">
          <cell r="A34" t="str">
            <v>Investments Govt Securities</v>
          </cell>
        </row>
      </sheetData>
      <sheetData sheetId="5845">
        <row r="34">
          <cell r="A34" t="str">
            <v>Investments Govt Securities</v>
          </cell>
        </row>
      </sheetData>
      <sheetData sheetId="5846">
        <row r="34">
          <cell r="A34" t="str">
            <v>Investments Govt Securities</v>
          </cell>
        </row>
      </sheetData>
      <sheetData sheetId="5847" refreshError="1"/>
      <sheetData sheetId="5848" refreshError="1"/>
      <sheetData sheetId="5849" refreshError="1"/>
      <sheetData sheetId="5850" refreshError="1"/>
      <sheetData sheetId="5851">
        <row r="34">
          <cell r="A34" t="str">
            <v>Investments Govt Securities</v>
          </cell>
        </row>
      </sheetData>
      <sheetData sheetId="5852" refreshError="1"/>
      <sheetData sheetId="5853">
        <row r="34">
          <cell r="A34" t="str">
            <v>Investments Govt Securities</v>
          </cell>
        </row>
      </sheetData>
      <sheetData sheetId="5854">
        <row r="34">
          <cell r="A34" t="str">
            <v>Investments Govt Securities</v>
          </cell>
        </row>
      </sheetData>
      <sheetData sheetId="5855">
        <row r="34">
          <cell r="A34" t="str">
            <v>Investments Govt Securities</v>
          </cell>
        </row>
      </sheetData>
      <sheetData sheetId="5856">
        <row r="34">
          <cell r="A34" t="str">
            <v>Investments Govt Securities</v>
          </cell>
        </row>
      </sheetData>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ow r="34">
          <cell r="A34" t="str">
            <v>Investments Govt Securities</v>
          </cell>
        </row>
      </sheetData>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ow r="34">
          <cell r="A34" t="str">
            <v>Investments Govt Securities</v>
          </cell>
        </row>
      </sheetData>
      <sheetData sheetId="5884">
        <row r="34">
          <cell r="A34" t="str">
            <v>Investments Govt Securities</v>
          </cell>
        </row>
      </sheetData>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ow r="34">
          <cell r="A34" t="str">
            <v>Investments Govt Securities</v>
          </cell>
        </row>
      </sheetData>
      <sheetData sheetId="5907">
        <row r="34">
          <cell r="A34" t="str">
            <v>Investments Govt Securities</v>
          </cell>
        </row>
      </sheetData>
      <sheetData sheetId="5908" refreshError="1"/>
      <sheetData sheetId="5909" refreshError="1"/>
      <sheetData sheetId="5910" refreshError="1"/>
      <sheetData sheetId="5911">
        <row r="34">
          <cell r="A34" t="str">
            <v>Investments Govt Securities</v>
          </cell>
        </row>
      </sheetData>
      <sheetData sheetId="5912">
        <row r="34">
          <cell r="A34" t="str">
            <v>Investments Govt Securities</v>
          </cell>
        </row>
      </sheetData>
      <sheetData sheetId="5913">
        <row r="34">
          <cell r="A34" t="str">
            <v>Investments Govt Securities</v>
          </cell>
        </row>
      </sheetData>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ow r="34">
          <cell r="A34" t="str">
            <v>Investments Govt Securities</v>
          </cell>
        </row>
      </sheetData>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ow r="34">
          <cell r="A34" t="str">
            <v>Investments Govt Securities</v>
          </cell>
        </row>
      </sheetData>
      <sheetData sheetId="5933">
        <row r="34">
          <cell r="A34" t="str">
            <v>Investments Govt Securities</v>
          </cell>
        </row>
      </sheetData>
      <sheetData sheetId="5934">
        <row r="34">
          <cell r="A34" t="str">
            <v>Investments Govt Securities</v>
          </cell>
        </row>
      </sheetData>
      <sheetData sheetId="5935">
        <row r="34">
          <cell r="A34" t="str">
            <v>Investments Govt Securities</v>
          </cell>
        </row>
      </sheetData>
      <sheetData sheetId="5936">
        <row r="34">
          <cell r="A34" t="str">
            <v>Investments Govt Securities</v>
          </cell>
        </row>
      </sheetData>
      <sheetData sheetId="5937">
        <row r="34">
          <cell r="A34" t="str">
            <v>Investments Govt Securities</v>
          </cell>
        </row>
      </sheetData>
      <sheetData sheetId="5938">
        <row r="34">
          <cell r="A34" t="str">
            <v>Investments Govt Securities</v>
          </cell>
        </row>
      </sheetData>
      <sheetData sheetId="5939">
        <row r="34">
          <cell r="A34" t="str">
            <v>Investments Govt Securities</v>
          </cell>
        </row>
      </sheetData>
      <sheetData sheetId="5940">
        <row r="34">
          <cell r="A34" t="str">
            <v>Investments Govt Securities</v>
          </cell>
        </row>
      </sheetData>
      <sheetData sheetId="5941">
        <row r="34">
          <cell r="A34" t="str">
            <v>Investments Govt Securities</v>
          </cell>
        </row>
      </sheetData>
      <sheetData sheetId="5942">
        <row r="34">
          <cell r="A34" t="str">
            <v>Investments Govt Securities</v>
          </cell>
        </row>
      </sheetData>
      <sheetData sheetId="5943">
        <row r="34">
          <cell r="A34" t="str">
            <v>Investments Govt Securities</v>
          </cell>
        </row>
      </sheetData>
      <sheetData sheetId="5944">
        <row r="34">
          <cell r="A34" t="str">
            <v>Investments Govt Securities</v>
          </cell>
        </row>
      </sheetData>
      <sheetData sheetId="5945">
        <row r="34">
          <cell r="A34" t="str">
            <v>Investments Govt Securities</v>
          </cell>
        </row>
      </sheetData>
      <sheetData sheetId="5946">
        <row r="34">
          <cell r="A34" t="str">
            <v>Investments Govt Securities</v>
          </cell>
        </row>
      </sheetData>
      <sheetData sheetId="5947">
        <row r="34">
          <cell r="A34" t="str">
            <v>Investments Govt Securities</v>
          </cell>
        </row>
      </sheetData>
      <sheetData sheetId="5948">
        <row r="34">
          <cell r="A34" t="str">
            <v>Investments Govt Securities</v>
          </cell>
        </row>
      </sheetData>
      <sheetData sheetId="5949">
        <row r="34">
          <cell r="A34" t="str">
            <v>Investments Govt Securities</v>
          </cell>
        </row>
      </sheetData>
      <sheetData sheetId="5950">
        <row r="34">
          <cell r="A34" t="str">
            <v>Investments Govt Securities</v>
          </cell>
        </row>
      </sheetData>
      <sheetData sheetId="5951">
        <row r="34">
          <cell r="A34" t="str">
            <v>Investments Govt Securities</v>
          </cell>
        </row>
      </sheetData>
      <sheetData sheetId="5952">
        <row r="34">
          <cell r="A34" t="str">
            <v>Investments Govt Securities</v>
          </cell>
        </row>
      </sheetData>
      <sheetData sheetId="5953">
        <row r="34">
          <cell r="A34" t="str">
            <v>Investments Govt Securities</v>
          </cell>
        </row>
      </sheetData>
      <sheetData sheetId="5954">
        <row r="34">
          <cell r="A34" t="str">
            <v>Investments Govt Securities</v>
          </cell>
        </row>
      </sheetData>
      <sheetData sheetId="5955">
        <row r="34">
          <cell r="A34" t="str">
            <v>Investments Govt Securities</v>
          </cell>
        </row>
      </sheetData>
      <sheetData sheetId="5956">
        <row r="34">
          <cell r="A34" t="str">
            <v>Investments Govt Securities</v>
          </cell>
        </row>
      </sheetData>
      <sheetData sheetId="5957">
        <row r="34">
          <cell r="A34" t="str">
            <v>Investments Govt Securities</v>
          </cell>
        </row>
      </sheetData>
      <sheetData sheetId="5958">
        <row r="34">
          <cell r="A34" t="str">
            <v>Investments Govt Securities</v>
          </cell>
        </row>
      </sheetData>
      <sheetData sheetId="5959">
        <row r="34">
          <cell r="A34" t="str">
            <v>Investments Govt Securities</v>
          </cell>
        </row>
      </sheetData>
      <sheetData sheetId="5960">
        <row r="34">
          <cell r="A34" t="str">
            <v>Investments Govt Securities</v>
          </cell>
        </row>
      </sheetData>
      <sheetData sheetId="5961">
        <row r="34">
          <cell r="A34" t="str">
            <v>Investments Govt Securities</v>
          </cell>
        </row>
      </sheetData>
      <sheetData sheetId="5962">
        <row r="34">
          <cell r="A34" t="str">
            <v>Investments Govt Securities</v>
          </cell>
        </row>
      </sheetData>
      <sheetData sheetId="5963">
        <row r="34">
          <cell r="A34" t="str">
            <v>Investments Govt Securities</v>
          </cell>
        </row>
      </sheetData>
      <sheetData sheetId="5964">
        <row r="34">
          <cell r="A34" t="str">
            <v>Investments Govt Securities</v>
          </cell>
        </row>
      </sheetData>
      <sheetData sheetId="5965">
        <row r="34">
          <cell r="A34" t="str">
            <v>Investments Govt Securities</v>
          </cell>
        </row>
      </sheetData>
      <sheetData sheetId="5966">
        <row r="34">
          <cell r="A34" t="str">
            <v>Investments Govt Securities</v>
          </cell>
        </row>
      </sheetData>
      <sheetData sheetId="5967">
        <row r="34">
          <cell r="A34" t="str">
            <v>Investments Govt Securities</v>
          </cell>
        </row>
      </sheetData>
      <sheetData sheetId="5968">
        <row r="34">
          <cell r="A34" t="str">
            <v>Investments Govt Securities</v>
          </cell>
        </row>
      </sheetData>
      <sheetData sheetId="5969">
        <row r="34">
          <cell r="A34" t="str">
            <v>Investments Govt Securities</v>
          </cell>
        </row>
      </sheetData>
      <sheetData sheetId="5970">
        <row r="34">
          <cell r="A34" t="str">
            <v>Investments Govt Securities</v>
          </cell>
        </row>
      </sheetData>
      <sheetData sheetId="5971">
        <row r="34">
          <cell r="A34" t="str">
            <v>Investments Govt Securities</v>
          </cell>
        </row>
      </sheetData>
      <sheetData sheetId="5972">
        <row r="34">
          <cell r="A34" t="str">
            <v>Investments Govt Securities</v>
          </cell>
        </row>
      </sheetData>
      <sheetData sheetId="5973">
        <row r="34">
          <cell r="A34" t="str">
            <v>Investments Govt Securities</v>
          </cell>
        </row>
      </sheetData>
      <sheetData sheetId="5974">
        <row r="34">
          <cell r="A34" t="str">
            <v>Investments Govt Securities</v>
          </cell>
        </row>
      </sheetData>
      <sheetData sheetId="5975">
        <row r="34">
          <cell r="A34" t="str">
            <v>Investments Govt Securities</v>
          </cell>
        </row>
      </sheetData>
      <sheetData sheetId="5976">
        <row r="34">
          <cell r="A34" t="str">
            <v>Investments Govt Securities</v>
          </cell>
        </row>
      </sheetData>
      <sheetData sheetId="5977">
        <row r="34">
          <cell r="A34" t="str">
            <v>Investments Govt Securities</v>
          </cell>
        </row>
      </sheetData>
      <sheetData sheetId="5978">
        <row r="34">
          <cell r="A34" t="str">
            <v>Investments Govt Securities</v>
          </cell>
        </row>
      </sheetData>
      <sheetData sheetId="5979">
        <row r="34">
          <cell r="A34" t="str">
            <v>Investments Govt Securities</v>
          </cell>
        </row>
      </sheetData>
      <sheetData sheetId="5980">
        <row r="34">
          <cell r="A34" t="str">
            <v>Investments Govt Securities</v>
          </cell>
        </row>
      </sheetData>
      <sheetData sheetId="5981">
        <row r="34">
          <cell r="A34" t="str">
            <v>Investments Govt Securities</v>
          </cell>
        </row>
      </sheetData>
      <sheetData sheetId="5982">
        <row r="34">
          <cell r="A34" t="str">
            <v>Investments Govt Securities</v>
          </cell>
        </row>
      </sheetData>
      <sheetData sheetId="5983">
        <row r="34">
          <cell r="A34" t="str">
            <v>Investments Govt Securities</v>
          </cell>
        </row>
      </sheetData>
      <sheetData sheetId="5984">
        <row r="34">
          <cell r="A34" t="str">
            <v>Investments Govt Securities</v>
          </cell>
        </row>
      </sheetData>
      <sheetData sheetId="5985">
        <row r="34">
          <cell r="A34" t="str">
            <v>Investments Govt Securities</v>
          </cell>
        </row>
      </sheetData>
      <sheetData sheetId="5986">
        <row r="34">
          <cell r="A34" t="str">
            <v>Investments Govt Securities</v>
          </cell>
        </row>
      </sheetData>
      <sheetData sheetId="5987">
        <row r="34">
          <cell r="A34" t="str">
            <v>Investments Govt Securities</v>
          </cell>
        </row>
      </sheetData>
      <sheetData sheetId="5988">
        <row r="34">
          <cell r="A34" t="str">
            <v>Investments Govt Securities</v>
          </cell>
        </row>
      </sheetData>
      <sheetData sheetId="5989">
        <row r="34">
          <cell r="A34" t="str">
            <v>Investments Govt Securities</v>
          </cell>
        </row>
      </sheetData>
      <sheetData sheetId="5990">
        <row r="34">
          <cell r="A34" t="str">
            <v>Investments Govt Securities</v>
          </cell>
        </row>
      </sheetData>
      <sheetData sheetId="5991">
        <row r="34">
          <cell r="A34" t="str">
            <v>Investments Govt Securities</v>
          </cell>
        </row>
      </sheetData>
      <sheetData sheetId="5992">
        <row r="34">
          <cell r="A34" t="str">
            <v>Investments Govt Securities</v>
          </cell>
        </row>
      </sheetData>
      <sheetData sheetId="5993">
        <row r="34">
          <cell r="A34" t="str">
            <v>Investments Govt Securities</v>
          </cell>
        </row>
      </sheetData>
      <sheetData sheetId="5994">
        <row r="34">
          <cell r="A34" t="str">
            <v>Investments Govt Securities</v>
          </cell>
        </row>
      </sheetData>
      <sheetData sheetId="5995">
        <row r="34">
          <cell r="A34" t="str">
            <v>Investments Govt Securities</v>
          </cell>
        </row>
      </sheetData>
      <sheetData sheetId="5996">
        <row r="34">
          <cell r="A34" t="str">
            <v>Investments Govt Securities</v>
          </cell>
        </row>
      </sheetData>
      <sheetData sheetId="5997">
        <row r="34">
          <cell r="A34" t="str">
            <v>Investments Govt Securities</v>
          </cell>
        </row>
      </sheetData>
      <sheetData sheetId="5998">
        <row r="34">
          <cell r="A34" t="str">
            <v>Investments Govt Securities</v>
          </cell>
        </row>
      </sheetData>
      <sheetData sheetId="5999">
        <row r="34">
          <cell r="A34" t="str">
            <v>Investments Govt Securities</v>
          </cell>
        </row>
      </sheetData>
      <sheetData sheetId="6000">
        <row r="34">
          <cell r="A34" t="str">
            <v>Investments Govt Securities</v>
          </cell>
        </row>
      </sheetData>
      <sheetData sheetId="6001">
        <row r="34">
          <cell r="A34" t="str">
            <v>Investments Govt Securities</v>
          </cell>
        </row>
      </sheetData>
      <sheetData sheetId="6002">
        <row r="34">
          <cell r="A34" t="str">
            <v>Investments Govt Securities</v>
          </cell>
        </row>
      </sheetData>
      <sheetData sheetId="6003">
        <row r="34">
          <cell r="A34" t="str">
            <v>Investments Govt Securities</v>
          </cell>
        </row>
      </sheetData>
      <sheetData sheetId="6004">
        <row r="34">
          <cell r="A34" t="str">
            <v>Investments Govt Securities</v>
          </cell>
        </row>
      </sheetData>
      <sheetData sheetId="6005">
        <row r="34">
          <cell r="A34" t="str">
            <v>Investments Govt Securities</v>
          </cell>
        </row>
      </sheetData>
      <sheetData sheetId="6006">
        <row r="34">
          <cell r="A34" t="str">
            <v>Investments Govt Securities</v>
          </cell>
        </row>
      </sheetData>
      <sheetData sheetId="6007">
        <row r="34">
          <cell r="A34" t="str">
            <v>Investments Govt Securities</v>
          </cell>
        </row>
      </sheetData>
      <sheetData sheetId="6008">
        <row r="34">
          <cell r="A34" t="str">
            <v>Investments Govt Securities</v>
          </cell>
        </row>
      </sheetData>
      <sheetData sheetId="6009">
        <row r="34">
          <cell r="A34" t="str">
            <v>Investments Govt Securities</v>
          </cell>
        </row>
      </sheetData>
      <sheetData sheetId="6010">
        <row r="34">
          <cell r="A34" t="str">
            <v>Investments Govt Securities</v>
          </cell>
        </row>
      </sheetData>
      <sheetData sheetId="6011">
        <row r="34">
          <cell r="A34" t="str">
            <v>Investments Govt Securities</v>
          </cell>
        </row>
      </sheetData>
      <sheetData sheetId="6012">
        <row r="34">
          <cell r="A34" t="str">
            <v>Investments Govt Securities</v>
          </cell>
        </row>
      </sheetData>
      <sheetData sheetId="6013">
        <row r="34">
          <cell r="A34" t="str">
            <v>Investments Govt Securities</v>
          </cell>
        </row>
      </sheetData>
      <sheetData sheetId="6014">
        <row r="34">
          <cell r="A34" t="str">
            <v>Investments Govt Securities</v>
          </cell>
        </row>
      </sheetData>
      <sheetData sheetId="6015">
        <row r="34">
          <cell r="A34" t="str">
            <v>Investments Govt Securities</v>
          </cell>
        </row>
      </sheetData>
      <sheetData sheetId="6016">
        <row r="34">
          <cell r="A34" t="str">
            <v>Investments Govt Securities</v>
          </cell>
        </row>
      </sheetData>
      <sheetData sheetId="6017">
        <row r="34">
          <cell r="A34" t="str">
            <v>Investments Govt Securities</v>
          </cell>
        </row>
      </sheetData>
      <sheetData sheetId="6018">
        <row r="34">
          <cell r="A34" t="str">
            <v>Investments Govt Securities</v>
          </cell>
        </row>
      </sheetData>
      <sheetData sheetId="6019">
        <row r="34">
          <cell r="A34" t="str">
            <v>Investments Govt Securities</v>
          </cell>
        </row>
      </sheetData>
      <sheetData sheetId="6020">
        <row r="34">
          <cell r="A34" t="str">
            <v>Investments Govt Securities</v>
          </cell>
        </row>
      </sheetData>
      <sheetData sheetId="6021">
        <row r="34">
          <cell r="A34" t="str">
            <v>Investments Govt Securities</v>
          </cell>
        </row>
      </sheetData>
      <sheetData sheetId="6022">
        <row r="34">
          <cell r="A34" t="str">
            <v>Investments Govt Securities</v>
          </cell>
        </row>
      </sheetData>
      <sheetData sheetId="6023">
        <row r="34">
          <cell r="A34" t="str">
            <v>Investments Govt Securities</v>
          </cell>
        </row>
      </sheetData>
      <sheetData sheetId="6024">
        <row r="34">
          <cell r="A34" t="str">
            <v>Investments Govt Securities</v>
          </cell>
        </row>
      </sheetData>
      <sheetData sheetId="6025">
        <row r="34">
          <cell r="A34" t="str">
            <v>Investments Govt Securities</v>
          </cell>
        </row>
      </sheetData>
      <sheetData sheetId="6026">
        <row r="34">
          <cell r="A34" t="str">
            <v>Investments Govt Securities</v>
          </cell>
        </row>
      </sheetData>
      <sheetData sheetId="6027">
        <row r="34">
          <cell r="A34" t="str">
            <v>Investments Govt Securities</v>
          </cell>
        </row>
      </sheetData>
      <sheetData sheetId="6028">
        <row r="34">
          <cell r="A34" t="str">
            <v>Investments Govt Securities</v>
          </cell>
        </row>
      </sheetData>
      <sheetData sheetId="6029">
        <row r="34">
          <cell r="A34" t="str">
            <v>Investments Govt Securities</v>
          </cell>
        </row>
      </sheetData>
      <sheetData sheetId="6030">
        <row r="34">
          <cell r="A34" t="str">
            <v>Investments Govt Securities</v>
          </cell>
        </row>
      </sheetData>
      <sheetData sheetId="6031">
        <row r="34">
          <cell r="A34" t="str">
            <v>Investments Govt Securities</v>
          </cell>
        </row>
      </sheetData>
      <sheetData sheetId="6032">
        <row r="34">
          <cell r="A34" t="str">
            <v>Investments Govt Securities</v>
          </cell>
        </row>
      </sheetData>
      <sheetData sheetId="6033">
        <row r="34">
          <cell r="A34" t="str">
            <v>Investments Govt Securities</v>
          </cell>
        </row>
      </sheetData>
      <sheetData sheetId="6034">
        <row r="34">
          <cell r="A34" t="str">
            <v>Investments Govt Securities</v>
          </cell>
        </row>
      </sheetData>
      <sheetData sheetId="6035">
        <row r="34">
          <cell r="A34" t="str">
            <v>Investments Govt Securities</v>
          </cell>
        </row>
      </sheetData>
      <sheetData sheetId="6036">
        <row r="34">
          <cell r="A34" t="str">
            <v>Investments Govt Securities</v>
          </cell>
        </row>
      </sheetData>
      <sheetData sheetId="6037">
        <row r="34">
          <cell r="A34" t="str">
            <v>Investments Govt Securities</v>
          </cell>
        </row>
      </sheetData>
      <sheetData sheetId="6038">
        <row r="34">
          <cell r="A34" t="str">
            <v>Investments Govt Securities</v>
          </cell>
        </row>
      </sheetData>
      <sheetData sheetId="6039">
        <row r="34">
          <cell r="A34" t="str">
            <v>Investments Govt Securities</v>
          </cell>
        </row>
      </sheetData>
      <sheetData sheetId="6040">
        <row r="34">
          <cell r="A34" t="str">
            <v>Investments Govt Securities</v>
          </cell>
        </row>
      </sheetData>
      <sheetData sheetId="6041">
        <row r="34">
          <cell r="A34" t="str">
            <v>Investments Govt Securities</v>
          </cell>
        </row>
      </sheetData>
      <sheetData sheetId="6042">
        <row r="34">
          <cell r="A34" t="str">
            <v>Investments Govt Securities</v>
          </cell>
        </row>
      </sheetData>
      <sheetData sheetId="6043">
        <row r="34">
          <cell r="A34" t="str">
            <v>Investments Govt Securities</v>
          </cell>
        </row>
      </sheetData>
      <sheetData sheetId="6044">
        <row r="34">
          <cell r="A34" t="str">
            <v>Investments Govt Securities</v>
          </cell>
        </row>
      </sheetData>
      <sheetData sheetId="6045">
        <row r="34">
          <cell r="A34" t="str">
            <v>Investments Govt Securities</v>
          </cell>
        </row>
      </sheetData>
      <sheetData sheetId="6046">
        <row r="34">
          <cell r="A34" t="str">
            <v>Investments Govt Securities</v>
          </cell>
        </row>
      </sheetData>
      <sheetData sheetId="6047">
        <row r="34">
          <cell r="A34" t="str">
            <v>Investments Govt Securities</v>
          </cell>
        </row>
      </sheetData>
      <sheetData sheetId="6048">
        <row r="34">
          <cell r="A34" t="str">
            <v>Investments Govt Securities</v>
          </cell>
        </row>
      </sheetData>
      <sheetData sheetId="6049">
        <row r="34">
          <cell r="A34" t="str">
            <v>Investments Govt Securities</v>
          </cell>
        </row>
      </sheetData>
      <sheetData sheetId="6050">
        <row r="34">
          <cell r="A34" t="str">
            <v>Investments Govt Securities</v>
          </cell>
        </row>
      </sheetData>
      <sheetData sheetId="6051">
        <row r="34">
          <cell r="A34" t="str">
            <v>Investments Govt Securities</v>
          </cell>
        </row>
      </sheetData>
      <sheetData sheetId="6052">
        <row r="34">
          <cell r="A34" t="str">
            <v>Investments Govt Securities</v>
          </cell>
        </row>
      </sheetData>
      <sheetData sheetId="6053">
        <row r="34">
          <cell r="A34" t="str">
            <v>Investments Govt Securities</v>
          </cell>
        </row>
      </sheetData>
      <sheetData sheetId="6054">
        <row r="34">
          <cell r="A34" t="str">
            <v>Investments Govt Securities</v>
          </cell>
        </row>
      </sheetData>
      <sheetData sheetId="6055">
        <row r="34">
          <cell r="A34" t="str">
            <v>Investments Govt Securities</v>
          </cell>
        </row>
      </sheetData>
      <sheetData sheetId="6056">
        <row r="34">
          <cell r="A34" t="str">
            <v>Investments Govt Securities</v>
          </cell>
        </row>
      </sheetData>
      <sheetData sheetId="6057">
        <row r="34">
          <cell r="A34" t="str">
            <v>Investments Govt Securities</v>
          </cell>
        </row>
      </sheetData>
      <sheetData sheetId="6058">
        <row r="34">
          <cell r="A34" t="str">
            <v>Investments Govt Securities</v>
          </cell>
        </row>
      </sheetData>
      <sheetData sheetId="6059">
        <row r="34">
          <cell r="A34" t="str">
            <v>Investments Govt Securities</v>
          </cell>
        </row>
      </sheetData>
      <sheetData sheetId="6060">
        <row r="34">
          <cell r="A34" t="str">
            <v>Investments Govt Securities</v>
          </cell>
        </row>
      </sheetData>
      <sheetData sheetId="6061">
        <row r="34">
          <cell r="A34" t="str">
            <v>Investments Govt Securities</v>
          </cell>
        </row>
      </sheetData>
      <sheetData sheetId="6062">
        <row r="34">
          <cell r="A34" t="str">
            <v>Investments Govt Securities</v>
          </cell>
        </row>
      </sheetData>
      <sheetData sheetId="6063">
        <row r="34">
          <cell r="A34" t="str">
            <v>Investments Govt Securities</v>
          </cell>
        </row>
      </sheetData>
      <sheetData sheetId="6064">
        <row r="34">
          <cell r="A34" t="str">
            <v>Investments Govt Securities</v>
          </cell>
        </row>
      </sheetData>
      <sheetData sheetId="6065">
        <row r="34">
          <cell r="A34" t="str">
            <v>Investments Govt Securities</v>
          </cell>
        </row>
      </sheetData>
      <sheetData sheetId="6066">
        <row r="34">
          <cell r="A34" t="str">
            <v>Investments Govt Securities</v>
          </cell>
        </row>
      </sheetData>
      <sheetData sheetId="6067">
        <row r="34">
          <cell r="A34" t="str">
            <v>Investments Govt Securities</v>
          </cell>
        </row>
      </sheetData>
      <sheetData sheetId="6068">
        <row r="34">
          <cell r="A34" t="str">
            <v>Investments Govt Securities</v>
          </cell>
        </row>
      </sheetData>
      <sheetData sheetId="6069">
        <row r="34">
          <cell r="A34" t="str">
            <v>Investments Govt Securities</v>
          </cell>
        </row>
      </sheetData>
      <sheetData sheetId="6070">
        <row r="34">
          <cell r="A34" t="str">
            <v>Investments Govt Securities</v>
          </cell>
        </row>
      </sheetData>
      <sheetData sheetId="6071">
        <row r="34">
          <cell r="A34" t="str">
            <v>Investments Govt Securities</v>
          </cell>
        </row>
      </sheetData>
      <sheetData sheetId="6072"/>
      <sheetData sheetId="6073">
        <row r="34">
          <cell r="A34" t="str">
            <v>Investments Govt Securities</v>
          </cell>
        </row>
      </sheetData>
      <sheetData sheetId="6074">
        <row r="34">
          <cell r="A34" t="str">
            <v>Investments Govt Securities</v>
          </cell>
        </row>
      </sheetData>
      <sheetData sheetId="6075">
        <row r="34">
          <cell r="A34" t="str">
            <v>Investments Govt Securities</v>
          </cell>
        </row>
      </sheetData>
      <sheetData sheetId="6076">
        <row r="34">
          <cell r="A34" t="str">
            <v>Investments Govt Securities</v>
          </cell>
        </row>
      </sheetData>
      <sheetData sheetId="6077">
        <row r="34">
          <cell r="A34" t="str">
            <v>Investments Govt Securities</v>
          </cell>
        </row>
      </sheetData>
      <sheetData sheetId="6078">
        <row r="34">
          <cell r="A34" t="str">
            <v>Investments Govt Securities</v>
          </cell>
        </row>
      </sheetData>
      <sheetData sheetId="6079">
        <row r="34">
          <cell r="A34" t="str">
            <v>Investments Govt Securities</v>
          </cell>
        </row>
      </sheetData>
      <sheetData sheetId="6080">
        <row r="34">
          <cell r="A34" t="str">
            <v>Investments Govt Securities</v>
          </cell>
        </row>
      </sheetData>
      <sheetData sheetId="6081">
        <row r="34">
          <cell r="A34" t="str">
            <v>Investments Govt Securities</v>
          </cell>
        </row>
      </sheetData>
      <sheetData sheetId="6082">
        <row r="34">
          <cell r="A34" t="str">
            <v>Investments Govt Securities</v>
          </cell>
        </row>
      </sheetData>
      <sheetData sheetId="6083">
        <row r="34">
          <cell r="A34" t="str">
            <v>Investments Govt Securities</v>
          </cell>
        </row>
      </sheetData>
      <sheetData sheetId="6084">
        <row r="34">
          <cell r="A34" t="str">
            <v>Investments Govt Securities</v>
          </cell>
        </row>
      </sheetData>
      <sheetData sheetId="6085">
        <row r="34">
          <cell r="A34" t="str">
            <v>Investments Govt Securities</v>
          </cell>
        </row>
      </sheetData>
      <sheetData sheetId="6086">
        <row r="34">
          <cell r="A34" t="str">
            <v>Investments Govt Securities</v>
          </cell>
        </row>
      </sheetData>
      <sheetData sheetId="6087">
        <row r="34">
          <cell r="A34" t="str">
            <v>Investments Govt Securities</v>
          </cell>
        </row>
      </sheetData>
      <sheetData sheetId="6088">
        <row r="34">
          <cell r="A34" t="str">
            <v>Investments Govt Securities</v>
          </cell>
        </row>
      </sheetData>
      <sheetData sheetId="6089">
        <row r="34">
          <cell r="A34" t="str">
            <v>Investments Govt Securities</v>
          </cell>
        </row>
      </sheetData>
      <sheetData sheetId="6090">
        <row r="34">
          <cell r="A34" t="str">
            <v>Investments Govt Securities</v>
          </cell>
        </row>
      </sheetData>
      <sheetData sheetId="6091">
        <row r="34">
          <cell r="A34" t="str">
            <v>Investments Govt Securities</v>
          </cell>
        </row>
      </sheetData>
      <sheetData sheetId="6092">
        <row r="34">
          <cell r="A34" t="str">
            <v>Investments Govt Securities</v>
          </cell>
        </row>
      </sheetData>
      <sheetData sheetId="6093">
        <row r="34">
          <cell r="A34" t="str">
            <v>Investments Govt Securities</v>
          </cell>
        </row>
      </sheetData>
      <sheetData sheetId="6094">
        <row r="34">
          <cell r="A34" t="str">
            <v>Investments Govt Securities</v>
          </cell>
        </row>
      </sheetData>
      <sheetData sheetId="6095">
        <row r="34">
          <cell r="A34" t="str">
            <v>Investments Govt Securities</v>
          </cell>
        </row>
      </sheetData>
      <sheetData sheetId="6096">
        <row r="34">
          <cell r="A34" t="str">
            <v>Investments Govt Securities</v>
          </cell>
        </row>
      </sheetData>
      <sheetData sheetId="6097">
        <row r="34">
          <cell r="A34" t="str">
            <v>Investments Govt Securities</v>
          </cell>
        </row>
      </sheetData>
      <sheetData sheetId="6098">
        <row r="34">
          <cell r="A34" t="str">
            <v>Investments Govt Securities</v>
          </cell>
        </row>
      </sheetData>
      <sheetData sheetId="6099">
        <row r="34">
          <cell r="A34" t="str">
            <v>Investments Govt Securities</v>
          </cell>
        </row>
      </sheetData>
      <sheetData sheetId="6100">
        <row r="34">
          <cell r="A34" t="str">
            <v>Investments Govt Securities</v>
          </cell>
        </row>
      </sheetData>
      <sheetData sheetId="6101">
        <row r="34">
          <cell r="A34" t="str">
            <v>Investments Govt Securities</v>
          </cell>
        </row>
      </sheetData>
      <sheetData sheetId="6102">
        <row r="34">
          <cell r="A34" t="str">
            <v>Investments Govt Securities</v>
          </cell>
        </row>
      </sheetData>
      <sheetData sheetId="6103">
        <row r="34">
          <cell r="A34" t="str">
            <v>Investments Govt Securities</v>
          </cell>
        </row>
      </sheetData>
      <sheetData sheetId="6104">
        <row r="34">
          <cell r="A34" t="str">
            <v>Investments Govt Securities</v>
          </cell>
        </row>
      </sheetData>
      <sheetData sheetId="6105">
        <row r="34">
          <cell r="A34" t="str">
            <v>Investments Govt Securities</v>
          </cell>
        </row>
      </sheetData>
      <sheetData sheetId="6106">
        <row r="34">
          <cell r="A34" t="str">
            <v>Investments Govt Securities</v>
          </cell>
        </row>
      </sheetData>
      <sheetData sheetId="6107">
        <row r="34">
          <cell r="A34" t="str">
            <v>Investments Govt Securities</v>
          </cell>
        </row>
      </sheetData>
      <sheetData sheetId="6108">
        <row r="34">
          <cell r="A34" t="str">
            <v>Investments Govt Securities</v>
          </cell>
        </row>
      </sheetData>
      <sheetData sheetId="6109">
        <row r="34">
          <cell r="A34" t="str">
            <v>Investments Govt Securities</v>
          </cell>
        </row>
      </sheetData>
      <sheetData sheetId="6110">
        <row r="34">
          <cell r="A34" t="str">
            <v>Investments Govt Securities</v>
          </cell>
        </row>
      </sheetData>
      <sheetData sheetId="6111">
        <row r="34">
          <cell r="A34" t="str">
            <v>Investments Govt Securities</v>
          </cell>
        </row>
      </sheetData>
      <sheetData sheetId="6112">
        <row r="34">
          <cell r="A34" t="str">
            <v>Investments Govt Securities</v>
          </cell>
        </row>
      </sheetData>
      <sheetData sheetId="6113">
        <row r="34">
          <cell r="A34" t="str">
            <v>Investments Govt Securities</v>
          </cell>
        </row>
      </sheetData>
      <sheetData sheetId="6114">
        <row r="34">
          <cell r="A34" t="str">
            <v>Investments Govt Securities</v>
          </cell>
        </row>
      </sheetData>
      <sheetData sheetId="6115">
        <row r="34">
          <cell r="A34" t="str">
            <v>Investments Govt Securities</v>
          </cell>
        </row>
      </sheetData>
      <sheetData sheetId="6116">
        <row r="34">
          <cell r="A34" t="str">
            <v>Investments Govt Securities</v>
          </cell>
        </row>
      </sheetData>
      <sheetData sheetId="6117">
        <row r="34">
          <cell r="A34" t="str">
            <v>Investments Govt Securities</v>
          </cell>
        </row>
      </sheetData>
      <sheetData sheetId="6118">
        <row r="34">
          <cell r="A34" t="str">
            <v>Investments Govt Securities</v>
          </cell>
        </row>
      </sheetData>
      <sheetData sheetId="6119">
        <row r="34">
          <cell r="A34" t="str">
            <v>Investments Govt Securities</v>
          </cell>
        </row>
      </sheetData>
      <sheetData sheetId="6120">
        <row r="34">
          <cell r="A34" t="str">
            <v>Investments Govt Securities</v>
          </cell>
        </row>
      </sheetData>
      <sheetData sheetId="6121">
        <row r="34">
          <cell r="A34" t="str">
            <v>Investments Govt Securities</v>
          </cell>
        </row>
      </sheetData>
      <sheetData sheetId="6122">
        <row r="34">
          <cell r="A34" t="str">
            <v>Investments Govt Securities</v>
          </cell>
        </row>
      </sheetData>
      <sheetData sheetId="6123">
        <row r="34">
          <cell r="A34" t="str">
            <v>Investments Govt Securities</v>
          </cell>
        </row>
      </sheetData>
      <sheetData sheetId="6124">
        <row r="34">
          <cell r="A34" t="str">
            <v>Investments Govt Securities</v>
          </cell>
        </row>
      </sheetData>
      <sheetData sheetId="6125">
        <row r="34">
          <cell r="A34" t="str">
            <v>Investments Govt Securities</v>
          </cell>
        </row>
      </sheetData>
      <sheetData sheetId="6126">
        <row r="34">
          <cell r="A34" t="str">
            <v>Investments Govt Securities</v>
          </cell>
        </row>
      </sheetData>
      <sheetData sheetId="6127">
        <row r="34">
          <cell r="A34" t="str">
            <v>Investments Govt Securities</v>
          </cell>
        </row>
      </sheetData>
      <sheetData sheetId="6128">
        <row r="34">
          <cell r="A34" t="str">
            <v>Investments Govt Securities</v>
          </cell>
        </row>
      </sheetData>
      <sheetData sheetId="6129">
        <row r="34">
          <cell r="A34" t="str">
            <v>Investments Govt Securities</v>
          </cell>
        </row>
      </sheetData>
      <sheetData sheetId="6130">
        <row r="34">
          <cell r="A34" t="str">
            <v>Investments Govt Securities</v>
          </cell>
        </row>
      </sheetData>
      <sheetData sheetId="6131">
        <row r="34">
          <cell r="A34" t="str">
            <v>Investments Govt Securities</v>
          </cell>
        </row>
      </sheetData>
      <sheetData sheetId="6132">
        <row r="34">
          <cell r="A34" t="str">
            <v>Investments Govt Securities</v>
          </cell>
        </row>
      </sheetData>
      <sheetData sheetId="6133">
        <row r="34">
          <cell r="A34" t="str">
            <v>Investments Govt Securities</v>
          </cell>
        </row>
      </sheetData>
      <sheetData sheetId="6134">
        <row r="34">
          <cell r="A34" t="str">
            <v>Investments Govt Securities</v>
          </cell>
        </row>
      </sheetData>
      <sheetData sheetId="6135">
        <row r="34">
          <cell r="A34" t="str">
            <v>Investments Govt Securities</v>
          </cell>
        </row>
      </sheetData>
      <sheetData sheetId="6136">
        <row r="34">
          <cell r="A34" t="str">
            <v>Investments Govt Securities</v>
          </cell>
        </row>
      </sheetData>
      <sheetData sheetId="6137">
        <row r="34">
          <cell r="A34" t="str">
            <v>Investments Govt Securities</v>
          </cell>
        </row>
      </sheetData>
      <sheetData sheetId="6138">
        <row r="34">
          <cell r="A34" t="str">
            <v>Investments Govt Securities</v>
          </cell>
        </row>
      </sheetData>
      <sheetData sheetId="6139">
        <row r="34">
          <cell r="A34" t="str">
            <v>Investments Govt Securities</v>
          </cell>
        </row>
      </sheetData>
      <sheetData sheetId="6140">
        <row r="34">
          <cell r="A34" t="str">
            <v>Investments Govt Securities</v>
          </cell>
        </row>
      </sheetData>
      <sheetData sheetId="6141">
        <row r="34">
          <cell r="A34" t="str">
            <v>Investments Govt Securities</v>
          </cell>
        </row>
      </sheetData>
      <sheetData sheetId="6142">
        <row r="34">
          <cell r="A34" t="str">
            <v>Investments Govt Securities</v>
          </cell>
        </row>
      </sheetData>
      <sheetData sheetId="6143">
        <row r="34">
          <cell r="A34" t="str">
            <v>Investments Govt Securities</v>
          </cell>
        </row>
      </sheetData>
      <sheetData sheetId="6144">
        <row r="34">
          <cell r="A34" t="str">
            <v>Investments Govt Securities</v>
          </cell>
        </row>
      </sheetData>
      <sheetData sheetId="6145">
        <row r="34">
          <cell r="A34" t="str">
            <v>Investments Govt Securities</v>
          </cell>
        </row>
      </sheetData>
      <sheetData sheetId="6146">
        <row r="34">
          <cell r="A34" t="str">
            <v>Investments Govt Securities</v>
          </cell>
        </row>
      </sheetData>
      <sheetData sheetId="6147">
        <row r="34">
          <cell r="A34" t="str">
            <v>Investments Govt Securities</v>
          </cell>
        </row>
      </sheetData>
      <sheetData sheetId="6148">
        <row r="34">
          <cell r="A34" t="str">
            <v>Investments Govt Securities</v>
          </cell>
        </row>
      </sheetData>
      <sheetData sheetId="6149">
        <row r="34">
          <cell r="A34" t="str">
            <v>Investments Govt Securities</v>
          </cell>
        </row>
      </sheetData>
      <sheetData sheetId="6150">
        <row r="34">
          <cell r="A34" t="str">
            <v>Investments Govt Securities</v>
          </cell>
        </row>
      </sheetData>
      <sheetData sheetId="6151">
        <row r="34">
          <cell r="A34" t="str">
            <v>Investments Govt Securities</v>
          </cell>
        </row>
      </sheetData>
      <sheetData sheetId="6152">
        <row r="34">
          <cell r="A34" t="str">
            <v>Investments Govt Securities</v>
          </cell>
        </row>
      </sheetData>
      <sheetData sheetId="6153">
        <row r="34">
          <cell r="A34" t="str">
            <v>Investments Govt Securities</v>
          </cell>
        </row>
      </sheetData>
      <sheetData sheetId="6154">
        <row r="34">
          <cell r="A34" t="str">
            <v>Investments Govt Securities</v>
          </cell>
        </row>
      </sheetData>
      <sheetData sheetId="6155">
        <row r="34">
          <cell r="A34" t="str">
            <v>Investments Govt Securities</v>
          </cell>
        </row>
      </sheetData>
      <sheetData sheetId="6156">
        <row r="34">
          <cell r="A34" t="str">
            <v>Investments Govt Securities</v>
          </cell>
        </row>
      </sheetData>
      <sheetData sheetId="6157">
        <row r="34">
          <cell r="A34" t="str">
            <v>Investments Govt Securities</v>
          </cell>
        </row>
      </sheetData>
      <sheetData sheetId="6158">
        <row r="34">
          <cell r="A34" t="str">
            <v>Investments Govt Securities</v>
          </cell>
        </row>
      </sheetData>
      <sheetData sheetId="6159">
        <row r="34">
          <cell r="A34" t="str">
            <v>Investments Govt Securities</v>
          </cell>
        </row>
      </sheetData>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ow r="34">
          <cell r="A34" t="str">
            <v>Investments Govt Securities</v>
          </cell>
        </row>
      </sheetData>
      <sheetData sheetId="6237">
        <row r="34">
          <cell r="A34" t="str">
            <v>Investments Govt Securities</v>
          </cell>
        </row>
      </sheetData>
      <sheetData sheetId="6238">
        <row r="34">
          <cell r="A34" t="str">
            <v>Investments Govt Securities</v>
          </cell>
        </row>
      </sheetData>
      <sheetData sheetId="6239">
        <row r="34">
          <cell r="A34" t="str">
            <v>Investments Govt Securities</v>
          </cell>
        </row>
      </sheetData>
      <sheetData sheetId="6240">
        <row r="34">
          <cell r="A34" t="str">
            <v>Investments Govt Securities</v>
          </cell>
        </row>
      </sheetData>
      <sheetData sheetId="6241">
        <row r="34">
          <cell r="A34" t="str">
            <v>Investments Govt Securities</v>
          </cell>
        </row>
      </sheetData>
      <sheetData sheetId="6242">
        <row r="34">
          <cell r="A34" t="str">
            <v>Investments Govt Securities</v>
          </cell>
        </row>
      </sheetData>
      <sheetData sheetId="6243" refreshError="1"/>
      <sheetData sheetId="6244" refreshError="1"/>
      <sheetData sheetId="6245" refreshError="1"/>
      <sheetData sheetId="6246">
        <row r="34">
          <cell r="A34" t="str">
            <v>Investments Govt Securities</v>
          </cell>
        </row>
      </sheetData>
      <sheetData sheetId="6247" refreshError="1"/>
      <sheetData sheetId="6248" refreshError="1"/>
      <sheetData sheetId="6249">
        <row r="34">
          <cell r="A34" t="str">
            <v>Investments Govt Securities</v>
          </cell>
        </row>
      </sheetData>
      <sheetData sheetId="6250">
        <row r="34">
          <cell r="A34" t="str">
            <v>Investments Govt Securities</v>
          </cell>
        </row>
      </sheetData>
      <sheetData sheetId="6251">
        <row r="34">
          <cell r="A34" t="str">
            <v>Investments Govt Securities</v>
          </cell>
        </row>
      </sheetData>
      <sheetData sheetId="6252">
        <row r="34">
          <cell r="A34" t="str">
            <v>Investments Govt Securities</v>
          </cell>
        </row>
      </sheetData>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ow r="34">
          <cell r="A34" t="str">
            <v>Investments Govt Securities</v>
          </cell>
        </row>
      </sheetData>
      <sheetData sheetId="6262" refreshError="1"/>
      <sheetData sheetId="6263" refreshError="1"/>
      <sheetData sheetId="6264" refreshError="1"/>
      <sheetData sheetId="6265" refreshError="1"/>
      <sheetData sheetId="6266">
        <row r="34">
          <cell r="A34" t="str">
            <v>Investments Govt Securities</v>
          </cell>
        </row>
      </sheetData>
      <sheetData sheetId="6267">
        <row r="34">
          <cell r="A34" t="str">
            <v>Investments Govt Securities</v>
          </cell>
        </row>
      </sheetData>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ow r="34">
          <cell r="A34" t="str">
            <v>Investments Govt Securities</v>
          </cell>
        </row>
      </sheetData>
      <sheetData sheetId="6309">
        <row r="34">
          <cell r="A34" t="str">
            <v>Investments Govt Securities</v>
          </cell>
        </row>
      </sheetData>
      <sheetData sheetId="6310" refreshError="1"/>
      <sheetData sheetId="6311">
        <row r="34">
          <cell r="A34" t="str">
            <v>Investments Govt Securities</v>
          </cell>
        </row>
      </sheetData>
      <sheetData sheetId="6312">
        <row r="34">
          <cell r="A34" t="str">
            <v>Investments Govt Securities</v>
          </cell>
        </row>
      </sheetData>
      <sheetData sheetId="6313">
        <row r="34">
          <cell r="A34" t="str">
            <v>Investments Govt Securities</v>
          </cell>
        </row>
      </sheetData>
      <sheetData sheetId="6314">
        <row r="34">
          <cell r="A34" t="str">
            <v>Investments Govt Securities</v>
          </cell>
        </row>
      </sheetData>
      <sheetData sheetId="6315" refreshError="1"/>
      <sheetData sheetId="6316">
        <row r="34">
          <cell r="A34" t="str">
            <v>Investments Govt Securities</v>
          </cell>
        </row>
      </sheetData>
      <sheetData sheetId="6317">
        <row r="34">
          <cell r="A34" t="str">
            <v>Investments Govt Securities</v>
          </cell>
        </row>
      </sheetData>
      <sheetData sheetId="6318">
        <row r="34">
          <cell r="A34" t="str">
            <v>Investments Govt Securities</v>
          </cell>
        </row>
      </sheetData>
      <sheetData sheetId="6319">
        <row r="34">
          <cell r="A34" t="str">
            <v>Investments Govt Securities</v>
          </cell>
        </row>
      </sheetData>
      <sheetData sheetId="6320">
        <row r="34">
          <cell r="A34" t="str">
            <v>Investments Govt Securities</v>
          </cell>
        </row>
      </sheetData>
      <sheetData sheetId="6321">
        <row r="34">
          <cell r="A34" t="str">
            <v>Investments Govt Securities</v>
          </cell>
        </row>
      </sheetData>
      <sheetData sheetId="6322">
        <row r="34">
          <cell r="A34" t="str">
            <v>Investments Govt Securities</v>
          </cell>
        </row>
      </sheetData>
      <sheetData sheetId="6323" refreshError="1"/>
      <sheetData sheetId="6324">
        <row r="34">
          <cell r="A34" t="str">
            <v>Investments Govt Securities</v>
          </cell>
        </row>
      </sheetData>
      <sheetData sheetId="6325">
        <row r="34">
          <cell r="A34" t="str">
            <v>Investments Govt Securities</v>
          </cell>
        </row>
      </sheetData>
      <sheetData sheetId="6326" refreshError="1"/>
      <sheetData sheetId="6327" refreshError="1"/>
      <sheetData sheetId="6328" refreshError="1"/>
      <sheetData sheetId="6329" refreshError="1"/>
      <sheetData sheetId="6330">
        <row r="34">
          <cell r="A34" t="str">
            <v>Investments Govt Securities</v>
          </cell>
        </row>
      </sheetData>
      <sheetData sheetId="6331">
        <row r="34">
          <cell r="A34" t="str">
            <v>Investments Govt Securities</v>
          </cell>
        </row>
      </sheetData>
      <sheetData sheetId="6332">
        <row r="34">
          <cell r="A34" t="str">
            <v>Investments Govt Securities</v>
          </cell>
        </row>
      </sheetData>
      <sheetData sheetId="6333">
        <row r="34">
          <cell r="A34" t="str">
            <v>Investments Govt Securities</v>
          </cell>
        </row>
      </sheetData>
      <sheetData sheetId="6334" refreshError="1"/>
      <sheetData sheetId="6335" refreshError="1"/>
      <sheetData sheetId="6336" refreshError="1"/>
      <sheetData sheetId="6337" refreshError="1"/>
      <sheetData sheetId="6338" refreshError="1"/>
      <sheetData sheetId="6339">
        <row r="34">
          <cell r="A34" t="str">
            <v>Investments Govt Securities</v>
          </cell>
        </row>
      </sheetData>
      <sheetData sheetId="6340">
        <row r="34">
          <cell r="A34" t="str">
            <v>Investments Govt Securities</v>
          </cell>
        </row>
      </sheetData>
      <sheetData sheetId="6341">
        <row r="34">
          <cell r="A34" t="str">
            <v>Investments Govt Securities</v>
          </cell>
        </row>
      </sheetData>
      <sheetData sheetId="6342">
        <row r="34">
          <cell r="A34" t="str">
            <v>Investments Govt Securities</v>
          </cell>
        </row>
      </sheetData>
      <sheetData sheetId="6343">
        <row r="34">
          <cell r="A34" t="str">
            <v>Investments Govt Securities</v>
          </cell>
        </row>
      </sheetData>
      <sheetData sheetId="6344">
        <row r="34">
          <cell r="A34" t="str">
            <v>Investments Govt Securities</v>
          </cell>
        </row>
      </sheetData>
      <sheetData sheetId="6345" refreshError="1"/>
      <sheetData sheetId="6346">
        <row r="34">
          <cell r="A34" t="str">
            <v>Investments Govt Securities</v>
          </cell>
        </row>
      </sheetData>
      <sheetData sheetId="6347">
        <row r="34">
          <cell r="A34" t="str">
            <v>Investments Govt Securities</v>
          </cell>
        </row>
      </sheetData>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ow r="34">
          <cell r="A34" t="str">
            <v>Investments Govt Securities</v>
          </cell>
        </row>
      </sheetData>
      <sheetData sheetId="6376" refreshError="1"/>
      <sheetData sheetId="6377" refreshError="1"/>
      <sheetData sheetId="6378" refreshError="1"/>
      <sheetData sheetId="6379" refreshError="1"/>
      <sheetData sheetId="6380" refreshError="1"/>
      <sheetData sheetId="6381" refreshError="1"/>
      <sheetData sheetId="6382">
        <row r="34">
          <cell r="A34" t="str">
            <v>Investments Govt Securities</v>
          </cell>
        </row>
      </sheetData>
      <sheetData sheetId="6383">
        <row r="34">
          <cell r="A34" t="str">
            <v>Investments Govt Securities</v>
          </cell>
        </row>
      </sheetData>
      <sheetData sheetId="6384" refreshError="1"/>
      <sheetData sheetId="6385" refreshError="1"/>
      <sheetData sheetId="6386" refreshError="1"/>
      <sheetData sheetId="6387" refreshError="1"/>
      <sheetData sheetId="6388" refreshError="1"/>
      <sheetData sheetId="6389" refreshError="1"/>
      <sheetData sheetId="6390" refreshError="1"/>
      <sheetData sheetId="6391">
        <row r="34">
          <cell r="A34" t="str">
            <v>Investments Govt Securities</v>
          </cell>
        </row>
      </sheetData>
      <sheetData sheetId="6392">
        <row r="34">
          <cell r="A34" t="str">
            <v>Investments Govt Securities</v>
          </cell>
        </row>
      </sheetData>
      <sheetData sheetId="6393">
        <row r="34">
          <cell r="A34" t="str">
            <v>Investments Govt Securities</v>
          </cell>
        </row>
      </sheetData>
      <sheetData sheetId="6394">
        <row r="34">
          <cell r="A34" t="str">
            <v>Investments Govt Securities</v>
          </cell>
        </row>
      </sheetData>
      <sheetData sheetId="6395">
        <row r="34">
          <cell r="A34" t="str">
            <v>Investments Govt Securities</v>
          </cell>
        </row>
      </sheetData>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ow r="34">
          <cell r="A34" t="str">
            <v>Investments Govt Securities</v>
          </cell>
        </row>
      </sheetData>
      <sheetData sheetId="6414">
        <row r="34">
          <cell r="A34" t="str">
            <v>Investments Govt Securities</v>
          </cell>
        </row>
      </sheetData>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ow r="34">
          <cell r="A34" t="str">
            <v>Investments Govt Securities</v>
          </cell>
        </row>
      </sheetData>
      <sheetData sheetId="6427">
        <row r="34">
          <cell r="A34" t="str">
            <v>Investments Govt Securities</v>
          </cell>
        </row>
      </sheetData>
      <sheetData sheetId="6428">
        <row r="34">
          <cell r="A34" t="str">
            <v>Investments Govt Securities</v>
          </cell>
        </row>
      </sheetData>
      <sheetData sheetId="6429">
        <row r="34">
          <cell r="A34" t="str">
            <v>Investments Govt Securities</v>
          </cell>
        </row>
      </sheetData>
      <sheetData sheetId="6430">
        <row r="34">
          <cell r="A34" t="str">
            <v>Investments Govt Securities</v>
          </cell>
        </row>
      </sheetData>
      <sheetData sheetId="6431">
        <row r="34">
          <cell r="A34" t="str">
            <v>Investments Govt Securities</v>
          </cell>
        </row>
      </sheetData>
      <sheetData sheetId="6432">
        <row r="34">
          <cell r="A34" t="str">
            <v>Investments Govt Securities</v>
          </cell>
        </row>
      </sheetData>
      <sheetData sheetId="6433">
        <row r="34">
          <cell r="A34" t="str">
            <v>Investments Govt Securities</v>
          </cell>
        </row>
      </sheetData>
      <sheetData sheetId="6434" refreshError="1"/>
      <sheetData sheetId="6435">
        <row r="34">
          <cell r="A34" t="str">
            <v>Investments Govt Securities</v>
          </cell>
        </row>
      </sheetData>
      <sheetData sheetId="6436">
        <row r="34">
          <cell r="A34" t="str">
            <v>Investments Govt Securities</v>
          </cell>
        </row>
      </sheetData>
      <sheetData sheetId="6437">
        <row r="34">
          <cell r="A34" t="str">
            <v>Investments Govt Securities</v>
          </cell>
        </row>
      </sheetData>
      <sheetData sheetId="6438">
        <row r="34">
          <cell r="A34" t="str">
            <v>Investments Govt Securities</v>
          </cell>
        </row>
      </sheetData>
      <sheetData sheetId="6439">
        <row r="34">
          <cell r="A34" t="str">
            <v>Investments Govt Securities</v>
          </cell>
        </row>
      </sheetData>
      <sheetData sheetId="6440">
        <row r="34">
          <cell r="A34" t="str">
            <v>Investments Govt Securities</v>
          </cell>
        </row>
      </sheetData>
      <sheetData sheetId="6441">
        <row r="34">
          <cell r="A34" t="str">
            <v>Investments Govt Securities</v>
          </cell>
        </row>
      </sheetData>
      <sheetData sheetId="6442">
        <row r="34">
          <cell r="A34" t="str">
            <v>Investments Govt Securities</v>
          </cell>
        </row>
      </sheetData>
      <sheetData sheetId="6443">
        <row r="34">
          <cell r="A34" t="str">
            <v>Investments Govt Securities</v>
          </cell>
        </row>
      </sheetData>
      <sheetData sheetId="6444">
        <row r="34">
          <cell r="A34" t="str">
            <v>Investments Govt Securities</v>
          </cell>
        </row>
      </sheetData>
      <sheetData sheetId="6445">
        <row r="34">
          <cell r="A34" t="str">
            <v>Investments Govt Securities</v>
          </cell>
        </row>
      </sheetData>
      <sheetData sheetId="6446">
        <row r="34">
          <cell r="A34" t="str">
            <v>Investments Govt Securities</v>
          </cell>
        </row>
      </sheetData>
      <sheetData sheetId="6447">
        <row r="34">
          <cell r="A34" t="str">
            <v>Investments Govt Securities</v>
          </cell>
        </row>
      </sheetData>
      <sheetData sheetId="6448">
        <row r="34">
          <cell r="A34" t="str">
            <v>Investments Govt Securities</v>
          </cell>
        </row>
      </sheetData>
      <sheetData sheetId="6449">
        <row r="34">
          <cell r="A34" t="str">
            <v>Investments Govt Securities</v>
          </cell>
        </row>
      </sheetData>
      <sheetData sheetId="6450">
        <row r="34">
          <cell r="A34" t="str">
            <v>Investments Govt Securities</v>
          </cell>
        </row>
      </sheetData>
      <sheetData sheetId="6451">
        <row r="34">
          <cell r="A34" t="str">
            <v>Investments Govt Securities</v>
          </cell>
        </row>
      </sheetData>
      <sheetData sheetId="6452">
        <row r="34">
          <cell r="A34" t="str">
            <v>Investments Govt Securities</v>
          </cell>
        </row>
      </sheetData>
      <sheetData sheetId="6453">
        <row r="34">
          <cell r="A34" t="str">
            <v>Investments Govt Securities</v>
          </cell>
        </row>
      </sheetData>
      <sheetData sheetId="6454">
        <row r="34">
          <cell r="A34" t="str">
            <v>Investments Govt Securities</v>
          </cell>
        </row>
      </sheetData>
      <sheetData sheetId="6455">
        <row r="34">
          <cell r="A34" t="str">
            <v>Investments Govt Securities</v>
          </cell>
        </row>
      </sheetData>
      <sheetData sheetId="6456">
        <row r="34">
          <cell r="A34" t="str">
            <v>Investments Govt Securities</v>
          </cell>
        </row>
      </sheetData>
      <sheetData sheetId="6457">
        <row r="34">
          <cell r="A34" t="str">
            <v>Investments Govt Securities</v>
          </cell>
        </row>
      </sheetData>
      <sheetData sheetId="6458">
        <row r="34">
          <cell r="A34" t="str">
            <v>Investments Govt Securities</v>
          </cell>
        </row>
      </sheetData>
      <sheetData sheetId="6459">
        <row r="34">
          <cell r="A34" t="str">
            <v>Investments Govt Securities</v>
          </cell>
        </row>
      </sheetData>
      <sheetData sheetId="6460">
        <row r="34">
          <cell r="A34" t="str">
            <v>Investments Govt Securities</v>
          </cell>
        </row>
      </sheetData>
      <sheetData sheetId="6461">
        <row r="34">
          <cell r="A34" t="str">
            <v>Investments Govt Securities</v>
          </cell>
        </row>
      </sheetData>
      <sheetData sheetId="6462">
        <row r="34">
          <cell r="A34" t="str">
            <v>Investments Govt Securities</v>
          </cell>
        </row>
      </sheetData>
      <sheetData sheetId="6463">
        <row r="34">
          <cell r="A34" t="str">
            <v>Investments Govt Securities</v>
          </cell>
        </row>
      </sheetData>
      <sheetData sheetId="6464">
        <row r="34">
          <cell r="A34" t="str">
            <v>Investments Govt Securities</v>
          </cell>
        </row>
      </sheetData>
      <sheetData sheetId="6465">
        <row r="34">
          <cell r="A34" t="str">
            <v>Investments Govt Securities</v>
          </cell>
        </row>
      </sheetData>
      <sheetData sheetId="6466">
        <row r="34">
          <cell r="A34" t="str">
            <v>Investments Govt Securities</v>
          </cell>
        </row>
      </sheetData>
      <sheetData sheetId="6467">
        <row r="34">
          <cell r="A34" t="str">
            <v>Investments Govt Securities</v>
          </cell>
        </row>
      </sheetData>
      <sheetData sheetId="6468">
        <row r="34">
          <cell r="A34" t="str">
            <v>Investments Govt Securities</v>
          </cell>
        </row>
      </sheetData>
      <sheetData sheetId="6469">
        <row r="34">
          <cell r="A34" t="str">
            <v>Investments Govt Securities</v>
          </cell>
        </row>
      </sheetData>
      <sheetData sheetId="6470">
        <row r="34">
          <cell r="A34" t="str">
            <v>Investments Govt Securities</v>
          </cell>
        </row>
      </sheetData>
      <sheetData sheetId="6471">
        <row r="34">
          <cell r="A34" t="str">
            <v>Investments Govt Securities</v>
          </cell>
        </row>
      </sheetData>
      <sheetData sheetId="6472">
        <row r="34">
          <cell r="A34" t="str">
            <v>Investments Govt Securities</v>
          </cell>
        </row>
      </sheetData>
      <sheetData sheetId="6473">
        <row r="34">
          <cell r="A34" t="str">
            <v>Investments Govt Securities</v>
          </cell>
        </row>
      </sheetData>
      <sheetData sheetId="6474">
        <row r="34">
          <cell r="A34" t="str">
            <v>Investments Govt Securities</v>
          </cell>
        </row>
      </sheetData>
      <sheetData sheetId="6475">
        <row r="34">
          <cell r="A34" t="str">
            <v>Investments Govt Securities</v>
          </cell>
        </row>
      </sheetData>
      <sheetData sheetId="6476">
        <row r="34">
          <cell r="A34" t="str">
            <v>Investments Govt Securities</v>
          </cell>
        </row>
      </sheetData>
      <sheetData sheetId="6477">
        <row r="34">
          <cell r="A34" t="str">
            <v>Investments Govt Securities</v>
          </cell>
        </row>
      </sheetData>
      <sheetData sheetId="6478">
        <row r="34">
          <cell r="A34" t="str">
            <v>Investments Govt Securities</v>
          </cell>
        </row>
      </sheetData>
      <sheetData sheetId="6479">
        <row r="34">
          <cell r="A34" t="str">
            <v>Investments Govt Securities</v>
          </cell>
        </row>
      </sheetData>
      <sheetData sheetId="6480">
        <row r="34">
          <cell r="A34" t="str">
            <v>Investments Govt Securities</v>
          </cell>
        </row>
      </sheetData>
      <sheetData sheetId="6481">
        <row r="34">
          <cell r="A34" t="str">
            <v>Investments Govt Securities</v>
          </cell>
        </row>
      </sheetData>
      <sheetData sheetId="6482">
        <row r="34">
          <cell r="A34" t="str">
            <v>Investments Govt Securities</v>
          </cell>
        </row>
      </sheetData>
      <sheetData sheetId="6483">
        <row r="34">
          <cell r="A34" t="str">
            <v>Investments Govt Securities</v>
          </cell>
        </row>
      </sheetData>
      <sheetData sheetId="6484">
        <row r="34">
          <cell r="A34" t="str">
            <v>Investments Govt Securities</v>
          </cell>
        </row>
      </sheetData>
      <sheetData sheetId="6485">
        <row r="34">
          <cell r="A34" t="str">
            <v>Investments Govt Securities</v>
          </cell>
        </row>
      </sheetData>
      <sheetData sheetId="6486">
        <row r="34">
          <cell r="A34" t="str">
            <v>Investments Govt Securities</v>
          </cell>
        </row>
      </sheetData>
      <sheetData sheetId="6487">
        <row r="34">
          <cell r="A34" t="str">
            <v>Investments Govt Securities</v>
          </cell>
        </row>
      </sheetData>
      <sheetData sheetId="6488">
        <row r="34">
          <cell r="A34" t="str">
            <v>Investments Govt Securities</v>
          </cell>
        </row>
      </sheetData>
      <sheetData sheetId="6489">
        <row r="34">
          <cell r="A34" t="str">
            <v>Investments Govt Securities</v>
          </cell>
        </row>
      </sheetData>
      <sheetData sheetId="6490">
        <row r="34">
          <cell r="A34" t="str">
            <v>Investments Govt Securities</v>
          </cell>
        </row>
      </sheetData>
      <sheetData sheetId="6491">
        <row r="34">
          <cell r="A34" t="str">
            <v>Investments Govt Securities</v>
          </cell>
        </row>
      </sheetData>
      <sheetData sheetId="6492">
        <row r="34">
          <cell r="A34" t="str">
            <v>Investments Govt Securities</v>
          </cell>
        </row>
      </sheetData>
      <sheetData sheetId="6493">
        <row r="34">
          <cell r="A34" t="str">
            <v>Investments Govt Securities</v>
          </cell>
        </row>
      </sheetData>
      <sheetData sheetId="6494">
        <row r="34">
          <cell r="A34" t="str">
            <v>Investments Govt Securities</v>
          </cell>
        </row>
      </sheetData>
      <sheetData sheetId="6495">
        <row r="34">
          <cell r="A34" t="str">
            <v>Investments Govt Securities</v>
          </cell>
        </row>
      </sheetData>
      <sheetData sheetId="6496">
        <row r="34">
          <cell r="A34" t="str">
            <v>Investments Govt Securities</v>
          </cell>
        </row>
      </sheetData>
      <sheetData sheetId="6497">
        <row r="34">
          <cell r="A34" t="str">
            <v>Investments Govt Securities</v>
          </cell>
        </row>
      </sheetData>
      <sheetData sheetId="6498">
        <row r="34">
          <cell r="A34" t="str">
            <v>Investments Govt Securities</v>
          </cell>
        </row>
      </sheetData>
      <sheetData sheetId="6499">
        <row r="34">
          <cell r="A34" t="str">
            <v>Investments Govt Securities</v>
          </cell>
        </row>
      </sheetData>
      <sheetData sheetId="6500">
        <row r="34">
          <cell r="A34" t="str">
            <v>Investments Govt Securities</v>
          </cell>
        </row>
      </sheetData>
      <sheetData sheetId="6501">
        <row r="34">
          <cell r="A34" t="str">
            <v>Investments Govt Securities</v>
          </cell>
        </row>
      </sheetData>
      <sheetData sheetId="6502">
        <row r="34">
          <cell r="A34" t="str">
            <v>Investments Govt Securities</v>
          </cell>
        </row>
      </sheetData>
      <sheetData sheetId="6503">
        <row r="34">
          <cell r="A34" t="str">
            <v>Investments Govt Securities</v>
          </cell>
        </row>
      </sheetData>
      <sheetData sheetId="6504">
        <row r="34">
          <cell r="A34" t="str">
            <v>Investments Govt Securities</v>
          </cell>
        </row>
      </sheetData>
      <sheetData sheetId="6505">
        <row r="34">
          <cell r="A34" t="str">
            <v>Investments Govt Securities</v>
          </cell>
        </row>
      </sheetData>
      <sheetData sheetId="6506">
        <row r="34">
          <cell r="A34" t="str">
            <v>Investments Govt Securities</v>
          </cell>
        </row>
      </sheetData>
      <sheetData sheetId="6507">
        <row r="34">
          <cell r="A34" t="str">
            <v>Investments Govt Securities</v>
          </cell>
        </row>
      </sheetData>
      <sheetData sheetId="6508">
        <row r="34">
          <cell r="A34" t="str">
            <v>Investments Govt Securities</v>
          </cell>
        </row>
      </sheetData>
      <sheetData sheetId="6509">
        <row r="34">
          <cell r="A34" t="str">
            <v>Investments Govt Securities</v>
          </cell>
        </row>
      </sheetData>
      <sheetData sheetId="6510">
        <row r="34">
          <cell r="A34" t="str">
            <v>Investments Govt Securities</v>
          </cell>
        </row>
      </sheetData>
      <sheetData sheetId="6511">
        <row r="34">
          <cell r="A34" t="str">
            <v>Investments Govt Securities</v>
          </cell>
        </row>
      </sheetData>
      <sheetData sheetId="6512">
        <row r="34">
          <cell r="A34" t="str">
            <v>Investments Govt Securities</v>
          </cell>
        </row>
      </sheetData>
      <sheetData sheetId="6513">
        <row r="34">
          <cell r="A34" t="str">
            <v>Investments Govt Securities</v>
          </cell>
        </row>
      </sheetData>
      <sheetData sheetId="6514">
        <row r="34">
          <cell r="A34" t="str">
            <v>Investments Govt Securities</v>
          </cell>
        </row>
      </sheetData>
      <sheetData sheetId="6515">
        <row r="34">
          <cell r="A34" t="str">
            <v>Investments Govt Securities</v>
          </cell>
        </row>
      </sheetData>
      <sheetData sheetId="6516">
        <row r="34">
          <cell r="A34" t="str">
            <v>Investments Govt Securities</v>
          </cell>
        </row>
      </sheetData>
      <sheetData sheetId="6517">
        <row r="34">
          <cell r="A34" t="str">
            <v>Investments Govt Securities</v>
          </cell>
        </row>
      </sheetData>
      <sheetData sheetId="6518">
        <row r="34">
          <cell r="A34" t="str">
            <v>Investments Govt Securities</v>
          </cell>
        </row>
      </sheetData>
      <sheetData sheetId="6519">
        <row r="34">
          <cell r="A34" t="str">
            <v>Investments Govt Securities</v>
          </cell>
        </row>
      </sheetData>
      <sheetData sheetId="6520">
        <row r="34">
          <cell r="A34" t="str">
            <v>Investments Govt Securities</v>
          </cell>
        </row>
      </sheetData>
      <sheetData sheetId="6521">
        <row r="34">
          <cell r="A34" t="str">
            <v>Investments Govt Securities</v>
          </cell>
        </row>
      </sheetData>
      <sheetData sheetId="6522">
        <row r="34">
          <cell r="A34" t="str">
            <v>Investments Govt Securities</v>
          </cell>
        </row>
      </sheetData>
      <sheetData sheetId="6523">
        <row r="34">
          <cell r="A34" t="str">
            <v>Investments Govt Securities</v>
          </cell>
        </row>
      </sheetData>
      <sheetData sheetId="6524">
        <row r="34">
          <cell r="A34" t="str">
            <v>Investments Govt Securities</v>
          </cell>
        </row>
      </sheetData>
      <sheetData sheetId="6525">
        <row r="34">
          <cell r="A34" t="str">
            <v>Investments Govt Securities</v>
          </cell>
        </row>
      </sheetData>
      <sheetData sheetId="6526">
        <row r="34">
          <cell r="A34" t="str">
            <v>Investments Govt Securities</v>
          </cell>
        </row>
      </sheetData>
      <sheetData sheetId="6527">
        <row r="34">
          <cell r="A34" t="str">
            <v>Investments Govt Securities</v>
          </cell>
        </row>
      </sheetData>
      <sheetData sheetId="6528">
        <row r="34">
          <cell r="A34" t="str">
            <v>Investments Govt Securities</v>
          </cell>
        </row>
      </sheetData>
      <sheetData sheetId="6529">
        <row r="34">
          <cell r="A34" t="str">
            <v>Investments Govt Securities</v>
          </cell>
        </row>
      </sheetData>
      <sheetData sheetId="6530">
        <row r="34">
          <cell r="A34" t="str">
            <v>Investments Govt Securities</v>
          </cell>
        </row>
      </sheetData>
      <sheetData sheetId="6531">
        <row r="34">
          <cell r="A34" t="str">
            <v>Investments Govt Securities</v>
          </cell>
        </row>
      </sheetData>
      <sheetData sheetId="6532">
        <row r="34">
          <cell r="A34" t="str">
            <v>Investments Govt Securities</v>
          </cell>
        </row>
      </sheetData>
      <sheetData sheetId="6533">
        <row r="34">
          <cell r="A34" t="str">
            <v>Investments Govt Securities</v>
          </cell>
        </row>
      </sheetData>
      <sheetData sheetId="6534">
        <row r="34">
          <cell r="A34" t="str">
            <v>Investments Govt Securities</v>
          </cell>
        </row>
      </sheetData>
      <sheetData sheetId="6535">
        <row r="34">
          <cell r="A34" t="str">
            <v>Investments Govt Securities</v>
          </cell>
        </row>
      </sheetData>
      <sheetData sheetId="6536">
        <row r="34">
          <cell r="A34" t="str">
            <v>Investments Govt Securities</v>
          </cell>
        </row>
      </sheetData>
      <sheetData sheetId="6537">
        <row r="34">
          <cell r="A34" t="str">
            <v>Investments Govt Securities</v>
          </cell>
        </row>
      </sheetData>
      <sheetData sheetId="6538">
        <row r="34">
          <cell r="A34" t="str">
            <v>Investments Govt Securities</v>
          </cell>
        </row>
      </sheetData>
      <sheetData sheetId="6539">
        <row r="34">
          <cell r="A34" t="str">
            <v>Investments Govt Securities</v>
          </cell>
        </row>
      </sheetData>
      <sheetData sheetId="6540">
        <row r="34">
          <cell r="A34" t="str">
            <v>Investments Govt Securities</v>
          </cell>
        </row>
      </sheetData>
      <sheetData sheetId="6541">
        <row r="34">
          <cell r="A34" t="str">
            <v>Investments Govt Securities</v>
          </cell>
        </row>
      </sheetData>
      <sheetData sheetId="6542">
        <row r="34">
          <cell r="A34" t="str">
            <v>Investments Govt Securities</v>
          </cell>
        </row>
      </sheetData>
      <sheetData sheetId="6543">
        <row r="34">
          <cell r="A34" t="str">
            <v>Investments Govt Securities</v>
          </cell>
        </row>
      </sheetData>
      <sheetData sheetId="6544">
        <row r="34">
          <cell r="A34" t="str">
            <v>Investments Govt Securities</v>
          </cell>
        </row>
      </sheetData>
      <sheetData sheetId="6545">
        <row r="34">
          <cell r="A34" t="str">
            <v>Investments Govt Securities</v>
          </cell>
        </row>
      </sheetData>
      <sheetData sheetId="6546">
        <row r="34">
          <cell r="A34" t="str">
            <v>Investments Govt Securities</v>
          </cell>
        </row>
      </sheetData>
      <sheetData sheetId="6547">
        <row r="34">
          <cell r="A34" t="str">
            <v>Investments Govt Securities</v>
          </cell>
        </row>
      </sheetData>
      <sheetData sheetId="6548">
        <row r="34">
          <cell r="A34" t="str">
            <v>Investments Govt Securities</v>
          </cell>
        </row>
      </sheetData>
      <sheetData sheetId="6549">
        <row r="34">
          <cell r="A34" t="str">
            <v>Investments Govt Securities</v>
          </cell>
        </row>
      </sheetData>
      <sheetData sheetId="6550">
        <row r="34">
          <cell r="A34" t="str">
            <v>Investments Govt Securities</v>
          </cell>
        </row>
      </sheetData>
      <sheetData sheetId="6551">
        <row r="34">
          <cell r="A34" t="str">
            <v>Investments Govt Securities</v>
          </cell>
        </row>
      </sheetData>
      <sheetData sheetId="6552">
        <row r="34">
          <cell r="A34" t="str">
            <v>Investments Govt Securities</v>
          </cell>
        </row>
      </sheetData>
      <sheetData sheetId="6553">
        <row r="34">
          <cell r="A34" t="str">
            <v>Investments Govt Securities</v>
          </cell>
        </row>
      </sheetData>
      <sheetData sheetId="6554">
        <row r="34">
          <cell r="A34" t="str">
            <v>Investments Govt Securities</v>
          </cell>
        </row>
      </sheetData>
      <sheetData sheetId="6555">
        <row r="34">
          <cell r="A34" t="str">
            <v>Investments Govt Securities</v>
          </cell>
        </row>
      </sheetData>
      <sheetData sheetId="6556">
        <row r="34">
          <cell r="A34" t="str">
            <v>Investments Govt Securities</v>
          </cell>
        </row>
      </sheetData>
      <sheetData sheetId="6557">
        <row r="34">
          <cell r="A34" t="str">
            <v>Investments Govt Securities</v>
          </cell>
        </row>
      </sheetData>
      <sheetData sheetId="6558">
        <row r="34">
          <cell r="A34" t="str">
            <v>Investments Govt Securities</v>
          </cell>
        </row>
      </sheetData>
      <sheetData sheetId="6559">
        <row r="34">
          <cell r="A34" t="str">
            <v>Investments Govt Securities</v>
          </cell>
        </row>
      </sheetData>
      <sheetData sheetId="6560">
        <row r="34">
          <cell r="A34" t="str">
            <v>Investments Govt Securities</v>
          </cell>
        </row>
      </sheetData>
      <sheetData sheetId="6561">
        <row r="34">
          <cell r="A34" t="str">
            <v>Investments Govt Securities</v>
          </cell>
        </row>
      </sheetData>
      <sheetData sheetId="6562">
        <row r="34">
          <cell r="A34" t="str">
            <v>Investments Govt Securities</v>
          </cell>
        </row>
      </sheetData>
      <sheetData sheetId="6563">
        <row r="34">
          <cell r="A34" t="str">
            <v>Investments Govt Securities</v>
          </cell>
        </row>
      </sheetData>
      <sheetData sheetId="6564">
        <row r="34">
          <cell r="A34" t="str">
            <v>Investments Govt Securities</v>
          </cell>
        </row>
      </sheetData>
      <sheetData sheetId="6565">
        <row r="34">
          <cell r="A34" t="str">
            <v>Investments Govt Securities</v>
          </cell>
        </row>
      </sheetData>
      <sheetData sheetId="6566">
        <row r="34">
          <cell r="A34" t="str">
            <v>Investments Govt Securities</v>
          </cell>
        </row>
      </sheetData>
      <sheetData sheetId="6567">
        <row r="34">
          <cell r="A34" t="str">
            <v>Investments Govt Securities</v>
          </cell>
        </row>
      </sheetData>
      <sheetData sheetId="6568">
        <row r="34">
          <cell r="A34" t="str">
            <v>Investments Govt Securities</v>
          </cell>
        </row>
      </sheetData>
      <sheetData sheetId="6569">
        <row r="34">
          <cell r="A34" t="str">
            <v>Investments Govt Securities</v>
          </cell>
        </row>
      </sheetData>
      <sheetData sheetId="6570">
        <row r="34">
          <cell r="A34" t="str">
            <v>Investments Govt Securities</v>
          </cell>
        </row>
      </sheetData>
      <sheetData sheetId="6571">
        <row r="34">
          <cell r="A34" t="str">
            <v>Investments Govt Securities</v>
          </cell>
        </row>
      </sheetData>
      <sheetData sheetId="6572">
        <row r="34">
          <cell r="A34" t="str">
            <v>Investments Govt Securities</v>
          </cell>
        </row>
      </sheetData>
      <sheetData sheetId="6573">
        <row r="34">
          <cell r="A34" t="str">
            <v>Investments Govt Securities</v>
          </cell>
        </row>
      </sheetData>
      <sheetData sheetId="6574">
        <row r="34">
          <cell r="A34" t="str">
            <v>Investments Govt Securities</v>
          </cell>
        </row>
      </sheetData>
      <sheetData sheetId="6575">
        <row r="34">
          <cell r="A34" t="str">
            <v>Investments Govt Securities</v>
          </cell>
        </row>
      </sheetData>
      <sheetData sheetId="6576">
        <row r="34">
          <cell r="A34" t="str">
            <v>Investments Govt Securities</v>
          </cell>
        </row>
      </sheetData>
      <sheetData sheetId="6577">
        <row r="34">
          <cell r="A34" t="str">
            <v>Investments Govt Securities</v>
          </cell>
        </row>
      </sheetData>
      <sheetData sheetId="6578">
        <row r="34">
          <cell r="A34" t="str">
            <v>Investments Govt Securities</v>
          </cell>
        </row>
      </sheetData>
      <sheetData sheetId="6579">
        <row r="34">
          <cell r="A34" t="str">
            <v>Investments Govt Securities</v>
          </cell>
        </row>
      </sheetData>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ow r="34">
          <cell r="A34" t="str">
            <v>Investments Govt Securities</v>
          </cell>
        </row>
      </sheetData>
      <sheetData sheetId="6669" refreshError="1"/>
      <sheetData sheetId="6670" refreshError="1"/>
      <sheetData sheetId="6671" refreshError="1"/>
      <sheetData sheetId="6672" refreshError="1"/>
      <sheetData sheetId="6673" refreshError="1"/>
      <sheetData sheetId="6674" refreshError="1"/>
      <sheetData sheetId="6675">
        <row r="34">
          <cell r="A34" t="str">
            <v>Investments Govt Securities</v>
          </cell>
        </row>
      </sheetData>
      <sheetData sheetId="6676">
        <row r="34">
          <cell r="A34" t="str">
            <v>Investments Govt Securities</v>
          </cell>
        </row>
      </sheetData>
      <sheetData sheetId="6677" refreshError="1"/>
      <sheetData sheetId="6678">
        <row r="34">
          <cell r="A34" t="str">
            <v>Investments Govt Securities</v>
          </cell>
        </row>
      </sheetData>
      <sheetData sheetId="6679">
        <row r="34">
          <cell r="A34" t="str">
            <v>Investments Govt Securities</v>
          </cell>
        </row>
      </sheetData>
      <sheetData sheetId="6680">
        <row r="34">
          <cell r="A34" t="str">
            <v>Investments Govt Securities</v>
          </cell>
        </row>
      </sheetData>
      <sheetData sheetId="6681">
        <row r="34">
          <cell r="A34" t="str">
            <v>Investments Govt Securities</v>
          </cell>
        </row>
      </sheetData>
      <sheetData sheetId="6682">
        <row r="34">
          <cell r="A34" t="str">
            <v>Investments Govt Securities</v>
          </cell>
        </row>
      </sheetData>
      <sheetData sheetId="6683">
        <row r="34">
          <cell r="A34" t="str">
            <v>Investments Govt Securities</v>
          </cell>
        </row>
      </sheetData>
      <sheetData sheetId="6684">
        <row r="34">
          <cell r="A34" t="str">
            <v>Investments Govt Securities</v>
          </cell>
        </row>
      </sheetData>
      <sheetData sheetId="6685">
        <row r="34">
          <cell r="A34" t="str">
            <v>Investments Govt Securities</v>
          </cell>
        </row>
      </sheetData>
      <sheetData sheetId="6686">
        <row r="34">
          <cell r="A34" t="str">
            <v>Investments Govt Securities</v>
          </cell>
        </row>
      </sheetData>
      <sheetData sheetId="6687">
        <row r="34">
          <cell r="A34" t="str">
            <v>Investments Govt Securities</v>
          </cell>
        </row>
      </sheetData>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ow r="34">
          <cell r="A34" t="str">
            <v>Investments Govt Securities</v>
          </cell>
        </row>
      </sheetData>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ow r="34">
          <cell r="A34" t="str">
            <v>Investments Govt Securities</v>
          </cell>
        </row>
      </sheetData>
      <sheetData sheetId="6764" refreshError="1"/>
      <sheetData sheetId="6765" refreshError="1"/>
      <sheetData sheetId="6766" refreshError="1"/>
      <sheetData sheetId="6767" refreshError="1"/>
      <sheetData sheetId="6768" refreshError="1"/>
      <sheetData sheetId="6769" refreshError="1"/>
      <sheetData sheetId="6770">
        <row r="34">
          <cell r="A34" t="str">
            <v>Investments Govt Securities</v>
          </cell>
        </row>
      </sheetData>
      <sheetData sheetId="6771">
        <row r="34">
          <cell r="A34" t="str">
            <v>Investments Govt Securities</v>
          </cell>
        </row>
      </sheetData>
      <sheetData sheetId="6772" refreshError="1"/>
      <sheetData sheetId="6773">
        <row r="34">
          <cell r="A34" t="str">
            <v>Investments Govt Securities</v>
          </cell>
        </row>
      </sheetData>
      <sheetData sheetId="6774">
        <row r="34">
          <cell r="A34" t="str">
            <v>Investments Govt Securities</v>
          </cell>
        </row>
      </sheetData>
      <sheetData sheetId="6775">
        <row r="34">
          <cell r="A34" t="str">
            <v>Investments Govt Securities</v>
          </cell>
        </row>
      </sheetData>
      <sheetData sheetId="6776">
        <row r="34">
          <cell r="A34" t="str">
            <v>Investments Govt Securities</v>
          </cell>
        </row>
      </sheetData>
      <sheetData sheetId="6777">
        <row r="34">
          <cell r="A34" t="str">
            <v>Investments Govt Securities</v>
          </cell>
        </row>
      </sheetData>
      <sheetData sheetId="6778">
        <row r="34">
          <cell r="A34" t="str">
            <v>Investments Govt Securities</v>
          </cell>
        </row>
      </sheetData>
      <sheetData sheetId="6779" refreshError="1"/>
      <sheetData sheetId="6780">
        <row r="34">
          <cell r="A34" t="str">
            <v>Investments Govt Securities</v>
          </cell>
        </row>
      </sheetData>
      <sheetData sheetId="6781" refreshError="1"/>
      <sheetData sheetId="6782" refreshError="1"/>
      <sheetData sheetId="6783">
        <row r="34">
          <cell r="A34" t="str">
            <v>Investments Govt Securities</v>
          </cell>
        </row>
      </sheetData>
      <sheetData sheetId="6784">
        <row r="34">
          <cell r="A34" t="str">
            <v>Investments Govt Securities</v>
          </cell>
        </row>
      </sheetData>
      <sheetData sheetId="6785">
        <row r="34">
          <cell r="A34" t="str">
            <v>Investments Govt Securities</v>
          </cell>
        </row>
      </sheetData>
      <sheetData sheetId="6786">
        <row r="34">
          <cell r="A34" t="str">
            <v>Investments Govt Securities</v>
          </cell>
        </row>
      </sheetData>
      <sheetData sheetId="6787">
        <row r="34">
          <cell r="A34" t="str">
            <v>Investments Govt Securities</v>
          </cell>
        </row>
      </sheetData>
      <sheetData sheetId="6788">
        <row r="34">
          <cell r="A34" t="str">
            <v>Investments Govt Securities</v>
          </cell>
        </row>
      </sheetData>
      <sheetData sheetId="6789">
        <row r="34">
          <cell r="A34" t="str">
            <v>Investments Govt Securities</v>
          </cell>
        </row>
      </sheetData>
      <sheetData sheetId="6790">
        <row r="34">
          <cell r="A34" t="str">
            <v>Investments Govt Securities</v>
          </cell>
        </row>
      </sheetData>
      <sheetData sheetId="6791">
        <row r="34">
          <cell r="A34" t="str">
            <v>Investments Govt Securities</v>
          </cell>
        </row>
      </sheetData>
      <sheetData sheetId="6792">
        <row r="34">
          <cell r="A34" t="str">
            <v>Investments Govt Securities</v>
          </cell>
        </row>
      </sheetData>
      <sheetData sheetId="6793" refreshError="1"/>
      <sheetData sheetId="6794" refreshError="1"/>
      <sheetData sheetId="6795">
        <row r="34">
          <cell r="A34" t="str">
            <v>Investments Govt Securities</v>
          </cell>
        </row>
      </sheetData>
      <sheetData sheetId="6796">
        <row r="34">
          <cell r="A34" t="str">
            <v>Investments Govt Securities</v>
          </cell>
        </row>
      </sheetData>
      <sheetData sheetId="6797" refreshError="1"/>
      <sheetData sheetId="6798" refreshError="1"/>
      <sheetData sheetId="6799">
        <row r="34">
          <cell r="A34" t="str">
            <v>Investments Govt Securities</v>
          </cell>
        </row>
      </sheetData>
      <sheetData sheetId="6800">
        <row r="34">
          <cell r="A34" t="str">
            <v>Investments Govt Securities</v>
          </cell>
        </row>
      </sheetData>
      <sheetData sheetId="6801">
        <row r="34">
          <cell r="A34" t="str">
            <v>Investments Govt Securities</v>
          </cell>
        </row>
      </sheetData>
      <sheetData sheetId="6802">
        <row r="34">
          <cell r="A34" t="str">
            <v>Investments Govt Securities</v>
          </cell>
        </row>
      </sheetData>
      <sheetData sheetId="6803">
        <row r="34">
          <cell r="A34" t="str">
            <v>Investments Govt Securities</v>
          </cell>
        </row>
      </sheetData>
      <sheetData sheetId="6804">
        <row r="34">
          <cell r="A34" t="str">
            <v>Investments Govt Securities</v>
          </cell>
        </row>
      </sheetData>
      <sheetData sheetId="6805">
        <row r="34">
          <cell r="A34" t="str">
            <v>Investments Govt Securities</v>
          </cell>
        </row>
      </sheetData>
      <sheetData sheetId="6806">
        <row r="34">
          <cell r="A34" t="str">
            <v>Investments Govt Securities</v>
          </cell>
        </row>
      </sheetData>
      <sheetData sheetId="6807">
        <row r="34">
          <cell r="A34" t="str">
            <v>Investments Govt Securities</v>
          </cell>
        </row>
      </sheetData>
      <sheetData sheetId="6808">
        <row r="34">
          <cell r="A34" t="str">
            <v>Investments Govt Securities</v>
          </cell>
        </row>
      </sheetData>
      <sheetData sheetId="6809">
        <row r="34">
          <cell r="A34" t="str">
            <v>Investments Govt Securities</v>
          </cell>
        </row>
      </sheetData>
      <sheetData sheetId="6810">
        <row r="34">
          <cell r="A34" t="str">
            <v>Investments Govt Securities</v>
          </cell>
        </row>
      </sheetData>
      <sheetData sheetId="6811">
        <row r="34">
          <cell r="A34" t="str">
            <v>Investments Govt Securities</v>
          </cell>
        </row>
      </sheetData>
      <sheetData sheetId="6812">
        <row r="34">
          <cell r="A34" t="str">
            <v>Investments Govt Securities</v>
          </cell>
        </row>
      </sheetData>
      <sheetData sheetId="6813">
        <row r="34">
          <cell r="A34" t="str">
            <v>Investments Govt Securities</v>
          </cell>
        </row>
      </sheetData>
      <sheetData sheetId="6814">
        <row r="34">
          <cell r="A34" t="str">
            <v>Investments Govt Securities</v>
          </cell>
        </row>
      </sheetData>
      <sheetData sheetId="6815">
        <row r="34">
          <cell r="A34" t="str">
            <v>Investments Govt Securities</v>
          </cell>
        </row>
      </sheetData>
      <sheetData sheetId="6816">
        <row r="34">
          <cell r="A34" t="str">
            <v>Investments Govt Securities</v>
          </cell>
        </row>
      </sheetData>
      <sheetData sheetId="6817">
        <row r="34">
          <cell r="A34" t="str">
            <v>Investments Govt Securities</v>
          </cell>
        </row>
      </sheetData>
      <sheetData sheetId="6818">
        <row r="34">
          <cell r="A34" t="str">
            <v>Investments Govt Securities</v>
          </cell>
        </row>
      </sheetData>
      <sheetData sheetId="6819">
        <row r="34">
          <cell r="A34" t="str">
            <v>Investments Govt Securities</v>
          </cell>
        </row>
      </sheetData>
      <sheetData sheetId="6820">
        <row r="34">
          <cell r="A34" t="str">
            <v>Investments Govt Securities</v>
          </cell>
        </row>
      </sheetData>
      <sheetData sheetId="6821">
        <row r="34">
          <cell r="A34" t="str">
            <v>Investments Govt Securities</v>
          </cell>
        </row>
      </sheetData>
      <sheetData sheetId="6822">
        <row r="34">
          <cell r="A34" t="str">
            <v>Investments Govt Securities</v>
          </cell>
        </row>
      </sheetData>
      <sheetData sheetId="6823">
        <row r="34">
          <cell r="A34" t="str">
            <v>Investments Govt Securities</v>
          </cell>
        </row>
      </sheetData>
      <sheetData sheetId="6824">
        <row r="34">
          <cell r="A34" t="str">
            <v>Investments Govt Securities</v>
          </cell>
        </row>
      </sheetData>
      <sheetData sheetId="6825">
        <row r="34">
          <cell r="A34" t="str">
            <v>Investments Govt Securities</v>
          </cell>
        </row>
      </sheetData>
      <sheetData sheetId="6826">
        <row r="34">
          <cell r="A34" t="str">
            <v>Investments Govt Securities</v>
          </cell>
        </row>
      </sheetData>
      <sheetData sheetId="6827">
        <row r="34">
          <cell r="A34" t="str">
            <v>Investments Govt Securities</v>
          </cell>
        </row>
      </sheetData>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ow r="34">
          <cell r="A34" t="str">
            <v>Investments Govt Securities</v>
          </cell>
        </row>
      </sheetData>
      <sheetData sheetId="7104">
        <row r="34">
          <cell r="A34" t="str">
            <v>Investments Govt Securities</v>
          </cell>
        </row>
      </sheetData>
      <sheetData sheetId="7105">
        <row r="34">
          <cell r="A34" t="str">
            <v>Investments Govt Securities</v>
          </cell>
        </row>
      </sheetData>
      <sheetData sheetId="7106">
        <row r="34">
          <cell r="A34" t="str">
            <v>Investments Govt Securities</v>
          </cell>
        </row>
      </sheetData>
      <sheetData sheetId="7107">
        <row r="34">
          <cell r="A34" t="str">
            <v>Investments Govt Securities</v>
          </cell>
        </row>
      </sheetData>
      <sheetData sheetId="7108">
        <row r="34">
          <cell r="A34" t="str">
            <v>Investments Govt Securities</v>
          </cell>
        </row>
      </sheetData>
      <sheetData sheetId="7109">
        <row r="34">
          <cell r="A34" t="str">
            <v>Investments Govt Securities</v>
          </cell>
        </row>
      </sheetData>
      <sheetData sheetId="7110">
        <row r="34">
          <cell r="A34" t="str">
            <v>Investments Govt Securities</v>
          </cell>
        </row>
      </sheetData>
      <sheetData sheetId="7111">
        <row r="34">
          <cell r="A34" t="str">
            <v>Investments Govt Securities</v>
          </cell>
        </row>
      </sheetData>
      <sheetData sheetId="7112">
        <row r="34">
          <cell r="A34" t="str">
            <v>Investments Govt Securities</v>
          </cell>
        </row>
      </sheetData>
      <sheetData sheetId="7113">
        <row r="34">
          <cell r="A34" t="str">
            <v>Investments Govt Securities</v>
          </cell>
        </row>
      </sheetData>
      <sheetData sheetId="7114">
        <row r="34">
          <cell r="A34" t="str">
            <v>Investments Govt Securities</v>
          </cell>
        </row>
      </sheetData>
      <sheetData sheetId="7115">
        <row r="34">
          <cell r="A34" t="str">
            <v>Investments Govt Securities</v>
          </cell>
        </row>
      </sheetData>
      <sheetData sheetId="7116">
        <row r="34">
          <cell r="A34" t="str">
            <v>Investments Govt Securities</v>
          </cell>
        </row>
      </sheetData>
      <sheetData sheetId="7117">
        <row r="34">
          <cell r="A34" t="str">
            <v>Investments Govt Securities</v>
          </cell>
        </row>
      </sheetData>
      <sheetData sheetId="7118">
        <row r="34">
          <cell r="A34" t="str">
            <v>Investments Govt Securities</v>
          </cell>
        </row>
      </sheetData>
      <sheetData sheetId="7119">
        <row r="34">
          <cell r="A34" t="str">
            <v>Investments Govt Securities</v>
          </cell>
        </row>
      </sheetData>
      <sheetData sheetId="7120">
        <row r="34">
          <cell r="A34" t="str">
            <v>Investments Govt Securities</v>
          </cell>
        </row>
      </sheetData>
      <sheetData sheetId="7121">
        <row r="34">
          <cell r="A34" t="str">
            <v>Investments Govt Securities</v>
          </cell>
        </row>
      </sheetData>
      <sheetData sheetId="7122">
        <row r="34">
          <cell r="A34" t="str">
            <v>Investments Govt Securities</v>
          </cell>
        </row>
      </sheetData>
      <sheetData sheetId="7123">
        <row r="34">
          <cell r="A34" t="str">
            <v>Investments Govt Securities</v>
          </cell>
        </row>
      </sheetData>
      <sheetData sheetId="7124">
        <row r="34">
          <cell r="A34" t="str">
            <v>Investments Govt Securities</v>
          </cell>
        </row>
      </sheetData>
      <sheetData sheetId="7125">
        <row r="34">
          <cell r="A34" t="str">
            <v>Investments Govt Securities</v>
          </cell>
        </row>
      </sheetData>
      <sheetData sheetId="7126">
        <row r="34">
          <cell r="A34" t="str">
            <v>Investments Govt Securities</v>
          </cell>
        </row>
      </sheetData>
      <sheetData sheetId="7127">
        <row r="34">
          <cell r="A34" t="str">
            <v>Investments Govt Securities</v>
          </cell>
        </row>
      </sheetData>
      <sheetData sheetId="7128">
        <row r="34">
          <cell r="A34" t="str">
            <v>Investments Govt Securities</v>
          </cell>
        </row>
      </sheetData>
      <sheetData sheetId="7129">
        <row r="34">
          <cell r="A34" t="str">
            <v>Investments Govt Securities</v>
          </cell>
        </row>
      </sheetData>
      <sheetData sheetId="7130">
        <row r="34">
          <cell r="A34" t="str">
            <v>Investments Govt Securities</v>
          </cell>
        </row>
      </sheetData>
      <sheetData sheetId="7131">
        <row r="34">
          <cell r="A34" t="str">
            <v>Investments Govt Securities</v>
          </cell>
        </row>
      </sheetData>
      <sheetData sheetId="7132">
        <row r="34">
          <cell r="A34" t="str">
            <v>Investments Govt Securities</v>
          </cell>
        </row>
      </sheetData>
      <sheetData sheetId="7133">
        <row r="34">
          <cell r="A34" t="str">
            <v>Investments Govt Securities</v>
          </cell>
        </row>
      </sheetData>
      <sheetData sheetId="7134">
        <row r="34">
          <cell r="A34" t="str">
            <v>Investments Govt Securities</v>
          </cell>
        </row>
      </sheetData>
      <sheetData sheetId="7135">
        <row r="34">
          <cell r="A34" t="str">
            <v>Investments Govt Securities</v>
          </cell>
        </row>
      </sheetData>
      <sheetData sheetId="7136">
        <row r="34">
          <cell r="A34" t="str">
            <v>Investments Govt Securities</v>
          </cell>
        </row>
      </sheetData>
      <sheetData sheetId="7137">
        <row r="34">
          <cell r="A34" t="str">
            <v>Investments Govt Securities</v>
          </cell>
        </row>
      </sheetData>
      <sheetData sheetId="7138">
        <row r="34">
          <cell r="A34" t="str">
            <v>Investments Govt Securities</v>
          </cell>
        </row>
      </sheetData>
      <sheetData sheetId="7139">
        <row r="34">
          <cell r="A34" t="str">
            <v>Investments Govt Securities</v>
          </cell>
        </row>
      </sheetData>
      <sheetData sheetId="7140">
        <row r="34">
          <cell r="A34" t="str">
            <v>Investments Govt Securities</v>
          </cell>
        </row>
      </sheetData>
      <sheetData sheetId="7141">
        <row r="34">
          <cell r="A34" t="str">
            <v>Investments Govt Securities</v>
          </cell>
        </row>
      </sheetData>
      <sheetData sheetId="7142">
        <row r="34">
          <cell r="A34" t="str">
            <v>Investments Govt Securities</v>
          </cell>
        </row>
      </sheetData>
      <sheetData sheetId="7143">
        <row r="34">
          <cell r="A34" t="str">
            <v>Investments Govt Securities</v>
          </cell>
        </row>
      </sheetData>
      <sheetData sheetId="7144">
        <row r="34">
          <cell r="A34" t="str">
            <v>Investments Govt Securities</v>
          </cell>
        </row>
      </sheetData>
      <sheetData sheetId="7145">
        <row r="34">
          <cell r="A34" t="str">
            <v>Investments Govt Securities</v>
          </cell>
        </row>
      </sheetData>
      <sheetData sheetId="7146">
        <row r="34">
          <cell r="A34" t="str">
            <v>Investments Govt Securities</v>
          </cell>
        </row>
      </sheetData>
      <sheetData sheetId="7147">
        <row r="34">
          <cell r="A34" t="str">
            <v>Investments Govt Securities</v>
          </cell>
        </row>
      </sheetData>
      <sheetData sheetId="7148">
        <row r="34">
          <cell r="A34" t="str">
            <v>Investments Govt Securities</v>
          </cell>
        </row>
      </sheetData>
      <sheetData sheetId="7149">
        <row r="34">
          <cell r="A34" t="str">
            <v>Investments Govt Securities</v>
          </cell>
        </row>
      </sheetData>
      <sheetData sheetId="7150">
        <row r="34">
          <cell r="A34" t="str">
            <v>Investments Govt Securities</v>
          </cell>
        </row>
      </sheetData>
      <sheetData sheetId="7151">
        <row r="34">
          <cell r="A34" t="str">
            <v>Investments Govt Securities</v>
          </cell>
        </row>
      </sheetData>
      <sheetData sheetId="7152">
        <row r="34">
          <cell r="A34" t="str">
            <v>Investments Govt Securities</v>
          </cell>
        </row>
      </sheetData>
      <sheetData sheetId="7153">
        <row r="34">
          <cell r="A34" t="str">
            <v>Investments Govt Securities</v>
          </cell>
        </row>
      </sheetData>
      <sheetData sheetId="7154">
        <row r="34">
          <cell r="A34" t="str">
            <v>Investments Govt Securities</v>
          </cell>
        </row>
      </sheetData>
      <sheetData sheetId="7155">
        <row r="34">
          <cell r="A34" t="str">
            <v>Investments Govt Securities</v>
          </cell>
        </row>
      </sheetData>
      <sheetData sheetId="7156">
        <row r="34">
          <cell r="A34" t="str">
            <v>Investments Govt Securities</v>
          </cell>
        </row>
      </sheetData>
      <sheetData sheetId="7157">
        <row r="34">
          <cell r="A34" t="str">
            <v>Investments Govt Securities</v>
          </cell>
        </row>
      </sheetData>
      <sheetData sheetId="7158">
        <row r="34">
          <cell r="A34" t="str">
            <v>Investments Govt Securities</v>
          </cell>
        </row>
      </sheetData>
      <sheetData sheetId="7159">
        <row r="34">
          <cell r="A34" t="str">
            <v>Investments Govt Securities</v>
          </cell>
        </row>
      </sheetData>
      <sheetData sheetId="7160">
        <row r="34">
          <cell r="A34" t="str">
            <v>Investments Govt Securities</v>
          </cell>
        </row>
      </sheetData>
      <sheetData sheetId="7161">
        <row r="34">
          <cell r="A34" t="str">
            <v>Investments Govt Securities</v>
          </cell>
        </row>
      </sheetData>
      <sheetData sheetId="7162">
        <row r="34">
          <cell r="A34" t="str">
            <v>Investments Govt Securities</v>
          </cell>
        </row>
      </sheetData>
      <sheetData sheetId="7163">
        <row r="34">
          <cell r="A34" t="str">
            <v>Investments Govt Securities</v>
          </cell>
        </row>
      </sheetData>
      <sheetData sheetId="7164">
        <row r="34">
          <cell r="A34" t="str">
            <v>Investments Govt Securities</v>
          </cell>
        </row>
      </sheetData>
      <sheetData sheetId="7165">
        <row r="34">
          <cell r="A34" t="str">
            <v>Investments Govt Securities</v>
          </cell>
        </row>
      </sheetData>
      <sheetData sheetId="7166">
        <row r="34">
          <cell r="A34" t="str">
            <v>Investments Govt Securities</v>
          </cell>
        </row>
      </sheetData>
      <sheetData sheetId="7167">
        <row r="34">
          <cell r="A34" t="str">
            <v>Investments Govt Securities</v>
          </cell>
        </row>
      </sheetData>
      <sheetData sheetId="7168">
        <row r="34">
          <cell r="A34" t="str">
            <v>Investments Govt Securities</v>
          </cell>
        </row>
      </sheetData>
      <sheetData sheetId="7169">
        <row r="34">
          <cell r="A34" t="str">
            <v>Investments Govt Securities</v>
          </cell>
        </row>
      </sheetData>
      <sheetData sheetId="7170">
        <row r="34">
          <cell r="A34" t="str">
            <v>Investments Govt Securities</v>
          </cell>
        </row>
      </sheetData>
      <sheetData sheetId="7171">
        <row r="34">
          <cell r="A34" t="str">
            <v>Investments Govt Securities</v>
          </cell>
        </row>
      </sheetData>
      <sheetData sheetId="7172">
        <row r="34">
          <cell r="A34" t="str">
            <v>Investments Govt Securities</v>
          </cell>
        </row>
      </sheetData>
      <sheetData sheetId="7173">
        <row r="34">
          <cell r="A34" t="str">
            <v>Investments Govt Securities</v>
          </cell>
        </row>
      </sheetData>
      <sheetData sheetId="7174">
        <row r="34">
          <cell r="A34" t="str">
            <v>Investments Govt Securities</v>
          </cell>
        </row>
      </sheetData>
      <sheetData sheetId="7175">
        <row r="34">
          <cell r="A34" t="str">
            <v>Investments Govt Securities</v>
          </cell>
        </row>
      </sheetData>
      <sheetData sheetId="7176">
        <row r="34">
          <cell r="A34" t="str">
            <v>Investments Govt Securities</v>
          </cell>
        </row>
      </sheetData>
      <sheetData sheetId="7177">
        <row r="34">
          <cell r="A34" t="str">
            <v>Investments Govt Securities</v>
          </cell>
        </row>
      </sheetData>
      <sheetData sheetId="7178">
        <row r="34">
          <cell r="A34" t="str">
            <v>Investments Govt Securities</v>
          </cell>
        </row>
      </sheetData>
      <sheetData sheetId="7179">
        <row r="34">
          <cell r="A34" t="str">
            <v>Investments Govt Securities</v>
          </cell>
        </row>
      </sheetData>
      <sheetData sheetId="7180">
        <row r="34">
          <cell r="A34" t="str">
            <v>Investments Govt Securities</v>
          </cell>
        </row>
      </sheetData>
      <sheetData sheetId="7181">
        <row r="34">
          <cell r="A34" t="str">
            <v>Investments Govt Securities</v>
          </cell>
        </row>
      </sheetData>
      <sheetData sheetId="7182">
        <row r="34">
          <cell r="A34" t="str">
            <v>Investments Govt Securities</v>
          </cell>
        </row>
      </sheetData>
      <sheetData sheetId="7183">
        <row r="34">
          <cell r="A34" t="str">
            <v>Investments Govt Securities</v>
          </cell>
        </row>
      </sheetData>
      <sheetData sheetId="7184">
        <row r="34">
          <cell r="A34" t="str">
            <v>Investments Govt Securities</v>
          </cell>
        </row>
      </sheetData>
      <sheetData sheetId="7185">
        <row r="34">
          <cell r="A34" t="str">
            <v>Investments Govt Securities</v>
          </cell>
        </row>
      </sheetData>
      <sheetData sheetId="7186">
        <row r="34">
          <cell r="A34" t="str">
            <v>Investments Govt Securities</v>
          </cell>
        </row>
      </sheetData>
      <sheetData sheetId="7187">
        <row r="34">
          <cell r="A34" t="str">
            <v>Investments Govt Securities</v>
          </cell>
        </row>
      </sheetData>
      <sheetData sheetId="7188">
        <row r="34">
          <cell r="A34" t="str">
            <v>Investments Govt Securities</v>
          </cell>
        </row>
      </sheetData>
      <sheetData sheetId="7189">
        <row r="34">
          <cell r="A34" t="str">
            <v>Investments Govt Securities</v>
          </cell>
        </row>
      </sheetData>
      <sheetData sheetId="7190">
        <row r="34">
          <cell r="A34" t="str">
            <v>Investments Govt Securities</v>
          </cell>
        </row>
      </sheetData>
      <sheetData sheetId="7191">
        <row r="34">
          <cell r="A34" t="str">
            <v>Investments Govt Securities</v>
          </cell>
        </row>
      </sheetData>
      <sheetData sheetId="7192">
        <row r="34">
          <cell r="A34" t="str">
            <v>Investments Govt Securities</v>
          </cell>
        </row>
      </sheetData>
      <sheetData sheetId="7193">
        <row r="34">
          <cell r="A34" t="str">
            <v>Investments Govt Securities</v>
          </cell>
        </row>
      </sheetData>
      <sheetData sheetId="7194">
        <row r="34">
          <cell r="A34" t="str">
            <v>Investments Govt Securities</v>
          </cell>
        </row>
      </sheetData>
      <sheetData sheetId="7195">
        <row r="34">
          <cell r="A34" t="str">
            <v>Investments Govt Securities</v>
          </cell>
        </row>
      </sheetData>
      <sheetData sheetId="7196">
        <row r="34">
          <cell r="A34" t="str">
            <v>Investments Govt Securities</v>
          </cell>
        </row>
      </sheetData>
      <sheetData sheetId="7197">
        <row r="34">
          <cell r="A34" t="str">
            <v>Investments Govt Securities</v>
          </cell>
        </row>
      </sheetData>
      <sheetData sheetId="7198">
        <row r="34">
          <cell r="A34" t="str">
            <v>Investments Govt Securities</v>
          </cell>
        </row>
      </sheetData>
      <sheetData sheetId="7199">
        <row r="34">
          <cell r="A34" t="str">
            <v>Investments Govt Securities</v>
          </cell>
        </row>
      </sheetData>
      <sheetData sheetId="7200">
        <row r="34">
          <cell r="A34" t="str">
            <v>Investments Govt Securities</v>
          </cell>
        </row>
      </sheetData>
      <sheetData sheetId="7201">
        <row r="34">
          <cell r="A34" t="str">
            <v>Investments Govt Securities</v>
          </cell>
        </row>
      </sheetData>
      <sheetData sheetId="7202">
        <row r="34">
          <cell r="A34" t="str">
            <v>Investments Govt Securities</v>
          </cell>
        </row>
      </sheetData>
      <sheetData sheetId="7203">
        <row r="34">
          <cell r="A34" t="str">
            <v>Investments Govt Securities</v>
          </cell>
        </row>
      </sheetData>
      <sheetData sheetId="7204">
        <row r="34">
          <cell r="A34" t="str">
            <v>Investments Govt Securities</v>
          </cell>
        </row>
      </sheetData>
      <sheetData sheetId="7205">
        <row r="34">
          <cell r="A34" t="str">
            <v>Investments Govt Securities</v>
          </cell>
        </row>
      </sheetData>
      <sheetData sheetId="7206">
        <row r="34">
          <cell r="A34" t="str">
            <v>Investments Govt Securities</v>
          </cell>
        </row>
      </sheetData>
      <sheetData sheetId="7207">
        <row r="34">
          <cell r="A34" t="str">
            <v>Investments Govt Securities</v>
          </cell>
        </row>
      </sheetData>
      <sheetData sheetId="7208">
        <row r="34">
          <cell r="A34" t="str">
            <v>Investments Govt Securities</v>
          </cell>
        </row>
      </sheetData>
      <sheetData sheetId="7209">
        <row r="34">
          <cell r="A34" t="str">
            <v>Investments Govt Securities</v>
          </cell>
        </row>
      </sheetData>
      <sheetData sheetId="7210">
        <row r="34">
          <cell r="A34" t="str">
            <v>Investments Govt Securities</v>
          </cell>
        </row>
      </sheetData>
      <sheetData sheetId="7211">
        <row r="34">
          <cell r="A34" t="str">
            <v>Investments Govt Securities</v>
          </cell>
        </row>
      </sheetData>
      <sheetData sheetId="7212">
        <row r="34">
          <cell r="A34" t="str">
            <v>Investments Govt Securities</v>
          </cell>
        </row>
      </sheetData>
      <sheetData sheetId="7213">
        <row r="34">
          <cell r="A34" t="str">
            <v>Investments Govt Securities</v>
          </cell>
        </row>
      </sheetData>
      <sheetData sheetId="7214">
        <row r="34">
          <cell r="A34" t="str">
            <v>Investments Govt Securities</v>
          </cell>
        </row>
      </sheetData>
      <sheetData sheetId="7215">
        <row r="34">
          <cell r="A34" t="str">
            <v>Investments Govt Securities</v>
          </cell>
        </row>
      </sheetData>
      <sheetData sheetId="7216">
        <row r="34">
          <cell r="A34" t="str">
            <v>Investments Govt Securities</v>
          </cell>
        </row>
      </sheetData>
      <sheetData sheetId="7217">
        <row r="34">
          <cell r="A34" t="str">
            <v>Investments Govt Securities</v>
          </cell>
        </row>
      </sheetData>
      <sheetData sheetId="7218">
        <row r="34">
          <cell r="A34" t="str">
            <v>Investments Govt Securities</v>
          </cell>
        </row>
      </sheetData>
      <sheetData sheetId="7219">
        <row r="34">
          <cell r="A34" t="str">
            <v>Investments Govt Securities</v>
          </cell>
        </row>
      </sheetData>
      <sheetData sheetId="7220">
        <row r="34">
          <cell r="A34" t="str">
            <v>Investments Govt Securities</v>
          </cell>
        </row>
      </sheetData>
      <sheetData sheetId="7221">
        <row r="34">
          <cell r="A34" t="str">
            <v>Investments Govt Securities</v>
          </cell>
        </row>
      </sheetData>
      <sheetData sheetId="7222">
        <row r="34">
          <cell r="A34" t="str">
            <v>Investments Govt Securities</v>
          </cell>
        </row>
      </sheetData>
      <sheetData sheetId="7223">
        <row r="34">
          <cell r="A34" t="str">
            <v>Investments Govt Securities</v>
          </cell>
        </row>
      </sheetData>
      <sheetData sheetId="7224">
        <row r="34">
          <cell r="A34" t="str">
            <v>Investments Govt Securities</v>
          </cell>
        </row>
      </sheetData>
      <sheetData sheetId="7225">
        <row r="34">
          <cell r="A34" t="str">
            <v>Investments Govt Securities</v>
          </cell>
        </row>
      </sheetData>
      <sheetData sheetId="7226">
        <row r="34">
          <cell r="A34" t="str">
            <v>Investments Govt Securities</v>
          </cell>
        </row>
      </sheetData>
      <sheetData sheetId="7227">
        <row r="34">
          <cell r="A34" t="str">
            <v>Investments Govt Securities</v>
          </cell>
        </row>
      </sheetData>
      <sheetData sheetId="7228">
        <row r="34">
          <cell r="A34" t="str">
            <v>Investments Govt Securities</v>
          </cell>
        </row>
      </sheetData>
      <sheetData sheetId="7229">
        <row r="34">
          <cell r="A34" t="str">
            <v>Investments Govt Securities</v>
          </cell>
        </row>
      </sheetData>
      <sheetData sheetId="7230">
        <row r="34">
          <cell r="A34" t="str">
            <v>Investments Govt Securities</v>
          </cell>
        </row>
      </sheetData>
      <sheetData sheetId="7231">
        <row r="34">
          <cell r="A34" t="str">
            <v>Investments Govt Securities</v>
          </cell>
        </row>
      </sheetData>
      <sheetData sheetId="7232">
        <row r="34">
          <cell r="A34" t="str">
            <v>Investments Govt Securities</v>
          </cell>
        </row>
      </sheetData>
      <sheetData sheetId="7233">
        <row r="34">
          <cell r="A34" t="str">
            <v>Investments Govt Securities</v>
          </cell>
        </row>
      </sheetData>
      <sheetData sheetId="7234">
        <row r="34">
          <cell r="A34" t="str">
            <v>Investments Govt Securities</v>
          </cell>
        </row>
      </sheetData>
      <sheetData sheetId="7235">
        <row r="34">
          <cell r="A34" t="str">
            <v>Investments Govt Securities</v>
          </cell>
        </row>
      </sheetData>
      <sheetData sheetId="7236">
        <row r="34">
          <cell r="A34" t="str">
            <v>Investments Govt Securities</v>
          </cell>
        </row>
      </sheetData>
      <sheetData sheetId="7237">
        <row r="34">
          <cell r="A34" t="str">
            <v>Investments Govt Securities</v>
          </cell>
        </row>
      </sheetData>
      <sheetData sheetId="7238">
        <row r="34">
          <cell r="A34" t="str">
            <v>Investments Govt Securities</v>
          </cell>
        </row>
      </sheetData>
      <sheetData sheetId="7239">
        <row r="34">
          <cell r="A34" t="str">
            <v>Investments Govt Securities</v>
          </cell>
        </row>
      </sheetData>
      <sheetData sheetId="7240">
        <row r="34">
          <cell r="A34" t="str">
            <v>Investments Govt Securities</v>
          </cell>
        </row>
      </sheetData>
      <sheetData sheetId="7241">
        <row r="34">
          <cell r="A34" t="str">
            <v>Investments Govt Securities</v>
          </cell>
        </row>
      </sheetData>
      <sheetData sheetId="7242">
        <row r="34">
          <cell r="A34" t="str">
            <v>Investments Govt Securities</v>
          </cell>
        </row>
      </sheetData>
      <sheetData sheetId="7243">
        <row r="34">
          <cell r="A34" t="str">
            <v>Investments Govt Securities</v>
          </cell>
        </row>
      </sheetData>
      <sheetData sheetId="7244">
        <row r="34">
          <cell r="A34" t="str">
            <v>Investments Govt Securities</v>
          </cell>
        </row>
      </sheetData>
      <sheetData sheetId="7245">
        <row r="34">
          <cell r="A34" t="str">
            <v>Investments Govt Securities</v>
          </cell>
        </row>
      </sheetData>
      <sheetData sheetId="7246">
        <row r="34">
          <cell r="A34" t="str">
            <v>Investments Govt Securities</v>
          </cell>
        </row>
      </sheetData>
      <sheetData sheetId="7247">
        <row r="34">
          <cell r="A34" t="str">
            <v>Investments Govt Securities</v>
          </cell>
        </row>
      </sheetData>
      <sheetData sheetId="7248">
        <row r="34">
          <cell r="A34" t="str">
            <v>Investments Govt Securities</v>
          </cell>
        </row>
      </sheetData>
      <sheetData sheetId="7249">
        <row r="34">
          <cell r="A34" t="str">
            <v>Investments Govt Securities</v>
          </cell>
        </row>
      </sheetData>
      <sheetData sheetId="7250">
        <row r="34">
          <cell r="A34" t="str">
            <v>Investments Govt Securities</v>
          </cell>
        </row>
      </sheetData>
      <sheetData sheetId="7251">
        <row r="34">
          <cell r="A34" t="str">
            <v>Investments Govt Securities</v>
          </cell>
        </row>
      </sheetData>
      <sheetData sheetId="7252">
        <row r="34">
          <cell r="A34" t="str">
            <v>Investments Govt Securities</v>
          </cell>
        </row>
      </sheetData>
      <sheetData sheetId="7253">
        <row r="34">
          <cell r="A34" t="str">
            <v>Investments Govt Securities</v>
          </cell>
        </row>
      </sheetData>
      <sheetData sheetId="7254">
        <row r="34">
          <cell r="A34" t="str">
            <v>Investments Govt Securities</v>
          </cell>
        </row>
      </sheetData>
      <sheetData sheetId="7255">
        <row r="34">
          <cell r="A34" t="str">
            <v>Investments Govt Securities</v>
          </cell>
        </row>
      </sheetData>
      <sheetData sheetId="7256">
        <row r="34">
          <cell r="A34" t="str">
            <v>Investments Govt Securities</v>
          </cell>
        </row>
      </sheetData>
      <sheetData sheetId="7257">
        <row r="34">
          <cell r="A34" t="str">
            <v>Investments Govt Securities</v>
          </cell>
        </row>
      </sheetData>
      <sheetData sheetId="7258">
        <row r="34">
          <cell r="A34" t="str">
            <v>Investments Govt Securities</v>
          </cell>
        </row>
      </sheetData>
      <sheetData sheetId="7259">
        <row r="34">
          <cell r="A34" t="str">
            <v>Investments Govt Securities</v>
          </cell>
        </row>
      </sheetData>
      <sheetData sheetId="7260">
        <row r="34">
          <cell r="A34" t="str">
            <v>Investments Govt Securities</v>
          </cell>
        </row>
      </sheetData>
      <sheetData sheetId="7261">
        <row r="34">
          <cell r="A34" t="str">
            <v>Investments Govt Securities</v>
          </cell>
        </row>
      </sheetData>
      <sheetData sheetId="7262">
        <row r="34">
          <cell r="A34" t="str">
            <v>Investments Govt Securities</v>
          </cell>
        </row>
      </sheetData>
      <sheetData sheetId="7263">
        <row r="34">
          <cell r="A34" t="str">
            <v>Investments Govt Securities</v>
          </cell>
        </row>
      </sheetData>
      <sheetData sheetId="7264">
        <row r="34">
          <cell r="A34" t="str">
            <v>Investments Govt Securities</v>
          </cell>
        </row>
      </sheetData>
      <sheetData sheetId="7265">
        <row r="34">
          <cell r="A34" t="str">
            <v>Investments Govt Securities</v>
          </cell>
        </row>
      </sheetData>
      <sheetData sheetId="7266">
        <row r="34">
          <cell r="A34" t="str">
            <v>Investments Govt Securities</v>
          </cell>
        </row>
      </sheetData>
      <sheetData sheetId="7267">
        <row r="34">
          <cell r="A34" t="str">
            <v>Investments Govt Securities</v>
          </cell>
        </row>
      </sheetData>
      <sheetData sheetId="7268">
        <row r="34">
          <cell r="A34" t="str">
            <v>Investments Govt Securities</v>
          </cell>
        </row>
      </sheetData>
      <sheetData sheetId="7269">
        <row r="34">
          <cell r="A34" t="str">
            <v>Investments Govt Securities</v>
          </cell>
        </row>
      </sheetData>
      <sheetData sheetId="7270">
        <row r="34">
          <cell r="A34" t="str">
            <v>Investments Govt Securities</v>
          </cell>
        </row>
      </sheetData>
      <sheetData sheetId="7271">
        <row r="34">
          <cell r="A34" t="str">
            <v>Investments Govt Securities</v>
          </cell>
        </row>
      </sheetData>
      <sheetData sheetId="7272">
        <row r="34">
          <cell r="A34" t="str">
            <v>Investments Govt Securities</v>
          </cell>
        </row>
      </sheetData>
      <sheetData sheetId="7273">
        <row r="34">
          <cell r="A34" t="str">
            <v>Investments Govt Securities</v>
          </cell>
        </row>
      </sheetData>
      <sheetData sheetId="7274">
        <row r="34">
          <cell r="A34" t="str">
            <v>Investments Govt Securities</v>
          </cell>
        </row>
      </sheetData>
      <sheetData sheetId="7275">
        <row r="34">
          <cell r="A34" t="str">
            <v>Investments Govt Securities</v>
          </cell>
        </row>
      </sheetData>
      <sheetData sheetId="7276">
        <row r="34">
          <cell r="A34" t="str">
            <v>Investments Govt Securities</v>
          </cell>
        </row>
      </sheetData>
      <sheetData sheetId="7277">
        <row r="34">
          <cell r="A34" t="str">
            <v>Investments Govt Securities</v>
          </cell>
        </row>
      </sheetData>
      <sheetData sheetId="7278">
        <row r="34">
          <cell r="A34" t="str">
            <v>Investments Govt Securities</v>
          </cell>
        </row>
      </sheetData>
      <sheetData sheetId="7279">
        <row r="34">
          <cell r="A34" t="str">
            <v>Investments Govt Securities</v>
          </cell>
        </row>
      </sheetData>
      <sheetData sheetId="7280">
        <row r="34">
          <cell r="A34" t="str">
            <v>Investments Govt Securities</v>
          </cell>
        </row>
      </sheetData>
      <sheetData sheetId="7281">
        <row r="34">
          <cell r="A34" t="str">
            <v>Investments Govt Securities</v>
          </cell>
        </row>
      </sheetData>
      <sheetData sheetId="7282">
        <row r="34">
          <cell r="A34" t="str">
            <v>Investments Govt Securities</v>
          </cell>
        </row>
      </sheetData>
      <sheetData sheetId="7283">
        <row r="34">
          <cell r="A34" t="str">
            <v>Investments Govt Securities</v>
          </cell>
        </row>
      </sheetData>
      <sheetData sheetId="7284">
        <row r="34">
          <cell r="A34" t="str">
            <v>Investments Govt Securities</v>
          </cell>
        </row>
      </sheetData>
      <sheetData sheetId="7285">
        <row r="34">
          <cell r="A34" t="str">
            <v>Investments Govt Securities</v>
          </cell>
        </row>
      </sheetData>
      <sheetData sheetId="7286">
        <row r="34">
          <cell r="A34" t="str">
            <v>Investments Govt Securities</v>
          </cell>
        </row>
      </sheetData>
      <sheetData sheetId="7287">
        <row r="34">
          <cell r="A34" t="str">
            <v>Investments Govt Securities</v>
          </cell>
        </row>
      </sheetData>
      <sheetData sheetId="7288">
        <row r="34">
          <cell r="A34" t="str">
            <v>Investments Govt Securities</v>
          </cell>
        </row>
      </sheetData>
      <sheetData sheetId="7289">
        <row r="34">
          <cell r="A34" t="str">
            <v>Investments Govt Securities</v>
          </cell>
        </row>
      </sheetData>
      <sheetData sheetId="7290">
        <row r="34">
          <cell r="A34" t="str">
            <v>Investments Govt Securities</v>
          </cell>
        </row>
      </sheetData>
      <sheetData sheetId="7291">
        <row r="34">
          <cell r="A34" t="str">
            <v>Investments Govt Securities</v>
          </cell>
        </row>
      </sheetData>
      <sheetData sheetId="7292">
        <row r="34">
          <cell r="A34" t="str">
            <v>Investments Govt Securities</v>
          </cell>
        </row>
      </sheetData>
      <sheetData sheetId="7293">
        <row r="34">
          <cell r="A34" t="str">
            <v>Investments Govt Securities</v>
          </cell>
        </row>
      </sheetData>
      <sheetData sheetId="7294">
        <row r="34">
          <cell r="A34" t="str">
            <v>Investments Govt Securities</v>
          </cell>
        </row>
      </sheetData>
      <sheetData sheetId="7295">
        <row r="34">
          <cell r="A34" t="str">
            <v>Investments Govt Securities</v>
          </cell>
        </row>
      </sheetData>
      <sheetData sheetId="7296">
        <row r="34">
          <cell r="A34" t="str">
            <v>Investments Govt Securities</v>
          </cell>
        </row>
      </sheetData>
      <sheetData sheetId="7297">
        <row r="34">
          <cell r="A34" t="str">
            <v>Investments Govt Securities</v>
          </cell>
        </row>
      </sheetData>
      <sheetData sheetId="7298">
        <row r="34">
          <cell r="A34" t="str">
            <v>Investments Govt Securities</v>
          </cell>
        </row>
      </sheetData>
      <sheetData sheetId="7299">
        <row r="34">
          <cell r="A34" t="str">
            <v>Investments Govt Securities</v>
          </cell>
        </row>
      </sheetData>
      <sheetData sheetId="7300">
        <row r="34">
          <cell r="A34" t="str">
            <v>Investments Govt Securities</v>
          </cell>
        </row>
      </sheetData>
      <sheetData sheetId="7301">
        <row r="34">
          <cell r="A34" t="str">
            <v>Investments Govt Securities</v>
          </cell>
        </row>
      </sheetData>
      <sheetData sheetId="7302">
        <row r="34">
          <cell r="A34" t="str">
            <v>Investments Govt Securities</v>
          </cell>
        </row>
      </sheetData>
      <sheetData sheetId="7303">
        <row r="34">
          <cell r="A34" t="str">
            <v>Investments Govt Securities</v>
          </cell>
        </row>
      </sheetData>
      <sheetData sheetId="7304">
        <row r="34">
          <cell r="A34" t="str">
            <v>Investments Govt Securities</v>
          </cell>
        </row>
      </sheetData>
      <sheetData sheetId="7305">
        <row r="34">
          <cell r="A34" t="str">
            <v>Investments Govt Securities</v>
          </cell>
        </row>
      </sheetData>
      <sheetData sheetId="7306">
        <row r="34">
          <cell r="A34" t="str">
            <v>Investments Govt Securities</v>
          </cell>
        </row>
      </sheetData>
      <sheetData sheetId="7307">
        <row r="34">
          <cell r="A34" t="str">
            <v>Investments Govt Securities</v>
          </cell>
        </row>
      </sheetData>
      <sheetData sheetId="7308">
        <row r="34">
          <cell r="A34" t="str">
            <v>Investments Govt Securities</v>
          </cell>
        </row>
      </sheetData>
      <sheetData sheetId="7309">
        <row r="34">
          <cell r="A34" t="str">
            <v>Investments Govt Securities</v>
          </cell>
        </row>
      </sheetData>
      <sheetData sheetId="7310">
        <row r="34">
          <cell r="A34" t="str">
            <v>Investments Govt Securities</v>
          </cell>
        </row>
      </sheetData>
      <sheetData sheetId="7311">
        <row r="34">
          <cell r="A34" t="str">
            <v>Investments Govt Securities</v>
          </cell>
        </row>
      </sheetData>
      <sheetData sheetId="7312">
        <row r="34">
          <cell r="A34" t="str">
            <v>Investments Govt Securities</v>
          </cell>
        </row>
      </sheetData>
      <sheetData sheetId="7313">
        <row r="34">
          <cell r="A34" t="str">
            <v>Investments Govt Securities</v>
          </cell>
        </row>
      </sheetData>
      <sheetData sheetId="7314">
        <row r="34">
          <cell r="A34" t="str">
            <v>Investments Govt Securities</v>
          </cell>
        </row>
      </sheetData>
      <sheetData sheetId="7315">
        <row r="34">
          <cell r="A34" t="str">
            <v>Investments Govt Securities</v>
          </cell>
        </row>
      </sheetData>
      <sheetData sheetId="7316">
        <row r="34">
          <cell r="A34" t="str">
            <v>Investments Govt Securities</v>
          </cell>
        </row>
      </sheetData>
      <sheetData sheetId="7317">
        <row r="34">
          <cell r="A34" t="str">
            <v>Investments Govt Securities</v>
          </cell>
        </row>
      </sheetData>
      <sheetData sheetId="7318">
        <row r="34">
          <cell r="A34" t="str">
            <v>Investments Govt Securities</v>
          </cell>
        </row>
      </sheetData>
      <sheetData sheetId="7319">
        <row r="34">
          <cell r="A34" t="str">
            <v>Investments Govt Securities</v>
          </cell>
        </row>
      </sheetData>
      <sheetData sheetId="7320">
        <row r="34">
          <cell r="A34" t="str">
            <v>Investments Govt Securities</v>
          </cell>
        </row>
      </sheetData>
      <sheetData sheetId="7321">
        <row r="34">
          <cell r="A34" t="str">
            <v>Investments Govt Securities</v>
          </cell>
        </row>
      </sheetData>
      <sheetData sheetId="7322">
        <row r="34">
          <cell r="A34" t="str">
            <v>Investments Govt Securities</v>
          </cell>
        </row>
      </sheetData>
      <sheetData sheetId="7323">
        <row r="34">
          <cell r="A34" t="str">
            <v>Investments Govt Securities</v>
          </cell>
        </row>
      </sheetData>
      <sheetData sheetId="7324">
        <row r="34">
          <cell r="A34" t="str">
            <v>Investments Govt Securities</v>
          </cell>
        </row>
      </sheetData>
      <sheetData sheetId="7325">
        <row r="34">
          <cell r="A34" t="str">
            <v>Investments Govt Securities</v>
          </cell>
        </row>
      </sheetData>
      <sheetData sheetId="7326">
        <row r="34">
          <cell r="A34" t="str">
            <v>Investments Govt Securities</v>
          </cell>
        </row>
      </sheetData>
      <sheetData sheetId="7327">
        <row r="34">
          <cell r="A34" t="str">
            <v>Investments Govt Securities</v>
          </cell>
        </row>
      </sheetData>
      <sheetData sheetId="7328">
        <row r="34">
          <cell r="A34" t="str">
            <v>Investments Govt Securities</v>
          </cell>
        </row>
      </sheetData>
      <sheetData sheetId="7329">
        <row r="34">
          <cell r="A34" t="str">
            <v>Investments Govt Securities</v>
          </cell>
        </row>
      </sheetData>
      <sheetData sheetId="7330">
        <row r="34">
          <cell r="A34" t="str">
            <v>Investments Govt Securities</v>
          </cell>
        </row>
      </sheetData>
      <sheetData sheetId="7331">
        <row r="34">
          <cell r="A34" t="str">
            <v>Investments Govt Securities</v>
          </cell>
        </row>
      </sheetData>
      <sheetData sheetId="7332">
        <row r="34">
          <cell r="A34" t="str">
            <v>Investments Govt Securities</v>
          </cell>
        </row>
      </sheetData>
      <sheetData sheetId="7333">
        <row r="34">
          <cell r="A34" t="str">
            <v>Investments Govt Securities</v>
          </cell>
        </row>
      </sheetData>
      <sheetData sheetId="7334">
        <row r="34">
          <cell r="A34" t="str">
            <v>Investments Govt Securities</v>
          </cell>
        </row>
      </sheetData>
      <sheetData sheetId="7335">
        <row r="34">
          <cell r="A34" t="str">
            <v>Investments Govt Securities</v>
          </cell>
        </row>
      </sheetData>
      <sheetData sheetId="7336">
        <row r="34">
          <cell r="A34" t="str">
            <v>Investments Govt Securities</v>
          </cell>
        </row>
      </sheetData>
      <sheetData sheetId="7337">
        <row r="34">
          <cell r="A34" t="str">
            <v>Investments Govt Securities</v>
          </cell>
        </row>
      </sheetData>
      <sheetData sheetId="7338">
        <row r="34">
          <cell r="A34" t="str">
            <v>Investments Govt Securities</v>
          </cell>
        </row>
      </sheetData>
      <sheetData sheetId="7339">
        <row r="34">
          <cell r="A34" t="str">
            <v>Investments Govt Securities</v>
          </cell>
        </row>
      </sheetData>
      <sheetData sheetId="7340">
        <row r="34">
          <cell r="A34" t="str">
            <v>Investments Govt Securities</v>
          </cell>
        </row>
      </sheetData>
      <sheetData sheetId="7341">
        <row r="34">
          <cell r="A34" t="str">
            <v>Investments Govt Securities</v>
          </cell>
        </row>
      </sheetData>
      <sheetData sheetId="7342">
        <row r="34">
          <cell r="A34" t="str">
            <v>Investments Govt Securities</v>
          </cell>
        </row>
      </sheetData>
      <sheetData sheetId="7343">
        <row r="34">
          <cell r="A34" t="str">
            <v>Investments Govt Securities</v>
          </cell>
        </row>
      </sheetData>
      <sheetData sheetId="7344">
        <row r="34">
          <cell r="A34" t="str">
            <v>Investments Govt Securities</v>
          </cell>
        </row>
      </sheetData>
      <sheetData sheetId="7345">
        <row r="34">
          <cell r="A34" t="str">
            <v>Investments Govt Securities</v>
          </cell>
        </row>
      </sheetData>
      <sheetData sheetId="7346">
        <row r="34">
          <cell r="A34" t="str">
            <v>Investments Govt Securities</v>
          </cell>
        </row>
      </sheetData>
      <sheetData sheetId="7347">
        <row r="34">
          <cell r="A34" t="str">
            <v>Investments Govt Securities</v>
          </cell>
        </row>
      </sheetData>
      <sheetData sheetId="7348">
        <row r="34">
          <cell r="A34" t="str">
            <v>Investments Govt Securities</v>
          </cell>
        </row>
      </sheetData>
      <sheetData sheetId="7349">
        <row r="34">
          <cell r="A34" t="str">
            <v>Investments Govt Securities</v>
          </cell>
        </row>
      </sheetData>
      <sheetData sheetId="7350">
        <row r="34">
          <cell r="A34" t="str">
            <v>Investments Govt Securities</v>
          </cell>
        </row>
      </sheetData>
      <sheetData sheetId="7351">
        <row r="34">
          <cell r="A34" t="str">
            <v>Investments Govt Securities</v>
          </cell>
        </row>
      </sheetData>
      <sheetData sheetId="7352">
        <row r="34">
          <cell r="A34" t="str">
            <v>Investments Govt Securities</v>
          </cell>
        </row>
      </sheetData>
      <sheetData sheetId="7353">
        <row r="34">
          <cell r="A34" t="str">
            <v>Investments Govt Securities</v>
          </cell>
        </row>
      </sheetData>
      <sheetData sheetId="7354">
        <row r="34">
          <cell r="A34" t="str">
            <v>Investments Govt Securities</v>
          </cell>
        </row>
      </sheetData>
      <sheetData sheetId="7355">
        <row r="34">
          <cell r="A34" t="str">
            <v>Investments Govt Securities</v>
          </cell>
        </row>
      </sheetData>
      <sheetData sheetId="7356">
        <row r="34">
          <cell r="A34" t="str">
            <v>Investments Govt Securities</v>
          </cell>
        </row>
      </sheetData>
      <sheetData sheetId="7357">
        <row r="34">
          <cell r="A34" t="str">
            <v>Investments Govt Securities</v>
          </cell>
        </row>
      </sheetData>
      <sheetData sheetId="7358">
        <row r="34">
          <cell r="A34" t="str">
            <v>Investments Govt Securities</v>
          </cell>
        </row>
      </sheetData>
      <sheetData sheetId="7359">
        <row r="34">
          <cell r="A34" t="str">
            <v>Investments Govt Securities</v>
          </cell>
        </row>
      </sheetData>
      <sheetData sheetId="7360">
        <row r="34">
          <cell r="A34" t="str">
            <v>Investments Govt Securities</v>
          </cell>
        </row>
      </sheetData>
      <sheetData sheetId="7361">
        <row r="34">
          <cell r="A34" t="str">
            <v>Investments Govt Securities</v>
          </cell>
        </row>
      </sheetData>
      <sheetData sheetId="7362">
        <row r="34">
          <cell r="A34" t="str">
            <v>Investments Govt Securities</v>
          </cell>
        </row>
      </sheetData>
      <sheetData sheetId="7363">
        <row r="34">
          <cell r="A34" t="str">
            <v>Investments Govt Securities</v>
          </cell>
        </row>
      </sheetData>
      <sheetData sheetId="7364">
        <row r="34">
          <cell r="A34" t="str">
            <v>Investments Govt Securities</v>
          </cell>
        </row>
      </sheetData>
      <sheetData sheetId="7365">
        <row r="34">
          <cell r="A34" t="str">
            <v>Investments Govt Securities</v>
          </cell>
        </row>
      </sheetData>
      <sheetData sheetId="7366">
        <row r="34">
          <cell r="A34" t="str">
            <v>Investments Govt Securities</v>
          </cell>
        </row>
      </sheetData>
      <sheetData sheetId="7367">
        <row r="34">
          <cell r="A34" t="str">
            <v>Investments Govt Securities</v>
          </cell>
        </row>
      </sheetData>
      <sheetData sheetId="7368">
        <row r="34">
          <cell r="A34" t="str">
            <v>Investments Govt Securities</v>
          </cell>
        </row>
      </sheetData>
      <sheetData sheetId="7369">
        <row r="34">
          <cell r="A34" t="str">
            <v>Investments Govt Securities</v>
          </cell>
        </row>
      </sheetData>
      <sheetData sheetId="7370">
        <row r="34">
          <cell r="A34" t="str">
            <v>Investments Govt Securities</v>
          </cell>
        </row>
      </sheetData>
      <sheetData sheetId="7371">
        <row r="34">
          <cell r="A34" t="str">
            <v>Investments Govt Securities</v>
          </cell>
        </row>
      </sheetData>
      <sheetData sheetId="7372">
        <row r="34">
          <cell r="A34" t="str">
            <v>Investments Govt Securities</v>
          </cell>
        </row>
      </sheetData>
      <sheetData sheetId="7373">
        <row r="34">
          <cell r="A34" t="str">
            <v>Investments Govt Securities</v>
          </cell>
        </row>
      </sheetData>
      <sheetData sheetId="7374">
        <row r="34">
          <cell r="A34" t="str">
            <v>Investments Govt Securities</v>
          </cell>
        </row>
      </sheetData>
      <sheetData sheetId="7375">
        <row r="34">
          <cell r="A34" t="str">
            <v>Investments Govt Securities</v>
          </cell>
        </row>
      </sheetData>
      <sheetData sheetId="7376">
        <row r="34">
          <cell r="A34" t="str">
            <v>Investments Govt Securities</v>
          </cell>
        </row>
      </sheetData>
      <sheetData sheetId="7377">
        <row r="34">
          <cell r="A34" t="str">
            <v>Investments Govt Securities</v>
          </cell>
        </row>
      </sheetData>
      <sheetData sheetId="7378">
        <row r="34">
          <cell r="A34" t="str">
            <v>Investments Govt Securities</v>
          </cell>
        </row>
      </sheetData>
      <sheetData sheetId="7379">
        <row r="34">
          <cell r="A34" t="str">
            <v>Investments Govt Securities</v>
          </cell>
        </row>
      </sheetData>
      <sheetData sheetId="7380">
        <row r="34">
          <cell r="A34" t="str">
            <v>Investments Govt Securities</v>
          </cell>
        </row>
      </sheetData>
      <sheetData sheetId="7381">
        <row r="34">
          <cell r="A34" t="str">
            <v>Investments Govt Securities</v>
          </cell>
        </row>
      </sheetData>
      <sheetData sheetId="7382">
        <row r="34">
          <cell r="A34" t="str">
            <v>Investments Govt Securities</v>
          </cell>
        </row>
      </sheetData>
      <sheetData sheetId="7383">
        <row r="34">
          <cell r="A34" t="str">
            <v>Investments Govt Securities</v>
          </cell>
        </row>
      </sheetData>
      <sheetData sheetId="7384">
        <row r="34">
          <cell r="A34" t="str">
            <v>Investments Govt Securities</v>
          </cell>
        </row>
      </sheetData>
      <sheetData sheetId="7385">
        <row r="34">
          <cell r="A34" t="str">
            <v>Investments Govt Securities</v>
          </cell>
        </row>
      </sheetData>
      <sheetData sheetId="7386">
        <row r="34">
          <cell r="A34" t="str">
            <v>Investments Govt Securities</v>
          </cell>
        </row>
      </sheetData>
      <sheetData sheetId="7387">
        <row r="34">
          <cell r="A34" t="str">
            <v>Investments Govt Securities</v>
          </cell>
        </row>
      </sheetData>
      <sheetData sheetId="7388">
        <row r="34">
          <cell r="A34" t="str">
            <v>Investments Govt Securities</v>
          </cell>
        </row>
      </sheetData>
      <sheetData sheetId="7389">
        <row r="34">
          <cell r="A34" t="str">
            <v>Investments Govt Securities</v>
          </cell>
        </row>
      </sheetData>
      <sheetData sheetId="7390">
        <row r="34">
          <cell r="A34" t="str">
            <v>Investments Govt Securities</v>
          </cell>
        </row>
      </sheetData>
      <sheetData sheetId="7391">
        <row r="34">
          <cell r="A34" t="str">
            <v>Investments Govt Securities</v>
          </cell>
        </row>
      </sheetData>
      <sheetData sheetId="7392">
        <row r="34">
          <cell r="A34" t="str">
            <v>Investments Govt Securities</v>
          </cell>
        </row>
      </sheetData>
      <sheetData sheetId="7393">
        <row r="34">
          <cell r="A34" t="str">
            <v>Investments Govt Securities</v>
          </cell>
        </row>
      </sheetData>
      <sheetData sheetId="7394">
        <row r="34">
          <cell r="A34" t="str">
            <v>Investments Govt Securities</v>
          </cell>
        </row>
      </sheetData>
      <sheetData sheetId="7395">
        <row r="34">
          <cell r="A34" t="str">
            <v>Investments Govt Securities</v>
          </cell>
        </row>
      </sheetData>
      <sheetData sheetId="7396">
        <row r="34">
          <cell r="A34" t="str">
            <v>Investments Govt Securities</v>
          </cell>
        </row>
      </sheetData>
      <sheetData sheetId="7397">
        <row r="34">
          <cell r="A34" t="str">
            <v>Investments Govt Securities</v>
          </cell>
        </row>
      </sheetData>
      <sheetData sheetId="7398">
        <row r="34">
          <cell r="A34" t="str">
            <v>Investments Govt Securities</v>
          </cell>
        </row>
      </sheetData>
      <sheetData sheetId="7399">
        <row r="34">
          <cell r="A34" t="str">
            <v>Investments Govt Securities</v>
          </cell>
        </row>
      </sheetData>
      <sheetData sheetId="7400">
        <row r="34">
          <cell r="A34" t="str">
            <v>Investments Govt Securities</v>
          </cell>
        </row>
      </sheetData>
      <sheetData sheetId="7401">
        <row r="34">
          <cell r="A34" t="str">
            <v>Investments Govt Securities</v>
          </cell>
        </row>
      </sheetData>
      <sheetData sheetId="7402">
        <row r="34">
          <cell r="A34" t="str">
            <v>Investments Govt Securities</v>
          </cell>
        </row>
      </sheetData>
      <sheetData sheetId="7403">
        <row r="34">
          <cell r="A34" t="str">
            <v>Investments Govt Securities</v>
          </cell>
        </row>
      </sheetData>
      <sheetData sheetId="7404">
        <row r="34">
          <cell r="A34" t="str">
            <v>Investments Govt Securities</v>
          </cell>
        </row>
      </sheetData>
      <sheetData sheetId="7405">
        <row r="34">
          <cell r="A34" t="str">
            <v>Investments Govt Securities</v>
          </cell>
        </row>
      </sheetData>
      <sheetData sheetId="7406">
        <row r="34">
          <cell r="A34" t="str">
            <v>Investments Govt Securities</v>
          </cell>
        </row>
      </sheetData>
      <sheetData sheetId="7407">
        <row r="34">
          <cell r="A34" t="str">
            <v>Investments Govt Securities</v>
          </cell>
        </row>
      </sheetData>
      <sheetData sheetId="7408">
        <row r="34">
          <cell r="A34" t="str">
            <v>Investments Govt Securities</v>
          </cell>
        </row>
      </sheetData>
      <sheetData sheetId="7409">
        <row r="34">
          <cell r="A34" t="str">
            <v>Investments Govt Securities</v>
          </cell>
        </row>
      </sheetData>
      <sheetData sheetId="7410">
        <row r="34">
          <cell r="A34" t="str">
            <v>Investments Govt Securities</v>
          </cell>
        </row>
      </sheetData>
      <sheetData sheetId="7411">
        <row r="34">
          <cell r="A34" t="str">
            <v>Investments Govt Securities</v>
          </cell>
        </row>
      </sheetData>
      <sheetData sheetId="7412">
        <row r="34">
          <cell r="A34" t="str">
            <v>Investments Govt Securities</v>
          </cell>
        </row>
      </sheetData>
      <sheetData sheetId="7413">
        <row r="34">
          <cell r="A34" t="str">
            <v>Investments Govt Securities</v>
          </cell>
        </row>
      </sheetData>
      <sheetData sheetId="7414">
        <row r="34">
          <cell r="A34" t="str">
            <v>Investments Govt Securities</v>
          </cell>
        </row>
      </sheetData>
      <sheetData sheetId="7415">
        <row r="34">
          <cell r="A34" t="str">
            <v>Investments Govt Securities</v>
          </cell>
        </row>
      </sheetData>
      <sheetData sheetId="7416">
        <row r="34">
          <cell r="A34" t="str">
            <v>Investments Govt Securities</v>
          </cell>
        </row>
      </sheetData>
      <sheetData sheetId="7417">
        <row r="34">
          <cell r="A34" t="str">
            <v>Investments Govt Securities</v>
          </cell>
        </row>
      </sheetData>
      <sheetData sheetId="7418">
        <row r="34">
          <cell r="A34" t="str">
            <v>Investments Govt Securities</v>
          </cell>
        </row>
      </sheetData>
      <sheetData sheetId="7419">
        <row r="34">
          <cell r="A34" t="str">
            <v>Investments Govt Securities</v>
          </cell>
        </row>
      </sheetData>
      <sheetData sheetId="7420">
        <row r="34">
          <cell r="A34" t="str">
            <v>Investments Govt Securities</v>
          </cell>
        </row>
      </sheetData>
      <sheetData sheetId="7421">
        <row r="34">
          <cell r="A34" t="str">
            <v>Investments Govt Securities</v>
          </cell>
        </row>
      </sheetData>
      <sheetData sheetId="7422">
        <row r="34">
          <cell r="A34" t="str">
            <v>Investments Govt Securities</v>
          </cell>
        </row>
      </sheetData>
      <sheetData sheetId="7423">
        <row r="34">
          <cell r="A34" t="str">
            <v>Investments Govt Securities</v>
          </cell>
        </row>
      </sheetData>
      <sheetData sheetId="7424">
        <row r="34">
          <cell r="A34" t="str">
            <v>Investments Govt Securities</v>
          </cell>
        </row>
      </sheetData>
      <sheetData sheetId="7425">
        <row r="34">
          <cell r="A34" t="str">
            <v>Investments Govt Securities</v>
          </cell>
        </row>
      </sheetData>
      <sheetData sheetId="7426">
        <row r="34">
          <cell r="A34" t="str">
            <v>Investments Govt Securities</v>
          </cell>
        </row>
      </sheetData>
      <sheetData sheetId="7427">
        <row r="34">
          <cell r="A34" t="str">
            <v>Investments Govt Securities</v>
          </cell>
        </row>
      </sheetData>
      <sheetData sheetId="7428">
        <row r="34">
          <cell r="A34" t="str">
            <v>Investments Govt Securities</v>
          </cell>
        </row>
      </sheetData>
      <sheetData sheetId="7429">
        <row r="34">
          <cell r="A34" t="str">
            <v>Investments Govt Securities</v>
          </cell>
        </row>
      </sheetData>
      <sheetData sheetId="7430">
        <row r="34">
          <cell r="A34" t="str">
            <v>Investments Govt Securities</v>
          </cell>
        </row>
      </sheetData>
      <sheetData sheetId="7431">
        <row r="34">
          <cell r="A34" t="str">
            <v>Investments Govt Securities</v>
          </cell>
        </row>
      </sheetData>
      <sheetData sheetId="7432">
        <row r="34">
          <cell r="A34" t="str">
            <v>Investments Govt Securities</v>
          </cell>
        </row>
      </sheetData>
      <sheetData sheetId="7433">
        <row r="34">
          <cell r="A34" t="str">
            <v>Investments Govt Securities</v>
          </cell>
        </row>
      </sheetData>
      <sheetData sheetId="7434">
        <row r="34">
          <cell r="A34" t="str">
            <v>Investments Govt Securities</v>
          </cell>
        </row>
      </sheetData>
      <sheetData sheetId="7435">
        <row r="34">
          <cell r="A34" t="str">
            <v>Investments Govt Securities</v>
          </cell>
        </row>
      </sheetData>
      <sheetData sheetId="7436">
        <row r="34">
          <cell r="A34" t="str">
            <v>Investments Govt Securities</v>
          </cell>
        </row>
      </sheetData>
      <sheetData sheetId="7437">
        <row r="34">
          <cell r="A34" t="str">
            <v>Investments Govt Securities</v>
          </cell>
        </row>
      </sheetData>
      <sheetData sheetId="7438">
        <row r="34">
          <cell r="A34" t="str">
            <v>Investments Govt Securities</v>
          </cell>
        </row>
      </sheetData>
      <sheetData sheetId="7439">
        <row r="34">
          <cell r="A34" t="str">
            <v>Investments Govt Securities</v>
          </cell>
        </row>
      </sheetData>
      <sheetData sheetId="7440">
        <row r="34">
          <cell r="A34" t="str">
            <v>Investments Govt Securities</v>
          </cell>
        </row>
      </sheetData>
      <sheetData sheetId="7441">
        <row r="34">
          <cell r="A34" t="str">
            <v>Investments Govt Securities</v>
          </cell>
        </row>
      </sheetData>
      <sheetData sheetId="7442">
        <row r="34">
          <cell r="A34" t="str">
            <v>Investments Govt Securities</v>
          </cell>
        </row>
      </sheetData>
      <sheetData sheetId="7443">
        <row r="34">
          <cell r="A34" t="str">
            <v>Investments Govt Securities</v>
          </cell>
        </row>
      </sheetData>
      <sheetData sheetId="7444">
        <row r="34">
          <cell r="A34" t="str">
            <v>Investments Govt Securities</v>
          </cell>
        </row>
      </sheetData>
      <sheetData sheetId="7445">
        <row r="34">
          <cell r="A34" t="str">
            <v>Investments Govt Securities</v>
          </cell>
        </row>
      </sheetData>
      <sheetData sheetId="7446">
        <row r="34">
          <cell r="A34" t="str">
            <v>Investments Govt Securities</v>
          </cell>
        </row>
      </sheetData>
      <sheetData sheetId="7447">
        <row r="34">
          <cell r="A34" t="str">
            <v>Investments Govt Securities</v>
          </cell>
        </row>
      </sheetData>
      <sheetData sheetId="7448">
        <row r="34">
          <cell r="A34" t="str">
            <v>Investments Govt Securities</v>
          </cell>
        </row>
      </sheetData>
      <sheetData sheetId="7449">
        <row r="34">
          <cell r="A34" t="str">
            <v>Investments Govt Securities</v>
          </cell>
        </row>
      </sheetData>
      <sheetData sheetId="7450">
        <row r="34">
          <cell r="A34" t="str">
            <v>Investments Govt Securities</v>
          </cell>
        </row>
      </sheetData>
      <sheetData sheetId="7451">
        <row r="34">
          <cell r="A34" t="str">
            <v>Investments Govt Securities</v>
          </cell>
        </row>
      </sheetData>
      <sheetData sheetId="7452">
        <row r="34">
          <cell r="A34" t="str">
            <v>Investments Govt Securities</v>
          </cell>
        </row>
      </sheetData>
      <sheetData sheetId="7453">
        <row r="34">
          <cell r="A34" t="str">
            <v>Investments Govt Securities</v>
          </cell>
        </row>
      </sheetData>
      <sheetData sheetId="7454">
        <row r="34">
          <cell r="A34" t="str">
            <v>Investments Govt Securities</v>
          </cell>
        </row>
      </sheetData>
      <sheetData sheetId="7455">
        <row r="34">
          <cell r="A34" t="str">
            <v>Investments Govt Securities</v>
          </cell>
        </row>
      </sheetData>
      <sheetData sheetId="7456">
        <row r="34">
          <cell r="A34" t="str">
            <v>Investments Govt Securities</v>
          </cell>
        </row>
      </sheetData>
      <sheetData sheetId="7457">
        <row r="34">
          <cell r="A34" t="str">
            <v>Investments Govt Securities</v>
          </cell>
        </row>
      </sheetData>
      <sheetData sheetId="7458">
        <row r="34">
          <cell r="A34" t="str">
            <v>Investments Govt Securities</v>
          </cell>
        </row>
      </sheetData>
      <sheetData sheetId="7459">
        <row r="34">
          <cell r="A34" t="str">
            <v>Investments Govt Securities</v>
          </cell>
        </row>
      </sheetData>
      <sheetData sheetId="7460">
        <row r="34">
          <cell r="A34" t="str">
            <v>Investments Govt Securities</v>
          </cell>
        </row>
      </sheetData>
      <sheetData sheetId="7461">
        <row r="34">
          <cell r="A34" t="str">
            <v>Investments Govt Securities</v>
          </cell>
        </row>
      </sheetData>
      <sheetData sheetId="7462">
        <row r="34">
          <cell r="A34" t="str">
            <v>Investments Govt Securities</v>
          </cell>
        </row>
      </sheetData>
      <sheetData sheetId="7463">
        <row r="34">
          <cell r="A34" t="str">
            <v>Investments Govt Securities</v>
          </cell>
        </row>
      </sheetData>
      <sheetData sheetId="7464">
        <row r="34">
          <cell r="A34" t="str">
            <v>Investments Govt Securities</v>
          </cell>
        </row>
      </sheetData>
      <sheetData sheetId="7465">
        <row r="34">
          <cell r="A34" t="str">
            <v>Investments Govt Securities</v>
          </cell>
        </row>
      </sheetData>
      <sheetData sheetId="7466">
        <row r="34">
          <cell r="A34" t="str">
            <v>Investments Govt Securities</v>
          </cell>
        </row>
      </sheetData>
      <sheetData sheetId="7467">
        <row r="34">
          <cell r="A34" t="str">
            <v>Investments Govt Securities</v>
          </cell>
        </row>
      </sheetData>
      <sheetData sheetId="7468">
        <row r="34">
          <cell r="A34" t="str">
            <v>Investments Govt Securities</v>
          </cell>
        </row>
      </sheetData>
      <sheetData sheetId="7469">
        <row r="34">
          <cell r="A34" t="str">
            <v>Investments Govt Securities</v>
          </cell>
        </row>
      </sheetData>
      <sheetData sheetId="7470">
        <row r="34">
          <cell r="A34" t="str">
            <v>Investments Govt Securities</v>
          </cell>
        </row>
      </sheetData>
      <sheetData sheetId="7471">
        <row r="34">
          <cell r="A34" t="str">
            <v>Investments Govt Securities</v>
          </cell>
        </row>
      </sheetData>
      <sheetData sheetId="7472">
        <row r="34">
          <cell r="A34" t="str">
            <v>Investments Govt Securities</v>
          </cell>
        </row>
      </sheetData>
      <sheetData sheetId="7473">
        <row r="34">
          <cell r="A34" t="str">
            <v>Investments Govt Securities</v>
          </cell>
        </row>
      </sheetData>
      <sheetData sheetId="7474">
        <row r="34">
          <cell r="A34" t="str">
            <v>Investments Govt Securities</v>
          </cell>
        </row>
      </sheetData>
      <sheetData sheetId="7475">
        <row r="34">
          <cell r="A34" t="str">
            <v>Investments Govt Securities</v>
          </cell>
        </row>
      </sheetData>
      <sheetData sheetId="7476">
        <row r="34">
          <cell r="A34" t="str">
            <v>Investments Govt Securities</v>
          </cell>
        </row>
      </sheetData>
      <sheetData sheetId="7477">
        <row r="34">
          <cell r="A34" t="str">
            <v>Investments Govt Securities</v>
          </cell>
        </row>
      </sheetData>
      <sheetData sheetId="7478">
        <row r="34">
          <cell r="A34" t="str">
            <v>Investments Govt Securities</v>
          </cell>
        </row>
      </sheetData>
      <sheetData sheetId="7479">
        <row r="34">
          <cell r="A34" t="str">
            <v>Investments Govt Securities</v>
          </cell>
        </row>
      </sheetData>
      <sheetData sheetId="7480">
        <row r="34">
          <cell r="A34" t="str">
            <v>Investments Govt Securities</v>
          </cell>
        </row>
      </sheetData>
      <sheetData sheetId="7481">
        <row r="34">
          <cell r="A34" t="str">
            <v>Investments Govt Securities</v>
          </cell>
        </row>
      </sheetData>
      <sheetData sheetId="7482">
        <row r="34">
          <cell r="A34" t="str">
            <v>Investments Govt Securities</v>
          </cell>
        </row>
      </sheetData>
      <sheetData sheetId="7483">
        <row r="34">
          <cell r="A34" t="str">
            <v>Investments Govt Securities</v>
          </cell>
        </row>
      </sheetData>
      <sheetData sheetId="7484">
        <row r="34">
          <cell r="A34" t="str">
            <v>Investments Govt Securities</v>
          </cell>
        </row>
      </sheetData>
      <sheetData sheetId="7485">
        <row r="34">
          <cell r="A34" t="str">
            <v>Investments Govt Securities</v>
          </cell>
        </row>
      </sheetData>
      <sheetData sheetId="7486">
        <row r="34">
          <cell r="A34" t="str">
            <v>Investments Govt Securities</v>
          </cell>
        </row>
      </sheetData>
      <sheetData sheetId="7487">
        <row r="34">
          <cell r="A34" t="str">
            <v>Investments Govt Securities</v>
          </cell>
        </row>
      </sheetData>
      <sheetData sheetId="7488">
        <row r="34">
          <cell r="A34" t="str">
            <v>Investments Govt Securities</v>
          </cell>
        </row>
      </sheetData>
      <sheetData sheetId="7489">
        <row r="34">
          <cell r="A34" t="str">
            <v>Investments Govt Securities</v>
          </cell>
        </row>
      </sheetData>
      <sheetData sheetId="7490">
        <row r="34">
          <cell r="A34" t="str">
            <v>Investments Govt Securities</v>
          </cell>
        </row>
      </sheetData>
      <sheetData sheetId="7491">
        <row r="34">
          <cell r="A34" t="str">
            <v>Investments Govt Securities</v>
          </cell>
        </row>
      </sheetData>
      <sheetData sheetId="7492">
        <row r="34">
          <cell r="A34" t="str">
            <v>Investments Govt Securities</v>
          </cell>
        </row>
      </sheetData>
      <sheetData sheetId="7493">
        <row r="34">
          <cell r="A34" t="str">
            <v>Investments Govt Securities</v>
          </cell>
        </row>
      </sheetData>
      <sheetData sheetId="7494">
        <row r="34">
          <cell r="A34" t="str">
            <v>Investments Govt Securities</v>
          </cell>
        </row>
      </sheetData>
      <sheetData sheetId="7495">
        <row r="34">
          <cell r="A34" t="str">
            <v>Investments Govt Securities</v>
          </cell>
        </row>
      </sheetData>
      <sheetData sheetId="7496">
        <row r="34">
          <cell r="A34" t="str">
            <v>Investments Govt Securities</v>
          </cell>
        </row>
      </sheetData>
      <sheetData sheetId="7497">
        <row r="34">
          <cell r="A34" t="str">
            <v>Investments Govt Securities</v>
          </cell>
        </row>
      </sheetData>
      <sheetData sheetId="7498">
        <row r="34">
          <cell r="A34" t="str">
            <v>Investments Govt Securities</v>
          </cell>
        </row>
      </sheetData>
      <sheetData sheetId="7499">
        <row r="34">
          <cell r="A34" t="str">
            <v>Investments Govt Securities</v>
          </cell>
        </row>
      </sheetData>
      <sheetData sheetId="7500">
        <row r="34">
          <cell r="A34" t="str">
            <v>Investments Govt Securities</v>
          </cell>
        </row>
      </sheetData>
      <sheetData sheetId="7501">
        <row r="34">
          <cell r="A34" t="str">
            <v>Investments Govt Securities</v>
          </cell>
        </row>
      </sheetData>
      <sheetData sheetId="7502">
        <row r="34">
          <cell r="A34" t="str">
            <v>Investments Govt Securities</v>
          </cell>
        </row>
      </sheetData>
      <sheetData sheetId="7503">
        <row r="34">
          <cell r="A34" t="str">
            <v>Investments Govt Securities</v>
          </cell>
        </row>
      </sheetData>
      <sheetData sheetId="7504">
        <row r="34">
          <cell r="A34" t="str">
            <v>Investments Govt Securities</v>
          </cell>
        </row>
      </sheetData>
      <sheetData sheetId="7505">
        <row r="34">
          <cell r="A34" t="str">
            <v>Investments Govt Securities</v>
          </cell>
        </row>
      </sheetData>
      <sheetData sheetId="7506">
        <row r="34">
          <cell r="A34" t="str">
            <v>Investments Govt Securities</v>
          </cell>
        </row>
      </sheetData>
      <sheetData sheetId="7507">
        <row r="34">
          <cell r="A34" t="str">
            <v>Investments Govt Securities</v>
          </cell>
        </row>
      </sheetData>
      <sheetData sheetId="7508">
        <row r="34">
          <cell r="A34" t="str">
            <v>Investments Govt Securities</v>
          </cell>
        </row>
      </sheetData>
      <sheetData sheetId="7509">
        <row r="34">
          <cell r="A34" t="str">
            <v>Investments Govt Securities</v>
          </cell>
        </row>
      </sheetData>
      <sheetData sheetId="7510">
        <row r="34">
          <cell r="A34" t="str">
            <v>Investments Govt Securities</v>
          </cell>
        </row>
      </sheetData>
      <sheetData sheetId="7511">
        <row r="34">
          <cell r="A34" t="str">
            <v>Investments Govt Securities</v>
          </cell>
        </row>
      </sheetData>
      <sheetData sheetId="7512">
        <row r="34">
          <cell r="A34" t="str">
            <v>Investments Govt Securities</v>
          </cell>
        </row>
      </sheetData>
      <sheetData sheetId="7513">
        <row r="34">
          <cell r="A34" t="str">
            <v>Investments Govt Securities</v>
          </cell>
        </row>
      </sheetData>
      <sheetData sheetId="7514">
        <row r="34">
          <cell r="A34" t="str">
            <v>Investments Govt Securities</v>
          </cell>
        </row>
      </sheetData>
      <sheetData sheetId="7515">
        <row r="34">
          <cell r="A34" t="str">
            <v>Investments Govt Securities</v>
          </cell>
        </row>
      </sheetData>
      <sheetData sheetId="7516">
        <row r="34">
          <cell r="A34" t="str">
            <v>Investments Govt Securities</v>
          </cell>
        </row>
      </sheetData>
      <sheetData sheetId="7517">
        <row r="34">
          <cell r="A34" t="str">
            <v>Investments Govt Securities</v>
          </cell>
        </row>
      </sheetData>
      <sheetData sheetId="7518">
        <row r="34">
          <cell r="A34" t="str">
            <v>Investments Govt Securities</v>
          </cell>
        </row>
      </sheetData>
      <sheetData sheetId="7519">
        <row r="34">
          <cell r="A34" t="str">
            <v>Investments Govt Securities</v>
          </cell>
        </row>
      </sheetData>
      <sheetData sheetId="7520">
        <row r="34">
          <cell r="A34" t="str">
            <v>Investments Govt Securities</v>
          </cell>
        </row>
      </sheetData>
      <sheetData sheetId="7521">
        <row r="34">
          <cell r="A34" t="str">
            <v>Investments Govt Securities</v>
          </cell>
        </row>
      </sheetData>
      <sheetData sheetId="7522">
        <row r="34">
          <cell r="A34" t="str">
            <v>Investments Govt Securities</v>
          </cell>
        </row>
      </sheetData>
      <sheetData sheetId="7523">
        <row r="34">
          <cell r="A34" t="str">
            <v>Investments Govt Securities</v>
          </cell>
        </row>
      </sheetData>
      <sheetData sheetId="7524">
        <row r="34">
          <cell r="A34" t="str">
            <v>Investments Govt Securities</v>
          </cell>
        </row>
      </sheetData>
      <sheetData sheetId="7525">
        <row r="34">
          <cell r="A34" t="str">
            <v>Investments Govt Securities</v>
          </cell>
        </row>
      </sheetData>
      <sheetData sheetId="7526">
        <row r="34">
          <cell r="A34" t="str">
            <v>Investments Govt Securities</v>
          </cell>
        </row>
      </sheetData>
      <sheetData sheetId="7527">
        <row r="34">
          <cell r="A34" t="str">
            <v>Investments Govt Securities</v>
          </cell>
        </row>
      </sheetData>
      <sheetData sheetId="7528">
        <row r="34">
          <cell r="A34" t="str">
            <v>Investments Govt Securities</v>
          </cell>
        </row>
      </sheetData>
      <sheetData sheetId="7529">
        <row r="34">
          <cell r="A34" t="str">
            <v>Investments Govt Securities</v>
          </cell>
        </row>
      </sheetData>
      <sheetData sheetId="7530">
        <row r="34">
          <cell r="A34" t="str">
            <v>Investments Govt Securities</v>
          </cell>
        </row>
      </sheetData>
      <sheetData sheetId="7531">
        <row r="34">
          <cell r="A34" t="str">
            <v>Investments Govt Securities</v>
          </cell>
        </row>
      </sheetData>
      <sheetData sheetId="7532">
        <row r="34">
          <cell r="A34" t="str">
            <v>Investments Govt Securities</v>
          </cell>
        </row>
      </sheetData>
      <sheetData sheetId="7533">
        <row r="34">
          <cell r="A34" t="str">
            <v>Investments Govt Securities</v>
          </cell>
        </row>
      </sheetData>
      <sheetData sheetId="7534">
        <row r="34">
          <cell r="A34" t="str">
            <v>Investments Govt Securities</v>
          </cell>
        </row>
      </sheetData>
      <sheetData sheetId="7535">
        <row r="34">
          <cell r="A34" t="str">
            <v>Investments Govt Securities</v>
          </cell>
        </row>
      </sheetData>
      <sheetData sheetId="7536">
        <row r="34">
          <cell r="A34" t="str">
            <v>Investments Govt Securities</v>
          </cell>
        </row>
      </sheetData>
      <sheetData sheetId="7537">
        <row r="34">
          <cell r="A34" t="str">
            <v>Investments Govt Securities</v>
          </cell>
        </row>
      </sheetData>
      <sheetData sheetId="7538">
        <row r="34">
          <cell r="A34" t="str">
            <v>Investments Govt Securities</v>
          </cell>
        </row>
      </sheetData>
      <sheetData sheetId="7539">
        <row r="34">
          <cell r="A34" t="str">
            <v>Investments Govt Securities</v>
          </cell>
        </row>
      </sheetData>
      <sheetData sheetId="7540">
        <row r="34">
          <cell r="A34" t="str">
            <v>Investments Govt Securities</v>
          </cell>
        </row>
      </sheetData>
      <sheetData sheetId="7541">
        <row r="34">
          <cell r="A34" t="str">
            <v>Investments Govt Securities</v>
          </cell>
        </row>
      </sheetData>
      <sheetData sheetId="7542">
        <row r="34">
          <cell r="A34" t="str">
            <v>Investments Govt Securities</v>
          </cell>
        </row>
      </sheetData>
      <sheetData sheetId="7543">
        <row r="34">
          <cell r="A34" t="str">
            <v>Investments Govt Securities</v>
          </cell>
        </row>
      </sheetData>
      <sheetData sheetId="7544">
        <row r="34">
          <cell r="A34" t="str">
            <v>Investments Govt Securities</v>
          </cell>
        </row>
      </sheetData>
      <sheetData sheetId="7545">
        <row r="34">
          <cell r="A34" t="str">
            <v>Investments Govt Securities</v>
          </cell>
        </row>
      </sheetData>
      <sheetData sheetId="7546">
        <row r="34">
          <cell r="A34" t="str">
            <v>Investments Govt Securities</v>
          </cell>
        </row>
      </sheetData>
      <sheetData sheetId="7547">
        <row r="34">
          <cell r="A34" t="str">
            <v>Investments Govt Securities</v>
          </cell>
        </row>
      </sheetData>
      <sheetData sheetId="7548">
        <row r="34">
          <cell r="A34" t="str">
            <v>Investments Govt Securities</v>
          </cell>
        </row>
      </sheetData>
      <sheetData sheetId="7549">
        <row r="34">
          <cell r="A34" t="str">
            <v>Investments Govt Securities</v>
          </cell>
        </row>
      </sheetData>
      <sheetData sheetId="7550">
        <row r="34">
          <cell r="A34" t="str">
            <v>Investments Govt Securities</v>
          </cell>
        </row>
      </sheetData>
      <sheetData sheetId="7551">
        <row r="34">
          <cell r="A34" t="str">
            <v>Investments Govt Securities</v>
          </cell>
        </row>
      </sheetData>
      <sheetData sheetId="7552">
        <row r="34">
          <cell r="A34" t="str">
            <v>Investments Govt Securities</v>
          </cell>
        </row>
      </sheetData>
      <sheetData sheetId="7553">
        <row r="34">
          <cell r="A34" t="str">
            <v>Investments Govt Securities</v>
          </cell>
        </row>
      </sheetData>
      <sheetData sheetId="7554">
        <row r="34">
          <cell r="A34" t="str">
            <v>Investments Govt Securities</v>
          </cell>
        </row>
      </sheetData>
      <sheetData sheetId="7555">
        <row r="34">
          <cell r="A34" t="str">
            <v>Investments Govt Securities</v>
          </cell>
        </row>
      </sheetData>
      <sheetData sheetId="7556">
        <row r="34">
          <cell r="A34" t="str">
            <v>Investments Govt Securities</v>
          </cell>
        </row>
      </sheetData>
      <sheetData sheetId="7557">
        <row r="34">
          <cell r="A34" t="str">
            <v>Investments Govt Securities</v>
          </cell>
        </row>
      </sheetData>
      <sheetData sheetId="7558">
        <row r="34">
          <cell r="A34" t="str">
            <v>Investments Govt Securities</v>
          </cell>
        </row>
      </sheetData>
      <sheetData sheetId="7559">
        <row r="34">
          <cell r="A34" t="str">
            <v>Investments Govt Securities</v>
          </cell>
        </row>
      </sheetData>
      <sheetData sheetId="7560">
        <row r="34">
          <cell r="A34" t="str">
            <v>Investments Govt Securities</v>
          </cell>
        </row>
      </sheetData>
      <sheetData sheetId="7561">
        <row r="34">
          <cell r="A34" t="str">
            <v>Investments Govt Securities</v>
          </cell>
        </row>
      </sheetData>
      <sheetData sheetId="7562">
        <row r="34">
          <cell r="A34" t="str">
            <v>Investments Govt Securities</v>
          </cell>
        </row>
      </sheetData>
      <sheetData sheetId="7563">
        <row r="34">
          <cell r="A34" t="str">
            <v>Investments Govt Securities</v>
          </cell>
        </row>
      </sheetData>
      <sheetData sheetId="7564">
        <row r="34">
          <cell r="A34" t="str">
            <v>Investments Govt Securities</v>
          </cell>
        </row>
      </sheetData>
      <sheetData sheetId="7565">
        <row r="34">
          <cell r="A34" t="str">
            <v>Investments Govt Securities</v>
          </cell>
        </row>
      </sheetData>
      <sheetData sheetId="7566">
        <row r="34">
          <cell r="A34" t="str">
            <v>Investments Govt Securities</v>
          </cell>
        </row>
      </sheetData>
      <sheetData sheetId="7567">
        <row r="34">
          <cell r="A34" t="str">
            <v>Investments Govt Securities</v>
          </cell>
        </row>
      </sheetData>
      <sheetData sheetId="7568">
        <row r="34">
          <cell r="A34" t="str">
            <v>Investments Govt Securities</v>
          </cell>
        </row>
      </sheetData>
      <sheetData sheetId="7569">
        <row r="34">
          <cell r="A34" t="str">
            <v>Investments Govt Securities</v>
          </cell>
        </row>
      </sheetData>
      <sheetData sheetId="7570">
        <row r="34">
          <cell r="A34" t="str">
            <v>Investments Govt Securities</v>
          </cell>
        </row>
      </sheetData>
      <sheetData sheetId="7571">
        <row r="34">
          <cell r="A34" t="str">
            <v>Investments Govt Securities</v>
          </cell>
        </row>
      </sheetData>
      <sheetData sheetId="7572">
        <row r="34">
          <cell r="A34" t="str">
            <v>Investments Govt Securities</v>
          </cell>
        </row>
      </sheetData>
      <sheetData sheetId="7573">
        <row r="34">
          <cell r="A34" t="str">
            <v>Investments Govt Securities</v>
          </cell>
        </row>
      </sheetData>
      <sheetData sheetId="7574">
        <row r="34">
          <cell r="A34" t="str">
            <v>Investments Govt Securities</v>
          </cell>
        </row>
      </sheetData>
      <sheetData sheetId="7575">
        <row r="34">
          <cell r="A34" t="str">
            <v>Investments Govt Securities</v>
          </cell>
        </row>
      </sheetData>
      <sheetData sheetId="7576">
        <row r="34">
          <cell r="A34" t="str">
            <v>Investments Govt Securities</v>
          </cell>
        </row>
      </sheetData>
      <sheetData sheetId="7577">
        <row r="34">
          <cell r="A34" t="str">
            <v>Investments Govt Securities</v>
          </cell>
        </row>
      </sheetData>
      <sheetData sheetId="7578">
        <row r="34">
          <cell r="A34" t="str">
            <v>Investments Govt Securities</v>
          </cell>
        </row>
      </sheetData>
      <sheetData sheetId="7579">
        <row r="34">
          <cell r="A34" t="str">
            <v>Investments Govt Securities</v>
          </cell>
        </row>
      </sheetData>
      <sheetData sheetId="7580">
        <row r="34">
          <cell r="A34" t="str">
            <v>Investments Govt Securities</v>
          </cell>
        </row>
      </sheetData>
      <sheetData sheetId="7581">
        <row r="34">
          <cell r="A34" t="str">
            <v>Investments Govt Securities</v>
          </cell>
        </row>
      </sheetData>
      <sheetData sheetId="7582">
        <row r="34">
          <cell r="A34" t="str">
            <v>Investments Govt Securities</v>
          </cell>
        </row>
      </sheetData>
      <sheetData sheetId="7583">
        <row r="34">
          <cell r="A34" t="str">
            <v>Investments Govt Securities</v>
          </cell>
        </row>
      </sheetData>
      <sheetData sheetId="7584">
        <row r="34">
          <cell r="A34" t="str">
            <v>Investments Govt Securities</v>
          </cell>
        </row>
      </sheetData>
      <sheetData sheetId="7585">
        <row r="34">
          <cell r="A34" t="str">
            <v>Investments Govt Securities</v>
          </cell>
        </row>
      </sheetData>
      <sheetData sheetId="7586">
        <row r="34">
          <cell r="A34" t="str">
            <v>Investments Govt Securities</v>
          </cell>
        </row>
      </sheetData>
      <sheetData sheetId="7587">
        <row r="34">
          <cell r="A34" t="str">
            <v>Investments Govt Securities</v>
          </cell>
        </row>
      </sheetData>
      <sheetData sheetId="7588">
        <row r="34">
          <cell r="A34" t="str">
            <v>Investments Govt Securities</v>
          </cell>
        </row>
      </sheetData>
      <sheetData sheetId="7589">
        <row r="34">
          <cell r="A34" t="str">
            <v>Investments Govt Securities</v>
          </cell>
        </row>
      </sheetData>
      <sheetData sheetId="7590">
        <row r="34">
          <cell r="A34" t="str">
            <v>Investments Govt Securities</v>
          </cell>
        </row>
      </sheetData>
      <sheetData sheetId="7591">
        <row r="34">
          <cell r="A34" t="str">
            <v>Investments Govt Securities</v>
          </cell>
        </row>
      </sheetData>
      <sheetData sheetId="7592">
        <row r="34">
          <cell r="A34" t="str">
            <v>Investments Govt Securities</v>
          </cell>
        </row>
      </sheetData>
      <sheetData sheetId="7593">
        <row r="34">
          <cell r="A34" t="str">
            <v>Investments Govt Securities</v>
          </cell>
        </row>
      </sheetData>
      <sheetData sheetId="7594">
        <row r="34">
          <cell r="A34" t="str">
            <v>Investments Govt Securities</v>
          </cell>
        </row>
      </sheetData>
      <sheetData sheetId="7595">
        <row r="34">
          <cell r="A34" t="str">
            <v>Investments Govt Securities</v>
          </cell>
        </row>
      </sheetData>
      <sheetData sheetId="7596">
        <row r="34">
          <cell r="A34" t="str">
            <v>Investments Govt Securities</v>
          </cell>
        </row>
      </sheetData>
      <sheetData sheetId="7597">
        <row r="34">
          <cell r="A34" t="str">
            <v>Investments Govt Securities</v>
          </cell>
        </row>
      </sheetData>
      <sheetData sheetId="7598">
        <row r="34">
          <cell r="A34" t="str">
            <v>Investments Govt Securities</v>
          </cell>
        </row>
      </sheetData>
      <sheetData sheetId="7599">
        <row r="34">
          <cell r="A34" t="str">
            <v>Investments Govt Securities</v>
          </cell>
        </row>
      </sheetData>
      <sheetData sheetId="7600">
        <row r="34">
          <cell r="A34" t="str">
            <v>Investments Govt Securities</v>
          </cell>
        </row>
      </sheetData>
      <sheetData sheetId="7601">
        <row r="34">
          <cell r="A34" t="str">
            <v>Investments Govt Securities</v>
          </cell>
        </row>
      </sheetData>
      <sheetData sheetId="7602">
        <row r="34">
          <cell r="A34" t="str">
            <v>Investments Govt Securities</v>
          </cell>
        </row>
      </sheetData>
      <sheetData sheetId="7603">
        <row r="34">
          <cell r="A34" t="str">
            <v>Investments Govt Securities</v>
          </cell>
        </row>
      </sheetData>
      <sheetData sheetId="7604">
        <row r="34">
          <cell r="A34" t="str">
            <v>Investments Govt Securities</v>
          </cell>
        </row>
      </sheetData>
      <sheetData sheetId="7605">
        <row r="34">
          <cell r="A34" t="str">
            <v>Investments Govt Securities</v>
          </cell>
        </row>
      </sheetData>
      <sheetData sheetId="7606">
        <row r="34">
          <cell r="A34" t="str">
            <v>Investments Govt Securities</v>
          </cell>
        </row>
      </sheetData>
      <sheetData sheetId="7607">
        <row r="34">
          <cell r="A34" t="str">
            <v>Investments Govt Securities</v>
          </cell>
        </row>
      </sheetData>
      <sheetData sheetId="7608">
        <row r="34">
          <cell r="A34" t="str">
            <v>Investments Govt Securities</v>
          </cell>
        </row>
      </sheetData>
      <sheetData sheetId="7609">
        <row r="34">
          <cell r="A34" t="str">
            <v>Investments Govt Securities</v>
          </cell>
        </row>
      </sheetData>
      <sheetData sheetId="7610">
        <row r="34">
          <cell r="A34" t="str">
            <v>Investments Govt Securities</v>
          </cell>
        </row>
      </sheetData>
      <sheetData sheetId="7611">
        <row r="34">
          <cell r="A34" t="str">
            <v>Investments Govt Securities</v>
          </cell>
        </row>
      </sheetData>
      <sheetData sheetId="7612">
        <row r="34">
          <cell r="A34" t="str">
            <v>Investments Govt Securities</v>
          </cell>
        </row>
      </sheetData>
      <sheetData sheetId="7613">
        <row r="34">
          <cell r="A34" t="str">
            <v>Investments Govt Securities</v>
          </cell>
        </row>
      </sheetData>
      <sheetData sheetId="7614">
        <row r="34">
          <cell r="A34" t="str">
            <v>Investments Govt Securities</v>
          </cell>
        </row>
      </sheetData>
      <sheetData sheetId="7615">
        <row r="34">
          <cell r="A34" t="str">
            <v>Investments Govt Securities</v>
          </cell>
        </row>
      </sheetData>
      <sheetData sheetId="7616">
        <row r="34">
          <cell r="A34" t="str">
            <v>Investments Govt Securities</v>
          </cell>
        </row>
      </sheetData>
      <sheetData sheetId="7617">
        <row r="34">
          <cell r="A34" t="str">
            <v>Investments Govt Securities</v>
          </cell>
        </row>
      </sheetData>
      <sheetData sheetId="7618">
        <row r="34">
          <cell r="A34" t="str">
            <v>Investments Govt Securities</v>
          </cell>
        </row>
      </sheetData>
      <sheetData sheetId="7619">
        <row r="34">
          <cell r="A34" t="str">
            <v>Investments Govt Securities</v>
          </cell>
        </row>
      </sheetData>
      <sheetData sheetId="7620">
        <row r="34">
          <cell r="A34" t="str">
            <v>Investments Govt Securities</v>
          </cell>
        </row>
      </sheetData>
      <sheetData sheetId="7621">
        <row r="34">
          <cell r="A34" t="str">
            <v>Investments Govt Securities</v>
          </cell>
        </row>
      </sheetData>
      <sheetData sheetId="7622">
        <row r="34">
          <cell r="A34" t="str">
            <v>Investments Govt Securities</v>
          </cell>
        </row>
      </sheetData>
      <sheetData sheetId="7623">
        <row r="34">
          <cell r="A34" t="str">
            <v>Investments Govt Securities</v>
          </cell>
        </row>
      </sheetData>
      <sheetData sheetId="7624">
        <row r="34">
          <cell r="A34" t="str">
            <v>Investments Govt Securities</v>
          </cell>
        </row>
      </sheetData>
      <sheetData sheetId="7625">
        <row r="34">
          <cell r="A34" t="str">
            <v>Investments Govt Securities</v>
          </cell>
        </row>
      </sheetData>
      <sheetData sheetId="7626">
        <row r="34">
          <cell r="A34" t="str">
            <v>Investments Govt Securities</v>
          </cell>
        </row>
      </sheetData>
      <sheetData sheetId="7627">
        <row r="34">
          <cell r="A34" t="str">
            <v>Investments Govt Securities</v>
          </cell>
        </row>
      </sheetData>
      <sheetData sheetId="7628">
        <row r="34">
          <cell r="A34" t="str">
            <v>Investments Govt Securities</v>
          </cell>
        </row>
      </sheetData>
      <sheetData sheetId="7629">
        <row r="34">
          <cell r="A34" t="str">
            <v>Investments Govt Securities</v>
          </cell>
        </row>
      </sheetData>
      <sheetData sheetId="7630">
        <row r="34">
          <cell r="A34" t="str">
            <v>Investments Govt Securities</v>
          </cell>
        </row>
      </sheetData>
      <sheetData sheetId="7631">
        <row r="34">
          <cell r="A34" t="str">
            <v>Investments Govt Securities</v>
          </cell>
        </row>
      </sheetData>
      <sheetData sheetId="7632">
        <row r="34">
          <cell r="A34" t="str">
            <v>Investments Govt Securities</v>
          </cell>
        </row>
      </sheetData>
      <sheetData sheetId="7633">
        <row r="34">
          <cell r="A34" t="str">
            <v>Investments Govt Securities</v>
          </cell>
        </row>
      </sheetData>
      <sheetData sheetId="7634">
        <row r="34">
          <cell r="A34" t="str">
            <v>Investments Govt Securities</v>
          </cell>
        </row>
      </sheetData>
      <sheetData sheetId="7635">
        <row r="34">
          <cell r="A34" t="str">
            <v>Investments Govt Securities</v>
          </cell>
        </row>
      </sheetData>
      <sheetData sheetId="7636">
        <row r="34">
          <cell r="A34" t="str">
            <v>Investments Govt Securities</v>
          </cell>
        </row>
      </sheetData>
      <sheetData sheetId="7637">
        <row r="34">
          <cell r="A34" t="str">
            <v>Investments Govt Securities</v>
          </cell>
        </row>
      </sheetData>
      <sheetData sheetId="7638">
        <row r="34">
          <cell r="A34" t="str">
            <v>Investments Govt Securities</v>
          </cell>
        </row>
      </sheetData>
      <sheetData sheetId="7639">
        <row r="34">
          <cell r="A34" t="str">
            <v>Investments Govt Securities</v>
          </cell>
        </row>
      </sheetData>
      <sheetData sheetId="7640">
        <row r="34">
          <cell r="A34" t="str">
            <v>Investments Govt Securities</v>
          </cell>
        </row>
      </sheetData>
      <sheetData sheetId="7641">
        <row r="34">
          <cell r="A34" t="str">
            <v>Investments Govt Securities</v>
          </cell>
        </row>
      </sheetData>
      <sheetData sheetId="7642">
        <row r="34">
          <cell r="A34" t="str">
            <v>Investments Govt Securities</v>
          </cell>
        </row>
      </sheetData>
      <sheetData sheetId="7643">
        <row r="34">
          <cell r="A34" t="str">
            <v>Investments Govt Securities</v>
          </cell>
        </row>
      </sheetData>
      <sheetData sheetId="7644">
        <row r="34">
          <cell r="A34" t="str">
            <v>Investments Govt Securities</v>
          </cell>
        </row>
      </sheetData>
      <sheetData sheetId="7645">
        <row r="34">
          <cell r="A34" t="str">
            <v>Investments Govt Securities</v>
          </cell>
        </row>
      </sheetData>
      <sheetData sheetId="7646">
        <row r="34">
          <cell r="A34" t="str">
            <v>Investments Govt Securities</v>
          </cell>
        </row>
      </sheetData>
      <sheetData sheetId="7647">
        <row r="34">
          <cell r="A34" t="str">
            <v>Investments Govt Securities</v>
          </cell>
        </row>
      </sheetData>
      <sheetData sheetId="7648">
        <row r="34">
          <cell r="A34" t="str">
            <v>Investments Govt Securities</v>
          </cell>
        </row>
      </sheetData>
      <sheetData sheetId="7649">
        <row r="34">
          <cell r="A34" t="str">
            <v>Investments Govt Securities</v>
          </cell>
        </row>
      </sheetData>
      <sheetData sheetId="7650">
        <row r="34">
          <cell r="A34" t="str">
            <v>Investments Govt Securities</v>
          </cell>
        </row>
      </sheetData>
      <sheetData sheetId="7651">
        <row r="34">
          <cell r="A34" t="str">
            <v>Investments Govt Securities</v>
          </cell>
        </row>
      </sheetData>
      <sheetData sheetId="7652">
        <row r="34">
          <cell r="A34" t="str">
            <v>Investments Govt Securities</v>
          </cell>
        </row>
      </sheetData>
      <sheetData sheetId="7653">
        <row r="34">
          <cell r="A34" t="str">
            <v>Investments Govt Securities</v>
          </cell>
        </row>
      </sheetData>
      <sheetData sheetId="7654">
        <row r="34">
          <cell r="A34" t="str">
            <v>Investments Govt Securities</v>
          </cell>
        </row>
      </sheetData>
      <sheetData sheetId="7655">
        <row r="34">
          <cell r="A34" t="str">
            <v>Investments Govt Securities</v>
          </cell>
        </row>
      </sheetData>
      <sheetData sheetId="7656">
        <row r="34">
          <cell r="A34" t="str">
            <v>Investments Govt Securities</v>
          </cell>
        </row>
      </sheetData>
      <sheetData sheetId="7657">
        <row r="34">
          <cell r="A34" t="str">
            <v>Investments Govt Securities</v>
          </cell>
        </row>
      </sheetData>
      <sheetData sheetId="7658">
        <row r="34">
          <cell r="A34" t="str">
            <v>Investments Govt Securities</v>
          </cell>
        </row>
      </sheetData>
      <sheetData sheetId="7659">
        <row r="34">
          <cell r="A34" t="str">
            <v>Investments Govt Securities</v>
          </cell>
        </row>
      </sheetData>
      <sheetData sheetId="7660">
        <row r="34">
          <cell r="A34" t="str">
            <v>Investments Govt Securities</v>
          </cell>
        </row>
      </sheetData>
      <sheetData sheetId="7661">
        <row r="34">
          <cell r="A34" t="str">
            <v>Investments Govt Securities</v>
          </cell>
        </row>
      </sheetData>
      <sheetData sheetId="7662">
        <row r="34">
          <cell r="A34" t="str">
            <v>Investments Govt Securities</v>
          </cell>
        </row>
      </sheetData>
      <sheetData sheetId="7663">
        <row r="34">
          <cell r="A34" t="str">
            <v>Investments Govt Securities</v>
          </cell>
        </row>
      </sheetData>
      <sheetData sheetId="7664">
        <row r="34">
          <cell r="A34" t="str">
            <v>Investments Govt Securities</v>
          </cell>
        </row>
      </sheetData>
      <sheetData sheetId="7665">
        <row r="34">
          <cell r="A34" t="str">
            <v>Investments Govt Securities</v>
          </cell>
        </row>
      </sheetData>
      <sheetData sheetId="7666">
        <row r="34">
          <cell r="A34" t="str">
            <v>Investments Govt Securities</v>
          </cell>
        </row>
      </sheetData>
      <sheetData sheetId="7667">
        <row r="34">
          <cell r="A34" t="str">
            <v>Investments Govt Securities</v>
          </cell>
        </row>
      </sheetData>
      <sheetData sheetId="7668">
        <row r="34">
          <cell r="A34" t="str">
            <v>Investments Govt Securities</v>
          </cell>
        </row>
      </sheetData>
      <sheetData sheetId="7669">
        <row r="34">
          <cell r="A34" t="str">
            <v>Investments Govt Securities</v>
          </cell>
        </row>
      </sheetData>
      <sheetData sheetId="7670">
        <row r="34">
          <cell r="A34" t="str">
            <v>Investments Govt Securities</v>
          </cell>
        </row>
      </sheetData>
      <sheetData sheetId="7671">
        <row r="34">
          <cell r="A34" t="str">
            <v>Investments Govt Securities</v>
          </cell>
        </row>
      </sheetData>
      <sheetData sheetId="7672">
        <row r="34">
          <cell r="A34" t="str">
            <v>Investments Govt Securities</v>
          </cell>
        </row>
      </sheetData>
      <sheetData sheetId="7673">
        <row r="34">
          <cell r="A34" t="str">
            <v>Investments Govt Securities</v>
          </cell>
        </row>
      </sheetData>
      <sheetData sheetId="7674">
        <row r="34">
          <cell r="A34" t="str">
            <v>Investments Govt Securities</v>
          </cell>
        </row>
      </sheetData>
      <sheetData sheetId="7675">
        <row r="34">
          <cell r="A34" t="str">
            <v>Investments Govt Securities</v>
          </cell>
        </row>
      </sheetData>
      <sheetData sheetId="7676">
        <row r="34">
          <cell r="A34" t="str">
            <v>Investments Govt Securities</v>
          </cell>
        </row>
      </sheetData>
      <sheetData sheetId="7677">
        <row r="34">
          <cell r="A34" t="str">
            <v>Investments Govt Securities</v>
          </cell>
        </row>
      </sheetData>
      <sheetData sheetId="7678">
        <row r="34">
          <cell r="A34" t="str">
            <v>Investments Govt Securities</v>
          </cell>
        </row>
      </sheetData>
      <sheetData sheetId="7679">
        <row r="34">
          <cell r="A34" t="str">
            <v>Investments Govt Securities</v>
          </cell>
        </row>
      </sheetData>
      <sheetData sheetId="7680">
        <row r="34">
          <cell r="A34" t="str">
            <v>Investments Govt Securities</v>
          </cell>
        </row>
      </sheetData>
      <sheetData sheetId="7681">
        <row r="34">
          <cell r="A34" t="str">
            <v>Investments Govt Securities</v>
          </cell>
        </row>
      </sheetData>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ow r="34">
          <cell r="A34" t="str">
            <v>Investments Govt Securities</v>
          </cell>
        </row>
      </sheetData>
      <sheetData sheetId="7823">
        <row r="34">
          <cell r="A34" t="str">
            <v>Investments Govt Securities</v>
          </cell>
        </row>
      </sheetData>
      <sheetData sheetId="7824">
        <row r="34">
          <cell r="A34" t="str">
            <v>Investments Govt Securities</v>
          </cell>
        </row>
      </sheetData>
      <sheetData sheetId="7825">
        <row r="34">
          <cell r="A34" t="str">
            <v>Investments Govt Securities</v>
          </cell>
        </row>
      </sheetData>
      <sheetData sheetId="7826">
        <row r="34">
          <cell r="A34" t="str">
            <v>Investments Govt Securities</v>
          </cell>
        </row>
      </sheetData>
      <sheetData sheetId="7827">
        <row r="34">
          <cell r="A34" t="str">
            <v>Investments Govt Securities</v>
          </cell>
        </row>
      </sheetData>
      <sheetData sheetId="7828">
        <row r="34">
          <cell r="A34" t="str">
            <v>Investments Govt Securities</v>
          </cell>
        </row>
      </sheetData>
      <sheetData sheetId="7829">
        <row r="34">
          <cell r="A34" t="str">
            <v>Investments Govt Securities</v>
          </cell>
        </row>
      </sheetData>
      <sheetData sheetId="7830">
        <row r="34">
          <cell r="A34" t="str">
            <v>Investments Govt Securities</v>
          </cell>
        </row>
      </sheetData>
      <sheetData sheetId="7831">
        <row r="34">
          <cell r="A34" t="str">
            <v>Investments Govt Securities</v>
          </cell>
        </row>
      </sheetData>
      <sheetData sheetId="7832">
        <row r="34">
          <cell r="A34" t="str">
            <v>Investments Govt Securities</v>
          </cell>
        </row>
      </sheetData>
      <sheetData sheetId="7833">
        <row r="34">
          <cell r="A34" t="str">
            <v>Investments Govt Securities</v>
          </cell>
        </row>
      </sheetData>
      <sheetData sheetId="7834">
        <row r="34">
          <cell r="A34" t="str">
            <v>Investments Govt Securities</v>
          </cell>
        </row>
      </sheetData>
      <sheetData sheetId="7835">
        <row r="34">
          <cell r="A34" t="str">
            <v>Investments Govt Securities</v>
          </cell>
        </row>
      </sheetData>
      <sheetData sheetId="7836">
        <row r="34">
          <cell r="A34" t="str">
            <v>Investments Govt Securities</v>
          </cell>
        </row>
      </sheetData>
      <sheetData sheetId="7837">
        <row r="34">
          <cell r="A34" t="str">
            <v>Investments Govt Securities</v>
          </cell>
        </row>
      </sheetData>
      <sheetData sheetId="7838">
        <row r="34">
          <cell r="A34" t="str">
            <v>Investments Govt Securities</v>
          </cell>
        </row>
      </sheetData>
      <sheetData sheetId="7839">
        <row r="34">
          <cell r="A34" t="str">
            <v>Investments Govt Securities</v>
          </cell>
        </row>
      </sheetData>
      <sheetData sheetId="7840">
        <row r="34">
          <cell r="A34" t="str">
            <v>Investments Govt Securities</v>
          </cell>
        </row>
      </sheetData>
      <sheetData sheetId="7841">
        <row r="34">
          <cell r="A34" t="str">
            <v>Investments Govt Securities</v>
          </cell>
        </row>
      </sheetData>
      <sheetData sheetId="7842">
        <row r="34">
          <cell r="A34" t="str">
            <v>Investments Govt Securities</v>
          </cell>
        </row>
      </sheetData>
      <sheetData sheetId="7843">
        <row r="34">
          <cell r="A34" t="str">
            <v>Investments Govt Securities</v>
          </cell>
        </row>
      </sheetData>
      <sheetData sheetId="7844">
        <row r="34">
          <cell r="A34" t="str">
            <v>Investments Govt Securities</v>
          </cell>
        </row>
      </sheetData>
      <sheetData sheetId="7845">
        <row r="34">
          <cell r="A34" t="str">
            <v>Investments Govt Securities</v>
          </cell>
        </row>
      </sheetData>
      <sheetData sheetId="7846">
        <row r="34">
          <cell r="A34" t="str">
            <v>Investments Govt Securities</v>
          </cell>
        </row>
      </sheetData>
      <sheetData sheetId="7847">
        <row r="34">
          <cell r="A34" t="str">
            <v>Investments Govt Securities</v>
          </cell>
        </row>
      </sheetData>
      <sheetData sheetId="7848">
        <row r="34">
          <cell r="A34" t="str">
            <v>Investments Govt Securities</v>
          </cell>
        </row>
      </sheetData>
      <sheetData sheetId="7849">
        <row r="34">
          <cell r="A34" t="str">
            <v>Investments Govt Securities</v>
          </cell>
        </row>
      </sheetData>
      <sheetData sheetId="7850">
        <row r="34">
          <cell r="A34" t="str">
            <v>Investments Govt Securities</v>
          </cell>
        </row>
      </sheetData>
      <sheetData sheetId="7851">
        <row r="34">
          <cell r="A34" t="str">
            <v>Investments Govt Securities</v>
          </cell>
        </row>
      </sheetData>
      <sheetData sheetId="7852">
        <row r="34">
          <cell r="A34" t="str">
            <v>Investments Govt Securities</v>
          </cell>
        </row>
      </sheetData>
      <sheetData sheetId="7853">
        <row r="34">
          <cell r="A34" t="str">
            <v>Investments Govt Securities</v>
          </cell>
        </row>
      </sheetData>
      <sheetData sheetId="7854">
        <row r="34">
          <cell r="A34" t="str">
            <v>Investments Govt Securities</v>
          </cell>
        </row>
      </sheetData>
      <sheetData sheetId="7855">
        <row r="34">
          <cell r="A34" t="str">
            <v>Investments Govt Securities</v>
          </cell>
        </row>
      </sheetData>
      <sheetData sheetId="7856">
        <row r="34">
          <cell r="A34" t="str">
            <v>Investments Govt Securities</v>
          </cell>
        </row>
      </sheetData>
      <sheetData sheetId="7857">
        <row r="34">
          <cell r="A34" t="str">
            <v>Investments Govt Securities</v>
          </cell>
        </row>
      </sheetData>
      <sheetData sheetId="7858">
        <row r="34">
          <cell r="A34" t="str">
            <v>Investments Govt Securities</v>
          </cell>
        </row>
      </sheetData>
      <sheetData sheetId="7859">
        <row r="34">
          <cell r="A34" t="str">
            <v>Investments Govt Securities</v>
          </cell>
        </row>
      </sheetData>
      <sheetData sheetId="7860">
        <row r="34">
          <cell r="A34" t="str">
            <v>Investments Govt Securities</v>
          </cell>
        </row>
      </sheetData>
      <sheetData sheetId="7861">
        <row r="34">
          <cell r="A34" t="str">
            <v>Investments Govt Securities</v>
          </cell>
        </row>
      </sheetData>
      <sheetData sheetId="7862">
        <row r="34">
          <cell r="A34" t="str">
            <v>Investments Govt Securities</v>
          </cell>
        </row>
      </sheetData>
      <sheetData sheetId="7863">
        <row r="34">
          <cell r="A34" t="str">
            <v>Investments Govt Securities</v>
          </cell>
        </row>
      </sheetData>
      <sheetData sheetId="7864">
        <row r="34">
          <cell r="A34" t="str">
            <v>Investments Govt Securities</v>
          </cell>
        </row>
      </sheetData>
      <sheetData sheetId="7865">
        <row r="34">
          <cell r="A34" t="str">
            <v>Investments Govt Securities</v>
          </cell>
        </row>
      </sheetData>
      <sheetData sheetId="7866">
        <row r="34">
          <cell r="A34" t="str">
            <v>Investments Govt Securities</v>
          </cell>
        </row>
      </sheetData>
      <sheetData sheetId="7867">
        <row r="34">
          <cell r="A34" t="str">
            <v>Investments Govt Securities</v>
          </cell>
        </row>
      </sheetData>
      <sheetData sheetId="7868">
        <row r="34">
          <cell r="A34" t="str">
            <v>Investments Govt Securities</v>
          </cell>
        </row>
      </sheetData>
      <sheetData sheetId="7869">
        <row r="34">
          <cell r="A34" t="str">
            <v>Investments Govt Securities</v>
          </cell>
        </row>
      </sheetData>
      <sheetData sheetId="7870">
        <row r="34">
          <cell r="A34" t="str">
            <v>Investments Govt Securities</v>
          </cell>
        </row>
      </sheetData>
      <sheetData sheetId="7871">
        <row r="34">
          <cell r="A34" t="str">
            <v>Investments Govt Securities</v>
          </cell>
        </row>
      </sheetData>
      <sheetData sheetId="7872">
        <row r="34">
          <cell r="A34" t="str">
            <v>Investments Govt Securities</v>
          </cell>
        </row>
      </sheetData>
      <sheetData sheetId="7873">
        <row r="34">
          <cell r="A34" t="str">
            <v>Investments Govt Securities</v>
          </cell>
        </row>
      </sheetData>
      <sheetData sheetId="7874">
        <row r="34">
          <cell r="A34" t="str">
            <v>Investments Govt Securities</v>
          </cell>
        </row>
      </sheetData>
      <sheetData sheetId="7875">
        <row r="34">
          <cell r="A34" t="str">
            <v>Investments Govt Securities</v>
          </cell>
        </row>
      </sheetData>
      <sheetData sheetId="7876">
        <row r="34">
          <cell r="A34" t="str">
            <v>Investments Govt Securities</v>
          </cell>
        </row>
      </sheetData>
      <sheetData sheetId="7877">
        <row r="34">
          <cell r="A34" t="str">
            <v>Investments Govt Securities</v>
          </cell>
        </row>
      </sheetData>
      <sheetData sheetId="7878">
        <row r="34">
          <cell r="A34" t="str">
            <v>Investments Govt Securities</v>
          </cell>
        </row>
      </sheetData>
      <sheetData sheetId="7879">
        <row r="34">
          <cell r="A34" t="str">
            <v>Investments Govt Securities</v>
          </cell>
        </row>
      </sheetData>
      <sheetData sheetId="7880">
        <row r="34">
          <cell r="A34" t="str">
            <v>Investments Govt Securities</v>
          </cell>
        </row>
      </sheetData>
      <sheetData sheetId="7881">
        <row r="34">
          <cell r="A34" t="str">
            <v>Investments Govt Securities</v>
          </cell>
        </row>
      </sheetData>
      <sheetData sheetId="7882">
        <row r="34">
          <cell r="A34" t="str">
            <v>Investments Govt Securities</v>
          </cell>
        </row>
      </sheetData>
      <sheetData sheetId="7883">
        <row r="34">
          <cell r="A34" t="str">
            <v>Investments Govt Securities</v>
          </cell>
        </row>
      </sheetData>
      <sheetData sheetId="7884">
        <row r="34">
          <cell r="A34" t="str">
            <v>Investments Govt Securities</v>
          </cell>
        </row>
      </sheetData>
      <sheetData sheetId="7885">
        <row r="34">
          <cell r="A34" t="str">
            <v>Investments Govt Securities</v>
          </cell>
        </row>
      </sheetData>
      <sheetData sheetId="7886">
        <row r="34">
          <cell r="A34" t="str">
            <v>Investments Govt Securities</v>
          </cell>
        </row>
      </sheetData>
      <sheetData sheetId="7887">
        <row r="34">
          <cell r="A34" t="str">
            <v>Investments Govt Securities</v>
          </cell>
        </row>
      </sheetData>
      <sheetData sheetId="7888">
        <row r="34">
          <cell r="A34" t="str">
            <v>Investments Govt Securities</v>
          </cell>
        </row>
      </sheetData>
      <sheetData sheetId="7889">
        <row r="34">
          <cell r="A34" t="str">
            <v>Investments Govt Securities</v>
          </cell>
        </row>
      </sheetData>
      <sheetData sheetId="7890">
        <row r="34">
          <cell r="A34" t="str">
            <v>Investments Govt Securities</v>
          </cell>
        </row>
      </sheetData>
      <sheetData sheetId="7891">
        <row r="34">
          <cell r="A34" t="str">
            <v>Investments Govt Securities</v>
          </cell>
        </row>
      </sheetData>
      <sheetData sheetId="7892">
        <row r="34">
          <cell r="A34" t="str">
            <v>Investments Govt Securities</v>
          </cell>
        </row>
      </sheetData>
      <sheetData sheetId="7893">
        <row r="34">
          <cell r="A34" t="str">
            <v>Investments Govt Securities</v>
          </cell>
        </row>
      </sheetData>
      <sheetData sheetId="7894">
        <row r="34">
          <cell r="A34" t="str">
            <v>Investments Govt Securities</v>
          </cell>
        </row>
      </sheetData>
      <sheetData sheetId="7895">
        <row r="34">
          <cell r="A34" t="str">
            <v>Investments Govt Securities</v>
          </cell>
        </row>
      </sheetData>
      <sheetData sheetId="7896">
        <row r="34">
          <cell r="A34" t="str">
            <v>Investments Govt Securities</v>
          </cell>
        </row>
      </sheetData>
      <sheetData sheetId="7897">
        <row r="34">
          <cell r="A34" t="str">
            <v>Investments Govt Securities</v>
          </cell>
        </row>
      </sheetData>
      <sheetData sheetId="7898">
        <row r="34">
          <cell r="A34" t="str">
            <v>Investments Govt Securities</v>
          </cell>
        </row>
      </sheetData>
      <sheetData sheetId="7899">
        <row r="34">
          <cell r="A34" t="str">
            <v>Investments Govt Securities</v>
          </cell>
        </row>
      </sheetData>
      <sheetData sheetId="7900">
        <row r="34">
          <cell r="A34" t="str">
            <v>Investments Govt Securities</v>
          </cell>
        </row>
      </sheetData>
      <sheetData sheetId="7901">
        <row r="34">
          <cell r="A34" t="str">
            <v>Investments Govt Securities</v>
          </cell>
        </row>
      </sheetData>
      <sheetData sheetId="7902">
        <row r="34">
          <cell r="A34" t="str">
            <v>Investments Govt Securities</v>
          </cell>
        </row>
      </sheetData>
      <sheetData sheetId="7903">
        <row r="34">
          <cell r="A34" t="str">
            <v>Investments Govt Securities</v>
          </cell>
        </row>
      </sheetData>
      <sheetData sheetId="7904">
        <row r="34">
          <cell r="A34" t="str">
            <v>Investments Govt Securities</v>
          </cell>
        </row>
      </sheetData>
      <sheetData sheetId="7905">
        <row r="34">
          <cell r="A34" t="str">
            <v>Investments Govt Securities</v>
          </cell>
        </row>
      </sheetData>
      <sheetData sheetId="7906">
        <row r="34">
          <cell r="A34" t="str">
            <v>Investments Govt Securities</v>
          </cell>
        </row>
      </sheetData>
      <sheetData sheetId="7907">
        <row r="34">
          <cell r="A34" t="str">
            <v>Investments Govt Securities</v>
          </cell>
        </row>
      </sheetData>
      <sheetData sheetId="7908">
        <row r="34">
          <cell r="A34" t="str">
            <v>Investments Govt Securities</v>
          </cell>
        </row>
      </sheetData>
      <sheetData sheetId="7909">
        <row r="34">
          <cell r="A34" t="str">
            <v>Investments Govt Securities</v>
          </cell>
        </row>
      </sheetData>
      <sheetData sheetId="7910">
        <row r="34">
          <cell r="A34" t="str">
            <v>Investments Govt Securities</v>
          </cell>
        </row>
      </sheetData>
      <sheetData sheetId="7911">
        <row r="34">
          <cell r="A34" t="str">
            <v>Investments Govt Securities</v>
          </cell>
        </row>
      </sheetData>
      <sheetData sheetId="7912">
        <row r="34">
          <cell r="A34" t="str">
            <v>Investments Govt Securities</v>
          </cell>
        </row>
      </sheetData>
      <sheetData sheetId="7913">
        <row r="34">
          <cell r="A34" t="str">
            <v>Investments Govt Securities</v>
          </cell>
        </row>
      </sheetData>
      <sheetData sheetId="7914">
        <row r="34">
          <cell r="A34" t="str">
            <v>Investments Govt Securities</v>
          </cell>
        </row>
      </sheetData>
      <sheetData sheetId="7915">
        <row r="34">
          <cell r="A34" t="str">
            <v>Investments Govt Securities</v>
          </cell>
        </row>
      </sheetData>
      <sheetData sheetId="7916">
        <row r="34">
          <cell r="A34" t="str">
            <v>Investments Govt Securities</v>
          </cell>
        </row>
      </sheetData>
      <sheetData sheetId="7917">
        <row r="34">
          <cell r="A34" t="str">
            <v>Investments Govt Securities</v>
          </cell>
        </row>
      </sheetData>
      <sheetData sheetId="7918">
        <row r="34">
          <cell r="A34" t="str">
            <v>Investments Govt Securities</v>
          </cell>
        </row>
      </sheetData>
      <sheetData sheetId="7919">
        <row r="34">
          <cell r="A34" t="str">
            <v>Investments Govt Securities</v>
          </cell>
        </row>
      </sheetData>
      <sheetData sheetId="7920">
        <row r="34">
          <cell r="A34" t="str">
            <v>Investments Govt Securities</v>
          </cell>
        </row>
      </sheetData>
      <sheetData sheetId="7921">
        <row r="34">
          <cell r="A34" t="str">
            <v>Investments Govt Securities</v>
          </cell>
        </row>
      </sheetData>
      <sheetData sheetId="7922">
        <row r="34">
          <cell r="A34" t="str">
            <v>Investments Govt Securities</v>
          </cell>
        </row>
      </sheetData>
      <sheetData sheetId="7923">
        <row r="34">
          <cell r="A34" t="str">
            <v>Investments Govt Securities</v>
          </cell>
        </row>
      </sheetData>
      <sheetData sheetId="7924">
        <row r="34">
          <cell r="A34" t="str">
            <v>Investments Govt Securities</v>
          </cell>
        </row>
      </sheetData>
      <sheetData sheetId="7925">
        <row r="34">
          <cell r="A34" t="str">
            <v>Investments Govt Securities</v>
          </cell>
        </row>
      </sheetData>
      <sheetData sheetId="7926">
        <row r="34">
          <cell r="A34" t="str">
            <v>Investments Govt Securities</v>
          </cell>
        </row>
      </sheetData>
      <sheetData sheetId="7927">
        <row r="34">
          <cell r="A34" t="str">
            <v>Investments Govt Securities</v>
          </cell>
        </row>
      </sheetData>
      <sheetData sheetId="7928">
        <row r="34">
          <cell r="A34" t="str">
            <v>Investments Govt Securities</v>
          </cell>
        </row>
      </sheetData>
      <sheetData sheetId="7929">
        <row r="34">
          <cell r="A34" t="str">
            <v>Investments Govt Securities</v>
          </cell>
        </row>
      </sheetData>
      <sheetData sheetId="7930">
        <row r="34">
          <cell r="A34" t="str">
            <v>Investments Govt Securities</v>
          </cell>
        </row>
      </sheetData>
      <sheetData sheetId="7931">
        <row r="34">
          <cell r="A34" t="str">
            <v>Investments Govt Securities</v>
          </cell>
        </row>
      </sheetData>
      <sheetData sheetId="7932">
        <row r="34">
          <cell r="A34" t="str">
            <v>Investments Govt Securities</v>
          </cell>
        </row>
      </sheetData>
      <sheetData sheetId="7933">
        <row r="34">
          <cell r="A34" t="str">
            <v>Investments Govt Securities</v>
          </cell>
        </row>
      </sheetData>
      <sheetData sheetId="7934">
        <row r="34">
          <cell r="A34" t="str">
            <v>Investments Govt Securities</v>
          </cell>
        </row>
      </sheetData>
      <sheetData sheetId="7935">
        <row r="34">
          <cell r="A34" t="str">
            <v>Investments Govt Securities</v>
          </cell>
        </row>
      </sheetData>
      <sheetData sheetId="7936">
        <row r="34">
          <cell r="A34" t="str">
            <v>Investments Govt Securities</v>
          </cell>
        </row>
      </sheetData>
      <sheetData sheetId="7937">
        <row r="34">
          <cell r="A34" t="str">
            <v>Investments Govt Securities</v>
          </cell>
        </row>
      </sheetData>
      <sheetData sheetId="7938">
        <row r="34">
          <cell r="A34" t="str">
            <v>Investments Govt Securities</v>
          </cell>
        </row>
      </sheetData>
      <sheetData sheetId="7939">
        <row r="34">
          <cell r="A34" t="str">
            <v>Investments Govt Securities</v>
          </cell>
        </row>
      </sheetData>
      <sheetData sheetId="7940">
        <row r="34">
          <cell r="A34" t="str">
            <v>Investments Govt Securities</v>
          </cell>
        </row>
      </sheetData>
      <sheetData sheetId="7941">
        <row r="34">
          <cell r="A34" t="str">
            <v>Investments Govt Securities</v>
          </cell>
        </row>
      </sheetData>
      <sheetData sheetId="7942">
        <row r="34">
          <cell r="A34" t="str">
            <v>Investments Govt Securities</v>
          </cell>
        </row>
      </sheetData>
      <sheetData sheetId="7943">
        <row r="34">
          <cell r="A34" t="str">
            <v>Investments Govt Securities</v>
          </cell>
        </row>
      </sheetData>
      <sheetData sheetId="7944">
        <row r="34">
          <cell r="A34" t="str">
            <v>Investments Govt Securities</v>
          </cell>
        </row>
      </sheetData>
      <sheetData sheetId="7945">
        <row r="34">
          <cell r="A34" t="str">
            <v>Investments Govt Securities</v>
          </cell>
        </row>
      </sheetData>
      <sheetData sheetId="7946">
        <row r="34">
          <cell r="A34" t="str">
            <v>Investments Govt Securities</v>
          </cell>
        </row>
      </sheetData>
      <sheetData sheetId="7947">
        <row r="34">
          <cell r="A34" t="str">
            <v>Investments Govt Securities</v>
          </cell>
        </row>
      </sheetData>
      <sheetData sheetId="7948">
        <row r="34">
          <cell r="A34" t="str">
            <v>Investments Govt Securities</v>
          </cell>
        </row>
      </sheetData>
      <sheetData sheetId="7949">
        <row r="34">
          <cell r="A34" t="str">
            <v>Investments Govt Securities</v>
          </cell>
        </row>
      </sheetData>
      <sheetData sheetId="7950">
        <row r="34">
          <cell r="A34" t="str">
            <v>Investments Govt Securities</v>
          </cell>
        </row>
      </sheetData>
      <sheetData sheetId="7951">
        <row r="34">
          <cell r="A34" t="str">
            <v>Investments Govt Securities</v>
          </cell>
        </row>
      </sheetData>
      <sheetData sheetId="7952">
        <row r="34">
          <cell r="A34" t="str">
            <v>Investments Govt Securities</v>
          </cell>
        </row>
      </sheetData>
      <sheetData sheetId="7953">
        <row r="34">
          <cell r="A34" t="str">
            <v>Investments Govt Securities</v>
          </cell>
        </row>
      </sheetData>
      <sheetData sheetId="7954">
        <row r="34">
          <cell r="A34" t="str">
            <v>Investments Govt Securities</v>
          </cell>
        </row>
      </sheetData>
      <sheetData sheetId="7955">
        <row r="34">
          <cell r="A34" t="str">
            <v>Investments Govt Securities</v>
          </cell>
        </row>
      </sheetData>
      <sheetData sheetId="7956">
        <row r="34">
          <cell r="A34" t="str">
            <v>Investments Govt Securities</v>
          </cell>
        </row>
      </sheetData>
      <sheetData sheetId="7957">
        <row r="34">
          <cell r="A34" t="str">
            <v>Investments Govt Securities</v>
          </cell>
        </row>
      </sheetData>
      <sheetData sheetId="7958">
        <row r="34">
          <cell r="A34" t="str">
            <v>Investments Govt Securities</v>
          </cell>
        </row>
      </sheetData>
      <sheetData sheetId="7959">
        <row r="34">
          <cell r="A34" t="str">
            <v>Investments Govt Securities</v>
          </cell>
        </row>
      </sheetData>
      <sheetData sheetId="7960">
        <row r="34">
          <cell r="A34" t="str">
            <v>Investments Govt Securities</v>
          </cell>
        </row>
      </sheetData>
      <sheetData sheetId="7961">
        <row r="34">
          <cell r="A34" t="str">
            <v>Investments Govt Securities</v>
          </cell>
        </row>
      </sheetData>
      <sheetData sheetId="7962">
        <row r="34">
          <cell r="A34" t="str">
            <v>Investments Govt Securities</v>
          </cell>
        </row>
      </sheetData>
      <sheetData sheetId="7963">
        <row r="34">
          <cell r="A34" t="str">
            <v>Investments Govt Securities</v>
          </cell>
        </row>
      </sheetData>
      <sheetData sheetId="7964">
        <row r="34">
          <cell r="A34" t="str">
            <v>Investments Govt Securities</v>
          </cell>
        </row>
      </sheetData>
      <sheetData sheetId="7965">
        <row r="34">
          <cell r="A34" t="str">
            <v>Investments Govt Securities</v>
          </cell>
        </row>
      </sheetData>
      <sheetData sheetId="7966">
        <row r="34">
          <cell r="A34" t="str">
            <v>Investments Govt Securities</v>
          </cell>
        </row>
      </sheetData>
      <sheetData sheetId="7967">
        <row r="34">
          <cell r="A34" t="str">
            <v>Investments Govt Securities</v>
          </cell>
        </row>
      </sheetData>
      <sheetData sheetId="7968">
        <row r="34">
          <cell r="A34" t="str">
            <v>Investments Govt Securities</v>
          </cell>
        </row>
      </sheetData>
      <sheetData sheetId="7969">
        <row r="34">
          <cell r="A34" t="str">
            <v>Investments Govt Securities</v>
          </cell>
        </row>
      </sheetData>
      <sheetData sheetId="7970">
        <row r="34">
          <cell r="A34" t="str">
            <v>Investments Govt Securities</v>
          </cell>
        </row>
      </sheetData>
      <sheetData sheetId="7971">
        <row r="34">
          <cell r="A34" t="str">
            <v>Investments Govt Securities</v>
          </cell>
        </row>
      </sheetData>
      <sheetData sheetId="7972">
        <row r="34">
          <cell r="A34" t="str">
            <v>Investments Govt Securities</v>
          </cell>
        </row>
      </sheetData>
      <sheetData sheetId="7973">
        <row r="34">
          <cell r="A34" t="str">
            <v>Investments Govt Securities</v>
          </cell>
        </row>
      </sheetData>
      <sheetData sheetId="7974">
        <row r="34">
          <cell r="A34" t="str">
            <v>Investments Govt Securities</v>
          </cell>
        </row>
      </sheetData>
      <sheetData sheetId="7975">
        <row r="34">
          <cell r="A34" t="str">
            <v>Investments Govt Securities</v>
          </cell>
        </row>
      </sheetData>
      <sheetData sheetId="7976">
        <row r="34">
          <cell r="A34" t="str">
            <v>Investments Govt Securities</v>
          </cell>
        </row>
      </sheetData>
      <sheetData sheetId="7977">
        <row r="34">
          <cell r="A34" t="str">
            <v>Investments Govt Securities</v>
          </cell>
        </row>
      </sheetData>
      <sheetData sheetId="7978">
        <row r="34">
          <cell r="A34" t="str">
            <v>Investments Govt Securities</v>
          </cell>
        </row>
      </sheetData>
      <sheetData sheetId="7979">
        <row r="34">
          <cell r="A34" t="str">
            <v>Investments Govt Securities</v>
          </cell>
        </row>
      </sheetData>
      <sheetData sheetId="7980">
        <row r="34">
          <cell r="A34" t="str">
            <v>Investments Govt Securities</v>
          </cell>
        </row>
      </sheetData>
      <sheetData sheetId="7981">
        <row r="34">
          <cell r="A34" t="str">
            <v>Investments Govt Securities</v>
          </cell>
        </row>
      </sheetData>
      <sheetData sheetId="7982">
        <row r="34">
          <cell r="A34" t="str">
            <v>Investments Govt Securities</v>
          </cell>
        </row>
      </sheetData>
      <sheetData sheetId="7983">
        <row r="34">
          <cell r="A34" t="str">
            <v>Investments Govt Securities</v>
          </cell>
        </row>
      </sheetData>
      <sheetData sheetId="7984">
        <row r="34">
          <cell r="A34" t="str">
            <v>Investments Govt Securities</v>
          </cell>
        </row>
      </sheetData>
      <sheetData sheetId="7985">
        <row r="34">
          <cell r="A34" t="str">
            <v>Investments Govt Securities</v>
          </cell>
        </row>
      </sheetData>
      <sheetData sheetId="7986">
        <row r="34">
          <cell r="A34" t="str">
            <v>Investments Govt Securities</v>
          </cell>
        </row>
      </sheetData>
      <sheetData sheetId="7987">
        <row r="34">
          <cell r="A34" t="str">
            <v>Investments Govt Securities</v>
          </cell>
        </row>
      </sheetData>
      <sheetData sheetId="7988">
        <row r="34">
          <cell r="A34" t="str">
            <v>Investments Govt Securities</v>
          </cell>
        </row>
      </sheetData>
      <sheetData sheetId="7989">
        <row r="34">
          <cell r="A34" t="str">
            <v>Investments Govt Securities</v>
          </cell>
        </row>
      </sheetData>
      <sheetData sheetId="7990">
        <row r="34">
          <cell r="A34" t="str">
            <v>Investments Govt Securities</v>
          </cell>
        </row>
      </sheetData>
      <sheetData sheetId="7991">
        <row r="34">
          <cell r="A34" t="str">
            <v>Investments Govt Securities</v>
          </cell>
        </row>
      </sheetData>
      <sheetData sheetId="7992">
        <row r="34">
          <cell r="A34" t="str">
            <v>Investments Govt Securities</v>
          </cell>
        </row>
      </sheetData>
      <sheetData sheetId="7993">
        <row r="34">
          <cell r="A34" t="str">
            <v>Investments Govt Securities</v>
          </cell>
        </row>
      </sheetData>
      <sheetData sheetId="7994">
        <row r="34">
          <cell r="A34" t="str">
            <v>Investments Govt Securities</v>
          </cell>
        </row>
      </sheetData>
      <sheetData sheetId="7995">
        <row r="34">
          <cell r="A34" t="str">
            <v>Investments Govt Securities</v>
          </cell>
        </row>
      </sheetData>
      <sheetData sheetId="7996">
        <row r="34">
          <cell r="A34" t="str">
            <v>Investments Govt Securities</v>
          </cell>
        </row>
      </sheetData>
      <sheetData sheetId="7997">
        <row r="34">
          <cell r="A34" t="str">
            <v>Investments Govt Securities</v>
          </cell>
        </row>
      </sheetData>
      <sheetData sheetId="7998">
        <row r="34">
          <cell r="A34" t="str">
            <v>Investments Govt Securities</v>
          </cell>
        </row>
      </sheetData>
      <sheetData sheetId="7999">
        <row r="34">
          <cell r="A34" t="str">
            <v>Investments Govt Securities</v>
          </cell>
        </row>
      </sheetData>
      <sheetData sheetId="8000">
        <row r="34">
          <cell r="A34" t="str">
            <v>Investments Govt Securities</v>
          </cell>
        </row>
      </sheetData>
      <sheetData sheetId="8001">
        <row r="34">
          <cell r="A34" t="str">
            <v>Investments Govt Securities</v>
          </cell>
        </row>
      </sheetData>
      <sheetData sheetId="8002">
        <row r="34">
          <cell r="A34" t="str">
            <v>Investments Govt Securities</v>
          </cell>
        </row>
      </sheetData>
      <sheetData sheetId="8003">
        <row r="34">
          <cell r="A34" t="str">
            <v>Investments Govt Securities</v>
          </cell>
        </row>
      </sheetData>
      <sheetData sheetId="8004">
        <row r="34">
          <cell r="A34" t="str">
            <v>Investments Govt Securities</v>
          </cell>
        </row>
      </sheetData>
      <sheetData sheetId="8005">
        <row r="34">
          <cell r="A34" t="str">
            <v>Investments Govt Securities</v>
          </cell>
        </row>
      </sheetData>
      <sheetData sheetId="8006">
        <row r="34">
          <cell r="A34" t="str">
            <v>Investments Govt Securities</v>
          </cell>
        </row>
      </sheetData>
      <sheetData sheetId="8007">
        <row r="34">
          <cell r="A34" t="str">
            <v>Investments Govt Securities</v>
          </cell>
        </row>
      </sheetData>
      <sheetData sheetId="8008">
        <row r="34">
          <cell r="A34" t="str">
            <v>Investments Govt Securities</v>
          </cell>
        </row>
      </sheetData>
      <sheetData sheetId="8009">
        <row r="34">
          <cell r="A34" t="str">
            <v>Investments Govt Securities</v>
          </cell>
        </row>
      </sheetData>
      <sheetData sheetId="8010">
        <row r="34">
          <cell r="A34" t="str">
            <v>Investments Govt Securities</v>
          </cell>
        </row>
      </sheetData>
      <sheetData sheetId="8011">
        <row r="34">
          <cell r="A34" t="str">
            <v>Investments Govt Securities</v>
          </cell>
        </row>
      </sheetData>
      <sheetData sheetId="8012">
        <row r="34">
          <cell r="A34" t="str">
            <v>Investments Govt Securities</v>
          </cell>
        </row>
      </sheetData>
      <sheetData sheetId="8013">
        <row r="34">
          <cell r="A34" t="str">
            <v>Investments Govt Securities</v>
          </cell>
        </row>
      </sheetData>
      <sheetData sheetId="8014">
        <row r="34">
          <cell r="A34" t="str">
            <v>Investments Govt Securities</v>
          </cell>
        </row>
      </sheetData>
      <sheetData sheetId="8015">
        <row r="34">
          <cell r="A34" t="str">
            <v>Investments Govt Securities</v>
          </cell>
        </row>
      </sheetData>
      <sheetData sheetId="8016">
        <row r="34">
          <cell r="A34" t="str">
            <v>Investments Govt Securities</v>
          </cell>
        </row>
      </sheetData>
      <sheetData sheetId="8017">
        <row r="34">
          <cell r="A34" t="str">
            <v>Investments Govt Securities</v>
          </cell>
        </row>
      </sheetData>
      <sheetData sheetId="8018">
        <row r="34">
          <cell r="A34" t="str">
            <v>Investments Govt Securities</v>
          </cell>
        </row>
      </sheetData>
      <sheetData sheetId="8019">
        <row r="34">
          <cell r="A34" t="str">
            <v>Investments Govt Securities</v>
          </cell>
        </row>
      </sheetData>
      <sheetData sheetId="8020">
        <row r="34">
          <cell r="A34" t="str">
            <v>Investments Govt Securities</v>
          </cell>
        </row>
      </sheetData>
      <sheetData sheetId="8021">
        <row r="34">
          <cell r="A34" t="str">
            <v>Investments Govt Securities</v>
          </cell>
        </row>
      </sheetData>
      <sheetData sheetId="8022">
        <row r="34">
          <cell r="A34" t="str">
            <v>Investments Govt Securities</v>
          </cell>
        </row>
      </sheetData>
      <sheetData sheetId="8023">
        <row r="34">
          <cell r="A34" t="str">
            <v>Investments Govt Securities</v>
          </cell>
        </row>
      </sheetData>
      <sheetData sheetId="8024">
        <row r="34">
          <cell r="A34" t="str">
            <v>Investments Govt Securities</v>
          </cell>
        </row>
      </sheetData>
      <sheetData sheetId="8025">
        <row r="34">
          <cell r="A34" t="str">
            <v>Investments Govt Securities</v>
          </cell>
        </row>
      </sheetData>
      <sheetData sheetId="8026">
        <row r="34">
          <cell r="A34" t="str">
            <v>Investments Govt Securities</v>
          </cell>
        </row>
      </sheetData>
      <sheetData sheetId="8027">
        <row r="34">
          <cell r="A34" t="str">
            <v>Investments Govt Securities</v>
          </cell>
        </row>
      </sheetData>
      <sheetData sheetId="8028">
        <row r="34">
          <cell r="A34" t="str">
            <v>Investments Govt Securities</v>
          </cell>
        </row>
      </sheetData>
      <sheetData sheetId="8029">
        <row r="34">
          <cell r="A34" t="str">
            <v>Investments Govt Securities</v>
          </cell>
        </row>
      </sheetData>
      <sheetData sheetId="8030">
        <row r="34">
          <cell r="A34" t="str">
            <v>Investments Govt Securities</v>
          </cell>
        </row>
      </sheetData>
      <sheetData sheetId="8031">
        <row r="34">
          <cell r="A34" t="str">
            <v>Investments Govt Securities</v>
          </cell>
        </row>
      </sheetData>
      <sheetData sheetId="8032">
        <row r="34">
          <cell r="A34" t="str">
            <v>Investments Govt Securities</v>
          </cell>
        </row>
      </sheetData>
      <sheetData sheetId="8033">
        <row r="34">
          <cell r="A34" t="str">
            <v>Investments Govt Securities</v>
          </cell>
        </row>
      </sheetData>
      <sheetData sheetId="8034">
        <row r="34">
          <cell r="A34" t="str">
            <v>Investments Govt Securities</v>
          </cell>
        </row>
      </sheetData>
      <sheetData sheetId="8035">
        <row r="34">
          <cell r="A34" t="str">
            <v>Investments Govt Securities</v>
          </cell>
        </row>
      </sheetData>
      <sheetData sheetId="8036">
        <row r="34">
          <cell r="A34" t="str">
            <v>Investments Govt Securities</v>
          </cell>
        </row>
      </sheetData>
      <sheetData sheetId="8037">
        <row r="34">
          <cell r="A34" t="str">
            <v>Investments Govt Securities</v>
          </cell>
        </row>
      </sheetData>
      <sheetData sheetId="8038">
        <row r="34">
          <cell r="A34" t="str">
            <v>Investments Govt Securities</v>
          </cell>
        </row>
      </sheetData>
      <sheetData sheetId="8039">
        <row r="34">
          <cell r="A34" t="str">
            <v>Investments Govt Securities</v>
          </cell>
        </row>
      </sheetData>
      <sheetData sheetId="8040">
        <row r="34">
          <cell r="A34" t="str">
            <v>Investments Govt Securities</v>
          </cell>
        </row>
      </sheetData>
      <sheetData sheetId="8041">
        <row r="34">
          <cell r="A34" t="str">
            <v>Investments Govt Securities</v>
          </cell>
        </row>
      </sheetData>
      <sheetData sheetId="8042">
        <row r="34">
          <cell r="A34" t="str">
            <v>Investments Govt Securities</v>
          </cell>
        </row>
      </sheetData>
      <sheetData sheetId="8043">
        <row r="34">
          <cell r="A34" t="str">
            <v>Investments Govt Securities</v>
          </cell>
        </row>
      </sheetData>
      <sheetData sheetId="8044">
        <row r="34">
          <cell r="A34" t="str">
            <v>Investments Govt Securities</v>
          </cell>
        </row>
      </sheetData>
      <sheetData sheetId="8045">
        <row r="34">
          <cell r="A34" t="str">
            <v>Investments Govt Securities</v>
          </cell>
        </row>
      </sheetData>
      <sheetData sheetId="8046">
        <row r="34">
          <cell r="A34" t="str">
            <v>Investments Govt Securities</v>
          </cell>
        </row>
      </sheetData>
      <sheetData sheetId="8047">
        <row r="34">
          <cell r="A34" t="str">
            <v>Investments Govt Securities</v>
          </cell>
        </row>
      </sheetData>
      <sheetData sheetId="8048">
        <row r="34">
          <cell r="A34" t="str">
            <v>Investments Govt Securities</v>
          </cell>
        </row>
      </sheetData>
      <sheetData sheetId="8049">
        <row r="34">
          <cell r="A34" t="str">
            <v>Investments Govt Securities</v>
          </cell>
        </row>
      </sheetData>
      <sheetData sheetId="8050">
        <row r="34">
          <cell r="A34" t="str">
            <v>Investments Govt Securities</v>
          </cell>
        </row>
      </sheetData>
      <sheetData sheetId="8051">
        <row r="34">
          <cell r="A34" t="str">
            <v>Investments Govt Securities</v>
          </cell>
        </row>
      </sheetData>
      <sheetData sheetId="8052">
        <row r="34">
          <cell r="A34" t="str">
            <v>Investments Govt Securities</v>
          </cell>
        </row>
      </sheetData>
      <sheetData sheetId="8053">
        <row r="34">
          <cell r="A34" t="str">
            <v>Investments Govt Securities</v>
          </cell>
        </row>
      </sheetData>
      <sheetData sheetId="8054">
        <row r="34">
          <cell r="A34" t="str">
            <v>Investments Govt Securities</v>
          </cell>
        </row>
      </sheetData>
      <sheetData sheetId="8055">
        <row r="34">
          <cell r="A34" t="str">
            <v>Investments Govt Securities</v>
          </cell>
        </row>
      </sheetData>
      <sheetData sheetId="8056">
        <row r="34">
          <cell r="A34" t="str">
            <v>Investments Govt Securities</v>
          </cell>
        </row>
      </sheetData>
      <sheetData sheetId="8057">
        <row r="34">
          <cell r="A34" t="str">
            <v>Investments Govt Securities</v>
          </cell>
        </row>
      </sheetData>
      <sheetData sheetId="8058">
        <row r="34">
          <cell r="A34" t="str">
            <v>Investments Govt Securities</v>
          </cell>
        </row>
      </sheetData>
      <sheetData sheetId="8059">
        <row r="34">
          <cell r="A34" t="str">
            <v>Investments Govt Securities</v>
          </cell>
        </row>
      </sheetData>
      <sheetData sheetId="8060">
        <row r="34">
          <cell r="A34" t="str">
            <v>Investments Govt Securities</v>
          </cell>
        </row>
      </sheetData>
      <sheetData sheetId="8061">
        <row r="34">
          <cell r="A34" t="str">
            <v>Investments Govt Securities</v>
          </cell>
        </row>
      </sheetData>
      <sheetData sheetId="8062">
        <row r="34">
          <cell r="A34" t="str">
            <v>Investments Govt Securities</v>
          </cell>
        </row>
      </sheetData>
      <sheetData sheetId="8063">
        <row r="34">
          <cell r="A34" t="str">
            <v>Investments Govt Securities</v>
          </cell>
        </row>
      </sheetData>
      <sheetData sheetId="8064">
        <row r="34">
          <cell r="A34" t="str">
            <v>Investments Govt Securities</v>
          </cell>
        </row>
      </sheetData>
      <sheetData sheetId="8065">
        <row r="34">
          <cell r="A34" t="str">
            <v>Investments Govt Securities</v>
          </cell>
        </row>
      </sheetData>
      <sheetData sheetId="8066">
        <row r="34">
          <cell r="A34" t="str">
            <v>Investments Govt Securities</v>
          </cell>
        </row>
      </sheetData>
      <sheetData sheetId="8067">
        <row r="34">
          <cell r="A34" t="str">
            <v>Investments Govt Securities</v>
          </cell>
        </row>
      </sheetData>
      <sheetData sheetId="8068">
        <row r="34">
          <cell r="A34" t="str">
            <v>Investments Govt Securities</v>
          </cell>
        </row>
      </sheetData>
      <sheetData sheetId="8069">
        <row r="34">
          <cell r="A34" t="str">
            <v>Investments Govt Securities</v>
          </cell>
        </row>
      </sheetData>
      <sheetData sheetId="8070">
        <row r="34">
          <cell r="A34" t="str">
            <v>Investments Govt Securities</v>
          </cell>
        </row>
      </sheetData>
      <sheetData sheetId="8071">
        <row r="34">
          <cell r="A34" t="str">
            <v>Investments Govt Securities</v>
          </cell>
        </row>
      </sheetData>
      <sheetData sheetId="8072">
        <row r="34">
          <cell r="A34" t="str">
            <v>Investments Govt Securities</v>
          </cell>
        </row>
      </sheetData>
      <sheetData sheetId="8073">
        <row r="34">
          <cell r="A34" t="str">
            <v>Investments Govt Securities</v>
          </cell>
        </row>
      </sheetData>
      <sheetData sheetId="8074">
        <row r="34">
          <cell r="A34" t="str">
            <v>Investments Govt Securities</v>
          </cell>
        </row>
      </sheetData>
      <sheetData sheetId="8075">
        <row r="34">
          <cell r="A34" t="str">
            <v>Investments Govt Securities</v>
          </cell>
        </row>
      </sheetData>
      <sheetData sheetId="8076">
        <row r="34">
          <cell r="A34" t="str">
            <v>Investments Govt Securities</v>
          </cell>
        </row>
      </sheetData>
      <sheetData sheetId="8077">
        <row r="34">
          <cell r="A34" t="str">
            <v>Investments Govt Securities</v>
          </cell>
        </row>
      </sheetData>
      <sheetData sheetId="8078">
        <row r="34">
          <cell r="A34" t="str">
            <v>Investments Govt Securities</v>
          </cell>
        </row>
      </sheetData>
      <sheetData sheetId="8079">
        <row r="34">
          <cell r="A34" t="str">
            <v>Investments Govt Securities</v>
          </cell>
        </row>
      </sheetData>
      <sheetData sheetId="8080">
        <row r="34">
          <cell r="A34" t="str">
            <v>Investments Govt Securities</v>
          </cell>
        </row>
      </sheetData>
      <sheetData sheetId="8081">
        <row r="34">
          <cell r="A34" t="str">
            <v>Investments Govt Securities</v>
          </cell>
        </row>
      </sheetData>
      <sheetData sheetId="8082">
        <row r="34">
          <cell r="A34" t="str">
            <v>Investments Govt Securities</v>
          </cell>
        </row>
      </sheetData>
      <sheetData sheetId="8083">
        <row r="34">
          <cell r="A34" t="str">
            <v>Investments Govt Securities</v>
          </cell>
        </row>
      </sheetData>
      <sheetData sheetId="8084">
        <row r="34">
          <cell r="A34" t="str">
            <v>Investments Govt Securities</v>
          </cell>
        </row>
      </sheetData>
      <sheetData sheetId="8085">
        <row r="34">
          <cell r="A34" t="str">
            <v>Investments Govt Securities</v>
          </cell>
        </row>
      </sheetData>
      <sheetData sheetId="8086">
        <row r="34">
          <cell r="A34" t="str">
            <v>Investments Govt Securities</v>
          </cell>
        </row>
      </sheetData>
      <sheetData sheetId="8087">
        <row r="34">
          <cell r="A34" t="str">
            <v>Investments Govt Securities</v>
          </cell>
        </row>
      </sheetData>
      <sheetData sheetId="8088">
        <row r="34">
          <cell r="A34" t="str">
            <v>Investments Govt Securities</v>
          </cell>
        </row>
      </sheetData>
      <sheetData sheetId="8089">
        <row r="34">
          <cell r="A34" t="str">
            <v>Investments Govt Securities</v>
          </cell>
        </row>
      </sheetData>
      <sheetData sheetId="8090">
        <row r="34">
          <cell r="A34" t="str">
            <v>Investments Govt Securities</v>
          </cell>
        </row>
      </sheetData>
      <sheetData sheetId="8091">
        <row r="34">
          <cell r="A34" t="str">
            <v>Investments Govt Securities</v>
          </cell>
        </row>
      </sheetData>
      <sheetData sheetId="8092">
        <row r="34">
          <cell r="A34" t="str">
            <v>Investments Govt Securities</v>
          </cell>
        </row>
      </sheetData>
      <sheetData sheetId="8093">
        <row r="34">
          <cell r="A34" t="str">
            <v>Investments Govt Securities</v>
          </cell>
        </row>
      </sheetData>
      <sheetData sheetId="8094">
        <row r="34">
          <cell r="A34" t="str">
            <v>Investments Govt Securities</v>
          </cell>
        </row>
      </sheetData>
      <sheetData sheetId="8095">
        <row r="34">
          <cell r="A34" t="str">
            <v>Investments Govt Securities</v>
          </cell>
        </row>
      </sheetData>
      <sheetData sheetId="8096">
        <row r="34">
          <cell r="A34" t="str">
            <v>Investments Govt Securities</v>
          </cell>
        </row>
      </sheetData>
      <sheetData sheetId="8097">
        <row r="34">
          <cell r="A34" t="str">
            <v>Investments Govt Securities</v>
          </cell>
        </row>
      </sheetData>
      <sheetData sheetId="8098">
        <row r="34">
          <cell r="A34" t="str">
            <v>Investments Govt Securities</v>
          </cell>
        </row>
      </sheetData>
      <sheetData sheetId="8099">
        <row r="34">
          <cell r="A34" t="str">
            <v>Investments Govt Securities</v>
          </cell>
        </row>
      </sheetData>
      <sheetData sheetId="8100">
        <row r="34">
          <cell r="A34" t="str">
            <v>Investments Govt Securities</v>
          </cell>
        </row>
      </sheetData>
      <sheetData sheetId="8101"/>
      <sheetData sheetId="8102">
        <row r="34">
          <cell r="A34" t="str">
            <v>Investments Govt Securities</v>
          </cell>
        </row>
      </sheetData>
      <sheetData sheetId="8103"/>
      <sheetData sheetId="8104">
        <row r="34">
          <cell r="A34" t="str">
            <v>Investments Govt Securities</v>
          </cell>
        </row>
      </sheetData>
      <sheetData sheetId="8105">
        <row r="34">
          <cell r="A34" t="str">
            <v>Investments Govt Securities</v>
          </cell>
        </row>
      </sheetData>
      <sheetData sheetId="8106">
        <row r="34">
          <cell r="A34" t="str">
            <v>Investments Govt Securities</v>
          </cell>
        </row>
      </sheetData>
      <sheetData sheetId="8107">
        <row r="34">
          <cell r="A34" t="str">
            <v>Investments Govt Securities</v>
          </cell>
        </row>
      </sheetData>
      <sheetData sheetId="8108">
        <row r="34">
          <cell r="A34" t="str">
            <v>Investments Govt Securities</v>
          </cell>
        </row>
      </sheetData>
      <sheetData sheetId="8109">
        <row r="34">
          <cell r="A34" t="str">
            <v>Investments Govt Securities</v>
          </cell>
        </row>
      </sheetData>
      <sheetData sheetId="8110">
        <row r="34">
          <cell r="A34" t="str">
            <v>Investments Govt Securities</v>
          </cell>
        </row>
      </sheetData>
      <sheetData sheetId="8111">
        <row r="34">
          <cell r="A34" t="str">
            <v>Investments Govt Securities</v>
          </cell>
        </row>
      </sheetData>
      <sheetData sheetId="8112">
        <row r="34">
          <cell r="A34" t="str">
            <v>Investments Govt Securities</v>
          </cell>
        </row>
      </sheetData>
      <sheetData sheetId="8113">
        <row r="34">
          <cell r="A34" t="str">
            <v>Investments Govt Securities</v>
          </cell>
        </row>
      </sheetData>
      <sheetData sheetId="8114">
        <row r="34">
          <cell r="A34" t="str">
            <v>Investments Govt Securities</v>
          </cell>
        </row>
      </sheetData>
      <sheetData sheetId="8115">
        <row r="34">
          <cell r="A34" t="str">
            <v>Investments Govt Securities</v>
          </cell>
        </row>
      </sheetData>
      <sheetData sheetId="8116">
        <row r="34">
          <cell r="A34" t="str">
            <v>Investments Govt Securities</v>
          </cell>
        </row>
      </sheetData>
      <sheetData sheetId="8117">
        <row r="34">
          <cell r="A34" t="str">
            <v>Investments Govt Securities</v>
          </cell>
        </row>
      </sheetData>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ow r="34">
          <cell r="A34" t="str">
            <v>Investments Govt Securities</v>
          </cell>
        </row>
      </sheetData>
      <sheetData sheetId="8266">
        <row r="34">
          <cell r="A34" t="str">
            <v>Investments Govt Securities</v>
          </cell>
        </row>
      </sheetData>
      <sheetData sheetId="8267">
        <row r="34">
          <cell r="A34" t="str">
            <v>Investments Govt Securities</v>
          </cell>
        </row>
      </sheetData>
      <sheetData sheetId="8268">
        <row r="34">
          <cell r="A34" t="str">
            <v>Investments Govt Securities</v>
          </cell>
        </row>
      </sheetData>
      <sheetData sheetId="8269">
        <row r="34">
          <cell r="A34" t="str">
            <v>Investments Govt Securities</v>
          </cell>
        </row>
      </sheetData>
      <sheetData sheetId="8270">
        <row r="34">
          <cell r="A34" t="str">
            <v>Investments Govt Securities</v>
          </cell>
        </row>
      </sheetData>
      <sheetData sheetId="8271">
        <row r="34">
          <cell r="A34" t="str">
            <v>Investments Govt Securities</v>
          </cell>
        </row>
      </sheetData>
      <sheetData sheetId="8272">
        <row r="34">
          <cell r="A34" t="str">
            <v>Investments Govt Securities</v>
          </cell>
        </row>
      </sheetData>
      <sheetData sheetId="8273">
        <row r="34">
          <cell r="A34" t="str">
            <v>Investments Govt Securities</v>
          </cell>
        </row>
      </sheetData>
      <sheetData sheetId="8274">
        <row r="34">
          <cell r="A34" t="str">
            <v>Investments Govt Securities</v>
          </cell>
        </row>
      </sheetData>
      <sheetData sheetId="8275">
        <row r="34">
          <cell r="A34" t="str">
            <v>Investments Govt Securities</v>
          </cell>
        </row>
      </sheetData>
      <sheetData sheetId="8276">
        <row r="34">
          <cell r="A34" t="str">
            <v>Investments Govt Securities</v>
          </cell>
        </row>
      </sheetData>
      <sheetData sheetId="8277">
        <row r="34">
          <cell r="A34" t="str">
            <v>Investments Govt Securities</v>
          </cell>
        </row>
      </sheetData>
      <sheetData sheetId="8278">
        <row r="34">
          <cell r="A34" t="str">
            <v>Investments Govt Securities</v>
          </cell>
        </row>
      </sheetData>
      <sheetData sheetId="8279">
        <row r="34">
          <cell r="A34" t="str">
            <v>Investments Govt Securities</v>
          </cell>
        </row>
      </sheetData>
      <sheetData sheetId="8280">
        <row r="34">
          <cell r="A34" t="str">
            <v>Investments Govt Securities</v>
          </cell>
        </row>
      </sheetData>
      <sheetData sheetId="8281">
        <row r="34">
          <cell r="A34" t="str">
            <v>Investments Govt Securities</v>
          </cell>
        </row>
      </sheetData>
      <sheetData sheetId="8282">
        <row r="34">
          <cell r="A34" t="str">
            <v>Investments Govt Securities</v>
          </cell>
        </row>
      </sheetData>
      <sheetData sheetId="8283">
        <row r="34">
          <cell r="A34" t="str">
            <v>Investments Govt Securities</v>
          </cell>
        </row>
      </sheetData>
      <sheetData sheetId="8284">
        <row r="34">
          <cell r="A34" t="str">
            <v>Investments Govt Securities</v>
          </cell>
        </row>
      </sheetData>
      <sheetData sheetId="8285">
        <row r="34">
          <cell r="A34" t="str">
            <v>Investments Govt Securities</v>
          </cell>
        </row>
      </sheetData>
      <sheetData sheetId="8286">
        <row r="34">
          <cell r="A34" t="str">
            <v>Investments Govt Securities</v>
          </cell>
        </row>
      </sheetData>
      <sheetData sheetId="8287">
        <row r="34">
          <cell r="A34" t="str">
            <v>Investments Govt Securities</v>
          </cell>
        </row>
      </sheetData>
      <sheetData sheetId="8288">
        <row r="34">
          <cell r="A34" t="str">
            <v>Investments Govt Securities</v>
          </cell>
        </row>
      </sheetData>
      <sheetData sheetId="8289">
        <row r="34">
          <cell r="A34" t="str">
            <v>Investments Govt Securities</v>
          </cell>
        </row>
      </sheetData>
      <sheetData sheetId="8290">
        <row r="34">
          <cell r="A34" t="str">
            <v>Investments Govt Securities</v>
          </cell>
        </row>
      </sheetData>
      <sheetData sheetId="8291">
        <row r="34">
          <cell r="A34" t="str">
            <v>Investments Govt Securities</v>
          </cell>
        </row>
      </sheetData>
      <sheetData sheetId="8292">
        <row r="34">
          <cell r="A34" t="str">
            <v>Investments Govt Securities</v>
          </cell>
        </row>
      </sheetData>
      <sheetData sheetId="8293">
        <row r="34">
          <cell r="A34" t="str">
            <v>Investments Govt Securities</v>
          </cell>
        </row>
      </sheetData>
      <sheetData sheetId="8294">
        <row r="34">
          <cell r="A34" t="str">
            <v>Investments Govt Securities</v>
          </cell>
        </row>
      </sheetData>
      <sheetData sheetId="8295">
        <row r="34">
          <cell r="A34" t="str">
            <v>Investments Govt Securities</v>
          </cell>
        </row>
      </sheetData>
      <sheetData sheetId="8296">
        <row r="34">
          <cell r="A34" t="str">
            <v>Investments Govt Securities</v>
          </cell>
        </row>
      </sheetData>
      <sheetData sheetId="8297">
        <row r="34">
          <cell r="A34" t="str">
            <v>Investments Govt Securities</v>
          </cell>
        </row>
      </sheetData>
      <sheetData sheetId="8298">
        <row r="34">
          <cell r="A34" t="str">
            <v>Investments Govt Securities</v>
          </cell>
        </row>
      </sheetData>
      <sheetData sheetId="8299">
        <row r="34">
          <cell r="A34" t="str">
            <v>Investments Govt Securities</v>
          </cell>
        </row>
      </sheetData>
      <sheetData sheetId="8300">
        <row r="34">
          <cell r="A34" t="str">
            <v>Investments Govt Securities</v>
          </cell>
        </row>
      </sheetData>
      <sheetData sheetId="8301">
        <row r="34">
          <cell r="A34" t="str">
            <v>Investments Govt Securities</v>
          </cell>
        </row>
      </sheetData>
      <sheetData sheetId="8302">
        <row r="34">
          <cell r="A34" t="str">
            <v>Investments Govt Securities</v>
          </cell>
        </row>
      </sheetData>
      <sheetData sheetId="8303">
        <row r="34">
          <cell r="A34" t="str">
            <v>Investments Govt Securities</v>
          </cell>
        </row>
      </sheetData>
      <sheetData sheetId="8304">
        <row r="34">
          <cell r="A34" t="str">
            <v>Investments Govt Securities</v>
          </cell>
        </row>
      </sheetData>
      <sheetData sheetId="8305">
        <row r="34">
          <cell r="A34" t="str">
            <v>Investments Govt Securities</v>
          </cell>
        </row>
      </sheetData>
      <sheetData sheetId="8306">
        <row r="34">
          <cell r="A34" t="str">
            <v>Investments Govt Securities</v>
          </cell>
        </row>
      </sheetData>
      <sheetData sheetId="8307">
        <row r="34">
          <cell r="A34" t="str">
            <v>Investments Govt Securities</v>
          </cell>
        </row>
      </sheetData>
      <sheetData sheetId="8308">
        <row r="34">
          <cell r="A34" t="str">
            <v>Investments Govt Securities</v>
          </cell>
        </row>
      </sheetData>
      <sheetData sheetId="8309">
        <row r="34">
          <cell r="A34" t="str">
            <v>Investments Govt Securities</v>
          </cell>
        </row>
      </sheetData>
      <sheetData sheetId="8310">
        <row r="34">
          <cell r="A34" t="str">
            <v>Investments Govt Securities</v>
          </cell>
        </row>
      </sheetData>
      <sheetData sheetId="8311">
        <row r="34">
          <cell r="A34" t="str">
            <v>Investments Govt Securities</v>
          </cell>
        </row>
      </sheetData>
      <sheetData sheetId="8312">
        <row r="34">
          <cell r="A34" t="str">
            <v>Investments Govt Securities</v>
          </cell>
        </row>
      </sheetData>
      <sheetData sheetId="8313">
        <row r="34">
          <cell r="A34" t="str">
            <v>Investments Govt Securities</v>
          </cell>
        </row>
      </sheetData>
      <sheetData sheetId="8314">
        <row r="34">
          <cell r="A34" t="str">
            <v>Investments Govt Securities</v>
          </cell>
        </row>
      </sheetData>
      <sheetData sheetId="8315">
        <row r="34">
          <cell r="A34" t="str">
            <v>Investments Govt Securities</v>
          </cell>
        </row>
      </sheetData>
      <sheetData sheetId="8316">
        <row r="34">
          <cell r="A34" t="str">
            <v>Investments Govt Securities</v>
          </cell>
        </row>
      </sheetData>
      <sheetData sheetId="8317">
        <row r="34">
          <cell r="A34" t="str">
            <v>Investments Govt Securities</v>
          </cell>
        </row>
      </sheetData>
      <sheetData sheetId="8318">
        <row r="34">
          <cell r="A34" t="str">
            <v>Investments Govt Securities</v>
          </cell>
        </row>
      </sheetData>
      <sheetData sheetId="8319">
        <row r="34">
          <cell r="A34" t="str">
            <v>Investments Govt Securities</v>
          </cell>
        </row>
      </sheetData>
      <sheetData sheetId="8320">
        <row r="34">
          <cell r="A34" t="str">
            <v>Investments Govt Securities</v>
          </cell>
        </row>
      </sheetData>
      <sheetData sheetId="8321">
        <row r="34">
          <cell r="A34" t="str">
            <v>Investments Govt Securities</v>
          </cell>
        </row>
      </sheetData>
      <sheetData sheetId="8322">
        <row r="34">
          <cell r="A34" t="str">
            <v>Investments Govt Securities</v>
          </cell>
        </row>
      </sheetData>
      <sheetData sheetId="8323">
        <row r="34">
          <cell r="A34" t="str">
            <v>Investments Govt Securities</v>
          </cell>
        </row>
      </sheetData>
      <sheetData sheetId="8324"/>
      <sheetData sheetId="8325"/>
      <sheetData sheetId="8326"/>
      <sheetData sheetId="8327">
        <row r="34">
          <cell r="A34" t="str">
            <v>Investments Govt Securities</v>
          </cell>
        </row>
      </sheetData>
      <sheetData sheetId="8328">
        <row r="34">
          <cell r="A34" t="str">
            <v>Investments Govt Securities</v>
          </cell>
        </row>
      </sheetData>
      <sheetData sheetId="8329">
        <row r="34">
          <cell r="A34" t="str">
            <v>Investments Govt Securities</v>
          </cell>
        </row>
      </sheetData>
      <sheetData sheetId="8330">
        <row r="34">
          <cell r="A34" t="str">
            <v>Investments Govt Securities</v>
          </cell>
        </row>
      </sheetData>
      <sheetData sheetId="8331">
        <row r="34">
          <cell r="A34" t="str">
            <v>Investments Govt Securities</v>
          </cell>
        </row>
      </sheetData>
      <sheetData sheetId="8332">
        <row r="34">
          <cell r="A34" t="str">
            <v>Investments Govt Securities</v>
          </cell>
        </row>
      </sheetData>
      <sheetData sheetId="8333">
        <row r="34">
          <cell r="A34" t="str">
            <v>Investments Govt Securities</v>
          </cell>
        </row>
      </sheetData>
      <sheetData sheetId="8334">
        <row r="34">
          <cell r="A34" t="str">
            <v>Investments Govt Securities</v>
          </cell>
        </row>
      </sheetData>
      <sheetData sheetId="8335">
        <row r="34">
          <cell r="A34" t="str">
            <v>Investments Govt Securities</v>
          </cell>
        </row>
      </sheetData>
      <sheetData sheetId="8336">
        <row r="34">
          <cell r="A34" t="str">
            <v>Investments Govt Securities</v>
          </cell>
        </row>
      </sheetData>
      <sheetData sheetId="8337">
        <row r="34">
          <cell r="A34" t="str">
            <v>Investments Govt Securities</v>
          </cell>
        </row>
      </sheetData>
      <sheetData sheetId="8338">
        <row r="34">
          <cell r="A34" t="str">
            <v>Investments Govt Securities</v>
          </cell>
        </row>
      </sheetData>
      <sheetData sheetId="8339">
        <row r="34">
          <cell r="A34" t="str">
            <v>Investments Govt Securities</v>
          </cell>
        </row>
      </sheetData>
      <sheetData sheetId="8340">
        <row r="34">
          <cell r="A34" t="str">
            <v>Investments Govt Securities</v>
          </cell>
        </row>
      </sheetData>
      <sheetData sheetId="8341">
        <row r="34">
          <cell r="A34" t="str">
            <v>Investments Govt Securities</v>
          </cell>
        </row>
      </sheetData>
      <sheetData sheetId="8342">
        <row r="34">
          <cell r="A34" t="str">
            <v>Investments Govt Securities</v>
          </cell>
        </row>
      </sheetData>
      <sheetData sheetId="8343">
        <row r="34">
          <cell r="A34" t="str">
            <v>Investments Govt Securities</v>
          </cell>
        </row>
      </sheetData>
      <sheetData sheetId="8344">
        <row r="34">
          <cell r="A34" t="str">
            <v>Investments Govt Securities</v>
          </cell>
        </row>
      </sheetData>
      <sheetData sheetId="8345">
        <row r="34">
          <cell r="A34" t="str">
            <v>Investments Govt Securities</v>
          </cell>
        </row>
      </sheetData>
      <sheetData sheetId="8346">
        <row r="34">
          <cell r="A34" t="str">
            <v>Investments Govt Securities</v>
          </cell>
        </row>
      </sheetData>
      <sheetData sheetId="8347">
        <row r="34">
          <cell r="A34" t="str">
            <v>Investments Govt Securities</v>
          </cell>
        </row>
      </sheetData>
      <sheetData sheetId="8348">
        <row r="34">
          <cell r="A34" t="str">
            <v>Investments Govt Securities</v>
          </cell>
        </row>
      </sheetData>
      <sheetData sheetId="8349">
        <row r="34">
          <cell r="A34" t="str">
            <v>Investments Govt Securities</v>
          </cell>
        </row>
      </sheetData>
      <sheetData sheetId="8350">
        <row r="34">
          <cell r="A34" t="str">
            <v>Investments Govt Securities</v>
          </cell>
        </row>
      </sheetData>
      <sheetData sheetId="8351">
        <row r="34">
          <cell r="A34" t="str">
            <v>Investments Govt Securities</v>
          </cell>
        </row>
      </sheetData>
      <sheetData sheetId="8352">
        <row r="34">
          <cell r="A34" t="str">
            <v>Investments Govt Securities</v>
          </cell>
        </row>
      </sheetData>
      <sheetData sheetId="8353">
        <row r="34">
          <cell r="A34" t="str">
            <v>Investments Govt Securities</v>
          </cell>
        </row>
      </sheetData>
      <sheetData sheetId="8354">
        <row r="34">
          <cell r="A34" t="str">
            <v>Investments Govt Securities</v>
          </cell>
        </row>
      </sheetData>
      <sheetData sheetId="8355">
        <row r="34">
          <cell r="A34" t="str">
            <v>Investments Govt Securities</v>
          </cell>
        </row>
      </sheetData>
      <sheetData sheetId="8356">
        <row r="34">
          <cell r="A34" t="str">
            <v>Investments Govt Securities</v>
          </cell>
        </row>
      </sheetData>
      <sheetData sheetId="8357">
        <row r="34">
          <cell r="A34" t="str">
            <v>Investments Govt Securities</v>
          </cell>
        </row>
      </sheetData>
      <sheetData sheetId="8358">
        <row r="34">
          <cell r="A34" t="str">
            <v>Investments Govt Securities</v>
          </cell>
        </row>
      </sheetData>
      <sheetData sheetId="8359">
        <row r="34">
          <cell r="A34" t="str">
            <v>Investments Govt Securities</v>
          </cell>
        </row>
      </sheetData>
      <sheetData sheetId="8360">
        <row r="34">
          <cell r="A34" t="str">
            <v>Investments Govt Securities</v>
          </cell>
        </row>
      </sheetData>
      <sheetData sheetId="8361">
        <row r="34">
          <cell r="A34" t="str">
            <v>Investments Govt Securities</v>
          </cell>
        </row>
      </sheetData>
      <sheetData sheetId="8362">
        <row r="34">
          <cell r="A34" t="str">
            <v>Investments Govt Securities</v>
          </cell>
        </row>
      </sheetData>
      <sheetData sheetId="8363">
        <row r="34">
          <cell r="A34" t="str">
            <v>Investments Govt Securities</v>
          </cell>
        </row>
      </sheetData>
      <sheetData sheetId="8364">
        <row r="34">
          <cell r="A34" t="str">
            <v>Investments Govt Securities</v>
          </cell>
        </row>
      </sheetData>
      <sheetData sheetId="8365">
        <row r="34">
          <cell r="A34" t="str">
            <v>Investments Govt Securities</v>
          </cell>
        </row>
      </sheetData>
      <sheetData sheetId="8366">
        <row r="34">
          <cell r="A34" t="str">
            <v>Investments Govt Securities</v>
          </cell>
        </row>
      </sheetData>
      <sheetData sheetId="8367">
        <row r="34">
          <cell r="A34" t="str">
            <v>Investments Govt Securities</v>
          </cell>
        </row>
      </sheetData>
      <sheetData sheetId="8368">
        <row r="34">
          <cell r="A34" t="str">
            <v>Investments Govt Securities</v>
          </cell>
        </row>
      </sheetData>
      <sheetData sheetId="8369">
        <row r="34">
          <cell r="A34" t="str">
            <v>Investments Govt Securities</v>
          </cell>
        </row>
      </sheetData>
      <sheetData sheetId="8370">
        <row r="34">
          <cell r="A34" t="str">
            <v>Investments Govt Securities</v>
          </cell>
        </row>
      </sheetData>
      <sheetData sheetId="8371">
        <row r="34">
          <cell r="A34" t="str">
            <v>Investments Govt Securities</v>
          </cell>
        </row>
      </sheetData>
      <sheetData sheetId="8372">
        <row r="34">
          <cell r="A34" t="str">
            <v>Investments Govt Securities</v>
          </cell>
        </row>
      </sheetData>
      <sheetData sheetId="8373">
        <row r="34">
          <cell r="A34" t="str">
            <v>Investments Govt Securities</v>
          </cell>
        </row>
      </sheetData>
      <sheetData sheetId="8374">
        <row r="34">
          <cell r="A34" t="str">
            <v>Investments Govt Securities</v>
          </cell>
        </row>
      </sheetData>
      <sheetData sheetId="8375">
        <row r="34">
          <cell r="A34" t="str">
            <v>Investments Govt Securities</v>
          </cell>
        </row>
      </sheetData>
      <sheetData sheetId="8376">
        <row r="34">
          <cell r="A34" t="str">
            <v>Investments Govt Securities</v>
          </cell>
        </row>
      </sheetData>
      <sheetData sheetId="8377">
        <row r="34">
          <cell r="A34" t="str">
            <v>Investments Govt Securities</v>
          </cell>
        </row>
      </sheetData>
      <sheetData sheetId="8378">
        <row r="34">
          <cell r="A34" t="str">
            <v>Investments Govt Securities</v>
          </cell>
        </row>
      </sheetData>
      <sheetData sheetId="8379">
        <row r="34">
          <cell r="A34" t="str">
            <v>Investments Govt Securities</v>
          </cell>
        </row>
      </sheetData>
      <sheetData sheetId="8380">
        <row r="34">
          <cell r="A34" t="str">
            <v>Investments Govt Securities</v>
          </cell>
        </row>
      </sheetData>
      <sheetData sheetId="8381">
        <row r="34">
          <cell r="A34" t="str">
            <v>Investments Govt Securities</v>
          </cell>
        </row>
      </sheetData>
      <sheetData sheetId="8382">
        <row r="34">
          <cell r="A34" t="str">
            <v>Investments Govt Securities</v>
          </cell>
        </row>
      </sheetData>
      <sheetData sheetId="8383">
        <row r="34">
          <cell r="A34" t="str">
            <v>Investments Govt Securities</v>
          </cell>
        </row>
      </sheetData>
      <sheetData sheetId="8384">
        <row r="34">
          <cell r="A34" t="str">
            <v>Investments Govt Securities</v>
          </cell>
        </row>
      </sheetData>
      <sheetData sheetId="8385">
        <row r="34">
          <cell r="A34" t="str">
            <v>Investments Govt Securities</v>
          </cell>
        </row>
      </sheetData>
      <sheetData sheetId="8386">
        <row r="34">
          <cell r="A34" t="str">
            <v>Investments Govt Securities</v>
          </cell>
        </row>
      </sheetData>
      <sheetData sheetId="8387">
        <row r="34">
          <cell r="A34" t="str">
            <v>Investments Govt Securities</v>
          </cell>
        </row>
      </sheetData>
      <sheetData sheetId="8388">
        <row r="34">
          <cell r="A34" t="str">
            <v>Investments Govt Securities</v>
          </cell>
        </row>
      </sheetData>
      <sheetData sheetId="8389">
        <row r="34">
          <cell r="A34" t="str">
            <v>Investments Govt Securities</v>
          </cell>
        </row>
      </sheetData>
      <sheetData sheetId="8390">
        <row r="34">
          <cell r="A34" t="str">
            <v>Investments Govt Securities</v>
          </cell>
        </row>
      </sheetData>
      <sheetData sheetId="8391">
        <row r="34">
          <cell r="A34" t="str">
            <v>Investments Govt Securities</v>
          </cell>
        </row>
      </sheetData>
      <sheetData sheetId="8392"/>
      <sheetData sheetId="8393"/>
      <sheetData sheetId="8394">
        <row r="34">
          <cell r="A34" t="str">
            <v>Investments Govt Securities</v>
          </cell>
        </row>
      </sheetData>
      <sheetData sheetId="8395"/>
      <sheetData sheetId="8396">
        <row r="34">
          <cell r="A34" t="str">
            <v>Investments Govt Securities</v>
          </cell>
        </row>
      </sheetData>
      <sheetData sheetId="8397"/>
      <sheetData sheetId="8398"/>
      <sheetData sheetId="8399">
        <row r="34">
          <cell r="A34" t="str">
            <v>Investments Govt Securities</v>
          </cell>
        </row>
      </sheetData>
      <sheetData sheetId="8400"/>
      <sheetData sheetId="8401">
        <row r="34">
          <cell r="A34" t="str">
            <v>Investments Govt Securities</v>
          </cell>
        </row>
      </sheetData>
      <sheetData sheetId="8402"/>
      <sheetData sheetId="8403"/>
      <sheetData sheetId="8404">
        <row r="34">
          <cell r="A34" t="str">
            <v>Investments Govt Securities</v>
          </cell>
        </row>
      </sheetData>
      <sheetData sheetId="8405">
        <row r="34">
          <cell r="A34" t="str">
            <v>Investments Govt Securities</v>
          </cell>
        </row>
      </sheetData>
      <sheetData sheetId="8406">
        <row r="34">
          <cell r="A34" t="str">
            <v>Investments Govt Securities</v>
          </cell>
        </row>
      </sheetData>
      <sheetData sheetId="8407">
        <row r="34">
          <cell r="A34" t="str">
            <v>Investments Govt Securities</v>
          </cell>
        </row>
      </sheetData>
      <sheetData sheetId="8408">
        <row r="34">
          <cell r="A34" t="str">
            <v>Investments Govt Securities</v>
          </cell>
        </row>
      </sheetData>
      <sheetData sheetId="8409">
        <row r="34">
          <cell r="A34" t="str">
            <v>Investments Govt Securities</v>
          </cell>
        </row>
      </sheetData>
      <sheetData sheetId="8410">
        <row r="34">
          <cell r="A34" t="str">
            <v>Investments Govt Securities</v>
          </cell>
        </row>
      </sheetData>
      <sheetData sheetId="8411">
        <row r="34">
          <cell r="A34" t="str">
            <v>Investments Govt Securities</v>
          </cell>
        </row>
      </sheetData>
      <sheetData sheetId="8412">
        <row r="34">
          <cell r="A34" t="str">
            <v>Investments Govt Securities</v>
          </cell>
        </row>
      </sheetData>
      <sheetData sheetId="8413">
        <row r="34">
          <cell r="A34" t="str">
            <v>Investments Govt Securities</v>
          </cell>
        </row>
      </sheetData>
      <sheetData sheetId="8414">
        <row r="34">
          <cell r="A34" t="str">
            <v>Investments Govt Securities</v>
          </cell>
        </row>
      </sheetData>
      <sheetData sheetId="8415">
        <row r="34">
          <cell r="A34" t="str">
            <v>Investments Govt Securities</v>
          </cell>
        </row>
      </sheetData>
      <sheetData sheetId="8416">
        <row r="34">
          <cell r="A34" t="str">
            <v>Investments Govt Securities</v>
          </cell>
        </row>
      </sheetData>
      <sheetData sheetId="8417">
        <row r="34">
          <cell r="A34" t="str">
            <v>Investments Govt Securities</v>
          </cell>
        </row>
      </sheetData>
      <sheetData sheetId="8418">
        <row r="34">
          <cell r="A34" t="str">
            <v>Investments Govt Securities</v>
          </cell>
        </row>
      </sheetData>
      <sheetData sheetId="8419">
        <row r="34">
          <cell r="A34" t="str">
            <v>Investments Govt Securities</v>
          </cell>
        </row>
      </sheetData>
      <sheetData sheetId="8420">
        <row r="34">
          <cell r="A34" t="str">
            <v>Investments Govt Securities</v>
          </cell>
        </row>
      </sheetData>
      <sheetData sheetId="8421">
        <row r="34">
          <cell r="A34" t="str">
            <v>Investments Govt Securities</v>
          </cell>
        </row>
      </sheetData>
      <sheetData sheetId="8422">
        <row r="34">
          <cell r="A34" t="str">
            <v>Investments Govt Securities</v>
          </cell>
        </row>
      </sheetData>
      <sheetData sheetId="8423">
        <row r="34">
          <cell r="A34" t="str">
            <v>Investments Govt Securities</v>
          </cell>
        </row>
      </sheetData>
      <sheetData sheetId="8424">
        <row r="34">
          <cell r="A34" t="str">
            <v>Investments Govt Securities</v>
          </cell>
        </row>
      </sheetData>
      <sheetData sheetId="8425">
        <row r="34">
          <cell r="A34" t="str">
            <v>Investments Govt Securities</v>
          </cell>
        </row>
      </sheetData>
      <sheetData sheetId="8426">
        <row r="34">
          <cell r="A34" t="str">
            <v>Investments Govt Securities</v>
          </cell>
        </row>
      </sheetData>
      <sheetData sheetId="8427">
        <row r="34">
          <cell r="A34" t="str">
            <v>Investments Govt Securities</v>
          </cell>
        </row>
      </sheetData>
      <sheetData sheetId="8428">
        <row r="34">
          <cell r="A34" t="str">
            <v>Investments Govt Securities</v>
          </cell>
        </row>
      </sheetData>
      <sheetData sheetId="8429">
        <row r="34">
          <cell r="A34" t="str">
            <v>Investments Govt Securities</v>
          </cell>
        </row>
      </sheetData>
      <sheetData sheetId="8430">
        <row r="34">
          <cell r="A34" t="str">
            <v>Investments Govt Securities</v>
          </cell>
        </row>
      </sheetData>
      <sheetData sheetId="8431">
        <row r="34">
          <cell r="A34" t="str">
            <v>Investments Govt Securities</v>
          </cell>
        </row>
      </sheetData>
      <sheetData sheetId="8432">
        <row r="34">
          <cell r="A34" t="str">
            <v>Investments Govt Securities</v>
          </cell>
        </row>
      </sheetData>
      <sheetData sheetId="8433">
        <row r="34">
          <cell r="A34" t="str">
            <v>Investments Govt Securities</v>
          </cell>
        </row>
      </sheetData>
      <sheetData sheetId="8434">
        <row r="34">
          <cell r="A34" t="str">
            <v>Investments Govt Securities</v>
          </cell>
        </row>
      </sheetData>
      <sheetData sheetId="8435">
        <row r="34">
          <cell r="A34" t="str">
            <v>Investments Govt Securities</v>
          </cell>
        </row>
      </sheetData>
      <sheetData sheetId="8436">
        <row r="34">
          <cell r="A34" t="str">
            <v>Investments Govt Securities</v>
          </cell>
        </row>
      </sheetData>
      <sheetData sheetId="8437">
        <row r="34">
          <cell r="A34" t="str">
            <v>Investments Govt Securities</v>
          </cell>
        </row>
      </sheetData>
      <sheetData sheetId="8438">
        <row r="34">
          <cell r="A34" t="str">
            <v>Investments Govt Securities</v>
          </cell>
        </row>
      </sheetData>
      <sheetData sheetId="8439">
        <row r="34">
          <cell r="A34" t="str">
            <v>Investments Govt Securities</v>
          </cell>
        </row>
      </sheetData>
      <sheetData sheetId="8440">
        <row r="34">
          <cell r="A34" t="str">
            <v>Investments Govt Securities</v>
          </cell>
        </row>
      </sheetData>
      <sheetData sheetId="8441">
        <row r="34">
          <cell r="A34" t="str">
            <v>Investments Govt Securities</v>
          </cell>
        </row>
      </sheetData>
      <sheetData sheetId="8442">
        <row r="34">
          <cell r="A34" t="str">
            <v>Investments Govt Securities</v>
          </cell>
        </row>
      </sheetData>
      <sheetData sheetId="8443">
        <row r="34">
          <cell r="A34" t="str">
            <v>Investments Govt Securities</v>
          </cell>
        </row>
      </sheetData>
      <sheetData sheetId="8444">
        <row r="34">
          <cell r="A34" t="str">
            <v>Investments Govt Securities</v>
          </cell>
        </row>
      </sheetData>
      <sheetData sheetId="8445">
        <row r="34">
          <cell r="A34" t="str">
            <v>Investments Govt Securities</v>
          </cell>
        </row>
      </sheetData>
      <sheetData sheetId="8446">
        <row r="34">
          <cell r="A34" t="str">
            <v>Investments Govt Securities</v>
          </cell>
        </row>
      </sheetData>
      <sheetData sheetId="8447">
        <row r="34">
          <cell r="A34" t="str">
            <v>Investments Govt Securities</v>
          </cell>
        </row>
      </sheetData>
      <sheetData sheetId="8448">
        <row r="34">
          <cell r="A34" t="str">
            <v>Investments Govt Securities</v>
          </cell>
        </row>
      </sheetData>
      <sheetData sheetId="8449">
        <row r="34">
          <cell r="A34" t="str">
            <v>Investments Govt Securities</v>
          </cell>
        </row>
      </sheetData>
      <sheetData sheetId="8450">
        <row r="34">
          <cell r="A34" t="str">
            <v>Investments Govt Securities</v>
          </cell>
        </row>
      </sheetData>
      <sheetData sheetId="8451">
        <row r="34">
          <cell r="A34" t="str">
            <v>Investments Govt Securities</v>
          </cell>
        </row>
      </sheetData>
      <sheetData sheetId="8452">
        <row r="34">
          <cell r="A34" t="str">
            <v>Investments Govt Securities</v>
          </cell>
        </row>
      </sheetData>
      <sheetData sheetId="8453">
        <row r="34">
          <cell r="A34" t="str">
            <v>Investments Govt Securities</v>
          </cell>
        </row>
      </sheetData>
      <sheetData sheetId="8454">
        <row r="34">
          <cell r="A34" t="str">
            <v>Investments Govt Securities</v>
          </cell>
        </row>
      </sheetData>
      <sheetData sheetId="8455">
        <row r="34">
          <cell r="A34" t="str">
            <v>Investments Govt Securities</v>
          </cell>
        </row>
      </sheetData>
      <sheetData sheetId="8456">
        <row r="34">
          <cell r="A34" t="str">
            <v>Investments Govt Securities</v>
          </cell>
        </row>
      </sheetData>
      <sheetData sheetId="8457">
        <row r="34">
          <cell r="A34" t="str">
            <v>Investments Govt Securities</v>
          </cell>
        </row>
      </sheetData>
      <sheetData sheetId="8458">
        <row r="34">
          <cell r="A34" t="str">
            <v>Investments Govt Securities</v>
          </cell>
        </row>
      </sheetData>
      <sheetData sheetId="8459">
        <row r="34">
          <cell r="A34" t="str">
            <v>Investments Govt Securities</v>
          </cell>
        </row>
      </sheetData>
      <sheetData sheetId="8460">
        <row r="34">
          <cell r="A34" t="str">
            <v>Investments Govt Securities</v>
          </cell>
        </row>
      </sheetData>
      <sheetData sheetId="8461">
        <row r="34">
          <cell r="A34" t="str">
            <v>Investments Govt Securities</v>
          </cell>
        </row>
      </sheetData>
      <sheetData sheetId="8462">
        <row r="34">
          <cell r="A34" t="str">
            <v>Investments Govt Securities</v>
          </cell>
        </row>
      </sheetData>
      <sheetData sheetId="8463">
        <row r="34">
          <cell r="A34" t="str">
            <v>Investments Govt Securities</v>
          </cell>
        </row>
      </sheetData>
      <sheetData sheetId="8464">
        <row r="34">
          <cell r="A34" t="str">
            <v>Investments Govt Securities</v>
          </cell>
        </row>
      </sheetData>
      <sheetData sheetId="8465">
        <row r="34">
          <cell r="A34" t="str">
            <v>Investments Govt Securities</v>
          </cell>
        </row>
      </sheetData>
      <sheetData sheetId="8466">
        <row r="34">
          <cell r="A34" t="str">
            <v>Investments Govt Securities</v>
          </cell>
        </row>
      </sheetData>
      <sheetData sheetId="8467">
        <row r="34">
          <cell r="A34" t="str">
            <v>Investments Govt Securities</v>
          </cell>
        </row>
      </sheetData>
      <sheetData sheetId="8468">
        <row r="34">
          <cell r="A34" t="str">
            <v>Investments Govt Securities</v>
          </cell>
        </row>
      </sheetData>
      <sheetData sheetId="8469">
        <row r="34">
          <cell r="A34" t="str">
            <v>Investments Govt Securities</v>
          </cell>
        </row>
      </sheetData>
      <sheetData sheetId="8470">
        <row r="34">
          <cell r="A34" t="str">
            <v>Investments Govt Securities</v>
          </cell>
        </row>
      </sheetData>
      <sheetData sheetId="8471">
        <row r="34">
          <cell r="A34" t="str">
            <v>Investments Govt Securities</v>
          </cell>
        </row>
      </sheetData>
      <sheetData sheetId="8472">
        <row r="34">
          <cell r="A34" t="str">
            <v>Investments Govt Securities</v>
          </cell>
        </row>
      </sheetData>
      <sheetData sheetId="8473">
        <row r="34">
          <cell r="A34" t="str">
            <v>Investments Govt Securities</v>
          </cell>
        </row>
      </sheetData>
      <sheetData sheetId="8474">
        <row r="34">
          <cell r="A34" t="str">
            <v>Investments Govt Securities</v>
          </cell>
        </row>
      </sheetData>
      <sheetData sheetId="8475">
        <row r="34">
          <cell r="A34" t="str">
            <v>Investments Govt Securities</v>
          </cell>
        </row>
      </sheetData>
      <sheetData sheetId="8476">
        <row r="34">
          <cell r="A34" t="str">
            <v>Investments Govt Securities</v>
          </cell>
        </row>
      </sheetData>
      <sheetData sheetId="8477">
        <row r="34">
          <cell r="A34" t="str">
            <v>Investments Govt Securities</v>
          </cell>
        </row>
      </sheetData>
      <sheetData sheetId="8478">
        <row r="34">
          <cell r="A34" t="str">
            <v>Investments Govt Securities</v>
          </cell>
        </row>
      </sheetData>
      <sheetData sheetId="8479">
        <row r="34">
          <cell r="A34" t="str">
            <v>Investments Govt Securities</v>
          </cell>
        </row>
      </sheetData>
      <sheetData sheetId="8480">
        <row r="34">
          <cell r="A34" t="str">
            <v>Investments Govt Securities</v>
          </cell>
        </row>
      </sheetData>
      <sheetData sheetId="8481">
        <row r="34">
          <cell r="A34" t="str">
            <v>Investments Govt Securities</v>
          </cell>
        </row>
      </sheetData>
      <sheetData sheetId="8482">
        <row r="34">
          <cell r="A34" t="str">
            <v>Investments Govt Securities</v>
          </cell>
        </row>
      </sheetData>
      <sheetData sheetId="8483">
        <row r="34">
          <cell r="A34" t="str">
            <v>Investments Govt Securities</v>
          </cell>
        </row>
      </sheetData>
      <sheetData sheetId="8484">
        <row r="34">
          <cell r="A34" t="str">
            <v>Investments Govt Securities</v>
          </cell>
        </row>
      </sheetData>
      <sheetData sheetId="8485">
        <row r="34">
          <cell r="A34" t="str">
            <v>Investments Govt Securities</v>
          </cell>
        </row>
      </sheetData>
      <sheetData sheetId="8486">
        <row r="34">
          <cell r="A34" t="str">
            <v>Investments Govt Securities</v>
          </cell>
        </row>
      </sheetData>
      <sheetData sheetId="8487">
        <row r="34">
          <cell r="A34" t="str">
            <v>Investments Govt Securities</v>
          </cell>
        </row>
      </sheetData>
      <sheetData sheetId="8488">
        <row r="34">
          <cell r="A34" t="str">
            <v>Investments Govt Securities</v>
          </cell>
        </row>
      </sheetData>
      <sheetData sheetId="8489">
        <row r="34">
          <cell r="A34" t="str">
            <v>Investments Govt Securities</v>
          </cell>
        </row>
      </sheetData>
      <sheetData sheetId="8490">
        <row r="34">
          <cell r="A34" t="str">
            <v>Investments Govt Securities</v>
          </cell>
        </row>
      </sheetData>
      <sheetData sheetId="8491">
        <row r="34">
          <cell r="A34" t="str">
            <v>Investments Govt Securities</v>
          </cell>
        </row>
      </sheetData>
      <sheetData sheetId="8492">
        <row r="34">
          <cell r="A34" t="str">
            <v>Investments Govt Securities</v>
          </cell>
        </row>
      </sheetData>
      <sheetData sheetId="8493">
        <row r="34">
          <cell r="A34" t="str">
            <v>Investments Govt Securities</v>
          </cell>
        </row>
      </sheetData>
      <sheetData sheetId="8494">
        <row r="34">
          <cell r="A34" t="str">
            <v>Investments Govt Securities</v>
          </cell>
        </row>
      </sheetData>
      <sheetData sheetId="8495">
        <row r="34">
          <cell r="A34" t="str">
            <v>Investments Govt Securities</v>
          </cell>
        </row>
      </sheetData>
      <sheetData sheetId="8496">
        <row r="34">
          <cell r="A34" t="str">
            <v>Investments Govt Securities</v>
          </cell>
        </row>
      </sheetData>
      <sheetData sheetId="8497">
        <row r="34">
          <cell r="A34" t="str">
            <v>Investments Govt Securities</v>
          </cell>
        </row>
      </sheetData>
      <sheetData sheetId="8498">
        <row r="34">
          <cell r="A34" t="str">
            <v>Investments Govt Securities</v>
          </cell>
        </row>
      </sheetData>
      <sheetData sheetId="8499">
        <row r="34">
          <cell r="A34" t="str">
            <v>Investments Govt Securities</v>
          </cell>
        </row>
      </sheetData>
      <sheetData sheetId="8500">
        <row r="34">
          <cell r="A34" t="str">
            <v>Investments Govt Securities</v>
          </cell>
        </row>
      </sheetData>
      <sheetData sheetId="8501">
        <row r="34">
          <cell r="A34" t="str">
            <v>Investments Govt Securities</v>
          </cell>
        </row>
      </sheetData>
      <sheetData sheetId="8502">
        <row r="34">
          <cell r="A34" t="str">
            <v>Investments Govt Securities</v>
          </cell>
        </row>
      </sheetData>
      <sheetData sheetId="8503">
        <row r="34">
          <cell r="A34" t="str">
            <v>Investments Govt Securities</v>
          </cell>
        </row>
      </sheetData>
      <sheetData sheetId="8504">
        <row r="34">
          <cell r="A34" t="str">
            <v>Investments Govt Securities</v>
          </cell>
        </row>
      </sheetData>
      <sheetData sheetId="8505">
        <row r="34">
          <cell r="A34" t="str">
            <v>Investments Govt Securities</v>
          </cell>
        </row>
      </sheetData>
      <sheetData sheetId="8506">
        <row r="34">
          <cell r="A34" t="str">
            <v>Investments Govt Securities</v>
          </cell>
        </row>
      </sheetData>
      <sheetData sheetId="8507">
        <row r="34">
          <cell r="A34" t="str">
            <v>Investments Govt Securities</v>
          </cell>
        </row>
      </sheetData>
      <sheetData sheetId="8508">
        <row r="34">
          <cell r="A34" t="str">
            <v>Investments Govt Securities</v>
          </cell>
        </row>
      </sheetData>
      <sheetData sheetId="8509">
        <row r="34">
          <cell r="A34" t="str">
            <v>Investments Govt Securities</v>
          </cell>
        </row>
      </sheetData>
      <sheetData sheetId="8510">
        <row r="34">
          <cell r="A34" t="str">
            <v>Investments Govt Securities</v>
          </cell>
        </row>
      </sheetData>
      <sheetData sheetId="8511">
        <row r="34">
          <cell r="A34" t="str">
            <v>Investments Govt Securities</v>
          </cell>
        </row>
      </sheetData>
      <sheetData sheetId="8512">
        <row r="34">
          <cell r="A34" t="str">
            <v>Investments Govt Securities</v>
          </cell>
        </row>
      </sheetData>
      <sheetData sheetId="8513">
        <row r="34">
          <cell r="A34" t="str">
            <v>Investments Govt Securities</v>
          </cell>
        </row>
      </sheetData>
      <sheetData sheetId="8514">
        <row r="34">
          <cell r="A34" t="str">
            <v>Investments Govt Securities</v>
          </cell>
        </row>
      </sheetData>
      <sheetData sheetId="8515">
        <row r="34">
          <cell r="A34" t="str">
            <v>Investments Govt Securities</v>
          </cell>
        </row>
      </sheetData>
      <sheetData sheetId="8516">
        <row r="34">
          <cell r="A34" t="str">
            <v>Investments Govt Securities</v>
          </cell>
        </row>
      </sheetData>
      <sheetData sheetId="8517">
        <row r="34">
          <cell r="A34" t="str">
            <v>Investments Govt Securities</v>
          </cell>
        </row>
      </sheetData>
      <sheetData sheetId="8518">
        <row r="34">
          <cell r="A34" t="str">
            <v>Investments Govt Securities</v>
          </cell>
        </row>
      </sheetData>
      <sheetData sheetId="8519">
        <row r="34">
          <cell r="A34" t="str">
            <v>Investments Govt Securities</v>
          </cell>
        </row>
      </sheetData>
      <sheetData sheetId="8520">
        <row r="34">
          <cell r="A34" t="str">
            <v>Investments Govt Securities</v>
          </cell>
        </row>
      </sheetData>
      <sheetData sheetId="8521">
        <row r="34">
          <cell r="A34" t="str">
            <v>Investments Govt Securities</v>
          </cell>
        </row>
      </sheetData>
      <sheetData sheetId="8522">
        <row r="34">
          <cell r="A34" t="str">
            <v>Investments Govt Securities</v>
          </cell>
        </row>
      </sheetData>
      <sheetData sheetId="8523">
        <row r="34">
          <cell r="A34" t="str">
            <v>Investments Govt Securities</v>
          </cell>
        </row>
      </sheetData>
      <sheetData sheetId="8524">
        <row r="34">
          <cell r="A34" t="str">
            <v>Investments Govt Securities</v>
          </cell>
        </row>
      </sheetData>
      <sheetData sheetId="8525">
        <row r="34">
          <cell r="A34" t="str">
            <v>Investments Govt Securities</v>
          </cell>
        </row>
      </sheetData>
      <sheetData sheetId="8526">
        <row r="34">
          <cell r="A34" t="str">
            <v>Investments Govt Securities</v>
          </cell>
        </row>
      </sheetData>
      <sheetData sheetId="8527">
        <row r="34">
          <cell r="A34" t="str">
            <v>Investments Govt Securities</v>
          </cell>
        </row>
      </sheetData>
      <sheetData sheetId="8528">
        <row r="34">
          <cell r="A34" t="str">
            <v>Investments Govt Securities</v>
          </cell>
        </row>
      </sheetData>
      <sheetData sheetId="8529">
        <row r="34">
          <cell r="A34" t="str">
            <v>Investments Govt Securities</v>
          </cell>
        </row>
      </sheetData>
      <sheetData sheetId="8530">
        <row r="34">
          <cell r="A34" t="str">
            <v>Investments Govt Securities</v>
          </cell>
        </row>
      </sheetData>
      <sheetData sheetId="8531">
        <row r="34">
          <cell r="A34" t="str">
            <v>Investments Govt Securities</v>
          </cell>
        </row>
      </sheetData>
      <sheetData sheetId="8532">
        <row r="34">
          <cell r="A34" t="str">
            <v>Investments Govt Securities</v>
          </cell>
        </row>
      </sheetData>
      <sheetData sheetId="8533">
        <row r="34">
          <cell r="A34" t="str">
            <v>Investments Govt Securities</v>
          </cell>
        </row>
      </sheetData>
      <sheetData sheetId="8534">
        <row r="34">
          <cell r="A34" t="str">
            <v>Investments Govt Securities</v>
          </cell>
        </row>
      </sheetData>
      <sheetData sheetId="8535">
        <row r="34">
          <cell r="A34" t="str">
            <v>Investments Govt Securities</v>
          </cell>
        </row>
      </sheetData>
      <sheetData sheetId="8536">
        <row r="34">
          <cell r="A34" t="str">
            <v>Investments Govt Securities</v>
          </cell>
        </row>
      </sheetData>
      <sheetData sheetId="8537">
        <row r="34">
          <cell r="A34" t="str">
            <v>Investments Govt Securities</v>
          </cell>
        </row>
      </sheetData>
      <sheetData sheetId="8538">
        <row r="34">
          <cell r="A34" t="str">
            <v>Investments Govt Securities</v>
          </cell>
        </row>
      </sheetData>
      <sheetData sheetId="8539">
        <row r="34">
          <cell r="A34" t="str">
            <v>Investments Govt Securities</v>
          </cell>
        </row>
      </sheetData>
      <sheetData sheetId="8540">
        <row r="34">
          <cell r="A34" t="str">
            <v>Investments Govt Securities</v>
          </cell>
        </row>
      </sheetData>
      <sheetData sheetId="8541">
        <row r="34">
          <cell r="A34" t="str">
            <v>Investments Govt Securities</v>
          </cell>
        </row>
      </sheetData>
      <sheetData sheetId="8542">
        <row r="34">
          <cell r="A34" t="str">
            <v>Investments Govt Securities</v>
          </cell>
        </row>
      </sheetData>
      <sheetData sheetId="8543">
        <row r="34">
          <cell r="A34" t="str">
            <v>Investments Govt Securities</v>
          </cell>
        </row>
      </sheetData>
      <sheetData sheetId="8544">
        <row r="34">
          <cell r="A34" t="str">
            <v>Investments Govt Securities</v>
          </cell>
        </row>
      </sheetData>
      <sheetData sheetId="8545">
        <row r="34">
          <cell r="A34" t="str">
            <v>Investments Govt Securities</v>
          </cell>
        </row>
      </sheetData>
      <sheetData sheetId="8546">
        <row r="34">
          <cell r="A34" t="str">
            <v>Investments Govt Securities</v>
          </cell>
        </row>
      </sheetData>
      <sheetData sheetId="8547">
        <row r="34">
          <cell r="A34" t="str">
            <v>Investments Govt Securities</v>
          </cell>
        </row>
      </sheetData>
      <sheetData sheetId="8548">
        <row r="34">
          <cell r="A34" t="str">
            <v>Investments Govt Securities</v>
          </cell>
        </row>
      </sheetData>
      <sheetData sheetId="8549">
        <row r="34">
          <cell r="A34" t="str">
            <v>Investments Govt Securities</v>
          </cell>
        </row>
      </sheetData>
      <sheetData sheetId="8550"/>
      <sheetData sheetId="8551"/>
      <sheetData sheetId="8552"/>
      <sheetData sheetId="8553"/>
      <sheetData sheetId="8554">
        <row r="34">
          <cell r="A34" t="str">
            <v>Investments Govt Securities</v>
          </cell>
        </row>
      </sheetData>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sheetData sheetId="8698"/>
      <sheetData sheetId="8699"/>
      <sheetData sheetId="8700"/>
      <sheetData sheetId="8701"/>
      <sheetData sheetId="8702">
        <row r="34">
          <cell r="A34" t="str">
            <v>Investments Govt Securities</v>
          </cell>
        </row>
      </sheetData>
      <sheetData sheetId="8703">
        <row r="34">
          <cell r="A34" t="str">
            <v>Investments Govt Securities</v>
          </cell>
        </row>
      </sheetData>
      <sheetData sheetId="8704">
        <row r="34">
          <cell r="A34" t="str">
            <v>Investments Govt Securities</v>
          </cell>
        </row>
      </sheetData>
      <sheetData sheetId="8705">
        <row r="34">
          <cell r="A34" t="str">
            <v>Investments Govt Securities</v>
          </cell>
        </row>
      </sheetData>
      <sheetData sheetId="8706">
        <row r="34">
          <cell r="A34" t="str">
            <v>Investments Govt Securities</v>
          </cell>
        </row>
      </sheetData>
      <sheetData sheetId="8707">
        <row r="34">
          <cell r="A34" t="str">
            <v>Investments Govt Securities</v>
          </cell>
        </row>
      </sheetData>
      <sheetData sheetId="8708">
        <row r="34">
          <cell r="A34" t="str">
            <v>Investments Govt Securities</v>
          </cell>
        </row>
      </sheetData>
      <sheetData sheetId="8709">
        <row r="34">
          <cell r="A34" t="str">
            <v>Investments Govt Securities</v>
          </cell>
        </row>
      </sheetData>
      <sheetData sheetId="8710">
        <row r="34">
          <cell r="A34" t="str">
            <v>Investments Govt Securities</v>
          </cell>
        </row>
      </sheetData>
      <sheetData sheetId="8711">
        <row r="34">
          <cell r="A34" t="str">
            <v>Investments Govt Securities</v>
          </cell>
        </row>
      </sheetData>
      <sheetData sheetId="8712">
        <row r="34">
          <cell r="A34" t="str">
            <v>Investments Govt Securities</v>
          </cell>
        </row>
      </sheetData>
      <sheetData sheetId="8713">
        <row r="34">
          <cell r="A34" t="str">
            <v>Investments Govt Securities</v>
          </cell>
        </row>
      </sheetData>
      <sheetData sheetId="8714">
        <row r="34">
          <cell r="A34" t="str">
            <v>Investments Govt Securities</v>
          </cell>
        </row>
      </sheetData>
      <sheetData sheetId="8715">
        <row r="34">
          <cell r="A34" t="str">
            <v>Investments Govt Securities</v>
          </cell>
        </row>
      </sheetData>
      <sheetData sheetId="8716">
        <row r="34">
          <cell r="A34" t="str">
            <v>Investments Govt Securities</v>
          </cell>
        </row>
      </sheetData>
      <sheetData sheetId="8717">
        <row r="34">
          <cell r="A34" t="str">
            <v>Investments Govt Securities</v>
          </cell>
        </row>
      </sheetData>
      <sheetData sheetId="8718">
        <row r="34">
          <cell r="A34" t="str">
            <v>Investments Govt Securities</v>
          </cell>
        </row>
      </sheetData>
      <sheetData sheetId="8719">
        <row r="34">
          <cell r="A34" t="str">
            <v>Investments Govt Securities</v>
          </cell>
        </row>
      </sheetData>
      <sheetData sheetId="8720">
        <row r="34">
          <cell r="A34" t="str">
            <v>Investments Govt Securities</v>
          </cell>
        </row>
      </sheetData>
      <sheetData sheetId="8721">
        <row r="34">
          <cell r="A34" t="str">
            <v>Investments Govt Securities</v>
          </cell>
        </row>
      </sheetData>
      <sheetData sheetId="8722">
        <row r="34">
          <cell r="A34" t="str">
            <v>Investments Govt Securities</v>
          </cell>
        </row>
      </sheetData>
      <sheetData sheetId="8723">
        <row r="34">
          <cell r="A34" t="str">
            <v>Investments Govt Securities</v>
          </cell>
        </row>
      </sheetData>
      <sheetData sheetId="8724">
        <row r="34">
          <cell r="A34" t="str">
            <v>Investments Govt Securities</v>
          </cell>
        </row>
      </sheetData>
      <sheetData sheetId="8725">
        <row r="34">
          <cell r="A34" t="str">
            <v>Investments Govt Securities</v>
          </cell>
        </row>
      </sheetData>
      <sheetData sheetId="8726">
        <row r="34">
          <cell r="A34" t="str">
            <v>Investments Govt Securities</v>
          </cell>
        </row>
      </sheetData>
      <sheetData sheetId="8727">
        <row r="34">
          <cell r="A34" t="str">
            <v>Investments Govt Securities</v>
          </cell>
        </row>
      </sheetData>
      <sheetData sheetId="8728">
        <row r="34">
          <cell r="A34" t="str">
            <v>Investments Govt Securities</v>
          </cell>
        </row>
      </sheetData>
      <sheetData sheetId="8729">
        <row r="34">
          <cell r="A34" t="str">
            <v>Investments Govt Securities</v>
          </cell>
        </row>
      </sheetData>
      <sheetData sheetId="8730">
        <row r="34">
          <cell r="A34" t="str">
            <v>Investments Govt Securities</v>
          </cell>
        </row>
      </sheetData>
      <sheetData sheetId="8731">
        <row r="34">
          <cell r="A34" t="str">
            <v>Investments Govt Securities</v>
          </cell>
        </row>
      </sheetData>
      <sheetData sheetId="8732">
        <row r="34">
          <cell r="A34" t="str">
            <v>Investments Govt Securities</v>
          </cell>
        </row>
      </sheetData>
      <sheetData sheetId="8733">
        <row r="34">
          <cell r="A34" t="str">
            <v>Investments Govt Securities</v>
          </cell>
        </row>
      </sheetData>
      <sheetData sheetId="8734">
        <row r="34">
          <cell r="A34" t="str">
            <v>Investments Govt Securities</v>
          </cell>
        </row>
      </sheetData>
      <sheetData sheetId="8735">
        <row r="34">
          <cell r="A34" t="str">
            <v>Investments Govt Securities</v>
          </cell>
        </row>
      </sheetData>
      <sheetData sheetId="8736">
        <row r="34">
          <cell r="A34" t="str">
            <v>Investments Govt Securities</v>
          </cell>
        </row>
      </sheetData>
      <sheetData sheetId="8737">
        <row r="34">
          <cell r="A34" t="str">
            <v>Investments Govt Securities</v>
          </cell>
        </row>
      </sheetData>
      <sheetData sheetId="8738">
        <row r="34">
          <cell r="A34" t="str">
            <v>Investments Govt Securities</v>
          </cell>
        </row>
      </sheetData>
      <sheetData sheetId="8739">
        <row r="34">
          <cell r="A34" t="str">
            <v>Investments Govt Securities</v>
          </cell>
        </row>
      </sheetData>
      <sheetData sheetId="8740">
        <row r="34">
          <cell r="A34" t="str">
            <v>Investments Govt Securities</v>
          </cell>
        </row>
      </sheetData>
      <sheetData sheetId="8741">
        <row r="34">
          <cell r="A34" t="str">
            <v>Investments Govt Securities</v>
          </cell>
        </row>
      </sheetData>
      <sheetData sheetId="8742">
        <row r="34">
          <cell r="A34" t="str">
            <v>Investments Govt Securities</v>
          </cell>
        </row>
      </sheetData>
      <sheetData sheetId="8743">
        <row r="34">
          <cell r="A34" t="str">
            <v>Investments Govt Securities</v>
          </cell>
        </row>
      </sheetData>
      <sheetData sheetId="8744">
        <row r="34">
          <cell r="A34" t="str">
            <v>Investments Govt Securities</v>
          </cell>
        </row>
      </sheetData>
      <sheetData sheetId="8745">
        <row r="34">
          <cell r="A34" t="str">
            <v>Investments Govt Securities</v>
          </cell>
        </row>
      </sheetData>
      <sheetData sheetId="8746">
        <row r="34">
          <cell r="A34" t="str">
            <v>Investments Govt Securities</v>
          </cell>
        </row>
      </sheetData>
      <sheetData sheetId="8747">
        <row r="34">
          <cell r="A34" t="str">
            <v>Investments Govt Securities</v>
          </cell>
        </row>
      </sheetData>
      <sheetData sheetId="8748">
        <row r="34">
          <cell r="A34" t="str">
            <v>Investments Govt Securities</v>
          </cell>
        </row>
      </sheetData>
      <sheetData sheetId="8749">
        <row r="34">
          <cell r="A34" t="str">
            <v>Investments Govt Securities</v>
          </cell>
        </row>
      </sheetData>
      <sheetData sheetId="8750">
        <row r="34">
          <cell r="A34" t="str">
            <v>Investments Govt Securities</v>
          </cell>
        </row>
      </sheetData>
      <sheetData sheetId="8751">
        <row r="34">
          <cell r="A34" t="str">
            <v>Investments Govt Securities</v>
          </cell>
        </row>
      </sheetData>
      <sheetData sheetId="8752">
        <row r="34">
          <cell r="A34" t="str">
            <v>Investments Govt Securities</v>
          </cell>
        </row>
      </sheetData>
      <sheetData sheetId="8753">
        <row r="34">
          <cell r="A34" t="str">
            <v>Investments Govt Securities</v>
          </cell>
        </row>
      </sheetData>
      <sheetData sheetId="8754">
        <row r="34">
          <cell r="A34" t="str">
            <v>Investments Govt Securities</v>
          </cell>
        </row>
      </sheetData>
      <sheetData sheetId="8755">
        <row r="34">
          <cell r="A34" t="str">
            <v>Investments Govt Securities</v>
          </cell>
        </row>
      </sheetData>
      <sheetData sheetId="8756">
        <row r="34">
          <cell r="A34" t="str">
            <v>Investments Govt Securities</v>
          </cell>
        </row>
      </sheetData>
      <sheetData sheetId="8757">
        <row r="34">
          <cell r="A34" t="str">
            <v>Investments Govt Securities</v>
          </cell>
        </row>
      </sheetData>
      <sheetData sheetId="8758">
        <row r="34">
          <cell r="A34" t="str">
            <v>Investments Govt Securities</v>
          </cell>
        </row>
      </sheetData>
      <sheetData sheetId="8759">
        <row r="34">
          <cell r="A34" t="str">
            <v>Investments Govt Securities</v>
          </cell>
        </row>
      </sheetData>
      <sheetData sheetId="8760">
        <row r="34">
          <cell r="A34" t="str">
            <v>Investments Govt Securities</v>
          </cell>
        </row>
      </sheetData>
      <sheetData sheetId="8761">
        <row r="34">
          <cell r="A34" t="str">
            <v>Investments Govt Securities</v>
          </cell>
        </row>
      </sheetData>
      <sheetData sheetId="8762">
        <row r="34">
          <cell r="A34" t="str">
            <v>Investments Govt Securities</v>
          </cell>
        </row>
      </sheetData>
      <sheetData sheetId="8763">
        <row r="34">
          <cell r="A34" t="str">
            <v>Investments Govt Securities</v>
          </cell>
        </row>
      </sheetData>
      <sheetData sheetId="8764">
        <row r="34">
          <cell r="A34" t="str">
            <v>Investments Govt Securities</v>
          </cell>
        </row>
      </sheetData>
      <sheetData sheetId="8765">
        <row r="34">
          <cell r="A34" t="str">
            <v>Investments Govt Securities</v>
          </cell>
        </row>
      </sheetData>
      <sheetData sheetId="8766">
        <row r="34">
          <cell r="A34" t="str">
            <v>Investments Govt Securities</v>
          </cell>
        </row>
      </sheetData>
      <sheetData sheetId="8767">
        <row r="34">
          <cell r="A34" t="str">
            <v>Investments Govt Securities</v>
          </cell>
        </row>
      </sheetData>
      <sheetData sheetId="8768">
        <row r="34">
          <cell r="A34" t="str">
            <v>Investments Govt Securities</v>
          </cell>
        </row>
      </sheetData>
      <sheetData sheetId="8769">
        <row r="34">
          <cell r="A34" t="str">
            <v>Investments Govt Securities</v>
          </cell>
        </row>
      </sheetData>
      <sheetData sheetId="8770">
        <row r="34">
          <cell r="A34" t="str">
            <v>Investments Govt Securities</v>
          </cell>
        </row>
      </sheetData>
      <sheetData sheetId="8771">
        <row r="34">
          <cell r="A34" t="str">
            <v>Investments Govt Securities</v>
          </cell>
        </row>
      </sheetData>
      <sheetData sheetId="8772">
        <row r="34">
          <cell r="A34" t="str">
            <v>Investments Govt Securities</v>
          </cell>
        </row>
      </sheetData>
      <sheetData sheetId="8773">
        <row r="34">
          <cell r="A34" t="str">
            <v>Investments Govt Securities</v>
          </cell>
        </row>
      </sheetData>
      <sheetData sheetId="8774">
        <row r="34">
          <cell r="A34" t="str">
            <v>Investments Govt Securities</v>
          </cell>
        </row>
      </sheetData>
      <sheetData sheetId="8775">
        <row r="34">
          <cell r="A34" t="str">
            <v>Investments Govt Securities</v>
          </cell>
        </row>
      </sheetData>
      <sheetData sheetId="8776">
        <row r="34">
          <cell r="A34" t="str">
            <v>Investments Govt Securities</v>
          </cell>
        </row>
      </sheetData>
      <sheetData sheetId="8777">
        <row r="34">
          <cell r="A34" t="str">
            <v>Investments Govt Securities</v>
          </cell>
        </row>
      </sheetData>
      <sheetData sheetId="8778">
        <row r="34">
          <cell r="A34" t="str">
            <v>Investments Govt Securities</v>
          </cell>
        </row>
      </sheetData>
      <sheetData sheetId="8779">
        <row r="34">
          <cell r="A34" t="str">
            <v>Investments Govt Securities</v>
          </cell>
        </row>
      </sheetData>
      <sheetData sheetId="8780">
        <row r="34">
          <cell r="A34" t="str">
            <v>Investments Govt Securities</v>
          </cell>
        </row>
      </sheetData>
      <sheetData sheetId="8781">
        <row r="34">
          <cell r="A34" t="str">
            <v>Investments Govt Securities</v>
          </cell>
        </row>
      </sheetData>
      <sheetData sheetId="8782">
        <row r="34">
          <cell r="A34" t="str">
            <v>Investments Govt Securities</v>
          </cell>
        </row>
      </sheetData>
      <sheetData sheetId="8783">
        <row r="34">
          <cell r="A34" t="str">
            <v>Investments Govt Securities</v>
          </cell>
        </row>
      </sheetData>
      <sheetData sheetId="8784">
        <row r="34">
          <cell r="A34" t="str">
            <v>Investments Govt Securities</v>
          </cell>
        </row>
      </sheetData>
      <sheetData sheetId="8785">
        <row r="34">
          <cell r="A34" t="str">
            <v>Investments Govt Securities</v>
          </cell>
        </row>
      </sheetData>
      <sheetData sheetId="8786">
        <row r="34">
          <cell r="A34" t="str">
            <v>Investments Govt Securities</v>
          </cell>
        </row>
      </sheetData>
      <sheetData sheetId="8787">
        <row r="34">
          <cell r="A34" t="str">
            <v>Investments Govt Securities</v>
          </cell>
        </row>
      </sheetData>
      <sheetData sheetId="8788">
        <row r="34">
          <cell r="A34" t="str">
            <v>Investments Govt Securities</v>
          </cell>
        </row>
      </sheetData>
      <sheetData sheetId="8789">
        <row r="34">
          <cell r="A34" t="str">
            <v>Investments Govt Securities</v>
          </cell>
        </row>
      </sheetData>
      <sheetData sheetId="8790">
        <row r="34">
          <cell r="A34" t="str">
            <v>Investments Govt Securities</v>
          </cell>
        </row>
      </sheetData>
      <sheetData sheetId="8791">
        <row r="34">
          <cell r="A34" t="str">
            <v>Investments Govt Securities</v>
          </cell>
        </row>
      </sheetData>
      <sheetData sheetId="8792">
        <row r="34">
          <cell r="A34" t="str">
            <v>Investments Govt Securities</v>
          </cell>
        </row>
      </sheetData>
      <sheetData sheetId="8793">
        <row r="34">
          <cell r="A34" t="str">
            <v>Investments Govt Securities</v>
          </cell>
        </row>
      </sheetData>
      <sheetData sheetId="8794">
        <row r="34">
          <cell r="A34" t="str">
            <v>Investments Govt Securities</v>
          </cell>
        </row>
      </sheetData>
      <sheetData sheetId="8795">
        <row r="34">
          <cell r="A34" t="str">
            <v>Investments Govt Securities</v>
          </cell>
        </row>
      </sheetData>
      <sheetData sheetId="8796">
        <row r="34">
          <cell r="A34" t="str">
            <v>Investments Govt Securities</v>
          </cell>
        </row>
      </sheetData>
      <sheetData sheetId="8797">
        <row r="34">
          <cell r="A34" t="str">
            <v>Investments Govt Securities</v>
          </cell>
        </row>
      </sheetData>
      <sheetData sheetId="8798">
        <row r="34">
          <cell r="A34" t="str">
            <v>Investments Govt Securities</v>
          </cell>
        </row>
      </sheetData>
      <sheetData sheetId="8799">
        <row r="34">
          <cell r="A34" t="str">
            <v>Investments Govt Securities</v>
          </cell>
        </row>
      </sheetData>
      <sheetData sheetId="8800">
        <row r="34">
          <cell r="A34" t="str">
            <v>Investments Govt Securities</v>
          </cell>
        </row>
      </sheetData>
      <sheetData sheetId="8801">
        <row r="34">
          <cell r="A34" t="str">
            <v>Investments Govt Securities</v>
          </cell>
        </row>
      </sheetData>
      <sheetData sheetId="8802">
        <row r="34">
          <cell r="A34" t="str">
            <v>Investments Govt Securities</v>
          </cell>
        </row>
      </sheetData>
      <sheetData sheetId="8803">
        <row r="34">
          <cell r="A34" t="str">
            <v>Investments Govt Securities</v>
          </cell>
        </row>
      </sheetData>
      <sheetData sheetId="8804">
        <row r="34">
          <cell r="A34" t="str">
            <v>Investments Govt Securities</v>
          </cell>
        </row>
      </sheetData>
      <sheetData sheetId="8805">
        <row r="34">
          <cell r="A34" t="str">
            <v>Investments Govt Securities</v>
          </cell>
        </row>
      </sheetData>
      <sheetData sheetId="8806">
        <row r="34">
          <cell r="A34" t="str">
            <v>Investments Govt Securities</v>
          </cell>
        </row>
      </sheetData>
      <sheetData sheetId="8807">
        <row r="34">
          <cell r="A34" t="str">
            <v>Investments Govt Securities</v>
          </cell>
        </row>
      </sheetData>
      <sheetData sheetId="8808">
        <row r="34">
          <cell r="A34" t="str">
            <v>Investments Govt Securities</v>
          </cell>
        </row>
      </sheetData>
      <sheetData sheetId="8809">
        <row r="34">
          <cell r="A34" t="str">
            <v>Investments Govt Securities</v>
          </cell>
        </row>
      </sheetData>
      <sheetData sheetId="8810">
        <row r="34">
          <cell r="A34" t="str">
            <v>Investments Govt Securities</v>
          </cell>
        </row>
      </sheetData>
      <sheetData sheetId="8811">
        <row r="34">
          <cell r="A34" t="str">
            <v>Investments Govt Securities</v>
          </cell>
        </row>
      </sheetData>
      <sheetData sheetId="8812">
        <row r="34">
          <cell r="A34" t="str">
            <v>Investments Govt Securities</v>
          </cell>
        </row>
      </sheetData>
      <sheetData sheetId="8813">
        <row r="34">
          <cell r="A34" t="str">
            <v>Investments Govt Securities</v>
          </cell>
        </row>
      </sheetData>
      <sheetData sheetId="8814">
        <row r="34">
          <cell r="A34" t="str">
            <v>Investments Govt Securities</v>
          </cell>
        </row>
      </sheetData>
      <sheetData sheetId="8815">
        <row r="34">
          <cell r="A34" t="str">
            <v>Investments Govt Securities</v>
          </cell>
        </row>
      </sheetData>
      <sheetData sheetId="8816">
        <row r="34">
          <cell r="A34" t="str">
            <v>Investments Govt Securities</v>
          </cell>
        </row>
      </sheetData>
      <sheetData sheetId="8817">
        <row r="34">
          <cell r="A34" t="str">
            <v>Investments Govt Securities</v>
          </cell>
        </row>
      </sheetData>
      <sheetData sheetId="8818">
        <row r="34">
          <cell r="A34" t="str">
            <v>Investments Govt Securities</v>
          </cell>
        </row>
      </sheetData>
      <sheetData sheetId="8819">
        <row r="34">
          <cell r="A34" t="str">
            <v>Investments Govt Securities</v>
          </cell>
        </row>
      </sheetData>
      <sheetData sheetId="8820">
        <row r="34">
          <cell r="A34" t="str">
            <v>Investments Govt Securities</v>
          </cell>
        </row>
      </sheetData>
      <sheetData sheetId="8821">
        <row r="34">
          <cell r="A34" t="str">
            <v>Investments Govt Securities</v>
          </cell>
        </row>
      </sheetData>
      <sheetData sheetId="8822">
        <row r="34">
          <cell r="A34" t="str">
            <v>Investments Govt Securities</v>
          </cell>
        </row>
      </sheetData>
      <sheetData sheetId="8823">
        <row r="34">
          <cell r="A34" t="str">
            <v>Investments Govt Securities</v>
          </cell>
        </row>
      </sheetData>
      <sheetData sheetId="8824">
        <row r="34">
          <cell r="A34" t="str">
            <v>Investments Govt Securities</v>
          </cell>
        </row>
      </sheetData>
      <sheetData sheetId="8825">
        <row r="34">
          <cell r="A34" t="str">
            <v>Investments Govt Securities</v>
          </cell>
        </row>
      </sheetData>
      <sheetData sheetId="8826">
        <row r="34">
          <cell r="A34" t="str">
            <v>Investments Govt Securities</v>
          </cell>
        </row>
      </sheetData>
      <sheetData sheetId="8827">
        <row r="34">
          <cell r="A34" t="str">
            <v>Investments Govt Securities</v>
          </cell>
        </row>
      </sheetData>
      <sheetData sheetId="8828">
        <row r="34">
          <cell r="A34" t="str">
            <v>Investments Govt Securities</v>
          </cell>
        </row>
      </sheetData>
      <sheetData sheetId="8829">
        <row r="34">
          <cell r="A34" t="str">
            <v>Investments Govt Securities</v>
          </cell>
        </row>
      </sheetData>
      <sheetData sheetId="8830">
        <row r="34">
          <cell r="A34" t="str">
            <v>Investments Govt Securities</v>
          </cell>
        </row>
      </sheetData>
      <sheetData sheetId="8831">
        <row r="34">
          <cell r="A34" t="str">
            <v>Investments Govt Securities</v>
          </cell>
        </row>
      </sheetData>
      <sheetData sheetId="8832">
        <row r="34">
          <cell r="A34" t="str">
            <v>Investments Govt Securities</v>
          </cell>
        </row>
      </sheetData>
      <sheetData sheetId="8833">
        <row r="34">
          <cell r="A34" t="str">
            <v>Investments Govt Securities</v>
          </cell>
        </row>
      </sheetData>
      <sheetData sheetId="8834">
        <row r="34">
          <cell r="A34" t="str">
            <v>Investments Govt Securities</v>
          </cell>
        </row>
      </sheetData>
      <sheetData sheetId="8835">
        <row r="34">
          <cell r="A34" t="str">
            <v>Investments Govt Securities</v>
          </cell>
        </row>
      </sheetData>
      <sheetData sheetId="8836">
        <row r="34">
          <cell r="A34" t="str">
            <v>Investments Govt Securities</v>
          </cell>
        </row>
      </sheetData>
      <sheetData sheetId="8837">
        <row r="34">
          <cell r="A34" t="str">
            <v>Investments Govt Securities</v>
          </cell>
        </row>
      </sheetData>
      <sheetData sheetId="8838">
        <row r="34">
          <cell r="A34" t="str">
            <v>Investments Govt Securities</v>
          </cell>
        </row>
      </sheetData>
      <sheetData sheetId="8839">
        <row r="34">
          <cell r="A34" t="str">
            <v>Investments Govt Securities</v>
          </cell>
        </row>
      </sheetData>
      <sheetData sheetId="8840">
        <row r="34">
          <cell r="A34" t="str">
            <v>Investments Govt Securities</v>
          </cell>
        </row>
      </sheetData>
      <sheetData sheetId="8841">
        <row r="34">
          <cell r="A34" t="str">
            <v>Investments Govt Securities</v>
          </cell>
        </row>
      </sheetData>
      <sheetData sheetId="8842">
        <row r="34">
          <cell r="A34" t="str">
            <v>Investments Govt Securities</v>
          </cell>
        </row>
      </sheetData>
      <sheetData sheetId="8843">
        <row r="34">
          <cell r="A34" t="str">
            <v>Investments Govt Securities</v>
          </cell>
        </row>
      </sheetData>
      <sheetData sheetId="8844">
        <row r="34">
          <cell r="A34" t="str">
            <v>Investments Govt Securities</v>
          </cell>
        </row>
      </sheetData>
      <sheetData sheetId="8845">
        <row r="34">
          <cell r="A34" t="str">
            <v>Investments Govt Securities</v>
          </cell>
        </row>
      </sheetData>
      <sheetData sheetId="8846">
        <row r="34">
          <cell r="A34" t="str">
            <v>Investments Govt Securities</v>
          </cell>
        </row>
      </sheetData>
      <sheetData sheetId="8847">
        <row r="34">
          <cell r="A34" t="str">
            <v>Investments Govt Securities</v>
          </cell>
        </row>
      </sheetData>
      <sheetData sheetId="8848">
        <row r="34">
          <cell r="A34" t="str">
            <v>Investments Govt Securities</v>
          </cell>
        </row>
      </sheetData>
      <sheetData sheetId="8849">
        <row r="34">
          <cell r="A34" t="str">
            <v>Investments Govt Securities</v>
          </cell>
        </row>
      </sheetData>
      <sheetData sheetId="8850">
        <row r="34">
          <cell r="A34" t="str">
            <v>Investments Govt Securities</v>
          </cell>
        </row>
      </sheetData>
      <sheetData sheetId="8851">
        <row r="34">
          <cell r="A34" t="str">
            <v>Investments Govt Securities</v>
          </cell>
        </row>
      </sheetData>
      <sheetData sheetId="8852">
        <row r="34">
          <cell r="A34" t="str">
            <v>Investments Govt Securities</v>
          </cell>
        </row>
      </sheetData>
      <sheetData sheetId="8853">
        <row r="34">
          <cell r="A34" t="str">
            <v>Investments Govt Securities</v>
          </cell>
        </row>
      </sheetData>
      <sheetData sheetId="8854">
        <row r="34">
          <cell r="A34" t="str">
            <v>Investments Govt Securities</v>
          </cell>
        </row>
      </sheetData>
      <sheetData sheetId="8855">
        <row r="34">
          <cell r="A34" t="str">
            <v>Investments Govt Securities</v>
          </cell>
        </row>
      </sheetData>
      <sheetData sheetId="8856">
        <row r="34">
          <cell r="A34" t="str">
            <v>Investments Govt Securities</v>
          </cell>
        </row>
      </sheetData>
      <sheetData sheetId="8857">
        <row r="34">
          <cell r="A34" t="str">
            <v>Investments Govt Securities</v>
          </cell>
        </row>
      </sheetData>
      <sheetData sheetId="8858">
        <row r="34">
          <cell r="A34" t="str">
            <v>Investments Govt Securities</v>
          </cell>
        </row>
      </sheetData>
      <sheetData sheetId="8859">
        <row r="34">
          <cell r="A34" t="str">
            <v>Investments Govt Securities</v>
          </cell>
        </row>
      </sheetData>
      <sheetData sheetId="8860">
        <row r="34">
          <cell r="A34" t="str">
            <v>Investments Govt Securities</v>
          </cell>
        </row>
      </sheetData>
      <sheetData sheetId="8861">
        <row r="34">
          <cell r="A34" t="str">
            <v>Investments Govt Securities</v>
          </cell>
        </row>
      </sheetData>
      <sheetData sheetId="8862">
        <row r="34">
          <cell r="A34" t="str">
            <v>Investments Govt Securities</v>
          </cell>
        </row>
      </sheetData>
      <sheetData sheetId="8863">
        <row r="34">
          <cell r="A34" t="str">
            <v>Investments Govt Securities</v>
          </cell>
        </row>
      </sheetData>
      <sheetData sheetId="8864">
        <row r="34">
          <cell r="A34" t="str">
            <v>Investments Govt Securities</v>
          </cell>
        </row>
      </sheetData>
      <sheetData sheetId="8865">
        <row r="34">
          <cell r="A34" t="str">
            <v>Investments Govt Securities</v>
          </cell>
        </row>
      </sheetData>
      <sheetData sheetId="8866">
        <row r="34">
          <cell r="A34" t="str">
            <v>Investments Govt Securities</v>
          </cell>
        </row>
      </sheetData>
      <sheetData sheetId="8867">
        <row r="34">
          <cell r="A34" t="str">
            <v>Investments Govt Securities</v>
          </cell>
        </row>
      </sheetData>
      <sheetData sheetId="8868">
        <row r="34">
          <cell r="A34" t="str">
            <v>Investments Govt Securities</v>
          </cell>
        </row>
      </sheetData>
      <sheetData sheetId="8869">
        <row r="34">
          <cell r="A34" t="str">
            <v>Investments Govt Securities</v>
          </cell>
        </row>
      </sheetData>
      <sheetData sheetId="8870">
        <row r="34">
          <cell r="A34" t="str">
            <v>Investments Govt Securities</v>
          </cell>
        </row>
      </sheetData>
      <sheetData sheetId="8871">
        <row r="34">
          <cell r="A34" t="str">
            <v>Investments Govt Securities</v>
          </cell>
        </row>
      </sheetData>
      <sheetData sheetId="8872">
        <row r="34">
          <cell r="A34" t="str">
            <v>Investments Govt Securities</v>
          </cell>
        </row>
      </sheetData>
      <sheetData sheetId="8873">
        <row r="34">
          <cell r="A34" t="str">
            <v>Investments Govt Securities</v>
          </cell>
        </row>
      </sheetData>
      <sheetData sheetId="8874">
        <row r="34">
          <cell r="A34" t="str">
            <v>Investments Govt Securities</v>
          </cell>
        </row>
      </sheetData>
      <sheetData sheetId="8875">
        <row r="34">
          <cell r="A34" t="str">
            <v>Investments Govt Securities</v>
          </cell>
        </row>
      </sheetData>
      <sheetData sheetId="8876">
        <row r="34">
          <cell r="A34" t="str">
            <v>Investments Govt Securities</v>
          </cell>
        </row>
      </sheetData>
      <sheetData sheetId="8877">
        <row r="34">
          <cell r="A34" t="str">
            <v>Investments Govt Securities</v>
          </cell>
        </row>
      </sheetData>
      <sheetData sheetId="8878">
        <row r="34">
          <cell r="A34" t="str">
            <v>Investments Govt Securities</v>
          </cell>
        </row>
      </sheetData>
      <sheetData sheetId="8879">
        <row r="34">
          <cell r="A34" t="str">
            <v>Investments Govt Securities</v>
          </cell>
        </row>
      </sheetData>
      <sheetData sheetId="8880">
        <row r="34">
          <cell r="A34" t="str">
            <v>Investments Govt Securities</v>
          </cell>
        </row>
      </sheetData>
      <sheetData sheetId="8881">
        <row r="34">
          <cell r="A34" t="str">
            <v>Investments Govt Securities</v>
          </cell>
        </row>
      </sheetData>
      <sheetData sheetId="8882">
        <row r="34">
          <cell r="A34" t="str">
            <v>Investments Govt Securities</v>
          </cell>
        </row>
      </sheetData>
      <sheetData sheetId="8883">
        <row r="34">
          <cell r="A34" t="str">
            <v>Investments Govt Securities</v>
          </cell>
        </row>
      </sheetData>
      <sheetData sheetId="8884">
        <row r="34">
          <cell r="A34" t="str">
            <v>Investments Govt Securities</v>
          </cell>
        </row>
      </sheetData>
      <sheetData sheetId="8885">
        <row r="34">
          <cell r="A34" t="str">
            <v>Investments Govt Securities</v>
          </cell>
        </row>
      </sheetData>
      <sheetData sheetId="8886">
        <row r="34">
          <cell r="A34" t="str">
            <v>Investments Govt Securities</v>
          </cell>
        </row>
      </sheetData>
      <sheetData sheetId="8887">
        <row r="34">
          <cell r="A34" t="str">
            <v>Investments Govt Securities</v>
          </cell>
        </row>
      </sheetData>
      <sheetData sheetId="8888">
        <row r="34">
          <cell r="A34" t="str">
            <v>Investments Govt Securities</v>
          </cell>
        </row>
      </sheetData>
      <sheetData sheetId="8889">
        <row r="34">
          <cell r="A34" t="str">
            <v>Investments Govt Securities</v>
          </cell>
        </row>
      </sheetData>
      <sheetData sheetId="8890">
        <row r="34">
          <cell r="A34" t="str">
            <v>Investments Govt Securities</v>
          </cell>
        </row>
      </sheetData>
      <sheetData sheetId="8891">
        <row r="34">
          <cell r="A34" t="str">
            <v>Investments Govt Securities</v>
          </cell>
        </row>
      </sheetData>
      <sheetData sheetId="8892">
        <row r="34">
          <cell r="A34" t="str">
            <v>Investments Govt Securities</v>
          </cell>
        </row>
      </sheetData>
      <sheetData sheetId="8893">
        <row r="34">
          <cell r="A34" t="str">
            <v>Investments Govt Securities</v>
          </cell>
        </row>
      </sheetData>
      <sheetData sheetId="8894">
        <row r="34">
          <cell r="A34" t="str">
            <v>Investments Govt Securities</v>
          </cell>
        </row>
      </sheetData>
      <sheetData sheetId="8895">
        <row r="34">
          <cell r="A34" t="str">
            <v>Investments Govt Securities</v>
          </cell>
        </row>
      </sheetData>
      <sheetData sheetId="8896">
        <row r="34">
          <cell r="A34" t="str">
            <v>Investments Govt Securities</v>
          </cell>
        </row>
      </sheetData>
      <sheetData sheetId="8897">
        <row r="34">
          <cell r="A34" t="str">
            <v>Investments Govt Securities</v>
          </cell>
        </row>
      </sheetData>
      <sheetData sheetId="8898">
        <row r="34">
          <cell r="A34" t="str">
            <v>Investments Govt Securities</v>
          </cell>
        </row>
      </sheetData>
      <sheetData sheetId="8899">
        <row r="34">
          <cell r="A34" t="str">
            <v>Investments Govt Securities</v>
          </cell>
        </row>
      </sheetData>
      <sheetData sheetId="8900">
        <row r="34">
          <cell r="A34" t="str">
            <v>Investments Govt Securities</v>
          </cell>
        </row>
      </sheetData>
      <sheetData sheetId="8901">
        <row r="34">
          <cell r="A34" t="str">
            <v>Investments Govt Securities</v>
          </cell>
        </row>
      </sheetData>
      <sheetData sheetId="8902">
        <row r="34">
          <cell r="A34" t="str">
            <v>Investments Govt Securities</v>
          </cell>
        </row>
      </sheetData>
      <sheetData sheetId="8903">
        <row r="34">
          <cell r="A34" t="str">
            <v>Investments Govt Securities</v>
          </cell>
        </row>
      </sheetData>
      <sheetData sheetId="8904">
        <row r="34">
          <cell r="A34" t="str">
            <v>Investments Govt Securities</v>
          </cell>
        </row>
      </sheetData>
      <sheetData sheetId="8905">
        <row r="34">
          <cell r="A34" t="str">
            <v>Investments Govt Securities</v>
          </cell>
        </row>
      </sheetData>
      <sheetData sheetId="8906">
        <row r="34">
          <cell r="A34" t="str">
            <v>Investments Govt Securities</v>
          </cell>
        </row>
      </sheetData>
      <sheetData sheetId="8907">
        <row r="34">
          <cell r="A34" t="str">
            <v>Investments Govt Securities</v>
          </cell>
        </row>
      </sheetData>
      <sheetData sheetId="8908">
        <row r="34">
          <cell r="A34" t="str">
            <v>Investments Govt Securities</v>
          </cell>
        </row>
      </sheetData>
      <sheetData sheetId="8909">
        <row r="34">
          <cell r="A34" t="str">
            <v>Investments Govt Securities</v>
          </cell>
        </row>
      </sheetData>
      <sheetData sheetId="8910">
        <row r="34">
          <cell r="A34" t="str">
            <v>Investments Govt Securities</v>
          </cell>
        </row>
      </sheetData>
      <sheetData sheetId="8911">
        <row r="34">
          <cell r="A34" t="str">
            <v>Investments Govt Securities</v>
          </cell>
        </row>
      </sheetData>
      <sheetData sheetId="8912">
        <row r="34">
          <cell r="A34" t="str">
            <v>Investments Govt Securities</v>
          </cell>
        </row>
      </sheetData>
      <sheetData sheetId="8913">
        <row r="34">
          <cell r="A34" t="str">
            <v>Investments Govt Securities</v>
          </cell>
        </row>
      </sheetData>
      <sheetData sheetId="8914">
        <row r="34">
          <cell r="A34" t="str">
            <v>Investments Govt Securities</v>
          </cell>
        </row>
      </sheetData>
      <sheetData sheetId="8915">
        <row r="34">
          <cell r="A34" t="str">
            <v>Investments Govt Securities</v>
          </cell>
        </row>
      </sheetData>
      <sheetData sheetId="8916">
        <row r="34">
          <cell r="A34" t="str">
            <v>Investments Govt Securities</v>
          </cell>
        </row>
      </sheetData>
      <sheetData sheetId="8917">
        <row r="34">
          <cell r="A34" t="str">
            <v>Investments Govt Securities</v>
          </cell>
        </row>
      </sheetData>
      <sheetData sheetId="8918">
        <row r="34">
          <cell r="A34" t="str">
            <v>Investments Govt Securities</v>
          </cell>
        </row>
      </sheetData>
      <sheetData sheetId="8919">
        <row r="34">
          <cell r="A34" t="str">
            <v>Investments Govt Securities</v>
          </cell>
        </row>
      </sheetData>
      <sheetData sheetId="8920">
        <row r="34">
          <cell r="A34" t="str">
            <v>Investments Govt Securities</v>
          </cell>
        </row>
      </sheetData>
      <sheetData sheetId="8921">
        <row r="34">
          <cell r="A34" t="str">
            <v>Investments Govt Securities</v>
          </cell>
        </row>
      </sheetData>
      <sheetData sheetId="8922">
        <row r="34">
          <cell r="A34" t="str">
            <v>Investments Govt Securities</v>
          </cell>
        </row>
      </sheetData>
      <sheetData sheetId="8923">
        <row r="34">
          <cell r="A34" t="str">
            <v>Investments Govt Securities</v>
          </cell>
        </row>
      </sheetData>
      <sheetData sheetId="8924">
        <row r="34">
          <cell r="A34" t="str">
            <v>Investments Govt Securities</v>
          </cell>
        </row>
      </sheetData>
      <sheetData sheetId="8925">
        <row r="34">
          <cell r="A34" t="str">
            <v>Investments Govt Securities</v>
          </cell>
        </row>
      </sheetData>
      <sheetData sheetId="8926">
        <row r="34">
          <cell r="A34" t="str">
            <v>Investments Govt Securities</v>
          </cell>
        </row>
      </sheetData>
      <sheetData sheetId="8927">
        <row r="34">
          <cell r="A34" t="str">
            <v>Investments Govt Securities</v>
          </cell>
        </row>
      </sheetData>
      <sheetData sheetId="8928">
        <row r="34">
          <cell r="A34" t="str">
            <v>Investments Govt Securities</v>
          </cell>
        </row>
      </sheetData>
      <sheetData sheetId="8929">
        <row r="34">
          <cell r="A34" t="str">
            <v>Investments Govt Securities</v>
          </cell>
        </row>
      </sheetData>
      <sheetData sheetId="8930">
        <row r="34">
          <cell r="A34" t="str">
            <v>Investments Govt Securities</v>
          </cell>
        </row>
      </sheetData>
      <sheetData sheetId="8931">
        <row r="34">
          <cell r="A34" t="str">
            <v>Investments Govt Securities</v>
          </cell>
        </row>
      </sheetData>
      <sheetData sheetId="8932">
        <row r="34">
          <cell r="A34" t="str">
            <v>Investments Govt Securities</v>
          </cell>
        </row>
      </sheetData>
      <sheetData sheetId="8933">
        <row r="34">
          <cell r="A34" t="str">
            <v>Investments Govt Securities</v>
          </cell>
        </row>
      </sheetData>
      <sheetData sheetId="8934">
        <row r="34">
          <cell r="A34" t="str">
            <v>Investments Govt Securities</v>
          </cell>
        </row>
      </sheetData>
      <sheetData sheetId="8935">
        <row r="34">
          <cell r="A34" t="str">
            <v>Investments Govt Securities</v>
          </cell>
        </row>
      </sheetData>
      <sheetData sheetId="8936">
        <row r="34">
          <cell r="A34" t="str">
            <v>Investments Govt Securities</v>
          </cell>
        </row>
      </sheetData>
      <sheetData sheetId="8937">
        <row r="34">
          <cell r="A34" t="str">
            <v>Investments Govt Securities</v>
          </cell>
        </row>
      </sheetData>
      <sheetData sheetId="8938">
        <row r="34">
          <cell r="A34" t="str">
            <v>Investments Govt Securities</v>
          </cell>
        </row>
      </sheetData>
      <sheetData sheetId="8939">
        <row r="34">
          <cell r="A34" t="str">
            <v>Investments Govt Securities</v>
          </cell>
        </row>
      </sheetData>
      <sheetData sheetId="8940">
        <row r="34">
          <cell r="A34" t="str">
            <v>Investments Govt Securities</v>
          </cell>
        </row>
      </sheetData>
      <sheetData sheetId="8941">
        <row r="34">
          <cell r="A34" t="str">
            <v>Investments Govt Securities</v>
          </cell>
        </row>
      </sheetData>
      <sheetData sheetId="8942">
        <row r="34">
          <cell r="A34" t="str">
            <v>Investments Govt Securities</v>
          </cell>
        </row>
      </sheetData>
      <sheetData sheetId="8943">
        <row r="34">
          <cell r="A34" t="str">
            <v>Investments Govt Securities</v>
          </cell>
        </row>
      </sheetData>
      <sheetData sheetId="8944">
        <row r="34">
          <cell r="A34" t="str">
            <v>Investments Govt Securities</v>
          </cell>
        </row>
      </sheetData>
      <sheetData sheetId="8945">
        <row r="34">
          <cell r="A34" t="str">
            <v>Investments Govt Securities</v>
          </cell>
        </row>
      </sheetData>
      <sheetData sheetId="8946">
        <row r="34">
          <cell r="A34" t="str">
            <v>Investments Govt Securities</v>
          </cell>
        </row>
      </sheetData>
      <sheetData sheetId="8947">
        <row r="34">
          <cell r="A34" t="str">
            <v>Investments Govt Securities</v>
          </cell>
        </row>
      </sheetData>
      <sheetData sheetId="8948">
        <row r="34">
          <cell r="A34" t="str">
            <v>Investments Govt Securities</v>
          </cell>
        </row>
      </sheetData>
      <sheetData sheetId="8949">
        <row r="34">
          <cell r="A34" t="str">
            <v>Investments Govt Securities</v>
          </cell>
        </row>
      </sheetData>
      <sheetData sheetId="8950">
        <row r="34">
          <cell r="A34" t="str">
            <v>Investments Govt Securities</v>
          </cell>
        </row>
      </sheetData>
      <sheetData sheetId="8951">
        <row r="34">
          <cell r="A34" t="str">
            <v>Investments Govt Securities</v>
          </cell>
        </row>
      </sheetData>
      <sheetData sheetId="8952">
        <row r="34">
          <cell r="A34" t="str">
            <v>Investments Govt Securities</v>
          </cell>
        </row>
      </sheetData>
      <sheetData sheetId="8953">
        <row r="34">
          <cell r="A34" t="str">
            <v>Investments Govt Securities</v>
          </cell>
        </row>
      </sheetData>
      <sheetData sheetId="8954">
        <row r="34">
          <cell r="A34" t="str">
            <v>Investments Govt Securities</v>
          </cell>
        </row>
      </sheetData>
      <sheetData sheetId="8955">
        <row r="34">
          <cell r="A34" t="str">
            <v>Investments Govt Securities</v>
          </cell>
        </row>
      </sheetData>
      <sheetData sheetId="8956">
        <row r="34">
          <cell r="A34" t="str">
            <v>Investments Govt Securities</v>
          </cell>
        </row>
      </sheetData>
      <sheetData sheetId="8957">
        <row r="34">
          <cell r="A34" t="str">
            <v>Investments Govt Securities</v>
          </cell>
        </row>
      </sheetData>
      <sheetData sheetId="8958">
        <row r="34">
          <cell r="A34" t="str">
            <v>Investments Govt Securities</v>
          </cell>
        </row>
      </sheetData>
      <sheetData sheetId="8959">
        <row r="34">
          <cell r="A34" t="str">
            <v>Investments Govt Securities</v>
          </cell>
        </row>
      </sheetData>
      <sheetData sheetId="8960">
        <row r="34">
          <cell r="A34" t="str">
            <v>Investments Govt Securities</v>
          </cell>
        </row>
      </sheetData>
      <sheetData sheetId="8961">
        <row r="34">
          <cell r="A34" t="str">
            <v>Investments Govt Securities</v>
          </cell>
        </row>
      </sheetData>
      <sheetData sheetId="8962">
        <row r="34">
          <cell r="A34" t="str">
            <v>Investments Govt Securities</v>
          </cell>
        </row>
      </sheetData>
      <sheetData sheetId="8963">
        <row r="34">
          <cell r="A34" t="str">
            <v>Investments Govt Securities</v>
          </cell>
        </row>
      </sheetData>
      <sheetData sheetId="8964">
        <row r="34">
          <cell r="A34" t="str">
            <v>Investments Govt Securities</v>
          </cell>
        </row>
      </sheetData>
      <sheetData sheetId="8965">
        <row r="34">
          <cell r="A34" t="str">
            <v>Investments Govt Securities</v>
          </cell>
        </row>
      </sheetData>
      <sheetData sheetId="8966">
        <row r="34">
          <cell r="A34" t="str">
            <v>Investments Govt Securities</v>
          </cell>
        </row>
      </sheetData>
      <sheetData sheetId="8967">
        <row r="34">
          <cell r="A34" t="str">
            <v>Investments Govt Securities</v>
          </cell>
        </row>
      </sheetData>
      <sheetData sheetId="8968">
        <row r="34">
          <cell r="A34" t="str">
            <v>Investments Govt Securities</v>
          </cell>
        </row>
      </sheetData>
      <sheetData sheetId="8969">
        <row r="34">
          <cell r="A34" t="str">
            <v>Investments Govt Securities</v>
          </cell>
        </row>
      </sheetData>
      <sheetData sheetId="8970">
        <row r="34">
          <cell r="A34" t="str">
            <v>Investments Govt Securities</v>
          </cell>
        </row>
      </sheetData>
      <sheetData sheetId="8971">
        <row r="34">
          <cell r="A34" t="str">
            <v>Investments Govt Securities</v>
          </cell>
        </row>
      </sheetData>
      <sheetData sheetId="8972">
        <row r="34">
          <cell r="A34" t="str">
            <v>Investments Govt Securities</v>
          </cell>
        </row>
      </sheetData>
      <sheetData sheetId="8973">
        <row r="34">
          <cell r="A34" t="str">
            <v>Investments Govt Securities</v>
          </cell>
        </row>
      </sheetData>
      <sheetData sheetId="8974">
        <row r="34">
          <cell r="A34" t="str">
            <v>Investments Govt Securities</v>
          </cell>
        </row>
      </sheetData>
      <sheetData sheetId="8975">
        <row r="34">
          <cell r="A34" t="str">
            <v>Investments Govt Securities</v>
          </cell>
        </row>
      </sheetData>
      <sheetData sheetId="8976">
        <row r="34">
          <cell r="A34" t="str">
            <v>Investments Govt Securities</v>
          </cell>
        </row>
      </sheetData>
      <sheetData sheetId="8977">
        <row r="34">
          <cell r="A34" t="str">
            <v>Investments Govt Securities</v>
          </cell>
        </row>
      </sheetData>
      <sheetData sheetId="8978">
        <row r="34">
          <cell r="A34" t="str">
            <v>Investments Govt Securities</v>
          </cell>
        </row>
      </sheetData>
      <sheetData sheetId="8979">
        <row r="34">
          <cell r="A34" t="str">
            <v>Investments Govt Securities</v>
          </cell>
        </row>
      </sheetData>
      <sheetData sheetId="8980">
        <row r="34">
          <cell r="A34" t="str">
            <v>Investments Govt Securities</v>
          </cell>
        </row>
      </sheetData>
      <sheetData sheetId="8981">
        <row r="34">
          <cell r="A34" t="str">
            <v>Investments Govt Securities</v>
          </cell>
        </row>
      </sheetData>
      <sheetData sheetId="8982">
        <row r="34">
          <cell r="A34" t="str">
            <v>Investments Govt Securities</v>
          </cell>
        </row>
      </sheetData>
      <sheetData sheetId="8983">
        <row r="34">
          <cell r="A34" t="str">
            <v>Investments Govt Securities</v>
          </cell>
        </row>
      </sheetData>
      <sheetData sheetId="8984">
        <row r="34">
          <cell r="A34" t="str">
            <v>Investments Govt Securities</v>
          </cell>
        </row>
      </sheetData>
      <sheetData sheetId="8985">
        <row r="34">
          <cell r="A34" t="str">
            <v>Investments Govt Securities</v>
          </cell>
        </row>
      </sheetData>
      <sheetData sheetId="8986">
        <row r="34">
          <cell r="A34" t="str">
            <v>Investments Govt Securities</v>
          </cell>
        </row>
      </sheetData>
      <sheetData sheetId="8987">
        <row r="34">
          <cell r="A34" t="str">
            <v>Investments Govt Securities</v>
          </cell>
        </row>
      </sheetData>
      <sheetData sheetId="8988">
        <row r="34">
          <cell r="A34" t="str">
            <v>Investments Govt Securities</v>
          </cell>
        </row>
      </sheetData>
      <sheetData sheetId="8989">
        <row r="34">
          <cell r="A34" t="str">
            <v>Investments Govt Securities</v>
          </cell>
        </row>
      </sheetData>
      <sheetData sheetId="8990">
        <row r="34">
          <cell r="A34" t="str">
            <v>Investments Govt Securities</v>
          </cell>
        </row>
      </sheetData>
      <sheetData sheetId="8991">
        <row r="34">
          <cell r="A34" t="str">
            <v>Investments Govt Securities</v>
          </cell>
        </row>
      </sheetData>
      <sheetData sheetId="8992">
        <row r="34">
          <cell r="A34" t="str">
            <v>Investments Govt Securities</v>
          </cell>
        </row>
      </sheetData>
      <sheetData sheetId="8993">
        <row r="34">
          <cell r="A34" t="str">
            <v>Investments Govt Securities</v>
          </cell>
        </row>
      </sheetData>
      <sheetData sheetId="8994">
        <row r="34">
          <cell r="A34" t="str">
            <v>Investments Govt Securities</v>
          </cell>
        </row>
      </sheetData>
      <sheetData sheetId="8995">
        <row r="34">
          <cell r="A34" t="str">
            <v>Investments Govt Securities</v>
          </cell>
        </row>
      </sheetData>
      <sheetData sheetId="8996">
        <row r="34">
          <cell r="A34" t="str">
            <v>Investments Govt Securities</v>
          </cell>
        </row>
      </sheetData>
      <sheetData sheetId="8997">
        <row r="34">
          <cell r="A34" t="str">
            <v>Investments Govt Securities</v>
          </cell>
        </row>
      </sheetData>
      <sheetData sheetId="8998">
        <row r="34">
          <cell r="A34" t="str">
            <v>Investments Govt Securities</v>
          </cell>
        </row>
      </sheetData>
      <sheetData sheetId="8999">
        <row r="34">
          <cell r="A34" t="str">
            <v>Investments Govt Securities</v>
          </cell>
        </row>
      </sheetData>
      <sheetData sheetId="9000">
        <row r="34">
          <cell r="A34" t="str">
            <v>Investments Govt Securities</v>
          </cell>
        </row>
      </sheetData>
      <sheetData sheetId="9001">
        <row r="34">
          <cell r="A34" t="str">
            <v>Investments Govt Securities</v>
          </cell>
        </row>
      </sheetData>
      <sheetData sheetId="9002">
        <row r="34">
          <cell r="A34" t="str">
            <v>Investments Govt Securities</v>
          </cell>
        </row>
      </sheetData>
      <sheetData sheetId="9003">
        <row r="34">
          <cell r="A34" t="str">
            <v>Investments Govt Securities</v>
          </cell>
        </row>
      </sheetData>
      <sheetData sheetId="9004">
        <row r="34">
          <cell r="A34" t="str">
            <v>Investments Govt Securities</v>
          </cell>
        </row>
      </sheetData>
      <sheetData sheetId="9005">
        <row r="34">
          <cell r="A34" t="str">
            <v>Investments Govt Securities</v>
          </cell>
        </row>
      </sheetData>
      <sheetData sheetId="9006">
        <row r="34">
          <cell r="A34" t="str">
            <v>Investments Govt Securities</v>
          </cell>
        </row>
      </sheetData>
      <sheetData sheetId="9007">
        <row r="34">
          <cell r="A34" t="str">
            <v>Investments Govt Securities</v>
          </cell>
        </row>
      </sheetData>
      <sheetData sheetId="9008">
        <row r="34">
          <cell r="A34" t="str">
            <v>Investments Govt Securities</v>
          </cell>
        </row>
      </sheetData>
      <sheetData sheetId="9009">
        <row r="34">
          <cell r="A34" t="str">
            <v>Investments Govt Securities</v>
          </cell>
        </row>
      </sheetData>
      <sheetData sheetId="9010">
        <row r="34">
          <cell r="A34" t="str">
            <v>Investments Govt Securities</v>
          </cell>
        </row>
      </sheetData>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row r="34">
          <cell r="A34" t="str">
            <v>Investments Govt Securities</v>
          </cell>
        </row>
      </sheetData>
      <sheetData sheetId="9027"/>
      <sheetData sheetId="9028"/>
      <sheetData sheetId="9029"/>
      <sheetData sheetId="9030">
        <row r="34">
          <cell r="A34" t="str">
            <v>Investments Govt Securities</v>
          </cell>
        </row>
      </sheetData>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row r="34">
          <cell r="A34" t="str">
            <v>Investments Govt Securities</v>
          </cell>
        </row>
      </sheetData>
      <sheetData sheetId="9048"/>
      <sheetData sheetId="9049"/>
      <sheetData sheetId="9050"/>
      <sheetData sheetId="9051">
        <row r="34">
          <cell r="A34" t="str">
            <v>Investments Govt Securities</v>
          </cell>
        </row>
      </sheetData>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row r="34">
          <cell r="A34" t="str">
            <v>Investments Govt Securities</v>
          </cell>
        </row>
      </sheetData>
      <sheetData sheetId="9074"/>
      <sheetData sheetId="9075"/>
      <sheetData sheetId="9076"/>
      <sheetData sheetId="9077">
        <row r="34">
          <cell r="A34" t="str">
            <v>Investments Govt Securities</v>
          </cell>
        </row>
      </sheetData>
      <sheetData sheetId="9078"/>
      <sheetData sheetId="9079"/>
      <sheetData sheetId="9080"/>
      <sheetData sheetId="9081">
        <row r="34">
          <cell r="A34" t="str">
            <v>Investments Govt Securities</v>
          </cell>
        </row>
      </sheetData>
      <sheetData sheetId="9082"/>
      <sheetData sheetId="9083"/>
      <sheetData sheetId="9084">
        <row r="34">
          <cell r="A34" t="str">
            <v>Investments Govt Securities</v>
          </cell>
        </row>
      </sheetData>
      <sheetData sheetId="9085">
        <row r="34">
          <cell r="A34" t="str">
            <v>Investments Govt Securities</v>
          </cell>
        </row>
      </sheetData>
      <sheetData sheetId="9086"/>
      <sheetData sheetId="9087"/>
      <sheetData sheetId="9088">
        <row r="34">
          <cell r="A34" t="str">
            <v>Investments Govt Securities</v>
          </cell>
        </row>
      </sheetData>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row r="34">
          <cell r="A34" t="str">
            <v>Investments Govt Securities</v>
          </cell>
        </row>
      </sheetData>
      <sheetData sheetId="9164">
        <row r="34">
          <cell r="A34" t="str">
            <v>Investments Govt Securities</v>
          </cell>
        </row>
      </sheetData>
      <sheetData sheetId="9165">
        <row r="34">
          <cell r="A34" t="str">
            <v>Investments Govt Securities</v>
          </cell>
        </row>
      </sheetData>
      <sheetData sheetId="9166">
        <row r="34">
          <cell r="A34" t="str">
            <v>Investments Govt Securities</v>
          </cell>
        </row>
      </sheetData>
      <sheetData sheetId="9167">
        <row r="34">
          <cell r="A34" t="str">
            <v>Investments Govt Securities</v>
          </cell>
        </row>
      </sheetData>
      <sheetData sheetId="9168">
        <row r="34">
          <cell r="A34" t="str">
            <v>Investments Govt Securities</v>
          </cell>
        </row>
      </sheetData>
      <sheetData sheetId="9169">
        <row r="34">
          <cell r="A34" t="str">
            <v>Investments Govt Securities</v>
          </cell>
        </row>
      </sheetData>
      <sheetData sheetId="9170">
        <row r="34">
          <cell r="A34" t="str">
            <v>Investments Govt Securities</v>
          </cell>
        </row>
      </sheetData>
      <sheetData sheetId="9171">
        <row r="34">
          <cell r="A34" t="str">
            <v>Investments Govt Securities</v>
          </cell>
        </row>
      </sheetData>
      <sheetData sheetId="9172">
        <row r="34">
          <cell r="A34" t="str">
            <v>Investments Govt Securities</v>
          </cell>
        </row>
      </sheetData>
      <sheetData sheetId="9173">
        <row r="34">
          <cell r="A34" t="str">
            <v>Investments Govt Securities</v>
          </cell>
        </row>
      </sheetData>
      <sheetData sheetId="9174">
        <row r="34">
          <cell r="A34" t="str">
            <v>Investments Govt Securities</v>
          </cell>
        </row>
      </sheetData>
      <sheetData sheetId="9175">
        <row r="34">
          <cell r="A34" t="str">
            <v>Investments Govt Securities</v>
          </cell>
        </row>
      </sheetData>
      <sheetData sheetId="9176">
        <row r="34">
          <cell r="A34" t="str">
            <v>Investments Govt Securities</v>
          </cell>
        </row>
      </sheetData>
      <sheetData sheetId="9177">
        <row r="34">
          <cell r="A34" t="str">
            <v>Investments Govt Securities</v>
          </cell>
        </row>
      </sheetData>
      <sheetData sheetId="9178">
        <row r="34">
          <cell r="A34" t="str">
            <v>Investments Govt Securities</v>
          </cell>
        </row>
      </sheetData>
      <sheetData sheetId="9179">
        <row r="34">
          <cell r="A34" t="str">
            <v>Investments Govt Securities</v>
          </cell>
        </row>
      </sheetData>
      <sheetData sheetId="9180">
        <row r="34">
          <cell r="A34" t="str">
            <v>Investments Govt Securities</v>
          </cell>
        </row>
      </sheetData>
      <sheetData sheetId="9181">
        <row r="34">
          <cell r="A34" t="str">
            <v>Investments Govt Securities</v>
          </cell>
        </row>
      </sheetData>
      <sheetData sheetId="9182">
        <row r="34">
          <cell r="A34" t="str">
            <v>Investments Govt Securities</v>
          </cell>
        </row>
      </sheetData>
      <sheetData sheetId="9183">
        <row r="34">
          <cell r="A34" t="str">
            <v>Investments Govt Securities</v>
          </cell>
        </row>
      </sheetData>
      <sheetData sheetId="9184">
        <row r="34">
          <cell r="A34" t="str">
            <v>Investments Govt Securities</v>
          </cell>
        </row>
      </sheetData>
      <sheetData sheetId="9185">
        <row r="34">
          <cell r="A34" t="str">
            <v>Investments Govt Securities</v>
          </cell>
        </row>
      </sheetData>
      <sheetData sheetId="9186">
        <row r="34">
          <cell r="A34" t="str">
            <v>Investments Govt Securities</v>
          </cell>
        </row>
      </sheetData>
      <sheetData sheetId="9187">
        <row r="34">
          <cell r="A34" t="str">
            <v>Investments Govt Securities</v>
          </cell>
        </row>
      </sheetData>
      <sheetData sheetId="9188">
        <row r="34">
          <cell r="A34" t="str">
            <v>Investments Govt Securities</v>
          </cell>
        </row>
      </sheetData>
      <sheetData sheetId="9189">
        <row r="34">
          <cell r="A34" t="str">
            <v>Investments Govt Securities</v>
          </cell>
        </row>
      </sheetData>
      <sheetData sheetId="9190">
        <row r="34">
          <cell r="A34" t="str">
            <v>Investments Govt Securities</v>
          </cell>
        </row>
      </sheetData>
      <sheetData sheetId="9191">
        <row r="34">
          <cell r="A34" t="str">
            <v>Investments Govt Securities</v>
          </cell>
        </row>
      </sheetData>
      <sheetData sheetId="9192">
        <row r="34">
          <cell r="A34" t="str">
            <v>Investments Govt Securities</v>
          </cell>
        </row>
      </sheetData>
      <sheetData sheetId="9193">
        <row r="34">
          <cell r="A34" t="str">
            <v>Investments Govt Securities</v>
          </cell>
        </row>
      </sheetData>
      <sheetData sheetId="9194">
        <row r="34">
          <cell r="A34" t="str">
            <v>Investments Govt Securities</v>
          </cell>
        </row>
      </sheetData>
      <sheetData sheetId="9195">
        <row r="34">
          <cell r="A34" t="str">
            <v>Investments Govt Securities</v>
          </cell>
        </row>
      </sheetData>
      <sheetData sheetId="9196">
        <row r="34">
          <cell r="A34" t="str">
            <v>Investments Govt Securities</v>
          </cell>
        </row>
      </sheetData>
      <sheetData sheetId="9197">
        <row r="34">
          <cell r="A34" t="str">
            <v>Investments Govt Securities</v>
          </cell>
        </row>
      </sheetData>
      <sheetData sheetId="9198">
        <row r="34">
          <cell r="A34" t="str">
            <v>Investments Govt Securities</v>
          </cell>
        </row>
      </sheetData>
      <sheetData sheetId="9199">
        <row r="34">
          <cell r="A34" t="str">
            <v>Investments Govt Securities</v>
          </cell>
        </row>
      </sheetData>
      <sheetData sheetId="9200">
        <row r="34">
          <cell r="A34" t="str">
            <v>Investments Govt Securities</v>
          </cell>
        </row>
      </sheetData>
      <sheetData sheetId="9201">
        <row r="34">
          <cell r="A34" t="str">
            <v>Investments Govt Securities</v>
          </cell>
        </row>
      </sheetData>
      <sheetData sheetId="9202">
        <row r="34">
          <cell r="A34" t="str">
            <v>Investments Govt Securities</v>
          </cell>
        </row>
      </sheetData>
      <sheetData sheetId="9203">
        <row r="34">
          <cell r="A34" t="str">
            <v>Investments Govt Securities</v>
          </cell>
        </row>
      </sheetData>
      <sheetData sheetId="9204">
        <row r="34">
          <cell r="A34" t="str">
            <v>Investments Govt Securities</v>
          </cell>
        </row>
      </sheetData>
      <sheetData sheetId="9205">
        <row r="34">
          <cell r="A34" t="str">
            <v>Investments Govt Securities</v>
          </cell>
        </row>
      </sheetData>
      <sheetData sheetId="9206">
        <row r="34">
          <cell r="A34" t="str">
            <v>Investments Govt Securities</v>
          </cell>
        </row>
      </sheetData>
      <sheetData sheetId="9207">
        <row r="34">
          <cell r="A34" t="str">
            <v>Investments Govt Securities</v>
          </cell>
        </row>
      </sheetData>
      <sheetData sheetId="9208">
        <row r="34">
          <cell r="A34" t="str">
            <v>Investments Govt Securities</v>
          </cell>
        </row>
      </sheetData>
      <sheetData sheetId="9209">
        <row r="34">
          <cell r="A34" t="str">
            <v>Investments Govt Securities</v>
          </cell>
        </row>
      </sheetData>
      <sheetData sheetId="9210">
        <row r="34">
          <cell r="A34" t="str">
            <v>Investments Govt Securities</v>
          </cell>
        </row>
      </sheetData>
      <sheetData sheetId="9211">
        <row r="34">
          <cell r="A34" t="str">
            <v>Investments Govt Securities</v>
          </cell>
        </row>
      </sheetData>
      <sheetData sheetId="9212">
        <row r="34">
          <cell r="A34" t="str">
            <v>Investments Govt Securities</v>
          </cell>
        </row>
      </sheetData>
      <sheetData sheetId="9213">
        <row r="34">
          <cell r="A34" t="str">
            <v>Investments Govt Securities</v>
          </cell>
        </row>
      </sheetData>
      <sheetData sheetId="9214">
        <row r="34">
          <cell r="A34" t="str">
            <v>Investments Govt Securities</v>
          </cell>
        </row>
      </sheetData>
      <sheetData sheetId="9215">
        <row r="34">
          <cell r="A34" t="str">
            <v>Investments Govt Securities</v>
          </cell>
        </row>
      </sheetData>
      <sheetData sheetId="9216">
        <row r="34">
          <cell r="A34" t="str">
            <v>Investments Govt Securities</v>
          </cell>
        </row>
      </sheetData>
      <sheetData sheetId="9217">
        <row r="34">
          <cell r="A34" t="str">
            <v>Investments Govt Securities</v>
          </cell>
        </row>
      </sheetData>
      <sheetData sheetId="9218">
        <row r="34">
          <cell r="A34" t="str">
            <v>Investments Govt Securities</v>
          </cell>
        </row>
      </sheetData>
      <sheetData sheetId="9219">
        <row r="34">
          <cell r="A34" t="str">
            <v>Investments Govt Securities</v>
          </cell>
        </row>
      </sheetData>
      <sheetData sheetId="9220">
        <row r="34">
          <cell r="A34" t="str">
            <v>Investments Govt Securities</v>
          </cell>
        </row>
      </sheetData>
      <sheetData sheetId="9221">
        <row r="34">
          <cell r="A34" t="str">
            <v>Investments Govt Securities</v>
          </cell>
        </row>
      </sheetData>
      <sheetData sheetId="9222">
        <row r="34">
          <cell r="A34" t="str">
            <v>Investments Govt Securities</v>
          </cell>
        </row>
      </sheetData>
      <sheetData sheetId="9223">
        <row r="34">
          <cell r="A34" t="str">
            <v>Investments Govt Securities</v>
          </cell>
        </row>
      </sheetData>
      <sheetData sheetId="9224">
        <row r="34">
          <cell r="A34" t="str">
            <v>Investments Govt Securities</v>
          </cell>
        </row>
      </sheetData>
      <sheetData sheetId="9225">
        <row r="34">
          <cell r="A34" t="str">
            <v>Investments Govt Securities</v>
          </cell>
        </row>
      </sheetData>
      <sheetData sheetId="9226">
        <row r="34">
          <cell r="A34" t="str">
            <v>Investments Govt Securities</v>
          </cell>
        </row>
      </sheetData>
      <sheetData sheetId="9227">
        <row r="34">
          <cell r="A34" t="str">
            <v>Investments Govt Securities</v>
          </cell>
        </row>
      </sheetData>
      <sheetData sheetId="9228">
        <row r="34">
          <cell r="A34" t="str">
            <v>Investments Govt Securities</v>
          </cell>
        </row>
      </sheetData>
      <sheetData sheetId="9229">
        <row r="34">
          <cell r="A34" t="str">
            <v>Investments Govt Securities</v>
          </cell>
        </row>
      </sheetData>
      <sheetData sheetId="9230">
        <row r="34">
          <cell r="A34" t="str">
            <v>Investments Govt Securities</v>
          </cell>
        </row>
      </sheetData>
      <sheetData sheetId="9231">
        <row r="34">
          <cell r="A34" t="str">
            <v>Investments Govt Securities</v>
          </cell>
        </row>
      </sheetData>
      <sheetData sheetId="9232">
        <row r="34">
          <cell r="A34" t="str">
            <v>Investments Govt Securities</v>
          </cell>
        </row>
      </sheetData>
      <sheetData sheetId="9233">
        <row r="34">
          <cell r="A34" t="str">
            <v>Investments Govt Securities</v>
          </cell>
        </row>
      </sheetData>
      <sheetData sheetId="9234">
        <row r="34">
          <cell r="A34" t="str">
            <v>Investments Govt Securities</v>
          </cell>
        </row>
      </sheetData>
      <sheetData sheetId="9235">
        <row r="34">
          <cell r="A34" t="str">
            <v>Investments Govt Securities</v>
          </cell>
        </row>
      </sheetData>
      <sheetData sheetId="9236">
        <row r="34">
          <cell r="A34" t="str">
            <v>Investments Govt Securities</v>
          </cell>
        </row>
      </sheetData>
      <sheetData sheetId="9237">
        <row r="34">
          <cell r="A34" t="str">
            <v>Investments Govt Securities</v>
          </cell>
        </row>
      </sheetData>
      <sheetData sheetId="9238">
        <row r="34">
          <cell r="A34" t="str">
            <v>Investments Govt Securities</v>
          </cell>
        </row>
      </sheetData>
      <sheetData sheetId="9239">
        <row r="34">
          <cell r="A34" t="str">
            <v>Investments Govt Securities</v>
          </cell>
        </row>
      </sheetData>
      <sheetData sheetId="9240">
        <row r="34">
          <cell r="A34" t="str">
            <v>Investments Govt Securities</v>
          </cell>
        </row>
      </sheetData>
      <sheetData sheetId="9241">
        <row r="34">
          <cell r="A34" t="str">
            <v>Investments Govt Securities</v>
          </cell>
        </row>
      </sheetData>
      <sheetData sheetId="9242">
        <row r="34">
          <cell r="A34" t="str">
            <v>Investments Govt Securities</v>
          </cell>
        </row>
      </sheetData>
      <sheetData sheetId="9243">
        <row r="34">
          <cell r="A34" t="str">
            <v>Investments Govt Securities</v>
          </cell>
        </row>
      </sheetData>
      <sheetData sheetId="9244">
        <row r="34">
          <cell r="A34" t="str">
            <v>Investments Govt Securities</v>
          </cell>
        </row>
      </sheetData>
      <sheetData sheetId="9245">
        <row r="34">
          <cell r="A34" t="str">
            <v>Investments Govt Securities</v>
          </cell>
        </row>
      </sheetData>
      <sheetData sheetId="9246">
        <row r="34">
          <cell r="A34" t="str">
            <v>Investments Govt Securities</v>
          </cell>
        </row>
      </sheetData>
      <sheetData sheetId="9247">
        <row r="34">
          <cell r="A34" t="str">
            <v>Investments Govt Securities</v>
          </cell>
        </row>
      </sheetData>
      <sheetData sheetId="9248">
        <row r="34">
          <cell r="A34" t="str">
            <v>Investments Govt Securities</v>
          </cell>
        </row>
      </sheetData>
      <sheetData sheetId="9249">
        <row r="34">
          <cell r="A34" t="str">
            <v>Investments Govt Securities</v>
          </cell>
        </row>
      </sheetData>
      <sheetData sheetId="9250">
        <row r="34">
          <cell r="A34" t="str">
            <v>Investments Govt Securities</v>
          </cell>
        </row>
      </sheetData>
      <sheetData sheetId="9251">
        <row r="34">
          <cell r="A34" t="str">
            <v>Investments Govt Securities</v>
          </cell>
        </row>
      </sheetData>
      <sheetData sheetId="9252">
        <row r="34">
          <cell r="A34" t="str">
            <v>Investments Govt Securities</v>
          </cell>
        </row>
      </sheetData>
      <sheetData sheetId="9253">
        <row r="34">
          <cell r="A34" t="str">
            <v>Investments Govt Securities</v>
          </cell>
        </row>
      </sheetData>
      <sheetData sheetId="9254">
        <row r="34">
          <cell r="A34" t="str">
            <v>Investments Govt Securities</v>
          </cell>
        </row>
      </sheetData>
      <sheetData sheetId="9255">
        <row r="34">
          <cell r="A34" t="str">
            <v>Investments Govt Securities</v>
          </cell>
        </row>
      </sheetData>
      <sheetData sheetId="9256">
        <row r="34">
          <cell r="A34" t="str">
            <v>Investments Govt Securities</v>
          </cell>
        </row>
      </sheetData>
      <sheetData sheetId="9257">
        <row r="34">
          <cell r="A34" t="str">
            <v>Investments Govt Securities</v>
          </cell>
        </row>
      </sheetData>
      <sheetData sheetId="9258">
        <row r="34">
          <cell r="A34" t="str">
            <v>Investments Govt Securities</v>
          </cell>
        </row>
      </sheetData>
      <sheetData sheetId="9259">
        <row r="34">
          <cell r="A34" t="str">
            <v>Investments Govt Securities</v>
          </cell>
        </row>
      </sheetData>
      <sheetData sheetId="9260">
        <row r="34">
          <cell r="A34" t="str">
            <v>Investments Govt Securities</v>
          </cell>
        </row>
      </sheetData>
      <sheetData sheetId="9261">
        <row r="34">
          <cell r="A34" t="str">
            <v>Investments Govt Securities</v>
          </cell>
        </row>
      </sheetData>
      <sheetData sheetId="9262">
        <row r="34">
          <cell r="A34" t="str">
            <v>Investments Govt Securities</v>
          </cell>
        </row>
      </sheetData>
      <sheetData sheetId="9263">
        <row r="34">
          <cell r="A34" t="str">
            <v>Investments Govt Securities</v>
          </cell>
        </row>
      </sheetData>
      <sheetData sheetId="9264">
        <row r="34">
          <cell r="A34" t="str">
            <v>Investments Govt Securities</v>
          </cell>
        </row>
      </sheetData>
      <sheetData sheetId="9265">
        <row r="34">
          <cell r="A34" t="str">
            <v>Investments Govt Securities</v>
          </cell>
        </row>
      </sheetData>
      <sheetData sheetId="9266">
        <row r="34">
          <cell r="A34" t="str">
            <v>Investments Govt Securities</v>
          </cell>
        </row>
      </sheetData>
      <sheetData sheetId="9267">
        <row r="34">
          <cell r="A34" t="str">
            <v>Investments Govt Securities</v>
          </cell>
        </row>
      </sheetData>
      <sheetData sheetId="9268">
        <row r="34">
          <cell r="A34" t="str">
            <v>Investments Govt Securities</v>
          </cell>
        </row>
      </sheetData>
      <sheetData sheetId="9269">
        <row r="34">
          <cell r="A34" t="str">
            <v>Investments Govt Securities</v>
          </cell>
        </row>
      </sheetData>
      <sheetData sheetId="9270">
        <row r="34">
          <cell r="A34" t="str">
            <v>Investments Govt Securities</v>
          </cell>
        </row>
      </sheetData>
      <sheetData sheetId="9271">
        <row r="34">
          <cell r="A34" t="str">
            <v>Investments Govt Securities</v>
          </cell>
        </row>
      </sheetData>
      <sheetData sheetId="9272">
        <row r="34">
          <cell r="A34" t="str">
            <v>Investments Govt Securities</v>
          </cell>
        </row>
      </sheetData>
      <sheetData sheetId="9273">
        <row r="34">
          <cell r="A34" t="str">
            <v>Investments Govt Securities</v>
          </cell>
        </row>
      </sheetData>
      <sheetData sheetId="9274">
        <row r="34">
          <cell r="A34" t="str">
            <v>Investments Govt Securities</v>
          </cell>
        </row>
      </sheetData>
      <sheetData sheetId="9275"/>
      <sheetData sheetId="9276"/>
      <sheetData sheetId="9277"/>
      <sheetData sheetId="9278"/>
      <sheetData sheetId="9279"/>
      <sheetData sheetId="9280">
        <row r="34">
          <cell r="A34" t="str">
            <v>Investments Govt Securities</v>
          </cell>
        </row>
      </sheetData>
      <sheetData sheetId="9281">
        <row r="34">
          <cell r="A34" t="str">
            <v>Investments Govt Securities</v>
          </cell>
        </row>
      </sheetData>
      <sheetData sheetId="9282">
        <row r="34">
          <cell r="A34" t="str">
            <v>Investments Govt Securities</v>
          </cell>
        </row>
      </sheetData>
      <sheetData sheetId="9283">
        <row r="34">
          <cell r="A34" t="str">
            <v>Investments Govt Securities</v>
          </cell>
        </row>
      </sheetData>
      <sheetData sheetId="9284">
        <row r="34">
          <cell r="A34" t="str">
            <v>Investments Govt Securities</v>
          </cell>
        </row>
      </sheetData>
      <sheetData sheetId="9285">
        <row r="34">
          <cell r="A34" t="str">
            <v>Investments Govt Securities</v>
          </cell>
        </row>
      </sheetData>
      <sheetData sheetId="9286">
        <row r="34">
          <cell r="A34" t="str">
            <v>Investments Govt Securities</v>
          </cell>
        </row>
      </sheetData>
      <sheetData sheetId="9287">
        <row r="34">
          <cell r="A34" t="str">
            <v>Investments Govt Securities</v>
          </cell>
        </row>
      </sheetData>
      <sheetData sheetId="9288">
        <row r="34">
          <cell r="A34" t="str">
            <v>Investments Govt Securities</v>
          </cell>
        </row>
      </sheetData>
      <sheetData sheetId="9289">
        <row r="34">
          <cell r="A34" t="str">
            <v>Investments Govt Securities</v>
          </cell>
        </row>
      </sheetData>
      <sheetData sheetId="9290">
        <row r="34">
          <cell r="A34" t="str">
            <v>Investments Govt Securities</v>
          </cell>
        </row>
      </sheetData>
      <sheetData sheetId="9291">
        <row r="34">
          <cell r="A34" t="str">
            <v>Investments Govt Securities</v>
          </cell>
        </row>
      </sheetData>
      <sheetData sheetId="9292">
        <row r="34">
          <cell r="A34" t="str">
            <v>Investments Govt Securities</v>
          </cell>
        </row>
      </sheetData>
      <sheetData sheetId="9293">
        <row r="34">
          <cell r="A34" t="str">
            <v>Investments Govt Securities</v>
          </cell>
        </row>
      </sheetData>
      <sheetData sheetId="9294">
        <row r="34">
          <cell r="A34" t="str">
            <v>Investments Govt Securities</v>
          </cell>
        </row>
      </sheetData>
      <sheetData sheetId="9295">
        <row r="34">
          <cell r="A34" t="str">
            <v>Investments Govt Securities</v>
          </cell>
        </row>
      </sheetData>
      <sheetData sheetId="9296">
        <row r="34">
          <cell r="A34" t="str">
            <v>Investments Govt Securities</v>
          </cell>
        </row>
      </sheetData>
      <sheetData sheetId="9297">
        <row r="34">
          <cell r="A34" t="str">
            <v>Investments Govt Securities</v>
          </cell>
        </row>
      </sheetData>
      <sheetData sheetId="9298">
        <row r="34">
          <cell r="A34" t="str">
            <v>Investments Govt Securities</v>
          </cell>
        </row>
      </sheetData>
      <sheetData sheetId="9299">
        <row r="34">
          <cell r="A34" t="str">
            <v>Investments Govt Securities</v>
          </cell>
        </row>
      </sheetData>
      <sheetData sheetId="9300">
        <row r="34">
          <cell r="A34" t="str">
            <v>Investments Govt Securities</v>
          </cell>
        </row>
      </sheetData>
      <sheetData sheetId="9301">
        <row r="34">
          <cell r="A34" t="str">
            <v>Investments Govt Securities</v>
          </cell>
        </row>
      </sheetData>
      <sheetData sheetId="9302">
        <row r="34">
          <cell r="A34" t="str">
            <v>Investments Govt Securities</v>
          </cell>
        </row>
      </sheetData>
      <sheetData sheetId="9303">
        <row r="34">
          <cell r="A34" t="str">
            <v>Investments Govt Securities</v>
          </cell>
        </row>
      </sheetData>
      <sheetData sheetId="9304">
        <row r="34">
          <cell r="A34" t="str">
            <v>Investments Govt Securities</v>
          </cell>
        </row>
      </sheetData>
      <sheetData sheetId="9305">
        <row r="34">
          <cell r="A34" t="str">
            <v>Investments Govt Securities</v>
          </cell>
        </row>
      </sheetData>
      <sheetData sheetId="9306">
        <row r="34">
          <cell r="A34" t="str">
            <v>Investments Govt Securities</v>
          </cell>
        </row>
      </sheetData>
      <sheetData sheetId="9307">
        <row r="34">
          <cell r="A34" t="str">
            <v>Investments Govt Securities</v>
          </cell>
        </row>
      </sheetData>
      <sheetData sheetId="9308">
        <row r="34">
          <cell r="A34" t="str">
            <v>Investments Govt Securities</v>
          </cell>
        </row>
      </sheetData>
      <sheetData sheetId="9309">
        <row r="34">
          <cell r="A34" t="str">
            <v>Investments Govt Securities</v>
          </cell>
        </row>
      </sheetData>
      <sheetData sheetId="9310">
        <row r="34">
          <cell r="A34" t="str">
            <v>Investments Govt Securities</v>
          </cell>
        </row>
      </sheetData>
      <sheetData sheetId="9311">
        <row r="34">
          <cell r="A34" t="str">
            <v>Investments Govt Securities</v>
          </cell>
        </row>
      </sheetData>
      <sheetData sheetId="9312">
        <row r="34">
          <cell r="A34" t="str">
            <v>Investments Govt Securities</v>
          </cell>
        </row>
      </sheetData>
      <sheetData sheetId="9313">
        <row r="34">
          <cell r="A34" t="str">
            <v>Investments Govt Securities</v>
          </cell>
        </row>
      </sheetData>
      <sheetData sheetId="9314">
        <row r="34">
          <cell r="A34" t="str">
            <v>Investments Govt Securities</v>
          </cell>
        </row>
      </sheetData>
      <sheetData sheetId="9315">
        <row r="34">
          <cell r="A34" t="str">
            <v>Investments Govt Securities</v>
          </cell>
        </row>
      </sheetData>
      <sheetData sheetId="9316">
        <row r="34">
          <cell r="A34" t="str">
            <v>Investments Govt Securities</v>
          </cell>
        </row>
      </sheetData>
      <sheetData sheetId="9317">
        <row r="34">
          <cell r="A34" t="str">
            <v>Investments Govt Securities</v>
          </cell>
        </row>
      </sheetData>
      <sheetData sheetId="9318">
        <row r="34">
          <cell r="A34" t="str">
            <v>Investments Govt Securities</v>
          </cell>
        </row>
      </sheetData>
      <sheetData sheetId="9319">
        <row r="34">
          <cell r="A34" t="str">
            <v>Investments Govt Securities</v>
          </cell>
        </row>
      </sheetData>
      <sheetData sheetId="9320">
        <row r="34">
          <cell r="A34" t="str">
            <v>Investments Govt Securities</v>
          </cell>
        </row>
      </sheetData>
      <sheetData sheetId="9321">
        <row r="34">
          <cell r="A34" t="str">
            <v>Investments Govt Securities</v>
          </cell>
        </row>
      </sheetData>
      <sheetData sheetId="9322">
        <row r="34">
          <cell r="A34" t="str">
            <v>Investments Govt Securities</v>
          </cell>
        </row>
      </sheetData>
      <sheetData sheetId="9323">
        <row r="34">
          <cell r="A34" t="str">
            <v>Investments Govt Securities</v>
          </cell>
        </row>
      </sheetData>
      <sheetData sheetId="9324">
        <row r="34">
          <cell r="A34" t="str">
            <v>Investments Govt Securities</v>
          </cell>
        </row>
      </sheetData>
      <sheetData sheetId="9325">
        <row r="34">
          <cell r="A34" t="str">
            <v>Investments Govt Securities</v>
          </cell>
        </row>
      </sheetData>
      <sheetData sheetId="9326">
        <row r="34">
          <cell r="A34" t="str">
            <v>Investments Govt Securities</v>
          </cell>
        </row>
      </sheetData>
      <sheetData sheetId="9327">
        <row r="34">
          <cell r="A34" t="str">
            <v>Investments Govt Securities</v>
          </cell>
        </row>
      </sheetData>
      <sheetData sheetId="9328">
        <row r="34">
          <cell r="A34" t="str">
            <v>Investments Govt Securities</v>
          </cell>
        </row>
      </sheetData>
      <sheetData sheetId="9329">
        <row r="34">
          <cell r="A34" t="str">
            <v>Investments Govt Securities</v>
          </cell>
        </row>
      </sheetData>
      <sheetData sheetId="9330">
        <row r="34">
          <cell r="A34" t="str">
            <v>Investments Govt Securities</v>
          </cell>
        </row>
      </sheetData>
      <sheetData sheetId="9331">
        <row r="34">
          <cell r="A34" t="str">
            <v>Investments Govt Securities</v>
          </cell>
        </row>
      </sheetData>
      <sheetData sheetId="9332">
        <row r="34">
          <cell r="A34" t="str">
            <v>Investments Govt Securities</v>
          </cell>
        </row>
      </sheetData>
      <sheetData sheetId="9333">
        <row r="34">
          <cell r="A34" t="str">
            <v>Investments Govt Securities</v>
          </cell>
        </row>
      </sheetData>
      <sheetData sheetId="9334">
        <row r="34">
          <cell r="A34" t="str">
            <v>Investments Govt Securities</v>
          </cell>
        </row>
      </sheetData>
      <sheetData sheetId="9335">
        <row r="34">
          <cell r="A34" t="str">
            <v>Investments Govt Securities</v>
          </cell>
        </row>
      </sheetData>
      <sheetData sheetId="9336">
        <row r="34">
          <cell r="A34" t="str">
            <v>Investments Govt Securities</v>
          </cell>
        </row>
      </sheetData>
      <sheetData sheetId="9337">
        <row r="34">
          <cell r="A34" t="str">
            <v>Investments Govt Securities</v>
          </cell>
        </row>
      </sheetData>
      <sheetData sheetId="9338">
        <row r="34">
          <cell r="A34" t="str">
            <v>Investments Govt Securities</v>
          </cell>
        </row>
      </sheetData>
      <sheetData sheetId="9339">
        <row r="34">
          <cell r="A34" t="str">
            <v>Investments Govt Securities</v>
          </cell>
        </row>
      </sheetData>
      <sheetData sheetId="9340">
        <row r="34">
          <cell r="A34" t="str">
            <v>Investments Govt Securities</v>
          </cell>
        </row>
      </sheetData>
      <sheetData sheetId="9341">
        <row r="34">
          <cell r="A34" t="str">
            <v>Investments Govt Securities</v>
          </cell>
        </row>
      </sheetData>
      <sheetData sheetId="9342">
        <row r="34">
          <cell r="A34" t="str">
            <v>Investments Govt Securities</v>
          </cell>
        </row>
      </sheetData>
      <sheetData sheetId="9343">
        <row r="34">
          <cell r="A34" t="str">
            <v>Investments Govt Securities</v>
          </cell>
        </row>
      </sheetData>
      <sheetData sheetId="9344">
        <row r="34">
          <cell r="A34" t="str">
            <v>Investments Govt Securities</v>
          </cell>
        </row>
      </sheetData>
      <sheetData sheetId="9345">
        <row r="34">
          <cell r="A34" t="str">
            <v>Investments Govt Securities</v>
          </cell>
        </row>
      </sheetData>
      <sheetData sheetId="9346">
        <row r="34">
          <cell r="A34" t="str">
            <v>Investments Govt Securities</v>
          </cell>
        </row>
      </sheetData>
      <sheetData sheetId="9347">
        <row r="34">
          <cell r="A34" t="str">
            <v>Investments Govt Securities</v>
          </cell>
        </row>
      </sheetData>
      <sheetData sheetId="9348">
        <row r="34">
          <cell r="A34" t="str">
            <v>Investments Govt Securities</v>
          </cell>
        </row>
      </sheetData>
      <sheetData sheetId="9349">
        <row r="34">
          <cell r="A34" t="str">
            <v>Investments Govt Securities</v>
          </cell>
        </row>
      </sheetData>
      <sheetData sheetId="9350">
        <row r="34">
          <cell r="A34" t="str">
            <v>Investments Govt Securities</v>
          </cell>
        </row>
      </sheetData>
      <sheetData sheetId="9351">
        <row r="34">
          <cell r="A34" t="str">
            <v>Investments Govt Securities</v>
          </cell>
        </row>
      </sheetData>
      <sheetData sheetId="9352">
        <row r="34">
          <cell r="A34" t="str">
            <v>Investments Govt Securities</v>
          </cell>
        </row>
      </sheetData>
      <sheetData sheetId="9353">
        <row r="34">
          <cell r="A34" t="str">
            <v>Investments Govt Securities</v>
          </cell>
        </row>
      </sheetData>
      <sheetData sheetId="9354">
        <row r="34">
          <cell r="A34" t="str">
            <v>Investments Govt Securities</v>
          </cell>
        </row>
      </sheetData>
      <sheetData sheetId="9355">
        <row r="34">
          <cell r="A34" t="str">
            <v>Investments Govt Securities</v>
          </cell>
        </row>
      </sheetData>
      <sheetData sheetId="9356">
        <row r="34">
          <cell r="A34" t="str">
            <v>Investments Govt Securities</v>
          </cell>
        </row>
      </sheetData>
      <sheetData sheetId="9357">
        <row r="34">
          <cell r="A34" t="str">
            <v>Investments Govt Securities</v>
          </cell>
        </row>
      </sheetData>
      <sheetData sheetId="9358">
        <row r="34">
          <cell r="A34" t="str">
            <v>Investments Govt Securities</v>
          </cell>
        </row>
      </sheetData>
      <sheetData sheetId="9359">
        <row r="34">
          <cell r="A34" t="str">
            <v>Investments Govt Securities</v>
          </cell>
        </row>
      </sheetData>
      <sheetData sheetId="9360">
        <row r="34">
          <cell r="A34" t="str">
            <v>Investments Govt Securities</v>
          </cell>
        </row>
      </sheetData>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ow r="34">
          <cell r="A34" t="str">
            <v>Investments Govt Securities</v>
          </cell>
        </row>
      </sheetData>
      <sheetData sheetId="9580">
        <row r="34">
          <cell r="A34" t="str">
            <v>Investments Govt Securities</v>
          </cell>
        </row>
      </sheetData>
      <sheetData sheetId="9581">
        <row r="34">
          <cell r="A34" t="str">
            <v>Investments Govt Securities</v>
          </cell>
        </row>
      </sheetData>
      <sheetData sheetId="9582">
        <row r="34">
          <cell r="A34" t="str">
            <v>Investments Govt Securities</v>
          </cell>
        </row>
      </sheetData>
      <sheetData sheetId="9583">
        <row r="34">
          <cell r="A34" t="str">
            <v>Investments Govt Securities</v>
          </cell>
        </row>
      </sheetData>
      <sheetData sheetId="9584">
        <row r="34">
          <cell r="A34" t="str">
            <v>Investments Govt Securities</v>
          </cell>
        </row>
      </sheetData>
      <sheetData sheetId="9585">
        <row r="34">
          <cell r="A34" t="str">
            <v>Investments Govt Securities</v>
          </cell>
        </row>
      </sheetData>
      <sheetData sheetId="9586">
        <row r="34">
          <cell r="A34" t="str">
            <v>Investments Govt Securities</v>
          </cell>
        </row>
      </sheetData>
      <sheetData sheetId="9587">
        <row r="34">
          <cell r="A34" t="str">
            <v>Investments Govt Securities</v>
          </cell>
        </row>
      </sheetData>
      <sheetData sheetId="9588">
        <row r="34">
          <cell r="A34" t="str">
            <v>Investments Govt Securities</v>
          </cell>
        </row>
      </sheetData>
      <sheetData sheetId="9589">
        <row r="34">
          <cell r="A34" t="str">
            <v>Investments Govt Securities</v>
          </cell>
        </row>
      </sheetData>
      <sheetData sheetId="9590">
        <row r="34">
          <cell r="A34" t="str">
            <v>Investments Govt Securities</v>
          </cell>
        </row>
      </sheetData>
      <sheetData sheetId="9591">
        <row r="34">
          <cell r="A34" t="str">
            <v>Investments Govt Securities</v>
          </cell>
        </row>
      </sheetData>
      <sheetData sheetId="9592">
        <row r="34">
          <cell r="A34" t="str">
            <v>Investments Govt Securities</v>
          </cell>
        </row>
      </sheetData>
      <sheetData sheetId="9593">
        <row r="34">
          <cell r="A34" t="str">
            <v>Investments Govt Securities</v>
          </cell>
        </row>
      </sheetData>
      <sheetData sheetId="9594">
        <row r="34">
          <cell r="A34" t="str">
            <v>Investments Govt Securities</v>
          </cell>
        </row>
      </sheetData>
      <sheetData sheetId="9595">
        <row r="34">
          <cell r="A34" t="str">
            <v>Investments Govt Securities</v>
          </cell>
        </row>
      </sheetData>
      <sheetData sheetId="9596">
        <row r="34">
          <cell r="A34" t="str">
            <v>Investments Govt Securities</v>
          </cell>
        </row>
      </sheetData>
      <sheetData sheetId="9597">
        <row r="34">
          <cell r="A34" t="str">
            <v>Investments Govt Securities</v>
          </cell>
        </row>
      </sheetData>
      <sheetData sheetId="9598">
        <row r="34">
          <cell r="A34" t="str">
            <v>Investments Govt Securities</v>
          </cell>
        </row>
      </sheetData>
      <sheetData sheetId="9599">
        <row r="34">
          <cell r="A34" t="str">
            <v>Investments Govt Securities</v>
          </cell>
        </row>
      </sheetData>
      <sheetData sheetId="9600">
        <row r="34">
          <cell r="A34" t="str">
            <v>Investments Govt Securities</v>
          </cell>
        </row>
      </sheetData>
      <sheetData sheetId="9601">
        <row r="34">
          <cell r="A34" t="str">
            <v>Investments Govt Securities</v>
          </cell>
        </row>
      </sheetData>
      <sheetData sheetId="9602">
        <row r="34">
          <cell r="A34" t="str">
            <v>Investments Govt Securities</v>
          </cell>
        </row>
      </sheetData>
      <sheetData sheetId="9603">
        <row r="34">
          <cell r="A34" t="str">
            <v>Investments Govt Securities</v>
          </cell>
        </row>
      </sheetData>
      <sheetData sheetId="9604">
        <row r="34">
          <cell r="A34" t="str">
            <v>Investments Govt Securities</v>
          </cell>
        </row>
      </sheetData>
      <sheetData sheetId="9605">
        <row r="34">
          <cell r="A34" t="str">
            <v>Investments Govt Securities</v>
          </cell>
        </row>
      </sheetData>
      <sheetData sheetId="9606">
        <row r="34">
          <cell r="A34" t="str">
            <v>Investments Govt Securities</v>
          </cell>
        </row>
      </sheetData>
      <sheetData sheetId="9607">
        <row r="34">
          <cell r="A34" t="str">
            <v>Investments Govt Securities</v>
          </cell>
        </row>
      </sheetData>
      <sheetData sheetId="9608">
        <row r="34">
          <cell r="A34" t="str">
            <v>Investments Govt Securities</v>
          </cell>
        </row>
      </sheetData>
      <sheetData sheetId="9609">
        <row r="34">
          <cell r="A34" t="str">
            <v>Investments Govt Securities</v>
          </cell>
        </row>
      </sheetData>
      <sheetData sheetId="9610">
        <row r="34">
          <cell r="A34" t="str">
            <v>Investments Govt Securities</v>
          </cell>
        </row>
      </sheetData>
      <sheetData sheetId="9611">
        <row r="34">
          <cell r="A34" t="str">
            <v>Investments Govt Securities</v>
          </cell>
        </row>
      </sheetData>
      <sheetData sheetId="9612">
        <row r="34">
          <cell r="A34" t="str">
            <v>Investments Govt Securities</v>
          </cell>
        </row>
      </sheetData>
      <sheetData sheetId="9613">
        <row r="34">
          <cell r="A34" t="str">
            <v>Investments Govt Securities</v>
          </cell>
        </row>
      </sheetData>
      <sheetData sheetId="9614">
        <row r="34">
          <cell r="A34" t="str">
            <v>Investments Govt Securities</v>
          </cell>
        </row>
      </sheetData>
      <sheetData sheetId="9615">
        <row r="34">
          <cell r="A34" t="str">
            <v>Investments Govt Securities</v>
          </cell>
        </row>
      </sheetData>
      <sheetData sheetId="9616">
        <row r="34">
          <cell r="A34" t="str">
            <v>Investments Govt Securities</v>
          </cell>
        </row>
      </sheetData>
      <sheetData sheetId="9617">
        <row r="34">
          <cell r="A34" t="str">
            <v>Investments Govt Securities</v>
          </cell>
        </row>
      </sheetData>
      <sheetData sheetId="9618">
        <row r="34">
          <cell r="A34" t="str">
            <v>Investments Govt Securities</v>
          </cell>
        </row>
      </sheetData>
      <sheetData sheetId="9619">
        <row r="34">
          <cell r="A34" t="str">
            <v>Investments Govt Securities</v>
          </cell>
        </row>
      </sheetData>
      <sheetData sheetId="9620">
        <row r="34">
          <cell r="A34" t="str">
            <v>Investments Govt Securities</v>
          </cell>
        </row>
      </sheetData>
      <sheetData sheetId="9621">
        <row r="34">
          <cell r="A34" t="str">
            <v>Investments Govt Securities</v>
          </cell>
        </row>
      </sheetData>
      <sheetData sheetId="9622">
        <row r="34">
          <cell r="A34" t="str">
            <v>Investments Govt Securities</v>
          </cell>
        </row>
      </sheetData>
      <sheetData sheetId="9623">
        <row r="34">
          <cell r="A34" t="str">
            <v>Investments Govt Securities</v>
          </cell>
        </row>
      </sheetData>
      <sheetData sheetId="9624">
        <row r="34">
          <cell r="A34" t="str">
            <v>Investments Govt Securities</v>
          </cell>
        </row>
      </sheetData>
      <sheetData sheetId="9625">
        <row r="34">
          <cell r="A34" t="str">
            <v>Investments Govt Securities</v>
          </cell>
        </row>
      </sheetData>
      <sheetData sheetId="9626">
        <row r="34">
          <cell r="A34" t="str">
            <v>Investments Govt Securities</v>
          </cell>
        </row>
      </sheetData>
      <sheetData sheetId="9627">
        <row r="34">
          <cell r="A34" t="str">
            <v>Investments Govt Securities</v>
          </cell>
        </row>
      </sheetData>
      <sheetData sheetId="9628">
        <row r="34">
          <cell r="A34" t="str">
            <v>Investments Govt Securities</v>
          </cell>
        </row>
      </sheetData>
      <sheetData sheetId="9629">
        <row r="34">
          <cell r="A34" t="str">
            <v>Investments Govt Securities</v>
          </cell>
        </row>
      </sheetData>
      <sheetData sheetId="9630">
        <row r="34">
          <cell r="A34" t="str">
            <v>Investments Govt Securities</v>
          </cell>
        </row>
      </sheetData>
      <sheetData sheetId="9631">
        <row r="34">
          <cell r="A34" t="str">
            <v>Investments Govt Securities</v>
          </cell>
        </row>
      </sheetData>
      <sheetData sheetId="9632">
        <row r="34">
          <cell r="A34" t="str">
            <v>Investments Govt Securities</v>
          </cell>
        </row>
      </sheetData>
      <sheetData sheetId="9633">
        <row r="34">
          <cell r="A34" t="str">
            <v>Investments Govt Securities</v>
          </cell>
        </row>
      </sheetData>
      <sheetData sheetId="9634">
        <row r="34">
          <cell r="A34" t="str">
            <v>Investments Govt Securities</v>
          </cell>
        </row>
      </sheetData>
      <sheetData sheetId="9635">
        <row r="34">
          <cell r="A34" t="str">
            <v>Investments Govt Securities</v>
          </cell>
        </row>
      </sheetData>
      <sheetData sheetId="9636">
        <row r="34">
          <cell r="A34" t="str">
            <v>Investments Govt Securities</v>
          </cell>
        </row>
      </sheetData>
      <sheetData sheetId="9637">
        <row r="34">
          <cell r="A34" t="str">
            <v>Investments Govt Securities</v>
          </cell>
        </row>
      </sheetData>
      <sheetData sheetId="9638">
        <row r="34">
          <cell r="A34" t="str">
            <v>Investments Govt Securities</v>
          </cell>
        </row>
      </sheetData>
      <sheetData sheetId="9639">
        <row r="34">
          <cell r="A34" t="str">
            <v>Investments Govt Securities</v>
          </cell>
        </row>
      </sheetData>
      <sheetData sheetId="9640">
        <row r="34">
          <cell r="A34" t="str">
            <v>Investments Govt Securities</v>
          </cell>
        </row>
      </sheetData>
      <sheetData sheetId="9641">
        <row r="34">
          <cell r="A34" t="str">
            <v>Investments Govt Securities</v>
          </cell>
        </row>
      </sheetData>
      <sheetData sheetId="9642">
        <row r="34">
          <cell r="A34" t="str">
            <v>Investments Govt Securities</v>
          </cell>
        </row>
      </sheetData>
      <sheetData sheetId="9643">
        <row r="34">
          <cell r="A34" t="str">
            <v>Investments Govt Securities</v>
          </cell>
        </row>
      </sheetData>
      <sheetData sheetId="9644">
        <row r="34">
          <cell r="A34" t="str">
            <v>Investments Govt Securities</v>
          </cell>
        </row>
      </sheetData>
      <sheetData sheetId="9645">
        <row r="34">
          <cell r="A34" t="str">
            <v>Investments Govt Securities</v>
          </cell>
        </row>
      </sheetData>
      <sheetData sheetId="9646">
        <row r="34">
          <cell r="A34" t="str">
            <v>Investments Govt Securities</v>
          </cell>
        </row>
      </sheetData>
      <sheetData sheetId="9647">
        <row r="34">
          <cell r="A34" t="str">
            <v>Investments Govt Securities</v>
          </cell>
        </row>
      </sheetData>
      <sheetData sheetId="9648">
        <row r="34">
          <cell r="A34" t="str">
            <v>Investments Govt Securities</v>
          </cell>
        </row>
      </sheetData>
      <sheetData sheetId="9649">
        <row r="34">
          <cell r="A34" t="str">
            <v>Investments Govt Securities</v>
          </cell>
        </row>
      </sheetData>
      <sheetData sheetId="9650">
        <row r="34">
          <cell r="A34" t="str">
            <v>Investments Govt Securities</v>
          </cell>
        </row>
      </sheetData>
      <sheetData sheetId="9651">
        <row r="34">
          <cell r="A34" t="str">
            <v>Investments Govt Securities</v>
          </cell>
        </row>
      </sheetData>
      <sheetData sheetId="9652">
        <row r="34">
          <cell r="A34" t="str">
            <v>Investments Govt Securities</v>
          </cell>
        </row>
      </sheetData>
      <sheetData sheetId="9653">
        <row r="34">
          <cell r="A34" t="str">
            <v>Investments Govt Securities</v>
          </cell>
        </row>
      </sheetData>
      <sheetData sheetId="9654">
        <row r="34">
          <cell r="A34" t="str">
            <v>Investments Govt Securities</v>
          </cell>
        </row>
      </sheetData>
      <sheetData sheetId="9655">
        <row r="34">
          <cell r="A34" t="str">
            <v>Investments Govt Securities</v>
          </cell>
        </row>
      </sheetData>
      <sheetData sheetId="9656">
        <row r="34">
          <cell r="A34" t="str">
            <v>Investments Govt Securities</v>
          </cell>
        </row>
      </sheetData>
      <sheetData sheetId="9657">
        <row r="34">
          <cell r="A34" t="str">
            <v>Investments Govt Securities</v>
          </cell>
        </row>
      </sheetData>
      <sheetData sheetId="9658">
        <row r="34">
          <cell r="A34" t="str">
            <v>Investments Govt Securities</v>
          </cell>
        </row>
      </sheetData>
      <sheetData sheetId="9659">
        <row r="34">
          <cell r="A34" t="str">
            <v>Investments Govt Securities</v>
          </cell>
        </row>
      </sheetData>
      <sheetData sheetId="9660">
        <row r="34">
          <cell r="A34" t="str">
            <v>Investments Govt Securities</v>
          </cell>
        </row>
      </sheetData>
      <sheetData sheetId="9661">
        <row r="34">
          <cell r="A34" t="str">
            <v>Investments Govt Securities</v>
          </cell>
        </row>
      </sheetData>
      <sheetData sheetId="9662">
        <row r="34">
          <cell r="A34" t="str">
            <v>Investments Govt Securities</v>
          </cell>
        </row>
      </sheetData>
      <sheetData sheetId="9663">
        <row r="34">
          <cell r="A34" t="str">
            <v>Investments Govt Securities</v>
          </cell>
        </row>
      </sheetData>
      <sheetData sheetId="9664">
        <row r="34">
          <cell r="A34" t="str">
            <v>Investments Govt Securities</v>
          </cell>
        </row>
      </sheetData>
      <sheetData sheetId="9665">
        <row r="34">
          <cell r="A34" t="str">
            <v>Investments Govt Securities</v>
          </cell>
        </row>
      </sheetData>
      <sheetData sheetId="9666">
        <row r="34">
          <cell r="A34" t="str">
            <v>Investments Govt Securities</v>
          </cell>
        </row>
      </sheetData>
      <sheetData sheetId="9667">
        <row r="34">
          <cell r="A34" t="str">
            <v>Investments Govt Securities</v>
          </cell>
        </row>
      </sheetData>
      <sheetData sheetId="9668">
        <row r="34">
          <cell r="A34" t="str">
            <v>Investments Govt Securities</v>
          </cell>
        </row>
      </sheetData>
      <sheetData sheetId="9669">
        <row r="34">
          <cell r="A34" t="str">
            <v>Investments Govt Securities</v>
          </cell>
        </row>
      </sheetData>
      <sheetData sheetId="9670">
        <row r="34">
          <cell r="A34" t="str">
            <v>Investments Govt Securities</v>
          </cell>
        </row>
      </sheetData>
      <sheetData sheetId="9671">
        <row r="34">
          <cell r="A34" t="str">
            <v>Investments Govt Securities</v>
          </cell>
        </row>
      </sheetData>
      <sheetData sheetId="9672">
        <row r="34">
          <cell r="A34" t="str">
            <v>Investments Govt Securities</v>
          </cell>
        </row>
      </sheetData>
      <sheetData sheetId="9673">
        <row r="34">
          <cell r="A34" t="str">
            <v>Investments Govt Securities</v>
          </cell>
        </row>
      </sheetData>
      <sheetData sheetId="9674">
        <row r="34">
          <cell r="A34" t="str">
            <v>Investments Govt Securities</v>
          </cell>
        </row>
      </sheetData>
      <sheetData sheetId="9675">
        <row r="34">
          <cell r="A34" t="str">
            <v>Investments Govt Securities</v>
          </cell>
        </row>
      </sheetData>
      <sheetData sheetId="9676">
        <row r="34">
          <cell r="A34" t="str">
            <v>Investments Govt Securities</v>
          </cell>
        </row>
      </sheetData>
      <sheetData sheetId="9677">
        <row r="34">
          <cell r="A34" t="str">
            <v>Investments Govt Securities</v>
          </cell>
        </row>
      </sheetData>
      <sheetData sheetId="9678">
        <row r="34">
          <cell r="A34" t="str">
            <v>Investments Govt Securities</v>
          </cell>
        </row>
      </sheetData>
      <sheetData sheetId="9679">
        <row r="34">
          <cell r="A34" t="str">
            <v>Investments Govt Securities</v>
          </cell>
        </row>
      </sheetData>
      <sheetData sheetId="9680">
        <row r="34">
          <cell r="A34" t="str">
            <v>Investments Govt Securities</v>
          </cell>
        </row>
      </sheetData>
      <sheetData sheetId="9681">
        <row r="34">
          <cell r="A34" t="str">
            <v>Investments Govt Securities</v>
          </cell>
        </row>
      </sheetData>
      <sheetData sheetId="9682">
        <row r="34">
          <cell r="A34" t="str">
            <v>Investments Govt Securities</v>
          </cell>
        </row>
      </sheetData>
      <sheetData sheetId="9683">
        <row r="34">
          <cell r="A34" t="str">
            <v>Investments Govt Securities</v>
          </cell>
        </row>
      </sheetData>
      <sheetData sheetId="9684">
        <row r="34">
          <cell r="A34" t="str">
            <v>Investments Govt Securities</v>
          </cell>
        </row>
      </sheetData>
      <sheetData sheetId="9685">
        <row r="34">
          <cell r="A34" t="str">
            <v>Investments Govt Securities</v>
          </cell>
        </row>
      </sheetData>
      <sheetData sheetId="9686">
        <row r="34">
          <cell r="A34" t="str">
            <v>Investments Govt Securities</v>
          </cell>
        </row>
      </sheetData>
      <sheetData sheetId="9687">
        <row r="34">
          <cell r="A34" t="str">
            <v>Investments Govt Securities</v>
          </cell>
        </row>
      </sheetData>
      <sheetData sheetId="9688">
        <row r="34">
          <cell r="A34" t="str">
            <v>Investments Govt Securities</v>
          </cell>
        </row>
      </sheetData>
      <sheetData sheetId="9689">
        <row r="34">
          <cell r="A34" t="str">
            <v>Investments Govt Securities</v>
          </cell>
        </row>
      </sheetData>
      <sheetData sheetId="9690">
        <row r="34">
          <cell r="A34" t="str">
            <v>Investments Govt Securities</v>
          </cell>
        </row>
      </sheetData>
      <sheetData sheetId="9691">
        <row r="34">
          <cell r="A34" t="str">
            <v>Investments Govt Securities</v>
          </cell>
        </row>
      </sheetData>
      <sheetData sheetId="9692">
        <row r="34">
          <cell r="A34" t="str">
            <v>Investments Govt Securities</v>
          </cell>
        </row>
      </sheetData>
      <sheetData sheetId="9693">
        <row r="34">
          <cell r="A34" t="str">
            <v>Investments Govt Securities</v>
          </cell>
        </row>
      </sheetData>
      <sheetData sheetId="9694">
        <row r="34">
          <cell r="A34" t="str">
            <v>Investments Govt Securities</v>
          </cell>
        </row>
      </sheetData>
      <sheetData sheetId="9695">
        <row r="34">
          <cell r="A34" t="str">
            <v>Investments Govt Securities</v>
          </cell>
        </row>
      </sheetData>
      <sheetData sheetId="9696">
        <row r="34">
          <cell r="A34" t="str">
            <v>Investments Govt Securities</v>
          </cell>
        </row>
      </sheetData>
      <sheetData sheetId="9697">
        <row r="34">
          <cell r="A34" t="str">
            <v>Investments Govt Securities</v>
          </cell>
        </row>
      </sheetData>
      <sheetData sheetId="9698">
        <row r="34">
          <cell r="A34" t="str">
            <v>Investments Govt Securities</v>
          </cell>
        </row>
      </sheetData>
      <sheetData sheetId="9699">
        <row r="34">
          <cell r="A34" t="str">
            <v>Investments Govt Securities</v>
          </cell>
        </row>
      </sheetData>
      <sheetData sheetId="9700">
        <row r="34">
          <cell r="A34" t="str">
            <v>Investments Govt Securities</v>
          </cell>
        </row>
      </sheetData>
      <sheetData sheetId="9701">
        <row r="34">
          <cell r="A34" t="str">
            <v>Investments Govt Securities</v>
          </cell>
        </row>
      </sheetData>
      <sheetData sheetId="9702">
        <row r="34">
          <cell r="A34" t="str">
            <v>Investments Govt Securities</v>
          </cell>
        </row>
      </sheetData>
      <sheetData sheetId="9703">
        <row r="34">
          <cell r="A34" t="str">
            <v>Investments Govt Securities</v>
          </cell>
        </row>
      </sheetData>
      <sheetData sheetId="9704">
        <row r="34">
          <cell r="A34" t="str">
            <v>Investments Govt Securities</v>
          </cell>
        </row>
      </sheetData>
      <sheetData sheetId="9705">
        <row r="34">
          <cell r="A34" t="str">
            <v>Investments Govt Securities</v>
          </cell>
        </row>
      </sheetData>
      <sheetData sheetId="9706">
        <row r="34">
          <cell r="A34" t="str">
            <v>Investments Govt Securities</v>
          </cell>
        </row>
      </sheetData>
      <sheetData sheetId="9707">
        <row r="34">
          <cell r="A34" t="str">
            <v>Investments Govt Securities</v>
          </cell>
        </row>
      </sheetData>
      <sheetData sheetId="9708">
        <row r="34">
          <cell r="A34" t="str">
            <v>Investments Govt Securities</v>
          </cell>
        </row>
      </sheetData>
      <sheetData sheetId="9709">
        <row r="34">
          <cell r="A34" t="str">
            <v>Investments Govt Securities</v>
          </cell>
        </row>
      </sheetData>
      <sheetData sheetId="9710">
        <row r="34">
          <cell r="A34" t="str">
            <v>Investments Govt Securities</v>
          </cell>
        </row>
      </sheetData>
      <sheetData sheetId="9711">
        <row r="34">
          <cell r="A34" t="str">
            <v>Investments Govt Securities</v>
          </cell>
        </row>
      </sheetData>
      <sheetData sheetId="9712">
        <row r="34">
          <cell r="A34" t="str">
            <v>Investments Govt Securities</v>
          </cell>
        </row>
      </sheetData>
      <sheetData sheetId="9713">
        <row r="34">
          <cell r="A34" t="str">
            <v>Investments Govt Securities</v>
          </cell>
        </row>
      </sheetData>
      <sheetData sheetId="9714">
        <row r="34">
          <cell r="A34" t="str">
            <v>Investments Govt Securities</v>
          </cell>
        </row>
      </sheetData>
      <sheetData sheetId="9715">
        <row r="34">
          <cell r="A34" t="str">
            <v>Investments Govt Securities</v>
          </cell>
        </row>
      </sheetData>
      <sheetData sheetId="9716">
        <row r="34">
          <cell r="A34" t="str">
            <v>Investments Govt Securities</v>
          </cell>
        </row>
      </sheetData>
      <sheetData sheetId="9717">
        <row r="34">
          <cell r="A34" t="str">
            <v>Investments Govt Securities</v>
          </cell>
        </row>
      </sheetData>
      <sheetData sheetId="9718">
        <row r="34">
          <cell r="A34" t="str">
            <v>Investments Govt Securities</v>
          </cell>
        </row>
      </sheetData>
      <sheetData sheetId="9719">
        <row r="34">
          <cell r="A34" t="str">
            <v>Investments Govt Securities</v>
          </cell>
        </row>
      </sheetData>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ow r="34">
          <cell r="A34" t="str">
            <v>Investments Govt Securities</v>
          </cell>
        </row>
      </sheetData>
      <sheetData sheetId="9866">
        <row r="34">
          <cell r="A34" t="str">
            <v>Investments Govt Securities</v>
          </cell>
        </row>
      </sheetData>
      <sheetData sheetId="9867">
        <row r="34">
          <cell r="A34" t="str">
            <v>Investments Govt Securities</v>
          </cell>
        </row>
      </sheetData>
      <sheetData sheetId="9868">
        <row r="34">
          <cell r="A34" t="str">
            <v>Investments Govt Securities</v>
          </cell>
        </row>
      </sheetData>
      <sheetData sheetId="9869">
        <row r="34">
          <cell r="A34" t="str">
            <v>Investments Govt Securities</v>
          </cell>
        </row>
      </sheetData>
      <sheetData sheetId="9870">
        <row r="34">
          <cell r="A34" t="str">
            <v>Investments Govt Securities</v>
          </cell>
        </row>
      </sheetData>
      <sheetData sheetId="9871">
        <row r="34">
          <cell r="A34" t="str">
            <v>Investments Govt Securities</v>
          </cell>
        </row>
      </sheetData>
      <sheetData sheetId="9872">
        <row r="34">
          <cell r="A34" t="str">
            <v>Investments Govt Securities</v>
          </cell>
        </row>
      </sheetData>
      <sheetData sheetId="9873">
        <row r="34">
          <cell r="A34" t="str">
            <v>Investments Govt Securities</v>
          </cell>
        </row>
      </sheetData>
      <sheetData sheetId="9874">
        <row r="34">
          <cell r="A34" t="str">
            <v>Investments Govt Securities</v>
          </cell>
        </row>
      </sheetData>
      <sheetData sheetId="9875">
        <row r="34">
          <cell r="A34" t="str">
            <v>Investments Govt Securities</v>
          </cell>
        </row>
      </sheetData>
      <sheetData sheetId="9876">
        <row r="34">
          <cell r="A34" t="str">
            <v>Investments Govt Securities</v>
          </cell>
        </row>
      </sheetData>
      <sheetData sheetId="9877">
        <row r="34">
          <cell r="A34" t="str">
            <v>Investments Govt Securities</v>
          </cell>
        </row>
      </sheetData>
      <sheetData sheetId="9878">
        <row r="34">
          <cell r="A34" t="str">
            <v>Investments Govt Securities</v>
          </cell>
        </row>
      </sheetData>
      <sheetData sheetId="9879">
        <row r="34">
          <cell r="A34" t="str">
            <v>Investments Govt Securities</v>
          </cell>
        </row>
      </sheetData>
      <sheetData sheetId="9880">
        <row r="34">
          <cell r="A34" t="str">
            <v>Investments Govt Securities</v>
          </cell>
        </row>
      </sheetData>
      <sheetData sheetId="9881">
        <row r="34">
          <cell r="A34" t="str">
            <v>Investments Govt Securities</v>
          </cell>
        </row>
      </sheetData>
      <sheetData sheetId="9882">
        <row r="34">
          <cell r="A34" t="str">
            <v>Investments Govt Securities</v>
          </cell>
        </row>
      </sheetData>
      <sheetData sheetId="9883">
        <row r="34">
          <cell r="A34" t="str">
            <v>Investments Govt Securities</v>
          </cell>
        </row>
      </sheetData>
      <sheetData sheetId="9884">
        <row r="34">
          <cell r="A34" t="str">
            <v>Investments Govt Securities</v>
          </cell>
        </row>
      </sheetData>
      <sheetData sheetId="9885">
        <row r="34">
          <cell r="A34" t="str">
            <v>Investments Govt Securities</v>
          </cell>
        </row>
      </sheetData>
      <sheetData sheetId="9886">
        <row r="34">
          <cell r="A34" t="str">
            <v>Investments Govt Securities</v>
          </cell>
        </row>
      </sheetData>
      <sheetData sheetId="9887">
        <row r="34">
          <cell r="A34" t="str">
            <v>Investments Govt Securities</v>
          </cell>
        </row>
      </sheetData>
      <sheetData sheetId="9888">
        <row r="34">
          <cell r="A34" t="str">
            <v>Investments Govt Securities</v>
          </cell>
        </row>
      </sheetData>
      <sheetData sheetId="9889">
        <row r="34">
          <cell r="A34" t="str">
            <v>Investments Govt Securities</v>
          </cell>
        </row>
      </sheetData>
      <sheetData sheetId="9890">
        <row r="34">
          <cell r="A34" t="str">
            <v>Investments Govt Securities</v>
          </cell>
        </row>
      </sheetData>
      <sheetData sheetId="9891">
        <row r="34">
          <cell r="A34" t="str">
            <v>Investments Govt Securities</v>
          </cell>
        </row>
      </sheetData>
      <sheetData sheetId="9892">
        <row r="34">
          <cell r="A34" t="str">
            <v>Investments Govt Securities</v>
          </cell>
        </row>
      </sheetData>
      <sheetData sheetId="9893">
        <row r="34">
          <cell r="A34" t="str">
            <v>Investments Govt Securities</v>
          </cell>
        </row>
      </sheetData>
      <sheetData sheetId="9894">
        <row r="34">
          <cell r="A34" t="str">
            <v>Investments Govt Securities</v>
          </cell>
        </row>
      </sheetData>
      <sheetData sheetId="9895">
        <row r="34">
          <cell r="A34" t="str">
            <v>Investments Govt Securities</v>
          </cell>
        </row>
      </sheetData>
      <sheetData sheetId="9896">
        <row r="34">
          <cell r="A34" t="str">
            <v>Investments Govt Securities</v>
          </cell>
        </row>
      </sheetData>
      <sheetData sheetId="9897">
        <row r="34">
          <cell r="A34" t="str">
            <v>Investments Govt Securities</v>
          </cell>
        </row>
      </sheetData>
      <sheetData sheetId="9898">
        <row r="34">
          <cell r="A34" t="str">
            <v>Investments Govt Securities</v>
          </cell>
        </row>
      </sheetData>
      <sheetData sheetId="9899">
        <row r="34">
          <cell r="A34" t="str">
            <v>Investments Govt Securities</v>
          </cell>
        </row>
      </sheetData>
      <sheetData sheetId="9900">
        <row r="34">
          <cell r="A34" t="str">
            <v>Investments Govt Securities</v>
          </cell>
        </row>
      </sheetData>
      <sheetData sheetId="9901">
        <row r="34">
          <cell r="A34" t="str">
            <v>Investments Govt Securities</v>
          </cell>
        </row>
      </sheetData>
      <sheetData sheetId="9902">
        <row r="34">
          <cell r="A34" t="str">
            <v>Investments Govt Securities</v>
          </cell>
        </row>
      </sheetData>
      <sheetData sheetId="9903">
        <row r="34">
          <cell r="A34" t="str">
            <v>Investments Govt Securities</v>
          </cell>
        </row>
      </sheetData>
      <sheetData sheetId="9904">
        <row r="34">
          <cell r="A34" t="str">
            <v>Investments Govt Securities</v>
          </cell>
        </row>
      </sheetData>
      <sheetData sheetId="9905">
        <row r="34">
          <cell r="A34" t="str">
            <v>Investments Govt Securities</v>
          </cell>
        </row>
      </sheetData>
      <sheetData sheetId="9906">
        <row r="34">
          <cell r="A34" t="str">
            <v>Investments Govt Securities</v>
          </cell>
        </row>
      </sheetData>
      <sheetData sheetId="9907">
        <row r="34">
          <cell r="A34" t="str">
            <v>Investments Govt Securities</v>
          </cell>
        </row>
      </sheetData>
      <sheetData sheetId="9908">
        <row r="34">
          <cell r="A34" t="str">
            <v>Investments Govt Securities</v>
          </cell>
        </row>
      </sheetData>
      <sheetData sheetId="9909">
        <row r="34">
          <cell r="A34" t="str">
            <v>Investments Govt Securities</v>
          </cell>
        </row>
      </sheetData>
      <sheetData sheetId="9910">
        <row r="34">
          <cell r="A34" t="str">
            <v>Investments Govt Securities</v>
          </cell>
        </row>
      </sheetData>
      <sheetData sheetId="9911">
        <row r="34">
          <cell r="A34" t="str">
            <v>Investments Govt Securities</v>
          </cell>
        </row>
      </sheetData>
      <sheetData sheetId="9912">
        <row r="34">
          <cell r="A34" t="str">
            <v>Investments Govt Securities</v>
          </cell>
        </row>
      </sheetData>
      <sheetData sheetId="9913">
        <row r="34">
          <cell r="A34" t="str">
            <v>Investments Govt Securities</v>
          </cell>
        </row>
      </sheetData>
      <sheetData sheetId="9914">
        <row r="34">
          <cell r="A34" t="str">
            <v>Investments Govt Securities</v>
          </cell>
        </row>
      </sheetData>
      <sheetData sheetId="9915">
        <row r="34">
          <cell r="A34" t="str">
            <v>Investments Govt Securities</v>
          </cell>
        </row>
      </sheetData>
      <sheetData sheetId="9916">
        <row r="34">
          <cell r="A34" t="str">
            <v>Investments Govt Securities</v>
          </cell>
        </row>
      </sheetData>
      <sheetData sheetId="9917">
        <row r="34">
          <cell r="A34" t="str">
            <v>Investments Govt Securities</v>
          </cell>
        </row>
      </sheetData>
      <sheetData sheetId="9918">
        <row r="34">
          <cell r="A34" t="str">
            <v>Investments Govt Securities</v>
          </cell>
        </row>
      </sheetData>
      <sheetData sheetId="9919">
        <row r="34">
          <cell r="A34" t="str">
            <v>Investments Govt Securities</v>
          </cell>
        </row>
      </sheetData>
      <sheetData sheetId="9920">
        <row r="34">
          <cell r="A34" t="str">
            <v>Investments Govt Securities</v>
          </cell>
        </row>
      </sheetData>
      <sheetData sheetId="9921">
        <row r="34">
          <cell r="A34" t="str">
            <v>Investments Govt Securities</v>
          </cell>
        </row>
      </sheetData>
      <sheetData sheetId="9922">
        <row r="34">
          <cell r="A34" t="str">
            <v>Investments Govt Securities</v>
          </cell>
        </row>
      </sheetData>
      <sheetData sheetId="9923">
        <row r="34">
          <cell r="A34" t="str">
            <v>Investments Govt Securities</v>
          </cell>
        </row>
      </sheetData>
      <sheetData sheetId="9924">
        <row r="34">
          <cell r="A34" t="str">
            <v>Investments Govt Securities</v>
          </cell>
        </row>
      </sheetData>
      <sheetData sheetId="9925">
        <row r="34">
          <cell r="A34" t="str">
            <v>Investments Govt Securities</v>
          </cell>
        </row>
      </sheetData>
      <sheetData sheetId="9926">
        <row r="34">
          <cell r="A34" t="str">
            <v>Investments Govt Securities</v>
          </cell>
        </row>
      </sheetData>
      <sheetData sheetId="9927">
        <row r="34">
          <cell r="A34" t="str">
            <v>Investments Govt Securities</v>
          </cell>
        </row>
      </sheetData>
      <sheetData sheetId="9928">
        <row r="34">
          <cell r="A34" t="str">
            <v>Investments Govt Securities</v>
          </cell>
        </row>
      </sheetData>
      <sheetData sheetId="9929">
        <row r="34">
          <cell r="A34" t="str">
            <v>Investments Govt Securities</v>
          </cell>
        </row>
      </sheetData>
      <sheetData sheetId="9930">
        <row r="34">
          <cell r="A34" t="str">
            <v>Investments Govt Securities</v>
          </cell>
        </row>
      </sheetData>
      <sheetData sheetId="9931">
        <row r="34">
          <cell r="A34" t="str">
            <v>Investments Govt Securities</v>
          </cell>
        </row>
      </sheetData>
      <sheetData sheetId="9932">
        <row r="34">
          <cell r="A34" t="str">
            <v>Investments Govt Securities</v>
          </cell>
        </row>
      </sheetData>
      <sheetData sheetId="9933">
        <row r="34">
          <cell r="A34" t="str">
            <v>Investments Govt Securities</v>
          </cell>
        </row>
      </sheetData>
      <sheetData sheetId="9934">
        <row r="34">
          <cell r="A34" t="str">
            <v>Investments Govt Securities</v>
          </cell>
        </row>
      </sheetData>
      <sheetData sheetId="9935">
        <row r="34">
          <cell r="A34" t="str">
            <v>Investments Govt Securities</v>
          </cell>
        </row>
      </sheetData>
      <sheetData sheetId="9936">
        <row r="34">
          <cell r="A34" t="str">
            <v>Investments Govt Securities</v>
          </cell>
        </row>
      </sheetData>
      <sheetData sheetId="9937">
        <row r="34">
          <cell r="A34" t="str">
            <v>Investments Govt Securities</v>
          </cell>
        </row>
      </sheetData>
      <sheetData sheetId="9938">
        <row r="34">
          <cell r="A34" t="str">
            <v>Investments Govt Securities</v>
          </cell>
        </row>
      </sheetData>
      <sheetData sheetId="9939">
        <row r="34">
          <cell r="A34" t="str">
            <v>Investments Govt Securities</v>
          </cell>
        </row>
      </sheetData>
      <sheetData sheetId="9940">
        <row r="34">
          <cell r="A34" t="str">
            <v>Investments Govt Securities</v>
          </cell>
        </row>
      </sheetData>
      <sheetData sheetId="9941">
        <row r="34">
          <cell r="A34" t="str">
            <v>Investments Govt Securities</v>
          </cell>
        </row>
      </sheetData>
      <sheetData sheetId="9942">
        <row r="34">
          <cell r="A34" t="str">
            <v>Investments Govt Securities</v>
          </cell>
        </row>
      </sheetData>
      <sheetData sheetId="9943">
        <row r="34">
          <cell r="A34" t="str">
            <v>Investments Govt Securities</v>
          </cell>
        </row>
      </sheetData>
      <sheetData sheetId="9944">
        <row r="34">
          <cell r="A34" t="str">
            <v>Investments Govt Securities</v>
          </cell>
        </row>
      </sheetData>
      <sheetData sheetId="9945">
        <row r="34">
          <cell r="A34" t="str">
            <v>Investments Govt Securities</v>
          </cell>
        </row>
      </sheetData>
      <sheetData sheetId="9946">
        <row r="34">
          <cell r="A34" t="str">
            <v>Investments Govt Securities</v>
          </cell>
        </row>
      </sheetData>
      <sheetData sheetId="9947">
        <row r="34">
          <cell r="A34" t="str">
            <v>Investments Govt Securities</v>
          </cell>
        </row>
      </sheetData>
      <sheetData sheetId="9948">
        <row r="34">
          <cell r="A34" t="str">
            <v>Investments Govt Securities</v>
          </cell>
        </row>
      </sheetData>
      <sheetData sheetId="9949">
        <row r="34">
          <cell r="A34" t="str">
            <v>Investments Govt Securities</v>
          </cell>
        </row>
      </sheetData>
      <sheetData sheetId="9950">
        <row r="34">
          <cell r="A34" t="str">
            <v>Investments Govt Securities</v>
          </cell>
        </row>
      </sheetData>
      <sheetData sheetId="9951">
        <row r="34">
          <cell r="A34" t="str">
            <v>Investments Govt Securities</v>
          </cell>
        </row>
      </sheetData>
      <sheetData sheetId="9952">
        <row r="34">
          <cell r="A34" t="str">
            <v>Investments Govt Securities</v>
          </cell>
        </row>
      </sheetData>
      <sheetData sheetId="9953">
        <row r="34">
          <cell r="A34" t="str">
            <v>Investments Govt Securities</v>
          </cell>
        </row>
      </sheetData>
      <sheetData sheetId="9954">
        <row r="34">
          <cell r="A34" t="str">
            <v>Investments Govt Securities</v>
          </cell>
        </row>
      </sheetData>
      <sheetData sheetId="9955">
        <row r="34">
          <cell r="A34" t="str">
            <v>Investments Govt Securities</v>
          </cell>
        </row>
      </sheetData>
      <sheetData sheetId="9956">
        <row r="34">
          <cell r="A34" t="str">
            <v>Investments Govt Securities</v>
          </cell>
        </row>
      </sheetData>
      <sheetData sheetId="9957">
        <row r="34">
          <cell r="A34" t="str">
            <v>Investments Govt Securities</v>
          </cell>
        </row>
      </sheetData>
      <sheetData sheetId="9958">
        <row r="34">
          <cell r="A34" t="str">
            <v>Investments Govt Securities</v>
          </cell>
        </row>
      </sheetData>
      <sheetData sheetId="9959">
        <row r="34">
          <cell r="A34" t="str">
            <v>Investments Govt Securities</v>
          </cell>
        </row>
      </sheetData>
      <sheetData sheetId="9960">
        <row r="34">
          <cell r="A34" t="str">
            <v>Investments Govt Securities</v>
          </cell>
        </row>
      </sheetData>
      <sheetData sheetId="9961">
        <row r="34">
          <cell r="A34" t="str">
            <v>Investments Govt Securities</v>
          </cell>
        </row>
      </sheetData>
      <sheetData sheetId="9962">
        <row r="34">
          <cell r="A34" t="str">
            <v>Investments Govt Securities</v>
          </cell>
        </row>
      </sheetData>
      <sheetData sheetId="9963">
        <row r="34">
          <cell r="A34" t="str">
            <v>Investments Govt Securities</v>
          </cell>
        </row>
      </sheetData>
      <sheetData sheetId="9964">
        <row r="34">
          <cell r="A34" t="str">
            <v>Investments Govt Securities</v>
          </cell>
        </row>
      </sheetData>
      <sheetData sheetId="9965">
        <row r="34">
          <cell r="A34" t="str">
            <v>Investments Govt Securities</v>
          </cell>
        </row>
      </sheetData>
      <sheetData sheetId="9966">
        <row r="34">
          <cell r="A34" t="str">
            <v>Investments Govt Securities</v>
          </cell>
        </row>
      </sheetData>
      <sheetData sheetId="9967">
        <row r="34">
          <cell r="A34" t="str">
            <v>Investments Govt Securities</v>
          </cell>
        </row>
      </sheetData>
      <sheetData sheetId="9968">
        <row r="34">
          <cell r="A34" t="str">
            <v>Investments Govt Securities</v>
          </cell>
        </row>
      </sheetData>
      <sheetData sheetId="9969">
        <row r="34">
          <cell r="A34" t="str">
            <v>Investments Govt Securities</v>
          </cell>
        </row>
      </sheetData>
      <sheetData sheetId="9970">
        <row r="34">
          <cell r="A34" t="str">
            <v>Investments Govt Securities</v>
          </cell>
        </row>
      </sheetData>
      <sheetData sheetId="9971">
        <row r="34">
          <cell r="A34" t="str">
            <v>Investments Govt Securities</v>
          </cell>
        </row>
      </sheetData>
      <sheetData sheetId="9972">
        <row r="34">
          <cell r="A34" t="str">
            <v>Investments Govt Securities</v>
          </cell>
        </row>
      </sheetData>
      <sheetData sheetId="9973">
        <row r="34">
          <cell r="A34" t="str">
            <v>Investments Govt Securities</v>
          </cell>
        </row>
      </sheetData>
      <sheetData sheetId="9974">
        <row r="34">
          <cell r="A34" t="str">
            <v>Investments Govt Securities</v>
          </cell>
        </row>
      </sheetData>
      <sheetData sheetId="9975">
        <row r="34">
          <cell r="A34" t="str">
            <v>Investments Govt Securities</v>
          </cell>
        </row>
      </sheetData>
      <sheetData sheetId="9976">
        <row r="34">
          <cell r="A34" t="str">
            <v>Investments Govt Securities</v>
          </cell>
        </row>
      </sheetData>
      <sheetData sheetId="9977">
        <row r="34">
          <cell r="A34" t="str">
            <v>Investments Govt Securities</v>
          </cell>
        </row>
      </sheetData>
      <sheetData sheetId="9978">
        <row r="34">
          <cell r="A34" t="str">
            <v>Investments Govt Securities</v>
          </cell>
        </row>
      </sheetData>
      <sheetData sheetId="9979">
        <row r="34">
          <cell r="A34" t="str">
            <v>Investments Govt Securities</v>
          </cell>
        </row>
      </sheetData>
      <sheetData sheetId="9980">
        <row r="34">
          <cell r="A34" t="str">
            <v>Investments Govt Securities</v>
          </cell>
        </row>
      </sheetData>
      <sheetData sheetId="9981">
        <row r="34">
          <cell r="A34" t="str">
            <v>Investments Govt Securities</v>
          </cell>
        </row>
      </sheetData>
      <sheetData sheetId="9982">
        <row r="34">
          <cell r="A34" t="str">
            <v>Investments Govt Securities</v>
          </cell>
        </row>
      </sheetData>
      <sheetData sheetId="9983">
        <row r="34">
          <cell r="A34" t="str">
            <v>Investments Govt Securities</v>
          </cell>
        </row>
      </sheetData>
      <sheetData sheetId="9984">
        <row r="34">
          <cell r="A34" t="str">
            <v>Investments Govt Securities</v>
          </cell>
        </row>
      </sheetData>
      <sheetData sheetId="9985">
        <row r="34">
          <cell r="A34" t="str">
            <v>Investments Govt Securities</v>
          </cell>
        </row>
      </sheetData>
      <sheetData sheetId="9986">
        <row r="34">
          <cell r="A34" t="str">
            <v>Investments Govt Securities</v>
          </cell>
        </row>
      </sheetData>
      <sheetData sheetId="9987">
        <row r="34">
          <cell r="A34" t="str">
            <v>Investments Govt Securities</v>
          </cell>
        </row>
      </sheetData>
      <sheetData sheetId="9988">
        <row r="34">
          <cell r="A34" t="str">
            <v>Investments Govt Securities</v>
          </cell>
        </row>
      </sheetData>
      <sheetData sheetId="9989">
        <row r="34">
          <cell r="A34" t="str">
            <v>Investments Govt Securities</v>
          </cell>
        </row>
      </sheetData>
      <sheetData sheetId="9990">
        <row r="34">
          <cell r="A34" t="str">
            <v>Investments Govt Securities</v>
          </cell>
        </row>
      </sheetData>
      <sheetData sheetId="9991">
        <row r="34">
          <cell r="A34" t="str">
            <v>Investments Govt Securities</v>
          </cell>
        </row>
      </sheetData>
      <sheetData sheetId="9992">
        <row r="34">
          <cell r="A34" t="str">
            <v>Investments Govt Securities</v>
          </cell>
        </row>
      </sheetData>
      <sheetData sheetId="9993">
        <row r="34">
          <cell r="A34" t="str">
            <v>Investments Govt Securities</v>
          </cell>
        </row>
      </sheetData>
      <sheetData sheetId="9994">
        <row r="34">
          <cell r="A34" t="str">
            <v>Investments Govt Securities</v>
          </cell>
        </row>
      </sheetData>
      <sheetData sheetId="9995">
        <row r="34">
          <cell r="A34" t="str">
            <v>Investments Govt Securities</v>
          </cell>
        </row>
      </sheetData>
      <sheetData sheetId="9996">
        <row r="34">
          <cell r="A34" t="str">
            <v>Investments Govt Securities</v>
          </cell>
        </row>
      </sheetData>
      <sheetData sheetId="9997">
        <row r="34">
          <cell r="A34" t="str">
            <v>Investments Govt Securities</v>
          </cell>
        </row>
      </sheetData>
      <sheetData sheetId="9998">
        <row r="34">
          <cell r="A34" t="str">
            <v>Investments Govt Securities</v>
          </cell>
        </row>
      </sheetData>
      <sheetData sheetId="9999">
        <row r="34">
          <cell r="A34" t="str">
            <v>Investments Govt Securities</v>
          </cell>
        </row>
      </sheetData>
      <sheetData sheetId="10000">
        <row r="34">
          <cell r="A34" t="str">
            <v>Investments Govt Securities</v>
          </cell>
        </row>
      </sheetData>
      <sheetData sheetId="10001">
        <row r="34">
          <cell r="A34" t="str">
            <v>Investments Govt Securities</v>
          </cell>
        </row>
      </sheetData>
      <sheetData sheetId="10002">
        <row r="34">
          <cell r="A34" t="str">
            <v>Investments Govt Securities</v>
          </cell>
        </row>
      </sheetData>
      <sheetData sheetId="10003">
        <row r="34">
          <cell r="A34" t="str">
            <v>Investments Govt Securities</v>
          </cell>
        </row>
      </sheetData>
      <sheetData sheetId="10004">
        <row r="34">
          <cell r="A34" t="str">
            <v>Investments Govt Securities</v>
          </cell>
        </row>
      </sheetData>
      <sheetData sheetId="10005">
        <row r="34">
          <cell r="A34" t="str">
            <v>Investments Govt Securities</v>
          </cell>
        </row>
      </sheetData>
      <sheetData sheetId="10006">
        <row r="34">
          <cell r="A34" t="str">
            <v>Investments Govt Securities</v>
          </cell>
        </row>
      </sheetData>
      <sheetData sheetId="10007">
        <row r="34">
          <cell r="A34" t="str">
            <v>Investments Govt Securities</v>
          </cell>
        </row>
      </sheetData>
      <sheetData sheetId="10008">
        <row r="34">
          <cell r="A34" t="str">
            <v>Investments Govt Securities</v>
          </cell>
        </row>
      </sheetData>
      <sheetData sheetId="10009">
        <row r="34">
          <cell r="A34" t="str">
            <v>Investments Govt Securities</v>
          </cell>
        </row>
      </sheetData>
      <sheetData sheetId="10010">
        <row r="34">
          <cell r="A34" t="str">
            <v>Investments Govt Securities</v>
          </cell>
        </row>
      </sheetData>
      <sheetData sheetId="10011">
        <row r="34">
          <cell r="A34" t="str">
            <v>Investments Govt Securities</v>
          </cell>
        </row>
      </sheetData>
      <sheetData sheetId="10012">
        <row r="34">
          <cell r="A34" t="str">
            <v>Investments Govt Securities</v>
          </cell>
        </row>
      </sheetData>
      <sheetData sheetId="10013">
        <row r="34">
          <cell r="A34" t="str">
            <v>Investments Govt Securities</v>
          </cell>
        </row>
      </sheetData>
      <sheetData sheetId="10014">
        <row r="34">
          <cell r="A34" t="str">
            <v>Investments Govt Securities</v>
          </cell>
        </row>
      </sheetData>
      <sheetData sheetId="10015">
        <row r="34">
          <cell r="A34" t="str">
            <v>Investments Govt Securities</v>
          </cell>
        </row>
      </sheetData>
      <sheetData sheetId="10016">
        <row r="34">
          <cell r="A34" t="str">
            <v>Investments Govt Securities</v>
          </cell>
        </row>
      </sheetData>
      <sheetData sheetId="10017">
        <row r="34">
          <cell r="A34" t="str">
            <v>Investments Govt Securities</v>
          </cell>
        </row>
      </sheetData>
      <sheetData sheetId="10018">
        <row r="34">
          <cell r="A34" t="str">
            <v>Investments Govt Securities</v>
          </cell>
        </row>
      </sheetData>
      <sheetData sheetId="10019">
        <row r="34">
          <cell r="A34" t="str">
            <v>Investments Govt Securities</v>
          </cell>
        </row>
      </sheetData>
      <sheetData sheetId="10020">
        <row r="34">
          <cell r="A34" t="str">
            <v>Investments Govt Securities</v>
          </cell>
        </row>
      </sheetData>
      <sheetData sheetId="10021">
        <row r="34">
          <cell r="A34" t="str">
            <v>Investments Govt Securities</v>
          </cell>
        </row>
      </sheetData>
      <sheetData sheetId="10022">
        <row r="34">
          <cell r="A34" t="str">
            <v>Investments Govt Securities</v>
          </cell>
        </row>
      </sheetData>
      <sheetData sheetId="10023">
        <row r="34">
          <cell r="A34" t="str">
            <v>Investments Govt Securities</v>
          </cell>
        </row>
      </sheetData>
      <sheetData sheetId="10024">
        <row r="34">
          <cell r="A34" t="str">
            <v>Investments Govt Securities</v>
          </cell>
        </row>
      </sheetData>
      <sheetData sheetId="10025">
        <row r="34">
          <cell r="A34" t="str">
            <v>Investments Govt Securities</v>
          </cell>
        </row>
      </sheetData>
      <sheetData sheetId="10026">
        <row r="34">
          <cell r="A34" t="str">
            <v>Investments Govt Securities</v>
          </cell>
        </row>
      </sheetData>
      <sheetData sheetId="10027">
        <row r="34">
          <cell r="A34" t="str">
            <v>Investments Govt Securities</v>
          </cell>
        </row>
      </sheetData>
      <sheetData sheetId="10028">
        <row r="34">
          <cell r="A34" t="str">
            <v>Investments Govt Securities</v>
          </cell>
        </row>
      </sheetData>
      <sheetData sheetId="10029">
        <row r="34">
          <cell r="A34" t="str">
            <v>Investments Govt Securities</v>
          </cell>
        </row>
      </sheetData>
      <sheetData sheetId="10030">
        <row r="34">
          <cell r="A34" t="str">
            <v>Investments Govt Securities</v>
          </cell>
        </row>
      </sheetData>
      <sheetData sheetId="10031">
        <row r="34">
          <cell r="A34" t="str">
            <v>Investments Govt Securities</v>
          </cell>
        </row>
      </sheetData>
      <sheetData sheetId="10032">
        <row r="34">
          <cell r="A34" t="str">
            <v>Investments Govt Securities</v>
          </cell>
        </row>
      </sheetData>
      <sheetData sheetId="10033">
        <row r="34">
          <cell r="A34" t="str">
            <v>Investments Govt Securities</v>
          </cell>
        </row>
      </sheetData>
      <sheetData sheetId="10034">
        <row r="34">
          <cell r="A34" t="str">
            <v>Investments Govt Securities</v>
          </cell>
        </row>
      </sheetData>
      <sheetData sheetId="10035">
        <row r="34">
          <cell r="A34" t="str">
            <v>Investments Govt Securities</v>
          </cell>
        </row>
      </sheetData>
      <sheetData sheetId="10036">
        <row r="34">
          <cell r="A34" t="str">
            <v>Investments Govt Securities</v>
          </cell>
        </row>
      </sheetData>
      <sheetData sheetId="10037">
        <row r="34">
          <cell r="A34" t="str">
            <v>Investments Govt Securities</v>
          </cell>
        </row>
      </sheetData>
      <sheetData sheetId="10038">
        <row r="34">
          <cell r="A34" t="str">
            <v>Investments Govt Securities</v>
          </cell>
        </row>
      </sheetData>
      <sheetData sheetId="10039">
        <row r="34">
          <cell r="A34" t="str">
            <v>Investments Govt Securities</v>
          </cell>
        </row>
      </sheetData>
      <sheetData sheetId="10040">
        <row r="34">
          <cell r="A34" t="str">
            <v>Investments Govt Securities</v>
          </cell>
        </row>
      </sheetData>
      <sheetData sheetId="10041">
        <row r="34">
          <cell r="A34" t="str">
            <v>Investments Govt Securities</v>
          </cell>
        </row>
      </sheetData>
      <sheetData sheetId="10042">
        <row r="34">
          <cell r="A34" t="str">
            <v>Investments Govt Securities</v>
          </cell>
        </row>
      </sheetData>
      <sheetData sheetId="10043">
        <row r="34">
          <cell r="A34" t="str">
            <v>Investments Govt Securities</v>
          </cell>
        </row>
      </sheetData>
      <sheetData sheetId="10044">
        <row r="34">
          <cell r="A34" t="str">
            <v>Investments Govt Securities</v>
          </cell>
        </row>
      </sheetData>
      <sheetData sheetId="10045">
        <row r="34">
          <cell r="A34" t="str">
            <v>Investments Govt Securities</v>
          </cell>
        </row>
      </sheetData>
      <sheetData sheetId="10046">
        <row r="34">
          <cell r="A34" t="str">
            <v>Investments Govt Securities</v>
          </cell>
        </row>
      </sheetData>
      <sheetData sheetId="10047">
        <row r="34">
          <cell r="A34" t="str">
            <v>Investments Govt Securities</v>
          </cell>
        </row>
      </sheetData>
      <sheetData sheetId="10048">
        <row r="34">
          <cell r="A34" t="str">
            <v>Investments Govt Securities</v>
          </cell>
        </row>
      </sheetData>
      <sheetData sheetId="10049">
        <row r="34">
          <cell r="A34" t="str">
            <v>Investments Govt Securities</v>
          </cell>
        </row>
      </sheetData>
      <sheetData sheetId="10050">
        <row r="34">
          <cell r="A34" t="str">
            <v>Investments Govt Securities</v>
          </cell>
        </row>
      </sheetData>
      <sheetData sheetId="10051">
        <row r="34">
          <cell r="A34" t="str">
            <v>Investments Govt Securities</v>
          </cell>
        </row>
      </sheetData>
      <sheetData sheetId="10052">
        <row r="34">
          <cell r="A34" t="str">
            <v>Investments Govt Securities</v>
          </cell>
        </row>
      </sheetData>
      <sheetData sheetId="10053">
        <row r="34">
          <cell r="A34" t="str">
            <v>Investments Govt Securities</v>
          </cell>
        </row>
      </sheetData>
      <sheetData sheetId="10054">
        <row r="34">
          <cell r="A34" t="str">
            <v>Investments Govt Securities</v>
          </cell>
        </row>
      </sheetData>
      <sheetData sheetId="10055">
        <row r="34">
          <cell r="A34" t="str">
            <v>Investments Govt Securities</v>
          </cell>
        </row>
      </sheetData>
      <sheetData sheetId="10056">
        <row r="34">
          <cell r="A34" t="str">
            <v>Investments Govt Securities</v>
          </cell>
        </row>
      </sheetData>
      <sheetData sheetId="10057">
        <row r="34">
          <cell r="A34" t="str">
            <v>Investments Govt Securities</v>
          </cell>
        </row>
      </sheetData>
      <sheetData sheetId="10058">
        <row r="34">
          <cell r="A34" t="str">
            <v>Investments Govt Securities</v>
          </cell>
        </row>
      </sheetData>
      <sheetData sheetId="10059">
        <row r="34">
          <cell r="A34" t="str">
            <v>Investments Govt Securities</v>
          </cell>
        </row>
      </sheetData>
      <sheetData sheetId="10060">
        <row r="34">
          <cell r="A34" t="str">
            <v>Investments Govt Securities</v>
          </cell>
        </row>
      </sheetData>
      <sheetData sheetId="10061">
        <row r="34">
          <cell r="A34" t="str">
            <v>Investments Govt Securities</v>
          </cell>
        </row>
      </sheetData>
      <sheetData sheetId="10062">
        <row r="34">
          <cell r="A34" t="str">
            <v>Investments Govt Securities</v>
          </cell>
        </row>
      </sheetData>
      <sheetData sheetId="10063">
        <row r="34">
          <cell r="A34" t="str">
            <v>Investments Govt Securities</v>
          </cell>
        </row>
      </sheetData>
      <sheetData sheetId="10064">
        <row r="34">
          <cell r="A34" t="str">
            <v>Investments Govt Securities</v>
          </cell>
        </row>
      </sheetData>
      <sheetData sheetId="10065">
        <row r="34">
          <cell r="A34" t="str">
            <v>Investments Govt Securities</v>
          </cell>
        </row>
      </sheetData>
      <sheetData sheetId="10066">
        <row r="34">
          <cell r="A34" t="str">
            <v>Investments Govt Securities</v>
          </cell>
        </row>
      </sheetData>
      <sheetData sheetId="10067">
        <row r="34">
          <cell r="A34" t="str">
            <v>Investments Govt Securities</v>
          </cell>
        </row>
      </sheetData>
      <sheetData sheetId="10068">
        <row r="34">
          <cell r="A34" t="str">
            <v>Investments Govt Securities</v>
          </cell>
        </row>
      </sheetData>
      <sheetData sheetId="10069">
        <row r="34">
          <cell r="A34" t="str">
            <v>Investments Govt Securities</v>
          </cell>
        </row>
      </sheetData>
      <sheetData sheetId="10070">
        <row r="34">
          <cell r="A34" t="str">
            <v>Investments Govt Securities</v>
          </cell>
        </row>
      </sheetData>
      <sheetData sheetId="10071">
        <row r="34">
          <cell r="A34" t="str">
            <v>Investments Govt Securities</v>
          </cell>
        </row>
      </sheetData>
      <sheetData sheetId="10072">
        <row r="34">
          <cell r="A34" t="str">
            <v>Investments Govt Securities</v>
          </cell>
        </row>
      </sheetData>
      <sheetData sheetId="10073">
        <row r="34">
          <cell r="A34" t="str">
            <v>Investments Govt Securities</v>
          </cell>
        </row>
      </sheetData>
      <sheetData sheetId="10074">
        <row r="34">
          <cell r="A34" t="str">
            <v>Investments Govt Securities</v>
          </cell>
        </row>
      </sheetData>
      <sheetData sheetId="10075">
        <row r="34">
          <cell r="A34" t="str">
            <v>Investments Govt Securities</v>
          </cell>
        </row>
      </sheetData>
      <sheetData sheetId="10076">
        <row r="34">
          <cell r="A34" t="str">
            <v>Investments Govt Securities</v>
          </cell>
        </row>
      </sheetData>
      <sheetData sheetId="10077">
        <row r="34">
          <cell r="A34" t="str">
            <v>Investments Govt Securities</v>
          </cell>
        </row>
      </sheetData>
      <sheetData sheetId="10078">
        <row r="34">
          <cell r="A34" t="str">
            <v>Investments Govt Securities</v>
          </cell>
        </row>
      </sheetData>
      <sheetData sheetId="10079">
        <row r="34">
          <cell r="A34" t="str">
            <v>Investments Govt Securities</v>
          </cell>
        </row>
      </sheetData>
      <sheetData sheetId="10080">
        <row r="34">
          <cell r="A34" t="str">
            <v>Investments Govt Securities</v>
          </cell>
        </row>
      </sheetData>
      <sheetData sheetId="10081">
        <row r="34">
          <cell r="A34" t="str">
            <v>Investments Govt Securities</v>
          </cell>
        </row>
      </sheetData>
      <sheetData sheetId="10082">
        <row r="34">
          <cell r="A34" t="str">
            <v>Investments Govt Securities</v>
          </cell>
        </row>
      </sheetData>
      <sheetData sheetId="10083">
        <row r="34">
          <cell r="A34" t="str">
            <v>Investments Govt Securities</v>
          </cell>
        </row>
      </sheetData>
      <sheetData sheetId="10084">
        <row r="34">
          <cell r="A34" t="str">
            <v>Investments Govt Securities</v>
          </cell>
        </row>
      </sheetData>
      <sheetData sheetId="10085">
        <row r="34">
          <cell r="A34" t="str">
            <v>Investments Govt Securities</v>
          </cell>
        </row>
      </sheetData>
      <sheetData sheetId="10086">
        <row r="34">
          <cell r="A34" t="str">
            <v>Investments Govt Securities</v>
          </cell>
        </row>
      </sheetData>
      <sheetData sheetId="10087">
        <row r="34">
          <cell r="A34" t="str">
            <v>Investments Govt Securities</v>
          </cell>
        </row>
      </sheetData>
      <sheetData sheetId="10088">
        <row r="34">
          <cell r="A34" t="str">
            <v>Investments Govt Securities</v>
          </cell>
        </row>
      </sheetData>
      <sheetData sheetId="10089">
        <row r="34">
          <cell r="A34" t="str">
            <v>Investments Govt Securities</v>
          </cell>
        </row>
      </sheetData>
      <sheetData sheetId="10090">
        <row r="34">
          <cell r="A34" t="str">
            <v>Investments Govt Securities</v>
          </cell>
        </row>
      </sheetData>
      <sheetData sheetId="10091">
        <row r="34">
          <cell r="A34" t="str">
            <v>Investments Govt Securities</v>
          </cell>
        </row>
      </sheetData>
      <sheetData sheetId="10092">
        <row r="34">
          <cell r="A34" t="str">
            <v>Investments Govt Securities</v>
          </cell>
        </row>
      </sheetData>
      <sheetData sheetId="10093">
        <row r="34">
          <cell r="A34" t="str">
            <v>Investments Govt Securities</v>
          </cell>
        </row>
      </sheetData>
      <sheetData sheetId="10094">
        <row r="34">
          <cell r="A34" t="str">
            <v>Investments Govt Securities</v>
          </cell>
        </row>
      </sheetData>
      <sheetData sheetId="10095">
        <row r="34">
          <cell r="A34" t="str">
            <v>Investments Govt Securities</v>
          </cell>
        </row>
      </sheetData>
      <sheetData sheetId="10096">
        <row r="34">
          <cell r="A34" t="str">
            <v>Investments Govt Securities</v>
          </cell>
        </row>
      </sheetData>
      <sheetData sheetId="10097">
        <row r="34">
          <cell r="A34" t="str">
            <v>Investments Govt Securities</v>
          </cell>
        </row>
      </sheetData>
      <sheetData sheetId="10098">
        <row r="34">
          <cell r="A34" t="str">
            <v>Investments Govt Securities</v>
          </cell>
        </row>
      </sheetData>
      <sheetData sheetId="10099">
        <row r="34">
          <cell r="A34" t="str">
            <v>Investments Govt Securities</v>
          </cell>
        </row>
      </sheetData>
      <sheetData sheetId="10100">
        <row r="34">
          <cell r="A34" t="str">
            <v>Investments Govt Securities</v>
          </cell>
        </row>
      </sheetData>
      <sheetData sheetId="10101">
        <row r="34">
          <cell r="A34" t="str">
            <v>Investments Govt Securities</v>
          </cell>
        </row>
      </sheetData>
      <sheetData sheetId="10102">
        <row r="34">
          <cell r="A34" t="str">
            <v>Investments Govt Securities</v>
          </cell>
        </row>
      </sheetData>
      <sheetData sheetId="10103">
        <row r="34">
          <cell r="A34" t="str">
            <v>Investments Govt Securities</v>
          </cell>
        </row>
      </sheetData>
      <sheetData sheetId="10104">
        <row r="34">
          <cell r="A34" t="str">
            <v>Investments Govt Securities</v>
          </cell>
        </row>
      </sheetData>
      <sheetData sheetId="10105">
        <row r="34">
          <cell r="A34" t="str">
            <v>Investments Govt Securities</v>
          </cell>
        </row>
      </sheetData>
      <sheetData sheetId="10106">
        <row r="34">
          <cell r="A34" t="str">
            <v>Investments Govt Securities</v>
          </cell>
        </row>
      </sheetData>
      <sheetData sheetId="10107">
        <row r="34">
          <cell r="A34" t="str">
            <v>Investments Govt Securities</v>
          </cell>
        </row>
      </sheetData>
      <sheetData sheetId="10108">
        <row r="34">
          <cell r="A34" t="str">
            <v>Investments Govt Securities</v>
          </cell>
        </row>
      </sheetData>
      <sheetData sheetId="10109">
        <row r="34">
          <cell r="A34" t="str">
            <v>Investments Govt Securities</v>
          </cell>
        </row>
      </sheetData>
      <sheetData sheetId="10110">
        <row r="34">
          <cell r="A34" t="str">
            <v>Investments Govt Securities</v>
          </cell>
        </row>
      </sheetData>
      <sheetData sheetId="10111">
        <row r="34">
          <cell r="A34" t="str">
            <v>Investments Govt Securities</v>
          </cell>
        </row>
      </sheetData>
      <sheetData sheetId="10112">
        <row r="34">
          <cell r="A34" t="str">
            <v>Investments Govt Securities</v>
          </cell>
        </row>
      </sheetData>
      <sheetData sheetId="10113">
        <row r="34">
          <cell r="A34" t="str">
            <v>Investments Govt Securities</v>
          </cell>
        </row>
      </sheetData>
      <sheetData sheetId="10114">
        <row r="34">
          <cell r="A34" t="str">
            <v>Investments Govt Securities</v>
          </cell>
        </row>
      </sheetData>
      <sheetData sheetId="10115">
        <row r="34">
          <cell r="A34" t="str">
            <v>Investments Govt Securities</v>
          </cell>
        </row>
      </sheetData>
      <sheetData sheetId="10116">
        <row r="34">
          <cell r="A34" t="str">
            <v>Investments Govt Securities</v>
          </cell>
        </row>
      </sheetData>
      <sheetData sheetId="10117">
        <row r="34">
          <cell r="A34" t="str">
            <v>Investments Govt Securities</v>
          </cell>
        </row>
      </sheetData>
      <sheetData sheetId="10118">
        <row r="34">
          <cell r="A34" t="str">
            <v>Investments Govt Securities</v>
          </cell>
        </row>
      </sheetData>
      <sheetData sheetId="10119">
        <row r="34">
          <cell r="A34" t="str">
            <v>Investments Govt Securities</v>
          </cell>
        </row>
      </sheetData>
      <sheetData sheetId="10120">
        <row r="34">
          <cell r="A34" t="str">
            <v>Investments Govt Securities</v>
          </cell>
        </row>
      </sheetData>
      <sheetData sheetId="10121">
        <row r="34">
          <cell r="A34" t="str">
            <v>Investments Govt Securities</v>
          </cell>
        </row>
      </sheetData>
      <sheetData sheetId="10122">
        <row r="34">
          <cell r="A34" t="str">
            <v>Investments Govt Securities</v>
          </cell>
        </row>
      </sheetData>
      <sheetData sheetId="10123">
        <row r="34">
          <cell r="A34" t="str">
            <v>Investments Govt Securities</v>
          </cell>
        </row>
      </sheetData>
      <sheetData sheetId="10124">
        <row r="34">
          <cell r="A34" t="str">
            <v>Investments Govt Securities</v>
          </cell>
        </row>
      </sheetData>
      <sheetData sheetId="10125">
        <row r="34">
          <cell r="A34" t="str">
            <v>Investments Govt Securities</v>
          </cell>
        </row>
      </sheetData>
      <sheetData sheetId="10126">
        <row r="34">
          <cell r="A34" t="str">
            <v>Investments Govt Securities</v>
          </cell>
        </row>
      </sheetData>
      <sheetData sheetId="10127">
        <row r="34">
          <cell r="A34" t="str">
            <v>Investments Govt Securities</v>
          </cell>
        </row>
      </sheetData>
      <sheetData sheetId="10128">
        <row r="34">
          <cell r="A34" t="str">
            <v>Investments Govt Securities</v>
          </cell>
        </row>
      </sheetData>
      <sheetData sheetId="10129">
        <row r="34">
          <cell r="A34" t="str">
            <v>Investments Govt Securities</v>
          </cell>
        </row>
      </sheetData>
      <sheetData sheetId="10130">
        <row r="34">
          <cell r="A34" t="str">
            <v>Investments Govt Securities</v>
          </cell>
        </row>
      </sheetData>
      <sheetData sheetId="10131">
        <row r="34">
          <cell r="A34" t="str">
            <v>Investments Govt Securities</v>
          </cell>
        </row>
      </sheetData>
      <sheetData sheetId="10132">
        <row r="34">
          <cell r="A34" t="str">
            <v>Investments Govt Securities</v>
          </cell>
        </row>
      </sheetData>
      <sheetData sheetId="10133">
        <row r="34">
          <cell r="A34" t="str">
            <v>Investments Govt Securities</v>
          </cell>
        </row>
      </sheetData>
      <sheetData sheetId="10134">
        <row r="34">
          <cell r="A34" t="str">
            <v>Investments Govt Securities</v>
          </cell>
        </row>
      </sheetData>
      <sheetData sheetId="10135">
        <row r="34">
          <cell r="A34" t="str">
            <v>Investments Govt Securities</v>
          </cell>
        </row>
      </sheetData>
      <sheetData sheetId="10136">
        <row r="34">
          <cell r="A34" t="str">
            <v>Investments Govt Securities</v>
          </cell>
        </row>
      </sheetData>
      <sheetData sheetId="10137">
        <row r="34">
          <cell r="A34" t="str">
            <v>Investments Govt Securities</v>
          </cell>
        </row>
      </sheetData>
      <sheetData sheetId="10138">
        <row r="34">
          <cell r="A34" t="str">
            <v>Investments Govt Securities</v>
          </cell>
        </row>
      </sheetData>
      <sheetData sheetId="10139">
        <row r="34">
          <cell r="A34" t="str">
            <v>Investments Govt Securities</v>
          </cell>
        </row>
      </sheetData>
      <sheetData sheetId="10140">
        <row r="34">
          <cell r="A34" t="str">
            <v>Investments Govt Securities</v>
          </cell>
        </row>
      </sheetData>
      <sheetData sheetId="10141">
        <row r="34">
          <cell r="A34" t="str">
            <v>Investments Govt Securities</v>
          </cell>
        </row>
      </sheetData>
      <sheetData sheetId="10142">
        <row r="34">
          <cell r="A34" t="str">
            <v>Investments Govt Securities</v>
          </cell>
        </row>
      </sheetData>
      <sheetData sheetId="10143">
        <row r="34">
          <cell r="A34" t="str">
            <v>Investments Govt Securities</v>
          </cell>
        </row>
      </sheetData>
      <sheetData sheetId="10144">
        <row r="34">
          <cell r="A34" t="str">
            <v>Investments Govt Securities</v>
          </cell>
        </row>
      </sheetData>
      <sheetData sheetId="10145">
        <row r="34">
          <cell r="A34" t="str">
            <v>Investments Govt Securities</v>
          </cell>
        </row>
      </sheetData>
      <sheetData sheetId="10146">
        <row r="34">
          <cell r="A34" t="str">
            <v>Investments Govt Securities</v>
          </cell>
        </row>
      </sheetData>
      <sheetData sheetId="10147">
        <row r="34">
          <cell r="A34" t="str">
            <v>Investments Govt Securities</v>
          </cell>
        </row>
      </sheetData>
      <sheetData sheetId="10148">
        <row r="34">
          <cell r="A34" t="str">
            <v>Investments Govt Securities</v>
          </cell>
        </row>
      </sheetData>
      <sheetData sheetId="10149">
        <row r="34">
          <cell r="A34" t="str">
            <v>Investments Govt Securities</v>
          </cell>
        </row>
      </sheetData>
      <sheetData sheetId="10150">
        <row r="34">
          <cell r="A34" t="str">
            <v>Investments Govt Securities</v>
          </cell>
        </row>
      </sheetData>
      <sheetData sheetId="10151">
        <row r="34">
          <cell r="A34" t="str">
            <v>Investments Govt Securities</v>
          </cell>
        </row>
      </sheetData>
      <sheetData sheetId="10152">
        <row r="34">
          <cell r="A34" t="str">
            <v>Investments Govt Securities</v>
          </cell>
        </row>
      </sheetData>
      <sheetData sheetId="10153">
        <row r="34">
          <cell r="A34" t="str">
            <v>Investments Govt Securities</v>
          </cell>
        </row>
      </sheetData>
      <sheetData sheetId="10154">
        <row r="34">
          <cell r="A34" t="str">
            <v>Investments Govt Securities</v>
          </cell>
        </row>
      </sheetData>
      <sheetData sheetId="10155">
        <row r="34">
          <cell r="A34" t="str">
            <v>Investments Govt Securities</v>
          </cell>
        </row>
      </sheetData>
      <sheetData sheetId="10156">
        <row r="34">
          <cell r="A34" t="str">
            <v>Investments Govt Securities</v>
          </cell>
        </row>
      </sheetData>
      <sheetData sheetId="10157">
        <row r="34">
          <cell r="A34" t="str">
            <v>Investments Govt Securities</v>
          </cell>
        </row>
      </sheetData>
      <sheetData sheetId="10158">
        <row r="34">
          <cell r="A34" t="str">
            <v>Investments Govt Securities</v>
          </cell>
        </row>
      </sheetData>
      <sheetData sheetId="10159">
        <row r="34">
          <cell r="A34" t="str">
            <v>Investments Govt Securities</v>
          </cell>
        </row>
      </sheetData>
      <sheetData sheetId="10160">
        <row r="34">
          <cell r="A34" t="str">
            <v>Investments Govt Securities</v>
          </cell>
        </row>
      </sheetData>
      <sheetData sheetId="10161">
        <row r="34">
          <cell r="A34" t="str">
            <v>Investments Govt Securities</v>
          </cell>
        </row>
      </sheetData>
      <sheetData sheetId="10162">
        <row r="34">
          <cell r="A34" t="str">
            <v>Investments Govt Securities</v>
          </cell>
        </row>
      </sheetData>
      <sheetData sheetId="10163">
        <row r="34">
          <cell r="A34" t="str">
            <v>Investments Govt Securities</v>
          </cell>
        </row>
      </sheetData>
      <sheetData sheetId="10164">
        <row r="34">
          <cell r="A34" t="str">
            <v>Investments Govt Securities</v>
          </cell>
        </row>
      </sheetData>
      <sheetData sheetId="10165">
        <row r="34">
          <cell r="A34" t="str">
            <v>Investments Govt Securities</v>
          </cell>
        </row>
      </sheetData>
      <sheetData sheetId="10166">
        <row r="34">
          <cell r="A34" t="str">
            <v>Investments Govt Securities</v>
          </cell>
        </row>
      </sheetData>
      <sheetData sheetId="10167">
        <row r="34">
          <cell r="A34" t="str">
            <v>Investments Govt Securities</v>
          </cell>
        </row>
      </sheetData>
      <sheetData sheetId="10168">
        <row r="34">
          <cell r="A34" t="str">
            <v>Investments Govt Securities</v>
          </cell>
        </row>
      </sheetData>
      <sheetData sheetId="10169">
        <row r="34">
          <cell r="A34" t="str">
            <v>Investments Govt Securities</v>
          </cell>
        </row>
      </sheetData>
      <sheetData sheetId="10170">
        <row r="34">
          <cell r="A34" t="str">
            <v>Investments Govt Securities</v>
          </cell>
        </row>
      </sheetData>
      <sheetData sheetId="10171">
        <row r="34">
          <cell r="A34" t="str">
            <v>Investments Govt Securities</v>
          </cell>
        </row>
      </sheetData>
      <sheetData sheetId="10172">
        <row r="34">
          <cell r="A34" t="str">
            <v>Investments Govt Securities</v>
          </cell>
        </row>
      </sheetData>
      <sheetData sheetId="10173">
        <row r="34">
          <cell r="A34" t="str">
            <v>Investments Govt Securities</v>
          </cell>
        </row>
      </sheetData>
      <sheetData sheetId="10174">
        <row r="34">
          <cell r="A34" t="str">
            <v>Investments Govt Securities</v>
          </cell>
        </row>
      </sheetData>
      <sheetData sheetId="10175">
        <row r="34">
          <cell r="A34" t="str">
            <v>Investments Govt Securities</v>
          </cell>
        </row>
      </sheetData>
      <sheetData sheetId="10176">
        <row r="34">
          <cell r="A34" t="str">
            <v>Investments Govt Securities</v>
          </cell>
        </row>
      </sheetData>
      <sheetData sheetId="10177">
        <row r="34">
          <cell r="A34" t="str">
            <v>Investments Govt Securities</v>
          </cell>
        </row>
      </sheetData>
      <sheetData sheetId="10178">
        <row r="34">
          <cell r="A34" t="str">
            <v>Investments Govt Securities</v>
          </cell>
        </row>
      </sheetData>
      <sheetData sheetId="10179">
        <row r="34">
          <cell r="A34" t="str">
            <v>Investments Govt Securities</v>
          </cell>
        </row>
      </sheetData>
      <sheetData sheetId="10180">
        <row r="34">
          <cell r="A34" t="str">
            <v>Investments Govt Securities</v>
          </cell>
        </row>
      </sheetData>
      <sheetData sheetId="10181">
        <row r="34">
          <cell r="A34" t="str">
            <v>Investments Govt Securities</v>
          </cell>
        </row>
      </sheetData>
      <sheetData sheetId="10182">
        <row r="34">
          <cell r="A34" t="str">
            <v>Investments Govt Securities</v>
          </cell>
        </row>
      </sheetData>
      <sheetData sheetId="10183">
        <row r="34">
          <cell r="A34" t="str">
            <v>Investments Govt Securities</v>
          </cell>
        </row>
      </sheetData>
      <sheetData sheetId="10184">
        <row r="34">
          <cell r="A34" t="str">
            <v>Investments Govt Securities</v>
          </cell>
        </row>
      </sheetData>
      <sheetData sheetId="10185">
        <row r="34">
          <cell r="A34" t="str">
            <v>Investments Govt Securities</v>
          </cell>
        </row>
      </sheetData>
      <sheetData sheetId="10186">
        <row r="34">
          <cell r="A34" t="str">
            <v>Investments Govt Securities</v>
          </cell>
        </row>
      </sheetData>
      <sheetData sheetId="10187">
        <row r="34">
          <cell r="A34" t="str">
            <v>Investments Govt Securities</v>
          </cell>
        </row>
      </sheetData>
      <sheetData sheetId="10188">
        <row r="34">
          <cell r="A34" t="str">
            <v>Investments Govt Securities</v>
          </cell>
        </row>
      </sheetData>
      <sheetData sheetId="10189">
        <row r="34">
          <cell r="A34" t="str">
            <v>Investments Govt Securities</v>
          </cell>
        </row>
      </sheetData>
      <sheetData sheetId="10190">
        <row r="34">
          <cell r="A34" t="str">
            <v>Investments Govt Securities</v>
          </cell>
        </row>
      </sheetData>
      <sheetData sheetId="10191">
        <row r="34">
          <cell r="A34" t="str">
            <v>Investments Govt Securities</v>
          </cell>
        </row>
      </sheetData>
      <sheetData sheetId="10192">
        <row r="34">
          <cell r="A34" t="str">
            <v>Investments Govt Securities</v>
          </cell>
        </row>
      </sheetData>
      <sheetData sheetId="10193">
        <row r="34">
          <cell r="A34" t="str">
            <v>Investments Govt Securities</v>
          </cell>
        </row>
      </sheetData>
      <sheetData sheetId="10194">
        <row r="34">
          <cell r="A34" t="str">
            <v>Investments Govt Securities</v>
          </cell>
        </row>
      </sheetData>
      <sheetData sheetId="10195">
        <row r="34">
          <cell r="A34" t="str">
            <v>Investments Govt Securities</v>
          </cell>
        </row>
      </sheetData>
      <sheetData sheetId="10196">
        <row r="34">
          <cell r="A34" t="str">
            <v>Investments Govt Securities</v>
          </cell>
        </row>
      </sheetData>
      <sheetData sheetId="10197">
        <row r="34">
          <cell r="A34" t="str">
            <v>Investments Govt Securities</v>
          </cell>
        </row>
      </sheetData>
      <sheetData sheetId="10198">
        <row r="34">
          <cell r="A34" t="str">
            <v>Investments Govt Securities</v>
          </cell>
        </row>
      </sheetData>
      <sheetData sheetId="10199">
        <row r="34">
          <cell r="A34" t="str">
            <v>Investments Govt Securities</v>
          </cell>
        </row>
      </sheetData>
      <sheetData sheetId="10200">
        <row r="34">
          <cell r="A34" t="str">
            <v>Investments Govt Securities</v>
          </cell>
        </row>
      </sheetData>
      <sheetData sheetId="10201">
        <row r="34">
          <cell r="A34" t="str">
            <v>Investments Govt Securities</v>
          </cell>
        </row>
      </sheetData>
      <sheetData sheetId="10202">
        <row r="34">
          <cell r="A34" t="str">
            <v>Investments Govt Securities</v>
          </cell>
        </row>
      </sheetData>
      <sheetData sheetId="10203">
        <row r="34">
          <cell r="A34" t="str">
            <v>Investments Govt Securities</v>
          </cell>
        </row>
      </sheetData>
      <sheetData sheetId="10204">
        <row r="34">
          <cell r="A34" t="str">
            <v>Investments Govt Securities</v>
          </cell>
        </row>
      </sheetData>
      <sheetData sheetId="10205">
        <row r="34">
          <cell r="A34" t="str">
            <v>Investments Govt Securities</v>
          </cell>
        </row>
      </sheetData>
      <sheetData sheetId="10206">
        <row r="34">
          <cell r="A34" t="str">
            <v>Investments Govt Securities</v>
          </cell>
        </row>
      </sheetData>
      <sheetData sheetId="10207">
        <row r="34">
          <cell r="A34" t="str">
            <v>Investments Govt Securities</v>
          </cell>
        </row>
      </sheetData>
      <sheetData sheetId="10208">
        <row r="34">
          <cell r="A34" t="str">
            <v>Investments Govt Securities</v>
          </cell>
        </row>
      </sheetData>
      <sheetData sheetId="10209">
        <row r="34">
          <cell r="A34" t="str">
            <v>Investments Govt Securities</v>
          </cell>
        </row>
      </sheetData>
      <sheetData sheetId="10210">
        <row r="34">
          <cell r="A34" t="str">
            <v>Investments Govt Securities</v>
          </cell>
        </row>
      </sheetData>
      <sheetData sheetId="10211">
        <row r="34">
          <cell r="A34" t="str">
            <v>Investments Govt Securities</v>
          </cell>
        </row>
      </sheetData>
      <sheetData sheetId="10212">
        <row r="34">
          <cell r="A34" t="str">
            <v>Investments Govt Securities</v>
          </cell>
        </row>
      </sheetData>
      <sheetData sheetId="10213">
        <row r="34">
          <cell r="A34" t="str">
            <v>Investments Govt Securities</v>
          </cell>
        </row>
      </sheetData>
      <sheetData sheetId="10214">
        <row r="34">
          <cell r="A34" t="str">
            <v>Investments Govt Securities</v>
          </cell>
        </row>
      </sheetData>
      <sheetData sheetId="10215">
        <row r="34">
          <cell r="A34" t="str">
            <v>Investments Govt Securities</v>
          </cell>
        </row>
      </sheetData>
      <sheetData sheetId="10216">
        <row r="34">
          <cell r="A34" t="str">
            <v>Investments Govt Securities</v>
          </cell>
        </row>
      </sheetData>
      <sheetData sheetId="10217">
        <row r="34">
          <cell r="A34" t="str">
            <v>Investments Govt Securities</v>
          </cell>
        </row>
      </sheetData>
      <sheetData sheetId="10218">
        <row r="34">
          <cell r="A34" t="str">
            <v>Investments Govt Securities</v>
          </cell>
        </row>
      </sheetData>
      <sheetData sheetId="10219">
        <row r="34">
          <cell r="A34" t="str">
            <v>Investments Govt Securities</v>
          </cell>
        </row>
      </sheetData>
      <sheetData sheetId="10220">
        <row r="34">
          <cell r="A34" t="str">
            <v>Investments Govt Securities</v>
          </cell>
        </row>
      </sheetData>
      <sheetData sheetId="10221">
        <row r="34">
          <cell r="A34" t="str">
            <v>Investments Govt Securities</v>
          </cell>
        </row>
      </sheetData>
      <sheetData sheetId="10222">
        <row r="34">
          <cell r="A34" t="str">
            <v>Investments Govt Securities</v>
          </cell>
        </row>
      </sheetData>
      <sheetData sheetId="10223">
        <row r="34">
          <cell r="A34" t="str">
            <v>Investments Govt Securities</v>
          </cell>
        </row>
      </sheetData>
      <sheetData sheetId="10224">
        <row r="34">
          <cell r="A34" t="str">
            <v>Investments Govt Securities</v>
          </cell>
        </row>
      </sheetData>
      <sheetData sheetId="10225">
        <row r="34">
          <cell r="A34" t="str">
            <v>Investments Govt Securities</v>
          </cell>
        </row>
      </sheetData>
      <sheetData sheetId="10226">
        <row r="34">
          <cell r="A34" t="str">
            <v>Investments Govt Securities</v>
          </cell>
        </row>
      </sheetData>
      <sheetData sheetId="10227">
        <row r="34">
          <cell r="A34" t="str">
            <v>Investments Govt Securities</v>
          </cell>
        </row>
      </sheetData>
      <sheetData sheetId="10228">
        <row r="34">
          <cell r="A34" t="str">
            <v>Investments Govt Securities</v>
          </cell>
        </row>
      </sheetData>
      <sheetData sheetId="10229">
        <row r="34">
          <cell r="A34" t="str">
            <v>Investments Govt Securities</v>
          </cell>
        </row>
      </sheetData>
      <sheetData sheetId="10230">
        <row r="34">
          <cell r="A34" t="str">
            <v>Investments Govt Securities</v>
          </cell>
        </row>
      </sheetData>
      <sheetData sheetId="10231">
        <row r="34">
          <cell r="A34" t="str">
            <v>Investments Govt Securities</v>
          </cell>
        </row>
      </sheetData>
      <sheetData sheetId="10232">
        <row r="34">
          <cell r="A34" t="str">
            <v>Investments Govt Securities</v>
          </cell>
        </row>
      </sheetData>
      <sheetData sheetId="10233">
        <row r="34">
          <cell r="A34" t="str">
            <v>Investments Govt Securities</v>
          </cell>
        </row>
      </sheetData>
      <sheetData sheetId="10234">
        <row r="34">
          <cell r="A34" t="str">
            <v>Investments Govt Securities</v>
          </cell>
        </row>
      </sheetData>
      <sheetData sheetId="10235">
        <row r="34">
          <cell r="A34" t="str">
            <v>Investments Govt Securities</v>
          </cell>
        </row>
      </sheetData>
      <sheetData sheetId="10236">
        <row r="34">
          <cell r="A34" t="str">
            <v>Investments Govt Securities</v>
          </cell>
        </row>
      </sheetData>
      <sheetData sheetId="10237">
        <row r="34">
          <cell r="A34" t="str">
            <v>Investments Govt Securities</v>
          </cell>
        </row>
      </sheetData>
      <sheetData sheetId="10238">
        <row r="34">
          <cell r="A34" t="str">
            <v>Investments Govt Securities</v>
          </cell>
        </row>
      </sheetData>
      <sheetData sheetId="10239">
        <row r="34">
          <cell r="A34" t="str">
            <v>Investments Govt Securities</v>
          </cell>
        </row>
      </sheetData>
      <sheetData sheetId="10240">
        <row r="34">
          <cell r="A34" t="str">
            <v>Investments Govt Securities</v>
          </cell>
        </row>
      </sheetData>
      <sheetData sheetId="10241">
        <row r="34">
          <cell r="A34" t="str">
            <v>Investments Govt Securities</v>
          </cell>
        </row>
      </sheetData>
      <sheetData sheetId="10242">
        <row r="34">
          <cell r="A34" t="str">
            <v>Investments Govt Securities</v>
          </cell>
        </row>
      </sheetData>
      <sheetData sheetId="10243">
        <row r="34">
          <cell r="A34" t="str">
            <v>Investments Govt Securities</v>
          </cell>
        </row>
      </sheetData>
      <sheetData sheetId="10244">
        <row r="34">
          <cell r="A34" t="str">
            <v>Investments Govt Securities</v>
          </cell>
        </row>
      </sheetData>
      <sheetData sheetId="10245">
        <row r="34">
          <cell r="A34" t="str">
            <v>Investments Govt Securities</v>
          </cell>
        </row>
      </sheetData>
      <sheetData sheetId="10246">
        <row r="34">
          <cell r="A34" t="str">
            <v>Investments Govt Securities</v>
          </cell>
        </row>
      </sheetData>
      <sheetData sheetId="10247">
        <row r="34">
          <cell r="A34" t="str">
            <v>Investments Govt Securities</v>
          </cell>
        </row>
      </sheetData>
      <sheetData sheetId="10248">
        <row r="34">
          <cell r="A34" t="str">
            <v>Investments Govt Securities</v>
          </cell>
        </row>
      </sheetData>
      <sheetData sheetId="10249">
        <row r="34">
          <cell r="A34" t="str">
            <v>Investments Govt Securities</v>
          </cell>
        </row>
      </sheetData>
      <sheetData sheetId="10250">
        <row r="34">
          <cell r="A34" t="str">
            <v>Investments Govt Securities</v>
          </cell>
        </row>
      </sheetData>
      <sheetData sheetId="10251">
        <row r="34">
          <cell r="A34" t="str">
            <v>Investments Govt Securities</v>
          </cell>
        </row>
      </sheetData>
      <sheetData sheetId="10252">
        <row r="34">
          <cell r="A34" t="str">
            <v>Investments Govt Securities</v>
          </cell>
        </row>
      </sheetData>
      <sheetData sheetId="10253">
        <row r="34">
          <cell r="A34" t="str">
            <v>Investments Govt Securities</v>
          </cell>
        </row>
      </sheetData>
      <sheetData sheetId="10254">
        <row r="34">
          <cell r="A34" t="str">
            <v>Investments Govt Securities</v>
          </cell>
        </row>
      </sheetData>
      <sheetData sheetId="10255">
        <row r="34">
          <cell r="A34" t="str">
            <v>Investments Govt Securities</v>
          </cell>
        </row>
      </sheetData>
      <sheetData sheetId="10256">
        <row r="34">
          <cell r="A34" t="str">
            <v>Investments Govt Securities</v>
          </cell>
        </row>
      </sheetData>
      <sheetData sheetId="10257">
        <row r="34">
          <cell r="A34" t="str">
            <v>Investments Govt Securities</v>
          </cell>
        </row>
      </sheetData>
      <sheetData sheetId="10258">
        <row r="34">
          <cell r="A34" t="str">
            <v>Investments Govt Securities</v>
          </cell>
        </row>
      </sheetData>
      <sheetData sheetId="10259">
        <row r="34">
          <cell r="A34" t="str">
            <v>Investments Govt Securities</v>
          </cell>
        </row>
      </sheetData>
      <sheetData sheetId="10260">
        <row r="34">
          <cell r="A34" t="str">
            <v>Investments Govt Securities</v>
          </cell>
        </row>
      </sheetData>
      <sheetData sheetId="10261">
        <row r="34">
          <cell r="A34" t="str">
            <v>Investments Govt Securities</v>
          </cell>
        </row>
      </sheetData>
      <sheetData sheetId="10262">
        <row r="34">
          <cell r="A34" t="str">
            <v>Investments Govt Securities</v>
          </cell>
        </row>
      </sheetData>
      <sheetData sheetId="10263">
        <row r="34">
          <cell r="A34" t="str">
            <v>Investments Govt Securities</v>
          </cell>
        </row>
      </sheetData>
      <sheetData sheetId="10264">
        <row r="34">
          <cell r="A34" t="str">
            <v>Investments Govt Securities</v>
          </cell>
        </row>
      </sheetData>
      <sheetData sheetId="10265">
        <row r="34">
          <cell r="A34" t="str">
            <v>Investments Govt Securities</v>
          </cell>
        </row>
      </sheetData>
      <sheetData sheetId="10266">
        <row r="34">
          <cell r="A34" t="str">
            <v>Investments Govt Securities</v>
          </cell>
        </row>
      </sheetData>
      <sheetData sheetId="10267">
        <row r="34">
          <cell r="A34" t="str">
            <v>Investments Govt Securities</v>
          </cell>
        </row>
      </sheetData>
      <sheetData sheetId="10268">
        <row r="34">
          <cell r="A34" t="str">
            <v>Investments Govt Securities</v>
          </cell>
        </row>
      </sheetData>
      <sheetData sheetId="10269">
        <row r="34">
          <cell r="A34" t="str">
            <v>Investments Govt Securities</v>
          </cell>
        </row>
      </sheetData>
      <sheetData sheetId="10270">
        <row r="34">
          <cell r="A34" t="str">
            <v>Investments Govt Securities</v>
          </cell>
        </row>
      </sheetData>
      <sheetData sheetId="10271">
        <row r="34">
          <cell r="A34" t="str">
            <v>Investments Govt Securities</v>
          </cell>
        </row>
      </sheetData>
      <sheetData sheetId="10272">
        <row r="34">
          <cell r="A34" t="str">
            <v>Investments Govt Securities</v>
          </cell>
        </row>
      </sheetData>
      <sheetData sheetId="10273">
        <row r="34">
          <cell r="A34" t="str">
            <v>Investments Govt Securities</v>
          </cell>
        </row>
      </sheetData>
      <sheetData sheetId="10274">
        <row r="34">
          <cell r="A34" t="str">
            <v>Investments Govt Securities</v>
          </cell>
        </row>
      </sheetData>
      <sheetData sheetId="10275">
        <row r="34">
          <cell r="A34" t="str">
            <v>Investments Govt Securities</v>
          </cell>
        </row>
      </sheetData>
      <sheetData sheetId="10276">
        <row r="34">
          <cell r="A34" t="str">
            <v>Investments Govt Securities</v>
          </cell>
        </row>
      </sheetData>
      <sheetData sheetId="10277">
        <row r="34">
          <cell r="A34" t="str">
            <v>Investments Govt Securities</v>
          </cell>
        </row>
      </sheetData>
      <sheetData sheetId="10278">
        <row r="34">
          <cell r="A34" t="str">
            <v>Investments Govt Securities</v>
          </cell>
        </row>
      </sheetData>
      <sheetData sheetId="10279">
        <row r="34">
          <cell r="A34" t="str">
            <v>Investments Govt Securities</v>
          </cell>
        </row>
      </sheetData>
      <sheetData sheetId="10280">
        <row r="34">
          <cell r="A34" t="str">
            <v>Investments Govt Securities</v>
          </cell>
        </row>
      </sheetData>
      <sheetData sheetId="10281">
        <row r="34">
          <cell r="A34" t="str">
            <v>Investments Govt Securities</v>
          </cell>
        </row>
      </sheetData>
      <sheetData sheetId="10282">
        <row r="34">
          <cell r="A34" t="str">
            <v>Investments Govt Securities</v>
          </cell>
        </row>
      </sheetData>
      <sheetData sheetId="10283">
        <row r="34">
          <cell r="A34" t="str">
            <v>Investments Govt Securities</v>
          </cell>
        </row>
      </sheetData>
      <sheetData sheetId="10284">
        <row r="34">
          <cell r="A34" t="str">
            <v>Investments Govt Securities</v>
          </cell>
        </row>
      </sheetData>
      <sheetData sheetId="10285">
        <row r="34">
          <cell r="A34" t="str">
            <v>Investments Govt Securities</v>
          </cell>
        </row>
      </sheetData>
      <sheetData sheetId="10286">
        <row r="34">
          <cell r="A34" t="str">
            <v>Investments Govt Securities</v>
          </cell>
        </row>
      </sheetData>
      <sheetData sheetId="10287">
        <row r="34">
          <cell r="A34" t="str">
            <v>Investments Govt Securities</v>
          </cell>
        </row>
      </sheetData>
      <sheetData sheetId="10288">
        <row r="34">
          <cell r="A34" t="str">
            <v>Investments Govt Securities</v>
          </cell>
        </row>
      </sheetData>
      <sheetData sheetId="10289">
        <row r="34">
          <cell r="A34" t="str">
            <v>Investments Govt Securities</v>
          </cell>
        </row>
      </sheetData>
      <sheetData sheetId="10290">
        <row r="34">
          <cell r="A34" t="str">
            <v>Investments Govt Securities</v>
          </cell>
        </row>
      </sheetData>
      <sheetData sheetId="10291">
        <row r="34">
          <cell r="A34" t="str">
            <v>Investments Govt Securities</v>
          </cell>
        </row>
      </sheetData>
      <sheetData sheetId="10292">
        <row r="34">
          <cell r="A34" t="str">
            <v>Investments Govt Securities</v>
          </cell>
        </row>
      </sheetData>
      <sheetData sheetId="10293">
        <row r="34">
          <cell r="A34" t="str">
            <v>Investments Govt Securities</v>
          </cell>
        </row>
      </sheetData>
      <sheetData sheetId="10294">
        <row r="34">
          <cell r="A34" t="str">
            <v>Investments Govt Securities</v>
          </cell>
        </row>
      </sheetData>
      <sheetData sheetId="10295">
        <row r="34">
          <cell r="A34" t="str">
            <v>Investments Govt Securities</v>
          </cell>
        </row>
      </sheetData>
      <sheetData sheetId="10296">
        <row r="34">
          <cell r="A34" t="str">
            <v>Investments Govt Securities</v>
          </cell>
        </row>
      </sheetData>
      <sheetData sheetId="10297">
        <row r="34">
          <cell r="A34" t="str">
            <v>Investments Govt Securities</v>
          </cell>
        </row>
      </sheetData>
      <sheetData sheetId="10298">
        <row r="34">
          <cell r="A34" t="str">
            <v>Investments Govt Securities</v>
          </cell>
        </row>
      </sheetData>
      <sheetData sheetId="10299">
        <row r="34">
          <cell r="A34" t="str">
            <v>Investments Govt Securities</v>
          </cell>
        </row>
      </sheetData>
      <sheetData sheetId="10300">
        <row r="34">
          <cell r="A34" t="str">
            <v>Investments Govt Securities</v>
          </cell>
        </row>
      </sheetData>
      <sheetData sheetId="10301">
        <row r="34">
          <cell r="A34" t="str">
            <v>Investments Govt Securities</v>
          </cell>
        </row>
      </sheetData>
      <sheetData sheetId="10302">
        <row r="34">
          <cell r="A34" t="str">
            <v>Investments Govt Securities</v>
          </cell>
        </row>
      </sheetData>
      <sheetData sheetId="10303">
        <row r="34">
          <cell r="A34" t="str">
            <v>Investments Govt Securities</v>
          </cell>
        </row>
      </sheetData>
      <sheetData sheetId="10304">
        <row r="34">
          <cell r="A34" t="str">
            <v>Investments Govt Securities</v>
          </cell>
        </row>
      </sheetData>
      <sheetData sheetId="10305">
        <row r="34">
          <cell r="A34" t="str">
            <v>Investments Govt Securities</v>
          </cell>
        </row>
      </sheetData>
      <sheetData sheetId="10306">
        <row r="34">
          <cell r="A34" t="str">
            <v>Investments Govt Securities</v>
          </cell>
        </row>
      </sheetData>
      <sheetData sheetId="10307">
        <row r="34">
          <cell r="A34" t="str">
            <v>Investments Govt Securities</v>
          </cell>
        </row>
      </sheetData>
      <sheetData sheetId="10308">
        <row r="34">
          <cell r="A34" t="str">
            <v>Investments Govt Securities</v>
          </cell>
        </row>
      </sheetData>
      <sheetData sheetId="10309">
        <row r="34">
          <cell r="A34" t="str">
            <v>Investments Govt Securities</v>
          </cell>
        </row>
      </sheetData>
      <sheetData sheetId="10310">
        <row r="34">
          <cell r="A34" t="str">
            <v>Investments Govt Securities</v>
          </cell>
        </row>
      </sheetData>
      <sheetData sheetId="10311">
        <row r="34">
          <cell r="A34" t="str">
            <v>Investments Govt Securities</v>
          </cell>
        </row>
      </sheetData>
      <sheetData sheetId="10312">
        <row r="34">
          <cell r="A34" t="str">
            <v>Investments Govt Securities</v>
          </cell>
        </row>
      </sheetData>
      <sheetData sheetId="10313">
        <row r="34">
          <cell r="A34" t="str">
            <v>Investments Govt Securities</v>
          </cell>
        </row>
      </sheetData>
      <sheetData sheetId="10314">
        <row r="34">
          <cell r="A34" t="str">
            <v>Investments Govt Securities</v>
          </cell>
        </row>
      </sheetData>
      <sheetData sheetId="10315">
        <row r="34">
          <cell r="A34" t="str">
            <v>Investments Govt Securities</v>
          </cell>
        </row>
      </sheetData>
      <sheetData sheetId="10316">
        <row r="34">
          <cell r="A34" t="str">
            <v>Investments Govt Securities</v>
          </cell>
        </row>
      </sheetData>
      <sheetData sheetId="10317">
        <row r="34">
          <cell r="A34" t="str">
            <v>Investments Govt Securities</v>
          </cell>
        </row>
      </sheetData>
      <sheetData sheetId="10318">
        <row r="34">
          <cell r="A34" t="str">
            <v>Investments Govt Securities</v>
          </cell>
        </row>
      </sheetData>
      <sheetData sheetId="10319">
        <row r="34">
          <cell r="A34" t="str">
            <v>Investments Govt Securities</v>
          </cell>
        </row>
      </sheetData>
      <sheetData sheetId="10320">
        <row r="34">
          <cell r="A34" t="str">
            <v>Investments Govt Securities</v>
          </cell>
        </row>
      </sheetData>
      <sheetData sheetId="10321">
        <row r="34">
          <cell r="A34" t="str">
            <v>Investments Govt Securities</v>
          </cell>
        </row>
      </sheetData>
      <sheetData sheetId="10322">
        <row r="34">
          <cell r="A34" t="str">
            <v>Investments Govt Securities</v>
          </cell>
        </row>
      </sheetData>
      <sheetData sheetId="10323">
        <row r="34">
          <cell r="A34" t="str">
            <v>Investments Govt Securities</v>
          </cell>
        </row>
      </sheetData>
      <sheetData sheetId="10324">
        <row r="34">
          <cell r="A34" t="str">
            <v>Investments Govt Securities</v>
          </cell>
        </row>
      </sheetData>
      <sheetData sheetId="10325">
        <row r="34">
          <cell r="A34" t="str">
            <v>Investments Govt Securities</v>
          </cell>
        </row>
      </sheetData>
      <sheetData sheetId="10326">
        <row r="34">
          <cell r="A34" t="str">
            <v>Investments Govt Securities</v>
          </cell>
        </row>
      </sheetData>
      <sheetData sheetId="10327">
        <row r="34">
          <cell r="A34" t="str">
            <v>Investments Govt Securities</v>
          </cell>
        </row>
      </sheetData>
      <sheetData sheetId="10328">
        <row r="34">
          <cell r="A34" t="str">
            <v>Investments Govt Securities</v>
          </cell>
        </row>
      </sheetData>
      <sheetData sheetId="10329">
        <row r="34">
          <cell r="A34" t="str">
            <v>Investments Govt Securities</v>
          </cell>
        </row>
      </sheetData>
      <sheetData sheetId="10330">
        <row r="34">
          <cell r="A34" t="str">
            <v>Investments Govt Securities</v>
          </cell>
        </row>
      </sheetData>
      <sheetData sheetId="10331">
        <row r="34">
          <cell r="A34" t="str">
            <v>Investments Govt Securities</v>
          </cell>
        </row>
      </sheetData>
      <sheetData sheetId="10332">
        <row r="34">
          <cell r="A34" t="str">
            <v>Investments Govt Securities</v>
          </cell>
        </row>
      </sheetData>
      <sheetData sheetId="10333">
        <row r="34">
          <cell r="A34" t="str">
            <v>Investments Govt Securities</v>
          </cell>
        </row>
      </sheetData>
      <sheetData sheetId="10334">
        <row r="34">
          <cell r="A34" t="str">
            <v>Investments Govt Securities</v>
          </cell>
        </row>
      </sheetData>
      <sheetData sheetId="10335">
        <row r="34">
          <cell r="A34" t="str">
            <v>Investments Govt Securities</v>
          </cell>
        </row>
      </sheetData>
      <sheetData sheetId="10336">
        <row r="34">
          <cell r="A34" t="str">
            <v>Investments Govt Securities</v>
          </cell>
        </row>
      </sheetData>
      <sheetData sheetId="10337">
        <row r="34">
          <cell r="A34" t="str">
            <v>Investments Govt Securities</v>
          </cell>
        </row>
      </sheetData>
      <sheetData sheetId="10338">
        <row r="34">
          <cell r="A34" t="str">
            <v>Investments Govt Securities</v>
          </cell>
        </row>
      </sheetData>
      <sheetData sheetId="10339">
        <row r="34">
          <cell r="A34" t="str">
            <v>Investments Govt Securities</v>
          </cell>
        </row>
      </sheetData>
      <sheetData sheetId="10340">
        <row r="34">
          <cell r="A34" t="str">
            <v>Investments Govt Securities</v>
          </cell>
        </row>
      </sheetData>
      <sheetData sheetId="10341">
        <row r="34">
          <cell r="A34" t="str">
            <v>Investments Govt Securities</v>
          </cell>
        </row>
      </sheetData>
      <sheetData sheetId="10342">
        <row r="34">
          <cell r="A34" t="str">
            <v>Investments Govt Securities</v>
          </cell>
        </row>
      </sheetData>
      <sheetData sheetId="10343">
        <row r="34">
          <cell r="A34" t="str">
            <v>Investments Govt Securities</v>
          </cell>
        </row>
      </sheetData>
      <sheetData sheetId="10344">
        <row r="34">
          <cell r="A34" t="str">
            <v>Investments Govt Securities</v>
          </cell>
        </row>
      </sheetData>
      <sheetData sheetId="10345">
        <row r="34">
          <cell r="A34" t="str">
            <v>Investments Govt Securities</v>
          </cell>
        </row>
      </sheetData>
      <sheetData sheetId="10346">
        <row r="34">
          <cell r="A34" t="str">
            <v>Investments Govt Securities</v>
          </cell>
        </row>
      </sheetData>
      <sheetData sheetId="10347">
        <row r="34">
          <cell r="A34" t="str">
            <v>Investments Govt Securities</v>
          </cell>
        </row>
      </sheetData>
      <sheetData sheetId="10348">
        <row r="34">
          <cell r="A34" t="str">
            <v>Investments Govt Securities</v>
          </cell>
        </row>
      </sheetData>
      <sheetData sheetId="10349">
        <row r="34">
          <cell r="A34" t="str">
            <v>Investments Govt Securities</v>
          </cell>
        </row>
      </sheetData>
      <sheetData sheetId="10350">
        <row r="34">
          <cell r="A34" t="str">
            <v>Investments Govt Securities</v>
          </cell>
        </row>
      </sheetData>
      <sheetData sheetId="10351">
        <row r="34">
          <cell r="A34" t="str">
            <v>Investments Govt Securities</v>
          </cell>
        </row>
      </sheetData>
      <sheetData sheetId="10352">
        <row r="34">
          <cell r="A34" t="str">
            <v>Investments Govt Securities</v>
          </cell>
        </row>
      </sheetData>
      <sheetData sheetId="10353">
        <row r="34">
          <cell r="A34" t="str">
            <v>Investments Govt Securities</v>
          </cell>
        </row>
      </sheetData>
      <sheetData sheetId="10354">
        <row r="34">
          <cell r="A34" t="str">
            <v>Investments Govt Securities</v>
          </cell>
        </row>
      </sheetData>
      <sheetData sheetId="10355">
        <row r="34">
          <cell r="A34" t="str">
            <v>Investments Govt Securities</v>
          </cell>
        </row>
      </sheetData>
      <sheetData sheetId="10356">
        <row r="34">
          <cell r="A34" t="str">
            <v>Investments Govt Securities</v>
          </cell>
        </row>
      </sheetData>
      <sheetData sheetId="10357">
        <row r="34">
          <cell r="A34" t="str">
            <v>Investments Govt Securities</v>
          </cell>
        </row>
      </sheetData>
      <sheetData sheetId="10358">
        <row r="34">
          <cell r="A34" t="str">
            <v>Investments Govt Securities</v>
          </cell>
        </row>
      </sheetData>
      <sheetData sheetId="10359">
        <row r="34">
          <cell r="A34" t="str">
            <v>Investments Govt Securities</v>
          </cell>
        </row>
      </sheetData>
      <sheetData sheetId="10360">
        <row r="34">
          <cell r="A34" t="str">
            <v>Investments Govt Securities</v>
          </cell>
        </row>
      </sheetData>
      <sheetData sheetId="10361">
        <row r="34">
          <cell r="A34" t="str">
            <v>Investments Govt Securities</v>
          </cell>
        </row>
      </sheetData>
      <sheetData sheetId="10362">
        <row r="34">
          <cell r="A34" t="str">
            <v>Investments Govt Securities</v>
          </cell>
        </row>
      </sheetData>
      <sheetData sheetId="10363">
        <row r="34">
          <cell r="A34" t="str">
            <v>Investments Govt Securities</v>
          </cell>
        </row>
      </sheetData>
      <sheetData sheetId="10364">
        <row r="34">
          <cell r="A34" t="str">
            <v>Investments Govt Securities</v>
          </cell>
        </row>
      </sheetData>
      <sheetData sheetId="10365">
        <row r="34">
          <cell r="A34" t="str">
            <v>Investments Govt Securities</v>
          </cell>
        </row>
      </sheetData>
      <sheetData sheetId="10366">
        <row r="34">
          <cell r="A34" t="str">
            <v>Investments Govt Securities</v>
          </cell>
        </row>
      </sheetData>
      <sheetData sheetId="10367">
        <row r="34">
          <cell r="A34" t="str">
            <v>Investments Govt Securities</v>
          </cell>
        </row>
      </sheetData>
      <sheetData sheetId="10368">
        <row r="34">
          <cell r="A34" t="str">
            <v>Investments Govt Securities</v>
          </cell>
        </row>
      </sheetData>
      <sheetData sheetId="10369">
        <row r="34">
          <cell r="A34" t="str">
            <v>Investments Govt Securities</v>
          </cell>
        </row>
      </sheetData>
      <sheetData sheetId="10370">
        <row r="34">
          <cell r="A34" t="str">
            <v>Investments Govt Securities</v>
          </cell>
        </row>
      </sheetData>
      <sheetData sheetId="10371">
        <row r="34">
          <cell r="A34" t="str">
            <v>Investments Govt Securities</v>
          </cell>
        </row>
      </sheetData>
      <sheetData sheetId="10372">
        <row r="34">
          <cell r="A34" t="str">
            <v>Investments Govt Securities</v>
          </cell>
        </row>
      </sheetData>
      <sheetData sheetId="10373">
        <row r="34">
          <cell r="A34" t="str">
            <v>Investments Govt Securities</v>
          </cell>
        </row>
      </sheetData>
      <sheetData sheetId="10374">
        <row r="34">
          <cell r="A34" t="str">
            <v>Investments Govt Securities</v>
          </cell>
        </row>
      </sheetData>
      <sheetData sheetId="10375">
        <row r="34">
          <cell r="A34" t="str">
            <v>Investments Govt Securities</v>
          </cell>
        </row>
      </sheetData>
      <sheetData sheetId="10376">
        <row r="34">
          <cell r="A34" t="str">
            <v>Investments Govt Securities</v>
          </cell>
        </row>
      </sheetData>
      <sheetData sheetId="10377">
        <row r="34">
          <cell r="A34" t="str">
            <v>Investments Govt Securities</v>
          </cell>
        </row>
      </sheetData>
      <sheetData sheetId="10378">
        <row r="34">
          <cell r="A34" t="str">
            <v>Investments Govt Securities</v>
          </cell>
        </row>
      </sheetData>
      <sheetData sheetId="10379">
        <row r="34">
          <cell r="A34" t="str">
            <v>Investments Govt Securities</v>
          </cell>
        </row>
      </sheetData>
      <sheetData sheetId="10380">
        <row r="34">
          <cell r="A34" t="str">
            <v>Investments Govt Securities</v>
          </cell>
        </row>
      </sheetData>
      <sheetData sheetId="10381">
        <row r="34">
          <cell r="A34" t="str">
            <v>Investments Govt Securities</v>
          </cell>
        </row>
      </sheetData>
      <sheetData sheetId="10382">
        <row r="34">
          <cell r="A34" t="str">
            <v>Investments Govt Securities</v>
          </cell>
        </row>
      </sheetData>
      <sheetData sheetId="10383">
        <row r="34">
          <cell r="A34" t="str">
            <v>Investments Govt Securities</v>
          </cell>
        </row>
      </sheetData>
      <sheetData sheetId="10384">
        <row r="34">
          <cell r="A34" t="str">
            <v>Investments Govt Securities</v>
          </cell>
        </row>
      </sheetData>
      <sheetData sheetId="10385">
        <row r="34">
          <cell r="A34" t="str">
            <v>Investments Govt Securities</v>
          </cell>
        </row>
      </sheetData>
      <sheetData sheetId="10386">
        <row r="34">
          <cell r="A34" t="str">
            <v>Investments Govt Securities</v>
          </cell>
        </row>
      </sheetData>
      <sheetData sheetId="10387">
        <row r="34">
          <cell r="A34" t="str">
            <v>Investments Govt Securities</v>
          </cell>
        </row>
      </sheetData>
      <sheetData sheetId="10388">
        <row r="34">
          <cell r="A34" t="str">
            <v>Investments Govt Securities</v>
          </cell>
        </row>
      </sheetData>
      <sheetData sheetId="10389">
        <row r="34">
          <cell r="A34" t="str">
            <v>Investments Govt Securities</v>
          </cell>
        </row>
      </sheetData>
      <sheetData sheetId="10390">
        <row r="34">
          <cell r="A34" t="str">
            <v>Investments Govt Securities</v>
          </cell>
        </row>
      </sheetData>
      <sheetData sheetId="10391">
        <row r="34">
          <cell r="A34" t="str">
            <v>Investments Govt Securities</v>
          </cell>
        </row>
      </sheetData>
      <sheetData sheetId="10392">
        <row r="34">
          <cell r="A34" t="str">
            <v>Investments Govt Securities</v>
          </cell>
        </row>
      </sheetData>
      <sheetData sheetId="10393">
        <row r="34">
          <cell r="A34" t="str">
            <v>Investments Govt Securities</v>
          </cell>
        </row>
      </sheetData>
      <sheetData sheetId="10394">
        <row r="34">
          <cell r="A34" t="str">
            <v>Investments Govt Securities</v>
          </cell>
        </row>
      </sheetData>
      <sheetData sheetId="10395">
        <row r="34">
          <cell r="A34" t="str">
            <v>Investments Govt Securities</v>
          </cell>
        </row>
      </sheetData>
      <sheetData sheetId="10396">
        <row r="34">
          <cell r="A34" t="str">
            <v>Investments Govt Securities</v>
          </cell>
        </row>
      </sheetData>
      <sheetData sheetId="10397">
        <row r="34">
          <cell r="A34" t="str">
            <v>Investments Govt Securities</v>
          </cell>
        </row>
      </sheetData>
      <sheetData sheetId="10398">
        <row r="34">
          <cell r="A34" t="str">
            <v>Investments Govt Securities</v>
          </cell>
        </row>
      </sheetData>
      <sheetData sheetId="10399">
        <row r="34">
          <cell r="A34" t="str">
            <v>Investments Govt Securities</v>
          </cell>
        </row>
      </sheetData>
      <sheetData sheetId="10400">
        <row r="34">
          <cell r="A34" t="str">
            <v>Investments Govt Securities</v>
          </cell>
        </row>
      </sheetData>
      <sheetData sheetId="10401">
        <row r="34">
          <cell r="A34" t="str">
            <v>Investments Govt Securities</v>
          </cell>
        </row>
      </sheetData>
      <sheetData sheetId="10402">
        <row r="34">
          <cell r="A34" t="str">
            <v>Investments Govt Securities</v>
          </cell>
        </row>
      </sheetData>
      <sheetData sheetId="10403">
        <row r="34">
          <cell r="A34" t="str">
            <v>Investments Govt Securities</v>
          </cell>
        </row>
      </sheetData>
      <sheetData sheetId="10404">
        <row r="34">
          <cell r="A34" t="str">
            <v>Investments Govt Securities</v>
          </cell>
        </row>
      </sheetData>
      <sheetData sheetId="10405">
        <row r="34">
          <cell r="A34" t="str">
            <v>Investments Govt Securities</v>
          </cell>
        </row>
      </sheetData>
      <sheetData sheetId="10406">
        <row r="34">
          <cell r="A34" t="str">
            <v>Investments Govt Securities</v>
          </cell>
        </row>
      </sheetData>
      <sheetData sheetId="10407">
        <row r="34">
          <cell r="A34" t="str">
            <v>Investments Govt Securities</v>
          </cell>
        </row>
      </sheetData>
      <sheetData sheetId="10408">
        <row r="34">
          <cell r="A34" t="str">
            <v>Investments Govt Securities</v>
          </cell>
        </row>
      </sheetData>
      <sheetData sheetId="10409">
        <row r="34">
          <cell r="A34" t="str">
            <v>Investments Govt Securities</v>
          </cell>
        </row>
      </sheetData>
      <sheetData sheetId="10410">
        <row r="34">
          <cell r="A34" t="str">
            <v>Investments Govt Securities</v>
          </cell>
        </row>
      </sheetData>
      <sheetData sheetId="10411">
        <row r="34">
          <cell r="A34" t="str">
            <v>Investments Govt Securities</v>
          </cell>
        </row>
      </sheetData>
      <sheetData sheetId="10412">
        <row r="34">
          <cell r="A34" t="str">
            <v>Investments Govt Securities</v>
          </cell>
        </row>
      </sheetData>
      <sheetData sheetId="10413">
        <row r="34">
          <cell r="A34" t="str">
            <v>Investments Govt Securities</v>
          </cell>
        </row>
      </sheetData>
      <sheetData sheetId="10414">
        <row r="34">
          <cell r="A34" t="str">
            <v>Investments Govt Securities</v>
          </cell>
        </row>
      </sheetData>
      <sheetData sheetId="10415">
        <row r="34">
          <cell r="A34" t="str">
            <v>Investments Govt Securities</v>
          </cell>
        </row>
      </sheetData>
      <sheetData sheetId="10416">
        <row r="34">
          <cell r="A34" t="str">
            <v>Investments Govt Securities</v>
          </cell>
        </row>
      </sheetData>
      <sheetData sheetId="10417">
        <row r="34">
          <cell r="A34" t="str">
            <v>Investments Govt Securities</v>
          </cell>
        </row>
      </sheetData>
      <sheetData sheetId="10418">
        <row r="34">
          <cell r="A34" t="str">
            <v>Investments Govt Securities</v>
          </cell>
        </row>
      </sheetData>
      <sheetData sheetId="10419">
        <row r="34">
          <cell r="A34" t="str">
            <v>Investments Govt Securities</v>
          </cell>
        </row>
      </sheetData>
      <sheetData sheetId="10420">
        <row r="34">
          <cell r="A34" t="str">
            <v>Investments Govt Securities</v>
          </cell>
        </row>
      </sheetData>
      <sheetData sheetId="10421">
        <row r="34">
          <cell r="A34" t="str">
            <v>Investments Govt Securities</v>
          </cell>
        </row>
      </sheetData>
      <sheetData sheetId="10422">
        <row r="34">
          <cell r="A34" t="str">
            <v>Investments Govt Securities</v>
          </cell>
        </row>
      </sheetData>
      <sheetData sheetId="10423">
        <row r="34">
          <cell r="A34" t="str">
            <v>Investments Govt Securities</v>
          </cell>
        </row>
      </sheetData>
      <sheetData sheetId="10424">
        <row r="34">
          <cell r="A34" t="str">
            <v>Investments Govt Securities</v>
          </cell>
        </row>
      </sheetData>
      <sheetData sheetId="10425">
        <row r="34">
          <cell r="A34" t="str">
            <v>Investments Govt Securities</v>
          </cell>
        </row>
      </sheetData>
      <sheetData sheetId="10426">
        <row r="34">
          <cell r="A34" t="str">
            <v>Investments Govt Securities</v>
          </cell>
        </row>
      </sheetData>
      <sheetData sheetId="10427">
        <row r="34">
          <cell r="A34" t="str">
            <v>Investments Govt Securities</v>
          </cell>
        </row>
      </sheetData>
      <sheetData sheetId="10428">
        <row r="34">
          <cell r="A34" t="str">
            <v>Investments Govt Securities</v>
          </cell>
        </row>
      </sheetData>
      <sheetData sheetId="10429">
        <row r="34">
          <cell r="A34" t="str">
            <v>Investments Govt Securities</v>
          </cell>
        </row>
      </sheetData>
      <sheetData sheetId="10430">
        <row r="34">
          <cell r="A34" t="str">
            <v>Investments Govt Securities</v>
          </cell>
        </row>
      </sheetData>
      <sheetData sheetId="10431">
        <row r="34">
          <cell r="A34" t="str">
            <v>Investments Govt Securities</v>
          </cell>
        </row>
      </sheetData>
      <sheetData sheetId="10432">
        <row r="34">
          <cell r="A34" t="str">
            <v>Investments Govt Securities</v>
          </cell>
        </row>
      </sheetData>
      <sheetData sheetId="10433">
        <row r="34">
          <cell r="A34" t="str">
            <v>Investments Govt Securities</v>
          </cell>
        </row>
      </sheetData>
      <sheetData sheetId="10434">
        <row r="34">
          <cell r="A34" t="str">
            <v>Investments Govt Securities</v>
          </cell>
        </row>
      </sheetData>
      <sheetData sheetId="10435">
        <row r="34">
          <cell r="A34" t="str">
            <v>Investments Govt Securities</v>
          </cell>
        </row>
      </sheetData>
      <sheetData sheetId="10436">
        <row r="34">
          <cell r="A34" t="str">
            <v>Investments Govt Securities</v>
          </cell>
        </row>
      </sheetData>
      <sheetData sheetId="10437">
        <row r="34">
          <cell r="A34" t="str">
            <v>Investments Govt Securities</v>
          </cell>
        </row>
      </sheetData>
      <sheetData sheetId="10438">
        <row r="34">
          <cell r="A34" t="str">
            <v>Investments Govt Securities</v>
          </cell>
        </row>
      </sheetData>
      <sheetData sheetId="10439">
        <row r="34">
          <cell r="A34" t="str">
            <v>Investments Govt Securities</v>
          </cell>
        </row>
      </sheetData>
      <sheetData sheetId="10440">
        <row r="34">
          <cell r="A34" t="str">
            <v>Investments Govt Securities</v>
          </cell>
        </row>
      </sheetData>
      <sheetData sheetId="10441">
        <row r="34">
          <cell r="A34" t="str">
            <v>Investments Govt Securities</v>
          </cell>
        </row>
      </sheetData>
      <sheetData sheetId="10442">
        <row r="34">
          <cell r="A34" t="str">
            <v>Investments Govt Securities</v>
          </cell>
        </row>
      </sheetData>
      <sheetData sheetId="10443">
        <row r="34">
          <cell r="A34" t="str">
            <v>Investments Govt Securities</v>
          </cell>
        </row>
      </sheetData>
      <sheetData sheetId="10444">
        <row r="34">
          <cell r="A34" t="str">
            <v>Investments Govt Securities</v>
          </cell>
        </row>
      </sheetData>
      <sheetData sheetId="10445">
        <row r="34">
          <cell r="A34" t="str">
            <v>Investments Govt Securities</v>
          </cell>
        </row>
      </sheetData>
      <sheetData sheetId="10446">
        <row r="34">
          <cell r="A34" t="str">
            <v>Investments Govt Securities</v>
          </cell>
        </row>
      </sheetData>
      <sheetData sheetId="10447">
        <row r="34">
          <cell r="A34" t="str">
            <v>Investments Govt Securities</v>
          </cell>
        </row>
      </sheetData>
      <sheetData sheetId="10448">
        <row r="34">
          <cell r="A34" t="str">
            <v>Investments Govt Securities</v>
          </cell>
        </row>
      </sheetData>
      <sheetData sheetId="10449">
        <row r="34">
          <cell r="A34" t="str">
            <v>Investments Govt Securities</v>
          </cell>
        </row>
      </sheetData>
      <sheetData sheetId="10450">
        <row r="34">
          <cell r="A34" t="str">
            <v>Investments Govt Securities</v>
          </cell>
        </row>
      </sheetData>
      <sheetData sheetId="10451">
        <row r="34">
          <cell r="A34" t="str">
            <v>Investments Govt Securities</v>
          </cell>
        </row>
      </sheetData>
      <sheetData sheetId="10452">
        <row r="34">
          <cell r="A34" t="str">
            <v>Investments Govt Securities</v>
          </cell>
        </row>
      </sheetData>
      <sheetData sheetId="10453">
        <row r="34">
          <cell r="A34" t="str">
            <v>Investments Govt Securities</v>
          </cell>
        </row>
      </sheetData>
      <sheetData sheetId="10454">
        <row r="34">
          <cell r="A34" t="str">
            <v>Investments Govt Securities</v>
          </cell>
        </row>
      </sheetData>
      <sheetData sheetId="10455">
        <row r="34">
          <cell r="A34" t="str">
            <v>Investments Govt Securities</v>
          </cell>
        </row>
      </sheetData>
      <sheetData sheetId="10456">
        <row r="34">
          <cell r="A34" t="str">
            <v>Investments Govt Securities</v>
          </cell>
        </row>
      </sheetData>
      <sheetData sheetId="10457">
        <row r="34">
          <cell r="A34" t="str">
            <v>Investments Govt Securities</v>
          </cell>
        </row>
      </sheetData>
      <sheetData sheetId="10458">
        <row r="34">
          <cell r="A34" t="str">
            <v>Investments Govt Securities</v>
          </cell>
        </row>
      </sheetData>
      <sheetData sheetId="10459">
        <row r="34">
          <cell r="A34" t="str">
            <v>Investments Govt Securities</v>
          </cell>
        </row>
      </sheetData>
      <sheetData sheetId="10460">
        <row r="34">
          <cell r="A34" t="str">
            <v>Investments Govt Securities</v>
          </cell>
        </row>
      </sheetData>
      <sheetData sheetId="10461">
        <row r="34">
          <cell r="A34" t="str">
            <v>Investments Govt Securities</v>
          </cell>
        </row>
      </sheetData>
      <sheetData sheetId="10462">
        <row r="34">
          <cell r="A34" t="str">
            <v>Investments Govt Securities</v>
          </cell>
        </row>
      </sheetData>
      <sheetData sheetId="10463">
        <row r="34">
          <cell r="A34" t="str">
            <v>Investments Govt Securities</v>
          </cell>
        </row>
      </sheetData>
      <sheetData sheetId="10464">
        <row r="34">
          <cell r="A34" t="str">
            <v>Investments Govt Securities</v>
          </cell>
        </row>
      </sheetData>
      <sheetData sheetId="10465">
        <row r="34">
          <cell r="A34" t="str">
            <v>Investments Govt Securities</v>
          </cell>
        </row>
      </sheetData>
      <sheetData sheetId="10466">
        <row r="34">
          <cell r="A34" t="str">
            <v>Investments Govt Securities</v>
          </cell>
        </row>
      </sheetData>
      <sheetData sheetId="10467">
        <row r="34">
          <cell r="A34" t="str">
            <v>Investments Govt Securities</v>
          </cell>
        </row>
      </sheetData>
      <sheetData sheetId="10468">
        <row r="34">
          <cell r="A34" t="str">
            <v>Investments Govt Securities</v>
          </cell>
        </row>
      </sheetData>
      <sheetData sheetId="10469">
        <row r="34">
          <cell r="A34" t="str">
            <v>Investments Govt Securities</v>
          </cell>
        </row>
      </sheetData>
      <sheetData sheetId="10470">
        <row r="34">
          <cell r="A34" t="str">
            <v>Investments Govt Securities</v>
          </cell>
        </row>
      </sheetData>
      <sheetData sheetId="10471">
        <row r="34">
          <cell r="A34" t="str">
            <v>Investments Govt Securities</v>
          </cell>
        </row>
      </sheetData>
      <sheetData sheetId="10472">
        <row r="34">
          <cell r="A34" t="str">
            <v>Investments Govt Securities</v>
          </cell>
        </row>
      </sheetData>
      <sheetData sheetId="10473">
        <row r="34">
          <cell r="A34" t="str">
            <v>Investments Govt Securities</v>
          </cell>
        </row>
      </sheetData>
      <sheetData sheetId="10474">
        <row r="34">
          <cell r="A34" t="str">
            <v>Investments Govt Securities</v>
          </cell>
        </row>
      </sheetData>
      <sheetData sheetId="10475">
        <row r="34">
          <cell r="A34" t="str">
            <v>Investments Govt Securities</v>
          </cell>
        </row>
      </sheetData>
      <sheetData sheetId="10476">
        <row r="34">
          <cell r="A34" t="str">
            <v>Investments Govt Securities</v>
          </cell>
        </row>
      </sheetData>
      <sheetData sheetId="10477">
        <row r="34">
          <cell r="A34" t="str">
            <v>Investments Govt Securities</v>
          </cell>
        </row>
      </sheetData>
      <sheetData sheetId="10478">
        <row r="34">
          <cell r="A34" t="str">
            <v>Investments Govt Securities</v>
          </cell>
        </row>
      </sheetData>
      <sheetData sheetId="10479">
        <row r="34">
          <cell r="A34" t="str">
            <v>Investments Govt Securities</v>
          </cell>
        </row>
      </sheetData>
      <sheetData sheetId="10480">
        <row r="34">
          <cell r="A34" t="str">
            <v>Investments Govt Securities</v>
          </cell>
        </row>
      </sheetData>
      <sheetData sheetId="10481">
        <row r="34">
          <cell r="A34" t="str">
            <v>Investments Govt Securities</v>
          </cell>
        </row>
      </sheetData>
      <sheetData sheetId="10482">
        <row r="34">
          <cell r="A34" t="str">
            <v>Investments Govt Securities</v>
          </cell>
        </row>
      </sheetData>
      <sheetData sheetId="10483">
        <row r="34">
          <cell r="A34" t="str">
            <v>Investments Govt Securities</v>
          </cell>
        </row>
      </sheetData>
      <sheetData sheetId="10484">
        <row r="34">
          <cell r="A34" t="str">
            <v>Investments Govt Securities</v>
          </cell>
        </row>
      </sheetData>
      <sheetData sheetId="10485">
        <row r="34">
          <cell r="A34" t="str">
            <v>Investments Govt Securities</v>
          </cell>
        </row>
      </sheetData>
      <sheetData sheetId="10486">
        <row r="34">
          <cell r="A34" t="str">
            <v>Investments Govt Securities</v>
          </cell>
        </row>
      </sheetData>
      <sheetData sheetId="10487">
        <row r="34">
          <cell r="A34" t="str">
            <v>Investments Govt Securities</v>
          </cell>
        </row>
      </sheetData>
      <sheetData sheetId="10488">
        <row r="34">
          <cell r="A34" t="str">
            <v>Investments Govt Securities</v>
          </cell>
        </row>
      </sheetData>
      <sheetData sheetId="10489">
        <row r="34">
          <cell r="A34" t="str">
            <v>Investments Govt Securities</v>
          </cell>
        </row>
      </sheetData>
      <sheetData sheetId="10490">
        <row r="34">
          <cell r="A34" t="str">
            <v>Investments Govt Securities</v>
          </cell>
        </row>
      </sheetData>
      <sheetData sheetId="10491">
        <row r="34">
          <cell r="A34" t="str">
            <v>Investments Govt Securities</v>
          </cell>
        </row>
      </sheetData>
      <sheetData sheetId="10492">
        <row r="34">
          <cell r="A34" t="str">
            <v>Investments Govt Securities</v>
          </cell>
        </row>
      </sheetData>
      <sheetData sheetId="10493">
        <row r="34">
          <cell r="A34" t="str">
            <v>Investments Govt Securities</v>
          </cell>
        </row>
      </sheetData>
      <sheetData sheetId="10494">
        <row r="34">
          <cell r="A34" t="str">
            <v>Investments Govt Securities</v>
          </cell>
        </row>
      </sheetData>
      <sheetData sheetId="10495">
        <row r="34">
          <cell r="A34" t="str">
            <v>Investments Govt Securities</v>
          </cell>
        </row>
      </sheetData>
      <sheetData sheetId="10496">
        <row r="34">
          <cell r="A34" t="str">
            <v>Investments Govt Securities</v>
          </cell>
        </row>
      </sheetData>
      <sheetData sheetId="10497">
        <row r="34">
          <cell r="A34" t="str">
            <v>Investments Govt Securities</v>
          </cell>
        </row>
      </sheetData>
      <sheetData sheetId="10498">
        <row r="34">
          <cell r="A34" t="str">
            <v>Investments Govt Securities</v>
          </cell>
        </row>
      </sheetData>
      <sheetData sheetId="10499">
        <row r="34">
          <cell r="A34" t="str">
            <v>Investments Govt Securities</v>
          </cell>
        </row>
      </sheetData>
      <sheetData sheetId="10500">
        <row r="34">
          <cell r="A34" t="str">
            <v>Investments Govt Securities</v>
          </cell>
        </row>
      </sheetData>
      <sheetData sheetId="10501">
        <row r="34">
          <cell r="A34" t="str">
            <v>Investments Govt Securities</v>
          </cell>
        </row>
      </sheetData>
      <sheetData sheetId="10502">
        <row r="34">
          <cell r="A34" t="str">
            <v>Investments Govt Securities</v>
          </cell>
        </row>
      </sheetData>
      <sheetData sheetId="10503">
        <row r="34">
          <cell r="A34" t="str">
            <v>Investments Govt Securities</v>
          </cell>
        </row>
      </sheetData>
      <sheetData sheetId="10504">
        <row r="34">
          <cell r="A34" t="str">
            <v>Investments Govt Securities</v>
          </cell>
        </row>
      </sheetData>
      <sheetData sheetId="10505">
        <row r="34">
          <cell r="A34" t="str">
            <v>Investments Govt Securities</v>
          </cell>
        </row>
      </sheetData>
      <sheetData sheetId="10506">
        <row r="34">
          <cell r="A34" t="str">
            <v>Investments Govt Securities</v>
          </cell>
        </row>
      </sheetData>
      <sheetData sheetId="10507">
        <row r="34">
          <cell r="A34" t="str">
            <v>Investments Govt Securities</v>
          </cell>
        </row>
      </sheetData>
      <sheetData sheetId="10508">
        <row r="34">
          <cell r="A34" t="str">
            <v>Investments Govt Securities</v>
          </cell>
        </row>
      </sheetData>
      <sheetData sheetId="10509">
        <row r="34">
          <cell r="A34" t="str">
            <v>Investments Govt Securities</v>
          </cell>
        </row>
      </sheetData>
      <sheetData sheetId="10510">
        <row r="34">
          <cell r="A34" t="str">
            <v>Investments Govt Securities</v>
          </cell>
        </row>
      </sheetData>
      <sheetData sheetId="10511">
        <row r="34">
          <cell r="A34" t="str">
            <v>Investments Govt Securities</v>
          </cell>
        </row>
      </sheetData>
      <sheetData sheetId="10512">
        <row r="34">
          <cell r="A34" t="str">
            <v>Investments Govt Securities</v>
          </cell>
        </row>
      </sheetData>
      <sheetData sheetId="10513">
        <row r="34">
          <cell r="A34" t="str">
            <v>Investments Govt Securities</v>
          </cell>
        </row>
      </sheetData>
      <sheetData sheetId="10514">
        <row r="34">
          <cell r="A34" t="str">
            <v>Investments Govt Securities</v>
          </cell>
        </row>
      </sheetData>
      <sheetData sheetId="10515">
        <row r="34">
          <cell r="A34" t="str">
            <v>Investments Govt Securities</v>
          </cell>
        </row>
      </sheetData>
      <sheetData sheetId="10516">
        <row r="34">
          <cell r="A34" t="str">
            <v>Investments Govt Securities</v>
          </cell>
        </row>
      </sheetData>
      <sheetData sheetId="10517">
        <row r="34">
          <cell r="A34" t="str">
            <v>Investments Govt Securities</v>
          </cell>
        </row>
      </sheetData>
      <sheetData sheetId="10518">
        <row r="34">
          <cell r="A34" t="str">
            <v>Investments Govt Securities</v>
          </cell>
        </row>
      </sheetData>
      <sheetData sheetId="10519">
        <row r="34">
          <cell r="A34" t="str">
            <v>Investments Govt Securities</v>
          </cell>
        </row>
      </sheetData>
      <sheetData sheetId="10520">
        <row r="34">
          <cell r="A34" t="str">
            <v>Investments Govt Securities</v>
          </cell>
        </row>
      </sheetData>
      <sheetData sheetId="10521">
        <row r="34">
          <cell r="A34" t="str">
            <v>Investments Govt Securities</v>
          </cell>
        </row>
      </sheetData>
      <sheetData sheetId="10522">
        <row r="34">
          <cell r="A34" t="str">
            <v>Investments Govt Securities</v>
          </cell>
        </row>
      </sheetData>
      <sheetData sheetId="10523">
        <row r="34">
          <cell r="A34" t="str">
            <v>Investments Govt Securities</v>
          </cell>
        </row>
      </sheetData>
      <sheetData sheetId="10524">
        <row r="34">
          <cell r="A34" t="str">
            <v>Investments Govt Securities</v>
          </cell>
        </row>
      </sheetData>
      <sheetData sheetId="10525">
        <row r="34">
          <cell r="A34" t="str">
            <v>Investments Govt Securities</v>
          </cell>
        </row>
      </sheetData>
      <sheetData sheetId="10526">
        <row r="34">
          <cell r="A34" t="str">
            <v>Investments Govt Securities</v>
          </cell>
        </row>
      </sheetData>
      <sheetData sheetId="10527">
        <row r="34">
          <cell r="A34" t="str">
            <v>Investments Govt Securities</v>
          </cell>
        </row>
      </sheetData>
      <sheetData sheetId="10528">
        <row r="34">
          <cell r="A34" t="str">
            <v>Investments Govt Securities</v>
          </cell>
        </row>
      </sheetData>
      <sheetData sheetId="10529">
        <row r="34">
          <cell r="A34" t="str">
            <v>Investments Govt Securities</v>
          </cell>
        </row>
      </sheetData>
      <sheetData sheetId="10530">
        <row r="34">
          <cell r="A34" t="str">
            <v>Investments Govt Securities</v>
          </cell>
        </row>
      </sheetData>
      <sheetData sheetId="10531">
        <row r="34">
          <cell r="A34" t="str">
            <v>Investments Govt Securities</v>
          </cell>
        </row>
      </sheetData>
      <sheetData sheetId="10532">
        <row r="34">
          <cell r="A34" t="str">
            <v>Investments Govt Securities</v>
          </cell>
        </row>
      </sheetData>
      <sheetData sheetId="10533">
        <row r="34">
          <cell r="A34" t="str">
            <v>Investments Govt Securities</v>
          </cell>
        </row>
      </sheetData>
      <sheetData sheetId="10534">
        <row r="34">
          <cell r="A34" t="str">
            <v>Investments Govt Securities</v>
          </cell>
        </row>
      </sheetData>
      <sheetData sheetId="10535">
        <row r="34">
          <cell r="A34" t="str">
            <v>Investments Govt Securities</v>
          </cell>
        </row>
      </sheetData>
      <sheetData sheetId="10536">
        <row r="34">
          <cell r="A34" t="str">
            <v>Investments Govt Securities</v>
          </cell>
        </row>
      </sheetData>
      <sheetData sheetId="10537">
        <row r="34">
          <cell r="A34" t="str">
            <v>Investments Govt Securities</v>
          </cell>
        </row>
      </sheetData>
      <sheetData sheetId="10538">
        <row r="34">
          <cell r="A34" t="str">
            <v>Investments Govt Securities</v>
          </cell>
        </row>
      </sheetData>
      <sheetData sheetId="10539">
        <row r="34">
          <cell r="A34" t="str">
            <v>Investments Govt Securities</v>
          </cell>
        </row>
      </sheetData>
      <sheetData sheetId="10540">
        <row r="34">
          <cell r="A34" t="str">
            <v>Investments Govt Securities</v>
          </cell>
        </row>
      </sheetData>
      <sheetData sheetId="10541">
        <row r="34">
          <cell r="A34" t="str">
            <v>Investments Govt Securities</v>
          </cell>
        </row>
      </sheetData>
      <sheetData sheetId="10542">
        <row r="34">
          <cell r="A34" t="str">
            <v>Investments Govt Securities</v>
          </cell>
        </row>
      </sheetData>
      <sheetData sheetId="10543">
        <row r="34">
          <cell r="A34" t="str">
            <v>Investments Govt Securities</v>
          </cell>
        </row>
      </sheetData>
      <sheetData sheetId="10544">
        <row r="34">
          <cell r="A34" t="str">
            <v>Investments Govt Securities</v>
          </cell>
        </row>
      </sheetData>
      <sheetData sheetId="10545">
        <row r="34">
          <cell r="A34" t="str">
            <v>Investments Govt Securities</v>
          </cell>
        </row>
      </sheetData>
      <sheetData sheetId="10546">
        <row r="34">
          <cell r="A34" t="str">
            <v>Investments Govt Securities</v>
          </cell>
        </row>
      </sheetData>
      <sheetData sheetId="10547">
        <row r="34">
          <cell r="A34" t="str">
            <v>Investments Govt Securities</v>
          </cell>
        </row>
      </sheetData>
      <sheetData sheetId="10548">
        <row r="34">
          <cell r="A34" t="str">
            <v>Investments Govt Securities</v>
          </cell>
        </row>
      </sheetData>
      <sheetData sheetId="10549">
        <row r="34">
          <cell r="A34" t="str">
            <v>Investments Govt Securities</v>
          </cell>
        </row>
      </sheetData>
      <sheetData sheetId="10550">
        <row r="34">
          <cell r="A34" t="str">
            <v>Investments Govt Securities</v>
          </cell>
        </row>
      </sheetData>
      <sheetData sheetId="10551">
        <row r="34">
          <cell r="A34" t="str">
            <v>Investments Govt Securities</v>
          </cell>
        </row>
      </sheetData>
      <sheetData sheetId="10552">
        <row r="34">
          <cell r="A34" t="str">
            <v>Investments Govt Securities</v>
          </cell>
        </row>
      </sheetData>
      <sheetData sheetId="10553">
        <row r="34">
          <cell r="A34" t="str">
            <v>Investments Govt Securities</v>
          </cell>
        </row>
      </sheetData>
      <sheetData sheetId="10554">
        <row r="34">
          <cell r="A34" t="str">
            <v>Investments Govt Securities</v>
          </cell>
        </row>
      </sheetData>
      <sheetData sheetId="10555">
        <row r="34">
          <cell r="A34" t="str">
            <v>Investments Govt Securities</v>
          </cell>
        </row>
      </sheetData>
      <sheetData sheetId="10556">
        <row r="34">
          <cell r="A34" t="str">
            <v>Investments Govt Securities</v>
          </cell>
        </row>
      </sheetData>
      <sheetData sheetId="10557">
        <row r="34">
          <cell r="A34" t="str">
            <v>Investments Govt Securities</v>
          </cell>
        </row>
      </sheetData>
      <sheetData sheetId="10558">
        <row r="34">
          <cell r="A34" t="str">
            <v>Investments Govt Securities</v>
          </cell>
        </row>
      </sheetData>
      <sheetData sheetId="10559">
        <row r="34">
          <cell r="A34" t="str">
            <v>Investments Govt Securities</v>
          </cell>
        </row>
      </sheetData>
      <sheetData sheetId="10560">
        <row r="34">
          <cell r="A34" t="str">
            <v>Investments Govt Securities</v>
          </cell>
        </row>
      </sheetData>
      <sheetData sheetId="10561">
        <row r="34">
          <cell r="A34" t="str">
            <v>Investments Govt Securities</v>
          </cell>
        </row>
      </sheetData>
      <sheetData sheetId="10562">
        <row r="34">
          <cell r="A34" t="str">
            <v>Investments Govt Securities</v>
          </cell>
        </row>
      </sheetData>
      <sheetData sheetId="10563">
        <row r="34">
          <cell r="A34" t="str">
            <v>Investments Govt Securities</v>
          </cell>
        </row>
      </sheetData>
      <sheetData sheetId="10564">
        <row r="34">
          <cell r="A34" t="str">
            <v>Investments Govt Securities</v>
          </cell>
        </row>
      </sheetData>
      <sheetData sheetId="10565">
        <row r="34">
          <cell r="A34" t="str">
            <v>Investments Govt Securities</v>
          </cell>
        </row>
      </sheetData>
      <sheetData sheetId="10566">
        <row r="34">
          <cell r="A34" t="str">
            <v>Investments Govt Securities</v>
          </cell>
        </row>
      </sheetData>
      <sheetData sheetId="10567">
        <row r="34">
          <cell r="A34" t="str">
            <v>Investments Govt Securities</v>
          </cell>
        </row>
      </sheetData>
      <sheetData sheetId="10568">
        <row r="34">
          <cell r="A34" t="str">
            <v>Investments Govt Securities</v>
          </cell>
        </row>
      </sheetData>
      <sheetData sheetId="10569">
        <row r="34">
          <cell r="A34" t="str">
            <v>Investments Govt Securities</v>
          </cell>
        </row>
      </sheetData>
      <sheetData sheetId="10570">
        <row r="34">
          <cell r="A34" t="str">
            <v>Investments Govt Securities</v>
          </cell>
        </row>
      </sheetData>
      <sheetData sheetId="10571">
        <row r="34">
          <cell r="A34" t="str">
            <v>Investments Govt Securities</v>
          </cell>
        </row>
      </sheetData>
      <sheetData sheetId="10572">
        <row r="34">
          <cell r="A34" t="str">
            <v>Investments Govt Securities</v>
          </cell>
        </row>
      </sheetData>
      <sheetData sheetId="10573">
        <row r="34">
          <cell r="A34" t="str">
            <v>Investments Govt Securities</v>
          </cell>
        </row>
      </sheetData>
      <sheetData sheetId="10574">
        <row r="34">
          <cell r="A34" t="str">
            <v>Investments Govt Securities</v>
          </cell>
        </row>
      </sheetData>
      <sheetData sheetId="10575">
        <row r="34">
          <cell r="A34" t="str">
            <v>Investments Govt Securities</v>
          </cell>
        </row>
      </sheetData>
      <sheetData sheetId="10576">
        <row r="34">
          <cell r="A34" t="str">
            <v>Investments Govt Securities</v>
          </cell>
        </row>
      </sheetData>
      <sheetData sheetId="10577">
        <row r="34">
          <cell r="A34" t="str">
            <v>Investments Govt Securities</v>
          </cell>
        </row>
      </sheetData>
      <sheetData sheetId="10578">
        <row r="34">
          <cell r="A34" t="str">
            <v>Investments Govt Securities</v>
          </cell>
        </row>
      </sheetData>
      <sheetData sheetId="10579">
        <row r="34">
          <cell r="A34" t="str">
            <v>Investments Govt Securities</v>
          </cell>
        </row>
      </sheetData>
      <sheetData sheetId="10580">
        <row r="34">
          <cell r="A34" t="str">
            <v>Investments Govt Securities</v>
          </cell>
        </row>
      </sheetData>
      <sheetData sheetId="10581">
        <row r="34">
          <cell r="A34" t="str">
            <v>Investments Govt Securities</v>
          </cell>
        </row>
      </sheetData>
      <sheetData sheetId="10582">
        <row r="34">
          <cell r="A34" t="str">
            <v>Investments Govt Securities</v>
          </cell>
        </row>
      </sheetData>
      <sheetData sheetId="10583">
        <row r="34">
          <cell r="A34" t="str">
            <v>Investments Govt Securities</v>
          </cell>
        </row>
      </sheetData>
      <sheetData sheetId="10584">
        <row r="34">
          <cell r="A34" t="str">
            <v>Investments Govt Securities</v>
          </cell>
        </row>
      </sheetData>
      <sheetData sheetId="10585">
        <row r="34">
          <cell r="A34" t="str">
            <v>Investments Govt Securities</v>
          </cell>
        </row>
      </sheetData>
      <sheetData sheetId="10586">
        <row r="34">
          <cell r="A34" t="str">
            <v>Investments Govt Securities</v>
          </cell>
        </row>
      </sheetData>
      <sheetData sheetId="10587">
        <row r="34">
          <cell r="A34" t="str">
            <v>Investments Govt Securities</v>
          </cell>
        </row>
      </sheetData>
      <sheetData sheetId="10588">
        <row r="34">
          <cell r="A34" t="str">
            <v>Investments Govt Securities</v>
          </cell>
        </row>
      </sheetData>
      <sheetData sheetId="10589">
        <row r="34">
          <cell r="A34" t="str">
            <v>Investments Govt Securities</v>
          </cell>
        </row>
      </sheetData>
      <sheetData sheetId="10590">
        <row r="34">
          <cell r="A34" t="str">
            <v>Investments Govt Securities</v>
          </cell>
        </row>
      </sheetData>
      <sheetData sheetId="10591">
        <row r="34">
          <cell r="A34" t="str">
            <v>Investments Govt Securities</v>
          </cell>
        </row>
      </sheetData>
      <sheetData sheetId="10592">
        <row r="34">
          <cell r="A34" t="str">
            <v>Investments Govt Securities</v>
          </cell>
        </row>
      </sheetData>
      <sheetData sheetId="10593">
        <row r="34">
          <cell r="A34" t="str">
            <v>Investments Govt Securities</v>
          </cell>
        </row>
      </sheetData>
      <sheetData sheetId="10594">
        <row r="34">
          <cell r="A34" t="str">
            <v>Investments Govt Securities</v>
          </cell>
        </row>
      </sheetData>
      <sheetData sheetId="10595">
        <row r="34">
          <cell r="A34" t="str">
            <v>Investments Govt Securities</v>
          </cell>
        </row>
      </sheetData>
      <sheetData sheetId="10596">
        <row r="34">
          <cell r="A34" t="str">
            <v>Investments Govt Securities</v>
          </cell>
        </row>
      </sheetData>
      <sheetData sheetId="10597">
        <row r="34">
          <cell r="A34" t="str">
            <v>Investments Govt Securities</v>
          </cell>
        </row>
      </sheetData>
      <sheetData sheetId="10598">
        <row r="34">
          <cell r="A34" t="str">
            <v>Investments Govt Securities</v>
          </cell>
        </row>
      </sheetData>
      <sheetData sheetId="10599">
        <row r="34">
          <cell r="A34" t="str">
            <v>Investments Govt Securities</v>
          </cell>
        </row>
      </sheetData>
      <sheetData sheetId="10600">
        <row r="34">
          <cell r="A34" t="str">
            <v>Investments Govt Securities</v>
          </cell>
        </row>
      </sheetData>
      <sheetData sheetId="10601">
        <row r="34">
          <cell r="A34" t="str">
            <v>Investments Govt Securities</v>
          </cell>
        </row>
      </sheetData>
      <sheetData sheetId="10602">
        <row r="34">
          <cell r="A34" t="str">
            <v>Investments Govt Securities</v>
          </cell>
        </row>
      </sheetData>
      <sheetData sheetId="10603">
        <row r="34">
          <cell r="A34" t="str">
            <v>Investments Govt Securities</v>
          </cell>
        </row>
      </sheetData>
      <sheetData sheetId="10604">
        <row r="34">
          <cell r="A34" t="str">
            <v>Investments Govt Securities</v>
          </cell>
        </row>
      </sheetData>
      <sheetData sheetId="10605">
        <row r="34">
          <cell r="A34" t="str">
            <v>Investments Govt Securities</v>
          </cell>
        </row>
      </sheetData>
      <sheetData sheetId="10606">
        <row r="34">
          <cell r="A34" t="str">
            <v>Investments Govt Securities</v>
          </cell>
        </row>
      </sheetData>
      <sheetData sheetId="10607">
        <row r="34">
          <cell r="A34" t="str">
            <v>Investments Govt Securities</v>
          </cell>
        </row>
      </sheetData>
      <sheetData sheetId="10608">
        <row r="34">
          <cell r="A34" t="str">
            <v>Investments Govt Securities</v>
          </cell>
        </row>
      </sheetData>
      <sheetData sheetId="10609">
        <row r="34">
          <cell r="A34" t="str">
            <v>Investments Govt Securities</v>
          </cell>
        </row>
      </sheetData>
      <sheetData sheetId="10610">
        <row r="34">
          <cell r="A34" t="str">
            <v>Investments Govt Securities</v>
          </cell>
        </row>
      </sheetData>
      <sheetData sheetId="10611">
        <row r="34">
          <cell r="A34" t="str">
            <v>Investments Govt Securities</v>
          </cell>
        </row>
      </sheetData>
      <sheetData sheetId="10612">
        <row r="34">
          <cell r="A34" t="str">
            <v>Investments Govt Securities</v>
          </cell>
        </row>
      </sheetData>
      <sheetData sheetId="10613">
        <row r="34">
          <cell r="A34" t="str">
            <v>Investments Govt Securities</v>
          </cell>
        </row>
      </sheetData>
      <sheetData sheetId="10614">
        <row r="34">
          <cell r="A34" t="str">
            <v>Investments Govt Securities</v>
          </cell>
        </row>
      </sheetData>
      <sheetData sheetId="10615">
        <row r="34">
          <cell r="A34" t="str">
            <v>Investments Govt Securities</v>
          </cell>
        </row>
      </sheetData>
      <sheetData sheetId="10616">
        <row r="34">
          <cell r="A34" t="str">
            <v>Investments Govt Securities</v>
          </cell>
        </row>
      </sheetData>
      <sheetData sheetId="10617">
        <row r="34">
          <cell r="A34" t="str">
            <v>Investments Govt Securities</v>
          </cell>
        </row>
      </sheetData>
      <sheetData sheetId="10618">
        <row r="34">
          <cell r="A34" t="str">
            <v>Investments Govt Securities</v>
          </cell>
        </row>
      </sheetData>
      <sheetData sheetId="10619">
        <row r="34">
          <cell r="A34" t="str">
            <v>Investments Govt Securities</v>
          </cell>
        </row>
      </sheetData>
      <sheetData sheetId="10620">
        <row r="34">
          <cell r="A34" t="str">
            <v>Investments Govt Securities</v>
          </cell>
        </row>
      </sheetData>
      <sheetData sheetId="10621">
        <row r="34">
          <cell r="A34" t="str">
            <v>Investments Govt Securities</v>
          </cell>
        </row>
      </sheetData>
      <sheetData sheetId="10622">
        <row r="34">
          <cell r="A34" t="str">
            <v>Investments Govt Securities</v>
          </cell>
        </row>
      </sheetData>
      <sheetData sheetId="10623">
        <row r="34">
          <cell r="A34" t="str">
            <v>Investments Govt Securities</v>
          </cell>
        </row>
      </sheetData>
      <sheetData sheetId="10624">
        <row r="34">
          <cell r="A34" t="str">
            <v>Investments Govt Securities</v>
          </cell>
        </row>
      </sheetData>
      <sheetData sheetId="10625">
        <row r="34">
          <cell r="A34" t="str">
            <v>Investments Govt Securities</v>
          </cell>
        </row>
      </sheetData>
      <sheetData sheetId="10626">
        <row r="34">
          <cell r="A34" t="str">
            <v>Investments Govt Securities</v>
          </cell>
        </row>
      </sheetData>
      <sheetData sheetId="10627">
        <row r="34">
          <cell r="A34" t="str">
            <v>Investments Govt Securities</v>
          </cell>
        </row>
      </sheetData>
      <sheetData sheetId="10628">
        <row r="34">
          <cell r="A34" t="str">
            <v>Investments Govt Securities</v>
          </cell>
        </row>
      </sheetData>
      <sheetData sheetId="10629">
        <row r="34">
          <cell r="A34" t="str">
            <v>Investments Govt Securities</v>
          </cell>
        </row>
      </sheetData>
      <sheetData sheetId="10630">
        <row r="34">
          <cell r="A34" t="str">
            <v>Investments Govt Securities</v>
          </cell>
        </row>
      </sheetData>
      <sheetData sheetId="10631">
        <row r="34">
          <cell r="A34" t="str">
            <v>Investments Govt Securities</v>
          </cell>
        </row>
      </sheetData>
      <sheetData sheetId="10632">
        <row r="34">
          <cell r="A34" t="str">
            <v>Investments Govt Securities</v>
          </cell>
        </row>
      </sheetData>
      <sheetData sheetId="10633">
        <row r="34">
          <cell r="A34" t="str">
            <v>Investments Govt Securities</v>
          </cell>
        </row>
      </sheetData>
      <sheetData sheetId="10634">
        <row r="34">
          <cell r="A34" t="str">
            <v>Investments Govt Securities</v>
          </cell>
        </row>
      </sheetData>
      <sheetData sheetId="10635">
        <row r="34">
          <cell r="A34" t="str">
            <v>Investments Govt Securities</v>
          </cell>
        </row>
      </sheetData>
      <sheetData sheetId="10636">
        <row r="34">
          <cell r="A34" t="str">
            <v>Investments Govt Securities</v>
          </cell>
        </row>
      </sheetData>
      <sheetData sheetId="10637">
        <row r="34">
          <cell r="A34" t="str">
            <v>Investments Govt Securities</v>
          </cell>
        </row>
      </sheetData>
      <sheetData sheetId="10638">
        <row r="34">
          <cell r="A34" t="str">
            <v>Investments Govt Securities</v>
          </cell>
        </row>
      </sheetData>
      <sheetData sheetId="10639">
        <row r="34">
          <cell r="A34" t="str">
            <v>Investments Govt Securities</v>
          </cell>
        </row>
      </sheetData>
      <sheetData sheetId="10640">
        <row r="34">
          <cell r="A34" t="str">
            <v>Investments Govt Securities</v>
          </cell>
        </row>
      </sheetData>
      <sheetData sheetId="10641">
        <row r="34">
          <cell r="A34" t="str">
            <v>Investments Govt Securities</v>
          </cell>
        </row>
      </sheetData>
      <sheetData sheetId="10642">
        <row r="34">
          <cell r="A34" t="str">
            <v>Investments Govt Securities</v>
          </cell>
        </row>
      </sheetData>
      <sheetData sheetId="10643">
        <row r="34">
          <cell r="A34" t="str">
            <v>Investments Govt Securities</v>
          </cell>
        </row>
      </sheetData>
      <sheetData sheetId="10644">
        <row r="34">
          <cell r="A34" t="str">
            <v>Investments Govt Securities</v>
          </cell>
        </row>
      </sheetData>
      <sheetData sheetId="10645">
        <row r="34">
          <cell r="A34" t="str">
            <v>Investments Govt Securities</v>
          </cell>
        </row>
      </sheetData>
      <sheetData sheetId="10646">
        <row r="34">
          <cell r="A34" t="str">
            <v>Investments Govt Securities</v>
          </cell>
        </row>
      </sheetData>
      <sheetData sheetId="10647">
        <row r="34">
          <cell r="A34" t="str">
            <v>Investments Govt Securities</v>
          </cell>
        </row>
      </sheetData>
      <sheetData sheetId="10648">
        <row r="34">
          <cell r="A34" t="str">
            <v>Investments Govt Securities</v>
          </cell>
        </row>
      </sheetData>
      <sheetData sheetId="10649">
        <row r="34">
          <cell r="A34" t="str">
            <v>Investments Govt Securities</v>
          </cell>
        </row>
      </sheetData>
      <sheetData sheetId="10650">
        <row r="34">
          <cell r="A34" t="str">
            <v>Investments Govt Securities</v>
          </cell>
        </row>
      </sheetData>
      <sheetData sheetId="10651">
        <row r="34">
          <cell r="A34" t="str">
            <v>Investments Govt Securities</v>
          </cell>
        </row>
      </sheetData>
      <sheetData sheetId="10652">
        <row r="34">
          <cell r="A34" t="str">
            <v>Investments Govt Securities</v>
          </cell>
        </row>
      </sheetData>
      <sheetData sheetId="10653">
        <row r="34">
          <cell r="A34" t="str">
            <v>Investments Govt Securities</v>
          </cell>
        </row>
      </sheetData>
      <sheetData sheetId="10654">
        <row r="34">
          <cell r="A34" t="str">
            <v>Investments Govt Securities</v>
          </cell>
        </row>
      </sheetData>
      <sheetData sheetId="10655">
        <row r="34">
          <cell r="A34" t="str">
            <v>Investments Govt Securities</v>
          </cell>
        </row>
      </sheetData>
      <sheetData sheetId="10656">
        <row r="34">
          <cell r="A34" t="str">
            <v>Investments Govt Securities</v>
          </cell>
        </row>
      </sheetData>
      <sheetData sheetId="10657">
        <row r="34">
          <cell r="A34" t="str">
            <v>Investments Govt Securities</v>
          </cell>
        </row>
      </sheetData>
      <sheetData sheetId="10658">
        <row r="34">
          <cell r="A34" t="str">
            <v>Investments Govt Securities</v>
          </cell>
        </row>
      </sheetData>
      <sheetData sheetId="10659">
        <row r="34">
          <cell r="A34" t="str">
            <v>Investments Govt Securities</v>
          </cell>
        </row>
      </sheetData>
      <sheetData sheetId="10660">
        <row r="34">
          <cell r="A34" t="str">
            <v>Investments Govt Securities</v>
          </cell>
        </row>
      </sheetData>
      <sheetData sheetId="10661">
        <row r="34">
          <cell r="A34" t="str">
            <v>Investments Govt Securities</v>
          </cell>
        </row>
      </sheetData>
      <sheetData sheetId="10662">
        <row r="34">
          <cell r="A34" t="str">
            <v>Investments Govt Securities</v>
          </cell>
        </row>
      </sheetData>
      <sheetData sheetId="10663">
        <row r="34">
          <cell r="A34" t="str">
            <v>Investments Govt Securities</v>
          </cell>
        </row>
      </sheetData>
      <sheetData sheetId="10664">
        <row r="34">
          <cell r="A34" t="str">
            <v>Investments Govt Securities</v>
          </cell>
        </row>
      </sheetData>
      <sheetData sheetId="10665">
        <row r="34">
          <cell r="A34" t="str">
            <v>Investments Govt Securities</v>
          </cell>
        </row>
      </sheetData>
      <sheetData sheetId="10666">
        <row r="34">
          <cell r="A34" t="str">
            <v>Investments Govt Securities</v>
          </cell>
        </row>
      </sheetData>
      <sheetData sheetId="10667">
        <row r="34">
          <cell r="A34" t="str">
            <v>Investments Govt Securities</v>
          </cell>
        </row>
      </sheetData>
      <sheetData sheetId="10668">
        <row r="34">
          <cell r="A34" t="str">
            <v>Investments Govt Securities</v>
          </cell>
        </row>
      </sheetData>
      <sheetData sheetId="10669">
        <row r="34">
          <cell r="A34" t="str">
            <v>Investments Govt Securities</v>
          </cell>
        </row>
      </sheetData>
      <sheetData sheetId="10670">
        <row r="34">
          <cell r="A34" t="str">
            <v>Investments Govt Securities</v>
          </cell>
        </row>
      </sheetData>
      <sheetData sheetId="10671">
        <row r="34">
          <cell r="A34" t="str">
            <v>Investments Govt Securities</v>
          </cell>
        </row>
      </sheetData>
      <sheetData sheetId="10672">
        <row r="34">
          <cell r="A34" t="str">
            <v>Investments Govt Securities</v>
          </cell>
        </row>
      </sheetData>
      <sheetData sheetId="10673">
        <row r="34">
          <cell r="A34" t="str">
            <v>Investments Govt Securities</v>
          </cell>
        </row>
      </sheetData>
      <sheetData sheetId="10674">
        <row r="34">
          <cell r="A34" t="str">
            <v>Investments Govt Securities</v>
          </cell>
        </row>
      </sheetData>
      <sheetData sheetId="10675">
        <row r="34">
          <cell r="A34" t="str">
            <v>Investments Govt Securities</v>
          </cell>
        </row>
      </sheetData>
      <sheetData sheetId="10676">
        <row r="34">
          <cell r="A34" t="str">
            <v>Investments Govt Securities</v>
          </cell>
        </row>
      </sheetData>
      <sheetData sheetId="10677">
        <row r="34">
          <cell r="A34" t="str">
            <v>Investments Govt Securities</v>
          </cell>
        </row>
      </sheetData>
      <sheetData sheetId="10678">
        <row r="34">
          <cell r="A34" t="str">
            <v>Investments Govt Securities</v>
          </cell>
        </row>
      </sheetData>
      <sheetData sheetId="10679">
        <row r="34">
          <cell r="A34" t="str">
            <v>Investments Govt Securities</v>
          </cell>
        </row>
      </sheetData>
      <sheetData sheetId="10680">
        <row r="34">
          <cell r="A34" t="str">
            <v>Investments Govt Securities</v>
          </cell>
        </row>
      </sheetData>
      <sheetData sheetId="10681">
        <row r="34">
          <cell r="A34" t="str">
            <v>Investments Govt Securities</v>
          </cell>
        </row>
      </sheetData>
      <sheetData sheetId="10682">
        <row r="34">
          <cell r="A34" t="str">
            <v>Investments Govt Securities</v>
          </cell>
        </row>
      </sheetData>
      <sheetData sheetId="10683">
        <row r="34">
          <cell r="A34" t="str">
            <v>Investments Govt Securities</v>
          </cell>
        </row>
      </sheetData>
      <sheetData sheetId="10684">
        <row r="34">
          <cell r="A34" t="str">
            <v>Investments Govt Securities</v>
          </cell>
        </row>
      </sheetData>
      <sheetData sheetId="10685">
        <row r="34">
          <cell r="A34" t="str">
            <v>Investments Govt Securities</v>
          </cell>
        </row>
      </sheetData>
      <sheetData sheetId="10686">
        <row r="34">
          <cell r="A34" t="str">
            <v>Investments Govt Securities</v>
          </cell>
        </row>
      </sheetData>
      <sheetData sheetId="10687">
        <row r="34">
          <cell r="A34" t="str">
            <v>Investments Govt Securities</v>
          </cell>
        </row>
      </sheetData>
      <sheetData sheetId="10688">
        <row r="34">
          <cell r="A34" t="str">
            <v>Investments Govt Securities</v>
          </cell>
        </row>
      </sheetData>
      <sheetData sheetId="10689">
        <row r="34">
          <cell r="A34" t="str">
            <v>Investments Govt Securities</v>
          </cell>
        </row>
      </sheetData>
      <sheetData sheetId="10690">
        <row r="34">
          <cell r="A34" t="str">
            <v>Investments Govt Securities</v>
          </cell>
        </row>
      </sheetData>
      <sheetData sheetId="10691">
        <row r="34">
          <cell r="A34" t="str">
            <v>Investments Govt Securities</v>
          </cell>
        </row>
      </sheetData>
      <sheetData sheetId="10692">
        <row r="34">
          <cell r="A34" t="str">
            <v>Investments Govt Securities</v>
          </cell>
        </row>
      </sheetData>
      <sheetData sheetId="10693">
        <row r="34">
          <cell r="A34" t="str">
            <v>Investments Govt Securities</v>
          </cell>
        </row>
      </sheetData>
      <sheetData sheetId="10694">
        <row r="34">
          <cell r="A34" t="str">
            <v>Investments Govt Securities</v>
          </cell>
        </row>
      </sheetData>
      <sheetData sheetId="10695">
        <row r="34">
          <cell r="A34" t="str">
            <v>Investments Govt Securities</v>
          </cell>
        </row>
      </sheetData>
      <sheetData sheetId="10696">
        <row r="34">
          <cell r="A34" t="str">
            <v>Investments Govt Securities</v>
          </cell>
        </row>
      </sheetData>
      <sheetData sheetId="10697">
        <row r="34">
          <cell r="A34" t="str">
            <v>Investments Govt Securities</v>
          </cell>
        </row>
      </sheetData>
      <sheetData sheetId="10698">
        <row r="34">
          <cell r="A34" t="str">
            <v>Investments Govt Securities</v>
          </cell>
        </row>
      </sheetData>
      <sheetData sheetId="10699">
        <row r="34">
          <cell r="A34" t="str">
            <v>Investments Govt Securities</v>
          </cell>
        </row>
      </sheetData>
      <sheetData sheetId="10700">
        <row r="34">
          <cell r="A34" t="str">
            <v>Investments Govt Securities</v>
          </cell>
        </row>
      </sheetData>
      <sheetData sheetId="10701">
        <row r="34">
          <cell r="A34" t="str">
            <v>Investments Govt Securities</v>
          </cell>
        </row>
      </sheetData>
      <sheetData sheetId="10702">
        <row r="34">
          <cell r="A34" t="str">
            <v>Investments Govt Securities</v>
          </cell>
        </row>
      </sheetData>
      <sheetData sheetId="10703">
        <row r="34">
          <cell r="A34" t="str">
            <v>Investments Govt Securities</v>
          </cell>
        </row>
      </sheetData>
      <sheetData sheetId="10704">
        <row r="34">
          <cell r="A34" t="str">
            <v>Investments Govt Securities</v>
          </cell>
        </row>
      </sheetData>
      <sheetData sheetId="10705">
        <row r="34">
          <cell r="A34" t="str">
            <v>Investments Govt Securities</v>
          </cell>
        </row>
      </sheetData>
      <sheetData sheetId="10706">
        <row r="34">
          <cell r="A34" t="str">
            <v>Investments Govt Securities</v>
          </cell>
        </row>
      </sheetData>
      <sheetData sheetId="10707">
        <row r="34">
          <cell r="A34" t="str">
            <v>Investments Govt Securities</v>
          </cell>
        </row>
      </sheetData>
      <sheetData sheetId="10708">
        <row r="34">
          <cell r="A34" t="str">
            <v>Investments Govt Securities</v>
          </cell>
        </row>
      </sheetData>
      <sheetData sheetId="10709">
        <row r="34">
          <cell r="A34" t="str">
            <v>Investments Govt Securities</v>
          </cell>
        </row>
      </sheetData>
      <sheetData sheetId="10710">
        <row r="34">
          <cell r="A34" t="str">
            <v>Investments Govt Securities</v>
          </cell>
        </row>
      </sheetData>
      <sheetData sheetId="10711">
        <row r="34">
          <cell r="A34" t="str">
            <v>Investments Govt Securities</v>
          </cell>
        </row>
      </sheetData>
      <sheetData sheetId="10712">
        <row r="34">
          <cell r="A34" t="str">
            <v>Investments Govt Securities</v>
          </cell>
        </row>
      </sheetData>
      <sheetData sheetId="10713">
        <row r="34">
          <cell r="A34" t="str">
            <v>Investments Govt Securities</v>
          </cell>
        </row>
      </sheetData>
      <sheetData sheetId="10714">
        <row r="34">
          <cell r="A34" t="str">
            <v>Investments Govt Securities</v>
          </cell>
        </row>
      </sheetData>
      <sheetData sheetId="10715">
        <row r="34">
          <cell r="A34" t="str">
            <v>Investments Govt Securities</v>
          </cell>
        </row>
      </sheetData>
      <sheetData sheetId="10716">
        <row r="34">
          <cell r="A34" t="str">
            <v>Investments Govt Securities</v>
          </cell>
        </row>
      </sheetData>
      <sheetData sheetId="10717">
        <row r="34">
          <cell r="A34" t="str">
            <v>Investments Govt Securities</v>
          </cell>
        </row>
      </sheetData>
      <sheetData sheetId="10718">
        <row r="34">
          <cell r="A34" t="str">
            <v>Investments Govt Securities</v>
          </cell>
        </row>
      </sheetData>
      <sheetData sheetId="10719">
        <row r="34">
          <cell r="A34" t="str">
            <v>Investments Govt Securities</v>
          </cell>
        </row>
      </sheetData>
      <sheetData sheetId="10720">
        <row r="34">
          <cell r="A34" t="str">
            <v>Investments Govt Securities</v>
          </cell>
        </row>
      </sheetData>
      <sheetData sheetId="10721">
        <row r="34">
          <cell r="A34" t="str">
            <v>Investments Govt Securities</v>
          </cell>
        </row>
      </sheetData>
      <sheetData sheetId="10722">
        <row r="34">
          <cell r="A34" t="str">
            <v>Investments Govt Securities</v>
          </cell>
        </row>
      </sheetData>
      <sheetData sheetId="10723">
        <row r="34">
          <cell r="A34" t="str">
            <v>Investments Govt Securities</v>
          </cell>
        </row>
      </sheetData>
      <sheetData sheetId="10724">
        <row r="34">
          <cell r="A34" t="str">
            <v>Investments Govt Securities</v>
          </cell>
        </row>
      </sheetData>
      <sheetData sheetId="10725">
        <row r="34">
          <cell r="A34" t="str">
            <v>Investments Govt Securities</v>
          </cell>
        </row>
      </sheetData>
      <sheetData sheetId="10726">
        <row r="34">
          <cell r="A34" t="str">
            <v>Investments Govt Securities</v>
          </cell>
        </row>
      </sheetData>
      <sheetData sheetId="10727">
        <row r="34">
          <cell r="A34" t="str">
            <v>Investments Govt Securities</v>
          </cell>
        </row>
      </sheetData>
      <sheetData sheetId="10728">
        <row r="34">
          <cell r="A34" t="str">
            <v>Investments Govt Securities</v>
          </cell>
        </row>
      </sheetData>
      <sheetData sheetId="10729">
        <row r="34">
          <cell r="A34" t="str">
            <v>Investments Govt Securities</v>
          </cell>
        </row>
      </sheetData>
      <sheetData sheetId="10730">
        <row r="34">
          <cell r="A34" t="str">
            <v>Investments Govt Securities</v>
          </cell>
        </row>
      </sheetData>
      <sheetData sheetId="10731">
        <row r="34">
          <cell r="A34" t="str">
            <v>Investments Govt Securities</v>
          </cell>
        </row>
      </sheetData>
      <sheetData sheetId="10732">
        <row r="34">
          <cell r="A34" t="str">
            <v>Investments Govt Securities</v>
          </cell>
        </row>
      </sheetData>
      <sheetData sheetId="10733">
        <row r="34">
          <cell r="A34" t="str">
            <v>Investments Govt Securities</v>
          </cell>
        </row>
      </sheetData>
      <sheetData sheetId="10734">
        <row r="34">
          <cell r="A34" t="str">
            <v>Investments Govt Securities</v>
          </cell>
        </row>
      </sheetData>
      <sheetData sheetId="10735">
        <row r="34">
          <cell r="A34" t="str">
            <v>Investments Govt Securities</v>
          </cell>
        </row>
      </sheetData>
      <sheetData sheetId="10736">
        <row r="34">
          <cell r="A34" t="str">
            <v>Investments Govt Securities</v>
          </cell>
        </row>
      </sheetData>
      <sheetData sheetId="10737">
        <row r="34">
          <cell r="A34" t="str">
            <v>Investments Govt Securities</v>
          </cell>
        </row>
      </sheetData>
      <sheetData sheetId="10738">
        <row r="34">
          <cell r="A34" t="str">
            <v>Investments Govt Securities</v>
          </cell>
        </row>
      </sheetData>
      <sheetData sheetId="10739">
        <row r="34">
          <cell r="A34" t="str">
            <v>Investments Govt Securities</v>
          </cell>
        </row>
      </sheetData>
      <sheetData sheetId="10740">
        <row r="34">
          <cell r="A34" t="str">
            <v>Investments Govt Securities</v>
          </cell>
        </row>
      </sheetData>
      <sheetData sheetId="10741">
        <row r="34">
          <cell r="A34" t="str">
            <v>Investments Govt Securities</v>
          </cell>
        </row>
      </sheetData>
      <sheetData sheetId="10742">
        <row r="34">
          <cell r="A34" t="str">
            <v>Investments Govt Securities</v>
          </cell>
        </row>
      </sheetData>
      <sheetData sheetId="10743">
        <row r="34">
          <cell r="A34" t="str">
            <v>Investments Govt Securities</v>
          </cell>
        </row>
      </sheetData>
      <sheetData sheetId="10744">
        <row r="34">
          <cell r="A34" t="str">
            <v>Investments Govt Securities</v>
          </cell>
        </row>
      </sheetData>
      <sheetData sheetId="10745">
        <row r="34">
          <cell r="A34" t="str">
            <v>Investments Govt Securities</v>
          </cell>
        </row>
      </sheetData>
      <sheetData sheetId="10746">
        <row r="34">
          <cell r="A34" t="str">
            <v>Investments Govt Securities</v>
          </cell>
        </row>
      </sheetData>
      <sheetData sheetId="10747">
        <row r="34">
          <cell r="A34" t="str">
            <v>Investments Govt Securities</v>
          </cell>
        </row>
      </sheetData>
      <sheetData sheetId="10748">
        <row r="34">
          <cell r="A34" t="str">
            <v>Investments Govt Securities</v>
          </cell>
        </row>
      </sheetData>
      <sheetData sheetId="10749">
        <row r="34">
          <cell r="A34" t="str">
            <v>Investments Govt Securities</v>
          </cell>
        </row>
      </sheetData>
      <sheetData sheetId="10750">
        <row r="34">
          <cell r="A34" t="str">
            <v>Investments Govt Securities</v>
          </cell>
        </row>
      </sheetData>
      <sheetData sheetId="10751">
        <row r="34">
          <cell r="A34" t="str">
            <v>Investments Govt Securities</v>
          </cell>
        </row>
      </sheetData>
      <sheetData sheetId="10752">
        <row r="34">
          <cell r="A34" t="str">
            <v>Investments Govt Securities</v>
          </cell>
        </row>
      </sheetData>
      <sheetData sheetId="10753">
        <row r="34">
          <cell r="A34" t="str">
            <v>Investments Govt Securities</v>
          </cell>
        </row>
      </sheetData>
      <sheetData sheetId="10754">
        <row r="34">
          <cell r="A34" t="str">
            <v>Investments Govt Securities</v>
          </cell>
        </row>
      </sheetData>
      <sheetData sheetId="10755">
        <row r="34">
          <cell r="A34" t="str">
            <v>Investments Govt Securities</v>
          </cell>
        </row>
      </sheetData>
      <sheetData sheetId="10756">
        <row r="34">
          <cell r="A34" t="str">
            <v>Investments Govt Securities</v>
          </cell>
        </row>
      </sheetData>
      <sheetData sheetId="10757">
        <row r="34">
          <cell r="A34" t="str">
            <v>Investments Govt Securities</v>
          </cell>
        </row>
      </sheetData>
      <sheetData sheetId="10758">
        <row r="34">
          <cell r="A34" t="str">
            <v>Investments Govt Securities</v>
          </cell>
        </row>
      </sheetData>
      <sheetData sheetId="10759">
        <row r="34">
          <cell r="A34" t="str">
            <v>Investments Govt Securities</v>
          </cell>
        </row>
      </sheetData>
      <sheetData sheetId="10760">
        <row r="34">
          <cell r="A34" t="str">
            <v>Investments Govt Securities</v>
          </cell>
        </row>
      </sheetData>
      <sheetData sheetId="10761">
        <row r="34">
          <cell r="A34" t="str">
            <v>Investments Govt Securities</v>
          </cell>
        </row>
      </sheetData>
      <sheetData sheetId="10762">
        <row r="34">
          <cell r="A34" t="str">
            <v>Investments Govt Securities</v>
          </cell>
        </row>
      </sheetData>
      <sheetData sheetId="10763">
        <row r="34">
          <cell r="A34" t="str">
            <v>Investments Govt Securities</v>
          </cell>
        </row>
      </sheetData>
      <sheetData sheetId="10764">
        <row r="34">
          <cell r="A34" t="str">
            <v>Investments Govt Securities</v>
          </cell>
        </row>
      </sheetData>
      <sheetData sheetId="10765">
        <row r="34">
          <cell r="A34" t="str">
            <v>Investments Govt Securities</v>
          </cell>
        </row>
      </sheetData>
      <sheetData sheetId="10766">
        <row r="34">
          <cell r="A34" t="str">
            <v>Investments Govt Securities</v>
          </cell>
        </row>
      </sheetData>
      <sheetData sheetId="10767">
        <row r="34">
          <cell r="A34" t="str">
            <v>Investments Govt Securities</v>
          </cell>
        </row>
      </sheetData>
      <sheetData sheetId="10768">
        <row r="34">
          <cell r="A34" t="str">
            <v>Investments Govt Securities</v>
          </cell>
        </row>
      </sheetData>
      <sheetData sheetId="10769">
        <row r="34">
          <cell r="A34" t="str">
            <v>Investments Govt Securities</v>
          </cell>
        </row>
      </sheetData>
      <sheetData sheetId="10770">
        <row r="34">
          <cell r="A34" t="str">
            <v>Investments Govt Securities</v>
          </cell>
        </row>
      </sheetData>
      <sheetData sheetId="10771">
        <row r="34">
          <cell r="A34" t="str">
            <v>Investments Govt Securities</v>
          </cell>
        </row>
      </sheetData>
      <sheetData sheetId="10772">
        <row r="34">
          <cell r="A34" t="str">
            <v>Investments Govt Securities</v>
          </cell>
        </row>
      </sheetData>
      <sheetData sheetId="10773">
        <row r="34">
          <cell r="A34" t="str">
            <v>Investments Govt Securities</v>
          </cell>
        </row>
      </sheetData>
      <sheetData sheetId="10774">
        <row r="34">
          <cell r="A34" t="str">
            <v>Investments Govt Securities</v>
          </cell>
        </row>
      </sheetData>
      <sheetData sheetId="10775">
        <row r="34">
          <cell r="A34" t="str">
            <v>Investments Govt Securities</v>
          </cell>
        </row>
      </sheetData>
      <sheetData sheetId="10776">
        <row r="34">
          <cell r="A34" t="str">
            <v>Investments Govt Securities</v>
          </cell>
        </row>
      </sheetData>
      <sheetData sheetId="10777">
        <row r="34">
          <cell r="A34" t="str">
            <v>Investments Govt Securities</v>
          </cell>
        </row>
      </sheetData>
      <sheetData sheetId="10778">
        <row r="34">
          <cell r="A34" t="str">
            <v>Investments Govt Securities</v>
          </cell>
        </row>
      </sheetData>
      <sheetData sheetId="10779">
        <row r="34">
          <cell r="A34" t="str">
            <v>Investments Govt Securities</v>
          </cell>
        </row>
      </sheetData>
      <sheetData sheetId="10780">
        <row r="34">
          <cell r="A34" t="str">
            <v>Investments Govt Securities</v>
          </cell>
        </row>
      </sheetData>
      <sheetData sheetId="10781">
        <row r="34">
          <cell r="A34" t="str">
            <v>Investments Govt Securities</v>
          </cell>
        </row>
      </sheetData>
      <sheetData sheetId="10782">
        <row r="34">
          <cell r="A34" t="str">
            <v>Investments Govt Securities</v>
          </cell>
        </row>
      </sheetData>
      <sheetData sheetId="10783">
        <row r="34">
          <cell r="A34" t="str">
            <v>Investments Govt Securities</v>
          </cell>
        </row>
      </sheetData>
      <sheetData sheetId="10784">
        <row r="34">
          <cell r="A34" t="str">
            <v>Investments Govt Securities</v>
          </cell>
        </row>
      </sheetData>
      <sheetData sheetId="10785">
        <row r="34">
          <cell r="A34" t="str">
            <v>Investments Govt Securities</v>
          </cell>
        </row>
      </sheetData>
      <sheetData sheetId="10786">
        <row r="34">
          <cell r="A34" t="str">
            <v>Investments Govt Securities</v>
          </cell>
        </row>
      </sheetData>
      <sheetData sheetId="10787">
        <row r="34">
          <cell r="A34" t="str">
            <v>Investments Govt Securities</v>
          </cell>
        </row>
      </sheetData>
      <sheetData sheetId="10788">
        <row r="34">
          <cell r="A34" t="str">
            <v>Investments Govt Securities</v>
          </cell>
        </row>
      </sheetData>
      <sheetData sheetId="10789">
        <row r="34">
          <cell r="A34" t="str">
            <v>Investments Govt Securities</v>
          </cell>
        </row>
      </sheetData>
      <sheetData sheetId="10790">
        <row r="34">
          <cell r="A34" t="str">
            <v>Investments Govt Securities</v>
          </cell>
        </row>
      </sheetData>
      <sheetData sheetId="10791">
        <row r="34">
          <cell r="A34" t="str">
            <v>Investments Govt Securities</v>
          </cell>
        </row>
      </sheetData>
      <sheetData sheetId="10792">
        <row r="34">
          <cell r="A34" t="str">
            <v>Investments Govt Securities</v>
          </cell>
        </row>
      </sheetData>
      <sheetData sheetId="10793">
        <row r="34">
          <cell r="A34" t="str">
            <v>Investments Govt Securities</v>
          </cell>
        </row>
      </sheetData>
      <sheetData sheetId="10794">
        <row r="34">
          <cell r="A34" t="str">
            <v>Investments Govt Securities</v>
          </cell>
        </row>
      </sheetData>
      <sheetData sheetId="10795">
        <row r="34">
          <cell r="A34" t="str">
            <v>Investments Govt Securities</v>
          </cell>
        </row>
      </sheetData>
      <sheetData sheetId="10796">
        <row r="34">
          <cell r="A34" t="str">
            <v>Investments Govt Securities</v>
          </cell>
        </row>
      </sheetData>
      <sheetData sheetId="10797">
        <row r="34">
          <cell r="A34" t="str">
            <v>Investments Govt Securities</v>
          </cell>
        </row>
      </sheetData>
      <sheetData sheetId="10798">
        <row r="34">
          <cell r="A34" t="str">
            <v>Investments Govt Securities</v>
          </cell>
        </row>
      </sheetData>
      <sheetData sheetId="10799">
        <row r="34">
          <cell r="A34" t="str">
            <v>Investments Govt Securities</v>
          </cell>
        </row>
      </sheetData>
      <sheetData sheetId="10800">
        <row r="34">
          <cell r="A34" t="str">
            <v>Investments Govt Securities</v>
          </cell>
        </row>
      </sheetData>
      <sheetData sheetId="10801">
        <row r="34">
          <cell r="A34" t="str">
            <v>Investments Govt Securities</v>
          </cell>
        </row>
      </sheetData>
      <sheetData sheetId="10802">
        <row r="34">
          <cell r="A34" t="str">
            <v>Investments Govt Securities</v>
          </cell>
        </row>
      </sheetData>
      <sheetData sheetId="10803">
        <row r="34">
          <cell r="A34" t="str">
            <v>Investments Govt Securities</v>
          </cell>
        </row>
      </sheetData>
      <sheetData sheetId="10804">
        <row r="34">
          <cell r="A34" t="str">
            <v>Investments Govt Securities</v>
          </cell>
        </row>
      </sheetData>
      <sheetData sheetId="10805">
        <row r="34">
          <cell r="A34" t="str">
            <v>Investments Govt Securities</v>
          </cell>
        </row>
      </sheetData>
      <sheetData sheetId="10806">
        <row r="34">
          <cell r="A34" t="str">
            <v>Investments Govt Securities</v>
          </cell>
        </row>
      </sheetData>
      <sheetData sheetId="10807">
        <row r="34">
          <cell r="A34" t="str">
            <v>Investments Govt Securities</v>
          </cell>
        </row>
      </sheetData>
      <sheetData sheetId="10808">
        <row r="34">
          <cell r="A34" t="str">
            <v>Investments Govt Securities</v>
          </cell>
        </row>
      </sheetData>
      <sheetData sheetId="10809">
        <row r="34">
          <cell r="A34" t="str">
            <v>Investments Govt Securities</v>
          </cell>
        </row>
      </sheetData>
      <sheetData sheetId="10810">
        <row r="34">
          <cell r="A34" t="str">
            <v>Investments Govt Securities</v>
          </cell>
        </row>
      </sheetData>
      <sheetData sheetId="10811">
        <row r="34">
          <cell r="A34" t="str">
            <v>Investments Govt Securities</v>
          </cell>
        </row>
      </sheetData>
      <sheetData sheetId="10812">
        <row r="34">
          <cell r="A34" t="str">
            <v>Investments Govt Securities</v>
          </cell>
        </row>
      </sheetData>
      <sheetData sheetId="10813">
        <row r="34">
          <cell r="A34" t="str">
            <v>Investments Govt Securities</v>
          </cell>
        </row>
      </sheetData>
      <sheetData sheetId="10814">
        <row r="34">
          <cell r="A34" t="str">
            <v>Investments Govt Securities</v>
          </cell>
        </row>
      </sheetData>
      <sheetData sheetId="10815">
        <row r="34">
          <cell r="A34" t="str">
            <v>Investments Govt Securities</v>
          </cell>
        </row>
      </sheetData>
      <sheetData sheetId="10816">
        <row r="34">
          <cell r="A34" t="str">
            <v>Investments Govt Securities</v>
          </cell>
        </row>
      </sheetData>
      <sheetData sheetId="10817">
        <row r="34">
          <cell r="A34" t="str">
            <v>Investments Govt Securities</v>
          </cell>
        </row>
      </sheetData>
      <sheetData sheetId="10818">
        <row r="34">
          <cell r="A34" t="str">
            <v>Investments Govt Securities</v>
          </cell>
        </row>
      </sheetData>
      <sheetData sheetId="10819">
        <row r="34">
          <cell r="A34" t="str">
            <v>Investments Govt Securities</v>
          </cell>
        </row>
      </sheetData>
      <sheetData sheetId="10820">
        <row r="34">
          <cell r="A34" t="str">
            <v>Investments Govt Securities</v>
          </cell>
        </row>
      </sheetData>
      <sheetData sheetId="10821">
        <row r="34">
          <cell r="A34" t="str">
            <v>Investments Govt Securities</v>
          </cell>
        </row>
      </sheetData>
      <sheetData sheetId="10822">
        <row r="34">
          <cell r="A34" t="str">
            <v>Investments Govt Securities</v>
          </cell>
        </row>
      </sheetData>
      <sheetData sheetId="10823">
        <row r="34">
          <cell r="A34" t="str">
            <v>Investments Govt Securities</v>
          </cell>
        </row>
      </sheetData>
      <sheetData sheetId="10824">
        <row r="34">
          <cell r="A34" t="str">
            <v>Investments Govt Securities</v>
          </cell>
        </row>
      </sheetData>
      <sheetData sheetId="10825">
        <row r="34">
          <cell r="A34" t="str">
            <v>Investments Govt Securities</v>
          </cell>
        </row>
      </sheetData>
      <sheetData sheetId="10826">
        <row r="34">
          <cell r="A34" t="str">
            <v>Investments Govt Securities</v>
          </cell>
        </row>
      </sheetData>
      <sheetData sheetId="10827">
        <row r="34">
          <cell r="A34" t="str">
            <v>Investments Govt Securities</v>
          </cell>
        </row>
      </sheetData>
      <sheetData sheetId="10828">
        <row r="34">
          <cell r="A34" t="str">
            <v>Investments Govt Securities</v>
          </cell>
        </row>
      </sheetData>
      <sheetData sheetId="10829">
        <row r="34">
          <cell r="A34" t="str">
            <v>Investments Govt Securities</v>
          </cell>
        </row>
      </sheetData>
      <sheetData sheetId="10830">
        <row r="34">
          <cell r="A34" t="str">
            <v>Investments Govt Securities</v>
          </cell>
        </row>
      </sheetData>
      <sheetData sheetId="10831">
        <row r="34">
          <cell r="A34" t="str">
            <v>Investments Govt Securities</v>
          </cell>
        </row>
      </sheetData>
      <sheetData sheetId="10832">
        <row r="34">
          <cell r="A34" t="str">
            <v>Investments Govt Securities</v>
          </cell>
        </row>
      </sheetData>
      <sheetData sheetId="10833">
        <row r="34">
          <cell r="A34" t="str">
            <v>Investments Govt Securities</v>
          </cell>
        </row>
      </sheetData>
      <sheetData sheetId="10834">
        <row r="34">
          <cell r="A34" t="str">
            <v>Investments Govt Securities</v>
          </cell>
        </row>
      </sheetData>
      <sheetData sheetId="10835">
        <row r="34">
          <cell r="A34" t="str">
            <v>Investments Govt Securities</v>
          </cell>
        </row>
      </sheetData>
      <sheetData sheetId="10836">
        <row r="34">
          <cell r="A34" t="str">
            <v>Investments Govt Securities</v>
          </cell>
        </row>
      </sheetData>
      <sheetData sheetId="10837">
        <row r="34">
          <cell r="A34" t="str">
            <v>Investments Govt Securities</v>
          </cell>
        </row>
      </sheetData>
      <sheetData sheetId="10838">
        <row r="34">
          <cell r="A34" t="str">
            <v>Investments Govt Securities</v>
          </cell>
        </row>
      </sheetData>
      <sheetData sheetId="10839">
        <row r="34">
          <cell r="A34" t="str">
            <v>Investments Govt Securities</v>
          </cell>
        </row>
      </sheetData>
      <sheetData sheetId="10840">
        <row r="34">
          <cell r="A34" t="str">
            <v>Investments Govt Securities</v>
          </cell>
        </row>
      </sheetData>
      <sheetData sheetId="10841">
        <row r="34">
          <cell r="A34" t="str">
            <v>Investments Govt Securities</v>
          </cell>
        </row>
      </sheetData>
      <sheetData sheetId="10842">
        <row r="34">
          <cell r="A34" t="str">
            <v>Investments Govt Securities</v>
          </cell>
        </row>
      </sheetData>
      <sheetData sheetId="10843">
        <row r="34">
          <cell r="A34" t="str">
            <v>Investments Govt Securities</v>
          </cell>
        </row>
      </sheetData>
      <sheetData sheetId="10844">
        <row r="34">
          <cell r="A34" t="str">
            <v>Investments Govt Securities</v>
          </cell>
        </row>
      </sheetData>
      <sheetData sheetId="10845">
        <row r="34">
          <cell r="A34" t="str">
            <v>Investments Govt Securities</v>
          </cell>
        </row>
      </sheetData>
      <sheetData sheetId="10846">
        <row r="34">
          <cell r="A34" t="str">
            <v>Investments Govt Securities</v>
          </cell>
        </row>
      </sheetData>
      <sheetData sheetId="10847">
        <row r="34">
          <cell r="A34" t="str">
            <v>Investments Govt Securities</v>
          </cell>
        </row>
      </sheetData>
      <sheetData sheetId="10848">
        <row r="34">
          <cell r="A34" t="str">
            <v>Investments Govt Securities</v>
          </cell>
        </row>
      </sheetData>
      <sheetData sheetId="10849">
        <row r="34">
          <cell r="A34" t="str">
            <v>Investments Govt Securities</v>
          </cell>
        </row>
      </sheetData>
      <sheetData sheetId="10850">
        <row r="34">
          <cell r="A34" t="str">
            <v>Investments Govt Securities</v>
          </cell>
        </row>
      </sheetData>
      <sheetData sheetId="10851">
        <row r="34">
          <cell r="A34" t="str">
            <v>Investments Govt Securities</v>
          </cell>
        </row>
      </sheetData>
      <sheetData sheetId="10852">
        <row r="34">
          <cell r="A34" t="str">
            <v>Investments Govt Securities</v>
          </cell>
        </row>
      </sheetData>
      <sheetData sheetId="10853">
        <row r="34">
          <cell r="A34" t="str">
            <v>Investments Govt Securities</v>
          </cell>
        </row>
      </sheetData>
      <sheetData sheetId="10854">
        <row r="34">
          <cell r="A34" t="str">
            <v>Investments Govt Securities</v>
          </cell>
        </row>
      </sheetData>
      <sheetData sheetId="10855">
        <row r="34">
          <cell r="A34" t="str">
            <v>Investments Govt Securities</v>
          </cell>
        </row>
      </sheetData>
      <sheetData sheetId="10856">
        <row r="34">
          <cell r="A34" t="str">
            <v>Investments Govt Securities</v>
          </cell>
        </row>
      </sheetData>
      <sheetData sheetId="10857">
        <row r="34">
          <cell r="A34" t="str">
            <v>Investments Govt Securities</v>
          </cell>
        </row>
      </sheetData>
      <sheetData sheetId="10858">
        <row r="34">
          <cell r="A34" t="str">
            <v>Investments Govt Securities</v>
          </cell>
        </row>
      </sheetData>
      <sheetData sheetId="10859">
        <row r="34">
          <cell r="A34" t="str">
            <v>Investments Govt Securities</v>
          </cell>
        </row>
      </sheetData>
      <sheetData sheetId="10860">
        <row r="34">
          <cell r="A34" t="str">
            <v>Investments Govt Securities</v>
          </cell>
        </row>
      </sheetData>
      <sheetData sheetId="10861">
        <row r="34">
          <cell r="A34" t="str">
            <v>Investments Govt Securities</v>
          </cell>
        </row>
      </sheetData>
      <sheetData sheetId="10862">
        <row r="34">
          <cell r="A34" t="str">
            <v>Investments Govt Securities</v>
          </cell>
        </row>
      </sheetData>
      <sheetData sheetId="10863">
        <row r="34">
          <cell r="A34" t="str">
            <v>Investments Govt Securities</v>
          </cell>
        </row>
      </sheetData>
      <sheetData sheetId="10864">
        <row r="34">
          <cell r="A34" t="str">
            <v>Investments Govt Securities</v>
          </cell>
        </row>
      </sheetData>
      <sheetData sheetId="10865">
        <row r="34">
          <cell r="A34" t="str">
            <v>Investments Govt Securities</v>
          </cell>
        </row>
      </sheetData>
      <sheetData sheetId="10866">
        <row r="34">
          <cell r="A34" t="str">
            <v>Investments Govt Securities</v>
          </cell>
        </row>
      </sheetData>
      <sheetData sheetId="10867">
        <row r="34">
          <cell r="A34" t="str">
            <v>Investments Govt Securities</v>
          </cell>
        </row>
      </sheetData>
      <sheetData sheetId="10868">
        <row r="34">
          <cell r="A34" t="str">
            <v>Investments Govt Securities</v>
          </cell>
        </row>
      </sheetData>
      <sheetData sheetId="10869">
        <row r="34">
          <cell r="A34" t="str">
            <v>Investments Govt Securities</v>
          </cell>
        </row>
      </sheetData>
      <sheetData sheetId="10870">
        <row r="34">
          <cell r="A34" t="str">
            <v>Investments Govt Securities</v>
          </cell>
        </row>
      </sheetData>
      <sheetData sheetId="10871">
        <row r="34">
          <cell r="A34" t="str">
            <v>Investments Govt Securities</v>
          </cell>
        </row>
      </sheetData>
      <sheetData sheetId="10872">
        <row r="34">
          <cell r="A34" t="str">
            <v>Investments Govt Securities</v>
          </cell>
        </row>
      </sheetData>
      <sheetData sheetId="10873">
        <row r="34">
          <cell r="A34" t="str">
            <v>Investments Govt Securities</v>
          </cell>
        </row>
      </sheetData>
      <sheetData sheetId="10874">
        <row r="34">
          <cell r="A34" t="str">
            <v>Investments Govt Securities</v>
          </cell>
        </row>
      </sheetData>
      <sheetData sheetId="10875">
        <row r="34">
          <cell r="A34" t="str">
            <v>Investments Govt Securities</v>
          </cell>
        </row>
      </sheetData>
      <sheetData sheetId="10876">
        <row r="34">
          <cell r="A34" t="str">
            <v>Investments Govt Securities</v>
          </cell>
        </row>
      </sheetData>
      <sheetData sheetId="10877">
        <row r="34">
          <cell r="A34" t="str">
            <v>Investments Govt Securities</v>
          </cell>
        </row>
      </sheetData>
      <sheetData sheetId="10878">
        <row r="34">
          <cell r="A34" t="str">
            <v>Investments Govt Securities</v>
          </cell>
        </row>
      </sheetData>
      <sheetData sheetId="10879">
        <row r="34">
          <cell r="A34" t="str">
            <v>Investments Govt Securities</v>
          </cell>
        </row>
      </sheetData>
      <sheetData sheetId="10880">
        <row r="34">
          <cell r="A34" t="str">
            <v>Investments Govt Securities</v>
          </cell>
        </row>
      </sheetData>
      <sheetData sheetId="10881">
        <row r="34">
          <cell r="A34" t="str">
            <v>Investments Govt Securities</v>
          </cell>
        </row>
      </sheetData>
      <sheetData sheetId="10882">
        <row r="34">
          <cell r="A34" t="str">
            <v>Investments Govt Securities</v>
          </cell>
        </row>
      </sheetData>
      <sheetData sheetId="10883">
        <row r="34">
          <cell r="A34" t="str">
            <v>Investments Govt Securities</v>
          </cell>
        </row>
      </sheetData>
      <sheetData sheetId="10884">
        <row r="34">
          <cell r="A34" t="str">
            <v>Investments Govt Securities</v>
          </cell>
        </row>
      </sheetData>
      <sheetData sheetId="10885">
        <row r="34">
          <cell r="A34" t="str">
            <v>Investments Govt Securities</v>
          </cell>
        </row>
      </sheetData>
      <sheetData sheetId="10886">
        <row r="34">
          <cell r="A34" t="str">
            <v>Investments Govt Securities</v>
          </cell>
        </row>
      </sheetData>
      <sheetData sheetId="10887">
        <row r="34">
          <cell r="A34" t="str">
            <v>Investments Govt Securities</v>
          </cell>
        </row>
      </sheetData>
      <sheetData sheetId="10888">
        <row r="34">
          <cell r="A34" t="str">
            <v>Investments Govt Securities</v>
          </cell>
        </row>
      </sheetData>
      <sheetData sheetId="10889">
        <row r="34">
          <cell r="A34" t="str">
            <v>Investments Govt Securities</v>
          </cell>
        </row>
      </sheetData>
      <sheetData sheetId="10890">
        <row r="34">
          <cell r="A34" t="str">
            <v>Investments Govt Securities</v>
          </cell>
        </row>
      </sheetData>
      <sheetData sheetId="10891">
        <row r="34">
          <cell r="A34" t="str">
            <v>Investments Govt Securities</v>
          </cell>
        </row>
      </sheetData>
      <sheetData sheetId="10892">
        <row r="34">
          <cell r="A34" t="str">
            <v>Investments Govt Securities</v>
          </cell>
        </row>
      </sheetData>
      <sheetData sheetId="10893">
        <row r="34">
          <cell r="A34" t="str">
            <v>Investments Govt Securities</v>
          </cell>
        </row>
      </sheetData>
      <sheetData sheetId="10894">
        <row r="34">
          <cell r="A34" t="str">
            <v>Investments Govt Securities</v>
          </cell>
        </row>
      </sheetData>
      <sheetData sheetId="10895">
        <row r="34">
          <cell r="A34" t="str">
            <v>Investments Govt Securities</v>
          </cell>
        </row>
      </sheetData>
      <sheetData sheetId="10896">
        <row r="34">
          <cell r="A34" t="str">
            <v>Investments Govt Securities</v>
          </cell>
        </row>
      </sheetData>
      <sheetData sheetId="10897">
        <row r="34">
          <cell r="A34" t="str">
            <v>Investments Govt Securities</v>
          </cell>
        </row>
      </sheetData>
      <sheetData sheetId="10898">
        <row r="34">
          <cell r="A34" t="str">
            <v>Investments Govt Securities</v>
          </cell>
        </row>
      </sheetData>
      <sheetData sheetId="10899">
        <row r="34">
          <cell r="A34" t="str">
            <v>Investments Govt Securities</v>
          </cell>
        </row>
      </sheetData>
      <sheetData sheetId="10900">
        <row r="34">
          <cell r="A34" t="str">
            <v>Investments Govt Securities</v>
          </cell>
        </row>
      </sheetData>
      <sheetData sheetId="10901">
        <row r="34">
          <cell r="A34" t="str">
            <v>Investments Govt Securities</v>
          </cell>
        </row>
      </sheetData>
      <sheetData sheetId="10902">
        <row r="34">
          <cell r="A34" t="str">
            <v>Investments Govt Securities</v>
          </cell>
        </row>
      </sheetData>
      <sheetData sheetId="10903">
        <row r="34">
          <cell r="A34" t="str">
            <v>Investments Govt Securities</v>
          </cell>
        </row>
      </sheetData>
      <sheetData sheetId="10904">
        <row r="34">
          <cell r="A34" t="str">
            <v>Investments Govt Securities</v>
          </cell>
        </row>
      </sheetData>
      <sheetData sheetId="10905">
        <row r="34">
          <cell r="A34" t="str">
            <v>Investments Govt Securities</v>
          </cell>
        </row>
      </sheetData>
      <sheetData sheetId="10906">
        <row r="34">
          <cell r="A34" t="str">
            <v>Investments Govt Securities</v>
          </cell>
        </row>
      </sheetData>
      <sheetData sheetId="10907">
        <row r="34">
          <cell r="A34" t="str">
            <v>Investments Govt Securities</v>
          </cell>
        </row>
      </sheetData>
      <sheetData sheetId="10908">
        <row r="34">
          <cell r="A34" t="str">
            <v>Investments Govt Securities</v>
          </cell>
        </row>
      </sheetData>
      <sheetData sheetId="10909">
        <row r="34">
          <cell r="A34" t="str">
            <v>Investments Govt Securities</v>
          </cell>
        </row>
      </sheetData>
      <sheetData sheetId="10910">
        <row r="34">
          <cell r="A34" t="str">
            <v>Investments Govt Securities</v>
          </cell>
        </row>
      </sheetData>
      <sheetData sheetId="10911">
        <row r="34">
          <cell r="A34" t="str">
            <v>Investments Govt Securities</v>
          </cell>
        </row>
      </sheetData>
      <sheetData sheetId="10912">
        <row r="34">
          <cell r="A34" t="str">
            <v>Investments Govt Securities</v>
          </cell>
        </row>
      </sheetData>
      <sheetData sheetId="10913">
        <row r="34">
          <cell r="A34" t="str">
            <v>Investments Govt Securities</v>
          </cell>
        </row>
      </sheetData>
      <sheetData sheetId="10914">
        <row r="34">
          <cell r="A34" t="str">
            <v>Investments Govt Securities</v>
          </cell>
        </row>
      </sheetData>
      <sheetData sheetId="10915">
        <row r="34">
          <cell r="A34" t="str">
            <v>Investments Govt Securities</v>
          </cell>
        </row>
      </sheetData>
      <sheetData sheetId="10916">
        <row r="34">
          <cell r="A34" t="str">
            <v>Investments Govt Securities</v>
          </cell>
        </row>
      </sheetData>
      <sheetData sheetId="10917">
        <row r="34">
          <cell r="A34" t="str">
            <v>Investments Govt Securities</v>
          </cell>
        </row>
      </sheetData>
      <sheetData sheetId="10918">
        <row r="34">
          <cell r="A34" t="str">
            <v>Investments Govt Securities</v>
          </cell>
        </row>
      </sheetData>
      <sheetData sheetId="10919">
        <row r="34">
          <cell r="A34" t="str">
            <v>Investments Govt Securities</v>
          </cell>
        </row>
      </sheetData>
      <sheetData sheetId="10920">
        <row r="34">
          <cell r="A34" t="str">
            <v>Investments Govt Securities</v>
          </cell>
        </row>
      </sheetData>
      <sheetData sheetId="10921">
        <row r="34">
          <cell r="A34" t="str">
            <v>Investments Govt Securities</v>
          </cell>
        </row>
      </sheetData>
      <sheetData sheetId="10922">
        <row r="34">
          <cell r="A34" t="str">
            <v>Investments Govt Securities</v>
          </cell>
        </row>
      </sheetData>
      <sheetData sheetId="10923">
        <row r="34">
          <cell r="A34" t="str">
            <v>Investments Govt Securities</v>
          </cell>
        </row>
      </sheetData>
      <sheetData sheetId="10924">
        <row r="34">
          <cell r="A34" t="str">
            <v>Investments Govt Securities</v>
          </cell>
        </row>
      </sheetData>
      <sheetData sheetId="10925">
        <row r="34">
          <cell r="A34" t="str">
            <v>Investments Govt Securities</v>
          </cell>
        </row>
      </sheetData>
      <sheetData sheetId="10926">
        <row r="34">
          <cell r="A34" t="str">
            <v>Investments Govt Securities</v>
          </cell>
        </row>
      </sheetData>
      <sheetData sheetId="10927">
        <row r="34">
          <cell r="A34" t="str">
            <v>Investments Govt Securities</v>
          </cell>
        </row>
      </sheetData>
      <sheetData sheetId="10928">
        <row r="34">
          <cell r="A34" t="str">
            <v>Investments Govt Securities</v>
          </cell>
        </row>
      </sheetData>
      <sheetData sheetId="10929">
        <row r="34">
          <cell r="A34" t="str">
            <v>Investments Govt Securities</v>
          </cell>
        </row>
      </sheetData>
      <sheetData sheetId="10930">
        <row r="34">
          <cell r="A34" t="str">
            <v>Investments Govt Securities</v>
          </cell>
        </row>
      </sheetData>
      <sheetData sheetId="10931">
        <row r="34">
          <cell r="A34" t="str">
            <v>Investments Govt Securities</v>
          </cell>
        </row>
      </sheetData>
      <sheetData sheetId="10932">
        <row r="34">
          <cell r="A34" t="str">
            <v>Investments Govt Securities</v>
          </cell>
        </row>
      </sheetData>
      <sheetData sheetId="10933">
        <row r="34">
          <cell r="A34" t="str">
            <v>Investments Govt Securities</v>
          </cell>
        </row>
      </sheetData>
      <sheetData sheetId="10934">
        <row r="34">
          <cell r="A34" t="str">
            <v>Investments Govt Securities</v>
          </cell>
        </row>
      </sheetData>
      <sheetData sheetId="10935">
        <row r="34">
          <cell r="A34" t="str">
            <v>Investments Govt Securities</v>
          </cell>
        </row>
      </sheetData>
      <sheetData sheetId="10936">
        <row r="34">
          <cell r="A34" t="str">
            <v>Investments Govt Securities</v>
          </cell>
        </row>
      </sheetData>
      <sheetData sheetId="10937">
        <row r="34">
          <cell r="A34" t="str">
            <v>Investments Govt Securities</v>
          </cell>
        </row>
      </sheetData>
      <sheetData sheetId="10938">
        <row r="34">
          <cell r="A34" t="str">
            <v>Investments Govt Securities</v>
          </cell>
        </row>
      </sheetData>
      <sheetData sheetId="10939">
        <row r="34">
          <cell r="A34" t="str">
            <v>Investments Govt Securities</v>
          </cell>
        </row>
      </sheetData>
      <sheetData sheetId="10940">
        <row r="34">
          <cell r="A34" t="str">
            <v>Investments Govt Securities</v>
          </cell>
        </row>
      </sheetData>
      <sheetData sheetId="10941">
        <row r="34">
          <cell r="A34" t="str">
            <v>Investments Govt Securities</v>
          </cell>
        </row>
      </sheetData>
      <sheetData sheetId="10942">
        <row r="34">
          <cell r="A34" t="str">
            <v>Investments Govt Securities</v>
          </cell>
        </row>
      </sheetData>
      <sheetData sheetId="10943">
        <row r="34">
          <cell r="A34" t="str">
            <v>Investments Govt Securities</v>
          </cell>
        </row>
      </sheetData>
      <sheetData sheetId="10944">
        <row r="34">
          <cell r="A34" t="str">
            <v>Investments Govt Securities</v>
          </cell>
        </row>
      </sheetData>
      <sheetData sheetId="10945">
        <row r="34">
          <cell r="A34" t="str">
            <v>Investments Govt Securities</v>
          </cell>
        </row>
      </sheetData>
      <sheetData sheetId="10946">
        <row r="34">
          <cell r="A34" t="str">
            <v>Investments Govt Securities</v>
          </cell>
        </row>
      </sheetData>
      <sheetData sheetId="10947">
        <row r="34">
          <cell r="A34" t="str">
            <v>Investments Govt Securities</v>
          </cell>
        </row>
      </sheetData>
      <sheetData sheetId="10948">
        <row r="34">
          <cell r="A34" t="str">
            <v>Investments Govt Securities</v>
          </cell>
        </row>
      </sheetData>
      <sheetData sheetId="10949">
        <row r="34">
          <cell r="A34" t="str">
            <v>Investments Govt Securities</v>
          </cell>
        </row>
      </sheetData>
      <sheetData sheetId="10950">
        <row r="34">
          <cell r="A34" t="str">
            <v>Investments Govt Securities</v>
          </cell>
        </row>
      </sheetData>
      <sheetData sheetId="10951">
        <row r="34">
          <cell r="A34" t="str">
            <v>Investments Govt Securities</v>
          </cell>
        </row>
      </sheetData>
      <sheetData sheetId="10952">
        <row r="34">
          <cell r="A34" t="str">
            <v>Investments Govt Securities</v>
          </cell>
        </row>
      </sheetData>
      <sheetData sheetId="10953">
        <row r="34">
          <cell r="A34" t="str">
            <v>Investments Govt Securities</v>
          </cell>
        </row>
      </sheetData>
      <sheetData sheetId="10954">
        <row r="34">
          <cell r="A34" t="str">
            <v>Investments Govt Securities</v>
          </cell>
        </row>
      </sheetData>
      <sheetData sheetId="10955">
        <row r="34">
          <cell r="A34" t="str">
            <v>Investments Govt Securities</v>
          </cell>
        </row>
      </sheetData>
      <sheetData sheetId="10956">
        <row r="34">
          <cell r="A34" t="str">
            <v>Investments Govt Securities</v>
          </cell>
        </row>
      </sheetData>
      <sheetData sheetId="10957">
        <row r="34">
          <cell r="A34" t="str">
            <v>Investments Govt Securities</v>
          </cell>
        </row>
      </sheetData>
      <sheetData sheetId="10958">
        <row r="34">
          <cell r="A34" t="str">
            <v>Investments Govt Securities</v>
          </cell>
        </row>
      </sheetData>
      <sheetData sheetId="10959">
        <row r="34">
          <cell r="A34" t="str">
            <v>Investments Govt Securities</v>
          </cell>
        </row>
      </sheetData>
      <sheetData sheetId="10960">
        <row r="34">
          <cell r="A34" t="str">
            <v>Investments Govt Securities</v>
          </cell>
        </row>
      </sheetData>
      <sheetData sheetId="10961">
        <row r="34">
          <cell r="A34" t="str">
            <v>Investments Govt Securities</v>
          </cell>
        </row>
      </sheetData>
      <sheetData sheetId="10962">
        <row r="34">
          <cell r="A34" t="str">
            <v>Investments Govt Securities</v>
          </cell>
        </row>
      </sheetData>
      <sheetData sheetId="10963">
        <row r="34">
          <cell r="A34" t="str">
            <v>Investments Govt Securities</v>
          </cell>
        </row>
      </sheetData>
      <sheetData sheetId="10964">
        <row r="34">
          <cell r="A34" t="str">
            <v>Investments Govt Securities</v>
          </cell>
        </row>
      </sheetData>
      <sheetData sheetId="10965">
        <row r="34">
          <cell r="A34" t="str">
            <v>Investments Govt Securities</v>
          </cell>
        </row>
      </sheetData>
      <sheetData sheetId="10966">
        <row r="34">
          <cell r="A34" t="str">
            <v>Investments Govt Securities</v>
          </cell>
        </row>
      </sheetData>
      <sheetData sheetId="10967">
        <row r="34">
          <cell r="A34" t="str">
            <v>Investments Govt Securities</v>
          </cell>
        </row>
      </sheetData>
      <sheetData sheetId="10968">
        <row r="34">
          <cell r="A34" t="str">
            <v>Investments Govt Securities</v>
          </cell>
        </row>
      </sheetData>
      <sheetData sheetId="10969">
        <row r="34">
          <cell r="A34" t="str">
            <v>Investments Govt Securities</v>
          </cell>
        </row>
      </sheetData>
      <sheetData sheetId="10970"/>
      <sheetData sheetId="10971">
        <row r="34">
          <cell r="A34" t="str">
            <v>Investments Govt Securities</v>
          </cell>
        </row>
      </sheetData>
      <sheetData sheetId="10972">
        <row r="34">
          <cell r="A34" t="str">
            <v>Investments Govt Securities</v>
          </cell>
        </row>
      </sheetData>
      <sheetData sheetId="10973">
        <row r="34">
          <cell r="A34" t="str">
            <v>Investments Govt Securities</v>
          </cell>
        </row>
      </sheetData>
      <sheetData sheetId="10974">
        <row r="34">
          <cell r="A34" t="str">
            <v>Investments Govt Securities</v>
          </cell>
        </row>
      </sheetData>
      <sheetData sheetId="10975">
        <row r="34">
          <cell r="A34" t="str">
            <v>Investments Govt Securities</v>
          </cell>
        </row>
      </sheetData>
      <sheetData sheetId="10976">
        <row r="34">
          <cell r="A34" t="str">
            <v>Investments Govt Securities</v>
          </cell>
        </row>
      </sheetData>
      <sheetData sheetId="10977">
        <row r="34">
          <cell r="A34" t="str">
            <v>Investments Govt Securities</v>
          </cell>
        </row>
      </sheetData>
      <sheetData sheetId="10978">
        <row r="34">
          <cell r="A34" t="str">
            <v>Investments Govt Securities</v>
          </cell>
        </row>
      </sheetData>
      <sheetData sheetId="10979">
        <row r="34">
          <cell r="A34" t="str">
            <v>Investments Govt Securities</v>
          </cell>
        </row>
      </sheetData>
      <sheetData sheetId="10980">
        <row r="34">
          <cell r="A34" t="str">
            <v>Investments Govt Securities</v>
          </cell>
        </row>
      </sheetData>
      <sheetData sheetId="10981">
        <row r="34">
          <cell r="A34" t="str">
            <v>Investments Govt Securities</v>
          </cell>
        </row>
      </sheetData>
      <sheetData sheetId="10982">
        <row r="34">
          <cell r="A34" t="str">
            <v>Investments Govt Securities</v>
          </cell>
        </row>
      </sheetData>
      <sheetData sheetId="10983">
        <row r="34">
          <cell r="A34" t="str">
            <v>Investments Govt Securities</v>
          </cell>
        </row>
      </sheetData>
      <sheetData sheetId="10984">
        <row r="34">
          <cell r="A34" t="str">
            <v>Investments Govt Securities</v>
          </cell>
        </row>
      </sheetData>
      <sheetData sheetId="10985">
        <row r="34">
          <cell r="A34" t="str">
            <v>Investments Govt Securities</v>
          </cell>
        </row>
      </sheetData>
      <sheetData sheetId="10986">
        <row r="34">
          <cell r="A34" t="str">
            <v>Investments Govt Securities</v>
          </cell>
        </row>
      </sheetData>
      <sheetData sheetId="10987">
        <row r="34">
          <cell r="A34" t="str">
            <v>Investments Govt Securities</v>
          </cell>
        </row>
      </sheetData>
      <sheetData sheetId="10988">
        <row r="34">
          <cell r="A34" t="str">
            <v>Investments Govt Securities</v>
          </cell>
        </row>
      </sheetData>
      <sheetData sheetId="10989">
        <row r="34">
          <cell r="A34" t="str">
            <v>Investments Govt Securities</v>
          </cell>
        </row>
      </sheetData>
      <sheetData sheetId="10990">
        <row r="34">
          <cell r="A34" t="str">
            <v>Investments Govt Securities</v>
          </cell>
        </row>
      </sheetData>
      <sheetData sheetId="10991">
        <row r="34">
          <cell r="A34" t="str">
            <v>Investments Govt Securities</v>
          </cell>
        </row>
      </sheetData>
      <sheetData sheetId="10992">
        <row r="34">
          <cell r="A34" t="str">
            <v>Investments Govt Securities</v>
          </cell>
        </row>
      </sheetData>
      <sheetData sheetId="10993">
        <row r="34">
          <cell r="A34" t="str">
            <v>Investments Govt Securities</v>
          </cell>
        </row>
      </sheetData>
      <sheetData sheetId="10994">
        <row r="34">
          <cell r="A34" t="str">
            <v>Investments Govt Securities</v>
          </cell>
        </row>
      </sheetData>
      <sheetData sheetId="10995">
        <row r="34">
          <cell r="A34" t="str">
            <v>Investments Govt Securities</v>
          </cell>
        </row>
      </sheetData>
      <sheetData sheetId="10996">
        <row r="34">
          <cell r="A34" t="str">
            <v>Investments Govt Securities</v>
          </cell>
        </row>
      </sheetData>
      <sheetData sheetId="10997">
        <row r="34">
          <cell r="A34" t="str">
            <v>Investments Govt Securities</v>
          </cell>
        </row>
      </sheetData>
      <sheetData sheetId="10998">
        <row r="34">
          <cell r="A34" t="str">
            <v>Investments Govt Securities</v>
          </cell>
        </row>
      </sheetData>
      <sheetData sheetId="10999">
        <row r="34">
          <cell r="A34" t="str">
            <v>Investments Govt Securities</v>
          </cell>
        </row>
      </sheetData>
      <sheetData sheetId="11000">
        <row r="34">
          <cell r="A34" t="str">
            <v>Investments Govt Securities</v>
          </cell>
        </row>
      </sheetData>
      <sheetData sheetId="11001">
        <row r="34">
          <cell r="A34" t="str">
            <v>Investments Govt Securities</v>
          </cell>
        </row>
      </sheetData>
      <sheetData sheetId="11002">
        <row r="34">
          <cell r="A34" t="str">
            <v>Investments Govt Securities</v>
          </cell>
        </row>
      </sheetData>
      <sheetData sheetId="11003">
        <row r="34">
          <cell r="A34" t="str">
            <v>Investments Govt Securities</v>
          </cell>
        </row>
      </sheetData>
      <sheetData sheetId="11004">
        <row r="34">
          <cell r="A34" t="str">
            <v>Investments Govt Securities</v>
          </cell>
        </row>
      </sheetData>
      <sheetData sheetId="11005">
        <row r="34">
          <cell r="A34" t="str">
            <v>Investments Govt Securities</v>
          </cell>
        </row>
      </sheetData>
      <sheetData sheetId="11006">
        <row r="34">
          <cell r="A34" t="str">
            <v>Investments Govt Securities</v>
          </cell>
        </row>
      </sheetData>
      <sheetData sheetId="11007">
        <row r="34">
          <cell r="A34" t="str">
            <v>Investments Govt Securities</v>
          </cell>
        </row>
      </sheetData>
      <sheetData sheetId="11008">
        <row r="34">
          <cell r="A34" t="str">
            <v>Investments Govt Securities</v>
          </cell>
        </row>
      </sheetData>
      <sheetData sheetId="11009">
        <row r="34">
          <cell r="A34" t="str">
            <v>Investments Govt Securities</v>
          </cell>
        </row>
      </sheetData>
      <sheetData sheetId="11010">
        <row r="34">
          <cell r="A34" t="str">
            <v>Investments Govt Securities</v>
          </cell>
        </row>
      </sheetData>
      <sheetData sheetId="11011">
        <row r="34">
          <cell r="A34" t="str">
            <v>Investments Govt Securities</v>
          </cell>
        </row>
      </sheetData>
      <sheetData sheetId="11012">
        <row r="34">
          <cell r="A34" t="str">
            <v>Investments Govt Securities</v>
          </cell>
        </row>
      </sheetData>
      <sheetData sheetId="11013">
        <row r="34">
          <cell r="A34" t="str">
            <v>Investments Govt Securities</v>
          </cell>
        </row>
      </sheetData>
      <sheetData sheetId="11014">
        <row r="34">
          <cell r="A34" t="str">
            <v>Investments Govt Securities</v>
          </cell>
        </row>
      </sheetData>
      <sheetData sheetId="11015">
        <row r="34">
          <cell r="A34" t="str">
            <v>Investments Govt Securities</v>
          </cell>
        </row>
      </sheetData>
      <sheetData sheetId="11016">
        <row r="34">
          <cell r="A34" t="str">
            <v>Investments Govt Securities</v>
          </cell>
        </row>
      </sheetData>
      <sheetData sheetId="11017">
        <row r="34">
          <cell r="A34" t="str">
            <v>Investments Govt Securities</v>
          </cell>
        </row>
      </sheetData>
      <sheetData sheetId="11018">
        <row r="34">
          <cell r="A34" t="str">
            <v>Investments Govt Securities</v>
          </cell>
        </row>
      </sheetData>
      <sheetData sheetId="11019">
        <row r="34">
          <cell r="A34" t="str">
            <v>Investments Govt Securities</v>
          </cell>
        </row>
      </sheetData>
      <sheetData sheetId="11020">
        <row r="34">
          <cell r="A34" t="str">
            <v>Investments Govt Securities</v>
          </cell>
        </row>
      </sheetData>
      <sheetData sheetId="11021">
        <row r="34">
          <cell r="A34" t="str">
            <v>Investments Govt Securities</v>
          </cell>
        </row>
      </sheetData>
      <sheetData sheetId="11022">
        <row r="34">
          <cell r="A34" t="str">
            <v>Investments Govt Securities</v>
          </cell>
        </row>
      </sheetData>
      <sheetData sheetId="11023">
        <row r="34">
          <cell r="A34" t="str">
            <v>Investments Govt Securities</v>
          </cell>
        </row>
      </sheetData>
      <sheetData sheetId="11024">
        <row r="34">
          <cell r="A34" t="str">
            <v>Investments Govt Securities</v>
          </cell>
        </row>
      </sheetData>
      <sheetData sheetId="11025">
        <row r="34">
          <cell r="A34" t="str">
            <v>Investments Govt Securities</v>
          </cell>
        </row>
      </sheetData>
      <sheetData sheetId="11026">
        <row r="34">
          <cell r="A34" t="str">
            <v>Investments Govt Securities</v>
          </cell>
        </row>
      </sheetData>
      <sheetData sheetId="11027">
        <row r="34">
          <cell r="A34" t="str">
            <v>Investments Govt Securities</v>
          </cell>
        </row>
      </sheetData>
      <sheetData sheetId="11028">
        <row r="34">
          <cell r="A34" t="str">
            <v>Investments Govt Securities</v>
          </cell>
        </row>
      </sheetData>
      <sheetData sheetId="11029">
        <row r="34">
          <cell r="A34" t="str">
            <v>Investments Govt Securities</v>
          </cell>
        </row>
      </sheetData>
      <sheetData sheetId="11030">
        <row r="34">
          <cell r="A34" t="str">
            <v>Investments Govt Securities</v>
          </cell>
        </row>
      </sheetData>
      <sheetData sheetId="11031">
        <row r="34">
          <cell r="A34" t="str">
            <v>Investments Govt Securities</v>
          </cell>
        </row>
      </sheetData>
      <sheetData sheetId="11032">
        <row r="34">
          <cell r="A34" t="str">
            <v>Investments Govt Securities</v>
          </cell>
        </row>
      </sheetData>
      <sheetData sheetId="11033">
        <row r="34">
          <cell r="A34" t="str">
            <v>Investments Govt Securities</v>
          </cell>
        </row>
      </sheetData>
      <sheetData sheetId="11034">
        <row r="34">
          <cell r="A34" t="str">
            <v>Investments Govt Securities</v>
          </cell>
        </row>
      </sheetData>
      <sheetData sheetId="11035">
        <row r="34">
          <cell r="A34" t="str">
            <v>Investments Govt Securities</v>
          </cell>
        </row>
      </sheetData>
      <sheetData sheetId="11036">
        <row r="34">
          <cell r="A34" t="str">
            <v>Investments Govt Securities</v>
          </cell>
        </row>
      </sheetData>
      <sheetData sheetId="11037">
        <row r="34">
          <cell r="A34" t="str">
            <v>Investments Govt Securities</v>
          </cell>
        </row>
      </sheetData>
      <sheetData sheetId="11038">
        <row r="34">
          <cell r="A34" t="str">
            <v>Investments Govt Securities</v>
          </cell>
        </row>
      </sheetData>
      <sheetData sheetId="11039">
        <row r="34">
          <cell r="A34" t="str">
            <v>Investments Govt Securities</v>
          </cell>
        </row>
      </sheetData>
      <sheetData sheetId="11040">
        <row r="34">
          <cell r="A34" t="str">
            <v>Investments Govt Securities</v>
          </cell>
        </row>
      </sheetData>
      <sheetData sheetId="11041">
        <row r="34">
          <cell r="A34" t="str">
            <v>Investments Govt Securities</v>
          </cell>
        </row>
      </sheetData>
      <sheetData sheetId="11042">
        <row r="34">
          <cell r="A34" t="str">
            <v>Investments Govt Securities</v>
          </cell>
        </row>
      </sheetData>
      <sheetData sheetId="11043">
        <row r="34">
          <cell r="A34" t="str">
            <v>Investments Govt Securities</v>
          </cell>
        </row>
      </sheetData>
      <sheetData sheetId="11044">
        <row r="34">
          <cell r="A34" t="str">
            <v>Investments Govt Securities</v>
          </cell>
        </row>
      </sheetData>
      <sheetData sheetId="11045">
        <row r="34">
          <cell r="A34" t="str">
            <v>Investments Govt Securities</v>
          </cell>
        </row>
      </sheetData>
      <sheetData sheetId="11046">
        <row r="34">
          <cell r="A34" t="str">
            <v>Investments Govt Securities</v>
          </cell>
        </row>
      </sheetData>
      <sheetData sheetId="11047">
        <row r="34">
          <cell r="A34" t="str">
            <v>Investments Govt Securities</v>
          </cell>
        </row>
      </sheetData>
      <sheetData sheetId="11048">
        <row r="34">
          <cell r="A34" t="str">
            <v>Investments Govt Securities</v>
          </cell>
        </row>
      </sheetData>
      <sheetData sheetId="11049">
        <row r="34">
          <cell r="A34" t="str">
            <v>Investments Govt Securities</v>
          </cell>
        </row>
      </sheetData>
      <sheetData sheetId="11050">
        <row r="34">
          <cell r="A34" t="str">
            <v>Investments Govt Securities</v>
          </cell>
        </row>
      </sheetData>
      <sheetData sheetId="11051">
        <row r="34">
          <cell r="A34" t="str">
            <v>Investments Govt Securities</v>
          </cell>
        </row>
      </sheetData>
      <sheetData sheetId="11052">
        <row r="34">
          <cell r="A34" t="str">
            <v>Investments Govt Securities</v>
          </cell>
        </row>
      </sheetData>
      <sheetData sheetId="11053">
        <row r="34">
          <cell r="A34" t="str">
            <v>Investments Govt Securities</v>
          </cell>
        </row>
      </sheetData>
      <sheetData sheetId="11054">
        <row r="34">
          <cell r="A34" t="str">
            <v>Investments Govt Securities</v>
          </cell>
        </row>
      </sheetData>
      <sheetData sheetId="11055">
        <row r="34">
          <cell r="A34" t="str">
            <v>Investments Govt Securities</v>
          </cell>
        </row>
      </sheetData>
      <sheetData sheetId="11056">
        <row r="34">
          <cell r="A34" t="str">
            <v>Investments Govt Securities</v>
          </cell>
        </row>
      </sheetData>
      <sheetData sheetId="11057">
        <row r="34">
          <cell r="A34" t="str">
            <v>Investments Govt Securities</v>
          </cell>
        </row>
      </sheetData>
      <sheetData sheetId="11058"/>
      <sheetData sheetId="11059">
        <row r="34">
          <cell r="A34" t="str">
            <v>Investments Govt Securities</v>
          </cell>
        </row>
      </sheetData>
      <sheetData sheetId="11060">
        <row r="34">
          <cell r="A34" t="str">
            <v>Investments Govt Securities</v>
          </cell>
        </row>
      </sheetData>
      <sheetData sheetId="11061">
        <row r="34">
          <cell r="A34" t="str">
            <v>Investments Govt Securities</v>
          </cell>
        </row>
      </sheetData>
      <sheetData sheetId="11062">
        <row r="34">
          <cell r="A34" t="str">
            <v>Investments Govt Securities</v>
          </cell>
        </row>
      </sheetData>
      <sheetData sheetId="11063">
        <row r="34">
          <cell r="A34" t="str">
            <v>Investments Govt Securities</v>
          </cell>
        </row>
      </sheetData>
      <sheetData sheetId="11064">
        <row r="34">
          <cell r="A34" t="str">
            <v>Investments Govt Securities</v>
          </cell>
        </row>
      </sheetData>
      <sheetData sheetId="11065">
        <row r="34">
          <cell r="A34" t="str">
            <v>Investments Govt Securities</v>
          </cell>
        </row>
      </sheetData>
      <sheetData sheetId="11066">
        <row r="34">
          <cell r="A34" t="str">
            <v>Investments Govt Securities</v>
          </cell>
        </row>
      </sheetData>
      <sheetData sheetId="11067">
        <row r="34">
          <cell r="A34" t="str">
            <v>Investments Govt Securities</v>
          </cell>
        </row>
      </sheetData>
      <sheetData sheetId="11068">
        <row r="34">
          <cell r="A34" t="str">
            <v>Investments Govt Securities</v>
          </cell>
        </row>
      </sheetData>
      <sheetData sheetId="11069">
        <row r="34">
          <cell r="A34" t="str">
            <v>Investments Govt Securities</v>
          </cell>
        </row>
      </sheetData>
      <sheetData sheetId="11070">
        <row r="34">
          <cell r="A34" t="str">
            <v>Investments Govt Securities</v>
          </cell>
        </row>
      </sheetData>
      <sheetData sheetId="11071">
        <row r="34">
          <cell r="A34" t="str">
            <v>Investments Govt Securities</v>
          </cell>
        </row>
      </sheetData>
      <sheetData sheetId="11072">
        <row r="34">
          <cell r="A34" t="str">
            <v>Investments Govt Securities</v>
          </cell>
        </row>
      </sheetData>
      <sheetData sheetId="11073">
        <row r="34">
          <cell r="A34" t="str">
            <v>Investments Govt Securities</v>
          </cell>
        </row>
      </sheetData>
      <sheetData sheetId="11074">
        <row r="34">
          <cell r="A34" t="str">
            <v>Investments Govt Securities</v>
          </cell>
        </row>
      </sheetData>
      <sheetData sheetId="11075">
        <row r="34">
          <cell r="A34" t="str">
            <v>Investments Govt Securities</v>
          </cell>
        </row>
      </sheetData>
      <sheetData sheetId="11076">
        <row r="34">
          <cell r="A34" t="str">
            <v>Investments Govt Securities</v>
          </cell>
        </row>
      </sheetData>
      <sheetData sheetId="11077">
        <row r="34">
          <cell r="A34" t="str">
            <v>Investments Govt Securities</v>
          </cell>
        </row>
      </sheetData>
      <sheetData sheetId="11078">
        <row r="34">
          <cell r="A34" t="str">
            <v>Investments Govt Securities</v>
          </cell>
        </row>
      </sheetData>
      <sheetData sheetId="11079">
        <row r="34">
          <cell r="A34" t="str">
            <v>Investments Govt Securities</v>
          </cell>
        </row>
      </sheetData>
      <sheetData sheetId="11080">
        <row r="34">
          <cell r="A34" t="str">
            <v>Investments Govt Securities</v>
          </cell>
        </row>
      </sheetData>
      <sheetData sheetId="11081"/>
      <sheetData sheetId="11082">
        <row r="34">
          <cell r="A34" t="str">
            <v>Investments Govt Securities</v>
          </cell>
        </row>
      </sheetData>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row r="34">
          <cell r="A34" t="str">
            <v>Investments Govt Securities</v>
          </cell>
        </row>
      </sheetData>
      <sheetData sheetId="11210"/>
      <sheetData sheetId="11211"/>
      <sheetData sheetId="11212">
        <row r="34">
          <cell r="A34" t="str">
            <v>Investments Govt Securities</v>
          </cell>
        </row>
      </sheetData>
      <sheetData sheetId="11213"/>
      <sheetData sheetId="11214"/>
      <sheetData sheetId="11215">
        <row r="34">
          <cell r="A34" t="str">
            <v>Investments Govt Securities</v>
          </cell>
        </row>
      </sheetData>
      <sheetData sheetId="11216"/>
      <sheetData sheetId="11217"/>
      <sheetData sheetId="11218">
        <row r="34">
          <cell r="A34" t="str">
            <v>Investments Govt Securities</v>
          </cell>
        </row>
      </sheetData>
      <sheetData sheetId="11219"/>
      <sheetData sheetId="11220"/>
      <sheetData sheetId="11221">
        <row r="34">
          <cell r="A34" t="str">
            <v>Investments Govt Securities</v>
          </cell>
        </row>
      </sheetData>
      <sheetData sheetId="11222"/>
      <sheetData sheetId="11223"/>
      <sheetData sheetId="11224">
        <row r="34">
          <cell r="A34" t="str">
            <v>Investments Govt Securities</v>
          </cell>
        </row>
      </sheetData>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row r="34">
          <cell r="A34" t="str">
            <v>Investments Govt Securities</v>
          </cell>
        </row>
      </sheetData>
      <sheetData sheetId="11263"/>
      <sheetData sheetId="11264">
        <row r="34">
          <cell r="A34" t="str">
            <v>Investments Govt Securities</v>
          </cell>
        </row>
      </sheetData>
      <sheetData sheetId="11265">
        <row r="34">
          <cell r="A34" t="str">
            <v>Investments Govt Securities</v>
          </cell>
        </row>
      </sheetData>
      <sheetData sheetId="11266">
        <row r="34">
          <cell r="A34" t="str">
            <v>Investments Govt Securities</v>
          </cell>
        </row>
      </sheetData>
      <sheetData sheetId="11267">
        <row r="34">
          <cell r="A34" t="str">
            <v>Investments Govt Securities</v>
          </cell>
        </row>
      </sheetData>
      <sheetData sheetId="11268"/>
      <sheetData sheetId="11269"/>
      <sheetData sheetId="11270"/>
      <sheetData sheetId="11271">
        <row r="34">
          <cell r="A34" t="str">
            <v>Investments Govt Securities</v>
          </cell>
        </row>
      </sheetData>
      <sheetData sheetId="11272">
        <row r="34">
          <cell r="A34" t="str">
            <v>Investments Govt Securities</v>
          </cell>
        </row>
      </sheetData>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row r="34">
          <cell r="A34" t="str">
            <v>Investments Govt Securities</v>
          </cell>
        </row>
      </sheetData>
      <sheetData sheetId="11289">
        <row r="34">
          <cell r="A34" t="str">
            <v>Investments Govt Securities</v>
          </cell>
        </row>
      </sheetData>
      <sheetData sheetId="11290">
        <row r="34">
          <cell r="A34" t="str">
            <v>Investments Govt Securities</v>
          </cell>
        </row>
      </sheetData>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row r="34">
          <cell r="A34" t="str">
            <v>Investments Govt Securities</v>
          </cell>
        </row>
      </sheetData>
      <sheetData sheetId="11327">
        <row r="34">
          <cell r="A34" t="str">
            <v>Investments Govt Securities</v>
          </cell>
        </row>
      </sheetData>
      <sheetData sheetId="11328">
        <row r="34">
          <cell r="A34" t="str">
            <v>Investments Govt Securities</v>
          </cell>
        </row>
      </sheetData>
      <sheetData sheetId="11329">
        <row r="34">
          <cell r="A34" t="str">
            <v>Investments Govt Securities</v>
          </cell>
        </row>
      </sheetData>
      <sheetData sheetId="11330">
        <row r="34">
          <cell r="A34" t="str">
            <v>Investments Govt Securities</v>
          </cell>
        </row>
      </sheetData>
      <sheetData sheetId="11331"/>
      <sheetData sheetId="11332"/>
      <sheetData sheetId="11333"/>
      <sheetData sheetId="11334"/>
      <sheetData sheetId="11335"/>
      <sheetData sheetId="11336"/>
      <sheetData sheetId="11337">
        <row r="34">
          <cell r="A34" t="str">
            <v>Investments Govt Securities</v>
          </cell>
        </row>
      </sheetData>
      <sheetData sheetId="11338"/>
      <sheetData sheetId="11339"/>
      <sheetData sheetId="11340"/>
      <sheetData sheetId="11341"/>
      <sheetData sheetId="11342">
        <row r="34">
          <cell r="A34" t="str">
            <v>Investments Govt Securities</v>
          </cell>
        </row>
      </sheetData>
      <sheetData sheetId="11343"/>
      <sheetData sheetId="11344"/>
      <sheetData sheetId="11345"/>
      <sheetData sheetId="11346"/>
      <sheetData sheetId="11347"/>
      <sheetData sheetId="11348"/>
      <sheetData sheetId="11349"/>
      <sheetData sheetId="11350"/>
      <sheetData sheetId="11351"/>
      <sheetData sheetId="11352"/>
      <sheetData sheetId="11353">
        <row r="34">
          <cell r="A34" t="str">
            <v>Investments Govt Securities</v>
          </cell>
        </row>
      </sheetData>
      <sheetData sheetId="11354">
        <row r="34">
          <cell r="A34" t="str">
            <v>Investments Govt Securities</v>
          </cell>
        </row>
      </sheetData>
      <sheetData sheetId="11355"/>
      <sheetData sheetId="11356"/>
      <sheetData sheetId="11357"/>
      <sheetData sheetId="11358">
        <row r="34">
          <cell r="A34" t="str">
            <v>Investments Govt Securities</v>
          </cell>
        </row>
      </sheetData>
      <sheetData sheetId="11359"/>
      <sheetData sheetId="11360"/>
      <sheetData sheetId="11361"/>
      <sheetData sheetId="11362">
        <row r="34">
          <cell r="A34" t="str">
            <v>Investments Govt Securities</v>
          </cell>
        </row>
      </sheetData>
      <sheetData sheetId="11363"/>
      <sheetData sheetId="11364"/>
      <sheetData sheetId="11365"/>
      <sheetData sheetId="11366"/>
      <sheetData sheetId="11367"/>
      <sheetData sheetId="11368"/>
      <sheetData sheetId="11369">
        <row r="34">
          <cell r="A34" t="str">
            <v>Investments Govt Securities</v>
          </cell>
        </row>
      </sheetData>
      <sheetData sheetId="11370"/>
      <sheetData sheetId="11371"/>
      <sheetData sheetId="11372"/>
      <sheetData sheetId="11373"/>
      <sheetData sheetId="11374"/>
      <sheetData sheetId="11375"/>
      <sheetData sheetId="11376"/>
      <sheetData sheetId="11377"/>
      <sheetData sheetId="11378"/>
      <sheetData sheetId="11379"/>
      <sheetData sheetId="11380">
        <row r="34">
          <cell r="A34" t="str">
            <v>Investments Govt Securities</v>
          </cell>
        </row>
      </sheetData>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row r="34">
          <cell r="A34" t="str">
            <v>Investments Govt Securities</v>
          </cell>
        </row>
      </sheetData>
      <sheetData sheetId="11460">
        <row r="34">
          <cell r="A34" t="str">
            <v>Investments Govt Securities</v>
          </cell>
        </row>
      </sheetData>
      <sheetData sheetId="11461">
        <row r="34">
          <cell r="A34" t="str">
            <v>Investments Govt Securities</v>
          </cell>
        </row>
      </sheetData>
      <sheetData sheetId="11462">
        <row r="34">
          <cell r="A34" t="str">
            <v>Investments Govt Securities</v>
          </cell>
        </row>
      </sheetData>
      <sheetData sheetId="11463">
        <row r="34">
          <cell r="A34" t="str">
            <v>Investments Govt Securities</v>
          </cell>
        </row>
      </sheetData>
      <sheetData sheetId="11464">
        <row r="34">
          <cell r="A34" t="str">
            <v>Investments Govt Securities</v>
          </cell>
        </row>
      </sheetData>
      <sheetData sheetId="11465"/>
      <sheetData sheetId="11466"/>
      <sheetData sheetId="11467"/>
      <sheetData sheetId="11468"/>
      <sheetData sheetId="11469"/>
      <sheetData sheetId="11470"/>
      <sheetData sheetId="11471"/>
      <sheetData sheetId="11472">
        <row r="34">
          <cell r="A34" t="str">
            <v>Investments Govt Securities</v>
          </cell>
        </row>
      </sheetData>
      <sheetData sheetId="11473"/>
      <sheetData sheetId="11474"/>
      <sheetData sheetId="11475"/>
      <sheetData sheetId="11476"/>
      <sheetData sheetId="11477"/>
      <sheetData sheetId="11478">
        <row r="34">
          <cell r="A34" t="str">
            <v>Investments Govt Securities</v>
          </cell>
        </row>
      </sheetData>
      <sheetData sheetId="11479">
        <row r="34">
          <cell r="A34" t="str">
            <v>Investments Govt Securities</v>
          </cell>
        </row>
      </sheetData>
      <sheetData sheetId="11480"/>
      <sheetData sheetId="1148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sheetData sheetId="11507"/>
      <sheetData sheetId="11508" refreshError="1"/>
      <sheetData sheetId="11509" refreshError="1"/>
      <sheetData sheetId="11510" refreshError="1"/>
      <sheetData sheetId="11511">
        <row r="34">
          <cell r="A34" t="str">
            <v>Investments Govt Securities</v>
          </cell>
        </row>
      </sheetData>
      <sheetData sheetId="11512">
        <row r="34">
          <cell r="A34" t="str">
            <v>Investments Govt Securities</v>
          </cell>
        </row>
      </sheetData>
      <sheetData sheetId="11513">
        <row r="34">
          <cell r="A34" t="str">
            <v>Investments Govt Securities</v>
          </cell>
        </row>
      </sheetData>
      <sheetData sheetId="11514">
        <row r="34">
          <cell r="A34" t="str">
            <v>Investments Govt Securities</v>
          </cell>
        </row>
      </sheetData>
      <sheetData sheetId="11515">
        <row r="34">
          <cell r="A34" t="str">
            <v>Investments Govt Securities</v>
          </cell>
        </row>
      </sheetData>
      <sheetData sheetId="11516">
        <row r="34">
          <cell r="A34" t="str">
            <v>Investments Govt Securities</v>
          </cell>
        </row>
      </sheetData>
      <sheetData sheetId="11517">
        <row r="34">
          <cell r="A34" t="str">
            <v>Investments Govt Securities</v>
          </cell>
        </row>
      </sheetData>
      <sheetData sheetId="11518">
        <row r="34">
          <cell r="A34" t="str">
            <v>Investments Govt Securities</v>
          </cell>
        </row>
      </sheetData>
      <sheetData sheetId="11519">
        <row r="34">
          <cell r="A34" t="str">
            <v>Investments Govt Securities</v>
          </cell>
        </row>
      </sheetData>
      <sheetData sheetId="11520">
        <row r="34">
          <cell r="A34" t="str">
            <v>Investments Govt Securities</v>
          </cell>
        </row>
      </sheetData>
      <sheetData sheetId="11521">
        <row r="34">
          <cell r="A34" t="str">
            <v>Investments Govt Securities</v>
          </cell>
        </row>
      </sheetData>
      <sheetData sheetId="11522">
        <row r="34">
          <cell r="A34" t="str">
            <v>Investments Govt Securities</v>
          </cell>
        </row>
      </sheetData>
      <sheetData sheetId="11523">
        <row r="34">
          <cell r="A34" t="str">
            <v>Investments Govt Securities</v>
          </cell>
        </row>
      </sheetData>
      <sheetData sheetId="11524">
        <row r="34">
          <cell r="A34" t="str">
            <v>Investments Govt Securities</v>
          </cell>
        </row>
      </sheetData>
      <sheetData sheetId="11525">
        <row r="34">
          <cell r="A34" t="str">
            <v>Investments Govt Securities</v>
          </cell>
        </row>
      </sheetData>
      <sheetData sheetId="11526">
        <row r="34">
          <cell r="A34" t="str">
            <v>Investments Govt Securities</v>
          </cell>
        </row>
      </sheetData>
      <sheetData sheetId="11527">
        <row r="34">
          <cell r="A34" t="str">
            <v>Investments Govt Securities</v>
          </cell>
        </row>
      </sheetData>
      <sheetData sheetId="11528">
        <row r="34">
          <cell r="A34" t="str">
            <v>Investments Govt Securities</v>
          </cell>
        </row>
      </sheetData>
      <sheetData sheetId="11529">
        <row r="34">
          <cell r="A34" t="str">
            <v>Investments Govt Securities</v>
          </cell>
        </row>
      </sheetData>
      <sheetData sheetId="11530">
        <row r="34">
          <cell r="A34" t="str">
            <v>Investments Govt Securities</v>
          </cell>
        </row>
      </sheetData>
      <sheetData sheetId="11531">
        <row r="34">
          <cell r="A34" t="str">
            <v>Investments Govt Securities</v>
          </cell>
        </row>
      </sheetData>
      <sheetData sheetId="11532">
        <row r="34">
          <cell r="A34" t="str">
            <v>Investments Govt Securities</v>
          </cell>
        </row>
      </sheetData>
      <sheetData sheetId="11533">
        <row r="34">
          <cell r="A34" t="str">
            <v>Investments Govt Securities</v>
          </cell>
        </row>
      </sheetData>
      <sheetData sheetId="11534">
        <row r="34">
          <cell r="A34" t="str">
            <v>Investments Govt Securities</v>
          </cell>
        </row>
      </sheetData>
      <sheetData sheetId="11535">
        <row r="34">
          <cell r="A34" t="str">
            <v>Investments Govt Securities</v>
          </cell>
        </row>
      </sheetData>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refreshError="1"/>
      <sheetData sheetId="11612" refreshError="1"/>
      <sheetData sheetId="11613" refreshError="1"/>
      <sheetData sheetId="11614" refreshError="1"/>
      <sheetData sheetId="11615" refreshError="1"/>
      <sheetData sheetId="11616" refreshError="1"/>
      <sheetData sheetId="11617" refreshError="1"/>
      <sheetData sheetId="11618" refreshError="1"/>
      <sheetData sheetId="11619" refreshError="1"/>
      <sheetData sheetId="11620" refreshError="1"/>
      <sheetData sheetId="11621" refreshError="1"/>
      <sheetData sheetId="11622" refreshError="1"/>
      <sheetData sheetId="11623" refreshError="1"/>
      <sheetData sheetId="11624" refreshError="1"/>
      <sheetData sheetId="11625" refreshError="1"/>
      <sheetData sheetId="11626" refreshError="1"/>
      <sheetData sheetId="11627" refreshError="1"/>
      <sheetData sheetId="11628" refreshError="1"/>
      <sheetData sheetId="11629" refreshError="1"/>
      <sheetData sheetId="11630" refreshError="1"/>
      <sheetData sheetId="11631" refreshError="1"/>
      <sheetData sheetId="11632" refreshError="1"/>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sheetData sheetId="11671"/>
      <sheetData sheetId="11672"/>
      <sheetData sheetId="11673">
        <row r="34">
          <cell r="A34" t="str">
            <v>Investments Govt Securities</v>
          </cell>
        </row>
      </sheetData>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ow r="34">
          <cell r="A34" t="str">
            <v>Investments Govt Securities</v>
          </cell>
        </row>
      </sheetData>
      <sheetData sheetId="11682">
        <row r="34">
          <cell r="A34" t="str">
            <v>Investments Govt Securities</v>
          </cell>
        </row>
      </sheetData>
      <sheetData sheetId="11683">
        <row r="34">
          <cell r="A34" t="str">
            <v>Investments Govt Securities</v>
          </cell>
        </row>
      </sheetData>
      <sheetData sheetId="11684" refreshError="1"/>
      <sheetData sheetId="11685" refreshError="1"/>
      <sheetData sheetId="11686">
        <row r="34">
          <cell r="A34" t="str">
            <v>Investments Govt Securities</v>
          </cell>
        </row>
      </sheetData>
      <sheetData sheetId="11687" refreshError="1"/>
      <sheetData sheetId="11688" refreshError="1"/>
      <sheetData sheetId="11689" refreshError="1"/>
      <sheetData sheetId="11690">
        <row r="34">
          <cell r="A34" t="str">
            <v>Investments Govt Securities</v>
          </cell>
        </row>
      </sheetData>
      <sheetData sheetId="11691">
        <row r="34">
          <cell r="A34" t="str">
            <v>Investments Govt Securities</v>
          </cell>
        </row>
      </sheetData>
      <sheetData sheetId="11692">
        <row r="34">
          <cell r="A34" t="str">
            <v>Investments Govt Securities</v>
          </cell>
        </row>
      </sheetData>
      <sheetData sheetId="11693">
        <row r="34">
          <cell r="A34" t="str">
            <v>Investments Govt Securities</v>
          </cell>
        </row>
      </sheetData>
      <sheetData sheetId="11694">
        <row r="34">
          <cell r="A34" t="str">
            <v>Investments Govt Securities</v>
          </cell>
        </row>
      </sheetData>
      <sheetData sheetId="11695">
        <row r="34">
          <cell r="A34" t="str">
            <v>Investments Govt Securities</v>
          </cell>
        </row>
      </sheetData>
      <sheetData sheetId="11696">
        <row r="34">
          <cell r="A34" t="str">
            <v>Investments Govt Securities</v>
          </cell>
        </row>
      </sheetData>
      <sheetData sheetId="11697">
        <row r="34">
          <cell r="A34" t="str">
            <v>Investments Govt Securities</v>
          </cell>
        </row>
      </sheetData>
      <sheetData sheetId="11698">
        <row r="34">
          <cell r="A34" t="str">
            <v>Investments Govt Securities</v>
          </cell>
        </row>
      </sheetData>
      <sheetData sheetId="11699">
        <row r="34">
          <cell r="A34" t="str">
            <v>Investments Govt Securities</v>
          </cell>
        </row>
      </sheetData>
      <sheetData sheetId="11700">
        <row r="34">
          <cell r="A34" t="str">
            <v>Investments Govt Securities</v>
          </cell>
        </row>
      </sheetData>
      <sheetData sheetId="11701">
        <row r="34">
          <cell r="A34" t="str">
            <v>Investments Govt Securities</v>
          </cell>
        </row>
      </sheetData>
      <sheetData sheetId="11702">
        <row r="34">
          <cell r="A34" t="str">
            <v>Investments Govt Securities</v>
          </cell>
        </row>
      </sheetData>
      <sheetData sheetId="11703">
        <row r="34">
          <cell r="A34" t="str">
            <v>Investments Govt Securities</v>
          </cell>
        </row>
      </sheetData>
      <sheetData sheetId="11704">
        <row r="34">
          <cell r="A34" t="str">
            <v>Investments Govt Securities</v>
          </cell>
        </row>
      </sheetData>
      <sheetData sheetId="11705">
        <row r="34">
          <cell r="A34" t="str">
            <v>Investments Govt Securities</v>
          </cell>
        </row>
      </sheetData>
      <sheetData sheetId="11706">
        <row r="34">
          <cell r="A34" t="str">
            <v>Investments Govt Securities</v>
          </cell>
        </row>
      </sheetData>
      <sheetData sheetId="11707">
        <row r="34">
          <cell r="A34" t="str">
            <v>Investments Govt Securities</v>
          </cell>
        </row>
      </sheetData>
      <sheetData sheetId="11708">
        <row r="34">
          <cell r="A34" t="str">
            <v>Investments Govt Securities</v>
          </cell>
        </row>
      </sheetData>
      <sheetData sheetId="11709">
        <row r="34">
          <cell r="A34" t="str">
            <v>Investments Govt Securities</v>
          </cell>
        </row>
      </sheetData>
      <sheetData sheetId="11710">
        <row r="34">
          <cell r="A34" t="str">
            <v>Investments Govt Securities</v>
          </cell>
        </row>
      </sheetData>
      <sheetData sheetId="11711">
        <row r="34">
          <cell r="A34" t="str">
            <v>Investments Govt Securities</v>
          </cell>
        </row>
      </sheetData>
      <sheetData sheetId="11712">
        <row r="34">
          <cell r="A34" t="str">
            <v>Investments Govt Securities</v>
          </cell>
        </row>
      </sheetData>
      <sheetData sheetId="11713">
        <row r="34">
          <cell r="A34" t="str">
            <v>Investments Govt Securities</v>
          </cell>
        </row>
      </sheetData>
      <sheetData sheetId="11714">
        <row r="34">
          <cell r="A34" t="str">
            <v>Investments Govt Securities</v>
          </cell>
        </row>
      </sheetData>
      <sheetData sheetId="11715">
        <row r="34">
          <cell r="A34" t="str">
            <v>Investments Govt Securities</v>
          </cell>
        </row>
      </sheetData>
      <sheetData sheetId="11716">
        <row r="34">
          <cell r="A34" t="str">
            <v>Investments Govt Securities</v>
          </cell>
        </row>
      </sheetData>
      <sheetData sheetId="11717">
        <row r="34">
          <cell r="A34" t="str">
            <v>Investments Govt Securities</v>
          </cell>
        </row>
      </sheetData>
      <sheetData sheetId="11718">
        <row r="34">
          <cell r="A34" t="str">
            <v>Investments Govt Securities</v>
          </cell>
        </row>
      </sheetData>
      <sheetData sheetId="11719">
        <row r="34">
          <cell r="A34" t="str">
            <v>Investments Govt Securities</v>
          </cell>
        </row>
      </sheetData>
      <sheetData sheetId="11720">
        <row r="34">
          <cell r="A34" t="str">
            <v>Investments Govt Securities</v>
          </cell>
        </row>
      </sheetData>
      <sheetData sheetId="11721">
        <row r="34">
          <cell r="A34" t="str">
            <v>Investments Govt Securities</v>
          </cell>
        </row>
      </sheetData>
      <sheetData sheetId="11722">
        <row r="34">
          <cell r="A34" t="str">
            <v>Investments Govt Securities</v>
          </cell>
        </row>
      </sheetData>
      <sheetData sheetId="11723">
        <row r="34">
          <cell r="A34" t="str">
            <v>Investments Govt Securities</v>
          </cell>
        </row>
      </sheetData>
      <sheetData sheetId="11724">
        <row r="34">
          <cell r="A34" t="str">
            <v>Investments Govt Securities</v>
          </cell>
        </row>
      </sheetData>
      <sheetData sheetId="11725">
        <row r="34">
          <cell r="A34" t="str">
            <v>Investments Govt Securities</v>
          </cell>
        </row>
      </sheetData>
      <sheetData sheetId="11726">
        <row r="34">
          <cell r="A34" t="str">
            <v>Investments Govt Securities</v>
          </cell>
        </row>
      </sheetData>
      <sheetData sheetId="11727">
        <row r="34">
          <cell r="A34" t="str">
            <v>Investments Govt Securities</v>
          </cell>
        </row>
      </sheetData>
      <sheetData sheetId="11728">
        <row r="34">
          <cell r="A34" t="str">
            <v>Investments Govt Securities</v>
          </cell>
        </row>
      </sheetData>
      <sheetData sheetId="11729">
        <row r="34">
          <cell r="A34" t="str">
            <v>Investments Govt Securities</v>
          </cell>
        </row>
      </sheetData>
      <sheetData sheetId="11730">
        <row r="34">
          <cell r="A34" t="str">
            <v>Investments Govt Securities</v>
          </cell>
        </row>
      </sheetData>
      <sheetData sheetId="11731">
        <row r="34">
          <cell r="A34" t="str">
            <v>Investments Govt Securities</v>
          </cell>
        </row>
      </sheetData>
      <sheetData sheetId="11732">
        <row r="34">
          <cell r="A34" t="str">
            <v>Investments Govt Securities</v>
          </cell>
        </row>
      </sheetData>
      <sheetData sheetId="11733">
        <row r="34">
          <cell r="A34" t="str">
            <v>Investments Govt Securities</v>
          </cell>
        </row>
      </sheetData>
      <sheetData sheetId="11734">
        <row r="34">
          <cell r="A34" t="str">
            <v>Investments Govt Securities</v>
          </cell>
        </row>
      </sheetData>
      <sheetData sheetId="11735">
        <row r="34">
          <cell r="A34" t="str">
            <v>Investments Govt Securities</v>
          </cell>
        </row>
      </sheetData>
      <sheetData sheetId="11736">
        <row r="34">
          <cell r="A34" t="str">
            <v>Investments Govt Securities</v>
          </cell>
        </row>
      </sheetData>
      <sheetData sheetId="11737">
        <row r="34">
          <cell r="A34" t="str">
            <v>Investments Govt Securities</v>
          </cell>
        </row>
      </sheetData>
      <sheetData sheetId="11738">
        <row r="34">
          <cell r="A34" t="str">
            <v>Investments Govt Securities</v>
          </cell>
        </row>
      </sheetData>
      <sheetData sheetId="11739">
        <row r="34">
          <cell r="A34" t="str">
            <v>Investments Govt Securities</v>
          </cell>
        </row>
      </sheetData>
      <sheetData sheetId="11740">
        <row r="34">
          <cell r="A34" t="str">
            <v>Investments Govt Securities</v>
          </cell>
        </row>
      </sheetData>
      <sheetData sheetId="11741">
        <row r="34">
          <cell r="A34" t="str">
            <v>Investments Govt Securities</v>
          </cell>
        </row>
      </sheetData>
      <sheetData sheetId="11742">
        <row r="34">
          <cell r="A34" t="str">
            <v>Investments Govt Securities</v>
          </cell>
        </row>
      </sheetData>
      <sheetData sheetId="11743"/>
      <sheetData sheetId="11744"/>
      <sheetData sheetId="11745">
        <row r="34">
          <cell r="A34" t="str">
            <v>Investments Govt Securities</v>
          </cell>
        </row>
      </sheetData>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row r="34">
          <cell r="A34" t="str">
            <v>Investments Govt Securities</v>
          </cell>
        </row>
      </sheetData>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row r="34">
          <cell r="A34" t="str">
            <v>Investments Govt Securities</v>
          </cell>
        </row>
      </sheetData>
      <sheetData sheetId="11862">
        <row r="34">
          <cell r="A34" t="str">
            <v>Investments Govt Securities</v>
          </cell>
        </row>
      </sheetData>
      <sheetData sheetId="11863">
        <row r="34">
          <cell r="A34" t="str">
            <v>Investments Govt Securities</v>
          </cell>
        </row>
      </sheetData>
      <sheetData sheetId="11864"/>
      <sheetData sheetId="11865"/>
      <sheetData sheetId="11866"/>
      <sheetData sheetId="11867"/>
      <sheetData sheetId="11868">
        <row r="34">
          <cell r="A34" t="str">
            <v>Investments Govt Securities</v>
          </cell>
        </row>
      </sheetData>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row r="34">
          <cell r="A34" t="str">
            <v>Investments Govt Securities</v>
          </cell>
        </row>
      </sheetData>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row r="34">
          <cell r="A34" t="str">
            <v>Investments Govt Securities</v>
          </cell>
        </row>
      </sheetData>
      <sheetData sheetId="11937">
        <row r="34">
          <cell r="A34" t="str">
            <v>Investments Govt Securities</v>
          </cell>
        </row>
      </sheetData>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row r="34">
          <cell r="A34" t="str">
            <v>Investments Govt Securities</v>
          </cell>
        </row>
      </sheetData>
      <sheetData sheetId="11952">
        <row r="34">
          <cell r="A34" t="str">
            <v>Investments Govt Securities</v>
          </cell>
        </row>
      </sheetData>
      <sheetData sheetId="11953"/>
      <sheetData sheetId="11954"/>
      <sheetData sheetId="11955"/>
      <sheetData sheetId="11956"/>
      <sheetData sheetId="11957"/>
      <sheetData sheetId="11958"/>
      <sheetData sheetId="11959"/>
      <sheetData sheetId="11960">
        <row r="34">
          <cell r="A34" t="str">
            <v>Investments Govt Securities</v>
          </cell>
        </row>
      </sheetData>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row r="34">
          <cell r="A34" t="str">
            <v>Investments Govt Securities</v>
          </cell>
        </row>
      </sheetData>
      <sheetData sheetId="11989"/>
      <sheetData sheetId="11990"/>
      <sheetData sheetId="11991"/>
      <sheetData sheetId="11992"/>
      <sheetData sheetId="11993"/>
      <sheetData sheetId="11994"/>
      <sheetData sheetId="11995"/>
      <sheetData sheetId="11996">
        <row r="34">
          <cell r="A34" t="str">
            <v>Investments Govt Securities</v>
          </cell>
        </row>
      </sheetData>
      <sheetData sheetId="11997">
        <row r="34">
          <cell r="A34" t="str">
            <v>Investments Govt Securities</v>
          </cell>
        </row>
      </sheetData>
      <sheetData sheetId="11998"/>
      <sheetData sheetId="11999"/>
      <sheetData sheetId="12000"/>
      <sheetData sheetId="12001"/>
      <sheetData sheetId="12002"/>
      <sheetData sheetId="12003">
        <row r="34">
          <cell r="A34" t="str">
            <v>Investments Govt Securities</v>
          </cell>
        </row>
      </sheetData>
      <sheetData sheetId="12004">
        <row r="34">
          <cell r="A34" t="str">
            <v>Investments Govt Securities</v>
          </cell>
        </row>
      </sheetData>
      <sheetData sheetId="12005">
        <row r="34">
          <cell r="A34" t="str">
            <v>Investments Govt Securities</v>
          </cell>
        </row>
      </sheetData>
      <sheetData sheetId="12006"/>
      <sheetData sheetId="12007"/>
      <sheetData sheetId="12008"/>
      <sheetData sheetId="12009"/>
      <sheetData sheetId="12010">
        <row r="34">
          <cell r="A34" t="str">
            <v>Investments Govt Securities</v>
          </cell>
        </row>
      </sheetData>
      <sheetData sheetId="12011"/>
      <sheetData sheetId="12012"/>
      <sheetData sheetId="12013"/>
      <sheetData sheetId="12014"/>
      <sheetData sheetId="12015"/>
      <sheetData sheetId="12016"/>
      <sheetData sheetId="12017"/>
      <sheetData sheetId="12018"/>
      <sheetData sheetId="12019"/>
      <sheetData sheetId="12020">
        <row r="34">
          <cell r="A34" t="str">
            <v>Investments Govt Securities</v>
          </cell>
        </row>
      </sheetData>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row r="34">
          <cell r="A34" t="str">
            <v>Investments Govt Securities</v>
          </cell>
        </row>
      </sheetData>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row r="34">
          <cell r="A34" t="str">
            <v>Investments Govt Securities</v>
          </cell>
        </row>
      </sheetData>
      <sheetData sheetId="12069">
        <row r="34">
          <cell r="A34" t="str">
            <v>Investments Govt Securities</v>
          </cell>
        </row>
      </sheetData>
      <sheetData sheetId="12070">
        <row r="34">
          <cell r="A34" t="str">
            <v>Investments Govt Securities</v>
          </cell>
        </row>
      </sheetData>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row r="34">
          <cell r="A34" t="str">
            <v>Investments Govt Securities</v>
          </cell>
        </row>
      </sheetData>
      <sheetData sheetId="12084">
        <row r="34">
          <cell r="A34" t="str">
            <v>Investments Govt Securities</v>
          </cell>
        </row>
      </sheetData>
      <sheetData sheetId="12085">
        <row r="34">
          <cell r="A34" t="str">
            <v>Investments Govt Securities</v>
          </cell>
        </row>
      </sheetData>
      <sheetData sheetId="12086">
        <row r="34">
          <cell r="A34" t="str">
            <v>Investments Govt Securities</v>
          </cell>
        </row>
      </sheetData>
      <sheetData sheetId="12087">
        <row r="34">
          <cell r="A34" t="str">
            <v>Investments Govt Securities</v>
          </cell>
        </row>
      </sheetData>
      <sheetData sheetId="12088">
        <row r="34">
          <cell r="A34" t="str">
            <v>Investments Govt Securities</v>
          </cell>
        </row>
      </sheetData>
      <sheetData sheetId="12089">
        <row r="34">
          <cell r="A34" t="str">
            <v>Investments Govt Securities</v>
          </cell>
        </row>
      </sheetData>
      <sheetData sheetId="12090">
        <row r="34">
          <cell r="A34" t="str">
            <v>Investments Govt Securities</v>
          </cell>
        </row>
      </sheetData>
      <sheetData sheetId="12091">
        <row r="34">
          <cell r="A34" t="str">
            <v>Investments Govt Securities</v>
          </cell>
        </row>
      </sheetData>
      <sheetData sheetId="12092">
        <row r="34">
          <cell r="A34" t="str">
            <v>Investments Govt Securities</v>
          </cell>
        </row>
      </sheetData>
      <sheetData sheetId="12093">
        <row r="34">
          <cell r="A34" t="str">
            <v>Investments Govt Securities</v>
          </cell>
        </row>
      </sheetData>
      <sheetData sheetId="12094">
        <row r="34">
          <cell r="A34" t="str">
            <v>Investments Govt Securities</v>
          </cell>
        </row>
      </sheetData>
      <sheetData sheetId="12095">
        <row r="34">
          <cell r="A34" t="str">
            <v>Investments Govt Securities</v>
          </cell>
        </row>
      </sheetData>
      <sheetData sheetId="12096">
        <row r="34">
          <cell r="A34" t="str">
            <v>Investments Govt Securities</v>
          </cell>
        </row>
      </sheetData>
      <sheetData sheetId="12097">
        <row r="34">
          <cell r="A34" t="str">
            <v>Investments Govt Securities</v>
          </cell>
        </row>
      </sheetData>
      <sheetData sheetId="12098">
        <row r="34">
          <cell r="A34" t="str">
            <v>Investments Govt Securities</v>
          </cell>
        </row>
      </sheetData>
      <sheetData sheetId="12099">
        <row r="34">
          <cell r="A34" t="str">
            <v>Investments Govt Securities</v>
          </cell>
        </row>
      </sheetData>
      <sheetData sheetId="12100">
        <row r="34">
          <cell r="A34" t="str">
            <v>Investments Govt Securities</v>
          </cell>
        </row>
      </sheetData>
      <sheetData sheetId="12101">
        <row r="34">
          <cell r="A34" t="str">
            <v>Investments Govt Securities</v>
          </cell>
        </row>
      </sheetData>
      <sheetData sheetId="12102">
        <row r="34">
          <cell r="A34" t="str">
            <v>Investments Govt Securities</v>
          </cell>
        </row>
      </sheetData>
      <sheetData sheetId="12103">
        <row r="34">
          <cell r="A34" t="str">
            <v>Investments Govt Securities</v>
          </cell>
        </row>
      </sheetData>
      <sheetData sheetId="12104">
        <row r="34">
          <cell r="A34" t="str">
            <v>Investments Govt Securities</v>
          </cell>
        </row>
      </sheetData>
      <sheetData sheetId="12105">
        <row r="34">
          <cell r="A34" t="str">
            <v>Investments Govt Securities</v>
          </cell>
        </row>
      </sheetData>
      <sheetData sheetId="12106">
        <row r="34">
          <cell r="A34" t="str">
            <v>Investments Govt Securities</v>
          </cell>
        </row>
      </sheetData>
      <sheetData sheetId="12107">
        <row r="34">
          <cell r="A34" t="str">
            <v>Investments Govt Securities</v>
          </cell>
        </row>
      </sheetData>
      <sheetData sheetId="12108">
        <row r="34">
          <cell r="A34" t="str">
            <v>Investments Govt Securities</v>
          </cell>
        </row>
      </sheetData>
      <sheetData sheetId="12109">
        <row r="34">
          <cell r="A34" t="str">
            <v>Investments Govt Securities</v>
          </cell>
        </row>
      </sheetData>
      <sheetData sheetId="12110">
        <row r="34">
          <cell r="A34" t="str">
            <v>Investments Govt Securities</v>
          </cell>
        </row>
      </sheetData>
      <sheetData sheetId="12111">
        <row r="34">
          <cell r="A34" t="str">
            <v>Investments Govt Securities</v>
          </cell>
        </row>
      </sheetData>
      <sheetData sheetId="12112">
        <row r="34">
          <cell r="A34" t="str">
            <v>Investments Govt Securities</v>
          </cell>
        </row>
      </sheetData>
      <sheetData sheetId="12113">
        <row r="34">
          <cell r="A34" t="str">
            <v>Investments Govt Securities</v>
          </cell>
        </row>
      </sheetData>
      <sheetData sheetId="12114">
        <row r="34">
          <cell r="A34" t="str">
            <v>Investments Govt Securities</v>
          </cell>
        </row>
      </sheetData>
      <sheetData sheetId="12115">
        <row r="34">
          <cell r="A34" t="str">
            <v>Investments Govt Securities</v>
          </cell>
        </row>
      </sheetData>
      <sheetData sheetId="12116">
        <row r="34">
          <cell r="A34" t="str">
            <v>Investments Govt Securities</v>
          </cell>
        </row>
      </sheetData>
      <sheetData sheetId="12117">
        <row r="34">
          <cell r="A34" t="str">
            <v>Investments Govt Securities</v>
          </cell>
        </row>
      </sheetData>
      <sheetData sheetId="12118">
        <row r="34">
          <cell r="A34" t="str">
            <v>Investments Govt Securities</v>
          </cell>
        </row>
      </sheetData>
      <sheetData sheetId="12119">
        <row r="34">
          <cell r="A34" t="str">
            <v>Investments Govt Securities</v>
          </cell>
        </row>
      </sheetData>
      <sheetData sheetId="12120">
        <row r="34">
          <cell r="A34" t="str">
            <v>Investments Govt Securities</v>
          </cell>
        </row>
      </sheetData>
      <sheetData sheetId="12121">
        <row r="34">
          <cell r="A34" t="str">
            <v>Investments Govt Securities</v>
          </cell>
        </row>
      </sheetData>
      <sheetData sheetId="12122">
        <row r="34">
          <cell r="A34" t="str">
            <v>Investments Govt Securities</v>
          </cell>
        </row>
      </sheetData>
      <sheetData sheetId="12123">
        <row r="34">
          <cell r="A34" t="str">
            <v>Investments Govt Securities</v>
          </cell>
        </row>
      </sheetData>
      <sheetData sheetId="12124">
        <row r="34">
          <cell r="A34" t="str">
            <v>Investments Govt Securities</v>
          </cell>
        </row>
      </sheetData>
      <sheetData sheetId="12125">
        <row r="34">
          <cell r="A34" t="str">
            <v>Investments Govt Securities</v>
          </cell>
        </row>
      </sheetData>
      <sheetData sheetId="12126">
        <row r="34">
          <cell r="A34" t="str">
            <v>Investments Govt Securities</v>
          </cell>
        </row>
      </sheetData>
      <sheetData sheetId="12127">
        <row r="34">
          <cell r="A34" t="str">
            <v>Investments Govt Securities</v>
          </cell>
        </row>
      </sheetData>
      <sheetData sheetId="12128">
        <row r="34">
          <cell r="A34" t="str">
            <v>Investments Govt Securities</v>
          </cell>
        </row>
      </sheetData>
      <sheetData sheetId="12129">
        <row r="34">
          <cell r="A34" t="str">
            <v>Investments Govt Securities</v>
          </cell>
        </row>
      </sheetData>
      <sheetData sheetId="12130">
        <row r="34">
          <cell r="A34" t="str">
            <v>Investments Govt Securities</v>
          </cell>
        </row>
      </sheetData>
      <sheetData sheetId="12131">
        <row r="34">
          <cell r="A34" t="str">
            <v>Investments Govt Securities</v>
          </cell>
        </row>
      </sheetData>
      <sheetData sheetId="12132">
        <row r="34">
          <cell r="A34" t="str">
            <v>Investments Govt Securities</v>
          </cell>
        </row>
      </sheetData>
      <sheetData sheetId="12133">
        <row r="34">
          <cell r="A34" t="str">
            <v>Investments Govt Securities</v>
          </cell>
        </row>
      </sheetData>
      <sheetData sheetId="12134">
        <row r="34">
          <cell r="A34" t="str">
            <v>Investments Govt Securities</v>
          </cell>
        </row>
      </sheetData>
      <sheetData sheetId="12135"/>
      <sheetData sheetId="12136"/>
      <sheetData sheetId="12137">
        <row r="34">
          <cell r="A34" t="str">
            <v>Investments Govt Securities</v>
          </cell>
        </row>
      </sheetData>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row r="34">
          <cell r="A34" t="str">
            <v>Investments Govt Securities</v>
          </cell>
        </row>
      </sheetData>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row r="34">
          <cell r="A34" t="str">
            <v>Investments Govt Securities</v>
          </cell>
        </row>
      </sheetData>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row r="34">
          <cell r="A34" t="str">
            <v>Investments Govt Securities</v>
          </cell>
        </row>
      </sheetData>
      <sheetData sheetId="12252">
        <row r="34">
          <cell r="A34" t="str">
            <v>Investments Govt Securities</v>
          </cell>
        </row>
      </sheetData>
      <sheetData sheetId="12253">
        <row r="34">
          <cell r="A34" t="str">
            <v>Investments Govt Securities</v>
          </cell>
        </row>
      </sheetData>
      <sheetData sheetId="12254"/>
      <sheetData sheetId="12255"/>
      <sheetData sheetId="12256"/>
      <sheetData sheetId="12257"/>
      <sheetData sheetId="12258">
        <row r="34">
          <cell r="A34" t="str">
            <v>Investments Govt Securities</v>
          </cell>
        </row>
      </sheetData>
      <sheetData sheetId="12259"/>
      <sheetData sheetId="12260">
        <row r="34">
          <cell r="A34" t="str">
            <v>Investments Govt Securities</v>
          </cell>
        </row>
      </sheetData>
      <sheetData sheetId="12261">
        <row r="34">
          <cell r="A34" t="str">
            <v>Investments Govt Securities</v>
          </cell>
        </row>
      </sheetData>
      <sheetData sheetId="12262">
        <row r="34">
          <cell r="A34" t="str">
            <v>Investments Govt Securities</v>
          </cell>
        </row>
      </sheetData>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row r="34">
          <cell r="A34" t="str">
            <v>Investments Govt Securities</v>
          </cell>
        </row>
      </sheetData>
      <sheetData sheetId="12300"/>
      <sheetData sheetId="12301"/>
      <sheetData sheetId="12302"/>
      <sheetData sheetId="12303">
        <row r="34">
          <cell r="A34" t="str">
            <v>Investments Govt Securities</v>
          </cell>
        </row>
      </sheetData>
      <sheetData sheetId="12304"/>
      <sheetData sheetId="12305"/>
      <sheetData sheetId="12306"/>
      <sheetData sheetId="12307"/>
      <sheetData sheetId="12308">
        <row r="34">
          <cell r="A34" t="str">
            <v>Investments Govt Securities</v>
          </cell>
        </row>
      </sheetData>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row r="34">
          <cell r="A34" t="str">
            <v>Investments Govt Securities</v>
          </cell>
        </row>
      </sheetData>
      <sheetData sheetId="12325">
        <row r="34">
          <cell r="A34" t="str">
            <v>Investments Govt Securities</v>
          </cell>
        </row>
      </sheetData>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row r="34">
          <cell r="A34" t="str">
            <v>Investments Govt Securities</v>
          </cell>
        </row>
      </sheetData>
      <sheetData sheetId="12340">
        <row r="34">
          <cell r="A34" t="str">
            <v>Investments Govt Securities</v>
          </cell>
        </row>
      </sheetData>
      <sheetData sheetId="12341"/>
      <sheetData sheetId="12342"/>
      <sheetData sheetId="12343"/>
      <sheetData sheetId="12344"/>
      <sheetData sheetId="12345"/>
      <sheetData sheetId="12346"/>
      <sheetData sheetId="12347"/>
      <sheetData sheetId="12348">
        <row r="34">
          <cell r="A34" t="str">
            <v>Investments Govt Securities</v>
          </cell>
        </row>
      </sheetData>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row r="34">
          <cell r="A34" t="str">
            <v>Investments Govt Securities</v>
          </cell>
        </row>
      </sheetData>
      <sheetData sheetId="12365">
        <row r="34">
          <cell r="A34" t="str">
            <v>Investments Govt Securities</v>
          </cell>
        </row>
      </sheetData>
      <sheetData sheetId="12366">
        <row r="34">
          <cell r="A34" t="str">
            <v>Investments Govt Securities</v>
          </cell>
        </row>
      </sheetData>
      <sheetData sheetId="12367">
        <row r="34">
          <cell r="A34" t="str">
            <v>Investments Govt Securities</v>
          </cell>
        </row>
      </sheetData>
      <sheetData sheetId="12368"/>
      <sheetData sheetId="12369"/>
      <sheetData sheetId="12370"/>
      <sheetData sheetId="12371"/>
      <sheetData sheetId="12372"/>
      <sheetData sheetId="12373"/>
      <sheetData sheetId="12374"/>
      <sheetData sheetId="12375"/>
      <sheetData sheetId="12376">
        <row r="34">
          <cell r="A34" t="str">
            <v>Investments Govt Securities</v>
          </cell>
        </row>
      </sheetData>
      <sheetData sheetId="12377"/>
      <sheetData sheetId="12378"/>
      <sheetData sheetId="12379"/>
      <sheetData sheetId="12380"/>
      <sheetData sheetId="12381"/>
      <sheetData sheetId="12382"/>
      <sheetData sheetId="12383"/>
      <sheetData sheetId="12384">
        <row r="34">
          <cell r="A34" t="str">
            <v>Investments Govt Securities</v>
          </cell>
        </row>
      </sheetData>
      <sheetData sheetId="12385">
        <row r="34">
          <cell r="A34" t="str">
            <v>Investments Govt Securities</v>
          </cell>
        </row>
      </sheetData>
      <sheetData sheetId="12386"/>
      <sheetData sheetId="12387"/>
      <sheetData sheetId="12388"/>
      <sheetData sheetId="12389"/>
      <sheetData sheetId="12390"/>
      <sheetData sheetId="12391">
        <row r="34">
          <cell r="A34" t="str">
            <v>Investments Govt Securities</v>
          </cell>
        </row>
      </sheetData>
      <sheetData sheetId="12392">
        <row r="34">
          <cell r="A34" t="str">
            <v>Investments Govt Securities</v>
          </cell>
        </row>
      </sheetData>
      <sheetData sheetId="12393">
        <row r="34">
          <cell r="A34" t="str">
            <v>Investments Govt Securities</v>
          </cell>
        </row>
      </sheetData>
      <sheetData sheetId="12394"/>
      <sheetData sheetId="12395"/>
      <sheetData sheetId="12396"/>
      <sheetData sheetId="12397"/>
      <sheetData sheetId="12398">
        <row r="34">
          <cell r="A34" t="str">
            <v>Investments Govt Securities</v>
          </cell>
        </row>
      </sheetData>
      <sheetData sheetId="12399"/>
      <sheetData sheetId="12400"/>
      <sheetData sheetId="12401"/>
      <sheetData sheetId="12402"/>
      <sheetData sheetId="12403"/>
      <sheetData sheetId="12404"/>
      <sheetData sheetId="12405"/>
      <sheetData sheetId="12406"/>
      <sheetData sheetId="12407"/>
      <sheetData sheetId="12408">
        <row r="34">
          <cell r="A34" t="str">
            <v>Investments Govt Securities</v>
          </cell>
        </row>
      </sheetData>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row r="34">
          <cell r="A34" t="str">
            <v>Investments Govt Securities</v>
          </cell>
        </row>
      </sheetData>
      <sheetData sheetId="12426">
        <row r="34">
          <cell r="A34" t="str">
            <v>Investments Govt Securities</v>
          </cell>
        </row>
      </sheetData>
      <sheetData sheetId="12427"/>
      <sheetData sheetId="12428">
        <row r="34">
          <cell r="A34" t="str">
            <v>Investments Govt Securities</v>
          </cell>
        </row>
      </sheetData>
      <sheetData sheetId="12429">
        <row r="34">
          <cell r="A34" t="str">
            <v>Investments Govt Securities</v>
          </cell>
        </row>
      </sheetData>
      <sheetData sheetId="12430">
        <row r="34">
          <cell r="A34" t="str">
            <v>Investments Govt Securities</v>
          </cell>
        </row>
      </sheetData>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row r="34">
          <cell r="A34" t="str">
            <v>Investments Govt Securities</v>
          </cell>
        </row>
      </sheetData>
      <sheetData sheetId="12450">
        <row r="34">
          <cell r="A34" t="str">
            <v>Investments Govt Securities</v>
          </cell>
        </row>
      </sheetData>
      <sheetData sheetId="12451">
        <row r="34">
          <cell r="A34" t="str">
            <v>Investments Govt Securities</v>
          </cell>
        </row>
      </sheetData>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row r="34">
          <cell r="A34" t="str">
            <v>Investments Govt Securities</v>
          </cell>
        </row>
      </sheetData>
      <sheetData sheetId="12465">
        <row r="34">
          <cell r="A34" t="str">
            <v>Investments Govt Securities</v>
          </cell>
        </row>
      </sheetData>
      <sheetData sheetId="12466">
        <row r="34">
          <cell r="A34" t="str">
            <v>Investments Govt Securities</v>
          </cell>
        </row>
      </sheetData>
      <sheetData sheetId="12467">
        <row r="34">
          <cell r="A34" t="str">
            <v>Investments Govt Securities</v>
          </cell>
        </row>
      </sheetData>
      <sheetData sheetId="12468">
        <row r="34">
          <cell r="A34" t="str">
            <v>Investments Govt Securities</v>
          </cell>
        </row>
      </sheetData>
      <sheetData sheetId="12469">
        <row r="34">
          <cell r="A34" t="str">
            <v>Investments Govt Securities</v>
          </cell>
        </row>
      </sheetData>
      <sheetData sheetId="12470">
        <row r="34">
          <cell r="A34" t="str">
            <v>Investments Govt Securities</v>
          </cell>
        </row>
      </sheetData>
      <sheetData sheetId="12471">
        <row r="34">
          <cell r="A34" t="str">
            <v>Investments Govt Securities</v>
          </cell>
        </row>
      </sheetData>
      <sheetData sheetId="12472">
        <row r="34">
          <cell r="A34" t="str">
            <v>Investments Govt Securities</v>
          </cell>
        </row>
      </sheetData>
      <sheetData sheetId="12473">
        <row r="34">
          <cell r="A34" t="str">
            <v>Investments Govt Securities</v>
          </cell>
        </row>
      </sheetData>
      <sheetData sheetId="12474">
        <row r="34">
          <cell r="A34" t="str">
            <v>Investments Govt Securities</v>
          </cell>
        </row>
      </sheetData>
      <sheetData sheetId="12475">
        <row r="34">
          <cell r="A34" t="str">
            <v>Investments Govt Securities</v>
          </cell>
        </row>
      </sheetData>
      <sheetData sheetId="12476">
        <row r="34">
          <cell r="A34" t="str">
            <v>Investments Govt Securities</v>
          </cell>
        </row>
      </sheetData>
      <sheetData sheetId="12477">
        <row r="34">
          <cell r="A34" t="str">
            <v>Investments Govt Securities</v>
          </cell>
        </row>
      </sheetData>
      <sheetData sheetId="12478">
        <row r="34">
          <cell r="A34" t="str">
            <v>Investments Govt Securities</v>
          </cell>
        </row>
      </sheetData>
      <sheetData sheetId="12479">
        <row r="34">
          <cell r="A34" t="str">
            <v>Investments Govt Securities</v>
          </cell>
        </row>
      </sheetData>
      <sheetData sheetId="12480">
        <row r="34">
          <cell r="A34" t="str">
            <v>Investments Govt Securities</v>
          </cell>
        </row>
      </sheetData>
      <sheetData sheetId="12481">
        <row r="34">
          <cell r="A34" t="str">
            <v>Investments Govt Securities</v>
          </cell>
        </row>
      </sheetData>
      <sheetData sheetId="12482">
        <row r="34">
          <cell r="A34" t="str">
            <v>Investments Govt Securities</v>
          </cell>
        </row>
      </sheetData>
      <sheetData sheetId="12483">
        <row r="34">
          <cell r="A34" t="str">
            <v>Investments Govt Securities</v>
          </cell>
        </row>
      </sheetData>
      <sheetData sheetId="12484">
        <row r="34">
          <cell r="A34" t="str">
            <v>Investments Govt Securities</v>
          </cell>
        </row>
      </sheetData>
      <sheetData sheetId="12485">
        <row r="34">
          <cell r="A34" t="str">
            <v>Investments Govt Securities</v>
          </cell>
        </row>
      </sheetData>
      <sheetData sheetId="12486">
        <row r="34">
          <cell r="A34" t="str">
            <v>Investments Govt Securities</v>
          </cell>
        </row>
      </sheetData>
      <sheetData sheetId="12487">
        <row r="34">
          <cell r="A34" t="str">
            <v>Investments Govt Securities</v>
          </cell>
        </row>
      </sheetData>
      <sheetData sheetId="12488">
        <row r="34">
          <cell r="A34" t="str">
            <v>Investments Govt Securities</v>
          </cell>
        </row>
      </sheetData>
      <sheetData sheetId="12489">
        <row r="34">
          <cell r="A34" t="str">
            <v>Investments Govt Securities</v>
          </cell>
        </row>
      </sheetData>
      <sheetData sheetId="12490">
        <row r="34">
          <cell r="A34" t="str">
            <v>Investments Govt Securities</v>
          </cell>
        </row>
      </sheetData>
      <sheetData sheetId="12491">
        <row r="34">
          <cell r="A34" t="str">
            <v>Investments Govt Securities</v>
          </cell>
        </row>
      </sheetData>
      <sheetData sheetId="12492">
        <row r="34">
          <cell r="A34" t="str">
            <v>Investments Govt Securities</v>
          </cell>
        </row>
      </sheetData>
      <sheetData sheetId="12493">
        <row r="34">
          <cell r="A34" t="str">
            <v>Investments Govt Securities</v>
          </cell>
        </row>
      </sheetData>
      <sheetData sheetId="12494">
        <row r="34">
          <cell r="A34" t="str">
            <v>Investments Govt Securities</v>
          </cell>
        </row>
      </sheetData>
      <sheetData sheetId="12495">
        <row r="34">
          <cell r="A34" t="str">
            <v>Investments Govt Securities</v>
          </cell>
        </row>
      </sheetData>
      <sheetData sheetId="12496">
        <row r="34">
          <cell r="A34" t="str">
            <v>Investments Govt Securities</v>
          </cell>
        </row>
      </sheetData>
      <sheetData sheetId="12497">
        <row r="34">
          <cell r="A34" t="str">
            <v>Investments Govt Securities</v>
          </cell>
        </row>
      </sheetData>
      <sheetData sheetId="12498">
        <row r="34">
          <cell r="A34" t="str">
            <v>Investments Govt Securities</v>
          </cell>
        </row>
      </sheetData>
      <sheetData sheetId="12499">
        <row r="34">
          <cell r="A34" t="str">
            <v>Investments Govt Securities</v>
          </cell>
        </row>
      </sheetData>
      <sheetData sheetId="12500">
        <row r="34">
          <cell r="A34" t="str">
            <v>Investments Govt Securities</v>
          </cell>
        </row>
      </sheetData>
      <sheetData sheetId="12501">
        <row r="34">
          <cell r="A34" t="str">
            <v>Investments Govt Securities</v>
          </cell>
        </row>
      </sheetData>
      <sheetData sheetId="12502">
        <row r="34">
          <cell r="A34" t="str">
            <v>Investments Govt Securities</v>
          </cell>
        </row>
      </sheetData>
      <sheetData sheetId="12503">
        <row r="34">
          <cell r="A34" t="str">
            <v>Investments Govt Securities</v>
          </cell>
        </row>
      </sheetData>
      <sheetData sheetId="12504">
        <row r="34">
          <cell r="A34" t="str">
            <v>Investments Govt Securities</v>
          </cell>
        </row>
      </sheetData>
      <sheetData sheetId="12505">
        <row r="34">
          <cell r="A34" t="str">
            <v>Investments Govt Securities</v>
          </cell>
        </row>
      </sheetData>
      <sheetData sheetId="12506">
        <row r="34">
          <cell r="A34" t="str">
            <v>Investments Govt Securities</v>
          </cell>
        </row>
      </sheetData>
      <sheetData sheetId="12507">
        <row r="34">
          <cell r="A34" t="str">
            <v>Investments Govt Securities</v>
          </cell>
        </row>
      </sheetData>
      <sheetData sheetId="12508">
        <row r="34">
          <cell r="A34" t="str">
            <v>Investments Govt Securities</v>
          </cell>
        </row>
      </sheetData>
      <sheetData sheetId="12509">
        <row r="34">
          <cell r="A34" t="str">
            <v>Investments Govt Securities</v>
          </cell>
        </row>
      </sheetData>
      <sheetData sheetId="12510">
        <row r="34">
          <cell r="A34" t="str">
            <v>Investments Govt Securities</v>
          </cell>
        </row>
      </sheetData>
      <sheetData sheetId="12511">
        <row r="34">
          <cell r="A34" t="str">
            <v>Investments Govt Securities</v>
          </cell>
        </row>
      </sheetData>
      <sheetData sheetId="12512">
        <row r="34">
          <cell r="A34" t="str">
            <v>Investments Govt Securities</v>
          </cell>
        </row>
      </sheetData>
      <sheetData sheetId="12513">
        <row r="34">
          <cell r="A34" t="str">
            <v>Investments Govt Securities</v>
          </cell>
        </row>
      </sheetData>
      <sheetData sheetId="12514">
        <row r="34">
          <cell r="A34" t="str">
            <v>Investments Govt Securities</v>
          </cell>
        </row>
      </sheetData>
      <sheetData sheetId="12515">
        <row r="34">
          <cell r="A34" t="str">
            <v>Investments Govt Securities</v>
          </cell>
        </row>
      </sheetData>
      <sheetData sheetId="12516"/>
      <sheetData sheetId="12517"/>
      <sheetData sheetId="12518">
        <row r="34">
          <cell r="A34" t="str">
            <v>Investments Govt Securities</v>
          </cell>
        </row>
      </sheetData>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row r="34">
          <cell r="A34" t="str">
            <v>Investments Govt Securities</v>
          </cell>
        </row>
      </sheetData>
      <sheetData sheetId="12619"/>
      <sheetData sheetId="12620">
        <row r="34">
          <cell r="A34" t="str">
            <v>Investments Govt Securities</v>
          </cell>
        </row>
      </sheetData>
      <sheetData sheetId="12621">
        <row r="34">
          <cell r="A34" t="str">
            <v>Investments Govt Securities</v>
          </cell>
        </row>
      </sheetData>
      <sheetData sheetId="12622">
        <row r="34">
          <cell r="A34" t="str">
            <v>Investments Govt Securities</v>
          </cell>
        </row>
      </sheetData>
      <sheetData sheetId="12623"/>
      <sheetData sheetId="12624"/>
      <sheetData sheetId="12625"/>
      <sheetData sheetId="12626"/>
      <sheetData sheetId="12627"/>
      <sheetData sheetId="12628"/>
      <sheetData sheetId="12629"/>
      <sheetData sheetId="12630"/>
      <sheetData sheetId="12631"/>
      <sheetData sheetId="12632">
        <row r="34">
          <cell r="A34" t="str">
            <v>Investments Govt Securities</v>
          </cell>
        </row>
      </sheetData>
      <sheetData sheetId="12633">
        <row r="34">
          <cell r="A34" t="str">
            <v>Investments Govt Securities</v>
          </cell>
        </row>
      </sheetData>
      <sheetData sheetId="12634">
        <row r="34">
          <cell r="A34" t="str">
            <v>Investments Govt Securities</v>
          </cell>
        </row>
      </sheetData>
      <sheetData sheetId="12635"/>
      <sheetData sheetId="12636"/>
      <sheetData sheetId="12637"/>
      <sheetData sheetId="12638"/>
      <sheetData sheetId="12639">
        <row r="34">
          <cell r="A34" t="str">
            <v>Investments Govt Securities</v>
          </cell>
        </row>
      </sheetData>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row r="34">
          <cell r="A34" t="str">
            <v>Investments Govt Securities</v>
          </cell>
        </row>
      </sheetData>
      <sheetData sheetId="12681">
        <row r="34">
          <cell r="A34" t="str">
            <v>Investments Govt Securities</v>
          </cell>
        </row>
      </sheetData>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row r="34">
          <cell r="A34" t="str">
            <v>Investments Govt Securities</v>
          </cell>
        </row>
      </sheetData>
      <sheetData sheetId="12708">
        <row r="34">
          <cell r="A34" t="str">
            <v>Investments Govt Securities</v>
          </cell>
        </row>
      </sheetData>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row r="34">
          <cell r="A34" t="str">
            <v>Investments Govt Securities</v>
          </cell>
        </row>
      </sheetData>
      <sheetData sheetId="12733">
        <row r="34">
          <cell r="A34" t="str">
            <v>Investments Govt Securities</v>
          </cell>
        </row>
      </sheetData>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row r="34">
          <cell r="A34" t="str">
            <v>Investments Govt Securities</v>
          </cell>
        </row>
      </sheetData>
      <sheetData sheetId="12761"/>
      <sheetData sheetId="12762"/>
      <sheetData sheetId="12763"/>
      <sheetData sheetId="12764"/>
      <sheetData sheetId="12765"/>
      <sheetData sheetId="12766"/>
      <sheetData sheetId="12767"/>
      <sheetData sheetId="12768">
        <row r="34">
          <cell r="A34" t="str">
            <v>Investments Govt Securities</v>
          </cell>
        </row>
      </sheetData>
      <sheetData sheetId="12769">
        <row r="34">
          <cell r="A34" t="str">
            <v>Investments Govt Securities</v>
          </cell>
        </row>
      </sheetData>
      <sheetData sheetId="12770"/>
      <sheetData sheetId="12771"/>
      <sheetData sheetId="12772"/>
      <sheetData sheetId="12773"/>
      <sheetData sheetId="12774"/>
      <sheetData sheetId="12775">
        <row r="34">
          <cell r="A34" t="str">
            <v>Investments Govt Securities</v>
          </cell>
        </row>
      </sheetData>
      <sheetData sheetId="12776">
        <row r="34">
          <cell r="A34" t="str">
            <v>Investments Govt Securities</v>
          </cell>
        </row>
      </sheetData>
      <sheetData sheetId="12777">
        <row r="34">
          <cell r="A34" t="str">
            <v>Investments Govt Securities</v>
          </cell>
        </row>
      </sheetData>
      <sheetData sheetId="12778"/>
      <sheetData sheetId="12779"/>
      <sheetData sheetId="12780"/>
      <sheetData sheetId="12781"/>
      <sheetData sheetId="12782">
        <row r="34">
          <cell r="A34" t="str">
            <v>Investments Govt Securities</v>
          </cell>
        </row>
      </sheetData>
      <sheetData sheetId="12783"/>
      <sheetData sheetId="12784"/>
      <sheetData sheetId="12785"/>
      <sheetData sheetId="12786"/>
      <sheetData sheetId="12787"/>
      <sheetData sheetId="12788"/>
      <sheetData sheetId="12789"/>
      <sheetData sheetId="12790"/>
      <sheetData sheetId="12791"/>
      <sheetData sheetId="12792">
        <row r="34">
          <cell r="A34" t="str">
            <v>Investments Govt Securities</v>
          </cell>
        </row>
      </sheetData>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row r="34">
          <cell r="A34" t="str">
            <v>Investments Govt Securities</v>
          </cell>
        </row>
      </sheetData>
      <sheetData sheetId="12813"/>
      <sheetData sheetId="12814"/>
      <sheetData sheetId="12815"/>
      <sheetData sheetId="12816">
        <row r="34">
          <cell r="A34" t="str">
            <v>Investments Govt Securities</v>
          </cell>
        </row>
      </sheetData>
      <sheetData sheetId="12817">
        <row r="34">
          <cell r="A34" t="str">
            <v>Investments Govt Securities</v>
          </cell>
        </row>
      </sheetData>
      <sheetData sheetId="12818">
        <row r="34">
          <cell r="A34" t="str">
            <v>Investments Govt Securities</v>
          </cell>
        </row>
      </sheetData>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row r="34">
          <cell r="A34" t="str">
            <v>Investments Govt Securities</v>
          </cell>
        </row>
      </sheetData>
      <sheetData sheetId="12834">
        <row r="34">
          <cell r="A34" t="str">
            <v>Investments Govt Securities</v>
          </cell>
        </row>
      </sheetData>
      <sheetData sheetId="12835">
        <row r="34">
          <cell r="A34" t="str">
            <v>Investments Govt Securities</v>
          </cell>
        </row>
      </sheetData>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row r="34">
          <cell r="A34" t="str">
            <v>Investments Govt Securities</v>
          </cell>
        </row>
      </sheetData>
      <sheetData sheetId="12849">
        <row r="34">
          <cell r="A34" t="str">
            <v>Investments Govt Securities</v>
          </cell>
        </row>
      </sheetData>
      <sheetData sheetId="12850">
        <row r="34">
          <cell r="A34" t="str">
            <v>Investments Govt Securities</v>
          </cell>
        </row>
      </sheetData>
      <sheetData sheetId="12851">
        <row r="34">
          <cell r="A34" t="str">
            <v>Investments Govt Securities</v>
          </cell>
        </row>
      </sheetData>
      <sheetData sheetId="12852">
        <row r="34">
          <cell r="A34" t="str">
            <v>Investments Govt Securities</v>
          </cell>
        </row>
      </sheetData>
      <sheetData sheetId="12853">
        <row r="34">
          <cell r="A34" t="str">
            <v>Investments Govt Securities</v>
          </cell>
        </row>
      </sheetData>
      <sheetData sheetId="12854">
        <row r="34">
          <cell r="A34" t="str">
            <v>Investments Govt Securities</v>
          </cell>
        </row>
      </sheetData>
      <sheetData sheetId="12855">
        <row r="34">
          <cell r="A34" t="str">
            <v>Investments Govt Securities</v>
          </cell>
        </row>
      </sheetData>
      <sheetData sheetId="12856">
        <row r="34">
          <cell r="A34" t="str">
            <v>Investments Govt Securities</v>
          </cell>
        </row>
      </sheetData>
      <sheetData sheetId="12857">
        <row r="34">
          <cell r="A34" t="str">
            <v>Investments Govt Securities</v>
          </cell>
        </row>
      </sheetData>
      <sheetData sheetId="12858">
        <row r="34">
          <cell r="A34" t="str">
            <v>Investments Govt Securities</v>
          </cell>
        </row>
      </sheetData>
      <sheetData sheetId="12859">
        <row r="34">
          <cell r="A34" t="str">
            <v>Investments Govt Securities</v>
          </cell>
        </row>
      </sheetData>
      <sheetData sheetId="12860">
        <row r="34">
          <cell r="A34" t="str">
            <v>Investments Govt Securities</v>
          </cell>
        </row>
      </sheetData>
      <sheetData sheetId="12861">
        <row r="34">
          <cell r="A34" t="str">
            <v>Investments Govt Securities</v>
          </cell>
        </row>
      </sheetData>
      <sheetData sheetId="12862">
        <row r="34">
          <cell r="A34" t="str">
            <v>Investments Govt Securities</v>
          </cell>
        </row>
      </sheetData>
      <sheetData sheetId="12863">
        <row r="34">
          <cell r="A34" t="str">
            <v>Investments Govt Securities</v>
          </cell>
        </row>
      </sheetData>
      <sheetData sheetId="12864">
        <row r="34">
          <cell r="A34" t="str">
            <v>Investments Govt Securities</v>
          </cell>
        </row>
      </sheetData>
      <sheetData sheetId="12865">
        <row r="34">
          <cell r="A34" t="str">
            <v>Investments Govt Securities</v>
          </cell>
        </row>
      </sheetData>
      <sheetData sheetId="12866">
        <row r="34">
          <cell r="A34" t="str">
            <v>Investments Govt Securities</v>
          </cell>
        </row>
      </sheetData>
      <sheetData sheetId="12867">
        <row r="34">
          <cell r="A34" t="str">
            <v>Investments Govt Securities</v>
          </cell>
        </row>
      </sheetData>
      <sheetData sheetId="12868">
        <row r="34">
          <cell r="A34" t="str">
            <v>Investments Govt Securities</v>
          </cell>
        </row>
      </sheetData>
      <sheetData sheetId="12869">
        <row r="34">
          <cell r="A34" t="str">
            <v>Investments Govt Securities</v>
          </cell>
        </row>
      </sheetData>
      <sheetData sheetId="12870">
        <row r="34">
          <cell r="A34" t="str">
            <v>Investments Govt Securities</v>
          </cell>
        </row>
      </sheetData>
      <sheetData sheetId="12871">
        <row r="34">
          <cell r="A34" t="str">
            <v>Investments Govt Securities</v>
          </cell>
        </row>
      </sheetData>
      <sheetData sheetId="12872">
        <row r="34">
          <cell r="A34" t="str">
            <v>Investments Govt Securities</v>
          </cell>
        </row>
      </sheetData>
      <sheetData sheetId="12873">
        <row r="34">
          <cell r="A34" t="str">
            <v>Investments Govt Securities</v>
          </cell>
        </row>
      </sheetData>
      <sheetData sheetId="12874">
        <row r="34">
          <cell r="A34" t="str">
            <v>Investments Govt Securities</v>
          </cell>
        </row>
      </sheetData>
      <sheetData sheetId="12875">
        <row r="34">
          <cell r="A34" t="str">
            <v>Investments Govt Securities</v>
          </cell>
        </row>
      </sheetData>
      <sheetData sheetId="12876">
        <row r="34">
          <cell r="A34" t="str">
            <v>Investments Govt Securities</v>
          </cell>
        </row>
      </sheetData>
      <sheetData sheetId="12877"/>
      <sheetData sheetId="12878">
        <row r="34">
          <cell r="A34" t="str">
            <v>Investments Govt Securities</v>
          </cell>
        </row>
      </sheetData>
      <sheetData sheetId="12879">
        <row r="34">
          <cell r="A34" t="str">
            <v>Investments Govt Securities</v>
          </cell>
        </row>
      </sheetData>
      <sheetData sheetId="12880">
        <row r="34">
          <cell r="A34" t="str">
            <v>Investments Govt Securities</v>
          </cell>
        </row>
      </sheetData>
      <sheetData sheetId="12881">
        <row r="34">
          <cell r="A34" t="str">
            <v>Investments Govt Securities</v>
          </cell>
        </row>
      </sheetData>
      <sheetData sheetId="12882">
        <row r="34">
          <cell r="A34" t="str">
            <v>Investments Govt Securities</v>
          </cell>
        </row>
      </sheetData>
      <sheetData sheetId="12883">
        <row r="34">
          <cell r="A34" t="str">
            <v>Investments Govt Securities</v>
          </cell>
        </row>
      </sheetData>
      <sheetData sheetId="12884">
        <row r="34">
          <cell r="A34" t="str">
            <v>Investments Govt Securities</v>
          </cell>
        </row>
      </sheetData>
      <sheetData sheetId="12885">
        <row r="34">
          <cell r="A34" t="str">
            <v>Investments Govt Securities</v>
          </cell>
        </row>
      </sheetData>
      <sheetData sheetId="12886">
        <row r="34">
          <cell r="A34" t="str">
            <v>Investments Govt Securities</v>
          </cell>
        </row>
      </sheetData>
      <sheetData sheetId="12887">
        <row r="34">
          <cell r="A34" t="str">
            <v>Investments Govt Securities</v>
          </cell>
        </row>
      </sheetData>
      <sheetData sheetId="12888">
        <row r="34">
          <cell r="A34" t="str">
            <v>Investments Govt Securities</v>
          </cell>
        </row>
      </sheetData>
      <sheetData sheetId="12889">
        <row r="34">
          <cell r="A34" t="str">
            <v>Investments Govt Securities</v>
          </cell>
        </row>
      </sheetData>
      <sheetData sheetId="12890">
        <row r="34">
          <cell r="A34" t="str">
            <v>Investments Govt Securities</v>
          </cell>
        </row>
      </sheetData>
      <sheetData sheetId="12891">
        <row r="34">
          <cell r="A34" t="str">
            <v>Investments Govt Securities</v>
          </cell>
        </row>
      </sheetData>
      <sheetData sheetId="12892">
        <row r="34">
          <cell r="A34" t="str">
            <v>Investments Govt Securities</v>
          </cell>
        </row>
      </sheetData>
      <sheetData sheetId="12893">
        <row r="34">
          <cell r="A34" t="str">
            <v>Investments Govt Securities</v>
          </cell>
        </row>
      </sheetData>
      <sheetData sheetId="12894">
        <row r="34">
          <cell r="A34" t="str">
            <v>Investments Govt Securities</v>
          </cell>
        </row>
      </sheetData>
      <sheetData sheetId="12895">
        <row r="34">
          <cell r="A34" t="str">
            <v>Investments Govt Securities</v>
          </cell>
        </row>
      </sheetData>
      <sheetData sheetId="12896">
        <row r="34">
          <cell r="A34" t="str">
            <v>Investments Govt Securities</v>
          </cell>
        </row>
      </sheetData>
      <sheetData sheetId="12897">
        <row r="34">
          <cell r="A34" t="str">
            <v>Investments Govt Securities</v>
          </cell>
        </row>
      </sheetData>
      <sheetData sheetId="12898">
        <row r="34">
          <cell r="A34" t="str">
            <v>Investments Govt Securities</v>
          </cell>
        </row>
      </sheetData>
      <sheetData sheetId="12899">
        <row r="34">
          <cell r="A34" t="str">
            <v>Investments Govt Securities</v>
          </cell>
        </row>
      </sheetData>
      <sheetData sheetId="12900"/>
      <sheetData sheetId="12901"/>
      <sheetData sheetId="12902">
        <row r="34">
          <cell r="A34" t="str">
            <v>Investments Govt Securities</v>
          </cell>
        </row>
      </sheetData>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refreshError="1"/>
      <sheetData sheetId="13010" refreshError="1"/>
      <sheetData sheetId="13011" refreshError="1"/>
      <sheetData sheetId="13012" refreshError="1"/>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efreshError="1"/>
      <sheetData sheetId="13022" refreshError="1"/>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efreshError="1"/>
      <sheetData sheetId="13077" refreshError="1"/>
      <sheetData sheetId="13078" refreshError="1"/>
      <sheetData sheetId="13079" refreshError="1"/>
      <sheetData sheetId="13080" refreshError="1"/>
      <sheetData sheetId="13081" refreshError="1"/>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efreshError="1"/>
      <sheetData sheetId="13092" refreshError="1"/>
      <sheetData sheetId="13093" refreshError="1"/>
      <sheetData sheetId="13094" refreshError="1"/>
      <sheetData sheetId="13095" refreshError="1"/>
      <sheetData sheetId="13096" refreshError="1"/>
      <sheetData sheetId="13097" refreshError="1"/>
      <sheetData sheetId="13098" refreshError="1"/>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efreshError="1"/>
      <sheetData sheetId="13111" refreshError="1"/>
      <sheetData sheetId="13112" refreshError="1"/>
      <sheetData sheetId="13113" refreshError="1"/>
      <sheetData sheetId="13114" refreshError="1"/>
      <sheetData sheetId="13115" refreshError="1"/>
      <sheetData sheetId="13116" refreshError="1"/>
      <sheetData sheetId="13117" refreshError="1"/>
      <sheetData sheetId="13118" refreshError="1"/>
      <sheetData sheetId="13119" refreshError="1"/>
      <sheetData sheetId="13120" refreshError="1"/>
      <sheetData sheetId="13121" refreshError="1"/>
      <sheetData sheetId="13122" refreshError="1"/>
      <sheetData sheetId="13123" refreshError="1"/>
      <sheetData sheetId="13124" refreshError="1"/>
      <sheetData sheetId="13125" refreshError="1"/>
      <sheetData sheetId="13126" refreshError="1"/>
      <sheetData sheetId="13127" refreshError="1"/>
      <sheetData sheetId="13128" refreshError="1"/>
      <sheetData sheetId="13129" refreshError="1"/>
      <sheetData sheetId="13130" refreshError="1"/>
      <sheetData sheetId="13131" refreshError="1"/>
      <sheetData sheetId="13132" refreshError="1"/>
      <sheetData sheetId="13133" refreshError="1"/>
      <sheetData sheetId="13134" refreshError="1"/>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refreshError="1"/>
      <sheetData sheetId="13212" refreshError="1"/>
      <sheetData sheetId="13213" refreshError="1"/>
      <sheetData sheetId="13214" refreshError="1"/>
      <sheetData sheetId="13215" refreshError="1"/>
      <sheetData sheetId="13216" refreshError="1"/>
      <sheetData sheetId="13217" refreshError="1"/>
      <sheetData sheetId="13218" refreshError="1"/>
      <sheetData sheetId="13219" refreshError="1"/>
      <sheetData sheetId="13220" refreshError="1"/>
      <sheetData sheetId="13221" refreshError="1"/>
      <sheetData sheetId="13222" refreshError="1"/>
      <sheetData sheetId="13223" refreshError="1"/>
      <sheetData sheetId="13224" refreshError="1"/>
      <sheetData sheetId="13225" refreshError="1"/>
      <sheetData sheetId="13226" refreshError="1"/>
      <sheetData sheetId="13227" refreshError="1"/>
      <sheetData sheetId="13228">
        <row r="34">
          <cell r="A34" t="str">
            <v>Investments Govt Securities</v>
          </cell>
        </row>
      </sheetData>
      <sheetData sheetId="13229">
        <row r="34">
          <cell r="A34" t="str">
            <v>Investments Govt Securities</v>
          </cell>
        </row>
      </sheetData>
      <sheetData sheetId="13230">
        <row r="34">
          <cell r="A34" t="str">
            <v>Investments Govt Securities</v>
          </cell>
        </row>
      </sheetData>
      <sheetData sheetId="13231">
        <row r="34">
          <cell r="A34" t="str">
            <v>Investments Govt Securities</v>
          </cell>
        </row>
      </sheetData>
      <sheetData sheetId="13232">
        <row r="34">
          <cell r="A34" t="str">
            <v>Investments Govt Securities</v>
          </cell>
        </row>
      </sheetData>
      <sheetData sheetId="13233">
        <row r="34">
          <cell r="A34" t="str">
            <v>Investments Govt Securities</v>
          </cell>
        </row>
      </sheetData>
      <sheetData sheetId="13234">
        <row r="34">
          <cell r="A34" t="str">
            <v>Investments Govt Securities</v>
          </cell>
        </row>
      </sheetData>
      <sheetData sheetId="13235">
        <row r="34">
          <cell r="A34" t="str">
            <v>Investments Govt Securities</v>
          </cell>
        </row>
      </sheetData>
      <sheetData sheetId="13236">
        <row r="34">
          <cell r="A34" t="str">
            <v>Investments Govt Securities</v>
          </cell>
        </row>
      </sheetData>
      <sheetData sheetId="13237">
        <row r="34">
          <cell r="A34" t="str">
            <v>Investments Govt Securities</v>
          </cell>
        </row>
      </sheetData>
      <sheetData sheetId="13238">
        <row r="34">
          <cell r="A34" t="str">
            <v>Investments Govt Securities</v>
          </cell>
        </row>
      </sheetData>
      <sheetData sheetId="13239">
        <row r="34">
          <cell r="A34" t="str">
            <v>Investments Govt Securities</v>
          </cell>
        </row>
      </sheetData>
      <sheetData sheetId="13240">
        <row r="34">
          <cell r="A34" t="str">
            <v>Investments Govt Securities</v>
          </cell>
        </row>
      </sheetData>
      <sheetData sheetId="13241">
        <row r="34">
          <cell r="A34" t="str">
            <v>Investments Govt Securities</v>
          </cell>
        </row>
      </sheetData>
      <sheetData sheetId="13242">
        <row r="34">
          <cell r="A34" t="str">
            <v>Investments Govt Securities</v>
          </cell>
        </row>
      </sheetData>
      <sheetData sheetId="13243">
        <row r="34">
          <cell r="A34" t="str">
            <v>Investments Govt Securities</v>
          </cell>
        </row>
      </sheetData>
      <sheetData sheetId="13244">
        <row r="34">
          <cell r="A34" t="str">
            <v>Investments Govt Securities</v>
          </cell>
        </row>
      </sheetData>
      <sheetData sheetId="13245">
        <row r="34">
          <cell r="A34" t="str">
            <v>Investments Govt Securities</v>
          </cell>
        </row>
      </sheetData>
      <sheetData sheetId="13246">
        <row r="34">
          <cell r="A34" t="str">
            <v>Investments Govt Securities</v>
          </cell>
        </row>
      </sheetData>
      <sheetData sheetId="13247">
        <row r="34">
          <cell r="A34" t="str">
            <v>Investments Govt Securities</v>
          </cell>
        </row>
      </sheetData>
      <sheetData sheetId="13248">
        <row r="34">
          <cell r="A34" t="str">
            <v>Investments Govt Securities</v>
          </cell>
        </row>
      </sheetData>
      <sheetData sheetId="13249">
        <row r="34">
          <cell r="A34" t="str">
            <v>Investments Govt Securities</v>
          </cell>
        </row>
      </sheetData>
      <sheetData sheetId="13250">
        <row r="34">
          <cell r="A34" t="str">
            <v>Investments Govt Securities</v>
          </cell>
        </row>
      </sheetData>
      <sheetData sheetId="13251">
        <row r="34">
          <cell r="A34" t="str">
            <v>Investments Govt Securities</v>
          </cell>
        </row>
      </sheetData>
      <sheetData sheetId="13252">
        <row r="34">
          <cell r="A34" t="str">
            <v>Investments Govt Securities</v>
          </cell>
        </row>
      </sheetData>
      <sheetData sheetId="13253">
        <row r="34">
          <cell r="A34" t="str">
            <v>Investments Govt Securities</v>
          </cell>
        </row>
      </sheetData>
      <sheetData sheetId="13254">
        <row r="34">
          <cell r="A34" t="str">
            <v>Investments Govt Securities</v>
          </cell>
        </row>
      </sheetData>
      <sheetData sheetId="13255">
        <row r="34">
          <cell r="A34" t="str">
            <v>Investments Govt Securities</v>
          </cell>
        </row>
      </sheetData>
      <sheetData sheetId="13256">
        <row r="34">
          <cell r="A34" t="str">
            <v>Investments Govt Securities</v>
          </cell>
        </row>
      </sheetData>
      <sheetData sheetId="13257">
        <row r="34">
          <cell r="A34" t="str">
            <v>Investments Govt Securities</v>
          </cell>
        </row>
      </sheetData>
      <sheetData sheetId="13258">
        <row r="34">
          <cell r="A34" t="str">
            <v>Investments Govt Securities</v>
          </cell>
        </row>
      </sheetData>
      <sheetData sheetId="13259">
        <row r="34">
          <cell r="A34" t="str">
            <v>Investments Govt Securities</v>
          </cell>
        </row>
      </sheetData>
      <sheetData sheetId="13260">
        <row r="34">
          <cell r="A34" t="str">
            <v>Investments Govt Securities</v>
          </cell>
        </row>
      </sheetData>
      <sheetData sheetId="13261">
        <row r="34">
          <cell r="A34" t="str">
            <v>Investments Govt Securities</v>
          </cell>
        </row>
      </sheetData>
      <sheetData sheetId="13262">
        <row r="34">
          <cell r="A34" t="str">
            <v>Investments Govt Securities</v>
          </cell>
        </row>
      </sheetData>
      <sheetData sheetId="13263">
        <row r="34">
          <cell r="A34" t="str">
            <v>Investments Govt Securities</v>
          </cell>
        </row>
      </sheetData>
      <sheetData sheetId="13264">
        <row r="34">
          <cell r="A34" t="str">
            <v>Investments Govt Securities</v>
          </cell>
        </row>
      </sheetData>
      <sheetData sheetId="13265">
        <row r="34">
          <cell r="A34" t="str">
            <v>Investments Govt Securities</v>
          </cell>
        </row>
      </sheetData>
      <sheetData sheetId="13266">
        <row r="34">
          <cell r="A34" t="str">
            <v>Investments Govt Securities</v>
          </cell>
        </row>
      </sheetData>
      <sheetData sheetId="13267">
        <row r="34">
          <cell r="A34" t="str">
            <v>Investments Govt Securities</v>
          </cell>
        </row>
      </sheetData>
      <sheetData sheetId="13268">
        <row r="34">
          <cell r="A34" t="str">
            <v>Investments Govt Securities</v>
          </cell>
        </row>
      </sheetData>
      <sheetData sheetId="13269">
        <row r="34">
          <cell r="A34" t="str">
            <v>Investments Govt Securities</v>
          </cell>
        </row>
      </sheetData>
      <sheetData sheetId="13270">
        <row r="34">
          <cell r="A34" t="str">
            <v>Investments Govt Securities</v>
          </cell>
        </row>
      </sheetData>
      <sheetData sheetId="13271">
        <row r="34">
          <cell r="A34" t="str">
            <v>Investments Govt Securities</v>
          </cell>
        </row>
      </sheetData>
      <sheetData sheetId="13272">
        <row r="34">
          <cell r="A34" t="str">
            <v>Investments Govt Securities</v>
          </cell>
        </row>
      </sheetData>
      <sheetData sheetId="13273">
        <row r="34">
          <cell r="A34" t="str">
            <v>Investments Govt Securities</v>
          </cell>
        </row>
      </sheetData>
      <sheetData sheetId="13274">
        <row r="34">
          <cell r="A34" t="str">
            <v>Investments Govt Securities</v>
          </cell>
        </row>
      </sheetData>
      <sheetData sheetId="13275">
        <row r="34">
          <cell r="A34" t="str">
            <v>Investments Govt Securities</v>
          </cell>
        </row>
      </sheetData>
      <sheetData sheetId="13276">
        <row r="34">
          <cell r="A34" t="str">
            <v>Investments Govt Securities</v>
          </cell>
        </row>
      </sheetData>
      <sheetData sheetId="13277">
        <row r="34">
          <cell r="A34" t="str">
            <v>Investments Govt Securities</v>
          </cell>
        </row>
      </sheetData>
      <sheetData sheetId="13278">
        <row r="34">
          <cell r="A34" t="str">
            <v>Investments Govt Securities</v>
          </cell>
        </row>
      </sheetData>
      <sheetData sheetId="13279">
        <row r="34">
          <cell r="A34" t="str">
            <v>Investments Govt Securities</v>
          </cell>
        </row>
      </sheetData>
      <sheetData sheetId="13280"/>
      <sheetData sheetId="13281"/>
      <sheetData sheetId="13282">
        <row r="34">
          <cell r="A34" t="str">
            <v>Investments Govt Securities</v>
          </cell>
        </row>
      </sheetData>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row r="34">
          <cell r="A34" t="str">
            <v>Investments Govt Securities</v>
          </cell>
        </row>
      </sheetData>
      <sheetData sheetId="13383"/>
      <sheetData sheetId="13384">
        <row r="34">
          <cell r="A34" t="str">
            <v>Investments Govt Securities</v>
          </cell>
        </row>
      </sheetData>
      <sheetData sheetId="13385">
        <row r="34">
          <cell r="A34" t="str">
            <v>Investments Govt Securities</v>
          </cell>
        </row>
      </sheetData>
      <sheetData sheetId="13386">
        <row r="34">
          <cell r="A34" t="str">
            <v>Investments Govt Securities</v>
          </cell>
        </row>
      </sheetData>
      <sheetData sheetId="13387"/>
      <sheetData sheetId="13388"/>
      <sheetData sheetId="13389"/>
      <sheetData sheetId="13390"/>
      <sheetData sheetId="13391"/>
      <sheetData sheetId="13392"/>
      <sheetData sheetId="13393"/>
      <sheetData sheetId="13394"/>
      <sheetData sheetId="13395"/>
      <sheetData sheetId="13396">
        <row r="34">
          <cell r="A34" t="str">
            <v>Investments Govt Securities</v>
          </cell>
        </row>
      </sheetData>
      <sheetData sheetId="13397">
        <row r="34">
          <cell r="A34" t="str">
            <v>Investments Govt Securities</v>
          </cell>
        </row>
      </sheetData>
      <sheetData sheetId="13398">
        <row r="34">
          <cell r="A34" t="str">
            <v>Investments Govt Securities</v>
          </cell>
        </row>
      </sheetData>
      <sheetData sheetId="13399"/>
      <sheetData sheetId="13400"/>
      <sheetData sheetId="13401"/>
      <sheetData sheetId="13402"/>
      <sheetData sheetId="13403">
        <row r="34">
          <cell r="A34" t="str">
            <v>Investments Govt Securities</v>
          </cell>
        </row>
      </sheetData>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row r="34">
          <cell r="A34" t="str">
            <v>Investments Govt Securities</v>
          </cell>
        </row>
      </sheetData>
      <sheetData sheetId="13445">
        <row r="34">
          <cell r="A34" t="str">
            <v>Investments Govt Securities</v>
          </cell>
        </row>
      </sheetData>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row r="34">
          <cell r="A34" t="str">
            <v>Investments Govt Securities</v>
          </cell>
        </row>
      </sheetData>
      <sheetData sheetId="13472">
        <row r="34">
          <cell r="A34" t="str">
            <v>Investments Govt Securities</v>
          </cell>
        </row>
      </sheetData>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row r="34">
          <cell r="A34" t="str">
            <v>Investments Govt Securities</v>
          </cell>
        </row>
      </sheetData>
      <sheetData sheetId="13487"/>
      <sheetData sheetId="13488"/>
      <sheetData sheetId="13489"/>
      <sheetData sheetId="13490"/>
      <sheetData sheetId="13491"/>
      <sheetData sheetId="13492"/>
      <sheetData sheetId="13493"/>
      <sheetData sheetId="13494"/>
      <sheetData sheetId="13495"/>
      <sheetData sheetId="13496">
        <row r="34">
          <cell r="A34" t="str">
            <v>Investments Govt Securities</v>
          </cell>
        </row>
      </sheetData>
      <sheetData sheetId="13497">
        <row r="34">
          <cell r="A34" t="str">
            <v>Investments Govt Securities</v>
          </cell>
        </row>
      </sheetData>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row r="34">
          <cell r="A34" t="str">
            <v>Investments Govt Securities</v>
          </cell>
        </row>
      </sheetData>
      <sheetData sheetId="13525"/>
      <sheetData sheetId="13526"/>
      <sheetData sheetId="13527"/>
      <sheetData sheetId="13528"/>
      <sheetData sheetId="13529"/>
      <sheetData sheetId="13530"/>
      <sheetData sheetId="13531"/>
      <sheetData sheetId="13532">
        <row r="34">
          <cell r="A34" t="str">
            <v>Investments Govt Securities</v>
          </cell>
        </row>
      </sheetData>
      <sheetData sheetId="13533">
        <row r="34">
          <cell r="A34" t="str">
            <v>Investments Govt Securities</v>
          </cell>
        </row>
      </sheetData>
      <sheetData sheetId="13534"/>
      <sheetData sheetId="13535"/>
      <sheetData sheetId="13536"/>
      <sheetData sheetId="13537"/>
      <sheetData sheetId="13538"/>
      <sheetData sheetId="13539">
        <row r="34">
          <cell r="A34" t="str">
            <v>Investments Govt Securities</v>
          </cell>
        </row>
      </sheetData>
      <sheetData sheetId="13540">
        <row r="34">
          <cell r="A34" t="str">
            <v>Investments Govt Securities</v>
          </cell>
        </row>
      </sheetData>
      <sheetData sheetId="13541">
        <row r="34">
          <cell r="A34" t="str">
            <v>Investments Govt Securities</v>
          </cell>
        </row>
      </sheetData>
      <sheetData sheetId="13542"/>
      <sheetData sheetId="13543"/>
      <sheetData sheetId="13544"/>
      <sheetData sheetId="13545"/>
      <sheetData sheetId="13546">
        <row r="34">
          <cell r="A34" t="str">
            <v>Investments Govt Securities</v>
          </cell>
        </row>
      </sheetData>
      <sheetData sheetId="13547"/>
      <sheetData sheetId="13548"/>
      <sheetData sheetId="13549"/>
      <sheetData sheetId="13550"/>
      <sheetData sheetId="13551"/>
      <sheetData sheetId="13552"/>
      <sheetData sheetId="13553"/>
      <sheetData sheetId="13554"/>
      <sheetData sheetId="13555"/>
      <sheetData sheetId="13556">
        <row r="34">
          <cell r="A34" t="str">
            <v>Investments Govt Securities</v>
          </cell>
        </row>
      </sheetData>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row r="34">
          <cell r="A34" t="str">
            <v>Investments Govt Securities</v>
          </cell>
        </row>
      </sheetData>
      <sheetData sheetId="13577"/>
      <sheetData sheetId="13578"/>
      <sheetData sheetId="13579"/>
      <sheetData sheetId="13580">
        <row r="34">
          <cell r="A34" t="str">
            <v>Investments Govt Securities</v>
          </cell>
        </row>
      </sheetData>
      <sheetData sheetId="13581">
        <row r="34">
          <cell r="A34" t="str">
            <v>Investments Govt Securities</v>
          </cell>
        </row>
      </sheetData>
      <sheetData sheetId="13582">
        <row r="34">
          <cell r="A34" t="str">
            <v>Investments Govt Securities</v>
          </cell>
        </row>
      </sheetData>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row r="34">
          <cell r="A34" t="str">
            <v>Investments Govt Securities</v>
          </cell>
        </row>
      </sheetData>
      <sheetData sheetId="13598">
        <row r="34">
          <cell r="A34" t="str">
            <v>Investments Govt Securities</v>
          </cell>
        </row>
      </sheetData>
      <sheetData sheetId="13599">
        <row r="34">
          <cell r="A34" t="str">
            <v>Investments Govt Securities</v>
          </cell>
        </row>
      </sheetData>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refreshError="1"/>
      <sheetData sheetId="13613" refreshError="1"/>
      <sheetData sheetId="13614" refreshError="1"/>
      <sheetData sheetId="13615" refreshError="1"/>
      <sheetData sheetId="13616" refreshError="1"/>
      <sheetData sheetId="13617" refreshError="1"/>
      <sheetData sheetId="13618" refreshError="1"/>
      <sheetData sheetId="13619" refreshError="1"/>
      <sheetData sheetId="13620" refreshError="1"/>
      <sheetData sheetId="13621" refreshError="1"/>
      <sheetData sheetId="13622" refreshError="1"/>
      <sheetData sheetId="13623" refreshError="1"/>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refreshError="1"/>
      <sheetData sheetId="13632" refreshError="1"/>
      <sheetData sheetId="13633" refreshError="1"/>
      <sheetData sheetId="13634" refreshError="1"/>
      <sheetData sheetId="13635" refreshError="1"/>
      <sheetData sheetId="13636" refreshError="1"/>
      <sheetData sheetId="13637" refreshError="1"/>
      <sheetData sheetId="13638" refreshError="1"/>
      <sheetData sheetId="13639" refreshError="1"/>
      <sheetData sheetId="13640" refreshError="1"/>
      <sheetData sheetId="13641" refreshError="1"/>
      <sheetData sheetId="13642" refreshError="1"/>
      <sheetData sheetId="13643" refreshError="1"/>
      <sheetData sheetId="13644" refreshError="1"/>
      <sheetData sheetId="13645" refreshError="1"/>
      <sheetData sheetId="13646" refreshError="1"/>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refreshError="1"/>
      <sheetData sheetId="13673" refreshError="1"/>
      <sheetData sheetId="13674" refreshError="1"/>
      <sheetData sheetId="13675" refreshError="1"/>
      <sheetData sheetId="13676" refreshError="1"/>
      <sheetData sheetId="13677" refreshError="1"/>
      <sheetData sheetId="13678" refreshError="1"/>
      <sheetData sheetId="13679" refreshError="1"/>
      <sheetData sheetId="13680" refreshError="1"/>
      <sheetData sheetId="13681" refreshError="1"/>
      <sheetData sheetId="13682" refreshError="1"/>
      <sheetData sheetId="13683" refreshError="1"/>
      <sheetData sheetId="13684" refreshError="1"/>
      <sheetData sheetId="13685" refreshError="1"/>
      <sheetData sheetId="13686" refreshError="1"/>
      <sheetData sheetId="13687" refreshError="1"/>
      <sheetData sheetId="13688" refreshError="1"/>
      <sheetData sheetId="13689" refreshError="1"/>
      <sheetData sheetId="13690" refreshError="1"/>
      <sheetData sheetId="13691" refreshError="1"/>
      <sheetData sheetId="13692" refreshError="1"/>
      <sheetData sheetId="13693" refreshError="1"/>
      <sheetData sheetId="13694" refreshError="1"/>
      <sheetData sheetId="13695" refreshError="1"/>
      <sheetData sheetId="13696" refreshError="1"/>
      <sheetData sheetId="13697" refreshError="1"/>
      <sheetData sheetId="13698" refreshError="1"/>
      <sheetData sheetId="13699" refreshError="1"/>
      <sheetData sheetId="13700" refreshError="1"/>
      <sheetData sheetId="13701" refreshError="1"/>
      <sheetData sheetId="13702" refreshError="1"/>
      <sheetData sheetId="13703" refreshError="1"/>
      <sheetData sheetId="13704" refreshError="1"/>
      <sheetData sheetId="13705" refreshError="1"/>
      <sheetData sheetId="13706" refreshError="1"/>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sheetData sheetId="13715"/>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ow r="34">
          <cell r="A34" t="str">
            <v>Investments Govt Securities</v>
          </cell>
        </row>
      </sheetData>
      <sheetData sheetId="13729" refreshError="1"/>
      <sheetData sheetId="13730" refreshError="1"/>
      <sheetData sheetId="13731" refreshError="1"/>
      <sheetData sheetId="13732" refreshError="1"/>
      <sheetData sheetId="13733" refreshError="1"/>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sheetData sheetId="13830" refreshError="1"/>
      <sheetData sheetId="13831"/>
      <sheetData sheetId="13832"/>
      <sheetData sheetId="13833"/>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sheetData sheetId="14009"/>
      <sheetData sheetId="14010"/>
      <sheetData sheetId="14011"/>
      <sheetData sheetId="14012"/>
      <sheetData sheetId="14013"/>
      <sheetData sheetId="14014"/>
      <sheetData sheetId="14015"/>
      <sheetData sheetId="14016"/>
      <sheetData sheetId="14017"/>
      <sheetData sheetId="14018"/>
      <sheetData sheetId="14019"/>
      <sheetData sheetId="14020"/>
      <sheetData sheetId="14021"/>
      <sheetData sheetId="14022"/>
      <sheetData sheetId="14023"/>
      <sheetData sheetId="14024"/>
      <sheetData sheetId="14025"/>
      <sheetData sheetId="14026"/>
      <sheetData sheetId="14027"/>
      <sheetData sheetId="14028"/>
      <sheetData sheetId="14029"/>
      <sheetData sheetId="14030"/>
      <sheetData sheetId="14031"/>
      <sheetData sheetId="14032"/>
      <sheetData sheetId="14033"/>
      <sheetData sheetId="14034"/>
      <sheetData sheetId="14035"/>
      <sheetData sheetId="14036"/>
      <sheetData sheetId="14037"/>
      <sheetData sheetId="14038"/>
      <sheetData sheetId="14039"/>
      <sheetData sheetId="14040"/>
      <sheetData sheetId="14041"/>
      <sheetData sheetId="14042"/>
      <sheetData sheetId="14043" refreshError="1"/>
      <sheetData sheetId="14044" refreshError="1"/>
      <sheetData sheetId="14045" refreshError="1"/>
      <sheetData sheetId="14046" refreshError="1"/>
      <sheetData sheetId="14047" refreshError="1"/>
      <sheetData sheetId="1404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80 (2)"/>
      <sheetName val="#REF"/>
      <sheetName val="Summary"/>
      <sheetName val="CUSTOM Jun99"/>
      <sheetName val="080 Invoice"/>
      <sheetName val="Asso-Balance"/>
      <sheetName val="SCHEDULES"/>
      <sheetName val="080_(2)"/>
      <sheetName val="CUSTOM_Jun99"/>
      <sheetName val="080_Invoice"/>
      <sheetName val="Cert_Codes"/>
      <sheetName val="Offices"/>
      <sheetName val="Cost Centers"/>
      <sheetName val="Title"/>
      <sheetName val="Balance Sheet Details CMC"/>
      <sheetName val="gen"/>
      <sheetName val="cdipts"/>
      <sheetName val="employee"/>
      <sheetName val="CF"/>
      <sheetName val="BS"/>
      <sheetName val="2"/>
      <sheetName val="Config"/>
      <sheetName val="Break Dw"/>
      <sheetName val="Cash Flow - CY Workings"/>
      <sheetName val="RA"/>
      <sheetName val="Bal_Gr"/>
      <sheetName val="P&amp;L"/>
      <sheetName val="Pr.-hist."/>
      <sheetName val="TBAL9697 -group wise  sdpl"/>
      <sheetName val="#REF!"/>
      <sheetName val="Rate Analysis"/>
      <sheetName val="TB9899"/>
      <sheetName val="Fin Sum"/>
      <sheetName val="rec"/>
      <sheetName val="Cntmrs-Recruit"/>
      <sheetName val="Financials"/>
      <sheetName val="HBI NCD"/>
      <sheetName val="Cancel &amp; Rollover"/>
      <sheetName val="Report"/>
      <sheetName val="Modele_RES1"/>
      <sheetName val="PARAM"/>
      <sheetName val="3-dep"/>
      <sheetName val="F-4"/>
      <sheetName val="Buyers Credit"/>
      <sheetName val="Sheet1"/>
      <sheetName val="Data"/>
      <sheetName val="CM"/>
      <sheetName val="Orders"/>
      <sheetName val="cash flow"/>
      <sheetName val="SAP Query"/>
      <sheetName val="CF Table"/>
      <sheetName val="Strips"/>
      <sheetName val="CASE"/>
      <sheetName val="CF-Library"/>
      <sheetName val="purtafinal"/>
      <sheetName val="Cash Flow Input Data_ISC"/>
      <sheetName val="Interface_SC"/>
      <sheetName val="Calc_ISC"/>
      <sheetName val="Calc_SC"/>
      <sheetName val="Interface_ISC"/>
      <sheetName val="GD"/>
      <sheetName val="Ref"/>
      <sheetName val="Assumptions"/>
      <sheetName val="Ann I"/>
      <sheetName val="_pcSlicerSheet1"/>
      <sheetName val="A"/>
      <sheetName val="080_(2)1"/>
      <sheetName val="CUSTOM_Jun991"/>
      <sheetName val="080_Invoice1"/>
      <sheetName val="Cost_Centers"/>
      <sheetName val="Balance_Sheet_Details_CMC"/>
    </sheetNames>
    <sheetDataSet>
      <sheetData sheetId="0">
        <row r="46">
          <cell r="D46">
            <v>37389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46">
          <cell r="D46" t="str">
            <v>5100</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 val="IO LIST"/>
      <sheetName val="BMS-Pri"/>
      <sheetName val="TBAL9697 -group wise  sdpl"/>
      <sheetName val="Sheet1"/>
      <sheetName val="p&amp;m"/>
      <sheetName val="VCH-SLC"/>
      <sheetName val="Supplier"/>
      <sheetName val="Recommended Spares"/>
      <sheetName val="Civil Works"/>
      <sheetName val="Sheet3"/>
      <sheetName val="Costing"/>
      <sheetName val="Name List"/>
      <sheetName val="Servers"/>
      <sheetName val="Pay_Sep06"/>
      <sheetName val="Input"/>
      <sheetName val="Pacakges split"/>
      <sheetName val="s"/>
      <sheetName val="gen"/>
      <sheetName val="cox"/>
      <sheetName val="cox (2)"/>
      <sheetName val="kings"/>
      <sheetName val="kings (2)"/>
      <sheetName val="Pure Liquid"/>
      <sheetName val="Mitsu"/>
      <sheetName val="Citibank"/>
      <sheetName val="Citibank (2)"/>
      <sheetName val="TCS"/>
      <sheetName val="TCS-REV"/>
      <sheetName val="VSNL"/>
      <sheetName val="VSNL (2)"/>
      <sheetName val="Raheja"/>
      <sheetName val="EMI-548"/>
      <sheetName val="EMI-057"/>
      <sheetName val="EMI-564"/>
      <sheetName val="Barber"/>
      <sheetName val="Cherry"/>
      <sheetName val="Airfreight"/>
      <sheetName val="I.T.C"/>
      <sheetName val="ITC(R-1)"/>
      <sheetName val="Vinod"/>
      <sheetName val="Ruby"/>
      <sheetName val="Ruby (2)"/>
      <sheetName val="Ruby (3)"/>
      <sheetName val="Ruby-191"/>
      <sheetName val="Ruby-286"/>
      <sheetName val="Ruby-416"/>
      <sheetName val="Ruby-231"/>
      <sheetName val="Sona-VSNL"/>
      <sheetName val="IN-VSNL"/>
      <sheetName val="ZYLOG"/>
      <sheetName val="Stenco"/>
      <sheetName val="Signa"/>
      <sheetName val="Spazzio"/>
      <sheetName val="Asian"/>
      <sheetName val="Asian (2)"/>
      <sheetName val="Airport"/>
      <sheetName val="Escorts-621"/>
      <sheetName val="Escorts-621 (R1)"/>
      <sheetName val="Escorts-(031)"/>
      <sheetName val="Escorts-(37)"/>
      <sheetName val="Escorts-(37-1)"/>
      <sheetName val="Escorts-194"/>
      <sheetName val="Escorts-621 (R2)"/>
      <sheetName val="Escorts-189"/>
      <sheetName val="Escorts-189 (R1)"/>
      <sheetName val="Escorts-189 (R2)"/>
      <sheetName val="Escorts-189 (R3)"/>
      <sheetName val="J.C PENNY"/>
      <sheetName val="J.C PENNY (2)"/>
      <sheetName val="J.C P(A)(R-1)"/>
      <sheetName val="J.C P(A)(R-2)"/>
      <sheetName val="J.C P(B)(R-2)"/>
      <sheetName val="J.C P(A)(R-3)"/>
      <sheetName val="J.C P(B)(R-3)"/>
      <sheetName val="metamorphosis"/>
      <sheetName val="sanjay"/>
      <sheetName val="BNP"/>
      <sheetName val="GUJRAT"/>
      <sheetName val="GUJRAT (2)"/>
      <sheetName val="Jaiprakash"/>
      <sheetName val="Jindal"/>
      <sheetName val="Policy"/>
      <sheetName val="parker"/>
      <sheetName val="Goldstone"/>
      <sheetName val="Eternity"/>
      <sheetName val="NDDB"/>
      <sheetName val="NDDB (2)"/>
      <sheetName val="NDDB (3)"/>
      <sheetName val="NDDB (4)"/>
      <sheetName val="GAS"/>
      <sheetName val="PCRA"/>
      <sheetName val="time"/>
      <sheetName val="purple"/>
      <sheetName val="Gherzi"/>
      <sheetName val="Ruby (4)"/>
      <sheetName val="pall"/>
      <sheetName val="pall (2)"/>
      <sheetName val="pall (3)"/>
      <sheetName val="pall (4)"/>
      <sheetName val="pall (5)"/>
      <sheetName val="pall (6)"/>
      <sheetName val="pall (7)"/>
      <sheetName val="pall (8)"/>
      <sheetName val="pall (9)"/>
      <sheetName val="pall (033)"/>
      <sheetName val="PALL-113"/>
      <sheetName val="PALL-113 (R1)"/>
      <sheetName val="PALL-230"/>
      <sheetName val="PALL-256"/>
      <sheetName val="pall-291"/>
      <sheetName val="Data sheet"/>
      <sheetName val="Fin Sum"/>
      <sheetName val="Summary year Plan"/>
      <sheetName val="Civil Boq"/>
      <sheetName val="Package split - Cost"/>
      <sheetName val="Fill this out first..."/>
      <sheetName val="Structure Bills Qty"/>
      <sheetName val="Break up Sheet"/>
      <sheetName val="Digestion"/>
      <sheetName val="Consolidated"/>
      <sheetName val="IO_LIST"/>
      <sheetName val="Recommended_Spares"/>
      <sheetName val="IO_LIST1"/>
      <sheetName val="Recommended_Spares1"/>
      <sheetName val="TBAL9697_-group_wise__sdpl"/>
      <sheetName val="Civil_Works"/>
      <sheetName val="Name_List"/>
      <sheetName val="IO_LIST2"/>
      <sheetName val="Recommended_Spares2"/>
      <sheetName val="TBAL9697_-group_wise__sdpl1"/>
      <sheetName val="Civil_Works1"/>
      <sheetName val="Name_List1"/>
      <sheetName val="Basement Budget"/>
      <sheetName val=""/>
      <sheetName val="List"/>
      <sheetName val="Summary_Bank"/>
      <sheetName val="Per Unit"/>
      <sheetName val="Window"/>
      <sheetName val="Discount"/>
      <sheetName val="COMP"/>
      <sheetName val="Mantri A"/>
      <sheetName val="key dates"/>
      <sheetName val="Actuals"/>
      <sheetName val="ducting"/>
      <sheetName val="Formulas"/>
      <sheetName val="Design"/>
      <sheetName val="13. Steel - Ratio"/>
      <sheetName val="COP Final"/>
      <sheetName val="Config"/>
      <sheetName val="Break Dw"/>
      <sheetName val="col-reinft1"/>
      <sheetName val="d_m_yy"/>
      <sheetName val="d_m_yy__x0013__$-1010000_d_m_yyyy__x001e__$"/>
      <sheetName val="Lookup"/>
      <sheetName val="DJC"/>
      <sheetName val="Controls"/>
      <sheetName val="cubes_M20"/>
      <sheetName val="[Offer.xls]d_m_yy_____1010000_2"/>
      <sheetName val="[Offer.xls]d_m_yy_____1010000_3"/>
      <sheetName val="VAV"/>
      <sheetName val="BOQ"/>
      <sheetName val="Build-up"/>
      <sheetName val="analysis"/>
      <sheetName val="Works - Quote Sheet"/>
      <sheetName val="BOQ-Civil"/>
      <sheetName val="calcul"/>
      <sheetName val="Item- Compact"/>
      <sheetName val="Driveway Beams"/>
      <sheetName val="RA"/>
      <sheetName val="Labour"/>
      <sheetName val="Offer"/>
      <sheetName val="Mat_Cost"/>
      <sheetName val="Det_Des"/>
      <sheetName val="Rates Basic"/>
      <sheetName val="Cashflow projection"/>
      <sheetName val="Components"/>
      <sheetName val="Assumptions"/>
      <sheetName val="coa_ramco_168"/>
      <sheetName val="d_m_yy__x005f_x0013__$-1010000_d_m_yy"/>
      <sheetName val="d_m_yy_x005f_x0000__x005f_x0013__$-1010000_"/>
      <sheetName val="sept-plan"/>
      <sheetName val="Staff Acco."/>
      <sheetName val="Door"/>
      <sheetName val="Sheet4"/>
      <sheetName val="d_m_yy__x0013__$-1010000_d_m_yy"/>
      <sheetName val="d_m_yy_x0000__x0013__$-1010000_"/>
      <sheetName val="2.civil-RA"/>
      <sheetName val="TEXT"/>
      <sheetName val="Sensitivity"/>
      <sheetName val="labour rates"/>
      <sheetName val="d_m_yy__x005f_x005f_x005f_x0013__$-1010000_"/>
      <sheetName val="d_m_yy_x005f_x005f_x005f_x0000__x005f_x005f_x0013"/>
      <sheetName val="RA-markate"/>
      <sheetName val="Parameter"/>
      <sheetName val="1_Project_Profile"/>
      <sheetName val="PRECAST lightconc-II"/>
      <sheetName val="loads at base of pier"/>
      <sheetName val="17"/>
      <sheetName val="Assmpns"/>
      <sheetName val="zone-8"/>
      <sheetName val="MHNO_LEV"/>
      <sheetName val="co_5"/>
      <sheetName val="zone-2"/>
      <sheetName val="Z1_DATA"/>
      <sheetName val="D2_CO"/>
      <sheetName val="D1_CO"/>
      <sheetName val="DOOR-WIND"/>
      <sheetName val="inWords"/>
      <sheetName val="csdim"/>
      <sheetName val="cdsload"/>
      <sheetName val="chsload"/>
      <sheetName val="CLAMP"/>
      <sheetName val="cvsload"/>
      <sheetName val="pipe"/>
      <sheetName val="SPILL OVER"/>
      <sheetName val="[Offer.xls]d_m_yy_____1010000_4"/>
      <sheetName val="[Offer.xls]d_m_yy_____1010000_5"/>
      <sheetName val="[Offer.xls]d_m_yy_____1010000_6"/>
      <sheetName val="[Offer.xls]d_m_yy_____1010000_7"/>
      <sheetName val="[Offer.xls]d_m_yy_____1010000_8"/>
      <sheetName val="[Offer.xls]d_m_yy_____1010000_9"/>
      <sheetName val="[Offer.xls]d_m_yy_____101000_12"/>
      <sheetName val="[Offer.xls]d_m_yy_____101000_13"/>
      <sheetName val="[Offer.xls]d_m_yy_____101000_10"/>
      <sheetName val="[Offer.xls]d_m_yy_____101000_11"/>
      <sheetName val="[Offer.xls]d_m_yy_____101000_14"/>
      <sheetName val="[Offer.xls]d_m_yy_____101000_15"/>
      <sheetName val="[Offer.xls]d_m_yy_____101000_16"/>
      <sheetName val="[Offer.xls]d_m_yy_____101000_17"/>
      <sheetName val="[Offer.xls]d_m_yy_____101000_18"/>
      <sheetName val="[Offer.xls]d_m_yy_____101000_19"/>
      <sheetName val="[Offer.xls]d_m_yy_____101000_20"/>
      <sheetName val="[Offer.xls]d_m_yy_____101000_21"/>
      <sheetName val="[Offer.xls]d_m_yy_____101000_22"/>
      <sheetName val="[Offer.xls]d_m_yy_____101000_23"/>
      <sheetName val="[Offer.xls]d_m_yy_____101000_24"/>
      <sheetName val="[Offer.xls]d_m_yy_____101000_25"/>
      <sheetName val="[Offer.xls]d_m_yy_____101000_26"/>
      <sheetName val="[Offer.xls]d_m_yy_____101000_27"/>
      <sheetName val="[Offer.xls]d_m_yy_____101000_28"/>
      <sheetName val="[Offer.xls]d_m_yy_____101000_29"/>
      <sheetName val="[Offer.xls]d_m_yy_____101000_30"/>
      <sheetName val="[Offer.xls]d_m_yy_____101000_31"/>
      <sheetName val="[Offer.xls]d_m_yy_____101000_32"/>
      <sheetName val="[Offer.xls]d_m_yy_____101000_33"/>
      <sheetName val="[Offer.xls]d_m_yy_____101000_34"/>
      <sheetName val="[Offer.xls]d_m_yy_____101000_35"/>
      <sheetName val="[Offer.xls]d_m_yy_____101000_36"/>
      <sheetName val="[Offer.xls]d_m_yy_____101000_37"/>
      <sheetName val="[Offer.xls]d_m_yy_____101000_40"/>
      <sheetName val="[Offer.xls]d_m_yy_____101000_41"/>
      <sheetName val="[Offer.xls]d_m_yy_____101000_38"/>
      <sheetName val="[Offer.xls]d_m_yy_____101000_39"/>
      <sheetName val="[Offer.xls]d_m_yy_____101000_42"/>
      <sheetName val="[Offer.xls]d_m_yy_____101000_43"/>
      <sheetName val="[Offer.xls]d_m_yy_____101000_44"/>
      <sheetName val="[Offer.xls]d_m_yy_____101000_45"/>
      <sheetName val="[Offer.xls]d_m_yy_____101000_48"/>
      <sheetName val="[Offer.xls]d_m_yy_____101000_49"/>
      <sheetName val="[Offer.xls]d_m_yy_____101000_46"/>
      <sheetName val="[Offer.xls]d_m_yy_____101000_47"/>
      <sheetName val="[Offer.xls]d_m_yy_____101000_58"/>
      <sheetName val="[Offer.xls]d_m_yy_____101000_59"/>
      <sheetName val="[Offer.xls]d_m_yy_____101000_54"/>
      <sheetName val="[Offer.xls]d_m_yy_____101000_55"/>
      <sheetName val="[Offer.xls]d_m_yy_____101000_52"/>
      <sheetName val="[Offer.xls]d_m_yy_____101000_53"/>
      <sheetName val="[Offer.xls]d_m_yy_____101000_50"/>
      <sheetName val="[Offer.xls]d_m_yy_____101000_51"/>
      <sheetName val="[Offer.xls]d_m_yy_____101000_56"/>
      <sheetName val="[Offer.xls]d_m_yy_____101000_57"/>
      <sheetName val="[Offer.xls]d_m_yy_____101000_60"/>
      <sheetName val="[Offer.xls]d_m_yy_____101000_61"/>
      <sheetName val="[Offer.xls]d_m_yy_____101000_66"/>
      <sheetName val="[Offer.xls]d_m_yy_____101000_67"/>
      <sheetName val="[Offer.xls]d_m_yy_____101000_62"/>
      <sheetName val="[Offer.xls]d_m_yy_____101000_63"/>
      <sheetName val="[Offer.xls]d_m_yy_____101000_64"/>
      <sheetName val="[Offer.xls]d_m_yy_____101000_65"/>
      <sheetName val="[Offer.xls]d_m_yy_____101000_70"/>
      <sheetName val="[Offer.xls]d_m_yy_____101000_71"/>
      <sheetName val="[Offer.xls]d_m_yy_____101000_68"/>
      <sheetName val="[Offer.xls]d_m_yy_____101000_69"/>
    </sheetNames>
    <sheetDataSet>
      <sheetData sheetId="0">
        <row r="8">
          <cell r="J8">
            <v>1.17746</v>
          </cell>
        </row>
      </sheetData>
      <sheetData sheetId="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Card Collections"/>
      <sheetName val="Consumer"/>
      <sheetName val="Govt"/>
      <sheetName val="Commercial"/>
      <sheetName val="collections plan 0401"/>
    </sheetNames>
    <sheetDataSet>
      <sheetData sheetId="0" refreshError="1"/>
      <sheetData sheetId="1"/>
      <sheetData sheetId="2"/>
      <sheetData sheetId="3"/>
      <sheetData sheetId="4" refreshError="1">
        <row r="105">
          <cell r="C105" t="str">
            <v>600300</v>
          </cell>
          <cell r="D105" t="str">
            <v>4</v>
          </cell>
          <cell r="E105" t="str">
            <v xml:space="preserve">      Salaries &amp; Wages                  </v>
          </cell>
          <cell r="F105">
            <v>1918</v>
          </cell>
          <cell r="G105">
            <v>1856</v>
          </cell>
          <cell r="H105">
            <v>1909</v>
          </cell>
          <cell r="I105">
            <v>1871</v>
          </cell>
          <cell r="J105">
            <v>1926</v>
          </cell>
          <cell r="K105">
            <v>1896</v>
          </cell>
          <cell r="L105">
            <v>1976</v>
          </cell>
          <cell r="M105">
            <v>1979</v>
          </cell>
          <cell r="N105">
            <v>1983</v>
          </cell>
          <cell r="O105">
            <v>2022</v>
          </cell>
          <cell r="P105">
            <v>2004</v>
          </cell>
          <cell r="Q105">
            <v>2068</v>
          </cell>
          <cell r="R105">
            <v>23408</v>
          </cell>
        </row>
        <row r="106">
          <cell r="C106" t="str">
            <v>601000</v>
          </cell>
          <cell r="D106" t="str">
            <v>4</v>
          </cell>
          <cell r="E106" t="str">
            <v xml:space="preserve">      Overtime Salaries                 </v>
          </cell>
          <cell r="F106">
            <v>32</v>
          </cell>
          <cell r="G106">
            <v>30</v>
          </cell>
          <cell r="H106">
            <v>29</v>
          </cell>
          <cell r="I106">
            <v>31</v>
          </cell>
          <cell r="J106">
            <v>31</v>
          </cell>
          <cell r="K106">
            <v>29</v>
          </cell>
          <cell r="L106">
            <v>34</v>
          </cell>
          <cell r="M106">
            <v>32</v>
          </cell>
          <cell r="N106">
            <v>31</v>
          </cell>
          <cell r="O106">
            <v>34</v>
          </cell>
          <cell r="P106">
            <v>33</v>
          </cell>
          <cell r="Q106">
            <v>32</v>
          </cell>
          <cell r="R106">
            <v>378</v>
          </cell>
        </row>
        <row r="107">
          <cell r="C107" t="str">
            <v>601500</v>
          </cell>
          <cell r="D107" t="str">
            <v>4</v>
          </cell>
          <cell r="E107" t="str">
            <v xml:space="preserve">      Incentive Compensation            </v>
          </cell>
          <cell r="F107">
            <v>430</v>
          </cell>
          <cell r="G107">
            <v>420</v>
          </cell>
          <cell r="H107">
            <v>429</v>
          </cell>
          <cell r="I107">
            <v>641</v>
          </cell>
          <cell r="J107">
            <v>501</v>
          </cell>
          <cell r="K107">
            <v>496</v>
          </cell>
          <cell r="L107">
            <v>506</v>
          </cell>
          <cell r="M107">
            <v>503</v>
          </cell>
          <cell r="N107">
            <v>504</v>
          </cell>
          <cell r="O107">
            <v>507</v>
          </cell>
          <cell r="P107">
            <v>505</v>
          </cell>
          <cell r="Q107">
            <v>514</v>
          </cell>
          <cell r="R107">
            <v>5956</v>
          </cell>
        </row>
        <row r="108">
          <cell r="C108" t="str">
            <v>602000</v>
          </cell>
          <cell r="D108" t="str">
            <v>4</v>
          </cell>
          <cell r="E108" t="str">
            <v xml:space="preserve">      Contract Temporary/Other Compensat</v>
          </cell>
          <cell r="F108">
            <v>12</v>
          </cell>
          <cell r="G108">
            <v>14</v>
          </cell>
          <cell r="H108">
            <v>17</v>
          </cell>
          <cell r="I108">
            <v>12</v>
          </cell>
          <cell r="J108">
            <v>10</v>
          </cell>
          <cell r="K108">
            <v>18</v>
          </cell>
          <cell r="L108">
            <v>10</v>
          </cell>
          <cell r="M108">
            <v>12</v>
          </cell>
          <cell r="N108">
            <v>16</v>
          </cell>
          <cell r="O108">
            <v>13</v>
          </cell>
          <cell r="P108">
            <v>12</v>
          </cell>
          <cell r="Q108">
            <v>20</v>
          </cell>
          <cell r="R108">
            <v>166</v>
          </cell>
        </row>
        <row r="109">
          <cell r="C109" t="str">
            <v>603000</v>
          </cell>
          <cell r="D109" t="str">
            <v>4</v>
          </cell>
          <cell r="E109" t="str">
            <v xml:space="preserve">      Employee Benefits                 </v>
          </cell>
          <cell r="F109">
            <v>390</v>
          </cell>
          <cell r="G109">
            <v>377.2</v>
          </cell>
          <cell r="H109">
            <v>387.6</v>
          </cell>
          <cell r="I109">
            <v>380.4</v>
          </cell>
          <cell r="J109">
            <v>391.4</v>
          </cell>
          <cell r="K109">
            <v>385</v>
          </cell>
          <cell r="L109">
            <v>402</v>
          </cell>
          <cell r="M109">
            <v>402.2</v>
          </cell>
          <cell r="N109">
            <v>402.8</v>
          </cell>
          <cell r="O109">
            <v>411.2</v>
          </cell>
          <cell r="P109">
            <v>407.4</v>
          </cell>
          <cell r="Q109">
            <v>420</v>
          </cell>
          <cell r="R109">
            <v>4757.2</v>
          </cell>
        </row>
        <row r="110">
          <cell r="C110" t="str">
            <v>607500</v>
          </cell>
          <cell r="D110" t="str">
            <v>4</v>
          </cell>
          <cell r="E110" t="str">
            <v xml:space="preserve">      Capitalized Personnel Expense     </v>
          </cell>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C111" t="str">
            <v>600250</v>
          </cell>
          <cell r="D111" t="str">
            <v>2</v>
          </cell>
          <cell r="E111" t="str">
            <v xml:space="preserve">  Personnel                             </v>
          </cell>
          <cell r="F111">
            <v>2782</v>
          </cell>
          <cell r="G111">
            <v>2697.2</v>
          </cell>
          <cell r="H111">
            <v>2771.6</v>
          </cell>
          <cell r="I111">
            <v>2935.4</v>
          </cell>
          <cell r="J111">
            <v>2859.4</v>
          </cell>
          <cell r="K111">
            <v>2824</v>
          </cell>
          <cell r="L111">
            <v>2928</v>
          </cell>
          <cell r="M111">
            <v>2928.2</v>
          </cell>
          <cell r="N111">
            <v>2936.8</v>
          </cell>
          <cell r="O111">
            <v>2987.2</v>
          </cell>
          <cell r="P111">
            <v>2961.4</v>
          </cell>
          <cell r="Q111">
            <v>3054</v>
          </cell>
          <cell r="R111">
            <v>34665.199999999997</v>
          </cell>
        </row>
        <row r="112">
          <cell r="C112" t="str">
            <v>610200A</v>
          </cell>
          <cell r="D112" t="str">
            <v>3</v>
          </cell>
          <cell r="E112" t="str">
            <v xml:space="preserve">    Rental &amp; Service Income-Premises    </v>
          </cell>
          <cell r="F112">
            <v>0</v>
          </cell>
          <cell r="G112">
            <v>0</v>
          </cell>
          <cell r="H112">
            <v>0</v>
          </cell>
          <cell r="I112">
            <v>0</v>
          </cell>
          <cell r="J112">
            <v>0</v>
          </cell>
          <cell r="K112">
            <v>0</v>
          </cell>
          <cell r="L112">
            <v>0</v>
          </cell>
          <cell r="M112">
            <v>0</v>
          </cell>
          <cell r="N112">
            <v>0</v>
          </cell>
          <cell r="O112">
            <v>0</v>
          </cell>
          <cell r="P112">
            <v>0</v>
          </cell>
          <cell r="Q112">
            <v>0</v>
          </cell>
          <cell r="R112">
            <v>0</v>
          </cell>
        </row>
        <row r="113">
          <cell r="C113" t="str">
            <v>612000A</v>
          </cell>
          <cell r="D113" t="str">
            <v>3</v>
          </cell>
          <cell r="E113" t="str">
            <v xml:space="preserve">    Rental Expense                      </v>
          </cell>
          <cell r="F113">
            <v>0</v>
          </cell>
          <cell r="G113">
            <v>0</v>
          </cell>
          <cell r="H113">
            <v>0</v>
          </cell>
          <cell r="I113">
            <v>0</v>
          </cell>
          <cell r="J113">
            <v>0</v>
          </cell>
          <cell r="K113">
            <v>0</v>
          </cell>
          <cell r="L113">
            <v>0</v>
          </cell>
          <cell r="M113">
            <v>0</v>
          </cell>
          <cell r="N113">
            <v>0</v>
          </cell>
          <cell r="O113">
            <v>0</v>
          </cell>
          <cell r="P113">
            <v>0</v>
          </cell>
          <cell r="Q113">
            <v>0</v>
          </cell>
          <cell r="R113">
            <v>0</v>
          </cell>
        </row>
        <row r="114">
          <cell r="C114" t="str">
            <v>613000A</v>
          </cell>
          <cell r="D114" t="str">
            <v>3</v>
          </cell>
          <cell r="E114" t="str">
            <v xml:space="preserve">    Utilities                           </v>
          </cell>
          <cell r="F114">
            <v>0</v>
          </cell>
          <cell r="G114">
            <v>0</v>
          </cell>
          <cell r="H114">
            <v>0</v>
          </cell>
          <cell r="I114">
            <v>0</v>
          </cell>
          <cell r="J114">
            <v>0</v>
          </cell>
          <cell r="K114">
            <v>0</v>
          </cell>
          <cell r="L114">
            <v>0</v>
          </cell>
          <cell r="M114">
            <v>0</v>
          </cell>
          <cell r="N114">
            <v>0</v>
          </cell>
          <cell r="O114">
            <v>0</v>
          </cell>
          <cell r="P114">
            <v>0</v>
          </cell>
          <cell r="Q114">
            <v>0</v>
          </cell>
          <cell r="R114">
            <v>0</v>
          </cell>
        </row>
        <row r="115">
          <cell r="C115" t="str">
            <v>614000A</v>
          </cell>
          <cell r="D115" t="str">
            <v>3</v>
          </cell>
          <cell r="E115" t="str">
            <v xml:space="preserve">    Building Depreciation/Amortization  </v>
          </cell>
          <cell r="F115">
            <v>0</v>
          </cell>
          <cell r="G115">
            <v>0</v>
          </cell>
          <cell r="H115">
            <v>0</v>
          </cell>
          <cell r="I115">
            <v>0</v>
          </cell>
          <cell r="J115">
            <v>0</v>
          </cell>
          <cell r="K115">
            <v>0</v>
          </cell>
          <cell r="L115">
            <v>0</v>
          </cell>
          <cell r="M115">
            <v>0</v>
          </cell>
          <cell r="N115">
            <v>0</v>
          </cell>
          <cell r="O115">
            <v>0</v>
          </cell>
          <cell r="P115">
            <v>0</v>
          </cell>
          <cell r="Q115">
            <v>0</v>
          </cell>
          <cell r="R115">
            <v>0</v>
          </cell>
        </row>
        <row r="116">
          <cell r="C116" t="str">
            <v>615000A</v>
          </cell>
          <cell r="D116" t="str">
            <v>3</v>
          </cell>
          <cell r="E116" t="str">
            <v xml:space="preserve">    Property Taxes &amp; Insurance          </v>
          </cell>
          <cell r="F116">
            <v>0</v>
          </cell>
          <cell r="G116">
            <v>0</v>
          </cell>
          <cell r="H116">
            <v>0</v>
          </cell>
          <cell r="I116">
            <v>0</v>
          </cell>
          <cell r="J116">
            <v>0</v>
          </cell>
          <cell r="K116">
            <v>0</v>
          </cell>
          <cell r="L116">
            <v>0</v>
          </cell>
          <cell r="M116">
            <v>0</v>
          </cell>
          <cell r="N116">
            <v>0</v>
          </cell>
          <cell r="O116">
            <v>0</v>
          </cell>
          <cell r="P116">
            <v>0</v>
          </cell>
          <cell r="Q116">
            <v>0</v>
          </cell>
          <cell r="R116">
            <v>0</v>
          </cell>
        </row>
        <row r="117">
          <cell r="C117" t="str">
            <v>616100A</v>
          </cell>
          <cell r="D117" t="str">
            <v>4</v>
          </cell>
          <cell r="E117" t="str">
            <v xml:space="preserve">      Other Building Operating          </v>
          </cell>
          <cell r="F117">
            <v>0</v>
          </cell>
          <cell r="G117">
            <v>0</v>
          </cell>
          <cell r="H117">
            <v>0</v>
          </cell>
          <cell r="I117">
            <v>0</v>
          </cell>
          <cell r="J117">
            <v>0</v>
          </cell>
          <cell r="K117">
            <v>0</v>
          </cell>
          <cell r="L117">
            <v>0</v>
          </cell>
          <cell r="M117">
            <v>0</v>
          </cell>
          <cell r="N117">
            <v>0</v>
          </cell>
          <cell r="O117">
            <v>0</v>
          </cell>
          <cell r="P117">
            <v>0</v>
          </cell>
          <cell r="Q117">
            <v>0</v>
          </cell>
          <cell r="R117">
            <v>0</v>
          </cell>
        </row>
        <row r="118">
          <cell r="C118" t="str">
            <v>617000A</v>
          </cell>
          <cell r="D118" t="str">
            <v>4</v>
          </cell>
          <cell r="E118" t="str">
            <v xml:space="preserve">      Cleaning &amp; Janitorial             </v>
          </cell>
          <cell r="F118">
            <v>0</v>
          </cell>
          <cell r="G118">
            <v>0</v>
          </cell>
          <cell r="H118">
            <v>0</v>
          </cell>
          <cell r="I118">
            <v>0</v>
          </cell>
          <cell r="J118">
            <v>0</v>
          </cell>
          <cell r="K118">
            <v>0</v>
          </cell>
          <cell r="L118">
            <v>0</v>
          </cell>
          <cell r="M118">
            <v>0</v>
          </cell>
          <cell r="N118">
            <v>0</v>
          </cell>
          <cell r="O118">
            <v>0</v>
          </cell>
          <cell r="P118">
            <v>0</v>
          </cell>
          <cell r="Q118">
            <v>0</v>
          </cell>
          <cell r="R118">
            <v>0</v>
          </cell>
        </row>
        <row r="119">
          <cell r="C119" t="str">
            <v>618000A</v>
          </cell>
          <cell r="D119" t="str">
            <v>4</v>
          </cell>
          <cell r="E119" t="str">
            <v xml:space="preserve">      Repairs &amp; Maintenance             </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C120" t="str">
            <v>619000A</v>
          </cell>
          <cell r="D120" t="str">
            <v>4</v>
          </cell>
          <cell r="E120" t="str">
            <v xml:space="preserve">      Other Occupancy Expense-Other     </v>
          </cell>
          <cell r="F120">
            <v>-2</v>
          </cell>
          <cell r="G120">
            <v>-1</v>
          </cell>
          <cell r="H120">
            <v>-2</v>
          </cell>
          <cell r="I120">
            <v>-1</v>
          </cell>
          <cell r="J120">
            <v>-2</v>
          </cell>
          <cell r="K120">
            <v>-1</v>
          </cell>
          <cell r="L120">
            <v>-2</v>
          </cell>
          <cell r="M120">
            <v>-1</v>
          </cell>
          <cell r="N120">
            <v>-2</v>
          </cell>
          <cell r="O120">
            <v>-1</v>
          </cell>
          <cell r="P120">
            <v>-2</v>
          </cell>
          <cell r="Q120">
            <v>-2</v>
          </cell>
          <cell r="R120">
            <v>-19</v>
          </cell>
        </row>
        <row r="121">
          <cell r="C121" t="str">
            <v>619825A</v>
          </cell>
          <cell r="D121" t="str">
            <v>4</v>
          </cell>
          <cell r="E121" t="str">
            <v xml:space="preserve">      Property Management Fees          </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t="str">
            <v>616000A</v>
          </cell>
          <cell r="D122" t="str">
            <v>3</v>
          </cell>
          <cell r="E122" t="str">
            <v xml:space="preserve">    Other Occupancy Expenses            </v>
          </cell>
          <cell r="F122">
            <v>-2</v>
          </cell>
          <cell r="G122">
            <v>-1</v>
          </cell>
          <cell r="H122">
            <v>-2</v>
          </cell>
          <cell r="I122">
            <v>-1</v>
          </cell>
          <cell r="J122">
            <v>-2</v>
          </cell>
          <cell r="K122">
            <v>-1</v>
          </cell>
          <cell r="L122">
            <v>-2</v>
          </cell>
          <cell r="M122">
            <v>-1</v>
          </cell>
          <cell r="N122">
            <v>-2</v>
          </cell>
          <cell r="O122">
            <v>-1</v>
          </cell>
          <cell r="P122">
            <v>-2</v>
          </cell>
          <cell r="Q122">
            <v>-2</v>
          </cell>
          <cell r="R122">
            <v>-19</v>
          </cell>
        </row>
        <row r="123">
          <cell r="C123" t="str">
            <v>619900</v>
          </cell>
          <cell r="D123" t="str">
            <v>3</v>
          </cell>
          <cell r="E123" t="str">
            <v xml:space="preserve">    Occupancy Exp Chargeouts I/C        </v>
          </cell>
          <cell r="F123">
            <v>324.23</v>
          </cell>
          <cell r="G123">
            <v>324.23</v>
          </cell>
          <cell r="H123">
            <v>420.23</v>
          </cell>
          <cell r="I123">
            <v>356.23</v>
          </cell>
          <cell r="J123">
            <v>356.23</v>
          </cell>
          <cell r="K123">
            <v>356.23</v>
          </cell>
          <cell r="L123">
            <v>356.23</v>
          </cell>
          <cell r="M123">
            <v>356.23</v>
          </cell>
          <cell r="N123">
            <v>356.23</v>
          </cell>
          <cell r="O123">
            <v>356.23</v>
          </cell>
          <cell r="P123">
            <v>356.23</v>
          </cell>
          <cell r="Q123">
            <v>356.23</v>
          </cell>
          <cell r="R123">
            <v>4274.76</v>
          </cell>
        </row>
        <row r="124">
          <cell r="C124" t="str">
            <v>610000</v>
          </cell>
          <cell r="D124" t="str">
            <v>2</v>
          </cell>
          <cell r="E124" t="str">
            <v xml:space="preserve">  Net Occupancy                         </v>
          </cell>
          <cell r="F124">
            <v>322.23</v>
          </cell>
          <cell r="G124">
            <v>323.23</v>
          </cell>
          <cell r="H124">
            <v>418.23</v>
          </cell>
          <cell r="I124">
            <v>355.23</v>
          </cell>
          <cell r="J124">
            <v>354.23</v>
          </cell>
          <cell r="K124">
            <v>355.23</v>
          </cell>
          <cell r="L124">
            <v>354.23</v>
          </cell>
          <cell r="M124">
            <v>355.23</v>
          </cell>
          <cell r="N124">
            <v>354.23</v>
          </cell>
          <cell r="O124">
            <v>355.23</v>
          </cell>
          <cell r="P124">
            <v>354.23</v>
          </cell>
          <cell r="Q124">
            <v>354.23</v>
          </cell>
          <cell r="R124">
            <v>4255.76</v>
          </cell>
        </row>
        <row r="125">
          <cell r="C125" t="str">
            <v>620200A</v>
          </cell>
          <cell r="D125" t="str">
            <v>3</v>
          </cell>
          <cell r="E125" t="str">
            <v xml:space="preserve">    Equipment Depreciation              </v>
          </cell>
          <cell r="F125">
            <v>14.14</v>
          </cell>
          <cell r="G125">
            <v>13.94</v>
          </cell>
          <cell r="H125">
            <v>13.9</v>
          </cell>
          <cell r="I125">
            <v>13.4</v>
          </cell>
          <cell r="J125">
            <v>13.4</v>
          </cell>
          <cell r="K125">
            <v>13.25</v>
          </cell>
          <cell r="L125">
            <v>13.18</v>
          </cell>
          <cell r="M125">
            <v>13.18</v>
          </cell>
          <cell r="N125">
            <v>13.18</v>
          </cell>
          <cell r="O125">
            <v>13.18</v>
          </cell>
          <cell r="P125">
            <v>13.01</v>
          </cell>
          <cell r="Q125">
            <v>12.47</v>
          </cell>
          <cell r="R125">
            <v>160.22999999999999</v>
          </cell>
        </row>
        <row r="126">
          <cell r="C126" t="str">
            <v>621000A</v>
          </cell>
          <cell r="D126" t="str">
            <v>3</v>
          </cell>
          <cell r="E126" t="str">
            <v xml:space="preserve">    Rental                              </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t="str">
            <v>622000A</v>
          </cell>
          <cell r="D127" t="str">
            <v>3</v>
          </cell>
          <cell r="E127" t="str">
            <v xml:space="preserve">    Maintenance/Other                   </v>
          </cell>
          <cell r="F127">
            <v>87</v>
          </cell>
          <cell r="G127">
            <v>91</v>
          </cell>
          <cell r="H127">
            <v>95</v>
          </cell>
          <cell r="I127">
            <v>89</v>
          </cell>
          <cell r="J127">
            <v>86</v>
          </cell>
          <cell r="K127">
            <v>80</v>
          </cell>
          <cell r="L127">
            <v>78</v>
          </cell>
          <cell r="M127">
            <v>74</v>
          </cell>
          <cell r="N127">
            <v>76</v>
          </cell>
          <cell r="O127">
            <v>82</v>
          </cell>
          <cell r="P127">
            <v>76</v>
          </cell>
          <cell r="Q127">
            <v>76</v>
          </cell>
          <cell r="R127">
            <v>990</v>
          </cell>
        </row>
        <row r="128">
          <cell r="C128" t="str">
            <v>622900</v>
          </cell>
          <cell r="D128" t="str">
            <v>3</v>
          </cell>
          <cell r="E128" t="str">
            <v xml:space="preserve">    Furniture &amp; Equip Chargeouts I/C    </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t="str">
            <v>620000</v>
          </cell>
          <cell r="D129" t="str">
            <v>2</v>
          </cell>
          <cell r="E129" t="str">
            <v xml:space="preserve">  Furniture &amp; Equipment                 </v>
          </cell>
          <cell r="F129">
            <v>101.14</v>
          </cell>
          <cell r="G129">
            <v>104.94</v>
          </cell>
          <cell r="H129">
            <v>108.9</v>
          </cell>
          <cell r="I129">
            <v>102.4</v>
          </cell>
          <cell r="J129">
            <v>99.4</v>
          </cell>
          <cell r="K129">
            <v>93.25</v>
          </cell>
          <cell r="L129">
            <v>91.18</v>
          </cell>
          <cell r="M129">
            <v>87.18</v>
          </cell>
          <cell r="N129">
            <v>89.18</v>
          </cell>
          <cell r="O129">
            <v>95.18</v>
          </cell>
          <cell r="P129">
            <v>89.01</v>
          </cell>
          <cell r="Q129">
            <v>88.47</v>
          </cell>
          <cell r="R129">
            <v>1150.23</v>
          </cell>
        </row>
        <row r="130">
          <cell r="C130" t="str">
            <v>623200A</v>
          </cell>
          <cell r="D130" t="str">
            <v>3</v>
          </cell>
          <cell r="E130" t="str">
            <v xml:space="preserve">    Advertising                         </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t="str">
            <v>624000A</v>
          </cell>
          <cell r="D131" t="str">
            <v>3</v>
          </cell>
          <cell r="E131" t="str">
            <v xml:space="preserve">    Public Relations &amp; Promotional      </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t="str">
            <v>626000A</v>
          </cell>
          <cell r="D132" t="str">
            <v>3</v>
          </cell>
          <cell r="E132" t="str">
            <v xml:space="preserve">    Business Development                </v>
          </cell>
          <cell r="F132">
            <v>9</v>
          </cell>
          <cell r="G132">
            <v>8</v>
          </cell>
          <cell r="H132">
            <v>9</v>
          </cell>
          <cell r="I132">
            <v>8</v>
          </cell>
          <cell r="J132">
            <v>9</v>
          </cell>
          <cell r="K132">
            <v>8</v>
          </cell>
          <cell r="L132">
            <v>8</v>
          </cell>
          <cell r="M132">
            <v>9</v>
          </cell>
          <cell r="N132">
            <v>8</v>
          </cell>
          <cell r="O132">
            <v>8</v>
          </cell>
          <cell r="P132">
            <v>9</v>
          </cell>
          <cell r="Q132">
            <v>8</v>
          </cell>
          <cell r="R132">
            <v>101</v>
          </cell>
        </row>
        <row r="133">
          <cell r="C133" t="str">
            <v>629000A</v>
          </cell>
          <cell r="D133" t="str">
            <v>3</v>
          </cell>
          <cell r="E133" t="str">
            <v xml:space="preserve">    Charitable Contributions            </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t="str">
            <v>623000</v>
          </cell>
          <cell r="D134" t="str">
            <v>2</v>
          </cell>
          <cell r="E134" t="str">
            <v xml:space="preserve">  Marketing &amp; Promotional               </v>
          </cell>
          <cell r="F134">
            <v>9</v>
          </cell>
          <cell r="G134">
            <v>8</v>
          </cell>
          <cell r="H134">
            <v>9</v>
          </cell>
          <cell r="I134">
            <v>8</v>
          </cell>
          <cell r="J134">
            <v>9</v>
          </cell>
          <cell r="K134">
            <v>8</v>
          </cell>
          <cell r="L134">
            <v>8</v>
          </cell>
          <cell r="M134">
            <v>9</v>
          </cell>
          <cell r="N134">
            <v>8</v>
          </cell>
          <cell r="O134">
            <v>8</v>
          </cell>
          <cell r="P134">
            <v>9</v>
          </cell>
          <cell r="Q134">
            <v>8</v>
          </cell>
          <cell r="R134">
            <v>101</v>
          </cell>
        </row>
        <row r="135">
          <cell r="C135" t="str">
            <v>630200A</v>
          </cell>
          <cell r="D135" t="str">
            <v>3</v>
          </cell>
          <cell r="E135" t="str">
            <v xml:space="preserve">    Legal                               </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t="str">
            <v>634000</v>
          </cell>
          <cell r="D136" t="str">
            <v>4</v>
          </cell>
          <cell r="E136" t="str">
            <v xml:space="preserve">      Consulting Fees                   </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t="str">
            <v>630999B</v>
          </cell>
          <cell r="D137" t="str">
            <v>3</v>
          </cell>
          <cell r="E137" t="str">
            <v xml:space="preserve">    Consulting                          </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t="str">
            <v>631000</v>
          </cell>
          <cell r="D138" t="str">
            <v>4</v>
          </cell>
          <cell r="E138" t="str">
            <v xml:space="preserve">      Accounting Fees                   </v>
          </cell>
          <cell r="F138">
            <v>2</v>
          </cell>
          <cell r="G138">
            <v>3</v>
          </cell>
          <cell r="H138">
            <v>3</v>
          </cell>
          <cell r="I138">
            <v>0</v>
          </cell>
          <cell r="J138">
            <v>1</v>
          </cell>
          <cell r="K138">
            <v>3</v>
          </cell>
          <cell r="L138">
            <v>0</v>
          </cell>
          <cell r="M138">
            <v>2</v>
          </cell>
          <cell r="N138">
            <v>4</v>
          </cell>
          <cell r="O138">
            <v>1</v>
          </cell>
          <cell r="P138">
            <v>2</v>
          </cell>
          <cell r="Q138">
            <v>4</v>
          </cell>
          <cell r="R138">
            <v>25</v>
          </cell>
        </row>
        <row r="139">
          <cell r="C139" t="str">
            <v>635000</v>
          </cell>
          <cell r="D139" t="str">
            <v>4</v>
          </cell>
          <cell r="E139" t="str">
            <v xml:space="preserve">      Other Professional Fees - Other   </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t="str">
            <v>630999D</v>
          </cell>
          <cell r="D140" t="str">
            <v>3</v>
          </cell>
          <cell r="E140" t="str">
            <v xml:space="preserve">    Other Professional Fees             </v>
          </cell>
          <cell r="F140">
            <v>2</v>
          </cell>
          <cell r="G140">
            <v>3</v>
          </cell>
          <cell r="H140">
            <v>3</v>
          </cell>
          <cell r="I140">
            <v>0</v>
          </cell>
          <cell r="J140">
            <v>1</v>
          </cell>
          <cell r="K140">
            <v>3</v>
          </cell>
          <cell r="L140">
            <v>0</v>
          </cell>
          <cell r="M140">
            <v>2</v>
          </cell>
          <cell r="N140">
            <v>4</v>
          </cell>
          <cell r="O140">
            <v>1</v>
          </cell>
          <cell r="P140">
            <v>2</v>
          </cell>
          <cell r="Q140">
            <v>4</v>
          </cell>
          <cell r="R140">
            <v>25</v>
          </cell>
        </row>
        <row r="141">
          <cell r="C141" t="str">
            <v>630000</v>
          </cell>
          <cell r="D141" t="str">
            <v>2</v>
          </cell>
          <cell r="E141" t="str">
            <v xml:space="preserve">  Professional Fees                     </v>
          </cell>
          <cell r="F141">
            <v>2</v>
          </cell>
          <cell r="G141">
            <v>3</v>
          </cell>
          <cell r="H141">
            <v>3</v>
          </cell>
          <cell r="I141">
            <v>0</v>
          </cell>
          <cell r="J141">
            <v>1</v>
          </cell>
          <cell r="K141">
            <v>3</v>
          </cell>
          <cell r="L141">
            <v>0</v>
          </cell>
          <cell r="M141">
            <v>2</v>
          </cell>
          <cell r="N141">
            <v>4</v>
          </cell>
          <cell r="O141">
            <v>1</v>
          </cell>
          <cell r="P141">
            <v>2</v>
          </cell>
          <cell r="Q141">
            <v>4</v>
          </cell>
          <cell r="R141">
            <v>25</v>
          </cell>
        </row>
        <row r="142">
          <cell r="C142" t="str">
            <v>640200A</v>
          </cell>
          <cell r="D142" t="str">
            <v>4</v>
          </cell>
          <cell r="E142" t="str">
            <v xml:space="preserve">      Amortization - Goodwill &amp; Other   </v>
          </cell>
          <cell r="F142">
            <v>0</v>
          </cell>
          <cell r="G142">
            <v>0</v>
          </cell>
          <cell r="H142">
            <v>0</v>
          </cell>
          <cell r="I142">
            <v>0</v>
          </cell>
          <cell r="J142">
            <v>0</v>
          </cell>
          <cell r="K142">
            <v>0</v>
          </cell>
          <cell r="L142">
            <v>0</v>
          </cell>
          <cell r="M142">
            <v>0</v>
          </cell>
          <cell r="N142">
            <v>0</v>
          </cell>
          <cell r="O142">
            <v>0</v>
          </cell>
          <cell r="P142">
            <v>0</v>
          </cell>
          <cell r="Q142">
            <v>0</v>
          </cell>
          <cell r="R142">
            <v>0</v>
          </cell>
        </row>
        <row r="143">
          <cell r="C143" t="str">
            <v>641000A</v>
          </cell>
          <cell r="D143" t="str">
            <v>4</v>
          </cell>
          <cell r="E143" t="str">
            <v xml:space="preserve">      Amortization-C/D'S &amp; Other Intangi</v>
          </cell>
          <cell r="F143">
            <v>0</v>
          </cell>
          <cell r="G143">
            <v>0</v>
          </cell>
          <cell r="H143">
            <v>0</v>
          </cell>
          <cell r="I143">
            <v>0</v>
          </cell>
          <cell r="J143">
            <v>0</v>
          </cell>
          <cell r="K143">
            <v>0</v>
          </cell>
          <cell r="L143">
            <v>0</v>
          </cell>
          <cell r="M143">
            <v>0</v>
          </cell>
          <cell r="N143">
            <v>0</v>
          </cell>
          <cell r="O143">
            <v>0</v>
          </cell>
          <cell r="P143">
            <v>0</v>
          </cell>
          <cell r="Q143">
            <v>0</v>
          </cell>
          <cell r="R143">
            <v>0</v>
          </cell>
        </row>
        <row r="144">
          <cell r="C144" t="str">
            <v>640000A</v>
          </cell>
          <cell r="D144" t="str">
            <v>2</v>
          </cell>
          <cell r="E144" t="str">
            <v xml:space="preserve">  Amortization Of Intangibles           </v>
          </cell>
          <cell r="F144">
            <v>0</v>
          </cell>
          <cell r="G144">
            <v>0</v>
          </cell>
          <cell r="H144">
            <v>0</v>
          </cell>
          <cell r="I144">
            <v>0</v>
          </cell>
          <cell r="J144">
            <v>0</v>
          </cell>
          <cell r="K144">
            <v>0</v>
          </cell>
          <cell r="L144">
            <v>0</v>
          </cell>
          <cell r="M144">
            <v>0</v>
          </cell>
          <cell r="N144">
            <v>0</v>
          </cell>
          <cell r="O144">
            <v>0</v>
          </cell>
          <cell r="P144">
            <v>0</v>
          </cell>
          <cell r="Q144">
            <v>0</v>
          </cell>
          <cell r="R144">
            <v>0</v>
          </cell>
        </row>
        <row r="145">
          <cell r="C145" t="str">
            <v>650200</v>
          </cell>
          <cell r="D145" t="str">
            <v>2</v>
          </cell>
          <cell r="E145" t="str">
            <v xml:space="preserve">  Credit Card                           </v>
          </cell>
          <cell r="F145">
            <v>0</v>
          </cell>
          <cell r="G145">
            <v>2</v>
          </cell>
          <cell r="H145">
            <v>0</v>
          </cell>
          <cell r="I145">
            <v>2</v>
          </cell>
          <cell r="J145">
            <v>0</v>
          </cell>
          <cell r="K145">
            <v>2</v>
          </cell>
          <cell r="L145">
            <v>0</v>
          </cell>
          <cell r="M145">
            <v>2</v>
          </cell>
          <cell r="N145">
            <v>0</v>
          </cell>
          <cell r="O145">
            <v>2</v>
          </cell>
          <cell r="P145">
            <v>0</v>
          </cell>
          <cell r="Q145">
            <v>2</v>
          </cell>
          <cell r="R145">
            <v>12</v>
          </cell>
        </row>
        <row r="146">
          <cell r="C146" t="str">
            <v>651525B</v>
          </cell>
          <cell r="D146" t="str">
            <v>4</v>
          </cell>
          <cell r="E146" t="str">
            <v xml:space="preserve">      Purchased Software Amortization   </v>
          </cell>
          <cell r="F146">
            <v>14.91</v>
          </cell>
          <cell r="G146">
            <v>14.91</v>
          </cell>
          <cell r="H146">
            <v>14.91</v>
          </cell>
          <cell r="I146">
            <v>14.91</v>
          </cell>
          <cell r="J146">
            <v>14.91</v>
          </cell>
          <cell r="K146">
            <v>14.91</v>
          </cell>
          <cell r="L146">
            <v>14.91</v>
          </cell>
          <cell r="M146">
            <v>14.91</v>
          </cell>
          <cell r="N146">
            <v>14.91</v>
          </cell>
          <cell r="O146">
            <v>14.91</v>
          </cell>
          <cell r="P146">
            <v>14.91</v>
          </cell>
          <cell r="Q146">
            <v>14.91</v>
          </cell>
          <cell r="R146">
            <v>178.92</v>
          </cell>
        </row>
        <row r="147">
          <cell r="C147" t="str">
            <v>651535B</v>
          </cell>
          <cell r="D147" t="str">
            <v>4</v>
          </cell>
          <cell r="E147" t="str">
            <v xml:space="preserve">      Other Direct Data Processing      </v>
          </cell>
          <cell r="F147">
            <v>11</v>
          </cell>
          <cell r="G147">
            <v>11</v>
          </cell>
          <cell r="H147">
            <v>12</v>
          </cell>
          <cell r="I147">
            <v>15</v>
          </cell>
          <cell r="J147">
            <v>11</v>
          </cell>
          <cell r="K147">
            <v>12</v>
          </cell>
          <cell r="L147">
            <v>11</v>
          </cell>
          <cell r="M147">
            <v>11</v>
          </cell>
          <cell r="N147">
            <v>102</v>
          </cell>
          <cell r="O147">
            <v>11</v>
          </cell>
          <cell r="P147">
            <v>11</v>
          </cell>
          <cell r="Q147">
            <v>13</v>
          </cell>
          <cell r="R147">
            <v>231</v>
          </cell>
        </row>
        <row r="148">
          <cell r="C148" t="str">
            <v>651525A</v>
          </cell>
          <cell r="D148" t="str">
            <v>3</v>
          </cell>
          <cell r="E148" t="str">
            <v xml:space="preserve">    Direct Data Processing              </v>
          </cell>
          <cell r="F148">
            <v>25.91</v>
          </cell>
          <cell r="G148">
            <v>25.91</v>
          </cell>
          <cell r="H148">
            <v>26.91</v>
          </cell>
          <cell r="I148">
            <v>29.91</v>
          </cell>
          <cell r="J148">
            <v>25.91</v>
          </cell>
          <cell r="K148">
            <v>26.91</v>
          </cell>
          <cell r="L148">
            <v>25.91</v>
          </cell>
          <cell r="M148">
            <v>25.91</v>
          </cell>
          <cell r="N148">
            <v>116.91</v>
          </cell>
          <cell r="O148">
            <v>25.91</v>
          </cell>
          <cell r="P148">
            <v>25.91</v>
          </cell>
          <cell r="Q148">
            <v>27.91</v>
          </cell>
          <cell r="R148">
            <v>409.92</v>
          </cell>
        </row>
        <row r="149">
          <cell r="C149" t="str">
            <v>652000A</v>
          </cell>
          <cell r="D149" t="str">
            <v>3</v>
          </cell>
          <cell r="E149" t="str">
            <v xml:space="preserve">    Item Processsing &amp; Check Clearing   </v>
          </cell>
          <cell r="F149">
            <v>0</v>
          </cell>
          <cell r="G149">
            <v>0</v>
          </cell>
          <cell r="H149">
            <v>0</v>
          </cell>
          <cell r="I149">
            <v>0</v>
          </cell>
          <cell r="J149">
            <v>0</v>
          </cell>
          <cell r="K149">
            <v>0</v>
          </cell>
          <cell r="L149">
            <v>0</v>
          </cell>
          <cell r="M149">
            <v>0</v>
          </cell>
          <cell r="N149">
            <v>0</v>
          </cell>
          <cell r="O149">
            <v>0</v>
          </cell>
          <cell r="P149">
            <v>0</v>
          </cell>
          <cell r="Q149">
            <v>0</v>
          </cell>
          <cell r="R149">
            <v>0</v>
          </cell>
        </row>
        <row r="150">
          <cell r="C150" t="str">
            <v>653100A</v>
          </cell>
          <cell r="D150" t="str">
            <v>3</v>
          </cell>
          <cell r="E150" t="str">
            <v xml:space="preserve">    Mortgage Production Expense         </v>
          </cell>
          <cell r="F150">
            <v>0</v>
          </cell>
          <cell r="G150">
            <v>0</v>
          </cell>
          <cell r="H150">
            <v>0</v>
          </cell>
          <cell r="I150">
            <v>0</v>
          </cell>
          <cell r="J150">
            <v>0</v>
          </cell>
          <cell r="K150">
            <v>0</v>
          </cell>
          <cell r="L150">
            <v>0</v>
          </cell>
          <cell r="M150">
            <v>0</v>
          </cell>
          <cell r="N150">
            <v>0</v>
          </cell>
          <cell r="O150">
            <v>0</v>
          </cell>
          <cell r="P150">
            <v>0</v>
          </cell>
          <cell r="Q150">
            <v>0</v>
          </cell>
          <cell r="R150">
            <v>0</v>
          </cell>
        </row>
        <row r="151">
          <cell r="C151" t="str">
            <v>651500A</v>
          </cell>
          <cell r="D151" t="str">
            <v>2</v>
          </cell>
          <cell r="E151" t="str">
            <v xml:space="preserve">  Direct Processing Expense             </v>
          </cell>
          <cell r="F151">
            <v>25.91</v>
          </cell>
          <cell r="G151">
            <v>25.91</v>
          </cell>
          <cell r="H151">
            <v>26.91</v>
          </cell>
          <cell r="I151">
            <v>29.91</v>
          </cell>
          <cell r="J151">
            <v>25.91</v>
          </cell>
          <cell r="K151">
            <v>26.91</v>
          </cell>
          <cell r="L151">
            <v>25.91</v>
          </cell>
          <cell r="M151">
            <v>25.91</v>
          </cell>
          <cell r="N151">
            <v>116.91</v>
          </cell>
          <cell r="O151">
            <v>25.91</v>
          </cell>
          <cell r="P151">
            <v>25.91</v>
          </cell>
          <cell r="Q151">
            <v>27.91</v>
          </cell>
          <cell r="R151">
            <v>409.92</v>
          </cell>
        </row>
        <row r="152">
          <cell r="C152" t="str">
            <v>653499C</v>
          </cell>
          <cell r="D152" t="str">
            <v>4</v>
          </cell>
          <cell r="E152" t="str">
            <v xml:space="preserve">      Base Support                      </v>
          </cell>
          <cell r="F152">
            <v>0</v>
          </cell>
          <cell r="G152">
            <v>0</v>
          </cell>
          <cell r="H152">
            <v>0</v>
          </cell>
          <cell r="I152">
            <v>0</v>
          </cell>
          <cell r="J152">
            <v>0</v>
          </cell>
          <cell r="K152">
            <v>0</v>
          </cell>
          <cell r="L152">
            <v>0</v>
          </cell>
          <cell r="M152">
            <v>0</v>
          </cell>
          <cell r="N152">
            <v>0</v>
          </cell>
          <cell r="O152">
            <v>0</v>
          </cell>
          <cell r="P152">
            <v>0</v>
          </cell>
          <cell r="Q152">
            <v>0</v>
          </cell>
          <cell r="R152">
            <v>0</v>
          </cell>
        </row>
        <row r="153">
          <cell r="C153" t="str">
            <v>653499D</v>
          </cell>
          <cell r="D153" t="str">
            <v>4</v>
          </cell>
          <cell r="E153" t="str">
            <v xml:space="preserve">      Project Programming               </v>
          </cell>
          <cell r="F153">
            <v>0</v>
          </cell>
          <cell r="G153">
            <v>0</v>
          </cell>
          <cell r="H153">
            <v>0</v>
          </cell>
          <cell r="I153">
            <v>0</v>
          </cell>
          <cell r="J153">
            <v>0</v>
          </cell>
          <cell r="K153">
            <v>0</v>
          </cell>
          <cell r="L153">
            <v>0</v>
          </cell>
          <cell r="M153">
            <v>0</v>
          </cell>
          <cell r="N153">
            <v>0</v>
          </cell>
          <cell r="O153">
            <v>0</v>
          </cell>
          <cell r="P153">
            <v>0</v>
          </cell>
          <cell r="Q153">
            <v>0</v>
          </cell>
          <cell r="R153">
            <v>0</v>
          </cell>
        </row>
        <row r="154">
          <cell r="C154" t="str">
            <v>653499E</v>
          </cell>
          <cell r="D154" t="str">
            <v>4</v>
          </cell>
          <cell r="E154" t="str">
            <v xml:space="preserve">      Software Amortization/Maintenance </v>
          </cell>
          <cell r="F154">
            <v>0</v>
          </cell>
          <cell r="G154">
            <v>0</v>
          </cell>
          <cell r="H154">
            <v>0</v>
          </cell>
          <cell r="I154">
            <v>0</v>
          </cell>
          <cell r="J154">
            <v>0</v>
          </cell>
          <cell r="K154">
            <v>0</v>
          </cell>
          <cell r="L154">
            <v>0</v>
          </cell>
          <cell r="M154">
            <v>0</v>
          </cell>
          <cell r="N154">
            <v>0</v>
          </cell>
          <cell r="O154">
            <v>0</v>
          </cell>
          <cell r="P154">
            <v>0</v>
          </cell>
          <cell r="Q154">
            <v>0</v>
          </cell>
          <cell r="R154">
            <v>0</v>
          </cell>
        </row>
        <row r="155">
          <cell r="C155" t="str">
            <v>653499B</v>
          </cell>
          <cell r="D155" t="str">
            <v>3</v>
          </cell>
          <cell r="E155" t="str">
            <v xml:space="preserve">    Programming Services Chargeouts     </v>
          </cell>
          <cell r="F155">
            <v>0</v>
          </cell>
          <cell r="G155">
            <v>0</v>
          </cell>
          <cell r="H155">
            <v>0</v>
          </cell>
          <cell r="I155">
            <v>0</v>
          </cell>
          <cell r="J155">
            <v>0</v>
          </cell>
          <cell r="K155">
            <v>0</v>
          </cell>
          <cell r="L155">
            <v>0</v>
          </cell>
          <cell r="M155">
            <v>0</v>
          </cell>
          <cell r="N155">
            <v>0</v>
          </cell>
          <cell r="O155">
            <v>0</v>
          </cell>
          <cell r="P155">
            <v>0</v>
          </cell>
          <cell r="Q155">
            <v>0</v>
          </cell>
          <cell r="R155">
            <v>0</v>
          </cell>
        </row>
        <row r="156">
          <cell r="C156" t="str">
            <v>653499K</v>
          </cell>
          <cell r="D156" t="str">
            <v>4</v>
          </cell>
          <cell r="E156" t="str">
            <v xml:space="preserve">      Base Support Recoveries           </v>
          </cell>
          <cell r="F156">
            <v>0</v>
          </cell>
          <cell r="G156">
            <v>0</v>
          </cell>
          <cell r="H156">
            <v>0</v>
          </cell>
          <cell r="I156">
            <v>0</v>
          </cell>
          <cell r="J156">
            <v>0</v>
          </cell>
          <cell r="K156">
            <v>0</v>
          </cell>
          <cell r="L156">
            <v>0</v>
          </cell>
          <cell r="M156">
            <v>0</v>
          </cell>
          <cell r="N156">
            <v>0</v>
          </cell>
          <cell r="O156">
            <v>0</v>
          </cell>
          <cell r="P156">
            <v>0</v>
          </cell>
          <cell r="Q156">
            <v>0</v>
          </cell>
          <cell r="R156">
            <v>0</v>
          </cell>
        </row>
        <row r="157">
          <cell r="C157" t="str">
            <v>653499M</v>
          </cell>
          <cell r="D157" t="str">
            <v>4</v>
          </cell>
          <cell r="E157" t="str">
            <v xml:space="preserve">      Project Programming Recoveries    </v>
          </cell>
          <cell r="F157">
            <v>0</v>
          </cell>
          <cell r="G157">
            <v>0</v>
          </cell>
          <cell r="H157">
            <v>0</v>
          </cell>
          <cell r="I157">
            <v>0</v>
          </cell>
          <cell r="J157">
            <v>0</v>
          </cell>
          <cell r="K157">
            <v>0</v>
          </cell>
          <cell r="L157">
            <v>0</v>
          </cell>
          <cell r="M157">
            <v>0</v>
          </cell>
          <cell r="N157">
            <v>0</v>
          </cell>
          <cell r="O157">
            <v>0</v>
          </cell>
          <cell r="P157">
            <v>0</v>
          </cell>
          <cell r="Q157">
            <v>0</v>
          </cell>
          <cell r="R157">
            <v>0</v>
          </cell>
        </row>
        <row r="158">
          <cell r="C158" t="str">
            <v>653499N</v>
          </cell>
          <cell r="D158" t="str">
            <v>4</v>
          </cell>
          <cell r="E158" t="str">
            <v xml:space="preserve">      Software Amort/Maint Rec          </v>
          </cell>
          <cell r="F158">
            <v>0</v>
          </cell>
          <cell r="G158">
            <v>0</v>
          </cell>
          <cell r="H158">
            <v>0</v>
          </cell>
          <cell r="I158">
            <v>0</v>
          </cell>
          <cell r="J158">
            <v>0</v>
          </cell>
          <cell r="K158">
            <v>0</v>
          </cell>
          <cell r="L158">
            <v>0</v>
          </cell>
          <cell r="M158">
            <v>0</v>
          </cell>
          <cell r="N158">
            <v>0</v>
          </cell>
          <cell r="O158">
            <v>0</v>
          </cell>
          <cell r="P158">
            <v>0</v>
          </cell>
          <cell r="Q158">
            <v>0</v>
          </cell>
          <cell r="R158">
            <v>0</v>
          </cell>
        </row>
        <row r="159">
          <cell r="C159" t="str">
            <v>653499J</v>
          </cell>
          <cell r="D159" t="str">
            <v>3</v>
          </cell>
          <cell r="E159" t="str">
            <v xml:space="preserve">    Programming Services Recoveries     </v>
          </cell>
          <cell r="F159">
            <v>0</v>
          </cell>
          <cell r="G159">
            <v>0</v>
          </cell>
          <cell r="H159">
            <v>0</v>
          </cell>
          <cell r="I159">
            <v>0</v>
          </cell>
          <cell r="J159">
            <v>0</v>
          </cell>
          <cell r="K159">
            <v>0</v>
          </cell>
          <cell r="L159">
            <v>0</v>
          </cell>
          <cell r="M159">
            <v>0</v>
          </cell>
          <cell r="N159">
            <v>0</v>
          </cell>
          <cell r="O159">
            <v>0</v>
          </cell>
          <cell r="P159">
            <v>0</v>
          </cell>
          <cell r="Q159">
            <v>0</v>
          </cell>
          <cell r="R159">
            <v>0</v>
          </cell>
        </row>
        <row r="160">
          <cell r="C160" t="str">
            <v>653499A</v>
          </cell>
          <cell r="D160" t="str">
            <v>2</v>
          </cell>
          <cell r="E160" t="str">
            <v xml:space="preserve">  Programming Svc C/O'S &amp; Rec I/C       </v>
          </cell>
          <cell r="F160">
            <v>0</v>
          </cell>
          <cell r="G160">
            <v>0</v>
          </cell>
          <cell r="H160">
            <v>0</v>
          </cell>
          <cell r="I160">
            <v>0</v>
          </cell>
          <cell r="J160">
            <v>0</v>
          </cell>
          <cell r="K160">
            <v>0</v>
          </cell>
          <cell r="L160">
            <v>0</v>
          </cell>
          <cell r="M160">
            <v>0</v>
          </cell>
          <cell r="N160">
            <v>0</v>
          </cell>
          <cell r="O160">
            <v>0</v>
          </cell>
          <cell r="P160">
            <v>0</v>
          </cell>
          <cell r="Q160">
            <v>0</v>
          </cell>
          <cell r="R160">
            <v>0</v>
          </cell>
        </row>
        <row r="161">
          <cell r="C161" t="str">
            <v>653499Q</v>
          </cell>
          <cell r="D161" t="str">
            <v>3</v>
          </cell>
          <cell r="E161" t="str">
            <v xml:space="preserve">    Project Svc Chargeouts              </v>
          </cell>
          <cell r="F161">
            <v>0</v>
          </cell>
          <cell r="G161">
            <v>0</v>
          </cell>
          <cell r="H161">
            <v>0</v>
          </cell>
          <cell r="I161">
            <v>0</v>
          </cell>
          <cell r="J161">
            <v>0</v>
          </cell>
          <cell r="K161">
            <v>0</v>
          </cell>
          <cell r="L161">
            <v>0</v>
          </cell>
          <cell r="M161">
            <v>0</v>
          </cell>
          <cell r="N161">
            <v>0</v>
          </cell>
          <cell r="O161">
            <v>0</v>
          </cell>
          <cell r="P161">
            <v>0</v>
          </cell>
          <cell r="Q161">
            <v>0</v>
          </cell>
          <cell r="R161">
            <v>0</v>
          </cell>
        </row>
        <row r="162">
          <cell r="C162" t="str">
            <v>653499R</v>
          </cell>
          <cell r="D162" t="str">
            <v>3</v>
          </cell>
          <cell r="E162" t="str">
            <v xml:space="preserve">    Project Services Recoveries         </v>
          </cell>
          <cell r="F162">
            <v>0</v>
          </cell>
          <cell r="G162">
            <v>0</v>
          </cell>
          <cell r="H162">
            <v>0</v>
          </cell>
          <cell r="I162">
            <v>0</v>
          </cell>
          <cell r="J162">
            <v>0</v>
          </cell>
          <cell r="K162">
            <v>0</v>
          </cell>
          <cell r="L162">
            <v>0</v>
          </cell>
          <cell r="M162">
            <v>0</v>
          </cell>
          <cell r="N162">
            <v>0</v>
          </cell>
          <cell r="O162">
            <v>0</v>
          </cell>
          <cell r="P162">
            <v>0</v>
          </cell>
          <cell r="Q162">
            <v>0</v>
          </cell>
          <cell r="R162">
            <v>0</v>
          </cell>
        </row>
        <row r="163">
          <cell r="C163" t="str">
            <v>653499P</v>
          </cell>
          <cell r="D163" t="str">
            <v>2</v>
          </cell>
          <cell r="E163" t="str">
            <v xml:space="preserve">  Project Svc C/O'S &amp; Recov I/C         </v>
          </cell>
          <cell r="F163">
            <v>0</v>
          </cell>
          <cell r="G163">
            <v>0</v>
          </cell>
          <cell r="H163">
            <v>0</v>
          </cell>
          <cell r="I163">
            <v>0</v>
          </cell>
          <cell r="J163">
            <v>0</v>
          </cell>
          <cell r="K163">
            <v>0</v>
          </cell>
          <cell r="L163">
            <v>0</v>
          </cell>
          <cell r="M163">
            <v>0</v>
          </cell>
          <cell r="N163">
            <v>0</v>
          </cell>
          <cell r="O163">
            <v>0</v>
          </cell>
          <cell r="P163">
            <v>0</v>
          </cell>
          <cell r="Q163">
            <v>0</v>
          </cell>
          <cell r="R163">
            <v>0</v>
          </cell>
        </row>
        <row r="164">
          <cell r="C164" t="str">
            <v>660099B</v>
          </cell>
          <cell r="D164" t="str">
            <v>4</v>
          </cell>
          <cell r="E164" t="str">
            <v xml:space="preserve">      Outbound Long Distance            </v>
          </cell>
          <cell r="F164">
            <v>0</v>
          </cell>
          <cell r="G164">
            <v>0</v>
          </cell>
          <cell r="H164">
            <v>0</v>
          </cell>
          <cell r="I164">
            <v>0</v>
          </cell>
          <cell r="J164">
            <v>0</v>
          </cell>
          <cell r="K164">
            <v>0</v>
          </cell>
          <cell r="L164">
            <v>0</v>
          </cell>
          <cell r="M164">
            <v>0</v>
          </cell>
          <cell r="N164">
            <v>0</v>
          </cell>
          <cell r="O164">
            <v>0</v>
          </cell>
          <cell r="P164">
            <v>0</v>
          </cell>
          <cell r="Q164">
            <v>0</v>
          </cell>
          <cell r="R164">
            <v>0</v>
          </cell>
        </row>
        <row r="165">
          <cell r="C165" t="str">
            <v>660119B</v>
          </cell>
          <cell r="D165" t="str">
            <v>4</v>
          </cell>
          <cell r="E165" t="str">
            <v xml:space="preserve">      Inbound Long Distance             </v>
          </cell>
          <cell r="F165">
            <v>0</v>
          </cell>
          <cell r="G165">
            <v>0</v>
          </cell>
          <cell r="H165">
            <v>0</v>
          </cell>
          <cell r="I165">
            <v>0</v>
          </cell>
          <cell r="J165">
            <v>0</v>
          </cell>
          <cell r="K165">
            <v>0</v>
          </cell>
          <cell r="L165">
            <v>0</v>
          </cell>
          <cell r="M165">
            <v>0</v>
          </cell>
          <cell r="N165">
            <v>0</v>
          </cell>
          <cell r="O165">
            <v>0</v>
          </cell>
          <cell r="P165">
            <v>0</v>
          </cell>
          <cell r="Q165">
            <v>0</v>
          </cell>
          <cell r="R165">
            <v>0</v>
          </cell>
        </row>
        <row r="166">
          <cell r="C166" t="str">
            <v>660199B</v>
          </cell>
          <cell r="D166" t="str">
            <v>4</v>
          </cell>
          <cell r="E166" t="str">
            <v xml:space="preserve">      Local Service                     </v>
          </cell>
          <cell r="F166">
            <v>0</v>
          </cell>
          <cell r="G166">
            <v>0</v>
          </cell>
          <cell r="H166">
            <v>0</v>
          </cell>
          <cell r="I166">
            <v>0</v>
          </cell>
          <cell r="J166">
            <v>0</v>
          </cell>
          <cell r="K166">
            <v>0</v>
          </cell>
          <cell r="L166">
            <v>0</v>
          </cell>
          <cell r="M166">
            <v>0</v>
          </cell>
          <cell r="N166">
            <v>0</v>
          </cell>
          <cell r="O166">
            <v>0</v>
          </cell>
          <cell r="P166">
            <v>0</v>
          </cell>
          <cell r="Q166">
            <v>0</v>
          </cell>
          <cell r="R166">
            <v>0</v>
          </cell>
        </row>
        <row r="167">
          <cell r="C167" t="str">
            <v>660249B</v>
          </cell>
          <cell r="D167" t="str">
            <v>4</v>
          </cell>
          <cell r="E167" t="str">
            <v xml:space="preserve">      Moves, Changes And Repairs        </v>
          </cell>
          <cell r="F167">
            <v>0</v>
          </cell>
          <cell r="G167">
            <v>0</v>
          </cell>
          <cell r="H167">
            <v>0</v>
          </cell>
          <cell r="I167">
            <v>0</v>
          </cell>
          <cell r="J167">
            <v>0</v>
          </cell>
          <cell r="K167">
            <v>0</v>
          </cell>
          <cell r="L167">
            <v>0</v>
          </cell>
          <cell r="M167">
            <v>0</v>
          </cell>
          <cell r="N167">
            <v>0</v>
          </cell>
          <cell r="O167">
            <v>0</v>
          </cell>
          <cell r="P167">
            <v>0</v>
          </cell>
          <cell r="Q167">
            <v>0</v>
          </cell>
          <cell r="R167">
            <v>0</v>
          </cell>
        </row>
        <row r="168">
          <cell r="C168" t="str">
            <v>660249E</v>
          </cell>
          <cell r="D168" t="str">
            <v>4</v>
          </cell>
          <cell r="E168" t="str">
            <v xml:space="preserve">      Other Direct Telecomm Charges     </v>
          </cell>
          <cell r="F168">
            <v>-3</v>
          </cell>
          <cell r="G168">
            <v>-20</v>
          </cell>
          <cell r="H168">
            <v>-7</v>
          </cell>
          <cell r="I168">
            <v>-23</v>
          </cell>
          <cell r="J168">
            <v>-9</v>
          </cell>
          <cell r="K168">
            <v>-16</v>
          </cell>
          <cell r="L168">
            <v>-1</v>
          </cell>
          <cell r="M168">
            <v>0</v>
          </cell>
          <cell r="N168">
            <v>0</v>
          </cell>
          <cell r="O168">
            <v>5</v>
          </cell>
          <cell r="P168">
            <v>4</v>
          </cell>
          <cell r="Q168">
            <v>14</v>
          </cell>
          <cell r="R168">
            <v>-56</v>
          </cell>
        </row>
        <row r="169">
          <cell r="C169" t="str">
            <v>660025A</v>
          </cell>
          <cell r="D169" t="str">
            <v>3</v>
          </cell>
          <cell r="E169" t="str">
            <v xml:space="preserve">    Telecommunications                  </v>
          </cell>
          <cell r="F169">
            <v>-3</v>
          </cell>
          <cell r="G169">
            <v>-20</v>
          </cell>
          <cell r="H169">
            <v>-7</v>
          </cell>
          <cell r="I169">
            <v>-23</v>
          </cell>
          <cell r="J169">
            <v>-9</v>
          </cell>
          <cell r="K169">
            <v>-16</v>
          </cell>
          <cell r="L169">
            <v>-1</v>
          </cell>
          <cell r="M169">
            <v>0</v>
          </cell>
          <cell r="N169">
            <v>0</v>
          </cell>
          <cell r="O169">
            <v>5</v>
          </cell>
          <cell r="P169">
            <v>4</v>
          </cell>
          <cell r="Q169">
            <v>14</v>
          </cell>
          <cell r="R169">
            <v>-56</v>
          </cell>
        </row>
        <row r="170">
          <cell r="C170" t="str">
            <v>660707A</v>
          </cell>
          <cell r="D170" t="str">
            <v>4</v>
          </cell>
          <cell r="E170" t="str">
            <v xml:space="preserve">      Telecomm Chargeouts I/C           </v>
          </cell>
          <cell r="F170">
            <v>444</v>
          </cell>
          <cell r="G170">
            <v>444</v>
          </cell>
          <cell r="H170">
            <v>444</v>
          </cell>
          <cell r="I170">
            <v>444</v>
          </cell>
          <cell r="J170">
            <v>444</v>
          </cell>
          <cell r="K170">
            <v>444</v>
          </cell>
          <cell r="L170">
            <v>444</v>
          </cell>
          <cell r="M170">
            <v>444</v>
          </cell>
          <cell r="N170">
            <v>444</v>
          </cell>
          <cell r="O170">
            <v>444</v>
          </cell>
          <cell r="P170">
            <v>444</v>
          </cell>
          <cell r="Q170">
            <v>444</v>
          </cell>
          <cell r="R170">
            <v>5328</v>
          </cell>
        </row>
        <row r="171">
          <cell r="C171" t="str">
            <v>660807A</v>
          </cell>
          <cell r="D171" t="str">
            <v>4</v>
          </cell>
          <cell r="E171" t="str">
            <v xml:space="preserve">      Telecomm Recoveries               </v>
          </cell>
          <cell r="F171">
            <v>0</v>
          </cell>
          <cell r="G171">
            <v>0</v>
          </cell>
          <cell r="H171">
            <v>0</v>
          </cell>
          <cell r="I171">
            <v>0</v>
          </cell>
          <cell r="J171">
            <v>0</v>
          </cell>
          <cell r="K171">
            <v>0</v>
          </cell>
          <cell r="L171">
            <v>0</v>
          </cell>
          <cell r="M171">
            <v>0</v>
          </cell>
          <cell r="N171">
            <v>0</v>
          </cell>
          <cell r="O171">
            <v>0</v>
          </cell>
          <cell r="P171">
            <v>0</v>
          </cell>
          <cell r="Q171">
            <v>0</v>
          </cell>
          <cell r="R171">
            <v>0</v>
          </cell>
        </row>
        <row r="172">
          <cell r="C172" t="str">
            <v>660705A</v>
          </cell>
          <cell r="D172" t="str">
            <v>3</v>
          </cell>
          <cell r="E172" t="str">
            <v xml:space="preserve">    Telecomm C/O'S &amp; Recov I/C          </v>
          </cell>
          <cell r="F172">
            <v>444</v>
          </cell>
          <cell r="G172">
            <v>444</v>
          </cell>
          <cell r="H172">
            <v>444</v>
          </cell>
          <cell r="I172">
            <v>444</v>
          </cell>
          <cell r="J172">
            <v>444</v>
          </cell>
          <cell r="K172">
            <v>444</v>
          </cell>
          <cell r="L172">
            <v>444</v>
          </cell>
          <cell r="M172">
            <v>444</v>
          </cell>
          <cell r="N172">
            <v>444</v>
          </cell>
          <cell r="O172">
            <v>444</v>
          </cell>
          <cell r="P172">
            <v>444</v>
          </cell>
          <cell r="Q172">
            <v>444</v>
          </cell>
          <cell r="R172">
            <v>5328</v>
          </cell>
        </row>
        <row r="173">
          <cell r="C173" t="str">
            <v>660000A</v>
          </cell>
          <cell r="D173" t="str">
            <v>2</v>
          </cell>
          <cell r="E173" t="str">
            <v xml:space="preserve">  Telecommunications                    </v>
          </cell>
          <cell r="F173">
            <v>441</v>
          </cell>
          <cell r="G173">
            <v>424</v>
          </cell>
          <cell r="H173">
            <v>437</v>
          </cell>
          <cell r="I173">
            <v>421</v>
          </cell>
          <cell r="J173">
            <v>435</v>
          </cell>
          <cell r="K173">
            <v>428</v>
          </cell>
          <cell r="L173">
            <v>443</v>
          </cell>
          <cell r="M173">
            <v>444</v>
          </cell>
          <cell r="N173">
            <v>444</v>
          </cell>
          <cell r="O173">
            <v>449</v>
          </cell>
          <cell r="P173">
            <v>448</v>
          </cell>
          <cell r="Q173">
            <v>458</v>
          </cell>
          <cell r="R173">
            <v>5272</v>
          </cell>
        </row>
        <row r="174">
          <cell r="C174" t="str">
            <v>663000A</v>
          </cell>
          <cell r="D174" t="str">
            <v>2</v>
          </cell>
          <cell r="E174" t="str">
            <v xml:space="preserve">  Supplies                              </v>
          </cell>
          <cell r="F174">
            <v>20</v>
          </cell>
          <cell r="G174">
            <v>23</v>
          </cell>
          <cell r="H174">
            <v>21</v>
          </cell>
          <cell r="I174">
            <v>19</v>
          </cell>
          <cell r="J174">
            <v>21</v>
          </cell>
          <cell r="K174">
            <v>24</v>
          </cell>
          <cell r="L174">
            <v>22</v>
          </cell>
          <cell r="M174">
            <v>19</v>
          </cell>
          <cell r="N174">
            <v>23</v>
          </cell>
          <cell r="O174">
            <v>20</v>
          </cell>
          <cell r="P174">
            <v>22</v>
          </cell>
          <cell r="Q174">
            <v>21</v>
          </cell>
          <cell r="R174">
            <v>255</v>
          </cell>
        </row>
        <row r="175">
          <cell r="C175" t="str">
            <v>664525B</v>
          </cell>
          <cell r="D175" t="str">
            <v>3</v>
          </cell>
          <cell r="E175" t="str">
            <v xml:space="preserve">    Postage                             </v>
          </cell>
          <cell r="F175">
            <v>5</v>
          </cell>
          <cell r="G175">
            <v>5</v>
          </cell>
          <cell r="H175">
            <v>5</v>
          </cell>
          <cell r="I175">
            <v>5</v>
          </cell>
          <cell r="J175">
            <v>4</v>
          </cell>
          <cell r="K175">
            <v>6</v>
          </cell>
          <cell r="L175">
            <v>6</v>
          </cell>
          <cell r="M175">
            <v>5</v>
          </cell>
          <cell r="N175">
            <v>4</v>
          </cell>
          <cell r="O175">
            <v>6</v>
          </cell>
          <cell r="P175">
            <v>4</v>
          </cell>
          <cell r="Q175">
            <v>7</v>
          </cell>
          <cell r="R175">
            <v>62</v>
          </cell>
        </row>
        <row r="176">
          <cell r="C176" t="str">
            <v>664775C</v>
          </cell>
          <cell r="D176" t="str">
            <v>4</v>
          </cell>
          <cell r="E176" t="str">
            <v xml:space="preserve">      Postage Chargeouts I/C            </v>
          </cell>
          <cell r="F176">
            <v>0</v>
          </cell>
          <cell r="G176">
            <v>0</v>
          </cell>
          <cell r="H176">
            <v>0</v>
          </cell>
          <cell r="I176">
            <v>0</v>
          </cell>
          <cell r="J176">
            <v>0</v>
          </cell>
          <cell r="K176">
            <v>0</v>
          </cell>
          <cell r="L176">
            <v>0</v>
          </cell>
          <cell r="M176">
            <v>0</v>
          </cell>
          <cell r="N176">
            <v>0</v>
          </cell>
          <cell r="O176">
            <v>0</v>
          </cell>
          <cell r="P176">
            <v>0</v>
          </cell>
          <cell r="Q176">
            <v>0</v>
          </cell>
          <cell r="R176">
            <v>0</v>
          </cell>
        </row>
        <row r="177">
          <cell r="C177" t="str">
            <v>664780B</v>
          </cell>
          <cell r="D177" t="str">
            <v>4</v>
          </cell>
          <cell r="E177" t="str">
            <v xml:space="preserve">      Postage Recoveries I/C            </v>
          </cell>
          <cell r="F177">
            <v>0</v>
          </cell>
          <cell r="G177">
            <v>0</v>
          </cell>
          <cell r="H177">
            <v>0</v>
          </cell>
          <cell r="I177">
            <v>0</v>
          </cell>
          <cell r="J177">
            <v>0</v>
          </cell>
          <cell r="K177">
            <v>0</v>
          </cell>
          <cell r="L177">
            <v>0</v>
          </cell>
          <cell r="M177">
            <v>0</v>
          </cell>
          <cell r="N177">
            <v>0</v>
          </cell>
          <cell r="O177">
            <v>0</v>
          </cell>
          <cell r="P177">
            <v>0</v>
          </cell>
          <cell r="Q177">
            <v>0</v>
          </cell>
          <cell r="R177">
            <v>0</v>
          </cell>
        </row>
        <row r="178">
          <cell r="C178" t="str">
            <v>664775B</v>
          </cell>
          <cell r="D178" t="str">
            <v>3</v>
          </cell>
          <cell r="E178" t="str">
            <v xml:space="preserve">    Postage C/O'S &amp; Recov I/C           </v>
          </cell>
          <cell r="F178">
            <v>0</v>
          </cell>
          <cell r="G178">
            <v>0</v>
          </cell>
          <cell r="H178">
            <v>0</v>
          </cell>
          <cell r="I178">
            <v>0</v>
          </cell>
          <cell r="J178">
            <v>0</v>
          </cell>
          <cell r="K178">
            <v>0</v>
          </cell>
          <cell r="L178">
            <v>0</v>
          </cell>
          <cell r="M178">
            <v>0</v>
          </cell>
          <cell r="N178">
            <v>0</v>
          </cell>
          <cell r="O178">
            <v>0</v>
          </cell>
          <cell r="P178">
            <v>0</v>
          </cell>
          <cell r="Q178">
            <v>0</v>
          </cell>
          <cell r="R178">
            <v>0</v>
          </cell>
        </row>
        <row r="179">
          <cell r="C179" t="str">
            <v>664500B</v>
          </cell>
          <cell r="D179" t="str">
            <v>2</v>
          </cell>
          <cell r="E179" t="str">
            <v xml:space="preserve">  Postage                               </v>
          </cell>
          <cell r="F179">
            <v>5</v>
          </cell>
          <cell r="G179">
            <v>5</v>
          </cell>
          <cell r="H179">
            <v>5</v>
          </cell>
          <cell r="I179">
            <v>5</v>
          </cell>
          <cell r="J179">
            <v>4</v>
          </cell>
          <cell r="K179">
            <v>6</v>
          </cell>
          <cell r="L179">
            <v>6</v>
          </cell>
          <cell r="M179">
            <v>5</v>
          </cell>
          <cell r="N179">
            <v>4</v>
          </cell>
          <cell r="O179">
            <v>6</v>
          </cell>
          <cell r="P179">
            <v>4</v>
          </cell>
          <cell r="Q179">
            <v>7</v>
          </cell>
          <cell r="R179">
            <v>62</v>
          </cell>
        </row>
        <row r="180">
          <cell r="C180" t="str">
            <v>665000A</v>
          </cell>
          <cell r="D180" t="str">
            <v>2</v>
          </cell>
          <cell r="E180" t="str">
            <v xml:space="preserve">  Fdic Assessment                       </v>
          </cell>
          <cell r="F180">
            <v>0</v>
          </cell>
          <cell r="G180">
            <v>0</v>
          </cell>
          <cell r="H180">
            <v>0</v>
          </cell>
          <cell r="I180">
            <v>0</v>
          </cell>
          <cell r="J180">
            <v>0</v>
          </cell>
          <cell r="K180">
            <v>0</v>
          </cell>
          <cell r="L180">
            <v>0</v>
          </cell>
          <cell r="M180">
            <v>0</v>
          </cell>
          <cell r="N180">
            <v>0</v>
          </cell>
          <cell r="O180">
            <v>0</v>
          </cell>
          <cell r="P180">
            <v>0</v>
          </cell>
          <cell r="Q180">
            <v>0</v>
          </cell>
          <cell r="R180">
            <v>0</v>
          </cell>
        </row>
        <row r="181">
          <cell r="C181" t="str">
            <v>665499B</v>
          </cell>
          <cell r="D181" t="str">
            <v>3</v>
          </cell>
          <cell r="E181" t="str">
            <v xml:space="preserve">    Loan &amp; Collection                   </v>
          </cell>
          <cell r="F181">
            <v>986</v>
          </cell>
          <cell r="G181">
            <v>987</v>
          </cell>
          <cell r="H181">
            <v>982</v>
          </cell>
          <cell r="I181">
            <v>980</v>
          </cell>
          <cell r="J181">
            <v>975</v>
          </cell>
          <cell r="K181">
            <v>973</v>
          </cell>
          <cell r="L181">
            <v>970</v>
          </cell>
          <cell r="M181">
            <v>968</v>
          </cell>
          <cell r="N181">
            <v>964</v>
          </cell>
          <cell r="O181">
            <v>962</v>
          </cell>
          <cell r="P181">
            <v>958</v>
          </cell>
          <cell r="Q181">
            <v>956</v>
          </cell>
          <cell r="R181">
            <v>11661</v>
          </cell>
        </row>
        <row r="182">
          <cell r="C182" t="str">
            <v>665499F</v>
          </cell>
          <cell r="D182" t="str">
            <v>4</v>
          </cell>
          <cell r="E182" t="str">
            <v xml:space="preserve">      Relocation Expense                </v>
          </cell>
          <cell r="F182">
            <v>0</v>
          </cell>
          <cell r="G182">
            <v>0</v>
          </cell>
          <cell r="H182">
            <v>0</v>
          </cell>
          <cell r="I182">
            <v>0</v>
          </cell>
          <cell r="J182">
            <v>0</v>
          </cell>
          <cell r="K182">
            <v>0</v>
          </cell>
          <cell r="L182">
            <v>0</v>
          </cell>
          <cell r="M182">
            <v>0</v>
          </cell>
          <cell r="N182">
            <v>0</v>
          </cell>
          <cell r="O182">
            <v>0</v>
          </cell>
          <cell r="P182">
            <v>0</v>
          </cell>
          <cell r="Q182">
            <v>0</v>
          </cell>
          <cell r="R182">
            <v>0</v>
          </cell>
        </row>
        <row r="183">
          <cell r="C183" t="str">
            <v>665499H</v>
          </cell>
          <cell r="D183" t="str">
            <v>4</v>
          </cell>
          <cell r="E183" t="str">
            <v xml:space="preserve">      Other Employee Expense            </v>
          </cell>
          <cell r="F183">
            <v>254</v>
          </cell>
          <cell r="G183">
            <v>251</v>
          </cell>
          <cell r="H183">
            <v>253</v>
          </cell>
          <cell r="I183">
            <v>255</v>
          </cell>
          <cell r="J183">
            <v>28</v>
          </cell>
          <cell r="K183">
            <v>30</v>
          </cell>
          <cell r="L183">
            <v>31</v>
          </cell>
          <cell r="M183">
            <v>27</v>
          </cell>
          <cell r="N183">
            <v>30</v>
          </cell>
          <cell r="O183">
            <v>33</v>
          </cell>
          <cell r="P183">
            <v>28</v>
          </cell>
          <cell r="Q183">
            <v>44</v>
          </cell>
          <cell r="R183">
            <v>1264</v>
          </cell>
        </row>
        <row r="184">
          <cell r="C184" t="str">
            <v>665499D</v>
          </cell>
          <cell r="D184" t="str">
            <v>3</v>
          </cell>
          <cell r="E184" t="str">
            <v xml:space="preserve">    Employee Expense                    </v>
          </cell>
          <cell r="F184">
            <v>254</v>
          </cell>
          <cell r="G184">
            <v>251</v>
          </cell>
          <cell r="H184">
            <v>253</v>
          </cell>
          <cell r="I184">
            <v>255</v>
          </cell>
          <cell r="J184">
            <v>28</v>
          </cell>
          <cell r="K184">
            <v>30</v>
          </cell>
          <cell r="L184">
            <v>31</v>
          </cell>
          <cell r="M184">
            <v>27</v>
          </cell>
          <cell r="N184">
            <v>30</v>
          </cell>
          <cell r="O184">
            <v>33</v>
          </cell>
          <cell r="P184">
            <v>28</v>
          </cell>
          <cell r="Q184">
            <v>44</v>
          </cell>
          <cell r="R184">
            <v>1264</v>
          </cell>
        </row>
        <row r="185">
          <cell r="C185" t="str">
            <v>665499L</v>
          </cell>
          <cell r="D185" t="str">
            <v>3</v>
          </cell>
          <cell r="E185" t="str">
            <v xml:space="preserve">    Insurance                           </v>
          </cell>
          <cell r="F185">
            <v>0</v>
          </cell>
          <cell r="G185">
            <v>0</v>
          </cell>
          <cell r="H185">
            <v>0</v>
          </cell>
          <cell r="I185">
            <v>0</v>
          </cell>
          <cell r="J185">
            <v>0</v>
          </cell>
          <cell r="K185">
            <v>0</v>
          </cell>
          <cell r="L185">
            <v>0</v>
          </cell>
          <cell r="M185">
            <v>0</v>
          </cell>
          <cell r="N185">
            <v>0</v>
          </cell>
          <cell r="O185">
            <v>0</v>
          </cell>
          <cell r="P185">
            <v>0</v>
          </cell>
          <cell r="Q185">
            <v>0</v>
          </cell>
          <cell r="R185">
            <v>0</v>
          </cell>
        </row>
        <row r="186">
          <cell r="C186" t="str">
            <v>665850A</v>
          </cell>
          <cell r="D186" t="str">
            <v>3</v>
          </cell>
          <cell r="E186" t="str">
            <v xml:space="preserve">    Foreclosed Properties Expense       </v>
          </cell>
          <cell r="F186">
            <v>0</v>
          </cell>
          <cell r="G186">
            <v>0</v>
          </cell>
          <cell r="H186">
            <v>0</v>
          </cell>
          <cell r="I186">
            <v>0</v>
          </cell>
          <cell r="J186">
            <v>0</v>
          </cell>
          <cell r="K186">
            <v>0</v>
          </cell>
          <cell r="L186">
            <v>0</v>
          </cell>
          <cell r="M186">
            <v>0</v>
          </cell>
          <cell r="N186">
            <v>0</v>
          </cell>
          <cell r="O186">
            <v>0</v>
          </cell>
          <cell r="P186">
            <v>0</v>
          </cell>
          <cell r="Q186">
            <v>0</v>
          </cell>
          <cell r="R186">
            <v>0</v>
          </cell>
        </row>
        <row r="187">
          <cell r="C187" t="str">
            <v>666100A</v>
          </cell>
          <cell r="D187" t="str">
            <v>3</v>
          </cell>
          <cell r="E187" t="str">
            <v xml:space="preserve">    Non-Credit Losses &amp; Recoveries      </v>
          </cell>
          <cell r="F187">
            <v>13</v>
          </cell>
          <cell r="G187">
            <v>11</v>
          </cell>
          <cell r="H187">
            <v>12</v>
          </cell>
          <cell r="I187">
            <v>13</v>
          </cell>
          <cell r="J187">
            <v>12</v>
          </cell>
          <cell r="K187">
            <v>11</v>
          </cell>
          <cell r="L187">
            <v>12</v>
          </cell>
          <cell r="M187">
            <v>13</v>
          </cell>
          <cell r="N187">
            <v>14</v>
          </cell>
          <cell r="O187">
            <v>13</v>
          </cell>
          <cell r="P187">
            <v>12</v>
          </cell>
          <cell r="Q187">
            <v>11</v>
          </cell>
          <cell r="R187">
            <v>147</v>
          </cell>
        </row>
        <row r="188">
          <cell r="C188" t="str">
            <v>668000B</v>
          </cell>
          <cell r="D188" t="str">
            <v>4</v>
          </cell>
          <cell r="E188" t="str">
            <v xml:space="preserve">      B/D Commission &amp; Clearance        </v>
          </cell>
          <cell r="F188">
            <v>0</v>
          </cell>
          <cell r="G188">
            <v>1</v>
          </cell>
          <cell r="H188">
            <v>0</v>
          </cell>
          <cell r="I188">
            <v>1</v>
          </cell>
          <cell r="J188">
            <v>0</v>
          </cell>
          <cell r="K188">
            <v>2</v>
          </cell>
          <cell r="L188">
            <v>73</v>
          </cell>
          <cell r="M188">
            <v>1</v>
          </cell>
          <cell r="N188">
            <v>1</v>
          </cell>
          <cell r="O188">
            <v>1</v>
          </cell>
          <cell r="P188">
            <v>0</v>
          </cell>
          <cell r="Q188">
            <v>1</v>
          </cell>
          <cell r="R188">
            <v>81</v>
          </cell>
        </row>
        <row r="189">
          <cell r="C189" t="str">
            <v>668000C</v>
          </cell>
          <cell r="D189" t="str">
            <v>4</v>
          </cell>
          <cell r="E189" t="str">
            <v xml:space="preserve">      Other Misc Operating - Other      </v>
          </cell>
          <cell r="F189">
            <v>0</v>
          </cell>
          <cell r="G189">
            <v>0</v>
          </cell>
          <cell r="H189">
            <v>0</v>
          </cell>
          <cell r="I189">
            <v>0</v>
          </cell>
          <cell r="J189">
            <v>0</v>
          </cell>
          <cell r="K189">
            <v>0</v>
          </cell>
          <cell r="L189">
            <v>0</v>
          </cell>
          <cell r="M189">
            <v>0</v>
          </cell>
          <cell r="N189">
            <v>0</v>
          </cell>
          <cell r="O189">
            <v>0</v>
          </cell>
          <cell r="P189">
            <v>0</v>
          </cell>
          <cell r="Q189">
            <v>0</v>
          </cell>
          <cell r="R189">
            <v>0</v>
          </cell>
        </row>
        <row r="190">
          <cell r="C190" t="str">
            <v>668000A</v>
          </cell>
          <cell r="D190" t="str">
            <v>3</v>
          </cell>
          <cell r="E190" t="str">
            <v xml:space="preserve">    Other Miscellaneous Operating       </v>
          </cell>
          <cell r="F190">
            <v>0</v>
          </cell>
          <cell r="G190">
            <v>1</v>
          </cell>
          <cell r="H190">
            <v>0</v>
          </cell>
          <cell r="I190">
            <v>1</v>
          </cell>
          <cell r="J190">
            <v>0</v>
          </cell>
          <cell r="K190">
            <v>2</v>
          </cell>
          <cell r="L190">
            <v>73</v>
          </cell>
          <cell r="M190">
            <v>1</v>
          </cell>
          <cell r="N190">
            <v>1</v>
          </cell>
          <cell r="O190">
            <v>1</v>
          </cell>
          <cell r="P190">
            <v>0</v>
          </cell>
          <cell r="Q190">
            <v>1</v>
          </cell>
          <cell r="R190">
            <v>81</v>
          </cell>
        </row>
        <row r="191">
          <cell r="C191" t="str">
            <v>665499A</v>
          </cell>
          <cell r="D191" t="str">
            <v>2</v>
          </cell>
          <cell r="E191" t="str">
            <v xml:space="preserve">  All Other General Operating           </v>
          </cell>
          <cell r="F191">
            <v>1253</v>
          </cell>
          <cell r="G191">
            <v>1250</v>
          </cell>
          <cell r="H191">
            <v>1247</v>
          </cell>
          <cell r="I191">
            <v>1249</v>
          </cell>
          <cell r="J191">
            <v>1015</v>
          </cell>
          <cell r="K191">
            <v>1016</v>
          </cell>
          <cell r="L191">
            <v>1086</v>
          </cell>
          <cell r="M191">
            <v>1009</v>
          </cell>
          <cell r="N191">
            <v>1009</v>
          </cell>
          <cell r="O191">
            <v>1009</v>
          </cell>
          <cell r="P191">
            <v>998</v>
          </cell>
          <cell r="Q191">
            <v>1012</v>
          </cell>
          <cell r="R191">
            <v>13153</v>
          </cell>
        </row>
        <row r="192">
          <cell r="C192" t="str">
            <v>670200A</v>
          </cell>
          <cell r="D192" t="str">
            <v>3</v>
          </cell>
          <cell r="E192" t="str">
            <v xml:space="preserve">    Travel                              </v>
          </cell>
          <cell r="F192">
            <v>12</v>
          </cell>
          <cell r="G192">
            <v>13</v>
          </cell>
          <cell r="H192">
            <v>19</v>
          </cell>
          <cell r="I192">
            <v>14</v>
          </cell>
          <cell r="J192">
            <v>14</v>
          </cell>
          <cell r="K192">
            <v>16</v>
          </cell>
          <cell r="L192">
            <v>15</v>
          </cell>
          <cell r="M192">
            <v>16</v>
          </cell>
          <cell r="N192">
            <v>19</v>
          </cell>
          <cell r="O192">
            <v>14</v>
          </cell>
          <cell r="P192">
            <v>14</v>
          </cell>
          <cell r="Q192">
            <v>13</v>
          </cell>
          <cell r="R192">
            <v>179</v>
          </cell>
        </row>
        <row r="193">
          <cell r="C193" t="str">
            <v>670800A</v>
          </cell>
          <cell r="D193" t="str">
            <v>3</v>
          </cell>
          <cell r="E193" t="str">
            <v xml:space="preserve">    Taxes Other Than Income             </v>
          </cell>
          <cell r="F193">
            <v>0</v>
          </cell>
          <cell r="G193">
            <v>0</v>
          </cell>
          <cell r="H193">
            <v>0</v>
          </cell>
          <cell r="I193">
            <v>0</v>
          </cell>
          <cell r="J193">
            <v>0</v>
          </cell>
          <cell r="K193">
            <v>0</v>
          </cell>
          <cell r="L193">
            <v>0</v>
          </cell>
          <cell r="M193">
            <v>0</v>
          </cell>
          <cell r="N193">
            <v>0</v>
          </cell>
          <cell r="O193">
            <v>0</v>
          </cell>
          <cell r="P193">
            <v>0</v>
          </cell>
          <cell r="Q193">
            <v>0</v>
          </cell>
          <cell r="R193">
            <v>0</v>
          </cell>
        </row>
        <row r="194">
          <cell r="C194" t="str">
            <v>671200A</v>
          </cell>
          <cell r="D194" t="str">
            <v>3</v>
          </cell>
          <cell r="E194" t="str">
            <v xml:space="preserve">    Subscription Services               </v>
          </cell>
          <cell r="F194">
            <v>0</v>
          </cell>
          <cell r="G194">
            <v>0</v>
          </cell>
          <cell r="H194">
            <v>0</v>
          </cell>
          <cell r="I194">
            <v>0</v>
          </cell>
          <cell r="J194">
            <v>0</v>
          </cell>
          <cell r="K194">
            <v>1</v>
          </cell>
          <cell r="L194">
            <v>1</v>
          </cell>
          <cell r="M194">
            <v>0</v>
          </cell>
          <cell r="N194">
            <v>0</v>
          </cell>
          <cell r="O194">
            <v>1</v>
          </cell>
          <cell r="P194">
            <v>0</v>
          </cell>
          <cell r="Q194">
            <v>0</v>
          </cell>
          <cell r="R194">
            <v>3</v>
          </cell>
        </row>
        <row r="195">
          <cell r="C195" t="str">
            <v>671500A</v>
          </cell>
          <cell r="D195" t="str">
            <v>3</v>
          </cell>
          <cell r="E195" t="str">
            <v xml:space="preserve">    Other Admin Expense                 </v>
          </cell>
          <cell r="F195">
            <v>0</v>
          </cell>
          <cell r="G195">
            <v>0</v>
          </cell>
          <cell r="H195">
            <v>0</v>
          </cell>
          <cell r="I195">
            <v>0</v>
          </cell>
          <cell r="J195">
            <v>0</v>
          </cell>
          <cell r="K195">
            <v>0</v>
          </cell>
          <cell r="L195">
            <v>0</v>
          </cell>
          <cell r="M195">
            <v>0</v>
          </cell>
          <cell r="N195">
            <v>0</v>
          </cell>
          <cell r="O195">
            <v>0</v>
          </cell>
          <cell r="P195">
            <v>0</v>
          </cell>
          <cell r="Q195">
            <v>0</v>
          </cell>
          <cell r="R195">
            <v>0</v>
          </cell>
        </row>
        <row r="196">
          <cell r="C196" t="str">
            <v>670000</v>
          </cell>
          <cell r="D196" t="str">
            <v>2</v>
          </cell>
          <cell r="E196" t="str">
            <v xml:space="preserve">  General Administrative                </v>
          </cell>
          <cell r="F196">
            <v>12</v>
          </cell>
          <cell r="G196">
            <v>13</v>
          </cell>
          <cell r="H196">
            <v>19</v>
          </cell>
          <cell r="I196">
            <v>14</v>
          </cell>
          <cell r="J196">
            <v>14</v>
          </cell>
          <cell r="K196">
            <v>17</v>
          </cell>
          <cell r="L196">
            <v>16</v>
          </cell>
          <cell r="M196">
            <v>16</v>
          </cell>
          <cell r="N196">
            <v>19</v>
          </cell>
          <cell r="O196">
            <v>15</v>
          </cell>
          <cell r="P196">
            <v>14</v>
          </cell>
          <cell r="Q196">
            <v>13</v>
          </cell>
          <cell r="R196">
            <v>182</v>
          </cell>
        </row>
        <row r="197">
          <cell r="C197" t="str">
            <v>675100</v>
          </cell>
          <cell r="D197" t="str">
            <v>4</v>
          </cell>
          <cell r="E197" t="str">
            <v xml:space="preserve">      Support Svcs Interco Exp          </v>
          </cell>
          <cell r="F197">
            <v>0</v>
          </cell>
          <cell r="G197">
            <v>0</v>
          </cell>
          <cell r="H197">
            <v>0</v>
          </cell>
          <cell r="I197">
            <v>0</v>
          </cell>
          <cell r="J197">
            <v>0</v>
          </cell>
          <cell r="K197">
            <v>0</v>
          </cell>
          <cell r="L197">
            <v>0</v>
          </cell>
          <cell r="M197">
            <v>0</v>
          </cell>
          <cell r="N197">
            <v>0</v>
          </cell>
          <cell r="O197">
            <v>0</v>
          </cell>
          <cell r="P197">
            <v>0</v>
          </cell>
          <cell r="Q197">
            <v>0</v>
          </cell>
          <cell r="R197">
            <v>0</v>
          </cell>
        </row>
        <row r="198">
          <cell r="C198" t="str">
            <v>675000</v>
          </cell>
          <cell r="D198" t="str">
            <v>2</v>
          </cell>
          <cell r="E198" t="str">
            <v xml:space="preserve">  Intercompany Expense                  </v>
          </cell>
          <cell r="F198">
            <v>0</v>
          </cell>
          <cell r="G198">
            <v>0</v>
          </cell>
          <cell r="H198">
            <v>0</v>
          </cell>
          <cell r="I198">
            <v>0</v>
          </cell>
          <cell r="J198">
            <v>0</v>
          </cell>
          <cell r="K198">
            <v>0</v>
          </cell>
          <cell r="L198">
            <v>0</v>
          </cell>
          <cell r="M198">
            <v>0</v>
          </cell>
          <cell r="N198">
            <v>0</v>
          </cell>
          <cell r="O198">
            <v>0</v>
          </cell>
          <cell r="P198">
            <v>0</v>
          </cell>
          <cell r="Q198">
            <v>0</v>
          </cell>
          <cell r="R198">
            <v>0</v>
          </cell>
        </row>
        <row r="199">
          <cell r="C199" t="str">
            <v>860010</v>
          </cell>
          <cell r="D199" t="str">
            <v>4</v>
          </cell>
          <cell r="E199" t="str">
            <v xml:space="preserve">      Processing/Support Income         </v>
          </cell>
          <cell r="F199">
            <v>0</v>
          </cell>
          <cell r="G199">
            <v>0</v>
          </cell>
          <cell r="H199">
            <v>0</v>
          </cell>
          <cell r="I199">
            <v>0</v>
          </cell>
          <cell r="J199">
            <v>0</v>
          </cell>
          <cell r="K199">
            <v>0</v>
          </cell>
          <cell r="L199">
            <v>0</v>
          </cell>
          <cell r="M199">
            <v>0</v>
          </cell>
          <cell r="N199">
            <v>0</v>
          </cell>
          <cell r="O199">
            <v>0</v>
          </cell>
          <cell r="P199">
            <v>0</v>
          </cell>
          <cell r="Q199">
            <v>0</v>
          </cell>
          <cell r="R199">
            <v>0</v>
          </cell>
        </row>
        <row r="200">
          <cell r="C200" t="str">
            <v>860510</v>
          </cell>
          <cell r="D200" t="str">
            <v>4</v>
          </cell>
          <cell r="E200" t="str">
            <v xml:space="preserve">      Processing/Support Expense        </v>
          </cell>
          <cell r="F200">
            <v>598.46</v>
          </cell>
          <cell r="G200">
            <v>671.04</v>
          </cell>
          <cell r="H200">
            <v>639.63</v>
          </cell>
          <cell r="I200">
            <v>630.08000000000004</v>
          </cell>
          <cell r="J200">
            <v>633.66</v>
          </cell>
          <cell r="K200">
            <v>635</v>
          </cell>
          <cell r="L200">
            <v>644.34</v>
          </cell>
          <cell r="M200">
            <v>643.76</v>
          </cell>
          <cell r="N200">
            <v>644.71</v>
          </cell>
          <cell r="O200">
            <v>648.08000000000004</v>
          </cell>
          <cell r="P200">
            <v>646.66</v>
          </cell>
          <cell r="Q200">
            <v>645.75</v>
          </cell>
          <cell r="R200">
            <v>7681.17</v>
          </cell>
        </row>
        <row r="201">
          <cell r="C201" t="str">
            <v>860985</v>
          </cell>
          <cell r="D201" t="str">
            <v>4</v>
          </cell>
          <cell r="E201" t="str">
            <v xml:space="preserve">      Processing Support Estimate       </v>
          </cell>
          <cell r="F201">
            <v>27.57</v>
          </cell>
          <cell r="G201">
            <v>-27.57</v>
          </cell>
          <cell r="H201">
            <v>0</v>
          </cell>
          <cell r="I201">
            <v>0</v>
          </cell>
          <cell r="J201">
            <v>0</v>
          </cell>
          <cell r="K201">
            <v>0</v>
          </cell>
          <cell r="L201">
            <v>0</v>
          </cell>
          <cell r="M201">
            <v>0</v>
          </cell>
          <cell r="N201">
            <v>0</v>
          </cell>
          <cell r="O201">
            <v>0</v>
          </cell>
          <cell r="P201">
            <v>0</v>
          </cell>
          <cell r="Q201">
            <v>0</v>
          </cell>
          <cell r="R201">
            <v>0</v>
          </cell>
        </row>
        <row r="202">
          <cell r="C202" t="str">
            <v>700500B</v>
          </cell>
          <cell r="D202" t="str">
            <v>2</v>
          </cell>
          <cell r="E202" t="str">
            <v xml:space="preserve">  Processing/Support Costs              </v>
          </cell>
          <cell r="F202">
            <v>626.03</v>
          </cell>
          <cell r="G202">
            <v>643.47</v>
          </cell>
          <cell r="H202">
            <v>639.63</v>
          </cell>
          <cell r="I202">
            <v>630.08000000000004</v>
          </cell>
          <cell r="J202">
            <v>633.66</v>
          </cell>
          <cell r="K202">
            <v>635</v>
          </cell>
          <cell r="L202">
            <v>644.34</v>
          </cell>
          <cell r="M202">
            <v>643.76</v>
          </cell>
          <cell r="N202">
            <v>644.71</v>
          </cell>
          <cell r="O202">
            <v>648.08000000000004</v>
          </cell>
          <cell r="P202">
            <v>646.66</v>
          </cell>
          <cell r="Q202">
            <v>645.75</v>
          </cell>
          <cell r="R202">
            <v>7681.17</v>
          </cell>
        </row>
        <row r="203">
          <cell r="C203" t="str">
            <v>700500K</v>
          </cell>
          <cell r="D203" t="str">
            <v>3</v>
          </cell>
          <cell r="E203" t="str">
            <v xml:space="preserve">    Projects/Programming Expense        </v>
          </cell>
          <cell r="F203">
            <v>9</v>
          </cell>
          <cell r="G203">
            <v>9</v>
          </cell>
          <cell r="H203">
            <v>13.54</v>
          </cell>
          <cell r="I203">
            <v>10.18</v>
          </cell>
          <cell r="J203">
            <v>10.18</v>
          </cell>
          <cell r="K203">
            <v>11.18</v>
          </cell>
          <cell r="L203">
            <v>10.18</v>
          </cell>
          <cell r="M203">
            <v>10.18</v>
          </cell>
          <cell r="N203">
            <v>10.18</v>
          </cell>
          <cell r="O203">
            <v>11.18</v>
          </cell>
          <cell r="P203">
            <v>10.18</v>
          </cell>
          <cell r="Q203">
            <v>10.18</v>
          </cell>
          <cell r="R203">
            <v>125.16</v>
          </cell>
        </row>
        <row r="204">
          <cell r="C204" t="str">
            <v>700500G</v>
          </cell>
          <cell r="D204" t="str">
            <v>2</v>
          </cell>
          <cell r="E204" t="str">
            <v xml:space="preserve">  Projects/Programming                  </v>
          </cell>
          <cell r="F204">
            <v>9</v>
          </cell>
          <cell r="G204">
            <v>9</v>
          </cell>
          <cell r="H204">
            <v>13.54</v>
          </cell>
          <cell r="I204">
            <v>10.18</v>
          </cell>
          <cell r="J204">
            <v>10.18</v>
          </cell>
          <cell r="K204">
            <v>11.18</v>
          </cell>
          <cell r="L204">
            <v>10.18</v>
          </cell>
          <cell r="M204">
            <v>10.18</v>
          </cell>
          <cell r="N204">
            <v>10.18</v>
          </cell>
          <cell r="O204">
            <v>11.18</v>
          </cell>
          <cell r="P204">
            <v>10.18</v>
          </cell>
          <cell r="Q204">
            <v>10.18</v>
          </cell>
          <cell r="R204">
            <v>125.16</v>
          </cell>
        </row>
        <row r="205">
          <cell r="C205" t="str">
            <v>700950B</v>
          </cell>
          <cell r="D205" t="str">
            <v>2</v>
          </cell>
          <cell r="E205" t="str">
            <v xml:space="preserve">  Overhead Expense                      </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C206" t="str">
            <v>600000A</v>
          </cell>
          <cell r="D206" t="str">
            <v>1</v>
          </cell>
          <cell r="E206" t="str">
            <v xml:space="preserve">Total Non - Interest Expense            </v>
          </cell>
          <cell r="F206">
            <v>5608.31</v>
          </cell>
          <cell r="G206">
            <v>5531.75</v>
          </cell>
          <cell r="H206">
            <v>5719.81</v>
          </cell>
          <cell r="I206">
            <v>5781.2</v>
          </cell>
          <cell r="J206">
            <v>5481.78</v>
          </cell>
          <cell r="K206">
            <v>5449.57</v>
          </cell>
          <cell r="L206">
            <v>5634.84</v>
          </cell>
          <cell r="M206">
            <v>5556.46</v>
          </cell>
          <cell r="N206">
            <v>5663.01</v>
          </cell>
          <cell r="O206">
            <v>5632.78</v>
          </cell>
          <cell r="P206">
            <v>5584.39</v>
          </cell>
          <cell r="Q206">
            <v>5705.54</v>
          </cell>
          <cell r="R206">
            <v>67349.440000000002</v>
          </cell>
        </row>
        <row r="207">
          <cell r="C207" t="str">
            <v>799999A</v>
          </cell>
          <cell r="D207" t="str">
            <v>1</v>
          </cell>
          <cell r="E207" t="str">
            <v xml:space="preserve">Income Tax Allocation                   </v>
          </cell>
          <cell r="F207">
            <v>-2135.4289199999998</v>
          </cell>
          <cell r="G207">
            <v>-2111.0166399999998</v>
          </cell>
          <cell r="H207">
            <v>-2178.3238000000001</v>
          </cell>
          <cell r="I207">
            <v>-2203.4351099999999</v>
          </cell>
          <cell r="J207">
            <v>-2086.8354399999998</v>
          </cell>
          <cell r="K207">
            <v>-2075.98677</v>
          </cell>
          <cell r="L207">
            <v>-2144.7908200000002</v>
          </cell>
          <cell r="M207">
            <v>-2114.6819099999998</v>
          </cell>
          <cell r="N207">
            <v>-2156.6066300000002</v>
          </cell>
          <cell r="O207">
            <v>-2142.9439900000002</v>
          </cell>
          <cell r="P207">
            <v>-2125.8630199999998</v>
          </cell>
          <cell r="Q207">
            <v>-2169.8951999999999</v>
          </cell>
          <cell r="R207">
            <v>-25645.808249999998</v>
          </cell>
        </row>
        <row r="208">
          <cell r="C208" t="str">
            <v>830130A</v>
          </cell>
          <cell r="D208" t="str">
            <v>1</v>
          </cell>
          <cell r="E208" t="str">
            <v xml:space="preserve">Full Time Equivalent Staff              </v>
          </cell>
          <cell r="F208">
            <v>873</v>
          </cell>
          <cell r="G208">
            <v>845</v>
          </cell>
          <cell r="H208">
            <v>869</v>
          </cell>
          <cell r="I208">
            <v>839</v>
          </cell>
          <cell r="J208">
            <v>864</v>
          </cell>
          <cell r="K208">
            <v>853</v>
          </cell>
          <cell r="L208">
            <v>880</v>
          </cell>
          <cell r="M208">
            <v>881</v>
          </cell>
          <cell r="N208">
            <v>881</v>
          </cell>
          <cell r="O208">
            <v>891</v>
          </cell>
          <cell r="P208">
            <v>885</v>
          </cell>
          <cell r="Q208">
            <v>913</v>
          </cell>
          <cell r="R208">
            <v>873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K&amp;DS Cost Allocation Model"/>
      <sheetName val="Direct Allocation"/>
      <sheetName val="Cost Basis"/>
      <sheetName val="collections plan 0401"/>
      <sheetName val="DataSheet"/>
      <sheetName val="Variations"/>
      <sheetName val="Criteria"/>
    </sheetNames>
    <sheetDataSet>
      <sheetData sheetId="0"/>
      <sheetData sheetId="1"/>
      <sheetData sheetId="2" refreshError="1">
        <row r="1">
          <cell r="D1">
            <v>27708</v>
          </cell>
        </row>
      </sheetData>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RF"/>
      <sheetName val="Budget"/>
      <sheetName val="Level 5"/>
      <sheetName val="PIP 1"/>
      <sheetName val="PIP 2"/>
      <sheetName val="PIP 3"/>
      <sheetName val="Cover Tender"/>
      <sheetName val="Tender Input"/>
      <sheetName val="Package MC"/>
      <sheetName val="Package Directs"/>
      <sheetName val="Fees"/>
      <sheetName val="Bid Recom"/>
      <sheetName val="BRRData"/>
      <sheetName val="Cover Cost Report"/>
      <sheetName val="Cost Summary L3"/>
      <sheetName val="Fee Tracker"/>
      <sheetName val="MC  Direct Supplier Tracker"/>
      <sheetName val="Variations"/>
      <sheetName val="OLDVariations"/>
      <sheetName val="CRF"/>
      <sheetName val="CRFData"/>
      <sheetName val="CRF Schedule"/>
      <sheetName val="Contingency"/>
      <sheetName val="Project Status"/>
      <sheetName val="Project Status Local"/>
      <sheetName val="PS Info"/>
      <sheetName val="Final Account"/>
      <sheetName val="Close Out"/>
      <sheetName val="CR List"/>
      <sheetName val="BRR Schedule"/>
      <sheetName val="Criteria"/>
      <sheetName val="Detailed Budget"/>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6">
          <cell r="B16" t="str">
            <v xml:space="preserve">WBS Level 3 </v>
          </cell>
          <cell r="C16" t="str">
            <v>Instruction Source</v>
          </cell>
          <cell r="E16" t="str">
            <v>firm</v>
          </cell>
          <cell r="F16" t="str">
            <v xml:space="preserve">Description </v>
          </cell>
          <cell r="H16" t="str">
            <v>Add</v>
          </cell>
          <cell r="J16" t="str">
            <v>Omit</v>
          </cell>
          <cell r="L16" t="str">
            <v>Total</v>
          </cell>
          <cell r="N16" t="str">
            <v>approved</v>
          </cell>
        </row>
        <row r="17">
          <cell r="B17" t="str">
            <v>Code</v>
          </cell>
          <cell r="E17" t="str">
            <v>Company</v>
          </cell>
          <cell r="F17" t="str">
            <v xml:space="preserve">Description </v>
          </cell>
          <cell r="H17" t="str">
            <v>INR (INR)</v>
          </cell>
          <cell r="J17" t="str">
            <v>INR (INR)</v>
          </cell>
          <cell r="L17" t="str">
            <v>INR (INR)</v>
          </cell>
          <cell r="N17" t="str">
            <v>Status</v>
          </cell>
        </row>
        <row r="19">
          <cell r="L19">
            <v>0</v>
          </cell>
        </row>
        <row r="20">
          <cell r="L20">
            <v>0</v>
          </cell>
        </row>
        <row r="21">
          <cell r="L21">
            <v>0</v>
          </cell>
        </row>
        <row r="22">
          <cell r="L22">
            <v>0</v>
          </cell>
        </row>
        <row r="23">
          <cell r="L23">
            <v>0</v>
          </cell>
        </row>
        <row r="24">
          <cell r="L24">
            <v>0</v>
          </cell>
        </row>
        <row r="25">
          <cell r="L25">
            <v>0</v>
          </cell>
        </row>
        <row r="26">
          <cell r="L26">
            <v>0</v>
          </cell>
        </row>
        <row r="27">
          <cell r="L27">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L75">
            <v>0</v>
          </cell>
        </row>
        <row r="76">
          <cell r="L76">
            <v>0</v>
          </cell>
        </row>
        <row r="77">
          <cell r="L77">
            <v>0</v>
          </cell>
        </row>
        <row r="78">
          <cell r="L78">
            <v>0</v>
          </cell>
        </row>
        <row r="79">
          <cell r="L79">
            <v>0</v>
          </cell>
        </row>
        <row r="80">
          <cell r="L80">
            <v>0</v>
          </cell>
        </row>
        <row r="81">
          <cell r="L81">
            <v>0</v>
          </cell>
        </row>
        <row r="82">
          <cell r="L82">
            <v>0</v>
          </cell>
        </row>
        <row r="83">
          <cell r="L83">
            <v>0</v>
          </cell>
        </row>
        <row r="84">
          <cell r="L84">
            <v>0</v>
          </cell>
        </row>
        <row r="85">
          <cell r="L85">
            <v>0</v>
          </cell>
        </row>
        <row r="86">
          <cell r="L86">
            <v>0</v>
          </cell>
        </row>
        <row r="87">
          <cell r="L87">
            <v>0</v>
          </cell>
        </row>
        <row r="88">
          <cell r="L88">
            <v>0</v>
          </cell>
        </row>
        <row r="89">
          <cell r="L89">
            <v>0</v>
          </cell>
        </row>
        <row r="90">
          <cell r="L90">
            <v>0</v>
          </cell>
        </row>
        <row r="91">
          <cell r="L91">
            <v>0</v>
          </cell>
        </row>
        <row r="92">
          <cell r="L92">
            <v>0</v>
          </cell>
        </row>
        <row r="93">
          <cell r="L93">
            <v>0</v>
          </cell>
        </row>
        <row r="94">
          <cell r="L94">
            <v>0</v>
          </cell>
        </row>
        <row r="95">
          <cell r="L95">
            <v>0</v>
          </cell>
        </row>
        <row r="96">
          <cell r="L96">
            <v>0</v>
          </cell>
        </row>
        <row r="97">
          <cell r="L97">
            <v>0</v>
          </cell>
        </row>
        <row r="98">
          <cell r="L98">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49">
          <cell r="D249" t="str">
            <v xml:space="preserve">WBS Level 3 </v>
          </cell>
          <cell r="G249" t="str">
            <v>Approved</v>
          </cell>
          <cell r="K249" t="str">
            <v xml:space="preserve">WBS Level 3 </v>
          </cell>
          <cell r="N249" t="str">
            <v>Approved</v>
          </cell>
          <cell r="R249" t="str">
            <v xml:space="preserve">WBS Level 3 </v>
          </cell>
          <cell r="U249" t="str">
            <v>Approved</v>
          </cell>
        </row>
        <row r="250">
          <cell r="D250" t="str">
            <v>01.01</v>
          </cell>
          <cell r="G250" t="str">
            <v>Yes</v>
          </cell>
          <cell r="K250" t="str">
            <v>01.01</v>
          </cell>
          <cell r="N250" t="str">
            <v>Pending</v>
          </cell>
          <cell r="R250" t="str">
            <v>01.01</v>
          </cell>
          <cell r="U250" t="str">
            <v>In_Budget</v>
          </cell>
        </row>
        <row r="252">
          <cell r="D252" t="str">
            <v xml:space="preserve">WBS Level 3 </v>
          </cell>
          <cell r="G252" t="str">
            <v>Approved</v>
          </cell>
          <cell r="K252" t="str">
            <v xml:space="preserve">WBS Level 3 </v>
          </cell>
          <cell r="N252" t="str">
            <v>Approved</v>
          </cell>
          <cell r="R252" t="str">
            <v xml:space="preserve">WBS Level 3 </v>
          </cell>
          <cell r="U252" t="str">
            <v>Approved</v>
          </cell>
        </row>
        <row r="253">
          <cell r="D253" t="str">
            <v>01.02</v>
          </cell>
          <cell r="G253" t="str">
            <v>Yes</v>
          </cell>
          <cell r="K253" t="str">
            <v>01.02</v>
          </cell>
          <cell r="N253" t="str">
            <v>Pending</v>
          </cell>
          <cell r="R253" t="str">
            <v>01.02</v>
          </cell>
          <cell r="U253" t="str">
            <v>In_Budget</v>
          </cell>
        </row>
        <row r="255">
          <cell r="D255" t="str">
            <v xml:space="preserve">WBS Level 3 </v>
          </cell>
          <cell r="G255" t="str">
            <v>Approved</v>
          </cell>
          <cell r="K255" t="str">
            <v xml:space="preserve">WBS Level 3 </v>
          </cell>
          <cell r="N255" t="str">
            <v>Approved</v>
          </cell>
          <cell r="R255" t="str">
            <v xml:space="preserve">WBS Level 3 </v>
          </cell>
          <cell r="U255" t="str">
            <v>Approved</v>
          </cell>
        </row>
        <row r="256">
          <cell r="D256" t="str">
            <v>01.03</v>
          </cell>
          <cell r="G256" t="str">
            <v>Yes</v>
          </cell>
          <cell r="K256" t="str">
            <v>01.03</v>
          </cell>
          <cell r="N256" t="str">
            <v>Pending</v>
          </cell>
          <cell r="R256" t="str">
            <v>01.03</v>
          </cell>
          <cell r="U256" t="str">
            <v>In_Budget</v>
          </cell>
        </row>
        <row r="258">
          <cell r="D258" t="str">
            <v xml:space="preserve">WBS Level 3 </v>
          </cell>
          <cell r="G258" t="str">
            <v>Approved</v>
          </cell>
          <cell r="K258" t="str">
            <v xml:space="preserve">WBS Level 3 </v>
          </cell>
          <cell r="N258" t="str">
            <v>Approved</v>
          </cell>
          <cell r="R258" t="str">
            <v xml:space="preserve">WBS Level 3 </v>
          </cell>
          <cell r="U258" t="str">
            <v>Approved</v>
          </cell>
        </row>
        <row r="259">
          <cell r="D259" t="str">
            <v>01.04</v>
          </cell>
          <cell r="G259" t="str">
            <v>Yes</v>
          </cell>
          <cell r="K259" t="str">
            <v>01.04</v>
          </cell>
          <cell r="N259" t="str">
            <v>Pending</v>
          </cell>
          <cell r="R259" t="str">
            <v>01.04</v>
          </cell>
          <cell r="U259" t="str">
            <v>In_Budget</v>
          </cell>
        </row>
        <row r="261">
          <cell r="D261" t="str">
            <v xml:space="preserve">WBS Level 3 </v>
          </cell>
          <cell r="G261" t="str">
            <v>Approved</v>
          </cell>
          <cell r="K261" t="str">
            <v xml:space="preserve">WBS Level 3 </v>
          </cell>
          <cell r="N261" t="str">
            <v>Approved</v>
          </cell>
          <cell r="R261" t="str">
            <v xml:space="preserve">WBS Level 3 </v>
          </cell>
          <cell r="U261" t="str">
            <v>Approved</v>
          </cell>
        </row>
        <row r="262">
          <cell r="D262" t="str">
            <v>01.05</v>
          </cell>
          <cell r="G262" t="str">
            <v>Yes</v>
          </cell>
          <cell r="K262" t="str">
            <v>01.05</v>
          </cell>
          <cell r="N262" t="str">
            <v>Pending</v>
          </cell>
          <cell r="R262" t="str">
            <v>01.05</v>
          </cell>
          <cell r="U262" t="str">
            <v>In_Budget</v>
          </cell>
        </row>
        <row r="264">
          <cell r="D264" t="str">
            <v xml:space="preserve">WBS Level 3 </v>
          </cell>
          <cell r="G264" t="str">
            <v>Approved</v>
          </cell>
          <cell r="K264" t="str">
            <v xml:space="preserve">WBS Level 3 </v>
          </cell>
          <cell r="N264" t="str">
            <v>Approved</v>
          </cell>
          <cell r="R264" t="str">
            <v xml:space="preserve">WBS Level 3 </v>
          </cell>
          <cell r="U264" t="str">
            <v>Approved</v>
          </cell>
        </row>
        <row r="265">
          <cell r="D265" t="str">
            <v>01.06</v>
          </cell>
          <cell r="G265" t="str">
            <v>Yes</v>
          </cell>
          <cell r="K265" t="str">
            <v>01.06</v>
          </cell>
          <cell r="N265" t="str">
            <v>Pending</v>
          </cell>
          <cell r="R265" t="str">
            <v>01.06</v>
          </cell>
          <cell r="U265" t="str">
            <v>In_Budget</v>
          </cell>
        </row>
        <row r="267">
          <cell r="D267" t="str">
            <v xml:space="preserve">WBS Level 3 </v>
          </cell>
          <cell r="G267" t="str">
            <v>Approved</v>
          </cell>
          <cell r="K267" t="str">
            <v xml:space="preserve">WBS Level 3 </v>
          </cell>
          <cell r="N267" t="str">
            <v>Approved</v>
          </cell>
          <cell r="R267" t="str">
            <v xml:space="preserve">WBS Level 3 </v>
          </cell>
          <cell r="U267" t="str">
            <v>Approved</v>
          </cell>
        </row>
        <row r="268">
          <cell r="D268" t="str">
            <v>03.07</v>
          </cell>
          <cell r="G268" t="str">
            <v>Yes</v>
          </cell>
          <cell r="K268" t="str">
            <v>03.07</v>
          </cell>
          <cell r="N268" t="str">
            <v>Pending</v>
          </cell>
          <cell r="R268" t="str">
            <v>03.07</v>
          </cell>
          <cell r="U268" t="str">
            <v>In_Budget</v>
          </cell>
        </row>
        <row r="270">
          <cell r="D270" t="str">
            <v xml:space="preserve">WBS Level 3 </v>
          </cell>
          <cell r="G270" t="str">
            <v>Approved</v>
          </cell>
          <cell r="K270" t="str">
            <v xml:space="preserve">WBS Level 3 </v>
          </cell>
          <cell r="N270" t="str">
            <v>Approved</v>
          </cell>
          <cell r="R270" t="str">
            <v xml:space="preserve">WBS Level 3 </v>
          </cell>
          <cell r="U270" t="str">
            <v>Approved</v>
          </cell>
        </row>
        <row r="271">
          <cell r="D271" t="str">
            <v>03.08</v>
          </cell>
          <cell r="G271" t="str">
            <v>Yes</v>
          </cell>
          <cell r="K271" t="str">
            <v>03.08</v>
          </cell>
          <cell r="N271" t="str">
            <v>Pending</v>
          </cell>
          <cell r="R271" t="str">
            <v>03.08</v>
          </cell>
          <cell r="U271" t="str">
            <v>In_Budget</v>
          </cell>
        </row>
        <row r="273">
          <cell r="D273" t="str">
            <v xml:space="preserve">WBS Level 3 </v>
          </cell>
          <cell r="G273" t="str">
            <v>Approved</v>
          </cell>
          <cell r="K273" t="str">
            <v xml:space="preserve">WBS Level 3 </v>
          </cell>
          <cell r="N273" t="str">
            <v>Approved</v>
          </cell>
          <cell r="R273" t="str">
            <v xml:space="preserve">WBS Level 3 </v>
          </cell>
          <cell r="U273" t="str">
            <v>Approved</v>
          </cell>
        </row>
        <row r="274">
          <cell r="D274" t="str">
            <v>03.09</v>
          </cell>
          <cell r="G274" t="str">
            <v>Yes</v>
          </cell>
          <cell r="K274" t="str">
            <v>03.09</v>
          </cell>
          <cell r="N274" t="str">
            <v>Pending</v>
          </cell>
          <cell r="R274" t="str">
            <v>03.09</v>
          </cell>
          <cell r="U274" t="str">
            <v>In_Budget</v>
          </cell>
        </row>
        <row r="276">
          <cell r="D276" t="str">
            <v xml:space="preserve">WBS Level 3 </v>
          </cell>
          <cell r="G276" t="str">
            <v>Approved</v>
          </cell>
          <cell r="K276" t="str">
            <v xml:space="preserve">WBS Level 3 </v>
          </cell>
          <cell r="N276" t="str">
            <v>Approved</v>
          </cell>
          <cell r="R276" t="str">
            <v xml:space="preserve">WBS Level 3 </v>
          </cell>
          <cell r="U276" t="str">
            <v>Approved</v>
          </cell>
        </row>
        <row r="277">
          <cell r="D277" t="str">
            <v>03.10</v>
          </cell>
          <cell r="G277" t="str">
            <v>Yes</v>
          </cell>
          <cell r="K277" t="str">
            <v>03.10</v>
          </cell>
          <cell r="N277" t="str">
            <v>Pending</v>
          </cell>
          <cell r="R277" t="str">
            <v>03.10</v>
          </cell>
          <cell r="U277" t="str">
            <v>In_Budget</v>
          </cell>
        </row>
        <row r="279">
          <cell r="D279" t="str">
            <v xml:space="preserve">WBS Level 3 </v>
          </cell>
          <cell r="G279" t="str">
            <v>Approved</v>
          </cell>
          <cell r="K279" t="str">
            <v xml:space="preserve">WBS Level 3 </v>
          </cell>
          <cell r="N279" t="str">
            <v>Approved</v>
          </cell>
          <cell r="R279" t="str">
            <v xml:space="preserve">WBS Level 3 </v>
          </cell>
          <cell r="U279" t="str">
            <v>Approved</v>
          </cell>
        </row>
        <row r="280">
          <cell r="D280" t="str">
            <v>03.11</v>
          </cell>
          <cell r="G280" t="str">
            <v>Yes</v>
          </cell>
          <cell r="K280" t="str">
            <v>03.11</v>
          </cell>
          <cell r="N280" t="str">
            <v>Pending</v>
          </cell>
          <cell r="R280" t="str">
            <v>03.11</v>
          </cell>
          <cell r="U280" t="str">
            <v>In_Budget</v>
          </cell>
        </row>
        <row r="282">
          <cell r="D282" t="str">
            <v xml:space="preserve">WBS Level 3 </v>
          </cell>
          <cell r="G282" t="str">
            <v>Approved</v>
          </cell>
          <cell r="K282" t="str">
            <v xml:space="preserve">WBS Level 3 </v>
          </cell>
          <cell r="N282" t="str">
            <v>Approved</v>
          </cell>
          <cell r="R282" t="str">
            <v xml:space="preserve">WBS Level 3 </v>
          </cell>
          <cell r="U282" t="str">
            <v>Approved</v>
          </cell>
        </row>
        <row r="283">
          <cell r="D283" t="str">
            <v>02.12</v>
          </cell>
          <cell r="G283" t="str">
            <v>Yes</v>
          </cell>
          <cell r="K283" t="str">
            <v>02.12</v>
          </cell>
          <cell r="N283" t="str">
            <v>Pending</v>
          </cell>
          <cell r="R283" t="str">
            <v>02.12</v>
          </cell>
          <cell r="U283" t="str">
            <v>In_Budget</v>
          </cell>
        </row>
        <row r="285">
          <cell r="D285" t="str">
            <v xml:space="preserve">WBS Level 3 </v>
          </cell>
          <cell r="G285" t="str">
            <v>Approved</v>
          </cell>
          <cell r="K285" t="str">
            <v xml:space="preserve">WBS Level 3 </v>
          </cell>
          <cell r="N285" t="str">
            <v>Approved</v>
          </cell>
          <cell r="R285" t="str">
            <v xml:space="preserve">WBS Level 3 </v>
          </cell>
          <cell r="U285" t="str">
            <v>Approved</v>
          </cell>
        </row>
        <row r="286">
          <cell r="D286" t="str">
            <v>02.13</v>
          </cell>
          <cell r="G286" t="str">
            <v>Yes</v>
          </cell>
          <cell r="K286" t="str">
            <v>02.13</v>
          </cell>
          <cell r="N286" t="str">
            <v>Pending</v>
          </cell>
          <cell r="R286" t="str">
            <v>02.13</v>
          </cell>
          <cell r="U286" t="str">
            <v>In_Budget</v>
          </cell>
        </row>
        <row r="288">
          <cell r="D288" t="str">
            <v xml:space="preserve">WBS Level 3 </v>
          </cell>
          <cell r="G288" t="str">
            <v>Approved</v>
          </cell>
          <cell r="K288" t="str">
            <v xml:space="preserve">WBS Level 3 </v>
          </cell>
          <cell r="N288" t="str">
            <v>Approved</v>
          </cell>
          <cell r="R288" t="str">
            <v xml:space="preserve">WBS Level 3 </v>
          </cell>
          <cell r="U288" t="str">
            <v>Approved</v>
          </cell>
        </row>
        <row r="289">
          <cell r="D289" t="str">
            <v>02.14</v>
          </cell>
          <cell r="G289" t="str">
            <v>Yes</v>
          </cell>
          <cell r="K289" t="str">
            <v>02.14</v>
          </cell>
          <cell r="N289" t="str">
            <v>Pending</v>
          </cell>
          <cell r="R289" t="str">
            <v>02.14</v>
          </cell>
          <cell r="U289" t="str">
            <v>In_Budget</v>
          </cell>
        </row>
      </sheetData>
      <sheetData sheetId="32" refreshError="1"/>
      <sheetData sheetId="33">
        <row r="5">
          <cell r="B5">
            <v>1.7395176665414201E-2</v>
          </cell>
        </row>
        <row r="161">
          <cell r="B161" t="str">
            <v>ft²</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Audit-Report"/>
      <sheetName val="ii"/>
      <sheetName val="2"/>
      <sheetName val="iii"/>
      <sheetName val="Macro1"/>
      <sheetName val="iv"/>
      <sheetName val="4"/>
      <sheetName val="5"/>
      <sheetName val="6"/>
      <sheetName val="7"/>
      <sheetName val="R_thirty"/>
      <sheetName val="8"/>
      <sheetName val="9"/>
      <sheetName val="10"/>
      <sheetName val="11"/>
      <sheetName val="12"/>
      <sheetName val="13"/>
      <sheetName val="14"/>
      <sheetName val="15"/>
      <sheetName val="16"/>
      <sheetName val="17"/>
      <sheetName val="29"/>
      <sheetName val="30"/>
      <sheetName val="31"/>
      <sheetName val="32"/>
      <sheetName val="33"/>
      <sheetName val="34"/>
      <sheetName val="35"/>
      <sheetName val="36"/>
      <sheetName val="37"/>
      <sheetName val="39"/>
      <sheetName val="40"/>
      <sheetName val="41"/>
      <sheetName val="PG42A"/>
      <sheetName val="MC"/>
      <sheetName val="Customers"/>
      <sheetName val="IND9899"/>
      <sheetName val="REGULAR"/>
      <sheetName val="cwip on 31.03.2003"/>
      <sheetName val="hval"/>
      <sheetName val="hvt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ALANCE-SHEET"/>
      <sheetName val="JUNE-RELATED-COSTS"/>
      <sheetName val="COMPLEXALL"/>
      <sheetName val="IIb"/>
      <sheetName val="Accounts"/>
      <sheetName val="BS "/>
      <sheetName val="profit share"/>
      <sheetName val="D"/>
      <sheetName val="II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s"/>
      <sheetName val="TurboNOLs"/>
      <sheetName val="ProFormaNOLs"/>
      <sheetName val="Cover Page"/>
      <sheetName val="Short Summary"/>
      <sheetName val="Summary"/>
      <sheetName val="Summary - Target"/>
      <sheetName val="Acquisition Analysis"/>
      <sheetName val="Sensitivity"/>
      <sheetName val="Acquiror Financials"/>
      <sheetName val="Target Financials"/>
      <sheetName val="Pro Forma"/>
      <sheetName val="Acquiror Impact"/>
      <sheetName val="Target Impact"/>
      <sheetName val="IRR"/>
      <sheetName val="Contribution-NO"/>
      <sheetName val="Has-Gets -NO"/>
      <sheetName val="Value Creation-NO"/>
      <sheetName val="Shares-NO"/>
      <sheetName val="ESOP Recon-NO"/>
      <sheetName val="          END HERE       "/>
      <sheetName val="Tainted Shares"/>
      <sheetName val="Dividends"/>
      <sheetName val="Sheet2"/>
      <sheetName val="ValueCreation"/>
      <sheetName val="PPR"/>
      <sheetName val="DCF"/>
      <sheetName val="DCF_wo savs"/>
      <sheetName val="Pro Forma A"/>
      <sheetName val="Pro Forma B"/>
      <sheetName val="Date Calcs"/>
      <sheetName val="Macro1"/>
      <sheetName val="Print Marco"/>
      <sheetName val="Module1"/>
      <sheetName val="Module2"/>
      <sheetName val="Module3"/>
      <sheetName val="ANN.K"/>
      <sheetName val="Cover_Page"/>
      <sheetName val="Short_Summary"/>
      <sheetName val="Summary_-_Target"/>
      <sheetName val="Acquisition_Analysis"/>
      <sheetName val="Acquiror_Financials"/>
      <sheetName val="Target_Financials"/>
      <sheetName val="Pro_Forma"/>
      <sheetName val="Acquiror_Impact"/>
      <sheetName val="Target_Impact"/>
      <sheetName val="Has-Gets_-NO"/>
      <sheetName val="Value_Creation-NO"/>
      <sheetName val="ESOP_Recon-NO"/>
      <sheetName val="__________END_HERE_______"/>
      <sheetName val="Tainted_Shares"/>
      <sheetName val="DCF_wo_savs"/>
      <sheetName val="Pro_Forma_A"/>
      <sheetName val="Pro_Forma_B"/>
      <sheetName val="Date_Calcs"/>
      <sheetName val="Print_Marco"/>
      <sheetName val="ANN_K"/>
      <sheetName val="Curves_Sheet"/>
      <sheetName val="Holiday_Calender"/>
      <sheetName val="Grouping TB"/>
      <sheetName val="PRECAST lightconc-II"/>
      <sheetName val="Quantity"/>
      <sheetName val="Sheet1"/>
      <sheetName val="crs"/>
      <sheetName val="BOQ (2)"/>
      <sheetName val="Sheet3"/>
      <sheetName val="EXPENSES"/>
      <sheetName val="BS"/>
      <sheetName val="5"/>
      <sheetName val="Exchange"/>
      <sheetName val="BL Data"/>
      <sheetName val="customer list"/>
      <sheetName val="Income Statement"/>
      <sheetName val="Ratios"/>
      <sheetName val="#REF!"/>
      <sheetName val="ANN 3"/>
      <sheetName val="Assume"/>
      <sheetName val="cus_image"/>
      <sheetName val="Pr.-hist."/>
      <sheetName val="Grouped trial balance"/>
      <sheetName val="Accountwise trial balance"/>
      <sheetName val="Groupwise summary"/>
      <sheetName val="Schedules Original rough"/>
      <sheetName val="Summary of Misstatements"/>
      <sheetName val="Notes"/>
      <sheetName val="MC"/>
      <sheetName val="IC"/>
      <sheetName val="E755 Annex"/>
      <sheetName val="24Q challan"/>
      <sheetName val="data"/>
      <sheetName val="ANNEXURE I FORM24Q"/>
      <sheetName val="DrowDownLists"/>
      <sheetName val="gvl"/>
      <sheetName val="S14-EXP"/>
      <sheetName val="Salaries"/>
      <sheetName val="2003 Actual"/>
      <sheetName val="DSUM2004"/>
      <sheetName val="HEADCOUNT"/>
      <sheetName val="Training - Bud"/>
      <sheetName val="5100 TRIL HO FA Register Jan.20"/>
      <sheetName val="SECTOR"/>
      <sheetName val="PLQ"/>
      <sheetName val="080 (2)"/>
      <sheetName val="4.Grouping - Balance Sheet(mio)"/>
      <sheetName val="Bal Sheet"/>
      <sheetName val="14"/>
      <sheetName val="Basic Details"/>
      <sheetName val="BS Groupings"/>
      <sheetName val="PL Groupings"/>
      <sheetName val="Links"/>
      <sheetName val="p&amp;m"/>
      <sheetName val="Fill this out first..."/>
      <sheetName val="Notes to cash flow pt. 1"/>
      <sheetName val="Input"/>
      <sheetName val="EVA Forecast"/>
      <sheetName val="Control"/>
      <sheetName val="netassets"/>
      <sheetName val="CWIP status"/>
      <sheetName val="Cover_Page1"/>
      <sheetName val="Short_Summary1"/>
      <sheetName val="Summary_-_Target1"/>
      <sheetName val="Acquisition_Analysis1"/>
      <sheetName val="Acquiror_Financials1"/>
      <sheetName val="Target_Financials1"/>
      <sheetName val="Pro_Forma1"/>
      <sheetName val="Acquiror_Impact1"/>
      <sheetName val="Target_Impact1"/>
      <sheetName val="Has-Gets_-NO1"/>
      <sheetName val="Value_Creation-NO1"/>
      <sheetName val="ESOP_Recon-NO1"/>
      <sheetName val="__________END_HERE_______1"/>
      <sheetName val="Tainted_Shares1"/>
      <sheetName val="DCF_wo_savs1"/>
      <sheetName val="Pro_Forma_A1"/>
      <sheetName val="Pro_Forma_B1"/>
      <sheetName val="Date_Calcs1"/>
      <sheetName val="Print_Marco1"/>
      <sheetName val="Grouping_TB"/>
      <sheetName val="ANN_K1"/>
      <sheetName val="BL_Data"/>
      <sheetName val="PRECAST_lightconc-II"/>
      <sheetName val="DAILY"/>
      <sheetName val="RANK"/>
      <sheetName val="Balancesheet"/>
      <sheetName val="Cancel &amp; Rollover"/>
      <sheetName val="Report"/>
      <sheetName val="expired"/>
      <sheetName val="BOQ_(2)"/>
      <sheetName val="Income_Statement"/>
      <sheetName val="customer_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B"/>
      <sheetName val="CP"/>
      <sheetName val="AM"/>
      <sheetName val="GCIB"/>
      <sheetName val="EI"/>
      <sheetName val="CT"/>
    </sheetNames>
    <sheetDataSet>
      <sheetData sheetId="0"/>
      <sheetData sheetId="1"/>
      <sheetData sheetId="2"/>
      <sheetData sheetId="3"/>
      <sheetData sheetId="4"/>
      <sheetData sheetId="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Control"/>
      <sheetName val="405"/>
      <sheetName val="427"/>
      <sheetName val="403"/>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Cochin Invoice File"/>
      <sheetName val="STPI November 08"/>
      <sheetName val="BS - L+OE"/>
      <sheetName val="Annexure 3A"/>
      <sheetName val="Query SS 1_805"/>
      <sheetName val="CRITERIA1"/>
      <sheetName val="Financials"/>
      <sheetName val="Sheet1"/>
      <sheetName val="CWIP"/>
      <sheetName val="Opening"/>
      <sheetName val="DepRate"/>
      <sheetName val="Purchase Order"/>
      <sheetName val="Other notes"/>
      <sheetName val="FORM-16"/>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DCF Analysis"/>
      <sheetName val="Con0304"/>
      <sheetName val="Brand &amp; CC list"/>
      <sheetName val="Market list"/>
      <sheetName val="CashFlow"/>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ConsolSkol31122002-ECBDL"/>
      <sheetName val="Model"/>
      <sheetName val="CF"/>
      <sheetName val="Overview"/>
      <sheetName val="Ann -1"/>
      <sheetName val="Co.26 Unfinished P&amp;E"/>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Summary"/>
      <sheetName val="Income Statement"/>
      <sheetName val="Assum"/>
      <sheetName val="Debt"/>
      <sheetName val="Sum"/>
      <sheetName val="Cover"/>
      <sheetName val="MoCF"/>
      <sheetName val="TPM"/>
      <sheetName val="trial_(2)1"/>
      <sheetName val="LINK_GAP1"/>
      <sheetName val="trial_(2)2"/>
      <sheetName val="LINK_GAP2"/>
      <sheetName val="Dep"/>
      <sheetName val="DCF"/>
      <sheetName val="Cochin_Invoice_File"/>
      <sheetName val="STPI_November_08"/>
      <sheetName val="BS_-_L+OE"/>
      <sheetName val="Annexure_3A"/>
      <sheetName val="DCF_Analysis"/>
      <sheetName val="DB"/>
      <sheetName val="Sch"/>
      <sheetName val="Page 8 "/>
      <sheetName val="Modality Summary"/>
      <sheetName val="Sheet1 (2)"/>
      <sheetName val="A91_97"/>
      <sheetName val="BS IAS (eur)"/>
      <sheetName val="Val Com4"/>
      <sheetName val="Val Com7"/>
      <sheetName val="BS"/>
      <sheetName val="Letter"/>
      <sheetName val="INV-512"/>
      <sheetName val="CAMPWISE COLL"/>
      <sheetName val="Jul-02 tb"/>
      <sheetName val="No-5"/>
      <sheetName val="FX Rate - Current Month Rates"/>
      <sheetName val="YTD"/>
      <sheetName val="SMTHKLNE"/>
      <sheetName val="CP-CT1"/>
      <sheetName val="CP-CT2"/>
      <sheetName val="Basic Resources"/>
      <sheetName val="JAN"/>
      <sheetName val="Audit"/>
      <sheetName val="Comp"/>
      <sheetName val="Balance Sheet "/>
      <sheetName val="Nandan"/>
      <sheetName val="Revenue"/>
      <sheetName val="March"/>
      <sheetName val="Definition"/>
      <sheetName val="Input schedule"/>
      <sheetName val="200B"/>
      <sheetName val="DEC07 GL DL"/>
      <sheetName val="Simulator Detail"/>
      <sheetName val="lead schs"/>
      <sheetName val="Power &amp; Fuel (S)"/>
      <sheetName val="Detailed"/>
      <sheetName val="Sheet2"/>
      <sheetName val="KLHT"/>
      <sheetName val="PROGRAM REV"/>
      <sheetName val="A"/>
      <sheetName val="CRITERIA2"/>
      <sheetName val="PAY_DATES"/>
      <sheetName val="Rentals Real 1"/>
      <sheetName val="All Components Report"/>
      <sheetName val="Masters"/>
      <sheetName val="Development"/>
      <sheetName val="IP Business Manpower"/>
      <sheetName val="CRITERIA4"/>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Master"/>
      <sheetName val="YTD Data"/>
      <sheetName val="DCF_VDF"/>
      <sheetName val="PV of Op Leases_VDF"/>
      <sheetName val="Service Function"/>
      <sheetName val="Exchange"/>
      <sheetName val="XXL_1ST"/>
      <sheetName val="Setting"/>
      <sheetName val="Inputs"/>
      <sheetName val="Summ"/>
      <sheetName val="CRITERIA3"/>
      <sheetName val="CRITERIA5"/>
      <sheetName val="CRITERIA6"/>
      <sheetName val="TRIAL BALANCE"/>
      <sheetName val="BASIS"/>
      <sheetName val="J1iex"/>
      <sheetName val="EAW Final Accounts - 99"/>
      <sheetName val="girder"/>
      <sheetName val="Fill this out first..."/>
      <sheetName val="Main"/>
      <sheetName val="Bal_Gr"/>
      <sheetName val="it-dep"/>
      <sheetName val="Complete CWIP Status"/>
      <sheetName val="Co. TB"/>
      <sheetName val="computation"/>
      <sheetName val="15"/>
      <sheetName val="Movement of Mutual Funds"/>
      <sheetName val="purchase PBC"/>
      <sheetName val="Prices"/>
      <sheetName val="Sch 13 Notes 13-16"/>
      <sheetName val="TYPE"/>
      <sheetName val="CVBUH2MONTHLY"/>
      <sheetName val="TT35"/>
      <sheetName val="Sch 7-13"/>
      <sheetName val="UBRD"/>
      <sheetName val="UBRS"/>
      <sheetName val="UPLA"/>
      <sheetName val="KPM DT"/>
      <sheetName val="RECEIPT"/>
      <sheetName val="depit"/>
      <sheetName val="BS, PL, Sch 5 to 9"/>
      <sheetName val="GRN-2010"/>
      <sheetName val="Himachal"/>
      <sheetName val="Sheet"/>
      <sheetName val="Quarterly Scrap"/>
      <sheetName val="Raw Mtls."/>
      <sheetName val="WIP"/>
      <sheetName val="Finished Goods"/>
      <sheetName val="Raw Data"/>
      <sheetName val="KEY INPUTS"/>
      <sheetName val="BBRD"/>
      <sheetName val="BBRS"/>
      <sheetName val="BBSR"/>
      <sheetName val="cashbackup"/>
      <sheetName val="BusinessList"/>
      <sheetName val="BPLA"/>
      <sheetName val="BPSR"/>
      <sheetName val="BKPM1"/>
      <sheetName val="BKPM2"/>
      <sheetName val="BPCA"/>
      <sheetName val="Annexure to HDFC"/>
      <sheetName val="T&amp;L"/>
      <sheetName val="dtxl"/>
      <sheetName val="EXPL.AGUA"/>
      <sheetName val="Read me"/>
      <sheetName val="Worksheet"/>
      <sheetName val="X rate"/>
      <sheetName val="IC-RP list"/>
      <sheetName val="Anlage 1"/>
      <sheetName val="trail"/>
      <sheetName val="IRR"/>
      <sheetName val="deduction"/>
      <sheetName val="addition"/>
      <sheetName val="sep01"/>
      <sheetName val="TB"/>
      <sheetName val="EP"/>
      <sheetName val="RES"/>
      <sheetName val="Pending settlements"/>
      <sheetName val="ETC Plant Cost"/>
      <sheetName val="BSPL"/>
      <sheetName val="AR Drop Downs"/>
      <sheetName val="DF"/>
      <sheetName val="fcl"/>
      <sheetName val="dwbulk"/>
      <sheetName val="Branch"/>
      <sheetName val="TB trend"/>
      <sheetName val="groupcodes"/>
      <sheetName val="Payroll reconciliation"/>
      <sheetName val="2003"/>
      <sheetName val="dealer list"/>
      <sheetName val="February"/>
      <sheetName val="January"/>
      <sheetName val="Account balances"/>
      <sheetName val="Struktur"/>
      <sheetName val="Criteria"/>
      <sheetName val="DC Actual"/>
      <sheetName val="DC PLan"/>
      <sheetName val="Input"/>
      <sheetName val="gvl"/>
      <sheetName val="??????"/>
      <sheetName val="대리점리스트"/>
      <sheetName val="Validation"/>
      <sheetName val="Disp Table"/>
      <sheetName val="Values"/>
      <sheetName val="SLOC Listing"/>
      <sheetName val="24100 Accr Liab"/>
      <sheetName val="BS and P&amp;L"/>
      <sheetName val="Directors"/>
      <sheetName val="Parameter"/>
      <sheetName val="3BPA00132-5-3 W plan HVPNL"/>
      <sheetName val="off"/>
      <sheetName val="Summary-PSG"/>
      <sheetName val="환율"/>
      <sheetName val="CAUSTIC"/>
      <sheetName val="HIST - IS"/>
      <sheetName val="Locked cell"/>
      <sheetName val="PL"/>
      <sheetName val="16.IC-RP list"/>
      <sheetName val="UNIT-II"/>
      <sheetName val="PRO AND SALE -APRIL-04-JAN-05"/>
      <sheetName val="Earnings model"/>
      <sheetName val="deptcodesdec30"/>
      <sheetName val="ReworkLabour"/>
      <sheetName val="JE10310X"/>
      <sheetName val="BS JUL"/>
      <sheetName val="NOPAT_VDF"/>
      <sheetName val="Invested capital_VDF"/>
      <sheetName val="WACC_VDF"/>
      <sheetName val="Income Statement_VDF"/>
      <sheetName val="Excess Premium Settled"/>
      <sheetName val="HIP Premium Working"/>
      <sheetName val="MB-05, JU"/>
      <sheetName val="Grouping TB"/>
      <sheetName val="Assumptions"/>
      <sheetName val="SALE&amp;COST"/>
      <sheetName val="A-General"/>
      <sheetName val="WORKINGS"/>
      <sheetName val="CC &amp; PC"/>
      <sheetName val="Crédit"/>
      <sheetName val="Vente"/>
      <sheetName val="TAX INCOME"/>
      <sheetName val="B_S"/>
      <sheetName val="Project Ignite"/>
      <sheetName val="Multiples output"/>
      <sheetName val="Profitability stats"/>
      <sheetName val="Inputs from PSTN Model"/>
      <sheetName val="DCF Senstivities"/>
      <sheetName val="Grey cloth outsource"/>
      <sheetName val="sch 11 thru 15"/>
      <sheetName val="sch 1 thru 6 sans 4"/>
      <sheetName val="Procedures"/>
      <sheetName val="Data Center P&amp;L"/>
      <sheetName val="Anx-to-Form3AA"/>
      <sheetName val="ACS(1)"/>
      <sheetName val="FAS-C(4)"/>
      <sheetName val="CCTV(old)"/>
      <sheetName val="Bal.Sht.Sch."/>
      <sheetName val="Monthly Break Up"/>
      <sheetName val="Annx 3"/>
      <sheetName val="PT Cost Details"/>
      <sheetName val="BS &amp; Sch."/>
      <sheetName val="Coding"/>
      <sheetName val="Weekend Allow Jan,10"/>
      <sheetName val="Lead Sheet"/>
      <sheetName val="Location &amp; Dept Master"/>
      <sheetName val="Kontensalden"/>
      <sheetName val="GL MASTER"/>
      <sheetName val="R+d"/>
      <sheetName val="due to from"/>
      <sheetName val="TBAL9697 -group wise  sdpl"/>
      <sheetName val="PackInformation"/>
      <sheetName val="crs"/>
      <sheetName val="3335"/>
      <sheetName val="WP_Hist ABC"/>
      <sheetName val="Stock"/>
      <sheetName val="PRECAST lightconc-II"/>
      <sheetName val="Investments"/>
      <sheetName val="14"/>
      <sheetName val="3"/>
      <sheetName val="40"/>
      <sheetName val="3901"/>
      <sheetName val="ClientMaster"/>
      <sheetName val="ProjectMaster"/>
      <sheetName val="Add  02-03"/>
      <sheetName val="lov-cspl"/>
      <sheetName val="June 2000"/>
      <sheetName val="7.0 CapEx"/>
      <sheetName val="Rates"/>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ALVXXL01"/>
      <sheetName val="SUM-WDV"/>
      <sheetName val="Total DTH Forecast"/>
      <sheetName val="Total Distribution Forecast"/>
      <sheetName val="TB APJ"/>
      <sheetName val="July 06-Mar 07"/>
      <sheetName val="Manualformat"/>
      <sheetName val="Assume"/>
      <sheetName val="PL_Input_YTD"/>
      <sheetName val="PL_Input_YTD_P"/>
      <sheetName val="BalanceSheet"/>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Form"/>
      <sheetName val="Challan"/>
      <sheetName val="grp "/>
      <sheetName val="Stammdaten"/>
      <sheetName val="BS Schedules"/>
      <sheetName val="Cover Page"/>
      <sheetName val="lov-COAct"/>
      <sheetName val="Citrix"/>
      <sheetName val="Calculation (2)"/>
      <sheetName val="SCH 10"/>
      <sheetName val="BOB DETAILS"/>
      <sheetName val="BY Client &amp; Region Aug"/>
      <sheetName val="Params"/>
      <sheetName val="Register"/>
      <sheetName val="AVGSAL"/>
      <sheetName val="INC_CONV"/>
      <sheetName val="MP Variance Summary"/>
      <sheetName val="SECTOR"/>
      <sheetName val="FX"/>
      <sheetName val="FAR (old)"/>
      <sheetName val="d"/>
      <sheetName val="Intaccrual"/>
      <sheetName val="SBU"/>
      <sheetName val="tdint"/>
      <sheetName val="Stryker DIV "/>
      <sheetName val="EXIT"/>
      <sheetName val="LTM"/>
      <sheetName val="DropZone"/>
      <sheetName val="PROP"/>
      <sheetName val="Boq"/>
      <sheetName val="dBase"/>
      <sheetName val="labour coeff"/>
      <sheetName val="CS"/>
      <sheetName val="Assump. "/>
      <sheetName val="Transaction Inputs"/>
      <sheetName val="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refreshError="1"/>
      <sheetData sheetId="249" refreshError="1"/>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12.01A Balance-Sheet"/>
      <sheetName val="1612.01B TRFDIVS"/>
      <sheetName val="1612.01C LOAN_SUM"/>
      <sheetName val="1612.01D TERMLOANS "/>
      <sheetName val="1612.01E UN_SECU.LOANS"/>
      <sheetName val="1612.01F fixassets"/>
      <sheetName val="1612.01 G CWIP-SUMM"/>
      <sheetName val="1612.01H CWIP"/>
      <sheetName val="1612.01H{1} IMP EQPT"/>
      <sheetName val="1612.01H {2} 273515"/>
      <sheetName val="1612.01I EDC"/>
      <sheetName val="1612.01J INVEST"/>
      <sheetName val="1612.01K cur. assets"/>
      <sheetName val="1612.01L loans_adv"/>
      <sheetName val="1612.01M cur lia &amp; prov"/>
      <sheetName val="1612.01N MISC.EXP"/>
      <sheetName val="1612.01O land_dvp"/>
      <sheetName val="1612.01P tech_fee"/>
      <sheetName val="DHS 1612.01P PROCESS"/>
      <sheetName val="DHS 1612.01P - PMC-F"/>
      <sheetName val="DHS 1612.01P - PMC-I"/>
      <sheetName val="1612.01Q pyt_emp"/>
      <sheetName val="DHS - 1612.01Q pyt_emp"/>
      <sheetName val="1612.01Q{1} SALARIES ANALYSIS"/>
      <sheetName val="1612.01S travel"/>
      <sheetName val="1612.01T commn."/>
      <sheetName val="1612.01U printing"/>
      <sheetName val="1612.01V pro_fee"/>
      <sheetName val="1612.01W rent"/>
      <sheetName val="1612.01X rate_tax"/>
      <sheetName val="1612.01Y repair"/>
      <sheetName val="1612.01Z advt"/>
      <sheetName val="1612.01AA veh_hire"/>
      <sheetName val="1612.01AB fin_cha"/>
      <sheetName val="1612.01AC insurance"/>
      <sheetName val="1612.01AD sundry_exp"/>
      <sheetName val="1612.01AE depreciation"/>
      <sheetName val="1612.01AF audit_fee"/>
      <sheetName val="1612.01AG INT&amp;MISC INC"/>
      <sheetName val="1612.01AH staff_loan_adv"/>
      <sheetName val="1612.01AI deposit&amp;grcomp"/>
      <sheetName val="WELFARE"/>
      <sheetName val="EDC - RECLASSIFIED"/>
      <sheetName val="1612.01AJ MANUAL ENTRY"/>
      <sheetName val="TB101004"/>
      <sheetName val="1612.01AK FEin CWIP "/>
      <sheetName val="1612.01AL last vou"/>
      <sheetName val="311203"/>
      <sheetName val="RJVEI054"/>
      <sheetName val="1612.01AM CONT Main sheet"/>
      <sheetName val="top"/>
      <sheetName val="security clause"/>
      <sheetName val="SECURITY"/>
      <sheetName val="summ_reclassification"/>
      <sheetName val="edc 6"/>
      <sheetName val="CWIp (comparison)"/>
      <sheetName val="DHS 1612.01AN contingent DEC'03"/>
      <sheetName val="DHS 1612.01AO contingent OCT'04"/>
      <sheetName val="1612.01AP - DEB INT Contingency"/>
      <sheetName val="1612.01AQ - intt_abb Contingecy"/>
      <sheetName val="1612.01AQ(1) lcm-intt "/>
      <sheetName val="1612.01AQ(2) lcl-int"/>
      <sheetName val="1612.01AQ(3) lgvintt "/>
      <sheetName val="1612.01AR - INT (ECB)"/>
      <sheetName val="1612.01AS - frn bill"/>
      <sheetName val="1612.01AT Amex "/>
      <sheetName val="1612.01AU amb amro"/>
      <sheetName val="1612.01AV NIEP"/>
      <sheetName val="1612.01AW Niep Tds Summary"/>
      <sheetName val="XREF"/>
      <sheetName val="Tickmarks"/>
      <sheetName val="TRIAL-BALANCE"/>
      <sheetName val="EDC 9 MONTHS"/>
      <sheetName val="edc 9"/>
      <sheetName val="DETAILED SCHEDULE LIST"/>
      <sheetName val="HBI NCD"/>
      <sheetName val="Scope"/>
      <sheetName val="5.Crs. TB"/>
      <sheetName val="519012"/>
      <sheetName val="Inputs"/>
      <sheetName val="PGW"/>
      <sheetName val="Lead"/>
      <sheetName val="EXPENSES"/>
      <sheetName val="Current tax"/>
      <sheetName val="Final FA register blockwise"/>
      <sheetName val="SITEL"/>
      <sheetName val="A"/>
      <sheetName val="Intaccrual"/>
      <sheetName val="SBU"/>
      <sheetName val="GL Bal.  "/>
      <sheetName val="업무분장 "/>
      <sheetName val="Quantity"/>
      <sheetName val=" HDFC Interest"/>
      <sheetName val="options"/>
      <sheetName val="Cash Flow Statement in mln"/>
      <sheetName val="zpctb-dta"/>
      <sheetName val="lot no 86"/>
      <sheetName val="Section conclusion"/>
      <sheetName val="Codes"/>
      <sheetName val="1612_01A_Balance-Sheet"/>
      <sheetName val="1612_01B_TRFDIVS"/>
      <sheetName val="1612_01C_LOAN_SUM"/>
      <sheetName val="1612_01D_TERMLOANS_"/>
      <sheetName val="1612_01E_UN_SECU_LOANS"/>
      <sheetName val="1612_01F_fixassets"/>
      <sheetName val="1612_01_G_CWIP-SUMM"/>
      <sheetName val="1612_01H_CWIP"/>
      <sheetName val="1612_01H{1}_IMP_EQPT"/>
      <sheetName val="1612_01H_{2}_273515"/>
      <sheetName val="1612_01I_EDC"/>
      <sheetName val="1612_01J_INVEST"/>
      <sheetName val="1612_01K_cur__assets"/>
      <sheetName val="1612_01L_loans_adv"/>
      <sheetName val="1612_01M_cur_lia_&amp;_prov"/>
      <sheetName val="1612_01N_MISC_EXP"/>
      <sheetName val="1612_01O_land_dvp"/>
      <sheetName val="1612_01P_tech_fee"/>
      <sheetName val="DHS_1612_01P_PROCESS"/>
      <sheetName val="DHS_1612_01P_-_PMC-F"/>
      <sheetName val="DHS_1612_01P_-_PMC-I"/>
      <sheetName val="1612_01Q_pyt_emp"/>
      <sheetName val="DHS_-_1612_01Q_pyt_emp"/>
      <sheetName val="1612_01Q{1}_SALARIES_ANALYSIS"/>
      <sheetName val="1612_01S_travel"/>
      <sheetName val="1612_01T_commn_"/>
      <sheetName val="1612_01U_printing"/>
      <sheetName val="1612_01V_pro_fee"/>
      <sheetName val="1612_01W_rent"/>
      <sheetName val="1612_01X_rate_tax"/>
      <sheetName val="1612_01Y_repair"/>
      <sheetName val="1612_01Z_advt"/>
      <sheetName val="1612_01AA_veh_hire"/>
      <sheetName val="1612_01AB_fin_cha"/>
      <sheetName val="1612_01AC_insurance"/>
      <sheetName val="1612_01AD_sundry_exp"/>
      <sheetName val="1612_01AE_depreciation"/>
      <sheetName val="1612_01AF_audit_fee"/>
      <sheetName val="1612_01AG_INT&amp;MISC_INC"/>
      <sheetName val="1612_01AH_staff_loan_adv"/>
      <sheetName val="1612_01AI_deposit&amp;grcomp"/>
      <sheetName val="EDC_-_RECLASSIFIED"/>
      <sheetName val="1612_01AJ_MANUAL_ENTRY"/>
      <sheetName val="1612_01AK_FEin_CWIP_"/>
      <sheetName val="1612_01AL_last_vou"/>
      <sheetName val="1612_01AM_CONT_Main_sheet"/>
      <sheetName val="security_clause"/>
      <sheetName val="edc_6"/>
      <sheetName val="CWIp_(comparison)"/>
      <sheetName val="DHS_1612_01AN_contingent_DEC'03"/>
      <sheetName val="DHS_1612_01AO_contingent_OCT'04"/>
      <sheetName val="1612_01AP_-_DEB_INT_Contingency"/>
      <sheetName val="1612_01AQ_-_intt_abb_Contingecy"/>
      <sheetName val="1612_01AQ(1)_lcm-intt_"/>
      <sheetName val="1612_01AQ(2)_lcl-int"/>
      <sheetName val="1612_01AQ(3)_lgvintt_"/>
      <sheetName val="1612_01AR_-_INT_(ECB)"/>
      <sheetName val="1612_01AS_-_frn_bill"/>
      <sheetName val="1612_01AT_Amex_"/>
      <sheetName val="1612_01AU_amb_amro"/>
      <sheetName val="1612_01AV_NIEP"/>
      <sheetName val="1612_01AW_Niep_Tds_Summary"/>
      <sheetName val="EDC_9_MONTHS"/>
      <sheetName val="edc_9"/>
      <sheetName val="DETAILED_SCHEDULE_LIST"/>
      <sheetName val="HBI_NCD"/>
      <sheetName val="5_Crs__TB"/>
      <sheetName val="230002"/>
      <sheetName val="GL Bal."/>
      <sheetName val="Clause 9"/>
      <sheetName val="CMA Sampling Apr-Jun"/>
      <sheetName val="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Sensitivity"/>
      <sheetName val="Project Cost"/>
      <sheetName val="Assumptions"/>
      <sheetName val="Capex &amp; Debt"/>
      <sheetName val="Cash Budget"/>
      <sheetName val="Revenue"/>
      <sheetName val="Expenses"/>
      <sheetName val="Depre"/>
      <sheetName val="GST &amp; Duty"/>
      <sheetName val="Tax"/>
      <sheetName val="PL"/>
      <sheetName val="CF"/>
      <sheetName val="WC"/>
      <sheetName val="BS"/>
      <sheetName val="Ratios"/>
      <sheetName val="Maturity"/>
      <sheetName val="Break Even"/>
      <sheetName val="CMA- Operating Statement"/>
      <sheetName val="CMS - Balance Sheet"/>
      <sheetName val="PTL"/>
    </sheetNames>
    <sheetDataSet>
      <sheetData sheetId="0" refreshError="1"/>
      <sheetData sheetId="1" refreshError="1"/>
      <sheetData sheetId="2" refreshError="1"/>
      <sheetData sheetId="3" refreshError="1"/>
      <sheetData sheetId="4">
        <row r="144">
          <cell r="C144" t="str">
            <v>Fy</v>
          </cell>
        </row>
        <row r="174">
          <cell r="H174">
            <v>0</v>
          </cell>
          <cell r="I174">
            <v>1.3697848904940548</v>
          </cell>
          <cell r="J174">
            <v>3.6134601281806717</v>
          </cell>
          <cell r="K174">
            <v>6.524162146521074</v>
          </cell>
          <cell r="L174">
            <v>10.431646708749861</v>
          </cell>
          <cell r="M174">
            <v>14.378958244693383</v>
          </cell>
          <cell r="N174">
            <v>17.041839650633975</v>
          </cell>
          <cell r="O174">
            <v>17.946237915704263</v>
          </cell>
          <cell r="P174">
            <v>18.687098805802378</v>
          </cell>
          <cell r="Q174">
            <v>20.227027095954114</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row>
        <row r="175">
          <cell r="H175">
            <v>0</v>
          </cell>
          <cell r="I175">
            <v>1.3697854583292342</v>
          </cell>
          <cell r="J175">
            <v>3.6134610200983173</v>
          </cell>
          <cell r="K175">
            <v>6.5241624742996311</v>
          </cell>
          <cell r="L175">
            <v>10.431646615597309</v>
          </cell>
          <cell r="M175">
            <v>14.378958120904263</v>
          </cell>
          <cell r="N175">
            <v>17.041839560261568</v>
          </cell>
          <cell r="O175">
            <v>17.946237755493655</v>
          </cell>
          <cell r="P175">
            <v>18.687098619996448</v>
          </cell>
          <cell r="Q175">
            <v>20.227027006926857</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row>
        <row r="213">
          <cell r="F213">
            <v>20.226750000000006</v>
          </cell>
        </row>
      </sheetData>
      <sheetData sheetId="5" refreshError="1"/>
      <sheetData sheetId="6">
        <row r="29">
          <cell r="C29" t="str">
            <v>Particulars</v>
          </cell>
        </row>
      </sheetData>
      <sheetData sheetId="7">
        <row r="40">
          <cell r="I40">
            <v>45382</v>
          </cell>
        </row>
      </sheetData>
      <sheetData sheetId="8" refreshError="1"/>
      <sheetData sheetId="9" refreshError="1"/>
      <sheetData sheetId="10" refreshError="1"/>
      <sheetData sheetId="11">
        <row r="46">
          <cell r="C46" t="str">
            <v>Particulars</v>
          </cell>
        </row>
      </sheetData>
      <sheetData sheetId="12" refreshError="1"/>
      <sheetData sheetId="13">
        <row r="66">
          <cell r="D66" t="str">
            <v>Particulars</v>
          </cell>
        </row>
      </sheetData>
      <sheetData sheetId="14">
        <row r="8">
          <cell r="C8" t="str">
            <v>FY year</v>
          </cell>
        </row>
      </sheetData>
      <sheetData sheetId="15" refreshError="1"/>
      <sheetData sheetId="16" refreshError="1"/>
      <sheetData sheetId="17" refreshError="1"/>
      <sheetData sheetId="18">
        <row r="1">
          <cell r="C1" t="str">
            <v>01/04/2023</v>
          </cell>
        </row>
      </sheetData>
      <sheetData sheetId="19">
        <row r="1">
          <cell r="B1" t="str">
            <v>ACCOUNTING YEAR =&gt; START DATE=&gt;&gt; DD/MM/YYYY ==&gt;&gt;&gt;</v>
          </cell>
        </row>
      </sheetData>
      <sheetData sheetId="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JP_List"/>
      <sheetName val="Tro giup"/>
      <sheetName val="SUBS"/>
      <sheetName val="Feeds"/>
      <sheetName val="final list 2005"/>
      <sheetName val="6787CWFASE2CASE2_00"/>
      <sheetName val="PU_ITALY_"/>
      <sheetName val="final_list_2005"/>
      <sheetName val="Ref"/>
      <sheetName val="#REF"/>
      <sheetName val="XL4Poppy"/>
      <sheetName val="Contents"/>
      <sheetName val="PU_ITALY_1"/>
      <sheetName val="final_list_20051"/>
      <sheetName val="Tro_giup"/>
      <sheetName val="WORKINGS"/>
      <sheetName val="DSUM2004"/>
      <sheetName val="Labour Summary"/>
      <sheetName val="CWN_Consol"/>
      <sheetName val="PU_ITALY_2"/>
      <sheetName val="final_list_20052"/>
      <sheetName val="Tro_giup1"/>
      <sheetName val="PU_ITALY_3"/>
      <sheetName val="final_list_20053"/>
      <sheetName val="Tro_giup2"/>
      <sheetName val="PU_ITALY_4"/>
      <sheetName val="final_list_20054"/>
      <sheetName val="Tro_giup3"/>
      <sheetName val="PU_ITALY_5"/>
      <sheetName val="final_list_20055"/>
      <sheetName val="Tro_giup4"/>
      <sheetName val="Labour_Summary"/>
      <sheetName val="PU_ITALY_9"/>
      <sheetName val="final_list_20059"/>
      <sheetName val="Tro_giup8"/>
      <sheetName val="PU_ITALY_6"/>
      <sheetName val="final_list_20056"/>
      <sheetName val="Tro_giup5"/>
      <sheetName val="PU_ITALY_7"/>
      <sheetName val="final_list_20057"/>
      <sheetName val="Tro_giup6"/>
      <sheetName val="PU_ITALY_8"/>
      <sheetName val="final_list_20058"/>
      <sheetName val="Tro_giup7"/>
      <sheetName val="Factor_sheet"/>
      <sheetName val="PMS"/>
      <sheetName val="Deff_Tax_Sept01"/>
      <sheetName val="PU_ITALY_10"/>
      <sheetName val="final_list_200510"/>
      <sheetName val="Tro_giup9"/>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ATA"/>
      <sheetName val="custScore"/>
      <sheetName val="corpGoalsSchedule0708"/>
      <sheetName val="Sheet2"/>
      <sheetName val="CTDZ6kv (gd1) "/>
      <sheetName val="CTDZ 0.4+cto (GD1)"/>
      <sheetName val="CTTBA (gd1)"/>
      <sheetName val="VL,NC,MTC"/>
      <sheetName val="BP DECLINE IT"/>
      <sheetName val="Active"/>
      <sheetName val="Macrow"/>
      <sheetName val="console"/>
      <sheetName val="1999"/>
      <sheetName val="2000"/>
      <sheetName val="2001"/>
      <sheetName val="2002"/>
      <sheetName val="YTD 12'2003"/>
      <sheetName val="YTD 06'2003"/>
      <sheetName val="YTD 03'2003"/>
      <sheetName val="YTD 09'2003"/>
      <sheetName val="current month"/>
      <sheetName val="Blng. Vs Coll."/>
      <sheetName val="GRN"/>
      <sheetName val="Bank Rev"/>
      <sheetName val="THDZ0,4"/>
      <sheetName val="TH DZ35"/>
      <sheetName val="THTram"/>
      <sheetName val="조명시설"/>
      <sheetName val="Sheet1"/>
      <sheetName val="Don gia"/>
      <sheetName val="SILICATE"/>
      <sheetName val="DG"/>
      <sheetName val="DC"/>
      <sheetName val="NL"/>
      <sheetName val="DON GIA TRAM (3)"/>
      <sheetName val="dongia"/>
      <sheetName val="TONGKE-HT"/>
      <sheetName val="ptnc"/>
      <sheetName val="ptvl"/>
      <sheetName val="ptm"/>
      <sheetName val="chi tiet TBA"/>
      <sheetName val="Input"/>
      <sheetName val="DON GIA CAN THO"/>
      <sheetName val="RAB AR&amp;STR"/>
      <sheetName val="Earthwork"/>
      <sheetName val="DANHPHAP"/>
      <sheetName val="chi tiet C"/>
      <sheetName val="Control"/>
      <sheetName val="THVATTU"/>
      <sheetName val="7606 DZ"/>
      <sheetName val="gvl"/>
      <sheetName val="Don gia chi tiet"/>
      <sheetName val="물량표S"/>
      <sheetName val="공통가설"/>
      <sheetName val="Customize Your Purchase Order"/>
      <sheetName val="내역서"/>
      <sheetName val="RAB_AR&amp;STR"/>
      <sheetName val="chi_tiet_TBA"/>
      <sheetName val="chi_tiet_C"/>
      <sheetName val="TH_DZ35"/>
      <sheetName val="Customize_Your_Purchase_Order"/>
      <sheetName val="Shdet1"/>
      <sheetName val="402"/>
      <sheetName val="XT_Buoc 3"/>
      <sheetName val="BG"/>
      <sheetName val="FitOutConfCentre"/>
      <sheetName val="KLHT"/>
      <sheetName val="CHITIET VL-NC-TT -1p"/>
      <sheetName val="CHITIET VL-NC-TT-3p"/>
      <sheetName val="TONG HOP VL-NC TT"/>
      <sheetName val="TDTKP1"/>
      <sheetName val="KPVC-BD "/>
      <sheetName val="TinhGiaMTC"/>
      <sheetName val="TinhGiaNC"/>
      <sheetName val="dnc4"/>
      <sheetName val="침하계"/>
      <sheetName val="BETON"/>
      <sheetName val="갑지"/>
      <sheetName val="24-ACMV"/>
      <sheetName val="Adix A"/>
      <sheetName val="Mall"/>
      <sheetName val="DON_GIA_CAN_THO"/>
      <sheetName val="TH_DZ351"/>
      <sheetName val="DON_GIA_CAN_THO1"/>
      <sheetName val="TH_DZ352"/>
      <sheetName val="DON_GIA_CAN_THO2"/>
      <sheetName val="Don_gia_chi_tiet"/>
      <sheetName val="Don_gia"/>
      <sheetName val="DON_GIA_TRAM_(3)"/>
      <sheetName val="7606_DZ"/>
      <sheetName val="TONG_HOP_VL-NC_TT"/>
      <sheetName val="CHITIET_VL-NC-TT_-1p"/>
      <sheetName val="KPVC-BD_"/>
      <sheetName val="dongia (2)"/>
      <sheetName val="chiet tinh"/>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Ng.hàng xà+bulong"/>
      <sheetName val="S-curve "/>
      <sheetName val="TH_CNO"/>
      <sheetName val="NK_CHUNG"/>
      <sheetName val="Input List"/>
      <sheetName val="SYSTEMS"/>
      <sheetName val="OT"/>
      <sheetName val="DBASE"/>
      <sheetName val="Valid data revised"/>
      <sheetName val="BUDGET"/>
      <sheetName val="EXPENSES"/>
      <sheetName val="DETAIL MIX % REPORT"/>
      <sheetName val="dwbulk"/>
      <sheetName val="PU_ITALY_22"/>
      <sheetName val="final_list_200522"/>
      <sheetName val="Tro_giup21"/>
      <sheetName val="Labour_Summary13"/>
      <sheetName val="PU_ITALY_23"/>
      <sheetName val="final_list_200523"/>
      <sheetName val="Tro_giup22"/>
      <sheetName val="Labour_Summary14"/>
      <sheetName val="PU_ITALY_24"/>
      <sheetName val="final_list_200524"/>
      <sheetName val="Tro_giup23"/>
      <sheetName val="Labour_Summary15"/>
      <sheetName val="DATAENTRY"/>
      <sheetName val="Merit &amp; Market Grid"/>
      <sheetName val="deferred taxes"/>
      <sheetName val="Purchase Order"/>
      <sheetName val="Ratios"/>
      <sheetName val="_Parameters"/>
      <sheetName val="Cash Flow"/>
      <sheetName val="Eqpmnt Plng"/>
      <sheetName val="TRIAL BALANCE"/>
      <sheetName val="DPR 31st march"/>
      <sheetName val="H"/>
      <sheetName val="repeatative rejection"/>
      <sheetName val="ﾃﾞ-ﾀ"/>
      <sheetName val="CTG"/>
      <sheetName val="실행철강하도"/>
      <sheetName val="project management"/>
      <sheetName val="THVT"/>
      <sheetName val="chitimc"/>
      <sheetName val="giathanh1"/>
      <sheetName val="CAT_5"/>
      <sheetName val="BQMP"/>
      <sheetName val="산근"/>
      <sheetName val="inter"/>
      <sheetName val="대비"/>
      <sheetName val="REINF."/>
      <sheetName val="SKETCH"/>
      <sheetName val="LOADS"/>
      <sheetName val="Titles"/>
      <sheetName val="Rates 2009"/>
      <sheetName val="DONVIBAN"/>
      <sheetName val="NGUON"/>
      <sheetName val="O20"/>
      <sheetName val="phuluc1"/>
      <sheetName val="Du toan"/>
      <sheetName val="Keothep"/>
      <sheetName val="Re-bar"/>
      <sheetName val="Du_lieu"/>
      <sheetName val="SL"/>
      <sheetName val="집계표"/>
      <sheetName val="CBKC-110"/>
      <sheetName val="P"/>
      <sheetName val="So doi chieu LC"/>
      <sheetName val="MAIN GATE HOUSE"/>
      <sheetName val="Commercial value"/>
      <sheetName val="VL"/>
      <sheetName val="NC"/>
      <sheetName val="DLDTLN"/>
      <sheetName val="차액보증"/>
      <sheetName val="Dulieu"/>
      <sheetName val="SITE-E"/>
      <sheetName val="TONG HOP VL-NC"/>
      <sheetName val="lam-moi"/>
      <sheetName val="Bang KL"/>
      <sheetName val="ALLOWANCE"/>
      <sheetName val="MH RATE"/>
      <sheetName val="Sheet3"/>
      <sheetName val="Config"/>
      <sheetName val="DMCP"/>
      <sheetName val="HS_TDT"/>
      <sheetName val="STAX"/>
      <sheetName val="Elect (3)"/>
      <sheetName val="B"/>
      <sheetName val="basis"/>
      <sheetName val="BQMPALOC"/>
      <sheetName val="NDOCBT"/>
      <sheetName val="수입"/>
      <sheetName val="eq_data"/>
      <sheetName val="plan&amp;section of foundation"/>
      <sheetName val="design criteria"/>
      <sheetName val="Process"/>
      <sheetName val="2020 RFS Summary"/>
      <sheetName val="Well Construction Summary"/>
      <sheetName val="Subsurface"/>
      <sheetName val="Offshore"/>
      <sheetName val="Logistics"/>
      <sheetName val="RFS 2020 - Details and Notes"/>
      <sheetName val="DIV INC"/>
      <sheetName val="DropZone"/>
      <sheetName val="A1 - Income Statement"/>
      <sheetName val="s"/>
      <sheetName val="SCB - Annexure A"/>
      <sheetName val="PL6-Revenue Bridge"/>
      <sheetName val="APR-MAR-03-04"/>
      <sheetName val="LBO"/>
      <sheetName val="STATC"/>
      <sheetName val="Menu"/>
      <sheetName val="MTO REV.2(ARMOR)"/>
      <sheetName val="ReadFirst"/>
      <sheetName val="Breadown-Nop"/>
      <sheetName val="Cost of DM Water"/>
      <sheetName val="Imports-dataload"/>
      <sheetName val="Name"/>
      <sheetName val=" Payroll Empl (Wkng)"/>
      <sheetName val="BS-DET"/>
      <sheetName val="Table"/>
      <sheetName val="XREF"/>
      <sheetName val="B-111"/>
      <sheetName val="sales current month"/>
      <sheetName val="View Variance"/>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PU_ITALY_25"/>
      <sheetName val="sales_current_month25"/>
      <sheetName val="View_Variance25"/>
      <sheetName val="Inventory_data25"/>
      <sheetName val="FORECAST_x_FAMILIA22"/>
      <sheetName val="Space_Analysis22"/>
      <sheetName val="PU_ITALY_26"/>
      <sheetName val="sales_current_month26"/>
      <sheetName val="View_Variance26"/>
      <sheetName val="Inventory_data26"/>
      <sheetName val="FORECAST_x_FAMILIA23"/>
      <sheetName val="Space_Analysis23"/>
      <sheetName val="Fill this out first..."/>
      <sheetName val="CRITERIA1"/>
      <sheetName val="Design"/>
      <sheetName val="Blore"/>
      <sheetName val="Chnai"/>
      <sheetName val="Pune"/>
      <sheetName val="CoverSheet"/>
      <sheetName val="DG-VL"/>
      <sheetName val="PTDGCT"/>
      <sheetName val="KPTH-T12"/>
      <sheetName val="Thamgia-T10"/>
      <sheetName val="금융비용"/>
      <sheetName val="입찰안"/>
      <sheetName val="BGD"/>
      <sheetName val="KCS"/>
      <sheetName val="KD"/>
      <sheetName val="KT"/>
      <sheetName val="KTNL"/>
      <sheetName val="KH"/>
      <sheetName val="PX-SX"/>
      <sheetName val="TC"/>
      <sheetName val="Lcau - Lxuc"/>
      <sheetName val="TBA"/>
      <sheetName val="DM 6061"/>
      <sheetName val="Gia"/>
      <sheetName val="dm366"/>
      <sheetName val="DG thep ma kem"/>
      <sheetName val="May"/>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CT vat lieu"/>
      <sheetName val="vcdngan"/>
      <sheetName val="K95"/>
      <sheetName val="K98"/>
      <sheetName val="PTDG"/>
      <sheetName val="LaborPY"/>
      <sheetName val="LaborKH"/>
      <sheetName val="Equip "/>
      <sheetName val="Material"/>
      <sheetName val="A1.CN"/>
      <sheetName val="PROFILE"/>
      <sheetName val="Đầu vào"/>
      <sheetName val="Ts"/>
      <sheetName val="EXTERNAL"/>
      <sheetName val="Chi tiet XD TBA"/>
      <sheetName val="LV data"/>
      <sheetName val="damgiua"/>
      <sheetName val="dgct"/>
      <sheetName val="FORM-16"/>
      <sheetName val="Setup"/>
      <sheetName val="Full PBD"/>
      <sheetName val="BOM"/>
      <sheetName val="Dep"/>
      <sheetName val="Currency"/>
      <sheetName val="Non-Statistical Sampling"/>
      <sheetName val="TB"/>
      <sheetName val="Project ODC_NDEU"/>
      <sheetName val="DUMP"/>
      <sheetName val="Charts"/>
      <sheetName val="Fixed asset register"/>
      <sheetName val="YTD"/>
      <sheetName val="Settings"/>
      <sheetName val="OC5-Push Diag"/>
      <sheetName val="Franchise Input"/>
      <sheetName val="Source"/>
      <sheetName val="sochitiettaikhoan "/>
      <sheetName val="PREV_RICAVI"/>
      <sheetName val="Sch2 - BalSht Summary"/>
      <sheetName val="Sch1 - P&amp;L Summary"/>
      <sheetName val="CONSTANTES"/>
      <sheetName val="Dec-18"/>
      <sheetName val="Lists"/>
      <sheetName val="General Info"/>
      <sheetName val="98FORECAST (1)"/>
      <sheetName val="Scraps"/>
      <sheetName val="Mth-Vana"/>
      <sheetName val="dlvoid"/>
      <sheetName val="final_list_200525"/>
      <sheetName val="Tro_giup24"/>
      <sheetName val="Labour_Summary16"/>
      <sheetName val="Merit_&amp;_Market_Grid"/>
      <sheetName val="current_month"/>
      <sheetName val="Blng__Vs_Coll_"/>
      <sheetName val="AN 2000"/>
      <sheetName val="Utilization"/>
      <sheetName val="Validation"/>
      <sheetName val="유통망계획"/>
      <sheetName val="Other assumptions"/>
      <sheetName val="Results"/>
      <sheetName val="PLGroupings"/>
      <sheetName val="DPT-PW"/>
      <sheetName val="Names"/>
      <sheetName val="ct"/>
      <sheetName val="ING"/>
      <sheetName val="43B"/>
      <sheetName val="PU_ITALY_27"/>
      <sheetName val="sales_current_month27"/>
      <sheetName val="View_Variance27"/>
      <sheetName val="Inventory_data27"/>
      <sheetName val="FORECAST_x_FAMILIA24"/>
      <sheetName val="Space_Analysis24"/>
      <sheetName val="CADE_DETAIL"/>
      <sheetName val="PU_ITALY_28"/>
      <sheetName val="sales_current_month28"/>
      <sheetName val="View_Variance28"/>
      <sheetName val="Inventory_data28"/>
      <sheetName val="FORECAST_x_FAMILIA25"/>
      <sheetName val="Space_Analysis25"/>
      <sheetName val="CADE_DETAIL1"/>
      <sheetName val="PRB Expense Q4 2013"/>
      <sheetName val="PU_ITALY_29"/>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Database"/>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TK chi tiet"/>
      <sheetName val="WT-LIST"/>
      <sheetName val="366"/>
      <sheetName val="Trạm biến áp"/>
      <sheetName val="Đơn Giá "/>
      <sheetName val="Giá"/>
      <sheetName val="DM1776"/>
      <sheetName val="DM228"/>
      <sheetName val="DM4970"/>
      <sheetName val="Camay_DP"/>
      <sheetName val="DM6061"/>
      <sheetName val="Luong2"/>
      <sheetName val="CT-35"/>
      <sheetName val="CT-0.4KV"/>
      <sheetName val="ironmongery"/>
      <sheetName val="Chenh lech vat tu"/>
      <sheetName val="Diện tích"/>
      <sheetName val="1_Khái toán"/>
      <sheetName val="TONG HOP T5 1998"/>
      <sheetName val="KL Chi tiết Xây tô"/>
      <sheetName val="DM"/>
      <sheetName val="DG DZ"/>
      <sheetName val="DG TBA"/>
      <sheetName val="DGXD"/>
      <sheetName val="07Base Cost"/>
      <sheetName val="rate material"/>
      <sheetName val="DTOAN"/>
      <sheetName val="Chi tiet KL"/>
      <sheetName val="Tổng hợp KL"/>
      <sheetName val="Barrem"/>
      <sheetName val="BM"/>
      <sheetName val="Xay lapduongR3"/>
      <sheetName val="Equipment"/>
      <sheetName val="DT_THAU"/>
      <sheetName val="말뚝지지력산정"/>
      <sheetName val="04 - XUONG DET B"/>
      <sheetName val="CTGX"/>
      <sheetName val="CTG-1"/>
      <sheetName val="Bill 1_Quy dinh chung"/>
      <sheetName val="1.R18 BF"/>
      <sheetName val="A"/>
      <sheetName val="G"/>
      <sheetName val="F-B"/>
      <sheetName val="H-J"/>
      <sheetName val="6.External works-R18"/>
      <sheetName val="Phan khai KLuong"/>
      <sheetName val="Duphong"/>
      <sheetName val="01"/>
      <sheetName val="02"/>
      <sheetName val=" 03"/>
      <sheetName val="04"/>
      <sheetName val="05"/>
      <sheetName val="06"/>
      <sheetName val="07"/>
      <sheetName val="08"/>
      <sheetName val="09"/>
      <sheetName val="chieu day san"/>
      <sheetName val="Podium Concrete Works"/>
      <sheetName val="KLCT- TOWER"/>
      <sheetName val="KLCT- PODIUM"/>
      <sheetName val="CANDOI"/>
      <sheetName val="MATK"/>
      <sheetName val="NHATKY"/>
      <sheetName val="Standardwerte"/>
      <sheetName val="Gia thanh chuoi su"/>
      <sheetName val="Tiep dia"/>
      <sheetName val="Don gia vung III-Can Tho"/>
      <sheetName val="base"/>
      <sheetName val="DGG"/>
      <sheetName val="INDEX"/>
      <sheetName val="Area Cal"/>
      <sheetName val="E"/>
      <sheetName val="K"/>
      <sheetName val="Bond 수수료 계산 포맷"/>
      <sheetName val="ITB COST"/>
      <sheetName val="PAGE 1"/>
      <sheetName val="BKBANRA"/>
      <sheetName val="BKMUAVAO"/>
      <sheetName val="INFO"/>
      <sheetName val="Summary"/>
      <sheetName val="Cp&gt;10-Ln&lt;10"/>
      <sheetName val="Ln&lt;20"/>
      <sheetName val="EIRR&gt;1&lt;1"/>
      <sheetName val="EIRR&gt; 2"/>
      <sheetName val="EIRR&lt;2"/>
      <sheetName val="負荷集計（断熱不燃）"/>
      <sheetName val="GAEYO"/>
      <sheetName val="7606-TBA"/>
      <sheetName val="7606-ĐZ"/>
      <sheetName val="DM 67"/>
      <sheetName val="Đầu tư"/>
      <sheetName val="DL"/>
      <sheetName val="????"/>
      <sheetName val="CE(E)"/>
      <sheetName val="CE(M)"/>
      <sheetName val="Project Data"/>
      <sheetName val="chiettinh"/>
      <sheetName val="Data Input"/>
      <sheetName val="실행"/>
      <sheetName val="6787CWFASE2CASE2_00.xls"/>
      <sheetName val="T&amp;D"/>
      <sheetName val="list"/>
      <sheetName val="BIDDING-SUM"/>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inpukeoI"/>
      <sheetName val="Tower - Concrete Works"/>
      <sheetName val="Duc_bk"/>
      <sheetName val="Bill-04 ket cau thap- UNI"/>
      <sheetName val="DTICH"/>
      <sheetName val="Loại Vật tư"/>
      <sheetName val="tonghop"/>
      <sheetName val="DATA2"/>
      <sheetName val="PEDESB"/>
      <sheetName val="TH Vat tu"/>
      <sheetName val="Cửa"/>
      <sheetName val="dg tphcm"/>
      <sheetName val="DUCVIETPQ"/>
      <sheetName val="INFOR-ST"/>
      <sheetName val="T.KÊ K.CẤU"/>
      <sheetName val="Bill 01 - CTN"/>
      <sheetName val="Bill 2.2 Villa 2 beds"/>
      <sheetName val="D&amp;W"/>
      <sheetName val="4.PTDG"/>
      <sheetName val="A1, May"/>
      <sheetName val="Máy"/>
      <sheetName val="Vat lieu"/>
      <sheetName val="Bang trong luong rieng thep"/>
      <sheetName val="갑지1"/>
      <sheetName val="LEGEND"/>
      <sheetName val="6PILE  (돌출)"/>
      <sheetName val="6MONTHS"/>
      <sheetName val="???S"/>
      <sheetName val="???"/>
      <sheetName val="??"/>
      <sheetName val="HÐ ngoài"/>
      <sheetName val="??????"/>
      <sheetName val="HÐ_ngoài"/>
      <sheetName val="DTXL"/>
      <sheetName val="gia cong tac"/>
      <sheetName val="____"/>
      <sheetName val="Measure 1306"/>
      <sheetName val="0"/>
      <sheetName val="DTXD"/>
      <sheetName val="PRI-LS"/>
      <sheetName val="NKC6"/>
      <sheetName val="Cước VC + ĐM CP Tư vấn"/>
      <sheetName val="Hệ số"/>
      <sheetName val="Door and window"/>
      <sheetName val="DETAIL "/>
      <sheetName val="GV1-D13 (Casement door)"/>
      <sheetName val="MTL$-INTER"/>
      <sheetName val="Gia vat tu"/>
      <sheetName val="bt19"/>
      <sheetName val="Btr25"/>
      <sheetName val="ESTI."/>
      <sheetName val="CPDDII"/>
      <sheetName val="NVL"/>
      <sheetName val="Note"/>
      <sheetName val="DLdauvao"/>
      <sheetName val="CẤP THOÁT NƯỚC"/>
      <sheetName val="TH MTC"/>
      <sheetName val="TH N.Cong"/>
      <sheetName val="TH_DZ353"/>
      <sheetName val="CHITIET_VL-NC-TT_-1p1"/>
      <sheetName val="TONG_HOP_VL-NC_TT1"/>
      <sheetName val="KPVC-BD_1"/>
      <sheetName val="Don_gia1"/>
      <sheetName val="DON_GIA_TRAM_(3)1"/>
      <sheetName val="DON_GIA_CAN_THO3"/>
      <sheetName val="Don_gia_chi_tiet1"/>
      <sheetName val="7606_DZ1"/>
      <sheetName val="project_management"/>
      <sheetName val="MAIN_GATE_HOUSE"/>
      <sheetName val="REINF_"/>
      <sheetName val="Rates_2009"/>
      <sheetName val="Du_toan"/>
      <sheetName val="Commercial_value"/>
      <sheetName val="Ky_Lam_Bridge"/>
      <sheetName val="Provisional_Sums_Item"/>
      <sheetName val="Gas_Pressure_Welding"/>
      <sheetName val="General_Item&amp;General_Requiremen"/>
      <sheetName val="General_Items"/>
      <sheetName val="Regenral_Requirements"/>
      <sheetName val="chiet_tinh"/>
      <sheetName val="Ng_hàng_xà+bulong"/>
      <sheetName val="TONG_HOP_VL-NC"/>
      <sheetName val="Bang_KL"/>
      <sheetName val="MH_RATE"/>
      <sheetName val="Lcau_-_Lxuc"/>
      <sheetName val="DG-TNHC-85"/>
      <sheetName val="Dia"/>
      <sheetName val="SP10"/>
      <sheetName val="THDT goi thau TB"/>
      <sheetName val="Tien do TV"/>
      <sheetName val="QD957"/>
      <sheetName val="Harga ME "/>
      <sheetName val="토공"/>
      <sheetName val="Alat"/>
      <sheetName val="Analisa Gabungan"/>
      <sheetName val="Sub"/>
      <sheetName val="dg7606"/>
      <sheetName val="DGsuyrong"/>
      <sheetName val="PhanTichVua"/>
      <sheetName val="PhanTichVT"/>
      <sheetName val="KhoiluongDT"/>
      <sheetName val="Sheet4"/>
      <sheetName val="Supplier"/>
      <sheetName val=" Bill.5-Earthing.2 - Add Works"/>
      <sheetName val="bridge # 1"/>
      <sheetName val="DK"/>
      <sheetName val="Isolasi Luar Dalam"/>
      <sheetName val="Isolasi Luar"/>
      <sheetName val="TK-COL"/>
      <sheetName val="02_Dulieu_Cua"/>
      <sheetName val="HMCV"/>
      <sheetName val="CauKien"/>
      <sheetName val="XD"/>
      <sheetName val="Cuongricc"/>
      <sheetName val="KL san lap"/>
      <sheetName val="Chi tiet"/>
      <sheetName val="DonGiaLD"/>
      <sheetName val="Perform1"/>
      <sheetName val="DIL4"/>
      <sheetName val="Share price data"/>
      <sheetName val="CT_vat_lieu"/>
      <sheetName val="DM_6061"/>
      <sheetName val="DG_thep_ma_kem"/>
      <sheetName val="DG_DZ"/>
      <sheetName val="DG_TBA"/>
      <sheetName val="Data_Input"/>
      <sheetName val="DG1426"/>
      <sheetName val="KH-Q1,Q2,01"/>
      <sheetName val="Setting"/>
      <sheetName val="Chenh lech ca may"/>
      <sheetName val="TLg CN&amp;Laixe"/>
      <sheetName val="TLg CN&amp;Laixe (2)"/>
      <sheetName val="TLg Laitau"/>
      <sheetName val="TLg Laitau (2)"/>
      <sheetName val="Equipment list (PAC)"/>
      <sheetName val="計算条件"/>
      <sheetName val="TINH KHOI LUONG"/>
      <sheetName val="DATA BASE"/>
      <sheetName val="Mat_Source"/>
      <sheetName val="入力作成表"/>
      <sheetName val="CPA"/>
      <sheetName val="PS-Labour_M"/>
      <sheetName val="Bang 3_Chi tiet phan Dz"/>
      <sheetName val="KHOI LUONG"/>
      <sheetName val="DG7606DZ"/>
      <sheetName val="VND"/>
      <sheetName val="Buy vs. Lease Car"/>
      <sheetName val="___S"/>
      <sheetName val="___"/>
      <sheetName val="__"/>
      <sheetName val="______"/>
      <sheetName val="GTTBA"/>
      <sheetName val="BẢNG KHỐI LƯỢNG TỔNG HỢP"/>
      <sheetName val="Hardware"/>
      <sheetName val="HWW"/>
      <sheetName val="TH_CPTB"/>
      <sheetName val="CP Khac cuoc VC"/>
      <sheetName val="新规"/>
      <sheetName val="Code"/>
      <sheetName val="Budget Code"/>
      <sheetName val="Master"/>
      <sheetName val="CTKL KTX HT"/>
      <sheetName val="2.Chiet tinh"/>
      <sheetName val="I-KAMAR"/>
      <sheetName val="daf-3(OK)"/>
      <sheetName val="daf-7(OK)"/>
      <sheetName val="subcon sched"/>
      <sheetName val="NHÀ NHẬP LIỆU"/>
      <sheetName val="MÓNG SILO"/>
      <sheetName val="PRE (E)"/>
      <sheetName val="HVAC.BLOCK B4"/>
      <sheetName val="SourceData"/>
      <sheetName val="SEX"/>
      <sheetName val="IBASE"/>
      <sheetName val="DANHMUC"/>
      <sheetName val="Z"/>
      <sheetName val="Tong du toan"/>
      <sheetName val="Bill 2 - ketcau"/>
      <sheetName val="A1"/>
      <sheetName val="CT1"/>
      <sheetName val="13-Cốt thép (10mm&lt;D≤18mm) FO16"/>
      <sheetName val="du lieu du toan"/>
      <sheetName val="RAB_AR&amp;STR2"/>
      <sheetName val="chi_tiet_TBA2"/>
      <sheetName val="chi_tiet_C2"/>
      <sheetName val="Customize_Your_Purchase_Order2"/>
      <sheetName val="CHITIET_VL-NC-TT-3p1"/>
      <sheetName val="HĐ_ngoài1"/>
      <sheetName val="XT_Buoc_31"/>
      <sheetName val="dongia_(2)1"/>
      <sheetName val="Adix_A1"/>
      <sheetName val="S-curve_1"/>
      <sheetName val="So_doi_chieu_LC1"/>
      <sheetName val="Equip_"/>
      <sheetName val="A1_CN"/>
      <sheetName val="Đầu_vào"/>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Chi tiet lan can"/>
      <sheetName val="TH_DZ354"/>
      <sheetName val="CHITIET_VL-NC-TT_-1p2"/>
      <sheetName val="TONG_HOP_VL-NC_TT2"/>
      <sheetName val="KPVC-BD_2"/>
      <sheetName val="Don_gia2"/>
      <sheetName val="DON_GIA_CAN_THO4"/>
      <sheetName val="DON_GIA_TRAM_(3)2"/>
      <sheetName val="Don_gia_chi_tiet2"/>
      <sheetName val="7606_DZ2"/>
      <sheetName val="project_management1"/>
      <sheetName val="REINF_1"/>
      <sheetName val="Rates_20091"/>
      <sheetName val="Du_toan1"/>
      <sheetName val="MAIN_GATE_HOUSE1"/>
      <sheetName val="Commercial_value1"/>
      <sheetName val="Ky_Lam_Bridge1"/>
      <sheetName val="Provisional_Sums_Item1"/>
      <sheetName val="Gas_Pressure_Welding1"/>
      <sheetName val="General_Item&amp;General_Requireme1"/>
      <sheetName val="General_Items1"/>
      <sheetName val="Regenral_Requirements1"/>
      <sheetName val="chiet_tinh1"/>
      <sheetName val="Ng_hàng_xà+bulong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7606"/>
      <sheetName val="BOQ THAN"/>
      <sheetName val="DL ĐẦU VÀO"/>
      <sheetName val="CTEMCOST"/>
      <sheetName val="DongiaVL2"/>
      <sheetName val="1_MV"/>
      <sheetName val="D &amp; W sizes"/>
      <sheetName val="Analisa &amp; Upah"/>
      <sheetName val="Ktmo"/>
      <sheetName val="Unit_Div6"/>
      <sheetName val="Main"/>
      <sheetName val="경비2내역"/>
      <sheetName val="Du lieu"/>
      <sheetName val="Cash2"/>
      <sheetName val="dghn"/>
      <sheetName val="Markup"/>
      <sheetName val="BOQ건축"/>
      <sheetName val="Formwork"/>
      <sheetName val="DETAIL_"/>
      <sheetName val="BocXep"/>
      <sheetName val="VCBo"/>
      <sheetName val="VCThuy"/>
      <sheetName val="Phan tich"/>
      <sheetName val="Luong NII"/>
      <sheetName val="Cpbetong"/>
      <sheetName val="366fun"/>
      <sheetName val="DM_60606061"/>
      <sheetName val="DINH MUC THI NGHIEM"/>
      <sheetName val="CUOCVC"/>
      <sheetName val="Luong NI"/>
      <sheetName val="Vatlieu"/>
      <sheetName val="don_giaQB"/>
      <sheetName val="INPUT-STR"/>
      <sheetName val="CT Thang Mo"/>
      <sheetName val="CT  PL"/>
      <sheetName val="DTCTchung"/>
      <sheetName val="dongia _2_"/>
      <sheetName val="FAB별"/>
      <sheetName val="Thép CKN"/>
      <sheetName val="GOC-KO IN"/>
      <sheetName val="TMinh"/>
      <sheetName val="MAU 8A"/>
      <sheetName val="MAU 8B"/>
      <sheetName val="MAU 9"/>
      <sheetName val="MAU 10"/>
      <sheetName val="TLuong"/>
      <sheetName val="cash budget"/>
      <sheetName val="Criteria"/>
      <sheetName val="ICGSIP"/>
      <sheetName val="DM_60611"/>
      <sheetName val="DG_thep_ma_kem1"/>
      <sheetName val="CT_vat_lieu1"/>
      <sheetName val="DG_DZ1"/>
      <sheetName val="DG_TBA1"/>
      <sheetName val="_Bill_5-Earthing_2_-_Add_Works"/>
      <sheetName val="Data_Input1"/>
      <sheetName val="LV_data"/>
      <sheetName val="ESTI_"/>
      <sheetName val="KL_san_lap"/>
      <sheetName val="Equipment_list_(PAC)"/>
      <sheetName val="TINH_KHOI_LUONG"/>
      <sheetName val="DATA_BASE"/>
      <sheetName val="Gia_vat_tu"/>
      <sheetName val="Chenh_lech_ca_may"/>
      <sheetName val="TLg_CN&amp;Laixe"/>
      <sheetName val="TLg_CN&amp;Laixe_(2)"/>
      <sheetName val="TLg_Laitau"/>
      <sheetName val="TLg_Laitau_(2)"/>
      <sheetName val="Bang_3_Chi_tiet_phan_Dz"/>
      <sheetName val="KHOI_LUONG"/>
      <sheetName val="TH_MTC"/>
      <sheetName val="TH_N_Cong"/>
      <sheetName val="Chi_tiet"/>
      <sheetName val="PRE_(E)"/>
      <sheetName val="subcon_sched"/>
      <sheetName val="HVAC_BLOCK_B4"/>
      <sheetName val="SORT"/>
      <sheetName val="Dlieu dau vao"/>
      <sheetName val="外気負荷"/>
      <sheetName val="BANCO (2)"/>
      <sheetName val="MT DPin (2)"/>
      <sheetName val="CHI PHI"/>
      <sheetName val="MDA"/>
      <sheetName val="MKH"/>
      <sheetName val="DMNV"/>
      <sheetName val="DMNCC"/>
      <sheetName val="MHH"/>
      <sheetName val="02. PTDG"/>
      <sheetName val="Chiết tính"/>
      <sheetName val="DK1.Don gia"/>
      <sheetName val="Income Statement"/>
      <sheetName val="Shareholders' Equity"/>
      <sheetName val="Gia_vat_tu1"/>
      <sheetName val="Income_Statement1"/>
      <sheetName val="Shareholders'_Equity1"/>
      <sheetName val="Income_Statement"/>
      <sheetName val="Shareholders'_Equity"/>
      <sheetName val="VC.xd"/>
      <sheetName val="Gia.VLTB"/>
      <sheetName val="B.Luong"/>
      <sheetName val="C.May"/>
      <sheetName val="Don gia (khong in)"/>
      <sheetName val="1.MONG 1-2"/>
      <sheetName val="TB NẶNG"/>
      <sheetName val="Du tru CP-Bieu 01"/>
      <sheetName val="DM7606"/>
      <sheetName val="XDM22"/>
      <sheetName val="dm 366"/>
      <sheetName val="DM 6060"/>
      <sheetName val="DinhMuc"/>
      <sheetName val="Gvlch"/>
      <sheetName val="DGLX"/>
      <sheetName val="TK-TUBU"/>
      <sheetName val="DGIA"/>
      <sheetName val="TT"/>
      <sheetName val="DM_4970"/>
      <sheetName val="Dự thầu"/>
      <sheetName val="Nhap VT oto"/>
      <sheetName val="MTL(AG)"/>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BẢNG_KHỐI_LƯỢNG_TỔNG_HỢP"/>
      <sheetName val="CP_Khac_cuoc_VC"/>
      <sheetName val="Budget_Code"/>
      <sheetName val="CTKL_KTX_HT"/>
      <sheetName val="2_Chiet_tinh"/>
      <sheetName val="NHÀ_NHẬP_LIỆU"/>
      <sheetName val="MÓNG_SILO"/>
      <sheetName val="CDTK"/>
      <sheetName val="sort2"/>
      <sheetName val="소일위대가코드표"/>
      <sheetName val="DATA1"/>
      <sheetName val="TH TN"/>
      <sheetName val="Bill No.3 - Prov. Sum (Ph2&amp;3)"/>
      <sheetName val="RAB_AR&amp;STR3"/>
      <sheetName val="chi_tiet_TBA3"/>
      <sheetName val="chi_tiet_C3"/>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Luong_NII"/>
      <sheetName val="DINH_MUC_THI_NGHIEM"/>
      <sheetName val="Luong_NI"/>
      <sheetName val="Phan_tich"/>
      <sheetName val="CT_Thang_Mo"/>
      <sheetName val="CT__PL"/>
      <sheetName val="dongia__2_"/>
      <sheetName val="Thép_CKN"/>
      <sheetName val="GOC-KO_IN"/>
      <sheetName val="MAU_8A"/>
      <sheetName val="MAU_8B"/>
      <sheetName val="MAU_9"/>
      <sheetName val="MAU_10"/>
      <sheetName val="Don_gia_(khong_in)"/>
      <sheetName val="Dlieu_dau_vao"/>
      <sheetName val="DK1_Don_gia"/>
      <sheetName val="1_MONG_1-2"/>
      <sheetName val="BANCO_(2)"/>
      <sheetName val="MT_DPin_(2)"/>
      <sheetName val="02__PTDG"/>
      <sheetName val="Chiết_tính"/>
      <sheetName val="RAB_AR&amp;STR4"/>
      <sheetName val="chi_tiet_TBA4"/>
      <sheetName val="chi_tiet_C4"/>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Hao phí"/>
      <sheetName val="Structure data"/>
      <sheetName val="đọc số"/>
      <sheetName val="Ma don vi"/>
      <sheetName val="bang cc"/>
      <sheetName val="CP Du phong"/>
      <sheetName val="THCP Lap dat"/>
      <sheetName val="THCP xay dung"/>
      <sheetName val="Tong hop kinh phi"/>
      <sheetName val="QD79"/>
      <sheetName val="CP HMC"/>
      <sheetName val="HỆ THỐNG PHÒNG CHÁY CHỮA CHÁY"/>
      <sheetName val="HỆ THỐNG CẤP THOÁT NƯỚC"/>
      <sheetName val="HỆ THỐNG ĐHKK"/>
      <sheetName val="MÁY PHÁT ĐIỆN"/>
      <sheetName val="HỆ THỐNG ĐIỆN"/>
      <sheetName val="Thiết bị chính"/>
      <sheetName val="Dongiaxd"/>
      <sheetName val="Ｎｏ.13"/>
      <sheetName val="tra_vat_lieu"/>
      <sheetName val="DGchitiet "/>
      <sheetName val="wk prgs"/>
      <sheetName val="AG Pipe Qty Analysis"/>
      <sheetName val="Tongke"/>
      <sheetName val="2.1Warehouse 1"/>
      <sheetName val="CĂN HỘ T16-17 "/>
      <sheetName val="TRỤC ĐỨNG THOÁT BẨN T15-17"/>
      <sheetName val="TRỤC ĐỨNG TM T15-17"/>
      <sheetName val="Brick"/>
      <sheetName val="Bill 2-Road HR2"/>
      <sheetName val="Bill 3 - Softscape HR2"/>
      <sheetName val="見積書"/>
      <sheetName val="TNHC"/>
      <sheetName val="THEP TAM"/>
      <sheetName val="THEP HÌNH"/>
      <sheetName val="THEP HINH"/>
      <sheetName val="XA GO"/>
      <sheetName val="BANG TRA"/>
      <sheetName val="trialth"/>
      <sheetName val="1"/>
      <sheetName val="PCCC"/>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kc"/>
      <sheetName val="Móng, nền "/>
      <sheetName val="1.Requisition(E)"/>
      <sheetName val="So lieu chung"/>
      <sheetName val="NHATKYC"/>
      <sheetName val="BCX_NL"/>
      <sheetName val="TONG HOP"/>
      <sheetName val="Tổng GT"/>
      <sheetName val="GT"/>
      <sheetName val="KL"/>
      <sheetName val="Chi tiết KL"/>
      <sheetName val="ca máy"/>
      <sheetName val="khấu trừ phạt"/>
      <sheetName val="GT  KHAU TRU"/>
      <sheetName val="HAO HUT VAT TU (2)"/>
      <sheetName val="cao độ"/>
      <sheetName val="Specs"/>
      <sheetName val="Data.Wall"/>
      <sheetName val="Dự toán"/>
      <sheetName val="Đơn Giá TH"/>
      <sheetName val="Nhân công"/>
      <sheetName val="Phân tích"/>
      <sheetName val="C.P Thiết bị"/>
      <sheetName val="T.H Kinh phí"/>
      <sheetName val="Vật tư"/>
      <sheetName val="Trang bìa"/>
      <sheetName val="phan tic chi tiet"/>
      <sheetName val="Door_and_window1"/>
      <sheetName val="TK_chi_tiet"/>
      <sheetName val="CHI_PHI"/>
      <sheetName val="Income_Statement2"/>
      <sheetName val="Shareholders'_Equity2"/>
      <sheetName val="VC_xd"/>
      <sheetName val="Gia_VLTB"/>
      <sheetName val="B_Luong"/>
      <sheetName val="C_May"/>
      <sheetName val="TB_NẶNG"/>
      <sheetName val="Du_tru_CP-Bieu_01"/>
      <sheetName val="dm_366"/>
      <sheetName val="DM_6060"/>
      <sheetName val="Dự_thầu"/>
      <sheetName val="Nhap_VT_oto"/>
      <sheetName val="Thongtin"/>
      <sheetName val="DG 1426"/>
      <sheetName val="Dongia7606new"/>
      <sheetName val="Theo doi Doanh thu 2017"/>
      <sheetName val="gui BKCT"/>
      <sheetName val="VT190111"/>
      <sheetName val="Gia vat lieu"/>
      <sheetName val="Precios unitarios AXH"/>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
      <sheetName val="INF"/>
      <sheetName val="물량표"/>
      <sheetName val="Don gia chi tiet DIEN 2"/>
      <sheetName val="lam_moi"/>
      <sheetName val="7606(TT01)"/>
      <sheetName val="7606TBA(TT01)"/>
      <sheetName val="DG7606TBA"/>
      <sheetName val="CTTN"/>
      <sheetName val="Luong_Cnhan"/>
      <sheetName val="DMTN"/>
      <sheetName val="VatTU"/>
      <sheetName val="Classification"/>
      <sheetName val="0. Input"/>
      <sheetName val="Danh mục"/>
      <sheetName val="Q.A01.2-Sh"/>
      <sheetName val="3. CNT"/>
      <sheetName val="unit price list(M)"/>
      <sheetName val="DMCT"/>
      <sheetName val="PNT_QUOT__3"/>
      <sheetName val="COAT_WRAP_QIOT__3"/>
      <sheetName val="Notes"/>
      <sheetName val="1.2 Staff Schedule"/>
      <sheetName val="BẢNG ÁP GIÁ (in)"/>
      <sheetName val="NT (KL) IN"/>
      <sheetName val="DOM D2"/>
      <sheetName val="nhà ăn"/>
      <sheetName val="Công nhật"/>
      <sheetName val="btkt cột"/>
      <sheetName val="THÉP"/>
      <sheetName val="125x125"/>
      <sheetName val="Bảng đo bóc KL OLK-09"/>
      <sheetName val="6.3 CHI TIET OLK-09"/>
      <sheetName val="NHAP"/>
      <sheetName val="Rate1"/>
      <sheetName val="TH VL, NC, DDHT Thanhphuoc"/>
      <sheetName val="전기"/>
      <sheetName val="Doi so"/>
      <sheetName val="SPEC"/>
      <sheetName val="VO-PS02-XD"/>
      <sheetName val="Chi tiet -tong 9 thang"/>
      <sheetName val="BangMa"/>
      <sheetName val="Ma_don_vi"/>
      <sheetName val="bang_cc"/>
      <sheetName val="유림콘도"/>
      <sheetName val="유림골조"/>
      <sheetName val="Btra"/>
      <sheetName val="DGiaT"/>
      <sheetName val="DGiaTN"/>
      <sheetName val="NEW-PANEL"/>
      <sheetName val="DuToan"/>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THKL"/>
      <sheetName val="DGCT SƠN BẢ TƯỜNG NLV"/>
      <sheetName val="DGKL TRẦN NHN"/>
      <sheetName val="T2-3"/>
      <sheetName val="Open"/>
      <sheetName val="Function"/>
      <sheetName val="Noisuy-LLL"/>
      <sheetName val="Cotthep.NPT"/>
      <sheetName val="vl.nc.mtc"/>
      <sheetName val="BQ-E20-02(Rp)"/>
      <sheetName val="F4-F7"/>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PERSONNELIST"/>
      <sheetName val="1. Office"/>
      <sheetName val="1.Civil (Org)"/>
      <sheetName val="villa"/>
      <sheetName val="A6"/>
      <sheetName val="KL thep lam sat"/>
      <sheetName val="Steel"/>
      <sheetName val="Order"/>
      <sheetName val="Data-year2001i"/>
      <sheetName val="Tien Thuong"/>
      <sheetName val="NC XL 6T cuoi 01 CTy"/>
      <sheetName val="Data -6T dau"/>
      <sheetName val="Cong 6T"/>
      <sheetName val="Bill Prelim-CDT"/>
      <sheetName val="Prelims"/>
      <sheetName val="Bill BPTC-CDT"/>
      <sheetName val="Chi tiết BPTC"/>
      <sheetName val="Bill BPTC-CDT (PA MCT CDT)"/>
      <sheetName val="Chi tiết BPTC (PA MCT CDT)"/>
      <sheetName val="TOSHIBA-Structure"/>
      <sheetName val="DM-VNT ko sd"/>
      <sheetName val="M1-XL-1c"/>
      <sheetName val="RAB_AR&amp;STR5"/>
      <sheetName val="chi_tiet_TBA5"/>
      <sheetName val="chi_tiet_C5"/>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Bill_No_3_-_Prov__Sum_(Ph2&amp;3)"/>
      <sheetName val="2_1Warehouse_1"/>
      <sheetName val="đọc_số"/>
      <sheetName val="Data_Wall"/>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날개벽수량표"/>
      <sheetName val="Pric塅䕃"/>
      <sheetName val="B3A - TOWER A"/>
      <sheetName val="Annex B"/>
      <sheetName val="음료실행"/>
      <sheetName val="내역서을지"/>
      <sheetName val="TLG Type"/>
      <sheetName val="1.San "/>
      <sheetName val="Tong hop vat tu"/>
      <sheetName val="Assumptions"/>
      <sheetName val="XLR_NoRangeSheet"/>
      <sheetName val="工艺分类库"/>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PV Graph Data"/>
      <sheetName val="GJ_06"/>
      <sheetName val="Trichluc"/>
      <sheetName val="dodat"/>
      <sheetName val="Dieutra"/>
      <sheetName val="catdoc"/>
      <sheetName val="diahinh"/>
      <sheetName val="Thop Ksat"/>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KHOI LUONG15-4"/>
      <sheetName val="HS"/>
      <sheetName val="Dot 4"/>
      <sheetName val="DLDT"/>
      <sheetName val="Dgia vat tu"/>
      <sheetName val="Don gia_III"/>
      <sheetName val="D÷ liÖu"/>
      <sheetName val="Chi phi van chuyen"/>
      <sheetName val="HRG BHN"/>
      <sheetName val="CĂN ĐH"/>
      <sheetName val="#REF!"/>
      <sheetName val="TH các CC"/>
      <sheetName val="dgtn"/>
      <sheetName val="Div26 - Elect"/>
      <sheetName val="DT hợp đồng"/>
      <sheetName val="Bảng KL đợt 1"/>
      <sheetName val="2.CDPS"/>
      <sheetName val="cuocbd"/>
      <sheetName val="CUOC"/>
      <sheetName val="DM_336cai tao"/>
      <sheetName val="개산공사비"/>
      <sheetName val="Gld"/>
      <sheetName val="Gxd"/>
      <sheetName val="Duthau"/>
      <sheetName val="7.Khau tru "/>
      <sheetName val="4 CĂN"/>
      <sheetName val="Calculation"/>
      <sheetName val="DMSC"/>
      <sheetName val="Heso DZ"/>
      <sheetName val="DGiaDZ"/>
      <sheetName val="gtrinh"/>
      <sheetName val="A6,MAY"/>
      <sheetName val="DG_BINH THUAN"/>
      <sheetName val="Inputs_Sens"/>
      <sheetName val="IS_Sum_CM"/>
      <sheetName val="gia vt,nc,may"/>
      <sheetName val="Method_BouyancyFactor"/>
      <sheetName val="Method_PressureArea"/>
      <sheetName val="InputData"/>
      <sheetName val="B-2  (DPP)"/>
      <sheetName val="Huong dan"/>
      <sheetName val="Kyhieuloptratsonba"/>
      <sheetName val="KCCP"/>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ieu gia HD"/>
      <sheetName val="Don gia NC"/>
      <sheetName val="RAB_AR&amp;STR6"/>
      <sheetName val="chi_tiet_TBA6"/>
      <sheetName val="chi_tiet_C6"/>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Financ. Overview"/>
      <sheetName val="Toolbox"/>
      <sheetName val="TINH GIA - SAN XUAT Vertico"/>
      <sheetName val="Dây"/>
      <sheetName val="Nuoc5T"/>
      <sheetName val="Dien5T"/>
      <sheetName val="CAP NUOC"/>
      <sheetName val="cấp nước trục nhà vs"/>
      <sheetName val="THOAT NUOC"/>
      <sheetName val="THOAT MUA"/>
      <sheetName val="Cáp phòng"/>
      <sheetName val="TMC ĐIỆN_Phi"/>
      <sheetName val="TMC Tổng"/>
      <sheetName val="TH Đèn Phòng L1"/>
      <sheetName val="TH Đèn Hầm L1"/>
      <sheetName val="TỦ MODULE T1"/>
      <sheetName val="APTOMAT"/>
      <sheetName val="DGIAgoi1"/>
      <sheetName val="BTK-Dai Hoc Kien Giang"/>
      <sheetName val="doanh thu"/>
      <sheetName val="Dutoan KL"/>
      <sheetName val="MB.DT.02"/>
      <sheetName val="01-&gt;12"/>
      <sheetName val="Article"/>
      <sheetName val="COVER"/>
      <sheetName val="13.BANG CT"/>
      <sheetName val="14.MMUS GIUA NHIP"/>
      <sheetName val="4.HSPBngang"/>
      <sheetName val="6.Tinh tai"/>
      <sheetName val="2 NSl"/>
      <sheetName val="17.US CHU tho a_b"/>
      <sheetName val="15.MMUS GOI"/>
      <sheetName val="5.2.1 Đo bóc KL OLK-06"/>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Tổng hợp KPHM"/>
      <sheetName val="Cong"/>
      <sheetName val="DZ 22KV"/>
      <sheetName val="DT san XD-So lieu cu"/>
      <sheetName val="SucChiuTaiCuaCoc"/>
      <sheetName val="datatt"/>
      <sheetName val="PTVT"/>
      <sheetName val="GIÁ DỰ THẦU 30 CĂN"/>
      <sheetName val="DG Chi tiet"/>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 1710 HOINGHINLD"/>
      <sheetName val="99"/>
      <sheetName val="99 (2)"/>
      <sheetName val="134 "/>
      <sheetName val="DG-1776KV4"/>
      <sheetName val="DG 4970"/>
      <sheetName val="THCT"/>
      <sheetName val="DM-1776"/>
      <sheetName val="Dinh muc"/>
      <sheetName val="TDTKP"/>
      <sheetName val="DK-KH"/>
      <sheetName val="BANRA"/>
      <sheetName val="Annual_CFs_Asset"/>
      <sheetName val="QUO"/>
      <sheetName val="BT3"/>
      <sheetName val="Links"/>
      <sheetName val="Lead"/>
      <sheetName val="BTK-Dai_Hoc_Kien_Giang"/>
      <sheetName val="Danh_mục"/>
      <sheetName val="PV_Graph_Data"/>
      <sheetName val="doanh_thu"/>
      <sheetName val="Dutoan_KL"/>
      <sheetName val="EQT-ESTN"/>
      <sheetName val="DT"/>
      <sheetName val="Giathau"/>
      <sheetName val="KS tuyen"/>
      <sheetName val="THTL"/>
      <sheetName val="CP(dz)"/>
      <sheetName val="Bang chiet tinh TBA"/>
      <sheetName val="DI_ESTI"/>
      <sheetName val="4.2.1 Đo bóc KL OLK-06"/>
      <sheetName val="4.1.1 CHI TIET OLK-06"/>
      <sheetName val="Hệ_qố2"/>
      <sheetName val="Yield"/>
      <sheetName val="electrical"/>
      <sheetName val="So sanh"/>
      <sheetName val="SUMDETAIL"/>
      <sheetName val="Factory"/>
      <sheetName val="Matchung"/>
      <sheetName val="BU LONG"/>
      <sheetName val="ĐNVT"/>
      <sheetName val="ĐNBL"/>
      <sheetName val="CTLK"/>
      <sheetName val="영동(D)"/>
      <sheetName val="DT. NHA XUONG"/>
      <sheetName val="CTDZTA(5)"/>
      <sheetName val="THONG SO"/>
      <sheetName val="Đơn giá chi tiết TN 39"/>
      <sheetName val="ABUT수량-A1"/>
      <sheetName val="THKP957"/>
      <sheetName val="Tính giá NC"/>
      <sheetName val="Tiên lượng"/>
      <sheetName val="SL cước"/>
      <sheetName val="EQUIP LIST"/>
      <sheetName val="Painting"/>
      <sheetName val="Electrical Works"/>
      <sheetName val="H_T_ INCOMING SYSTEM"/>
      <sheetName val="Gia VT-TB"/>
      <sheetName val="noi suy xa"/>
      <sheetName val="noi suy xa thu hoi"/>
      <sheetName val="Thuyết minh"/>
      <sheetName val="Đơn giá máy"/>
      <sheetName val="DCQ"/>
      <sheetName val="DCS"/>
      <sheetName val="DD"/>
      <sheetName val="Unit price"/>
      <sheetName val="Bill No.1.6"/>
      <sheetName val="Bill No.1.10"/>
      <sheetName val="Bill No.3.3"/>
      <sheetName val="Bill No.1.4"/>
      <sheetName val="Bill No.1.7"/>
      <sheetName val="Summary Bill No. 3"/>
      <sheetName val="說明"/>
      <sheetName val="Items"/>
      <sheetName val="Detail"/>
      <sheetName val="¥ "/>
      <sheetName val="KLall"/>
      <sheetName val="dulieumong"/>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係数"/>
      <sheetName val="8521"/>
      <sheetName val="Package1"/>
      <sheetName val="Tong DT"/>
      <sheetName val="phan tich don gia"/>
      <sheetName val="데리네이타현황"/>
      <sheetName val="CAUDIT"/>
      <sheetName val="FF-2 (1)"/>
      <sheetName val="FSA"/>
      <sheetName val="DSKH"/>
      <sheetName val="MB_DT_02"/>
      <sheetName val="DI-ESTI"/>
      <sheetName val="현장별"/>
      <sheetName val="설계내역서"/>
      <sheetName val="BID"/>
      <sheetName val="3. KC - PODIUM"/>
      <sheetName val="RAB_AR&amp;STR7"/>
      <sheetName val="chi_tiet_TBA7"/>
      <sheetName val="chi_tiet_C7"/>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Don_gia_chi_tiet7"/>
      <sheetName val="project_management6"/>
      <sheetName val="Adix_A6"/>
      <sheetName val="S-curve_6"/>
      <sheetName val="REINF_6"/>
      <sheetName val="Rates_20096"/>
      <sheetName val="MAIN_GATE_HOUSE6"/>
      <sheetName val="So_doi_chieu_LC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Bang_KL6"/>
      <sheetName val="TONG_HOP_VL-NC6"/>
      <sheetName val="MH_RATE6"/>
      <sheetName val="Lcau_-_Lxuc6"/>
      <sheetName val="CT_vat_lieu6"/>
      <sheetName val="Equip_5"/>
      <sheetName val="A1_CN5"/>
      <sheetName val="DG_thep_ma_kem6"/>
      <sheetName val="Đầu_vào5"/>
      <sheetName val="DM_60616"/>
      <sheetName val="Trạm_biến_áp5"/>
      <sheetName val="Đơn_Giá_5"/>
      <sheetName val="Chi_tiet_XD_TBA5"/>
      <sheetName val="Chenh_lech_vat_tu5"/>
      <sheetName val="Diện_tích5"/>
      <sheetName val="1_Khái_toán5"/>
      <sheetName val="TONG_HOP_T5_19985"/>
      <sheetName val="CT-0_4KV5"/>
      <sheetName val="KL_Chi_tiết_Xây_tô5"/>
      <sheetName val="rate_material5"/>
      <sheetName val="04_-_XUONG_DET_B5"/>
      <sheetName val="DG_DZ6"/>
      <sheetName val="DG_TBA6"/>
      <sheetName val="Bill_1_Quy_dinh_chung5"/>
      <sheetName val="1_R18_BF5"/>
      <sheetName val="6_External_works-R185"/>
      <sheetName val="07Base_Cost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Area_Cal5"/>
      <sheetName val="Phan_khai_KLuong5"/>
      <sheetName val="Elect_(3)5"/>
      <sheetName val="plan&amp;section_of_foundation5"/>
      <sheetName val="design_criteria5"/>
      <sheetName val="Bond_수수료_계산_포맷5"/>
      <sheetName val="ITB_COST5"/>
      <sheetName val="PAGE_15"/>
      <sheetName val="DM_675"/>
      <sheetName val="Đầu_tư5"/>
      <sheetName val="Loại_Vật_tư5"/>
      <sheetName val="Xay_lapduongR35"/>
      <sheetName val="EIRR&gt;_25"/>
      <sheetName val="6787CWFASE2CASE2_00_xls5"/>
      <sheetName val="Project_Data5"/>
      <sheetName val="4_PTDG5"/>
      <sheetName val="A1,_May5"/>
      <sheetName val="Vat_lieu5"/>
      <sheetName val="Data_Input6"/>
      <sheetName val="dg_tphcm5"/>
      <sheetName val="T_KÊ_K_CẤU5"/>
      <sheetName val="Bill_01_-_CTN5"/>
      <sheetName val="Bill_2_2_Villa_2_beds5"/>
      <sheetName val="Bill_02_-_Xay_gach-Pou_5"/>
      <sheetName val="Bill_03-Chống_thấm-Pou5"/>
      <sheetName val="Bill_04-Kim_loại-Pou5"/>
      <sheetName val="Bill_05_-_Hoan_thien-Pou_5"/>
      <sheetName val="Bill_02_-_Xay_gach-Tower5"/>
      <sheetName val="Bill_03-Chống_thấm-Tower5"/>
      <sheetName val="Bill_04-Kim_loại-Tower5"/>
      <sheetName val="Bill_05_-_Hoan_thien-Tower5"/>
      <sheetName val="KL-_KHAC5"/>
      <sheetName val="BILL_3_-_KẾT_CẤU_HẦM5"/>
      <sheetName val="PTĐG_LTBT5"/>
      <sheetName val="CTG-PRECHEx1_45"/>
      <sheetName val="CTG-AB_(2)5"/>
      <sheetName val="CTG-AB_(3)5"/>
      <sheetName val="CTG-PLP-1_085"/>
      <sheetName val="Pre_Đội_nhóm5"/>
      <sheetName val="Vat_tu_XD5"/>
      <sheetName val="Tower_-_Concrete_Works5"/>
      <sheetName val="Bill-04_ket_cau_thap-_UNI5"/>
      <sheetName val="TH_Vat_tu5"/>
      <sheetName val="Bang_trong_luong_rieng_thep5"/>
      <sheetName val="gia_cong_tac5"/>
      <sheetName val="Measure_13065"/>
      <sheetName val="ESTI_5"/>
      <sheetName val="KL_san_lap5"/>
      <sheetName val="HÐ_ngoài6"/>
      <sheetName val="6PILE__(돌출)5"/>
      <sheetName val="CẤP_THOÁT_NƯỚC5"/>
      <sheetName val="Cước_VC_+_ĐM_CP_Tư_vấn5"/>
      <sheetName val="Hệ_số5"/>
      <sheetName val="Harga_ME_5"/>
      <sheetName val="Analisa_Gabungan5"/>
      <sheetName val="bridge_#_15"/>
      <sheetName val="THDT_goi_thau_TB5"/>
      <sheetName val="Tien_do_TV5"/>
      <sheetName val="GV1-D13_(Casement_door)5"/>
      <sheetName val="Isolasi_Luar_Dalam5"/>
      <sheetName val="Isolasi_Luar5"/>
      <sheetName val="DATA_BASE5"/>
      <sheetName val="Equipment_list_(PAC)5"/>
      <sheetName val="DETAIL_5"/>
      <sheetName val="_Bill_5-Earthing_2_-_Add_Works5"/>
      <sheetName val="LV_data5"/>
      <sheetName val="Gia_vat_tu5"/>
      <sheetName val="TINH_KHOI_LUONG5"/>
      <sheetName val="TH_MTC5"/>
      <sheetName val="TH_N_Cong5"/>
      <sheetName val="Chi_tiet5"/>
      <sheetName val="Buy_vs__Lease_Car5"/>
      <sheetName val="NHÀ_NHẬP_LIỆU4"/>
      <sheetName val="MÓNG_SILO4"/>
      <sheetName val="Chenh_lech_ca_may5"/>
      <sheetName val="TLg_CN&amp;Laixe5"/>
      <sheetName val="TLg_CN&amp;Laixe_(2)5"/>
      <sheetName val="TLg_Laitau5"/>
      <sheetName val="TLg_Laitau_(2)5"/>
      <sheetName val="Bang_3_Chi_tiet_phan_Dz5"/>
      <sheetName val="KHOI_LUONG5"/>
      <sheetName val="Budget_Code4"/>
      <sheetName val="CP_Khac_cuoc_VC4"/>
      <sheetName val="subcon_sched5"/>
      <sheetName val="PRE_(E)5"/>
      <sheetName val="CTKL_KTX_HT4"/>
      <sheetName val="BOQ_THAN4"/>
      <sheetName val="2_Chiet_tinh4"/>
      <sheetName val="BẢNG_KHỐI_LƯỢNG_TỔNG_HỢP4"/>
      <sheetName val="HVAC_BLOCK_B45"/>
      <sheetName val="Tong_du_toan4"/>
      <sheetName val="Bill_2_-_ketcau4"/>
      <sheetName val="Chi_tiet_lan_can4"/>
      <sheetName val="13-Cốt_thép_(10mm&lt;D≤18mm)_FO164"/>
      <sheetName val="du_lieu_du_toan4"/>
      <sheetName val="D_&amp;_W_sizes4"/>
      <sheetName val="Analisa_&amp;_Upah4"/>
      <sheetName val="Purchase_Order4"/>
      <sheetName val="DL_ĐẦU_VÀO4"/>
      <sheetName val="Du_lieu5"/>
      <sheetName val="cash_budget4"/>
      <sheetName val="Luong_NII4"/>
      <sheetName val="DINH_MUC_THI_NGHIEM4"/>
      <sheetName val="Luong_NI4"/>
      <sheetName val="Phan_tich4"/>
      <sheetName val="CT_Thang_Mo4"/>
      <sheetName val="CT__PL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on_gia_(khong_in)4"/>
      <sheetName val="Dlieu_dau_vao4"/>
      <sheetName val="DK1_Don_gia4"/>
      <sheetName val="1_MONG_1-24"/>
      <sheetName val="BANCO_(2)4"/>
      <sheetName val="MT_DPin_(2)4"/>
      <sheetName val="02__PTDG4"/>
      <sheetName val="Chiết_tính4"/>
      <sheetName val="Nhap_VT_oto2"/>
      <sheetName val="dm_3662"/>
      <sheetName val="DM_60602"/>
      <sheetName val="Bill_No_3_-_Prov__Sum_(Ph2&amp;3)2"/>
      <sheetName val="Du_tru_CP-Bieu_012"/>
      <sheetName val="TB_NẶNG2"/>
      <sheetName val="TH_TN2"/>
      <sheetName val="wk_prgs2"/>
      <sheetName val="Ma_don_vi2"/>
      <sheetName val="bang_cc2"/>
      <sheetName val="Income_Statement4"/>
      <sheetName val="Shareholders'_Equity4"/>
      <sheetName val="VC_xd2"/>
      <sheetName val="Gia_VLTB2"/>
      <sheetName val="B_Luong2"/>
      <sheetName val="C_May2"/>
      <sheetName val="AG_Pipe_Qty_Analysis2"/>
      <sheetName val="THEP_TAM2"/>
      <sheetName val="THEP_HÌNH2"/>
      <sheetName val="THEP_HINH2"/>
      <sheetName val="XA_GO2"/>
      <sheetName val="BANG_TRA2"/>
      <sheetName val="2_1Warehouse_12"/>
      <sheetName val="đọc_số2"/>
      <sheetName val="Data_Wall2"/>
      <sheetName val="Hao_phí2"/>
      <sheetName val="CĂN_HỘ_T16-17_2"/>
      <sheetName val="TRỤC_ĐỨNG_THOÁT_BẨN_T15-172"/>
      <sheetName val="TRỤC_ĐỨNG_TM_T15-172"/>
      <sheetName val="Ｎｏ_132"/>
      <sheetName val="DGchitiet_2"/>
      <sheetName val="Bill_2-Road_HR22"/>
      <sheetName val="Bill_3_-_Softscape_HR22"/>
      <sheetName val="TK_chi_tiet2"/>
      <sheetName val="Dự_thầu2"/>
      <sheetName val="CP_HMC2"/>
      <sheetName val="Structure_data2"/>
      <sheetName val="CP_Du_phong2"/>
      <sheetName val="THCP_Lap_dat2"/>
      <sheetName val="THCP_xay_dung2"/>
      <sheetName val="Tong_hop_kinh_phi2"/>
      <sheetName val="HỆ_THỐNG_PHÒNG_CHÁY_CHỮA_CHÁY2"/>
      <sheetName val="HỆ_THỐNG_CẤP_THOÁT_NƯỚC2"/>
      <sheetName val="HỆ_THỐNG_ĐHKK2"/>
      <sheetName val="MÁY_PHÁT_ĐIỆN2"/>
      <sheetName val="HỆ_THỐNG_ĐIỆN2"/>
      <sheetName val="Thiết_bị_chính2"/>
      <sheetName val="CHI_PHI2"/>
      <sheetName val="Chi_tiet_-tong_9_thang1"/>
      <sheetName val="Don_gia_chi_tiet_DIEN_21"/>
      <sheetName val="Móng,_nền_2"/>
      <sheetName val="Main_Bldg-Rev022"/>
      <sheetName val="D&amp;W_def_2"/>
      <sheetName val="Nhan_cong2"/>
      <sheetName val="Thiet_bi2"/>
      <sheetName val="Vat_tu2"/>
      <sheetName val="DM_ChiPhi2"/>
      <sheetName val="May_TC2"/>
      <sheetName val="TH_Kinh_phi2"/>
      <sheetName val="Ptvl_2"/>
      <sheetName val="DG_14261"/>
      <sheetName val="1_Requisition(E)2"/>
      <sheetName val="Tổng_GT2"/>
      <sheetName val="Chi_tiết_KL2"/>
      <sheetName val="ca_máy2"/>
      <sheetName val="khấu_trừ_phạt2"/>
      <sheetName val="GT__KHAU_TRU2"/>
      <sheetName val="HAO_HUT_VAT_TU_(2)2"/>
      <sheetName val="cao_độ2"/>
      <sheetName val="gui_BKCT1"/>
      <sheetName val="Theo_doi_Doanh_thu_20171"/>
      <sheetName val="Chi_tiet_cong_no2"/>
      <sheetName val="PHÁT_SINH_TẦNG_1_2"/>
      <sheetName val="PHÁT_SINH_TẦNG_22"/>
      <sheetName val="Hầm_chuyển_psinh2"/>
      <sheetName val="Ống_thẳng2"/>
      <sheetName val="Côn_thu2"/>
      <sheetName val="Vuông_tròn2"/>
      <sheetName val="Chân_rẽ2"/>
      <sheetName val="Chạc_ba2"/>
      <sheetName val="Dự_toán2"/>
      <sheetName val="Đơn_Giá_TH2"/>
      <sheetName val="Nhân_công2"/>
      <sheetName val="Phân_tích2"/>
      <sheetName val="C_P_Thiết_bị2"/>
      <sheetName val="T_H_Kinh_phí2"/>
      <sheetName val="Vật_tư2"/>
      <sheetName val="Trang_bìa2"/>
      <sheetName val="TONG_HOP2"/>
      <sheetName val="phan_tic_chi_tiet2"/>
      <sheetName val="Precios_unitarios_AXH1"/>
      <sheetName val="BẢNG_ÁP_GIÁ_(in)1"/>
      <sheetName val="NT_(KL)_IN1"/>
      <sheetName val="DOM_D21"/>
      <sheetName val="nhà_ăn1"/>
      <sheetName val="Công_nhật1"/>
      <sheetName val="btkt_cột1"/>
      <sheetName val="TH_các_CC1"/>
      <sheetName val="0__Input1"/>
      <sheetName val="1_2_Staff_Schedule1"/>
      <sheetName val="Bill_Prelim-CDT1"/>
      <sheetName val="Bill_BPTC-CDT1"/>
      <sheetName val="Chi_tiết_BPTC1"/>
      <sheetName val="Bill_BPTC-CDT_(PA_MCT_CDT)1"/>
      <sheetName val="Chi_tiết_BPTC_(PA_MCT_CDT)1"/>
      <sheetName val="3__CNT1"/>
      <sheetName val="unit_price_list(M)1"/>
      <sheetName val="Gia_vat_lieu1"/>
      <sheetName val="So_lieu_chung1"/>
      <sheetName val="TH_VL,_NC,_DDHT_Thanhphuoc1"/>
      <sheetName val="Doi_so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MTO_REV_2(ARMOR)1"/>
      <sheetName val="DM-VNT_ko_sd1"/>
      <sheetName val="Bảng_đo_bóc_KL_OLK-091"/>
      <sheetName val="6_3_CHI_TIET_OLK-091"/>
      <sheetName val="Cotthep_NPT1"/>
      <sheetName val="vl_nc_mtc1"/>
      <sheetName val="1_Civil_(Org)1"/>
      <sheetName val="KL_THEP__GIAM_DO_DUNG_COUPLER1"/>
      <sheetName val="01_KL_THÉP_NHẬP_VỀ1"/>
      <sheetName val="2__NT_VLDV1"/>
      <sheetName val="GHI_CHU1"/>
      <sheetName val="1_BB_LMHT1"/>
      <sheetName val="Bê_tông_bảo_vệ1"/>
      <sheetName val="01__Data1"/>
      <sheetName val="Neo,_nối_cốt_thép_dầm,_cột1"/>
      <sheetName val="Uốn_móc_cốt_thép1"/>
      <sheetName val="Tiêu_chuẩn_cốt_thép1"/>
      <sheetName val="1__Office1"/>
      <sheetName val="KL_thep_lam_sat1"/>
      <sheetName val="Tien_Thuong1"/>
      <sheetName val="NC_XL_6T_cuoi_01_CTy1"/>
      <sheetName val="Data_-6T_dau1"/>
      <sheetName val="Cong_6T1"/>
      <sheetName val="1_San_1"/>
      <sheetName val="Tong_hop_vat_tu1"/>
      <sheetName val="B3A_-_TOWER_A1"/>
      <sheetName val="Annex_B1"/>
      <sheetName val="TLG_Type1"/>
      <sheetName val="KHOI_LUONG15-41"/>
      <sheetName val="Dgia_vat_tu1"/>
      <sheetName val="Don_gia_III1"/>
      <sheetName val="D÷_liÖu1"/>
      <sheetName val="Dot_4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2_CDPS1"/>
      <sheetName val="Heso_DZ1"/>
      <sheetName val="DM_336cai_tao1"/>
      <sheetName val="DG_BINH_THUAN1"/>
      <sheetName val="7_Khau_tru_1"/>
      <sheetName val="4_CĂN1"/>
      <sheetName val="HRG_BHN1"/>
      <sheetName val="CĂN_ĐH1"/>
      <sheetName val="Q_A01_2-Sh1"/>
      <sheetName val="B-2__(DPP)1"/>
      <sheetName val="Div26_-_Elect1"/>
      <sheetName val="DT_hợp_đồng"/>
      <sheetName val="Bảng_KL_đợt_1"/>
      <sheetName val="Don_gia_NC1"/>
      <sheetName val="Bieu_gia_HD"/>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13_BANG_CT"/>
      <sheetName val="14_MMUS_GIUA_NHIP"/>
      <sheetName val="4_HSPBngang"/>
      <sheetName val="6_Tinh_tai"/>
      <sheetName val="2_NSl"/>
      <sheetName val="17_US_CHU_tho_a_b"/>
      <sheetName val="15_MMUS_GOI"/>
      <sheetName val="Financ__Overview"/>
      <sheetName val="gia_vt,nc,may"/>
      <sheetName val="TINH_GIA_-_SAN_XUAT_Vertico"/>
      <sheetName val="Huong_dan"/>
      <sheetName val="DZ_22KV"/>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Tổng_hợp_KPHM"/>
      <sheetName val="Dinh_muc"/>
      <sheetName val="5_2_1_Đo_bóc_KL_OLK-06"/>
      <sheetName val="KS_tuyen"/>
      <sheetName val="Bang_chiet_tinh_TBA"/>
      <sheetName val="GIÁ_DỰ_THẦU_30_CĂN"/>
      <sheetName val="So_sanh"/>
      <sheetName val="DT__NHA_XUONG"/>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BU_LONG"/>
      <sheetName val="DG_Chi_tiet"/>
      <sheetName val="_1710_HOINGHINLD"/>
      <sheetName val="99_(2)"/>
      <sheetName val="134_"/>
      <sheetName val="DG_4970"/>
      <sheetName val="Electrical_Works"/>
      <sheetName val="H_T__INCOMING_SYSTEM"/>
      <sheetName val="THONG_SO"/>
      <sheetName val="Đơn_giá_chi_tiết_TN_39"/>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dg-VTu"/>
      <sheetName val="112016"/>
      <sheetName val="Bán đợt 1 trang"/>
      <sheetName val="Luong BN"/>
      <sheetName val="Luong TB"/>
      <sheetName val="Ca may TB"/>
      <sheetName val="Ca máy BN"/>
      <sheetName val="Vật liệu"/>
      <sheetName val="Bù giá CM"/>
      <sheetName val="LX -TT05"/>
      <sheetName val="NC Moi TT05"/>
      <sheetName val="Chao gia T12_RE"/>
      <sheetName val="Breakdown (B)"/>
      <sheetName val="U.P_Breakdown"/>
      <sheetName val="기안"/>
      <sheetName val="Chiet tinh dz35"/>
      <sheetName val="DG3285"/>
      <sheetName val="Tien Luong"/>
      <sheetName val="基本"/>
      <sheetName val="149-2"/>
      <sheetName val="선가03C"/>
      <sheetName val="03 Detailed"/>
      <sheetName val="01 Bid Price summary"/>
      <sheetName val="갑지(추정)"/>
      <sheetName val="Home Office Manhours"/>
      <sheetName val="Field SPV Barchart"/>
      <sheetName val="95D"/>
      <sheetName val="94D"/>
      <sheetName val="DW"/>
      <sheetName val="DWD"/>
      <sheetName val="DW1"/>
      <sheetName val="pctg"/>
      <sheetName val="M-work"/>
      <sheetName val="WORK"/>
      <sheetName val="DWi"/>
      <sheetName val="PC=FLAT"/>
      <sheetName val="Cert1"/>
      <sheetName val="Unit price(Updateting)"/>
      <sheetName val="COAT&amp;WRAP-QIOT-#3"/>
      <sheetName val="tifico"/>
      <sheetName val="tuong"/>
      <sheetName val="Cost List"/>
      <sheetName val="Detail Cost"/>
      <sheetName val="IC Price New"/>
      <sheetName val="QUOTE-IC"/>
      <sheetName val="Summary Table"/>
      <sheetName val="Sales Person"/>
      <sheetName val="Bidding Entity"/>
      <sheetName val="DOA"/>
      <sheetName val="CashFlows"/>
      <sheetName val="Aging Sept"/>
      <sheetName val="Invoice"/>
      <sheetName val="Aging_Sept"/>
      <sheetName val="Door_and_window3"/>
      <sheetName val="DT_san_XD-So_lieu_cu"/>
      <sheetName val="dats"/>
      <sheetName val="CHITIET VL-NCHT1 (2)"/>
      <sheetName val="Bordereau"/>
      <sheetName val="Solieu"/>
      <sheetName val="ThongtinDN"/>
      <sheetName val="DM DU AN"/>
      <sheetName val="DM TP."/>
      <sheetName val="File Chi tiet"/>
      <sheetName val="Share Price 2002"/>
      <sheetName val="Case"/>
      <sheetName val="SumVal"/>
      <sheetName val="Danh mục khối"/>
      <sheetName val="Danh mục đơn vị -phòng chức năn"/>
      <sheetName val="IMF Code"/>
      <sheetName val="Main_Mech"/>
      <sheetName val="Sub_Mech"/>
      <sheetName val="Subsidiary Calculation"/>
      <sheetName val="Abutment"/>
      <sheetName val="inputcua"/>
      <sheetName val="Phu Bai Bridge"/>
      <sheetName val="5.2.1 Đo bóc KL OLK-10"/>
      <sheetName val="BẢNG DIỄN GIẢI KL (7)"/>
      <sheetName val="Chu dau tu"/>
      <sheetName val="NTCV1"/>
      <sheetName val="THÔNG TIN"/>
      <sheetName val="beam"/>
      <sheetName val="SGC RATE"/>
      <sheetName val="DSNV"/>
      <sheetName val="Bangia"/>
      <sheetName val="D+W"/>
      <sheetName val="Cau tao gia xay to"/>
      <sheetName val="Tcd"/>
      <sheetName val="chitiet"/>
      <sheetName val="kl3p"/>
      <sheetName val="kl3pct"/>
      <sheetName val="kl3pcto"/>
      <sheetName val="2. BBNT KLHT"/>
      <sheetName val="DG05new"/>
      <sheetName val="CauHinh"/>
      <sheetName val="don gia 1426"/>
      <sheetName val="DLTA"/>
      <sheetName val="CTGS"/>
      <sheetName val="Dashboard - BQL - VHL"/>
      <sheetName val="주식"/>
      <sheetName val="Bia lot"/>
      <sheetName val="THPDMoi  (2)"/>
      <sheetName val="thao-go"/>
      <sheetName val="t-h HA THE"/>
      <sheetName val="TH XL"/>
      <sheetName val="Tiepdia"/>
      <sheetName val="CHITIET VL-NC"/>
      <sheetName val="ERECIN"/>
      <sheetName val="Y-WORK"/>
      <sheetName val="Khai toan"/>
      <sheetName val="Phu luc 01.1 EPC P11-14"/>
      <sheetName val="Bìa"/>
      <sheetName val="TM"/>
      <sheetName val="TH"/>
      <sheetName val="TDT P11-P14"/>
      <sheetName val="CPXD"/>
      <sheetName val="Chi phi khac "/>
      <sheetName val="Hang muc Chung"/>
      <sheetName val="ĐGNC"/>
      <sheetName val="DGMTC"/>
      <sheetName val="Bia Phu Luc"/>
      <sheetName val="DATA.1 CHUNG"/>
      <sheetName val="Muc luc"/>
      <sheetName val="Tra cuu 957"/>
      <sheetName val="Tru TT"/>
      <sheetName val="Thg 04"/>
      <sheetName val="Thg 05"/>
      <sheetName val="Thg 06"/>
      <sheetName val="Thg 07"/>
      <sheetName val="Thg 08"/>
      <sheetName val="Thg 09"/>
      <sheetName val="Thg 10"/>
      <sheetName val="Thg 11"/>
      <sheetName val="Thg 12"/>
      <sheetName val="변경내역"/>
      <sheetName val="Takeoff"/>
      <sheetName val="TH khoi luong"/>
      <sheetName val="Chi tiet khoi luong"/>
      <sheetName val="TK thep"/>
      <sheetName val="CT THOÁT WC VP"/>
      <sheetName val="CT CẤP WC VP"/>
      <sheetName val="CT THOÁT MƯA VP TRỤC LỚN"/>
      <sheetName val="CT THOÁT MƯA VP TRỤC NHỎ"/>
      <sheetName val="Bán_đợt_1_trang"/>
      <sheetName val="Tong_DT"/>
      <sheetName val="phan_tich_don_gia"/>
      <sheetName val="Cost_List"/>
      <sheetName val="Detail_Cost"/>
      <sheetName val="IC_Price_New"/>
      <sheetName val="Summary_Table"/>
      <sheetName val="Sales_Person"/>
      <sheetName val="Bidding_Entity"/>
      <sheetName val="내역"/>
      <sheetName val="toyota"/>
      <sheetName val="Breakdown"/>
      <sheetName val="DTCT"/>
      <sheetName val="TKXM"/>
      <sheetName val="COST_ACC"/>
      <sheetName val="Probbl - Production"/>
      <sheetName val="Backup"/>
      <sheetName val="CHI PHÍ NHÔM"/>
      <sheetName val="w't table"/>
      <sheetName val="Currency Rate"/>
      <sheetName val="BQ"/>
      <sheetName val="TABLE-A"/>
      <sheetName val="Tabela1"/>
      <sheetName val="1. Questionnaire"/>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Opening"/>
      <sheetName val="DepRate"/>
      <sheetName val="Quote-ExtMG-Y1"/>
      <sheetName val="Inter connect Revenue"/>
      <sheetName val="Anx 10"/>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Committed Items"/>
      <sheetName val="PU_ITALY_43"/>
      <sheetName val="sales_current_month43"/>
      <sheetName val="View_Variance43"/>
      <sheetName val="Inventory_data43"/>
      <sheetName val="FORECAST_x_FAMILIA40"/>
      <sheetName val="Space_Analysis40"/>
      <sheetName val="final_list_200526"/>
      <sheetName val="Tro_giup25"/>
      <sheetName val="Labour_Summary17"/>
      <sheetName val="CADE_DETAIL16"/>
      <sheetName val="PRB_Expense_Q4_201313"/>
      <sheetName val="PU_ITALY_44"/>
      <sheetName val="sales_current_month44"/>
      <sheetName val="View_Variance44"/>
      <sheetName val="Inventory_data44"/>
      <sheetName val="FORECAST_x_FAMILIA41"/>
      <sheetName val="Space_Analysis41"/>
      <sheetName val="final_list_200527"/>
      <sheetName val="Tro_giup26"/>
      <sheetName val="Labour_Summary18"/>
      <sheetName val="CADE_DETAIL17"/>
      <sheetName val="PRB_Expense_Q4_201314"/>
      <sheetName val="PU_ITALY_45"/>
      <sheetName val="sales_current_month45"/>
      <sheetName val="View_Variance45"/>
      <sheetName val="Inventory_data45"/>
      <sheetName val="FORECAST_x_FAMILIA42"/>
      <sheetName val="Space_Analysis42"/>
      <sheetName val="final_list_200528"/>
      <sheetName val="Tro_giup27"/>
      <sheetName val="Labour_Summary19"/>
      <sheetName val="CADE_DETAIL18"/>
      <sheetName val="PRB_Expense_Q4_201315"/>
      <sheetName val="P&amp;L_by_Month"/>
      <sheetName val="Committed_Items"/>
      <sheetName val="synthese"/>
      <sheetName val="CUSTOMER GROUP WISE"/>
      <sheetName val="DIV_INC"/>
      <sheetName val="A1_-_Income_Statement"/>
      <sheetName val="YTD_12'2003"/>
      <sheetName val="YTD_06'2003"/>
      <sheetName val="YTD_03'2003"/>
      <sheetName val="YTD_09'2003"/>
      <sheetName val="deferred_taxes"/>
      <sheetName val="DataValidation"/>
      <sheetName val="Field Lists"/>
      <sheetName val="Other_assumptions"/>
      <sheetName val="Field_Lists"/>
      <sheetName val="SPC-OC"/>
      <sheetName val="080 (2)"/>
      <sheetName val="Control_Panel"/>
      <sheetName val="Q4 2009 History"/>
      <sheetName val="Dashboard"/>
      <sheetName val="CTDZ6kv_(gd1)_"/>
      <sheetName val="CTDZ_0_4+cto_(GD1)"/>
      <sheetName val="CTTBA_(gd1)"/>
      <sheetName val="Input_List"/>
      <sheetName val="Valid_data_revised"/>
      <sheetName val="repeatative_rejection"/>
      <sheetName val="General_Info"/>
      <sheetName val="Full_PBD"/>
      <sheetName val="Non-Statistical_Sampling"/>
      <sheetName val="98FORECAST_(1)"/>
      <sheetName val="Fixed_asset_register"/>
      <sheetName val="BP_DECLINE_IT"/>
      <sheetName val="current_month1"/>
      <sheetName val="Blng__Vs_Coll_1"/>
      <sheetName val="Merit_&amp;_Market_Grid1"/>
      <sheetName val="OC5-Push_Diag"/>
      <sheetName val="Franchise_Input"/>
      <sheetName val="Bank_Rev"/>
      <sheetName val="DETAIL_MIX_%_REPORT"/>
      <sheetName val="SCB_-_Annexure_A"/>
      <sheetName val="PL6-Revenue_Bridge"/>
      <sheetName val="Eqpmnt_Plng"/>
      <sheetName val="TRIAL_BALANCE"/>
      <sheetName val="DPR_31st_march"/>
      <sheetName val="2020_RFS_Summary"/>
      <sheetName val="Well_Construction_Summary"/>
      <sheetName val="RFS_2020_-_Details_and_Notes"/>
      <sheetName val=" Final Balance Sheet"/>
      <sheetName val="summery-FINAL"/>
      <sheetName val="Insight 28-6-00"/>
      <sheetName val="DL codes"/>
      <sheetName val="712"/>
      <sheetName val="Anx-IV"/>
      <sheetName val="Fixed Prof Fees"/>
      <sheetName val="entitlements"/>
      <sheetName val="CC Inventory Assumption"/>
      <sheetName val="YOEMAGUM"/>
      <sheetName val="MAT"/>
      <sheetName val="AN_2000"/>
      <sheetName val="Fill_this_out_first___"/>
      <sheetName val="Inter_connect_Revenue"/>
      <sheetName val="Cost_of_DM_Water"/>
      <sheetName val="_Payroll_Empl_(Wkng)"/>
      <sheetName val="Merit_&amp;_Market_Grid2"/>
      <sheetName val="current_month2"/>
      <sheetName val="Blng__Vs_Coll_2"/>
      <sheetName val="CTDZ6kv_(gd1)_1"/>
      <sheetName val="CTDZ_0_4+cto_(GD1)1"/>
      <sheetName val="CTTBA_(gd1)1"/>
      <sheetName val="BP_DECLINE_IT1"/>
      <sheetName val="Input_List1"/>
      <sheetName val="Valid_data_revised1"/>
      <sheetName val="AN_20001"/>
      <sheetName val="YTD_12'20031"/>
      <sheetName val="YTD_06'20031"/>
      <sheetName val="YTD_03'20031"/>
      <sheetName val="YTD_09'20031"/>
      <sheetName val="OC5-Push_Diag1"/>
      <sheetName val="Franchise_Input1"/>
      <sheetName val="repeatative_rejection1"/>
      <sheetName val="General_Info1"/>
      <sheetName val="Full_PBD1"/>
      <sheetName val="Non-Statistical_Sampling1"/>
      <sheetName val="98FORECAST_(1)1"/>
      <sheetName val="Fixed_asset_register1"/>
      <sheetName val="DETAIL_MIX_%_REPORT1"/>
      <sheetName val="deferred_taxes1"/>
      <sheetName val="Cash_Flow1"/>
      <sheetName val="Eqpmnt_Plng1"/>
      <sheetName val="TRIAL_BALANCE1"/>
      <sheetName val="DPR_31st_march1"/>
      <sheetName val="2020_RFS_Summary1"/>
      <sheetName val="Well_Construction_Summary1"/>
      <sheetName val="RFS_2020_-_Details_and_Notes1"/>
      <sheetName val="Bank_Rev1"/>
      <sheetName val="DIV_INC1"/>
      <sheetName val="A1_-_Income_Statement1"/>
      <sheetName val="SCB_-_Annexure_A1"/>
      <sheetName val="PL6-Revenue_Bridge1"/>
      <sheetName val="Fill_this_out_first___1"/>
      <sheetName val="Inter_connect_Revenue1"/>
      <sheetName val="Cost_of_DM_Water1"/>
      <sheetName val="_Payroll_Empl_(Wkng)1"/>
      <sheetName val="Simulator Detail"/>
      <sheetName val="Trnf to Reimb."/>
      <sheetName val="Merit_&amp;_Market_Grid3"/>
      <sheetName val="current_month3"/>
      <sheetName val="Blng__Vs_Coll_3"/>
      <sheetName val="CTDZ6kv_(gd1)_2"/>
      <sheetName val="CTDZ_0_4+cto_(GD1)2"/>
      <sheetName val="CTTBA_(gd1)2"/>
      <sheetName val="BP_DECLINE_IT2"/>
      <sheetName val="Input_List2"/>
      <sheetName val="Valid_data_revised2"/>
      <sheetName val="AN_20002"/>
      <sheetName val="YTD_12'20032"/>
      <sheetName val="YTD_06'20032"/>
      <sheetName val="YTD_03'20032"/>
      <sheetName val="YTD_09'20032"/>
      <sheetName val="OC5-Push_Diag2"/>
      <sheetName val="Franchise_Input2"/>
      <sheetName val="repeatative_rejection2"/>
      <sheetName val="General_Info2"/>
      <sheetName val="Full_PBD2"/>
      <sheetName val="Non-Statistical_Sampling2"/>
      <sheetName val="98FORECAST_(1)2"/>
      <sheetName val="Fixed_asset_register2"/>
      <sheetName val="DETAIL_MIX_%_REPORT2"/>
      <sheetName val="deferred_taxes2"/>
      <sheetName val="Cash_Flow2"/>
      <sheetName val="Eqpmnt_Plng2"/>
      <sheetName val="TRIAL_BALANCE2"/>
      <sheetName val="DPR_31st_march2"/>
      <sheetName val="2020_RFS_Summary2"/>
      <sheetName val="Well_Construction_Summary2"/>
      <sheetName val="RFS_2020_-_Details_and_Notes2"/>
      <sheetName val="Bank_Rev2"/>
      <sheetName val="DIV_INC2"/>
      <sheetName val="A1_-_Income_Statement2"/>
      <sheetName val="SCB_-_Annexure_A2"/>
      <sheetName val="PL6-Revenue_Bridge2"/>
      <sheetName val="MTO_REV_2(ARMOR)2"/>
      <sheetName val="Fill_this_out_first___2"/>
      <sheetName val="Inter_connect_Revenue2"/>
      <sheetName val="Cost_of_DM_Water2"/>
      <sheetName val="_Payroll_Empl_(Wkng)2"/>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APR'02BS"/>
      <sheetName val="monthly"/>
      <sheetName val="FLASH"/>
      <sheetName val="Interest on WC"/>
      <sheetName val="Grouping"/>
      <sheetName val="Segment"/>
      <sheetName val="Month"/>
      <sheetName val="33002001"/>
      <sheetName val="DCF"/>
      <sheetName val="PDN"/>
      <sheetName val="301 RTI"/>
      <sheetName val="BS, PL, Sch 5 to 9"/>
      <sheetName val="PetroConsultants"/>
      <sheetName val="Trial Bal"/>
      <sheetName val="Rate Analysis"/>
      <sheetName val="Enc 3A"/>
      <sheetName val="Resort1"/>
      <sheetName val="Excise on RM"/>
      <sheetName val="Power &amp; Fuel (S)"/>
      <sheetName val="Book details"/>
      <sheetName val="July 06-Mar 07"/>
      <sheetName val="RscList"/>
      <sheetName val="drs"/>
      <sheetName val="BTO Dept."/>
      <sheetName val="minors"/>
      <sheetName val="Input &amp; Instruct"/>
      <sheetName val="Controls"/>
      <sheetName val="Signings"/>
      <sheetName val="Departments"/>
      <sheetName val="Project_ODC_NDEU"/>
      <sheetName val="080_(2)"/>
      <sheetName val="Sch2_-_BalSht_Summary"/>
      <sheetName val="Sch1_-_P&amp;L_Summary"/>
      <sheetName val="Sub Lead"/>
      <sheetName val="Deposits"/>
      <sheetName val="BTO_Dept_"/>
      <sheetName val="Input_&amp;_Instruct"/>
      <sheetName val="BTO_Dept_1"/>
      <sheetName val="Input_&amp;_Instruct1"/>
      <sheetName val="Validation and Lookup tables"/>
      <sheetName val="Dec. 08 RDD"/>
      <sheetName val="客户(基本资料)"/>
      <sheetName val="银行(基本资料)"/>
      <sheetName val="Summary Page_VDF"/>
      <sheetName val="Invested capital_VDF"/>
      <sheetName val="外勤汇总表3"/>
      <sheetName val="Director"/>
      <sheetName val="AC_CODE99"/>
      <sheetName val="Visor"/>
      <sheetName val="Original ED&amp;D summary"/>
      <sheetName val="Purchase_Calc_1"/>
      <sheetName val="Balance_Sheet1"/>
      <sheetName val="Report_Summary1"/>
      <sheetName val="Monthly_Notes1"/>
      <sheetName val="Purchase_Calc_2"/>
      <sheetName val="Balance_Sheet2"/>
      <sheetName val="Report_Summary2"/>
      <sheetName val="Monthly_Notes2"/>
      <sheetName val="schedule"/>
      <sheetName val="GrossMgn 98"/>
      <sheetName val="Gia-VL"/>
      <sheetName val="chitietCS"/>
      <sheetName val="chitietTD"/>
      <sheetName val="PL02"/>
      <sheetName val="Chênh lệch máy thi công"/>
      <sheetName val="Chênh lệch nhân công"/>
      <sheetName val="Chênh lệch vật liệu"/>
      <sheetName val="KEILA TP 2020-07"/>
      <sheetName val="BILL 34Āᐁë"/>
      <sheetName val="BILL 34Āᐁë_x0000__x0000__x0001__x0000__x0000__x0000_ HẦM"/>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Thuyết_minh1"/>
      <sheetName val="Đơn_giá_máy1"/>
      <sheetName val="Tính_giá_NC1"/>
      <sheetName val="SL_cước1"/>
      <sheetName val="Cot"/>
      <sheetName val="CFA (ME)"/>
      <sheetName val="MEP Building"/>
      <sheetName val="QSUM"/>
      <sheetName val="lookups"/>
      <sheetName val="BANGTRA"/>
      <sheetName val="CHITIET VL-NC-TT1p"/>
      <sheetName val="BP"/>
      <sheetName val="DoanhNghiệp"/>
      <sheetName val="ThôngTin"/>
      <sheetName val="0.Data"/>
      <sheetName val="0.Data_new"/>
      <sheetName val="WEIGHT"/>
      <sheetName val="Overview"/>
      <sheetName val="調整項目マスタ"/>
      <sheetName val="AASHTO92"/>
      <sheetName val="LUONG SCL"/>
      <sheetName val="재료비단가(VALVE)"/>
      <sheetName val="BOM-13.11-Other(PS1+PS2)"/>
      <sheetName val="Tra_thep"/>
      <sheetName val="PAINT_SPEC"/>
      <sheetName val="CFA"/>
      <sheetName val="TKLD"/>
      <sheetName val="NHOM KINH"/>
      <sheetName val="CFS3"/>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Tiên_lượng1"/>
      <sheetName val="Breakdown_(B)"/>
      <sheetName val="U_P_Breakdown"/>
      <sheetName val="Unit_price(Updateting)"/>
      <sheetName val="03_Detailed"/>
      <sheetName val="01_Bid_Price_summary"/>
      <sheetName val="Home_Office_Manhours"/>
      <sheetName val="Field_SPV_Barchart"/>
      <sheetName val="IMF_Code"/>
      <sheetName val="Subsidiary_Calculation"/>
      <sheetName val="caocot"/>
      <sheetName val="CTtr"/>
      <sheetName val="FF-2_(1)"/>
      <sheetName val="Phu_Bai_Bridge"/>
      <sheetName val="5_2_1_Đo_bóc_KL_OLK-10"/>
      <sheetName val="BẢNG_DIỄN_GIẢI_KL_(7)"/>
      <sheetName val="don_gia_1426"/>
      <sheetName val="Luong_BN"/>
      <sheetName val="Luong_TB"/>
      <sheetName val="Ca_may_TB"/>
      <sheetName val="Ca_máy_BN"/>
      <sheetName val="Vật_liệu"/>
      <sheetName val="LX_-TT05"/>
      <sheetName val="NC_Moi_TT05"/>
      <sheetName val="Bia_lot"/>
      <sheetName val="TH_DZ3511"/>
      <sheetName val="RAB_AR&amp;STR9"/>
      <sheetName val="chi_tiet_TBA9"/>
      <sheetName val="chi_tiet_C9"/>
      <sheetName val="Don_gia9"/>
      <sheetName val="DON_GIA_TRAM_(3)9"/>
      <sheetName val="XT_Buoc_38"/>
      <sheetName val="DON_GIA_CAN_THO11"/>
      <sheetName val="7606_DZ9"/>
      <sheetName val="Don_gia_chi_tiet9"/>
      <sheetName val="Customize_Your_Purchase_Order9"/>
      <sheetName val="CHITIET_VL-NC-TT_-1p9"/>
      <sheetName val="CHITIET_VL-NC-TT-3p8"/>
      <sheetName val="TONG_HOP_VL-NC_TT9"/>
      <sheetName val="KPVC-BD_9"/>
      <sheetName val="dongia_(2)8"/>
      <sheetName val="Adix_A8"/>
      <sheetName val="Ky_Lam_Bridge8"/>
      <sheetName val="Provisional_Sums_Item8"/>
      <sheetName val="Gas_Pressure_Welding8"/>
      <sheetName val="General_Item&amp;General_Requireme8"/>
      <sheetName val="General_Items8"/>
      <sheetName val="Regenral_Requirements8"/>
      <sheetName val="HĐ_ngoài8"/>
      <sheetName val="Ng_hàng_xà+bulong8"/>
      <sheetName val="chiet_tinh8"/>
      <sheetName val="S-curve_8"/>
      <sheetName val="DM_60618"/>
      <sheetName val="CT_vat_lieu8"/>
      <sheetName val="So_doi_chieu_LC8"/>
      <sheetName val="Bang_3_Chi_tiet_phan_Dz7"/>
      <sheetName val="Commercial_value8"/>
      <sheetName val="project_management8"/>
      <sheetName val="REINF_8"/>
      <sheetName val="Rates_20098"/>
      <sheetName val="Du_toan8"/>
      <sheetName val="MAIN_GATE_HOUSE8"/>
      <sheetName val="TONG_HOP_VL-NC8"/>
      <sheetName val="Bang_KL8"/>
      <sheetName val="MH_RATE8"/>
      <sheetName val="07Base_Cost7"/>
      <sheetName val="rate_material7"/>
      <sheetName val="DG_thep_ma_kem8"/>
      <sheetName val="Lcau_-_Lxuc8"/>
      <sheetName val="Equip_7"/>
      <sheetName val="A1_CN7"/>
      <sheetName val="Đầu_vào7"/>
      <sheetName val="Chi_tiet_XD_TBA7"/>
      <sheetName val="Trạm_biến_áp7"/>
      <sheetName val="Đơn_Giá_7"/>
      <sheetName val="CT-0_4KV7"/>
      <sheetName val="Chenh_lech_vat_tu7"/>
      <sheetName val="Diện_tích7"/>
      <sheetName val="1_Khái_toán7"/>
      <sheetName val="TONG_HOP_T5_19987"/>
      <sheetName val="KL_Chi_tiết_Xây_tô7"/>
      <sheetName val="DG_DZ8"/>
      <sheetName val="DG_TBA8"/>
      <sheetName val="Xay_lapduongR37"/>
      <sheetName val="HÐ_ngoài8"/>
      <sheetName val="DM_677"/>
      <sheetName val="Data_Input8"/>
      <sheetName val="Bill_1_Quy_dinh_chung7"/>
      <sheetName val="1_R18_BF7"/>
      <sheetName val="6_External_works-R187"/>
      <sheetName val="Gia_vat_tu7"/>
      <sheetName val="Elect_(3)7"/>
      <sheetName val="plan&amp;section_of_foundation7"/>
      <sheetName val="design_criteria7"/>
      <sheetName val="Bond_수수료_계산_포맷7"/>
      <sheetName val="ITB_COST7"/>
      <sheetName val="4_PTDG7"/>
      <sheetName val="LV_data7"/>
      <sheetName val="Chi_tiet_KL7"/>
      <sheetName val="Tổng_hợp_KL7"/>
      <sheetName val="04_-_XUONG_DET_B7"/>
      <sheetName val="Phan_khai_KLuong7"/>
      <sheetName val="_037"/>
      <sheetName val="chieu_day_san7"/>
      <sheetName val="Podium_Concrete_Works7"/>
      <sheetName val="KLCT-_TOWER7"/>
      <sheetName val="KLCT-_PODIUM7"/>
      <sheetName val="Gia_thanh_chuoi_su7"/>
      <sheetName val="Tiep_dia7"/>
      <sheetName val="Don_gia_vung_III-Can_Tho7"/>
      <sheetName val="Area_Cal7"/>
      <sheetName val="PAGE_17"/>
      <sheetName val="EIRR&gt;_27"/>
      <sheetName val="Đầu_tư7"/>
      <sheetName val="Project_Data7"/>
      <sheetName val="6787CWFASE2CASE2_00_xls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Loại_Vật_tư7"/>
      <sheetName val="TH_Vat_tu7"/>
      <sheetName val="dg_tphcm7"/>
      <sheetName val="T_KÊ_K_CẤU7"/>
      <sheetName val="Bill_01_-_CTN7"/>
      <sheetName val="Bill_2_2_Villa_2_beds7"/>
      <sheetName val="A1,_May7"/>
      <sheetName val="Vat_lieu7"/>
      <sheetName val="Bang_trong_luong_rieng_thep7"/>
      <sheetName val="6PILE__(돌출)7"/>
      <sheetName val="gia_cong_tac7"/>
      <sheetName val="Measure_13067"/>
      <sheetName val="_Bill_5-Earthing_2_-_Add_Works7"/>
      <sheetName val="Cước_VC_+_ĐM_CP_Tư_vấn7"/>
      <sheetName val="Hệ_số7"/>
      <sheetName val="DETAIL_7"/>
      <sheetName val="GV1-D13_(Casement_door)7"/>
      <sheetName val="ESTI_7"/>
      <sheetName val="CẤP_THOÁT_NƯỚC7"/>
      <sheetName val="TH_MTC7"/>
      <sheetName val="TH_N_Cong7"/>
      <sheetName val="THDT_goi_thau_TB7"/>
      <sheetName val="Tien_do_TV7"/>
      <sheetName val="Harga_ME_7"/>
      <sheetName val="Analisa_Gabungan7"/>
      <sheetName val="bridge_#_17"/>
      <sheetName val="Isolasi_Luar_Dalam7"/>
      <sheetName val="Isolasi_Luar7"/>
      <sheetName val="KL_san_lap7"/>
      <sheetName val="Chi_tiet7"/>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Chenh_lech_ca_may7"/>
      <sheetName val="TLg_CN&amp;Laixe7"/>
      <sheetName val="TLg_CN&amp;Laixe_(2)7"/>
      <sheetName val="TLg_Laitau7"/>
      <sheetName val="TLg_Laitau_(2)7"/>
      <sheetName val="KHOI_LUONG7"/>
      <sheetName val="Equipment_list_(PAC)7"/>
      <sheetName val="TINH_KHOI_LUONG7"/>
      <sheetName val="DATA_BASE7"/>
      <sheetName val="BẢNG_KHỐI_LƯỢNG_TỔNG_HỢP6"/>
      <sheetName val="Buy_vs__Lease_Car7"/>
      <sheetName val="CP_Khac_cuoc_VC6"/>
      <sheetName val="Budget_Code6"/>
      <sheetName val="CTKL_KTX_HT6"/>
      <sheetName val="2_Chiet_tinh6"/>
      <sheetName val="subcon_sched7"/>
      <sheetName val="NHÀ_NHẬP_LIỆU6"/>
      <sheetName val="MÓNG_SILO6"/>
      <sheetName val="PRE_(E)7"/>
      <sheetName val="HVAC_BLOCK_B47"/>
      <sheetName val="Tong_du_toan6"/>
      <sheetName val="Bill_2_-_ketcau6"/>
      <sheetName val="13-Cốt_thép_(10mm&lt;D≤18mm)_FO166"/>
      <sheetName val="du_lieu_du_toan6"/>
      <sheetName val="BANCO_(2)6"/>
      <sheetName val="MT_DPin_(2)6"/>
      <sheetName val="Chi_tiet_lan_can6"/>
      <sheetName val="BOQ_THAN6"/>
      <sheetName val="DL_ĐẦU_VÀO6"/>
      <sheetName val="D_&amp;_W_sizes6"/>
      <sheetName val="Analisa_&amp;_Upah6"/>
      <sheetName val="Purchase_Order6"/>
      <sheetName val="Du_lieu7"/>
      <sheetName val="Phan_tich6"/>
      <sheetName val="Luong_NII6"/>
      <sheetName val="DINH_MUC_THI_NGHIEM6"/>
      <sheetName val="Luong_NI6"/>
      <sheetName val="CT_Thang_Mo6"/>
      <sheetName val="CT__PL6"/>
      <sheetName val="dongia__2_6"/>
      <sheetName val="Thép_CKN6"/>
      <sheetName val="GOC-KO_IN6"/>
      <sheetName val="MAU_8A6"/>
      <sheetName val="MAU_8B6"/>
      <sheetName val="MAU_96"/>
      <sheetName val="MAU_106"/>
      <sheetName val="cash_budget6"/>
      <sheetName val="Dlieu_dau_vao6"/>
      <sheetName val="CHI_PHI4"/>
      <sheetName val="02__PTDG6"/>
      <sheetName val="Chiết_tính6"/>
      <sheetName val="DK1_Don_gia6"/>
      <sheetName val="Income_Statement6"/>
      <sheetName val="Shareholders'_Equity6"/>
      <sheetName val="VC_xd4"/>
      <sheetName val="Gia_VLTB4"/>
      <sheetName val="B_Luong4"/>
      <sheetName val="C_May4"/>
      <sheetName val="Don_gia_(khong_in)6"/>
      <sheetName val="1_MONG_1-26"/>
      <sheetName val="TB_NẶNG4"/>
      <sheetName val="Du_tru_CP-Bieu_014"/>
      <sheetName val="dm_3664"/>
      <sheetName val="DM_60604"/>
      <sheetName val="Dự_thầu4"/>
      <sheetName val="Nhap_VT_oto4"/>
      <sheetName val="Hao_phí4"/>
      <sheetName val="Ma_don_vi4"/>
      <sheetName val="bang_cc4"/>
      <sheetName val="Structure_data4"/>
      <sheetName val="TH_TN4"/>
      <sheetName val="Bill_No_3_-_Prov__Sum_(Ph2&amp;3)4"/>
      <sheetName val="đọc_số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2_1Warehouse_14"/>
      <sheetName val="CĂN_HỘ_T16-17_4"/>
      <sheetName val="TRỤC_ĐỨNG_THOÁT_BẨN_T15-174"/>
      <sheetName val="TRỤC_ĐỨNG_TM_T15-174"/>
      <sheetName val="TK_chi_tiet4"/>
      <sheetName val="Bill_2-Road_HR24"/>
      <sheetName val="Bill_3_-_Softscape_HR24"/>
      <sheetName val="THEP_TAM4"/>
      <sheetName val="THEP_HÌNH4"/>
      <sheetName val="THEP_HINH4"/>
      <sheetName val="XA_GO4"/>
      <sheetName val="BANG_TRA4"/>
      <sheetName val="Main_Bldg-Rev024"/>
      <sheetName val="D&amp;W_def_4"/>
      <sheetName val="Nhan_cong4"/>
      <sheetName val="Thiet_bi4"/>
      <sheetName val="Vat_tu4"/>
      <sheetName val="DM_ChiPhi4"/>
      <sheetName val="May_TC4"/>
      <sheetName val="TH_Kinh_phi4"/>
      <sheetName val="Ptvl_4"/>
      <sheetName val="Móng,_nền_4"/>
      <sheetName val="1_Requisition(E)4"/>
      <sheetName val="So_lieu_chung3"/>
      <sheetName val="Q_A01_2-Sh3"/>
      <sheetName val="DG_14263"/>
      <sheetName val="Dự_toán4"/>
      <sheetName val="Đơn_Giá_TH4"/>
      <sheetName val="Nhân_công4"/>
      <sheetName val="Phân_tích4"/>
      <sheetName val="C_P_Thiết_bị4"/>
      <sheetName val="T_H_Kinh_phí4"/>
      <sheetName val="Vật_tư4"/>
      <sheetName val="Trang_bìa4"/>
      <sheetName val="phan_tic_chi_tiet4"/>
      <sheetName val="TONG_HOP4"/>
      <sheetName val="Tổng_GT4"/>
      <sheetName val="Chi_tiết_KL4"/>
      <sheetName val="khấu_trừ_phạt4"/>
      <sheetName val="GT__KHAU_TRU4"/>
      <sheetName val="HAO_HUT_VAT_TU_(2)4"/>
      <sheetName val="cao_độ4"/>
      <sheetName val="Data_Wall4"/>
      <sheetName val="3__CNT3"/>
      <sheetName val="unit_price_list(M)3"/>
      <sheetName val="Theo_doi_Doanh_thu_20173"/>
      <sheetName val="Gia_vat_lieu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Danh_mục2"/>
      <sheetName val="PV_Graph_Data2"/>
      <sheetName val="1_2_Staff_Schedule3"/>
      <sheetName val="BẢNG_ÁP_GIÁ_(in)3"/>
      <sheetName val="NT_(KL)_IN3"/>
      <sheetName val="DOM_D23"/>
      <sheetName val="nhà_ăn3"/>
      <sheetName val="Công_nhật3"/>
      <sheetName val="btkt_cột3"/>
      <sheetName val="Bảng_đo_bóc_KL_OLK-093"/>
      <sheetName val="6_3_CHI_TIET_OLK-093"/>
      <sheetName val="BTK-Dai_Hoc_Kien_Giang2"/>
      <sheetName val="0__Input3"/>
      <sheetName val="TH_các_CC3"/>
      <sheetName val="Don_gia_chi_tiet_DIEN_23"/>
      <sheetName val="Chi_tiet_-tong_9_thang3"/>
      <sheetName val="TH_VL,_NC,_DDHT_Thanhphuoc3"/>
      <sheetName val="1__Office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Doi_so3"/>
      <sheetName val="1_Civil_(Org)3"/>
      <sheetName val="Bill_Prelim-CDT3"/>
      <sheetName val="Bill_BPTC-CDT3"/>
      <sheetName val="Chi_tiết_BPTC3"/>
      <sheetName val="Bill_BPTC-CDT_(PA_MCT_CDT)3"/>
      <sheetName val="Chi_tiết_BPTC_(PA_MCT_CDT)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DM_336cai_tao3"/>
      <sheetName val="MTO_REV_2(ARMOR)3"/>
      <sheetName val="Dutoan_KL2"/>
      <sheetName val="doanh_thu2"/>
      <sheetName val="KHOI_LUONG15-4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KL_thep_lam_sat3"/>
      <sheetName val="DM-VNT_ko_sd3"/>
      <sheetName val="B3A_-_TOWER_A3"/>
      <sheetName val="Annex_B3"/>
      <sheetName val="Cotthep_NPT3"/>
      <sheetName val="vl_nc_mtc3"/>
      <sheetName val="Tien_Thuong3"/>
      <sheetName val="NC_XL_6T_cuoi_01_CTy3"/>
      <sheetName val="Data_-6T_dau3"/>
      <sheetName val="Cong_6T3"/>
      <sheetName val="TLG_Type3"/>
      <sheetName val="Tong_hop_vat_tu3"/>
      <sheetName val="1_San_3"/>
      <sheetName val="Dot_43"/>
      <sheetName val="HRG_BHN3"/>
      <sheetName val="CĂN_ĐH3"/>
      <sheetName val="Chi_phi_van_chuyen3"/>
      <sheetName val="Dgia_vat_tu3"/>
      <sheetName val="Don_gia_III3"/>
      <sheetName val="D÷_liÖu3"/>
      <sheetName val="DT_hợp_đồng2"/>
      <sheetName val="Bảng_KL_đợt_12"/>
      <sheetName val="2_CDPS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Heso_DZ3"/>
      <sheetName val="Bieu_gia_HD2"/>
      <sheetName val="Div26_-_Elect3"/>
      <sheetName val="7_Khau_tru_3"/>
      <sheetName val="4_CĂN3"/>
      <sheetName val="DG_BINH_THUAN3"/>
      <sheetName val="GIÁ_DỰ_THẦU_30_CĂN2"/>
      <sheetName val="DG_Chi_tiet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DZ_22KV2"/>
      <sheetName val="_1710_HOINGHINLD2"/>
      <sheetName val="99_(2)2"/>
      <sheetName val="134_2"/>
      <sheetName val="DG_49702"/>
      <sheetName val="Don_gia_NC3"/>
      <sheetName val="B-2__(DPP)3"/>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Financ__Overview2"/>
      <sheetName val="13_BANG_CT2"/>
      <sheetName val="14_MMUS_GIUA_NHIP2"/>
      <sheetName val="4_HSPBngang2"/>
      <sheetName val="6_Tinh_tai2"/>
      <sheetName val="2_NSl2"/>
      <sheetName val="17_US_CHU_tho_a_b2"/>
      <sheetName val="15_MMUS_GOI2"/>
      <sheetName val="TINH_GIA_-_SAN_XUAT_Vertico2"/>
      <sheetName val="gia_vt,nc,may2"/>
      <sheetName val="Huong_dan2"/>
      <sheetName val="Tổng_hợp_KPHM2"/>
      <sheetName val="5_2_1_Đo_bóc_KL_OLK-062"/>
      <sheetName val="MB_DT_022"/>
      <sheetName val="Dinh_muc2"/>
      <sheetName val="KS_tuyen2"/>
      <sheetName val="Bang_chiet_tinh_TBA2"/>
      <sheetName val="4_2_1_Đo_bóc_KL_OLK-062"/>
      <sheetName val="4_1_1_CHI_TIET_OLK-062"/>
      <sheetName val="So_sanh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Tong_DT1"/>
      <sheetName val="phan_tich_don_gia1"/>
      <sheetName val="DT_san_XD-So_lieu_cu1"/>
      <sheetName val="EQUIP_LIST2"/>
      <sheetName val="Electrical_Works2"/>
      <sheetName val="H_T__INCOMING_SYSTEM2"/>
      <sheetName val="BU_LONG2"/>
      <sheetName val="THONG_SO2"/>
      <sheetName val="Đơn_giá_chi_tiết_TN_392"/>
      <sheetName val="DT__NHA_XUONG2"/>
      <sheetName val="Gia_VT-TB2"/>
      <sheetName val="noi_suy_xa2"/>
      <sheetName val="noi_suy_xa_thu_hoi2"/>
      <sheetName val="Tính_giá_NC2"/>
      <sheetName val="Tiên_lượng2"/>
      <sheetName val="SL_cước2"/>
      <sheetName val="Thuyết_minh2"/>
      <sheetName val="Đơn_giá_máy2"/>
      <sheetName val="¥_2"/>
      <sheetName val="FF-2_(1)1"/>
      <sheetName val="Unit_price1"/>
      <sheetName val="Bill_No_1_62"/>
      <sheetName val="Bill_No_1_102"/>
      <sheetName val="Bill_No_3_32"/>
      <sheetName val="Bill_No_1_42"/>
      <sheetName val="Bill_No_1_72"/>
      <sheetName val="Summary_Bill_No__32"/>
      <sheetName val="Bán_đợt_1_trang1"/>
      <sheetName val="Chiet_tinh_dz351"/>
      <sheetName val="3__KC_-_PODIUM1"/>
      <sheetName val="03_Detailed1"/>
      <sheetName val="01_Bid_Price_summary1"/>
      <sheetName val="Home_Office_Manhours1"/>
      <sheetName val="Field_SPV_Barchart1"/>
      <sheetName val="Tien_Luong1"/>
      <sheetName val="Unit_price(Updateting)1"/>
      <sheetName val="Cost_List1"/>
      <sheetName val="Detail_Cost1"/>
      <sheetName val="IC_Price_New1"/>
      <sheetName val="Summary_Table1"/>
      <sheetName val="Sales_Person1"/>
      <sheetName val="Bidding_Entity1"/>
      <sheetName val="CHITIET_VL-NCHT1_(2)1"/>
      <sheetName val="Bù_giá_CM1"/>
      <sheetName val="Breakdown_(B)1"/>
      <sheetName val="U_P_Breakdown1"/>
      <sheetName val="IMF_Code1"/>
      <sheetName val="Subsidiary_Calculation1"/>
      <sheetName val="Phu_Bai_Bridge1"/>
      <sheetName val="5_2_1_Đo_bóc_KL_OLK-101"/>
      <sheetName val="BẢNG_DIỄN_GIẢI_KL_(7)1"/>
      <sheetName val="don_gia_14261"/>
      <sheetName val="Luong_BN1"/>
      <sheetName val="Luong_TB1"/>
      <sheetName val="Ca_may_TB1"/>
      <sheetName val="Ca_máy_BN1"/>
      <sheetName val="Vật_liệu1"/>
      <sheetName val="LX_-TT051"/>
      <sheetName val="NC_Moi_TT051"/>
      <sheetName val="Bia_lot1"/>
      <sheetName val="TH_DZ3512"/>
      <sheetName val="RAB_AR&amp;STR10"/>
      <sheetName val="chi_tiet_TBA10"/>
      <sheetName val="chi_tiet_C10"/>
      <sheetName val="Don_gia10"/>
      <sheetName val="DON_GIA_TRAM_(3)10"/>
      <sheetName val="XT_Buoc_39"/>
      <sheetName val="DON_GIA_CAN_THO12"/>
      <sheetName val="7606_DZ10"/>
      <sheetName val="Don_gia_chi_tiet10"/>
      <sheetName val="Customize_Your_Purchase_Order10"/>
      <sheetName val="CHITIET_VL-NC-TT_-1p10"/>
      <sheetName val="CHITIET_VL-NC-TT-3p9"/>
      <sheetName val="TONG_HOP_VL-NC_TT10"/>
      <sheetName val="KPVC-BD_10"/>
      <sheetName val="dongia_(2)9"/>
      <sheetName val="Adix_A9"/>
      <sheetName val="Ky_Lam_Bridge9"/>
      <sheetName val="Provisional_Sums_Item9"/>
      <sheetName val="Gas_Pressure_Welding9"/>
      <sheetName val="General_Item&amp;General_Requireme9"/>
      <sheetName val="General_Items9"/>
      <sheetName val="Regenral_Requirements9"/>
      <sheetName val="HĐ_ngoài9"/>
      <sheetName val="Ng_hàng_xà+bulong9"/>
      <sheetName val="chiet_tinh9"/>
      <sheetName val="S-curve_9"/>
      <sheetName val="DM_60619"/>
      <sheetName val="CT_vat_lieu9"/>
      <sheetName val="So_doi_chieu_LC9"/>
      <sheetName val="Bang_3_Chi_tiet_phan_Dz8"/>
      <sheetName val="Commercial_value9"/>
      <sheetName val="project_management9"/>
      <sheetName val="REINF_9"/>
      <sheetName val="Rates_20099"/>
      <sheetName val="Du_toan9"/>
      <sheetName val="MAIN_GATE_HOUSE9"/>
      <sheetName val="TONG_HOP_VL-NC9"/>
      <sheetName val="Bang_KL9"/>
      <sheetName val="MH_RATE9"/>
      <sheetName val="07Base_Cost8"/>
      <sheetName val="rate_material8"/>
      <sheetName val="DG_thep_ma_kem9"/>
      <sheetName val="Lcau_-_Lxuc9"/>
      <sheetName val="Equip_8"/>
      <sheetName val="A1_CN8"/>
      <sheetName val="Đầu_vào8"/>
      <sheetName val="Chi_tiet_XD_TBA8"/>
      <sheetName val="Trạm_biến_áp8"/>
      <sheetName val="Đơn_Giá_8"/>
      <sheetName val="CT-0_4KV8"/>
      <sheetName val="Chenh_lech_vat_tu8"/>
      <sheetName val="Diện_tích8"/>
      <sheetName val="1_Khái_toán8"/>
      <sheetName val="TONG_HOP_T5_19988"/>
      <sheetName val="KL_Chi_tiết_Xây_tô8"/>
      <sheetName val="DG_DZ9"/>
      <sheetName val="DG_TBA9"/>
      <sheetName val="Xay_lapduongR38"/>
      <sheetName val="HÐ_ngoài9"/>
      <sheetName val="DM_678"/>
      <sheetName val="Data_Input9"/>
      <sheetName val="Bill_1_Quy_dinh_chung8"/>
      <sheetName val="1_R18_BF8"/>
      <sheetName val="6_External_works-R188"/>
      <sheetName val="Gia_vat_tu8"/>
      <sheetName val="Elect_(3)8"/>
      <sheetName val="plan&amp;section_of_foundation8"/>
      <sheetName val="design_criteria8"/>
      <sheetName val="Bond_수수료_계산_포맷8"/>
      <sheetName val="ITB_COST8"/>
      <sheetName val="4_PTDG8"/>
      <sheetName val="LV_data8"/>
      <sheetName val="Chi_tiet_KL8"/>
      <sheetName val="Tổng_hợp_KL8"/>
      <sheetName val="04_-_XUONG_DET_B8"/>
      <sheetName val="Phan_khai_KLuong8"/>
      <sheetName val="_038"/>
      <sheetName val="chieu_day_san8"/>
      <sheetName val="Podium_Concrete_Works8"/>
      <sheetName val="KLCT-_TOWER8"/>
      <sheetName val="KLCT-_PODIUM8"/>
      <sheetName val="Gia_thanh_chuoi_su8"/>
      <sheetName val="Tiep_dia8"/>
      <sheetName val="Don_gia_vung_III-Can_Tho8"/>
      <sheetName val="Area_Cal8"/>
      <sheetName val="PAGE_18"/>
      <sheetName val="EIRR&gt;_28"/>
      <sheetName val="Đầu_tư8"/>
      <sheetName val="Project_Data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A1,_May8"/>
      <sheetName val="Vat_lieu8"/>
      <sheetName val="Bang_trong_luong_rieng_thep8"/>
      <sheetName val="6PILE__(돌출)8"/>
      <sheetName val="gia_cong_tac8"/>
      <sheetName val="Measure_13068"/>
      <sheetName val="_Bill_5-Earthing_2_-_Add_Works8"/>
      <sheetName val="Cước_VC_+_ĐM_CP_Tư_vấn8"/>
      <sheetName val="Hệ_số8"/>
      <sheetName val="DETAIL_8"/>
      <sheetName val="GV1-D13_(Casement_door)8"/>
      <sheetName val="ESTI_8"/>
      <sheetName val="CẤP_THOÁT_NƯỚC8"/>
      <sheetName val="TH_MTC8"/>
      <sheetName val="TH_N_Cong8"/>
      <sheetName val="THDT_goi_thau_TB8"/>
      <sheetName val="Tien_do_TV8"/>
      <sheetName val="Harga_ME_8"/>
      <sheetName val="Analisa_Gabungan8"/>
      <sheetName val="bridge_#_18"/>
      <sheetName val="Isolasi_Luar_Dalam8"/>
      <sheetName val="Isolasi_Luar8"/>
      <sheetName val="KL_san_lap8"/>
      <sheetName val="Chi_tiet8"/>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Chenh_lech_ca_may8"/>
      <sheetName val="TLg_CN&amp;Laixe8"/>
      <sheetName val="TLg_CN&amp;Laixe_(2)8"/>
      <sheetName val="TLg_Laitau8"/>
      <sheetName val="TLg_Laitau_(2)8"/>
      <sheetName val="KHOI_LUONG8"/>
      <sheetName val="Equipment_list_(PAC)8"/>
      <sheetName val="TINH_KHOI_LUONG8"/>
      <sheetName val="DATA_BASE8"/>
      <sheetName val="BẢNG_KHỐI_LƯỢNG_TỔNG_HỢP7"/>
      <sheetName val="Buy_vs__Lease_Car8"/>
      <sheetName val="CP_Khac_cuoc_VC7"/>
      <sheetName val="Budget_Code7"/>
      <sheetName val="CTKL_KTX_HT7"/>
      <sheetName val="2_Chiet_tinh7"/>
      <sheetName val="subcon_sched8"/>
      <sheetName val="NHÀ_NHẬP_LIỆU7"/>
      <sheetName val="MÓNG_SILO7"/>
      <sheetName val="PRE_(E)8"/>
      <sheetName val="HVAC_BLOCK_B48"/>
      <sheetName val="Tong_du_toan7"/>
      <sheetName val="Bill_2_-_ketcau7"/>
      <sheetName val="13-Cốt_thép_(10mm&lt;D≤18mm)_FO167"/>
      <sheetName val="du_lieu_du_toan7"/>
      <sheetName val="BANCO_(2)7"/>
      <sheetName val="MT_DPin_(2)7"/>
      <sheetName val="Chi_tiet_lan_can7"/>
      <sheetName val="BOQ_THAN7"/>
      <sheetName val="DL_ĐẦU_VÀO7"/>
      <sheetName val="D_&amp;_W_sizes7"/>
      <sheetName val="Analisa_&amp;_Upah7"/>
      <sheetName val="Purchase_Order7"/>
      <sheetName val="Du_lieu8"/>
      <sheetName val="Phan_tich7"/>
      <sheetName val="Luong_NII7"/>
      <sheetName val="DINH_MUC_THI_NGHIEM7"/>
      <sheetName val="Luong_NI7"/>
      <sheetName val="CT_Thang_Mo7"/>
      <sheetName val="CT__PL7"/>
      <sheetName val="dongia__2_7"/>
      <sheetName val="Thép_CKN7"/>
      <sheetName val="GOC-KO_IN7"/>
      <sheetName val="MAU_8A7"/>
      <sheetName val="MAU_8B7"/>
      <sheetName val="MAU_97"/>
      <sheetName val="MAU_107"/>
      <sheetName val="cash_budget7"/>
      <sheetName val="Dlieu_dau_vao7"/>
      <sheetName val="CHI_PHI5"/>
      <sheetName val="02__PTDG7"/>
      <sheetName val="Chiết_tính7"/>
      <sheetName val="DK1_Don_gia7"/>
      <sheetName val="Income_Statement7"/>
      <sheetName val="Shareholders'_Equity7"/>
      <sheetName val="VC_xd5"/>
      <sheetName val="Gia_VLTB5"/>
      <sheetName val="B_Luong5"/>
      <sheetName val="C_May5"/>
      <sheetName val="Don_gia_(khong_in)7"/>
      <sheetName val="1_MONG_1-27"/>
      <sheetName val="TB_NẶNG5"/>
      <sheetName val="Du_tru_CP-Bieu_015"/>
      <sheetName val="dm_3665"/>
      <sheetName val="DM_60605"/>
      <sheetName val="Dự_thầu5"/>
      <sheetName val="Nhap_VT_oto5"/>
      <sheetName val="Hao_phí5"/>
      <sheetName val="Ma_don_vi5"/>
      <sheetName val="bang_cc5"/>
      <sheetName val="Structure_data5"/>
      <sheetName val="TH_TN5"/>
      <sheetName val="Bill_No_3_-_Prov__Sum_(Ph2&amp;3)5"/>
      <sheetName val="đọc_số5"/>
      <sheetName val="CP_Du_phong5"/>
      <sheetName val="THCP_Lap_dat5"/>
      <sheetName val="THCP_xay_dung5"/>
      <sheetName val="Tong_hop_kinh_phi5"/>
      <sheetName val="CP_HMC5"/>
      <sheetName val="HỆ_THỐNG_PHÒNG_CHÁY_CHỮA_CHÁY5"/>
      <sheetName val="HỆ_THỐNG_CẤP_THOÁT_NƯỚC5"/>
      <sheetName val="HỆ_THỐNG_ĐHKK5"/>
      <sheetName val="MÁY_PHÁT_ĐIỆN5"/>
      <sheetName val="HỆ_THỐNG_ĐIỆN5"/>
      <sheetName val="Thiết_bị_chính5"/>
      <sheetName val="Ｎｏ_135"/>
      <sheetName val="DGchitiet_5"/>
      <sheetName val="wk_prgs5"/>
      <sheetName val="AG_Pipe_Qty_Analysis5"/>
      <sheetName val="2_1Warehouse_15"/>
      <sheetName val="CĂN_HỘ_T16-17_5"/>
      <sheetName val="TRỤC_ĐỨNG_THOÁT_BẨN_T15-175"/>
      <sheetName val="TRỤC_ĐỨNG_TM_T15-175"/>
      <sheetName val="TK_chi_tiet5"/>
      <sheetName val="Bill_2-Road_HR25"/>
      <sheetName val="Bill_3_-_Softscape_HR25"/>
      <sheetName val="THEP_TAM5"/>
      <sheetName val="THEP_HÌNH5"/>
      <sheetName val="THEP_HINH5"/>
      <sheetName val="XA_GO5"/>
      <sheetName val="BANG_TRA5"/>
      <sheetName val="Main_Bldg-Rev025"/>
      <sheetName val="D&amp;W_def_5"/>
      <sheetName val="Nhan_cong5"/>
      <sheetName val="Thiet_bi5"/>
      <sheetName val="Vat_tu5"/>
      <sheetName val="DM_ChiPhi5"/>
      <sheetName val="May_TC5"/>
      <sheetName val="TH_Kinh_phi5"/>
      <sheetName val="Ptvl_5"/>
      <sheetName val="Móng,_nền_5"/>
      <sheetName val="1_Requisition(E)5"/>
      <sheetName val="So_lieu_chung4"/>
      <sheetName val="Q_A01_2-Sh4"/>
      <sheetName val="DG_14264"/>
      <sheetName val="Dự_toán5"/>
      <sheetName val="Đơn_Giá_TH5"/>
      <sheetName val="Nhân_công5"/>
      <sheetName val="Phân_tích5"/>
      <sheetName val="C_P_Thiết_bị5"/>
      <sheetName val="T_H_Kinh_phí5"/>
      <sheetName val="Vật_tư5"/>
      <sheetName val="Trang_bìa5"/>
      <sheetName val="phan_tic_chi_tiet5"/>
      <sheetName val="TONG_HOP5"/>
      <sheetName val="Tổng_GT5"/>
      <sheetName val="Chi_tiết_KL5"/>
      <sheetName val="khấu_trừ_phạt5"/>
      <sheetName val="GT__KHAU_TRU5"/>
      <sheetName val="HAO_HUT_VAT_TU_(2)5"/>
      <sheetName val="cao_độ5"/>
      <sheetName val="Data_Wall5"/>
      <sheetName val="3__CNT4"/>
      <sheetName val="unit_price_list(M)4"/>
      <sheetName val="Theo_doi_Doanh_thu_20174"/>
      <sheetName val="Gia_vat_lieu4"/>
      <sheetName val="gui_BKCT4"/>
      <sheetName val="Precios_unitarios_AXH4"/>
      <sheetName val="Chi_tiet_cong_no5"/>
      <sheetName val="PHÁT_SINH_TẦNG_1_5"/>
      <sheetName val="PHÁT_SINH_TẦNG_25"/>
      <sheetName val="Hầm_chuyển_psinh5"/>
      <sheetName val="Ống_thẳng5"/>
      <sheetName val="Côn_thu5"/>
      <sheetName val="Vuông_tròn5"/>
      <sheetName val="Chân_rẽ5"/>
      <sheetName val="Chạc_ba5"/>
      <sheetName val="Danh_mục3"/>
      <sheetName val="PV_Graph_Data3"/>
      <sheetName val="1_2_Staff_Schedule4"/>
      <sheetName val="BẢNG_ÁP_GIÁ_(in)4"/>
      <sheetName val="NT_(KL)_IN4"/>
      <sheetName val="DOM_D24"/>
      <sheetName val="nhà_ăn4"/>
      <sheetName val="Công_nhật4"/>
      <sheetName val="btkt_cột4"/>
      <sheetName val="Bảng_đo_bóc_KL_OLK-094"/>
      <sheetName val="6_3_CHI_TIET_OLK-094"/>
      <sheetName val="BTK-Dai_Hoc_Kien_Giang3"/>
      <sheetName val="0__Input4"/>
      <sheetName val="TH_các_CC4"/>
      <sheetName val="Don_gia_chi_tiet_DIEN_24"/>
      <sheetName val="Chi_tiet_-tong_9_thang4"/>
      <sheetName val="TH_VL,_NC,_DDHT_Thanhphuoc4"/>
      <sheetName val="1__Office4"/>
      <sheetName val="KL_THEP__GIAM_DO_DUNG_COUPLER4"/>
      <sheetName val="01_KL_THÉP_NHẬP_VỀ4"/>
      <sheetName val="2__NT_VLDV4"/>
      <sheetName val="GHI_CHU4"/>
      <sheetName val="1_BB_LMHT4"/>
      <sheetName val="Bê_tông_bảo_vệ4"/>
      <sheetName val="01__Data4"/>
      <sheetName val="Neo,_nối_cốt_thép_dầm,_cột4"/>
      <sheetName val="Uốn_móc_cốt_thép4"/>
      <sheetName val="Tiêu_chuẩn_cốt_thép4"/>
      <sheetName val="Doi_so4"/>
      <sheetName val="1_Civil_(Org)4"/>
      <sheetName val="Bill_Prelim-CDT4"/>
      <sheetName val="Bill_BPTC-CDT4"/>
      <sheetName val="Chi_tiết_BPTC4"/>
      <sheetName val="Bill_BPTC-CDT_(PA_MCT_CDT)4"/>
      <sheetName val="Chi_tiết_BPTC_(PA_MCT_CDT)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DM_336cai_tao4"/>
      <sheetName val="MTO_REV_2(ARMOR)4"/>
      <sheetName val="Dutoan_KL3"/>
      <sheetName val="doanh_thu3"/>
      <sheetName val="KHOI_LUONG15-4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L_thep_lam_sat4"/>
      <sheetName val="DM-VNT_ko_sd4"/>
      <sheetName val="B3A_-_TOWER_A4"/>
      <sheetName val="Annex_B4"/>
      <sheetName val="Cotthep_NPT4"/>
      <sheetName val="vl_nc_mtc4"/>
      <sheetName val="Tien_Thuong4"/>
      <sheetName val="NC_XL_6T_cuoi_01_CTy4"/>
      <sheetName val="Data_-6T_dau4"/>
      <sheetName val="Cong_6T4"/>
      <sheetName val="TLG_Type4"/>
      <sheetName val="Tong_hop_vat_tu4"/>
      <sheetName val="1_San_4"/>
      <sheetName val="Dot_44"/>
      <sheetName val="HRG_BHN4"/>
      <sheetName val="CĂN_ĐH4"/>
      <sheetName val="Chi_phi_van_chuyen4"/>
      <sheetName val="Dgia_vat_tu4"/>
      <sheetName val="Don_gia_III4"/>
      <sheetName val="D÷_liÖu4"/>
      <sheetName val="DT_hợp_đồng3"/>
      <sheetName val="Bảng_KL_đợt_13"/>
      <sheetName val="2_CDPS4"/>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Heso_DZ4"/>
      <sheetName val="Bieu_gia_HD3"/>
      <sheetName val="Div26_-_Elect4"/>
      <sheetName val="7_Khau_tru_4"/>
      <sheetName val="4_CĂN4"/>
      <sheetName val="DG_BINH_THUAN4"/>
      <sheetName val="GIÁ_DỰ_THẦU_30_CĂN3"/>
      <sheetName val="DG_Chi_tiet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DZ_22KV3"/>
      <sheetName val="_1710_HOINGHINLD3"/>
      <sheetName val="99_(2)3"/>
      <sheetName val="134_3"/>
      <sheetName val="DG_49703"/>
      <sheetName val="Don_gia_NC4"/>
      <sheetName val="B-2__(DPP)4"/>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13_BANG_CT3"/>
      <sheetName val="14_MMUS_GIUA_NHIP3"/>
      <sheetName val="4_HSPBngang3"/>
      <sheetName val="6_Tinh_tai3"/>
      <sheetName val="2_NSl3"/>
      <sheetName val="17_US_CHU_tho_a_b3"/>
      <sheetName val="15_MMUS_GOI3"/>
      <sheetName val="TINH_GIA_-_SAN_XUAT_Vertico3"/>
      <sheetName val="gia_vt,nc,may3"/>
      <sheetName val="Huong_dan3"/>
      <sheetName val="Tổng_hợp_KPHM3"/>
      <sheetName val="5_2_1_Đo_bóc_KL_OLK-063"/>
      <sheetName val="MB_DT_023"/>
      <sheetName val="Dinh_muc3"/>
      <sheetName val="KS_tuyen3"/>
      <sheetName val="Bang_chiet_tinh_TBA3"/>
      <sheetName val="4_2_1_Đo_bóc_KL_OLK-063"/>
      <sheetName val="4_1_1_CHI_TIET_OLK-063"/>
      <sheetName val="Cash_Flow3"/>
      <sheetName val="So_sanh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Tong_DT2"/>
      <sheetName val="phan_tich_don_gia2"/>
      <sheetName val="DT_san_XD-So_lieu_cu2"/>
      <sheetName val="EQUIP_LIST3"/>
      <sheetName val="Electrical_Works3"/>
      <sheetName val="H_T__INCOMING_SYSTEM3"/>
      <sheetName val="BU_LONG3"/>
      <sheetName val="THONG_SO3"/>
      <sheetName val="Đơn_giá_chi_tiết_TN_393"/>
      <sheetName val="DT__NHA_XUONG3"/>
      <sheetName val="Gia_VT-TB3"/>
      <sheetName val="noi_suy_xa3"/>
      <sheetName val="noi_suy_xa_thu_hoi3"/>
      <sheetName val="Tính_giá_NC3"/>
      <sheetName val="Tiên_lượng3"/>
      <sheetName val="SL_cước3"/>
      <sheetName val="Thuyết_minh3"/>
      <sheetName val="Đơn_giá_máy3"/>
      <sheetName val="¥_3"/>
      <sheetName val="FF-2_(1)2"/>
      <sheetName val="Unit_price2"/>
      <sheetName val="Bill_No_1_63"/>
      <sheetName val="Bill_No_1_103"/>
      <sheetName val="Bill_No_3_33"/>
      <sheetName val="Bill_No_1_43"/>
      <sheetName val="Bill_No_1_73"/>
      <sheetName val="Summary_Bill_No__33"/>
      <sheetName val="Bán_đợt_1_trang2"/>
      <sheetName val="Chiet_tinh_dz352"/>
      <sheetName val="3__KC_-_PODIUM2"/>
      <sheetName val="03_Detailed2"/>
      <sheetName val="01_Bid_Price_summary2"/>
      <sheetName val="Home_Office_Manhours2"/>
      <sheetName val="Field_SPV_Barchart2"/>
      <sheetName val="Tien_Luong2"/>
      <sheetName val="Unit_price(Updateting)2"/>
      <sheetName val="Cost_List2"/>
      <sheetName val="Detail_Cost2"/>
      <sheetName val="IC_Price_New2"/>
      <sheetName val="Summary_Table2"/>
      <sheetName val="Sales_Person2"/>
      <sheetName val="Bidding_Entity2"/>
      <sheetName val="CHITIET_VL-NCHT1_(2)2"/>
      <sheetName val="Bù_giá_CM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TH_DZ3513"/>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YTD_12'20033"/>
      <sheetName val="YTD_06'20033"/>
      <sheetName val="YTD_03'20033"/>
      <sheetName val="YTD_09'20033"/>
      <sheetName val="deferred_taxes3"/>
      <sheetName val="Eqpmnt_Plng3"/>
      <sheetName val="TRIAL_BALANCE3"/>
      <sheetName val="DPR_31st_march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TH_DZ3514"/>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Chu_dau_tu"/>
      <sheetName val="Cau_tao_gia_xay_to"/>
      <sheetName val="THÔNG_TIN"/>
      <sheetName val="THPDMoi__(2)"/>
      <sheetName val="t-h_HA_THE"/>
      <sheetName val="TH_XL"/>
      <sheetName val="CHITIET_VL-NC"/>
      <sheetName val="TH_DZ3515"/>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Chu_dau_tu1"/>
      <sheetName val="Cau_tao_gia_xay_to1"/>
      <sheetName val="THÔNG_TIN1"/>
      <sheetName val="THPDMoi__(2)1"/>
      <sheetName val="t-h_HA_THE1"/>
      <sheetName val="TH_XL1"/>
      <sheetName val="CHITIET_VL-NC1"/>
      <sheetName val="TH_DZ3516"/>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SGC_RATE"/>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DM_DU_AN"/>
      <sheetName val="DM_TP_"/>
      <sheetName val="File_Chi_tiet"/>
      <sheetName val="표지"/>
      <sheetName val="직종인원"/>
      <sheetName val="총원dB"/>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MSB-DB"/>
      <sheetName val="DistiSwamp"/>
      <sheetName val="SPLIMP97"/>
      <sheetName val="Bech_Lab"/>
      <sheetName val="Dinh Muc Vat Tu"/>
      <sheetName val="mã "/>
      <sheetName val="g-vl"/>
      <sheetName val="Nhập liệu"/>
      <sheetName val="Don gia XD"/>
      <sheetName val="Auto Monthly Inputs "/>
      <sheetName val="TienLuong"/>
      <sheetName val="Para"/>
      <sheetName val="PNTEXT"/>
      <sheetName val="DFA"/>
      <sheetName val="Gia NC theo TT05"/>
      <sheetName val="tra-vat-lieu"/>
      <sheetName val="기본DATA"/>
      <sheetName val="SLabs"/>
      <sheetName val="datta"/>
      <sheetName val="DEF"/>
      <sheetName val="rc"/>
      <sheetName val="L-Mechanical"/>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Hrg Readymix"/>
      <sheetName val="BAG-2"/>
      <sheetName val="COPING"/>
      <sheetName val="sortÔ"/>
      <sheetName val="ChiTietDZ"/>
      <sheetName val="VuaBT"/>
      <sheetName val="GIAVLIEU"/>
      <sheetName val="KUNGDEVI"/>
      <sheetName val="Boc KL DAT+CAT+BT"/>
      <sheetName val="Boc KL thép"/>
      <sheetName val="Bieu do nhan luc"/>
      <sheetName val="B1_HT"/>
      <sheetName val="Bia1"/>
      <sheetName val="DSV6 Summ"/>
      <sheetName val="NTKL"/>
      <sheetName val="Luong (TP Việt Trì)"/>
      <sheetName val="DG "/>
      <sheetName val="Land Dev't. Ph-1"/>
      <sheetName val="Hac.Lots"/>
      <sheetName val="4-Lane bridge"/>
      <sheetName val="Res.Lots"/>
      <sheetName val="Spine Road"/>
      <sheetName val="PHG"/>
      <sheetName val="Utilities"/>
      <sheetName val="Civil_B1"/>
      <sheetName val="Civil_B4"/>
      <sheetName val="THKP"/>
      <sheetName val="DS_GioiTinh"/>
      <sheetName val="DS_LoaiNhanVien"/>
      <sheetName val="DS_QuocTich"/>
      <sheetName val="DS_TinhTrangGiaDinh"/>
      <sheetName val="DS_TonGiao"/>
      <sheetName val="BangQuiDoi"/>
      <sheetName val="5.2.1 Đo bóc KL OLK-07"/>
      <sheetName val="Define finishing"/>
      <sheetName val="Form"/>
      <sheetName val="Bill 2"/>
      <sheetName val="Bill 3"/>
      <sheetName val="Bill 4a - 1A"/>
      <sheetName val="Bill 4a (Fiber) - 1A"/>
      <sheetName val="Bill 4b"/>
      <sheetName val="Bill 4c"/>
      <sheetName val="Bill 5"/>
      <sheetName val="Bill 4a - 1B"/>
      <sheetName val="Bill 4a (Fiber) - 1B"/>
      <sheetName val="PHẦN KIẾN TRÚC"/>
      <sheetName val="264"/>
      <sheetName val="BTH"/>
      <sheetName val="ca_máy4"/>
      <sheetName val="Currency_Rate"/>
      <sheetName val="BILL_34Āᐁë_HẦM"/>
      <sheetName val="Danh_mục_khối"/>
      <sheetName val="Danh_mục_đơn_vị_-phòng_chức_năn"/>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CaiDat"/>
      <sheetName val="CPK"/>
      <sheetName val="DGKL_TRỤC NGOAI NHA"/>
      <sheetName val="Dai tu"/>
      <sheetName val="CT_trtreo"/>
      <sheetName val="pphtAV"/>
      <sheetName val="Sum ELE  CAP S1-4  "/>
      <sheetName val="Elemental Breakdown+20%"/>
      <sheetName val="Cước CG"/>
      <sheetName val="노임이"/>
      <sheetName val="Cuoc "/>
      <sheetName val="gia chao"/>
      <sheetName val="Vat lieu BTN"/>
      <sheetName val="NPCPP-70-DS-017"/>
      <sheetName val="Input - Facilities"/>
      <sheetName val="Norms"/>
      <sheetName val="BP CAPEX MoD-100% Area 4 USD"/>
      <sheetName val="HSTV"/>
      <sheetName val="GCM"/>
      <sheetName val="GVT"/>
      <sheetName val="NC CU"/>
      <sheetName val="PLV"/>
      <sheetName val="BC chi tiết TT"/>
      <sheetName val="seido_BS"/>
      <sheetName val="MTO REV.0"/>
      <sheetName val="XL4Poppy (2)"/>
      <sheetName val="XL4Poppy_(2)"/>
      <sheetName val="So sanh gia"/>
      <sheetName val="Luong 2622EVN"/>
      <sheetName val="공문"/>
      <sheetName val="Khoi luong kenh dan"/>
      <sheetName val="Thep_Be TN(tai_C10)"/>
      <sheetName val="CONSOIDATE 4"/>
      <sheetName val="CONSOIDATE 2"/>
      <sheetName val="1CT-CAUTHANG-TT-T13(TRIU)&lt;16&gt;16"/>
      <sheetName val="3,CT-CAUTHANG-T23-24&gt;50"/>
      <sheetName val="공사개요-C"/>
      <sheetName val="DINH_MUCџTHI_NGHIEM3"/>
      <sheetName val="ctiet-KVThanhTri-YUR"/>
      <sheetName val="242_3 summaryOPC"/>
      <sheetName val="afis"/>
      <sheetName val="TAKE-OFF"/>
      <sheetName val="1.1General"/>
      <sheetName val="6. Scope of work "/>
      <sheetName val="4.6 Phân tích nhân sự "/>
      <sheetName val="4.5 Mức độ tham gia dự án"/>
      <sheetName val="QMCT"/>
      <sheetName val="DNDN"/>
      <sheetName val="TCVN 1651-2008"/>
      <sheetName val="Da xay dung"/>
      <sheetName val="DO AM DT"/>
      <sheetName val="01. Nha xuong"/>
      <sheetName val="KL T16 BÀN GIAO 19.4"/>
      <sheetName val="proj"/>
      <sheetName val="ca_máy5"/>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Probbl_-_Production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TG-PRECHEx1_4ꀋ"/>
      <sheetName val="De11A"/>
      <sheetName val=" "/>
      <sheetName val="行动跟踪"/>
      <sheetName val="PTdam"/>
      <sheetName val="CAU"/>
      <sheetName val="02. PHAN TICH"/>
      <sheetName val="03. NGAN SACH"/>
      <sheetName val="Gia giao VL den HT"/>
      <sheetName val="ThiNghiemDZ04"/>
      <sheetName val="MD"/>
      <sheetName val="he so dong thoi"/>
      <sheetName val="CT -THVLNC"/>
      <sheetName val="Price"/>
      <sheetName val="0,SO LIEU DAU VAO"/>
      <sheetName val="Thang 01"/>
      <sheetName val="Thống kê"/>
      <sheetName val="BAN IN"/>
      <sheetName val="1.설계조건"/>
      <sheetName val="SPC_OC"/>
      <sheetName val="Sales Initiation (5)"/>
      <sheetName val="Timing-1 (6)"/>
      <sheetName val="dashboard (1)"/>
      <sheetName val="standards trend (4)"/>
      <sheetName val="Range"/>
      <sheetName val="TOC"/>
      <sheetName val="月度不良集計"/>
      <sheetName val="LCL P_L10JUl02"/>
      <sheetName val="DN_TIME 02"/>
      <sheetName val="DN_TIME 14"/>
      <sheetName val="REPORT"/>
      <sheetName val="HELP"/>
      <sheetName val="COST"/>
      <sheetName val="MS６ OUT"/>
      <sheetName val="BASIC DATA"/>
      <sheetName val="C100-KICK"/>
      <sheetName val="表"/>
      <sheetName val="be"/>
      <sheetName val="99.1海業提示コスト(収容数１２,８００)"/>
      <sheetName val="Breadown"/>
      <sheetName val="Tro_giup28"/>
      <sheetName val="TH_DZ3517"/>
      <sheetName val="Don_gia15"/>
      <sheetName val="RAB_AR&amp;STR15"/>
      <sheetName val="chi_tiet_TBA15"/>
      <sheetName val="chi_tiet_C15"/>
      <sheetName val="DON_GIA_TRAM_(3)15"/>
      <sheetName val="DON_GIA_CAN_THO17"/>
      <sheetName val="Customize_Your_Purchase_Order15"/>
      <sheetName val="CHITIET_VL-NC-TT_-1p15"/>
      <sheetName val="CHITIET_VL-NC-TT-3p14"/>
      <sheetName val="TONG_HOP_VL-NC_TT15"/>
      <sheetName val="KPVC-BD_15"/>
      <sheetName val="HĐ_ngoài14"/>
      <sheetName val="XT_Buoc_314"/>
      <sheetName val="dongia_(2)14"/>
      <sheetName val="Don_gia_chi_tiet15"/>
      <sheetName val="7606_DZ15"/>
      <sheetName val="project_management14"/>
      <sheetName val="Adix_A14"/>
      <sheetName val="S-curve_14"/>
      <sheetName val="REINF_14"/>
      <sheetName val="Rates_200914"/>
      <sheetName val="Du_toan14"/>
      <sheetName val="So_doi_chieu_LC14"/>
      <sheetName val="MAIN_GATE_HOUSE14"/>
      <sheetName val="Commercial_value14"/>
      <sheetName val="Ky_Lam_Bridge14"/>
      <sheetName val="Provisional_Sums_Item14"/>
      <sheetName val="Gas_Pressure_Welding14"/>
      <sheetName val="General_Item&amp;General_Requirem14"/>
      <sheetName val="General_Items14"/>
      <sheetName val="Regenral_Requirements14"/>
      <sheetName val="chiet_tinh14"/>
      <sheetName val="Ng_hàng_xà+bulong14"/>
      <sheetName val="TONG_HOP_VL-NC14"/>
      <sheetName val="Bang_KL14"/>
      <sheetName val="MH_RATE14"/>
      <sheetName val="final_list_200529"/>
      <sheetName val="CTDZ6kv_(gd1)_7"/>
      <sheetName val="CTDZ_0_4+cto_(GD1)7"/>
      <sheetName val="CTTBA_(gd1)7"/>
      <sheetName val="Labour_Summary20"/>
      <sheetName val="Purchase_Order12"/>
      <sheetName val="current_month7"/>
      <sheetName val="Blng__Vs_Coll_7"/>
      <sheetName val="YTD_12'20037"/>
      <sheetName val="YTD_06'20037"/>
      <sheetName val="YTD_03'20037"/>
      <sheetName val="YTD_09'20037"/>
      <sheetName val="MTO_REV_2(ARMOR)9"/>
      <sheetName val="deferred_taxes7"/>
      <sheetName val="Cash_Flow8"/>
      <sheetName val="Eqpmnt_Plng7"/>
      <sheetName val="TRIAL_BALANCE7"/>
      <sheetName val="DPR_31st_march7"/>
      <sheetName val="Lcau_-_Lxuc14"/>
      <sheetName val="DM_606114"/>
      <sheetName val="DG_thep_ma_kem14"/>
      <sheetName val="CT_vat_lieu14"/>
      <sheetName val="Equip_13"/>
      <sheetName val="A1_CN13"/>
      <sheetName val="Đầu_vào13"/>
      <sheetName val="Chi_tiet_XD_TBA13"/>
      <sheetName val="LV_data13"/>
      <sheetName val="sochitiettaikhoan_12"/>
      <sheetName val="Elect_(3)13"/>
      <sheetName val="plan&amp;section_of_foundation13"/>
      <sheetName val="design_criteria13"/>
      <sheetName val="Other_assumptions1"/>
      <sheetName val="Field_Lists1"/>
      <sheetName val="CUSTOMER_GROUP_WISE"/>
      <sheetName val="Interest_on_WC"/>
      <sheetName val="Q4_2009_History"/>
      <sheetName val="_Final_Balance_Sheet"/>
      <sheetName val="Sch_18_Bank"/>
      <sheetName val="Stock_details"/>
      <sheetName val="Part_A_General"/>
      <sheetName val="Sales_Initiation_(5)"/>
      <sheetName val="Timing-1_(6)"/>
      <sheetName val="dashboard_(1)"/>
      <sheetName val="standards_trend_(4)"/>
      <sheetName val="LCL_P_L10JUl02"/>
      <sheetName val="DN_TIME_02"/>
      <sheetName val="DN_TIME_14"/>
      <sheetName val="MS６_OUT"/>
      <sheetName val="BASIC_DATA"/>
      <sheetName val="99_1海業提示コスト(収容数１２,８００)"/>
      <sheetName val="Trạm_biến_áp13"/>
      <sheetName val="Đơn_Giá_13"/>
      <sheetName val="Chenh_lech_vat_tu13"/>
      <sheetName val="Diện_tích13"/>
      <sheetName val="1_Khái_toán13"/>
      <sheetName val="TONG_HOP_T5_199813"/>
      <sheetName val="DG_DZ14"/>
      <sheetName val="DG_TBA14"/>
      <sheetName val="CT-0_4KV13"/>
      <sheetName val="rate_material13"/>
      <sheetName val="KL_Chi_tiết_Xây_tô13"/>
      <sheetName val="6PILE__(돌출)13"/>
      <sheetName val="Bill_1_Quy_dinh_chung13"/>
      <sheetName val="1_R18_BF13"/>
      <sheetName val="6_External_works-R1813"/>
      <sheetName val="HÐ_ngoài14"/>
      <sheetName val="EIRR&gt;_213"/>
      <sheetName val="Data_Input14"/>
      <sheetName val="Equipment_list_(PAC)13"/>
      <sheetName val="DETAIL_13"/>
      <sheetName val="DATA_BASE13"/>
      <sheetName val="Chi_tiet_KL13"/>
      <sheetName val="Tổng_hợp_KL13"/>
      <sheetName val="04_-_XUONG_DET_B13"/>
      <sheetName val="Area_Cal13"/>
      <sheetName val="07Base_Cost13"/>
      <sheetName val="Phan_khai_KLuong13"/>
      <sheetName val="_0313"/>
      <sheetName val="chieu_day_san13"/>
      <sheetName val="Podium_Concrete_Works13"/>
      <sheetName val="KLCT-_TOWER13"/>
      <sheetName val="KLCT-_PODIUM13"/>
      <sheetName val="Gia_thanh_chuoi_su13"/>
      <sheetName val="Tiep_dia13"/>
      <sheetName val="Don_gia_vung_III-Can_Tho13"/>
      <sheetName val="Bond_수수료_계산_포맷13"/>
      <sheetName val="ITB_COST13"/>
      <sheetName val="PAGE_113"/>
      <sheetName val="Loại_Vật_tư13"/>
      <sheetName val="DM_6713"/>
      <sheetName val="Đầu_tư13"/>
      <sheetName val="Xay_lapduongR313"/>
      <sheetName val="TINH_KHOI_LUONG13"/>
      <sheetName val="Bill_01_-_CTN13"/>
      <sheetName val="Bill_2_2_Villa_2_beds13"/>
      <sheetName val="gia_cong_tac13"/>
      <sheetName val="Project_Data13"/>
      <sheetName val="6787CWFASE2CASE2_00_xls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Tower_-_Concrete_Works13"/>
      <sheetName val="Bill-04_ket_cau_thap-_UNI13"/>
      <sheetName val="TH_Vat_tu13"/>
      <sheetName val="dg_tphcm13"/>
      <sheetName val="T_KÊ_K_CẤU13"/>
      <sheetName val="ESTI_13"/>
      <sheetName val="NHÀ_NHẬP_LIỆU12"/>
      <sheetName val="MÓNG_SILO12"/>
      <sheetName val="4_PTDG13"/>
      <sheetName val="A1,_May13"/>
      <sheetName val="Vat_lieu13"/>
      <sheetName val="Bang_trong_luong_rieng_thep13"/>
      <sheetName val="Harga_ME_13"/>
      <sheetName val="Analisa_Gabungan13"/>
      <sheetName val="Measure_130613"/>
      <sheetName val="KL_san_lap13"/>
      <sheetName val="bridge_#_113"/>
      <sheetName val="CẤP_THOÁT_NƯỚC13"/>
      <sheetName val="Cước_VC_+_ĐM_CP_Tư_vấn13"/>
      <sheetName val="Hệ_số13"/>
      <sheetName val="THDT_goi_thau_TB13"/>
      <sheetName val="Tien_do_TV13"/>
      <sheetName val="GV1-D13_(Casement_door)13"/>
      <sheetName val="Isolasi_Luar_Dalam13"/>
      <sheetName val="Isolasi_Luar13"/>
      <sheetName val="Chenh_lech_ca_may13"/>
      <sheetName val="TLg_CN&amp;Laixe13"/>
      <sheetName val="TLg_CN&amp;Laixe_(2)13"/>
      <sheetName val="TLg_Laitau13"/>
      <sheetName val="TLg_Laitau_(2)13"/>
      <sheetName val="CTKL_KTX_HT12"/>
      <sheetName val="Gia_vat_tu13"/>
      <sheetName val="TH_MTC13"/>
      <sheetName val="TH_N_Cong13"/>
      <sheetName val="_Bill_5-Earthing_2_-_Add_Work13"/>
      <sheetName val="Buy_vs__Lease_Car13"/>
      <sheetName val="Chi_tiet13"/>
      <sheetName val="HVAC_BLOCK_B413"/>
      <sheetName val="D_&amp;_W_sizes12"/>
      <sheetName val="Bang_3_Chi_tiet_phan_Dz13"/>
      <sheetName val="KHOI_LUONG13"/>
      <sheetName val="PRE_(E)13"/>
      <sheetName val="Budget_Code12"/>
      <sheetName val="CP_Khac_cuoc_VC12"/>
      <sheetName val="subcon_sched13"/>
      <sheetName val="2_Chiet_tinh12"/>
      <sheetName val="BẢNG_KHỐI_LƯỢNG_TỔNG_HỢP12"/>
      <sheetName val="Tong_du_toan12"/>
      <sheetName val="Bill_2_-_ketcau12"/>
      <sheetName val="13-Cốt_thép_(10mm&lt;D≤18mm)_FO112"/>
      <sheetName val="du_lieu_du_toan12"/>
      <sheetName val="Chi_tiet_lan_can12"/>
      <sheetName val="BOQ_THAN12"/>
      <sheetName val="DL_ĐẦU_VÀO12"/>
      <sheetName val="Analisa_&amp;_Upah12"/>
      <sheetName val="Du_lieu13"/>
      <sheetName val="Phan_tich12"/>
      <sheetName val="Luong_NII12"/>
      <sheetName val="DINH_MUC_THI_NGHIEM12"/>
      <sheetName val="Luong_NI12"/>
      <sheetName val="CT_Thang_Mo12"/>
      <sheetName val="CT__PL12"/>
      <sheetName val="dongia__2_12"/>
      <sheetName val="Thép_CKN12"/>
      <sheetName val="GOC-KO_IN12"/>
      <sheetName val="Móng,_nền_10"/>
      <sheetName val="Nhap_VT_oto10"/>
      <sheetName val="dm_36610"/>
      <sheetName val="DM_606010"/>
      <sheetName val="MAU_8A12"/>
      <sheetName val="MAU_8B12"/>
      <sheetName val="MAU_912"/>
      <sheetName val="MAU_1012"/>
      <sheetName val="cash_budget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DK1_Don_gia12"/>
      <sheetName val="Dự_thầu10"/>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khong_in)12"/>
      <sheetName val="1_MONG_1-212"/>
      <sheetName val="AG_Pipe_Qty_Analysis10"/>
      <sheetName val="wk_prgs10"/>
      <sheetName val="Ma_don_vi10"/>
      <sheetName val="bang_cc10"/>
      <sheetName val="DG_14269"/>
      <sheetName val="TH_TN10"/>
      <sheetName val="Bill_No_3_-_Prov__Sum_(Ph2&amp;3)10"/>
      <sheetName val="Du_tru_CP-Bieu_0110"/>
      <sheetName val="TB_NẶNG10"/>
      <sheetName val="Hao_phí10"/>
      <sheetName val="Ｎｏ_1310"/>
      <sheetName val="DGchitiet_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đọc_số10"/>
      <sheetName val="TK_chi_tiet10"/>
      <sheetName val="Bill_2-Road_HR210"/>
      <sheetName val="Bill_3_-_Softscape_HR210"/>
      <sheetName val="2_1Warehouse_110"/>
      <sheetName val="HỆ_THỐNG_PHÒNG_CHÁY_CHỮA_CHÁY10"/>
      <sheetName val="HỆ_THỐNG_CẤP_THOÁT_NƯỚC10"/>
      <sheetName val="HỆ_THỐNG_ĐHKK10"/>
      <sheetName val="MÁY_PHÁT_ĐIỆN10"/>
      <sheetName val="HỆ_THỐNG_ĐIỆN10"/>
      <sheetName val="Thiết_bị_chính10"/>
      <sheetName val="Structure_data10"/>
      <sheetName val="CP_Du_phong10"/>
      <sheetName val="Tong_hop_kinh_phi10"/>
      <sheetName val="CP_HMC10"/>
      <sheetName val="CHI_PHI10"/>
      <sheetName val="Precios_unitarios_AXH9"/>
      <sheetName val="Chi_tiet_-tong_9_thang9"/>
      <sheetName val="THEP_TAM10"/>
      <sheetName val="THEP_HÌNH10"/>
      <sheetName val="THEP_HINH10"/>
      <sheetName val="XA_GO10"/>
      <sheetName val="BANG_TRA10"/>
      <sheetName val="CĂN_HỘ_T16-17_10"/>
      <sheetName val="TRỤC_ĐỨNG_THOÁT_BẨN_T15-1710"/>
      <sheetName val="TRỤC_ĐỨNG_TM_T15-1710"/>
      <sheetName val="1_Requisition(E)10"/>
      <sheetName val="Data_Wall10"/>
      <sheetName val="TONG_HOP10"/>
      <sheetName val="Tổng_GT10"/>
      <sheetName val="Chi_tiết_KL10"/>
      <sheetName val="ca_máy6"/>
      <sheetName val="khấu_trừ_phạt10"/>
      <sheetName val="GT__KHAU_TRU10"/>
      <sheetName val="HAO_HUT_VAT_TU_(2)10"/>
      <sheetName val="cao_độ10"/>
      <sheetName val="Dự_toán10"/>
      <sheetName val="Đơn_Giá_TH10"/>
      <sheetName val="Nhân_công10"/>
      <sheetName val="Phân_tích10"/>
      <sheetName val="C_P_Thiết_bị10"/>
      <sheetName val="T_H_Kinh_phí10"/>
      <sheetName val="Vật_tư10"/>
      <sheetName val="Trang_bìa10"/>
      <sheetName val="phan_tic_chi_tiet10"/>
      <sheetName val="Don_gia_chi_tiet_DIEN_29"/>
      <sheetName val="BẢNG_ÁP_GIÁ_(in)9"/>
      <sheetName val="NT_(KL)_IN9"/>
      <sheetName val="DOM_D29"/>
      <sheetName val="nhà_ăn9"/>
      <sheetName val="Công_nhật9"/>
      <sheetName val="btkt_cột9"/>
      <sheetName val="TH_VL,_NC,_DDHT_Thanhphuoc9"/>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gui_BKCT9"/>
      <sheetName val="1_2_Staff_Schedule9"/>
      <sheetName val="0__Input9"/>
      <sheetName val="Theo_doi_Doanh_thu_20179"/>
      <sheetName val="Bill_Prelim-CDT9"/>
      <sheetName val="Bill_BPTC-CDT9"/>
      <sheetName val="Chi_tiết_BPTC9"/>
      <sheetName val="Bill_BPTC-CDT_(PA_MCT_CDT)9"/>
      <sheetName val="Chi_tiết_BPTC_(PA_MCT_CDT)9"/>
      <sheetName val="KL_THEP__GIAM_DO_DUNG_COUPLER9"/>
      <sheetName val="01_KL_THÉP_NHẬP_VỀ9"/>
      <sheetName val="2__NT_VLDV9"/>
      <sheetName val="GHI_CHU9"/>
      <sheetName val="1_BB_LMHT9"/>
      <sheetName val="Gia_vat_lieu9"/>
      <sheetName val="3__CNT9"/>
      <sheetName val="unit_price_list(M)9"/>
      <sheetName val="Cotthep_NPT9"/>
      <sheetName val="vl_nc_mtc9"/>
      <sheetName val="Tong_hop_vat_tu9"/>
      <sheetName val="So_lieu_chung9"/>
      <sheetName val="Doi_so9"/>
      <sheetName val="1_Civil_(Org)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DM-VNT_ko_sd9"/>
      <sheetName val="1__Office9"/>
      <sheetName val="B3A_-_TOWER_A9"/>
      <sheetName val="Annex_B9"/>
      <sheetName val="Bê_tông_bảo_vệ9"/>
      <sheetName val="01__Data9"/>
      <sheetName val="Neo,_nối_cốt_thép_dầm,_cột9"/>
      <sheetName val="Uốn_móc_cốt_thép9"/>
      <sheetName val="Tiêu_chuẩn_cốt_thép9"/>
      <sheetName val="Bảng_đo_bóc_KL_OLK-099"/>
      <sheetName val="6_3_CHI_TIET_OLK-099"/>
      <sheetName val="KL_thep_lam_sat9"/>
      <sheetName val="Tien_Thuong9"/>
      <sheetName val="NC_XL_6T_cuoi_01_CTy9"/>
      <sheetName val="Data_-6T_dau9"/>
      <sheetName val="Cong_6T9"/>
      <sheetName val="TLG_Type9"/>
      <sheetName val="KHOI_LUONG15-4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1_San_9"/>
      <sheetName val="Dot_49"/>
      <sheetName val="Chi_phi_van_chuyen9"/>
      <sheetName val="Dgia_vat_tu9"/>
      <sheetName val="Don_gia_III9"/>
      <sheetName val="D÷_liÖu9"/>
      <sheetName val="TH_các_CC9"/>
      <sheetName val="HRG_BHN9"/>
      <sheetName val="CĂN_ĐH9"/>
      <sheetName val="Q_A01_2-Sh9"/>
      <sheetName val="2_CDPS9"/>
      <sheetName val="DM_336cai_tao9"/>
      <sheetName val="Danh_mục8"/>
      <sheetName val="Heso_DZ9"/>
      <sheetName val="DT_hợp_đồng8"/>
      <sheetName val="Bảng_KL_đợt_18"/>
      <sheetName val="Bieu_gia_HD8"/>
      <sheetName val="Div26_-_Elect9"/>
      <sheetName val="4_CĂN9"/>
      <sheetName val="7_Khau_tru_9"/>
      <sheetName val="DG_BINH_THUAN9"/>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Don_gia_NC9"/>
      <sheetName val="B-2__(DPP)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Financ__Overview8"/>
      <sheetName val="13_BANG_CT8"/>
      <sheetName val="14_MMUS_GIUA_NHIP8"/>
      <sheetName val="4_HSPBngang8"/>
      <sheetName val="6_Tinh_tai8"/>
      <sheetName val="2_NSl8"/>
      <sheetName val="17_US_CHU_tho_a_b8"/>
      <sheetName val="15_MMUS_GOI8"/>
      <sheetName val="TINH_GIA_-_SAN_XUAT_Vertico8"/>
      <sheetName val="Huong_dan8"/>
      <sheetName val="gia_vt,nc,may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DZ_22KV8"/>
      <sheetName val="BTK-Dai_Hoc_Kien_Giang8"/>
      <sheetName val="PV_Graph_Data8"/>
      <sheetName val="doanh_thu8"/>
      <sheetName val="Dutoan_KL8"/>
      <sheetName val="Dinh_muc8"/>
      <sheetName val="5_2_1_Đo_bóc_KL_OLK-068"/>
      <sheetName val="Tổng_hợp_KPHM8"/>
      <sheetName val="GIÁ_DỰ_THẦU_30_CĂN8"/>
      <sheetName val="KS_tuyen8"/>
      <sheetName val="Bang_chiet_tinh_TBA8"/>
      <sheetName val="MB_DT_02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So_sanh8"/>
      <sheetName val="EQUIP_LIST8"/>
      <sheetName val="DG_Chi_tiet8"/>
      <sheetName val="_1710_HOINGHINLD8"/>
      <sheetName val="99_(2)8"/>
      <sheetName val="134_8"/>
      <sheetName val="DG_49708"/>
      <sheetName val="Electrical_Works8"/>
      <sheetName val="H_T__INCOMING_SYSTEM8"/>
      <sheetName val="THONG_SO8"/>
      <sheetName val="Đơn_giá_chi_tiết_TN_398"/>
      <sheetName val="DT__NHA_XUONG8"/>
      <sheetName val="4_2_1_Đo_bóc_KL_OLK-068"/>
      <sheetName val="4_1_1_CHI_TIET_OLK-068"/>
      <sheetName val="Gia_VT-TB8"/>
      <sheetName val="noi_suy_xa8"/>
      <sheetName val="noi_suy_xa_thu_hoi8"/>
      <sheetName val="Thuyết_minh8"/>
      <sheetName val="Đơn_giá_máy8"/>
      <sheetName val="Tính_giá_NC8"/>
      <sheetName val="SL_cước8"/>
      <sheetName val="BU_LONG8"/>
      <sheetName val="Tiên_lượng8"/>
      <sheetName val="¥_8"/>
      <sheetName val="Tong_DT7"/>
      <sheetName val="phan_tich_don_gia7"/>
      <sheetName val="Bill_No_1_68"/>
      <sheetName val="Bill_No_1_108"/>
      <sheetName val="Bill_No_3_38"/>
      <sheetName val="Bill_No_1_48"/>
      <sheetName val="Bill_No_1_78"/>
      <sheetName val="Summary_Bill_No__38"/>
      <sheetName val="Bán_đợt_1_trang7"/>
      <sheetName val="Unit_price7"/>
      <sheetName val="3__KC_-_PODIUM7"/>
      <sheetName val="Tien_Luong7"/>
      <sheetName val="Chiet_tinh_dz357"/>
      <sheetName val="Unit_price(Updateting)7"/>
      <sheetName val="Cost_List7"/>
      <sheetName val="Detail_Cost7"/>
      <sheetName val="IC_Price_New7"/>
      <sheetName val="Summary_Table7"/>
      <sheetName val="Sales_Person7"/>
      <sheetName val="Bidding_Entity7"/>
      <sheetName val="03_Detailed7"/>
      <sheetName val="01_Bid_Price_summary7"/>
      <sheetName val="Home_Office_Manhours7"/>
      <sheetName val="Field_SPV_Barchart7"/>
      <sheetName val="Breakdown_(B)7"/>
      <sheetName val="U_P_Breakdown7"/>
      <sheetName val="Luong_BN7"/>
      <sheetName val="Luong_TB7"/>
      <sheetName val="Ca_may_TB7"/>
      <sheetName val="Ca_máy_BN7"/>
      <sheetName val="Vật_liệu7"/>
      <sheetName val="Bù_giá_CM7"/>
      <sheetName val="LX_-TT057"/>
      <sheetName val="NC_Moi_TT057"/>
      <sheetName val="CHITIET_VL-NCHT1_(2)7"/>
      <sheetName val="Subsidiary_Calculation7"/>
      <sheetName val="THPDMoi__(2)3"/>
      <sheetName val="t-h_HA_THE3"/>
      <sheetName val="TH_XL3"/>
      <sheetName val="CHITIET_VL-NC3"/>
      <sheetName val="IMF_Code7"/>
      <sheetName val="Phu_Bai_Bridge7"/>
      <sheetName val="DT_san_XD-So_lieu_cu7"/>
      <sheetName val="FF-2_(1)7"/>
      <sheetName val="5_2_1_Đo_bóc_KL_OLK-107"/>
      <sheetName val="Bia_lot7"/>
      <sheetName val="don_gia_14267"/>
      <sheetName val="Cau_tao_gia_xay_to3"/>
      <sheetName val="SGC_RATE2"/>
      <sheetName val="Khai_toan2"/>
      <sheetName val="Phu_luc_01_1_EPC_P11-142"/>
      <sheetName val="TDT_P11-P142"/>
      <sheetName val="Chi_phi_khac_2"/>
      <sheetName val="Hang_muc_Chung2"/>
      <sheetName val="Bia_Phu_Luc2"/>
      <sheetName val="DATA_1_CHUNG2"/>
      <sheetName val="Muc_luc2"/>
      <sheetName val="Tra_cuu_9572"/>
      <sheetName val="Tru_TT2"/>
      <sheetName val="Thg_042"/>
      <sheetName val="Thg_052"/>
      <sheetName val="Thg_062"/>
      <sheetName val="Thg_072"/>
      <sheetName val="Thg_082"/>
      <sheetName val="Thg_092"/>
      <sheetName val="Thg_102"/>
      <sheetName val="Thg_112"/>
      <sheetName val="Thg_122"/>
      <sheetName val="Probbl_-_Production2"/>
      <sheetName val="Chu_dau_tu3"/>
      <sheetName val="DM_DU_AN2"/>
      <sheetName val="DM_TP_2"/>
      <sheetName val="File_Chi_tiet2"/>
      <sheetName val="Currency_Rate2"/>
      <sheetName val="THÔNG_TIN3"/>
      <sheetName val="Danh_mục_khối2"/>
      <sheetName val="Danh_mục_đơn_vị_-phòng_chức_nă2"/>
      <sheetName val="BẢNG_DIỄN_GIẢI_KL_(7)7"/>
      <sheetName val="Dashboard_-_BQL_-_VHL2"/>
      <sheetName val="2__BBNT_KLHT2"/>
      <sheetName val="Share_Price_20021"/>
      <sheetName val="w't_table2"/>
      <sheetName val="CHI_PHÍ_NHÔM2"/>
      <sheetName val="BILL_34Āᐁë2"/>
      <sheetName val="KEILA_TP_2020-072"/>
      <sheetName val="BOM-13_11-Other(PS1+PS2)2"/>
      <sheetName val="CHITIET_VL-NC-TT1p2"/>
      <sheetName val="NHOM_KINH1"/>
      <sheetName val="CFA_(ME)2"/>
      <sheetName val="MEP_Building2"/>
      <sheetName val="TH_khoi_luong2"/>
      <sheetName val="Chi_tiet_khoi_luong2"/>
      <sheetName val="TK_thep2"/>
      <sheetName val="CT_THOÁT_WC_VP2"/>
      <sheetName val="CT_CẤP_WC_VP2"/>
      <sheetName val="CT_THOÁT_MƯA_VP_TRỤC_LỚN2"/>
      <sheetName val="CT_THOÁT_MƯA_VP_TRỤC_NHỎ2"/>
      <sheetName val="LUONG_SCL2"/>
      <sheetName val="Service_Cost_1"/>
      <sheetName val="Don_gia_Tay_Ninh1"/>
      <sheetName val="Don_gia_Dak_Lak1"/>
      <sheetName val="streeta_and_cacth_pit1"/>
      <sheetName val="Daf_11"/>
      <sheetName val="Dinh_Muc_Vat_Tu2"/>
      <sheetName val="mã_2"/>
      <sheetName val="Chao_gia_T12_RE1"/>
      <sheetName val="Nhập_liệu"/>
      <sheetName val="Don_gia_XD1"/>
      <sheetName val="Chênh_lệch_máy_thi_công1"/>
      <sheetName val="Chênh_lệch_nhân_công1"/>
      <sheetName val="Chênh_lệch_vật_liệu1"/>
      <sheetName val="Auto_Monthly_Inputs_"/>
      <sheetName val="Gia_NC_theo_TT05"/>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Boc_KL_DAT+CAT+BT"/>
      <sheetName val="Boc_KL_thép"/>
      <sheetName val="Bieu_do_nhan_luc"/>
      <sheetName val="DSV6_Summ"/>
      <sheetName val="Luong_(TP_Việt_Trì)"/>
      <sheetName val="DG_"/>
      <sheetName val="Land_Dev't__Ph-1"/>
      <sheetName val="Hac_Lots"/>
      <sheetName val="4-Lane_bridge"/>
      <sheetName val="Res_Lots"/>
      <sheetName val="Spine_Road"/>
      <sheetName val="5_2_1_Đo_bóc_KL_OLK-07"/>
      <sheetName val="Define_finishing"/>
      <sheetName val="Bill_2"/>
      <sheetName val="Bill_3"/>
      <sheetName val="Bill_4a_-_1A"/>
      <sheetName val="Bill_4a_(Fiber)_-_1A"/>
      <sheetName val="Bill_4b"/>
      <sheetName val="Bill_4c"/>
      <sheetName val="Bill_5"/>
      <sheetName val="Bill_4a_-_1B"/>
      <sheetName val="Bill_4a_(Fiber)_-_1B"/>
      <sheetName val="PHẦN_KIẾN_TRÚC"/>
      <sheetName val="0_Data"/>
      <sheetName val="0_Data_new"/>
      <sheetName val="Aging_Sept1"/>
      <sheetName val="DGKL_TRỤC_NGOAI_NHA"/>
      <sheetName val="Dai_tu"/>
      <sheetName val="Sum_ELE__CAP_S1-4__"/>
      <sheetName val="Elemental_Breakdown+20%"/>
      <sheetName val="Cước_CG"/>
      <sheetName val="Cuoc_"/>
      <sheetName val="gia_chao"/>
      <sheetName val="Vat_lieu_BTN"/>
      <sheetName val="Input_-_Facilities"/>
      <sheetName val="BP_CAPEX_MoD-100%_Area_4_USD"/>
      <sheetName val="NC_CU"/>
      <sheetName val="BC_chi_tiết_TT"/>
      <sheetName val="MTO_REV_0"/>
      <sheetName val="XL4Poppy_(2)1"/>
      <sheetName val="So_sanh_gia"/>
      <sheetName val="Luong_2622EVN"/>
      <sheetName val="Khoi_luong_kenh_dan"/>
      <sheetName val="Thep_Be_TN(tai_C10)"/>
      <sheetName val="CONSOIDATE_4"/>
      <sheetName val="CONSOIDATE_2"/>
      <sheetName val="242_3_summaryOPC"/>
      <sheetName val="1_1General"/>
      <sheetName val="6__Scope_of_work_"/>
      <sheetName val="4_6_Phân_tích_nhân_sự_"/>
      <sheetName val="4_5_Mức_độ_tham_gia_dự_án"/>
      <sheetName val="TCVN_1651-2008"/>
      <sheetName val="Da_xay_dung"/>
      <sheetName val="DO_AM_DT"/>
      <sheetName val="01__Nha_xuong"/>
      <sheetName val="KL_T16_BÀN_GIAO_19_4"/>
      <sheetName val="_"/>
      <sheetName val="02__PHAN_TICH"/>
      <sheetName val="03__NGAN_SACH"/>
      <sheetName val="Gia_giao_VL_den_HT"/>
      <sheetName val="he_so_dong_thoi"/>
      <sheetName val="CT_-THVLNC"/>
      <sheetName val="0,SO_LIEU_DAU_VAO"/>
      <sheetName val="Thang_01"/>
      <sheetName val="Thống_kê"/>
      <sheetName val="BAN_IN"/>
      <sheetName val="1_설계조건"/>
      <sheetName val="F-4"/>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Inputs"/>
      <sheetName val="KeyMultInputs"/>
      <sheetName val="O1"/>
      <sheetName val="M1"/>
      <sheetName val="H1"/>
      <sheetName val="concil"/>
    </sheetNames>
    <sheetDataSet>
      <sheetData sheetId="0">
        <row r="9">
          <cell r="A9" t="str">
            <v>A</v>
          </cell>
        </row>
      </sheetData>
      <sheetData sheetId="1">
        <row r="9">
          <cell r="A9" t="str">
            <v>A</v>
          </cell>
        </row>
      </sheetData>
      <sheetData sheetId="2"/>
      <sheetData sheetId="3">
        <row r="9">
          <cell r="A9" t="str">
            <v>A</v>
          </cell>
        </row>
      </sheetData>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9">
          <cell r="A9" t="str">
            <v>A</v>
          </cell>
        </row>
      </sheetData>
      <sheetData sheetId="27">
        <row r="9">
          <cell r="A9" t="str">
            <v>A</v>
          </cell>
        </row>
      </sheetData>
      <sheetData sheetId="28"/>
      <sheetData sheetId="29">
        <row r="9">
          <cell r="A9" t="str">
            <v>A</v>
          </cell>
        </row>
      </sheetData>
      <sheetData sheetId="30">
        <row r="9">
          <cell r="A9" t="str">
            <v>A</v>
          </cell>
        </row>
      </sheetData>
      <sheetData sheetId="31">
        <row r="9">
          <cell r="A9" t="str">
            <v>A</v>
          </cell>
        </row>
      </sheetData>
      <sheetData sheetId="32">
        <row r="9">
          <cell r="A9" t="str">
            <v>A</v>
          </cell>
        </row>
      </sheetData>
      <sheetData sheetId="33">
        <row r="9">
          <cell r="A9" t="str">
            <v>A</v>
          </cell>
        </row>
      </sheetData>
      <sheetData sheetId="34" refreshError="1"/>
      <sheetData sheetId="35">
        <row r="9">
          <cell r="A9" t="str">
            <v>A</v>
          </cell>
        </row>
      </sheetData>
      <sheetData sheetId="36">
        <row r="9">
          <cell r="A9" t="str">
            <v>A</v>
          </cell>
        </row>
      </sheetData>
      <sheetData sheetId="37">
        <row r="9">
          <cell r="A9" t="str">
            <v>A</v>
          </cell>
        </row>
      </sheetData>
      <sheetData sheetId="38" refreshError="1"/>
      <sheetData sheetId="39">
        <row r="9">
          <cell r="A9" t="str">
            <v>A</v>
          </cell>
        </row>
      </sheetData>
      <sheetData sheetId="40">
        <row r="9">
          <cell r="A9" t="str">
            <v>A</v>
          </cell>
        </row>
      </sheetData>
      <sheetData sheetId="41">
        <row r="9">
          <cell r="A9" t="str">
            <v>A</v>
          </cell>
        </row>
      </sheetData>
      <sheetData sheetId="42">
        <row r="9">
          <cell r="A9" t="str">
            <v>A</v>
          </cell>
        </row>
      </sheetData>
      <sheetData sheetId="43">
        <row r="9">
          <cell r="A9" t="str">
            <v>A</v>
          </cell>
        </row>
      </sheetData>
      <sheetData sheetId="44">
        <row r="9">
          <cell r="A9" t="str">
            <v>A</v>
          </cell>
        </row>
      </sheetData>
      <sheetData sheetId="45">
        <row r="9">
          <cell r="A9" t="str">
            <v>A</v>
          </cell>
        </row>
      </sheetData>
      <sheetData sheetId="46">
        <row r="9">
          <cell r="A9" t="str">
            <v>A</v>
          </cell>
        </row>
      </sheetData>
      <sheetData sheetId="47" refreshError="1"/>
      <sheetData sheetId="48">
        <row r="9">
          <cell r="A9" t="str">
            <v>A</v>
          </cell>
        </row>
      </sheetData>
      <sheetData sheetId="49">
        <row r="9">
          <cell r="A9" t="str">
            <v>A</v>
          </cell>
        </row>
      </sheetData>
      <sheetData sheetId="50">
        <row r="9">
          <cell r="A9" t="str">
            <v>A</v>
          </cell>
        </row>
      </sheetData>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refreshError="1"/>
      <sheetData sheetId="187"/>
      <sheetData sheetId="188"/>
      <sheetData sheetId="189"/>
      <sheetData sheetId="190"/>
      <sheetData sheetId="191" refreshError="1"/>
      <sheetData sheetId="192"/>
      <sheetData sheetId="193" refreshError="1"/>
      <sheetData sheetId="194" refreshError="1"/>
      <sheetData sheetId="195" refreshError="1"/>
      <sheetData sheetId="196"/>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ow r="9">
          <cell r="A9" t="str">
            <v>A</v>
          </cell>
        </row>
      </sheetData>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row r="9">
          <cell r="A9" t="str">
            <v>A</v>
          </cell>
        </row>
      </sheetData>
      <sheetData sheetId="562"/>
      <sheetData sheetId="563"/>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refreshError="1"/>
      <sheetData sheetId="577">
        <row r="9">
          <cell r="A9" t="str">
            <v>A</v>
          </cell>
        </row>
      </sheetData>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ow r="9">
          <cell r="A9" t="str">
            <v>A</v>
          </cell>
        </row>
      </sheetData>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ow r="9">
          <cell r="A9" t="str">
            <v>A</v>
          </cell>
        </row>
      </sheetData>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ow r="9">
          <cell r="A9" t="str">
            <v>A</v>
          </cell>
        </row>
      </sheetData>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ow r="9">
          <cell r="A9" t="str">
            <v>A</v>
          </cell>
        </row>
      </sheetData>
      <sheetData sheetId="960">
        <row r="9">
          <cell r="A9" t="str">
            <v>A</v>
          </cell>
        </row>
      </sheetData>
      <sheetData sheetId="961">
        <row r="9">
          <cell r="A9" t="str">
            <v>A</v>
          </cell>
        </row>
      </sheetData>
      <sheetData sheetId="962">
        <row r="9">
          <cell r="A9" t="str">
            <v>A</v>
          </cell>
        </row>
      </sheetData>
      <sheetData sheetId="963">
        <row r="9">
          <cell r="A9" t="str">
            <v>A</v>
          </cell>
        </row>
      </sheetData>
      <sheetData sheetId="964">
        <row r="9">
          <cell r="A9" t="str">
            <v>A</v>
          </cell>
        </row>
      </sheetData>
      <sheetData sheetId="965">
        <row r="9">
          <cell r="A9" t="str">
            <v>A</v>
          </cell>
        </row>
      </sheetData>
      <sheetData sheetId="966">
        <row r="9">
          <cell r="A9" t="str">
            <v>A</v>
          </cell>
        </row>
      </sheetData>
      <sheetData sheetId="967">
        <row r="9">
          <cell r="A9" t="str">
            <v>A</v>
          </cell>
        </row>
      </sheetData>
      <sheetData sheetId="968">
        <row r="9">
          <cell r="A9" t="str">
            <v>A</v>
          </cell>
        </row>
      </sheetData>
      <sheetData sheetId="969">
        <row r="9">
          <cell r="A9" t="str">
            <v>A</v>
          </cell>
        </row>
      </sheetData>
      <sheetData sheetId="970">
        <row r="9">
          <cell r="A9" t="str">
            <v>A</v>
          </cell>
        </row>
      </sheetData>
      <sheetData sheetId="971">
        <row r="9">
          <cell r="A9" t="str">
            <v>A</v>
          </cell>
        </row>
      </sheetData>
      <sheetData sheetId="972">
        <row r="9">
          <cell r="A9" t="str">
            <v>A</v>
          </cell>
        </row>
      </sheetData>
      <sheetData sheetId="973">
        <row r="9">
          <cell r="A9" t="str">
            <v>A</v>
          </cell>
        </row>
      </sheetData>
      <sheetData sheetId="974">
        <row r="9">
          <cell r="A9" t="str">
            <v>A</v>
          </cell>
        </row>
      </sheetData>
      <sheetData sheetId="975">
        <row r="9">
          <cell r="A9" t="str">
            <v>A</v>
          </cell>
        </row>
      </sheetData>
      <sheetData sheetId="976">
        <row r="9">
          <cell r="A9" t="str">
            <v>A</v>
          </cell>
        </row>
      </sheetData>
      <sheetData sheetId="977">
        <row r="9">
          <cell r="A9" t="str">
            <v>A</v>
          </cell>
        </row>
      </sheetData>
      <sheetData sheetId="978">
        <row r="9">
          <cell r="A9" t="str">
            <v>A</v>
          </cell>
        </row>
      </sheetData>
      <sheetData sheetId="979">
        <row r="9">
          <cell r="A9" t="str">
            <v>A</v>
          </cell>
        </row>
      </sheetData>
      <sheetData sheetId="980">
        <row r="9">
          <cell r="A9" t="str">
            <v>A</v>
          </cell>
        </row>
      </sheetData>
      <sheetData sheetId="981">
        <row r="9">
          <cell r="A9" t="str">
            <v>A</v>
          </cell>
        </row>
      </sheetData>
      <sheetData sheetId="982">
        <row r="9">
          <cell r="A9" t="str">
            <v>A</v>
          </cell>
        </row>
      </sheetData>
      <sheetData sheetId="983">
        <row r="9">
          <cell r="A9" t="str">
            <v>A</v>
          </cell>
        </row>
      </sheetData>
      <sheetData sheetId="984">
        <row r="9">
          <cell r="A9" t="str">
            <v>A</v>
          </cell>
        </row>
      </sheetData>
      <sheetData sheetId="985">
        <row r="9">
          <cell r="A9" t="str">
            <v>A</v>
          </cell>
        </row>
      </sheetData>
      <sheetData sheetId="986">
        <row r="9">
          <cell r="A9" t="str">
            <v>A</v>
          </cell>
        </row>
      </sheetData>
      <sheetData sheetId="987">
        <row r="9">
          <cell r="A9" t="str">
            <v>A</v>
          </cell>
        </row>
      </sheetData>
      <sheetData sheetId="988">
        <row r="9">
          <cell r="A9" t="str">
            <v>A</v>
          </cell>
        </row>
      </sheetData>
      <sheetData sheetId="989">
        <row r="9">
          <cell r="A9" t="str">
            <v>A</v>
          </cell>
        </row>
      </sheetData>
      <sheetData sheetId="990">
        <row r="9">
          <cell r="A9" t="str">
            <v>A</v>
          </cell>
        </row>
      </sheetData>
      <sheetData sheetId="991">
        <row r="9">
          <cell r="A9" t="str">
            <v>A</v>
          </cell>
        </row>
      </sheetData>
      <sheetData sheetId="992">
        <row r="9">
          <cell r="A9" t="str">
            <v>A</v>
          </cell>
        </row>
      </sheetData>
      <sheetData sheetId="993">
        <row r="9">
          <cell r="A9" t="str">
            <v>A</v>
          </cell>
        </row>
      </sheetData>
      <sheetData sheetId="994">
        <row r="9">
          <cell r="A9" t="str">
            <v>A</v>
          </cell>
        </row>
      </sheetData>
      <sheetData sheetId="995">
        <row r="9">
          <cell r="A9" t="str">
            <v>A</v>
          </cell>
        </row>
      </sheetData>
      <sheetData sheetId="996">
        <row r="9">
          <cell r="A9" t="str">
            <v>A</v>
          </cell>
        </row>
      </sheetData>
      <sheetData sheetId="997">
        <row r="9">
          <cell r="A9" t="str">
            <v>A</v>
          </cell>
        </row>
      </sheetData>
      <sheetData sheetId="998">
        <row r="9">
          <cell r="A9" t="str">
            <v>A</v>
          </cell>
        </row>
      </sheetData>
      <sheetData sheetId="999">
        <row r="9">
          <cell r="A9" t="str">
            <v>A</v>
          </cell>
        </row>
      </sheetData>
      <sheetData sheetId="1000">
        <row r="9">
          <cell r="A9" t="str">
            <v>A</v>
          </cell>
        </row>
      </sheetData>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ow r="9">
          <cell r="A9" t="str">
            <v>A</v>
          </cell>
        </row>
      </sheetData>
      <sheetData sheetId="1023">
        <row r="9">
          <cell r="A9" t="str">
            <v>A</v>
          </cell>
        </row>
      </sheetData>
      <sheetData sheetId="1024">
        <row r="9">
          <cell r="A9" t="str">
            <v>A</v>
          </cell>
        </row>
      </sheetData>
      <sheetData sheetId="1025">
        <row r="9">
          <cell r="A9" t="str">
            <v>A</v>
          </cell>
        </row>
      </sheetData>
      <sheetData sheetId="1026">
        <row r="9">
          <cell r="A9" t="str">
            <v>A</v>
          </cell>
        </row>
      </sheetData>
      <sheetData sheetId="1027">
        <row r="9">
          <cell r="A9" t="str">
            <v>A</v>
          </cell>
        </row>
      </sheetData>
      <sheetData sheetId="1028">
        <row r="9">
          <cell r="A9" t="str">
            <v>A</v>
          </cell>
        </row>
      </sheetData>
      <sheetData sheetId="1029">
        <row r="9">
          <cell r="A9" t="str">
            <v>A</v>
          </cell>
        </row>
      </sheetData>
      <sheetData sheetId="1030">
        <row r="9">
          <cell r="A9" t="str">
            <v>A</v>
          </cell>
        </row>
      </sheetData>
      <sheetData sheetId="1031">
        <row r="9">
          <cell r="A9" t="str">
            <v>A</v>
          </cell>
        </row>
      </sheetData>
      <sheetData sheetId="1032">
        <row r="9">
          <cell r="A9" t="str">
            <v>A</v>
          </cell>
        </row>
      </sheetData>
      <sheetData sheetId="1033">
        <row r="9">
          <cell r="A9" t="str">
            <v>A</v>
          </cell>
        </row>
      </sheetData>
      <sheetData sheetId="1034">
        <row r="9">
          <cell r="A9" t="str">
            <v>A</v>
          </cell>
        </row>
      </sheetData>
      <sheetData sheetId="1035">
        <row r="9">
          <cell r="A9" t="str">
            <v>A</v>
          </cell>
        </row>
      </sheetData>
      <sheetData sheetId="1036">
        <row r="9">
          <cell r="A9" t="str">
            <v>A</v>
          </cell>
        </row>
      </sheetData>
      <sheetData sheetId="1037">
        <row r="9">
          <cell r="A9" t="str">
            <v>A</v>
          </cell>
        </row>
      </sheetData>
      <sheetData sheetId="1038">
        <row r="9">
          <cell r="A9" t="str">
            <v>A</v>
          </cell>
        </row>
      </sheetData>
      <sheetData sheetId="1039">
        <row r="9">
          <cell r="A9" t="str">
            <v>A</v>
          </cell>
        </row>
      </sheetData>
      <sheetData sheetId="1040">
        <row r="9">
          <cell r="A9" t="str">
            <v>A</v>
          </cell>
        </row>
      </sheetData>
      <sheetData sheetId="1041">
        <row r="9">
          <cell r="A9" t="str">
            <v>A</v>
          </cell>
        </row>
      </sheetData>
      <sheetData sheetId="1042">
        <row r="9">
          <cell r="A9" t="str">
            <v>A</v>
          </cell>
        </row>
      </sheetData>
      <sheetData sheetId="1043">
        <row r="9">
          <cell r="A9" t="str">
            <v>A</v>
          </cell>
        </row>
      </sheetData>
      <sheetData sheetId="1044">
        <row r="9">
          <cell r="A9" t="str">
            <v>A</v>
          </cell>
        </row>
      </sheetData>
      <sheetData sheetId="1045">
        <row r="9">
          <cell r="A9" t="str">
            <v>A</v>
          </cell>
        </row>
      </sheetData>
      <sheetData sheetId="1046">
        <row r="9">
          <cell r="A9" t="str">
            <v>A</v>
          </cell>
        </row>
      </sheetData>
      <sheetData sheetId="1047">
        <row r="9">
          <cell r="A9" t="str">
            <v>A</v>
          </cell>
        </row>
      </sheetData>
      <sheetData sheetId="1048">
        <row r="9">
          <cell r="A9" t="str">
            <v>A</v>
          </cell>
        </row>
      </sheetData>
      <sheetData sheetId="1049">
        <row r="9">
          <cell r="A9" t="str">
            <v>A</v>
          </cell>
        </row>
      </sheetData>
      <sheetData sheetId="1050">
        <row r="9">
          <cell r="A9" t="str">
            <v>A</v>
          </cell>
        </row>
      </sheetData>
      <sheetData sheetId="1051">
        <row r="9">
          <cell r="A9" t="str">
            <v>A</v>
          </cell>
        </row>
      </sheetData>
      <sheetData sheetId="1052">
        <row r="9">
          <cell r="A9" t="str">
            <v>A</v>
          </cell>
        </row>
      </sheetData>
      <sheetData sheetId="1053">
        <row r="9">
          <cell r="A9" t="str">
            <v>A</v>
          </cell>
        </row>
      </sheetData>
      <sheetData sheetId="1054">
        <row r="9">
          <cell r="A9" t="str">
            <v>A</v>
          </cell>
        </row>
      </sheetData>
      <sheetData sheetId="1055">
        <row r="9">
          <cell r="A9" t="str">
            <v>A</v>
          </cell>
        </row>
      </sheetData>
      <sheetData sheetId="1056">
        <row r="9">
          <cell r="A9" t="str">
            <v>A</v>
          </cell>
        </row>
      </sheetData>
      <sheetData sheetId="1057">
        <row r="9">
          <cell r="A9" t="str">
            <v>A</v>
          </cell>
        </row>
      </sheetData>
      <sheetData sheetId="1058">
        <row r="9">
          <cell r="A9" t="str">
            <v>A</v>
          </cell>
        </row>
      </sheetData>
      <sheetData sheetId="1059">
        <row r="9">
          <cell r="A9" t="str">
            <v>A</v>
          </cell>
        </row>
      </sheetData>
      <sheetData sheetId="1060">
        <row r="9">
          <cell r="A9" t="str">
            <v>A</v>
          </cell>
        </row>
      </sheetData>
      <sheetData sheetId="1061">
        <row r="9">
          <cell r="A9" t="str">
            <v>A</v>
          </cell>
        </row>
      </sheetData>
      <sheetData sheetId="1062">
        <row r="9">
          <cell r="A9" t="str">
            <v>A</v>
          </cell>
        </row>
      </sheetData>
      <sheetData sheetId="1063">
        <row r="9">
          <cell r="A9" t="str">
            <v>A</v>
          </cell>
        </row>
      </sheetData>
      <sheetData sheetId="1064">
        <row r="9">
          <cell r="A9" t="str">
            <v>A</v>
          </cell>
        </row>
      </sheetData>
      <sheetData sheetId="1065">
        <row r="9">
          <cell r="A9" t="str">
            <v>A</v>
          </cell>
        </row>
      </sheetData>
      <sheetData sheetId="1066">
        <row r="9">
          <cell r="A9" t="str">
            <v>A</v>
          </cell>
        </row>
      </sheetData>
      <sheetData sheetId="1067">
        <row r="9">
          <cell r="A9" t="str">
            <v>A</v>
          </cell>
        </row>
      </sheetData>
      <sheetData sheetId="1068">
        <row r="9">
          <cell r="A9" t="str">
            <v>A</v>
          </cell>
        </row>
      </sheetData>
      <sheetData sheetId="1069">
        <row r="9">
          <cell r="A9" t="str">
            <v>A</v>
          </cell>
        </row>
      </sheetData>
      <sheetData sheetId="1070">
        <row r="9">
          <cell r="A9" t="str">
            <v>A</v>
          </cell>
        </row>
      </sheetData>
      <sheetData sheetId="1071">
        <row r="9">
          <cell r="A9" t="str">
            <v>A</v>
          </cell>
        </row>
      </sheetData>
      <sheetData sheetId="1072">
        <row r="9">
          <cell r="A9" t="str">
            <v>A</v>
          </cell>
        </row>
      </sheetData>
      <sheetData sheetId="1073">
        <row r="9">
          <cell r="A9" t="str">
            <v>A</v>
          </cell>
        </row>
      </sheetData>
      <sheetData sheetId="1074">
        <row r="9">
          <cell r="A9" t="str">
            <v>A</v>
          </cell>
        </row>
      </sheetData>
      <sheetData sheetId="1075">
        <row r="9">
          <cell r="A9" t="str">
            <v>A</v>
          </cell>
        </row>
      </sheetData>
      <sheetData sheetId="1076">
        <row r="9">
          <cell r="A9" t="str">
            <v>A</v>
          </cell>
        </row>
      </sheetData>
      <sheetData sheetId="1077">
        <row r="9">
          <cell r="A9" t="str">
            <v>A</v>
          </cell>
        </row>
      </sheetData>
      <sheetData sheetId="1078">
        <row r="9">
          <cell r="A9" t="str">
            <v>A</v>
          </cell>
        </row>
      </sheetData>
      <sheetData sheetId="1079">
        <row r="9">
          <cell r="A9" t="str">
            <v>A</v>
          </cell>
        </row>
      </sheetData>
      <sheetData sheetId="1080">
        <row r="9">
          <cell r="A9" t="str">
            <v>A</v>
          </cell>
        </row>
      </sheetData>
      <sheetData sheetId="1081">
        <row r="9">
          <cell r="A9" t="str">
            <v>A</v>
          </cell>
        </row>
      </sheetData>
      <sheetData sheetId="1082">
        <row r="9">
          <cell r="A9" t="str">
            <v>A</v>
          </cell>
        </row>
      </sheetData>
      <sheetData sheetId="1083">
        <row r="9">
          <cell r="A9" t="str">
            <v>A</v>
          </cell>
        </row>
      </sheetData>
      <sheetData sheetId="1084">
        <row r="9">
          <cell r="A9" t="str">
            <v>A</v>
          </cell>
        </row>
      </sheetData>
      <sheetData sheetId="1085">
        <row r="9">
          <cell r="A9" t="str">
            <v>A</v>
          </cell>
        </row>
      </sheetData>
      <sheetData sheetId="1086">
        <row r="9">
          <cell r="A9" t="str">
            <v>A</v>
          </cell>
        </row>
      </sheetData>
      <sheetData sheetId="1087" refreshError="1"/>
      <sheetData sheetId="1088" refreshError="1"/>
      <sheetData sheetId="1089" refreshError="1"/>
      <sheetData sheetId="1090" refreshError="1"/>
      <sheetData sheetId="1091">
        <row r="9">
          <cell r="A9" t="str">
            <v>A</v>
          </cell>
        </row>
      </sheetData>
      <sheetData sheetId="1092" refreshError="1"/>
      <sheetData sheetId="1093" refreshError="1"/>
      <sheetData sheetId="1094" refreshError="1"/>
      <sheetData sheetId="1095" refreshError="1"/>
      <sheetData sheetId="1096" refreshError="1"/>
      <sheetData sheetId="1097" refreshError="1"/>
      <sheetData sheetId="1098">
        <row r="9">
          <cell r="A9" t="str">
            <v>A</v>
          </cell>
        </row>
      </sheetData>
      <sheetData sheetId="1099" refreshError="1"/>
      <sheetData sheetId="1100" refreshError="1"/>
      <sheetData sheetId="1101" refreshError="1"/>
      <sheetData sheetId="1102" refreshError="1"/>
      <sheetData sheetId="1103" refreshError="1"/>
      <sheetData sheetId="1104">
        <row r="9">
          <cell r="A9" t="str">
            <v>A</v>
          </cell>
        </row>
      </sheetData>
      <sheetData sheetId="1105">
        <row r="9">
          <cell r="A9" t="str">
            <v>A</v>
          </cell>
        </row>
      </sheetData>
      <sheetData sheetId="1106" refreshError="1"/>
      <sheetData sheetId="1107" refreshError="1"/>
      <sheetData sheetId="1108" refreshError="1"/>
      <sheetData sheetId="1109" refreshError="1"/>
      <sheetData sheetId="1110" refreshError="1"/>
      <sheetData sheetId="1111" refreshError="1"/>
      <sheetData sheetId="1112">
        <row r="9">
          <cell r="A9" t="str">
            <v>A</v>
          </cell>
        </row>
      </sheetData>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9">
          <cell r="A9" t="str">
            <v>A</v>
          </cell>
        </row>
      </sheetData>
      <sheetData sheetId="1127" refreshError="1"/>
      <sheetData sheetId="1128" refreshError="1"/>
      <sheetData sheetId="1129">
        <row r="9">
          <cell r="A9" t="str">
            <v>A</v>
          </cell>
        </row>
      </sheetData>
      <sheetData sheetId="1130">
        <row r="9">
          <cell r="A9" t="str">
            <v>A</v>
          </cell>
        </row>
      </sheetData>
      <sheetData sheetId="1131" refreshError="1"/>
      <sheetData sheetId="1132" refreshError="1"/>
      <sheetData sheetId="1133" refreshError="1"/>
      <sheetData sheetId="1134" refreshError="1"/>
      <sheetData sheetId="1135" refreshError="1"/>
      <sheetData sheetId="1136">
        <row r="9">
          <cell r="A9" t="str">
            <v>A</v>
          </cell>
        </row>
      </sheetData>
      <sheetData sheetId="1137">
        <row r="9">
          <cell r="A9" t="str">
            <v>A</v>
          </cell>
        </row>
      </sheetData>
      <sheetData sheetId="1138">
        <row r="9">
          <cell r="A9" t="str">
            <v>A</v>
          </cell>
        </row>
      </sheetData>
      <sheetData sheetId="1139">
        <row r="9">
          <cell r="A9" t="str">
            <v>A</v>
          </cell>
        </row>
      </sheetData>
      <sheetData sheetId="1140">
        <row r="9">
          <cell r="A9" t="str">
            <v>A</v>
          </cell>
        </row>
      </sheetData>
      <sheetData sheetId="1141">
        <row r="9">
          <cell r="A9" t="str">
            <v>A</v>
          </cell>
        </row>
      </sheetData>
      <sheetData sheetId="1142">
        <row r="9">
          <cell r="A9" t="str">
            <v>A</v>
          </cell>
        </row>
      </sheetData>
      <sheetData sheetId="1143">
        <row r="9">
          <cell r="A9" t="str">
            <v>A</v>
          </cell>
        </row>
      </sheetData>
      <sheetData sheetId="1144">
        <row r="9">
          <cell r="A9" t="str">
            <v>A</v>
          </cell>
        </row>
      </sheetData>
      <sheetData sheetId="1145">
        <row r="9">
          <cell r="A9" t="str">
            <v>A</v>
          </cell>
        </row>
      </sheetData>
      <sheetData sheetId="1146">
        <row r="9">
          <cell r="A9" t="str">
            <v>A</v>
          </cell>
        </row>
      </sheetData>
      <sheetData sheetId="1147">
        <row r="9">
          <cell r="A9" t="str">
            <v>A</v>
          </cell>
        </row>
      </sheetData>
      <sheetData sheetId="1148">
        <row r="9">
          <cell r="A9" t="str">
            <v>A</v>
          </cell>
        </row>
      </sheetData>
      <sheetData sheetId="1149">
        <row r="9">
          <cell r="A9" t="str">
            <v>A</v>
          </cell>
        </row>
      </sheetData>
      <sheetData sheetId="1150">
        <row r="9">
          <cell r="A9" t="str">
            <v>A</v>
          </cell>
        </row>
      </sheetData>
      <sheetData sheetId="1151">
        <row r="9">
          <cell r="A9" t="str">
            <v>A</v>
          </cell>
        </row>
      </sheetData>
      <sheetData sheetId="1152">
        <row r="9">
          <cell r="A9" t="str">
            <v>A</v>
          </cell>
        </row>
      </sheetData>
      <sheetData sheetId="1153">
        <row r="9">
          <cell r="A9" t="str">
            <v>A</v>
          </cell>
        </row>
      </sheetData>
      <sheetData sheetId="1154">
        <row r="9">
          <cell r="A9" t="str">
            <v>A</v>
          </cell>
        </row>
      </sheetData>
      <sheetData sheetId="1155">
        <row r="9">
          <cell r="A9" t="str">
            <v>A</v>
          </cell>
        </row>
      </sheetData>
      <sheetData sheetId="1156">
        <row r="9">
          <cell r="A9" t="str">
            <v>A</v>
          </cell>
        </row>
      </sheetData>
      <sheetData sheetId="1157">
        <row r="9">
          <cell r="A9" t="str">
            <v>A</v>
          </cell>
        </row>
      </sheetData>
      <sheetData sheetId="1158">
        <row r="9">
          <cell r="A9" t="str">
            <v>A</v>
          </cell>
        </row>
      </sheetData>
      <sheetData sheetId="1159">
        <row r="9">
          <cell r="A9" t="str">
            <v>A</v>
          </cell>
        </row>
      </sheetData>
      <sheetData sheetId="1160">
        <row r="9">
          <cell r="A9" t="str">
            <v>A</v>
          </cell>
        </row>
      </sheetData>
      <sheetData sheetId="1161">
        <row r="9">
          <cell r="A9" t="str">
            <v>A</v>
          </cell>
        </row>
      </sheetData>
      <sheetData sheetId="1162">
        <row r="9">
          <cell r="A9" t="str">
            <v>A</v>
          </cell>
        </row>
      </sheetData>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ow r="9">
          <cell r="A9" t="str">
            <v>A</v>
          </cell>
        </row>
      </sheetData>
      <sheetData sheetId="1207">
        <row r="9">
          <cell r="A9" t="str">
            <v>A</v>
          </cell>
        </row>
      </sheetData>
      <sheetData sheetId="1208">
        <row r="9">
          <cell r="A9" t="str">
            <v>A</v>
          </cell>
        </row>
      </sheetData>
      <sheetData sheetId="1209">
        <row r="9">
          <cell r="A9" t="str">
            <v>A</v>
          </cell>
        </row>
      </sheetData>
      <sheetData sheetId="1210">
        <row r="9">
          <cell r="A9" t="str">
            <v>A</v>
          </cell>
        </row>
      </sheetData>
      <sheetData sheetId="1211">
        <row r="9">
          <cell r="A9" t="str">
            <v>A</v>
          </cell>
        </row>
      </sheetData>
      <sheetData sheetId="1212">
        <row r="9">
          <cell r="A9" t="str">
            <v>A</v>
          </cell>
        </row>
      </sheetData>
      <sheetData sheetId="1213">
        <row r="9">
          <cell r="A9" t="str">
            <v>A</v>
          </cell>
        </row>
      </sheetData>
      <sheetData sheetId="1214">
        <row r="9">
          <cell r="A9" t="str">
            <v>A</v>
          </cell>
        </row>
      </sheetData>
      <sheetData sheetId="1215">
        <row r="9">
          <cell r="A9" t="str">
            <v>A</v>
          </cell>
        </row>
      </sheetData>
      <sheetData sheetId="1216">
        <row r="9">
          <cell r="A9" t="str">
            <v>A</v>
          </cell>
        </row>
      </sheetData>
      <sheetData sheetId="1217">
        <row r="9">
          <cell r="A9" t="str">
            <v>A</v>
          </cell>
        </row>
      </sheetData>
      <sheetData sheetId="1218">
        <row r="9">
          <cell r="A9" t="str">
            <v>A</v>
          </cell>
        </row>
      </sheetData>
      <sheetData sheetId="1219">
        <row r="9">
          <cell r="A9" t="str">
            <v>A</v>
          </cell>
        </row>
      </sheetData>
      <sheetData sheetId="1220">
        <row r="9">
          <cell r="A9" t="str">
            <v>A</v>
          </cell>
        </row>
      </sheetData>
      <sheetData sheetId="1221">
        <row r="9">
          <cell r="A9" t="str">
            <v>A</v>
          </cell>
        </row>
      </sheetData>
      <sheetData sheetId="1222">
        <row r="9">
          <cell r="A9" t="str">
            <v>A</v>
          </cell>
        </row>
      </sheetData>
      <sheetData sheetId="1223">
        <row r="9">
          <cell r="A9" t="str">
            <v>A</v>
          </cell>
        </row>
      </sheetData>
      <sheetData sheetId="1224">
        <row r="9">
          <cell r="A9" t="str">
            <v>A</v>
          </cell>
        </row>
      </sheetData>
      <sheetData sheetId="1225">
        <row r="9">
          <cell r="A9" t="str">
            <v>A</v>
          </cell>
        </row>
      </sheetData>
      <sheetData sheetId="1226">
        <row r="9">
          <cell r="A9" t="str">
            <v>A</v>
          </cell>
        </row>
      </sheetData>
      <sheetData sheetId="1227">
        <row r="9">
          <cell r="A9" t="str">
            <v>A</v>
          </cell>
        </row>
      </sheetData>
      <sheetData sheetId="1228">
        <row r="9">
          <cell r="A9" t="str">
            <v>A</v>
          </cell>
        </row>
      </sheetData>
      <sheetData sheetId="1229">
        <row r="9">
          <cell r="A9" t="str">
            <v>A</v>
          </cell>
        </row>
      </sheetData>
      <sheetData sheetId="1230">
        <row r="9">
          <cell r="A9" t="str">
            <v>A</v>
          </cell>
        </row>
      </sheetData>
      <sheetData sheetId="1231">
        <row r="9">
          <cell r="A9" t="str">
            <v>A</v>
          </cell>
        </row>
      </sheetData>
      <sheetData sheetId="1232">
        <row r="9">
          <cell r="A9" t="str">
            <v>A</v>
          </cell>
        </row>
      </sheetData>
      <sheetData sheetId="1233">
        <row r="9">
          <cell r="A9" t="str">
            <v>A</v>
          </cell>
        </row>
      </sheetData>
      <sheetData sheetId="1234">
        <row r="9">
          <cell r="A9" t="str">
            <v>A</v>
          </cell>
        </row>
      </sheetData>
      <sheetData sheetId="1235">
        <row r="9">
          <cell r="A9" t="str">
            <v>A</v>
          </cell>
        </row>
      </sheetData>
      <sheetData sheetId="1236">
        <row r="9">
          <cell r="A9" t="str">
            <v>A</v>
          </cell>
        </row>
      </sheetData>
      <sheetData sheetId="1237">
        <row r="9">
          <cell r="A9" t="str">
            <v>A</v>
          </cell>
        </row>
      </sheetData>
      <sheetData sheetId="1238">
        <row r="9">
          <cell r="A9" t="str">
            <v>A</v>
          </cell>
        </row>
      </sheetData>
      <sheetData sheetId="1239">
        <row r="9">
          <cell r="A9" t="str">
            <v>A</v>
          </cell>
        </row>
      </sheetData>
      <sheetData sheetId="1240">
        <row r="9">
          <cell r="A9" t="str">
            <v>A</v>
          </cell>
        </row>
      </sheetData>
      <sheetData sheetId="1241">
        <row r="9">
          <cell r="A9" t="str">
            <v>A</v>
          </cell>
        </row>
      </sheetData>
      <sheetData sheetId="1242">
        <row r="9">
          <cell r="A9" t="str">
            <v>A</v>
          </cell>
        </row>
      </sheetData>
      <sheetData sheetId="1243">
        <row r="9">
          <cell r="A9" t="str">
            <v>A</v>
          </cell>
        </row>
      </sheetData>
      <sheetData sheetId="1244">
        <row r="9">
          <cell r="A9" t="str">
            <v>A</v>
          </cell>
        </row>
      </sheetData>
      <sheetData sheetId="1245">
        <row r="9">
          <cell r="A9" t="str">
            <v>A</v>
          </cell>
        </row>
      </sheetData>
      <sheetData sheetId="1246">
        <row r="9">
          <cell r="A9" t="str">
            <v>A</v>
          </cell>
        </row>
      </sheetData>
      <sheetData sheetId="1247">
        <row r="9">
          <cell r="A9" t="str">
            <v>A</v>
          </cell>
        </row>
      </sheetData>
      <sheetData sheetId="1248">
        <row r="9">
          <cell r="A9" t="str">
            <v>A</v>
          </cell>
        </row>
      </sheetData>
      <sheetData sheetId="1249">
        <row r="9">
          <cell r="A9" t="str">
            <v>A</v>
          </cell>
        </row>
      </sheetData>
      <sheetData sheetId="1250">
        <row r="9">
          <cell r="A9" t="str">
            <v>A</v>
          </cell>
        </row>
      </sheetData>
      <sheetData sheetId="1251">
        <row r="9">
          <cell r="A9" t="str">
            <v>A</v>
          </cell>
        </row>
      </sheetData>
      <sheetData sheetId="1252">
        <row r="9">
          <cell r="A9" t="str">
            <v>A</v>
          </cell>
        </row>
      </sheetData>
      <sheetData sheetId="1253">
        <row r="9">
          <cell r="A9" t="str">
            <v>A</v>
          </cell>
        </row>
      </sheetData>
      <sheetData sheetId="1254">
        <row r="9">
          <cell r="A9" t="str">
            <v>A</v>
          </cell>
        </row>
      </sheetData>
      <sheetData sheetId="1255">
        <row r="9">
          <cell r="A9" t="str">
            <v>A</v>
          </cell>
        </row>
      </sheetData>
      <sheetData sheetId="1256" refreshError="1"/>
      <sheetData sheetId="1257" refreshError="1"/>
      <sheetData sheetId="1258" refreshError="1"/>
      <sheetData sheetId="1259" refreshError="1"/>
      <sheetData sheetId="1260" refreshError="1"/>
      <sheetData sheetId="1261" refreshError="1"/>
      <sheetData sheetId="1262">
        <row r="9">
          <cell r="A9" t="str">
            <v>A</v>
          </cell>
        </row>
      </sheetData>
      <sheetData sheetId="1263">
        <row r="9">
          <cell r="A9" t="str">
            <v>A</v>
          </cell>
        </row>
      </sheetData>
      <sheetData sheetId="1264">
        <row r="9">
          <cell r="A9" t="str">
            <v>A</v>
          </cell>
        </row>
      </sheetData>
      <sheetData sheetId="1265" refreshError="1"/>
      <sheetData sheetId="1266">
        <row r="9">
          <cell r="A9" t="str">
            <v>A</v>
          </cell>
        </row>
      </sheetData>
      <sheetData sheetId="1267" refreshError="1"/>
      <sheetData sheetId="1268">
        <row r="9">
          <cell r="A9" t="str">
            <v>A</v>
          </cell>
        </row>
      </sheetData>
      <sheetData sheetId="1269" refreshError="1"/>
      <sheetData sheetId="1270" refreshError="1"/>
      <sheetData sheetId="1271" refreshError="1"/>
      <sheetData sheetId="1272" refreshError="1"/>
      <sheetData sheetId="1273" refreshError="1"/>
      <sheetData sheetId="1274">
        <row r="9">
          <cell r="A9" t="str">
            <v>A</v>
          </cell>
        </row>
      </sheetData>
      <sheetData sheetId="1275">
        <row r="9">
          <cell r="A9" t="str">
            <v>A</v>
          </cell>
        </row>
      </sheetData>
      <sheetData sheetId="1276">
        <row r="9">
          <cell r="A9" t="str">
            <v>A</v>
          </cell>
        </row>
      </sheetData>
      <sheetData sheetId="1277" refreshError="1"/>
      <sheetData sheetId="1278" refreshError="1"/>
      <sheetData sheetId="1279" refreshError="1"/>
      <sheetData sheetId="1280">
        <row r="9">
          <cell r="A9" t="str">
            <v>A</v>
          </cell>
        </row>
      </sheetData>
      <sheetData sheetId="1281">
        <row r="9">
          <cell r="A9" t="str">
            <v>A</v>
          </cell>
        </row>
      </sheetData>
      <sheetData sheetId="1282" refreshError="1"/>
      <sheetData sheetId="1283" refreshError="1"/>
      <sheetData sheetId="1284">
        <row r="9">
          <cell r="A9" t="str">
            <v>A</v>
          </cell>
        </row>
      </sheetData>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ow r="9">
          <cell r="A9" t="str">
            <v>A</v>
          </cell>
        </row>
      </sheetData>
      <sheetData sheetId="1300">
        <row r="9">
          <cell r="A9" t="str">
            <v>A</v>
          </cell>
        </row>
      </sheetData>
      <sheetData sheetId="1301" refreshError="1"/>
      <sheetData sheetId="1302" refreshError="1"/>
      <sheetData sheetId="1303" refreshError="1"/>
      <sheetData sheetId="1304">
        <row r="9">
          <cell r="A9" t="str">
            <v>A</v>
          </cell>
        </row>
      </sheetData>
      <sheetData sheetId="1305" refreshError="1"/>
      <sheetData sheetId="1306">
        <row r="9">
          <cell r="A9" t="str">
            <v>A</v>
          </cell>
        </row>
      </sheetData>
      <sheetData sheetId="1307">
        <row r="9">
          <cell r="A9" t="str">
            <v>A</v>
          </cell>
        </row>
      </sheetData>
      <sheetData sheetId="1308">
        <row r="9">
          <cell r="A9" t="str">
            <v>A</v>
          </cell>
        </row>
      </sheetData>
      <sheetData sheetId="1309">
        <row r="9">
          <cell r="A9" t="str">
            <v>A</v>
          </cell>
        </row>
      </sheetData>
      <sheetData sheetId="1310">
        <row r="9">
          <cell r="A9" t="str">
            <v>A</v>
          </cell>
        </row>
      </sheetData>
      <sheetData sheetId="1311">
        <row r="9">
          <cell r="A9" t="str">
            <v>A</v>
          </cell>
        </row>
      </sheetData>
      <sheetData sheetId="1312">
        <row r="9">
          <cell r="A9" t="str">
            <v>A</v>
          </cell>
        </row>
      </sheetData>
      <sheetData sheetId="1313">
        <row r="9">
          <cell r="A9" t="str">
            <v>A</v>
          </cell>
        </row>
      </sheetData>
      <sheetData sheetId="1314">
        <row r="9">
          <cell r="A9" t="str">
            <v>A</v>
          </cell>
        </row>
      </sheetData>
      <sheetData sheetId="1315">
        <row r="9">
          <cell r="A9" t="str">
            <v>A</v>
          </cell>
        </row>
      </sheetData>
      <sheetData sheetId="1316">
        <row r="9">
          <cell r="A9" t="str">
            <v>A</v>
          </cell>
        </row>
      </sheetData>
      <sheetData sheetId="1317">
        <row r="9">
          <cell r="A9" t="str">
            <v>A</v>
          </cell>
        </row>
      </sheetData>
      <sheetData sheetId="1318">
        <row r="9">
          <cell r="A9" t="str">
            <v>A</v>
          </cell>
        </row>
      </sheetData>
      <sheetData sheetId="1319">
        <row r="9">
          <cell r="A9" t="str">
            <v>A</v>
          </cell>
        </row>
      </sheetData>
      <sheetData sheetId="1320">
        <row r="9">
          <cell r="A9" t="str">
            <v>A</v>
          </cell>
        </row>
      </sheetData>
      <sheetData sheetId="1321">
        <row r="9">
          <cell r="A9" t="str">
            <v>A</v>
          </cell>
        </row>
      </sheetData>
      <sheetData sheetId="1322">
        <row r="9">
          <cell r="A9" t="str">
            <v>A</v>
          </cell>
        </row>
      </sheetData>
      <sheetData sheetId="1323">
        <row r="9">
          <cell r="A9" t="str">
            <v>A</v>
          </cell>
        </row>
      </sheetData>
      <sheetData sheetId="1324">
        <row r="9">
          <cell r="A9" t="str">
            <v>A</v>
          </cell>
        </row>
      </sheetData>
      <sheetData sheetId="1325">
        <row r="9">
          <cell r="A9" t="str">
            <v>A</v>
          </cell>
        </row>
      </sheetData>
      <sheetData sheetId="1326">
        <row r="9">
          <cell r="A9" t="str">
            <v>A</v>
          </cell>
        </row>
      </sheetData>
      <sheetData sheetId="1327">
        <row r="9">
          <cell r="A9" t="str">
            <v>A</v>
          </cell>
        </row>
      </sheetData>
      <sheetData sheetId="1328">
        <row r="9">
          <cell r="A9" t="str">
            <v>A</v>
          </cell>
        </row>
      </sheetData>
      <sheetData sheetId="1329">
        <row r="9">
          <cell r="A9" t="str">
            <v>A</v>
          </cell>
        </row>
      </sheetData>
      <sheetData sheetId="1330">
        <row r="9">
          <cell r="A9" t="str">
            <v>A</v>
          </cell>
        </row>
      </sheetData>
      <sheetData sheetId="1331">
        <row r="9">
          <cell r="A9" t="str">
            <v>A</v>
          </cell>
        </row>
      </sheetData>
      <sheetData sheetId="1332">
        <row r="9">
          <cell r="A9" t="str">
            <v>A</v>
          </cell>
        </row>
      </sheetData>
      <sheetData sheetId="1333">
        <row r="9">
          <cell r="A9" t="str">
            <v>A</v>
          </cell>
        </row>
      </sheetData>
      <sheetData sheetId="1334">
        <row r="9">
          <cell r="A9" t="str">
            <v>A</v>
          </cell>
        </row>
      </sheetData>
      <sheetData sheetId="1335">
        <row r="9">
          <cell r="A9" t="str">
            <v>A</v>
          </cell>
        </row>
      </sheetData>
      <sheetData sheetId="1336">
        <row r="9">
          <cell r="A9" t="str">
            <v>A</v>
          </cell>
        </row>
      </sheetData>
      <sheetData sheetId="1337">
        <row r="9">
          <cell r="A9" t="str">
            <v>A</v>
          </cell>
        </row>
      </sheetData>
      <sheetData sheetId="1338">
        <row r="9">
          <cell r="A9" t="str">
            <v>A</v>
          </cell>
        </row>
      </sheetData>
      <sheetData sheetId="1339">
        <row r="9">
          <cell r="A9" t="str">
            <v>A</v>
          </cell>
        </row>
      </sheetData>
      <sheetData sheetId="1340">
        <row r="9">
          <cell r="A9" t="str">
            <v>A</v>
          </cell>
        </row>
      </sheetData>
      <sheetData sheetId="1341">
        <row r="9">
          <cell r="A9" t="str">
            <v>A</v>
          </cell>
        </row>
      </sheetData>
      <sheetData sheetId="1342">
        <row r="9">
          <cell r="A9" t="str">
            <v>A</v>
          </cell>
        </row>
      </sheetData>
      <sheetData sheetId="1343">
        <row r="9">
          <cell r="A9" t="str">
            <v>A</v>
          </cell>
        </row>
      </sheetData>
      <sheetData sheetId="1344">
        <row r="9">
          <cell r="A9" t="str">
            <v>A</v>
          </cell>
        </row>
      </sheetData>
      <sheetData sheetId="1345">
        <row r="9">
          <cell r="A9" t="str">
            <v>A</v>
          </cell>
        </row>
      </sheetData>
      <sheetData sheetId="1346">
        <row r="9">
          <cell r="A9" t="str">
            <v>A</v>
          </cell>
        </row>
      </sheetData>
      <sheetData sheetId="1347">
        <row r="9">
          <cell r="A9" t="str">
            <v>A</v>
          </cell>
        </row>
      </sheetData>
      <sheetData sheetId="1348">
        <row r="9">
          <cell r="A9" t="str">
            <v>A</v>
          </cell>
        </row>
      </sheetData>
      <sheetData sheetId="1349">
        <row r="9">
          <cell r="A9" t="str">
            <v>A</v>
          </cell>
        </row>
      </sheetData>
      <sheetData sheetId="1350">
        <row r="9">
          <cell r="A9" t="str">
            <v>A</v>
          </cell>
        </row>
      </sheetData>
      <sheetData sheetId="1351">
        <row r="9">
          <cell r="A9" t="str">
            <v>A</v>
          </cell>
        </row>
      </sheetData>
      <sheetData sheetId="1352">
        <row r="9">
          <cell r="A9" t="str">
            <v>A</v>
          </cell>
        </row>
      </sheetData>
      <sheetData sheetId="1353">
        <row r="9">
          <cell r="A9" t="str">
            <v>A</v>
          </cell>
        </row>
      </sheetData>
      <sheetData sheetId="1354">
        <row r="9">
          <cell r="A9" t="str">
            <v>A</v>
          </cell>
        </row>
      </sheetData>
      <sheetData sheetId="1355">
        <row r="9">
          <cell r="A9" t="str">
            <v>A</v>
          </cell>
        </row>
      </sheetData>
      <sheetData sheetId="1356">
        <row r="9">
          <cell r="A9" t="str">
            <v>A</v>
          </cell>
        </row>
      </sheetData>
      <sheetData sheetId="1357">
        <row r="9">
          <cell r="A9" t="str">
            <v>A</v>
          </cell>
        </row>
      </sheetData>
      <sheetData sheetId="1358">
        <row r="9">
          <cell r="A9" t="str">
            <v>A</v>
          </cell>
        </row>
      </sheetData>
      <sheetData sheetId="1359">
        <row r="9">
          <cell r="A9" t="str">
            <v>A</v>
          </cell>
        </row>
      </sheetData>
      <sheetData sheetId="1360">
        <row r="9">
          <cell r="A9" t="str">
            <v>A</v>
          </cell>
        </row>
      </sheetData>
      <sheetData sheetId="1361">
        <row r="9">
          <cell r="A9" t="str">
            <v>A</v>
          </cell>
        </row>
      </sheetData>
      <sheetData sheetId="1362">
        <row r="9">
          <cell r="A9" t="str">
            <v>A</v>
          </cell>
        </row>
      </sheetData>
      <sheetData sheetId="1363">
        <row r="9">
          <cell r="A9" t="str">
            <v>A</v>
          </cell>
        </row>
      </sheetData>
      <sheetData sheetId="1364">
        <row r="9">
          <cell r="A9" t="str">
            <v>A</v>
          </cell>
        </row>
      </sheetData>
      <sheetData sheetId="1365">
        <row r="9">
          <cell r="A9" t="str">
            <v>A</v>
          </cell>
        </row>
      </sheetData>
      <sheetData sheetId="1366">
        <row r="9">
          <cell r="A9" t="str">
            <v>A</v>
          </cell>
        </row>
      </sheetData>
      <sheetData sheetId="1367">
        <row r="9">
          <cell r="A9" t="str">
            <v>A</v>
          </cell>
        </row>
      </sheetData>
      <sheetData sheetId="1368">
        <row r="9">
          <cell r="A9" t="str">
            <v>A</v>
          </cell>
        </row>
      </sheetData>
      <sheetData sheetId="1369">
        <row r="9">
          <cell r="A9" t="str">
            <v>A</v>
          </cell>
        </row>
      </sheetData>
      <sheetData sheetId="1370">
        <row r="9">
          <cell r="A9" t="str">
            <v>A</v>
          </cell>
        </row>
      </sheetData>
      <sheetData sheetId="1371">
        <row r="9">
          <cell r="A9" t="str">
            <v>A</v>
          </cell>
        </row>
      </sheetData>
      <sheetData sheetId="1372">
        <row r="9">
          <cell r="A9" t="str">
            <v>A</v>
          </cell>
        </row>
      </sheetData>
      <sheetData sheetId="1373">
        <row r="9">
          <cell r="A9" t="str">
            <v>A</v>
          </cell>
        </row>
      </sheetData>
      <sheetData sheetId="1374">
        <row r="9">
          <cell r="A9" t="str">
            <v>A</v>
          </cell>
        </row>
      </sheetData>
      <sheetData sheetId="1375">
        <row r="9">
          <cell r="A9" t="str">
            <v>A</v>
          </cell>
        </row>
      </sheetData>
      <sheetData sheetId="1376">
        <row r="9">
          <cell r="A9" t="str">
            <v>A</v>
          </cell>
        </row>
      </sheetData>
      <sheetData sheetId="1377">
        <row r="9">
          <cell r="A9" t="str">
            <v>A</v>
          </cell>
        </row>
      </sheetData>
      <sheetData sheetId="1378">
        <row r="9">
          <cell r="A9" t="str">
            <v>A</v>
          </cell>
        </row>
      </sheetData>
      <sheetData sheetId="1379">
        <row r="9">
          <cell r="A9" t="str">
            <v>A</v>
          </cell>
        </row>
      </sheetData>
      <sheetData sheetId="1380">
        <row r="9">
          <cell r="A9" t="str">
            <v>A</v>
          </cell>
        </row>
      </sheetData>
      <sheetData sheetId="1381">
        <row r="9">
          <cell r="A9" t="str">
            <v>A</v>
          </cell>
        </row>
      </sheetData>
      <sheetData sheetId="1382">
        <row r="9">
          <cell r="A9" t="str">
            <v>A</v>
          </cell>
        </row>
      </sheetData>
      <sheetData sheetId="1383">
        <row r="9">
          <cell r="A9" t="str">
            <v>A</v>
          </cell>
        </row>
      </sheetData>
      <sheetData sheetId="1384">
        <row r="9">
          <cell r="A9" t="str">
            <v>A</v>
          </cell>
        </row>
      </sheetData>
      <sheetData sheetId="1385">
        <row r="9">
          <cell r="A9" t="str">
            <v>A</v>
          </cell>
        </row>
      </sheetData>
      <sheetData sheetId="1386">
        <row r="9">
          <cell r="A9" t="str">
            <v>A</v>
          </cell>
        </row>
      </sheetData>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row r="9">
          <cell r="A9" t="str">
            <v>A</v>
          </cell>
        </row>
      </sheetData>
      <sheetData sheetId="1394">
        <row r="9">
          <cell r="A9" t="str">
            <v>A</v>
          </cell>
        </row>
      </sheetData>
      <sheetData sheetId="1395">
        <row r="9">
          <cell r="A9" t="str">
            <v>A</v>
          </cell>
        </row>
      </sheetData>
      <sheetData sheetId="1396">
        <row r="9">
          <cell r="A9" t="str">
            <v>A</v>
          </cell>
        </row>
      </sheetData>
      <sheetData sheetId="1397">
        <row r="9">
          <cell r="A9" t="str">
            <v>A</v>
          </cell>
        </row>
      </sheetData>
      <sheetData sheetId="1398">
        <row r="9">
          <cell r="A9" t="str">
            <v>A</v>
          </cell>
        </row>
      </sheetData>
      <sheetData sheetId="1399">
        <row r="9">
          <cell r="A9" t="str">
            <v>A</v>
          </cell>
        </row>
      </sheetData>
      <sheetData sheetId="1400">
        <row r="9">
          <cell r="A9" t="str">
            <v>A</v>
          </cell>
        </row>
      </sheetData>
      <sheetData sheetId="1401">
        <row r="9">
          <cell r="A9" t="str">
            <v>A</v>
          </cell>
        </row>
      </sheetData>
      <sheetData sheetId="1402">
        <row r="9">
          <cell r="A9" t="str">
            <v>A</v>
          </cell>
        </row>
      </sheetData>
      <sheetData sheetId="1403">
        <row r="9">
          <cell r="A9" t="str">
            <v>A</v>
          </cell>
        </row>
      </sheetData>
      <sheetData sheetId="1404">
        <row r="9">
          <cell r="A9" t="str">
            <v>A</v>
          </cell>
        </row>
      </sheetData>
      <sheetData sheetId="1405">
        <row r="9">
          <cell r="A9" t="str">
            <v>A</v>
          </cell>
        </row>
      </sheetData>
      <sheetData sheetId="1406">
        <row r="9">
          <cell r="A9" t="str">
            <v>A</v>
          </cell>
        </row>
      </sheetData>
      <sheetData sheetId="1407">
        <row r="9">
          <cell r="A9" t="str">
            <v>A</v>
          </cell>
        </row>
      </sheetData>
      <sheetData sheetId="1408">
        <row r="9">
          <cell r="A9" t="str">
            <v>A</v>
          </cell>
        </row>
      </sheetData>
      <sheetData sheetId="1409">
        <row r="9">
          <cell r="A9" t="str">
            <v>A</v>
          </cell>
        </row>
      </sheetData>
      <sheetData sheetId="1410">
        <row r="9">
          <cell r="A9" t="str">
            <v>A</v>
          </cell>
        </row>
      </sheetData>
      <sheetData sheetId="1411">
        <row r="9">
          <cell r="A9" t="str">
            <v>A</v>
          </cell>
        </row>
      </sheetData>
      <sheetData sheetId="1412">
        <row r="9">
          <cell r="A9" t="str">
            <v>A</v>
          </cell>
        </row>
      </sheetData>
      <sheetData sheetId="1413">
        <row r="9">
          <cell r="A9" t="str">
            <v>A</v>
          </cell>
        </row>
      </sheetData>
      <sheetData sheetId="1414">
        <row r="9">
          <cell r="A9" t="str">
            <v>A</v>
          </cell>
        </row>
      </sheetData>
      <sheetData sheetId="1415">
        <row r="9">
          <cell r="A9" t="str">
            <v>A</v>
          </cell>
        </row>
      </sheetData>
      <sheetData sheetId="1416">
        <row r="9">
          <cell r="A9" t="str">
            <v>A</v>
          </cell>
        </row>
      </sheetData>
      <sheetData sheetId="1417">
        <row r="9">
          <cell r="A9" t="str">
            <v>A</v>
          </cell>
        </row>
      </sheetData>
      <sheetData sheetId="1418">
        <row r="9">
          <cell r="A9" t="str">
            <v>A</v>
          </cell>
        </row>
      </sheetData>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ow r="9">
          <cell r="A9" t="str">
            <v>A</v>
          </cell>
        </row>
      </sheetData>
      <sheetData sheetId="1424">
        <row r="9">
          <cell r="A9" t="str">
            <v>A</v>
          </cell>
        </row>
      </sheetData>
      <sheetData sheetId="1425">
        <row r="9">
          <cell r="A9" t="str">
            <v>A</v>
          </cell>
        </row>
      </sheetData>
      <sheetData sheetId="1426">
        <row r="9">
          <cell r="A9" t="str">
            <v>A</v>
          </cell>
        </row>
      </sheetData>
      <sheetData sheetId="1427">
        <row r="9">
          <cell r="A9" t="str">
            <v>A</v>
          </cell>
        </row>
      </sheetData>
      <sheetData sheetId="1428">
        <row r="9">
          <cell r="A9" t="str">
            <v>A</v>
          </cell>
        </row>
      </sheetData>
      <sheetData sheetId="1429">
        <row r="9">
          <cell r="A9" t="str">
            <v>A</v>
          </cell>
        </row>
      </sheetData>
      <sheetData sheetId="1430">
        <row r="9">
          <cell r="A9" t="str">
            <v>A</v>
          </cell>
        </row>
      </sheetData>
      <sheetData sheetId="1431">
        <row r="9">
          <cell r="A9" t="str">
            <v>A</v>
          </cell>
        </row>
      </sheetData>
      <sheetData sheetId="1432">
        <row r="9">
          <cell r="A9" t="str">
            <v>A</v>
          </cell>
        </row>
      </sheetData>
      <sheetData sheetId="1433">
        <row r="9">
          <cell r="A9" t="str">
            <v>A</v>
          </cell>
        </row>
      </sheetData>
      <sheetData sheetId="1434">
        <row r="9">
          <cell r="A9" t="str">
            <v>A</v>
          </cell>
        </row>
      </sheetData>
      <sheetData sheetId="1435">
        <row r="9">
          <cell r="A9" t="str">
            <v>A</v>
          </cell>
        </row>
      </sheetData>
      <sheetData sheetId="1436">
        <row r="9">
          <cell r="A9" t="str">
            <v>A</v>
          </cell>
        </row>
      </sheetData>
      <sheetData sheetId="1437">
        <row r="9">
          <cell r="A9" t="str">
            <v>A</v>
          </cell>
        </row>
      </sheetData>
      <sheetData sheetId="1438">
        <row r="9">
          <cell r="A9" t="str">
            <v>A</v>
          </cell>
        </row>
      </sheetData>
      <sheetData sheetId="1439">
        <row r="9">
          <cell r="A9" t="str">
            <v>A</v>
          </cell>
        </row>
      </sheetData>
      <sheetData sheetId="1440">
        <row r="9">
          <cell r="A9" t="str">
            <v>A</v>
          </cell>
        </row>
      </sheetData>
      <sheetData sheetId="1441">
        <row r="9">
          <cell r="A9" t="str">
            <v>A</v>
          </cell>
        </row>
      </sheetData>
      <sheetData sheetId="1442">
        <row r="9">
          <cell r="A9" t="str">
            <v>A</v>
          </cell>
        </row>
      </sheetData>
      <sheetData sheetId="1443">
        <row r="9">
          <cell r="A9" t="str">
            <v>A</v>
          </cell>
        </row>
      </sheetData>
      <sheetData sheetId="1444">
        <row r="9">
          <cell r="A9" t="str">
            <v>A</v>
          </cell>
        </row>
      </sheetData>
      <sheetData sheetId="1445">
        <row r="9">
          <cell r="A9" t="str">
            <v>A</v>
          </cell>
        </row>
      </sheetData>
      <sheetData sheetId="1446">
        <row r="9">
          <cell r="A9" t="str">
            <v>A</v>
          </cell>
        </row>
      </sheetData>
      <sheetData sheetId="1447" refreshError="1"/>
      <sheetData sheetId="1448" refreshError="1"/>
      <sheetData sheetId="1449" refreshError="1"/>
      <sheetData sheetId="1450">
        <row r="9">
          <cell r="A9" t="str">
            <v>A</v>
          </cell>
        </row>
      </sheetData>
      <sheetData sheetId="1451" refreshError="1"/>
      <sheetData sheetId="1452">
        <row r="9">
          <cell r="A9" t="str">
            <v>A</v>
          </cell>
        </row>
      </sheetData>
      <sheetData sheetId="1453" refreshError="1"/>
      <sheetData sheetId="1454">
        <row r="9">
          <cell r="A9" t="str">
            <v>A</v>
          </cell>
        </row>
      </sheetData>
      <sheetData sheetId="1455">
        <row r="9">
          <cell r="A9" t="str">
            <v>A</v>
          </cell>
        </row>
      </sheetData>
      <sheetData sheetId="1456">
        <row r="9">
          <cell r="A9" t="str">
            <v>A</v>
          </cell>
        </row>
      </sheetData>
      <sheetData sheetId="1457">
        <row r="9">
          <cell r="A9" t="str">
            <v>A</v>
          </cell>
        </row>
      </sheetData>
      <sheetData sheetId="1458">
        <row r="9">
          <cell r="A9" t="str">
            <v>A</v>
          </cell>
        </row>
      </sheetData>
      <sheetData sheetId="1459" refreshError="1"/>
      <sheetData sheetId="1460" refreshError="1"/>
      <sheetData sheetId="1461" refreshError="1"/>
      <sheetData sheetId="1462">
        <row r="9">
          <cell r="A9" t="str">
            <v>A</v>
          </cell>
        </row>
      </sheetData>
      <sheetData sheetId="1463">
        <row r="9">
          <cell r="A9" t="str">
            <v>A</v>
          </cell>
        </row>
      </sheetData>
      <sheetData sheetId="1464">
        <row r="9">
          <cell r="A9" t="str">
            <v>A</v>
          </cell>
        </row>
      </sheetData>
      <sheetData sheetId="1465" refreshError="1"/>
      <sheetData sheetId="1466" refreshError="1"/>
      <sheetData sheetId="1467">
        <row r="9">
          <cell r="A9" t="str">
            <v>A</v>
          </cell>
        </row>
      </sheetData>
      <sheetData sheetId="1468">
        <row r="9">
          <cell r="A9" t="str">
            <v>A</v>
          </cell>
        </row>
      </sheetData>
      <sheetData sheetId="1469" refreshError="1"/>
      <sheetData sheetId="1470">
        <row r="9">
          <cell r="A9" t="str">
            <v>A</v>
          </cell>
        </row>
      </sheetData>
      <sheetData sheetId="1471">
        <row r="9">
          <cell r="A9" t="str">
            <v>A</v>
          </cell>
        </row>
      </sheetData>
      <sheetData sheetId="1472">
        <row r="9">
          <cell r="A9" t="str">
            <v>A</v>
          </cell>
        </row>
      </sheetData>
      <sheetData sheetId="1473">
        <row r="9">
          <cell r="A9" t="str">
            <v>A</v>
          </cell>
        </row>
      </sheetData>
      <sheetData sheetId="1474">
        <row r="9">
          <cell r="A9" t="str">
            <v>A</v>
          </cell>
        </row>
      </sheetData>
      <sheetData sheetId="1475">
        <row r="9">
          <cell r="A9" t="str">
            <v>A</v>
          </cell>
        </row>
      </sheetData>
      <sheetData sheetId="1476">
        <row r="9">
          <cell r="A9" t="str">
            <v>A</v>
          </cell>
        </row>
      </sheetData>
      <sheetData sheetId="1477">
        <row r="9">
          <cell r="A9" t="str">
            <v>A</v>
          </cell>
        </row>
      </sheetData>
      <sheetData sheetId="1478">
        <row r="9">
          <cell r="A9" t="str">
            <v>A</v>
          </cell>
        </row>
      </sheetData>
      <sheetData sheetId="1479">
        <row r="9">
          <cell r="A9" t="str">
            <v>A</v>
          </cell>
        </row>
      </sheetData>
      <sheetData sheetId="1480">
        <row r="9">
          <cell r="A9" t="str">
            <v>A</v>
          </cell>
        </row>
      </sheetData>
      <sheetData sheetId="1481">
        <row r="9">
          <cell r="A9" t="str">
            <v>A</v>
          </cell>
        </row>
      </sheetData>
      <sheetData sheetId="1482">
        <row r="9">
          <cell r="A9" t="str">
            <v>A</v>
          </cell>
        </row>
      </sheetData>
      <sheetData sheetId="1483">
        <row r="9">
          <cell r="A9" t="str">
            <v>A</v>
          </cell>
        </row>
      </sheetData>
      <sheetData sheetId="1484" refreshError="1"/>
      <sheetData sheetId="1485">
        <row r="9">
          <cell r="A9" t="str">
            <v>A</v>
          </cell>
        </row>
      </sheetData>
      <sheetData sheetId="1486">
        <row r="9">
          <cell r="A9" t="str">
            <v>A</v>
          </cell>
        </row>
      </sheetData>
      <sheetData sheetId="1487">
        <row r="9">
          <cell r="A9" t="str">
            <v>A</v>
          </cell>
        </row>
      </sheetData>
      <sheetData sheetId="1488">
        <row r="9">
          <cell r="A9" t="str">
            <v>A</v>
          </cell>
        </row>
      </sheetData>
      <sheetData sheetId="1489" refreshError="1"/>
      <sheetData sheetId="1490" refreshError="1"/>
      <sheetData sheetId="1491">
        <row r="9">
          <cell r="A9" t="str">
            <v>A</v>
          </cell>
        </row>
      </sheetData>
      <sheetData sheetId="1492">
        <row r="9">
          <cell r="A9" t="str">
            <v>A</v>
          </cell>
        </row>
      </sheetData>
      <sheetData sheetId="1493">
        <row r="9">
          <cell r="A9" t="str">
            <v>A</v>
          </cell>
        </row>
      </sheetData>
      <sheetData sheetId="1494">
        <row r="9">
          <cell r="A9" t="str">
            <v>A</v>
          </cell>
        </row>
      </sheetData>
      <sheetData sheetId="1495">
        <row r="9">
          <cell r="A9" t="str">
            <v>A</v>
          </cell>
        </row>
      </sheetData>
      <sheetData sheetId="1496">
        <row r="9">
          <cell r="A9" t="str">
            <v>A</v>
          </cell>
        </row>
      </sheetData>
      <sheetData sheetId="1497" refreshError="1"/>
      <sheetData sheetId="1498">
        <row r="9">
          <cell r="A9" t="str">
            <v>A</v>
          </cell>
        </row>
      </sheetData>
      <sheetData sheetId="1499">
        <row r="9">
          <cell r="A9" t="str">
            <v>A</v>
          </cell>
        </row>
      </sheetData>
      <sheetData sheetId="1500">
        <row r="9">
          <cell r="A9" t="str">
            <v>A</v>
          </cell>
        </row>
      </sheetData>
      <sheetData sheetId="1501">
        <row r="9">
          <cell r="A9" t="str">
            <v>A</v>
          </cell>
        </row>
      </sheetData>
      <sheetData sheetId="1502">
        <row r="9">
          <cell r="A9" t="str">
            <v>A</v>
          </cell>
        </row>
      </sheetData>
      <sheetData sheetId="1503">
        <row r="9">
          <cell r="A9" t="str">
            <v>A</v>
          </cell>
        </row>
      </sheetData>
      <sheetData sheetId="1504">
        <row r="9">
          <cell r="A9" t="str">
            <v>A</v>
          </cell>
        </row>
      </sheetData>
      <sheetData sheetId="1505">
        <row r="9">
          <cell r="A9" t="str">
            <v>A</v>
          </cell>
        </row>
      </sheetData>
      <sheetData sheetId="1506">
        <row r="9">
          <cell r="A9" t="str">
            <v>A</v>
          </cell>
        </row>
      </sheetData>
      <sheetData sheetId="1507">
        <row r="9">
          <cell r="A9" t="str">
            <v>A</v>
          </cell>
        </row>
      </sheetData>
      <sheetData sheetId="1508">
        <row r="9">
          <cell r="A9" t="str">
            <v>A</v>
          </cell>
        </row>
      </sheetData>
      <sheetData sheetId="1509">
        <row r="9">
          <cell r="A9" t="str">
            <v>A</v>
          </cell>
        </row>
      </sheetData>
      <sheetData sheetId="1510">
        <row r="9">
          <cell r="A9" t="str">
            <v>A</v>
          </cell>
        </row>
      </sheetData>
      <sheetData sheetId="1511">
        <row r="9">
          <cell r="A9" t="str">
            <v>A</v>
          </cell>
        </row>
      </sheetData>
      <sheetData sheetId="1512">
        <row r="9">
          <cell r="A9" t="str">
            <v>A</v>
          </cell>
        </row>
      </sheetData>
      <sheetData sheetId="1513">
        <row r="9">
          <cell r="A9" t="str">
            <v>A</v>
          </cell>
        </row>
      </sheetData>
      <sheetData sheetId="1514">
        <row r="9">
          <cell r="A9" t="str">
            <v>A</v>
          </cell>
        </row>
      </sheetData>
      <sheetData sheetId="1515">
        <row r="9">
          <cell r="A9" t="str">
            <v>A</v>
          </cell>
        </row>
      </sheetData>
      <sheetData sheetId="1516">
        <row r="9">
          <cell r="A9" t="str">
            <v>A</v>
          </cell>
        </row>
      </sheetData>
      <sheetData sheetId="1517">
        <row r="9">
          <cell r="A9" t="str">
            <v>A</v>
          </cell>
        </row>
      </sheetData>
      <sheetData sheetId="1518">
        <row r="9">
          <cell r="A9" t="str">
            <v>A</v>
          </cell>
        </row>
      </sheetData>
      <sheetData sheetId="1519">
        <row r="9">
          <cell r="A9" t="str">
            <v>A</v>
          </cell>
        </row>
      </sheetData>
      <sheetData sheetId="1520">
        <row r="9">
          <cell r="A9" t="str">
            <v>A</v>
          </cell>
        </row>
      </sheetData>
      <sheetData sheetId="1521">
        <row r="9">
          <cell r="A9" t="str">
            <v>A</v>
          </cell>
        </row>
      </sheetData>
      <sheetData sheetId="1522">
        <row r="9">
          <cell r="A9" t="str">
            <v>A</v>
          </cell>
        </row>
      </sheetData>
      <sheetData sheetId="1523">
        <row r="9">
          <cell r="A9" t="str">
            <v>A</v>
          </cell>
        </row>
      </sheetData>
      <sheetData sheetId="1524">
        <row r="9">
          <cell r="A9" t="str">
            <v>A</v>
          </cell>
        </row>
      </sheetData>
      <sheetData sheetId="1525">
        <row r="9">
          <cell r="A9" t="str">
            <v>A</v>
          </cell>
        </row>
      </sheetData>
      <sheetData sheetId="1526">
        <row r="9">
          <cell r="A9" t="str">
            <v>A</v>
          </cell>
        </row>
      </sheetData>
      <sheetData sheetId="1527" refreshError="1"/>
      <sheetData sheetId="1528" refreshError="1"/>
      <sheetData sheetId="1529" refreshError="1"/>
      <sheetData sheetId="1530">
        <row r="9">
          <cell r="A9" t="str">
            <v>A</v>
          </cell>
        </row>
      </sheetData>
      <sheetData sheetId="1531">
        <row r="9">
          <cell r="A9" t="str">
            <v>A</v>
          </cell>
        </row>
      </sheetData>
      <sheetData sheetId="1532">
        <row r="9">
          <cell r="A9" t="str">
            <v>A</v>
          </cell>
        </row>
      </sheetData>
      <sheetData sheetId="1533">
        <row r="9">
          <cell r="A9" t="str">
            <v>A</v>
          </cell>
        </row>
      </sheetData>
      <sheetData sheetId="1534">
        <row r="9">
          <cell r="A9" t="str">
            <v>A</v>
          </cell>
        </row>
      </sheetData>
      <sheetData sheetId="1535">
        <row r="9">
          <cell r="A9" t="str">
            <v>A</v>
          </cell>
        </row>
      </sheetData>
      <sheetData sheetId="1536">
        <row r="9">
          <cell r="A9" t="str">
            <v>A</v>
          </cell>
        </row>
      </sheetData>
      <sheetData sheetId="1537">
        <row r="9">
          <cell r="A9" t="str">
            <v>A</v>
          </cell>
        </row>
      </sheetData>
      <sheetData sheetId="1538">
        <row r="9">
          <cell r="A9" t="str">
            <v>A</v>
          </cell>
        </row>
      </sheetData>
      <sheetData sheetId="1539">
        <row r="9">
          <cell r="A9" t="str">
            <v>A</v>
          </cell>
        </row>
      </sheetData>
      <sheetData sheetId="1540">
        <row r="9">
          <cell r="A9" t="str">
            <v>A</v>
          </cell>
        </row>
      </sheetData>
      <sheetData sheetId="1541">
        <row r="9">
          <cell r="A9" t="str">
            <v>A</v>
          </cell>
        </row>
      </sheetData>
      <sheetData sheetId="1542">
        <row r="9">
          <cell r="A9" t="str">
            <v>A</v>
          </cell>
        </row>
      </sheetData>
      <sheetData sheetId="1543">
        <row r="9">
          <cell r="A9" t="str">
            <v>A</v>
          </cell>
        </row>
      </sheetData>
      <sheetData sheetId="1544">
        <row r="9">
          <cell r="A9" t="str">
            <v>A</v>
          </cell>
        </row>
      </sheetData>
      <sheetData sheetId="1545">
        <row r="9">
          <cell r="A9" t="str">
            <v>A</v>
          </cell>
        </row>
      </sheetData>
      <sheetData sheetId="1546">
        <row r="9">
          <cell r="A9" t="str">
            <v>A</v>
          </cell>
        </row>
      </sheetData>
      <sheetData sheetId="1547">
        <row r="9">
          <cell r="A9" t="str">
            <v>A</v>
          </cell>
        </row>
      </sheetData>
      <sheetData sheetId="1548">
        <row r="9">
          <cell r="A9" t="str">
            <v>A</v>
          </cell>
        </row>
      </sheetData>
      <sheetData sheetId="1549">
        <row r="9">
          <cell r="A9" t="str">
            <v>A</v>
          </cell>
        </row>
      </sheetData>
      <sheetData sheetId="1550">
        <row r="9">
          <cell r="A9" t="str">
            <v>A</v>
          </cell>
        </row>
      </sheetData>
      <sheetData sheetId="1551">
        <row r="9">
          <cell r="A9" t="str">
            <v>A</v>
          </cell>
        </row>
      </sheetData>
      <sheetData sheetId="1552">
        <row r="9">
          <cell r="A9" t="str">
            <v>A</v>
          </cell>
        </row>
      </sheetData>
      <sheetData sheetId="1553">
        <row r="9">
          <cell r="A9" t="str">
            <v>A</v>
          </cell>
        </row>
      </sheetData>
      <sheetData sheetId="1554">
        <row r="9">
          <cell r="A9" t="str">
            <v>A</v>
          </cell>
        </row>
      </sheetData>
      <sheetData sheetId="1555">
        <row r="9">
          <cell r="A9" t="str">
            <v>A</v>
          </cell>
        </row>
      </sheetData>
      <sheetData sheetId="1556">
        <row r="9">
          <cell r="A9" t="str">
            <v>A</v>
          </cell>
        </row>
      </sheetData>
      <sheetData sheetId="1557">
        <row r="9">
          <cell r="A9" t="str">
            <v>A</v>
          </cell>
        </row>
      </sheetData>
      <sheetData sheetId="1558">
        <row r="9">
          <cell r="A9" t="str">
            <v>A</v>
          </cell>
        </row>
      </sheetData>
      <sheetData sheetId="1559">
        <row r="9">
          <cell r="A9" t="str">
            <v>A</v>
          </cell>
        </row>
      </sheetData>
      <sheetData sheetId="1560">
        <row r="9">
          <cell r="A9" t="str">
            <v>A</v>
          </cell>
        </row>
      </sheetData>
      <sheetData sheetId="1561">
        <row r="9">
          <cell r="A9" t="str">
            <v>A</v>
          </cell>
        </row>
      </sheetData>
      <sheetData sheetId="1562">
        <row r="9">
          <cell r="A9" t="str">
            <v>A</v>
          </cell>
        </row>
      </sheetData>
      <sheetData sheetId="1563">
        <row r="9">
          <cell r="A9" t="str">
            <v>A</v>
          </cell>
        </row>
      </sheetData>
      <sheetData sheetId="1564">
        <row r="9">
          <cell r="A9" t="str">
            <v>A</v>
          </cell>
        </row>
      </sheetData>
      <sheetData sheetId="1565">
        <row r="9">
          <cell r="A9" t="str">
            <v>A</v>
          </cell>
        </row>
      </sheetData>
      <sheetData sheetId="1566">
        <row r="9">
          <cell r="A9" t="str">
            <v>A</v>
          </cell>
        </row>
      </sheetData>
      <sheetData sheetId="1567">
        <row r="9">
          <cell r="A9" t="str">
            <v>A</v>
          </cell>
        </row>
      </sheetData>
      <sheetData sheetId="1568">
        <row r="9">
          <cell r="A9" t="str">
            <v>A</v>
          </cell>
        </row>
      </sheetData>
      <sheetData sheetId="1569">
        <row r="9">
          <cell r="A9" t="str">
            <v>A</v>
          </cell>
        </row>
      </sheetData>
      <sheetData sheetId="1570">
        <row r="9">
          <cell r="A9" t="str">
            <v>A</v>
          </cell>
        </row>
      </sheetData>
      <sheetData sheetId="1571">
        <row r="9">
          <cell r="A9" t="str">
            <v>A</v>
          </cell>
        </row>
      </sheetData>
      <sheetData sheetId="1572">
        <row r="9">
          <cell r="A9" t="str">
            <v>A</v>
          </cell>
        </row>
      </sheetData>
      <sheetData sheetId="1573">
        <row r="9">
          <cell r="A9" t="str">
            <v>A</v>
          </cell>
        </row>
      </sheetData>
      <sheetData sheetId="1574">
        <row r="9">
          <cell r="A9" t="str">
            <v>A</v>
          </cell>
        </row>
      </sheetData>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efreshError="1"/>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ow r="9">
          <cell r="A9" t="str">
            <v>A</v>
          </cell>
        </row>
      </sheetData>
      <sheetData sheetId="1713">
        <row r="9">
          <cell r="A9" t="str">
            <v>A</v>
          </cell>
        </row>
      </sheetData>
      <sheetData sheetId="1714" refreshError="1"/>
      <sheetData sheetId="1715" refreshError="1"/>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efreshError="1"/>
      <sheetData sheetId="1722" refreshError="1"/>
      <sheetData sheetId="1723" refreshError="1"/>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ow r="9">
          <cell r="A9" t="str">
            <v>A</v>
          </cell>
        </row>
      </sheetData>
      <sheetData sheetId="1799">
        <row r="9">
          <cell r="A9" t="str">
            <v>A</v>
          </cell>
        </row>
      </sheetData>
      <sheetData sheetId="1800">
        <row r="9">
          <cell r="A9" t="str">
            <v>A</v>
          </cell>
        </row>
      </sheetData>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ow r="9">
          <cell r="A9" t="str">
            <v>A</v>
          </cell>
        </row>
      </sheetData>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ow r="9">
          <cell r="A9" t="str">
            <v>A</v>
          </cell>
        </row>
      </sheetData>
      <sheetData sheetId="1840">
        <row r="9">
          <cell r="A9" t="str">
            <v>A</v>
          </cell>
        </row>
      </sheetData>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ow r="9">
          <cell r="A9" t="str">
            <v>A</v>
          </cell>
        </row>
      </sheetData>
      <sheetData sheetId="1854">
        <row r="9">
          <cell r="A9" t="str">
            <v>A</v>
          </cell>
        </row>
      </sheetData>
      <sheetData sheetId="1855" refreshError="1"/>
      <sheetData sheetId="1856" refreshError="1"/>
      <sheetData sheetId="1857" refreshError="1"/>
      <sheetData sheetId="1858">
        <row r="9">
          <cell r="A9" t="str">
            <v>A</v>
          </cell>
        </row>
      </sheetData>
      <sheetData sheetId="1859">
        <row r="9">
          <cell r="A9" t="str">
            <v>A</v>
          </cell>
        </row>
      </sheetData>
      <sheetData sheetId="1860" refreshError="1"/>
      <sheetData sheetId="1861" refreshError="1"/>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ow r="9">
          <cell r="A9" t="str">
            <v>A</v>
          </cell>
        </row>
      </sheetData>
      <sheetData sheetId="1909">
        <row r="9">
          <cell r="A9" t="str">
            <v>A</v>
          </cell>
        </row>
      </sheetData>
      <sheetData sheetId="1910">
        <row r="9">
          <cell r="A9" t="str">
            <v>A</v>
          </cell>
        </row>
      </sheetData>
      <sheetData sheetId="1911">
        <row r="9">
          <cell r="A9" t="str">
            <v>A</v>
          </cell>
        </row>
      </sheetData>
      <sheetData sheetId="1912">
        <row r="9">
          <cell r="A9" t="str">
            <v>A</v>
          </cell>
        </row>
      </sheetData>
      <sheetData sheetId="1913">
        <row r="9">
          <cell r="A9" t="str">
            <v>A</v>
          </cell>
        </row>
      </sheetData>
      <sheetData sheetId="1914" refreshError="1"/>
      <sheetData sheetId="1915" refreshError="1"/>
      <sheetData sheetId="1916" refreshError="1"/>
      <sheetData sheetId="1917">
        <row r="9">
          <cell r="A9" t="str">
            <v>A</v>
          </cell>
        </row>
      </sheetData>
      <sheetData sheetId="1918">
        <row r="9">
          <cell r="A9" t="str">
            <v>A</v>
          </cell>
        </row>
      </sheetData>
      <sheetData sheetId="1919">
        <row r="9">
          <cell r="A9" t="str">
            <v>A</v>
          </cell>
        </row>
      </sheetData>
      <sheetData sheetId="1920">
        <row r="9">
          <cell r="A9" t="str">
            <v>A</v>
          </cell>
        </row>
      </sheetData>
      <sheetData sheetId="1921">
        <row r="9">
          <cell r="A9" t="str">
            <v>A</v>
          </cell>
        </row>
      </sheetData>
      <sheetData sheetId="1922">
        <row r="9">
          <cell r="A9" t="str">
            <v>A</v>
          </cell>
        </row>
      </sheetData>
      <sheetData sheetId="1923">
        <row r="9">
          <cell r="A9" t="str">
            <v>A</v>
          </cell>
        </row>
      </sheetData>
      <sheetData sheetId="1924">
        <row r="9">
          <cell r="A9" t="str">
            <v>A</v>
          </cell>
        </row>
      </sheetData>
      <sheetData sheetId="1925">
        <row r="9">
          <cell r="A9" t="str">
            <v>A</v>
          </cell>
        </row>
      </sheetData>
      <sheetData sheetId="1926">
        <row r="9">
          <cell r="A9" t="str">
            <v>A</v>
          </cell>
        </row>
      </sheetData>
      <sheetData sheetId="1927">
        <row r="9">
          <cell r="A9" t="str">
            <v>A</v>
          </cell>
        </row>
      </sheetData>
      <sheetData sheetId="1928">
        <row r="9">
          <cell r="A9" t="str">
            <v>A</v>
          </cell>
        </row>
      </sheetData>
      <sheetData sheetId="1929">
        <row r="9">
          <cell r="A9" t="str">
            <v>A</v>
          </cell>
        </row>
      </sheetData>
      <sheetData sheetId="1930">
        <row r="9">
          <cell r="A9" t="str">
            <v>A</v>
          </cell>
        </row>
      </sheetData>
      <sheetData sheetId="1931">
        <row r="9">
          <cell r="A9" t="str">
            <v>A</v>
          </cell>
        </row>
      </sheetData>
      <sheetData sheetId="1932">
        <row r="9">
          <cell r="A9" t="str">
            <v>A</v>
          </cell>
        </row>
      </sheetData>
      <sheetData sheetId="1933">
        <row r="9">
          <cell r="A9" t="str">
            <v>A</v>
          </cell>
        </row>
      </sheetData>
      <sheetData sheetId="1934">
        <row r="9">
          <cell r="A9" t="str">
            <v>A</v>
          </cell>
        </row>
      </sheetData>
      <sheetData sheetId="1935">
        <row r="9">
          <cell r="A9" t="str">
            <v>A</v>
          </cell>
        </row>
      </sheetData>
      <sheetData sheetId="1936">
        <row r="9">
          <cell r="A9" t="str">
            <v>A</v>
          </cell>
        </row>
      </sheetData>
      <sheetData sheetId="1937">
        <row r="9">
          <cell r="A9" t="str">
            <v>A</v>
          </cell>
        </row>
      </sheetData>
      <sheetData sheetId="1938">
        <row r="9">
          <cell r="A9" t="str">
            <v>A</v>
          </cell>
        </row>
      </sheetData>
      <sheetData sheetId="1939">
        <row r="9">
          <cell r="A9" t="str">
            <v>A</v>
          </cell>
        </row>
      </sheetData>
      <sheetData sheetId="1940">
        <row r="9">
          <cell r="A9" t="str">
            <v>A</v>
          </cell>
        </row>
      </sheetData>
      <sheetData sheetId="1941">
        <row r="9">
          <cell r="A9" t="str">
            <v>A</v>
          </cell>
        </row>
      </sheetData>
      <sheetData sheetId="1942">
        <row r="9">
          <cell r="A9" t="str">
            <v>A</v>
          </cell>
        </row>
      </sheetData>
      <sheetData sheetId="1943">
        <row r="9">
          <cell r="A9" t="str">
            <v>A</v>
          </cell>
        </row>
      </sheetData>
      <sheetData sheetId="1944">
        <row r="9">
          <cell r="A9" t="str">
            <v>A</v>
          </cell>
        </row>
      </sheetData>
      <sheetData sheetId="1945">
        <row r="9">
          <cell r="A9" t="str">
            <v>A</v>
          </cell>
        </row>
      </sheetData>
      <sheetData sheetId="1946">
        <row r="9">
          <cell r="A9" t="str">
            <v>A</v>
          </cell>
        </row>
      </sheetData>
      <sheetData sheetId="1947">
        <row r="9">
          <cell r="A9" t="str">
            <v>A</v>
          </cell>
        </row>
      </sheetData>
      <sheetData sheetId="1948">
        <row r="9">
          <cell r="A9" t="str">
            <v>A</v>
          </cell>
        </row>
      </sheetData>
      <sheetData sheetId="1949">
        <row r="9">
          <cell r="A9" t="str">
            <v>A</v>
          </cell>
        </row>
      </sheetData>
      <sheetData sheetId="1950">
        <row r="9">
          <cell r="A9" t="str">
            <v>A</v>
          </cell>
        </row>
      </sheetData>
      <sheetData sheetId="1951">
        <row r="9">
          <cell r="A9" t="str">
            <v>A</v>
          </cell>
        </row>
      </sheetData>
      <sheetData sheetId="1952">
        <row r="9">
          <cell r="A9" t="str">
            <v>A</v>
          </cell>
        </row>
      </sheetData>
      <sheetData sheetId="1953">
        <row r="9">
          <cell r="A9" t="str">
            <v>A</v>
          </cell>
        </row>
      </sheetData>
      <sheetData sheetId="1954">
        <row r="9">
          <cell r="A9" t="str">
            <v>A</v>
          </cell>
        </row>
      </sheetData>
      <sheetData sheetId="1955">
        <row r="9">
          <cell r="A9" t="str">
            <v>A</v>
          </cell>
        </row>
      </sheetData>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ow r="9">
          <cell r="A9" t="str">
            <v>A</v>
          </cell>
        </row>
      </sheetData>
      <sheetData sheetId="1997">
        <row r="9">
          <cell r="A9" t="str">
            <v>A</v>
          </cell>
        </row>
      </sheetData>
      <sheetData sheetId="1998">
        <row r="9">
          <cell r="A9" t="str">
            <v>A</v>
          </cell>
        </row>
      </sheetData>
      <sheetData sheetId="1999">
        <row r="9">
          <cell r="A9" t="str">
            <v>A</v>
          </cell>
        </row>
      </sheetData>
      <sheetData sheetId="2000">
        <row r="9">
          <cell r="A9" t="str">
            <v>A</v>
          </cell>
        </row>
      </sheetData>
      <sheetData sheetId="2001">
        <row r="9">
          <cell r="A9" t="str">
            <v>A</v>
          </cell>
        </row>
      </sheetData>
      <sheetData sheetId="2002">
        <row r="9">
          <cell r="A9" t="str">
            <v>A</v>
          </cell>
        </row>
      </sheetData>
      <sheetData sheetId="2003">
        <row r="9">
          <cell r="A9" t="str">
            <v>A</v>
          </cell>
        </row>
      </sheetData>
      <sheetData sheetId="2004">
        <row r="9">
          <cell r="A9" t="str">
            <v>A</v>
          </cell>
        </row>
      </sheetData>
      <sheetData sheetId="2005">
        <row r="9">
          <cell r="A9" t="str">
            <v>A</v>
          </cell>
        </row>
      </sheetData>
      <sheetData sheetId="2006">
        <row r="9">
          <cell r="A9" t="str">
            <v>A</v>
          </cell>
        </row>
      </sheetData>
      <sheetData sheetId="2007">
        <row r="9">
          <cell r="A9" t="str">
            <v>A</v>
          </cell>
        </row>
      </sheetData>
      <sheetData sheetId="2008">
        <row r="9">
          <cell r="A9" t="str">
            <v>A</v>
          </cell>
        </row>
      </sheetData>
      <sheetData sheetId="2009">
        <row r="9">
          <cell r="A9" t="str">
            <v>A</v>
          </cell>
        </row>
      </sheetData>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efreshError="1"/>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efreshError="1"/>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ow r="9">
          <cell r="A9" t="str">
            <v>A</v>
          </cell>
        </row>
      </sheetData>
      <sheetData sheetId="2181">
        <row r="9">
          <cell r="A9" t="str">
            <v>A</v>
          </cell>
        </row>
      </sheetData>
      <sheetData sheetId="2182">
        <row r="9">
          <cell r="A9" t="str">
            <v>A</v>
          </cell>
        </row>
      </sheetData>
      <sheetData sheetId="2183">
        <row r="9">
          <cell r="A9" t="str">
            <v>A</v>
          </cell>
        </row>
      </sheetData>
      <sheetData sheetId="2184">
        <row r="9">
          <cell r="A9" t="str">
            <v>A</v>
          </cell>
        </row>
      </sheetData>
      <sheetData sheetId="2185">
        <row r="9">
          <cell r="A9" t="str">
            <v>A</v>
          </cell>
        </row>
      </sheetData>
      <sheetData sheetId="2186">
        <row r="9">
          <cell r="A9" t="str">
            <v>A</v>
          </cell>
        </row>
      </sheetData>
      <sheetData sheetId="2187">
        <row r="9">
          <cell r="A9" t="str">
            <v>A</v>
          </cell>
        </row>
      </sheetData>
      <sheetData sheetId="2188">
        <row r="9">
          <cell r="A9" t="str">
            <v>A</v>
          </cell>
        </row>
      </sheetData>
      <sheetData sheetId="2189">
        <row r="9">
          <cell r="A9" t="str">
            <v>A</v>
          </cell>
        </row>
      </sheetData>
      <sheetData sheetId="2190">
        <row r="9">
          <cell r="A9" t="str">
            <v>A</v>
          </cell>
        </row>
      </sheetData>
      <sheetData sheetId="2191">
        <row r="9">
          <cell r="A9" t="str">
            <v>A</v>
          </cell>
        </row>
      </sheetData>
      <sheetData sheetId="2192">
        <row r="9">
          <cell r="A9" t="str">
            <v>A</v>
          </cell>
        </row>
      </sheetData>
      <sheetData sheetId="2193">
        <row r="9">
          <cell r="A9" t="str">
            <v>A</v>
          </cell>
        </row>
      </sheetData>
      <sheetData sheetId="2194">
        <row r="9">
          <cell r="A9" t="str">
            <v>A</v>
          </cell>
        </row>
      </sheetData>
      <sheetData sheetId="2195">
        <row r="9">
          <cell r="A9" t="str">
            <v>A</v>
          </cell>
        </row>
      </sheetData>
      <sheetData sheetId="2196">
        <row r="9">
          <cell r="A9" t="str">
            <v>A</v>
          </cell>
        </row>
      </sheetData>
      <sheetData sheetId="2197">
        <row r="9">
          <cell r="A9" t="str">
            <v>A</v>
          </cell>
        </row>
      </sheetData>
      <sheetData sheetId="2198">
        <row r="9">
          <cell r="A9" t="str">
            <v>A</v>
          </cell>
        </row>
      </sheetData>
      <sheetData sheetId="2199">
        <row r="9">
          <cell r="A9" t="str">
            <v>A</v>
          </cell>
        </row>
      </sheetData>
      <sheetData sheetId="2200">
        <row r="9">
          <cell r="A9" t="str">
            <v>A</v>
          </cell>
        </row>
      </sheetData>
      <sheetData sheetId="2201">
        <row r="9">
          <cell r="A9" t="str">
            <v>A</v>
          </cell>
        </row>
      </sheetData>
      <sheetData sheetId="2202">
        <row r="9">
          <cell r="A9" t="str">
            <v>A</v>
          </cell>
        </row>
      </sheetData>
      <sheetData sheetId="2203">
        <row r="9">
          <cell r="A9" t="str">
            <v>A</v>
          </cell>
        </row>
      </sheetData>
      <sheetData sheetId="2204">
        <row r="9">
          <cell r="A9" t="str">
            <v>A</v>
          </cell>
        </row>
      </sheetData>
      <sheetData sheetId="2205">
        <row r="9">
          <cell r="A9" t="str">
            <v>A</v>
          </cell>
        </row>
      </sheetData>
      <sheetData sheetId="2206">
        <row r="9">
          <cell r="A9" t="str">
            <v>A</v>
          </cell>
        </row>
      </sheetData>
      <sheetData sheetId="2207">
        <row r="9">
          <cell r="A9" t="str">
            <v>A</v>
          </cell>
        </row>
      </sheetData>
      <sheetData sheetId="2208">
        <row r="9">
          <cell r="A9" t="str">
            <v>A</v>
          </cell>
        </row>
      </sheetData>
      <sheetData sheetId="2209">
        <row r="9">
          <cell r="A9" t="str">
            <v>A</v>
          </cell>
        </row>
      </sheetData>
      <sheetData sheetId="2210">
        <row r="9">
          <cell r="A9" t="str">
            <v>A</v>
          </cell>
        </row>
      </sheetData>
      <sheetData sheetId="2211">
        <row r="9">
          <cell r="A9" t="str">
            <v>A</v>
          </cell>
        </row>
      </sheetData>
      <sheetData sheetId="2212">
        <row r="9">
          <cell r="A9" t="str">
            <v>A</v>
          </cell>
        </row>
      </sheetData>
      <sheetData sheetId="2213">
        <row r="9">
          <cell r="A9" t="str">
            <v>A</v>
          </cell>
        </row>
      </sheetData>
      <sheetData sheetId="2214">
        <row r="9">
          <cell r="A9" t="str">
            <v>A</v>
          </cell>
        </row>
      </sheetData>
      <sheetData sheetId="2215">
        <row r="9">
          <cell r="A9" t="str">
            <v>A</v>
          </cell>
        </row>
      </sheetData>
      <sheetData sheetId="2216">
        <row r="9">
          <cell r="A9" t="str">
            <v>A</v>
          </cell>
        </row>
      </sheetData>
      <sheetData sheetId="2217">
        <row r="9">
          <cell r="A9" t="str">
            <v>A</v>
          </cell>
        </row>
      </sheetData>
      <sheetData sheetId="2218">
        <row r="9">
          <cell r="A9" t="str">
            <v>A</v>
          </cell>
        </row>
      </sheetData>
      <sheetData sheetId="2219">
        <row r="9">
          <cell r="A9" t="str">
            <v>A</v>
          </cell>
        </row>
      </sheetData>
      <sheetData sheetId="2220">
        <row r="9">
          <cell r="A9" t="str">
            <v>A</v>
          </cell>
        </row>
      </sheetData>
      <sheetData sheetId="2221">
        <row r="9">
          <cell r="A9" t="str">
            <v>A</v>
          </cell>
        </row>
      </sheetData>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ow r="9">
          <cell r="A9" t="str">
            <v>A</v>
          </cell>
        </row>
      </sheetData>
      <sheetData sheetId="2235">
        <row r="9">
          <cell r="A9" t="str">
            <v>A</v>
          </cell>
        </row>
      </sheetData>
      <sheetData sheetId="2236">
        <row r="9">
          <cell r="A9" t="str">
            <v>A</v>
          </cell>
        </row>
      </sheetData>
      <sheetData sheetId="2237">
        <row r="9">
          <cell r="A9" t="str">
            <v>A</v>
          </cell>
        </row>
      </sheetData>
      <sheetData sheetId="2238">
        <row r="9">
          <cell r="A9" t="str">
            <v>A</v>
          </cell>
        </row>
      </sheetData>
      <sheetData sheetId="2239">
        <row r="9">
          <cell r="A9" t="str">
            <v>A</v>
          </cell>
        </row>
      </sheetData>
      <sheetData sheetId="2240">
        <row r="9">
          <cell r="A9" t="str">
            <v>A</v>
          </cell>
        </row>
      </sheetData>
      <sheetData sheetId="2241">
        <row r="9">
          <cell r="A9" t="str">
            <v>A</v>
          </cell>
        </row>
      </sheetData>
      <sheetData sheetId="2242">
        <row r="9">
          <cell r="A9" t="str">
            <v>A</v>
          </cell>
        </row>
      </sheetData>
      <sheetData sheetId="2243">
        <row r="9">
          <cell r="A9" t="str">
            <v>A</v>
          </cell>
        </row>
      </sheetData>
      <sheetData sheetId="2244">
        <row r="9">
          <cell r="A9" t="str">
            <v>A</v>
          </cell>
        </row>
      </sheetData>
      <sheetData sheetId="2245">
        <row r="9">
          <cell r="A9" t="str">
            <v>A</v>
          </cell>
        </row>
      </sheetData>
      <sheetData sheetId="2246">
        <row r="9">
          <cell r="A9" t="str">
            <v>A</v>
          </cell>
        </row>
      </sheetData>
      <sheetData sheetId="2247">
        <row r="9">
          <cell r="A9" t="str">
            <v>A</v>
          </cell>
        </row>
      </sheetData>
      <sheetData sheetId="2248">
        <row r="9">
          <cell r="A9" t="str">
            <v>A</v>
          </cell>
        </row>
      </sheetData>
      <sheetData sheetId="2249" refreshError="1"/>
      <sheetData sheetId="2250" refreshError="1"/>
      <sheetData sheetId="2251"/>
      <sheetData sheetId="2252" refreshError="1"/>
      <sheetData sheetId="2253" refreshError="1"/>
      <sheetData sheetId="2254" refreshError="1"/>
      <sheetData sheetId="2255">
        <row r="9">
          <cell r="A9" t="str">
            <v>A</v>
          </cell>
        </row>
      </sheetData>
      <sheetData sheetId="2256" refreshError="1"/>
      <sheetData sheetId="2257">
        <row r="9">
          <cell r="A9" t="str">
            <v>A</v>
          </cell>
        </row>
      </sheetData>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ow r="9">
          <cell r="A9" t="str">
            <v>A</v>
          </cell>
        </row>
      </sheetData>
      <sheetData sheetId="2268"/>
      <sheetData sheetId="2269"/>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ow r="9">
          <cell r="A9" t="str">
            <v>A</v>
          </cell>
        </row>
      </sheetData>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ow r="9">
          <cell r="A9" t="str">
            <v>A</v>
          </cell>
        </row>
      </sheetData>
      <sheetData sheetId="2332">
        <row r="9">
          <cell r="A9" t="str">
            <v>A</v>
          </cell>
        </row>
      </sheetData>
      <sheetData sheetId="2333">
        <row r="9">
          <cell r="A9" t="str">
            <v>A</v>
          </cell>
        </row>
      </sheetData>
      <sheetData sheetId="2334">
        <row r="9">
          <cell r="A9" t="str">
            <v>A</v>
          </cell>
        </row>
      </sheetData>
      <sheetData sheetId="2335">
        <row r="9">
          <cell r="A9" t="str">
            <v>A</v>
          </cell>
        </row>
      </sheetData>
      <sheetData sheetId="2336">
        <row r="9">
          <cell r="A9" t="str">
            <v>A</v>
          </cell>
        </row>
      </sheetData>
      <sheetData sheetId="2337">
        <row r="9">
          <cell r="A9" t="str">
            <v>A</v>
          </cell>
        </row>
      </sheetData>
      <sheetData sheetId="2338">
        <row r="9">
          <cell r="A9" t="str">
            <v>A</v>
          </cell>
        </row>
      </sheetData>
      <sheetData sheetId="2339">
        <row r="9">
          <cell r="A9" t="str">
            <v>A</v>
          </cell>
        </row>
      </sheetData>
      <sheetData sheetId="2340">
        <row r="9">
          <cell r="A9" t="str">
            <v>A</v>
          </cell>
        </row>
      </sheetData>
      <sheetData sheetId="2341">
        <row r="9">
          <cell r="A9" t="str">
            <v>A</v>
          </cell>
        </row>
      </sheetData>
      <sheetData sheetId="2342">
        <row r="9">
          <cell r="A9" t="str">
            <v>A</v>
          </cell>
        </row>
      </sheetData>
      <sheetData sheetId="2343">
        <row r="9">
          <cell r="A9" t="str">
            <v>A</v>
          </cell>
        </row>
      </sheetData>
      <sheetData sheetId="2344">
        <row r="9">
          <cell r="A9" t="str">
            <v>A</v>
          </cell>
        </row>
      </sheetData>
      <sheetData sheetId="2345">
        <row r="9">
          <cell r="A9" t="str">
            <v>A</v>
          </cell>
        </row>
      </sheetData>
      <sheetData sheetId="2346">
        <row r="9">
          <cell r="A9" t="str">
            <v>A</v>
          </cell>
        </row>
      </sheetData>
      <sheetData sheetId="2347">
        <row r="9">
          <cell r="A9" t="str">
            <v>A</v>
          </cell>
        </row>
      </sheetData>
      <sheetData sheetId="2348">
        <row r="9">
          <cell r="A9" t="str">
            <v>A</v>
          </cell>
        </row>
      </sheetData>
      <sheetData sheetId="2349">
        <row r="9">
          <cell r="A9" t="str">
            <v>A</v>
          </cell>
        </row>
      </sheetData>
      <sheetData sheetId="2350">
        <row r="9">
          <cell r="A9" t="str">
            <v>A</v>
          </cell>
        </row>
      </sheetData>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ow r="9">
          <cell r="A9" t="str">
            <v>A</v>
          </cell>
        </row>
      </sheetData>
      <sheetData sheetId="2374">
        <row r="9">
          <cell r="A9" t="str">
            <v>A</v>
          </cell>
        </row>
      </sheetData>
      <sheetData sheetId="2375">
        <row r="9">
          <cell r="A9" t="str">
            <v>A</v>
          </cell>
        </row>
      </sheetData>
      <sheetData sheetId="2376">
        <row r="9">
          <cell r="A9" t="str">
            <v>A</v>
          </cell>
        </row>
      </sheetData>
      <sheetData sheetId="2377">
        <row r="9">
          <cell r="A9" t="str">
            <v>A</v>
          </cell>
        </row>
      </sheetData>
      <sheetData sheetId="2378">
        <row r="9">
          <cell r="A9" t="str">
            <v>A</v>
          </cell>
        </row>
      </sheetData>
      <sheetData sheetId="2379">
        <row r="9">
          <cell r="A9" t="str">
            <v>A</v>
          </cell>
        </row>
      </sheetData>
      <sheetData sheetId="2380">
        <row r="9">
          <cell r="A9" t="str">
            <v>A</v>
          </cell>
        </row>
      </sheetData>
      <sheetData sheetId="2381">
        <row r="9">
          <cell r="A9" t="str">
            <v>A</v>
          </cell>
        </row>
      </sheetData>
      <sheetData sheetId="2382">
        <row r="9">
          <cell r="A9" t="str">
            <v>A</v>
          </cell>
        </row>
      </sheetData>
      <sheetData sheetId="2383">
        <row r="9">
          <cell r="A9" t="str">
            <v>A</v>
          </cell>
        </row>
      </sheetData>
      <sheetData sheetId="2384">
        <row r="9">
          <cell r="A9" t="str">
            <v>A</v>
          </cell>
        </row>
      </sheetData>
      <sheetData sheetId="2385">
        <row r="9">
          <cell r="A9" t="str">
            <v>A</v>
          </cell>
        </row>
      </sheetData>
      <sheetData sheetId="2386">
        <row r="9">
          <cell r="A9" t="str">
            <v>A</v>
          </cell>
        </row>
      </sheetData>
      <sheetData sheetId="2387">
        <row r="9">
          <cell r="A9" t="str">
            <v>A</v>
          </cell>
        </row>
      </sheetData>
      <sheetData sheetId="2388">
        <row r="9">
          <cell r="A9" t="str">
            <v>A</v>
          </cell>
        </row>
      </sheetData>
      <sheetData sheetId="2389">
        <row r="9">
          <cell r="A9" t="str">
            <v>A</v>
          </cell>
        </row>
      </sheetData>
      <sheetData sheetId="2390">
        <row r="9">
          <cell r="A9" t="str">
            <v>A</v>
          </cell>
        </row>
      </sheetData>
      <sheetData sheetId="2391">
        <row r="9">
          <cell r="A9" t="str">
            <v>A</v>
          </cell>
        </row>
      </sheetData>
      <sheetData sheetId="2392">
        <row r="9">
          <cell r="A9" t="str">
            <v>A</v>
          </cell>
        </row>
      </sheetData>
      <sheetData sheetId="2393">
        <row r="9">
          <cell r="A9" t="str">
            <v>A</v>
          </cell>
        </row>
      </sheetData>
      <sheetData sheetId="2394">
        <row r="9">
          <cell r="A9" t="str">
            <v>A</v>
          </cell>
        </row>
      </sheetData>
      <sheetData sheetId="2395">
        <row r="9">
          <cell r="A9" t="str">
            <v>A</v>
          </cell>
        </row>
      </sheetData>
      <sheetData sheetId="2396">
        <row r="9">
          <cell r="A9" t="str">
            <v>A</v>
          </cell>
        </row>
      </sheetData>
      <sheetData sheetId="2397">
        <row r="9">
          <cell r="A9" t="str">
            <v>A</v>
          </cell>
        </row>
      </sheetData>
      <sheetData sheetId="2398">
        <row r="9">
          <cell r="A9" t="str">
            <v>A</v>
          </cell>
        </row>
      </sheetData>
      <sheetData sheetId="2399">
        <row r="9">
          <cell r="A9" t="str">
            <v>A</v>
          </cell>
        </row>
      </sheetData>
      <sheetData sheetId="2400">
        <row r="9">
          <cell r="A9" t="str">
            <v>A</v>
          </cell>
        </row>
      </sheetData>
      <sheetData sheetId="2401">
        <row r="9">
          <cell r="A9" t="str">
            <v>A</v>
          </cell>
        </row>
      </sheetData>
      <sheetData sheetId="2402">
        <row r="9">
          <cell r="A9" t="str">
            <v>A</v>
          </cell>
        </row>
      </sheetData>
      <sheetData sheetId="2403">
        <row r="9">
          <cell r="A9" t="str">
            <v>A</v>
          </cell>
        </row>
      </sheetData>
      <sheetData sheetId="2404">
        <row r="9">
          <cell r="A9" t="str">
            <v>A</v>
          </cell>
        </row>
      </sheetData>
      <sheetData sheetId="2405">
        <row r="9">
          <cell r="A9" t="str">
            <v>A</v>
          </cell>
        </row>
      </sheetData>
      <sheetData sheetId="2406">
        <row r="9">
          <cell r="A9" t="str">
            <v>A</v>
          </cell>
        </row>
      </sheetData>
      <sheetData sheetId="2407">
        <row r="9">
          <cell r="A9" t="str">
            <v>A</v>
          </cell>
        </row>
      </sheetData>
      <sheetData sheetId="2408">
        <row r="9">
          <cell r="A9" t="str">
            <v>A</v>
          </cell>
        </row>
      </sheetData>
      <sheetData sheetId="2409">
        <row r="9">
          <cell r="A9" t="str">
            <v>A</v>
          </cell>
        </row>
      </sheetData>
      <sheetData sheetId="2410">
        <row r="9">
          <cell r="A9" t="str">
            <v>A</v>
          </cell>
        </row>
      </sheetData>
      <sheetData sheetId="2411">
        <row r="9">
          <cell r="A9" t="str">
            <v>A</v>
          </cell>
        </row>
      </sheetData>
      <sheetData sheetId="2412">
        <row r="9">
          <cell r="A9" t="str">
            <v>A</v>
          </cell>
        </row>
      </sheetData>
      <sheetData sheetId="2413">
        <row r="9">
          <cell r="A9" t="str">
            <v>A</v>
          </cell>
        </row>
      </sheetData>
      <sheetData sheetId="2414">
        <row r="9">
          <cell r="A9" t="str">
            <v>A</v>
          </cell>
        </row>
      </sheetData>
      <sheetData sheetId="2415">
        <row r="9">
          <cell r="A9" t="str">
            <v>A</v>
          </cell>
        </row>
      </sheetData>
      <sheetData sheetId="2416">
        <row r="9">
          <cell r="A9" t="str">
            <v>A</v>
          </cell>
        </row>
      </sheetData>
      <sheetData sheetId="2417">
        <row r="9">
          <cell r="A9" t="str">
            <v>A</v>
          </cell>
        </row>
      </sheetData>
      <sheetData sheetId="2418">
        <row r="9">
          <cell r="A9" t="str">
            <v>A</v>
          </cell>
        </row>
      </sheetData>
      <sheetData sheetId="2419">
        <row r="9">
          <cell r="A9" t="str">
            <v>A</v>
          </cell>
        </row>
      </sheetData>
      <sheetData sheetId="2420">
        <row r="9">
          <cell r="A9" t="str">
            <v>A</v>
          </cell>
        </row>
      </sheetData>
      <sheetData sheetId="2421">
        <row r="9">
          <cell r="A9" t="str">
            <v>A</v>
          </cell>
        </row>
      </sheetData>
      <sheetData sheetId="2422">
        <row r="9">
          <cell r="A9" t="str">
            <v>A</v>
          </cell>
        </row>
      </sheetData>
      <sheetData sheetId="2423">
        <row r="9">
          <cell r="A9" t="str">
            <v>A</v>
          </cell>
        </row>
      </sheetData>
      <sheetData sheetId="2424">
        <row r="9">
          <cell r="A9" t="str">
            <v>A</v>
          </cell>
        </row>
      </sheetData>
      <sheetData sheetId="2425">
        <row r="9">
          <cell r="A9" t="str">
            <v>A</v>
          </cell>
        </row>
      </sheetData>
      <sheetData sheetId="2426">
        <row r="9">
          <cell r="A9" t="str">
            <v>A</v>
          </cell>
        </row>
      </sheetData>
      <sheetData sheetId="2427">
        <row r="9">
          <cell r="A9" t="str">
            <v>A</v>
          </cell>
        </row>
      </sheetData>
      <sheetData sheetId="2428">
        <row r="9">
          <cell r="A9" t="str">
            <v>A</v>
          </cell>
        </row>
      </sheetData>
      <sheetData sheetId="2429">
        <row r="9">
          <cell r="A9" t="str">
            <v>A</v>
          </cell>
        </row>
      </sheetData>
      <sheetData sheetId="2430">
        <row r="9">
          <cell r="A9" t="str">
            <v>A</v>
          </cell>
        </row>
      </sheetData>
      <sheetData sheetId="2431">
        <row r="9">
          <cell r="A9" t="str">
            <v>A</v>
          </cell>
        </row>
      </sheetData>
      <sheetData sheetId="2432">
        <row r="9">
          <cell r="A9" t="str">
            <v>A</v>
          </cell>
        </row>
      </sheetData>
      <sheetData sheetId="2433">
        <row r="9">
          <cell r="A9" t="str">
            <v>A</v>
          </cell>
        </row>
      </sheetData>
      <sheetData sheetId="2434">
        <row r="9">
          <cell r="A9" t="str">
            <v>A</v>
          </cell>
        </row>
      </sheetData>
      <sheetData sheetId="2435">
        <row r="9">
          <cell r="A9" t="str">
            <v>A</v>
          </cell>
        </row>
      </sheetData>
      <sheetData sheetId="2436">
        <row r="9">
          <cell r="A9" t="str">
            <v>A</v>
          </cell>
        </row>
      </sheetData>
      <sheetData sheetId="2437">
        <row r="9">
          <cell r="A9" t="str">
            <v>A</v>
          </cell>
        </row>
      </sheetData>
      <sheetData sheetId="2438">
        <row r="9">
          <cell r="A9" t="str">
            <v>A</v>
          </cell>
        </row>
      </sheetData>
      <sheetData sheetId="2439">
        <row r="9">
          <cell r="A9" t="str">
            <v>A</v>
          </cell>
        </row>
      </sheetData>
      <sheetData sheetId="2440">
        <row r="9">
          <cell r="A9" t="str">
            <v>A</v>
          </cell>
        </row>
      </sheetData>
      <sheetData sheetId="2441">
        <row r="9">
          <cell r="A9" t="str">
            <v>A</v>
          </cell>
        </row>
      </sheetData>
      <sheetData sheetId="2442">
        <row r="9">
          <cell r="A9" t="str">
            <v>A</v>
          </cell>
        </row>
      </sheetData>
      <sheetData sheetId="2443">
        <row r="9">
          <cell r="A9" t="str">
            <v>A</v>
          </cell>
        </row>
      </sheetData>
      <sheetData sheetId="2444">
        <row r="9">
          <cell r="A9" t="str">
            <v>A</v>
          </cell>
        </row>
      </sheetData>
      <sheetData sheetId="2445">
        <row r="9">
          <cell r="A9" t="str">
            <v>A</v>
          </cell>
        </row>
      </sheetData>
      <sheetData sheetId="2446">
        <row r="9">
          <cell r="A9" t="str">
            <v>A</v>
          </cell>
        </row>
      </sheetData>
      <sheetData sheetId="2447">
        <row r="9">
          <cell r="A9" t="str">
            <v>A</v>
          </cell>
        </row>
      </sheetData>
      <sheetData sheetId="2448">
        <row r="9">
          <cell r="A9" t="str">
            <v>A</v>
          </cell>
        </row>
      </sheetData>
      <sheetData sheetId="2449">
        <row r="9">
          <cell r="A9" t="str">
            <v>A</v>
          </cell>
        </row>
      </sheetData>
      <sheetData sheetId="2450">
        <row r="9">
          <cell r="A9" t="str">
            <v>A</v>
          </cell>
        </row>
      </sheetData>
      <sheetData sheetId="2451">
        <row r="9">
          <cell r="A9" t="str">
            <v>A</v>
          </cell>
        </row>
      </sheetData>
      <sheetData sheetId="2452">
        <row r="9">
          <cell r="A9" t="str">
            <v>A</v>
          </cell>
        </row>
      </sheetData>
      <sheetData sheetId="2453">
        <row r="9">
          <cell r="A9" t="str">
            <v>A</v>
          </cell>
        </row>
      </sheetData>
      <sheetData sheetId="2454">
        <row r="9">
          <cell r="A9" t="str">
            <v>A</v>
          </cell>
        </row>
      </sheetData>
      <sheetData sheetId="2455">
        <row r="9">
          <cell r="A9" t="str">
            <v>A</v>
          </cell>
        </row>
      </sheetData>
      <sheetData sheetId="2456">
        <row r="9">
          <cell r="A9" t="str">
            <v>A</v>
          </cell>
        </row>
      </sheetData>
      <sheetData sheetId="2457">
        <row r="9">
          <cell r="A9" t="str">
            <v>A</v>
          </cell>
        </row>
      </sheetData>
      <sheetData sheetId="2458">
        <row r="9">
          <cell r="A9" t="str">
            <v>A</v>
          </cell>
        </row>
      </sheetData>
      <sheetData sheetId="2459">
        <row r="9">
          <cell r="A9" t="str">
            <v>A</v>
          </cell>
        </row>
      </sheetData>
      <sheetData sheetId="2460">
        <row r="9">
          <cell r="A9" t="str">
            <v>A</v>
          </cell>
        </row>
      </sheetData>
      <sheetData sheetId="2461">
        <row r="9">
          <cell r="A9" t="str">
            <v>A</v>
          </cell>
        </row>
      </sheetData>
      <sheetData sheetId="2462">
        <row r="9">
          <cell r="A9" t="str">
            <v>A</v>
          </cell>
        </row>
      </sheetData>
      <sheetData sheetId="2463">
        <row r="9">
          <cell r="A9" t="str">
            <v>A</v>
          </cell>
        </row>
      </sheetData>
      <sheetData sheetId="2464">
        <row r="9">
          <cell r="A9" t="str">
            <v>A</v>
          </cell>
        </row>
      </sheetData>
      <sheetData sheetId="2465">
        <row r="9">
          <cell r="A9" t="str">
            <v>A</v>
          </cell>
        </row>
      </sheetData>
      <sheetData sheetId="2466">
        <row r="9">
          <cell r="A9" t="str">
            <v>A</v>
          </cell>
        </row>
      </sheetData>
      <sheetData sheetId="2467">
        <row r="9">
          <cell r="A9" t="str">
            <v>A</v>
          </cell>
        </row>
      </sheetData>
      <sheetData sheetId="2468">
        <row r="9">
          <cell r="A9" t="str">
            <v>A</v>
          </cell>
        </row>
      </sheetData>
      <sheetData sheetId="2469">
        <row r="9">
          <cell r="A9" t="str">
            <v>A</v>
          </cell>
        </row>
      </sheetData>
      <sheetData sheetId="2470">
        <row r="9">
          <cell r="A9" t="str">
            <v>A</v>
          </cell>
        </row>
      </sheetData>
      <sheetData sheetId="2471">
        <row r="9">
          <cell r="A9" t="str">
            <v>A</v>
          </cell>
        </row>
      </sheetData>
      <sheetData sheetId="2472">
        <row r="9">
          <cell r="A9" t="str">
            <v>A</v>
          </cell>
        </row>
      </sheetData>
      <sheetData sheetId="2473">
        <row r="9">
          <cell r="A9" t="str">
            <v>A</v>
          </cell>
        </row>
      </sheetData>
      <sheetData sheetId="2474">
        <row r="9">
          <cell r="A9" t="str">
            <v>A</v>
          </cell>
        </row>
      </sheetData>
      <sheetData sheetId="2475">
        <row r="9">
          <cell r="A9" t="str">
            <v>A</v>
          </cell>
        </row>
      </sheetData>
      <sheetData sheetId="2476">
        <row r="9">
          <cell r="A9" t="str">
            <v>A</v>
          </cell>
        </row>
      </sheetData>
      <sheetData sheetId="2477">
        <row r="9">
          <cell r="A9" t="str">
            <v>A</v>
          </cell>
        </row>
      </sheetData>
      <sheetData sheetId="2478">
        <row r="9">
          <cell r="A9" t="str">
            <v>A</v>
          </cell>
        </row>
      </sheetData>
      <sheetData sheetId="2479">
        <row r="9">
          <cell r="A9" t="str">
            <v>A</v>
          </cell>
        </row>
      </sheetData>
      <sheetData sheetId="2480">
        <row r="9">
          <cell r="A9" t="str">
            <v>A</v>
          </cell>
        </row>
      </sheetData>
      <sheetData sheetId="2481">
        <row r="9">
          <cell r="A9" t="str">
            <v>A</v>
          </cell>
        </row>
      </sheetData>
      <sheetData sheetId="2482">
        <row r="9">
          <cell r="A9" t="str">
            <v>A</v>
          </cell>
        </row>
      </sheetData>
      <sheetData sheetId="2483">
        <row r="9">
          <cell r="A9" t="str">
            <v>A</v>
          </cell>
        </row>
      </sheetData>
      <sheetData sheetId="2484">
        <row r="9">
          <cell r="A9" t="str">
            <v>A</v>
          </cell>
        </row>
      </sheetData>
      <sheetData sheetId="2485">
        <row r="9">
          <cell r="A9" t="str">
            <v>A</v>
          </cell>
        </row>
      </sheetData>
      <sheetData sheetId="2486">
        <row r="9">
          <cell r="A9" t="str">
            <v>A</v>
          </cell>
        </row>
      </sheetData>
      <sheetData sheetId="2487">
        <row r="9">
          <cell r="A9" t="str">
            <v>A</v>
          </cell>
        </row>
      </sheetData>
      <sheetData sheetId="2488">
        <row r="9">
          <cell r="A9" t="str">
            <v>A</v>
          </cell>
        </row>
      </sheetData>
      <sheetData sheetId="2489">
        <row r="9">
          <cell r="A9" t="str">
            <v>A</v>
          </cell>
        </row>
      </sheetData>
      <sheetData sheetId="2490">
        <row r="9">
          <cell r="A9" t="str">
            <v>A</v>
          </cell>
        </row>
      </sheetData>
      <sheetData sheetId="2491">
        <row r="9">
          <cell r="A9" t="str">
            <v>A</v>
          </cell>
        </row>
      </sheetData>
      <sheetData sheetId="2492">
        <row r="9">
          <cell r="A9" t="str">
            <v>A</v>
          </cell>
        </row>
      </sheetData>
      <sheetData sheetId="2493">
        <row r="9">
          <cell r="A9" t="str">
            <v>A</v>
          </cell>
        </row>
      </sheetData>
      <sheetData sheetId="2494">
        <row r="9">
          <cell r="A9" t="str">
            <v>A</v>
          </cell>
        </row>
      </sheetData>
      <sheetData sheetId="2495">
        <row r="9">
          <cell r="A9" t="str">
            <v>A</v>
          </cell>
        </row>
      </sheetData>
      <sheetData sheetId="2496">
        <row r="9">
          <cell r="A9" t="str">
            <v>A</v>
          </cell>
        </row>
      </sheetData>
      <sheetData sheetId="2497">
        <row r="9">
          <cell r="A9" t="str">
            <v>A</v>
          </cell>
        </row>
      </sheetData>
      <sheetData sheetId="2498">
        <row r="9">
          <cell r="A9" t="str">
            <v>A</v>
          </cell>
        </row>
      </sheetData>
      <sheetData sheetId="2499">
        <row r="9">
          <cell r="A9" t="str">
            <v>A</v>
          </cell>
        </row>
      </sheetData>
      <sheetData sheetId="2500">
        <row r="9">
          <cell r="A9" t="str">
            <v>A</v>
          </cell>
        </row>
      </sheetData>
      <sheetData sheetId="2501">
        <row r="9">
          <cell r="A9" t="str">
            <v>A</v>
          </cell>
        </row>
      </sheetData>
      <sheetData sheetId="2502">
        <row r="9">
          <cell r="A9" t="str">
            <v>A</v>
          </cell>
        </row>
      </sheetData>
      <sheetData sheetId="2503">
        <row r="9">
          <cell r="A9" t="str">
            <v>A</v>
          </cell>
        </row>
      </sheetData>
      <sheetData sheetId="2504">
        <row r="9">
          <cell r="A9" t="str">
            <v>A</v>
          </cell>
        </row>
      </sheetData>
      <sheetData sheetId="2505">
        <row r="9">
          <cell r="A9" t="str">
            <v>A</v>
          </cell>
        </row>
      </sheetData>
      <sheetData sheetId="2506">
        <row r="9">
          <cell r="A9" t="str">
            <v>A</v>
          </cell>
        </row>
      </sheetData>
      <sheetData sheetId="2507">
        <row r="9">
          <cell r="A9" t="str">
            <v>A</v>
          </cell>
        </row>
      </sheetData>
      <sheetData sheetId="2508">
        <row r="9">
          <cell r="A9" t="str">
            <v>A</v>
          </cell>
        </row>
      </sheetData>
      <sheetData sheetId="2509">
        <row r="9">
          <cell r="A9" t="str">
            <v>A</v>
          </cell>
        </row>
      </sheetData>
      <sheetData sheetId="2510">
        <row r="9">
          <cell r="A9" t="str">
            <v>A</v>
          </cell>
        </row>
      </sheetData>
      <sheetData sheetId="2511">
        <row r="9">
          <cell r="A9" t="str">
            <v>A</v>
          </cell>
        </row>
      </sheetData>
      <sheetData sheetId="2512">
        <row r="9">
          <cell r="A9" t="str">
            <v>A</v>
          </cell>
        </row>
      </sheetData>
      <sheetData sheetId="2513">
        <row r="9">
          <cell r="A9" t="str">
            <v>A</v>
          </cell>
        </row>
      </sheetData>
      <sheetData sheetId="2514">
        <row r="9">
          <cell r="A9" t="str">
            <v>A</v>
          </cell>
        </row>
      </sheetData>
      <sheetData sheetId="2515">
        <row r="9">
          <cell r="A9" t="str">
            <v>A</v>
          </cell>
        </row>
      </sheetData>
      <sheetData sheetId="2516">
        <row r="9">
          <cell r="A9" t="str">
            <v>A</v>
          </cell>
        </row>
      </sheetData>
      <sheetData sheetId="2517">
        <row r="9">
          <cell r="A9" t="str">
            <v>A</v>
          </cell>
        </row>
      </sheetData>
      <sheetData sheetId="2518">
        <row r="9">
          <cell r="A9" t="str">
            <v>A</v>
          </cell>
        </row>
      </sheetData>
      <sheetData sheetId="2519">
        <row r="9">
          <cell r="A9" t="str">
            <v>A</v>
          </cell>
        </row>
      </sheetData>
      <sheetData sheetId="2520">
        <row r="9">
          <cell r="A9" t="str">
            <v>A</v>
          </cell>
        </row>
      </sheetData>
      <sheetData sheetId="2521">
        <row r="9">
          <cell r="A9" t="str">
            <v>A</v>
          </cell>
        </row>
      </sheetData>
      <sheetData sheetId="2522">
        <row r="9">
          <cell r="A9" t="str">
            <v>A</v>
          </cell>
        </row>
      </sheetData>
      <sheetData sheetId="2523">
        <row r="9">
          <cell r="A9" t="str">
            <v>A</v>
          </cell>
        </row>
      </sheetData>
      <sheetData sheetId="2524">
        <row r="9">
          <cell r="A9" t="str">
            <v>A</v>
          </cell>
        </row>
      </sheetData>
      <sheetData sheetId="2525">
        <row r="9">
          <cell r="A9" t="str">
            <v>A</v>
          </cell>
        </row>
      </sheetData>
      <sheetData sheetId="2526">
        <row r="9">
          <cell r="A9" t="str">
            <v>A</v>
          </cell>
        </row>
      </sheetData>
      <sheetData sheetId="2527">
        <row r="9">
          <cell r="A9" t="str">
            <v>A</v>
          </cell>
        </row>
      </sheetData>
      <sheetData sheetId="2528">
        <row r="9">
          <cell r="A9" t="str">
            <v>A</v>
          </cell>
        </row>
      </sheetData>
      <sheetData sheetId="2529">
        <row r="9">
          <cell r="A9" t="str">
            <v>A</v>
          </cell>
        </row>
      </sheetData>
      <sheetData sheetId="2530">
        <row r="9">
          <cell r="A9" t="str">
            <v>A</v>
          </cell>
        </row>
      </sheetData>
      <sheetData sheetId="2531">
        <row r="9">
          <cell r="A9" t="str">
            <v>A</v>
          </cell>
        </row>
      </sheetData>
      <sheetData sheetId="2532">
        <row r="9">
          <cell r="A9" t="str">
            <v>A</v>
          </cell>
        </row>
      </sheetData>
      <sheetData sheetId="2533">
        <row r="9">
          <cell r="A9" t="str">
            <v>A</v>
          </cell>
        </row>
      </sheetData>
      <sheetData sheetId="2534">
        <row r="9">
          <cell r="A9" t="str">
            <v>A</v>
          </cell>
        </row>
      </sheetData>
      <sheetData sheetId="2535">
        <row r="9">
          <cell r="A9" t="str">
            <v>A</v>
          </cell>
        </row>
      </sheetData>
      <sheetData sheetId="2536">
        <row r="9">
          <cell r="A9" t="str">
            <v>A</v>
          </cell>
        </row>
      </sheetData>
      <sheetData sheetId="2537">
        <row r="9">
          <cell r="A9" t="str">
            <v>A</v>
          </cell>
        </row>
      </sheetData>
      <sheetData sheetId="2538">
        <row r="9">
          <cell r="A9" t="str">
            <v>A</v>
          </cell>
        </row>
      </sheetData>
      <sheetData sheetId="2539">
        <row r="9">
          <cell r="A9" t="str">
            <v>A</v>
          </cell>
        </row>
      </sheetData>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efreshError="1"/>
      <sheetData sheetId="2890" refreshError="1"/>
      <sheetData sheetId="2891" refreshError="1"/>
      <sheetData sheetId="2892" refreshError="1"/>
      <sheetData sheetId="2893" refreshError="1"/>
      <sheetData sheetId="2894">
        <row r="9">
          <cell r="A9" t="str">
            <v>A</v>
          </cell>
        </row>
      </sheetData>
      <sheetData sheetId="2895" refreshError="1"/>
      <sheetData sheetId="2896" refreshError="1"/>
      <sheetData sheetId="2897" refreshError="1"/>
      <sheetData sheetId="2898" refreshError="1"/>
      <sheetData sheetId="2899">
        <row r="9">
          <cell r="A9" t="str">
            <v>A</v>
          </cell>
        </row>
      </sheetData>
      <sheetData sheetId="2900" refreshError="1"/>
      <sheetData sheetId="2901" refreshError="1"/>
      <sheetData sheetId="2902" refreshError="1"/>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efreshError="1"/>
      <sheetData sheetId="2911" refreshError="1"/>
      <sheetData sheetId="2912">
        <row r="9">
          <cell r="A9" t="str">
            <v>A</v>
          </cell>
        </row>
      </sheetData>
      <sheetData sheetId="2913">
        <row r="9">
          <cell r="A9" t="str">
            <v>A</v>
          </cell>
        </row>
      </sheetData>
      <sheetData sheetId="2914">
        <row r="9">
          <cell r="A9" t="str">
            <v>A</v>
          </cell>
        </row>
      </sheetData>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ow r="9">
          <cell r="A9" t="str">
            <v>A</v>
          </cell>
        </row>
      </sheetData>
      <sheetData sheetId="2980" refreshError="1"/>
      <sheetData sheetId="2981" refreshError="1"/>
      <sheetData sheetId="2982" refreshError="1"/>
      <sheetData sheetId="2983" refreshError="1"/>
      <sheetData sheetId="2984" refreshError="1"/>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ow r="9">
          <cell r="A9" t="str">
            <v>A</v>
          </cell>
        </row>
      </sheetData>
      <sheetData sheetId="3172">
        <row r="9">
          <cell r="A9" t="str">
            <v>A</v>
          </cell>
        </row>
      </sheetData>
      <sheetData sheetId="3173">
        <row r="9">
          <cell r="A9" t="str">
            <v>A</v>
          </cell>
        </row>
      </sheetData>
      <sheetData sheetId="3174">
        <row r="9">
          <cell r="A9" t="str">
            <v>A</v>
          </cell>
        </row>
      </sheetData>
      <sheetData sheetId="3175">
        <row r="9">
          <cell r="A9" t="str">
            <v>A</v>
          </cell>
        </row>
      </sheetData>
      <sheetData sheetId="3176">
        <row r="9">
          <cell r="A9" t="str">
            <v>A</v>
          </cell>
        </row>
      </sheetData>
      <sheetData sheetId="3177">
        <row r="9">
          <cell r="A9" t="str">
            <v>A</v>
          </cell>
        </row>
      </sheetData>
      <sheetData sheetId="3178">
        <row r="9">
          <cell r="A9" t="str">
            <v>A</v>
          </cell>
        </row>
      </sheetData>
      <sheetData sheetId="3179">
        <row r="9">
          <cell r="A9" t="str">
            <v>A</v>
          </cell>
        </row>
      </sheetData>
      <sheetData sheetId="3180">
        <row r="9">
          <cell r="A9" t="str">
            <v>A</v>
          </cell>
        </row>
      </sheetData>
      <sheetData sheetId="3181">
        <row r="9">
          <cell r="A9" t="str">
            <v>A</v>
          </cell>
        </row>
      </sheetData>
      <sheetData sheetId="3182">
        <row r="9">
          <cell r="A9" t="str">
            <v>A</v>
          </cell>
        </row>
      </sheetData>
      <sheetData sheetId="3183">
        <row r="9">
          <cell r="A9" t="str">
            <v>A</v>
          </cell>
        </row>
      </sheetData>
      <sheetData sheetId="3184">
        <row r="9">
          <cell r="A9" t="str">
            <v>A</v>
          </cell>
        </row>
      </sheetData>
      <sheetData sheetId="3185">
        <row r="9">
          <cell r="A9" t="str">
            <v>A</v>
          </cell>
        </row>
      </sheetData>
      <sheetData sheetId="3186">
        <row r="9">
          <cell r="A9" t="str">
            <v>A</v>
          </cell>
        </row>
      </sheetData>
      <sheetData sheetId="3187">
        <row r="9">
          <cell r="A9" t="str">
            <v>A</v>
          </cell>
        </row>
      </sheetData>
      <sheetData sheetId="3188">
        <row r="9">
          <cell r="A9" t="str">
            <v>A</v>
          </cell>
        </row>
      </sheetData>
      <sheetData sheetId="3189">
        <row r="9">
          <cell r="A9" t="str">
            <v>A</v>
          </cell>
        </row>
      </sheetData>
      <sheetData sheetId="3190">
        <row r="9">
          <cell r="A9" t="str">
            <v>A</v>
          </cell>
        </row>
      </sheetData>
      <sheetData sheetId="3191">
        <row r="9">
          <cell r="A9" t="str">
            <v>A</v>
          </cell>
        </row>
      </sheetData>
      <sheetData sheetId="3192">
        <row r="9">
          <cell r="A9" t="str">
            <v>A</v>
          </cell>
        </row>
      </sheetData>
      <sheetData sheetId="3193">
        <row r="9">
          <cell r="A9" t="str">
            <v>A</v>
          </cell>
        </row>
      </sheetData>
      <sheetData sheetId="3194">
        <row r="9">
          <cell r="A9" t="str">
            <v>A</v>
          </cell>
        </row>
      </sheetData>
      <sheetData sheetId="3195">
        <row r="9">
          <cell r="A9" t="str">
            <v>A</v>
          </cell>
        </row>
      </sheetData>
      <sheetData sheetId="3196">
        <row r="9">
          <cell r="A9" t="str">
            <v>A</v>
          </cell>
        </row>
      </sheetData>
      <sheetData sheetId="3197">
        <row r="9">
          <cell r="A9" t="str">
            <v>A</v>
          </cell>
        </row>
      </sheetData>
      <sheetData sheetId="3198">
        <row r="9">
          <cell r="A9" t="str">
            <v>A</v>
          </cell>
        </row>
      </sheetData>
      <sheetData sheetId="3199">
        <row r="9">
          <cell r="A9" t="str">
            <v>A</v>
          </cell>
        </row>
      </sheetData>
      <sheetData sheetId="3200">
        <row r="9">
          <cell r="A9" t="str">
            <v>A</v>
          </cell>
        </row>
      </sheetData>
      <sheetData sheetId="3201">
        <row r="9">
          <cell r="A9" t="str">
            <v>A</v>
          </cell>
        </row>
      </sheetData>
      <sheetData sheetId="3202">
        <row r="9">
          <cell r="A9" t="str">
            <v>A</v>
          </cell>
        </row>
      </sheetData>
      <sheetData sheetId="3203">
        <row r="9">
          <cell r="A9" t="str">
            <v>A</v>
          </cell>
        </row>
      </sheetData>
      <sheetData sheetId="3204">
        <row r="9">
          <cell r="A9" t="str">
            <v>A</v>
          </cell>
        </row>
      </sheetData>
      <sheetData sheetId="3205">
        <row r="9">
          <cell r="A9" t="str">
            <v>A</v>
          </cell>
        </row>
      </sheetData>
      <sheetData sheetId="3206">
        <row r="9">
          <cell r="A9" t="str">
            <v>A</v>
          </cell>
        </row>
      </sheetData>
      <sheetData sheetId="3207">
        <row r="9">
          <cell r="A9" t="str">
            <v>A</v>
          </cell>
        </row>
      </sheetData>
      <sheetData sheetId="3208">
        <row r="9">
          <cell r="A9" t="str">
            <v>A</v>
          </cell>
        </row>
      </sheetData>
      <sheetData sheetId="3209">
        <row r="9">
          <cell r="A9" t="str">
            <v>A</v>
          </cell>
        </row>
      </sheetData>
      <sheetData sheetId="3210">
        <row r="9">
          <cell r="A9" t="str">
            <v>A</v>
          </cell>
        </row>
      </sheetData>
      <sheetData sheetId="3211">
        <row r="9">
          <cell r="A9" t="str">
            <v>A</v>
          </cell>
        </row>
      </sheetData>
      <sheetData sheetId="3212">
        <row r="9">
          <cell r="A9" t="str">
            <v>A</v>
          </cell>
        </row>
      </sheetData>
      <sheetData sheetId="3213">
        <row r="9">
          <cell r="A9" t="str">
            <v>A</v>
          </cell>
        </row>
      </sheetData>
      <sheetData sheetId="3214">
        <row r="9">
          <cell r="A9" t="str">
            <v>A</v>
          </cell>
        </row>
      </sheetData>
      <sheetData sheetId="3215">
        <row r="9">
          <cell r="A9" t="str">
            <v>A</v>
          </cell>
        </row>
      </sheetData>
      <sheetData sheetId="3216">
        <row r="9">
          <cell r="A9" t="str">
            <v>A</v>
          </cell>
        </row>
      </sheetData>
      <sheetData sheetId="3217">
        <row r="9">
          <cell r="A9" t="str">
            <v>A</v>
          </cell>
        </row>
      </sheetData>
      <sheetData sheetId="3218">
        <row r="9">
          <cell r="A9" t="str">
            <v>A</v>
          </cell>
        </row>
      </sheetData>
      <sheetData sheetId="3219">
        <row r="9">
          <cell r="A9" t="str">
            <v>A</v>
          </cell>
        </row>
      </sheetData>
      <sheetData sheetId="3220">
        <row r="9">
          <cell r="A9" t="str">
            <v>A</v>
          </cell>
        </row>
      </sheetData>
      <sheetData sheetId="3221">
        <row r="9">
          <cell r="A9" t="str">
            <v>A</v>
          </cell>
        </row>
      </sheetData>
      <sheetData sheetId="3222">
        <row r="9">
          <cell r="A9" t="str">
            <v>A</v>
          </cell>
        </row>
      </sheetData>
      <sheetData sheetId="3223">
        <row r="9">
          <cell r="A9" t="str">
            <v>A</v>
          </cell>
        </row>
      </sheetData>
      <sheetData sheetId="3224">
        <row r="9">
          <cell r="A9" t="str">
            <v>A</v>
          </cell>
        </row>
      </sheetData>
      <sheetData sheetId="3225">
        <row r="9">
          <cell r="A9" t="str">
            <v>A</v>
          </cell>
        </row>
      </sheetData>
      <sheetData sheetId="3226">
        <row r="9">
          <cell r="A9" t="str">
            <v>A</v>
          </cell>
        </row>
      </sheetData>
      <sheetData sheetId="3227">
        <row r="9">
          <cell r="A9" t="str">
            <v>A</v>
          </cell>
        </row>
      </sheetData>
      <sheetData sheetId="3228">
        <row r="9">
          <cell r="A9" t="str">
            <v>A</v>
          </cell>
        </row>
      </sheetData>
      <sheetData sheetId="3229">
        <row r="9">
          <cell r="A9" t="str">
            <v>A</v>
          </cell>
        </row>
      </sheetData>
      <sheetData sheetId="3230">
        <row r="9">
          <cell r="A9" t="str">
            <v>A</v>
          </cell>
        </row>
      </sheetData>
      <sheetData sheetId="3231">
        <row r="9">
          <cell r="A9" t="str">
            <v>A</v>
          </cell>
        </row>
      </sheetData>
      <sheetData sheetId="3232">
        <row r="9">
          <cell r="A9" t="str">
            <v>A</v>
          </cell>
        </row>
      </sheetData>
      <sheetData sheetId="3233">
        <row r="9">
          <cell r="A9" t="str">
            <v>A</v>
          </cell>
        </row>
      </sheetData>
      <sheetData sheetId="3234">
        <row r="9">
          <cell r="A9" t="str">
            <v>A</v>
          </cell>
        </row>
      </sheetData>
      <sheetData sheetId="3235">
        <row r="9">
          <cell r="A9" t="str">
            <v>A</v>
          </cell>
        </row>
      </sheetData>
      <sheetData sheetId="3236">
        <row r="9">
          <cell r="A9" t="str">
            <v>A</v>
          </cell>
        </row>
      </sheetData>
      <sheetData sheetId="3237">
        <row r="9">
          <cell r="A9" t="str">
            <v>A</v>
          </cell>
        </row>
      </sheetData>
      <sheetData sheetId="3238">
        <row r="9">
          <cell r="A9" t="str">
            <v>A</v>
          </cell>
        </row>
      </sheetData>
      <sheetData sheetId="3239">
        <row r="9">
          <cell r="A9" t="str">
            <v>A</v>
          </cell>
        </row>
      </sheetData>
      <sheetData sheetId="3240">
        <row r="9">
          <cell r="A9" t="str">
            <v>A</v>
          </cell>
        </row>
      </sheetData>
      <sheetData sheetId="3241">
        <row r="9">
          <cell r="A9" t="str">
            <v>A</v>
          </cell>
        </row>
      </sheetData>
      <sheetData sheetId="3242">
        <row r="9">
          <cell r="A9" t="str">
            <v>A</v>
          </cell>
        </row>
      </sheetData>
      <sheetData sheetId="3243">
        <row r="9">
          <cell r="A9" t="str">
            <v>A</v>
          </cell>
        </row>
      </sheetData>
      <sheetData sheetId="3244">
        <row r="9">
          <cell r="A9" t="str">
            <v>A</v>
          </cell>
        </row>
      </sheetData>
      <sheetData sheetId="3245">
        <row r="9">
          <cell r="A9" t="str">
            <v>A</v>
          </cell>
        </row>
      </sheetData>
      <sheetData sheetId="3246">
        <row r="9">
          <cell r="A9" t="str">
            <v>A</v>
          </cell>
        </row>
      </sheetData>
      <sheetData sheetId="3247">
        <row r="9">
          <cell r="A9" t="str">
            <v>A</v>
          </cell>
        </row>
      </sheetData>
      <sheetData sheetId="3248">
        <row r="9">
          <cell r="A9" t="str">
            <v>A</v>
          </cell>
        </row>
      </sheetData>
      <sheetData sheetId="3249">
        <row r="9">
          <cell r="A9" t="str">
            <v>A</v>
          </cell>
        </row>
      </sheetData>
      <sheetData sheetId="3250">
        <row r="9">
          <cell r="A9" t="str">
            <v>A</v>
          </cell>
        </row>
      </sheetData>
      <sheetData sheetId="3251">
        <row r="9">
          <cell r="A9" t="str">
            <v>A</v>
          </cell>
        </row>
      </sheetData>
      <sheetData sheetId="3252">
        <row r="9">
          <cell r="A9" t="str">
            <v>A</v>
          </cell>
        </row>
      </sheetData>
      <sheetData sheetId="3253">
        <row r="9">
          <cell r="A9" t="str">
            <v>A</v>
          </cell>
        </row>
      </sheetData>
      <sheetData sheetId="3254">
        <row r="9">
          <cell r="A9" t="str">
            <v>A</v>
          </cell>
        </row>
      </sheetData>
      <sheetData sheetId="3255">
        <row r="9">
          <cell r="A9" t="str">
            <v>A</v>
          </cell>
        </row>
      </sheetData>
      <sheetData sheetId="3256">
        <row r="9">
          <cell r="A9" t="str">
            <v>A</v>
          </cell>
        </row>
      </sheetData>
      <sheetData sheetId="3257">
        <row r="9">
          <cell r="A9" t="str">
            <v>A</v>
          </cell>
        </row>
      </sheetData>
      <sheetData sheetId="3258">
        <row r="9">
          <cell r="A9" t="str">
            <v>A</v>
          </cell>
        </row>
      </sheetData>
      <sheetData sheetId="3259">
        <row r="9">
          <cell r="A9" t="str">
            <v>A</v>
          </cell>
        </row>
      </sheetData>
      <sheetData sheetId="3260">
        <row r="9">
          <cell r="A9" t="str">
            <v>A</v>
          </cell>
        </row>
      </sheetData>
      <sheetData sheetId="3261">
        <row r="9">
          <cell r="A9" t="str">
            <v>A</v>
          </cell>
        </row>
      </sheetData>
      <sheetData sheetId="3262">
        <row r="9">
          <cell r="A9" t="str">
            <v>A</v>
          </cell>
        </row>
      </sheetData>
      <sheetData sheetId="3263">
        <row r="9">
          <cell r="A9" t="str">
            <v>A</v>
          </cell>
        </row>
      </sheetData>
      <sheetData sheetId="3264">
        <row r="9">
          <cell r="A9" t="str">
            <v>A</v>
          </cell>
        </row>
      </sheetData>
      <sheetData sheetId="3265">
        <row r="9">
          <cell r="A9" t="str">
            <v>A</v>
          </cell>
        </row>
      </sheetData>
      <sheetData sheetId="3266">
        <row r="9">
          <cell r="A9" t="str">
            <v>A</v>
          </cell>
        </row>
      </sheetData>
      <sheetData sheetId="3267">
        <row r="9">
          <cell r="A9" t="str">
            <v>A</v>
          </cell>
        </row>
      </sheetData>
      <sheetData sheetId="3268">
        <row r="9">
          <cell r="A9" t="str">
            <v>A</v>
          </cell>
        </row>
      </sheetData>
      <sheetData sheetId="3269">
        <row r="9">
          <cell r="A9" t="str">
            <v>A</v>
          </cell>
        </row>
      </sheetData>
      <sheetData sheetId="3270">
        <row r="9">
          <cell r="A9" t="str">
            <v>A</v>
          </cell>
        </row>
      </sheetData>
      <sheetData sheetId="3271">
        <row r="9">
          <cell r="A9" t="str">
            <v>A</v>
          </cell>
        </row>
      </sheetData>
      <sheetData sheetId="3272">
        <row r="9">
          <cell r="A9" t="str">
            <v>A</v>
          </cell>
        </row>
      </sheetData>
      <sheetData sheetId="3273">
        <row r="9">
          <cell r="A9" t="str">
            <v>A</v>
          </cell>
        </row>
      </sheetData>
      <sheetData sheetId="3274">
        <row r="9">
          <cell r="A9" t="str">
            <v>A</v>
          </cell>
        </row>
      </sheetData>
      <sheetData sheetId="3275">
        <row r="9">
          <cell r="A9" t="str">
            <v>A</v>
          </cell>
        </row>
      </sheetData>
      <sheetData sheetId="3276">
        <row r="9">
          <cell r="A9" t="str">
            <v>A</v>
          </cell>
        </row>
      </sheetData>
      <sheetData sheetId="3277">
        <row r="9">
          <cell r="A9" t="str">
            <v>A</v>
          </cell>
        </row>
      </sheetData>
      <sheetData sheetId="3278">
        <row r="9">
          <cell r="A9" t="str">
            <v>A</v>
          </cell>
        </row>
      </sheetData>
      <sheetData sheetId="3279">
        <row r="9">
          <cell r="A9" t="str">
            <v>A</v>
          </cell>
        </row>
      </sheetData>
      <sheetData sheetId="3280">
        <row r="9">
          <cell r="A9" t="str">
            <v>A</v>
          </cell>
        </row>
      </sheetData>
      <sheetData sheetId="3281">
        <row r="9">
          <cell r="A9" t="str">
            <v>A</v>
          </cell>
        </row>
      </sheetData>
      <sheetData sheetId="3282">
        <row r="9">
          <cell r="A9" t="str">
            <v>A</v>
          </cell>
        </row>
      </sheetData>
      <sheetData sheetId="3283">
        <row r="9">
          <cell r="A9" t="str">
            <v>A</v>
          </cell>
        </row>
      </sheetData>
      <sheetData sheetId="3284">
        <row r="9">
          <cell r="A9" t="str">
            <v>A</v>
          </cell>
        </row>
      </sheetData>
      <sheetData sheetId="3285">
        <row r="9">
          <cell r="A9" t="str">
            <v>A</v>
          </cell>
        </row>
      </sheetData>
      <sheetData sheetId="3286">
        <row r="9">
          <cell r="A9" t="str">
            <v>A</v>
          </cell>
        </row>
      </sheetData>
      <sheetData sheetId="3287">
        <row r="9">
          <cell r="A9" t="str">
            <v>A</v>
          </cell>
        </row>
      </sheetData>
      <sheetData sheetId="3288">
        <row r="9">
          <cell r="A9" t="str">
            <v>A</v>
          </cell>
        </row>
      </sheetData>
      <sheetData sheetId="3289">
        <row r="9">
          <cell r="A9" t="str">
            <v>A</v>
          </cell>
        </row>
      </sheetData>
      <sheetData sheetId="3290">
        <row r="9">
          <cell r="A9" t="str">
            <v>A</v>
          </cell>
        </row>
      </sheetData>
      <sheetData sheetId="3291">
        <row r="9">
          <cell r="A9" t="str">
            <v>A</v>
          </cell>
        </row>
      </sheetData>
      <sheetData sheetId="3292">
        <row r="9">
          <cell r="A9" t="str">
            <v>A</v>
          </cell>
        </row>
      </sheetData>
      <sheetData sheetId="3293">
        <row r="9">
          <cell r="A9" t="str">
            <v>A</v>
          </cell>
        </row>
      </sheetData>
      <sheetData sheetId="3294">
        <row r="9">
          <cell r="A9" t="str">
            <v>A</v>
          </cell>
        </row>
      </sheetData>
      <sheetData sheetId="3295">
        <row r="9">
          <cell r="A9" t="str">
            <v>A</v>
          </cell>
        </row>
      </sheetData>
      <sheetData sheetId="3296">
        <row r="9">
          <cell r="A9" t="str">
            <v>A</v>
          </cell>
        </row>
      </sheetData>
      <sheetData sheetId="3297">
        <row r="9">
          <cell r="A9" t="str">
            <v>A</v>
          </cell>
        </row>
      </sheetData>
      <sheetData sheetId="3298">
        <row r="9">
          <cell r="A9" t="str">
            <v>A</v>
          </cell>
        </row>
      </sheetData>
      <sheetData sheetId="3299">
        <row r="9">
          <cell r="A9" t="str">
            <v>A</v>
          </cell>
        </row>
      </sheetData>
      <sheetData sheetId="3300">
        <row r="9">
          <cell r="A9" t="str">
            <v>A</v>
          </cell>
        </row>
      </sheetData>
      <sheetData sheetId="3301">
        <row r="9">
          <cell r="A9" t="str">
            <v>A</v>
          </cell>
        </row>
      </sheetData>
      <sheetData sheetId="3302">
        <row r="9">
          <cell r="A9" t="str">
            <v>A</v>
          </cell>
        </row>
      </sheetData>
      <sheetData sheetId="3303">
        <row r="9">
          <cell r="A9" t="str">
            <v>A</v>
          </cell>
        </row>
      </sheetData>
      <sheetData sheetId="3304">
        <row r="9">
          <cell r="A9" t="str">
            <v>A</v>
          </cell>
        </row>
      </sheetData>
      <sheetData sheetId="3305">
        <row r="9">
          <cell r="A9" t="str">
            <v>A</v>
          </cell>
        </row>
      </sheetData>
      <sheetData sheetId="3306">
        <row r="9">
          <cell r="A9" t="str">
            <v>A</v>
          </cell>
        </row>
      </sheetData>
      <sheetData sheetId="3307">
        <row r="9">
          <cell r="A9" t="str">
            <v>A</v>
          </cell>
        </row>
      </sheetData>
      <sheetData sheetId="3308">
        <row r="9">
          <cell r="A9" t="str">
            <v>A</v>
          </cell>
        </row>
      </sheetData>
      <sheetData sheetId="3309">
        <row r="9">
          <cell r="A9" t="str">
            <v>A</v>
          </cell>
        </row>
      </sheetData>
      <sheetData sheetId="3310">
        <row r="9">
          <cell r="A9" t="str">
            <v>A</v>
          </cell>
        </row>
      </sheetData>
      <sheetData sheetId="3311">
        <row r="9">
          <cell r="A9" t="str">
            <v>A</v>
          </cell>
        </row>
      </sheetData>
      <sheetData sheetId="3312">
        <row r="9">
          <cell r="A9" t="str">
            <v>A</v>
          </cell>
        </row>
      </sheetData>
      <sheetData sheetId="3313">
        <row r="9">
          <cell r="A9" t="str">
            <v>A</v>
          </cell>
        </row>
      </sheetData>
      <sheetData sheetId="3314">
        <row r="9">
          <cell r="A9" t="str">
            <v>A</v>
          </cell>
        </row>
      </sheetData>
      <sheetData sheetId="3315">
        <row r="9">
          <cell r="A9" t="str">
            <v>A</v>
          </cell>
        </row>
      </sheetData>
      <sheetData sheetId="3316">
        <row r="9">
          <cell r="A9" t="str">
            <v>A</v>
          </cell>
        </row>
      </sheetData>
      <sheetData sheetId="3317">
        <row r="9">
          <cell r="A9" t="str">
            <v>A</v>
          </cell>
        </row>
      </sheetData>
      <sheetData sheetId="3318">
        <row r="9">
          <cell r="A9" t="str">
            <v>A</v>
          </cell>
        </row>
      </sheetData>
      <sheetData sheetId="3319">
        <row r="9">
          <cell r="A9" t="str">
            <v>A</v>
          </cell>
        </row>
      </sheetData>
      <sheetData sheetId="3320">
        <row r="9">
          <cell r="A9" t="str">
            <v>A</v>
          </cell>
        </row>
      </sheetData>
      <sheetData sheetId="3321">
        <row r="9">
          <cell r="A9" t="str">
            <v>A</v>
          </cell>
        </row>
      </sheetData>
      <sheetData sheetId="3322">
        <row r="9">
          <cell r="A9" t="str">
            <v>A</v>
          </cell>
        </row>
      </sheetData>
      <sheetData sheetId="3323">
        <row r="9">
          <cell r="A9" t="str">
            <v>A</v>
          </cell>
        </row>
      </sheetData>
      <sheetData sheetId="3324">
        <row r="9">
          <cell r="A9" t="str">
            <v>A</v>
          </cell>
        </row>
      </sheetData>
      <sheetData sheetId="3325">
        <row r="9">
          <cell r="A9" t="str">
            <v>A</v>
          </cell>
        </row>
      </sheetData>
      <sheetData sheetId="3326">
        <row r="9">
          <cell r="A9" t="str">
            <v>A</v>
          </cell>
        </row>
      </sheetData>
      <sheetData sheetId="3327">
        <row r="9">
          <cell r="A9" t="str">
            <v>A</v>
          </cell>
        </row>
      </sheetData>
      <sheetData sheetId="3328">
        <row r="9">
          <cell r="A9" t="str">
            <v>A</v>
          </cell>
        </row>
      </sheetData>
      <sheetData sheetId="3329">
        <row r="9">
          <cell r="A9" t="str">
            <v>A</v>
          </cell>
        </row>
      </sheetData>
      <sheetData sheetId="3330">
        <row r="9">
          <cell r="A9" t="str">
            <v>A</v>
          </cell>
        </row>
      </sheetData>
      <sheetData sheetId="3331">
        <row r="9">
          <cell r="A9" t="str">
            <v>A</v>
          </cell>
        </row>
      </sheetData>
      <sheetData sheetId="3332">
        <row r="9">
          <cell r="A9" t="str">
            <v>A</v>
          </cell>
        </row>
      </sheetData>
      <sheetData sheetId="3333">
        <row r="9">
          <cell r="A9" t="str">
            <v>A</v>
          </cell>
        </row>
      </sheetData>
      <sheetData sheetId="3334">
        <row r="9">
          <cell r="A9" t="str">
            <v>A</v>
          </cell>
        </row>
      </sheetData>
      <sheetData sheetId="3335">
        <row r="9">
          <cell r="A9" t="str">
            <v>A</v>
          </cell>
        </row>
      </sheetData>
      <sheetData sheetId="3336">
        <row r="9">
          <cell r="A9" t="str">
            <v>A</v>
          </cell>
        </row>
      </sheetData>
      <sheetData sheetId="3337">
        <row r="9">
          <cell r="A9" t="str">
            <v>A</v>
          </cell>
        </row>
      </sheetData>
      <sheetData sheetId="3338">
        <row r="9">
          <cell r="A9" t="str">
            <v>A</v>
          </cell>
        </row>
      </sheetData>
      <sheetData sheetId="3339">
        <row r="9">
          <cell r="A9" t="str">
            <v>A</v>
          </cell>
        </row>
      </sheetData>
      <sheetData sheetId="3340">
        <row r="9">
          <cell r="A9" t="str">
            <v>A</v>
          </cell>
        </row>
      </sheetData>
      <sheetData sheetId="3341">
        <row r="9">
          <cell r="A9" t="str">
            <v>A</v>
          </cell>
        </row>
      </sheetData>
      <sheetData sheetId="3342">
        <row r="9">
          <cell r="A9" t="str">
            <v>A</v>
          </cell>
        </row>
      </sheetData>
      <sheetData sheetId="3343">
        <row r="9">
          <cell r="A9" t="str">
            <v>A</v>
          </cell>
        </row>
      </sheetData>
      <sheetData sheetId="3344">
        <row r="9">
          <cell r="A9" t="str">
            <v>A</v>
          </cell>
        </row>
      </sheetData>
      <sheetData sheetId="3345">
        <row r="9">
          <cell r="A9" t="str">
            <v>A</v>
          </cell>
        </row>
      </sheetData>
      <sheetData sheetId="3346">
        <row r="9">
          <cell r="A9" t="str">
            <v>A</v>
          </cell>
        </row>
      </sheetData>
      <sheetData sheetId="3347">
        <row r="9">
          <cell r="A9" t="str">
            <v>A</v>
          </cell>
        </row>
      </sheetData>
      <sheetData sheetId="3348">
        <row r="9">
          <cell r="A9" t="str">
            <v>A</v>
          </cell>
        </row>
      </sheetData>
      <sheetData sheetId="3349">
        <row r="9">
          <cell r="A9" t="str">
            <v>A</v>
          </cell>
        </row>
      </sheetData>
      <sheetData sheetId="3350">
        <row r="9">
          <cell r="A9" t="str">
            <v>A</v>
          </cell>
        </row>
      </sheetData>
      <sheetData sheetId="3351">
        <row r="9">
          <cell r="A9" t="str">
            <v>A</v>
          </cell>
        </row>
      </sheetData>
      <sheetData sheetId="3352">
        <row r="9">
          <cell r="A9" t="str">
            <v>A</v>
          </cell>
        </row>
      </sheetData>
      <sheetData sheetId="3353">
        <row r="9">
          <cell r="A9" t="str">
            <v>A</v>
          </cell>
        </row>
      </sheetData>
      <sheetData sheetId="3354">
        <row r="9">
          <cell r="A9" t="str">
            <v>A</v>
          </cell>
        </row>
      </sheetData>
      <sheetData sheetId="3355">
        <row r="9">
          <cell r="A9" t="str">
            <v>A</v>
          </cell>
        </row>
      </sheetData>
      <sheetData sheetId="3356">
        <row r="9">
          <cell r="A9" t="str">
            <v>A</v>
          </cell>
        </row>
      </sheetData>
      <sheetData sheetId="3357">
        <row r="9">
          <cell r="A9" t="str">
            <v>A</v>
          </cell>
        </row>
      </sheetData>
      <sheetData sheetId="3358">
        <row r="9">
          <cell r="A9" t="str">
            <v>A</v>
          </cell>
        </row>
      </sheetData>
      <sheetData sheetId="3359">
        <row r="9">
          <cell r="A9" t="str">
            <v>A</v>
          </cell>
        </row>
      </sheetData>
      <sheetData sheetId="3360">
        <row r="9">
          <cell r="A9" t="str">
            <v>A</v>
          </cell>
        </row>
      </sheetData>
      <sheetData sheetId="3361">
        <row r="9">
          <cell r="A9" t="str">
            <v>A</v>
          </cell>
        </row>
      </sheetData>
      <sheetData sheetId="3362">
        <row r="9">
          <cell r="A9" t="str">
            <v>A</v>
          </cell>
        </row>
      </sheetData>
      <sheetData sheetId="3363">
        <row r="9">
          <cell r="A9" t="str">
            <v>A</v>
          </cell>
        </row>
      </sheetData>
      <sheetData sheetId="3364">
        <row r="9">
          <cell r="A9" t="str">
            <v>A</v>
          </cell>
        </row>
      </sheetData>
      <sheetData sheetId="3365">
        <row r="9">
          <cell r="A9" t="str">
            <v>A</v>
          </cell>
        </row>
      </sheetData>
      <sheetData sheetId="3366">
        <row r="9">
          <cell r="A9" t="str">
            <v>A</v>
          </cell>
        </row>
      </sheetData>
      <sheetData sheetId="3367">
        <row r="9">
          <cell r="A9" t="str">
            <v>A</v>
          </cell>
        </row>
      </sheetData>
      <sheetData sheetId="3368">
        <row r="9">
          <cell r="A9" t="str">
            <v>A</v>
          </cell>
        </row>
      </sheetData>
      <sheetData sheetId="3369">
        <row r="9">
          <cell r="A9" t="str">
            <v>A</v>
          </cell>
        </row>
      </sheetData>
      <sheetData sheetId="3370">
        <row r="9">
          <cell r="A9" t="str">
            <v>A</v>
          </cell>
        </row>
      </sheetData>
      <sheetData sheetId="3371">
        <row r="9">
          <cell r="A9" t="str">
            <v>A</v>
          </cell>
        </row>
      </sheetData>
      <sheetData sheetId="3372">
        <row r="9">
          <cell r="A9" t="str">
            <v>A</v>
          </cell>
        </row>
      </sheetData>
      <sheetData sheetId="3373">
        <row r="9">
          <cell r="A9" t="str">
            <v>A</v>
          </cell>
        </row>
      </sheetData>
      <sheetData sheetId="3374">
        <row r="9">
          <cell r="A9" t="str">
            <v>A</v>
          </cell>
        </row>
      </sheetData>
      <sheetData sheetId="3375">
        <row r="9">
          <cell r="A9" t="str">
            <v>A</v>
          </cell>
        </row>
      </sheetData>
      <sheetData sheetId="3376">
        <row r="9">
          <cell r="A9" t="str">
            <v>A</v>
          </cell>
        </row>
      </sheetData>
      <sheetData sheetId="3377">
        <row r="9">
          <cell r="A9" t="str">
            <v>A</v>
          </cell>
        </row>
      </sheetData>
      <sheetData sheetId="3378">
        <row r="9">
          <cell r="A9" t="str">
            <v>A</v>
          </cell>
        </row>
      </sheetData>
      <sheetData sheetId="3379">
        <row r="9">
          <cell r="A9" t="str">
            <v>A</v>
          </cell>
        </row>
      </sheetData>
      <sheetData sheetId="3380">
        <row r="9">
          <cell r="A9" t="str">
            <v>A</v>
          </cell>
        </row>
      </sheetData>
      <sheetData sheetId="3381">
        <row r="9">
          <cell r="A9" t="str">
            <v>A</v>
          </cell>
        </row>
      </sheetData>
      <sheetData sheetId="3382">
        <row r="9">
          <cell r="A9" t="str">
            <v>A</v>
          </cell>
        </row>
      </sheetData>
      <sheetData sheetId="3383">
        <row r="9">
          <cell r="A9" t="str">
            <v>A</v>
          </cell>
        </row>
      </sheetData>
      <sheetData sheetId="3384">
        <row r="9">
          <cell r="A9" t="str">
            <v>A</v>
          </cell>
        </row>
      </sheetData>
      <sheetData sheetId="3385">
        <row r="9">
          <cell r="A9" t="str">
            <v>A</v>
          </cell>
        </row>
      </sheetData>
      <sheetData sheetId="3386">
        <row r="9">
          <cell r="A9" t="str">
            <v>A</v>
          </cell>
        </row>
      </sheetData>
      <sheetData sheetId="3387">
        <row r="9">
          <cell r="A9" t="str">
            <v>A</v>
          </cell>
        </row>
      </sheetData>
      <sheetData sheetId="3388">
        <row r="9">
          <cell r="A9" t="str">
            <v>A</v>
          </cell>
        </row>
      </sheetData>
      <sheetData sheetId="3389">
        <row r="9">
          <cell r="A9" t="str">
            <v>A</v>
          </cell>
        </row>
      </sheetData>
      <sheetData sheetId="3390">
        <row r="9">
          <cell r="A9" t="str">
            <v>A</v>
          </cell>
        </row>
      </sheetData>
      <sheetData sheetId="3391">
        <row r="9">
          <cell r="A9" t="str">
            <v>A</v>
          </cell>
        </row>
      </sheetData>
      <sheetData sheetId="3392">
        <row r="9">
          <cell r="A9" t="str">
            <v>A</v>
          </cell>
        </row>
      </sheetData>
      <sheetData sheetId="3393">
        <row r="9">
          <cell r="A9" t="str">
            <v>A</v>
          </cell>
        </row>
      </sheetData>
      <sheetData sheetId="3394">
        <row r="9">
          <cell r="A9" t="str">
            <v>A</v>
          </cell>
        </row>
      </sheetData>
      <sheetData sheetId="3395">
        <row r="9">
          <cell r="A9" t="str">
            <v>A</v>
          </cell>
        </row>
      </sheetData>
      <sheetData sheetId="3396">
        <row r="9">
          <cell r="A9" t="str">
            <v>A</v>
          </cell>
        </row>
      </sheetData>
      <sheetData sheetId="3397">
        <row r="9">
          <cell r="A9" t="str">
            <v>A</v>
          </cell>
        </row>
      </sheetData>
      <sheetData sheetId="3398">
        <row r="9">
          <cell r="A9" t="str">
            <v>A</v>
          </cell>
        </row>
      </sheetData>
      <sheetData sheetId="3399">
        <row r="9">
          <cell r="A9" t="str">
            <v>A</v>
          </cell>
        </row>
      </sheetData>
      <sheetData sheetId="3400">
        <row r="9">
          <cell r="A9" t="str">
            <v>A</v>
          </cell>
        </row>
      </sheetData>
      <sheetData sheetId="3401">
        <row r="9">
          <cell r="A9" t="str">
            <v>A</v>
          </cell>
        </row>
      </sheetData>
      <sheetData sheetId="3402">
        <row r="9">
          <cell r="A9" t="str">
            <v>A</v>
          </cell>
        </row>
      </sheetData>
      <sheetData sheetId="3403">
        <row r="9">
          <cell r="A9" t="str">
            <v>A</v>
          </cell>
        </row>
      </sheetData>
      <sheetData sheetId="3404">
        <row r="9">
          <cell r="A9" t="str">
            <v>A</v>
          </cell>
        </row>
      </sheetData>
      <sheetData sheetId="3405">
        <row r="9">
          <cell r="A9" t="str">
            <v>A</v>
          </cell>
        </row>
      </sheetData>
      <sheetData sheetId="3406">
        <row r="9">
          <cell r="A9" t="str">
            <v>A</v>
          </cell>
        </row>
      </sheetData>
      <sheetData sheetId="3407">
        <row r="9">
          <cell r="A9" t="str">
            <v>A</v>
          </cell>
        </row>
      </sheetData>
      <sheetData sheetId="3408">
        <row r="9">
          <cell r="A9" t="str">
            <v>A</v>
          </cell>
        </row>
      </sheetData>
      <sheetData sheetId="3409">
        <row r="9">
          <cell r="A9" t="str">
            <v>A</v>
          </cell>
        </row>
      </sheetData>
      <sheetData sheetId="3410">
        <row r="9">
          <cell r="A9" t="str">
            <v>A</v>
          </cell>
        </row>
      </sheetData>
      <sheetData sheetId="3411">
        <row r="9">
          <cell r="A9" t="str">
            <v>A</v>
          </cell>
        </row>
      </sheetData>
      <sheetData sheetId="3412">
        <row r="9">
          <cell r="A9" t="str">
            <v>A</v>
          </cell>
        </row>
      </sheetData>
      <sheetData sheetId="3413">
        <row r="9">
          <cell r="A9" t="str">
            <v>A</v>
          </cell>
        </row>
      </sheetData>
      <sheetData sheetId="3414">
        <row r="9">
          <cell r="A9" t="str">
            <v>A</v>
          </cell>
        </row>
      </sheetData>
      <sheetData sheetId="3415">
        <row r="9">
          <cell r="A9" t="str">
            <v>A</v>
          </cell>
        </row>
      </sheetData>
      <sheetData sheetId="3416">
        <row r="9">
          <cell r="A9" t="str">
            <v>A</v>
          </cell>
        </row>
      </sheetData>
      <sheetData sheetId="3417">
        <row r="9">
          <cell r="A9" t="str">
            <v>A</v>
          </cell>
        </row>
      </sheetData>
      <sheetData sheetId="3418">
        <row r="9">
          <cell r="A9" t="str">
            <v>A</v>
          </cell>
        </row>
      </sheetData>
      <sheetData sheetId="3419">
        <row r="9">
          <cell r="A9" t="str">
            <v>A</v>
          </cell>
        </row>
      </sheetData>
      <sheetData sheetId="3420">
        <row r="9">
          <cell r="A9" t="str">
            <v>A</v>
          </cell>
        </row>
      </sheetData>
      <sheetData sheetId="3421">
        <row r="9">
          <cell r="A9" t="str">
            <v>A</v>
          </cell>
        </row>
      </sheetData>
      <sheetData sheetId="3422">
        <row r="9">
          <cell r="A9" t="str">
            <v>A</v>
          </cell>
        </row>
      </sheetData>
      <sheetData sheetId="3423">
        <row r="9">
          <cell r="A9" t="str">
            <v>A</v>
          </cell>
        </row>
      </sheetData>
      <sheetData sheetId="3424">
        <row r="9">
          <cell r="A9" t="str">
            <v>A</v>
          </cell>
        </row>
      </sheetData>
      <sheetData sheetId="3425">
        <row r="9">
          <cell r="A9" t="str">
            <v>A</v>
          </cell>
        </row>
      </sheetData>
      <sheetData sheetId="3426">
        <row r="9">
          <cell r="A9" t="str">
            <v>A</v>
          </cell>
        </row>
      </sheetData>
      <sheetData sheetId="3427">
        <row r="9">
          <cell r="A9" t="str">
            <v>A</v>
          </cell>
        </row>
      </sheetData>
      <sheetData sheetId="3428">
        <row r="9">
          <cell r="A9" t="str">
            <v>A</v>
          </cell>
        </row>
      </sheetData>
      <sheetData sheetId="3429">
        <row r="9">
          <cell r="A9" t="str">
            <v>A</v>
          </cell>
        </row>
      </sheetData>
      <sheetData sheetId="3430">
        <row r="9">
          <cell r="A9" t="str">
            <v>A</v>
          </cell>
        </row>
      </sheetData>
      <sheetData sheetId="3431">
        <row r="9">
          <cell r="A9" t="str">
            <v>A</v>
          </cell>
        </row>
      </sheetData>
      <sheetData sheetId="3432">
        <row r="9">
          <cell r="A9" t="str">
            <v>A</v>
          </cell>
        </row>
      </sheetData>
      <sheetData sheetId="3433">
        <row r="9">
          <cell r="A9" t="str">
            <v>A</v>
          </cell>
        </row>
      </sheetData>
      <sheetData sheetId="3434">
        <row r="9">
          <cell r="A9" t="str">
            <v>A</v>
          </cell>
        </row>
      </sheetData>
      <sheetData sheetId="3435">
        <row r="9">
          <cell r="A9" t="str">
            <v>A</v>
          </cell>
        </row>
      </sheetData>
      <sheetData sheetId="3436">
        <row r="9">
          <cell r="A9" t="str">
            <v>A</v>
          </cell>
        </row>
      </sheetData>
      <sheetData sheetId="3437">
        <row r="9">
          <cell r="A9" t="str">
            <v>A</v>
          </cell>
        </row>
      </sheetData>
      <sheetData sheetId="3438">
        <row r="9">
          <cell r="A9" t="str">
            <v>A</v>
          </cell>
        </row>
      </sheetData>
      <sheetData sheetId="3439">
        <row r="9">
          <cell r="A9" t="str">
            <v>A</v>
          </cell>
        </row>
      </sheetData>
      <sheetData sheetId="3440">
        <row r="9">
          <cell r="A9" t="str">
            <v>A</v>
          </cell>
        </row>
      </sheetData>
      <sheetData sheetId="3441">
        <row r="9">
          <cell r="A9" t="str">
            <v>A</v>
          </cell>
        </row>
      </sheetData>
      <sheetData sheetId="3442">
        <row r="9">
          <cell r="A9" t="str">
            <v>A</v>
          </cell>
        </row>
      </sheetData>
      <sheetData sheetId="3443">
        <row r="9">
          <cell r="A9" t="str">
            <v>A</v>
          </cell>
        </row>
      </sheetData>
      <sheetData sheetId="3444">
        <row r="9">
          <cell r="A9" t="str">
            <v>A</v>
          </cell>
        </row>
      </sheetData>
      <sheetData sheetId="3445">
        <row r="9">
          <cell r="A9" t="str">
            <v>A</v>
          </cell>
        </row>
      </sheetData>
      <sheetData sheetId="3446">
        <row r="9">
          <cell r="A9" t="str">
            <v>A</v>
          </cell>
        </row>
      </sheetData>
      <sheetData sheetId="3447">
        <row r="9">
          <cell r="A9" t="str">
            <v>A</v>
          </cell>
        </row>
      </sheetData>
      <sheetData sheetId="3448">
        <row r="9">
          <cell r="A9" t="str">
            <v>A</v>
          </cell>
        </row>
      </sheetData>
      <sheetData sheetId="3449">
        <row r="9">
          <cell r="A9" t="str">
            <v>A</v>
          </cell>
        </row>
      </sheetData>
      <sheetData sheetId="3450">
        <row r="9">
          <cell r="A9" t="str">
            <v>A</v>
          </cell>
        </row>
      </sheetData>
      <sheetData sheetId="3451">
        <row r="9">
          <cell r="A9" t="str">
            <v>A</v>
          </cell>
        </row>
      </sheetData>
      <sheetData sheetId="3452">
        <row r="9">
          <cell r="A9" t="str">
            <v>A</v>
          </cell>
        </row>
      </sheetData>
      <sheetData sheetId="3453">
        <row r="9">
          <cell r="A9" t="str">
            <v>A</v>
          </cell>
        </row>
      </sheetData>
      <sheetData sheetId="3454">
        <row r="9">
          <cell r="A9" t="str">
            <v>A</v>
          </cell>
        </row>
      </sheetData>
      <sheetData sheetId="3455">
        <row r="9">
          <cell r="A9" t="str">
            <v>A</v>
          </cell>
        </row>
      </sheetData>
      <sheetData sheetId="3456">
        <row r="9">
          <cell r="A9" t="str">
            <v>A</v>
          </cell>
        </row>
      </sheetData>
      <sheetData sheetId="3457">
        <row r="9">
          <cell r="A9" t="str">
            <v>A</v>
          </cell>
        </row>
      </sheetData>
      <sheetData sheetId="3458">
        <row r="9">
          <cell r="A9" t="str">
            <v>A</v>
          </cell>
        </row>
      </sheetData>
      <sheetData sheetId="3459">
        <row r="9">
          <cell r="A9" t="str">
            <v>A</v>
          </cell>
        </row>
      </sheetData>
      <sheetData sheetId="3460">
        <row r="9">
          <cell r="A9" t="str">
            <v>A</v>
          </cell>
        </row>
      </sheetData>
      <sheetData sheetId="3461">
        <row r="9">
          <cell r="A9" t="str">
            <v>A</v>
          </cell>
        </row>
      </sheetData>
      <sheetData sheetId="3462">
        <row r="9">
          <cell r="A9" t="str">
            <v>A</v>
          </cell>
        </row>
      </sheetData>
      <sheetData sheetId="3463">
        <row r="9">
          <cell r="A9" t="str">
            <v>A</v>
          </cell>
        </row>
      </sheetData>
      <sheetData sheetId="3464">
        <row r="9">
          <cell r="A9" t="str">
            <v>A</v>
          </cell>
        </row>
      </sheetData>
      <sheetData sheetId="3465">
        <row r="9">
          <cell r="A9" t="str">
            <v>A</v>
          </cell>
        </row>
      </sheetData>
      <sheetData sheetId="3466">
        <row r="9">
          <cell r="A9" t="str">
            <v>A</v>
          </cell>
        </row>
      </sheetData>
      <sheetData sheetId="3467">
        <row r="9">
          <cell r="A9" t="str">
            <v>A</v>
          </cell>
        </row>
      </sheetData>
      <sheetData sheetId="3468">
        <row r="9">
          <cell r="A9" t="str">
            <v>A</v>
          </cell>
        </row>
      </sheetData>
      <sheetData sheetId="3469">
        <row r="9">
          <cell r="A9" t="str">
            <v>A</v>
          </cell>
        </row>
      </sheetData>
      <sheetData sheetId="3470">
        <row r="9">
          <cell r="A9" t="str">
            <v>A</v>
          </cell>
        </row>
      </sheetData>
      <sheetData sheetId="3471">
        <row r="9">
          <cell r="A9" t="str">
            <v>A</v>
          </cell>
        </row>
      </sheetData>
      <sheetData sheetId="3472">
        <row r="9">
          <cell r="A9" t="str">
            <v>A</v>
          </cell>
        </row>
      </sheetData>
      <sheetData sheetId="3473">
        <row r="9">
          <cell r="A9" t="str">
            <v>A</v>
          </cell>
        </row>
      </sheetData>
      <sheetData sheetId="3474">
        <row r="9">
          <cell r="A9" t="str">
            <v>A</v>
          </cell>
        </row>
      </sheetData>
      <sheetData sheetId="3475">
        <row r="9">
          <cell r="A9" t="str">
            <v>A</v>
          </cell>
        </row>
      </sheetData>
      <sheetData sheetId="3476">
        <row r="9">
          <cell r="A9" t="str">
            <v>A</v>
          </cell>
        </row>
      </sheetData>
      <sheetData sheetId="3477">
        <row r="9">
          <cell r="A9" t="str">
            <v>A</v>
          </cell>
        </row>
      </sheetData>
      <sheetData sheetId="3478">
        <row r="9">
          <cell r="A9" t="str">
            <v>A</v>
          </cell>
        </row>
      </sheetData>
      <sheetData sheetId="3479">
        <row r="9">
          <cell r="A9" t="str">
            <v>A</v>
          </cell>
        </row>
      </sheetData>
      <sheetData sheetId="3480">
        <row r="9">
          <cell r="A9" t="str">
            <v>A</v>
          </cell>
        </row>
      </sheetData>
      <sheetData sheetId="3481">
        <row r="9">
          <cell r="A9" t="str">
            <v>A</v>
          </cell>
        </row>
      </sheetData>
      <sheetData sheetId="3482">
        <row r="9">
          <cell r="A9" t="str">
            <v>A</v>
          </cell>
        </row>
      </sheetData>
      <sheetData sheetId="3483">
        <row r="9">
          <cell r="A9" t="str">
            <v>A</v>
          </cell>
        </row>
      </sheetData>
      <sheetData sheetId="3484">
        <row r="9">
          <cell r="A9" t="str">
            <v>A</v>
          </cell>
        </row>
      </sheetData>
      <sheetData sheetId="3485">
        <row r="9">
          <cell r="A9" t="str">
            <v>A</v>
          </cell>
        </row>
      </sheetData>
      <sheetData sheetId="3486">
        <row r="9">
          <cell r="A9" t="str">
            <v>A</v>
          </cell>
        </row>
      </sheetData>
      <sheetData sheetId="3487">
        <row r="9">
          <cell r="A9" t="str">
            <v>A</v>
          </cell>
        </row>
      </sheetData>
      <sheetData sheetId="3488">
        <row r="9">
          <cell r="A9" t="str">
            <v>A</v>
          </cell>
        </row>
      </sheetData>
      <sheetData sheetId="3489">
        <row r="9">
          <cell r="A9" t="str">
            <v>A</v>
          </cell>
        </row>
      </sheetData>
      <sheetData sheetId="3490">
        <row r="9">
          <cell r="A9" t="str">
            <v>A</v>
          </cell>
        </row>
      </sheetData>
      <sheetData sheetId="3491">
        <row r="9">
          <cell r="A9" t="str">
            <v>A</v>
          </cell>
        </row>
      </sheetData>
      <sheetData sheetId="3492">
        <row r="9">
          <cell r="A9" t="str">
            <v>A</v>
          </cell>
        </row>
      </sheetData>
      <sheetData sheetId="3493">
        <row r="9">
          <cell r="A9" t="str">
            <v>A</v>
          </cell>
        </row>
      </sheetData>
      <sheetData sheetId="3494">
        <row r="9">
          <cell r="A9" t="str">
            <v>A</v>
          </cell>
        </row>
      </sheetData>
      <sheetData sheetId="3495">
        <row r="9">
          <cell r="A9" t="str">
            <v>A</v>
          </cell>
        </row>
      </sheetData>
      <sheetData sheetId="3496">
        <row r="9">
          <cell r="A9" t="str">
            <v>A</v>
          </cell>
        </row>
      </sheetData>
      <sheetData sheetId="3497">
        <row r="9">
          <cell r="A9" t="str">
            <v>A</v>
          </cell>
        </row>
      </sheetData>
      <sheetData sheetId="3498">
        <row r="9">
          <cell r="A9" t="str">
            <v>A</v>
          </cell>
        </row>
      </sheetData>
      <sheetData sheetId="3499">
        <row r="9">
          <cell r="A9" t="str">
            <v>A</v>
          </cell>
        </row>
      </sheetData>
      <sheetData sheetId="3500">
        <row r="9">
          <cell r="A9" t="str">
            <v>A</v>
          </cell>
        </row>
      </sheetData>
      <sheetData sheetId="3501">
        <row r="9">
          <cell r="A9" t="str">
            <v>A</v>
          </cell>
        </row>
      </sheetData>
      <sheetData sheetId="3502">
        <row r="9">
          <cell r="A9" t="str">
            <v>A</v>
          </cell>
        </row>
      </sheetData>
      <sheetData sheetId="3503">
        <row r="9">
          <cell r="A9" t="str">
            <v>A</v>
          </cell>
        </row>
      </sheetData>
      <sheetData sheetId="3504">
        <row r="9">
          <cell r="A9" t="str">
            <v>A</v>
          </cell>
        </row>
      </sheetData>
      <sheetData sheetId="3505">
        <row r="9">
          <cell r="A9" t="str">
            <v>A</v>
          </cell>
        </row>
      </sheetData>
      <sheetData sheetId="3506">
        <row r="9">
          <cell r="A9" t="str">
            <v>A</v>
          </cell>
        </row>
      </sheetData>
      <sheetData sheetId="3507">
        <row r="9">
          <cell r="A9" t="str">
            <v>A</v>
          </cell>
        </row>
      </sheetData>
      <sheetData sheetId="3508">
        <row r="9">
          <cell r="A9" t="str">
            <v>A</v>
          </cell>
        </row>
      </sheetData>
      <sheetData sheetId="3509">
        <row r="9">
          <cell r="A9" t="str">
            <v>A</v>
          </cell>
        </row>
      </sheetData>
      <sheetData sheetId="3510">
        <row r="9">
          <cell r="A9" t="str">
            <v>A</v>
          </cell>
        </row>
      </sheetData>
      <sheetData sheetId="3511">
        <row r="9">
          <cell r="A9" t="str">
            <v>A</v>
          </cell>
        </row>
      </sheetData>
      <sheetData sheetId="3512">
        <row r="9">
          <cell r="A9" t="str">
            <v>A</v>
          </cell>
        </row>
      </sheetData>
      <sheetData sheetId="3513">
        <row r="9">
          <cell r="A9" t="str">
            <v>A</v>
          </cell>
        </row>
      </sheetData>
      <sheetData sheetId="3514">
        <row r="9">
          <cell r="A9" t="str">
            <v>A</v>
          </cell>
        </row>
      </sheetData>
      <sheetData sheetId="3515">
        <row r="9">
          <cell r="A9" t="str">
            <v>A</v>
          </cell>
        </row>
      </sheetData>
      <sheetData sheetId="3516">
        <row r="9">
          <cell r="A9" t="str">
            <v>A</v>
          </cell>
        </row>
      </sheetData>
      <sheetData sheetId="3517">
        <row r="9">
          <cell r="A9" t="str">
            <v>A</v>
          </cell>
        </row>
      </sheetData>
      <sheetData sheetId="3518">
        <row r="9">
          <cell r="A9" t="str">
            <v>A</v>
          </cell>
        </row>
      </sheetData>
      <sheetData sheetId="3519">
        <row r="9">
          <cell r="A9" t="str">
            <v>A</v>
          </cell>
        </row>
      </sheetData>
      <sheetData sheetId="3520">
        <row r="9">
          <cell r="A9" t="str">
            <v>A</v>
          </cell>
        </row>
      </sheetData>
      <sheetData sheetId="3521">
        <row r="9">
          <cell r="A9" t="str">
            <v>A</v>
          </cell>
        </row>
      </sheetData>
      <sheetData sheetId="3522">
        <row r="9">
          <cell r="A9" t="str">
            <v>A</v>
          </cell>
        </row>
      </sheetData>
      <sheetData sheetId="3523">
        <row r="9">
          <cell r="A9" t="str">
            <v>A</v>
          </cell>
        </row>
      </sheetData>
      <sheetData sheetId="3524">
        <row r="9">
          <cell r="A9" t="str">
            <v>A</v>
          </cell>
        </row>
      </sheetData>
      <sheetData sheetId="3525">
        <row r="9">
          <cell r="A9" t="str">
            <v>A</v>
          </cell>
        </row>
      </sheetData>
      <sheetData sheetId="3526">
        <row r="9">
          <cell r="A9" t="str">
            <v>A</v>
          </cell>
        </row>
      </sheetData>
      <sheetData sheetId="3527">
        <row r="9">
          <cell r="A9" t="str">
            <v>A</v>
          </cell>
        </row>
      </sheetData>
      <sheetData sheetId="3528">
        <row r="9">
          <cell r="A9" t="str">
            <v>A</v>
          </cell>
        </row>
      </sheetData>
      <sheetData sheetId="3529">
        <row r="9">
          <cell r="A9" t="str">
            <v>A</v>
          </cell>
        </row>
      </sheetData>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ow r="9">
          <cell r="A9" t="str">
            <v>A</v>
          </cell>
        </row>
      </sheetData>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sheetData sheetId="3583"/>
      <sheetData sheetId="3584"/>
      <sheetData sheetId="3585" refreshError="1"/>
      <sheetData sheetId="3586" refreshError="1"/>
      <sheetData sheetId="3587" refreshError="1"/>
      <sheetData sheetId="3588" refreshError="1"/>
      <sheetData sheetId="3589"/>
      <sheetData sheetId="3590"/>
      <sheetData sheetId="3591"/>
      <sheetData sheetId="3592"/>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ow r="9">
          <cell r="A9" t="str">
            <v>A</v>
          </cell>
        </row>
      </sheetData>
      <sheetData sheetId="3666">
        <row r="9">
          <cell r="A9" t="str">
            <v>A</v>
          </cell>
        </row>
      </sheetData>
      <sheetData sheetId="3667">
        <row r="9">
          <cell r="A9" t="str">
            <v>A</v>
          </cell>
        </row>
      </sheetData>
      <sheetData sheetId="3668">
        <row r="9">
          <cell r="A9" t="str">
            <v>A</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efreshError="1"/>
      <sheetData sheetId="3675" refreshError="1"/>
      <sheetData sheetId="3676" refreshError="1"/>
      <sheetData sheetId="3677" refreshError="1"/>
      <sheetData sheetId="3678" refreshError="1"/>
      <sheetData sheetId="3679" refreshError="1"/>
      <sheetData sheetId="3680" refreshError="1"/>
      <sheetData sheetId="3681">
        <row r="9">
          <cell r="A9" t="str">
            <v>A</v>
          </cell>
        </row>
      </sheetData>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refreshError="1"/>
      <sheetData sheetId="3801" refreshError="1"/>
      <sheetData sheetId="3802" refreshError="1"/>
      <sheetData sheetId="3803" refreshError="1"/>
      <sheetData sheetId="3804" refreshError="1"/>
      <sheetData sheetId="3805"/>
      <sheetData sheetId="3806"/>
      <sheetData sheetId="3807"/>
      <sheetData sheetId="3808"/>
      <sheetData sheetId="3809"/>
      <sheetData sheetId="3810"/>
      <sheetData sheetId="3811"/>
      <sheetData sheetId="3812"/>
      <sheetData sheetId="3813" refreshError="1"/>
      <sheetData sheetId="3814" refreshError="1"/>
      <sheetData sheetId="3815"/>
      <sheetData sheetId="3816"/>
      <sheetData sheetId="3817"/>
      <sheetData sheetId="3818"/>
      <sheetData sheetId="3819"/>
      <sheetData sheetId="3820"/>
      <sheetData sheetId="3821"/>
      <sheetData sheetId="3822"/>
      <sheetData sheetId="3823">
        <row r="9">
          <cell r="A9" t="str">
            <v>A</v>
          </cell>
        </row>
      </sheetData>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row r="9">
          <cell r="A9" t="str">
            <v>A</v>
          </cell>
        </row>
      </sheetData>
      <sheetData sheetId="3838">
        <row r="9">
          <cell r="A9" t="str">
            <v>A</v>
          </cell>
        </row>
      </sheetData>
      <sheetData sheetId="3839"/>
      <sheetData sheetId="3840"/>
      <sheetData sheetId="3841"/>
      <sheetData sheetId="3842"/>
      <sheetData sheetId="3843"/>
      <sheetData sheetId="3844"/>
      <sheetData sheetId="3845"/>
      <sheetData sheetId="3846"/>
      <sheetData sheetId="3847"/>
      <sheetData sheetId="3848"/>
      <sheetData sheetId="3849"/>
      <sheetData sheetId="3850" refreshError="1"/>
      <sheetData sheetId="3851" refreshError="1"/>
      <sheetData sheetId="3852"/>
      <sheetData sheetId="3853"/>
      <sheetData sheetId="3854"/>
      <sheetData sheetId="3855"/>
      <sheetData sheetId="3856"/>
      <sheetData sheetId="3857"/>
      <sheetData sheetId="3858"/>
      <sheetData sheetId="3859" refreshError="1"/>
      <sheetData sheetId="3860" refreshError="1"/>
      <sheetData sheetId="3861"/>
      <sheetData sheetId="3862"/>
      <sheetData sheetId="3863" refreshError="1"/>
      <sheetData sheetId="3864" refreshError="1"/>
      <sheetData sheetId="3865" refreshError="1"/>
      <sheetData sheetId="3866" refreshError="1"/>
      <sheetData sheetId="3867" refreshError="1"/>
      <sheetData sheetId="3868"/>
      <sheetData sheetId="3869"/>
      <sheetData sheetId="3870"/>
      <sheetData sheetId="3871" refreshError="1"/>
      <sheetData sheetId="3872" refreshError="1"/>
      <sheetData sheetId="3873" refreshError="1"/>
      <sheetData sheetId="3874" refreshError="1"/>
      <sheetData sheetId="3875" refreshError="1"/>
      <sheetData sheetId="3876"/>
      <sheetData sheetId="3877"/>
      <sheetData sheetId="3878"/>
      <sheetData sheetId="3879"/>
      <sheetData sheetId="3880">
        <row r="9">
          <cell r="A9" t="str">
            <v>A</v>
          </cell>
        </row>
      </sheetData>
      <sheetData sheetId="3881">
        <row r="9">
          <cell r="A9" t="str">
            <v>A</v>
          </cell>
        </row>
      </sheetData>
      <sheetData sheetId="3882" refreshError="1"/>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sheetData sheetId="4002"/>
      <sheetData sheetId="4003"/>
      <sheetData sheetId="4004"/>
      <sheetData sheetId="4005" refreshError="1"/>
      <sheetData sheetId="4006" refreshError="1"/>
      <sheetData sheetId="4007"/>
      <sheetData sheetId="4008"/>
      <sheetData sheetId="4009"/>
      <sheetData sheetId="4010"/>
      <sheetData sheetId="401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sheetData sheetId="4035"/>
      <sheetData sheetId="4036"/>
      <sheetData sheetId="4037"/>
      <sheetData sheetId="4038" refreshError="1"/>
      <sheetData sheetId="4039" refreshError="1"/>
      <sheetData sheetId="4040"/>
      <sheetData sheetId="4041"/>
      <sheetData sheetId="4042"/>
      <sheetData sheetId="4043"/>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sheetData sheetId="4056"/>
      <sheetData sheetId="4057"/>
      <sheetData sheetId="4058"/>
      <sheetData sheetId="4059"/>
      <sheetData sheetId="4060"/>
      <sheetData sheetId="4061"/>
      <sheetData sheetId="4062"/>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refreshError="1"/>
      <sheetData sheetId="9387"/>
      <sheetData sheetId="9388"/>
      <sheetData sheetId="9389"/>
      <sheetData sheetId="9390"/>
      <sheetData sheetId="9391"/>
      <sheetData sheetId="9392"/>
      <sheetData sheetId="9393"/>
      <sheetData sheetId="9394"/>
      <sheetData sheetId="9395"/>
      <sheetData sheetId="9396"/>
      <sheetData sheetId="9397"/>
      <sheetData sheetId="9398" refreshError="1"/>
      <sheetData sheetId="9399" refreshError="1"/>
      <sheetData sheetId="9400" refreshError="1"/>
      <sheetData sheetId="9401" refreshError="1"/>
      <sheetData sheetId="9402" refreshError="1"/>
      <sheetData sheetId="940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E Totals_Plan"/>
      <sheetName val="FTE Totals (Page 3)"/>
      <sheetName val="Template"/>
      <sheetName val="Data"/>
      <sheetName val="Macro_FTE"/>
      <sheetName val="CCB"/>
      <sheetName val="DataSheet"/>
      <sheetName val="Variations"/>
      <sheetName val="Criteria"/>
      <sheetName val="Costing"/>
      <sheetName val="Status Control 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apex"/>
      <sheetName val="Control"/>
      <sheetName val="405"/>
      <sheetName val="427"/>
      <sheetName val="403"/>
      <sheetName val="Lookups"/>
      <sheetName val="gen ledger data"/>
      <sheetName val="Original format"/>
      <sheetName val="Details"/>
      <sheetName val="E755 Annex"/>
      <sheetName val="S.4.3_SAP Dump"/>
      <sheetName val="Basic Details"/>
      <sheetName val="BS Groupings"/>
      <sheetName val="PL Groupings"/>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Currency"/>
      <sheetName val="DropDown"/>
      <sheetName val="Non-Statistical Sampling"/>
      <sheetName val="Data"/>
      <sheetName val="curlocal"/>
      <sheetName val="E1 Invoice"/>
      <sheetName val="Groupings BS"/>
      <sheetName val="DEC PIVOT"/>
      <sheetName val="Op Plan Sales"/>
      <sheetName val="Budd Lanner Split"/>
      <sheetName val="DataFF"/>
      <sheetName val="HIGHLIGHTS"/>
      <sheetName val="STOCK VALUEMay03"/>
      <sheetName val="Schedules"/>
      <sheetName val="BS-P&amp;L"/>
      <sheetName val="Cntmrs-Recruit"/>
      <sheetName val="Apr 08 to Mar 09"/>
      <sheetName val="Expense Budget_NOV"/>
      <sheetName val="PL grp"/>
      <sheetName val="kpmg format"/>
      <sheetName val="cash flow"/>
      <sheetName val="#REF"/>
      <sheetName val="trial (2)"/>
      <sheetName val="P&amp;L"/>
      <sheetName val="Holidays"/>
      <sheetName val="References"/>
      <sheetName val="URD-s"/>
      <sheetName val="grootboekrek"/>
      <sheetName val="LINK GAP"/>
      <sheetName val="SCH4"/>
      <sheetName val="Charts"/>
      <sheetName val="BS-203"/>
      <sheetName val="Adm97"/>
      <sheetName val="130-UNIDADES"/>
      <sheetName val="CSCCincSKR"/>
      <sheetName val="Proforma"/>
      <sheetName val="WGE P&amp;E"/>
      <sheetName val="Accrual Nov'05"/>
      <sheetName val="Other notes"/>
      <sheetName val="Sheet1"/>
      <sheetName val="ConsolSkol31122002-ECBDL"/>
      <sheetName val="Model"/>
      <sheetName val="CF"/>
      <sheetName val="Overview"/>
      <sheetName val="Co.26 Unfinished P&amp;E"/>
      <sheetName val="Income Statement"/>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Ann -1"/>
      <sheetName val="pcQueryData"/>
      <sheetName val="Query SS 1_805"/>
      <sheetName val="Financials"/>
      <sheetName val="Summary"/>
      <sheetName val="Opening"/>
      <sheetName val="DepRate"/>
      <sheetName val="CRITERIA1"/>
      <sheetName val="Assum"/>
      <sheetName val="Debt"/>
      <sheetName val="Sum"/>
      <sheetName val="Cover"/>
      <sheetName val="MoCF"/>
      <sheetName val="Cochin Invoice File"/>
      <sheetName val="STPI November 08"/>
      <sheetName val="BS - L+OE"/>
      <sheetName val="Annexure 3A"/>
      <sheetName val="CWIP"/>
      <sheetName val="FORM-16"/>
      <sheetName val="Purchase Order"/>
      <sheetName val="TPM"/>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Brand &amp; CC list"/>
      <sheetName val="Market list"/>
      <sheetName val="T&amp;L"/>
      <sheetName val="dtxl"/>
      <sheetName val="EXPL.AGUA"/>
      <sheetName val="Read me"/>
      <sheetName val="Worksheet"/>
      <sheetName val="Redelvery provision chang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Control Sheet"/>
      <sheetName val="CSR-Manage Client Expectations"/>
      <sheetName val="FTE Totals_Plan"/>
      <sheetName val="CCB"/>
      <sheetName val="Criteria"/>
    </sheetNames>
    <sheetDataSet>
      <sheetData sheetId="0" refreshError="1">
        <row r="4">
          <cell r="Q4" t="str">
            <v>Assurance</v>
          </cell>
        </row>
        <row r="5">
          <cell r="Q5" t="str">
            <v xml:space="preserve">DTO  </v>
          </cell>
        </row>
        <row r="6">
          <cell r="Q6" t="str">
            <v>e-Business</v>
          </cell>
        </row>
        <row r="7">
          <cell r="Q7" t="str">
            <v xml:space="preserve">ERS  </v>
          </cell>
        </row>
        <row r="8">
          <cell r="Q8" t="str">
            <v xml:space="preserve">FAS  </v>
          </cell>
        </row>
        <row r="9">
          <cell r="Q9" t="str">
            <v>Firm Operations</v>
          </cell>
        </row>
        <row r="10">
          <cell r="Q10" t="str">
            <v>Firmwide</v>
          </cell>
        </row>
        <row r="11">
          <cell r="Q11" t="str">
            <v>Human Capital</v>
          </cell>
        </row>
        <row r="12">
          <cell r="Q12" t="str">
            <v>Human Resources</v>
          </cell>
        </row>
        <row r="13">
          <cell r="Q13" t="str">
            <v>Knowledge Management</v>
          </cell>
        </row>
        <row r="14">
          <cell r="Q14" t="str">
            <v>Marketplace Services</v>
          </cell>
        </row>
        <row r="15">
          <cell r="Q15" t="str">
            <v>OS&amp;T-Finance</v>
          </cell>
        </row>
        <row r="16">
          <cell r="Q16" t="str">
            <v>OS&amp;T-Operations</v>
          </cell>
        </row>
        <row r="17">
          <cell r="Q17" t="str">
            <v>OS&amp;T-Technology</v>
          </cell>
        </row>
        <row r="18">
          <cell r="Q18" t="str">
            <v>Solutions</v>
          </cell>
        </row>
        <row r="19">
          <cell r="Q19" t="str">
            <v xml:space="preserve">Tax  </v>
          </cell>
        </row>
        <row r="20">
          <cell r="Q20" t="str">
            <v>X-Functional</v>
          </cell>
        </row>
      </sheetData>
      <sheetData sheetId="1" refreshError="1"/>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BA"/>
      <sheetName val="FBB"/>
      <sheetName val="FBC"/>
      <sheetName val="FBD"/>
      <sheetName val="FBE"/>
      <sheetName val="FBF"/>
      <sheetName val="FBG"/>
      <sheetName val="FBH"/>
      <sheetName val="Total Year over Year"/>
      <sheetName val="BAU Int Yr over Yr"/>
      <sheetName val="Int Year over Year"/>
      <sheetName val="fcstdwld"/>
      <sheetName val="Plandwld"/>
      <sheetName val="INT fcst dwld"/>
      <sheetName val="Status Control Sheet"/>
      <sheetName val="FTE Totals_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yr_rnd_mth</v>
          </cell>
          <cell r="C1" t="str">
            <v>rpt_id</v>
          </cell>
          <cell r="D1" t="str">
            <v>rpt_title</v>
          </cell>
          <cell r="E1" t="str">
            <v>run_date</v>
          </cell>
          <cell r="F1" t="str">
            <v>entity</v>
          </cell>
          <cell r="G1" t="str">
            <v>sub_entity</v>
          </cell>
          <cell r="H1" t="str">
            <v>ent_descr</v>
          </cell>
          <cell r="I1" t="str">
            <v>hier_tbl_num</v>
          </cell>
          <cell r="J1" t="str">
            <v>hier_roll</v>
          </cell>
          <cell r="K1" t="str">
            <v>hier_descr</v>
          </cell>
          <cell r="L1" t="str">
            <v>hier_ctr</v>
          </cell>
          <cell r="M1" t="str">
            <v>ctr_descr</v>
          </cell>
          <cell r="N1" t="str">
            <v>acct_id</v>
          </cell>
          <cell r="O1" t="str">
            <v>acct_type</v>
          </cell>
          <cell r="P1" t="str">
            <v>acct_sort_key</v>
          </cell>
          <cell r="Q1" t="str">
            <v>filter_id</v>
          </cell>
          <cell r="R1" t="str">
            <v>plan_type1</v>
          </cell>
          <cell r="S1" t="str">
            <v>plan_type2</v>
          </cell>
          <cell r="T1" t="str">
            <v>filler19</v>
          </cell>
          <cell r="U1" t="str">
            <v>filler20</v>
          </cell>
          <cell r="V1" t="str">
            <v>account</v>
          </cell>
          <cell r="W1" t="str">
            <v>level</v>
          </cell>
          <cell r="X1" t="str">
            <v>description</v>
          </cell>
          <cell r="Y1" t="str">
            <v>qactavg_01012002</v>
          </cell>
          <cell r="Z1" t="str">
            <v>qactavg_04012002</v>
          </cell>
          <cell r="AA1" t="str">
            <v>qactavg_07012002</v>
          </cell>
          <cell r="AB1" t="str">
            <v>qactavg_10012002</v>
          </cell>
          <cell r="AC1" t="str">
            <v>yactavg_12012002</v>
          </cell>
          <cell r="AD1" t="str">
            <v>qactavg_01012003</v>
          </cell>
          <cell r="AE1" t="str">
            <v>qactavg_04012003</v>
          </cell>
          <cell r="AF1" t="str">
            <v>qactavg_07012003</v>
          </cell>
          <cell r="AG1" t="str">
            <v>qactavg_10012003</v>
          </cell>
          <cell r="AH1" t="str">
            <v>yactavg_12012003</v>
          </cell>
          <cell r="AI1" t="str">
            <v>currency_descr</v>
          </cell>
          <cell r="AJ1" t="str">
            <v>product_lvl</v>
          </cell>
          <cell r="AK1" t="str">
            <v>product_roll</v>
          </cell>
          <cell r="AL1" t="str">
            <v>product_roll_descr</v>
          </cell>
          <cell r="AM1" t="str">
            <v>product_sort_key</v>
          </cell>
          <cell r="AN1" t="str">
            <v>segment_lvl</v>
          </cell>
          <cell r="AO1" t="str">
            <v>segment_roll</v>
          </cell>
          <cell r="AP1" t="str">
            <v>segment_roll_descr</v>
          </cell>
          <cell r="AQ1" t="str">
            <v>segment_sort_key</v>
          </cell>
        </row>
        <row r="2">
          <cell r="A2" t="str">
            <v>hier_rollaccount</v>
          </cell>
          <cell r="B2" t="str">
            <v>yr_rnd_mth</v>
          </cell>
          <cell r="C2" t="str">
            <v>rpt_id</v>
          </cell>
          <cell r="D2" t="str">
            <v>rpt_title</v>
          </cell>
          <cell r="E2" t="str">
            <v>run_date</v>
          </cell>
          <cell r="F2" t="str">
            <v>entity</v>
          </cell>
          <cell r="G2" t="str">
            <v>sub_entity</v>
          </cell>
          <cell r="H2" t="str">
            <v>ent_descr</v>
          </cell>
          <cell r="I2" t="str">
            <v>hier_tbl_num</v>
          </cell>
          <cell r="J2" t="str">
            <v>hier_roll</v>
          </cell>
          <cell r="K2" t="str">
            <v>hier_descr</v>
          </cell>
          <cell r="L2" t="str">
            <v>hier_ctr</v>
          </cell>
          <cell r="M2" t="str">
            <v>ctr_descr</v>
          </cell>
          <cell r="N2" t="str">
            <v>acct_id</v>
          </cell>
          <cell r="O2" t="str">
            <v>acct_type</v>
          </cell>
          <cell r="P2" t="str">
            <v>acct_sort_key</v>
          </cell>
          <cell r="Q2" t="str">
            <v>filter_id</v>
          </cell>
          <cell r="R2" t="str">
            <v>plan_type1</v>
          </cell>
          <cell r="S2" t="str">
            <v>plan_type2</v>
          </cell>
          <cell r="T2" t="str">
            <v>filler19</v>
          </cell>
          <cell r="U2" t="str">
            <v>filler20</v>
          </cell>
          <cell r="V2" t="str">
            <v>account</v>
          </cell>
          <cell r="W2" t="str">
            <v>level</v>
          </cell>
          <cell r="X2" t="str">
            <v>description</v>
          </cell>
          <cell r="Y2" t="str">
            <v>qactavg_01012002</v>
          </cell>
          <cell r="Z2" t="str">
            <v>qactavg_04012002</v>
          </cell>
          <cell r="AA2" t="str">
            <v>qactavg_07012002</v>
          </cell>
          <cell r="AB2" t="str">
            <v>qactavg_10012002</v>
          </cell>
          <cell r="AC2" t="str">
            <v>yactavg_12012002</v>
          </cell>
          <cell r="AD2" t="str">
            <v>qactavg_01012003</v>
          </cell>
          <cell r="AE2" t="str">
            <v>qactavg_04012003</v>
          </cell>
          <cell r="AF2" t="str">
            <v>qactavg_07012003</v>
          </cell>
          <cell r="AG2" t="str">
            <v>qactavg_10012003</v>
          </cell>
          <cell r="AH2" t="str">
            <v>yactavg_12012003</v>
          </cell>
          <cell r="AI2" t="str">
            <v>currency_descr</v>
          </cell>
          <cell r="AJ2" t="str">
            <v>product_lvl</v>
          </cell>
          <cell r="AK2" t="str">
            <v>product_roll</v>
          </cell>
          <cell r="AL2" t="str">
            <v>product_roll_descr</v>
          </cell>
          <cell r="AM2" t="str">
            <v>product_sort_key</v>
          </cell>
          <cell r="AN2" t="str">
            <v>segment_lvl</v>
          </cell>
          <cell r="AO2" t="str">
            <v>segment_roll</v>
          </cell>
          <cell r="AP2" t="str">
            <v>segment_roll_descr</v>
          </cell>
          <cell r="AQ2" t="str">
            <v>segment_sort_key</v>
          </cell>
        </row>
        <row r="3">
          <cell r="A3" t="str">
            <v>FB........600300</v>
          </cell>
          <cell r="B3" t="str">
            <v>2003T12</v>
          </cell>
          <cell r="C3" t="str">
            <v xml:space="preserve">TREND    </v>
          </cell>
          <cell r="D3" t="str">
            <v xml:space="preserve">Trend -  QTD Average/Activity                     </v>
          </cell>
          <cell r="E3" t="str">
            <v>Run: 08/07/03 13:53:41</v>
          </cell>
          <cell r="F3" t="str">
            <v>999</v>
          </cell>
          <cell r="G3" t="str">
            <v>100</v>
          </cell>
          <cell r="H3" t="str">
            <v xml:space="preserve">Bank Of America Management Reporting              </v>
          </cell>
          <cell r="I3" t="str">
            <v>001</v>
          </cell>
          <cell r="J3" t="str">
            <v>FB........</v>
          </cell>
          <cell r="K3" t="str">
            <v xml:space="preserve">Gcib Global Operations                            </v>
          </cell>
          <cell r="L3" t="str">
            <v xml:space="preserve"> </v>
          </cell>
          <cell r="M3" t="str">
            <v xml:space="preserve"> </v>
          </cell>
          <cell r="N3" t="str">
            <v>bamgt</v>
          </cell>
          <cell r="O3" t="str">
            <v>40</v>
          </cell>
          <cell r="P3" t="str">
            <v>600000A  600250   999999999600300   999999999999999999999999999999999999</v>
          </cell>
          <cell r="Q3" t="str">
            <v xml:space="preserve">none     </v>
          </cell>
          <cell r="R3" t="str">
            <v>RollFCST-Working Version</v>
          </cell>
          <cell r="S3" t="str">
            <v>RollFCST-Working Version</v>
          </cell>
          <cell r="T3" t="str">
            <v xml:space="preserve"> </v>
          </cell>
          <cell r="U3" t="str">
            <v xml:space="preserve"> </v>
          </cell>
          <cell r="V3" t="str">
            <v>600300</v>
          </cell>
          <cell r="W3" t="str">
            <v>4</v>
          </cell>
          <cell r="X3" t="str">
            <v xml:space="preserve">      Salaries &amp; Wages                  </v>
          </cell>
          <cell r="Y3">
            <v>23710.654689999999</v>
          </cell>
          <cell r="Z3">
            <v>23825.067179999998</v>
          </cell>
          <cell r="AA3">
            <v>24931.855869999999</v>
          </cell>
          <cell r="AB3">
            <v>25412.05387</v>
          </cell>
          <cell r="AC3">
            <v>97879.631609999997</v>
          </cell>
          <cell r="AD3">
            <v>25166.503860000001</v>
          </cell>
          <cell r="AE3">
            <v>24624.49554</v>
          </cell>
          <cell r="AF3">
            <v>25608.560310000001</v>
          </cell>
          <cell r="AG3">
            <v>26738.26</v>
          </cell>
          <cell r="AH3">
            <v>102137.81971</v>
          </cell>
          <cell r="AI3" t="str">
            <v xml:space="preserve">U.S. Dollar                   </v>
          </cell>
          <cell r="AJ3" t="str">
            <v xml:space="preserve"> </v>
          </cell>
          <cell r="AK3" t="str">
            <v xml:space="preserve"> </v>
          </cell>
          <cell r="AL3" t="str">
            <v xml:space="preserve"> </v>
          </cell>
          <cell r="AM3" t="str">
            <v xml:space="preserve"> </v>
          </cell>
          <cell r="AN3" t="str">
            <v xml:space="preserve"> </v>
          </cell>
          <cell r="AO3" t="str">
            <v xml:space="preserve"> </v>
          </cell>
          <cell r="AP3" t="str">
            <v xml:space="preserve"> </v>
          </cell>
          <cell r="AQ3" t="str">
            <v xml:space="preserve"> </v>
          </cell>
        </row>
        <row r="4">
          <cell r="A4" t="str">
            <v>FB........601000</v>
          </cell>
          <cell r="B4" t="str">
            <v>2003T12</v>
          </cell>
          <cell r="C4" t="str">
            <v xml:space="preserve">TREND    </v>
          </cell>
          <cell r="D4" t="str">
            <v xml:space="preserve">Trend -  QTD Average/Activity                     </v>
          </cell>
          <cell r="E4" t="str">
            <v>Run: 08/07/03 13:53:41</v>
          </cell>
          <cell r="F4" t="str">
            <v>999</v>
          </cell>
          <cell r="G4" t="str">
            <v>100</v>
          </cell>
          <cell r="H4" t="str">
            <v xml:space="preserve">Bank Of America Management Reporting              </v>
          </cell>
          <cell r="I4" t="str">
            <v>001</v>
          </cell>
          <cell r="J4" t="str">
            <v>FB........</v>
          </cell>
          <cell r="K4" t="str">
            <v xml:space="preserve">Gcib Global Operations                            </v>
          </cell>
          <cell r="L4" t="str">
            <v xml:space="preserve"> </v>
          </cell>
          <cell r="M4" t="str">
            <v xml:space="preserve"> </v>
          </cell>
          <cell r="N4" t="str">
            <v>bamgt</v>
          </cell>
          <cell r="O4" t="str">
            <v>40</v>
          </cell>
          <cell r="P4" t="str">
            <v>600000A  600250   999999999601000   999999999999999999999999999999999999</v>
          </cell>
          <cell r="Q4" t="str">
            <v xml:space="preserve">none     </v>
          </cell>
          <cell r="R4" t="str">
            <v>RollFCST-Working Version</v>
          </cell>
          <cell r="S4" t="str">
            <v>RollFCST-Working Version</v>
          </cell>
          <cell r="T4" t="str">
            <v xml:space="preserve"> </v>
          </cell>
          <cell r="U4" t="str">
            <v xml:space="preserve"> </v>
          </cell>
          <cell r="V4" t="str">
            <v>601000</v>
          </cell>
          <cell r="W4" t="str">
            <v>4</v>
          </cell>
          <cell r="X4" t="str">
            <v xml:space="preserve">      Overtime Salaries                 </v>
          </cell>
          <cell r="Y4">
            <v>500.12900000000002</v>
          </cell>
          <cell r="Z4">
            <v>457.81957</v>
          </cell>
          <cell r="AA4">
            <v>414.56970000000001</v>
          </cell>
          <cell r="AB4">
            <v>308.09530999999998</v>
          </cell>
          <cell r="AC4">
            <v>1680.61358</v>
          </cell>
          <cell r="AD4">
            <v>258.10475000000002</v>
          </cell>
          <cell r="AE4">
            <v>289.94941</v>
          </cell>
          <cell r="AF4">
            <v>328.36309</v>
          </cell>
          <cell r="AG4">
            <v>355.47</v>
          </cell>
          <cell r="AH4">
            <v>1231.88725</v>
          </cell>
          <cell r="AI4" t="str">
            <v xml:space="preserve">U.S. Dollar                   </v>
          </cell>
          <cell r="AJ4" t="str">
            <v xml:space="preserve"> </v>
          </cell>
          <cell r="AK4" t="str">
            <v xml:space="preserve"> </v>
          </cell>
          <cell r="AL4" t="str">
            <v xml:space="preserve"> </v>
          </cell>
          <cell r="AM4" t="str">
            <v xml:space="preserve"> </v>
          </cell>
          <cell r="AN4" t="str">
            <v xml:space="preserve"> </v>
          </cell>
          <cell r="AO4" t="str">
            <v xml:space="preserve"> </v>
          </cell>
          <cell r="AP4" t="str">
            <v xml:space="preserve"> </v>
          </cell>
          <cell r="AQ4" t="str">
            <v xml:space="preserve"> </v>
          </cell>
        </row>
        <row r="5">
          <cell r="A5" t="str">
            <v>FB........601500</v>
          </cell>
          <cell r="B5" t="str">
            <v>2003T12</v>
          </cell>
          <cell r="C5" t="str">
            <v xml:space="preserve">TREND    </v>
          </cell>
          <cell r="D5" t="str">
            <v xml:space="preserve">Trend -  QTD Average/Activity                     </v>
          </cell>
          <cell r="E5" t="str">
            <v>Run: 08/07/03 13:53:41</v>
          </cell>
          <cell r="F5" t="str">
            <v>999</v>
          </cell>
          <cell r="G5" t="str">
            <v>100</v>
          </cell>
          <cell r="H5" t="str">
            <v xml:space="preserve">Bank Of America Management Reporting              </v>
          </cell>
          <cell r="I5" t="str">
            <v>001</v>
          </cell>
          <cell r="J5" t="str">
            <v>FB........</v>
          </cell>
          <cell r="K5" t="str">
            <v xml:space="preserve">Gcib Global Operations                            </v>
          </cell>
          <cell r="L5" t="str">
            <v xml:space="preserve"> </v>
          </cell>
          <cell r="M5" t="str">
            <v xml:space="preserve"> </v>
          </cell>
          <cell r="N5" t="str">
            <v>bamgt</v>
          </cell>
          <cell r="O5" t="str">
            <v>40</v>
          </cell>
          <cell r="P5" t="str">
            <v>600000A  600250   999999999601500   999999999999999999999999999999999999</v>
          </cell>
          <cell r="Q5" t="str">
            <v xml:space="preserve">none     </v>
          </cell>
          <cell r="R5" t="str">
            <v>RollFCST-Working Version</v>
          </cell>
          <cell r="S5" t="str">
            <v>RollFCST-Working Version</v>
          </cell>
          <cell r="T5" t="str">
            <v xml:space="preserve"> </v>
          </cell>
          <cell r="U5" t="str">
            <v xml:space="preserve"> </v>
          </cell>
          <cell r="V5" t="str">
            <v>601500</v>
          </cell>
          <cell r="W5" t="str">
            <v>4</v>
          </cell>
          <cell r="X5" t="str">
            <v xml:space="preserve">      Incentive Compensation            </v>
          </cell>
          <cell r="Y5">
            <v>4.14344</v>
          </cell>
          <cell r="Z5">
            <v>4.5629499999999998</v>
          </cell>
          <cell r="AA5">
            <v>11.805999999999999</v>
          </cell>
          <cell r="AB5">
            <v>6.4102800000000002</v>
          </cell>
          <cell r="AC5">
            <v>26.92267</v>
          </cell>
          <cell r="AD5">
            <v>2.1619999999999999</v>
          </cell>
          <cell r="AE5">
            <v>3.41818</v>
          </cell>
          <cell r="AF5">
            <v>16.696999999999999</v>
          </cell>
          <cell r="AG5">
            <v>0.9</v>
          </cell>
          <cell r="AH5">
            <v>23.17718</v>
          </cell>
          <cell r="AI5" t="str">
            <v xml:space="preserve">U.S. Dollar                   </v>
          </cell>
          <cell r="AJ5" t="str">
            <v xml:space="preserve"> </v>
          </cell>
          <cell r="AK5" t="str">
            <v xml:space="preserve"> </v>
          </cell>
          <cell r="AL5" t="str">
            <v xml:space="preserve"> </v>
          </cell>
          <cell r="AM5" t="str">
            <v xml:space="preserve"> </v>
          </cell>
          <cell r="AN5" t="str">
            <v xml:space="preserve"> </v>
          </cell>
          <cell r="AO5" t="str">
            <v xml:space="preserve"> </v>
          </cell>
          <cell r="AP5" t="str">
            <v xml:space="preserve"> </v>
          </cell>
          <cell r="AQ5" t="str">
            <v xml:space="preserve"> </v>
          </cell>
        </row>
        <row r="6">
          <cell r="A6" t="str">
            <v>FB........602400</v>
          </cell>
          <cell r="B6" t="str">
            <v>2003T12</v>
          </cell>
          <cell r="C6" t="str">
            <v xml:space="preserve">TREND    </v>
          </cell>
          <cell r="D6" t="str">
            <v xml:space="preserve">Trend -  QTD Average/Activity                     </v>
          </cell>
          <cell r="E6" t="str">
            <v>Run: 08/07/03 13:53:41</v>
          </cell>
          <cell r="F6" t="str">
            <v>999</v>
          </cell>
          <cell r="G6" t="str">
            <v>100</v>
          </cell>
          <cell r="H6" t="str">
            <v xml:space="preserve">Bank Of America Management Reporting              </v>
          </cell>
          <cell r="I6" t="str">
            <v>001</v>
          </cell>
          <cell r="J6" t="str">
            <v>FB........</v>
          </cell>
          <cell r="K6" t="str">
            <v xml:space="preserve">Gcib Global Operations                            </v>
          </cell>
          <cell r="L6" t="str">
            <v xml:space="preserve"> </v>
          </cell>
          <cell r="M6" t="str">
            <v xml:space="preserve"> </v>
          </cell>
          <cell r="N6" t="str">
            <v>bamgt</v>
          </cell>
          <cell r="O6" t="str">
            <v>40</v>
          </cell>
          <cell r="P6" t="str">
            <v>600000A  600250   999999999602000   602400   999999999999999999999999999</v>
          </cell>
          <cell r="Q6" t="str">
            <v xml:space="preserve">none     </v>
          </cell>
          <cell r="R6" t="str">
            <v>RollFCST-Working Version</v>
          </cell>
          <cell r="S6" t="str">
            <v>RollFCST-Working Version</v>
          </cell>
          <cell r="T6" t="str">
            <v xml:space="preserve"> </v>
          </cell>
          <cell r="U6" t="str">
            <v xml:space="preserve"> </v>
          </cell>
          <cell r="V6" t="str">
            <v>602400</v>
          </cell>
          <cell r="W6" t="str">
            <v>5</v>
          </cell>
          <cell r="X6" t="str">
            <v xml:space="preserve">        Other Employee Compensation     </v>
          </cell>
          <cell r="Y6">
            <v>220.25115</v>
          </cell>
          <cell r="Z6">
            <v>459.77436</v>
          </cell>
          <cell r="AA6">
            <v>225.27125000000001</v>
          </cell>
          <cell r="AB6">
            <v>331.07400999999999</v>
          </cell>
          <cell r="AC6">
            <v>1236.37077</v>
          </cell>
          <cell r="AD6">
            <v>189.42057</v>
          </cell>
          <cell r="AE6">
            <v>239.03579999999999</v>
          </cell>
          <cell r="AF6">
            <v>75.506410000000002</v>
          </cell>
          <cell r="AG6">
            <v>67</v>
          </cell>
          <cell r="AH6">
            <v>570.96277999999995</v>
          </cell>
          <cell r="AI6" t="str">
            <v xml:space="preserve">U.S. Dollar                   </v>
          </cell>
          <cell r="AJ6" t="str">
            <v xml:space="preserve"> </v>
          </cell>
          <cell r="AK6" t="str">
            <v xml:space="preserve"> </v>
          </cell>
          <cell r="AL6" t="str">
            <v xml:space="preserve"> </v>
          </cell>
          <cell r="AM6" t="str">
            <v xml:space="preserve"> </v>
          </cell>
          <cell r="AN6" t="str">
            <v xml:space="preserve"> </v>
          </cell>
          <cell r="AO6" t="str">
            <v xml:space="preserve"> </v>
          </cell>
          <cell r="AP6" t="str">
            <v xml:space="preserve"> </v>
          </cell>
          <cell r="AQ6" t="str">
            <v xml:space="preserve"> </v>
          </cell>
        </row>
        <row r="7">
          <cell r="A7" t="str">
            <v>FB........602000</v>
          </cell>
          <cell r="B7" t="str">
            <v>2003T12</v>
          </cell>
          <cell r="C7" t="str">
            <v xml:space="preserve">TREND    </v>
          </cell>
          <cell r="D7" t="str">
            <v xml:space="preserve">Trend -  QTD Average/Activity                     </v>
          </cell>
          <cell r="E7" t="str">
            <v>Run: 08/07/03 13:53:41</v>
          </cell>
          <cell r="F7" t="str">
            <v>999</v>
          </cell>
          <cell r="G7" t="str">
            <v>100</v>
          </cell>
          <cell r="H7" t="str">
            <v xml:space="preserve">Bank Of America Management Reporting              </v>
          </cell>
          <cell r="I7" t="str">
            <v>001</v>
          </cell>
          <cell r="J7" t="str">
            <v>FB........</v>
          </cell>
          <cell r="K7" t="str">
            <v xml:space="preserve">Gcib Global Operations                            </v>
          </cell>
          <cell r="L7" t="str">
            <v xml:space="preserve"> </v>
          </cell>
          <cell r="M7" t="str">
            <v xml:space="preserve"> </v>
          </cell>
          <cell r="N7" t="str">
            <v>bamgt</v>
          </cell>
          <cell r="O7" t="str">
            <v>40</v>
          </cell>
          <cell r="P7" t="str">
            <v>600000A  600250   999999999602000   999999999999999999999999999999999999</v>
          </cell>
          <cell r="Q7" t="str">
            <v xml:space="preserve">none     </v>
          </cell>
          <cell r="R7" t="str">
            <v>RollFCST-Working Version</v>
          </cell>
          <cell r="S7" t="str">
            <v>RollFCST-Working Version</v>
          </cell>
          <cell r="T7" t="str">
            <v xml:space="preserve"> </v>
          </cell>
          <cell r="U7" t="str">
            <v xml:space="preserve"> </v>
          </cell>
          <cell r="V7" t="str">
            <v>602000</v>
          </cell>
          <cell r="W7" t="str">
            <v>4</v>
          </cell>
          <cell r="X7" t="str">
            <v xml:space="preserve">      Contract Temporary/Other Compensat</v>
          </cell>
          <cell r="Y7">
            <v>2251.8418499999998</v>
          </cell>
          <cell r="Z7">
            <v>2099.3139000000001</v>
          </cell>
          <cell r="AA7">
            <v>1449.79937</v>
          </cell>
          <cell r="AB7">
            <v>1674.2943600000001</v>
          </cell>
          <cell r="AC7">
            <v>7475.2494800000004</v>
          </cell>
          <cell r="AD7">
            <v>947.63189999999997</v>
          </cell>
          <cell r="AE7">
            <v>1307.4899600000001</v>
          </cell>
          <cell r="AF7">
            <v>996.88248999999996</v>
          </cell>
          <cell r="AG7">
            <v>790.02</v>
          </cell>
          <cell r="AH7">
            <v>4042.0243500000001</v>
          </cell>
          <cell r="AI7" t="str">
            <v xml:space="preserve">U.S. Dollar                   </v>
          </cell>
          <cell r="AJ7" t="str">
            <v xml:space="preserve"> </v>
          </cell>
          <cell r="AK7" t="str">
            <v xml:space="preserve"> </v>
          </cell>
          <cell r="AL7" t="str">
            <v xml:space="preserve"> </v>
          </cell>
          <cell r="AM7" t="str">
            <v xml:space="preserve"> </v>
          </cell>
          <cell r="AN7" t="str">
            <v xml:space="preserve"> </v>
          </cell>
          <cell r="AO7" t="str">
            <v xml:space="preserve"> </v>
          </cell>
          <cell r="AP7" t="str">
            <v xml:space="preserve"> </v>
          </cell>
          <cell r="AQ7" t="str">
            <v xml:space="preserve"> </v>
          </cell>
        </row>
        <row r="8">
          <cell r="A8" t="str">
            <v>FB........603000</v>
          </cell>
          <cell r="B8" t="str">
            <v>2003T12</v>
          </cell>
          <cell r="C8" t="str">
            <v xml:space="preserve">TREND    </v>
          </cell>
          <cell r="D8" t="str">
            <v xml:space="preserve">Trend -  QTD Average/Activity                     </v>
          </cell>
          <cell r="E8" t="str">
            <v>Run: 08/07/03 13:53:41</v>
          </cell>
          <cell r="F8" t="str">
            <v>999</v>
          </cell>
          <cell r="G8" t="str">
            <v>100</v>
          </cell>
          <cell r="H8" t="str">
            <v xml:space="preserve">Bank Of America Management Reporting              </v>
          </cell>
          <cell r="I8" t="str">
            <v>001</v>
          </cell>
          <cell r="J8" t="str">
            <v>FB........</v>
          </cell>
          <cell r="K8" t="str">
            <v xml:space="preserve">Gcib Global Operations                            </v>
          </cell>
          <cell r="L8" t="str">
            <v xml:space="preserve"> </v>
          </cell>
          <cell r="M8" t="str">
            <v xml:space="preserve"> </v>
          </cell>
          <cell r="N8" t="str">
            <v>bamgt</v>
          </cell>
          <cell r="O8" t="str">
            <v>40</v>
          </cell>
          <cell r="P8" t="str">
            <v>600000A  600250   999999999603000   999999999999999999999999999999999999</v>
          </cell>
          <cell r="Q8" t="str">
            <v xml:space="preserve">none     </v>
          </cell>
          <cell r="R8" t="str">
            <v>RollFCST-Working Version</v>
          </cell>
          <cell r="S8" t="str">
            <v>RollFCST-Working Version</v>
          </cell>
          <cell r="T8" t="str">
            <v xml:space="preserve"> </v>
          </cell>
          <cell r="U8" t="str">
            <v xml:space="preserve"> </v>
          </cell>
          <cell r="V8" t="str">
            <v>603000</v>
          </cell>
          <cell r="W8" t="str">
            <v>4</v>
          </cell>
          <cell r="X8" t="str">
            <v xml:space="preserve">      Employee Benefits                 </v>
          </cell>
          <cell r="Y8">
            <v>5283.97912</v>
          </cell>
          <cell r="Z8">
            <v>6242.2692699999998</v>
          </cell>
          <cell r="AA8">
            <v>6006.9299000000001</v>
          </cell>
          <cell r="AB8">
            <v>6133.4755100000002</v>
          </cell>
          <cell r="AC8">
            <v>23666.6538</v>
          </cell>
          <cell r="AD8">
            <v>6310.7109</v>
          </cell>
          <cell r="AE8">
            <v>6345.92983</v>
          </cell>
          <cell r="AF8">
            <v>6641.4119799999999</v>
          </cell>
          <cell r="AG8">
            <v>6660.3</v>
          </cell>
          <cell r="AH8">
            <v>25958.352709999999</v>
          </cell>
          <cell r="AI8" t="str">
            <v xml:space="preserve">U.S. Dollar                   </v>
          </cell>
          <cell r="AJ8" t="str">
            <v xml:space="preserve"> </v>
          </cell>
          <cell r="AK8" t="str">
            <v xml:space="preserve"> </v>
          </cell>
          <cell r="AL8" t="str">
            <v xml:space="preserve"> </v>
          </cell>
          <cell r="AM8" t="str">
            <v xml:space="preserve"> </v>
          </cell>
          <cell r="AN8" t="str">
            <v xml:space="preserve"> </v>
          </cell>
          <cell r="AO8" t="str">
            <v xml:space="preserve"> </v>
          </cell>
          <cell r="AP8" t="str">
            <v xml:space="preserve"> </v>
          </cell>
          <cell r="AQ8" t="str">
            <v xml:space="preserve"> </v>
          </cell>
        </row>
        <row r="9">
          <cell r="A9" t="str">
            <v>FB........600250</v>
          </cell>
          <cell r="B9" t="str">
            <v>2003T12</v>
          </cell>
          <cell r="C9" t="str">
            <v xml:space="preserve">TREND    </v>
          </cell>
          <cell r="D9" t="str">
            <v xml:space="preserve">Trend -  QTD Average/Activity                     </v>
          </cell>
          <cell r="E9" t="str">
            <v>Run: 08/07/03 13:53:41</v>
          </cell>
          <cell r="F9" t="str">
            <v>999</v>
          </cell>
          <cell r="G9" t="str">
            <v>100</v>
          </cell>
          <cell r="H9" t="str">
            <v xml:space="preserve">Bank Of America Management Reporting              </v>
          </cell>
          <cell r="I9" t="str">
            <v>001</v>
          </cell>
          <cell r="J9" t="str">
            <v>FB........</v>
          </cell>
          <cell r="K9" t="str">
            <v xml:space="preserve">Gcib Global Operations                            </v>
          </cell>
          <cell r="L9" t="str">
            <v xml:space="preserve"> </v>
          </cell>
          <cell r="M9" t="str">
            <v xml:space="preserve"> </v>
          </cell>
          <cell r="N9" t="str">
            <v>bamgt</v>
          </cell>
          <cell r="O9" t="str">
            <v>40</v>
          </cell>
          <cell r="P9" t="str">
            <v>600000A  600250   999999999999999999999999999999999999999999999999999999</v>
          </cell>
          <cell r="Q9" t="str">
            <v xml:space="preserve">none     </v>
          </cell>
          <cell r="R9" t="str">
            <v>RollFCST-Working Version</v>
          </cell>
          <cell r="S9" t="str">
            <v>RollFCST-Working Version</v>
          </cell>
          <cell r="T9" t="str">
            <v xml:space="preserve"> </v>
          </cell>
          <cell r="U9" t="str">
            <v xml:space="preserve"> </v>
          </cell>
          <cell r="V9" t="str">
            <v>600250</v>
          </cell>
          <cell r="W9" t="str">
            <v>2</v>
          </cell>
          <cell r="X9" t="str">
            <v xml:space="preserve">  Personnel                             </v>
          </cell>
          <cell r="Y9">
            <v>31750.748100000001</v>
          </cell>
          <cell r="Z9">
            <v>32629.032869999999</v>
          </cell>
          <cell r="AA9">
            <v>32814.96084</v>
          </cell>
          <cell r="AB9">
            <v>33534.32933</v>
          </cell>
          <cell r="AC9">
            <v>130729.07114</v>
          </cell>
          <cell r="AD9">
            <v>32685.113410000002</v>
          </cell>
          <cell r="AE9">
            <v>32571.282920000001</v>
          </cell>
          <cell r="AF9">
            <v>33591.914870000001</v>
          </cell>
          <cell r="AG9">
            <v>34544.949999999997</v>
          </cell>
          <cell r="AH9">
            <v>133393.26120000001</v>
          </cell>
          <cell r="AI9" t="str">
            <v xml:space="preserve">U.S. Dollar                   </v>
          </cell>
          <cell r="AJ9" t="str">
            <v xml:space="preserve"> </v>
          </cell>
          <cell r="AK9" t="str">
            <v xml:space="preserve"> </v>
          </cell>
          <cell r="AL9" t="str">
            <v xml:space="preserve"> </v>
          </cell>
          <cell r="AM9" t="str">
            <v xml:space="preserve"> </v>
          </cell>
          <cell r="AN9" t="str">
            <v xml:space="preserve"> </v>
          </cell>
          <cell r="AO9" t="str">
            <v xml:space="preserve"> </v>
          </cell>
          <cell r="AP9" t="str">
            <v xml:space="preserve"> </v>
          </cell>
          <cell r="AQ9" t="str">
            <v xml:space="preserve"> </v>
          </cell>
        </row>
        <row r="10">
          <cell r="A10" t="str">
            <v>FB........610000</v>
          </cell>
          <cell r="B10" t="str">
            <v>2003T12</v>
          </cell>
          <cell r="C10" t="str">
            <v xml:space="preserve">TREND    </v>
          </cell>
          <cell r="D10" t="str">
            <v xml:space="preserve">Trend -  QTD Average/Activity                     </v>
          </cell>
          <cell r="E10" t="str">
            <v>Run: 08/07/03 13:53:41</v>
          </cell>
          <cell r="F10" t="str">
            <v>999</v>
          </cell>
          <cell r="G10" t="str">
            <v>100</v>
          </cell>
          <cell r="H10" t="str">
            <v xml:space="preserve">Bank Of America Management Reporting              </v>
          </cell>
          <cell r="I10" t="str">
            <v>001</v>
          </cell>
          <cell r="J10" t="str">
            <v>FB........</v>
          </cell>
          <cell r="K10" t="str">
            <v xml:space="preserve">Gcib Global Operations                            </v>
          </cell>
          <cell r="L10" t="str">
            <v xml:space="preserve"> </v>
          </cell>
          <cell r="M10" t="str">
            <v xml:space="preserve"> </v>
          </cell>
          <cell r="N10" t="str">
            <v>bamgt</v>
          </cell>
          <cell r="O10" t="str">
            <v>40</v>
          </cell>
          <cell r="P10" t="str">
            <v>600000A  610000   999999999999999999999999999999999999999999999999999999</v>
          </cell>
          <cell r="Q10" t="str">
            <v xml:space="preserve">none     </v>
          </cell>
          <cell r="R10" t="str">
            <v>RollFCST-Working Version</v>
          </cell>
          <cell r="S10" t="str">
            <v>RollFCST-Working Version</v>
          </cell>
          <cell r="T10" t="str">
            <v xml:space="preserve"> </v>
          </cell>
          <cell r="U10" t="str">
            <v xml:space="preserve"> </v>
          </cell>
          <cell r="V10" t="str">
            <v>610000</v>
          </cell>
          <cell r="W10" t="str">
            <v>2</v>
          </cell>
          <cell r="X10" t="str">
            <v xml:space="preserve">  Net Occupancy Expense                 </v>
          </cell>
          <cell r="Y10">
            <v>4290.3439900000003</v>
          </cell>
          <cell r="Z10">
            <v>4291.8906200000001</v>
          </cell>
          <cell r="AA10">
            <v>4309.4748600000003</v>
          </cell>
          <cell r="AB10">
            <v>4714.1706199999999</v>
          </cell>
          <cell r="AC10">
            <v>17605.880089999999</v>
          </cell>
          <cell r="AD10">
            <v>4543.0378000000001</v>
          </cell>
          <cell r="AE10">
            <v>4566.4933099999998</v>
          </cell>
          <cell r="AF10">
            <v>4603.4542899999997</v>
          </cell>
          <cell r="AG10">
            <v>5701.41</v>
          </cell>
          <cell r="AH10">
            <v>19414.395400000001</v>
          </cell>
          <cell r="AI10" t="str">
            <v xml:space="preserve">U.S. Dollar                   </v>
          </cell>
          <cell r="AJ10" t="str">
            <v xml:space="preserve"> </v>
          </cell>
          <cell r="AK10" t="str">
            <v xml:space="preserve"> </v>
          </cell>
          <cell r="AL10" t="str">
            <v xml:space="preserve"> </v>
          </cell>
          <cell r="AM10" t="str">
            <v xml:space="preserve"> </v>
          </cell>
          <cell r="AN10" t="str">
            <v xml:space="preserve"> </v>
          </cell>
          <cell r="AO10" t="str">
            <v xml:space="preserve"> </v>
          </cell>
          <cell r="AP10" t="str">
            <v xml:space="preserve"> </v>
          </cell>
          <cell r="AQ10" t="str">
            <v xml:space="preserve"> </v>
          </cell>
        </row>
        <row r="11">
          <cell r="A11" t="str">
            <v>FB........620000</v>
          </cell>
          <cell r="B11" t="str">
            <v>2003T12</v>
          </cell>
          <cell r="C11" t="str">
            <v xml:space="preserve">TREND    </v>
          </cell>
          <cell r="D11" t="str">
            <v xml:space="preserve">Trend -  QTD Average/Activity                     </v>
          </cell>
          <cell r="E11" t="str">
            <v>Run: 08/07/03 13:53:41</v>
          </cell>
          <cell r="F11" t="str">
            <v>999</v>
          </cell>
          <cell r="G11" t="str">
            <v>100</v>
          </cell>
          <cell r="H11" t="str">
            <v xml:space="preserve">Bank Of America Management Reporting              </v>
          </cell>
          <cell r="I11" t="str">
            <v>001</v>
          </cell>
          <cell r="J11" t="str">
            <v>FB........</v>
          </cell>
          <cell r="K11" t="str">
            <v xml:space="preserve">Gcib Global Operations                            </v>
          </cell>
          <cell r="L11" t="str">
            <v xml:space="preserve"> </v>
          </cell>
          <cell r="M11" t="str">
            <v xml:space="preserve"> </v>
          </cell>
          <cell r="N11" t="str">
            <v>bamgt</v>
          </cell>
          <cell r="O11" t="str">
            <v>40</v>
          </cell>
          <cell r="P11" t="str">
            <v>600000A  620000   999999999999999999999999999999999999999999999999999999</v>
          </cell>
          <cell r="Q11" t="str">
            <v xml:space="preserve">none     </v>
          </cell>
          <cell r="R11" t="str">
            <v>RollFCST-Working Version</v>
          </cell>
          <cell r="S11" t="str">
            <v>RollFCST-Working Version</v>
          </cell>
          <cell r="T11" t="str">
            <v xml:space="preserve"> </v>
          </cell>
          <cell r="U11" t="str">
            <v xml:space="preserve"> </v>
          </cell>
          <cell r="V11" t="str">
            <v>620000</v>
          </cell>
          <cell r="W11" t="str">
            <v>2</v>
          </cell>
          <cell r="X11" t="str">
            <v xml:space="preserve">  Furniture &amp; Equipment                 </v>
          </cell>
          <cell r="Y11">
            <v>1270.1570200000001</v>
          </cell>
          <cell r="Z11">
            <v>1621.38985</v>
          </cell>
          <cell r="AA11">
            <v>1481.7495799999999</v>
          </cell>
          <cell r="AB11">
            <v>1094.0135499999999</v>
          </cell>
          <cell r="AC11">
            <v>5467.31</v>
          </cell>
          <cell r="AD11">
            <v>1362.9183499999999</v>
          </cell>
          <cell r="AE11">
            <v>928.52119000000005</v>
          </cell>
          <cell r="AF11">
            <v>1828.5546899999999</v>
          </cell>
          <cell r="AG11">
            <v>1158.2</v>
          </cell>
          <cell r="AH11">
            <v>5278.1942300000001</v>
          </cell>
          <cell r="AI11" t="str">
            <v xml:space="preserve">U.S. Dollar                   </v>
          </cell>
          <cell r="AJ11" t="str">
            <v xml:space="preserve"> </v>
          </cell>
          <cell r="AK11" t="str">
            <v xml:space="preserve"> </v>
          </cell>
          <cell r="AL11" t="str">
            <v xml:space="preserve"> </v>
          </cell>
          <cell r="AM11" t="str">
            <v xml:space="preserve"> </v>
          </cell>
          <cell r="AN11" t="str">
            <v xml:space="preserve"> </v>
          </cell>
          <cell r="AO11" t="str">
            <v xml:space="preserve"> </v>
          </cell>
          <cell r="AP11" t="str">
            <v xml:space="preserve"> </v>
          </cell>
          <cell r="AQ11" t="str">
            <v xml:space="preserve"> </v>
          </cell>
        </row>
        <row r="12">
          <cell r="A12" t="str">
            <v>FB........623000</v>
          </cell>
          <cell r="B12" t="str">
            <v>2003T12</v>
          </cell>
          <cell r="C12" t="str">
            <v xml:space="preserve">TREND    </v>
          </cell>
          <cell r="D12" t="str">
            <v xml:space="preserve">Trend -  QTD Average/Activity                     </v>
          </cell>
          <cell r="E12" t="str">
            <v>Run: 08/07/03 13:53:41</v>
          </cell>
          <cell r="F12" t="str">
            <v>999</v>
          </cell>
          <cell r="G12" t="str">
            <v>100</v>
          </cell>
          <cell r="H12" t="str">
            <v xml:space="preserve">Bank Of America Management Reporting              </v>
          </cell>
          <cell r="I12" t="str">
            <v>001</v>
          </cell>
          <cell r="J12" t="str">
            <v>FB........</v>
          </cell>
          <cell r="K12" t="str">
            <v xml:space="preserve">Gcib Global Operations                            </v>
          </cell>
          <cell r="L12" t="str">
            <v xml:space="preserve"> </v>
          </cell>
          <cell r="M12" t="str">
            <v xml:space="preserve"> </v>
          </cell>
          <cell r="N12" t="str">
            <v>bamgt</v>
          </cell>
          <cell r="O12" t="str">
            <v>40</v>
          </cell>
          <cell r="P12" t="str">
            <v>600000A  623000   999999999999999999999999999999999999999999999999999999</v>
          </cell>
          <cell r="Q12" t="str">
            <v xml:space="preserve">none     </v>
          </cell>
          <cell r="R12" t="str">
            <v>RollFCST-Working Version</v>
          </cell>
          <cell r="S12" t="str">
            <v>RollFCST-Working Version</v>
          </cell>
          <cell r="T12" t="str">
            <v xml:space="preserve"> </v>
          </cell>
          <cell r="U12" t="str">
            <v xml:space="preserve"> </v>
          </cell>
          <cell r="V12" t="str">
            <v>623000</v>
          </cell>
          <cell r="W12" t="str">
            <v>2</v>
          </cell>
          <cell r="X12" t="str">
            <v xml:space="preserve">  Marketing &amp; Promotional               </v>
          </cell>
          <cell r="Y12">
            <v>25.702349999999999</v>
          </cell>
          <cell r="Z12">
            <v>38.682580000000002</v>
          </cell>
          <cell r="AA12">
            <v>67.753649999999993</v>
          </cell>
          <cell r="AB12">
            <v>18.946400000000001</v>
          </cell>
          <cell r="AC12">
            <v>151.08498</v>
          </cell>
          <cell r="AD12">
            <v>34.380659999999999</v>
          </cell>
          <cell r="AE12">
            <v>14.836639999999999</v>
          </cell>
          <cell r="AF12">
            <v>15.24161</v>
          </cell>
          <cell r="AG12">
            <v>15.78</v>
          </cell>
          <cell r="AH12">
            <v>80.238910000000004</v>
          </cell>
          <cell r="AI12" t="str">
            <v xml:space="preserve">U.S. Dollar                   </v>
          </cell>
          <cell r="AJ12" t="str">
            <v xml:space="preserve"> </v>
          </cell>
          <cell r="AK12" t="str">
            <v xml:space="preserve"> </v>
          </cell>
          <cell r="AL12" t="str">
            <v xml:space="preserve"> </v>
          </cell>
          <cell r="AM12" t="str">
            <v xml:space="preserve"> </v>
          </cell>
          <cell r="AN12" t="str">
            <v xml:space="preserve"> </v>
          </cell>
          <cell r="AO12" t="str">
            <v xml:space="preserve"> </v>
          </cell>
          <cell r="AP12" t="str">
            <v xml:space="preserve"> </v>
          </cell>
          <cell r="AQ12" t="str">
            <v xml:space="preserve"> </v>
          </cell>
        </row>
        <row r="13">
          <cell r="A13" t="str">
            <v>FB........630000</v>
          </cell>
          <cell r="B13" t="str">
            <v>2003T12</v>
          </cell>
          <cell r="C13" t="str">
            <v xml:space="preserve">TREND    </v>
          </cell>
          <cell r="D13" t="str">
            <v xml:space="preserve">Trend -  QTD Average/Activity                     </v>
          </cell>
          <cell r="E13" t="str">
            <v>Run: 08/07/03 13:53:41</v>
          </cell>
          <cell r="F13" t="str">
            <v>999</v>
          </cell>
          <cell r="G13" t="str">
            <v>100</v>
          </cell>
          <cell r="H13" t="str">
            <v xml:space="preserve">Bank Of America Management Reporting              </v>
          </cell>
          <cell r="I13" t="str">
            <v>001</v>
          </cell>
          <cell r="J13" t="str">
            <v>FB........</v>
          </cell>
          <cell r="K13" t="str">
            <v xml:space="preserve">Gcib Global Operations                            </v>
          </cell>
          <cell r="L13" t="str">
            <v xml:space="preserve"> </v>
          </cell>
          <cell r="M13" t="str">
            <v xml:space="preserve"> </v>
          </cell>
          <cell r="N13" t="str">
            <v>bamgt</v>
          </cell>
          <cell r="O13" t="str">
            <v>40</v>
          </cell>
          <cell r="P13" t="str">
            <v>600000A  630000   999999999999999999999999999999999999999999999999999999</v>
          </cell>
          <cell r="Q13" t="str">
            <v xml:space="preserve">none     </v>
          </cell>
          <cell r="R13" t="str">
            <v>RollFCST-Working Version</v>
          </cell>
          <cell r="S13" t="str">
            <v>RollFCST-Working Version</v>
          </cell>
          <cell r="T13" t="str">
            <v xml:space="preserve"> </v>
          </cell>
          <cell r="U13" t="str">
            <v xml:space="preserve"> </v>
          </cell>
          <cell r="V13" t="str">
            <v>630000</v>
          </cell>
          <cell r="W13" t="str">
            <v>2</v>
          </cell>
          <cell r="X13" t="str">
            <v xml:space="preserve">  Professional Fees                     </v>
          </cell>
          <cell r="Y13">
            <v>545.15521999999999</v>
          </cell>
          <cell r="Z13">
            <v>581.48419000000001</v>
          </cell>
          <cell r="AA13">
            <v>325.28035</v>
          </cell>
          <cell r="AB13">
            <v>175.40402</v>
          </cell>
          <cell r="AC13">
            <v>1627.3237799999999</v>
          </cell>
          <cell r="AD13">
            <v>78.898099999999999</v>
          </cell>
          <cell r="AE13">
            <v>419.71123999999998</v>
          </cell>
          <cell r="AF13">
            <v>516.52623000000006</v>
          </cell>
          <cell r="AG13">
            <v>501.41</v>
          </cell>
          <cell r="AH13">
            <v>1516.54557</v>
          </cell>
          <cell r="AI13" t="str">
            <v xml:space="preserve">U.S. Dollar                   </v>
          </cell>
          <cell r="AJ13" t="str">
            <v xml:space="preserve"> </v>
          </cell>
          <cell r="AK13" t="str">
            <v xml:space="preserve"> </v>
          </cell>
          <cell r="AL13" t="str">
            <v xml:space="preserve"> </v>
          </cell>
          <cell r="AM13" t="str">
            <v xml:space="preserve"> </v>
          </cell>
          <cell r="AN13" t="str">
            <v xml:space="preserve"> </v>
          </cell>
          <cell r="AO13" t="str">
            <v xml:space="preserve"> </v>
          </cell>
          <cell r="AP13" t="str">
            <v xml:space="preserve"> </v>
          </cell>
          <cell r="AQ13" t="str">
            <v xml:space="preserve"> </v>
          </cell>
        </row>
        <row r="14">
          <cell r="A14" t="str">
            <v>FB........651500A</v>
          </cell>
          <cell r="B14" t="str">
            <v>2003T12</v>
          </cell>
          <cell r="C14" t="str">
            <v xml:space="preserve">TREND    </v>
          </cell>
          <cell r="D14" t="str">
            <v xml:space="preserve">Trend -  QTD Average/Activity                     </v>
          </cell>
          <cell r="E14" t="str">
            <v>Run: 08/07/03 13:53:41</v>
          </cell>
          <cell r="F14" t="str">
            <v>999</v>
          </cell>
          <cell r="G14" t="str">
            <v>100</v>
          </cell>
          <cell r="H14" t="str">
            <v xml:space="preserve">Bank Of America Management Reporting              </v>
          </cell>
          <cell r="I14" t="str">
            <v>001</v>
          </cell>
          <cell r="J14" t="str">
            <v>FB........</v>
          </cell>
          <cell r="K14" t="str">
            <v xml:space="preserve">Gcib Global Operations                            </v>
          </cell>
          <cell r="L14" t="str">
            <v xml:space="preserve"> </v>
          </cell>
          <cell r="M14" t="str">
            <v xml:space="preserve"> </v>
          </cell>
          <cell r="N14" t="str">
            <v>bamgt</v>
          </cell>
          <cell r="O14" t="str">
            <v>40</v>
          </cell>
          <cell r="P14" t="str">
            <v>600000A  651500A  999999999999999999999999999999999999999999999999999999</v>
          </cell>
          <cell r="Q14" t="str">
            <v xml:space="preserve">none     </v>
          </cell>
          <cell r="R14" t="str">
            <v>RollFCST-Working Version</v>
          </cell>
          <cell r="S14" t="str">
            <v>RollFCST-Working Version</v>
          </cell>
          <cell r="T14" t="str">
            <v xml:space="preserve"> </v>
          </cell>
          <cell r="U14" t="str">
            <v xml:space="preserve"> </v>
          </cell>
          <cell r="V14" t="str">
            <v>651500A</v>
          </cell>
          <cell r="W14" t="str">
            <v>2</v>
          </cell>
          <cell r="X14" t="str">
            <v xml:space="preserve">  Direct Processing Expense             </v>
          </cell>
          <cell r="Y14">
            <v>9320.8413</v>
          </cell>
          <cell r="Z14">
            <v>8652.7363100000002</v>
          </cell>
          <cell r="AA14">
            <v>12211.213239999999</v>
          </cell>
          <cell r="AB14">
            <v>12996.172710000001</v>
          </cell>
          <cell r="AC14">
            <v>43180.963559999997</v>
          </cell>
          <cell r="AD14">
            <v>10490.19167</v>
          </cell>
          <cell r="AE14">
            <v>11039.030500000001</v>
          </cell>
          <cell r="AF14">
            <v>10053.747820000001</v>
          </cell>
          <cell r="AG14">
            <v>10286.43</v>
          </cell>
          <cell r="AH14">
            <v>41869.399989999998</v>
          </cell>
          <cell r="AI14" t="str">
            <v xml:space="preserve">U.S. Dollar                   </v>
          </cell>
          <cell r="AJ14" t="str">
            <v xml:space="preserve"> </v>
          </cell>
          <cell r="AK14" t="str">
            <v xml:space="preserve"> </v>
          </cell>
          <cell r="AL14" t="str">
            <v xml:space="preserve"> </v>
          </cell>
          <cell r="AM14" t="str">
            <v xml:space="preserve"> </v>
          </cell>
          <cell r="AN14" t="str">
            <v xml:space="preserve"> </v>
          </cell>
          <cell r="AO14" t="str">
            <v xml:space="preserve"> </v>
          </cell>
          <cell r="AP14" t="str">
            <v xml:space="preserve"> </v>
          </cell>
          <cell r="AQ14" t="str">
            <v xml:space="preserve"> </v>
          </cell>
        </row>
        <row r="15">
          <cell r="A15" t="str">
            <v>FB........660000A</v>
          </cell>
          <cell r="B15" t="str">
            <v>2003T12</v>
          </cell>
          <cell r="C15" t="str">
            <v xml:space="preserve">TREND    </v>
          </cell>
          <cell r="D15" t="str">
            <v xml:space="preserve">Trend -  QTD Average/Activity                     </v>
          </cell>
          <cell r="E15" t="str">
            <v>Run: 08/07/03 13:53:41</v>
          </cell>
          <cell r="F15" t="str">
            <v>999</v>
          </cell>
          <cell r="G15" t="str">
            <v>100</v>
          </cell>
          <cell r="H15" t="str">
            <v xml:space="preserve">Bank Of America Management Reporting              </v>
          </cell>
          <cell r="I15" t="str">
            <v>001</v>
          </cell>
          <cell r="J15" t="str">
            <v>FB........</v>
          </cell>
          <cell r="K15" t="str">
            <v xml:space="preserve">Gcib Global Operations                            </v>
          </cell>
          <cell r="L15" t="str">
            <v xml:space="preserve"> </v>
          </cell>
          <cell r="M15" t="str">
            <v xml:space="preserve"> </v>
          </cell>
          <cell r="N15" t="str">
            <v>bamgt</v>
          </cell>
          <cell r="O15" t="str">
            <v>40</v>
          </cell>
          <cell r="P15" t="str">
            <v>600000A  660000A  999999999999999999999999999999999999999999999999999999</v>
          </cell>
          <cell r="Q15" t="str">
            <v xml:space="preserve">none     </v>
          </cell>
          <cell r="R15" t="str">
            <v>RollFCST-Working Version</v>
          </cell>
          <cell r="S15" t="str">
            <v>RollFCST-Working Version</v>
          </cell>
          <cell r="T15" t="str">
            <v xml:space="preserve"> </v>
          </cell>
          <cell r="U15" t="str">
            <v xml:space="preserve"> </v>
          </cell>
          <cell r="V15" t="str">
            <v>660000A</v>
          </cell>
          <cell r="W15" t="str">
            <v>2</v>
          </cell>
          <cell r="X15" t="str">
            <v xml:space="preserve">  Telecommunications                    </v>
          </cell>
          <cell r="Y15">
            <v>990.13846999999998</v>
          </cell>
          <cell r="Z15">
            <v>1152.5845400000001</v>
          </cell>
          <cell r="AA15">
            <v>1042.7630799999999</v>
          </cell>
          <cell r="AB15">
            <v>1069.3558599999999</v>
          </cell>
          <cell r="AC15">
            <v>4254.84195</v>
          </cell>
          <cell r="AD15">
            <v>967.81686999999999</v>
          </cell>
          <cell r="AE15">
            <v>826.90053</v>
          </cell>
          <cell r="AF15">
            <v>967.61388999999997</v>
          </cell>
          <cell r="AG15">
            <v>1005.16</v>
          </cell>
          <cell r="AH15">
            <v>3767.4912899999999</v>
          </cell>
          <cell r="AI15" t="str">
            <v xml:space="preserve">U.S. Dollar                   </v>
          </cell>
          <cell r="AJ15" t="str">
            <v xml:space="preserve"> </v>
          </cell>
          <cell r="AK15" t="str">
            <v xml:space="preserve"> </v>
          </cell>
          <cell r="AL15" t="str">
            <v xml:space="preserve"> </v>
          </cell>
          <cell r="AM15" t="str">
            <v xml:space="preserve"> </v>
          </cell>
          <cell r="AN15" t="str">
            <v xml:space="preserve"> </v>
          </cell>
          <cell r="AO15" t="str">
            <v xml:space="preserve"> </v>
          </cell>
          <cell r="AP15" t="str">
            <v xml:space="preserve"> </v>
          </cell>
          <cell r="AQ15" t="str">
            <v xml:space="preserve"> </v>
          </cell>
        </row>
        <row r="16">
          <cell r="A16" t="str">
            <v>FB........663000</v>
          </cell>
          <cell r="B16" t="str">
            <v>2003T12</v>
          </cell>
          <cell r="C16" t="str">
            <v xml:space="preserve">TREND    </v>
          </cell>
          <cell r="D16" t="str">
            <v xml:space="preserve">Trend -  QTD Average/Activity                     </v>
          </cell>
          <cell r="E16" t="str">
            <v>Run: 08/07/03 13:53:41</v>
          </cell>
          <cell r="F16" t="str">
            <v>999</v>
          </cell>
          <cell r="G16" t="str">
            <v>100</v>
          </cell>
          <cell r="H16" t="str">
            <v xml:space="preserve">Bank Of America Management Reporting              </v>
          </cell>
          <cell r="I16" t="str">
            <v>001</v>
          </cell>
          <cell r="J16" t="str">
            <v>FB........</v>
          </cell>
          <cell r="K16" t="str">
            <v xml:space="preserve">Gcib Global Operations                            </v>
          </cell>
          <cell r="L16" t="str">
            <v xml:space="preserve"> </v>
          </cell>
          <cell r="M16" t="str">
            <v xml:space="preserve"> </v>
          </cell>
          <cell r="N16" t="str">
            <v>bamgt</v>
          </cell>
          <cell r="O16" t="str">
            <v>40</v>
          </cell>
          <cell r="P16" t="str">
            <v>600000A  662999B  662999C  663000   999999999999999999999999999999999999</v>
          </cell>
          <cell r="Q16" t="str">
            <v xml:space="preserve">none     </v>
          </cell>
          <cell r="R16" t="str">
            <v>RollFCST-Working Version</v>
          </cell>
          <cell r="S16" t="str">
            <v>RollFCST-Working Version</v>
          </cell>
          <cell r="T16" t="str">
            <v xml:space="preserve"> </v>
          </cell>
          <cell r="U16" t="str">
            <v xml:space="preserve"> </v>
          </cell>
          <cell r="V16" t="str">
            <v>663000</v>
          </cell>
          <cell r="W16" t="str">
            <v>4</v>
          </cell>
          <cell r="X16" t="str">
            <v xml:space="preserve">      Supplies                          </v>
          </cell>
          <cell r="Y16">
            <v>826.58361000000002</v>
          </cell>
          <cell r="Z16">
            <v>881.39869999999996</v>
          </cell>
          <cell r="AA16">
            <v>1228.9897000000001</v>
          </cell>
          <cell r="AB16">
            <v>1690.23945</v>
          </cell>
          <cell r="AC16">
            <v>4627.2114600000004</v>
          </cell>
          <cell r="AD16">
            <v>1071.5563500000001</v>
          </cell>
          <cell r="AE16">
            <v>1154.5410400000001</v>
          </cell>
          <cell r="AF16">
            <v>1529.2641100000001</v>
          </cell>
          <cell r="AG16">
            <v>1073.3499999999999</v>
          </cell>
          <cell r="AH16">
            <v>4828.7115000000003</v>
          </cell>
          <cell r="AI16" t="str">
            <v xml:space="preserve">U.S. Dollar                   </v>
          </cell>
          <cell r="AJ16" t="str">
            <v xml:space="preserve"> </v>
          </cell>
          <cell r="AK16" t="str">
            <v xml:space="preserve"> </v>
          </cell>
          <cell r="AL16" t="str">
            <v xml:space="preserve"> </v>
          </cell>
          <cell r="AM16" t="str">
            <v xml:space="preserve"> </v>
          </cell>
          <cell r="AN16" t="str">
            <v xml:space="preserve"> </v>
          </cell>
          <cell r="AO16" t="str">
            <v xml:space="preserve"> </v>
          </cell>
          <cell r="AP16" t="str">
            <v xml:space="preserve"> </v>
          </cell>
          <cell r="AQ16" t="str">
            <v xml:space="preserve"> </v>
          </cell>
        </row>
        <row r="17">
          <cell r="A17" t="str">
            <v>FB........664500</v>
          </cell>
          <cell r="B17" t="str">
            <v>2003T12</v>
          </cell>
          <cell r="C17" t="str">
            <v xml:space="preserve">TREND    </v>
          </cell>
          <cell r="D17" t="str">
            <v xml:space="preserve">Trend -  QTD Average/Activity                     </v>
          </cell>
          <cell r="E17" t="str">
            <v>Run: 08/07/03 13:53:41</v>
          </cell>
          <cell r="F17" t="str">
            <v>999</v>
          </cell>
          <cell r="G17" t="str">
            <v>100</v>
          </cell>
          <cell r="H17" t="str">
            <v xml:space="preserve">Bank Of America Management Reporting              </v>
          </cell>
          <cell r="I17" t="str">
            <v>001</v>
          </cell>
          <cell r="J17" t="str">
            <v>FB........</v>
          </cell>
          <cell r="K17" t="str">
            <v xml:space="preserve">Gcib Global Operations                            </v>
          </cell>
          <cell r="L17" t="str">
            <v xml:space="preserve"> </v>
          </cell>
          <cell r="M17" t="str">
            <v xml:space="preserve"> </v>
          </cell>
          <cell r="N17" t="str">
            <v>bamgt</v>
          </cell>
          <cell r="O17" t="str">
            <v>40</v>
          </cell>
          <cell r="P17" t="str">
            <v>600000A  662999B  662999C  664500   999999999999999999999999999999999999</v>
          </cell>
          <cell r="Q17" t="str">
            <v xml:space="preserve">none     </v>
          </cell>
          <cell r="R17" t="str">
            <v>RollFCST-Working Version</v>
          </cell>
          <cell r="S17" t="str">
            <v>RollFCST-Working Version</v>
          </cell>
          <cell r="T17" t="str">
            <v xml:space="preserve"> </v>
          </cell>
          <cell r="U17" t="str">
            <v xml:space="preserve"> </v>
          </cell>
          <cell r="V17" t="str">
            <v>664500</v>
          </cell>
          <cell r="W17" t="str">
            <v>4</v>
          </cell>
          <cell r="X17" t="str">
            <v xml:space="preserve">      Postage And Courier               </v>
          </cell>
          <cell r="Y17">
            <v>805.89508999999998</v>
          </cell>
          <cell r="Z17">
            <v>583.18218999999999</v>
          </cell>
          <cell r="AA17">
            <v>549.07307000000003</v>
          </cell>
          <cell r="AB17">
            <v>544.87756000000002</v>
          </cell>
          <cell r="AC17">
            <v>2483.0279099999998</v>
          </cell>
          <cell r="AD17">
            <v>506.48381999999998</v>
          </cell>
          <cell r="AE17">
            <v>499.76101</v>
          </cell>
          <cell r="AF17">
            <v>529.63547000000005</v>
          </cell>
          <cell r="AG17">
            <v>524.25</v>
          </cell>
          <cell r="AH17">
            <v>2060.1302999999998</v>
          </cell>
          <cell r="AI17" t="str">
            <v xml:space="preserve">U.S. Dollar                   </v>
          </cell>
          <cell r="AJ17" t="str">
            <v xml:space="preserve"> </v>
          </cell>
          <cell r="AK17" t="str">
            <v xml:space="preserve"> </v>
          </cell>
          <cell r="AL17" t="str">
            <v xml:space="preserve"> </v>
          </cell>
          <cell r="AM17" t="str">
            <v xml:space="preserve"> </v>
          </cell>
          <cell r="AN17" t="str">
            <v xml:space="preserve"> </v>
          </cell>
          <cell r="AO17" t="str">
            <v xml:space="preserve"> </v>
          </cell>
          <cell r="AP17" t="str">
            <v xml:space="preserve"> </v>
          </cell>
          <cell r="AQ17" t="str">
            <v xml:space="preserve"> </v>
          </cell>
        </row>
        <row r="18">
          <cell r="A18" t="str">
            <v>FB........665499F</v>
          </cell>
          <cell r="B18" t="str">
            <v>2003T12</v>
          </cell>
          <cell r="C18" t="str">
            <v xml:space="preserve">TREND    </v>
          </cell>
          <cell r="D18" t="str">
            <v xml:space="preserve">Trend -  QTD Average/Activity                     </v>
          </cell>
          <cell r="E18" t="str">
            <v>Run: 08/07/03 13:53:41</v>
          </cell>
          <cell r="F18" t="str">
            <v>999</v>
          </cell>
          <cell r="G18" t="str">
            <v>100</v>
          </cell>
          <cell r="H18" t="str">
            <v xml:space="preserve">Bank Of America Management Reporting              </v>
          </cell>
          <cell r="I18" t="str">
            <v>001</v>
          </cell>
          <cell r="J18" t="str">
            <v>FB........</v>
          </cell>
          <cell r="K18" t="str">
            <v xml:space="preserve">Gcib Global Operations                            </v>
          </cell>
          <cell r="L18" t="str">
            <v xml:space="preserve"> </v>
          </cell>
          <cell r="M18" t="str">
            <v xml:space="preserve"> </v>
          </cell>
          <cell r="N18" t="str">
            <v>bamgt</v>
          </cell>
          <cell r="O18" t="str">
            <v>40</v>
          </cell>
          <cell r="P18" t="str">
            <v>600000A  662999B  662999C  665499B  665499D  665499F  999999999999999999</v>
          </cell>
          <cell r="Q18" t="str">
            <v xml:space="preserve">none     </v>
          </cell>
          <cell r="R18" t="str">
            <v>RollFCST-Working Version</v>
          </cell>
          <cell r="S18" t="str">
            <v>RollFCST-Working Version</v>
          </cell>
          <cell r="T18" t="str">
            <v xml:space="preserve"> </v>
          </cell>
          <cell r="U18" t="str">
            <v xml:space="preserve"> </v>
          </cell>
          <cell r="V18" t="str">
            <v>665499F</v>
          </cell>
          <cell r="W18" t="str">
            <v>6</v>
          </cell>
          <cell r="X18" t="str">
            <v xml:space="preserve">          Relocation Expense            </v>
          </cell>
          <cell r="Y18">
            <v>9.8949499999999997</v>
          </cell>
          <cell r="Z18">
            <v>453.55923000000001</v>
          </cell>
          <cell r="AA18">
            <v>163.67077</v>
          </cell>
          <cell r="AB18">
            <v>155.614</v>
          </cell>
          <cell r="AC18">
            <v>782.73895000000005</v>
          </cell>
          <cell r="AD18">
            <v>147.50677999999999</v>
          </cell>
          <cell r="AE18">
            <v>282.67223000000001</v>
          </cell>
          <cell r="AF18">
            <v>183.56640999999999</v>
          </cell>
          <cell r="AG18">
            <v>0</v>
          </cell>
          <cell r="AH18">
            <v>613.74541999999997</v>
          </cell>
          <cell r="AI18" t="str">
            <v xml:space="preserve">U.S. Dollar                   </v>
          </cell>
          <cell r="AJ18" t="str">
            <v xml:space="preserve"> </v>
          </cell>
          <cell r="AK18" t="str">
            <v xml:space="preserve"> </v>
          </cell>
          <cell r="AL18" t="str">
            <v xml:space="preserve"> </v>
          </cell>
          <cell r="AM18" t="str">
            <v xml:space="preserve"> </v>
          </cell>
          <cell r="AN18" t="str">
            <v xml:space="preserve"> </v>
          </cell>
          <cell r="AO18" t="str">
            <v xml:space="preserve"> </v>
          </cell>
          <cell r="AP18" t="str">
            <v xml:space="preserve"> </v>
          </cell>
          <cell r="AQ18" t="str">
            <v xml:space="preserve"> </v>
          </cell>
        </row>
        <row r="19">
          <cell r="A19" t="str">
            <v>FB........665499J</v>
          </cell>
          <cell r="B19" t="str">
            <v>2003T12</v>
          </cell>
          <cell r="C19" t="str">
            <v xml:space="preserve">TREND    </v>
          </cell>
          <cell r="D19" t="str">
            <v xml:space="preserve">Trend -  QTD Average/Activity                     </v>
          </cell>
          <cell r="E19" t="str">
            <v>Run: 08/07/03 13:53:41</v>
          </cell>
          <cell r="F19" t="str">
            <v>999</v>
          </cell>
          <cell r="G19" t="str">
            <v>100</v>
          </cell>
          <cell r="H19" t="str">
            <v xml:space="preserve">Bank Of America Management Reporting              </v>
          </cell>
          <cell r="I19" t="str">
            <v>001</v>
          </cell>
          <cell r="J19" t="str">
            <v>FB........</v>
          </cell>
          <cell r="K19" t="str">
            <v xml:space="preserve">Gcib Global Operations                            </v>
          </cell>
          <cell r="L19" t="str">
            <v xml:space="preserve"> </v>
          </cell>
          <cell r="M19" t="str">
            <v xml:space="preserve"> </v>
          </cell>
          <cell r="N19" t="str">
            <v>bamgt</v>
          </cell>
          <cell r="O19" t="str">
            <v>40</v>
          </cell>
          <cell r="P19" t="str">
            <v>600000A  662999B  662999C  665499B  665499D  665499H  665499J  999999999</v>
          </cell>
          <cell r="Q19" t="str">
            <v xml:space="preserve">none     </v>
          </cell>
          <cell r="R19" t="str">
            <v>RollFCST-Working Version</v>
          </cell>
          <cell r="S19" t="str">
            <v>RollFCST-Working Version</v>
          </cell>
          <cell r="T19" t="str">
            <v xml:space="preserve"> </v>
          </cell>
          <cell r="U19" t="str">
            <v xml:space="preserve"> </v>
          </cell>
          <cell r="V19" t="str">
            <v>665499J</v>
          </cell>
          <cell r="W19" t="str">
            <v>7</v>
          </cell>
          <cell r="X19" t="str">
            <v xml:space="preserve">            Employee Training &amp; Seminars</v>
          </cell>
          <cell r="Y19">
            <v>75.241020000000006</v>
          </cell>
          <cell r="Z19">
            <v>126.68116000000001</v>
          </cell>
          <cell r="AA19">
            <v>135.86989</v>
          </cell>
          <cell r="AB19">
            <v>219.08547999999999</v>
          </cell>
          <cell r="AC19">
            <v>556.87755000000004</v>
          </cell>
          <cell r="AD19">
            <v>90.272989999999993</v>
          </cell>
          <cell r="AE19">
            <v>112.69240000000001</v>
          </cell>
          <cell r="AF19">
            <v>212.36134000000001</v>
          </cell>
          <cell r="AG19">
            <v>238.04</v>
          </cell>
          <cell r="AH19">
            <v>653.36672999999996</v>
          </cell>
          <cell r="AI19" t="str">
            <v xml:space="preserve">U.S. Dollar                   </v>
          </cell>
          <cell r="AJ19" t="str">
            <v xml:space="preserve"> </v>
          </cell>
          <cell r="AK19" t="str">
            <v xml:space="preserve"> </v>
          </cell>
          <cell r="AL19" t="str">
            <v xml:space="preserve"> </v>
          </cell>
          <cell r="AM19" t="str">
            <v xml:space="preserve"> </v>
          </cell>
          <cell r="AN19" t="str">
            <v xml:space="preserve"> </v>
          </cell>
          <cell r="AO19" t="str">
            <v xml:space="preserve"> </v>
          </cell>
          <cell r="AP19" t="str">
            <v xml:space="preserve"> </v>
          </cell>
          <cell r="AQ19" t="str">
            <v xml:space="preserve"> </v>
          </cell>
        </row>
        <row r="20">
          <cell r="A20" t="str">
            <v>FB........665499H</v>
          </cell>
          <cell r="B20" t="str">
            <v>2003T12</v>
          </cell>
          <cell r="C20" t="str">
            <v xml:space="preserve">TREND    </v>
          </cell>
          <cell r="D20" t="str">
            <v xml:space="preserve">Trend -  QTD Average/Activity                     </v>
          </cell>
          <cell r="E20" t="str">
            <v>Run: 08/07/03 13:53:41</v>
          </cell>
          <cell r="F20" t="str">
            <v>999</v>
          </cell>
          <cell r="G20" t="str">
            <v>100</v>
          </cell>
          <cell r="H20" t="str">
            <v xml:space="preserve">Bank Of America Management Reporting              </v>
          </cell>
          <cell r="I20" t="str">
            <v>001</v>
          </cell>
          <cell r="J20" t="str">
            <v>FB........</v>
          </cell>
          <cell r="K20" t="str">
            <v xml:space="preserve">Gcib Global Operations                            </v>
          </cell>
          <cell r="L20" t="str">
            <v xml:space="preserve"> </v>
          </cell>
          <cell r="M20" t="str">
            <v xml:space="preserve"> </v>
          </cell>
          <cell r="N20" t="str">
            <v>bamgt</v>
          </cell>
          <cell r="O20" t="str">
            <v>40</v>
          </cell>
          <cell r="P20" t="str">
            <v>600000A  662999B  662999C  665499B  665499D  665499H  999999999999999999</v>
          </cell>
          <cell r="Q20" t="str">
            <v xml:space="preserve">none     </v>
          </cell>
          <cell r="R20" t="str">
            <v>RollFCST-Working Version</v>
          </cell>
          <cell r="S20" t="str">
            <v>RollFCST-Working Version</v>
          </cell>
          <cell r="T20" t="str">
            <v xml:space="preserve"> </v>
          </cell>
          <cell r="U20" t="str">
            <v xml:space="preserve"> </v>
          </cell>
          <cell r="V20" t="str">
            <v>665499H</v>
          </cell>
          <cell r="W20" t="str">
            <v>6</v>
          </cell>
          <cell r="X20" t="str">
            <v xml:space="preserve">          Other Employee Expense        </v>
          </cell>
          <cell r="Y20">
            <v>333.22485</v>
          </cell>
          <cell r="Z20">
            <v>729.68493000000001</v>
          </cell>
          <cell r="AA20">
            <v>754.11167</v>
          </cell>
          <cell r="AB20">
            <v>741.25572999999997</v>
          </cell>
          <cell r="AC20">
            <v>2558.27718</v>
          </cell>
          <cell r="AD20">
            <v>332.44224000000003</v>
          </cell>
          <cell r="AE20">
            <v>521.54814999999996</v>
          </cell>
          <cell r="AF20">
            <v>457.28985999999998</v>
          </cell>
          <cell r="AG20">
            <v>238.04</v>
          </cell>
          <cell r="AH20">
            <v>1549.32025</v>
          </cell>
          <cell r="AI20" t="str">
            <v xml:space="preserve">U.S. Dollar                   </v>
          </cell>
          <cell r="AJ20" t="str">
            <v xml:space="preserve"> </v>
          </cell>
          <cell r="AK20" t="str">
            <v xml:space="preserve"> </v>
          </cell>
          <cell r="AL20" t="str">
            <v xml:space="preserve"> </v>
          </cell>
          <cell r="AM20" t="str">
            <v xml:space="preserve"> </v>
          </cell>
          <cell r="AN20" t="str">
            <v xml:space="preserve"> </v>
          </cell>
          <cell r="AO20" t="str">
            <v xml:space="preserve"> </v>
          </cell>
          <cell r="AP20" t="str">
            <v xml:space="preserve"> </v>
          </cell>
          <cell r="AQ20" t="str">
            <v xml:space="preserve"> </v>
          </cell>
        </row>
        <row r="21">
          <cell r="A21" t="str">
            <v>FB........665499D</v>
          </cell>
          <cell r="B21" t="str">
            <v>2003T12</v>
          </cell>
          <cell r="C21" t="str">
            <v xml:space="preserve">TREND    </v>
          </cell>
          <cell r="D21" t="str">
            <v xml:space="preserve">Trend -  QTD Average/Activity                     </v>
          </cell>
          <cell r="E21" t="str">
            <v>Run: 08/07/03 13:53:41</v>
          </cell>
          <cell r="F21" t="str">
            <v>999</v>
          </cell>
          <cell r="G21" t="str">
            <v>100</v>
          </cell>
          <cell r="H21" t="str">
            <v xml:space="preserve">Bank Of America Management Reporting              </v>
          </cell>
          <cell r="I21" t="str">
            <v>001</v>
          </cell>
          <cell r="J21" t="str">
            <v>FB........</v>
          </cell>
          <cell r="K21" t="str">
            <v xml:space="preserve">Gcib Global Operations                            </v>
          </cell>
          <cell r="L21" t="str">
            <v xml:space="preserve"> </v>
          </cell>
          <cell r="M21" t="str">
            <v xml:space="preserve"> </v>
          </cell>
          <cell r="N21" t="str">
            <v>bamgt</v>
          </cell>
          <cell r="O21" t="str">
            <v>40</v>
          </cell>
          <cell r="P21" t="str">
            <v>600000A  662999B  662999C  665499B  665499D  999999999999999999999999999</v>
          </cell>
          <cell r="Q21" t="str">
            <v xml:space="preserve">none     </v>
          </cell>
          <cell r="R21" t="str">
            <v>RollFCST-Working Version</v>
          </cell>
          <cell r="S21" t="str">
            <v>RollFCST-Working Version</v>
          </cell>
          <cell r="T21" t="str">
            <v xml:space="preserve"> </v>
          </cell>
          <cell r="U21" t="str">
            <v xml:space="preserve"> </v>
          </cell>
          <cell r="V21" t="str">
            <v>665499D</v>
          </cell>
          <cell r="W21" t="str">
            <v>5</v>
          </cell>
          <cell r="X21" t="str">
            <v xml:space="preserve">        Employee Expense                </v>
          </cell>
          <cell r="Y21">
            <v>343.1198</v>
          </cell>
          <cell r="Z21">
            <v>1183.24416</v>
          </cell>
          <cell r="AA21">
            <v>917.78243999999995</v>
          </cell>
          <cell r="AB21">
            <v>896.86973</v>
          </cell>
          <cell r="AC21">
            <v>3341.01613</v>
          </cell>
          <cell r="AD21">
            <v>479.94902000000002</v>
          </cell>
          <cell r="AE21">
            <v>804.22037999999998</v>
          </cell>
          <cell r="AF21">
            <v>640.85626999999999</v>
          </cell>
          <cell r="AG21">
            <v>238.04</v>
          </cell>
          <cell r="AH21">
            <v>2163.06567</v>
          </cell>
          <cell r="AI21" t="str">
            <v xml:space="preserve">U.S. Dollar                   </v>
          </cell>
          <cell r="AJ21" t="str">
            <v xml:space="preserve"> </v>
          </cell>
          <cell r="AK21" t="str">
            <v xml:space="preserve"> </v>
          </cell>
          <cell r="AL21" t="str">
            <v xml:space="preserve"> </v>
          </cell>
          <cell r="AM21" t="str">
            <v xml:space="preserve"> </v>
          </cell>
          <cell r="AN21" t="str">
            <v xml:space="preserve"> </v>
          </cell>
          <cell r="AO21" t="str">
            <v xml:space="preserve"> </v>
          </cell>
          <cell r="AP21" t="str">
            <v xml:space="preserve"> </v>
          </cell>
          <cell r="AQ21" t="str">
            <v xml:space="preserve"> </v>
          </cell>
        </row>
        <row r="22">
          <cell r="A22" t="str">
            <v>FB........665499B</v>
          </cell>
          <cell r="B22" t="str">
            <v>2003T12</v>
          </cell>
          <cell r="C22" t="str">
            <v xml:space="preserve">TREND    </v>
          </cell>
          <cell r="D22" t="str">
            <v xml:space="preserve">Trend -  QTD Average/Activity                     </v>
          </cell>
          <cell r="E22" t="str">
            <v>Run: 08/07/03 13:53:41</v>
          </cell>
          <cell r="F22" t="str">
            <v>999</v>
          </cell>
          <cell r="G22" t="str">
            <v>100</v>
          </cell>
          <cell r="H22" t="str">
            <v xml:space="preserve">Bank Of America Management Reporting              </v>
          </cell>
          <cell r="I22" t="str">
            <v>001</v>
          </cell>
          <cell r="J22" t="str">
            <v>FB........</v>
          </cell>
          <cell r="K22" t="str">
            <v xml:space="preserve">Gcib Global Operations                            </v>
          </cell>
          <cell r="L22" t="str">
            <v xml:space="preserve"> </v>
          </cell>
          <cell r="M22" t="str">
            <v xml:space="preserve"> </v>
          </cell>
          <cell r="N22" t="str">
            <v>bamgt</v>
          </cell>
          <cell r="O22" t="str">
            <v>40</v>
          </cell>
          <cell r="P22" t="str">
            <v>600000A  662999B  662999C  665499B  999999999999999999999999999999999999</v>
          </cell>
          <cell r="Q22" t="str">
            <v xml:space="preserve">none     </v>
          </cell>
          <cell r="R22" t="str">
            <v>RollFCST-Working Version</v>
          </cell>
          <cell r="S22" t="str">
            <v>RollFCST-Working Version</v>
          </cell>
          <cell r="T22" t="str">
            <v xml:space="preserve"> </v>
          </cell>
          <cell r="U22" t="str">
            <v xml:space="preserve"> </v>
          </cell>
          <cell r="V22" t="str">
            <v>665499B</v>
          </cell>
          <cell r="W22" t="str">
            <v>4</v>
          </cell>
          <cell r="X22" t="str">
            <v xml:space="preserve">      Other Operating Expense           </v>
          </cell>
          <cell r="Y22">
            <v>1176.1541099999999</v>
          </cell>
          <cell r="Z22">
            <v>2008.4740300000001</v>
          </cell>
          <cell r="AA22">
            <v>1781.9392700000001</v>
          </cell>
          <cell r="AB22">
            <v>1919.4339399999999</v>
          </cell>
          <cell r="AC22">
            <v>6886.0013499999995</v>
          </cell>
          <cell r="AD22">
            <v>720.45604000000003</v>
          </cell>
          <cell r="AE22">
            <v>2864.7658000000001</v>
          </cell>
          <cell r="AF22">
            <v>1962.3361</v>
          </cell>
          <cell r="AG22">
            <v>942.83</v>
          </cell>
          <cell r="AH22">
            <v>6490.3879399999996</v>
          </cell>
          <cell r="AI22" t="str">
            <v xml:space="preserve">U.S. Dollar                   </v>
          </cell>
          <cell r="AJ22" t="str">
            <v xml:space="preserve"> </v>
          </cell>
          <cell r="AK22" t="str">
            <v xml:space="preserve"> </v>
          </cell>
          <cell r="AL22" t="str">
            <v xml:space="preserve"> </v>
          </cell>
          <cell r="AM22" t="str">
            <v xml:space="preserve"> </v>
          </cell>
          <cell r="AN22" t="str">
            <v xml:space="preserve"> </v>
          </cell>
          <cell r="AO22" t="str">
            <v xml:space="preserve"> </v>
          </cell>
          <cell r="AP22" t="str">
            <v xml:space="preserve"> </v>
          </cell>
          <cell r="AQ22" t="str">
            <v xml:space="preserve"> </v>
          </cell>
        </row>
        <row r="23">
          <cell r="A23" t="str">
            <v>FB........670200</v>
          </cell>
          <cell r="B23" t="str">
            <v>2003T12</v>
          </cell>
          <cell r="C23" t="str">
            <v xml:space="preserve">TREND    </v>
          </cell>
          <cell r="D23" t="str">
            <v xml:space="preserve">Trend -  QTD Average/Activity                     </v>
          </cell>
          <cell r="E23" t="str">
            <v>Run: 08/07/03 13:53:41</v>
          </cell>
          <cell r="F23" t="str">
            <v>999</v>
          </cell>
          <cell r="G23" t="str">
            <v>100</v>
          </cell>
          <cell r="H23" t="str">
            <v xml:space="preserve">Bank Of America Management Reporting              </v>
          </cell>
          <cell r="I23" t="str">
            <v>001</v>
          </cell>
          <cell r="J23" t="str">
            <v>FB........</v>
          </cell>
          <cell r="K23" t="str">
            <v xml:space="preserve">Gcib Global Operations                            </v>
          </cell>
          <cell r="L23" t="str">
            <v xml:space="preserve"> </v>
          </cell>
          <cell r="M23" t="str">
            <v xml:space="preserve"> </v>
          </cell>
          <cell r="N23" t="str">
            <v>bamgt</v>
          </cell>
          <cell r="O23" t="str">
            <v>40</v>
          </cell>
          <cell r="P23" t="str">
            <v>600000A  662999B  670000B  670200   999999999999999999999999999999999999</v>
          </cell>
          <cell r="Q23" t="str">
            <v xml:space="preserve">none     </v>
          </cell>
          <cell r="R23" t="str">
            <v>RollFCST-Working Version</v>
          </cell>
          <cell r="S23" t="str">
            <v>RollFCST-Working Version</v>
          </cell>
          <cell r="T23" t="str">
            <v xml:space="preserve"> </v>
          </cell>
          <cell r="U23" t="str">
            <v xml:space="preserve"> </v>
          </cell>
          <cell r="V23" t="str">
            <v>670200</v>
          </cell>
          <cell r="W23" t="str">
            <v>4</v>
          </cell>
          <cell r="X23" t="str">
            <v xml:space="preserve">      Travel                            </v>
          </cell>
          <cell r="Y23">
            <v>467.61473999999998</v>
          </cell>
          <cell r="Z23">
            <v>594.88061000000005</v>
          </cell>
          <cell r="AA23">
            <v>619.23477000000003</v>
          </cell>
          <cell r="AB23">
            <v>641.05602999999996</v>
          </cell>
          <cell r="AC23">
            <v>2322.7861499999999</v>
          </cell>
          <cell r="AD23">
            <v>449.04939999999999</v>
          </cell>
          <cell r="AE23">
            <v>477.66392999999999</v>
          </cell>
          <cell r="AF23">
            <v>614.23775000000001</v>
          </cell>
          <cell r="AG23">
            <v>606.87</v>
          </cell>
          <cell r="AH23">
            <v>2147.8210800000002</v>
          </cell>
          <cell r="AI23" t="str">
            <v xml:space="preserve">U.S. Dollar                   </v>
          </cell>
          <cell r="AJ23" t="str">
            <v xml:space="preserve"> </v>
          </cell>
          <cell r="AK23" t="str">
            <v xml:space="preserve"> </v>
          </cell>
          <cell r="AL23" t="str">
            <v xml:space="preserve"> </v>
          </cell>
          <cell r="AM23" t="str">
            <v xml:space="preserve"> </v>
          </cell>
          <cell r="AN23" t="str">
            <v xml:space="preserve"> </v>
          </cell>
          <cell r="AO23" t="str">
            <v xml:space="preserve"> </v>
          </cell>
          <cell r="AP23" t="str">
            <v xml:space="preserve"> </v>
          </cell>
          <cell r="AQ23" t="str">
            <v xml:space="preserve"> </v>
          </cell>
        </row>
        <row r="24">
          <cell r="A24" t="str">
            <v>FB........670800</v>
          </cell>
          <cell r="B24" t="str">
            <v>2003T12</v>
          </cell>
          <cell r="C24" t="str">
            <v xml:space="preserve">TREND    </v>
          </cell>
          <cell r="D24" t="str">
            <v xml:space="preserve">Trend -  QTD Average/Activity                     </v>
          </cell>
          <cell r="E24" t="str">
            <v>Run: 08/07/03 13:53:41</v>
          </cell>
          <cell r="F24" t="str">
            <v>999</v>
          </cell>
          <cell r="G24" t="str">
            <v>100</v>
          </cell>
          <cell r="H24" t="str">
            <v xml:space="preserve">Bank Of America Management Reporting              </v>
          </cell>
          <cell r="I24" t="str">
            <v>001</v>
          </cell>
          <cell r="J24" t="str">
            <v>FB........</v>
          </cell>
          <cell r="K24" t="str">
            <v xml:space="preserve">Gcib Global Operations                            </v>
          </cell>
          <cell r="L24" t="str">
            <v xml:space="preserve"> </v>
          </cell>
          <cell r="M24" t="str">
            <v xml:space="preserve"> </v>
          </cell>
          <cell r="N24" t="str">
            <v>bamgt</v>
          </cell>
          <cell r="O24" t="str">
            <v>40</v>
          </cell>
          <cell r="P24" t="str">
            <v>600000A  662999B  670000B  670800   999999999999999999999999999999999999</v>
          </cell>
          <cell r="Q24" t="str">
            <v xml:space="preserve">none     </v>
          </cell>
          <cell r="R24" t="str">
            <v>RollFCST-Working Version</v>
          </cell>
          <cell r="S24" t="str">
            <v>RollFCST-Working Version</v>
          </cell>
          <cell r="T24" t="str">
            <v xml:space="preserve"> </v>
          </cell>
          <cell r="U24" t="str">
            <v xml:space="preserve"> </v>
          </cell>
          <cell r="V24" t="str">
            <v>670800</v>
          </cell>
          <cell r="W24" t="str">
            <v>4</v>
          </cell>
          <cell r="X24" t="str">
            <v xml:space="preserve">      Taxes Other Than Income           </v>
          </cell>
          <cell r="Y24">
            <v>167.20751000000001</v>
          </cell>
          <cell r="Z24">
            <v>122.27392999999999</v>
          </cell>
          <cell r="AA24">
            <v>129.84947</v>
          </cell>
          <cell r="AB24">
            <v>151.55589000000001</v>
          </cell>
          <cell r="AC24">
            <v>570.88679999999999</v>
          </cell>
          <cell r="AD24">
            <v>153.02531999999999</v>
          </cell>
          <cell r="AE24">
            <v>246.24934999999999</v>
          </cell>
          <cell r="AF24">
            <v>85.301410000000004</v>
          </cell>
          <cell r="AG24">
            <v>63.06</v>
          </cell>
          <cell r="AH24">
            <v>547.63607999999999</v>
          </cell>
          <cell r="AI24" t="str">
            <v xml:space="preserve">U.S. Dollar                   </v>
          </cell>
          <cell r="AJ24" t="str">
            <v xml:space="preserve"> </v>
          </cell>
          <cell r="AK24" t="str">
            <v xml:space="preserve"> </v>
          </cell>
          <cell r="AL24" t="str">
            <v xml:space="preserve"> </v>
          </cell>
          <cell r="AM24" t="str">
            <v xml:space="preserve"> </v>
          </cell>
          <cell r="AN24" t="str">
            <v xml:space="preserve"> </v>
          </cell>
          <cell r="AO24" t="str">
            <v xml:space="preserve"> </v>
          </cell>
          <cell r="AP24" t="str">
            <v xml:space="preserve"> </v>
          </cell>
          <cell r="AQ24" t="str">
            <v xml:space="preserve"> </v>
          </cell>
        </row>
        <row r="25">
          <cell r="A25" t="str">
            <v>FB........671200</v>
          </cell>
          <cell r="B25" t="str">
            <v>2003T12</v>
          </cell>
          <cell r="C25" t="str">
            <v xml:space="preserve">TREND    </v>
          </cell>
          <cell r="D25" t="str">
            <v xml:space="preserve">Trend -  QTD Average/Activity                     </v>
          </cell>
          <cell r="E25" t="str">
            <v>Run: 08/07/03 13:53:41</v>
          </cell>
          <cell r="F25" t="str">
            <v>999</v>
          </cell>
          <cell r="G25" t="str">
            <v>100</v>
          </cell>
          <cell r="H25" t="str">
            <v xml:space="preserve">Bank Of America Management Reporting              </v>
          </cell>
          <cell r="I25" t="str">
            <v>001</v>
          </cell>
          <cell r="J25" t="str">
            <v>FB........</v>
          </cell>
          <cell r="K25" t="str">
            <v xml:space="preserve">Gcib Global Operations                            </v>
          </cell>
          <cell r="L25" t="str">
            <v xml:space="preserve"> </v>
          </cell>
          <cell r="M25" t="str">
            <v xml:space="preserve"> </v>
          </cell>
          <cell r="N25" t="str">
            <v>bamgt</v>
          </cell>
          <cell r="O25" t="str">
            <v>40</v>
          </cell>
          <cell r="P25" t="str">
            <v>600000A  662999B  670000B  671200   999999999999999999999999999999999999</v>
          </cell>
          <cell r="Q25" t="str">
            <v xml:space="preserve">none     </v>
          </cell>
          <cell r="R25" t="str">
            <v>RollFCST-Working Version</v>
          </cell>
          <cell r="S25" t="str">
            <v>RollFCST-Working Version</v>
          </cell>
          <cell r="T25" t="str">
            <v xml:space="preserve"> </v>
          </cell>
          <cell r="U25" t="str">
            <v xml:space="preserve"> </v>
          </cell>
          <cell r="V25" t="str">
            <v>671200</v>
          </cell>
          <cell r="W25" t="str">
            <v>4</v>
          </cell>
          <cell r="X25" t="str">
            <v xml:space="preserve">      Subscription Services             </v>
          </cell>
          <cell r="Y25">
            <v>1206.61752</v>
          </cell>
          <cell r="Z25">
            <v>1335.4560300000001</v>
          </cell>
          <cell r="AA25">
            <v>1427.5102400000001</v>
          </cell>
          <cell r="AB25">
            <v>1382.1437599999999</v>
          </cell>
          <cell r="AC25">
            <v>5351.7275499999996</v>
          </cell>
          <cell r="AD25">
            <v>1401.92355</v>
          </cell>
          <cell r="AE25">
            <v>1623.7384300000001</v>
          </cell>
          <cell r="AF25">
            <v>1488.3047999999999</v>
          </cell>
          <cell r="AG25">
            <v>1349.44</v>
          </cell>
          <cell r="AH25">
            <v>5863.4067800000003</v>
          </cell>
          <cell r="AI25" t="str">
            <v xml:space="preserve">U.S. Dollar                   </v>
          </cell>
          <cell r="AJ25" t="str">
            <v xml:space="preserve"> </v>
          </cell>
          <cell r="AK25" t="str">
            <v xml:space="preserve"> </v>
          </cell>
          <cell r="AL25" t="str">
            <v xml:space="preserve"> </v>
          </cell>
          <cell r="AM25" t="str">
            <v xml:space="preserve"> </v>
          </cell>
          <cell r="AN25" t="str">
            <v xml:space="preserve"> </v>
          </cell>
          <cell r="AO25" t="str">
            <v xml:space="preserve"> </v>
          </cell>
          <cell r="AP25" t="str">
            <v xml:space="preserve"> </v>
          </cell>
          <cell r="AQ25" t="str">
            <v xml:space="preserve"> </v>
          </cell>
        </row>
        <row r="26">
          <cell r="A26" t="str">
            <v>FB........671500</v>
          </cell>
          <cell r="B26" t="str">
            <v>2003T12</v>
          </cell>
          <cell r="C26" t="str">
            <v xml:space="preserve">TREND    </v>
          </cell>
          <cell r="D26" t="str">
            <v xml:space="preserve">Trend -  QTD Average/Activity                     </v>
          </cell>
          <cell r="E26" t="str">
            <v>Run: 08/07/03 13:53:41</v>
          </cell>
          <cell r="F26" t="str">
            <v>999</v>
          </cell>
          <cell r="G26" t="str">
            <v>100</v>
          </cell>
          <cell r="H26" t="str">
            <v xml:space="preserve">Bank Of America Management Reporting              </v>
          </cell>
          <cell r="I26" t="str">
            <v>001</v>
          </cell>
          <cell r="J26" t="str">
            <v>FB........</v>
          </cell>
          <cell r="K26" t="str">
            <v xml:space="preserve">Gcib Global Operations                            </v>
          </cell>
          <cell r="L26" t="str">
            <v xml:space="preserve"> </v>
          </cell>
          <cell r="M26" t="str">
            <v xml:space="preserve"> </v>
          </cell>
          <cell r="N26" t="str">
            <v>bamgt</v>
          </cell>
          <cell r="O26" t="str">
            <v>40</v>
          </cell>
          <cell r="P26" t="str">
            <v>600000A  662999B  670000B  671500   999999999999999999999999999999999999</v>
          </cell>
          <cell r="Q26" t="str">
            <v xml:space="preserve">none     </v>
          </cell>
          <cell r="R26" t="str">
            <v>RollFCST-Working Version</v>
          </cell>
          <cell r="S26" t="str">
            <v>RollFCST-Working Version</v>
          </cell>
          <cell r="T26" t="str">
            <v xml:space="preserve"> </v>
          </cell>
          <cell r="U26" t="str">
            <v xml:space="preserve"> </v>
          </cell>
          <cell r="V26" t="str">
            <v>671500</v>
          </cell>
          <cell r="W26" t="str">
            <v>4</v>
          </cell>
          <cell r="X26" t="str">
            <v xml:space="preserve">      Other Administrative Expenses     </v>
          </cell>
          <cell r="Y26">
            <v>0.2</v>
          </cell>
          <cell r="Z26">
            <v>47.77619</v>
          </cell>
          <cell r="AA26">
            <v>20.227499999999999</v>
          </cell>
          <cell r="AB26">
            <v>22.895820000000001</v>
          </cell>
          <cell r="AC26">
            <v>91.099509999999995</v>
          </cell>
          <cell r="AD26">
            <v>154.34446</v>
          </cell>
          <cell r="AE26">
            <v>30.166650000000001</v>
          </cell>
          <cell r="AF26">
            <v>-112.60599999999999</v>
          </cell>
          <cell r="AG26">
            <v>92.04</v>
          </cell>
          <cell r="AH26">
            <v>163.94511</v>
          </cell>
          <cell r="AI26" t="str">
            <v xml:space="preserve">U.S. Dollar                   </v>
          </cell>
          <cell r="AJ26" t="str">
            <v xml:space="preserve"> </v>
          </cell>
          <cell r="AK26" t="str">
            <v xml:space="preserve"> </v>
          </cell>
          <cell r="AL26" t="str">
            <v xml:space="preserve"> </v>
          </cell>
          <cell r="AM26" t="str">
            <v xml:space="preserve"> </v>
          </cell>
          <cell r="AN26" t="str">
            <v xml:space="preserve"> </v>
          </cell>
          <cell r="AO26" t="str">
            <v xml:space="preserve"> </v>
          </cell>
          <cell r="AP26" t="str">
            <v xml:space="preserve"> </v>
          </cell>
          <cell r="AQ26" t="str">
            <v xml:space="preserve"> </v>
          </cell>
        </row>
        <row r="27">
          <cell r="A27" t="str">
            <v>FB........675000</v>
          </cell>
          <cell r="B27" t="str">
            <v>2003T12</v>
          </cell>
          <cell r="C27" t="str">
            <v xml:space="preserve">TREND    </v>
          </cell>
          <cell r="D27" t="str">
            <v xml:space="preserve">Trend -  QTD Average/Activity                     </v>
          </cell>
          <cell r="E27" t="str">
            <v>Run: 08/07/03 13:53:41</v>
          </cell>
          <cell r="F27" t="str">
            <v>999</v>
          </cell>
          <cell r="G27" t="str">
            <v>100</v>
          </cell>
          <cell r="H27" t="str">
            <v xml:space="preserve">Bank Of America Management Reporting              </v>
          </cell>
          <cell r="I27" t="str">
            <v>001</v>
          </cell>
          <cell r="J27" t="str">
            <v>FB........</v>
          </cell>
          <cell r="K27" t="str">
            <v xml:space="preserve">Gcib Global Operations                            </v>
          </cell>
          <cell r="L27" t="str">
            <v xml:space="preserve"> </v>
          </cell>
          <cell r="M27" t="str">
            <v xml:space="preserve"> </v>
          </cell>
          <cell r="N27" t="str">
            <v>bamgt</v>
          </cell>
          <cell r="O27" t="str">
            <v>40</v>
          </cell>
          <cell r="P27" t="str">
            <v>600000A  675000   999999999999999999999999999999999999999999999999999999</v>
          </cell>
          <cell r="Q27" t="str">
            <v xml:space="preserve">none     </v>
          </cell>
          <cell r="R27" t="str">
            <v>RollFCST-Working Version</v>
          </cell>
          <cell r="S27" t="str">
            <v>RollFCST-Working Version</v>
          </cell>
          <cell r="T27" t="str">
            <v xml:space="preserve"> </v>
          </cell>
          <cell r="U27" t="str">
            <v xml:space="preserve"> </v>
          </cell>
          <cell r="V27" t="str">
            <v>675000</v>
          </cell>
          <cell r="W27" t="str">
            <v>2</v>
          </cell>
          <cell r="X27" t="str">
            <v xml:space="preserve">  Intercompany Expense                  </v>
          </cell>
          <cell r="Y27">
            <v>112.39243999999999</v>
          </cell>
          <cell r="Z27">
            <v>79.579689999999999</v>
          </cell>
          <cell r="AA27">
            <v>44.00103</v>
          </cell>
          <cell r="AB27">
            <v>58.54233</v>
          </cell>
          <cell r="AC27">
            <v>294.51549</v>
          </cell>
          <cell r="AD27">
            <v>41.08287</v>
          </cell>
          <cell r="AE27">
            <v>43.130389999999998</v>
          </cell>
          <cell r="AF27">
            <v>40.670830000000002</v>
          </cell>
          <cell r="AG27">
            <v>40.44</v>
          </cell>
          <cell r="AH27">
            <v>165.32409000000001</v>
          </cell>
          <cell r="AI27" t="str">
            <v xml:space="preserve">U.S. Dollar                   </v>
          </cell>
          <cell r="AJ27" t="str">
            <v xml:space="preserve"> </v>
          </cell>
          <cell r="AK27" t="str">
            <v xml:space="preserve"> </v>
          </cell>
          <cell r="AL27" t="str">
            <v xml:space="preserve"> </v>
          </cell>
          <cell r="AM27" t="str">
            <v xml:space="preserve"> </v>
          </cell>
          <cell r="AN27" t="str">
            <v xml:space="preserve"> </v>
          </cell>
          <cell r="AO27" t="str">
            <v xml:space="preserve"> </v>
          </cell>
          <cell r="AP27" t="str">
            <v xml:space="preserve"> </v>
          </cell>
          <cell r="AQ27" t="str">
            <v xml:space="preserve"> </v>
          </cell>
        </row>
        <row r="28">
          <cell r="A28" t="str">
            <v>FBA.......600300</v>
          </cell>
          <cell r="B28" t="str">
            <v>2003T12</v>
          </cell>
          <cell r="C28" t="str">
            <v xml:space="preserve">TREND    </v>
          </cell>
          <cell r="D28" t="str">
            <v xml:space="preserve">Trend -  QTD Average/Activity                     </v>
          </cell>
          <cell r="E28" t="str">
            <v>Run: 08/07/03 13:53:41</v>
          </cell>
          <cell r="F28" t="str">
            <v>999</v>
          </cell>
          <cell r="G28" t="str">
            <v>100</v>
          </cell>
          <cell r="H28" t="str">
            <v xml:space="preserve">Bank Of America Management Reporting              </v>
          </cell>
          <cell r="I28" t="str">
            <v>001</v>
          </cell>
          <cell r="J28" t="str">
            <v>FBA.......</v>
          </cell>
          <cell r="K28" t="str">
            <v xml:space="preserve">Global Fx                                         </v>
          </cell>
          <cell r="L28" t="str">
            <v xml:space="preserve"> </v>
          </cell>
          <cell r="M28" t="str">
            <v xml:space="preserve"> </v>
          </cell>
          <cell r="N28" t="str">
            <v>bamgt</v>
          </cell>
          <cell r="O28" t="str">
            <v>40</v>
          </cell>
          <cell r="P28" t="str">
            <v>600000A  600250   999999999600300   999999999999999999999999999999999999</v>
          </cell>
          <cell r="Q28" t="str">
            <v xml:space="preserve">none     </v>
          </cell>
          <cell r="R28" t="str">
            <v>RollFCST-Working Version</v>
          </cell>
          <cell r="S28" t="str">
            <v>RollFCST-Working Version</v>
          </cell>
          <cell r="T28" t="str">
            <v xml:space="preserve"> </v>
          </cell>
          <cell r="U28" t="str">
            <v xml:space="preserve"> </v>
          </cell>
          <cell r="V28" t="str">
            <v>600300</v>
          </cell>
          <cell r="W28" t="str">
            <v>4</v>
          </cell>
          <cell r="X28" t="str">
            <v xml:space="preserve">      Salaries &amp; Wages                  </v>
          </cell>
          <cell r="Y28">
            <v>3493.5010000000002</v>
          </cell>
          <cell r="Z28">
            <v>3593.3744200000001</v>
          </cell>
          <cell r="AA28">
            <v>3651.8596400000001</v>
          </cell>
          <cell r="AB28">
            <v>3603.0451400000002</v>
          </cell>
          <cell r="AC28">
            <v>14341.780199999999</v>
          </cell>
          <cell r="AD28">
            <v>3560.15886</v>
          </cell>
          <cell r="AE28">
            <v>3529.8595799999998</v>
          </cell>
          <cell r="AF28">
            <v>3534.7981500000001</v>
          </cell>
          <cell r="AG28">
            <v>3585</v>
          </cell>
          <cell r="AH28">
            <v>14209.81659</v>
          </cell>
          <cell r="AI28" t="str">
            <v xml:space="preserve">U.S. Dollar                   </v>
          </cell>
          <cell r="AJ28" t="str">
            <v xml:space="preserve"> </v>
          </cell>
          <cell r="AK28" t="str">
            <v xml:space="preserve"> </v>
          </cell>
          <cell r="AL28" t="str">
            <v xml:space="preserve"> </v>
          </cell>
          <cell r="AM28" t="str">
            <v xml:space="preserve"> </v>
          </cell>
          <cell r="AN28" t="str">
            <v xml:space="preserve"> </v>
          </cell>
          <cell r="AO28" t="str">
            <v xml:space="preserve"> </v>
          </cell>
          <cell r="AP28" t="str">
            <v xml:space="preserve"> </v>
          </cell>
          <cell r="AQ28" t="str">
            <v xml:space="preserve"> </v>
          </cell>
        </row>
        <row r="29">
          <cell r="A29" t="str">
            <v>FBA.......601000</v>
          </cell>
          <cell r="B29" t="str">
            <v>2003T12</v>
          </cell>
          <cell r="C29" t="str">
            <v xml:space="preserve">TREND    </v>
          </cell>
          <cell r="D29" t="str">
            <v xml:space="preserve">Trend -  QTD Average/Activity                     </v>
          </cell>
          <cell r="E29" t="str">
            <v>Run: 08/07/03 13:53:41</v>
          </cell>
          <cell r="F29" t="str">
            <v>999</v>
          </cell>
          <cell r="G29" t="str">
            <v>100</v>
          </cell>
          <cell r="H29" t="str">
            <v xml:space="preserve">Bank Of America Management Reporting              </v>
          </cell>
          <cell r="I29" t="str">
            <v>001</v>
          </cell>
          <cell r="J29" t="str">
            <v>FBA.......</v>
          </cell>
          <cell r="K29" t="str">
            <v xml:space="preserve">Global Fx                                         </v>
          </cell>
          <cell r="L29" t="str">
            <v xml:space="preserve"> </v>
          </cell>
          <cell r="M29" t="str">
            <v xml:space="preserve"> </v>
          </cell>
          <cell r="N29" t="str">
            <v>bamgt</v>
          </cell>
          <cell r="O29" t="str">
            <v>40</v>
          </cell>
          <cell r="P29" t="str">
            <v>600000A  600250   999999999601000   999999999999999999999999999999999999</v>
          </cell>
          <cell r="Q29" t="str">
            <v xml:space="preserve">none     </v>
          </cell>
          <cell r="R29" t="str">
            <v>RollFCST-Working Version</v>
          </cell>
          <cell r="S29" t="str">
            <v>RollFCST-Working Version</v>
          </cell>
          <cell r="T29" t="str">
            <v xml:space="preserve"> </v>
          </cell>
          <cell r="U29" t="str">
            <v xml:space="preserve"> </v>
          </cell>
          <cell r="V29" t="str">
            <v>601000</v>
          </cell>
          <cell r="W29" t="str">
            <v>4</v>
          </cell>
          <cell r="X29" t="str">
            <v xml:space="preserve">      Overtime Salaries                 </v>
          </cell>
          <cell r="Y29">
            <v>196.86645999999999</v>
          </cell>
          <cell r="Z29">
            <v>197.28731999999999</v>
          </cell>
          <cell r="AA29">
            <v>197.69044</v>
          </cell>
          <cell r="AB29">
            <v>144.78729999999999</v>
          </cell>
          <cell r="AC29">
            <v>736.63152000000002</v>
          </cell>
          <cell r="AD29">
            <v>106.22726</v>
          </cell>
          <cell r="AE29">
            <v>128.20022</v>
          </cell>
          <cell r="AF29">
            <v>130.02273</v>
          </cell>
          <cell r="AG29">
            <v>121</v>
          </cell>
          <cell r="AH29">
            <v>485.45021000000003</v>
          </cell>
          <cell r="AI29" t="str">
            <v xml:space="preserve">U.S. Dollar                   </v>
          </cell>
          <cell r="AJ29" t="str">
            <v xml:space="preserve"> </v>
          </cell>
          <cell r="AK29" t="str">
            <v xml:space="preserve"> </v>
          </cell>
          <cell r="AL29" t="str">
            <v xml:space="preserve"> </v>
          </cell>
          <cell r="AM29" t="str">
            <v xml:space="preserve"> </v>
          </cell>
          <cell r="AN29" t="str">
            <v xml:space="preserve"> </v>
          </cell>
          <cell r="AO29" t="str">
            <v xml:space="preserve"> </v>
          </cell>
          <cell r="AP29" t="str">
            <v xml:space="preserve"> </v>
          </cell>
          <cell r="AQ29" t="str">
            <v xml:space="preserve"> </v>
          </cell>
        </row>
        <row r="30">
          <cell r="A30" t="str">
            <v>FBA.......601500</v>
          </cell>
          <cell r="B30" t="str">
            <v>2003T12</v>
          </cell>
          <cell r="C30" t="str">
            <v xml:space="preserve">TREND    </v>
          </cell>
          <cell r="D30" t="str">
            <v xml:space="preserve">Trend -  QTD Average/Activity                     </v>
          </cell>
          <cell r="E30" t="str">
            <v>Run: 08/07/03 13:53:41</v>
          </cell>
          <cell r="F30" t="str">
            <v>999</v>
          </cell>
          <cell r="G30" t="str">
            <v>100</v>
          </cell>
          <cell r="H30" t="str">
            <v xml:space="preserve">Bank Of America Management Reporting              </v>
          </cell>
          <cell r="I30" t="str">
            <v>001</v>
          </cell>
          <cell r="J30" t="str">
            <v>FBA.......</v>
          </cell>
          <cell r="K30" t="str">
            <v xml:space="preserve">Global Fx                                         </v>
          </cell>
          <cell r="L30" t="str">
            <v xml:space="preserve"> </v>
          </cell>
          <cell r="M30" t="str">
            <v xml:space="preserve"> </v>
          </cell>
          <cell r="N30" t="str">
            <v>bamgt</v>
          </cell>
          <cell r="O30" t="str">
            <v>40</v>
          </cell>
          <cell r="P30" t="str">
            <v>600000A  600250   999999999601500   999999999999999999999999999999999999</v>
          </cell>
          <cell r="Q30" t="str">
            <v xml:space="preserve">none     </v>
          </cell>
          <cell r="R30" t="str">
            <v>RollFCST-Working Version</v>
          </cell>
          <cell r="S30" t="str">
            <v>RollFCST-Working Version</v>
          </cell>
          <cell r="T30" t="str">
            <v xml:space="preserve"> </v>
          </cell>
          <cell r="U30" t="str">
            <v xml:space="preserve"> </v>
          </cell>
          <cell r="V30" t="str">
            <v>601500</v>
          </cell>
          <cell r="W30" t="str">
            <v>4</v>
          </cell>
          <cell r="X30" t="str">
            <v xml:space="preserve">      Incentive Compensation            </v>
          </cell>
          <cell r="Y30">
            <v>0.42558000000000001</v>
          </cell>
          <cell r="Z30">
            <v>1.22332</v>
          </cell>
          <cell r="AA30">
            <v>0</v>
          </cell>
          <cell r="AB30">
            <v>4.5650700000000004</v>
          </cell>
          <cell r="AC30">
            <v>6.2139699999999998</v>
          </cell>
          <cell r="AD30">
            <v>0</v>
          </cell>
          <cell r="AE30">
            <v>0.20835000000000001</v>
          </cell>
          <cell r="AF30">
            <v>0</v>
          </cell>
          <cell r="AG30">
            <v>0</v>
          </cell>
          <cell r="AH30">
            <v>0.20835000000000001</v>
          </cell>
          <cell r="AI30" t="str">
            <v xml:space="preserve">U.S. Dollar                   </v>
          </cell>
          <cell r="AJ30" t="str">
            <v xml:space="preserve"> </v>
          </cell>
          <cell r="AK30" t="str">
            <v xml:space="preserve"> </v>
          </cell>
          <cell r="AL30" t="str">
            <v xml:space="preserve"> </v>
          </cell>
          <cell r="AM30" t="str">
            <v xml:space="preserve"> </v>
          </cell>
          <cell r="AN30" t="str">
            <v xml:space="preserve"> </v>
          </cell>
          <cell r="AO30" t="str">
            <v xml:space="preserve"> </v>
          </cell>
          <cell r="AP30" t="str">
            <v xml:space="preserve"> </v>
          </cell>
          <cell r="AQ30" t="str">
            <v xml:space="preserve"> </v>
          </cell>
        </row>
        <row r="31">
          <cell r="A31" t="str">
            <v>FBA.......602400</v>
          </cell>
          <cell r="B31" t="str">
            <v>2003T12</v>
          </cell>
          <cell r="C31" t="str">
            <v xml:space="preserve">TREND    </v>
          </cell>
          <cell r="D31" t="str">
            <v xml:space="preserve">Trend -  QTD Average/Activity                     </v>
          </cell>
          <cell r="E31" t="str">
            <v>Run: 08/07/03 13:53:41</v>
          </cell>
          <cell r="F31" t="str">
            <v>999</v>
          </cell>
          <cell r="G31" t="str">
            <v>100</v>
          </cell>
          <cell r="H31" t="str">
            <v xml:space="preserve">Bank Of America Management Reporting              </v>
          </cell>
          <cell r="I31" t="str">
            <v>001</v>
          </cell>
          <cell r="J31" t="str">
            <v>FBA.......</v>
          </cell>
          <cell r="K31" t="str">
            <v xml:space="preserve">Global Fx                                         </v>
          </cell>
          <cell r="L31" t="str">
            <v xml:space="preserve"> </v>
          </cell>
          <cell r="M31" t="str">
            <v xml:space="preserve"> </v>
          </cell>
          <cell r="N31" t="str">
            <v>bamgt</v>
          </cell>
          <cell r="O31" t="str">
            <v>40</v>
          </cell>
          <cell r="P31" t="str">
            <v>600000A  600250   999999999602000   602400   999999999999999999999999999</v>
          </cell>
          <cell r="Q31" t="str">
            <v xml:space="preserve">none     </v>
          </cell>
          <cell r="R31" t="str">
            <v>RollFCST-Working Version</v>
          </cell>
          <cell r="S31" t="str">
            <v>RollFCST-Working Version</v>
          </cell>
          <cell r="T31" t="str">
            <v xml:space="preserve"> </v>
          </cell>
          <cell r="U31" t="str">
            <v xml:space="preserve"> </v>
          </cell>
          <cell r="V31" t="str">
            <v>602400</v>
          </cell>
          <cell r="W31" t="str">
            <v>5</v>
          </cell>
          <cell r="X31" t="str">
            <v xml:space="preserve">        Other Employee Compensation     </v>
          </cell>
          <cell r="Y31">
            <v>6.5682200000000002</v>
          </cell>
          <cell r="Z31">
            <v>5.3561399999999999</v>
          </cell>
          <cell r="AA31">
            <v>3.6010399999999998</v>
          </cell>
          <cell r="AB31">
            <v>3.8134000000000001</v>
          </cell>
          <cell r="AC31">
            <v>19.338799999999999</v>
          </cell>
          <cell r="AD31">
            <v>6.0073600000000003</v>
          </cell>
          <cell r="AE31">
            <v>5.2692300000000003</v>
          </cell>
          <cell r="AF31">
            <v>2.3216100000000002</v>
          </cell>
          <cell r="AG31">
            <v>0</v>
          </cell>
          <cell r="AH31">
            <v>13.5982</v>
          </cell>
          <cell r="AI31" t="str">
            <v xml:space="preserve">U.S. Dollar                   </v>
          </cell>
          <cell r="AJ31" t="str">
            <v xml:space="preserve"> </v>
          </cell>
          <cell r="AK31" t="str">
            <v xml:space="preserve"> </v>
          </cell>
          <cell r="AL31" t="str">
            <v xml:space="preserve"> </v>
          </cell>
          <cell r="AM31" t="str">
            <v xml:space="preserve"> </v>
          </cell>
          <cell r="AN31" t="str">
            <v xml:space="preserve"> </v>
          </cell>
          <cell r="AO31" t="str">
            <v xml:space="preserve"> </v>
          </cell>
          <cell r="AP31" t="str">
            <v xml:space="preserve"> </v>
          </cell>
          <cell r="AQ31" t="str">
            <v xml:space="preserve"> </v>
          </cell>
        </row>
        <row r="32">
          <cell r="A32" t="str">
            <v>FBA.......602000</v>
          </cell>
          <cell r="B32" t="str">
            <v>2003T12</v>
          </cell>
          <cell r="C32" t="str">
            <v xml:space="preserve">TREND    </v>
          </cell>
          <cell r="D32" t="str">
            <v xml:space="preserve">Trend -  QTD Average/Activity                     </v>
          </cell>
          <cell r="E32" t="str">
            <v>Run: 08/07/03 13:53:41</v>
          </cell>
          <cell r="F32" t="str">
            <v>999</v>
          </cell>
          <cell r="G32" t="str">
            <v>100</v>
          </cell>
          <cell r="H32" t="str">
            <v xml:space="preserve">Bank Of America Management Reporting              </v>
          </cell>
          <cell r="I32" t="str">
            <v>001</v>
          </cell>
          <cell r="J32" t="str">
            <v>FBA.......</v>
          </cell>
          <cell r="K32" t="str">
            <v xml:space="preserve">Global Fx                                         </v>
          </cell>
          <cell r="L32" t="str">
            <v xml:space="preserve"> </v>
          </cell>
          <cell r="M32" t="str">
            <v xml:space="preserve"> </v>
          </cell>
          <cell r="N32" t="str">
            <v>bamgt</v>
          </cell>
          <cell r="O32" t="str">
            <v>40</v>
          </cell>
          <cell r="P32" t="str">
            <v>600000A  600250   999999999602000   999999999999999999999999999999999999</v>
          </cell>
          <cell r="Q32" t="str">
            <v xml:space="preserve">none     </v>
          </cell>
          <cell r="R32" t="str">
            <v>RollFCST-Working Version</v>
          </cell>
          <cell r="S32" t="str">
            <v>RollFCST-Working Version</v>
          </cell>
          <cell r="T32" t="str">
            <v xml:space="preserve"> </v>
          </cell>
          <cell r="U32" t="str">
            <v xml:space="preserve"> </v>
          </cell>
          <cell r="V32" t="str">
            <v>602000</v>
          </cell>
          <cell r="W32" t="str">
            <v>4</v>
          </cell>
          <cell r="X32" t="str">
            <v xml:space="preserve">      Contract Temporary/Other Compensat</v>
          </cell>
          <cell r="Y32">
            <v>255.81841</v>
          </cell>
          <cell r="Z32">
            <v>247.38810000000001</v>
          </cell>
          <cell r="AA32">
            <v>109.28144</v>
          </cell>
          <cell r="AB32">
            <v>96.754450000000006</v>
          </cell>
          <cell r="AC32">
            <v>709.24239999999998</v>
          </cell>
          <cell r="AD32">
            <v>28.976569999999999</v>
          </cell>
          <cell r="AE32">
            <v>55.993160000000003</v>
          </cell>
          <cell r="AF32">
            <v>54.66583</v>
          </cell>
          <cell r="AG32">
            <v>27</v>
          </cell>
          <cell r="AH32">
            <v>166.63556</v>
          </cell>
          <cell r="AI32" t="str">
            <v xml:space="preserve">U.S. Dollar                   </v>
          </cell>
          <cell r="AJ32" t="str">
            <v xml:space="preserve"> </v>
          </cell>
          <cell r="AK32" t="str">
            <v xml:space="preserve"> </v>
          </cell>
          <cell r="AL32" t="str">
            <v xml:space="preserve"> </v>
          </cell>
          <cell r="AM32" t="str">
            <v xml:space="preserve"> </v>
          </cell>
          <cell r="AN32" t="str">
            <v xml:space="preserve"> </v>
          </cell>
          <cell r="AO32" t="str">
            <v xml:space="preserve"> </v>
          </cell>
          <cell r="AP32" t="str">
            <v xml:space="preserve"> </v>
          </cell>
          <cell r="AQ32" t="str">
            <v xml:space="preserve"> </v>
          </cell>
        </row>
        <row r="33">
          <cell r="A33" t="str">
            <v>FBA.......603000</v>
          </cell>
          <cell r="B33" t="str">
            <v>2003T12</v>
          </cell>
          <cell r="C33" t="str">
            <v xml:space="preserve">TREND    </v>
          </cell>
          <cell r="D33" t="str">
            <v xml:space="preserve">Trend -  QTD Average/Activity                     </v>
          </cell>
          <cell r="E33" t="str">
            <v>Run: 08/07/03 13:53:41</v>
          </cell>
          <cell r="F33" t="str">
            <v>999</v>
          </cell>
          <cell r="G33" t="str">
            <v>100</v>
          </cell>
          <cell r="H33" t="str">
            <v xml:space="preserve">Bank Of America Management Reporting              </v>
          </cell>
          <cell r="I33" t="str">
            <v>001</v>
          </cell>
          <cell r="J33" t="str">
            <v>FBA.......</v>
          </cell>
          <cell r="K33" t="str">
            <v xml:space="preserve">Global Fx                                         </v>
          </cell>
          <cell r="L33" t="str">
            <v xml:space="preserve"> </v>
          </cell>
          <cell r="M33" t="str">
            <v xml:space="preserve"> </v>
          </cell>
          <cell r="N33" t="str">
            <v>bamgt</v>
          </cell>
          <cell r="O33" t="str">
            <v>40</v>
          </cell>
          <cell r="P33" t="str">
            <v>600000A  600250   999999999603000   999999999999999999999999999999999999</v>
          </cell>
          <cell r="Q33" t="str">
            <v xml:space="preserve">none     </v>
          </cell>
          <cell r="R33" t="str">
            <v>RollFCST-Working Version</v>
          </cell>
          <cell r="S33" t="str">
            <v>RollFCST-Working Version</v>
          </cell>
          <cell r="T33" t="str">
            <v xml:space="preserve"> </v>
          </cell>
          <cell r="U33" t="str">
            <v xml:space="preserve"> </v>
          </cell>
          <cell r="V33" t="str">
            <v>603000</v>
          </cell>
          <cell r="W33" t="str">
            <v>4</v>
          </cell>
          <cell r="X33" t="str">
            <v xml:space="preserve">      Employee Benefits                 </v>
          </cell>
          <cell r="Y33">
            <v>746.42453</v>
          </cell>
          <cell r="Z33">
            <v>880.08618000000001</v>
          </cell>
          <cell r="AA33">
            <v>857.01801999999998</v>
          </cell>
          <cell r="AB33">
            <v>812.54205999999999</v>
          </cell>
          <cell r="AC33">
            <v>3296.0707900000002</v>
          </cell>
          <cell r="AD33">
            <v>854.14570000000003</v>
          </cell>
          <cell r="AE33">
            <v>887.38365999999996</v>
          </cell>
          <cell r="AF33">
            <v>891.77912000000003</v>
          </cell>
          <cell r="AG33">
            <v>857.48</v>
          </cell>
          <cell r="AH33">
            <v>3490.7884800000002</v>
          </cell>
          <cell r="AI33" t="str">
            <v xml:space="preserve">U.S. Dollar                   </v>
          </cell>
          <cell r="AJ33" t="str">
            <v xml:space="preserve"> </v>
          </cell>
          <cell r="AK33" t="str">
            <v xml:space="preserve"> </v>
          </cell>
          <cell r="AL33" t="str">
            <v xml:space="preserve"> </v>
          </cell>
          <cell r="AM33" t="str">
            <v xml:space="preserve"> </v>
          </cell>
          <cell r="AN33" t="str">
            <v xml:space="preserve"> </v>
          </cell>
          <cell r="AO33" t="str">
            <v xml:space="preserve"> </v>
          </cell>
          <cell r="AP33" t="str">
            <v xml:space="preserve"> </v>
          </cell>
          <cell r="AQ33" t="str">
            <v xml:space="preserve"> </v>
          </cell>
        </row>
        <row r="34">
          <cell r="A34" t="str">
            <v>FBA.......600250</v>
          </cell>
          <cell r="B34" t="str">
            <v>2003T12</v>
          </cell>
          <cell r="C34" t="str">
            <v xml:space="preserve">TREND    </v>
          </cell>
          <cell r="D34" t="str">
            <v xml:space="preserve">Trend -  QTD Average/Activity                     </v>
          </cell>
          <cell r="E34" t="str">
            <v>Run: 08/07/03 13:53:41</v>
          </cell>
          <cell r="F34" t="str">
            <v>999</v>
          </cell>
          <cell r="G34" t="str">
            <v>100</v>
          </cell>
          <cell r="H34" t="str">
            <v xml:space="preserve">Bank Of America Management Reporting              </v>
          </cell>
          <cell r="I34" t="str">
            <v>001</v>
          </cell>
          <cell r="J34" t="str">
            <v>FBA.......</v>
          </cell>
          <cell r="K34" t="str">
            <v xml:space="preserve">Global Fx                                         </v>
          </cell>
          <cell r="L34" t="str">
            <v xml:space="preserve"> </v>
          </cell>
          <cell r="M34" t="str">
            <v xml:space="preserve"> </v>
          </cell>
          <cell r="N34" t="str">
            <v>bamgt</v>
          </cell>
          <cell r="O34" t="str">
            <v>40</v>
          </cell>
          <cell r="P34" t="str">
            <v>600000A  600250   999999999999999999999999999999999999999999999999999999</v>
          </cell>
          <cell r="Q34" t="str">
            <v xml:space="preserve">none     </v>
          </cell>
          <cell r="R34" t="str">
            <v>RollFCST-Working Version</v>
          </cell>
          <cell r="S34" t="str">
            <v>RollFCST-Working Version</v>
          </cell>
          <cell r="T34" t="str">
            <v xml:space="preserve"> </v>
          </cell>
          <cell r="U34" t="str">
            <v xml:space="preserve"> </v>
          </cell>
          <cell r="V34" t="str">
            <v>600250</v>
          </cell>
          <cell r="W34" t="str">
            <v>2</v>
          </cell>
          <cell r="X34" t="str">
            <v xml:space="preserve">  Personnel                             </v>
          </cell>
          <cell r="Y34">
            <v>4693.0359799999997</v>
          </cell>
          <cell r="Z34">
            <v>4919.35934</v>
          </cell>
          <cell r="AA34">
            <v>4815.8495400000002</v>
          </cell>
          <cell r="AB34">
            <v>4661.6940199999999</v>
          </cell>
          <cell r="AC34">
            <v>19089.938880000002</v>
          </cell>
          <cell r="AD34">
            <v>4549.50839</v>
          </cell>
          <cell r="AE34">
            <v>4601.6449700000003</v>
          </cell>
          <cell r="AF34">
            <v>4611.2658300000003</v>
          </cell>
          <cell r="AG34">
            <v>4590.4799999999996</v>
          </cell>
          <cell r="AH34">
            <v>18352.89919</v>
          </cell>
          <cell r="AI34" t="str">
            <v xml:space="preserve">U.S. Dollar                   </v>
          </cell>
          <cell r="AJ34" t="str">
            <v xml:space="preserve"> </v>
          </cell>
          <cell r="AK34" t="str">
            <v xml:space="preserve"> </v>
          </cell>
          <cell r="AL34" t="str">
            <v xml:space="preserve"> </v>
          </cell>
          <cell r="AM34" t="str">
            <v xml:space="preserve"> </v>
          </cell>
          <cell r="AN34" t="str">
            <v xml:space="preserve"> </v>
          </cell>
          <cell r="AO34" t="str">
            <v xml:space="preserve"> </v>
          </cell>
          <cell r="AP34" t="str">
            <v xml:space="preserve"> </v>
          </cell>
          <cell r="AQ34" t="str">
            <v xml:space="preserve"> </v>
          </cell>
        </row>
        <row r="35">
          <cell r="A35" t="str">
            <v>FBA.......610000</v>
          </cell>
          <cell r="B35" t="str">
            <v>2003T12</v>
          </cell>
          <cell r="C35" t="str">
            <v xml:space="preserve">TREND    </v>
          </cell>
          <cell r="D35" t="str">
            <v xml:space="preserve">Trend -  QTD Average/Activity                     </v>
          </cell>
          <cell r="E35" t="str">
            <v>Run: 08/07/03 13:53:41</v>
          </cell>
          <cell r="F35" t="str">
            <v>999</v>
          </cell>
          <cell r="G35" t="str">
            <v>100</v>
          </cell>
          <cell r="H35" t="str">
            <v xml:space="preserve">Bank Of America Management Reporting              </v>
          </cell>
          <cell r="I35" t="str">
            <v>001</v>
          </cell>
          <cell r="J35" t="str">
            <v>FBA.......</v>
          </cell>
          <cell r="K35" t="str">
            <v xml:space="preserve">Global Fx                                         </v>
          </cell>
          <cell r="L35" t="str">
            <v xml:space="preserve"> </v>
          </cell>
          <cell r="M35" t="str">
            <v xml:space="preserve"> </v>
          </cell>
          <cell r="N35" t="str">
            <v>bamgt</v>
          </cell>
          <cell r="O35" t="str">
            <v>40</v>
          </cell>
          <cell r="P35" t="str">
            <v>600000A  610000   999999999999999999999999999999999999999999999999999999</v>
          </cell>
          <cell r="Q35" t="str">
            <v xml:space="preserve">none     </v>
          </cell>
          <cell r="R35" t="str">
            <v>RollFCST-Working Version</v>
          </cell>
          <cell r="S35" t="str">
            <v>RollFCST-Working Version</v>
          </cell>
          <cell r="T35" t="str">
            <v xml:space="preserve"> </v>
          </cell>
          <cell r="U35" t="str">
            <v xml:space="preserve"> </v>
          </cell>
          <cell r="V35" t="str">
            <v>610000</v>
          </cell>
          <cell r="W35" t="str">
            <v>2</v>
          </cell>
          <cell r="X35" t="str">
            <v xml:space="preserve">  Net Occupancy Expense                 </v>
          </cell>
          <cell r="Y35">
            <v>657.44183999999996</v>
          </cell>
          <cell r="Z35">
            <v>716.08046000000002</v>
          </cell>
          <cell r="AA35">
            <v>722.29900999999995</v>
          </cell>
          <cell r="AB35">
            <v>571.02468999999996</v>
          </cell>
          <cell r="AC35">
            <v>2666.846</v>
          </cell>
          <cell r="AD35">
            <v>687.02011000000005</v>
          </cell>
          <cell r="AE35">
            <v>666.57717000000002</v>
          </cell>
          <cell r="AF35">
            <v>752.11113</v>
          </cell>
          <cell r="AG35">
            <v>767.03</v>
          </cell>
          <cell r="AH35">
            <v>2872.7384099999999</v>
          </cell>
          <cell r="AI35" t="str">
            <v xml:space="preserve">U.S. Dollar                   </v>
          </cell>
          <cell r="AJ35" t="str">
            <v xml:space="preserve"> </v>
          </cell>
          <cell r="AK35" t="str">
            <v xml:space="preserve"> </v>
          </cell>
          <cell r="AL35" t="str">
            <v xml:space="preserve"> </v>
          </cell>
          <cell r="AM35" t="str">
            <v xml:space="preserve"> </v>
          </cell>
          <cell r="AN35" t="str">
            <v xml:space="preserve"> </v>
          </cell>
          <cell r="AO35" t="str">
            <v xml:space="preserve"> </v>
          </cell>
          <cell r="AP35" t="str">
            <v xml:space="preserve"> </v>
          </cell>
          <cell r="AQ35" t="str">
            <v xml:space="preserve"> </v>
          </cell>
        </row>
        <row r="36">
          <cell r="A36" t="str">
            <v>FBA.......620000</v>
          </cell>
          <cell r="B36" t="str">
            <v>2003T12</v>
          </cell>
          <cell r="C36" t="str">
            <v xml:space="preserve">TREND    </v>
          </cell>
          <cell r="D36" t="str">
            <v xml:space="preserve">Trend -  QTD Average/Activity                     </v>
          </cell>
          <cell r="E36" t="str">
            <v>Run: 08/07/03 13:53:41</v>
          </cell>
          <cell r="F36" t="str">
            <v>999</v>
          </cell>
          <cell r="G36" t="str">
            <v>100</v>
          </cell>
          <cell r="H36" t="str">
            <v xml:space="preserve">Bank Of America Management Reporting              </v>
          </cell>
          <cell r="I36" t="str">
            <v>001</v>
          </cell>
          <cell r="J36" t="str">
            <v>FBA.......</v>
          </cell>
          <cell r="K36" t="str">
            <v xml:space="preserve">Global Fx                                         </v>
          </cell>
          <cell r="L36" t="str">
            <v xml:space="preserve"> </v>
          </cell>
          <cell r="M36" t="str">
            <v xml:space="preserve"> </v>
          </cell>
          <cell r="N36" t="str">
            <v>bamgt</v>
          </cell>
          <cell r="O36" t="str">
            <v>40</v>
          </cell>
          <cell r="P36" t="str">
            <v>600000A  620000   999999999999999999999999999999999999999999999999999999</v>
          </cell>
          <cell r="Q36" t="str">
            <v xml:space="preserve">none     </v>
          </cell>
          <cell r="R36" t="str">
            <v>RollFCST-Working Version</v>
          </cell>
          <cell r="S36" t="str">
            <v>RollFCST-Working Version</v>
          </cell>
          <cell r="T36" t="str">
            <v xml:space="preserve"> </v>
          </cell>
          <cell r="U36" t="str">
            <v xml:space="preserve"> </v>
          </cell>
          <cell r="V36" t="str">
            <v>620000</v>
          </cell>
          <cell r="W36" t="str">
            <v>2</v>
          </cell>
          <cell r="X36" t="str">
            <v xml:space="preserve">  Furniture &amp; Equipment                 </v>
          </cell>
          <cell r="Y36">
            <v>134.74073999999999</v>
          </cell>
          <cell r="Z36">
            <v>206.47663</v>
          </cell>
          <cell r="AA36">
            <v>113.16139</v>
          </cell>
          <cell r="AB36">
            <v>158.39976999999999</v>
          </cell>
          <cell r="AC36">
            <v>612.77853000000005</v>
          </cell>
          <cell r="AD36">
            <v>152.26186000000001</v>
          </cell>
          <cell r="AE36">
            <v>93.320629999999994</v>
          </cell>
          <cell r="AF36">
            <v>79.315389999999994</v>
          </cell>
          <cell r="AG36">
            <v>91.57</v>
          </cell>
          <cell r="AH36">
            <v>416.46787999999998</v>
          </cell>
          <cell r="AI36" t="str">
            <v xml:space="preserve">U.S. Dollar                   </v>
          </cell>
          <cell r="AJ36" t="str">
            <v xml:space="preserve"> </v>
          </cell>
          <cell r="AK36" t="str">
            <v xml:space="preserve"> </v>
          </cell>
          <cell r="AL36" t="str">
            <v xml:space="preserve"> </v>
          </cell>
          <cell r="AM36" t="str">
            <v xml:space="preserve"> </v>
          </cell>
          <cell r="AN36" t="str">
            <v xml:space="preserve"> </v>
          </cell>
          <cell r="AO36" t="str">
            <v xml:space="preserve"> </v>
          </cell>
          <cell r="AP36" t="str">
            <v xml:space="preserve"> </v>
          </cell>
          <cell r="AQ36" t="str">
            <v xml:space="preserve"> </v>
          </cell>
        </row>
        <row r="37">
          <cell r="A37" t="str">
            <v>FBA.......623000</v>
          </cell>
          <cell r="B37" t="str">
            <v>2003T12</v>
          </cell>
          <cell r="C37" t="str">
            <v xml:space="preserve">TREND    </v>
          </cell>
          <cell r="D37" t="str">
            <v xml:space="preserve">Trend -  QTD Average/Activity                     </v>
          </cell>
          <cell r="E37" t="str">
            <v>Run: 08/07/03 13:53:41</v>
          </cell>
          <cell r="F37" t="str">
            <v>999</v>
          </cell>
          <cell r="G37" t="str">
            <v>100</v>
          </cell>
          <cell r="H37" t="str">
            <v xml:space="preserve">Bank Of America Management Reporting              </v>
          </cell>
          <cell r="I37" t="str">
            <v>001</v>
          </cell>
          <cell r="J37" t="str">
            <v>FBA.......</v>
          </cell>
          <cell r="K37" t="str">
            <v xml:space="preserve">Global Fx                                         </v>
          </cell>
          <cell r="L37" t="str">
            <v xml:space="preserve"> </v>
          </cell>
          <cell r="M37" t="str">
            <v xml:space="preserve"> </v>
          </cell>
          <cell r="N37" t="str">
            <v>bamgt</v>
          </cell>
          <cell r="O37" t="str">
            <v>40</v>
          </cell>
          <cell r="P37" t="str">
            <v>600000A  623000   999999999999999999999999999999999999999999999999999999</v>
          </cell>
          <cell r="Q37" t="str">
            <v xml:space="preserve">none     </v>
          </cell>
          <cell r="R37" t="str">
            <v>RollFCST-Working Version</v>
          </cell>
          <cell r="S37" t="str">
            <v>RollFCST-Working Version</v>
          </cell>
          <cell r="T37" t="str">
            <v xml:space="preserve"> </v>
          </cell>
          <cell r="U37" t="str">
            <v xml:space="preserve"> </v>
          </cell>
          <cell r="V37" t="str">
            <v>623000</v>
          </cell>
          <cell r="W37" t="str">
            <v>2</v>
          </cell>
          <cell r="X37" t="str">
            <v xml:space="preserve">  Marketing &amp; Promotional               </v>
          </cell>
          <cell r="Y37">
            <v>1.6912</v>
          </cell>
          <cell r="Z37">
            <v>1.38208</v>
          </cell>
          <cell r="AA37">
            <v>2.59192</v>
          </cell>
          <cell r="AB37">
            <v>0.49225000000000002</v>
          </cell>
          <cell r="AC37">
            <v>6.1574499999999999</v>
          </cell>
          <cell r="AD37">
            <v>2.35425</v>
          </cell>
          <cell r="AE37">
            <v>0.69433999999999996</v>
          </cell>
          <cell r="AF37">
            <v>0.23080999999999999</v>
          </cell>
          <cell r="AG37">
            <v>0</v>
          </cell>
          <cell r="AH37">
            <v>3.2793999999999999</v>
          </cell>
          <cell r="AI37" t="str">
            <v xml:space="preserve">U.S. Dollar                   </v>
          </cell>
          <cell r="AJ37" t="str">
            <v xml:space="preserve"> </v>
          </cell>
          <cell r="AK37" t="str">
            <v xml:space="preserve"> </v>
          </cell>
          <cell r="AL37" t="str">
            <v xml:space="preserve"> </v>
          </cell>
          <cell r="AM37" t="str">
            <v xml:space="preserve"> </v>
          </cell>
          <cell r="AN37" t="str">
            <v xml:space="preserve"> </v>
          </cell>
          <cell r="AO37" t="str">
            <v xml:space="preserve"> </v>
          </cell>
          <cell r="AP37" t="str">
            <v xml:space="preserve"> </v>
          </cell>
          <cell r="AQ37" t="str">
            <v xml:space="preserve"> </v>
          </cell>
        </row>
        <row r="38">
          <cell r="A38" t="str">
            <v>FBA.......630000</v>
          </cell>
          <cell r="B38" t="str">
            <v>2003T12</v>
          </cell>
          <cell r="C38" t="str">
            <v xml:space="preserve">TREND    </v>
          </cell>
          <cell r="D38" t="str">
            <v xml:space="preserve">Trend -  QTD Average/Activity                     </v>
          </cell>
          <cell r="E38" t="str">
            <v>Run: 08/07/03 13:53:41</v>
          </cell>
          <cell r="F38" t="str">
            <v>999</v>
          </cell>
          <cell r="G38" t="str">
            <v>100</v>
          </cell>
          <cell r="H38" t="str">
            <v xml:space="preserve">Bank Of America Management Reporting              </v>
          </cell>
          <cell r="I38" t="str">
            <v>001</v>
          </cell>
          <cell r="J38" t="str">
            <v>FBA.......</v>
          </cell>
          <cell r="K38" t="str">
            <v xml:space="preserve">Global Fx                                         </v>
          </cell>
          <cell r="L38" t="str">
            <v xml:space="preserve"> </v>
          </cell>
          <cell r="M38" t="str">
            <v xml:space="preserve"> </v>
          </cell>
          <cell r="N38" t="str">
            <v>bamgt</v>
          </cell>
          <cell r="O38" t="str">
            <v>40</v>
          </cell>
          <cell r="P38" t="str">
            <v>600000A  630000   999999999999999999999999999999999999999999999999999999</v>
          </cell>
          <cell r="Q38" t="str">
            <v xml:space="preserve">none     </v>
          </cell>
          <cell r="R38" t="str">
            <v>RollFCST-Working Version</v>
          </cell>
          <cell r="S38" t="str">
            <v>RollFCST-Working Version</v>
          </cell>
          <cell r="T38" t="str">
            <v xml:space="preserve"> </v>
          </cell>
          <cell r="U38" t="str">
            <v xml:space="preserve"> </v>
          </cell>
          <cell r="V38" t="str">
            <v>630000</v>
          </cell>
          <cell r="W38" t="str">
            <v>2</v>
          </cell>
          <cell r="X38" t="str">
            <v xml:space="preserve">  Professional Fees                     </v>
          </cell>
          <cell r="Y38">
            <v>13.93266</v>
          </cell>
          <cell r="Z38">
            <v>20.726469999999999</v>
          </cell>
          <cell r="AA38">
            <v>20.305579999999999</v>
          </cell>
          <cell r="AB38">
            <v>57.040219999999998</v>
          </cell>
          <cell r="AC38">
            <v>112.00493</v>
          </cell>
          <cell r="AD38">
            <v>33.72296</v>
          </cell>
          <cell r="AE38">
            <v>11.15686</v>
          </cell>
          <cell r="AF38">
            <v>46.855930000000001</v>
          </cell>
          <cell r="AG38">
            <v>29</v>
          </cell>
          <cell r="AH38">
            <v>120.73575</v>
          </cell>
          <cell r="AI38" t="str">
            <v xml:space="preserve">U.S. Dollar                   </v>
          </cell>
          <cell r="AJ38" t="str">
            <v xml:space="preserve"> </v>
          </cell>
          <cell r="AK38" t="str">
            <v xml:space="preserve"> </v>
          </cell>
          <cell r="AL38" t="str">
            <v xml:space="preserve"> </v>
          </cell>
          <cell r="AM38" t="str">
            <v xml:space="preserve"> </v>
          </cell>
          <cell r="AN38" t="str">
            <v xml:space="preserve"> </v>
          </cell>
          <cell r="AO38" t="str">
            <v xml:space="preserve"> </v>
          </cell>
          <cell r="AP38" t="str">
            <v xml:space="preserve"> </v>
          </cell>
          <cell r="AQ38" t="str">
            <v xml:space="preserve"> </v>
          </cell>
        </row>
        <row r="39">
          <cell r="A39" t="str">
            <v>FBA.......651500A</v>
          </cell>
          <cell r="B39" t="str">
            <v>2003T12</v>
          </cell>
          <cell r="C39" t="str">
            <v xml:space="preserve">TREND    </v>
          </cell>
          <cell r="D39" t="str">
            <v xml:space="preserve">Trend -  QTD Average/Activity                     </v>
          </cell>
          <cell r="E39" t="str">
            <v>Run: 08/07/03 13:53:41</v>
          </cell>
          <cell r="F39" t="str">
            <v>999</v>
          </cell>
          <cell r="G39" t="str">
            <v>100</v>
          </cell>
          <cell r="H39" t="str">
            <v xml:space="preserve">Bank Of America Management Reporting              </v>
          </cell>
          <cell r="I39" t="str">
            <v>001</v>
          </cell>
          <cell r="J39" t="str">
            <v>FBA.......</v>
          </cell>
          <cell r="K39" t="str">
            <v xml:space="preserve">Global Fx                                         </v>
          </cell>
          <cell r="L39" t="str">
            <v xml:space="preserve"> </v>
          </cell>
          <cell r="M39" t="str">
            <v xml:space="preserve"> </v>
          </cell>
          <cell r="N39" t="str">
            <v>bamgt</v>
          </cell>
          <cell r="O39" t="str">
            <v>40</v>
          </cell>
          <cell r="P39" t="str">
            <v>600000A  651500A  999999999999999999999999999999999999999999999999999999</v>
          </cell>
          <cell r="Q39" t="str">
            <v xml:space="preserve">none     </v>
          </cell>
          <cell r="R39" t="str">
            <v>RollFCST-Working Version</v>
          </cell>
          <cell r="S39" t="str">
            <v>RollFCST-Working Version</v>
          </cell>
          <cell r="T39" t="str">
            <v xml:space="preserve"> </v>
          </cell>
          <cell r="U39" t="str">
            <v xml:space="preserve"> </v>
          </cell>
          <cell r="V39" t="str">
            <v>651500A</v>
          </cell>
          <cell r="W39" t="str">
            <v>2</v>
          </cell>
          <cell r="X39" t="str">
            <v xml:space="preserve">  Direct Processing Expense             </v>
          </cell>
          <cell r="Y39">
            <v>186.57114999999999</v>
          </cell>
          <cell r="Z39">
            <v>152.57874000000001</v>
          </cell>
          <cell r="AA39">
            <v>512.80556000000001</v>
          </cell>
          <cell r="AB39">
            <v>376.55513999999999</v>
          </cell>
          <cell r="AC39">
            <v>1228.5105900000001</v>
          </cell>
          <cell r="AD39">
            <v>148.16352000000001</v>
          </cell>
          <cell r="AE39">
            <v>367.73709000000002</v>
          </cell>
          <cell r="AF39">
            <v>395.77312000000001</v>
          </cell>
          <cell r="AG39">
            <v>188.73</v>
          </cell>
          <cell r="AH39">
            <v>1100.40373</v>
          </cell>
          <cell r="AI39" t="str">
            <v xml:space="preserve">U.S. Dollar                   </v>
          </cell>
          <cell r="AJ39" t="str">
            <v xml:space="preserve"> </v>
          </cell>
          <cell r="AK39" t="str">
            <v xml:space="preserve"> </v>
          </cell>
          <cell r="AL39" t="str">
            <v xml:space="preserve"> </v>
          </cell>
          <cell r="AM39" t="str">
            <v xml:space="preserve"> </v>
          </cell>
          <cell r="AN39" t="str">
            <v xml:space="preserve"> </v>
          </cell>
          <cell r="AO39" t="str">
            <v xml:space="preserve"> </v>
          </cell>
          <cell r="AP39" t="str">
            <v xml:space="preserve"> </v>
          </cell>
          <cell r="AQ39" t="str">
            <v xml:space="preserve"> </v>
          </cell>
        </row>
        <row r="40">
          <cell r="A40" t="str">
            <v>FBA.......660000A</v>
          </cell>
          <cell r="B40" t="str">
            <v>2003T12</v>
          </cell>
          <cell r="C40" t="str">
            <v xml:space="preserve">TREND    </v>
          </cell>
          <cell r="D40" t="str">
            <v xml:space="preserve">Trend -  QTD Average/Activity                     </v>
          </cell>
          <cell r="E40" t="str">
            <v>Run: 08/07/03 13:53:41</v>
          </cell>
          <cell r="F40" t="str">
            <v>999</v>
          </cell>
          <cell r="G40" t="str">
            <v>100</v>
          </cell>
          <cell r="H40" t="str">
            <v xml:space="preserve">Bank Of America Management Reporting              </v>
          </cell>
          <cell r="I40" t="str">
            <v>001</v>
          </cell>
          <cell r="J40" t="str">
            <v>FBA.......</v>
          </cell>
          <cell r="K40" t="str">
            <v xml:space="preserve">Global Fx                                         </v>
          </cell>
          <cell r="L40" t="str">
            <v xml:space="preserve"> </v>
          </cell>
          <cell r="M40" t="str">
            <v xml:space="preserve"> </v>
          </cell>
          <cell r="N40" t="str">
            <v>bamgt</v>
          </cell>
          <cell r="O40" t="str">
            <v>40</v>
          </cell>
          <cell r="P40" t="str">
            <v>600000A  660000A  999999999999999999999999999999999999999999999999999999</v>
          </cell>
          <cell r="Q40" t="str">
            <v xml:space="preserve">none     </v>
          </cell>
          <cell r="R40" t="str">
            <v>RollFCST-Working Version</v>
          </cell>
          <cell r="S40" t="str">
            <v>RollFCST-Working Version</v>
          </cell>
          <cell r="T40" t="str">
            <v xml:space="preserve"> </v>
          </cell>
          <cell r="U40" t="str">
            <v xml:space="preserve"> </v>
          </cell>
          <cell r="V40" t="str">
            <v>660000A</v>
          </cell>
          <cell r="W40" t="str">
            <v>2</v>
          </cell>
          <cell r="X40" t="str">
            <v xml:space="preserve">  Telecommunications                    </v>
          </cell>
          <cell r="Y40">
            <v>316.89452999999997</v>
          </cell>
          <cell r="Z40">
            <v>352.87891999999999</v>
          </cell>
          <cell r="AA40">
            <v>187.76687000000001</v>
          </cell>
          <cell r="AB40">
            <v>236.92243999999999</v>
          </cell>
          <cell r="AC40">
            <v>1094.4627599999999</v>
          </cell>
          <cell r="AD40">
            <v>249.01271</v>
          </cell>
          <cell r="AE40">
            <v>214.66163</v>
          </cell>
          <cell r="AF40">
            <v>212.9778</v>
          </cell>
          <cell r="AG40">
            <v>233.09</v>
          </cell>
          <cell r="AH40">
            <v>909.74213999999995</v>
          </cell>
          <cell r="AI40" t="str">
            <v xml:space="preserve">U.S. Dollar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row>
        <row r="41">
          <cell r="A41" t="str">
            <v>FBA.......663000</v>
          </cell>
          <cell r="B41" t="str">
            <v>2003T12</v>
          </cell>
          <cell r="C41" t="str">
            <v xml:space="preserve">TREND    </v>
          </cell>
          <cell r="D41" t="str">
            <v xml:space="preserve">Trend -  QTD Average/Activity                     </v>
          </cell>
          <cell r="E41" t="str">
            <v>Run: 08/07/03 13:53:41</v>
          </cell>
          <cell r="F41" t="str">
            <v>999</v>
          </cell>
          <cell r="G41" t="str">
            <v>100</v>
          </cell>
          <cell r="H41" t="str">
            <v xml:space="preserve">Bank Of America Management Reporting              </v>
          </cell>
          <cell r="I41" t="str">
            <v>001</v>
          </cell>
          <cell r="J41" t="str">
            <v>FBA.......</v>
          </cell>
          <cell r="K41" t="str">
            <v xml:space="preserve">Global Fx                                         </v>
          </cell>
          <cell r="L41" t="str">
            <v xml:space="preserve"> </v>
          </cell>
          <cell r="M41" t="str">
            <v xml:space="preserve"> </v>
          </cell>
          <cell r="N41" t="str">
            <v>bamgt</v>
          </cell>
          <cell r="O41" t="str">
            <v>40</v>
          </cell>
          <cell r="P41" t="str">
            <v>600000A  662999B  662999C  663000   999999999999999999999999999999999999</v>
          </cell>
          <cell r="Q41" t="str">
            <v xml:space="preserve">none     </v>
          </cell>
          <cell r="R41" t="str">
            <v>RollFCST-Working Version</v>
          </cell>
          <cell r="S41" t="str">
            <v>RollFCST-Working Version</v>
          </cell>
          <cell r="T41" t="str">
            <v xml:space="preserve"> </v>
          </cell>
          <cell r="U41" t="str">
            <v xml:space="preserve"> </v>
          </cell>
          <cell r="V41" t="str">
            <v>663000</v>
          </cell>
          <cell r="W41" t="str">
            <v>4</v>
          </cell>
          <cell r="X41" t="str">
            <v xml:space="preserve">      Supplies                          </v>
          </cell>
          <cell r="Y41">
            <v>117.26843</v>
          </cell>
          <cell r="Z41">
            <v>86.398009999999999</v>
          </cell>
          <cell r="AA41">
            <v>115.45719</v>
          </cell>
          <cell r="AB41">
            <v>134.33497</v>
          </cell>
          <cell r="AC41">
            <v>453.45859999999999</v>
          </cell>
          <cell r="AD41">
            <v>96.404210000000006</v>
          </cell>
          <cell r="AE41">
            <v>124.98560000000001</v>
          </cell>
          <cell r="AF41">
            <v>113.68783000000001</v>
          </cell>
          <cell r="AG41">
            <v>116</v>
          </cell>
          <cell r="AH41">
            <v>451.07763999999997</v>
          </cell>
          <cell r="AI41" t="str">
            <v xml:space="preserve">U.S. Dollar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row>
        <row r="42">
          <cell r="A42" t="str">
            <v>FBA.......664500</v>
          </cell>
          <cell r="B42" t="str">
            <v>2003T12</v>
          </cell>
          <cell r="C42" t="str">
            <v xml:space="preserve">TREND    </v>
          </cell>
          <cell r="D42" t="str">
            <v xml:space="preserve">Trend -  QTD Average/Activity                     </v>
          </cell>
          <cell r="E42" t="str">
            <v>Run: 08/07/03 13:53:41</v>
          </cell>
          <cell r="F42" t="str">
            <v>999</v>
          </cell>
          <cell r="G42" t="str">
            <v>100</v>
          </cell>
          <cell r="H42" t="str">
            <v xml:space="preserve">Bank Of America Management Reporting              </v>
          </cell>
          <cell r="I42" t="str">
            <v>001</v>
          </cell>
          <cell r="J42" t="str">
            <v>FBA.......</v>
          </cell>
          <cell r="K42" t="str">
            <v xml:space="preserve">Global Fx                                         </v>
          </cell>
          <cell r="L42" t="str">
            <v xml:space="preserve"> </v>
          </cell>
          <cell r="M42" t="str">
            <v xml:space="preserve"> </v>
          </cell>
          <cell r="N42" t="str">
            <v>bamgt</v>
          </cell>
          <cell r="O42" t="str">
            <v>40</v>
          </cell>
          <cell r="P42" t="str">
            <v>600000A  662999B  662999C  664500   999999999999999999999999999999999999</v>
          </cell>
          <cell r="Q42" t="str">
            <v xml:space="preserve">none     </v>
          </cell>
          <cell r="R42" t="str">
            <v>RollFCST-Working Version</v>
          </cell>
          <cell r="S42" t="str">
            <v>RollFCST-Working Version</v>
          </cell>
          <cell r="T42" t="str">
            <v xml:space="preserve"> </v>
          </cell>
          <cell r="U42" t="str">
            <v xml:space="preserve"> </v>
          </cell>
          <cell r="V42" t="str">
            <v>664500</v>
          </cell>
          <cell r="W42" t="str">
            <v>4</v>
          </cell>
          <cell r="X42" t="str">
            <v xml:space="preserve">      Postage And Courier               </v>
          </cell>
          <cell r="Y42">
            <v>162.80975000000001</v>
          </cell>
          <cell r="Z42">
            <v>187.79983999999999</v>
          </cell>
          <cell r="AA42">
            <v>240.80600000000001</v>
          </cell>
          <cell r="AB42">
            <v>147.61668</v>
          </cell>
          <cell r="AC42">
            <v>739.03227000000004</v>
          </cell>
          <cell r="AD42">
            <v>262.88019000000003</v>
          </cell>
          <cell r="AE42">
            <v>223.37234000000001</v>
          </cell>
          <cell r="AF42">
            <v>257.79516000000001</v>
          </cell>
          <cell r="AG42">
            <v>250</v>
          </cell>
          <cell r="AH42">
            <v>994.04768999999999</v>
          </cell>
          <cell r="AI42" t="str">
            <v xml:space="preserve">U.S. Dollar                   </v>
          </cell>
          <cell r="AJ42" t="str">
            <v xml:space="preserve"> </v>
          </cell>
          <cell r="AK42" t="str">
            <v xml:space="preserve"> </v>
          </cell>
          <cell r="AL42" t="str">
            <v xml:space="preserve"> </v>
          </cell>
          <cell r="AM42" t="str">
            <v xml:space="preserve"> </v>
          </cell>
          <cell r="AN42" t="str">
            <v xml:space="preserve"> </v>
          </cell>
          <cell r="AO42" t="str">
            <v xml:space="preserve"> </v>
          </cell>
          <cell r="AP42" t="str">
            <v xml:space="preserve"> </v>
          </cell>
          <cell r="AQ42" t="str">
            <v xml:space="preserve"> </v>
          </cell>
        </row>
        <row r="43">
          <cell r="A43" t="str">
            <v>FBA.......665499F</v>
          </cell>
          <cell r="B43" t="str">
            <v>2003T12</v>
          </cell>
          <cell r="C43" t="str">
            <v xml:space="preserve">TREND    </v>
          </cell>
          <cell r="D43" t="str">
            <v xml:space="preserve">Trend -  QTD Average/Activity                     </v>
          </cell>
          <cell r="E43" t="str">
            <v>Run: 08/07/03 13:53:41</v>
          </cell>
          <cell r="F43" t="str">
            <v>999</v>
          </cell>
          <cell r="G43" t="str">
            <v>100</v>
          </cell>
          <cell r="H43" t="str">
            <v xml:space="preserve">Bank Of America Management Reporting              </v>
          </cell>
          <cell r="I43" t="str">
            <v>001</v>
          </cell>
          <cell r="J43" t="str">
            <v>FBA.......</v>
          </cell>
          <cell r="K43" t="str">
            <v xml:space="preserve">Global Fx                                         </v>
          </cell>
          <cell r="L43" t="str">
            <v xml:space="preserve"> </v>
          </cell>
          <cell r="M43" t="str">
            <v xml:space="preserve"> </v>
          </cell>
          <cell r="N43" t="str">
            <v>bamgt</v>
          </cell>
          <cell r="O43" t="str">
            <v>40</v>
          </cell>
          <cell r="P43" t="str">
            <v>600000A  662999B  662999C  665499B  665499D  665499F  999999999999999999</v>
          </cell>
          <cell r="Q43" t="str">
            <v xml:space="preserve">none     </v>
          </cell>
          <cell r="R43" t="str">
            <v>RollFCST-Working Version</v>
          </cell>
          <cell r="S43" t="str">
            <v>RollFCST-Working Version</v>
          </cell>
          <cell r="T43" t="str">
            <v xml:space="preserve"> </v>
          </cell>
          <cell r="U43" t="str">
            <v xml:space="preserve"> </v>
          </cell>
          <cell r="V43" t="str">
            <v>665499F</v>
          </cell>
          <cell r="W43" t="str">
            <v>6</v>
          </cell>
          <cell r="X43" t="str">
            <v xml:space="preserve">          Relocation Expense            </v>
          </cell>
          <cell r="Y43">
            <v>0</v>
          </cell>
          <cell r="Z43">
            <v>31.218319999999999</v>
          </cell>
          <cell r="AA43">
            <v>18.19258</v>
          </cell>
          <cell r="AB43">
            <v>17.148</v>
          </cell>
          <cell r="AC43">
            <v>66.558899999999994</v>
          </cell>
          <cell r="AD43">
            <v>19.602</v>
          </cell>
          <cell r="AE43">
            <v>17.667000000000002</v>
          </cell>
          <cell r="AF43">
            <v>55.542999999999999</v>
          </cell>
          <cell r="AG43">
            <v>0</v>
          </cell>
          <cell r="AH43">
            <v>92.811999999999998</v>
          </cell>
          <cell r="AI43" t="str">
            <v xml:space="preserve">U.S. Dollar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row>
        <row r="44">
          <cell r="A44" t="str">
            <v>FBA.......665499J</v>
          </cell>
          <cell r="B44" t="str">
            <v>2003T12</v>
          </cell>
          <cell r="C44" t="str">
            <v xml:space="preserve">TREND    </v>
          </cell>
          <cell r="D44" t="str">
            <v xml:space="preserve">Trend -  QTD Average/Activity                     </v>
          </cell>
          <cell r="E44" t="str">
            <v>Run: 08/07/03 13:53:41</v>
          </cell>
          <cell r="F44" t="str">
            <v>999</v>
          </cell>
          <cell r="G44" t="str">
            <v>100</v>
          </cell>
          <cell r="H44" t="str">
            <v xml:space="preserve">Bank Of America Management Reporting              </v>
          </cell>
          <cell r="I44" t="str">
            <v>001</v>
          </cell>
          <cell r="J44" t="str">
            <v>FBA.......</v>
          </cell>
          <cell r="K44" t="str">
            <v xml:space="preserve">Global Fx                                         </v>
          </cell>
          <cell r="L44" t="str">
            <v xml:space="preserve"> </v>
          </cell>
          <cell r="M44" t="str">
            <v xml:space="preserve"> </v>
          </cell>
          <cell r="N44" t="str">
            <v>bamgt</v>
          </cell>
          <cell r="O44" t="str">
            <v>40</v>
          </cell>
          <cell r="P44" t="str">
            <v>600000A  662999B  662999C  665499B  665499D  665499H  665499J  999999999</v>
          </cell>
          <cell r="Q44" t="str">
            <v xml:space="preserve">none     </v>
          </cell>
          <cell r="R44" t="str">
            <v>RollFCST-Working Version</v>
          </cell>
          <cell r="S44" t="str">
            <v>RollFCST-Working Version</v>
          </cell>
          <cell r="T44" t="str">
            <v xml:space="preserve"> </v>
          </cell>
          <cell r="U44" t="str">
            <v xml:space="preserve"> </v>
          </cell>
          <cell r="V44" t="str">
            <v>665499J</v>
          </cell>
          <cell r="W44" t="str">
            <v>7</v>
          </cell>
          <cell r="X44" t="str">
            <v xml:space="preserve">            Employee Training &amp; Seminars</v>
          </cell>
          <cell r="Y44">
            <v>2.9464700000000001</v>
          </cell>
          <cell r="Z44">
            <v>0.55000000000000004</v>
          </cell>
          <cell r="AA44">
            <v>0.58362000000000003</v>
          </cell>
          <cell r="AB44">
            <v>4.9179700000000004</v>
          </cell>
          <cell r="AC44">
            <v>8.9980600000000006</v>
          </cell>
          <cell r="AD44">
            <v>9.4020499999999991</v>
          </cell>
          <cell r="AE44">
            <v>5.4760600000000004</v>
          </cell>
          <cell r="AF44">
            <v>-16.06879</v>
          </cell>
          <cell r="AG44">
            <v>33</v>
          </cell>
          <cell r="AH44">
            <v>31.80932</v>
          </cell>
          <cell r="AI44" t="str">
            <v xml:space="preserve">U.S. Dollar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row>
        <row r="45">
          <cell r="A45" t="str">
            <v>FBA.......665499H</v>
          </cell>
          <cell r="B45" t="str">
            <v>2003T12</v>
          </cell>
          <cell r="C45" t="str">
            <v xml:space="preserve">TREND    </v>
          </cell>
          <cell r="D45" t="str">
            <v xml:space="preserve">Trend -  QTD Average/Activity                     </v>
          </cell>
          <cell r="E45" t="str">
            <v>Run: 08/07/03 13:53:41</v>
          </cell>
          <cell r="F45" t="str">
            <v>999</v>
          </cell>
          <cell r="G45" t="str">
            <v>100</v>
          </cell>
          <cell r="H45" t="str">
            <v xml:space="preserve">Bank Of America Management Reporting              </v>
          </cell>
          <cell r="I45" t="str">
            <v>001</v>
          </cell>
          <cell r="J45" t="str">
            <v>FBA.......</v>
          </cell>
          <cell r="K45" t="str">
            <v xml:space="preserve">Global Fx                                         </v>
          </cell>
          <cell r="L45" t="str">
            <v xml:space="preserve"> </v>
          </cell>
          <cell r="M45" t="str">
            <v xml:space="preserve"> </v>
          </cell>
          <cell r="N45" t="str">
            <v>bamgt</v>
          </cell>
          <cell r="O45" t="str">
            <v>40</v>
          </cell>
          <cell r="P45" t="str">
            <v>600000A  662999B  662999C  665499B  665499D  665499H  999999999999999999</v>
          </cell>
          <cell r="Q45" t="str">
            <v xml:space="preserve">none     </v>
          </cell>
          <cell r="R45" t="str">
            <v>RollFCST-Working Version</v>
          </cell>
          <cell r="S45" t="str">
            <v>RollFCST-Working Version</v>
          </cell>
          <cell r="T45" t="str">
            <v xml:space="preserve"> </v>
          </cell>
          <cell r="U45" t="str">
            <v xml:space="preserve"> </v>
          </cell>
          <cell r="V45" t="str">
            <v>665499H</v>
          </cell>
          <cell r="W45" t="str">
            <v>6</v>
          </cell>
          <cell r="X45" t="str">
            <v xml:space="preserve">          Other Employee Expense        </v>
          </cell>
          <cell r="Y45">
            <v>22.92671</v>
          </cell>
          <cell r="Z45">
            <v>26.718150000000001</v>
          </cell>
          <cell r="AA45">
            <v>23.885819999999999</v>
          </cell>
          <cell r="AB45">
            <v>18.755410000000001</v>
          </cell>
          <cell r="AC45">
            <v>92.286090000000002</v>
          </cell>
          <cell r="AD45">
            <v>26.360399999999998</v>
          </cell>
          <cell r="AE45">
            <v>22.110990000000001</v>
          </cell>
          <cell r="AF45">
            <v>-10.50202</v>
          </cell>
          <cell r="AG45">
            <v>33</v>
          </cell>
          <cell r="AH45">
            <v>70.969369999999998</v>
          </cell>
          <cell r="AI45" t="str">
            <v xml:space="preserve">U.S. Dollar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row>
        <row r="46">
          <cell r="A46" t="str">
            <v>FBA.......665499D</v>
          </cell>
          <cell r="B46" t="str">
            <v>2003T12</v>
          </cell>
          <cell r="C46" t="str">
            <v xml:space="preserve">TREND    </v>
          </cell>
          <cell r="D46" t="str">
            <v xml:space="preserve">Trend -  QTD Average/Activity                     </v>
          </cell>
          <cell r="E46" t="str">
            <v>Run: 08/07/03 13:53:41</v>
          </cell>
          <cell r="F46" t="str">
            <v>999</v>
          </cell>
          <cell r="G46" t="str">
            <v>100</v>
          </cell>
          <cell r="H46" t="str">
            <v xml:space="preserve">Bank Of America Management Reporting              </v>
          </cell>
          <cell r="I46" t="str">
            <v>001</v>
          </cell>
          <cell r="J46" t="str">
            <v>FBA.......</v>
          </cell>
          <cell r="K46" t="str">
            <v xml:space="preserve">Global Fx                                         </v>
          </cell>
          <cell r="L46" t="str">
            <v xml:space="preserve"> </v>
          </cell>
          <cell r="M46" t="str">
            <v xml:space="preserve"> </v>
          </cell>
          <cell r="N46" t="str">
            <v>bamgt</v>
          </cell>
          <cell r="O46" t="str">
            <v>40</v>
          </cell>
          <cell r="P46" t="str">
            <v>600000A  662999B  662999C  665499B  665499D  999999999999999999999999999</v>
          </cell>
          <cell r="Q46" t="str">
            <v xml:space="preserve">none     </v>
          </cell>
          <cell r="R46" t="str">
            <v>RollFCST-Working Version</v>
          </cell>
          <cell r="S46" t="str">
            <v>RollFCST-Working Version</v>
          </cell>
          <cell r="T46" t="str">
            <v xml:space="preserve"> </v>
          </cell>
          <cell r="U46" t="str">
            <v xml:space="preserve"> </v>
          </cell>
          <cell r="V46" t="str">
            <v>665499D</v>
          </cell>
          <cell r="W46" t="str">
            <v>5</v>
          </cell>
          <cell r="X46" t="str">
            <v xml:space="preserve">        Employee Expense                </v>
          </cell>
          <cell r="Y46">
            <v>22.92671</v>
          </cell>
          <cell r="Z46">
            <v>57.93647</v>
          </cell>
          <cell r="AA46">
            <v>42.078400000000002</v>
          </cell>
          <cell r="AB46">
            <v>35.903410000000001</v>
          </cell>
          <cell r="AC46">
            <v>158.84499</v>
          </cell>
          <cell r="AD46">
            <v>45.962400000000002</v>
          </cell>
          <cell r="AE46">
            <v>39.777990000000003</v>
          </cell>
          <cell r="AF46">
            <v>45.040979999999998</v>
          </cell>
          <cell r="AG46">
            <v>33</v>
          </cell>
          <cell r="AH46">
            <v>163.78137000000001</v>
          </cell>
          <cell r="AI46" t="str">
            <v xml:space="preserve">U.S. Dollar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row>
        <row r="47">
          <cell r="A47" t="str">
            <v>FBA.......665499B</v>
          </cell>
          <cell r="B47" t="str">
            <v>2003T12</v>
          </cell>
          <cell r="C47" t="str">
            <v xml:space="preserve">TREND    </v>
          </cell>
          <cell r="D47" t="str">
            <v xml:space="preserve">Trend -  QTD Average/Activity                     </v>
          </cell>
          <cell r="E47" t="str">
            <v>Run: 08/07/03 13:53:41</v>
          </cell>
          <cell r="F47" t="str">
            <v>999</v>
          </cell>
          <cell r="G47" t="str">
            <v>100</v>
          </cell>
          <cell r="H47" t="str">
            <v xml:space="preserve">Bank Of America Management Reporting              </v>
          </cell>
          <cell r="I47" t="str">
            <v>001</v>
          </cell>
          <cell r="J47" t="str">
            <v>FBA.......</v>
          </cell>
          <cell r="K47" t="str">
            <v xml:space="preserve">Global Fx                                         </v>
          </cell>
          <cell r="L47" t="str">
            <v xml:space="preserve"> </v>
          </cell>
          <cell r="M47" t="str">
            <v xml:space="preserve"> </v>
          </cell>
          <cell r="N47" t="str">
            <v>bamgt</v>
          </cell>
          <cell r="O47" t="str">
            <v>40</v>
          </cell>
          <cell r="P47" t="str">
            <v>600000A  662999B  662999C  665499B  999999999999999999999999999999999999</v>
          </cell>
          <cell r="Q47" t="str">
            <v xml:space="preserve">none     </v>
          </cell>
          <cell r="R47" t="str">
            <v>RollFCST-Working Version</v>
          </cell>
          <cell r="S47" t="str">
            <v>RollFCST-Working Version</v>
          </cell>
          <cell r="T47" t="str">
            <v xml:space="preserve"> </v>
          </cell>
          <cell r="U47" t="str">
            <v xml:space="preserve"> </v>
          </cell>
          <cell r="V47" t="str">
            <v>665499B</v>
          </cell>
          <cell r="W47" t="str">
            <v>4</v>
          </cell>
          <cell r="X47" t="str">
            <v xml:space="preserve">      Other Operating Expense           </v>
          </cell>
          <cell r="Y47">
            <v>53.858890000000002</v>
          </cell>
          <cell r="Z47">
            <v>91.523039999999995</v>
          </cell>
          <cell r="AA47">
            <v>72.851089999999999</v>
          </cell>
          <cell r="AB47">
            <v>59.072519999999997</v>
          </cell>
          <cell r="AC47">
            <v>277.30554000000001</v>
          </cell>
          <cell r="AD47">
            <v>72.507040000000003</v>
          </cell>
          <cell r="AE47">
            <v>63.300400000000003</v>
          </cell>
          <cell r="AF47">
            <v>54.388530000000003</v>
          </cell>
          <cell r="AG47">
            <v>42</v>
          </cell>
          <cell r="AH47">
            <v>232.19596999999999</v>
          </cell>
          <cell r="AI47" t="str">
            <v xml:space="preserve">U.S. Dollar                   </v>
          </cell>
          <cell r="AJ47" t="str">
            <v xml:space="preserve"> </v>
          </cell>
          <cell r="AK47" t="str">
            <v xml:space="preserve"> </v>
          </cell>
          <cell r="AL47" t="str">
            <v xml:space="preserve"> </v>
          </cell>
          <cell r="AM47" t="str">
            <v xml:space="preserve"> </v>
          </cell>
          <cell r="AN47" t="str">
            <v xml:space="preserve"> </v>
          </cell>
          <cell r="AO47" t="str">
            <v xml:space="preserve"> </v>
          </cell>
          <cell r="AP47" t="str">
            <v xml:space="preserve"> </v>
          </cell>
          <cell r="AQ47" t="str">
            <v xml:space="preserve"> </v>
          </cell>
        </row>
        <row r="48">
          <cell r="A48" t="str">
            <v>FBA.......670200</v>
          </cell>
          <cell r="B48" t="str">
            <v>2003T12</v>
          </cell>
          <cell r="C48" t="str">
            <v xml:space="preserve">TREND    </v>
          </cell>
          <cell r="D48" t="str">
            <v xml:space="preserve">Trend -  QTD Average/Activity                     </v>
          </cell>
          <cell r="E48" t="str">
            <v>Run: 08/07/03 13:53:41</v>
          </cell>
          <cell r="F48" t="str">
            <v>999</v>
          </cell>
          <cell r="G48" t="str">
            <v>100</v>
          </cell>
          <cell r="H48" t="str">
            <v xml:space="preserve">Bank Of America Management Reporting              </v>
          </cell>
          <cell r="I48" t="str">
            <v>001</v>
          </cell>
          <cell r="J48" t="str">
            <v>FBA.......</v>
          </cell>
          <cell r="K48" t="str">
            <v xml:space="preserve">Global Fx                                         </v>
          </cell>
          <cell r="L48" t="str">
            <v xml:space="preserve"> </v>
          </cell>
          <cell r="M48" t="str">
            <v xml:space="preserve"> </v>
          </cell>
          <cell r="N48" t="str">
            <v>bamgt</v>
          </cell>
          <cell r="O48" t="str">
            <v>40</v>
          </cell>
          <cell r="P48" t="str">
            <v>600000A  662999B  670000B  670200   999999999999999999999999999999999999</v>
          </cell>
          <cell r="Q48" t="str">
            <v xml:space="preserve">none     </v>
          </cell>
          <cell r="R48" t="str">
            <v>RollFCST-Working Version</v>
          </cell>
          <cell r="S48" t="str">
            <v>RollFCST-Working Version</v>
          </cell>
          <cell r="T48" t="str">
            <v xml:space="preserve"> </v>
          </cell>
          <cell r="U48" t="str">
            <v xml:space="preserve"> </v>
          </cell>
          <cell r="V48" t="str">
            <v>670200</v>
          </cell>
          <cell r="W48" t="str">
            <v>4</v>
          </cell>
          <cell r="X48" t="str">
            <v xml:space="preserve">      Travel                            </v>
          </cell>
          <cell r="Y48">
            <v>16.509550000000001</v>
          </cell>
          <cell r="Z48">
            <v>35.601819999999996</v>
          </cell>
          <cell r="AA48">
            <v>52.577419999999996</v>
          </cell>
          <cell r="AB48">
            <v>37.969189999999998</v>
          </cell>
          <cell r="AC48">
            <v>142.65798000000001</v>
          </cell>
          <cell r="AD48">
            <v>31.771419999999999</v>
          </cell>
          <cell r="AE48">
            <v>19.20223</v>
          </cell>
          <cell r="AF48">
            <v>33.061639999999997</v>
          </cell>
          <cell r="AG48">
            <v>21</v>
          </cell>
          <cell r="AH48">
            <v>105.03529</v>
          </cell>
          <cell r="AI48" t="str">
            <v xml:space="preserve">U.S. Dollar                   </v>
          </cell>
          <cell r="AJ48" t="str">
            <v xml:space="preserve"> </v>
          </cell>
          <cell r="AK48" t="str">
            <v xml:space="preserve"> </v>
          </cell>
          <cell r="AL48" t="str">
            <v xml:space="preserve"> </v>
          </cell>
          <cell r="AM48" t="str">
            <v xml:space="preserve"> </v>
          </cell>
          <cell r="AN48" t="str">
            <v xml:space="preserve"> </v>
          </cell>
          <cell r="AO48" t="str">
            <v xml:space="preserve"> </v>
          </cell>
          <cell r="AP48" t="str">
            <v xml:space="preserve"> </v>
          </cell>
          <cell r="AQ48" t="str">
            <v xml:space="preserve"> </v>
          </cell>
        </row>
        <row r="49">
          <cell r="A49" t="str">
            <v>FBA.......670800</v>
          </cell>
          <cell r="B49" t="str">
            <v>2003T12</v>
          </cell>
          <cell r="C49" t="str">
            <v xml:space="preserve">TREND    </v>
          </cell>
          <cell r="D49" t="str">
            <v xml:space="preserve">Trend -  QTD Average/Activity                     </v>
          </cell>
          <cell r="E49" t="str">
            <v>Run: 08/07/03 13:53:41</v>
          </cell>
          <cell r="F49" t="str">
            <v>999</v>
          </cell>
          <cell r="G49" t="str">
            <v>100</v>
          </cell>
          <cell r="H49" t="str">
            <v xml:space="preserve">Bank Of America Management Reporting              </v>
          </cell>
          <cell r="I49" t="str">
            <v>001</v>
          </cell>
          <cell r="J49" t="str">
            <v>FBA.......</v>
          </cell>
          <cell r="K49" t="str">
            <v xml:space="preserve">Global Fx                                         </v>
          </cell>
          <cell r="L49" t="str">
            <v xml:space="preserve"> </v>
          </cell>
          <cell r="M49" t="str">
            <v xml:space="preserve"> </v>
          </cell>
          <cell r="N49" t="str">
            <v>bamgt</v>
          </cell>
          <cell r="O49" t="str">
            <v>40</v>
          </cell>
          <cell r="P49" t="str">
            <v>600000A  662999B  670000B  670800   999999999999999999999999999999999999</v>
          </cell>
          <cell r="Q49" t="str">
            <v xml:space="preserve">none     </v>
          </cell>
          <cell r="R49" t="str">
            <v>RollFCST-Working Version</v>
          </cell>
          <cell r="S49" t="str">
            <v>RollFCST-Working Version</v>
          </cell>
          <cell r="T49" t="str">
            <v xml:space="preserve"> </v>
          </cell>
          <cell r="U49" t="str">
            <v xml:space="preserve"> </v>
          </cell>
          <cell r="V49" t="str">
            <v>670800</v>
          </cell>
          <cell r="W49" t="str">
            <v>4</v>
          </cell>
          <cell r="X49" t="str">
            <v xml:space="preserve">      Taxes Other Than Income           </v>
          </cell>
          <cell r="Y49">
            <v>8.2446900000000003</v>
          </cell>
          <cell r="Z49">
            <v>7.9930300000000001</v>
          </cell>
          <cell r="AA49">
            <v>11.58994</v>
          </cell>
          <cell r="AB49">
            <v>14.024649999999999</v>
          </cell>
          <cell r="AC49">
            <v>41.852310000000003</v>
          </cell>
          <cell r="AD49">
            <v>11.55687</v>
          </cell>
          <cell r="AE49">
            <v>8.2991399999999995</v>
          </cell>
          <cell r="AF49">
            <v>2.9655900000000002</v>
          </cell>
          <cell r="AG49">
            <v>0</v>
          </cell>
          <cell r="AH49">
            <v>22.8216</v>
          </cell>
          <cell r="AI49" t="str">
            <v xml:space="preserve">U.S. Dollar                   </v>
          </cell>
          <cell r="AJ49" t="str">
            <v xml:space="preserve"> </v>
          </cell>
          <cell r="AK49" t="str">
            <v xml:space="preserve"> </v>
          </cell>
          <cell r="AL49" t="str">
            <v xml:space="preserve"> </v>
          </cell>
          <cell r="AM49" t="str">
            <v xml:space="preserve"> </v>
          </cell>
          <cell r="AN49" t="str">
            <v xml:space="preserve"> </v>
          </cell>
          <cell r="AO49" t="str">
            <v xml:space="preserve"> </v>
          </cell>
          <cell r="AP49" t="str">
            <v xml:space="preserve"> </v>
          </cell>
          <cell r="AQ49" t="str">
            <v xml:space="preserve"> </v>
          </cell>
        </row>
        <row r="50">
          <cell r="A50" t="str">
            <v>FBA.......671200</v>
          </cell>
          <cell r="B50" t="str">
            <v>2003T12</v>
          </cell>
          <cell r="C50" t="str">
            <v xml:space="preserve">TREND    </v>
          </cell>
          <cell r="D50" t="str">
            <v xml:space="preserve">Trend -  QTD Average/Activity                     </v>
          </cell>
          <cell r="E50" t="str">
            <v>Run: 08/07/03 13:53:41</v>
          </cell>
          <cell r="F50" t="str">
            <v>999</v>
          </cell>
          <cell r="G50" t="str">
            <v>100</v>
          </cell>
          <cell r="H50" t="str">
            <v xml:space="preserve">Bank Of America Management Reporting              </v>
          </cell>
          <cell r="I50" t="str">
            <v>001</v>
          </cell>
          <cell r="J50" t="str">
            <v>FBA.......</v>
          </cell>
          <cell r="K50" t="str">
            <v xml:space="preserve">Global Fx                                         </v>
          </cell>
          <cell r="L50" t="str">
            <v xml:space="preserve"> </v>
          </cell>
          <cell r="M50" t="str">
            <v xml:space="preserve"> </v>
          </cell>
          <cell r="N50" t="str">
            <v>bamgt</v>
          </cell>
          <cell r="O50" t="str">
            <v>40</v>
          </cell>
          <cell r="P50" t="str">
            <v>600000A  662999B  670000B  671200   999999999999999999999999999999999999</v>
          </cell>
          <cell r="Q50" t="str">
            <v xml:space="preserve">none     </v>
          </cell>
          <cell r="R50" t="str">
            <v>RollFCST-Working Version</v>
          </cell>
          <cell r="S50" t="str">
            <v>RollFCST-Working Version</v>
          </cell>
          <cell r="T50" t="str">
            <v xml:space="preserve"> </v>
          </cell>
          <cell r="U50" t="str">
            <v xml:space="preserve"> </v>
          </cell>
          <cell r="V50" t="str">
            <v>671200</v>
          </cell>
          <cell r="W50" t="str">
            <v>4</v>
          </cell>
          <cell r="X50" t="str">
            <v xml:space="preserve">      Subscription Services             </v>
          </cell>
          <cell r="Y50">
            <v>88.070869999999999</v>
          </cell>
          <cell r="Z50">
            <v>88.9482</v>
          </cell>
          <cell r="AA50">
            <v>97.356269999999995</v>
          </cell>
          <cell r="AB50">
            <v>56.624789999999997</v>
          </cell>
          <cell r="AC50">
            <v>331.00013000000001</v>
          </cell>
          <cell r="AD50">
            <v>91.514629999999997</v>
          </cell>
          <cell r="AE50">
            <v>90.38279</v>
          </cell>
          <cell r="AF50">
            <v>70.652739999999994</v>
          </cell>
          <cell r="AG50">
            <v>0</v>
          </cell>
          <cell r="AH50">
            <v>252.55016000000001</v>
          </cell>
          <cell r="AI50" t="str">
            <v xml:space="preserve">U.S. Dollar                   </v>
          </cell>
          <cell r="AJ50" t="str">
            <v xml:space="preserve"> </v>
          </cell>
          <cell r="AK50" t="str">
            <v xml:space="preserve"> </v>
          </cell>
          <cell r="AL50" t="str">
            <v xml:space="preserve"> </v>
          </cell>
          <cell r="AM50" t="str">
            <v xml:space="preserve"> </v>
          </cell>
          <cell r="AN50" t="str">
            <v xml:space="preserve"> </v>
          </cell>
          <cell r="AO50" t="str">
            <v xml:space="preserve"> </v>
          </cell>
          <cell r="AP50" t="str">
            <v xml:space="preserve"> </v>
          </cell>
          <cell r="AQ50" t="str">
            <v xml:space="preserve"> </v>
          </cell>
        </row>
        <row r="51">
          <cell r="A51" t="str">
            <v>FBA.......671500</v>
          </cell>
          <cell r="B51" t="str">
            <v>2003T12</v>
          </cell>
          <cell r="C51" t="str">
            <v xml:space="preserve">TREND    </v>
          </cell>
          <cell r="D51" t="str">
            <v xml:space="preserve">Trend -  QTD Average/Activity                     </v>
          </cell>
          <cell r="E51" t="str">
            <v>Run: 08/07/03 13:53:41</v>
          </cell>
          <cell r="F51" t="str">
            <v>999</v>
          </cell>
          <cell r="G51" t="str">
            <v>100</v>
          </cell>
          <cell r="H51" t="str">
            <v xml:space="preserve">Bank Of America Management Reporting              </v>
          </cell>
          <cell r="I51" t="str">
            <v>001</v>
          </cell>
          <cell r="J51" t="str">
            <v>FBA.......</v>
          </cell>
          <cell r="K51" t="str">
            <v xml:space="preserve">Global Fx                                         </v>
          </cell>
          <cell r="L51" t="str">
            <v xml:space="preserve"> </v>
          </cell>
          <cell r="M51" t="str">
            <v xml:space="preserve"> </v>
          </cell>
          <cell r="N51" t="str">
            <v>bamgt</v>
          </cell>
          <cell r="O51" t="str">
            <v>40</v>
          </cell>
          <cell r="P51" t="str">
            <v>600000A  662999B  670000B  671500   999999999999999999999999999999999999</v>
          </cell>
          <cell r="Q51" t="str">
            <v xml:space="preserve">none     </v>
          </cell>
          <cell r="R51" t="str">
            <v>RollFCST-Working Version</v>
          </cell>
          <cell r="S51" t="str">
            <v>RollFCST-Working Version</v>
          </cell>
          <cell r="T51" t="str">
            <v xml:space="preserve"> </v>
          </cell>
          <cell r="U51" t="str">
            <v xml:space="preserve"> </v>
          </cell>
          <cell r="V51" t="str">
            <v>671500</v>
          </cell>
          <cell r="W51" t="str">
            <v>4</v>
          </cell>
          <cell r="X51" t="str">
            <v xml:space="preserve">      Other Administrative Expenses     </v>
          </cell>
          <cell r="Y51">
            <v>0</v>
          </cell>
          <cell r="Z51">
            <v>0</v>
          </cell>
          <cell r="AA51">
            <v>0</v>
          </cell>
          <cell r="AB51">
            <v>0</v>
          </cell>
          <cell r="AC51">
            <v>0</v>
          </cell>
          <cell r="AD51">
            <v>0</v>
          </cell>
          <cell r="AE51">
            <v>0</v>
          </cell>
          <cell r="AF51">
            <v>46</v>
          </cell>
          <cell r="AG51">
            <v>68</v>
          </cell>
          <cell r="AH51">
            <v>114</v>
          </cell>
          <cell r="AI51" t="str">
            <v xml:space="preserve">U.S. Dollar                   </v>
          </cell>
          <cell r="AJ51" t="str">
            <v xml:space="preserve"> </v>
          </cell>
          <cell r="AK51" t="str">
            <v xml:space="preserve"> </v>
          </cell>
          <cell r="AL51" t="str">
            <v xml:space="preserve"> </v>
          </cell>
          <cell r="AM51" t="str">
            <v xml:space="preserve"> </v>
          </cell>
          <cell r="AN51" t="str">
            <v xml:space="preserve"> </v>
          </cell>
          <cell r="AO51" t="str">
            <v xml:space="preserve"> </v>
          </cell>
          <cell r="AP51" t="str">
            <v xml:space="preserve"> </v>
          </cell>
          <cell r="AQ51" t="str">
            <v xml:space="preserve"> </v>
          </cell>
        </row>
        <row r="52">
          <cell r="A52" t="str">
            <v>FBA.......675000</v>
          </cell>
          <cell r="B52" t="str">
            <v>2003T12</v>
          </cell>
          <cell r="C52" t="str">
            <v xml:space="preserve">TREND    </v>
          </cell>
          <cell r="D52" t="str">
            <v xml:space="preserve">Trend -  QTD Average/Activity                     </v>
          </cell>
          <cell r="E52" t="str">
            <v>Run: 08/07/03 13:53:41</v>
          </cell>
          <cell r="F52" t="str">
            <v>999</v>
          </cell>
          <cell r="G52" t="str">
            <v>100</v>
          </cell>
          <cell r="H52" t="str">
            <v xml:space="preserve">Bank Of America Management Reporting              </v>
          </cell>
          <cell r="I52" t="str">
            <v>001</v>
          </cell>
          <cell r="J52" t="str">
            <v>FBA.......</v>
          </cell>
          <cell r="K52" t="str">
            <v xml:space="preserve">Global Fx                                         </v>
          </cell>
          <cell r="L52" t="str">
            <v xml:space="preserve"> </v>
          </cell>
          <cell r="M52" t="str">
            <v xml:space="preserve"> </v>
          </cell>
          <cell r="N52" t="str">
            <v>bamgt</v>
          </cell>
          <cell r="O52" t="str">
            <v>40</v>
          </cell>
          <cell r="P52" t="str">
            <v>600000A  675000   999999999999999999999999999999999999999999999999999999</v>
          </cell>
          <cell r="Q52" t="str">
            <v xml:space="preserve">none     </v>
          </cell>
          <cell r="R52" t="str">
            <v>RollFCST-Working Version</v>
          </cell>
          <cell r="S52" t="str">
            <v>RollFCST-Working Version</v>
          </cell>
          <cell r="T52" t="str">
            <v xml:space="preserve"> </v>
          </cell>
          <cell r="U52" t="str">
            <v xml:space="preserve"> </v>
          </cell>
          <cell r="V52" t="str">
            <v>675000</v>
          </cell>
          <cell r="W52" t="str">
            <v>2</v>
          </cell>
          <cell r="X52" t="str">
            <v xml:space="preserve">  Intercompany Expense                  </v>
          </cell>
          <cell r="Y52">
            <v>107.09223</v>
          </cell>
          <cell r="Z52">
            <v>68.687780000000004</v>
          </cell>
          <cell r="AA52">
            <v>44.938299999999998</v>
          </cell>
          <cell r="AB52">
            <v>53.398260000000001</v>
          </cell>
          <cell r="AC52">
            <v>274.11657000000002</v>
          </cell>
          <cell r="AD52">
            <v>35.193460000000002</v>
          </cell>
          <cell r="AE52">
            <v>36.845230000000001</v>
          </cell>
          <cell r="AF52">
            <v>37.537059999999997</v>
          </cell>
          <cell r="AG52">
            <v>39</v>
          </cell>
          <cell r="AH52">
            <v>148.57575</v>
          </cell>
          <cell r="AI52" t="str">
            <v xml:space="preserve">U.S. Dollar                   </v>
          </cell>
          <cell r="AJ52" t="str">
            <v xml:space="preserve"> </v>
          </cell>
          <cell r="AK52" t="str">
            <v xml:space="preserve"> </v>
          </cell>
          <cell r="AL52" t="str">
            <v xml:space="preserve"> </v>
          </cell>
          <cell r="AM52" t="str">
            <v xml:space="preserve"> </v>
          </cell>
          <cell r="AN52" t="str">
            <v xml:space="preserve"> </v>
          </cell>
          <cell r="AO52" t="str">
            <v xml:space="preserve"> </v>
          </cell>
          <cell r="AP52" t="str">
            <v xml:space="preserve"> </v>
          </cell>
          <cell r="AQ52" t="str">
            <v xml:space="preserve"> </v>
          </cell>
        </row>
        <row r="53">
          <cell r="A53" t="str">
            <v>FBB.......600300</v>
          </cell>
          <cell r="B53" t="str">
            <v>2003T12</v>
          </cell>
          <cell r="C53" t="str">
            <v xml:space="preserve">TREND    </v>
          </cell>
          <cell r="D53" t="str">
            <v xml:space="preserve">Trend -  QTD Average/Activity                     </v>
          </cell>
          <cell r="E53" t="str">
            <v>Run: 08/07/03 13:53:41</v>
          </cell>
          <cell r="F53" t="str">
            <v>999</v>
          </cell>
          <cell r="G53" t="str">
            <v>100</v>
          </cell>
          <cell r="H53" t="str">
            <v xml:space="preserve">Bank Of America Management Reporting              </v>
          </cell>
          <cell r="I53" t="str">
            <v>001</v>
          </cell>
          <cell r="J53" t="str">
            <v>FBB.......</v>
          </cell>
          <cell r="K53" t="str">
            <v xml:space="preserve">Global Rates And Commodities Operations           </v>
          </cell>
          <cell r="L53" t="str">
            <v xml:space="preserve"> </v>
          </cell>
          <cell r="M53" t="str">
            <v xml:space="preserve"> </v>
          </cell>
          <cell r="N53" t="str">
            <v>bamgt</v>
          </cell>
          <cell r="O53" t="str">
            <v>40</v>
          </cell>
          <cell r="P53" t="str">
            <v>600000A  600250   999999999600300   999999999999999999999999999999999999</v>
          </cell>
          <cell r="Q53" t="str">
            <v xml:space="preserve">none     </v>
          </cell>
          <cell r="R53" t="str">
            <v>RollFCST-Working Version</v>
          </cell>
          <cell r="S53" t="str">
            <v>RollFCST-Working Version</v>
          </cell>
          <cell r="T53" t="str">
            <v xml:space="preserve"> </v>
          </cell>
          <cell r="U53" t="str">
            <v xml:space="preserve"> </v>
          </cell>
          <cell r="V53" t="str">
            <v>600300</v>
          </cell>
          <cell r="W53" t="str">
            <v>4</v>
          </cell>
          <cell r="X53" t="str">
            <v xml:space="preserve">      Salaries &amp; Wages                  </v>
          </cell>
          <cell r="Y53">
            <v>5107.9645799999998</v>
          </cell>
          <cell r="Z53">
            <v>5288.5784599999997</v>
          </cell>
          <cell r="AA53">
            <v>5935.5168800000001</v>
          </cell>
          <cell r="AB53">
            <v>5964.9249200000004</v>
          </cell>
          <cell r="AC53">
            <v>22296.984840000001</v>
          </cell>
          <cell r="AD53">
            <v>5804.4139599999999</v>
          </cell>
          <cell r="AE53">
            <v>5703.5484800000004</v>
          </cell>
          <cell r="AF53">
            <v>5962.4959699999999</v>
          </cell>
          <cell r="AG53">
            <v>6422.77</v>
          </cell>
          <cell r="AH53">
            <v>23893.22841</v>
          </cell>
          <cell r="AI53" t="str">
            <v xml:space="preserve">U.S. Dollar                   </v>
          </cell>
          <cell r="AJ53" t="str">
            <v xml:space="preserve"> </v>
          </cell>
          <cell r="AK53" t="str">
            <v xml:space="preserve"> </v>
          </cell>
          <cell r="AL53" t="str">
            <v xml:space="preserve"> </v>
          </cell>
          <cell r="AM53" t="str">
            <v xml:space="preserve"> </v>
          </cell>
          <cell r="AN53" t="str">
            <v xml:space="preserve"> </v>
          </cell>
          <cell r="AO53" t="str">
            <v xml:space="preserve"> </v>
          </cell>
          <cell r="AP53" t="str">
            <v xml:space="preserve"> </v>
          </cell>
          <cell r="AQ53" t="str">
            <v xml:space="preserve"> </v>
          </cell>
        </row>
        <row r="54">
          <cell r="A54" t="str">
            <v>FBB.......601000</v>
          </cell>
          <cell r="B54" t="str">
            <v>2003T12</v>
          </cell>
          <cell r="C54" t="str">
            <v xml:space="preserve">TREND    </v>
          </cell>
          <cell r="D54" t="str">
            <v xml:space="preserve">Trend -  QTD Average/Activity                     </v>
          </cell>
          <cell r="E54" t="str">
            <v>Run: 08/07/03 13:53:41</v>
          </cell>
          <cell r="F54" t="str">
            <v>999</v>
          </cell>
          <cell r="G54" t="str">
            <v>100</v>
          </cell>
          <cell r="H54" t="str">
            <v xml:space="preserve">Bank Of America Management Reporting              </v>
          </cell>
          <cell r="I54" t="str">
            <v>001</v>
          </cell>
          <cell r="J54" t="str">
            <v>FBB.......</v>
          </cell>
          <cell r="K54" t="str">
            <v xml:space="preserve">Global Rates And Commodities Operations           </v>
          </cell>
          <cell r="L54" t="str">
            <v xml:space="preserve"> </v>
          </cell>
          <cell r="M54" t="str">
            <v xml:space="preserve"> </v>
          </cell>
          <cell r="N54" t="str">
            <v>bamgt</v>
          </cell>
          <cell r="O54" t="str">
            <v>40</v>
          </cell>
          <cell r="P54" t="str">
            <v>600000A  600250   999999999601000   999999999999999999999999999999999999</v>
          </cell>
          <cell r="Q54" t="str">
            <v xml:space="preserve">none     </v>
          </cell>
          <cell r="R54" t="str">
            <v>RollFCST-Working Version</v>
          </cell>
          <cell r="S54" t="str">
            <v>RollFCST-Working Version</v>
          </cell>
          <cell r="T54" t="str">
            <v xml:space="preserve"> </v>
          </cell>
          <cell r="U54" t="str">
            <v xml:space="preserve"> </v>
          </cell>
          <cell r="V54" t="str">
            <v>601000</v>
          </cell>
          <cell r="W54" t="str">
            <v>4</v>
          </cell>
          <cell r="X54" t="str">
            <v xml:space="preserve">      Overtime Salaries                 </v>
          </cell>
          <cell r="Y54">
            <v>71.057910000000007</v>
          </cell>
          <cell r="Z54">
            <v>101.95661</v>
          </cell>
          <cell r="AA54">
            <v>85.063019999999995</v>
          </cell>
          <cell r="AB54">
            <v>76.876339999999999</v>
          </cell>
          <cell r="AC54">
            <v>334.95388000000003</v>
          </cell>
          <cell r="AD54">
            <v>57.441160000000004</v>
          </cell>
          <cell r="AE54">
            <v>57.456699999999998</v>
          </cell>
          <cell r="AF54">
            <v>58.454770000000003</v>
          </cell>
          <cell r="AG54">
            <v>63.31</v>
          </cell>
          <cell r="AH54">
            <v>236.66263000000001</v>
          </cell>
          <cell r="AI54" t="str">
            <v xml:space="preserve">U.S. Dollar                   </v>
          </cell>
          <cell r="AJ54" t="str">
            <v xml:space="preserve"> </v>
          </cell>
          <cell r="AK54" t="str">
            <v xml:space="preserve"> </v>
          </cell>
          <cell r="AL54" t="str">
            <v xml:space="preserve"> </v>
          </cell>
          <cell r="AM54" t="str">
            <v xml:space="preserve"> </v>
          </cell>
          <cell r="AN54" t="str">
            <v xml:space="preserve"> </v>
          </cell>
          <cell r="AO54" t="str">
            <v xml:space="preserve"> </v>
          </cell>
          <cell r="AP54" t="str">
            <v xml:space="preserve"> </v>
          </cell>
          <cell r="AQ54" t="str">
            <v xml:space="preserve"> </v>
          </cell>
        </row>
        <row r="55">
          <cell r="A55" t="str">
            <v>FBB.......601500</v>
          </cell>
          <cell r="B55" t="str">
            <v>2003T12</v>
          </cell>
          <cell r="C55" t="str">
            <v xml:space="preserve">TREND    </v>
          </cell>
          <cell r="D55" t="str">
            <v xml:space="preserve">Trend -  QTD Average/Activity                     </v>
          </cell>
          <cell r="E55" t="str">
            <v>Run: 08/07/03 13:53:41</v>
          </cell>
          <cell r="F55" t="str">
            <v>999</v>
          </cell>
          <cell r="G55" t="str">
            <v>100</v>
          </cell>
          <cell r="H55" t="str">
            <v xml:space="preserve">Bank Of America Management Reporting              </v>
          </cell>
          <cell r="I55" t="str">
            <v>001</v>
          </cell>
          <cell r="J55" t="str">
            <v>FBB.......</v>
          </cell>
          <cell r="K55" t="str">
            <v xml:space="preserve">Global Rates And Commodities Operations           </v>
          </cell>
          <cell r="L55" t="str">
            <v xml:space="preserve"> </v>
          </cell>
          <cell r="M55" t="str">
            <v xml:space="preserve"> </v>
          </cell>
          <cell r="N55" t="str">
            <v>bamgt</v>
          </cell>
          <cell r="O55" t="str">
            <v>40</v>
          </cell>
          <cell r="P55" t="str">
            <v>600000A  600250   999999999601500   999999999999999999999999999999999999</v>
          </cell>
          <cell r="Q55" t="str">
            <v xml:space="preserve">none     </v>
          </cell>
          <cell r="R55" t="str">
            <v>RollFCST-Working Version</v>
          </cell>
          <cell r="S55" t="str">
            <v>RollFCST-Working Version</v>
          </cell>
          <cell r="T55" t="str">
            <v xml:space="preserve"> </v>
          </cell>
          <cell r="U55" t="str">
            <v xml:space="preserve"> </v>
          </cell>
          <cell r="V55" t="str">
            <v>601500</v>
          </cell>
          <cell r="W55" t="str">
            <v>4</v>
          </cell>
          <cell r="X55" t="str">
            <v xml:space="preserve">      Incentive Compensation            </v>
          </cell>
          <cell r="Y55">
            <v>0</v>
          </cell>
          <cell r="Z55">
            <v>3.4000000000000002E-2</v>
          </cell>
          <cell r="AA55">
            <v>0</v>
          </cell>
          <cell r="AB55">
            <v>0</v>
          </cell>
          <cell r="AC55">
            <v>3.4000000000000002E-2</v>
          </cell>
          <cell r="AD55">
            <v>0</v>
          </cell>
          <cell r="AE55">
            <v>0</v>
          </cell>
          <cell r="AF55">
            <v>14.67</v>
          </cell>
          <cell r="AG55">
            <v>0.9</v>
          </cell>
          <cell r="AH55">
            <v>15.57</v>
          </cell>
          <cell r="AI55" t="str">
            <v xml:space="preserve">U.S. Dollar                   </v>
          </cell>
          <cell r="AJ55" t="str">
            <v xml:space="preserve"> </v>
          </cell>
          <cell r="AK55" t="str">
            <v xml:space="preserve"> </v>
          </cell>
          <cell r="AL55" t="str">
            <v xml:space="preserve"> </v>
          </cell>
          <cell r="AM55" t="str">
            <v xml:space="preserve"> </v>
          </cell>
          <cell r="AN55" t="str">
            <v xml:space="preserve"> </v>
          </cell>
          <cell r="AO55" t="str">
            <v xml:space="preserve"> </v>
          </cell>
          <cell r="AP55" t="str">
            <v xml:space="preserve"> </v>
          </cell>
          <cell r="AQ55" t="str">
            <v xml:space="preserve"> </v>
          </cell>
        </row>
        <row r="56">
          <cell r="A56" t="str">
            <v>FBB.......602400</v>
          </cell>
          <cell r="B56" t="str">
            <v>2003T12</v>
          </cell>
          <cell r="C56" t="str">
            <v xml:space="preserve">TREND    </v>
          </cell>
          <cell r="D56" t="str">
            <v xml:space="preserve">Trend -  QTD Average/Activity                     </v>
          </cell>
          <cell r="E56" t="str">
            <v>Run: 08/07/03 13:53:41</v>
          </cell>
          <cell r="F56" t="str">
            <v>999</v>
          </cell>
          <cell r="G56" t="str">
            <v>100</v>
          </cell>
          <cell r="H56" t="str">
            <v xml:space="preserve">Bank Of America Management Reporting              </v>
          </cell>
          <cell r="I56" t="str">
            <v>001</v>
          </cell>
          <cell r="J56" t="str">
            <v>FBB.......</v>
          </cell>
          <cell r="K56" t="str">
            <v xml:space="preserve">Global Rates And Commodities Operations           </v>
          </cell>
          <cell r="L56" t="str">
            <v xml:space="preserve"> </v>
          </cell>
          <cell r="M56" t="str">
            <v xml:space="preserve"> </v>
          </cell>
          <cell r="N56" t="str">
            <v>bamgt</v>
          </cell>
          <cell r="O56" t="str">
            <v>40</v>
          </cell>
          <cell r="P56" t="str">
            <v>600000A  600250   999999999602000   602400   999999999999999999999999999</v>
          </cell>
          <cell r="Q56" t="str">
            <v xml:space="preserve">none     </v>
          </cell>
          <cell r="R56" t="str">
            <v>RollFCST-Working Version</v>
          </cell>
          <cell r="S56" t="str">
            <v>RollFCST-Working Version</v>
          </cell>
          <cell r="T56" t="str">
            <v xml:space="preserve"> </v>
          </cell>
          <cell r="U56" t="str">
            <v xml:space="preserve"> </v>
          </cell>
          <cell r="V56" t="str">
            <v>602400</v>
          </cell>
          <cell r="W56" t="str">
            <v>5</v>
          </cell>
          <cell r="X56" t="str">
            <v xml:space="preserve">        Other Employee Compensation     </v>
          </cell>
          <cell r="Y56">
            <v>47.247909999999997</v>
          </cell>
          <cell r="Z56">
            <v>114.26012</v>
          </cell>
          <cell r="AA56">
            <v>34.72137</v>
          </cell>
          <cell r="AB56">
            <v>57.743189999999998</v>
          </cell>
          <cell r="AC56">
            <v>253.97259</v>
          </cell>
          <cell r="AD56">
            <v>73.832419999999999</v>
          </cell>
          <cell r="AE56">
            <v>77.423760000000001</v>
          </cell>
          <cell r="AF56">
            <v>36.453879999999998</v>
          </cell>
          <cell r="AG56">
            <v>37</v>
          </cell>
          <cell r="AH56">
            <v>224.71006</v>
          </cell>
          <cell r="AI56" t="str">
            <v xml:space="preserve">U.S. Dollar                   </v>
          </cell>
          <cell r="AJ56" t="str">
            <v xml:space="preserve"> </v>
          </cell>
          <cell r="AK56" t="str">
            <v xml:space="preserve"> </v>
          </cell>
          <cell r="AL56" t="str">
            <v xml:space="preserve"> </v>
          </cell>
          <cell r="AM56" t="str">
            <v xml:space="preserve"> </v>
          </cell>
          <cell r="AN56" t="str">
            <v xml:space="preserve"> </v>
          </cell>
          <cell r="AO56" t="str">
            <v xml:space="preserve"> </v>
          </cell>
          <cell r="AP56" t="str">
            <v xml:space="preserve"> </v>
          </cell>
          <cell r="AQ56" t="str">
            <v xml:space="preserve"> </v>
          </cell>
        </row>
        <row r="57">
          <cell r="A57" t="str">
            <v>FBB.......602000</v>
          </cell>
          <cell r="B57" t="str">
            <v>2003T12</v>
          </cell>
          <cell r="C57" t="str">
            <v xml:space="preserve">TREND    </v>
          </cell>
          <cell r="D57" t="str">
            <v xml:space="preserve">Trend -  QTD Average/Activity                     </v>
          </cell>
          <cell r="E57" t="str">
            <v>Run: 08/07/03 13:53:41</v>
          </cell>
          <cell r="F57" t="str">
            <v>999</v>
          </cell>
          <cell r="G57" t="str">
            <v>100</v>
          </cell>
          <cell r="H57" t="str">
            <v xml:space="preserve">Bank Of America Management Reporting              </v>
          </cell>
          <cell r="I57" t="str">
            <v>001</v>
          </cell>
          <cell r="J57" t="str">
            <v>FBB.......</v>
          </cell>
          <cell r="K57" t="str">
            <v xml:space="preserve">Global Rates And Commodities Operations           </v>
          </cell>
          <cell r="L57" t="str">
            <v xml:space="preserve"> </v>
          </cell>
          <cell r="M57" t="str">
            <v xml:space="preserve"> </v>
          </cell>
          <cell r="N57" t="str">
            <v>bamgt</v>
          </cell>
          <cell r="O57" t="str">
            <v>40</v>
          </cell>
          <cell r="P57" t="str">
            <v>600000A  600250   999999999602000   999999999999999999999999999999999999</v>
          </cell>
          <cell r="Q57" t="str">
            <v xml:space="preserve">none     </v>
          </cell>
          <cell r="R57" t="str">
            <v>RollFCST-Working Version</v>
          </cell>
          <cell r="S57" t="str">
            <v>RollFCST-Working Version</v>
          </cell>
          <cell r="T57" t="str">
            <v xml:space="preserve"> </v>
          </cell>
          <cell r="U57" t="str">
            <v xml:space="preserve"> </v>
          </cell>
          <cell r="V57" t="str">
            <v>602000</v>
          </cell>
          <cell r="W57" t="str">
            <v>4</v>
          </cell>
          <cell r="X57" t="str">
            <v xml:space="preserve">      Contract Temporary/Other Compensat</v>
          </cell>
          <cell r="Y57">
            <v>202.92092</v>
          </cell>
          <cell r="Z57">
            <v>298.10599000000002</v>
          </cell>
          <cell r="AA57">
            <v>178.02148</v>
          </cell>
          <cell r="AB57">
            <v>186.77832000000001</v>
          </cell>
          <cell r="AC57">
            <v>865.82671000000005</v>
          </cell>
          <cell r="AD57">
            <v>181.59052</v>
          </cell>
          <cell r="AE57">
            <v>228.60663</v>
          </cell>
          <cell r="AF57">
            <v>217.77403000000001</v>
          </cell>
          <cell r="AG57">
            <v>260.61</v>
          </cell>
          <cell r="AH57">
            <v>888.58118000000002</v>
          </cell>
          <cell r="AI57" t="str">
            <v xml:space="preserve">U.S. Dollar                   </v>
          </cell>
          <cell r="AJ57" t="str">
            <v xml:space="preserve"> </v>
          </cell>
          <cell r="AK57" t="str">
            <v xml:space="preserve"> </v>
          </cell>
          <cell r="AL57" t="str">
            <v xml:space="preserve"> </v>
          </cell>
          <cell r="AM57" t="str">
            <v xml:space="preserve"> </v>
          </cell>
          <cell r="AN57" t="str">
            <v xml:space="preserve"> </v>
          </cell>
          <cell r="AO57" t="str">
            <v xml:space="preserve"> </v>
          </cell>
          <cell r="AP57" t="str">
            <v xml:space="preserve"> </v>
          </cell>
          <cell r="AQ57" t="str">
            <v xml:space="preserve"> </v>
          </cell>
        </row>
        <row r="58">
          <cell r="A58" t="str">
            <v>FBB.......603000</v>
          </cell>
          <cell r="B58" t="str">
            <v>2003T12</v>
          </cell>
          <cell r="C58" t="str">
            <v xml:space="preserve">TREND    </v>
          </cell>
          <cell r="D58" t="str">
            <v xml:space="preserve">Trend -  QTD Average/Activity                     </v>
          </cell>
          <cell r="E58" t="str">
            <v>Run: 08/07/03 13:53:41</v>
          </cell>
          <cell r="F58" t="str">
            <v>999</v>
          </cell>
          <cell r="G58" t="str">
            <v>100</v>
          </cell>
          <cell r="H58" t="str">
            <v xml:space="preserve">Bank Of America Management Reporting              </v>
          </cell>
          <cell r="I58" t="str">
            <v>001</v>
          </cell>
          <cell r="J58" t="str">
            <v>FBB.......</v>
          </cell>
          <cell r="K58" t="str">
            <v xml:space="preserve">Global Rates And Commodities Operations           </v>
          </cell>
          <cell r="L58" t="str">
            <v xml:space="preserve"> </v>
          </cell>
          <cell r="M58" t="str">
            <v xml:space="preserve"> </v>
          </cell>
          <cell r="N58" t="str">
            <v>bamgt</v>
          </cell>
          <cell r="O58" t="str">
            <v>40</v>
          </cell>
          <cell r="P58" t="str">
            <v>600000A  600250   999999999603000   999999999999999999999999999999999999</v>
          </cell>
          <cell r="Q58" t="str">
            <v xml:space="preserve">none     </v>
          </cell>
          <cell r="R58" t="str">
            <v>RollFCST-Working Version</v>
          </cell>
          <cell r="S58" t="str">
            <v>RollFCST-Working Version</v>
          </cell>
          <cell r="T58" t="str">
            <v xml:space="preserve"> </v>
          </cell>
          <cell r="U58" t="str">
            <v xml:space="preserve"> </v>
          </cell>
          <cell r="V58" t="str">
            <v>603000</v>
          </cell>
          <cell r="W58" t="str">
            <v>4</v>
          </cell>
          <cell r="X58" t="str">
            <v xml:space="preserve">      Employee Benefits                 </v>
          </cell>
          <cell r="Y58">
            <v>1210.61778</v>
          </cell>
          <cell r="Z58">
            <v>1434.7270000000001</v>
          </cell>
          <cell r="AA58">
            <v>1485.9956500000001</v>
          </cell>
          <cell r="AB58">
            <v>1460.39914</v>
          </cell>
          <cell r="AC58">
            <v>5591.7395699999997</v>
          </cell>
          <cell r="AD58">
            <v>1498.2640200000001</v>
          </cell>
          <cell r="AE58">
            <v>1475.0217299999999</v>
          </cell>
          <cell r="AF58">
            <v>1583.16031</v>
          </cell>
          <cell r="AG58">
            <v>1631.76</v>
          </cell>
          <cell r="AH58">
            <v>6188.2060600000004</v>
          </cell>
          <cell r="AI58" t="str">
            <v xml:space="preserve">U.S. Dollar                   </v>
          </cell>
          <cell r="AJ58" t="str">
            <v xml:space="preserve"> </v>
          </cell>
          <cell r="AK58" t="str">
            <v xml:space="preserve"> </v>
          </cell>
          <cell r="AL58" t="str">
            <v xml:space="preserve"> </v>
          </cell>
          <cell r="AM58" t="str">
            <v xml:space="preserve"> </v>
          </cell>
          <cell r="AN58" t="str">
            <v xml:space="preserve"> </v>
          </cell>
          <cell r="AO58" t="str">
            <v xml:space="preserve"> </v>
          </cell>
          <cell r="AP58" t="str">
            <v xml:space="preserve"> </v>
          </cell>
          <cell r="AQ58" t="str">
            <v xml:space="preserve"> </v>
          </cell>
        </row>
        <row r="59">
          <cell r="A59" t="str">
            <v>FBB.......600250</v>
          </cell>
          <cell r="B59" t="str">
            <v>2003T12</v>
          </cell>
          <cell r="C59" t="str">
            <v xml:space="preserve">TREND    </v>
          </cell>
          <cell r="D59" t="str">
            <v xml:space="preserve">Trend -  QTD Average/Activity                     </v>
          </cell>
          <cell r="E59" t="str">
            <v>Run: 08/07/03 13:53:41</v>
          </cell>
          <cell r="F59" t="str">
            <v>999</v>
          </cell>
          <cell r="G59" t="str">
            <v>100</v>
          </cell>
          <cell r="H59" t="str">
            <v xml:space="preserve">Bank Of America Management Reporting              </v>
          </cell>
          <cell r="I59" t="str">
            <v>001</v>
          </cell>
          <cell r="J59" t="str">
            <v>FBB.......</v>
          </cell>
          <cell r="K59" t="str">
            <v xml:space="preserve">Global Rates And Commodities Operations           </v>
          </cell>
          <cell r="L59" t="str">
            <v xml:space="preserve"> </v>
          </cell>
          <cell r="M59" t="str">
            <v xml:space="preserve"> </v>
          </cell>
          <cell r="N59" t="str">
            <v>bamgt</v>
          </cell>
          <cell r="O59" t="str">
            <v>40</v>
          </cell>
          <cell r="P59" t="str">
            <v>600000A  600250   999999999999999999999999999999999999999999999999999999</v>
          </cell>
          <cell r="Q59" t="str">
            <v xml:space="preserve">none     </v>
          </cell>
          <cell r="R59" t="str">
            <v>RollFCST-Working Version</v>
          </cell>
          <cell r="S59" t="str">
            <v>RollFCST-Working Version</v>
          </cell>
          <cell r="T59" t="str">
            <v xml:space="preserve"> </v>
          </cell>
          <cell r="U59" t="str">
            <v xml:space="preserve"> </v>
          </cell>
          <cell r="V59" t="str">
            <v>600250</v>
          </cell>
          <cell r="W59" t="str">
            <v>2</v>
          </cell>
          <cell r="X59" t="str">
            <v xml:space="preserve">  Personnel                             </v>
          </cell>
          <cell r="Y59">
            <v>6592.5611900000004</v>
          </cell>
          <cell r="Z59">
            <v>7123.4020600000003</v>
          </cell>
          <cell r="AA59">
            <v>7684.5970299999999</v>
          </cell>
          <cell r="AB59">
            <v>7688.9787200000001</v>
          </cell>
          <cell r="AC59">
            <v>29089.539000000001</v>
          </cell>
          <cell r="AD59">
            <v>7541.7096600000004</v>
          </cell>
          <cell r="AE59">
            <v>7464.6335399999998</v>
          </cell>
          <cell r="AF59">
            <v>7836.5550800000001</v>
          </cell>
          <cell r="AG59">
            <v>8379.35</v>
          </cell>
          <cell r="AH59">
            <v>31222.24828</v>
          </cell>
          <cell r="AI59" t="str">
            <v xml:space="preserve">U.S. Dollar                   </v>
          </cell>
          <cell r="AJ59" t="str">
            <v xml:space="preserve"> </v>
          </cell>
          <cell r="AK59" t="str">
            <v xml:space="preserve"> </v>
          </cell>
          <cell r="AL59" t="str">
            <v xml:space="preserve"> </v>
          </cell>
          <cell r="AM59" t="str">
            <v xml:space="preserve"> </v>
          </cell>
          <cell r="AN59" t="str">
            <v xml:space="preserve"> </v>
          </cell>
          <cell r="AO59" t="str">
            <v xml:space="preserve"> </v>
          </cell>
          <cell r="AP59" t="str">
            <v xml:space="preserve"> </v>
          </cell>
          <cell r="AQ59" t="str">
            <v xml:space="preserve"> </v>
          </cell>
        </row>
        <row r="60">
          <cell r="A60" t="str">
            <v>FBB.......610000</v>
          </cell>
          <cell r="B60" t="str">
            <v>2003T12</v>
          </cell>
          <cell r="C60" t="str">
            <v xml:space="preserve">TREND    </v>
          </cell>
          <cell r="D60" t="str">
            <v xml:space="preserve">Trend -  QTD Average/Activity                     </v>
          </cell>
          <cell r="E60" t="str">
            <v>Run: 08/07/03 13:53:41</v>
          </cell>
          <cell r="F60" t="str">
            <v>999</v>
          </cell>
          <cell r="G60" t="str">
            <v>100</v>
          </cell>
          <cell r="H60" t="str">
            <v xml:space="preserve">Bank Of America Management Reporting              </v>
          </cell>
          <cell r="I60" t="str">
            <v>001</v>
          </cell>
          <cell r="J60" t="str">
            <v>FBB.......</v>
          </cell>
          <cell r="K60" t="str">
            <v xml:space="preserve">Global Rates And Commodities Operations           </v>
          </cell>
          <cell r="L60" t="str">
            <v xml:space="preserve"> </v>
          </cell>
          <cell r="M60" t="str">
            <v xml:space="preserve"> </v>
          </cell>
          <cell r="N60" t="str">
            <v>bamgt</v>
          </cell>
          <cell r="O60" t="str">
            <v>40</v>
          </cell>
          <cell r="P60" t="str">
            <v>600000A  610000   999999999999999999999999999999999999999999999999999999</v>
          </cell>
          <cell r="Q60" t="str">
            <v xml:space="preserve">none     </v>
          </cell>
          <cell r="R60" t="str">
            <v>RollFCST-Working Version</v>
          </cell>
          <cell r="S60" t="str">
            <v>RollFCST-Working Version</v>
          </cell>
          <cell r="T60" t="str">
            <v xml:space="preserve"> </v>
          </cell>
          <cell r="U60" t="str">
            <v xml:space="preserve"> </v>
          </cell>
          <cell r="V60" t="str">
            <v>610000</v>
          </cell>
          <cell r="W60" t="str">
            <v>2</v>
          </cell>
          <cell r="X60" t="str">
            <v xml:space="preserve">  Net Occupancy Expense                 </v>
          </cell>
          <cell r="Y60">
            <v>755.61274000000003</v>
          </cell>
          <cell r="Z60">
            <v>835.67565000000002</v>
          </cell>
          <cell r="AA60">
            <v>843.11378000000002</v>
          </cell>
          <cell r="AB60">
            <v>865.48212999999998</v>
          </cell>
          <cell r="AC60">
            <v>3299.8843000000002</v>
          </cell>
          <cell r="AD60">
            <v>812.00446999999997</v>
          </cell>
          <cell r="AE60">
            <v>742.20510999999999</v>
          </cell>
          <cell r="AF60">
            <v>802.98943999999995</v>
          </cell>
          <cell r="AG60">
            <v>1151.57</v>
          </cell>
          <cell r="AH60">
            <v>3508.7690200000002</v>
          </cell>
          <cell r="AI60" t="str">
            <v xml:space="preserve">U.S. Dollar                   </v>
          </cell>
          <cell r="AJ60" t="str">
            <v xml:space="preserve"> </v>
          </cell>
          <cell r="AK60" t="str">
            <v xml:space="preserve"> </v>
          </cell>
          <cell r="AL60" t="str">
            <v xml:space="preserve"> </v>
          </cell>
          <cell r="AM60" t="str">
            <v xml:space="preserve"> </v>
          </cell>
          <cell r="AN60" t="str">
            <v xml:space="preserve"> </v>
          </cell>
          <cell r="AO60" t="str">
            <v xml:space="preserve"> </v>
          </cell>
          <cell r="AP60" t="str">
            <v xml:space="preserve"> </v>
          </cell>
          <cell r="AQ60" t="str">
            <v xml:space="preserve"> </v>
          </cell>
        </row>
        <row r="61">
          <cell r="A61" t="str">
            <v>FBB.......620000</v>
          </cell>
          <cell r="B61" t="str">
            <v>2003T12</v>
          </cell>
          <cell r="C61" t="str">
            <v xml:space="preserve">TREND    </v>
          </cell>
          <cell r="D61" t="str">
            <v xml:space="preserve">Trend -  QTD Average/Activity                     </v>
          </cell>
          <cell r="E61" t="str">
            <v>Run: 08/07/03 13:53:41</v>
          </cell>
          <cell r="F61" t="str">
            <v>999</v>
          </cell>
          <cell r="G61" t="str">
            <v>100</v>
          </cell>
          <cell r="H61" t="str">
            <v xml:space="preserve">Bank Of America Management Reporting              </v>
          </cell>
          <cell r="I61" t="str">
            <v>001</v>
          </cell>
          <cell r="J61" t="str">
            <v>FBB.......</v>
          </cell>
          <cell r="K61" t="str">
            <v xml:space="preserve">Global Rates And Commodities Operations           </v>
          </cell>
          <cell r="L61" t="str">
            <v xml:space="preserve"> </v>
          </cell>
          <cell r="M61" t="str">
            <v xml:space="preserve"> </v>
          </cell>
          <cell r="N61" t="str">
            <v>bamgt</v>
          </cell>
          <cell r="O61" t="str">
            <v>40</v>
          </cell>
          <cell r="P61" t="str">
            <v>600000A  620000   999999999999999999999999999999999999999999999999999999</v>
          </cell>
          <cell r="Q61" t="str">
            <v xml:space="preserve">none     </v>
          </cell>
          <cell r="R61" t="str">
            <v>RollFCST-Working Version</v>
          </cell>
          <cell r="S61" t="str">
            <v>RollFCST-Working Version</v>
          </cell>
          <cell r="T61" t="str">
            <v xml:space="preserve"> </v>
          </cell>
          <cell r="U61" t="str">
            <v xml:space="preserve"> </v>
          </cell>
          <cell r="V61" t="str">
            <v>620000</v>
          </cell>
          <cell r="W61" t="str">
            <v>2</v>
          </cell>
          <cell r="X61" t="str">
            <v xml:space="preserve">  Furniture &amp; Equipment                 </v>
          </cell>
          <cell r="Y61">
            <v>122.5963</v>
          </cell>
          <cell r="Z61">
            <v>198.88186999999999</v>
          </cell>
          <cell r="AA61">
            <v>246.78139999999999</v>
          </cell>
          <cell r="AB61">
            <v>232.40448000000001</v>
          </cell>
          <cell r="AC61">
            <v>800.66404999999997</v>
          </cell>
          <cell r="AD61">
            <v>184.44812999999999</v>
          </cell>
          <cell r="AE61">
            <v>172.3749</v>
          </cell>
          <cell r="AF61">
            <v>207.73188999999999</v>
          </cell>
          <cell r="AG61">
            <v>215.22</v>
          </cell>
          <cell r="AH61">
            <v>779.77491999999995</v>
          </cell>
          <cell r="AI61" t="str">
            <v xml:space="preserve">U.S. Dollar                   </v>
          </cell>
          <cell r="AJ61" t="str">
            <v xml:space="preserve"> </v>
          </cell>
          <cell r="AK61" t="str">
            <v xml:space="preserve"> </v>
          </cell>
          <cell r="AL61" t="str">
            <v xml:space="preserve"> </v>
          </cell>
          <cell r="AM61" t="str">
            <v xml:space="preserve"> </v>
          </cell>
          <cell r="AN61" t="str">
            <v xml:space="preserve"> </v>
          </cell>
          <cell r="AO61" t="str">
            <v xml:space="preserve"> </v>
          </cell>
          <cell r="AP61" t="str">
            <v xml:space="preserve"> </v>
          </cell>
          <cell r="AQ61" t="str">
            <v xml:space="preserve"> </v>
          </cell>
        </row>
        <row r="62">
          <cell r="A62" t="str">
            <v>FBB.......623000</v>
          </cell>
          <cell r="B62" t="str">
            <v>2003T12</v>
          </cell>
          <cell r="C62" t="str">
            <v xml:space="preserve">TREND    </v>
          </cell>
          <cell r="D62" t="str">
            <v xml:space="preserve">Trend -  QTD Average/Activity                     </v>
          </cell>
          <cell r="E62" t="str">
            <v>Run: 08/07/03 13:53:41</v>
          </cell>
          <cell r="F62" t="str">
            <v>999</v>
          </cell>
          <cell r="G62" t="str">
            <v>100</v>
          </cell>
          <cell r="H62" t="str">
            <v xml:space="preserve">Bank Of America Management Reporting              </v>
          </cell>
          <cell r="I62" t="str">
            <v>001</v>
          </cell>
          <cell r="J62" t="str">
            <v>FBB.......</v>
          </cell>
          <cell r="K62" t="str">
            <v xml:space="preserve">Global Rates And Commodities Operations           </v>
          </cell>
          <cell r="L62" t="str">
            <v xml:space="preserve"> </v>
          </cell>
          <cell r="M62" t="str">
            <v xml:space="preserve"> </v>
          </cell>
          <cell r="N62" t="str">
            <v>bamgt</v>
          </cell>
          <cell r="O62" t="str">
            <v>40</v>
          </cell>
          <cell r="P62" t="str">
            <v>600000A  623000   999999999999999999999999999999999999999999999999999999</v>
          </cell>
          <cell r="Q62" t="str">
            <v xml:space="preserve">none     </v>
          </cell>
          <cell r="R62" t="str">
            <v>RollFCST-Working Version</v>
          </cell>
          <cell r="S62" t="str">
            <v>RollFCST-Working Version</v>
          </cell>
          <cell r="T62" t="str">
            <v xml:space="preserve"> </v>
          </cell>
          <cell r="U62" t="str">
            <v xml:space="preserve"> </v>
          </cell>
          <cell r="V62" t="str">
            <v>623000</v>
          </cell>
          <cell r="W62" t="str">
            <v>2</v>
          </cell>
          <cell r="X62" t="str">
            <v xml:space="preserve">  Marketing &amp; Promotional               </v>
          </cell>
          <cell r="Y62">
            <v>9.0501000000000005</v>
          </cell>
          <cell r="Z62">
            <v>4.9576200000000004</v>
          </cell>
          <cell r="AA62">
            <v>10.32624</v>
          </cell>
          <cell r="AB62">
            <v>6.68194</v>
          </cell>
          <cell r="AC62">
            <v>31.015899999999998</v>
          </cell>
          <cell r="AD62">
            <v>10.963800000000001</v>
          </cell>
          <cell r="AE62">
            <v>-2.3093599999999999</v>
          </cell>
          <cell r="AF62">
            <v>3.0042499999999999</v>
          </cell>
          <cell r="AG62">
            <v>4.0199999999999996</v>
          </cell>
          <cell r="AH62">
            <v>15.67869</v>
          </cell>
          <cell r="AI62" t="str">
            <v xml:space="preserve">U.S. Dollar                   </v>
          </cell>
          <cell r="AJ62" t="str">
            <v xml:space="preserve"> </v>
          </cell>
          <cell r="AK62" t="str">
            <v xml:space="preserve"> </v>
          </cell>
          <cell r="AL62" t="str">
            <v xml:space="preserve"> </v>
          </cell>
          <cell r="AM62" t="str">
            <v xml:space="preserve"> </v>
          </cell>
          <cell r="AN62" t="str">
            <v xml:space="preserve"> </v>
          </cell>
          <cell r="AO62" t="str">
            <v xml:space="preserve"> </v>
          </cell>
          <cell r="AP62" t="str">
            <v xml:space="preserve"> </v>
          </cell>
          <cell r="AQ62" t="str">
            <v xml:space="preserve"> </v>
          </cell>
        </row>
        <row r="63">
          <cell r="A63" t="str">
            <v>FBB.......630000</v>
          </cell>
          <cell r="B63" t="str">
            <v>2003T12</v>
          </cell>
          <cell r="C63" t="str">
            <v xml:space="preserve">TREND    </v>
          </cell>
          <cell r="D63" t="str">
            <v xml:space="preserve">Trend -  QTD Average/Activity                     </v>
          </cell>
          <cell r="E63" t="str">
            <v>Run: 08/07/03 13:53:41</v>
          </cell>
          <cell r="F63" t="str">
            <v>999</v>
          </cell>
          <cell r="G63" t="str">
            <v>100</v>
          </cell>
          <cell r="H63" t="str">
            <v xml:space="preserve">Bank Of America Management Reporting              </v>
          </cell>
          <cell r="I63" t="str">
            <v>001</v>
          </cell>
          <cell r="J63" t="str">
            <v>FBB.......</v>
          </cell>
          <cell r="K63" t="str">
            <v xml:space="preserve">Global Rates And Commodities Operations           </v>
          </cell>
          <cell r="L63" t="str">
            <v xml:space="preserve"> </v>
          </cell>
          <cell r="M63" t="str">
            <v xml:space="preserve"> </v>
          </cell>
          <cell r="N63" t="str">
            <v>bamgt</v>
          </cell>
          <cell r="O63" t="str">
            <v>40</v>
          </cell>
          <cell r="P63" t="str">
            <v>600000A  630000   999999999999999999999999999999999999999999999999999999</v>
          </cell>
          <cell r="Q63" t="str">
            <v xml:space="preserve">none     </v>
          </cell>
          <cell r="R63" t="str">
            <v>RollFCST-Working Version</v>
          </cell>
          <cell r="S63" t="str">
            <v>RollFCST-Working Version</v>
          </cell>
          <cell r="T63" t="str">
            <v xml:space="preserve"> </v>
          </cell>
          <cell r="U63" t="str">
            <v xml:space="preserve"> </v>
          </cell>
          <cell r="V63" t="str">
            <v>630000</v>
          </cell>
          <cell r="W63" t="str">
            <v>2</v>
          </cell>
          <cell r="X63" t="str">
            <v xml:space="preserve">  Professional Fees                     </v>
          </cell>
          <cell r="Y63">
            <v>9.8245299999999993</v>
          </cell>
          <cell r="Z63">
            <v>108.52376</v>
          </cell>
          <cell r="AA63">
            <v>21.62424</v>
          </cell>
          <cell r="AB63">
            <v>21.37218</v>
          </cell>
          <cell r="AC63">
            <v>161.34470999999999</v>
          </cell>
          <cell r="AD63">
            <v>-83.473519999999994</v>
          </cell>
          <cell r="AE63">
            <v>331.19582000000003</v>
          </cell>
          <cell r="AF63">
            <v>347.83123999999998</v>
          </cell>
          <cell r="AG63">
            <v>390.75</v>
          </cell>
          <cell r="AH63">
            <v>986.30354</v>
          </cell>
          <cell r="AI63" t="str">
            <v xml:space="preserve">U.S. Dollar                   </v>
          </cell>
          <cell r="AJ63" t="str">
            <v xml:space="preserve"> </v>
          </cell>
          <cell r="AK63" t="str">
            <v xml:space="preserve"> </v>
          </cell>
          <cell r="AL63" t="str">
            <v xml:space="preserve"> </v>
          </cell>
          <cell r="AM63" t="str">
            <v xml:space="preserve"> </v>
          </cell>
          <cell r="AN63" t="str">
            <v xml:space="preserve"> </v>
          </cell>
          <cell r="AO63" t="str">
            <v xml:space="preserve"> </v>
          </cell>
          <cell r="AP63" t="str">
            <v xml:space="preserve"> </v>
          </cell>
          <cell r="AQ63" t="str">
            <v xml:space="preserve"> </v>
          </cell>
        </row>
        <row r="64">
          <cell r="A64" t="str">
            <v>FBB.......651500A</v>
          </cell>
          <cell r="B64" t="str">
            <v>2003T12</v>
          </cell>
          <cell r="C64" t="str">
            <v xml:space="preserve">TREND    </v>
          </cell>
          <cell r="D64" t="str">
            <v xml:space="preserve">Trend -  QTD Average/Activity                     </v>
          </cell>
          <cell r="E64" t="str">
            <v>Run: 08/07/03 13:53:41</v>
          </cell>
          <cell r="F64" t="str">
            <v>999</v>
          </cell>
          <cell r="G64" t="str">
            <v>100</v>
          </cell>
          <cell r="H64" t="str">
            <v xml:space="preserve">Bank Of America Management Reporting              </v>
          </cell>
          <cell r="I64" t="str">
            <v>001</v>
          </cell>
          <cell r="J64" t="str">
            <v>FBB.......</v>
          </cell>
          <cell r="K64" t="str">
            <v xml:space="preserve">Global Rates And Commodities Operations           </v>
          </cell>
          <cell r="L64" t="str">
            <v xml:space="preserve"> </v>
          </cell>
          <cell r="M64" t="str">
            <v xml:space="preserve"> </v>
          </cell>
          <cell r="N64" t="str">
            <v>bamgt</v>
          </cell>
          <cell r="O64" t="str">
            <v>40</v>
          </cell>
          <cell r="P64" t="str">
            <v>600000A  651500A  999999999999999999999999999999999999999999999999999999</v>
          </cell>
          <cell r="Q64" t="str">
            <v xml:space="preserve">none     </v>
          </cell>
          <cell r="R64" t="str">
            <v>RollFCST-Working Version</v>
          </cell>
          <cell r="S64" t="str">
            <v>RollFCST-Working Version</v>
          </cell>
          <cell r="T64" t="str">
            <v xml:space="preserve"> </v>
          </cell>
          <cell r="U64" t="str">
            <v xml:space="preserve"> </v>
          </cell>
          <cell r="V64" t="str">
            <v>651500A</v>
          </cell>
          <cell r="W64" t="str">
            <v>2</v>
          </cell>
          <cell r="X64" t="str">
            <v xml:space="preserve">  Direct Processing Expense             </v>
          </cell>
          <cell r="Y64">
            <v>64.023359999999997</v>
          </cell>
          <cell r="Z64">
            <v>338.70834000000002</v>
          </cell>
          <cell r="AA64">
            <v>25.128869999999999</v>
          </cell>
          <cell r="AB64">
            <v>22.101019999999998</v>
          </cell>
          <cell r="AC64">
            <v>449.96159</v>
          </cell>
          <cell r="AD64">
            <v>30.071909999999999</v>
          </cell>
          <cell r="AE64">
            <v>88.33502</v>
          </cell>
          <cell r="AF64">
            <v>93.620609999999999</v>
          </cell>
          <cell r="AG64">
            <v>94.57</v>
          </cell>
          <cell r="AH64">
            <v>306.59753999999998</v>
          </cell>
          <cell r="AI64" t="str">
            <v xml:space="preserve">U.S. Dollar                   </v>
          </cell>
          <cell r="AJ64" t="str">
            <v xml:space="preserve"> </v>
          </cell>
          <cell r="AK64" t="str">
            <v xml:space="preserve"> </v>
          </cell>
          <cell r="AL64" t="str">
            <v xml:space="preserve"> </v>
          </cell>
          <cell r="AM64" t="str">
            <v xml:space="preserve"> </v>
          </cell>
          <cell r="AN64" t="str">
            <v xml:space="preserve"> </v>
          </cell>
          <cell r="AO64" t="str">
            <v xml:space="preserve"> </v>
          </cell>
          <cell r="AP64" t="str">
            <v xml:space="preserve"> </v>
          </cell>
          <cell r="AQ64" t="str">
            <v xml:space="preserve"> </v>
          </cell>
        </row>
        <row r="65">
          <cell r="A65" t="str">
            <v>FBB.......660000A</v>
          </cell>
          <cell r="B65" t="str">
            <v>2003T12</v>
          </cell>
          <cell r="C65" t="str">
            <v xml:space="preserve">TREND    </v>
          </cell>
          <cell r="D65" t="str">
            <v xml:space="preserve">Trend -  QTD Average/Activity                     </v>
          </cell>
          <cell r="E65" t="str">
            <v>Run: 08/07/03 13:53:41</v>
          </cell>
          <cell r="F65" t="str">
            <v>999</v>
          </cell>
          <cell r="G65" t="str">
            <v>100</v>
          </cell>
          <cell r="H65" t="str">
            <v xml:space="preserve">Bank Of America Management Reporting              </v>
          </cell>
          <cell r="I65" t="str">
            <v>001</v>
          </cell>
          <cell r="J65" t="str">
            <v>FBB.......</v>
          </cell>
          <cell r="K65" t="str">
            <v xml:space="preserve">Global Rates And Commodities Operations           </v>
          </cell>
          <cell r="L65" t="str">
            <v xml:space="preserve"> </v>
          </cell>
          <cell r="M65" t="str">
            <v xml:space="preserve"> </v>
          </cell>
          <cell r="N65" t="str">
            <v>bamgt</v>
          </cell>
          <cell r="O65" t="str">
            <v>40</v>
          </cell>
          <cell r="P65" t="str">
            <v>600000A  660000A  999999999999999999999999999999999999999999999999999999</v>
          </cell>
          <cell r="Q65" t="str">
            <v xml:space="preserve">none     </v>
          </cell>
          <cell r="R65" t="str">
            <v>RollFCST-Working Version</v>
          </cell>
          <cell r="S65" t="str">
            <v>RollFCST-Working Version</v>
          </cell>
          <cell r="T65" t="str">
            <v xml:space="preserve"> </v>
          </cell>
          <cell r="U65" t="str">
            <v xml:space="preserve"> </v>
          </cell>
          <cell r="V65" t="str">
            <v>660000A</v>
          </cell>
          <cell r="W65" t="str">
            <v>2</v>
          </cell>
          <cell r="X65" t="str">
            <v xml:space="preserve">  Telecommunications                    </v>
          </cell>
          <cell r="Y65">
            <v>106.86474</v>
          </cell>
          <cell r="Z65">
            <v>109.19571000000001</v>
          </cell>
          <cell r="AA65">
            <v>149.62405000000001</v>
          </cell>
          <cell r="AB65">
            <v>96.796490000000006</v>
          </cell>
          <cell r="AC65">
            <v>462.48099000000002</v>
          </cell>
          <cell r="AD65">
            <v>186.48539</v>
          </cell>
          <cell r="AE65">
            <v>72.365780000000001</v>
          </cell>
          <cell r="AF65">
            <v>143.16253</v>
          </cell>
          <cell r="AG65">
            <v>172.68</v>
          </cell>
          <cell r="AH65">
            <v>574.69370000000004</v>
          </cell>
          <cell r="AI65" t="str">
            <v xml:space="preserve">U.S. Dollar                   </v>
          </cell>
          <cell r="AJ65" t="str">
            <v xml:space="preserve"> </v>
          </cell>
          <cell r="AK65" t="str">
            <v xml:space="preserve"> </v>
          </cell>
          <cell r="AL65" t="str">
            <v xml:space="preserve"> </v>
          </cell>
          <cell r="AM65" t="str">
            <v xml:space="preserve"> </v>
          </cell>
          <cell r="AN65" t="str">
            <v xml:space="preserve"> </v>
          </cell>
          <cell r="AO65" t="str">
            <v xml:space="preserve"> </v>
          </cell>
          <cell r="AP65" t="str">
            <v xml:space="preserve"> </v>
          </cell>
          <cell r="AQ65" t="str">
            <v xml:space="preserve"> </v>
          </cell>
        </row>
        <row r="66">
          <cell r="A66" t="str">
            <v>FBB.......663000</v>
          </cell>
          <cell r="B66" t="str">
            <v>2003T12</v>
          </cell>
          <cell r="C66" t="str">
            <v xml:space="preserve">TREND    </v>
          </cell>
          <cell r="D66" t="str">
            <v xml:space="preserve">Trend -  QTD Average/Activity                     </v>
          </cell>
          <cell r="E66" t="str">
            <v>Run: 08/07/03 13:53:41</v>
          </cell>
          <cell r="F66" t="str">
            <v>999</v>
          </cell>
          <cell r="G66" t="str">
            <v>100</v>
          </cell>
          <cell r="H66" t="str">
            <v xml:space="preserve">Bank Of America Management Reporting              </v>
          </cell>
          <cell r="I66" t="str">
            <v>001</v>
          </cell>
          <cell r="J66" t="str">
            <v>FBB.......</v>
          </cell>
          <cell r="K66" t="str">
            <v xml:space="preserve">Global Rates And Commodities Operations           </v>
          </cell>
          <cell r="L66" t="str">
            <v xml:space="preserve"> </v>
          </cell>
          <cell r="M66" t="str">
            <v xml:space="preserve"> </v>
          </cell>
          <cell r="N66" t="str">
            <v>bamgt</v>
          </cell>
          <cell r="O66" t="str">
            <v>40</v>
          </cell>
          <cell r="P66" t="str">
            <v>600000A  662999B  662999C  663000   999999999999999999999999999999999999</v>
          </cell>
          <cell r="Q66" t="str">
            <v xml:space="preserve">none     </v>
          </cell>
          <cell r="R66" t="str">
            <v>RollFCST-Working Version</v>
          </cell>
          <cell r="S66" t="str">
            <v>RollFCST-Working Version</v>
          </cell>
          <cell r="T66" t="str">
            <v xml:space="preserve"> </v>
          </cell>
          <cell r="U66" t="str">
            <v xml:space="preserve"> </v>
          </cell>
          <cell r="V66" t="str">
            <v>663000</v>
          </cell>
          <cell r="W66" t="str">
            <v>4</v>
          </cell>
          <cell r="X66" t="str">
            <v xml:space="preserve">      Supplies                          </v>
          </cell>
          <cell r="Y66">
            <v>90.30453</v>
          </cell>
          <cell r="Z66">
            <v>77.772689999999997</v>
          </cell>
          <cell r="AA66">
            <v>81.054140000000004</v>
          </cell>
          <cell r="AB66">
            <v>99.968170000000001</v>
          </cell>
          <cell r="AC66">
            <v>349.09953000000002</v>
          </cell>
          <cell r="AD66">
            <v>55.986379999999997</v>
          </cell>
          <cell r="AE66">
            <v>53.825629999999997</v>
          </cell>
          <cell r="AF66">
            <v>73.616600000000005</v>
          </cell>
          <cell r="AG66">
            <v>77.650000000000006</v>
          </cell>
          <cell r="AH66">
            <v>261.07861000000003</v>
          </cell>
          <cell r="AI66" t="str">
            <v xml:space="preserve">U.S. Dollar                   </v>
          </cell>
          <cell r="AJ66" t="str">
            <v xml:space="preserve"> </v>
          </cell>
          <cell r="AK66" t="str">
            <v xml:space="preserve"> </v>
          </cell>
          <cell r="AL66" t="str">
            <v xml:space="preserve"> </v>
          </cell>
          <cell r="AM66" t="str">
            <v xml:space="preserve"> </v>
          </cell>
          <cell r="AN66" t="str">
            <v xml:space="preserve"> </v>
          </cell>
          <cell r="AO66" t="str">
            <v xml:space="preserve"> </v>
          </cell>
          <cell r="AP66" t="str">
            <v xml:space="preserve"> </v>
          </cell>
          <cell r="AQ66" t="str">
            <v xml:space="preserve"> </v>
          </cell>
        </row>
        <row r="67">
          <cell r="A67" t="str">
            <v>FBB.......664500</v>
          </cell>
          <cell r="B67" t="str">
            <v>2003T12</v>
          </cell>
          <cell r="C67" t="str">
            <v xml:space="preserve">TREND    </v>
          </cell>
          <cell r="D67" t="str">
            <v xml:space="preserve">Trend -  QTD Average/Activity                     </v>
          </cell>
          <cell r="E67" t="str">
            <v>Run: 08/07/03 13:53:41</v>
          </cell>
          <cell r="F67" t="str">
            <v>999</v>
          </cell>
          <cell r="G67" t="str">
            <v>100</v>
          </cell>
          <cell r="H67" t="str">
            <v xml:space="preserve">Bank Of America Management Reporting              </v>
          </cell>
          <cell r="I67" t="str">
            <v>001</v>
          </cell>
          <cell r="J67" t="str">
            <v>FBB.......</v>
          </cell>
          <cell r="K67" t="str">
            <v xml:space="preserve">Global Rates And Commodities Operations           </v>
          </cell>
          <cell r="L67" t="str">
            <v xml:space="preserve"> </v>
          </cell>
          <cell r="M67" t="str">
            <v xml:space="preserve"> </v>
          </cell>
          <cell r="N67" t="str">
            <v>bamgt</v>
          </cell>
          <cell r="O67" t="str">
            <v>40</v>
          </cell>
          <cell r="P67" t="str">
            <v>600000A  662999B  662999C  664500   999999999999999999999999999999999999</v>
          </cell>
          <cell r="Q67" t="str">
            <v xml:space="preserve">none     </v>
          </cell>
          <cell r="R67" t="str">
            <v>RollFCST-Working Version</v>
          </cell>
          <cell r="S67" t="str">
            <v>RollFCST-Working Version</v>
          </cell>
          <cell r="T67" t="str">
            <v xml:space="preserve"> </v>
          </cell>
          <cell r="U67" t="str">
            <v xml:space="preserve"> </v>
          </cell>
          <cell r="V67" t="str">
            <v>664500</v>
          </cell>
          <cell r="W67" t="str">
            <v>4</v>
          </cell>
          <cell r="X67" t="str">
            <v xml:space="preserve">      Postage And Courier               </v>
          </cell>
          <cell r="Y67">
            <v>7.1490299999999998</v>
          </cell>
          <cell r="Z67">
            <v>12.99945</v>
          </cell>
          <cell r="AA67">
            <v>4.8211300000000001</v>
          </cell>
          <cell r="AB67">
            <v>8.4187100000000008</v>
          </cell>
          <cell r="AC67">
            <v>33.38832</v>
          </cell>
          <cell r="AD67">
            <v>7.7590500000000002</v>
          </cell>
          <cell r="AE67">
            <v>5.2071300000000003</v>
          </cell>
          <cell r="AF67">
            <v>7.9266300000000003</v>
          </cell>
          <cell r="AG67">
            <v>5.36</v>
          </cell>
          <cell r="AH67">
            <v>26.25281</v>
          </cell>
          <cell r="AI67" t="str">
            <v xml:space="preserve">U.S. Dollar                   </v>
          </cell>
          <cell r="AJ67" t="str">
            <v xml:space="preserve"> </v>
          </cell>
          <cell r="AK67" t="str">
            <v xml:space="preserve"> </v>
          </cell>
          <cell r="AL67" t="str">
            <v xml:space="preserve"> </v>
          </cell>
          <cell r="AM67" t="str">
            <v xml:space="preserve"> </v>
          </cell>
          <cell r="AN67" t="str">
            <v xml:space="preserve"> </v>
          </cell>
          <cell r="AO67" t="str">
            <v xml:space="preserve"> </v>
          </cell>
          <cell r="AP67" t="str">
            <v xml:space="preserve"> </v>
          </cell>
          <cell r="AQ67" t="str">
            <v xml:space="preserve"> </v>
          </cell>
        </row>
        <row r="68">
          <cell r="A68" t="str">
            <v>FBB.......665499F</v>
          </cell>
          <cell r="B68" t="str">
            <v>2003T12</v>
          </cell>
          <cell r="C68" t="str">
            <v xml:space="preserve">TREND    </v>
          </cell>
          <cell r="D68" t="str">
            <v xml:space="preserve">Trend -  QTD Average/Activity                     </v>
          </cell>
          <cell r="E68" t="str">
            <v>Run: 08/07/03 13:53:41</v>
          </cell>
          <cell r="F68" t="str">
            <v>999</v>
          </cell>
          <cell r="G68" t="str">
            <v>100</v>
          </cell>
          <cell r="H68" t="str">
            <v xml:space="preserve">Bank Of America Management Reporting              </v>
          </cell>
          <cell r="I68" t="str">
            <v>001</v>
          </cell>
          <cell r="J68" t="str">
            <v>FBB.......</v>
          </cell>
          <cell r="K68" t="str">
            <v xml:space="preserve">Global Rates And Commodities Operations           </v>
          </cell>
          <cell r="L68" t="str">
            <v xml:space="preserve"> </v>
          </cell>
          <cell r="M68" t="str">
            <v xml:space="preserve"> </v>
          </cell>
          <cell r="N68" t="str">
            <v>bamgt</v>
          </cell>
          <cell r="O68" t="str">
            <v>40</v>
          </cell>
          <cell r="P68" t="str">
            <v>600000A  662999B  662999C  665499B  665499D  665499F  999999999999999999</v>
          </cell>
          <cell r="Q68" t="str">
            <v xml:space="preserve">none     </v>
          </cell>
          <cell r="R68" t="str">
            <v>RollFCST-Working Version</v>
          </cell>
          <cell r="S68" t="str">
            <v>RollFCST-Working Version</v>
          </cell>
          <cell r="T68" t="str">
            <v xml:space="preserve"> </v>
          </cell>
          <cell r="U68" t="str">
            <v xml:space="preserve"> </v>
          </cell>
          <cell r="V68" t="str">
            <v>665499F</v>
          </cell>
          <cell r="W68" t="str">
            <v>6</v>
          </cell>
          <cell r="X68" t="str">
            <v xml:space="preserve">          Relocation Expense            </v>
          </cell>
          <cell r="Y68">
            <v>1.1673800000000001</v>
          </cell>
          <cell r="Z68">
            <v>49.842100000000002</v>
          </cell>
          <cell r="AA68">
            <v>9.5109200000000005</v>
          </cell>
          <cell r="AB68">
            <v>28.79494</v>
          </cell>
          <cell r="AC68">
            <v>89.315340000000006</v>
          </cell>
          <cell r="AD68">
            <v>16.26651</v>
          </cell>
          <cell r="AE68">
            <v>30.423079999999999</v>
          </cell>
          <cell r="AF68">
            <v>24.025510000000001</v>
          </cell>
          <cell r="AG68">
            <v>0</v>
          </cell>
          <cell r="AH68">
            <v>70.715100000000007</v>
          </cell>
          <cell r="AI68" t="str">
            <v xml:space="preserve">U.S. Dollar                   </v>
          </cell>
          <cell r="AJ68" t="str">
            <v xml:space="preserve"> </v>
          </cell>
          <cell r="AK68" t="str">
            <v xml:space="preserve"> </v>
          </cell>
          <cell r="AL68" t="str">
            <v xml:space="preserve"> </v>
          </cell>
          <cell r="AM68" t="str">
            <v xml:space="preserve"> </v>
          </cell>
          <cell r="AN68" t="str">
            <v xml:space="preserve"> </v>
          </cell>
          <cell r="AO68" t="str">
            <v xml:space="preserve"> </v>
          </cell>
          <cell r="AP68" t="str">
            <v xml:space="preserve"> </v>
          </cell>
          <cell r="AQ68" t="str">
            <v xml:space="preserve"> </v>
          </cell>
        </row>
        <row r="69">
          <cell r="A69" t="str">
            <v>FBB.......665499J</v>
          </cell>
          <cell r="B69" t="str">
            <v>2003T12</v>
          </cell>
          <cell r="C69" t="str">
            <v xml:space="preserve">TREND    </v>
          </cell>
          <cell r="D69" t="str">
            <v xml:space="preserve">Trend -  QTD Average/Activity                     </v>
          </cell>
          <cell r="E69" t="str">
            <v>Run: 08/07/03 13:53:41</v>
          </cell>
          <cell r="F69" t="str">
            <v>999</v>
          </cell>
          <cell r="G69" t="str">
            <v>100</v>
          </cell>
          <cell r="H69" t="str">
            <v xml:space="preserve">Bank Of America Management Reporting              </v>
          </cell>
          <cell r="I69" t="str">
            <v>001</v>
          </cell>
          <cell r="J69" t="str">
            <v>FBB.......</v>
          </cell>
          <cell r="K69" t="str">
            <v xml:space="preserve">Global Rates And Commodities Operations           </v>
          </cell>
          <cell r="L69" t="str">
            <v xml:space="preserve"> </v>
          </cell>
          <cell r="M69" t="str">
            <v xml:space="preserve"> </v>
          </cell>
          <cell r="N69" t="str">
            <v>bamgt</v>
          </cell>
          <cell r="O69" t="str">
            <v>40</v>
          </cell>
          <cell r="P69" t="str">
            <v>600000A  662999B  662999C  665499B  665499D  665499H  665499J  999999999</v>
          </cell>
          <cell r="Q69" t="str">
            <v xml:space="preserve">none     </v>
          </cell>
          <cell r="R69" t="str">
            <v>RollFCST-Working Version</v>
          </cell>
          <cell r="S69" t="str">
            <v>RollFCST-Working Version</v>
          </cell>
          <cell r="T69" t="str">
            <v xml:space="preserve"> </v>
          </cell>
          <cell r="U69" t="str">
            <v xml:space="preserve"> </v>
          </cell>
          <cell r="V69" t="str">
            <v>665499J</v>
          </cell>
          <cell r="W69" t="str">
            <v>7</v>
          </cell>
          <cell r="X69" t="str">
            <v xml:space="preserve">            Employee Training &amp; Seminars</v>
          </cell>
          <cell r="Y69">
            <v>5.1514800000000003</v>
          </cell>
          <cell r="Z69">
            <v>11.935280000000001</v>
          </cell>
          <cell r="AA69">
            <v>13.53781</v>
          </cell>
          <cell r="AB69">
            <v>52.665860000000002</v>
          </cell>
          <cell r="AC69">
            <v>83.290430000000001</v>
          </cell>
          <cell r="AD69">
            <v>8.8849699999999991</v>
          </cell>
          <cell r="AE69">
            <v>15.28515</v>
          </cell>
          <cell r="AF69">
            <v>132.99807000000001</v>
          </cell>
          <cell r="AG69">
            <v>103.04</v>
          </cell>
          <cell r="AH69">
            <v>260.20819</v>
          </cell>
          <cell r="AI69" t="str">
            <v xml:space="preserve">U.S. Dollar                   </v>
          </cell>
          <cell r="AJ69" t="str">
            <v xml:space="preserve"> </v>
          </cell>
          <cell r="AK69" t="str">
            <v xml:space="preserve"> </v>
          </cell>
          <cell r="AL69" t="str">
            <v xml:space="preserve"> </v>
          </cell>
          <cell r="AM69" t="str">
            <v xml:space="preserve"> </v>
          </cell>
          <cell r="AN69" t="str">
            <v xml:space="preserve"> </v>
          </cell>
          <cell r="AO69" t="str">
            <v xml:space="preserve"> </v>
          </cell>
          <cell r="AP69" t="str">
            <v xml:space="preserve"> </v>
          </cell>
          <cell r="AQ69" t="str">
            <v xml:space="preserve"> </v>
          </cell>
        </row>
        <row r="70">
          <cell r="A70" t="str">
            <v>FBB.......665499H</v>
          </cell>
          <cell r="B70" t="str">
            <v>2003T12</v>
          </cell>
          <cell r="C70" t="str">
            <v xml:space="preserve">TREND    </v>
          </cell>
          <cell r="D70" t="str">
            <v xml:space="preserve">Trend -  QTD Average/Activity                     </v>
          </cell>
          <cell r="E70" t="str">
            <v>Run: 08/07/03 13:53:41</v>
          </cell>
          <cell r="F70" t="str">
            <v>999</v>
          </cell>
          <cell r="G70" t="str">
            <v>100</v>
          </cell>
          <cell r="H70" t="str">
            <v xml:space="preserve">Bank Of America Management Reporting              </v>
          </cell>
          <cell r="I70" t="str">
            <v>001</v>
          </cell>
          <cell r="J70" t="str">
            <v>FBB.......</v>
          </cell>
          <cell r="K70" t="str">
            <v xml:space="preserve">Global Rates And Commodities Operations           </v>
          </cell>
          <cell r="L70" t="str">
            <v xml:space="preserve"> </v>
          </cell>
          <cell r="M70" t="str">
            <v xml:space="preserve"> </v>
          </cell>
          <cell r="N70" t="str">
            <v>bamgt</v>
          </cell>
          <cell r="O70" t="str">
            <v>40</v>
          </cell>
          <cell r="P70" t="str">
            <v>600000A  662999B  662999C  665499B  665499D  665499H  999999999999999999</v>
          </cell>
          <cell r="Q70" t="str">
            <v xml:space="preserve">none     </v>
          </cell>
          <cell r="R70" t="str">
            <v>RollFCST-Working Version</v>
          </cell>
          <cell r="S70" t="str">
            <v>RollFCST-Working Version</v>
          </cell>
          <cell r="T70" t="str">
            <v xml:space="preserve"> </v>
          </cell>
          <cell r="U70" t="str">
            <v xml:space="preserve"> </v>
          </cell>
          <cell r="V70" t="str">
            <v>665499H</v>
          </cell>
          <cell r="W70" t="str">
            <v>6</v>
          </cell>
          <cell r="X70" t="str">
            <v xml:space="preserve">          Other Employee Expense        </v>
          </cell>
          <cell r="Y70">
            <v>55.195189999999997</v>
          </cell>
          <cell r="Z70">
            <v>176.24304000000001</v>
          </cell>
          <cell r="AA70">
            <v>285.43484000000001</v>
          </cell>
          <cell r="AB70">
            <v>211.65516</v>
          </cell>
          <cell r="AC70">
            <v>728.52823000000001</v>
          </cell>
          <cell r="AD70">
            <v>63.691189999999999</v>
          </cell>
          <cell r="AE70">
            <v>197.59370000000001</v>
          </cell>
          <cell r="AF70">
            <v>200.97730999999999</v>
          </cell>
          <cell r="AG70">
            <v>103.04</v>
          </cell>
          <cell r="AH70">
            <v>565.30219999999997</v>
          </cell>
          <cell r="AI70" t="str">
            <v xml:space="preserve">U.S. Dollar                   </v>
          </cell>
          <cell r="AJ70" t="str">
            <v xml:space="preserve"> </v>
          </cell>
          <cell r="AK70" t="str">
            <v xml:space="preserve"> </v>
          </cell>
          <cell r="AL70" t="str">
            <v xml:space="preserve"> </v>
          </cell>
          <cell r="AM70" t="str">
            <v xml:space="preserve"> </v>
          </cell>
          <cell r="AN70" t="str">
            <v xml:space="preserve"> </v>
          </cell>
          <cell r="AO70" t="str">
            <v xml:space="preserve"> </v>
          </cell>
          <cell r="AP70" t="str">
            <v xml:space="preserve"> </v>
          </cell>
          <cell r="AQ70" t="str">
            <v xml:space="preserve"> </v>
          </cell>
        </row>
        <row r="71">
          <cell r="A71" t="str">
            <v>FBB.......665499D</v>
          </cell>
          <cell r="B71" t="str">
            <v>2003T12</v>
          </cell>
          <cell r="C71" t="str">
            <v xml:space="preserve">TREND    </v>
          </cell>
          <cell r="D71" t="str">
            <v xml:space="preserve">Trend -  QTD Average/Activity                     </v>
          </cell>
          <cell r="E71" t="str">
            <v>Run: 08/07/03 13:53:41</v>
          </cell>
          <cell r="F71" t="str">
            <v>999</v>
          </cell>
          <cell r="G71" t="str">
            <v>100</v>
          </cell>
          <cell r="H71" t="str">
            <v xml:space="preserve">Bank Of America Management Reporting              </v>
          </cell>
          <cell r="I71" t="str">
            <v>001</v>
          </cell>
          <cell r="J71" t="str">
            <v>FBB.......</v>
          </cell>
          <cell r="K71" t="str">
            <v xml:space="preserve">Global Rates And Commodities Operations           </v>
          </cell>
          <cell r="L71" t="str">
            <v xml:space="preserve"> </v>
          </cell>
          <cell r="M71" t="str">
            <v xml:space="preserve"> </v>
          </cell>
          <cell r="N71" t="str">
            <v>bamgt</v>
          </cell>
          <cell r="O71" t="str">
            <v>40</v>
          </cell>
          <cell r="P71" t="str">
            <v>600000A  662999B  662999C  665499B  665499D  999999999999999999999999999</v>
          </cell>
          <cell r="Q71" t="str">
            <v xml:space="preserve">none     </v>
          </cell>
          <cell r="R71" t="str">
            <v>RollFCST-Working Version</v>
          </cell>
          <cell r="S71" t="str">
            <v>RollFCST-Working Version</v>
          </cell>
          <cell r="T71" t="str">
            <v xml:space="preserve"> </v>
          </cell>
          <cell r="U71" t="str">
            <v xml:space="preserve"> </v>
          </cell>
          <cell r="V71" t="str">
            <v>665499D</v>
          </cell>
          <cell r="W71" t="str">
            <v>5</v>
          </cell>
          <cell r="X71" t="str">
            <v xml:space="preserve">        Employee Expense                </v>
          </cell>
          <cell r="Y71">
            <v>56.362569999999998</v>
          </cell>
          <cell r="Z71">
            <v>226.08514</v>
          </cell>
          <cell r="AA71">
            <v>294.94576000000001</v>
          </cell>
          <cell r="AB71">
            <v>240.45009999999999</v>
          </cell>
          <cell r="AC71">
            <v>817.84357</v>
          </cell>
          <cell r="AD71">
            <v>79.957700000000003</v>
          </cell>
          <cell r="AE71">
            <v>228.01678000000001</v>
          </cell>
          <cell r="AF71">
            <v>225.00282000000001</v>
          </cell>
          <cell r="AG71">
            <v>103.04</v>
          </cell>
          <cell r="AH71">
            <v>636.01729999999998</v>
          </cell>
          <cell r="AI71" t="str">
            <v xml:space="preserve">U.S. Dollar                   </v>
          </cell>
          <cell r="AJ71" t="str">
            <v xml:space="preserve"> </v>
          </cell>
          <cell r="AK71" t="str">
            <v xml:space="preserve"> </v>
          </cell>
          <cell r="AL71" t="str">
            <v xml:space="preserve"> </v>
          </cell>
          <cell r="AM71" t="str">
            <v xml:space="preserve"> </v>
          </cell>
          <cell r="AN71" t="str">
            <v xml:space="preserve"> </v>
          </cell>
          <cell r="AO71" t="str">
            <v xml:space="preserve"> </v>
          </cell>
          <cell r="AP71" t="str">
            <v xml:space="preserve"> </v>
          </cell>
          <cell r="AQ71" t="str">
            <v xml:space="preserve"> </v>
          </cell>
        </row>
        <row r="72">
          <cell r="A72" t="str">
            <v>FBB.......665499B</v>
          </cell>
          <cell r="B72" t="str">
            <v>2003T12</v>
          </cell>
          <cell r="C72" t="str">
            <v xml:space="preserve">TREND    </v>
          </cell>
          <cell r="D72" t="str">
            <v xml:space="preserve">Trend -  QTD Average/Activity                     </v>
          </cell>
          <cell r="E72" t="str">
            <v>Run: 08/07/03 13:53:41</v>
          </cell>
          <cell r="F72" t="str">
            <v>999</v>
          </cell>
          <cell r="G72" t="str">
            <v>100</v>
          </cell>
          <cell r="H72" t="str">
            <v xml:space="preserve">Bank Of America Management Reporting              </v>
          </cell>
          <cell r="I72" t="str">
            <v>001</v>
          </cell>
          <cell r="J72" t="str">
            <v>FBB.......</v>
          </cell>
          <cell r="K72" t="str">
            <v xml:space="preserve">Global Rates And Commodities Operations           </v>
          </cell>
          <cell r="L72" t="str">
            <v xml:space="preserve"> </v>
          </cell>
          <cell r="M72" t="str">
            <v xml:space="preserve"> </v>
          </cell>
          <cell r="N72" t="str">
            <v>bamgt</v>
          </cell>
          <cell r="O72" t="str">
            <v>40</v>
          </cell>
          <cell r="P72" t="str">
            <v>600000A  662999B  662999C  665499B  999999999999999999999999999999999999</v>
          </cell>
          <cell r="Q72" t="str">
            <v xml:space="preserve">none     </v>
          </cell>
          <cell r="R72" t="str">
            <v>RollFCST-Working Version</v>
          </cell>
          <cell r="S72" t="str">
            <v>RollFCST-Working Version</v>
          </cell>
          <cell r="T72" t="str">
            <v xml:space="preserve"> </v>
          </cell>
          <cell r="U72" t="str">
            <v xml:space="preserve"> </v>
          </cell>
          <cell r="V72" t="str">
            <v>665499B</v>
          </cell>
          <cell r="W72" t="str">
            <v>4</v>
          </cell>
          <cell r="X72" t="str">
            <v xml:space="preserve">      Other Operating Expense           </v>
          </cell>
          <cell r="Y72">
            <v>61.22148</v>
          </cell>
          <cell r="Z72">
            <v>236.14008999999999</v>
          </cell>
          <cell r="AA72">
            <v>303.20310000000001</v>
          </cell>
          <cell r="AB72">
            <v>255.08789999999999</v>
          </cell>
          <cell r="AC72">
            <v>855.65256999999997</v>
          </cell>
          <cell r="AD72">
            <v>62.451059999999998</v>
          </cell>
          <cell r="AE72">
            <v>237.63166000000001</v>
          </cell>
          <cell r="AF72">
            <v>492.00045</v>
          </cell>
          <cell r="AG72">
            <v>266.04000000000002</v>
          </cell>
          <cell r="AH72">
            <v>1058.1231700000001</v>
          </cell>
          <cell r="AI72" t="str">
            <v xml:space="preserve">U.S. Dollar                   </v>
          </cell>
          <cell r="AJ72" t="str">
            <v xml:space="preserve"> </v>
          </cell>
          <cell r="AK72" t="str">
            <v xml:space="preserve"> </v>
          </cell>
          <cell r="AL72" t="str">
            <v xml:space="preserve"> </v>
          </cell>
          <cell r="AM72" t="str">
            <v xml:space="preserve"> </v>
          </cell>
          <cell r="AN72" t="str">
            <v xml:space="preserve"> </v>
          </cell>
          <cell r="AO72" t="str">
            <v xml:space="preserve"> </v>
          </cell>
          <cell r="AP72" t="str">
            <v xml:space="preserve"> </v>
          </cell>
          <cell r="AQ72" t="str">
            <v xml:space="preserve"> </v>
          </cell>
        </row>
        <row r="73">
          <cell r="A73" t="str">
            <v>FBB.......670200</v>
          </cell>
          <cell r="B73" t="str">
            <v>2003T12</v>
          </cell>
          <cell r="C73" t="str">
            <v xml:space="preserve">TREND    </v>
          </cell>
          <cell r="D73" t="str">
            <v xml:space="preserve">Trend -  QTD Average/Activity                     </v>
          </cell>
          <cell r="E73" t="str">
            <v>Run: 08/07/03 13:53:41</v>
          </cell>
          <cell r="F73" t="str">
            <v>999</v>
          </cell>
          <cell r="G73" t="str">
            <v>100</v>
          </cell>
          <cell r="H73" t="str">
            <v xml:space="preserve">Bank Of America Management Reporting              </v>
          </cell>
          <cell r="I73" t="str">
            <v>001</v>
          </cell>
          <cell r="J73" t="str">
            <v>FBB.......</v>
          </cell>
          <cell r="K73" t="str">
            <v xml:space="preserve">Global Rates And Commodities Operations           </v>
          </cell>
          <cell r="L73" t="str">
            <v xml:space="preserve"> </v>
          </cell>
          <cell r="M73" t="str">
            <v xml:space="preserve"> </v>
          </cell>
          <cell r="N73" t="str">
            <v>bamgt</v>
          </cell>
          <cell r="O73" t="str">
            <v>40</v>
          </cell>
          <cell r="P73" t="str">
            <v>600000A  662999B  670000B  670200   999999999999999999999999999999999999</v>
          </cell>
          <cell r="Q73" t="str">
            <v xml:space="preserve">none     </v>
          </cell>
          <cell r="R73" t="str">
            <v>RollFCST-Working Version</v>
          </cell>
          <cell r="S73" t="str">
            <v>RollFCST-Working Version</v>
          </cell>
          <cell r="T73" t="str">
            <v xml:space="preserve"> </v>
          </cell>
          <cell r="U73" t="str">
            <v xml:space="preserve"> </v>
          </cell>
          <cell r="V73" t="str">
            <v>670200</v>
          </cell>
          <cell r="W73" t="str">
            <v>4</v>
          </cell>
          <cell r="X73" t="str">
            <v xml:space="preserve">      Travel                            </v>
          </cell>
          <cell r="Y73">
            <v>75.749459999999999</v>
          </cell>
          <cell r="Z73">
            <v>88.613500000000002</v>
          </cell>
          <cell r="AA73">
            <v>150.62897000000001</v>
          </cell>
          <cell r="AB73">
            <v>159.46006</v>
          </cell>
          <cell r="AC73">
            <v>474.45199000000002</v>
          </cell>
          <cell r="AD73">
            <v>52.663600000000002</v>
          </cell>
          <cell r="AE73">
            <v>76.928659999999994</v>
          </cell>
          <cell r="AF73">
            <v>120.98039</v>
          </cell>
          <cell r="AG73">
            <v>114.58</v>
          </cell>
          <cell r="AH73">
            <v>365.15264999999999</v>
          </cell>
          <cell r="AI73" t="str">
            <v xml:space="preserve">U.S. Dollar                   </v>
          </cell>
          <cell r="AJ73" t="str">
            <v xml:space="preserve"> </v>
          </cell>
          <cell r="AK73" t="str">
            <v xml:space="preserve"> </v>
          </cell>
          <cell r="AL73" t="str">
            <v xml:space="preserve"> </v>
          </cell>
          <cell r="AM73" t="str">
            <v xml:space="preserve"> </v>
          </cell>
          <cell r="AN73" t="str">
            <v xml:space="preserve"> </v>
          </cell>
          <cell r="AO73" t="str">
            <v xml:space="preserve"> </v>
          </cell>
          <cell r="AP73" t="str">
            <v xml:space="preserve"> </v>
          </cell>
          <cell r="AQ73" t="str">
            <v xml:space="preserve"> </v>
          </cell>
        </row>
        <row r="74">
          <cell r="A74" t="str">
            <v>FBB.......670800</v>
          </cell>
          <cell r="B74" t="str">
            <v>2003T12</v>
          </cell>
          <cell r="C74" t="str">
            <v xml:space="preserve">TREND    </v>
          </cell>
          <cell r="D74" t="str">
            <v xml:space="preserve">Trend -  QTD Average/Activity                     </v>
          </cell>
          <cell r="E74" t="str">
            <v>Run: 08/07/03 13:53:41</v>
          </cell>
          <cell r="F74" t="str">
            <v>999</v>
          </cell>
          <cell r="G74" t="str">
            <v>100</v>
          </cell>
          <cell r="H74" t="str">
            <v xml:space="preserve">Bank Of America Management Reporting              </v>
          </cell>
          <cell r="I74" t="str">
            <v>001</v>
          </cell>
          <cell r="J74" t="str">
            <v>FBB.......</v>
          </cell>
          <cell r="K74" t="str">
            <v xml:space="preserve">Global Rates And Commodities Operations           </v>
          </cell>
          <cell r="L74" t="str">
            <v xml:space="preserve"> </v>
          </cell>
          <cell r="M74" t="str">
            <v xml:space="preserve"> </v>
          </cell>
          <cell r="N74" t="str">
            <v>bamgt</v>
          </cell>
          <cell r="O74" t="str">
            <v>40</v>
          </cell>
          <cell r="P74" t="str">
            <v>600000A  662999B  670000B  670800   999999999999999999999999999999999999</v>
          </cell>
          <cell r="Q74" t="str">
            <v xml:space="preserve">none     </v>
          </cell>
          <cell r="R74" t="str">
            <v>RollFCST-Working Version</v>
          </cell>
          <cell r="S74" t="str">
            <v>RollFCST-Working Version</v>
          </cell>
          <cell r="T74" t="str">
            <v xml:space="preserve"> </v>
          </cell>
          <cell r="U74" t="str">
            <v xml:space="preserve"> </v>
          </cell>
          <cell r="V74" t="str">
            <v>670800</v>
          </cell>
          <cell r="W74" t="str">
            <v>4</v>
          </cell>
          <cell r="X74" t="str">
            <v xml:space="preserve">      Taxes Other Than Income           </v>
          </cell>
          <cell r="Y74">
            <v>22.161480000000001</v>
          </cell>
          <cell r="Z74">
            <v>14.954560000000001</v>
          </cell>
          <cell r="AA74">
            <v>27.988610000000001</v>
          </cell>
          <cell r="AB74">
            <v>24.81269</v>
          </cell>
          <cell r="AC74">
            <v>89.917339999999996</v>
          </cell>
          <cell r="AD74">
            <v>16.947569999999999</v>
          </cell>
          <cell r="AE74">
            <v>45.429749999999999</v>
          </cell>
          <cell r="AF74">
            <v>9.6084099999999992</v>
          </cell>
          <cell r="AG74">
            <v>0</v>
          </cell>
          <cell r="AH74">
            <v>71.985730000000004</v>
          </cell>
          <cell r="AI74" t="str">
            <v xml:space="preserve">U.S. Dollar                   </v>
          </cell>
          <cell r="AJ74" t="str">
            <v xml:space="preserve"> </v>
          </cell>
          <cell r="AK74" t="str">
            <v xml:space="preserve"> </v>
          </cell>
          <cell r="AL74" t="str">
            <v xml:space="preserve"> </v>
          </cell>
          <cell r="AM74" t="str">
            <v xml:space="preserve"> </v>
          </cell>
          <cell r="AN74" t="str">
            <v xml:space="preserve"> </v>
          </cell>
          <cell r="AO74" t="str">
            <v xml:space="preserve"> </v>
          </cell>
          <cell r="AP74" t="str">
            <v xml:space="preserve"> </v>
          </cell>
          <cell r="AQ74" t="str">
            <v xml:space="preserve"> </v>
          </cell>
        </row>
        <row r="75">
          <cell r="A75" t="str">
            <v>FBB.......671200</v>
          </cell>
          <cell r="B75" t="str">
            <v>2003T12</v>
          </cell>
          <cell r="C75" t="str">
            <v xml:space="preserve">TREND    </v>
          </cell>
          <cell r="D75" t="str">
            <v xml:space="preserve">Trend -  QTD Average/Activity                     </v>
          </cell>
          <cell r="E75" t="str">
            <v>Run: 08/07/03 13:53:41</v>
          </cell>
          <cell r="F75" t="str">
            <v>999</v>
          </cell>
          <cell r="G75" t="str">
            <v>100</v>
          </cell>
          <cell r="H75" t="str">
            <v xml:space="preserve">Bank Of America Management Reporting              </v>
          </cell>
          <cell r="I75" t="str">
            <v>001</v>
          </cell>
          <cell r="J75" t="str">
            <v>FBB.......</v>
          </cell>
          <cell r="K75" t="str">
            <v xml:space="preserve">Global Rates And Commodities Operations           </v>
          </cell>
          <cell r="L75" t="str">
            <v xml:space="preserve"> </v>
          </cell>
          <cell r="M75" t="str">
            <v xml:space="preserve"> </v>
          </cell>
          <cell r="N75" t="str">
            <v>bamgt</v>
          </cell>
          <cell r="O75" t="str">
            <v>40</v>
          </cell>
          <cell r="P75" t="str">
            <v>600000A  662999B  670000B  671200   999999999999999999999999999999999999</v>
          </cell>
          <cell r="Q75" t="str">
            <v xml:space="preserve">none     </v>
          </cell>
          <cell r="R75" t="str">
            <v>RollFCST-Working Version</v>
          </cell>
          <cell r="S75" t="str">
            <v>RollFCST-Working Version</v>
          </cell>
          <cell r="T75" t="str">
            <v xml:space="preserve"> </v>
          </cell>
          <cell r="U75" t="str">
            <v xml:space="preserve"> </v>
          </cell>
          <cell r="V75" t="str">
            <v>671200</v>
          </cell>
          <cell r="W75" t="str">
            <v>4</v>
          </cell>
          <cell r="X75" t="str">
            <v xml:space="preserve">      Subscription Services             </v>
          </cell>
          <cell r="Y75">
            <v>161.54863</v>
          </cell>
          <cell r="Z75">
            <v>187.35756000000001</v>
          </cell>
          <cell r="AA75">
            <v>230.60244</v>
          </cell>
          <cell r="AB75">
            <v>169.06043</v>
          </cell>
          <cell r="AC75">
            <v>748.56906000000004</v>
          </cell>
          <cell r="AD75">
            <v>195.00698</v>
          </cell>
          <cell r="AE75">
            <v>144.07957999999999</v>
          </cell>
          <cell r="AF75">
            <v>160.87020999999999</v>
          </cell>
          <cell r="AG75">
            <v>176.86</v>
          </cell>
          <cell r="AH75">
            <v>676.81677000000002</v>
          </cell>
          <cell r="AI75" t="str">
            <v xml:space="preserve">U.S. Dollar                   </v>
          </cell>
          <cell r="AJ75" t="str">
            <v xml:space="preserve"> </v>
          </cell>
          <cell r="AK75" t="str">
            <v xml:space="preserve"> </v>
          </cell>
          <cell r="AL75" t="str">
            <v xml:space="preserve"> </v>
          </cell>
          <cell r="AM75" t="str">
            <v xml:space="preserve"> </v>
          </cell>
          <cell r="AN75" t="str">
            <v xml:space="preserve"> </v>
          </cell>
          <cell r="AO75" t="str">
            <v xml:space="preserve"> </v>
          </cell>
          <cell r="AP75" t="str">
            <v xml:space="preserve"> </v>
          </cell>
          <cell r="AQ75" t="str">
            <v xml:space="preserve"> </v>
          </cell>
        </row>
        <row r="76">
          <cell r="A76" t="str">
            <v>FBB.......671500</v>
          </cell>
          <cell r="B76" t="str">
            <v>2003T12</v>
          </cell>
          <cell r="C76" t="str">
            <v xml:space="preserve">TREND    </v>
          </cell>
          <cell r="D76" t="str">
            <v xml:space="preserve">Trend -  QTD Average/Activity                     </v>
          </cell>
          <cell r="E76" t="str">
            <v>Run: 08/07/03 13:53:41</v>
          </cell>
          <cell r="F76" t="str">
            <v>999</v>
          </cell>
          <cell r="G76" t="str">
            <v>100</v>
          </cell>
          <cell r="H76" t="str">
            <v xml:space="preserve">Bank Of America Management Reporting              </v>
          </cell>
          <cell r="I76" t="str">
            <v>001</v>
          </cell>
          <cell r="J76" t="str">
            <v>FBB.......</v>
          </cell>
          <cell r="K76" t="str">
            <v xml:space="preserve">Global Rates And Commodities Operations           </v>
          </cell>
          <cell r="L76" t="str">
            <v xml:space="preserve"> </v>
          </cell>
          <cell r="M76" t="str">
            <v xml:space="preserve"> </v>
          </cell>
          <cell r="N76" t="str">
            <v>bamgt</v>
          </cell>
          <cell r="O76" t="str">
            <v>40</v>
          </cell>
          <cell r="P76" t="str">
            <v>600000A  662999B  670000B  671500   999999999999999999999999999999999999</v>
          </cell>
          <cell r="Q76" t="str">
            <v xml:space="preserve">none     </v>
          </cell>
          <cell r="R76" t="str">
            <v>RollFCST-Working Version</v>
          </cell>
          <cell r="S76" t="str">
            <v>RollFCST-Working Version</v>
          </cell>
          <cell r="T76" t="str">
            <v xml:space="preserve"> </v>
          </cell>
          <cell r="U76" t="str">
            <v xml:space="preserve"> </v>
          </cell>
          <cell r="V76" t="str">
            <v>671500</v>
          </cell>
          <cell r="W76" t="str">
            <v>4</v>
          </cell>
          <cell r="X76" t="str">
            <v xml:space="preserve">      Other Administrative Expenses     </v>
          </cell>
          <cell r="Y76">
            <v>0</v>
          </cell>
          <cell r="Z76">
            <v>41.11835</v>
          </cell>
          <cell r="AA76">
            <v>17.4087</v>
          </cell>
          <cell r="AB76">
            <v>19.705179999999999</v>
          </cell>
          <cell r="AC76">
            <v>78.232230000000001</v>
          </cell>
          <cell r="AD76">
            <v>145.77155999999999</v>
          </cell>
          <cell r="AE76">
            <v>21.472709999999999</v>
          </cell>
          <cell r="AF76">
            <v>0</v>
          </cell>
          <cell r="AG76">
            <v>0</v>
          </cell>
          <cell r="AH76">
            <v>167.24427</v>
          </cell>
          <cell r="AI76" t="str">
            <v xml:space="preserve">U.S. Dollar                   </v>
          </cell>
          <cell r="AJ76" t="str">
            <v xml:space="preserve"> </v>
          </cell>
          <cell r="AK76" t="str">
            <v xml:space="preserve"> </v>
          </cell>
          <cell r="AL76" t="str">
            <v xml:space="preserve"> </v>
          </cell>
          <cell r="AM76" t="str">
            <v xml:space="preserve"> </v>
          </cell>
          <cell r="AN76" t="str">
            <v xml:space="preserve"> </v>
          </cell>
          <cell r="AO76" t="str">
            <v xml:space="preserve"> </v>
          </cell>
          <cell r="AP76" t="str">
            <v xml:space="preserve"> </v>
          </cell>
          <cell r="AQ76" t="str">
            <v xml:space="preserve"> </v>
          </cell>
        </row>
        <row r="77">
          <cell r="A77" t="str">
            <v>FBB.......675000</v>
          </cell>
          <cell r="B77" t="str">
            <v>2003T12</v>
          </cell>
          <cell r="C77" t="str">
            <v xml:space="preserve">TREND    </v>
          </cell>
          <cell r="D77" t="str">
            <v xml:space="preserve">Trend -  QTD Average/Activity                     </v>
          </cell>
          <cell r="E77" t="str">
            <v>Run: 08/07/03 13:53:41</v>
          </cell>
          <cell r="F77" t="str">
            <v>999</v>
          </cell>
          <cell r="G77" t="str">
            <v>100</v>
          </cell>
          <cell r="H77" t="str">
            <v xml:space="preserve">Bank Of America Management Reporting              </v>
          </cell>
          <cell r="I77" t="str">
            <v>001</v>
          </cell>
          <cell r="J77" t="str">
            <v>FBB.......</v>
          </cell>
          <cell r="K77" t="str">
            <v xml:space="preserve">Global Rates And Commodities Operations           </v>
          </cell>
          <cell r="L77" t="str">
            <v xml:space="preserve"> </v>
          </cell>
          <cell r="M77" t="str">
            <v xml:space="preserve"> </v>
          </cell>
          <cell r="N77" t="str">
            <v>bamgt</v>
          </cell>
          <cell r="O77" t="str">
            <v>40</v>
          </cell>
          <cell r="P77" t="str">
            <v>600000A  675000   999999999999999999999999999999999999999999999999999999</v>
          </cell>
          <cell r="Q77" t="str">
            <v xml:space="preserve">none     </v>
          </cell>
          <cell r="R77" t="str">
            <v>RollFCST-Working Version</v>
          </cell>
          <cell r="S77" t="str">
            <v>RollFCST-Working Version</v>
          </cell>
          <cell r="T77" t="str">
            <v xml:space="preserve"> </v>
          </cell>
          <cell r="U77" t="str">
            <v xml:space="preserve"> </v>
          </cell>
          <cell r="V77" t="str">
            <v>675000</v>
          </cell>
          <cell r="W77" t="str">
            <v>2</v>
          </cell>
          <cell r="X77" t="str">
            <v xml:space="preserve">  Intercompany Expense                  </v>
          </cell>
          <cell r="Y77">
            <v>0</v>
          </cell>
          <cell r="Z77">
            <v>0</v>
          </cell>
          <cell r="AA77">
            <v>0</v>
          </cell>
          <cell r="AB77">
            <v>0</v>
          </cell>
          <cell r="AC77">
            <v>0</v>
          </cell>
          <cell r="AD77">
            <v>0</v>
          </cell>
          <cell r="AE77">
            <v>0</v>
          </cell>
          <cell r="AF77">
            <v>0</v>
          </cell>
          <cell r="AG77">
            <v>0</v>
          </cell>
          <cell r="AH77">
            <v>0</v>
          </cell>
          <cell r="AI77" t="str">
            <v xml:space="preserve">U.S. Dollar                   </v>
          </cell>
          <cell r="AJ77" t="str">
            <v xml:space="preserve"> </v>
          </cell>
          <cell r="AK77" t="str">
            <v xml:space="preserve"> </v>
          </cell>
          <cell r="AL77" t="str">
            <v xml:space="preserve"> </v>
          </cell>
          <cell r="AM77" t="str">
            <v xml:space="preserve"> </v>
          </cell>
          <cell r="AN77" t="str">
            <v xml:space="preserve"> </v>
          </cell>
          <cell r="AO77" t="str">
            <v xml:space="preserve"> </v>
          </cell>
          <cell r="AP77" t="str">
            <v xml:space="preserve"> </v>
          </cell>
          <cell r="AQ77" t="str">
            <v xml:space="preserve"> </v>
          </cell>
        </row>
        <row r="78">
          <cell r="A78" t="str">
            <v>FBC.......600300</v>
          </cell>
          <cell r="B78" t="str">
            <v>2003T12</v>
          </cell>
          <cell r="C78" t="str">
            <v xml:space="preserve">TREND    </v>
          </cell>
          <cell r="D78" t="str">
            <v xml:space="preserve">Trend -  QTD Average/Activity                     </v>
          </cell>
          <cell r="E78" t="str">
            <v>Run: 08/07/03 13:53:41</v>
          </cell>
          <cell r="F78" t="str">
            <v>999</v>
          </cell>
          <cell r="G78" t="str">
            <v>100</v>
          </cell>
          <cell r="H78" t="str">
            <v xml:space="preserve">Bank Of America Management Reporting              </v>
          </cell>
          <cell r="I78" t="str">
            <v>001</v>
          </cell>
          <cell r="J78" t="str">
            <v>FBC.......</v>
          </cell>
          <cell r="K78" t="str">
            <v xml:space="preserve">Global Securities Operations                      </v>
          </cell>
          <cell r="L78" t="str">
            <v xml:space="preserve"> </v>
          </cell>
          <cell r="M78" t="str">
            <v xml:space="preserve"> </v>
          </cell>
          <cell r="N78" t="str">
            <v>bamgt</v>
          </cell>
          <cell r="O78" t="str">
            <v>40</v>
          </cell>
          <cell r="P78" t="str">
            <v>600000A  600250   999999999600300   999999999999999999999999999999999999</v>
          </cell>
          <cell r="Q78" t="str">
            <v xml:space="preserve">none     </v>
          </cell>
          <cell r="R78" t="str">
            <v>RollFCST-Working Version</v>
          </cell>
          <cell r="S78" t="str">
            <v>RollFCST-Working Version</v>
          </cell>
          <cell r="T78" t="str">
            <v xml:space="preserve"> </v>
          </cell>
          <cell r="U78" t="str">
            <v xml:space="preserve"> </v>
          </cell>
          <cell r="V78" t="str">
            <v>600300</v>
          </cell>
          <cell r="W78" t="str">
            <v>4</v>
          </cell>
          <cell r="X78" t="str">
            <v xml:space="preserve">      Salaries &amp; Wages                  </v>
          </cell>
          <cell r="Y78">
            <v>8838.4717899999996</v>
          </cell>
          <cell r="Z78">
            <v>8477.2090399999997</v>
          </cell>
          <cell r="AA78">
            <v>8722.3633599999994</v>
          </cell>
          <cell r="AB78">
            <v>8884.82431</v>
          </cell>
          <cell r="AC78">
            <v>34922.868499999997</v>
          </cell>
          <cell r="AD78">
            <v>9187.5615199999993</v>
          </cell>
          <cell r="AE78">
            <v>8669.2696899999992</v>
          </cell>
          <cell r="AF78">
            <v>9109.8839000000007</v>
          </cell>
          <cell r="AG78">
            <v>9188</v>
          </cell>
          <cell r="AH78">
            <v>36154.715109999997</v>
          </cell>
          <cell r="AI78" t="str">
            <v xml:space="preserve">U.S. Dollar                   </v>
          </cell>
          <cell r="AJ78" t="str">
            <v xml:space="preserve"> </v>
          </cell>
          <cell r="AK78" t="str">
            <v xml:space="preserve"> </v>
          </cell>
          <cell r="AL78" t="str">
            <v xml:space="preserve"> </v>
          </cell>
          <cell r="AM78" t="str">
            <v xml:space="preserve"> </v>
          </cell>
          <cell r="AN78" t="str">
            <v xml:space="preserve"> </v>
          </cell>
          <cell r="AO78" t="str">
            <v xml:space="preserve"> </v>
          </cell>
          <cell r="AP78" t="str">
            <v xml:space="preserve"> </v>
          </cell>
          <cell r="AQ78" t="str">
            <v xml:space="preserve"> </v>
          </cell>
        </row>
        <row r="79">
          <cell r="A79" t="str">
            <v>FBC.......601000</v>
          </cell>
          <cell r="B79" t="str">
            <v>2003T12</v>
          </cell>
          <cell r="C79" t="str">
            <v xml:space="preserve">TREND    </v>
          </cell>
          <cell r="D79" t="str">
            <v xml:space="preserve">Trend -  QTD Average/Activity                     </v>
          </cell>
          <cell r="E79" t="str">
            <v>Run: 08/07/03 13:53:41</v>
          </cell>
          <cell r="F79" t="str">
            <v>999</v>
          </cell>
          <cell r="G79" t="str">
            <v>100</v>
          </cell>
          <cell r="H79" t="str">
            <v xml:space="preserve">Bank Of America Management Reporting              </v>
          </cell>
          <cell r="I79" t="str">
            <v>001</v>
          </cell>
          <cell r="J79" t="str">
            <v>FBC.......</v>
          </cell>
          <cell r="K79" t="str">
            <v xml:space="preserve">Global Securities Operations                      </v>
          </cell>
          <cell r="L79" t="str">
            <v xml:space="preserve"> </v>
          </cell>
          <cell r="M79" t="str">
            <v xml:space="preserve"> </v>
          </cell>
          <cell r="N79" t="str">
            <v>bamgt</v>
          </cell>
          <cell r="O79" t="str">
            <v>40</v>
          </cell>
          <cell r="P79" t="str">
            <v>600000A  600250   999999999601000   999999999999999999999999999999999999</v>
          </cell>
          <cell r="Q79" t="str">
            <v xml:space="preserve">none     </v>
          </cell>
          <cell r="R79" t="str">
            <v>RollFCST-Working Version</v>
          </cell>
          <cell r="S79" t="str">
            <v>RollFCST-Working Version</v>
          </cell>
          <cell r="T79" t="str">
            <v xml:space="preserve"> </v>
          </cell>
          <cell r="U79" t="str">
            <v xml:space="preserve"> </v>
          </cell>
          <cell r="V79" t="str">
            <v>601000</v>
          </cell>
          <cell r="W79" t="str">
            <v>4</v>
          </cell>
          <cell r="X79" t="str">
            <v xml:space="preserve">      Overtime Salaries                 </v>
          </cell>
          <cell r="Y79">
            <v>179.42099999999999</v>
          </cell>
          <cell r="Z79">
            <v>117.45484999999999</v>
          </cell>
          <cell r="AA79">
            <v>82.600070000000002</v>
          </cell>
          <cell r="AB79">
            <v>55.591329999999999</v>
          </cell>
          <cell r="AC79">
            <v>435.06725</v>
          </cell>
          <cell r="AD79">
            <v>65.394760000000005</v>
          </cell>
          <cell r="AE79">
            <v>73.503029999999995</v>
          </cell>
          <cell r="AF79">
            <v>68.979709999999997</v>
          </cell>
          <cell r="AG79">
            <v>75</v>
          </cell>
          <cell r="AH79">
            <v>282.8775</v>
          </cell>
          <cell r="AI79" t="str">
            <v xml:space="preserve">U.S. Dollar                   </v>
          </cell>
          <cell r="AJ79" t="str">
            <v xml:space="preserve"> </v>
          </cell>
          <cell r="AK79" t="str">
            <v xml:space="preserve"> </v>
          </cell>
          <cell r="AL79" t="str">
            <v xml:space="preserve"> </v>
          </cell>
          <cell r="AM79" t="str">
            <v xml:space="preserve"> </v>
          </cell>
          <cell r="AN79" t="str">
            <v xml:space="preserve"> </v>
          </cell>
          <cell r="AO79" t="str">
            <v xml:space="preserve"> </v>
          </cell>
          <cell r="AP79" t="str">
            <v xml:space="preserve"> </v>
          </cell>
          <cell r="AQ79" t="str">
            <v xml:space="preserve"> </v>
          </cell>
        </row>
        <row r="80">
          <cell r="A80" t="str">
            <v>FBC.......601500</v>
          </cell>
          <cell r="B80" t="str">
            <v>2003T12</v>
          </cell>
          <cell r="C80" t="str">
            <v xml:space="preserve">TREND    </v>
          </cell>
          <cell r="D80" t="str">
            <v xml:space="preserve">Trend -  QTD Average/Activity                     </v>
          </cell>
          <cell r="E80" t="str">
            <v>Run: 08/07/03 13:53:41</v>
          </cell>
          <cell r="F80" t="str">
            <v>999</v>
          </cell>
          <cell r="G80" t="str">
            <v>100</v>
          </cell>
          <cell r="H80" t="str">
            <v xml:space="preserve">Bank Of America Management Reporting              </v>
          </cell>
          <cell r="I80" t="str">
            <v>001</v>
          </cell>
          <cell r="J80" t="str">
            <v>FBC.......</v>
          </cell>
          <cell r="K80" t="str">
            <v xml:space="preserve">Global Securities Operations                      </v>
          </cell>
          <cell r="L80" t="str">
            <v xml:space="preserve"> </v>
          </cell>
          <cell r="M80" t="str">
            <v xml:space="preserve"> </v>
          </cell>
          <cell r="N80" t="str">
            <v>bamgt</v>
          </cell>
          <cell r="O80" t="str">
            <v>40</v>
          </cell>
          <cell r="P80" t="str">
            <v>600000A  600250   999999999601500   999999999999999999999999999999999999</v>
          </cell>
          <cell r="Q80" t="str">
            <v xml:space="preserve">none     </v>
          </cell>
          <cell r="R80" t="str">
            <v>RollFCST-Working Version</v>
          </cell>
          <cell r="S80" t="str">
            <v>RollFCST-Working Version</v>
          </cell>
          <cell r="T80" t="str">
            <v xml:space="preserve"> </v>
          </cell>
          <cell r="U80" t="str">
            <v xml:space="preserve"> </v>
          </cell>
          <cell r="V80" t="str">
            <v>601500</v>
          </cell>
          <cell r="W80" t="str">
            <v>4</v>
          </cell>
          <cell r="X80" t="str">
            <v xml:space="preserve">      Incentive Compensation            </v>
          </cell>
          <cell r="Y80">
            <v>0</v>
          </cell>
          <cell r="Z80">
            <v>1.00898</v>
          </cell>
          <cell r="AA80">
            <v>0</v>
          </cell>
          <cell r="AB80">
            <v>0</v>
          </cell>
          <cell r="AC80">
            <v>1.00898</v>
          </cell>
          <cell r="AD80">
            <v>1.0880000000000001</v>
          </cell>
          <cell r="AE80">
            <v>0.83299999999999996</v>
          </cell>
          <cell r="AF80">
            <v>0</v>
          </cell>
          <cell r="AG80">
            <v>0</v>
          </cell>
          <cell r="AH80">
            <v>1.921</v>
          </cell>
          <cell r="AI80" t="str">
            <v xml:space="preserve">U.S. Dollar                   </v>
          </cell>
          <cell r="AJ80" t="str">
            <v xml:space="preserve"> </v>
          </cell>
          <cell r="AK80" t="str">
            <v xml:space="preserve"> </v>
          </cell>
          <cell r="AL80" t="str">
            <v xml:space="preserve"> </v>
          </cell>
          <cell r="AM80" t="str">
            <v xml:space="preserve"> </v>
          </cell>
          <cell r="AN80" t="str">
            <v xml:space="preserve"> </v>
          </cell>
          <cell r="AO80" t="str">
            <v xml:space="preserve"> </v>
          </cell>
          <cell r="AP80" t="str">
            <v xml:space="preserve"> </v>
          </cell>
          <cell r="AQ80" t="str">
            <v xml:space="preserve"> </v>
          </cell>
        </row>
        <row r="81">
          <cell r="A81" t="str">
            <v>FBC.......602400</v>
          </cell>
          <cell r="B81" t="str">
            <v>2003T12</v>
          </cell>
          <cell r="C81" t="str">
            <v xml:space="preserve">TREND    </v>
          </cell>
          <cell r="D81" t="str">
            <v xml:space="preserve">Trend -  QTD Average/Activity                     </v>
          </cell>
          <cell r="E81" t="str">
            <v>Run: 08/07/03 13:53:41</v>
          </cell>
          <cell r="F81" t="str">
            <v>999</v>
          </cell>
          <cell r="G81" t="str">
            <v>100</v>
          </cell>
          <cell r="H81" t="str">
            <v xml:space="preserve">Bank Of America Management Reporting              </v>
          </cell>
          <cell r="I81" t="str">
            <v>001</v>
          </cell>
          <cell r="J81" t="str">
            <v>FBC.......</v>
          </cell>
          <cell r="K81" t="str">
            <v xml:space="preserve">Global Securities Operations                      </v>
          </cell>
          <cell r="L81" t="str">
            <v xml:space="preserve"> </v>
          </cell>
          <cell r="M81" t="str">
            <v xml:space="preserve"> </v>
          </cell>
          <cell r="N81" t="str">
            <v>bamgt</v>
          </cell>
          <cell r="O81" t="str">
            <v>40</v>
          </cell>
          <cell r="P81" t="str">
            <v>600000A  600250   999999999602000   602400   999999999999999999999999999</v>
          </cell>
          <cell r="Q81" t="str">
            <v xml:space="preserve">none     </v>
          </cell>
          <cell r="R81" t="str">
            <v>RollFCST-Working Version</v>
          </cell>
          <cell r="S81" t="str">
            <v>RollFCST-Working Version</v>
          </cell>
          <cell r="T81" t="str">
            <v xml:space="preserve"> </v>
          </cell>
          <cell r="U81" t="str">
            <v xml:space="preserve"> </v>
          </cell>
          <cell r="V81" t="str">
            <v>602400</v>
          </cell>
          <cell r="W81" t="str">
            <v>5</v>
          </cell>
          <cell r="X81" t="str">
            <v xml:space="preserve">        Other Employee Compensation     </v>
          </cell>
          <cell r="Y81">
            <v>10</v>
          </cell>
          <cell r="Z81">
            <v>0.10047</v>
          </cell>
          <cell r="AA81">
            <v>0.68754000000000004</v>
          </cell>
          <cell r="AB81">
            <v>2.2853300000000001</v>
          </cell>
          <cell r="AC81">
            <v>13.07334</v>
          </cell>
          <cell r="AD81">
            <v>3.6901000000000002</v>
          </cell>
          <cell r="AE81">
            <v>4.5869600000000004</v>
          </cell>
          <cell r="AF81">
            <v>1.4933399999999999</v>
          </cell>
          <cell r="AG81">
            <v>0</v>
          </cell>
          <cell r="AH81">
            <v>9.7704000000000004</v>
          </cell>
          <cell r="AI81" t="str">
            <v xml:space="preserve">U.S. Dollar                   </v>
          </cell>
          <cell r="AJ81" t="str">
            <v xml:space="preserve"> </v>
          </cell>
          <cell r="AK81" t="str">
            <v xml:space="preserve"> </v>
          </cell>
          <cell r="AL81" t="str">
            <v xml:space="preserve"> </v>
          </cell>
          <cell r="AM81" t="str">
            <v xml:space="preserve"> </v>
          </cell>
          <cell r="AN81" t="str">
            <v xml:space="preserve"> </v>
          </cell>
          <cell r="AO81" t="str">
            <v xml:space="preserve"> </v>
          </cell>
          <cell r="AP81" t="str">
            <v xml:space="preserve"> </v>
          </cell>
          <cell r="AQ81" t="str">
            <v xml:space="preserve"> </v>
          </cell>
        </row>
        <row r="82">
          <cell r="A82" t="str">
            <v>FBC.......602000</v>
          </cell>
          <cell r="B82" t="str">
            <v>2003T12</v>
          </cell>
          <cell r="C82" t="str">
            <v xml:space="preserve">TREND    </v>
          </cell>
          <cell r="D82" t="str">
            <v xml:space="preserve">Trend -  QTD Average/Activity                     </v>
          </cell>
          <cell r="E82" t="str">
            <v>Run: 08/07/03 13:53:41</v>
          </cell>
          <cell r="F82" t="str">
            <v>999</v>
          </cell>
          <cell r="G82" t="str">
            <v>100</v>
          </cell>
          <cell r="H82" t="str">
            <v xml:space="preserve">Bank Of America Management Reporting              </v>
          </cell>
          <cell r="I82" t="str">
            <v>001</v>
          </cell>
          <cell r="J82" t="str">
            <v>FBC.......</v>
          </cell>
          <cell r="K82" t="str">
            <v xml:space="preserve">Global Securities Operations                      </v>
          </cell>
          <cell r="L82" t="str">
            <v xml:space="preserve"> </v>
          </cell>
          <cell r="M82" t="str">
            <v xml:space="preserve"> </v>
          </cell>
          <cell r="N82" t="str">
            <v>bamgt</v>
          </cell>
          <cell r="O82" t="str">
            <v>40</v>
          </cell>
          <cell r="P82" t="str">
            <v>600000A  600250   999999999602000   999999999999999999999999999999999999</v>
          </cell>
          <cell r="Q82" t="str">
            <v xml:space="preserve">none     </v>
          </cell>
          <cell r="R82" t="str">
            <v>RollFCST-Working Version</v>
          </cell>
          <cell r="S82" t="str">
            <v>RollFCST-Working Version</v>
          </cell>
          <cell r="T82" t="str">
            <v xml:space="preserve"> </v>
          </cell>
          <cell r="U82" t="str">
            <v xml:space="preserve"> </v>
          </cell>
          <cell r="V82" t="str">
            <v>602000</v>
          </cell>
          <cell r="W82" t="str">
            <v>4</v>
          </cell>
          <cell r="X82" t="str">
            <v xml:space="preserve">      Contract Temporary/Other Compensat</v>
          </cell>
          <cell r="Y82">
            <v>383.54829000000001</v>
          </cell>
          <cell r="Z82">
            <v>287.68378000000001</v>
          </cell>
          <cell r="AA82">
            <v>264.88736</v>
          </cell>
          <cell r="AB82">
            <v>570.30422999999996</v>
          </cell>
          <cell r="AC82">
            <v>1506.4236599999999</v>
          </cell>
          <cell r="AD82">
            <v>381.92784999999998</v>
          </cell>
          <cell r="AE82">
            <v>502.82574</v>
          </cell>
          <cell r="AF82">
            <v>427.74367000000001</v>
          </cell>
          <cell r="AG82">
            <v>312</v>
          </cell>
          <cell r="AH82">
            <v>1624.4972600000001</v>
          </cell>
          <cell r="AI82" t="str">
            <v xml:space="preserve">U.S. Dollar                   </v>
          </cell>
          <cell r="AJ82" t="str">
            <v xml:space="preserve"> </v>
          </cell>
          <cell r="AK82" t="str">
            <v xml:space="preserve"> </v>
          </cell>
          <cell r="AL82" t="str">
            <v xml:space="preserve"> </v>
          </cell>
          <cell r="AM82" t="str">
            <v xml:space="preserve"> </v>
          </cell>
          <cell r="AN82" t="str">
            <v xml:space="preserve"> </v>
          </cell>
          <cell r="AO82" t="str">
            <v xml:space="preserve"> </v>
          </cell>
          <cell r="AP82" t="str">
            <v xml:space="preserve"> </v>
          </cell>
          <cell r="AQ82" t="str">
            <v xml:space="preserve"> </v>
          </cell>
        </row>
        <row r="83">
          <cell r="A83" t="str">
            <v>FBC.......603000</v>
          </cell>
          <cell r="B83" t="str">
            <v>2003T12</v>
          </cell>
          <cell r="C83" t="str">
            <v xml:space="preserve">TREND    </v>
          </cell>
          <cell r="D83" t="str">
            <v xml:space="preserve">Trend -  QTD Average/Activity                     </v>
          </cell>
          <cell r="E83" t="str">
            <v>Run: 08/07/03 13:53:41</v>
          </cell>
          <cell r="F83" t="str">
            <v>999</v>
          </cell>
          <cell r="G83" t="str">
            <v>100</v>
          </cell>
          <cell r="H83" t="str">
            <v xml:space="preserve">Bank Of America Management Reporting              </v>
          </cell>
          <cell r="I83" t="str">
            <v>001</v>
          </cell>
          <cell r="J83" t="str">
            <v>FBC.......</v>
          </cell>
          <cell r="K83" t="str">
            <v xml:space="preserve">Global Securities Operations                      </v>
          </cell>
          <cell r="L83" t="str">
            <v xml:space="preserve"> </v>
          </cell>
          <cell r="M83" t="str">
            <v xml:space="preserve"> </v>
          </cell>
          <cell r="N83" t="str">
            <v>bamgt</v>
          </cell>
          <cell r="O83" t="str">
            <v>40</v>
          </cell>
          <cell r="P83" t="str">
            <v>600000A  600250   999999999603000   999999999999999999999999999999999999</v>
          </cell>
          <cell r="Q83" t="str">
            <v xml:space="preserve">none     </v>
          </cell>
          <cell r="R83" t="str">
            <v>RollFCST-Working Version</v>
          </cell>
          <cell r="S83" t="str">
            <v>RollFCST-Working Version</v>
          </cell>
          <cell r="T83" t="str">
            <v xml:space="preserve"> </v>
          </cell>
          <cell r="U83" t="str">
            <v xml:space="preserve"> </v>
          </cell>
          <cell r="V83" t="str">
            <v>603000</v>
          </cell>
          <cell r="W83" t="str">
            <v>4</v>
          </cell>
          <cell r="X83" t="str">
            <v xml:space="preserve">      Employee Benefits                 </v>
          </cell>
          <cell r="Y83">
            <v>1906.8286700000001</v>
          </cell>
          <cell r="Z83">
            <v>2235.3946799999999</v>
          </cell>
          <cell r="AA83">
            <v>2073.1210299999998</v>
          </cell>
          <cell r="AB83">
            <v>2164.5779000000002</v>
          </cell>
          <cell r="AC83">
            <v>8379.9222800000007</v>
          </cell>
          <cell r="AD83">
            <v>2295.3432499999999</v>
          </cell>
          <cell r="AE83">
            <v>2281.9861299999998</v>
          </cell>
          <cell r="AF83">
            <v>2263.3751200000002</v>
          </cell>
          <cell r="AG83">
            <v>2274.5500000000002</v>
          </cell>
          <cell r="AH83">
            <v>9115.2544999999991</v>
          </cell>
          <cell r="AI83" t="str">
            <v xml:space="preserve">U.S. Dollar                   </v>
          </cell>
          <cell r="AJ83" t="str">
            <v xml:space="preserve"> </v>
          </cell>
          <cell r="AK83" t="str">
            <v xml:space="preserve"> </v>
          </cell>
          <cell r="AL83" t="str">
            <v xml:space="preserve"> </v>
          </cell>
          <cell r="AM83" t="str">
            <v xml:space="preserve"> </v>
          </cell>
          <cell r="AN83" t="str">
            <v xml:space="preserve"> </v>
          </cell>
          <cell r="AO83" t="str">
            <v xml:space="preserve"> </v>
          </cell>
          <cell r="AP83" t="str">
            <v xml:space="preserve"> </v>
          </cell>
          <cell r="AQ83" t="str">
            <v xml:space="preserve"> </v>
          </cell>
        </row>
        <row r="84">
          <cell r="A84" t="str">
            <v>FBC.......600250</v>
          </cell>
          <cell r="B84" t="str">
            <v>2003T12</v>
          </cell>
          <cell r="C84" t="str">
            <v xml:space="preserve">TREND    </v>
          </cell>
          <cell r="D84" t="str">
            <v xml:space="preserve">Trend -  QTD Average/Activity                     </v>
          </cell>
          <cell r="E84" t="str">
            <v>Run: 08/07/03 13:53:41</v>
          </cell>
          <cell r="F84" t="str">
            <v>999</v>
          </cell>
          <cell r="G84" t="str">
            <v>100</v>
          </cell>
          <cell r="H84" t="str">
            <v xml:space="preserve">Bank Of America Management Reporting              </v>
          </cell>
          <cell r="I84" t="str">
            <v>001</v>
          </cell>
          <cell r="J84" t="str">
            <v>FBC.......</v>
          </cell>
          <cell r="K84" t="str">
            <v xml:space="preserve">Global Securities Operations                      </v>
          </cell>
          <cell r="L84" t="str">
            <v xml:space="preserve"> </v>
          </cell>
          <cell r="M84" t="str">
            <v xml:space="preserve"> </v>
          </cell>
          <cell r="N84" t="str">
            <v>bamgt</v>
          </cell>
          <cell r="O84" t="str">
            <v>40</v>
          </cell>
          <cell r="P84" t="str">
            <v>600000A  600250   999999999999999999999999999999999999999999999999999999</v>
          </cell>
          <cell r="Q84" t="str">
            <v xml:space="preserve">none     </v>
          </cell>
          <cell r="R84" t="str">
            <v>RollFCST-Working Version</v>
          </cell>
          <cell r="S84" t="str">
            <v>RollFCST-Working Version</v>
          </cell>
          <cell r="T84" t="str">
            <v xml:space="preserve"> </v>
          </cell>
          <cell r="U84" t="str">
            <v xml:space="preserve"> </v>
          </cell>
          <cell r="V84" t="str">
            <v>600250</v>
          </cell>
          <cell r="W84" t="str">
            <v>2</v>
          </cell>
          <cell r="X84" t="str">
            <v xml:space="preserve">  Personnel                             </v>
          </cell>
          <cell r="Y84">
            <v>11308.269749999999</v>
          </cell>
          <cell r="Z84">
            <v>11118.751329999999</v>
          </cell>
          <cell r="AA84">
            <v>11142.971820000001</v>
          </cell>
          <cell r="AB84">
            <v>11675.297769999999</v>
          </cell>
          <cell r="AC84">
            <v>45245.290670000002</v>
          </cell>
          <cell r="AD84">
            <v>11931.31538</v>
          </cell>
          <cell r="AE84">
            <v>11528.417589999999</v>
          </cell>
          <cell r="AF84">
            <v>11869.982400000001</v>
          </cell>
          <cell r="AG84">
            <v>11849.55</v>
          </cell>
          <cell r="AH84">
            <v>47179.265370000001</v>
          </cell>
          <cell r="AI84" t="str">
            <v xml:space="preserve">U.S. Dollar                   </v>
          </cell>
          <cell r="AJ84" t="str">
            <v xml:space="preserve"> </v>
          </cell>
          <cell r="AK84" t="str">
            <v xml:space="preserve"> </v>
          </cell>
          <cell r="AL84" t="str">
            <v xml:space="preserve"> </v>
          </cell>
          <cell r="AM84" t="str">
            <v xml:space="preserve"> </v>
          </cell>
          <cell r="AN84" t="str">
            <v xml:space="preserve"> </v>
          </cell>
          <cell r="AO84" t="str">
            <v xml:space="preserve"> </v>
          </cell>
          <cell r="AP84" t="str">
            <v xml:space="preserve"> </v>
          </cell>
          <cell r="AQ84" t="str">
            <v xml:space="preserve"> </v>
          </cell>
        </row>
        <row r="85">
          <cell r="A85" t="str">
            <v>FBC.......610000</v>
          </cell>
          <cell r="B85" t="str">
            <v>2003T12</v>
          </cell>
          <cell r="C85" t="str">
            <v xml:space="preserve">TREND    </v>
          </cell>
          <cell r="D85" t="str">
            <v xml:space="preserve">Trend -  QTD Average/Activity                     </v>
          </cell>
          <cell r="E85" t="str">
            <v>Run: 08/07/03 13:53:41</v>
          </cell>
          <cell r="F85" t="str">
            <v>999</v>
          </cell>
          <cell r="G85" t="str">
            <v>100</v>
          </cell>
          <cell r="H85" t="str">
            <v xml:space="preserve">Bank Of America Management Reporting              </v>
          </cell>
          <cell r="I85" t="str">
            <v>001</v>
          </cell>
          <cell r="J85" t="str">
            <v>FBC.......</v>
          </cell>
          <cell r="K85" t="str">
            <v xml:space="preserve">Global Securities Operations                      </v>
          </cell>
          <cell r="L85" t="str">
            <v xml:space="preserve"> </v>
          </cell>
          <cell r="M85" t="str">
            <v xml:space="preserve"> </v>
          </cell>
          <cell r="N85" t="str">
            <v>bamgt</v>
          </cell>
          <cell r="O85" t="str">
            <v>40</v>
          </cell>
          <cell r="P85" t="str">
            <v>600000A  610000   999999999999999999999999999999999999999999999999999999</v>
          </cell>
          <cell r="Q85" t="str">
            <v xml:space="preserve">none     </v>
          </cell>
          <cell r="R85" t="str">
            <v>RollFCST-Working Version</v>
          </cell>
          <cell r="S85" t="str">
            <v>RollFCST-Working Version</v>
          </cell>
          <cell r="T85" t="str">
            <v xml:space="preserve"> </v>
          </cell>
          <cell r="U85" t="str">
            <v xml:space="preserve"> </v>
          </cell>
          <cell r="V85" t="str">
            <v>610000</v>
          </cell>
          <cell r="W85" t="str">
            <v>2</v>
          </cell>
          <cell r="X85" t="str">
            <v xml:space="preserve">  Net Occupancy Expense                 </v>
          </cell>
          <cell r="Y85">
            <v>1471.50298</v>
          </cell>
          <cell r="Z85">
            <v>1225.72786</v>
          </cell>
          <cell r="AA85">
            <v>1284.8539900000001</v>
          </cell>
          <cell r="AB85">
            <v>1693.40272</v>
          </cell>
          <cell r="AC85">
            <v>5675.4875499999998</v>
          </cell>
          <cell r="AD85">
            <v>1760.0533</v>
          </cell>
          <cell r="AE85">
            <v>1821.5235700000001</v>
          </cell>
          <cell r="AF85">
            <v>1685.0944300000001</v>
          </cell>
          <cell r="AG85">
            <v>1929.22</v>
          </cell>
          <cell r="AH85">
            <v>7195.8913000000002</v>
          </cell>
          <cell r="AI85" t="str">
            <v xml:space="preserve">U.S. Dollar                   </v>
          </cell>
          <cell r="AJ85" t="str">
            <v xml:space="preserve"> </v>
          </cell>
          <cell r="AK85" t="str">
            <v xml:space="preserve"> </v>
          </cell>
          <cell r="AL85" t="str">
            <v xml:space="preserve"> </v>
          </cell>
          <cell r="AM85" t="str">
            <v xml:space="preserve"> </v>
          </cell>
          <cell r="AN85" t="str">
            <v xml:space="preserve"> </v>
          </cell>
          <cell r="AO85" t="str">
            <v xml:space="preserve"> </v>
          </cell>
          <cell r="AP85" t="str">
            <v xml:space="preserve"> </v>
          </cell>
          <cell r="AQ85" t="str">
            <v xml:space="preserve"> </v>
          </cell>
        </row>
        <row r="86">
          <cell r="A86" t="str">
            <v>FBC.......620000</v>
          </cell>
          <cell r="B86" t="str">
            <v>2003T12</v>
          </cell>
          <cell r="C86" t="str">
            <v xml:space="preserve">TREND    </v>
          </cell>
          <cell r="D86" t="str">
            <v xml:space="preserve">Trend -  QTD Average/Activity                     </v>
          </cell>
          <cell r="E86" t="str">
            <v>Run: 08/07/03 13:53:41</v>
          </cell>
          <cell r="F86" t="str">
            <v>999</v>
          </cell>
          <cell r="G86" t="str">
            <v>100</v>
          </cell>
          <cell r="H86" t="str">
            <v xml:space="preserve">Bank Of America Management Reporting              </v>
          </cell>
          <cell r="I86" t="str">
            <v>001</v>
          </cell>
          <cell r="J86" t="str">
            <v>FBC.......</v>
          </cell>
          <cell r="K86" t="str">
            <v xml:space="preserve">Global Securities Operations                      </v>
          </cell>
          <cell r="L86" t="str">
            <v xml:space="preserve"> </v>
          </cell>
          <cell r="M86" t="str">
            <v xml:space="preserve"> </v>
          </cell>
          <cell r="N86" t="str">
            <v>bamgt</v>
          </cell>
          <cell r="O86" t="str">
            <v>40</v>
          </cell>
          <cell r="P86" t="str">
            <v>600000A  620000   999999999999999999999999999999999999999999999999999999</v>
          </cell>
          <cell r="Q86" t="str">
            <v xml:space="preserve">none     </v>
          </cell>
          <cell r="R86" t="str">
            <v>RollFCST-Working Version</v>
          </cell>
          <cell r="S86" t="str">
            <v>RollFCST-Working Version</v>
          </cell>
          <cell r="T86" t="str">
            <v xml:space="preserve"> </v>
          </cell>
          <cell r="U86" t="str">
            <v xml:space="preserve"> </v>
          </cell>
          <cell r="V86" t="str">
            <v>620000</v>
          </cell>
          <cell r="W86" t="str">
            <v>2</v>
          </cell>
          <cell r="X86" t="str">
            <v xml:space="preserve">  Furniture &amp; Equipment                 </v>
          </cell>
          <cell r="Y86">
            <v>464.73214000000002</v>
          </cell>
          <cell r="Z86">
            <v>610.63418000000001</v>
          </cell>
          <cell r="AA86">
            <v>478.43772000000001</v>
          </cell>
          <cell r="AB86">
            <v>305.11863</v>
          </cell>
          <cell r="AC86">
            <v>1858.9226699999999</v>
          </cell>
          <cell r="AD86">
            <v>385.66939000000002</v>
          </cell>
          <cell r="AE86">
            <v>226.28353000000001</v>
          </cell>
          <cell r="AF86">
            <v>569.28323</v>
          </cell>
          <cell r="AG86">
            <v>387.59</v>
          </cell>
          <cell r="AH86">
            <v>1568.8261500000001</v>
          </cell>
          <cell r="AI86" t="str">
            <v xml:space="preserve">U.S. Dollar                   </v>
          </cell>
          <cell r="AJ86" t="str">
            <v xml:space="preserve"> </v>
          </cell>
          <cell r="AK86" t="str">
            <v xml:space="preserve"> </v>
          </cell>
          <cell r="AL86" t="str">
            <v xml:space="preserve"> </v>
          </cell>
          <cell r="AM86" t="str">
            <v xml:space="preserve"> </v>
          </cell>
          <cell r="AN86" t="str">
            <v xml:space="preserve"> </v>
          </cell>
          <cell r="AO86" t="str">
            <v xml:space="preserve"> </v>
          </cell>
          <cell r="AP86" t="str">
            <v xml:space="preserve"> </v>
          </cell>
          <cell r="AQ86" t="str">
            <v xml:space="preserve"> </v>
          </cell>
        </row>
        <row r="87">
          <cell r="A87" t="str">
            <v>FBC.......623000</v>
          </cell>
          <cell r="B87" t="str">
            <v>2003T12</v>
          </cell>
          <cell r="C87" t="str">
            <v xml:space="preserve">TREND    </v>
          </cell>
          <cell r="D87" t="str">
            <v xml:space="preserve">Trend -  QTD Average/Activity                     </v>
          </cell>
          <cell r="E87" t="str">
            <v>Run: 08/07/03 13:53:41</v>
          </cell>
          <cell r="F87" t="str">
            <v>999</v>
          </cell>
          <cell r="G87" t="str">
            <v>100</v>
          </cell>
          <cell r="H87" t="str">
            <v xml:space="preserve">Bank Of America Management Reporting              </v>
          </cell>
          <cell r="I87" t="str">
            <v>001</v>
          </cell>
          <cell r="J87" t="str">
            <v>FBC.......</v>
          </cell>
          <cell r="K87" t="str">
            <v xml:space="preserve">Global Securities Operations                      </v>
          </cell>
          <cell r="L87" t="str">
            <v xml:space="preserve"> </v>
          </cell>
          <cell r="M87" t="str">
            <v xml:space="preserve"> </v>
          </cell>
          <cell r="N87" t="str">
            <v>bamgt</v>
          </cell>
          <cell r="O87" t="str">
            <v>40</v>
          </cell>
          <cell r="P87" t="str">
            <v>600000A  623000   999999999999999999999999999999999999999999999999999999</v>
          </cell>
          <cell r="Q87" t="str">
            <v xml:space="preserve">none     </v>
          </cell>
          <cell r="R87" t="str">
            <v>RollFCST-Working Version</v>
          </cell>
          <cell r="S87" t="str">
            <v>RollFCST-Working Version</v>
          </cell>
          <cell r="T87" t="str">
            <v xml:space="preserve"> </v>
          </cell>
          <cell r="U87" t="str">
            <v xml:space="preserve"> </v>
          </cell>
          <cell r="V87" t="str">
            <v>623000</v>
          </cell>
          <cell r="W87" t="str">
            <v>2</v>
          </cell>
          <cell r="X87" t="str">
            <v xml:space="preserve">  Marketing &amp; Promotional               </v>
          </cell>
          <cell r="Y87">
            <v>6.3389899999999999</v>
          </cell>
          <cell r="Z87">
            <v>18.128270000000001</v>
          </cell>
          <cell r="AA87">
            <v>2.1863299999999999</v>
          </cell>
          <cell r="AB87">
            <v>25.846699999999998</v>
          </cell>
          <cell r="AC87">
            <v>52.50029</v>
          </cell>
          <cell r="AD87">
            <v>11.96096</v>
          </cell>
          <cell r="AE87">
            <v>11.55589</v>
          </cell>
          <cell r="AF87">
            <v>3.5855000000000001</v>
          </cell>
          <cell r="AG87">
            <v>2</v>
          </cell>
          <cell r="AH87">
            <v>29.102350000000001</v>
          </cell>
          <cell r="AI87" t="str">
            <v xml:space="preserve">U.S. Dollar                   </v>
          </cell>
          <cell r="AJ87" t="str">
            <v xml:space="preserve"> </v>
          </cell>
          <cell r="AK87" t="str">
            <v xml:space="preserve"> </v>
          </cell>
          <cell r="AL87" t="str">
            <v xml:space="preserve"> </v>
          </cell>
          <cell r="AM87" t="str">
            <v xml:space="preserve"> </v>
          </cell>
          <cell r="AN87" t="str">
            <v xml:space="preserve"> </v>
          </cell>
          <cell r="AO87" t="str">
            <v xml:space="preserve"> </v>
          </cell>
          <cell r="AP87" t="str">
            <v xml:space="preserve"> </v>
          </cell>
          <cell r="AQ87" t="str">
            <v xml:space="preserve"> </v>
          </cell>
        </row>
        <row r="88">
          <cell r="A88" t="str">
            <v>FBC.......630000</v>
          </cell>
          <cell r="B88" t="str">
            <v>2003T12</v>
          </cell>
          <cell r="C88" t="str">
            <v xml:space="preserve">TREND    </v>
          </cell>
          <cell r="D88" t="str">
            <v xml:space="preserve">Trend -  QTD Average/Activity                     </v>
          </cell>
          <cell r="E88" t="str">
            <v>Run: 08/07/03 13:53:41</v>
          </cell>
          <cell r="F88" t="str">
            <v>999</v>
          </cell>
          <cell r="G88" t="str">
            <v>100</v>
          </cell>
          <cell r="H88" t="str">
            <v xml:space="preserve">Bank Of America Management Reporting              </v>
          </cell>
          <cell r="I88" t="str">
            <v>001</v>
          </cell>
          <cell r="J88" t="str">
            <v>FBC.......</v>
          </cell>
          <cell r="K88" t="str">
            <v xml:space="preserve">Global Securities Operations                      </v>
          </cell>
          <cell r="L88" t="str">
            <v xml:space="preserve"> </v>
          </cell>
          <cell r="M88" t="str">
            <v xml:space="preserve"> </v>
          </cell>
          <cell r="N88" t="str">
            <v>bamgt</v>
          </cell>
          <cell r="O88" t="str">
            <v>40</v>
          </cell>
          <cell r="P88" t="str">
            <v>600000A  630000   999999999999999999999999999999999999999999999999999999</v>
          </cell>
          <cell r="Q88" t="str">
            <v xml:space="preserve">none     </v>
          </cell>
          <cell r="R88" t="str">
            <v>RollFCST-Working Version</v>
          </cell>
          <cell r="S88" t="str">
            <v>RollFCST-Working Version</v>
          </cell>
          <cell r="T88" t="str">
            <v xml:space="preserve"> </v>
          </cell>
          <cell r="U88" t="str">
            <v xml:space="preserve"> </v>
          </cell>
          <cell r="V88" t="str">
            <v>630000</v>
          </cell>
          <cell r="W88" t="str">
            <v>2</v>
          </cell>
          <cell r="X88" t="str">
            <v xml:space="preserve">  Professional Fees                     </v>
          </cell>
          <cell r="Y88">
            <v>109.48521</v>
          </cell>
          <cell r="Z88">
            <v>103.815</v>
          </cell>
          <cell r="AA88">
            <v>152.86533</v>
          </cell>
          <cell r="AB88">
            <v>39.729399999999998</v>
          </cell>
          <cell r="AC88">
            <v>405.89494000000002</v>
          </cell>
          <cell r="AD88">
            <v>64.783720000000002</v>
          </cell>
          <cell r="AE88">
            <v>-8.2228899999999996</v>
          </cell>
          <cell r="AF88">
            <v>23.947399999999998</v>
          </cell>
          <cell r="AG88">
            <v>21</v>
          </cell>
          <cell r="AH88">
            <v>101.50823</v>
          </cell>
          <cell r="AI88" t="str">
            <v xml:space="preserve">U.S. Dollar                   </v>
          </cell>
          <cell r="AJ88" t="str">
            <v xml:space="preserve"> </v>
          </cell>
          <cell r="AK88" t="str">
            <v xml:space="preserve"> </v>
          </cell>
          <cell r="AL88" t="str">
            <v xml:space="preserve"> </v>
          </cell>
          <cell r="AM88" t="str">
            <v xml:space="preserve"> </v>
          </cell>
          <cell r="AN88" t="str">
            <v xml:space="preserve"> </v>
          </cell>
          <cell r="AO88" t="str">
            <v xml:space="preserve"> </v>
          </cell>
          <cell r="AP88" t="str">
            <v xml:space="preserve"> </v>
          </cell>
          <cell r="AQ88" t="str">
            <v xml:space="preserve"> </v>
          </cell>
        </row>
        <row r="89">
          <cell r="A89" t="str">
            <v>FBC.......651500A</v>
          </cell>
          <cell r="B89" t="str">
            <v>2003T12</v>
          </cell>
          <cell r="C89" t="str">
            <v xml:space="preserve">TREND    </v>
          </cell>
          <cell r="D89" t="str">
            <v xml:space="preserve">Trend -  QTD Average/Activity                     </v>
          </cell>
          <cell r="E89" t="str">
            <v>Run: 08/07/03 13:53:41</v>
          </cell>
          <cell r="F89" t="str">
            <v>999</v>
          </cell>
          <cell r="G89" t="str">
            <v>100</v>
          </cell>
          <cell r="H89" t="str">
            <v xml:space="preserve">Bank Of America Management Reporting              </v>
          </cell>
          <cell r="I89" t="str">
            <v>001</v>
          </cell>
          <cell r="J89" t="str">
            <v>FBC.......</v>
          </cell>
          <cell r="K89" t="str">
            <v xml:space="preserve">Global Securities Operations                      </v>
          </cell>
          <cell r="L89" t="str">
            <v xml:space="preserve"> </v>
          </cell>
          <cell r="M89" t="str">
            <v xml:space="preserve"> </v>
          </cell>
          <cell r="N89" t="str">
            <v>bamgt</v>
          </cell>
          <cell r="O89" t="str">
            <v>40</v>
          </cell>
          <cell r="P89" t="str">
            <v>600000A  651500A  999999999999999999999999999999999999999999999999999999</v>
          </cell>
          <cell r="Q89" t="str">
            <v xml:space="preserve">none     </v>
          </cell>
          <cell r="R89" t="str">
            <v>RollFCST-Working Version</v>
          </cell>
          <cell r="S89" t="str">
            <v>RollFCST-Working Version</v>
          </cell>
          <cell r="T89" t="str">
            <v xml:space="preserve"> </v>
          </cell>
          <cell r="U89" t="str">
            <v xml:space="preserve"> </v>
          </cell>
          <cell r="V89" t="str">
            <v>651500A</v>
          </cell>
          <cell r="W89" t="str">
            <v>2</v>
          </cell>
          <cell r="X89" t="str">
            <v xml:space="preserve">  Direct Processing Expense             </v>
          </cell>
          <cell r="Y89">
            <v>8026.2939200000001</v>
          </cell>
          <cell r="Z89">
            <v>7126.77754</v>
          </cell>
          <cell r="AA89">
            <v>10848.04903</v>
          </cell>
          <cell r="AB89">
            <v>11336.70537</v>
          </cell>
          <cell r="AC89">
            <v>37337.825859999997</v>
          </cell>
          <cell r="AD89">
            <v>9223.1967700000005</v>
          </cell>
          <cell r="AE89">
            <v>9777.7312700000002</v>
          </cell>
          <cell r="AF89">
            <v>9065.8588400000008</v>
          </cell>
          <cell r="AG89">
            <v>9336.16</v>
          </cell>
          <cell r="AH89">
            <v>37402.946880000003</v>
          </cell>
          <cell r="AI89" t="str">
            <v xml:space="preserve">U.S. Dollar                   </v>
          </cell>
          <cell r="AJ89" t="str">
            <v xml:space="preserve"> </v>
          </cell>
          <cell r="AK89" t="str">
            <v xml:space="preserve"> </v>
          </cell>
          <cell r="AL89" t="str">
            <v xml:space="preserve"> </v>
          </cell>
          <cell r="AM89" t="str">
            <v xml:space="preserve"> </v>
          </cell>
          <cell r="AN89" t="str">
            <v xml:space="preserve"> </v>
          </cell>
          <cell r="AO89" t="str">
            <v xml:space="preserve"> </v>
          </cell>
          <cell r="AP89" t="str">
            <v xml:space="preserve"> </v>
          </cell>
          <cell r="AQ89" t="str">
            <v xml:space="preserve"> </v>
          </cell>
        </row>
        <row r="90">
          <cell r="A90" t="str">
            <v>FBC.......660000A</v>
          </cell>
          <cell r="B90" t="str">
            <v>2003T12</v>
          </cell>
          <cell r="C90" t="str">
            <v xml:space="preserve">TREND    </v>
          </cell>
          <cell r="D90" t="str">
            <v xml:space="preserve">Trend -  QTD Average/Activity                     </v>
          </cell>
          <cell r="E90" t="str">
            <v>Run: 08/07/03 13:53:41</v>
          </cell>
          <cell r="F90" t="str">
            <v>999</v>
          </cell>
          <cell r="G90" t="str">
            <v>100</v>
          </cell>
          <cell r="H90" t="str">
            <v xml:space="preserve">Bank Of America Management Reporting              </v>
          </cell>
          <cell r="I90" t="str">
            <v>001</v>
          </cell>
          <cell r="J90" t="str">
            <v>FBC.......</v>
          </cell>
          <cell r="K90" t="str">
            <v xml:space="preserve">Global Securities Operations                      </v>
          </cell>
          <cell r="L90" t="str">
            <v xml:space="preserve"> </v>
          </cell>
          <cell r="M90" t="str">
            <v xml:space="preserve"> </v>
          </cell>
          <cell r="N90" t="str">
            <v>bamgt</v>
          </cell>
          <cell r="O90" t="str">
            <v>40</v>
          </cell>
          <cell r="P90" t="str">
            <v>600000A  660000A  999999999999999999999999999999999999999999999999999999</v>
          </cell>
          <cell r="Q90" t="str">
            <v xml:space="preserve">none     </v>
          </cell>
          <cell r="R90" t="str">
            <v>RollFCST-Working Version</v>
          </cell>
          <cell r="S90" t="str">
            <v>RollFCST-Working Version</v>
          </cell>
          <cell r="T90" t="str">
            <v xml:space="preserve"> </v>
          </cell>
          <cell r="U90" t="str">
            <v xml:space="preserve"> </v>
          </cell>
          <cell r="V90" t="str">
            <v>660000A</v>
          </cell>
          <cell r="W90" t="str">
            <v>2</v>
          </cell>
          <cell r="X90" t="str">
            <v xml:space="preserve">  Telecommunications                    </v>
          </cell>
          <cell r="Y90">
            <v>398.85518999999999</v>
          </cell>
          <cell r="Z90">
            <v>526.11681999999996</v>
          </cell>
          <cell r="AA90">
            <v>538.58739000000003</v>
          </cell>
          <cell r="AB90">
            <v>551.65011000000004</v>
          </cell>
          <cell r="AC90">
            <v>2015.2095099999999</v>
          </cell>
          <cell r="AD90">
            <v>384.59987000000001</v>
          </cell>
          <cell r="AE90">
            <v>398.55479000000003</v>
          </cell>
          <cell r="AF90">
            <v>462.30995999999999</v>
          </cell>
          <cell r="AG90">
            <v>436.37</v>
          </cell>
          <cell r="AH90">
            <v>1681.8346200000001</v>
          </cell>
          <cell r="AI90" t="str">
            <v xml:space="preserve">U.S. Dollar                   </v>
          </cell>
          <cell r="AJ90" t="str">
            <v xml:space="preserve"> </v>
          </cell>
          <cell r="AK90" t="str">
            <v xml:space="preserve"> </v>
          </cell>
          <cell r="AL90" t="str">
            <v xml:space="preserve"> </v>
          </cell>
          <cell r="AM90" t="str">
            <v xml:space="preserve"> </v>
          </cell>
          <cell r="AN90" t="str">
            <v xml:space="preserve"> </v>
          </cell>
          <cell r="AO90" t="str">
            <v xml:space="preserve"> </v>
          </cell>
          <cell r="AP90" t="str">
            <v xml:space="preserve"> </v>
          </cell>
          <cell r="AQ90" t="str">
            <v xml:space="preserve"> </v>
          </cell>
        </row>
        <row r="91">
          <cell r="A91" t="str">
            <v>FBC.......663000</v>
          </cell>
          <cell r="B91" t="str">
            <v>2003T12</v>
          </cell>
          <cell r="C91" t="str">
            <v xml:space="preserve">TREND    </v>
          </cell>
          <cell r="D91" t="str">
            <v xml:space="preserve">Trend -  QTD Average/Activity                     </v>
          </cell>
          <cell r="E91" t="str">
            <v>Run: 08/07/03 13:53:41</v>
          </cell>
          <cell r="F91" t="str">
            <v>999</v>
          </cell>
          <cell r="G91" t="str">
            <v>100</v>
          </cell>
          <cell r="H91" t="str">
            <v xml:space="preserve">Bank Of America Management Reporting              </v>
          </cell>
          <cell r="I91" t="str">
            <v>001</v>
          </cell>
          <cell r="J91" t="str">
            <v>FBC.......</v>
          </cell>
          <cell r="K91" t="str">
            <v xml:space="preserve">Global Securities Operations                      </v>
          </cell>
          <cell r="L91" t="str">
            <v xml:space="preserve"> </v>
          </cell>
          <cell r="M91" t="str">
            <v xml:space="preserve"> </v>
          </cell>
          <cell r="N91" t="str">
            <v>bamgt</v>
          </cell>
          <cell r="O91" t="str">
            <v>40</v>
          </cell>
          <cell r="P91" t="str">
            <v>600000A  662999B  662999C  663000   999999999999999999999999999999999999</v>
          </cell>
          <cell r="Q91" t="str">
            <v xml:space="preserve">none     </v>
          </cell>
          <cell r="R91" t="str">
            <v>RollFCST-Working Version</v>
          </cell>
          <cell r="S91" t="str">
            <v>RollFCST-Working Version</v>
          </cell>
          <cell r="T91" t="str">
            <v xml:space="preserve"> </v>
          </cell>
          <cell r="U91" t="str">
            <v xml:space="preserve"> </v>
          </cell>
          <cell r="V91" t="str">
            <v>663000</v>
          </cell>
          <cell r="W91" t="str">
            <v>4</v>
          </cell>
          <cell r="X91" t="str">
            <v xml:space="preserve">      Supplies                          </v>
          </cell>
          <cell r="Y91">
            <v>582.01469999999995</v>
          </cell>
          <cell r="Z91">
            <v>678.28135999999995</v>
          </cell>
          <cell r="AA91">
            <v>988.58184000000006</v>
          </cell>
          <cell r="AB91">
            <v>1410.7005200000001</v>
          </cell>
          <cell r="AC91">
            <v>3659.5784199999998</v>
          </cell>
          <cell r="AD91">
            <v>882.97713999999996</v>
          </cell>
          <cell r="AE91">
            <v>934.31322999999998</v>
          </cell>
          <cell r="AF91">
            <v>1269.31971</v>
          </cell>
          <cell r="AG91">
            <v>788</v>
          </cell>
          <cell r="AH91">
            <v>3874.6100799999999</v>
          </cell>
          <cell r="AI91" t="str">
            <v xml:space="preserve">U.S. Dollar                   </v>
          </cell>
          <cell r="AJ91" t="str">
            <v xml:space="preserve"> </v>
          </cell>
          <cell r="AK91" t="str">
            <v xml:space="preserve"> </v>
          </cell>
          <cell r="AL91" t="str">
            <v xml:space="preserve"> </v>
          </cell>
          <cell r="AM91" t="str">
            <v xml:space="preserve"> </v>
          </cell>
          <cell r="AN91" t="str">
            <v xml:space="preserve"> </v>
          </cell>
          <cell r="AO91" t="str">
            <v xml:space="preserve"> </v>
          </cell>
          <cell r="AP91" t="str">
            <v xml:space="preserve"> </v>
          </cell>
          <cell r="AQ91" t="str">
            <v xml:space="preserve"> </v>
          </cell>
        </row>
        <row r="92">
          <cell r="A92" t="str">
            <v>FBC.......664500</v>
          </cell>
          <cell r="B92" t="str">
            <v>2003T12</v>
          </cell>
          <cell r="C92" t="str">
            <v xml:space="preserve">TREND    </v>
          </cell>
          <cell r="D92" t="str">
            <v xml:space="preserve">Trend -  QTD Average/Activity                     </v>
          </cell>
          <cell r="E92" t="str">
            <v>Run: 08/07/03 13:53:41</v>
          </cell>
          <cell r="F92" t="str">
            <v>999</v>
          </cell>
          <cell r="G92" t="str">
            <v>100</v>
          </cell>
          <cell r="H92" t="str">
            <v xml:space="preserve">Bank Of America Management Reporting              </v>
          </cell>
          <cell r="I92" t="str">
            <v>001</v>
          </cell>
          <cell r="J92" t="str">
            <v>FBC.......</v>
          </cell>
          <cell r="K92" t="str">
            <v xml:space="preserve">Global Securities Operations                      </v>
          </cell>
          <cell r="L92" t="str">
            <v xml:space="preserve"> </v>
          </cell>
          <cell r="M92" t="str">
            <v xml:space="preserve"> </v>
          </cell>
          <cell r="N92" t="str">
            <v>bamgt</v>
          </cell>
          <cell r="O92" t="str">
            <v>40</v>
          </cell>
          <cell r="P92" t="str">
            <v>600000A  662999B  662999C  664500   999999999999999999999999999999999999</v>
          </cell>
          <cell r="Q92" t="str">
            <v xml:space="preserve">none     </v>
          </cell>
          <cell r="R92" t="str">
            <v>RollFCST-Working Version</v>
          </cell>
          <cell r="S92" t="str">
            <v>RollFCST-Working Version</v>
          </cell>
          <cell r="T92" t="str">
            <v xml:space="preserve"> </v>
          </cell>
          <cell r="U92" t="str">
            <v xml:space="preserve"> </v>
          </cell>
          <cell r="V92" t="str">
            <v>664500</v>
          </cell>
          <cell r="W92" t="str">
            <v>4</v>
          </cell>
          <cell r="X92" t="str">
            <v xml:space="preserve">      Postage And Courier               </v>
          </cell>
          <cell r="Y92">
            <v>614.18286999999998</v>
          </cell>
          <cell r="Z92">
            <v>360.50751000000002</v>
          </cell>
          <cell r="AA92">
            <v>286.89476000000002</v>
          </cell>
          <cell r="AB92">
            <v>375.37939</v>
          </cell>
          <cell r="AC92">
            <v>1636.96453</v>
          </cell>
          <cell r="AD92">
            <v>224.63175000000001</v>
          </cell>
          <cell r="AE92">
            <v>258.93761000000001</v>
          </cell>
          <cell r="AF92">
            <v>249.13101</v>
          </cell>
          <cell r="AG92">
            <v>253.5</v>
          </cell>
          <cell r="AH92">
            <v>986.20037000000002</v>
          </cell>
          <cell r="AI92" t="str">
            <v xml:space="preserve">U.S. Dollar                   </v>
          </cell>
          <cell r="AJ92" t="str">
            <v xml:space="preserve"> </v>
          </cell>
          <cell r="AK92" t="str">
            <v xml:space="preserve"> </v>
          </cell>
          <cell r="AL92" t="str">
            <v xml:space="preserve"> </v>
          </cell>
          <cell r="AM92" t="str">
            <v xml:space="preserve"> </v>
          </cell>
          <cell r="AN92" t="str">
            <v xml:space="preserve"> </v>
          </cell>
          <cell r="AO92" t="str">
            <v xml:space="preserve"> </v>
          </cell>
          <cell r="AP92" t="str">
            <v xml:space="preserve"> </v>
          </cell>
          <cell r="AQ92" t="str">
            <v xml:space="preserve"> </v>
          </cell>
        </row>
        <row r="93">
          <cell r="A93" t="str">
            <v>FBC.......665499F</v>
          </cell>
          <cell r="B93" t="str">
            <v>2003T12</v>
          </cell>
          <cell r="C93" t="str">
            <v xml:space="preserve">TREND    </v>
          </cell>
          <cell r="D93" t="str">
            <v xml:space="preserve">Trend -  QTD Average/Activity                     </v>
          </cell>
          <cell r="E93" t="str">
            <v>Run: 08/07/03 13:53:41</v>
          </cell>
          <cell r="F93" t="str">
            <v>999</v>
          </cell>
          <cell r="G93" t="str">
            <v>100</v>
          </cell>
          <cell r="H93" t="str">
            <v xml:space="preserve">Bank Of America Management Reporting              </v>
          </cell>
          <cell r="I93" t="str">
            <v>001</v>
          </cell>
          <cell r="J93" t="str">
            <v>FBC.......</v>
          </cell>
          <cell r="K93" t="str">
            <v xml:space="preserve">Global Securities Operations                      </v>
          </cell>
          <cell r="L93" t="str">
            <v xml:space="preserve"> </v>
          </cell>
          <cell r="M93" t="str">
            <v xml:space="preserve"> </v>
          </cell>
          <cell r="N93" t="str">
            <v>bamgt</v>
          </cell>
          <cell r="O93" t="str">
            <v>40</v>
          </cell>
          <cell r="P93" t="str">
            <v>600000A  662999B  662999C  665499B  665499D  665499F  999999999999999999</v>
          </cell>
          <cell r="Q93" t="str">
            <v xml:space="preserve">none     </v>
          </cell>
          <cell r="R93" t="str">
            <v>RollFCST-Working Version</v>
          </cell>
          <cell r="S93" t="str">
            <v>RollFCST-Working Version</v>
          </cell>
          <cell r="T93" t="str">
            <v xml:space="preserve"> </v>
          </cell>
          <cell r="U93" t="str">
            <v xml:space="preserve"> </v>
          </cell>
          <cell r="V93" t="str">
            <v>665499F</v>
          </cell>
          <cell r="W93" t="str">
            <v>6</v>
          </cell>
          <cell r="X93" t="str">
            <v xml:space="preserve">          Relocation Expense            </v>
          </cell>
          <cell r="Y93">
            <v>0</v>
          </cell>
          <cell r="Z93">
            <v>210.92446000000001</v>
          </cell>
          <cell r="AA93">
            <v>74.489800000000002</v>
          </cell>
          <cell r="AB93">
            <v>1.98369</v>
          </cell>
          <cell r="AC93">
            <v>287.39794999999998</v>
          </cell>
          <cell r="AD93">
            <v>107.97844000000001</v>
          </cell>
          <cell r="AE93">
            <v>169.99799999999999</v>
          </cell>
          <cell r="AF93">
            <v>87.602429999999998</v>
          </cell>
          <cell r="AG93">
            <v>0</v>
          </cell>
          <cell r="AH93">
            <v>365.57886999999999</v>
          </cell>
          <cell r="AI93" t="str">
            <v xml:space="preserve">U.S. Dollar                   </v>
          </cell>
          <cell r="AJ93" t="str">
            <v xml:space="preserve"> </v>
          </cell>
          <cell r="AK93" t="str">
            <v xml:space="preserve"> </v>
          </cell>
          <cell r="AL93" t="str">
            <v xml:space="preserve"> </v>
          </cell>
          <cell r="AM93" t="str">
            <v xml:space="preserve"> </v>
          </cell>
          <cell r="AN93" t="str">
            <v xml:space="preserve"> </v>
          </cell>
          <cell r="AO93" t="str">
            <v xml:space="preserve"> </v>
          </cell>
          <cell r="AP93" t="str">
            <v xml:space="preserve"> </v>
          </cell>
          <cell r="AQ93" t="str">
            <v xml:space="preserve"> </v>
          </cell>
        </row>
        <row r="94">
          <cell r="A94" t="str">
            <v>FBC.......665499J</v>
          </cell>
          <cell r="B94" t="str">
            <v>2003T12</v>
          </cell>
          <cell r="C94" t="str">
            <v xml:space="preserve">TREND    </v>
          </cell>
          <cell r="D94" t="str">
            <v xml:space="preserve">Trend -  QTD Average/Activity                     </v>
          </cell>
          <cell r="E94" t="str">
            <v>Run: 08/07/03 13:53:41</v>
          </cell>
          <cell r="F94" t="str">
            <v>999</v>
          </cell>
          <cell r="G94" t="str">
            <v>100</v>
          </cell>
          <cell r="H94" t="str">
            <v xml:space="preserve">Bank Of America Management Reporting              </v>
          </cell>
          <cell r="I94" t="str">
            <v>001</v>
          </cell>
          <cell r="J94" t="str">
            <v>FBC.......</v>
          </cell>
          <cell r="K94" t="str">
            <v xml:space="preserve">Global Securities Operations                      </v>
          </cell>
          <cell r="L94" t="str">
            <v xml:space="preserve"> </v>
          </cell>
          <cell r="M94" t="str">
            <v xml:space="preserve"> </v>
          </cell>
          <cell r="N94" t="str">
            <v>bamgt</v>
          </cell>
          <cell r="O94" t="str">
            <v>40</v>
          </cell>
          <cell r="P94" t="str">
            <v>600000A  662999B  662999C  665499B  665499D  665499H  665499J  999999999</v>
          </cell>
          <cell r="Q94" t="str">
            <v xml:space="preserve">none     </v>
          </cell>
          <cell r="R94" t="str">
            <v>RollFCST-Working Version</v>
          </cell>
          <cell r="S94" t="str">
            <v>RollFCST-Working Version</v>
          </cell>
          <cell r="T94" t="str">
            <v xml:space="preserve"> </v>
          </cell>
          <cell r="U94" t="str">
            <v xml:space="preserve"> </v>
          </cell>
          <cell r="V94" t="str">
            <v>665499J</v>
          </cell>
          <cell r="W94" t="str">
            <v>7</v>
          </cell>
          <cell r="X94" t="str">
            <v xml:space="preserve">            Employee Training &amp; Seminars</v>
          </cell>
          <cell r="Y94">
            <v>32.498379999999997</v>
          </cell>
          <cell r="Z94">
            <v>47.62744</v>
          </cell>
          <cell r="AA94">
            <v>27.05686</v>
          </cell>
          <cell r="AB94">
            <v>98.415599999999998</v>
          </cell>
          <cell r="AC94">
            <v>205.59827999999999</v>
          </cell>
          <cell r="AD94">
            <v>22.786539999999999</v>
          </cell>
          <cell r="AE94">
            <v>50.029989999999998</v>
          </cell>
          <cell r="AF94">
            <v>34.302990000000001</v>
          </cell>
          <cell r="AG94">
            <v>42</v>
          </cell>
          <cell r="AH94">
            <v>149.11951999999999</v>
          </cell>
          <cell r="AI94" t="str">
            <v xml:space="preserve">U.S. Dollar                   </v>
          </cell>
          <cell r="AJ94" t="str">
            <v xml:space="preserve"> </v>
          </cell>
          <cell r="AK94" t="str">
            <v xml:space="preserve"> </v>
          </cell>
          <cell r="AL94" t="str">
            <v xml:space="preserve"> </v>
          </cell>
          <cell r="AM94" t="str">
            <v xml:space="preserve"> </v>
          </cell>
          <cell r="AN94" t="str">
            <v xml:space="preserve"> </v>
          </cell>
          <cell r="AO94" t="str">
            <v xml:space="preserve"> </v>
          </cell>
          <cell r="AP94" t="str">
            <v xml:space="preserve"> </v>
          </cell>
          <cell r="AQ94" t="str">
            <v xml:space="preserve"> </v>
          </cell>
        </row>
        <row r="95">
          <cell r="A95" t="str">
            <v>FBC.......665499H</v>
          </cell>
          <cell r="B95" t="str">
            <v>2003T12</v>
          </cell>
          <cell r="C95" t="str">
            <v xml:space="preserve">TREND    </v>
          </cell>
          <cell r="D95" t="str">
            <v xml:space="preserve">Trend -  QTD Average/Activity                     </v>
          </cell>
          <cell r="E95" t="str">
            <v>Run: 08/07/03 13:53:41</v>
          </cell>
          <cell r="F95" t="str">
            <v>999</v>
          </cell>
          <cell r="G95" t="str">
            <v>100</v>
          </cell>
          <cell r="H95" t="str">
            <v xml:space="preserve">Bank Of America Management Reporting              </v>
          </cell>
          <cell r="I95" t="str">
            <v>001</v>
          </cell>
          <cell r="J95" t="str">
            <v>FBC.......</v>
          </cell>
          <cell r="K95" t="str">
            <v xml:space="preserve">Global Securities Operations                      </v>
          </cell>
          <cell r="L95" t="str">
            <v xml:space="preserve"> </v>
          </cell>
          <cell r="M95" t="str">
            <v xml:space="preserve"> </v>
          </cell>
          <cell r="N95" t="str">
            <v>bamgt</v>
          </cell>
          <cell r="O95" t="str">
            <v>40</v>
          </cell>
          <cell r="P95" t="str">
            <v>600000A  662999B  662999C  665499B  665499D  665499H  999999999999999999</v>
          </cell>
          <cell r="Q95" t="str">
            <v xml:space="preserve">none     </v>
          </cell>
          <cell r="R95" t="str">
            <v>RollFCST-Working Version</v>
          </cell>
          <cell r="S95" t="str">
            <v>RollFCST-Working Version</v>
          </cell>
          <cell r="T95" t="str">
            <v xml:space="preserve"> </v>
          </cell>
          <cell r="U95" t="str">
            <v xml:space="preserve"> </v>
          </cell>
          <cell r="V95" t="str">
            <v>665499H</v>
          </cell>
          <cell r="W95" t="str">
            <v>6</v>
          </cell>
          <cell r="X95" t="str">
            <v xml:space="preserve">          Other Employee Expense        </v>
          </cell>
          <cell r="Y95">
            <v>98.446280000000002</v>
          </cell>
          <cell r="Z95">
            <v>287.58051999999998</v>
          </cell>
          <cell r="AA95">
            <v>126.51049</v>
          </cell>
          <cell r="AB95">
            <v>245.005</v>
          </cell>
          <cell r="AC95">
            <v>757.54228999999998</v>
          </cell>
          <cell r="AD95">
            <v>76.903589999999994</v>
          </cell>
          <cell r="AE95">
            <v>180.524</v>
          </cell>
          <cell r="AF95">
            <v>77.820170000000005</v>
          </cell>
          <cell r="AG95">
            <v>42</v>
          </cell>
          <cell r="AH95">
            <v>377.24776000000003</v>
          </cell>
          <cell r="AI95" t="str">
            <v xml:space="preserve">U.S. Dollar                   </v>
          </cell>
          <cell r="AJ95" t="str">
            <v xml:space="preserve"> </v>
          </cell>
          <cell r="AK95" t="str">
            <v xml:space="preserve"> </v>
          </cell>
          <cell r="AL95" t="str">
            <v xml:space="preserve"> </v>
          </cell>
          <cell r="AM95" t="str">
            <v xml:space="preserve"> </v>
          </cell>
          <cell r="AN95" t="str">
            <v xml:space="preserve"> </v>
          </cell>
          <cell r="AO95" t="str">
            <v xml:space="preserve"> </v>
          </cell>
          <cell r="AP95" t="str">
            <v xml:space="preserve"> </v>
          </cell>
          <cell r="AQ95" t="str">
            <v xml:space="preserve"> </v>
          </cell>
        </row>
        <row r="96">
          <cell r="A96" t="str">
            <v>FBC.......665499D</v>
          </cell>
          <cell r="B96" t="str">
            <v>2003T12</v>
          </cell>
          <cell r="C96" t="str">
            <v xml:space="preserve">TREND    </v>
          </cell>
          <cell r="D96" t="str">
            <v xml:space="preserve">Trend -  QTD Average/Activity                     </v>
          </cell>
          <cell r="E96" t="str">
            <v>Run: 08/07/03 13:53:41</v>
          </cell>
          <cell r="F96" t="str">
            <v>999</v>
          </cell>
          <cell r="G96" t="str">
            <v>100</v>
          </cell>
          <cell r="H96" t="str">
            <v xml:space="preserve">Bank Of America Management Reporting              </v>
          </cell>
          <cell r="I96" t="str">
            <v>001</v>
          </cell>
          <cell r="J96" t="str">
            <v>FBC.......</v>
          </cell>
          <cell r="K96" t="str">
            <v xml:space="preserve">Global Securities Operations                      </v>
          </cell>
          <cell r="L96" t="str">
            <v xml:space="preserve"> </v>
          </cell>
          <cell r="M96" t="str">
            <v xml:space="preserve"> </v>
          </cell>
          <cell r="N96" t="str">
            <v>bamgt</v>
          </cell>
          <cell r="O96" t="str">
            <v>40</v>
          </cell>
          <cell r="P96" t="str">
            <v>600000A  662999B  662999C  665499B  665499D  999999999999999999999999999</v>
          </cell>
          <cell r="Q96" t="str">
            <v xml:space="preserve">none     </v>
          </cell>
          <cell r="R96" t="str">
            <v>RollFCST-Working Version</v>
          </cell>
          <cell r="S96" t="str">
            <v>RollFCST-Working Version</v>
          </cell>
          <cell r="T96" t="str">
            <v xml:space="preserve"> </v>
          </cell>
          <cell r="U96" t="str">
            <v xml:space="preserve"> </v>
          </cell>
          <cell r="V96" t="str">
            <v>665499D</v>
          </cell>
          <cell r="W96" t="str">
            <v>5</v>
          </cell>
          <cell r="X96" t="str">
            <v xml:space="preserve">        Employee Expense                </v>
          </cell>
          <cell r="Y96">
            <v>98.446280000000002</v>
          </cell>
          <cell r="Z96">
            <v>498.50497999999999</v>
          </cell>
          <cell r="AA96">
            <v>201.00029000000001</v>
          </cell>
          <cell r="AB96">
            <v>246.98868999999999</v>
          </cell>
          <cell r="AC96">
            <v>1044.9402399999999</v>
          </cell>
          <cell r="AD96">
            <v>184.88202999999999</v>
          </cell>
          <cell r="AE96">
            <v>350.52199999999999</v>
          </cell>
          <cell r="AF96">
            <v>165.42259999999999</v>
          </cell>
          <cell r="AG96">
            <v>42</v>
          </cell>
          <cell r="AH96">
            <v>742.82663000000002</v>
          </cell>
          <cell r="AI96" t="str">
            <v xml:space="preserve">U.S. Dollar                   </v>
          </cell>
          <cell r="AJ96" t="str">
            <v xml:space="preserve"> </v>
          </cell>
          <cell r="AK96" t="str">
            <v xml:space="preserve"> </v>
          </cell>
          <cell r="AL96" t="str">
            <v xml:space="preserve"> </v>
          </cell>
          <cell r="AM96" t="str">
            <v xml:space="preserve"> </v>
          </cell>
          <cell r="AN96" t="str">
            <v xml:space="preserve"> </v>
          </cell>
          <cell r="AO96" t="str">
            <v xml:space="preserve"> </v>
          </cell>
          <cell r="AP96" t="str">
            <v xml:space="preserve"> </v>
          </cell>
          <cell r="AQ96" t="str">
            <v xml:space="preserve"> </v>
          </cell>
        </row>
        <row r="97">
          <cell r="A97" t="str">
            <v>FBC.......665499B</v>
          </cell>
          <cell r="B97" t="str">
            <v>2003T12</v>
          </cell>
          <cell r="C97" t="str">
            <v xml:space="preserve">TREND    </v>
          </cell>
          <cell r="D97" t="str">
            <v xml:space="preserve">Trend -  QTD Average/Activity                     </v>
          </cell>
          <cell r="E97" t="str">
            <v>Run: 08/07/03 13:53:41</v>
          </cell>
          <cell r="F97" t="str">
            <v>999</v>
          </cell>
          <cell r="G97" t="str">
            <v>100</v>
          </cell>
          <cell r="H97" t="str">
            <v xml:space="preserve">Bank Of America Management Reporting              </v>
          </cell>
          <cell r="I97" t="str">
            <v>001</v>
          </cell>
          <cell r="J97" t="str">
            <v>FBC.......</v>
          </cell>
          <cell r="K97" t="str">
            <v xml:space="preserve">Global Securities Operations                      </v>
          </cell>
          <cell r="L97" t="str">
            <v xml:space="preserve"> </v>
          </cell>
          <cell r="M97" t="str">
            <v xml:space="preserve"> </v>
          </cell>
          <cell r="N97" t="str">
            <v>bamgt</v>
          </cell>
          <cell r="O97" t="str">
            <v>40</v>
          </cell>
          <cell r="P97" t="str">
            <v>600000A  662999B  662999C  665499B  999999999999999999999999999999999999</v>
          </cell>
          <cell r="Q97" t="str">
            <v xml:space="preserve">none     </v>
          </cell>
          <cell r="R97" t="str">
            <v>RollFCST-Working Version</v>
          </cell>
          <cell r="S97" t="str">
            <v>RollFCST-Working Version</v>
          </cell>
          <cell r="T97" t="str">
            <v xml:space="preserve"> </v>
          </cell>
          <cell r="U97" t="str">
            <v xml:space="preserve"> </v>
          </cell>
          <cell r="V97" t="str">
            <v>665499B</v>
          </cell>
          <cell r="W97" t="str">
            <v>4</v>
          </cell>
          <cell r="X97" t="str">
            <v xml:space="preserve">      Other Operating Expense           </v>
          </cell>
          <cell r="Y97">
            <v>856.62534000000005</v>
          </cell>
          <cell r="Z97">
            <v>1249.5588</v>
          </cell>
          <cell r="AA97">
            <v>947.40956000000006</v>
          </cell>
          <cell r="AB97">
            <v>1194.60555</v>
          </cell>
          <cell r="AC97">
            <v>4248.1992499999997</v>
          </cell>
          <cell r="AD97">
            <v>385.00785999999999</v>
          </cell>
          <cell r="AE97">
            <v>2322.1881899999998</v>
          </cell>
          <cell r="AF97">
            <v>984.15275999999994</v>
          </cell>
          <cell r="AG97">
            <v>344</v>
          </cell>
          <cell r="AH97">
            <v>4035.34881</v>
          </cell>
          <cell r="AI97" t="str">
            <v xml:space="preserve">U.S. Dollar                   </v>
          </cell>
          <cell r="AJ97" t="str">
            <v xml:space="preserve"> </v>
          </cell>
          <cell r="AK97" t="str">
            <v xml:space="preserve"> </v>
          </cell>
          <cell r="AL97" t="str">
            <v xml:space="preserve"> </v>
          </cell>
          <cell r="AM97" t="str">
            <v xml:space="preserve"> </v>
          </cell>
          <cell r="AN97" t="str">
            <v xml:space="preserve"> </v>
          </cell>
          <cell r="AO97" t="str">
            <v xml:space="preserve"> </v>
          </cell>
          <cell r="AP97" t="str">
            <v xml:space="preserve"> </v>
          </cell>
          <cell r="AQ97" t="str">
            <v xml:space="preserve"> </v>
          </cell>
        </row>
        <row r="98">
          <cell r="A98" t="str">
            <v>FBC.......670200</v>
          </cell>
          <cell r="B98" t="str">
            <v>2003T12</v>
          </cell>
          <cell r="C98" t="str">
            <v xml:space="preserve">TREND    </v>
          </cell>
          <cell r="D98" t="str">
            <v xml:space="preserve">Trend -  QTD Average/Activity                     </v>
          </cell>
          <cell r="E98" t="str">
            <v>Run: 08/07/03 13:53:41</v>
          </cell>
          <cell r="F98" t="str">
            <v>999</v>
          </cell>
          <cell r="G98" t="str">
            <v>100</v>
          </cell>
          <cell r="H98" t="str">
            <v xml:space="preserve">Bank Of America Management Reporting              </v>
          </cell>
          <cell r="I98" t="str">
            <v>001</v>
          </cell>
          <cell r="J98" t="str">
            <v>FBC.......</v>
          </cell>
          <cell r="K98" t="str">
            <v xml:space="preserve">Global Securities Operations                      </v>
          </cell>
          <cell r="L98" t="str">
            <v xml:space="preserve"> </v>
          </cell>
          <cell r="M98" t="str">
            <v xml:space="preserve"> </v>
          </cell>
          <cell r="N98" t="str">
            <v>bamgt</v>
          </cell>
          <cell r="O98" t="str">
            <v>40</v>
          </cell>
          <cell r="P98" t="str">
            <v>600000A  662999B  670000B  670200   999999999999999999999999999999999999</v>
          </cell>
          <cell r="Q98" t="str">
            <v xml:space="preserve">none     </v>
          </cell>
          <cell r="R98" t="str">
            <v>RollFCST-Working Version</v>
          </cell>
          <cell r="S98" t="str">
            <v>RollFCST-Working Version</v>
          </cell>
          <cell r="T98" t="str">
            <v xml:space="preserve"> </v>
          </cell>
          <cell r="U98" t="str">
            <v xml:space="preserve"> </v>
          </cell>
          <cell r="V98" t="str">
            <v>670200</v>
          </cell>
          <cell r="W98" t="str">
            <v>4</v>
          </cell>
          <cell r="X98" t="str">
            <v xml:space="preserve">      Travel                            </v>
          </cell>
          <cell r="Y98">
            <v>218.78291999999999</v>
          </cell>
          <cell r="Z98">
            <v>250.60455999999999</v>
          </cell>
          <cell r="AA98">
            <v>204.18629999999999</v>
          </cell>
          <cell r="AB98">
            <v>224.3484</v>
          </cell>
          <cell r="AC98">
            <v>897.92218000000003</v>
          </cell>
          <cell r="AD98">
            <v>229.04868999999999</v>
          </cell>
          <cell r="AE98">
            <v>179.20249999999999</v>
          </cell>
          <cell r="AF98">
            <v>241.40316999999999</v>
          </cell>
          <cell r="AG98">
            <v>249</v>
          </cell>
          <cell r="AH98">
            <v>898.65436</v>
          </cell>
          <cell r="AI98" t="str">
            <v xml:space="preserve">U.S. Dollar                   </v>
          </cell>
          <cell r="AJ98" t="str">
            <v xml:space="preserve"> </v>
          </cell>
          <cell r="AK98" t="str">
            <v xml:space="preserve"> </v>
          </cell>
          <cell r="AL98" t="str">
            <v xml:space="preserve"> </v>
          </cell>
          <cell r="AM98" t="str">
            <v xml:space="preserve"> </v>
          </cell>
          <cell r="AN98" t="str">
            <v xml:space="preserve"> </v>
          </cell>
          <cell r="AO98" t="str">
            <v xml:space="preserve"> </v>
          </cell>
          <cell r="AP98" t="str">
            <v xml:space="preserve"> </v>
          </cell>
          <cell r="AQ98" t="str">
            <v xml:space="preserve"> </v>
          </cell>
        </row>
        <row r="99">
          <cell r="A99" t="str">
            <v>FBC.......670800</v>
          </cell>
          <cell r="B99" t="str">
            <v>2003T12</v>
          </cell>
          <cell r="C99" t="str">
            <v xml:space="preserve">TREND    </v>
          </cell>
          <cell r="D99" t="str">
            <v xml:space="preserve">Trend -  QTD Average/Activity                     </v>
          </cell>
          <cell r="E99" t="str">
            <v>Run: 08/07/03 13:53:41</v>
          </cell>
          <cell r="F99" t="str">
            <v>999</v>
          </cell>
          <cell r="G99" t="str">
            <v>100</v>
          </cell>
          <cell r="H99" t="str">
            <v xml:space="preserve">Bank Of America Management Reporting              </v>
          </cell>
          <cell r="I99" t="str">
            <v>001</v>
          </cell>
          <cell r="J99" t="str">
            <v>FBC.......</v>
          </cell>
          <cell r="K99" t="str">
            <v xml:space="preserve">Global Securities Operations                      </v>
          </cell>
          <cell r="L99" t="str">
            <v xml:space="preserve"> </v>
          </cell>
          <cell r="M99" t="str">
            <v xml:space="preserve"> </v>
          </cell>
          <cell r="N99" t="str">
            <v>bamgt</v>
          </cell>
          <cell r="O99" t="str">
            <v>40</v>
          </cell>
          <cell r="P99" t="str">
            <v>600000A  662999B  670000B  670800   999999999999999999999999999999999999</v>
          </cell>
          <cell r="Q99" t="str">
            <v xml:space="preserve">none     </v>
          </cell>
          <cell r="R99" t="str">
            <v>RollFCST-Working Version</v>
          </cell>
          <cell r="S99" t="str">
            <v>RollFCST-Working Version</v>
          </cell>
          <cell r="T99" t="str">
            <v xml:space="preserve"> </v>
          </cell>
          <cell r="U99" t="str">
            <v xml:space="preserve"> </v>
          </cell>
          <cell r="V99" t="str">
            <v>670800</v>
          </cell>
          <cell r="W99" t="str">
            <v>4</v>
          </cell>
          <cell r="X99" t="str">
            <v xml:space="preserve">      Taxes Other Than Income           </v>
          </cell>
          <cell r="Y99">
            <v>55.19406</v>
          </cell>
          <cell r="Z99">
            <v>54.518389999999997</v>
          </cell>
          <cell r="AA99">
            <v>36.638759999999998</v>
          </cell>
          <cell r="AB99">
            <v>53.256259999999997</v>
          </cell>
          <cell r="AC99">
            <v>199.60747000000001</v>
          </cell>
          <cell r="AD99">
            <v>46.898580000000003</v>
          </cell>
          <cell r="AE99">
            <v>58.166980000000002</v>
          </cell>
          <cell r="AF99">
            <v>34.601239999999997</v>
          </cell>
          <cell r="AG99">
            <v>33</v>
          </cell>
          <cell r="AH99">
            <v>172.66679999999999</v>
          </cell>
          <cell r="AI99" t="str">
            <v xml:space="preserve">U.S. Dollar                   </v>
          </cell>
          <cell r="AJ99" t="str">
            <v xml:space="preserve"> </v>
          </cell>
          <cell r="AK99" t="str">
            <v xml:space="preserve"> </v>
          </cell>
          <cell r="AL99" t="str">
            <v xml:space="preserve"> </v>
          </cell>
          <cell r="AM99" t="str">
            <v xml:space="preserve"> </v>
          </cell>
          <cell r="AN99" t="str">
            <v xml:space="preserve"> </v>
          </cell>
          <cell r="AO99" t="str">
            <v xml:space="preserve"> </v>
          </cell>
          <cell r="AP99" t="str">
            <v xml:space="preserve"> </v>
          </cell>
          <cell r="AQ99" t="str">
            <v xml:space="preserve"> </v>
          </cell>
        </row>
        <row r="100">
          <cell r="A100" t="str">
            <v>FBC.......671200</v>
          </cell>
          <cell r="B100" t="str">
            <v>2003T12</v>
          </cell>
          <cell r="C100" t="str">
            <v xml:space="preserve">TREND    </v>
          </cell>
          <cell r="D100" t="str">
            <v xml:space="preserve">Trend -  QTD Average/Activity                     </v>
          </cell>
          <cell r="E100" t="str">
            <v>Run: 08/07/03 13:53:41</v>
          </cell>
          <cell r="F100" t="str">
            <v>999</v>
          </cell>
          <cell r="G100" t="str">
            <v>100</v>
          </cell>
          <cell r="H100" t="str">
            <v xml:space="preserve">Bank Of America Management Reporting              </v>
          </cell>
          <cell r="I100" t="str">
            <v>001</v>
          </cell>
          <cell r="J100" t="str">
            <v>FBC.......</v>
          </cell>
          <cell r="K100" t="str">
            <v xml:space="preserve">Global Securities Operations                      </v>
          </cell>
          <cell r="L100" t="str">
            <v xml:space="preserve"> </v>
          </cell>
          <cell r="M100" t="str">
            <v xml:space="preserve"> </v>
          </cell>
          <cell r="N100" t="str">
            <v>bamgt</v>
          </cell>
          <cell r="O100" t="str">
            <v>40</v>
          </cell>
          <cell r="P100" t="str">
            <v>600000A  662999B  670000B  671200   999999999999999999999999999999999999</v>
          </cell>
          <cell r="Q100" t="str">
            <v xml:space="preserve">none     </v>
          </cell>
          <cell r="R100" t="str">
            <v>RollFCST-Working Version</v>
          </cell>
          <cell r="S100" t="str">
            <v>RollFCST-Working Version</v>
          </cell>
          <cell r="T100" t="str">
            <v xml:space="preserve"> </v>
          </cell>
          <cell r="U100" t="str">
            <v xml:space="preserve"> </v>
          </cell>
          <cell r="V100" t="str">
            <v>671200</v>
          </cell>
          <cell r="W100" t="str">
            <v>4</v>
          </cell>
          <cell r="X100" t="str">
            <v xml:space="preserve">      Subscription Services             </v>
          </cell>
          <cell r="Y100">
            <v>679.80925999999999</v>
          </cell>
          <cell r="Z100">
            <v>660.36021000000005</v>
          </cell>
          <cell r="AA100">
            <v>709.88568999999995</v>
          </cell>
          <cell r="AB100">
            <v>747.01089000000002</v>
          </cell>
          <cell r="AC100">
            <v>2797.0660499999999</v>
          </cell>
          <cell r="AD100">
            <v>681.73090000000002</v>
          </cell>
          <cell r="AE100">
            <v>881.27219000000002</v>
          </cell>
          <cell r="AF100">
            <v>772.41977999999995</v>
          </cell>
          <cell r="AG100">
            <v>732</v>
          </cell>
          <cell r="AH100">
            <v>3067.4228699999999</v>
          </cell>
          <cell r="AI100" t="str">
            <v xml:space="preserve">U.S. Dollar                   </v>
          </cell>
          <cell r="AJ100" t="str">
            <v xml:space="preserve"> </v>
          </cell>
          <cell r="AK100" t="str">
            <v xml:space="preserve"> </v>
          </cell>
          <cell r="AL100" t="str">
            <v xml:space="preserve"> </v>
          </cell>
          <cell r="AM100" t="str">
            <v xml:space="preserve"> </v>
          </cell>
          <cell r="AN100" t="str">
            <v xml:space="preserve"> </v>
          </cell>
          <cell r="AO100" t="str">
            <v xml:space="preserve"> </v>
          </cell>
          <cell r="AP100" t="str">
            <v xml:space="preserve"> </v>
          </cell>
          <cell r="AQ100" t="str">
            <v xml:space="preserve"> </v>
          </cell>
        </row>
        <row r="101">
          <cell r="A101" t="str">
            <v>FBC.......671500</v>
          </cell>
          <cell r="B101" t="str">
            <v>2003T12</v>
          </cell>
          <cell r="C101" t="str">
            <v xml:space="preserve">TREND    </v>
          </cell>
          <cell r="D101" t="str">
            <v xml:space="preserve">Trend -  QTD Average/Activity                     </v>
          </cell>
          <cell r="E101" t="str">
            <v>Run: 08/07/03 13:53:41</v>
          </cell>
          <cell r="F101" t="str">
            <v>999</v>
          </cell>
          <cell r="G101" t="str">
            <v>100</v>
          </cell>
          <cell r="H101" t="str">
            <v xml:space="preserve">Bank Of America Management Reporting              </v>
          </cell>
          <cell r="I101" t="str">
            <v>001</v>
          </cell>
          <cell r="J101" t="str">
            <v>FBC.......</v>
          </cell>
          <cell r="K101" t="str">
            <v xml:space="preserve">Global Securities Operations                      </v>
          </cell>
          <cell r="L101" t="str">
            <v xml:space="preserve"> </v>
          </cell>
          <cell r="M101" t="str">
            <v xml:space="preserve"> </v>
          </cell>
          <cell r="N101" t="str">
            <v>bamgt</v>
          </cell>
          <cell r="O101" t="str">
            <v>40</v>
          </cell>
          <cell r="P101" t="str">
            <v>600000A  662999B  670000B  671500   999999999999999999999999999999999999</v>
          </cell>
          <cell r="Q101" t="str">
            <v xml:space="preserve">none     </v>
          </cell>
          <cell r="R101" t="str">
            <v>RollFCST-Working Version</v>
          </cell>
          <cell r="S101" t="str">
            <v>RollFCST-Working Version</v>
          </cell>
          <cell r="T101" t="str">
            <v xml:space="preserve"> </v>
          </cell>
          <cell r="U101" t="str">
            <v xml:space="preserve"> </v>
          </cell>
          <cell r="V101" t="str">
            <v>671500</v>
          </cell>
          <cell r="W101" t="str">
            <v>4</v>
          </cell>
          <cell r="X101" t="str">
            <v xml:space="preserve">      Other Administrative Expenses     </v>
          </cell>
          <cell r="Y101">
            <v>0.2</v>
          </cell>
          <cell r="Z101">
            <v>0</v>
          </cell>
          <cell r="AA101">
            <v>0</v>
          </cell>
          <cell r="AB101">
            <v>0</v>
          </cell>
          <cell r="AC101">
            <v>0.2</v>
          </cell>
          <cell r="AD101">
            <v>0</v>
          </cell>
          <cell r="AE101">
            <v>0</v>
          </cell>
          <cell r="AF101">
            <v>-235.626</v>
          </cell>
          <cell r="AG101">
            <v>-89.99</v>
          </cell>
          <cell r="AH101">
            <v>-325.61599999999999</v>
          </cell>
          <cell r="AI101" t="str">
            <v xml:space="preserve">U.S. Dollar                   </v>
          </cell>
          <cell r="AJ101" t="str">
            <v xml:space="preserve"> </v>
          </cell>
          <cell r="AK101" t="str">
            <v xml:space="preserve"> </v>
          </cell>
          <cell r="AL101" t="str">
            <v xml:space="preserve"> </v>
          </cell>
          <cell r="AM101" t="str">
            <v xml:space="preserve"> </v>
          </cell>
          <cell r="AN101" t="str">
            <v xml:space="preserve"> </v>
          </cell>
          <cell r="AO101" t="str">
            <v xml:space="preserve"> </v>
          </cell>
          <cell r="AP101" t="str">
            <v xml:space="preserve"> </v>
          </cell>
          <cell r="AQ101" t="str">
            <v xml:space="preserve"> </v>
          </cell>
        </row>
        <row r="102">
          <cell r="A102" t="str">
            <v>FBC.......675000</v>
          </cell>
          <cell r="B102" t="str">
            <v>2003T12</v>
          </cell>
          <cell r="C102" t="str">
            <v xml:space="preserve">TREND    </v>
          </cell>
          <cell r="D102" t="str">
            <v xml:space="preserve">Trend -  QTD Average/Activity                     </v>
          </cell>
          <cell r="E102" t="str">
            <v>Run: 08/07/03 13:53:41</v>
          </cell>
          <cell r="F102" t="str">
            <v>999</v>
          </cell>
          <cell r="G102" t="str">
            <v>100</v>
          </cell>
          <cell r="H102" t="str">
            <v xml:space="preserve">Bank Of America Management Reporting              </v>
          </cell>
          <cell r="I102" t="str">
            <v>001</v>
          </cell>
          <cell r="J102" t="str">
            <v>FBC.......</v>
          </cell>
          <cell r="K102" t="str">
            <v xml:space="preserve">Global Securities Operations                      </v>
          </cell>
          <cell r="L102" t="str">
            <v xml:space="preserve"> </v>
          </cell>
          <cell r="M102" t="str">
            <v xml:space="preserve"> </v>
          </cell>
          <cell r="N102" t="str">
            <v>bamgt</v>
          </cell>
          <cell r="O102" t="str">
            <v>40</v>
          </cell>
          <cell r="P102" t="str">
            <v>600000A  675000   999999999999999999999999999999999999999999999999999999</v>
          </cell>
          <cell r="Q102" t="str">
            <v xml:space="preserve">none     </v>
          </cell>
          <cell r="R102" t="str">
            <v>RollFCST-Working Version</v>
          </cell>
          <cell r="S102" t="str">
            <v>RollFCST-Working Version</v>
          </cell>
          <cell r="T102" t="str">
            <v xml:space="preserve"> </v>
          </cell>
          <cell r="U102" t="str">
            <v xml:space="preserve"> </v>
          </cell>
          <cell r="V102" t="str">
            <v>675000</v>
          </cell>
          <cell r="W102" t="str">
            <v>2</v>
          </cell>
          <cell r="X102" t="str">
            <v xml:space="preserve">  Intercompany Expense                  </v>
          </cell>
          <cell r="Y102">
            <v>0</v>
          </cell>
          <cell r="Z102">
            <v>0</v>
          </cell>
          <cell r="AA102">
            <v>0</v>
          </cell>
          <cell r="AB102">
            <v>0</v>
          </cell>
          <cell r="AC102">
            <v>0</v>
          </cell>
          <cell r="AD102">
            <v>0</v>
          </cell>
          <cell r="AE102">
            <v>0</v>
          </cell>
          <cell r="AF102">
            <v>0</v>
          </cell>
          <cell r="AG102">
            <v>0</v>
          </cell>
          <cell r="AH102">
            <v>0</v>
          </cell>
          <cell r="AI102" t="str">
            <v xml:space="preserve">U.S. Dollar                   </v>
          </cell>
          <cell r="AJ102" t="str">
            <v xml:space="preserve"> </v>
          </cell>
          <cell r="AK102" t="str">
            <v xml:space="preserve"> </v>
          </cell>
          <cell r="AL102" t="str">
            <v xml:space="preserve"> </v>
          </cell>
          <cell r="AM102" t="str">
            <v xml:space="preserve"> </v>
          </cell>
          <cell r="AN102" t="str">
            <v xml:space="preserve"> </v>
          </cell>
          <cell r="AO102" t="str">
            <v xml:space="preserve"> </v>
          </cell>
          <cell r="AP102" t="str">
            <v xml:space="preserve"> </v>
          </cell>
          <cell r="AQ102" t="str">
            <v xml:space="preserve"> </v>
          </cell>
        </row>
        <row r="103">
          <cell r="A103" t="str">
            <v>FBD.......600300</v>
          </cell>
          <cell r="B103" t="str">
            <v>2003T12</v>
          </cell>
          <cell r="C103" t="str">
            <v xml:space="preserve">TREND    </v>
          </cell>
          <cell r="D103" t="str">
            <v xml:space="preserve">Trend -  QTD Average/Activity                     </v>
          </cell>
          <cell r="E103" t="str">
            <v>Run: 08/07/03 13:53:41</v>
          </cell>
          <cell r="F103" t="str">
            <v>999</v>
          </cell>
          <cell r="G103" t="str">
            <v>100</v>
          </cell>
          <cell r="H103" t="str">
            <v xml:space="preserve">Bank Of America Management Reporting              </v>
          </cell>
          <cell r="I103" t="str">
            <v>001</v>
          </cell>
          <cell r="J103" t="str">
            <v>FBD.......</v>
          </cell>
          <cell r="K103" t="str">
            <v xml:space="preserve">Emg Ops Asia                                      </v>
          </cell>
          <cell r="L103" t="str">
            <v xml:space="preserve"> </v>
          </cell>
          <cell r="M103" t="str">
            <v xml:space="preserve"> </v>
          </cell>
          <cell r="N103" t="str">
            <v>bamgt</v>
          </cell>
          <cell r="O103" t="str">
            <v>40</v>
          </cell>
          <cell r="P103" t="str">
            <v>600000A  600250   999999999600300   999999999999999999999999999999999999</v>
          </cell>
          <cell r="Q103" t="str">
            <v xml:space="preserve">none     </v>
          </cell>
          <cell r="R103" t="str">
            <v>RollFCST-Working Version</v>
          </cell>
          <cell r="S103" t="str">
            <v>RollFCST-Working Version</v>
          </cell>
          <cell r="T103" t="str">
            <v xml:space="preserve"> </v>
          </cell>
          <cell r="U103" t="str">
            <v xml:space="preserve"> </v>
          </cell>
          <cell r="V103" t="str">
            <v>600300</v>
          </cell>
          <cell r="W103" t="str">
            <v>4</v>
          </cell>
          <cell r="X103" t="str">
            <v xml:space="preserve">      Salaries &amp; Wages                  </v>
          </cell>
          <cell r="Y103">
            <v>394.76573999999999</v>
          </cell>
          <cell r="Z103">
            <v>388.76823000000002</v>
          </cell>
          <cell r="AA103">
            <v>379.81099</v>
          </cell>
          <cell r="AB103">
            <v>366.24534</v>
          </cell>
          <cell r="AC103">
            <v>1529.5903000000001</v>
          </cell>
          <cell r="AD103">
            <v>375.30340000000001</v>
          </cell>
          <cell r="AE103">
            <v>373.84208999999998</v>
          </cell>
          <cell r="AF103">
            <v>387.34512000000001</v>
          </cell>
          <cell r="AG103">
            <v>405</v>
          </cell>
          <cell r="AH103">
            <v>1541.4906100000001</v>
          </cell>
          <cell r="AI103" t="str">
            <v xml:space="preserve">U.S. Dollar                   </v>
          </cell>
          <cell r="AJ103" t="str">
            <v xml:space="preserve"> </v>
          </cell>
          <cell r="AK103" t="str">
            <v xml:space="preserve"> </v>
          </cell>
          <cell r="AL103" t="str">
            <v xml:space="preserve"> </v>
          </cell>
          <cell r="AM103" t="str">
            <v xml:space="preserve"> </v>
          </cell>
          <cell r="AN103" t="str">
            <v xml:space="preserve"> </v>
          </cell>
          <cell r="AO103" t="str">
            <v xml:space="preserve"> </v>
          </cell>
          <cell r="AP103" t="str">
            <v xml:space="preserve"> </v>
          </cell>
          <cell r="AQ103" t="str">
            <v xml:space="preserve"> </v>
          </cell>
        </row>
        <row r="104">
          <cell r="A104" t="str">
            <v>FBD.......601000</v>
          </cell>
          <cell r="B104" t="str">
            <v>2003T12</v>
          </cell>
          <cell r="C104" t="str">
            <v xml:space="preserve">TREND    </v>
          </cell>
          <cell r="D104" t="str">
            <v xml:space="preserve">Trend -  QTD Average/Activity                     </v>
          </cell>
          <cell r="E104" t="str">
            <v>Run: 08/07/03 13:53:41</v>
          </cell>
          <cell r="F104" t="str">
            <v>999</v>
          </cell>
          <cell r="G104" t="str">
            <v>100</v>
          </cell>
          <cell r="H104" t="str">
            <v xml:space="preserve">Bank Of America Management Reporting              </v>
          </cell>
          <cell r="I104" t="str">
            <v>001</v>
          </cell>
          <cell r="J104" t="str">
            <v>FBD.......</v>
          </cell>
          <cell r="K104" t="str">
            <v xml:space="preserve">Emg Ops Asia                                      </v>
          </cell>
          <cell r="L104" t="str">
            <v xml:space="preserve"> </v>
          </cell>
          <cell r="M104" t="str">
            <v xml:space="preserve"> </v>
          </cell>
          <cell r="N104" t="str">
            <v>bamgt</v>
          </cell>
          <cell r="O104" t="str">
            <v>40</v>
          </cell>
          <cell r="P104" t="str">
            <v>600000A  600250   999999999601000   999999999999999999999999999999999999</v>
          </cell>
          <cell r="Q104" t="str">
            <v xml:space="preserve">none     </v>
          </cell>
          <cell r="R104" t="str">
            <v>RollFCST-Working Version</v>
          </cell>
          <cell r="S104" t="str">
            <v>RollFCST-Working Version</v>
          </cell>
          <cell r="T104" t="str">
            <v xml:space="preserve"> </v>
          </cell>
          <cell r="U104" t="str">
            <v xml:space="preserve"> </v>
          </cell>
          <cell r="V104" t="str">
            <v>601000</v>
          </cell>
          <cell r="W104" t="str">
            <v>4</v>
          </cell>
          <cell r="X104" t="str">
            <v xml:space="preserve">      Overtime Salaries                 </v>
          </cell>
          <cell r="Y104">
            <v>6.0950199999999999</v>
          </cell>
          <cell r="Z104">
            <v>5.9631100000000004</v>
          </cell>
          <cell r="AA104">
            <v>5.5635899999999996</v>
          </cell>
          <cell r="AB104">
            <v>5.5329800000000002</v>
          </cell>
          <cell r="AC104">
            <v>23.154699999999998</v>
          </cell>
          <cell r="AD104">
            <v>3.9658600000000002</v>
          </cell>
          <cell r="AE104">
            <v>6.09917</v>
          </cell>
          <cell r="AF104">
            <v>5.6518499999999996</v>
          </cell>
          <cell r="AG104">
            <v>6</v>
          </cell>
          <cell r="AH104">
            <v>21.71688</v>
          </cell>
          <cell r="AI104" t="str">
            <v xml:space="preserve">U.S. Dollar                   </v>
          </cell>
          <cell r="AJ104" t="str">
            <v xml:space="preserve"> </v>
          </cell>
          <cell r="AK104" t="str">
            <v xml:space="preserve"> </v>
          </cell>
          <cell r="AL104" t="str">
            <v xml:space="preserve"> </v>
          </cell>
          <cell r="AM104" t="str">
            <v xml:space="preserve"> </v>
          </cell>
          <cell r="AN104" t="str">
            <v xml:space="preserve"> </v>
          </cell>
          <cell r="AO104" t="str">
            <v xml:space="preserve"> </v>
          </cell>
          <cell r="AP104" t="str">
            <v xml:space="preserve"> </v>
          </cell>
          <cell r="AQ104" t="str">
            <v xml:space="preserve"> </v>
          </cell>
        </row>
        <row r="105">
          <cell r="A105" t="str">
            <v>FBD.......601500</v>
          </cell>
          <cell r="B105" t="str">
            <v>2003T12</v>
          </cell>
          <cell r="C105" t="str">
            <v xml:space="preserve">TREND    </v>
          </cell>
          <cell r="D105" t="str">
            <v xml:space="preserve">Trend -  QTD Average/Activity                     </v>
          </cell>
          <cell r="E105" t="str">
            <v>Run: 08/07/03 13:53:41</v>
          </cell>
          <cell r="F105" t="str">
            <v>999</v>
          </cell>
          <cell r="G105" t="str">
            <v>100</v>
          </cell>
          <cell r="H105" t="str">
            <v xml:space="preserve">Bank Of America Management Reporting              </v>
          </cell>
          <cell r="I105" t="str">
            <v>001</v>
          </cell>
          <cell r="J105" t="str">
            <v>FBD.......</v>
          </cell>
          <cell r="K105" t="str">
            <v xml:space="preserve">Emg Ops Asia                                      </v>
          </cell>
          <cell r="L105" t="str">
            <v xml:space="preserve"> </v>
          </cell>
          <cell r="M105" t="str">
            <v xml:space="preserve"> </v>
          </cell>
          <cell r="N105" t="str">
            <v>bamgt</v>
          </cell>
          <cell r="O105" t="str">
            <v>40</v>
          </cell>
          <cell r="P105" t="str">
            <v>600000A  600250   999999999601500   999999999999999999999999999999999999</v>
          </cell>
          <cell r="Q105" t="str">
            <v xml:space="preserve">none     </v>
          </cell>
          <cell r="R105" t="str">
            <v>RollFCST-Working Version</v>
          </cell>
          <cell r="S105" t="str">
            <v>RollFCST-Working Version</v>
          </cell>
          <cell r="T105" t="str">
            <v xml:space="preserve"> </v>
          </cell>
          <cell r="U105" t="str">
            <v xml:space="preserve"> </v>
          </cell>
          <cell r="V105" t="str">
            <v>601500</v>
          </cell>
          <cell r="W105" t="str">
            <v>4</v>
          </cell>
          <cell r="X105" t="str">
            <v xml:space="preserve">      Incentive Compensation            </v>
          </cell>
          <cell r="Y105">
            <v>3.7178599999999999</v>
          </cell>
          <cell r="Z105">
            <v>0</v>
          </cell>
          <cell r="AA105">
            <v>0</v>
          </cell>
          <cell r="AB105">
            <v>0</v>
          </cell>
          <cell r="AC105">
            <v>3.7178599999999999</v>
          </cell>
          <cell r="AD105">
            <v>0</v>
          </cell>
          <cell r="AE105">
            <v>0</v>
          </cell>
          <cell r="AF105">
            <v>0</v>
          </cell>
          <cell r="AG105">
            <v>0</v>
          </cell>
          <cell r="AH105">
            <v>0</v>
          </cell>
          <cell r="AI105" t="str">
            <v xml:space="preserve">U.S. Dollar                   </v>
          </cell>
          <cell r="AJ105" t="str">
            <v xml:space="preserve"> </v>
          </cell>
          <cell r="AK105" t="str">
            <v xml:space="preserve"> </v>
          </cell>
          <cell r="AL105" t="str">
            <v xml:space="preserve"> </v>
          </cell>
          <cell r="AM105" t="str">
            <v xml:space="preserve"> </v>
          </cell>
          <cell r="AN105" t="str">
            <v xml:space="preserve"> </v>
          </cell>
          <cell r="AO105" t="str">
            <v xml:space="preserve"> </v>
          </cell>
          <cell r="AP105" t="str">
            <v xml:space="preserve"> </v>
          </cell>
          <cell r="AQ105" t="str">
            <v xml:space="preserve"> </v>
          </cell>
        </row>
        <row r="106">
          <cell r="A106" t="str">
            <v>FBD.......602400</v>
          </cell>
          <cell r="B106" t="str">
            <v>2003T12</v>
          </cell>
          <cell r="C106" t="str">
            <v xml:space="preserve">TREND    </v>
          </cell>
          <cell r="D106" t="str">
            <v xml:space="preserve">Trend -  QTD Average/Activity                     </v>
          </cell>
          <cell r="E106" t="str">
            <v>Run: 08/07/03 13:53:41</v>
          </cell>
          <cell r="F106" t="str">
            <v>999</v>
          </cell>
          <cell r="G106" t="str">
            <v>100</v>
          </cell>
          <cell r="H106" t="str">
            <v xml:space="preserve">Bank Of America Management Reporting              </v>
          </cell>
          <cell r="I106" t="str">
            <v>001</v>
          </cell>
          <cell r="J106" t="str">
            <v>FBD.......</v>
          </cell>
          <cell r="K106" t="str">
            <v xml:space="preserve">Emg Ops Asia                                      </v>
          </cell>
          <cell r="L106" t="str">
            <v xml:space="preserve"> </v>
          </cell>
          <cell r="M106" t="str">
            <v xml:space="preserve"> </v>
          </cell>
          <cell r="N106" t="str">
            <v>bamgt</v>
          </cell>
          <cell r="O106" t="str">
            <v>40</v>
          </cell>
          <cell r="P106" t="str">
            <v>600000A  600250   999999999602000   602400   999999999999999999999999999</v>
          </cell>
          <cell r="Q106" t="str">
            <v xml:space="preserve">none     </v>
          </cell>
          <cell r="R106" t="str">
            <v>RollFCST-Working Version</v>
          </cell>
          <cell r="S106" t="str">
            <v>RollFCST-Working Version</v>
          </cell>
          <cell r="T106" t="str">
            <v xml:space="preserve"> </v>
          </cell>
          <cell r="U106" t="str">
            <v xml:space="preserve"> </v>
          </cell>
          <cell r="V106" t="str">
            <v>602400</v>
          </cell>
          <cell r="W106" t="str">
            <v>5</v>
          </cell>
          <cell r="X106" t="str">
            <v xml:space="preserve">        Other Employee Compensation     </v>
          </cell>
          <cell r="Y106">
            <v>42.5946</v>
          </cell>
          <cell r="Z106">
            <v>23.117149999999999</v>
          </cell>
          <cell r="AA106">
            <v>20.775390000000002</v>
          </cell>
          <cell r="AB106">
            <v>28.25854</v>
          </cell>
          <cell r="AC106">
            <v>114.74567999999999</v>
          </cell>
          <cell r="AD106">
            <v>53.140320000000003</v>
          </cell>
          <cell r="AE106">
            <v>25.42962</v>
          </cell>
          <cell r="AF106">
            <v>28.50235</v>
          </cell>
          <cell r="AG106">
            <v>30</v>
          </cell>
          <cell r="AH106">
            <v>137.07229000000001</v>
          </cell>
          <cell r="AI106" t="str">
            <v xml:space="preserve">U.S. Dollar                   </v>
          </cell>
          <cell r="AJ106" t="str">
            <v xml:space="preserve"> </v>
          </cell>
          <cell r="AK106" t="str">
            <v xml:space="preserve"> </v>
          </cell>
          <cell r="AL106" t="str">
            <v xml:space="preserve"> </v>
          </cell>
          <cell r="AM106" t="str">
            <v xml:space="preserve"> </v>
          </cell>
          <cell r="AN106" t="str">
            <v xml:space="preserve"> </v>
          </cell>
          <cell r="AO106" t="str">
            <v xml:space="preserve"> </v>
          </cell>
          <cell r="AP106" t="str">
            <v xml:space="preserve"> </v>
          </cell>
          <cell r="AQ106" t="str">
            <v xml:space="preserve"> </v>
          </cell>
        </row>
        <row r="107">
          <cell r="A107" t="str">
            <v>FBD.......602000</v>
          </cell>
          <cell r="B107" t="str">
            <v>2003T12</v>
          </cell>
          <cell r="C107" t="str">
            <v xml:space="preserve">TREND    </v>
          </cell>
          <cell r="D107" t="str">
            <v xml:space="preserve">Trend -  QTD Average/Activity                     </v>
          </cell>
          <cell r="E107" t="str">
            <v>Run: 08/07/03 13:53:41</v>
          </cell>
          <cell r="F107" t="str">
            <v>999</v>
          </cell>
          <cell r="G107" t="str">
            <v>100</v>
          </cell>
          <cell r="H107" t="str">
            <v xml:space="preserve">Bank Of America Management Reporting              </v>
          </cell>
          <cell r="I107" t="str">
            <v>001</v>
          </cell>
          <cell r="J107" t="str">
            <v>FBD.......</v>
          </cell>
          <cell r="K107" t="str">
            <v xml:space="preserve">Emg Ops Asia                                      </v>
          </cell>
          <cell r="L107" t="str">
            <v xml:space="preserve"> </v>
          </cell>
          <cell r="M107" t="str">
            <v xml:space="preserve"> </v>
          </cell>
          <cell r="N107" t="str">
            <v>bamgt</v>
          </cell>
          <cell r="O107" t="str">
            <v>40</v>
          </cell>
          <cell r="P107" t="str">
            <v>600000A  600250   999999999602000   999999999999999999999999999999999999</v>
          </cell>
          <cell r="Q107" t="str">
            <v xml:space="preserve">none     </v>
          </cell>
          <cell r="R107" t="str">
            <v>RollFCST-Working Version</v>
          </cell>
          <cell r="S107" t="str">
            <v>RollFCST-Working Version</v>
          </cell>
          <cell r="T107" t="str">
            <v xml:space="preserve"> </v>
          </cell>
          <cell r="U107" t="str">
            <v xml:space="preserve"> </v>
          </cell>
          <cell r="V107" t="str">
            <v>602000</v>
          </cell>
          <cell r="W107" t="str">
            <v>4</v>
          </cell>
          <cell r="X107" t="str">
            <v xml:space="preserve">      Contract Temporary/Other Compensat</v>
          </cell>
          <cell r="Y107">
            <v>44.404310000000002</v>
          </cell>
          <cell r="Z107">
            <v>27.893509999999999</v>
          </cell>
          <cell r="AA107">
            <v>23.802379999999999</v>
          </cell>
          <cell r="AB107">
            <v>29.218250000000001</v>
          </cell>
          <cell r="AC107">
            <v>125.31845</v>
          </cell>
          <cell r="AD107">
            <v>55.285699999999999</v>
          </cell>
          <cell r="AE107">
            <v>26.967359999999999</v>
          </cell>
          <cell r="AF107">
            <v>30.866119999999999</v>
          </cell>
          <cell r="AG107">
            <v>33</v>
          </cell>
          <cell r="AH107">
            <v>146.11918</v>
          </cell>
          <cell r="AI107" t="str">
            <v xml:space="preserve">U.S. Dollar                   </v>
          </cell>
          <cell r="AJ107" t="str">
            <v xml:space="preserve"> </v>
          </cell>
          <cell r="AK107" t="str">
            <v xml:space="preserve"> </v>
          </cell>
          <cell r="AL107" t="str">
            <v xml:space="preserve"> </v>
          </cell>
          <cell r="AM107" t="str">
            <v xml:space="preserve"> </v>
          </cell>
          <cell r="AN107" t="str">
            <v xml:space="preserve"> </v>
          </cell>
          <cell r="AO107" t="str">
            <v xml:space="preserve"> </v>
          </cell>
          <cell r="AP107" t="str">
            <v xml:space="preserve"> </v>
          </cell>
          <cell r="AQ107" t="str">
            <v xml:space="preserve"> </v>
          </cell>
        </row>
        <row r="108">
          <cell r="A108" t="str">
            <v>FBD.......603000</v>
          </cell>
          <cell r="B108" t="str">
            <v>2003T12</v>
          </cell>
          <cell r="C108" t="str">
            <v xml:space="preserve">TREND    </v>
          </cell>
          <cell r="D108" t="str">
            <v xml:space="preserve">Trend -  QTD Average/Activity                     </v>
          </cell>
          <cell r="E108" t="str">
            <v>Run: 08/07/03 13:53:41</v>
          </cell>
          <cell r="F108" t="str">
            <v>999</v>
          </cell>
          <cell r="G108" t="str">
            <v>100</v>
          </cell>
          <cell r="H108" t="str">
            <v xml:space="preserve">Bank Of America Management Reporting              </v>
          </cell>
          <cell r="I108" t="str">
            <v>001</v>
          </cell>
          <cell r="J108" t="str">
            <v>FBD.......</v>
          </cell>
          <cell r="K108" t="str">
            <v xml:space="preserve">Emg Ops Asia                                      </v>
          </cell>
          <cell r="L108" t="str">
            <v xml:space="preserve"> </v>
          </cell>
          <cell r="M108" t="str">
            <v xml:space="preserve"> </v>
          </cell>
          <cell r="N108" t="str">
            <v>bamgt</v>
          </cell>
          <cell r="O108" t="str">
            <v>40</v>
          </cell>
          <cell r="P108" t="str">
            <v>600000A  600250   999999999603000   999999999999999999999999999999999999</v>
          </cell>
          <cell r="Q108" t="str">
            <v xml:space="preserve">none     </v>
          </cell>
          <cell r="R108" t="str">
            <v>RollFCST-Working Version</v>
          </cell>
          <cell r="S108" t="str">
            <v>RollFCST-Working Version</v>
          </cell>
          <cell r="T108" t="str">
            <v xml:space="preserve"> </v>
          </cell>
          <cell r="U108" t="str">
            <v xml:space="preserve"> </v>
          </cell>
          <cell r="V108" t="str">
            <v>603000</v>
          </cell>
          <cell r="W108" t="str">
            <v>4</v>
          </cell>
          <cell r="X108" t="str">
            <v xml:space="preserve">      Employee Benefits                 </v>
          </cell>
          <cell r="Y108">
            <v>108.35732</v>
          </cell>
          <cell r="Z108">
            <v>101.07724</v>
          </cell>
          <cell r="AA108">
            <v>87.902010000000004</v>
          </cell>
          <cell r="AB108">
            <v>94.018649999999994</v>
          </cell>
          <cell r="AC108">
            <v>391.35521999999997</v>
          </cell>
          <cell r="AD108">
            <v>101.94062</v>
          </cell>
          <cell r="AE108">
            <v>99.142250000000004</v>
          </cell>
          <cell r="AF108">
            <v>106.02879</v>
          </cell>
          <cell r="AG108">
            <v>102</v>
          </cell>
          <cell r="AH108">
            <v>409.11165999999997</v>
          </cell>
          <cell r="AI108" t="str">
            <v xml:space="preserve">U.S. Dollar                   </v>
          </cell>
          <cell r="AJ108" t="str">
            <v xml:space="preserve"> </v>
          </cell>
          <cell r="AK108" t="str">
            <v xml:space="preserve"> </v>
          </cell>
          <cell r="AL108" t="str">
            <v xml:space="preserve"> </v>
          </cell>
          <cell r="AM108" t="str">
            <v xml:space="preserve"> </v>
          </cell>
          <cell r="AN108" t="str">
            <v xml:space="preserve"> </v>
          </cell>
          <cell r="AO108" t="str">
            <v xml:space="preserve"> </v>
          </cell>
          <cell r="AP108" t="str">
            <v xml:space="preserve"> </v>
          </cell>
          <cell r="AQ108" t="str">
            <v xml:space="preserve"> </v>
          </cell>
        </row>
        <row r="109">
          <cell r="A109" t="str">
            <v>FBD.......600250</v>
          </cell>
          <cell r="B109" t="str">
            <v>2003T12</v>
          </cell>
          <cell r="C109" t="str">
            <v xml:space="preserve">TREND    </v>
          </cell>
          <cell r="D109" t="str">
            <v xml:space="preserve">Trend -  QTD Average/Activity                     </v>
          </cell>
          <cell r="E109" t="str">
            <v>Run: 08/07/03 13:53:41</v>
          </cell>
          <cell r="F109" t="str">
            <v>999</v>
          </cell>
          <cell r="G109" t="str">
            <v>100</v>
          </cell>
          <cell r="H109" t="str">
            <v xml:space="preserve">Bank Of America Management Reporting              </v>
          </cell>
          <cell r="I109" t="str">
            <v>001</v>
          </cell>
          <cell r="J109" t="str">
            <v>FBD.......</v>
          </cell>
          <cell r="K109" t="str">
            <v xml:space="preserve">Emg Ops Asia                                      </v>
          </cell>
          <cell r="L109" t="str">
            <v xml:space="preserve"> </v>
          </cell>
          <cell r="M109" t="str">
            <v xml:space="preserve"> </v>
          </cell>
          <cell r="N109" t="str">
            <v>bamgt</v>
          </cell>
          <cell r="O109" t="str">
            <v>40</v>
          </cell>
          <cell r="P109" t="str">
            <v>600000A  600250   999999999999999999999999999999999999999999999999999999</v>
          </cell>
          <cell r="Q109" t="str">
            <v xml:space="preserve">none     </v>
          </cell>
          <cell r="R109" t="str">
            <v>RollFCST-Working Version</v>
          </cell>
          <cell r="S109" t="str">
            <v>RollFCST-Working Version</v>
          </cell>
          <cell r="T109" t="str">
            <v xml:space="preserve"> </v>
          </cell>
          <cell r="U109" t="str">
            <v xml:space="preserve"> </v>
          </cell>
          <cell r="V109" t="str">
            <v>600250</v>
          </cell>
          <cell r="W109" t="str">
            <v>2</v>
          </cell>
          <cell r="X109" t="str">
            <v xml:space="preserve">  Personnel                             </v>
          </cell>
          <cell r="Y109">
            <v>557.34024999999997</v>
          </cell>
          <cell r="Z109">
            <v>523.70209</v>
          </cell>
          <cell r="AA109">
            <v>497.07897000000003</v>
          </cell>
          <cell r="AB109">
            <v>495.01522</v>
          </cell>
          <cell r="AC109">
            <v>2073.1365300000002</v>
          </cell>
          <cell r="AD109">
            <v>536.49558000000002</v>
          </cell>
          <cell r="AE109">
            <v>506.05086999999997</v>
          </cell>
          <cell r="AF109">
            <v>529.89188000000001</v>
          </cell>
          <cell r="AG109">
            <v>546</v>
          </cell>
          <cell r="AH109">
            <v>2118.43833</v>
          </cell>
          <cell r="AI109" t="str">
            <v xml:space="preserve">U.S. Dollar                   </v>
          </cell>
          <cell r="AJ109" t="str">
            <v xml:space="preserve"> </v>
          </cell>
          <cell r="AK109" t="str">
            <v xml:space="preserve"> </v>
          </cell>
          <cell r="AL109" t="str">
            <v xml:space="preserve"> </v>
          </cell>
          <cell r="AM109" t="str">
            <v xml:space="preserve"> </v>
          </cell>
          <cell r="AN109" t="str">
            <v xml:space="preserve"> </v>
          </cell>
          <cell r="AO109" t="str">
            <v xml:space="preserve"> </v>
          </cell>
          <cell r="AP109" t="str">
            <v xml:space="preserve"> </v>
          </cell>
          <cell r="AQ109" t="str">
            <v xml:space="preserve"> </v>
          </cell>
        </row>
        <row r="110">
          <cell r="A110" t="str">
            <v>FBD.......610000</v>
          </cell>
          <cell r="B110" t="str">
            <v>2003T12</v>
          </cell>
          <cell r="C110" t="str">
            <v xml:space="preserve">TREND    </v>
          </cell>
          <cell r="D110" t="str">
            <v xml:space="preserve">Trend -  QTD Average/Activity                     </v>
          </cell>
          <cell r="E110" t="str">
            <v>Run: 08/07/03 13:53:41</v>
          </cell>
          <cell r="F110" t="str">
            <v>999</v>
          </cell>
          <cell r="G110" t="str">
            <v>100</v>
          </cell>
          <cell r="H110" t="str">
            <v xml:space="preserve">Bank Of America Management Reporting              </v>
          </cell>
          <cell r="I110" t="str">
            <v>001</v>
          </cell>
          <cell r="J110" t="str">
            <v>FBD.......</v>
          </cell>
          <cell r="K110" t="str">
            <v xml:space="preserve">Emg Ops Asia                                      </v>
          </cell>
          <cell r="L110" t="str">
            <v xml:space="preserve"> </v>
          </cell>
          <cell r="M110" t="str">
            <v xml:space="preserve"> </v>
          </cell>
          <cell r="N110" t="str">
            <v>bamgt</v>
          </cell>
          <cell r="O110" t="str">
            <v>40</v>
          </cell>
          <cell r="P110" t="str">
            <v>600000A  610000   999999999999999999999999999999999999999999999999999999</v>
          </cell>
          <cell r="Q110" t="str">
            <v xml:space="preserve">none     </v>
          </cell>
          <cell r="R110" t="str">
            <v>RollFCST-Working Version</v>
          </cell>
          <cell r="S110" t="str">
            <v>RollFCST-Working Version</v>
          </cell>
          <cell r="T110" t="str">
            <v xml:space="preserve"> </v>
          </cell>
          <cell r="U110" t="str">
            <v xml:space="preserve"> </v>
          </cell>
          <cell r="V110" t="str">
            <v>610000</v>
          </cell>
          <cell r="W110" t="str">
            <v>2</v>
          </cell>
          <cell r="X110" t="str">
            <v xml:space="preserve">  Net Occupancy Expense                 </v>
          </cell>
          <cell r="Y110">
            <v>118.74666000000001</v>
          </cell>
          <cell r="Z110">
            <v>96.800970000000007</v>
          </cell>
          <cell r="AA110">
            <v>108.19902999999999</v>
          </cell>
          <cell r="AB110">
            <v>110.12083</v>
          </cell>
          <cell r="AC110">
            <v>433.86748999999998</v>
          </cell>
          <cell r="AD110">
            <v>83.529719999999998</v>
          </cell>
          <cell r="AE110">
            <v>90.321460000000002</v>
          </cell>
          <cell r="AF110">
            <v>118.54751</v>
          </cell>
          <cell r="AG110">
            <v>135.15</v>
          </cell>
          <cell r="AH110">
            <v>427.54869000000002</v>
          </cell>
          <cell r="AI110" t="str">
            <v xml:space="preserve">U.S. Dollar                   </v>
          </cell>
          <cell r="AJ110" t="str">
            <v xml:space="preserve"> </v>
          </cell>
          <cell r="AK110" t="str">
            <v xml:space="preserve"> </v>
          </cell>
          <cell r="AL110" t="str">
            <v xml:space="preserve"> </v>
          </cell>
          <cell r="AM110" t="str">
            <v xml:space="preserve"> </v>
          </cell>
          <cell r="AN110" t="str">
            <v xml:space="preserve"> </v>
          </cell>
          <cell r="AO110" t="str">
            <v xml:space="preserve"> </v>
          </cell>
          <cell r="AP110" t="str">
            <v xml:space="preserve"> </v>
          </cell>
          <cell r="AQ110" t="str">
            <v xml:space="preserve"> </v>
          </cell>
        </row>
        <row r="111">
          <cell r="A111" t="str">
            <v>FBD.......620000</v>
          </cell>
          <cell r="B111" t="str">
            <v>2003T12</v>
          </cell>
          <cell r="C111" t="str">
            <v xml:space="preserve">TREND    </v>
          </cell>
          <cell r="D111" t="str">
            <v xml:space="preserve">Trend -  QTD Average/Activity                     </v>
          </cell>
          <cell r="E111" t="str">
            <v>Run: 08/07/03 13:53:41</v>
          </cell>
          <cell r="F111" t="str">
            <v>999</v>
          </cell>
          <cell r="G111" t="str">
            <v>100</v>
          </cell>
          <cell r="H111" t="str">
            <v xml:space="preserve">Bank Of America Management Reporting              </v>
          </cell>
          <cell r="I111" t="str">
            <v>001</v>
          </cell>
          <cell r="J111" t="str">
            <v>FBD.......</v>
          </cell>
          <cell r="K111" t="str">
            <v xml:space="preserve">Emg Ops Asia                                      </v>
          </cell>
          <cell r="L111" t="str">
            <v xml:space="preserve"> </v>
          </cell>
          <cell r="M111" t="str">
            <v xml:space="preserve"> </v>
          </cell>
          <cell r="N111" t="str">
            <v>bamgt</v>
          </cell>
          <cell r="O111" t="str">
            <v>40</v>
          </cell>
          <cell r="P111" t="str">
            <v>600000A  620000   999999999999999999999999999999999999999999999999999999</v>
          </cell>
          <cell r="Q111" t="str">
            <v xml:space="preserve">none     </v>
          </cell>
          <cell r="R111" t="str">
            <v>RollFCST-Working Version</v>
          </cell>
          <cell r="S111" t="str">
            <v>RollFCST-Working Version</v>
          </cell>
          <cell r="T111" t="str">
            <v xml:space="preserve"> </v>
          </cell>
          <cell r="U111" t="str">
            <v xml:space="preserve"> </v>
          </cell>
          <cell r="V111" t="str">
            <v>620000</v>
          </cell>
          <cell r="W111" t="str">
            <v>2</v>
          </cell>
          <cell r="X111" t="str">
            <v xml:space="preserve">  Furniture &amp; Equipment                 </v>
          </cell>
          <cell r="Y111">
            <v>37.066540000000003</v>
          </cell>
          <cell r="Z111">
            <v>25.224540000000001</v>
          </cell>
          <cell r="AA111">
            <v>26.12904</v>
          </cell>
          <cell r="AB111">
            <v>24.956659999999999</v>
          </cell>
          <cell r="AC111">
            <v>113.37678</v>
          </cell>
          <cell r="AD111">
            <v>26.942499999999999</v>
          </cell>
          <cell r="AE111">
            <v>18.820239999999998</v>
          </cell>
          <cell r="AF111">
            <v>26.073550000000001</v>
          </cell>
          <cell r="AG111">
            <v>31</v>
          </cell>
          <cell r="AH111">
            <v>102.83629000000001</v>
          </cell>
          <cell r="AI111" t="str">
            <v xml:space="preserve">U.S. Dollar                   </v>
          </cell>
          <cell r="AJ111" t="str">
            <v xml:space="preserve"> </v>
          </cell>
          <cell r="AK111" t="str">
            <v xml:space="preserve"> </v>
          </cell>
          <cell r="AL111" t="str">
            <v xml:space="preserve"> </v>
          </cell>
          <cell r="AM111" t="str">
            <v xml:space="preserve"> </v>
          </cell>
          <cell r="AN111" t="str">
            <v xml:space="preserve"> </v>
          </cell>
          <cell r="AO111" t="str">
            <v xml:space="preserve"> </v>
          </cell>
          <cell r="AP111" t="str">
            <v xml:space="preserve"> </v>
          </cell>
          <cell r="AQ111" t="str">
            <v xml:space="preserve"> </v>
          </cell>
        </row>
        <row r="112">
          <cell r="A112" t="str">
            <v>FBD.......623000</v>
          </cell>
          <cell r="B112" t="str">
            <v>2003T12</v>
          </cell>
          <cell r="C112" t="str">
            <v xml:space="preserve">TREND    </v>
          </cell>
          <cell r="D112" t="str">
            <v xml:space="preserve">Trend -  QTD Average/Activity                     </v>
          </cell>
          <cell r="E112" t="str">
            <v>Run: 08/07/03 13:53:41</v>
          </cell>
          <cell r="F112" t="str">
            <v>999</v>
          </cell>
          <cell r="G112" t="str">
            <v>100</v>
          </cell>
          <cell r="H112" t="str">
            <v xml:space="preserve">Bank Of America Management Reporting              </v>
          </cell>
          <cell r="I112" t="str">
            <v>001</v>
          </cell>
          <cell r="J112" t="str">
            <v>FBD.......</v>
          </cell>
          <cell r="K112" t="str">
            <v xml:space="preserve">Emg Ops Asia                                      </v>
          </cell>
          <cell r="L112" t="str">
            <v xml:space="preserve"> </v>
          </cell>
          <cell r="M112" t="str">
            <v xml:space="preserve"> </v>
          </cell>
          <cell r="N112" t="str">
            <v>bamgt</v>
          </cell>
          <cell r="O112" t="str">
            <v>40</v>
          </cell>
          <cell r="P112" t="str">
            <v>600000A  623000   999999999999999999999999999999999999999999999999999999</v>
          </cell>
          <cell r="Q112" t="str">
            <v xml:space="preserve">none     </v>
          </cell>
          <cell r="R112" t="str">
            <v>RollFCST-Working Version</v>
          </cell>
          <cell r="S112" t="str">
            <v>RollFCST-Working Version</v>
          </cell>
          <cell r="T112" t="str">
            <v xml:space="preserve"> </v>
          </cell>
          <cell r="U112" t="str">
            <v xml:space="preserve"> </v>
          </cell>
          <cell r="V112" t="str">
            <v>623000</v>
          </cell>
          <cell r="W112" t="str">
            <v>2</v>
          </cell>
          <cell r="X112" t="str">
            <v xml:space="preserve">  Marketing &amp; Promotional               </v>
          </cell>
          <cell r="Y112">
            <v>0.67779</v>
          </cell>
          <cell r="Z112">
            <v>1.2815099999999999</v>
          </cell>
          <cell r="AA112">
            <v>3.4656500000000001</v>
          </cell>
          <cell r="AB112">
            <v>3.4643000000000002</v>
          </cell>
          <cell r="AC112">
            <v>8.8892500000000005</v>
          </cell>
          <cell r="AD112">
            <v>0.90651999999999999</v>
          </cell>
          <cell r="AE112">
            <v>0.37437999999999999</v>
          </cell>
          <cell r="AF112">
            <v>0.12883</v>
          </cell>
          <cell r="AG112">
            <v>0</v>
          </cell>
          <cell r="AH112">
            <v>1.4097299999999999</v>
          </cell>
          <cell r="AI112" t="str">
            <v xml:space="preserve">U.S. Dollar                   </v>
          </cell>
          <cell r="AJ112" t="str">
            <v xml:space="preserve"> </v>
          </cell>
          <cell r="AK112" t="str">
            <v xml:space="preserve"> </v>
          </cell>
          <cell r="AL112" t="str">
            <v xml:space="preserve"> </v>
          </cell>
          <cell r="AM112" t="str">
            <v xml:space="preserve"> </v>
          </cell>
          <cell r="AN112" t="str">
            <v xml:space="preserve"> </v>
          </cell>
          <cell r="AO112" t="str">
            <v xml:space="preserve"> </v>
          </cell>
          <cell r="AP112" t="str">
            <v xml:space="preserve"> </v>
          </cell>
          <cell r="AQ112" t="str">
            <v xml:space="preserve"> </v>
          </cell>
        </row>
        <row r="113">
          <cell r="A113" t="str">
            <v>FBD.......630000</v>
          </cell>
          <cell r="B113" t="str">
            <v>2003T12</v>
          </cell>
          <cell r="C113" t="str">
            <v xml:space="preserve">TREND    </v>
          </cell>
          <cell r="D113" t="str">
            <v xml:space="preserve">Trend -  QTD Average/Activity                     </v>
          </cell>
          <cell r="E113" t="str">
            <v>Run: 08/07/03 13:53:41</v>
          </cell>
          <cell r="F113" t="str">
            <v>999</v>
          </cell>
          <cell r="G113" t="str">
            <v>100</v>
          </cell>
          <cell r="H113" t="str">
            <v xml:space="preserve">Bank Of America Management Reporting              </v>
          </cell>
          <cell r="I113" t="str">
            <v>001</v>
          </cell>
          <cell r="J113" t="str">
            <v>FBD.......</v>
          </cell>
          <cell r="K113" t="str">
            <v xml:space="preserve">Emg Ops Asia                                      </v>
          </cell>
          <cell r="L113" t="str">
            <v xml:space="preserve"> </v>
          </cell>
          <cell r="M113" t="str">
            <v xml:space="preserve"> </v>
          </cell>
          <cell r="N113" t="str">
            <v>bamgt</v>
          </cell>
          <cell r="O113" t="str">
            <v>40</v>
          </cell>
          <cell r="P113" t="str">
            <v>600000A  630000   999999999999999999999999999999999999999999999999999999</v>
          </cell>
          <cell r="Q113" t="str">
            <v xml:space="preserve">none     </v>
          </cell>
          <cell r="R113" t="str">
            <v>RollFCST-Working Version</v>
          </cell>
          <cell r="S113" t="str">
            <v>RollFCST-Working Version</v>
          </cell>
          <cell r="T113" t="str">
            <v xml:space="preserve"> </v>
          </cell>
          <cell r="U113" t="str">
            <v xml:space="preserve"> </v>
          </cell>
          <cell r="V113" t="str">
            <v>630000</v>
          </cell>
          <cell r="W113" t="str">
            <v>2</v>
          </cell>
          <cell r="X113" t="str">
            <v xml:space="preserve">  Professional Fees                     </v>
          </cell>
          <cell r="Y113">
            <v>5.8662700000000001</v>
          </cell>
          <cell r="Z113">
            <v>4.1072800000000003</v>
          </cell>
          <cell r="AA113">
            <v>53.873060000000002</v>
          </cell>
          <cell r="AB113">
            <v>-46.850389999999997</v>
          </cell>
          <cell r="AC113">
            <v>16.996220000000001</v>
          </cell>
          <cell r="AD113">
            <v>1.5763</v>
          </cell>
          <cell r="AE113">
            <v>2.2274699999999998</v>
          </cell>
          <cell r="AF113">
            <v>2.9129200000000002</v>
          </cell>
          <cell r="AG113">
            <v>3</v>
          </cell>
          <cell r="AH113">
            <v>9.7166899999999998</v>
          </cell>
          <cell r="AI113" t="str">
            <v xml:space="preserve">U.S. Dollar                   </v>
          </cell>
          <cell r="AJ113" t="str">
            <v xml:space="preserve"> </v>
          </cell>
          <cell r="AK113" t="str">
            <v xml:space="preserve"> </v>
          </cell>
          <cell r="AL113" t="str">
            <v xml:space="preserve"> </v>
          </cell>
          <cell r="AM113" t="str">
            <v xml:space="preserve"> </v>
          </cell>
          <cell r="AN113" t="str">
            <v xml:space="preserve"> </v>
          </cell>
          <cell r="AO113" t="str">
            <v xml:space="preserve"> </v>
          </cell>
          <cell r="AP113" t="str">
            <v xml:space="preserve"> </v>
          </cell>
          <cell r="AQ113" t="str">
            <v xml:space="preserve"> </v>
          </cell>
        </row>
        <row r="114">
          <cell r="A114" t="str">
            <v>FBD.......651500A</v>
          </cell>
          <cell r="B114" t="str">
            <v>2003T12</v>
          </cell>
          <cell r="C114" t="str">
            <v xml:space="preserve">TREND    </v>
          </cell>
          <cell r="D114" t="str">
            <v xml:space="preserve">Trend -  QTD Average/Activity                     </v>
          </cell>
          <cell r="E114" t="str">
            <v>Run: 08/07/03 13:53:41</v>
          </cell>
          <cell r="F114" t="str">
            <v>999</v>
          </cell>
          <cell r="G114" t="str">
            <v>100</v>
          </cell>
          <cell r="H114" t="str">
            <v xml:space="preserve">Bank Of America Management Reporting              </v>
          </cell>
          <cell r="I114" t="str">
            <v>001</v>
          </cell>
          <cell r="J114" t="str">
            <v>FBD.......</v>
          </cell>
          <cell r="K114" t="str">
            <v xml:space="preserve">Emg Ops Asia                                      </v>
          </cell>
          <cell r="L114" t="str">
            <v xml:space="preserve"> </v>
          </cell>
          <cell r="M114" t="str">
            <v xml:space="preserve"> </v>
          </cell>
          <cell r="N114" t="str">
            <v>bamgt</v>
          </cell>
          <cell r="O114" t="str">
            <v>40</v>
          </cell>
          <cell r="P114" t="str">
            <v>600000A  651500A  999999999999999999999999999999999999999999999999999999</v>
          </cell>
          <cell r="Q114" t="str">
            <v xml:space="preserve">none     </v>
          </cell>
          <cell r="R114" t="str">
            <v>RollFCST-Working Version</v>
          </cell>
          <cell r="S114" t="str">
            <v>RollFCST-Working Version</v>
          </cell>
          <cell r="T114" t="str">
            <v xml:space="preserve"> </v>
          </cell>
          <cell r="U114" t="str">
            <v xml:space="preserve"> </v>
          </cell>
          <cell r="V114" t="str">
            <v>651500A</v>
          </cell>
          <cell r="W114" t="str">
            <v>2</v>
          </cell>
          <cell r="X114" t="str">
            <v xml:space="preserve">  Direct Processing Expense             </v>
          </cell>
          <cell r="Y114">
            <v>4.9833699999999999</v>
          </cell>
          <cell r="Z114">
            <v>3.0721799999999999</v>
          </cell>
          <cell r="AA114">
            <v>3.9328400000000001</v>
          </cell>
          <cell r="AB114">
            <v>55.265999999999998</v>
          </cell>
          <cell r="AC114">
            <v>67.254390000000001</v>
          </cell>
          <cell r="AD114">
            <v>11.17675</v>
          </cell>
          <cell r="AE114">
            <v>11.840630000000001</v>
          </cell>
          <cell r="AF114">
            <v>13.601330000000001</v>
          </cell>
          <cell r="AG114">
            <v>14</v>
          </cell>
          <cell r="AH114">
            <v>50.61871</v>
          </cell>
          <cell r="AI114" t="str">
            <v xml:space="preserve">U.S. Dollar                   </v>
          </cell>
          <cell r="AJ114" t="str">
            <v xml:space="preserve"> </v>
          </cell>
          <cell r="AK114" t="str">
            <v xml:space="preserve"> </v>
          </cell>
          <cell r="AL114" t="str">
            <v xml:space="preserve"> </v>
          </cell>
          <cell r="AM114" t="str">
            <v xml:space="preserve"> </v>
          </cell>
          <cell r="AN114" t="str">
            <v xml:space="preserve"> </v>
          </cell>
          <cell r="AO114" t="str">
            <v xml:space="preserve"> </v>
          </cell>
          <cell r="AP114" t="str">
            <v xml:space="preserve"> </v>
          </cell>
          <cell r="AQ114" t="str">
            <v xml:space="preserve"> </v>
          </cell>
        </row>
        <row r="115">
          <cell r="A115" t="str">
            <v>FBD.......660000A</v>
          </cell>
          <cell r="B115" t="str">
            <v>2003T12</v>
          </cell>
          <cell r="C115" t="str">
            <v xml:space="preserve">TREND    </v>
          </cell>
          <cell r="D115" t="str">
            <v xml:space="preserve">Trend -  QTD Average/Activity                     </v>
          </cell>
          <cell r="E115" t="str">
            <v>Run: 08/07/03 13:53:41</v>
          </cell>
          <cell r="F115" t="str">
            <v>999</v>
          </cell>
          <cell r="G115" t="str">
            <v>100</v>
          </cell>
          <cell r="H115" t="str">
            <v xml:space="preserve">Bank Of America Management Reporting              </v>
          </cell>
          <cell r="I115" t="str">
            <v>001</v>
          </cell>
          <cell r="J115" t="str">
            <v>FBD.......</v>
          </cell>
          <cell r="K115" t="str">
            <v xml:space="preserve">Emg Ops Asia                                      </v>
          </cell>
          <cell r="L115" t="str">
            <v xml:space="preserve"> </v>
          </cell>
          <cell r="M115" t="str">
            <v xml:space="preserve"> </v>
          </cell>
          <cell r="N115" t="str">
            <v>bamgt</v>
          </cell>
          <cell r="O115" t="str">
            <v>40</v>
          </cell>
          <cell r="P115" t="str">
            <v>600000A  660000A  999999999999999999999999999999999999999999999999999999</v>
          </cell>
          <cell r="Q115" t="str">
            <v xml:space="preserve">none     </v>
          </cell>
          <cell r="R115" t="str">
            <v>RollFCST-Working Version</v>
          </cell>
          <cell r="S115" t="str">
            <v>RollFCST-Working Version</v>
          </cell>
          <cell r="T115" t="str">
            <v xml:space="preserve"> </v>
          </cell>
          <cell r="U115" t="str">
            <v xml:space="preserve"> </v>
          </cell>
          <cell r="V115" t="str">
            <v>660000A</v>
          </cell>
          <cell r="W115" t="str">
            <v>2</v>
          </cell>
          <cell r="X115" t="str">
            <v xml:space="preserve">  Telecommunications                    </v>
          </cell>
          <cell r="Y115">
            <v>11.18999</v>
          </cell>
          <cell r="Z115">
            <v>9.2513400000000008</v>
          </cell>
          <cell r="AA115">
            <v>9.2804000000000002</v>
          </cell>
          <cell r="AB115">
            <v>8.2554599999999994</v>
          </cell>
          <cell r="AC115">
            <v>37.97719</v>
          </cell>
          <cell r="AD115">
            <v>9.8711500000000001</v>
          </cell>
          <cell r="AE115">
            <v>5.2258599999999999</v>
          </cell>
          <cell r="AF115">
            <v>7.6358300000000003</v>
          </cell>
          <cell r="AG115">
            <v>9.73</v>
          </cell>
          <cell r="AH115">
            <v>32.46284</v>
          </cell>
          <cell r="AI115" t="str">
            <v xml:space="preserve">U.S. Dollar                   </v>
          </cell>
          <cell r="AJ115" t="str">
            <v xml:space="preserve"> </v>
          </cell>
          <cell r="AK115" t="str">
            <v xml:space="preserve"> </v>
          </cell>
          <cell r="AL115" t="str">
            <v xml:space="preserve"> </v>
          </cell>
          <cell r="AM115" t="str">
            <v xml:space="preserve"> </v>
          </cell>
          <cell r="AN115" t="str">
            <v xml:space="preserve"> </v>
          </cell>
          <cell r="AO115" t="str">
            <v xml:space="preserve"> </v>
          </cell>
          <cell r="AP115" t="str">
            <v xml:space="preserve"> </v>
          </cell>
          <cell r="AQ115" t="str">
            <v xml:space="preserve"> </v>
          </cell>
        </row>
        <row r="116">
          <cell r="A116" t="str">
            <v>FBD.......663000</v>
          </cell>
          <cell r="B116" t="str">
            <v>2003T12</v>
          </cell>
          <cell r="C116" t="str">
            <v xml:space="preserve">TREND    </v>
          </cell>
          <cell r="D116" t="str">
            <v xml:space="preserve">Trend -  QTD Average/Activity                     </v>
          </cell>
          <cell r="E116" t="str">
            <v>Run: 08/07/03 13:53:41</v>
          </cell>
          <cell r="F116" t="str">
            <v>999</v>
          </cell>
          <cell r="G116" t="str">
            <v>100</v>
          </cell>
          <cell r="H116" t="str">
            <v xml:space="preserve">Bank Of America Management Reporting              </v>
          </cell>
          <cell r="I116" t="str">
            <v>001</v>
          </cell>
          <cell r="J116" t="str">
            <v>FBD.......</v>
          </cell>
          <cell r="K116" t="str">
            <v xml:space="preserve">Emg Ops Asia                                      </v>
          </cell>
          <cell r="L116" t="str">
            <v xml:space="preserve"> </v>
          </cell>
          <cell r="M116" t="str">
            <v xml:space="preserve"> </v>
          </cell>
          <cell r="N116" t="str">
            <v>bamgt</v>
          </cell>
          <cell r="O116" t="str">
            <v>40</v>
          </cell>
          <cell r="P116" t="str">
            <v>600000A  662999B  662999C  663000   999999999999999999999999999999999999</v>
          </cell>
          <cell r="Q116" t="str">
            <v xml:space="preserve">none     </v>
          </cell>
          <cell r="R116" t="str">
            <v>RollFCST-Working Version</v>
          </cell>
          <cell r="S116" t="str">
            <v>RollFCST-Working Version</v>
          </cell>
          <cell r="T116" t="str">
            <v xml:space="preserve"> </v>
          </cell>
          <cell r="U116" t="str">
            <v xml:space="preserve"> </v>
          </cell>
          <cell r="V116" t="str">
            <v>663000</v>
          </cell>
          <cell r="W116" t="str">
            <v>4</v>
          </cell>
          <cell r="X116" t="str">
            <v xml:space="preserve">      Supplies                          </v>
          </cell>
          <cell r="Y116">
            <v>7.7272800000000004</v>
          </cell>
          <cell r="Z116">
            <v>7.90808</v>
          </cell>
          <cell r="AA116">
            <v>7.9689399999999999</v>
          </cell>
          <cell r="AB116">
            <v>9.2551400000000008</v>
          </cell>
          <cell r="AC116">
            <v>32.859439999999999</v>
          </cell>
          <cell r="AD116">
            <v>6.1838199999999999</v>
          </cell>
          <cell r="AE116">
            <v>8.7217199999999995</v>
          </cell>
          <cell r="AF116">
            <v>8.5301100000000005</v>
          </cell>
          <cell r="AG116">
            <v>9</v>
          </cell>
          <cell r="AH116">
            <v>32.435650000000003</v>
          </cell>
          <cell r="AI116" t="str">
            <v xml:space="preserve">U.S. Dollar                   </v>
          </cell>
          <cell r="AJ116" t="str">
            <v xml:space="preserve"> </v>
          </cell>
          <cell r="AK116" t="str">
            <v xml:space="preserve"> </v>
          </cell>
          <cell r="AL116" t="str">
            <v xml:space="preserve"> </v>
          </cell>
          <cell r="AM116" t="str">
            <v xml:space="preserve"> </v>
          </cell>
          <cell r="AN116" t="str">
            <v xml:space="preserve"> </v>
          </cell>
          <cell r="AO116" t="str">
            <v xml:space="preserve"> </v>
          </cell>
          <cell r="AP116" t="str">
            <v xml:space="preserve"> </v>
          </cell>
          <cell r="AQ116" t="str">
            <v xml:space="preserve"> </v>
          </cell>
        </row>
        <row r="117">
          <cell r="A117" t="str">
            <v>FBD.......664500</v>
          </cell>
          <cell r="B117" t="str">
            <v>2003T12</v>
          </cell>
          <cell r="C117" t="str">
            <v xml:space="preserve">TREND    </v>
          </cell>
          <cell r="D117" t="str">
            <v xml:space="preserve">Trend -  QTD Average/Activity                     </v>
          </cell>
          <cell r="E117" t="str">
            <v>Run: 08/07/03 13:53:41</v>
          </cell>
          <cell r="F117" t="str">
            <v>999</v>
          </cell>
          <cell r="G117" t="str">
            <v>100</v>
          </cell>
          <cell r="H117" t="str">
            <v xml:space="preserve">Bank Of America Management Reporting              </v>
          </cell>
          <cell r="I117" t="str">
            <v>001</v>
          </cell>
          <cell r="J117" t="str">
            <v>FBD.......</v>
          </cell>
          <cell r="K117" t="str">
            <v xml:space="preserve">Emg Ops Asia                                      </v>
          </cell>
          <cell r="L117" t="str">
            <v xml:space="preserve"> </v>
          </cell>
          <cell r="M117" t="str">
            <v xml:space="preserve"> </v>
          </cell>
          <cell r="N117" t="str">
            <v>bamgt</v>
          </cell>
          <cell r="O117" t="str">
            <v>40</v>
          </cell>
          <cell r="P117" t="str">
            <v>600000A  662999B  662999C  664500   999999999999999999999999999999999999</v>
          </cell>
          <cell r="Q117" t="str">
            <v xml:space="preserve">none     </v>
          </cell>
          <cell r="R117" t="str">
            <v>RollFCST-Working Version</v>
          </cell>
          <cell r="S117" t="str">
            <v>RollFCST-Working Version</v>
          </cell>
          <cell r="T117" t="str">
            <v xml:space="preserve"> </v>
          </cell>
          <cell r="U117" t="str">
            <v xml:space="preserve"> </v>
          </cell>
          <cell r="V117" t="str">
            <v>664500</v>
          </cell>
          <cell r="W117" t="str">
            <v>4</v>
          </cell>
          <cell r="X117" t="str">
            <v xml:space="preserve">      Postage And Courier               </v>
          </cell>
          <cell r="Y117">
            <v>6.95296</v>
          </cell>
          <cell r="Z117">
            <v>7.7503299999999999</v>
          </cell>
          <cell r="AA117">
            <v>6.34626</v>
          </cell>
          <cell r="AB117">
            <v>6.0462100000000003</v>
          </cell>
          <cell r="AC117">
            <v>27.095759999999999</v>
          </cell>
          <cell r="AD117">
            <v>5.0281599999999997</v>
          </cell>
          <cell r="AE117">
            <v>4.5618999999999996</v>
          </cell>
          <cell r="AF117">
            <v>8.8639399999999995</v>
          </cell>
          <cell r="AG117">
            <v>9</v>
          </cell>
          <cell r="AH117">
            <v>27.454000000000001</v>
          </cell>
          <cell r="AI117" t="str">
            <v xml:space="preserve">U.S. Dollar                   </v>
          </cell>
          <cell r="AJ117" t="str">
            <v xml:space="preserve"> </v>
          </cell>
          <cell r="AK117" t="str">
            <v xml:space="preserve"> </v>
          </cell>
          <cell r="AL117" t="str">
            <v xml:space="preserve"> </v>
          </cell>
          <cell r="AM117" t="str">
            <v xml:space="preserve"> </v>
          </cell>
          <cell r="AN117" t="str">
            <v xml:space="preserve"> </v>
          </cell>
          <cell r="AO117" t="str">
            <v xml:space="preserve"> </v>
          </cell>
          <cell r="AP117" t="str">
            <v xml:space="preserve"> </v>
          </cell>
          <cell r="AQ117" t="str">
            <v xml:space="preserve"> </v>
          </cell>
        </row>
        <row r="118">
          <cell r="A118" t="str">
            <v>FBD.......665499F</v>
          </cell>
          <cell r="B118" t="str">
            <v>2003T12</v>
          </cell>
          <cell r="C118" t="str">
            <v xml:space="preserve">TREND    </v>
          </cell>
          <cell r="D118" t="str">
            <v xml:space="preserve">Trend -  QTD Average/Activity                     </v>
          </cell>
          <cell r="E118" t="str">
            <v>Run: 08/07/03 13:53:41</v>
          </cell>
          <cell r="F118" t="str">
            <v>999</v>
          </cell>
          <cell r="G118" t="str">
            <v>100</v>
          </cell>
          <cell r="H118" t="str">
            <v xml:space="preserve">Bank Of America Management Reporting              </v>
          </cell>
          <cell r="I118" t="str">
            <v>001</v>
          </cell>
          <cell r="J118" t="str">
            <v>FBD.......</v>
          </cell>
          <cell r="K118" t="str">
            <v xml:space="preserve">Emg Ops Asia                                      </v>
          </cell>
          <cell r="L118" t="str">
            <v xml:space="preserve"> </v>
          </cell>
          <cell r="M118" t="str">
            <v xml:space="preserve"> </v>
          </cell>
          <cell r="N118" t="str">
            <v>bamgt</v>
          </cell>
          <cell r="O118" t="str">
            <v>40</v>
          </cell>
          <cell r="P118" t="str">
            <v>600000A  662999B  662999C  665499B  665499D  665499F  999999999999999999</v>
          </cell>
          <cell r="Q118" t="str">
            <v xml:space="preserve">none     </v>
          </cell>
          <cell r="R118" t="str">
            <v>RollFCST-Working Version</v>
          </cell>
          <cell r="S118" t="str">
            <v>RollFCST-Working Version</v>
          </cell>
          <cell r="T118" t="str">
            <v xml:space="preserve"> </v>
          </cell>
          <cell r="U118" t="str">
            <v xml:space="preserve"> </v>
          </cell>
          <cell r="V118" t="str">
            <v>665499F</v>
          </cell>
          <cell r="W118" t="str">
            <v>6</v>
          </cell>
          <cell r="X118" t="str">
            <v xml:space="preserve">          Relocation Expense            </v>
          </cell>
          <cell r="Y118">
            <v>0</v>
          </cell>
          <cell r="Z118">
            <v>1.6843900000000001</v>
          </cell>
          <cell r="AA118">
            <v>28.276540000000001</v>
          </cell>
          <cell r="AB118">
            <v>-0.46111999999999997</v>
          </cell>
          <cell r="AC118">
            <v>29.49981</v>
          </cell>
          <cell r="AD118">
            <v>0</v>
          </cell>
          <cell r="AE118">
            <v>0</v>
          </cell>
          <cell r="AF118">
            <v>0</v>
          </cell>
          <cell r="AG118">
            <v>0</v>
          </cell>
          <cell r="AH118">
            <v>0</v>
          </cell>
          <cell r="AI118" t="str">
            <v xml:space="preserve">U.S. Dollar                   </v>
          </cell>
          <cell r="AJ118" t="str">
            <v xml:space="preserve"> </v>
          </cell>
          <cell r="AK118" t="str">
            <v xml:space="preserve"> </v>
          </cell>
          <cell r="AL118" t="str">
            <v xml:space="preserve"> </v>
          </cell>
          <cell r="AM118" t="str">
            <v xml:space="preserve"> </v>
          </cell>
          <cell r="AN118" t="str">
            <v xml:space="preserve"> </v>
          </cell>
          <cell r="AO118" t="str">
            <v xml:space="preserve"> </v>
          </cell>
          <cell r="AP118" t="str">
            <v xml:space="preserve"> </v>
          </cell>
          <cell r="AQ118" t="str">
            <v xml:space="preserve"> </v>
          </cell>
        </row>
        <row r="119">
          <cell r="A119" t="str">
            <v>FBD.......665499J</v>
          </cell>
          <cell r="B119" t="str">
            <v>2003T12</v>
          </cell>
          <cell r="C119" t="str">
            <v xml:space="preserve">TREND    </v>
          </cell>
          <cell r="D119" t="str">
            <v xml:space="preserve">Trend -  QTD Average/Activity                     </v>
          </cell>
          <cell r="E119" t="str">
            <v>Run: 08/07/03 13:53:41</v>
          </cell>
          <cell r="F119" t="str">
            <v>999</v>
          </cell>
          <cell r="G119" t="str">
            <v>100</v>
          </cell>
          <cell r="H119" t="str">
            <v xml:space="preserve">Bank Of America Management Reporting              </v>
          </cell>
          <cell r="I119" t="str">
            <v>001</v>
          </cell>
          <cell r="J119" t="str">
            <v>FBD.......</v>
          </cell>
          <cell r="K119" t="str">
            <v xml:space="preserve">Emg Ops Asia                                      </v>
          </cell>
          <cell r="L119" t="str">
            <v xml:space="preserve"> </v>
          </cell>
          <cell r="M119" t="str">
            <v xml:space="preserve"> </v>
          </cell>
          <cell r="N119" t="str">
            <v>bamgt</v>
          </cell>
          <cell r="O119" t="str">
            <v>40</v>
          </cell>
          <cell r="P119" t="str">
            <v>600000A  662999B  662999C  665499B  665499D  665499H  665499J  999999999</v>
          </cell>
          <cell r="Q119" t="str">
            <v xml:space="preserve">none     </v>
          </cell>
          <cell r="R119" t="str">
            <v>RollFCST-Working Version</v>
          </cell>
          <cell r="S119" t="str">
            <v>RollFCST-Working Version</v>
          </cell>
          <cell r="T119" t="str">
            <v xml:space="preserve"> </v>
          </cell>
          <cell r="U119" t="str">
            <v xml:space="preserve"> </v>
          </cell>
          <cell r="V119" t="str">
            <v>665499J</v>
          </cell>
          <cell r="W119" t="str">
            <v>7</v>
          </cell>
          <cell r="X119" t="str">
            <v xml:space="preserve">            Employee Training &amp; Seminars</v>
          </cell>
          <cell r="Y119">
            <v>3.6942400000000002</v>
          </cell>
          <cell r="Z119">
            <v>1.8990199999999999</v>
          </cell>
          <cell r="AA119">
            <v>6.4246699999999999</v>
          </cell>
          <cell r="AB119">
            <v>0.97899999999999998</v>
          </cell>
          <cell r="AC119">
            <v>12.996930000000001</v>
          </cell>
          <cell r="AD119">
            <v>1.6245700000000001</v>
          </cell>
          <cell r="AE119">
            <v>1.0377099999999999</v>
          </cell>
          <cell r="AF119">
            <v>17.325030000000002</v>
          </cell>
          <cell r="AG119">
            <v>25</v>
          </cell>
          <cell r="AH119">
            <v>44.987310000000001</v>
          </cell>
          <cell r="AI119" t="str">
            <v xml:space="preserve">U.S. Dollar                   </v>
          </cell>
          <cell r="AJ119" t="str">
            <v xml:space="preserve"> </v>
          </cell>
          <cell r="AK119" t="str">
            <v xml:space="preserve"> </v>
          </cell>
          <cell r="AL119" t="str">
            <v xml:space="preserve"> </v>
          </cell>
          <cell r="AM119" t="str">
            <v xml:space="preserve"> </v>
          </cell>
          <cell r="AN119" t="str">
            <v xml:space="preserve"> </v>
          </cell>
          <cell r="AO119" t="str">
            <v xml:space="preserve"> </v>
          </cell>
          <cell r="AP119" t="str">
            <v xml:space="preserve"> </v>
          </cell>
          <cell r="AQ119" t="str">
            <v xml:space="preserve"> </v>
          </cell>
        </row>
        <row r="120">
          <cell r="A120" t="str">
            <v>FBD.......665499H</v>
          </cell>
          <cell r="B120" t="str">
            <v>2003T12</v>
          </cell>
          <cell r="C120" t="str">
            <v xml:space="preserve">TREND    </v>
          </cell>
          <cell r="D120" t="str">
            <v xml:space="preserve">Trend -  QTD Average/Activity                     </v>
          </cell>
          <cell r="E120" t="str">
            <v>Run: 08/07/03 13:53:41</v>
          </cell>
          <cell r="F120" t="str">
            <v>999</v>
          </cell>
          <cell r="G120" t="str">
            <v>100</v>
          </cell>
          <cell r="H120" t="str">
            <v xml:space="preserve">Bank Of America Management Reporting              </v>
          </cell>
          <cell r="I120" t="str">
            <v>001</v>
          </cell>
          <cell r="J120" t="str">
            <v>FBD.......</v>
          </cell>
          <cell r="K120" t="str">
            <v xml:space="preserve">Emg Ops Asia                                      </v>
          </cell>
          <cell r="L120" t="str">
            <v xml:space="preserve"> </v>
          </cell>
          <cell r="M120" t="str">
            <v xml:space="preserve"> </v>
          </cell>
          <cell r="N120" t="str">
            <v>bamgt</v>
          </cell>
          <cell r="O120" t="str">
            <v>40</v>
          </cell>
          <cell r="P120" t="str">
            <v>600000A  662999B  662999C  665499B  665499D  665499H  999999999999999999</v>
          </cell>
          <cell r="Q120" t="str">
            <v xml:space="preserve">none     </v>
          </cell>
          <cell r="R120" t="str">
            <v>RollFCST-Working Version</v>
          </cell>
          <cell r="S120" t="str">
            <v>RollFCST-Working Version</v>
          </cell>
          <cell r="T120" t="str">
            <v xml:space="preserve"> </v>
          </cell>
          <cell r="U120" t="str">
            <v xml:space="preserve"> </v>
          </cell>
          <cell r="V120" t="str">
            <v>665499H</v>
          </cell>
          <cell r="W120" t="str">
            <v>6</v>
          </cell>
          <cell r="X120" t="str">
            <v xml:space="preserve">          Other Employee Expense        </v>
          </cell>
          <cell r="Y120">
            <v>23.554819999999999</v>
          </cell>
          <cell r="Z120">
            <v>23.725349999999999</v>
          </cell>
          <cell r="AA120">
            <v>31.421029999999998</v>
          </cell>
          <cell r="AB120">
            <v>22.266190000000002</v>
          </cell>
          <cell r="AC120">
            <v>100.96738999999999</v>
          </cell>
          <cell r="AD120">
            <v>16.704039999999999</v>
          </cell>
          <cell r="AE120">
            <v>18.655059999999999</v>
          </cell>
          <cell r="AF120">
            <v>23.19491</v>
          </cell>
          <cell r="AG120">
            <v>25</v>
          </cell>
          <cell r="AH120">
            <v>83.554010000000005</v>
          </cell>
          <cell r="AI120" t="str">
            <v xml:space="preserve">U.S. Dollar                   </v>
          </cell>
          <cell r="AJ120" t="str">
            <v xml:space="preserve"> </v>
          </cell>
          <cell r="AK120" t="str">
            <v xml:space="preserve"> </v>
          </cell>
          <cell r="AL120" t="str">
            <v xml:space="preserve"> </v>
          </cell>
          <cell r="AM120" t="str">
            <v xml:space="preserve"> </v>
          </cell>
          <cell r="AN120" t="str">
            <v xml:space="preserve"> </v>
          </cell>
          <cell r="AO120" t="str">
            <v xml:space="preserve"> </v>
          </cell>
          <cell r="AP120" t="str">
            <v xml:space="preserve"> </v>
          </cell>
          <cell r="AQ120" t="str">
            <v xml:space="preserve"> </v>
          </cell>
        </row>
        <row r="121">
          <cell r="A121" t="str">
            <v>FBD.......665499D</v>
          </cell>
          <cell r="B121" t="str">
            <v>2003T12</v>
          </cell>
          <cell r="C121" t="str">
            <v xml:space="preserve">TREND    </v>
          </cell>
          <cell r="D121" t="str">
            <v xml:space="preserve">Trend -  QTD Average/Activity                     </v>
          </cell>
          <cell r="E121" t="str">
            <v>Run: 08/07/03 13:53:41</v>
          </cell>
          <cell r="F121" t="str">
            <v>999</v>
          </cell>
          <cell r="G121" t="str">
            <v>100</v>
          </cell>
          <cell r="H121" t="str">
            <v xml:space="preserve">Bank Of America Management Reporting              </v>
          </cell>
          <cell r="I121" t="str">
            <v>001</v>
          </cell>
          <cell r="J121" t="str">
            <v>FBD.......</v>
          </cell>
          <cell r="K121" t="str">
            <v xml:space="preserve">Emg Ops Asia                                      </v>
          </cell>
          <cell r="L121" t="str">
            <v xml:space="preserve"> </v>
          </cell>
          <cell r="M121" t="str">
            <v xml:space="preserve"> </v>
          </cell>
          <cell r="N121" t="str">
            <v>bamgt</v>
          </cell>
          <cell r="O121" t="str">
            <v>40</v>
          </cell>
          <cell r="P121" t="str">
            <v>600000A  662999B  662999C  665499B  665499D  999999999999999999999999999</v>
          </cell>
          <cell r="Q121" t="str">
            <v xml:space="preserve">none     </v>
          </cell>
          <cell r="R121" t="str">
            <v>RollFCST-Working Version</v>
          </cell>
          <cell r="S121" t="str">
            <v>RollFCST-Working Version</v>
          </cell>
          <cell r="T121" t="str">
            <v xml:space="preserve"> </v>
          </cell>
          <cell r="U121" t="str">
            <v xml:space="preserve"> </v>
          </cell>
          <cell r="V121" t="str">
            <v>665499D</v>
          </cell>
          <cell r="W121" t="str">
            <v>5</v>
          </cell>
          <cell r="X121" t="str">
            <v xml:space="preserve">        Employee Expense                </v>
          </cell>
          <cell r="Y121">
            <v>23.554819999999999</v>
          </cell>
          <cell r="Z121">
            <v>25.409739999999999</v>
          </cell>
          <cell r="AA121">
            <v>59.697569999999999</v>
          </cell>
          <cell r="AB121">
            <v>21.805070000000001</v>
          </cell>
          <cell r="AC121">
            <v>130.46719999999999</v>
          </cell>
          <cell r="AD121">
            <v>16.704039999999999</v>
          </cell>
          <cell r="AE121">
            <v>18.655059999999999</v>
          </cell>
          <cell r="AF121">
            <v>23.19491</v>
          </cell>
          <cell r="AG121">
            <v>25</v>
          </cell>
          <cell r="AH121">
            <v>83.554010000000005</v>
          </cell>
          <cell r="AI121" t="str">
            <v xml:space="preserve">U.S. Dollar                   </v>
          </cell>
          <cell r="AJ121" t="str">
            <v xml:space="preserve"> </v>
          </cell>
          <cell r="AK121" t="str">
            <v xml:space="preserve"> </v>
          </cell>
          <cell r="AL121" t="str">
            <v xml:space="preserve"> </v>
          </cell>
          <cell r="AM121" t="str">
            <v xml:space="preserve"> </v>
          </cell>
          <cell r="AN121" t="str">
            <v xml:space="preserve"> </v>
          </cell>
          <cell r="AO121" t="str">
            <v xml:space="preserve"> </v>
          </cell>
          <cell r="AP121" t="str">
            <v xml:space="preserve"> </v>
          </cell>
          <cell r="AQ121" t="str">
            <v xml:space="preserve"> </v>
          </cell>
        </row>
        <row r="122">
          <cell r="A122" t="str">
            <v>FBD.......665499B</v>
          </cell>
          <cell r="B122" t="str">
            <v>2003T12</v>
          </cell>
          <cell r="C122" t="str">
            <v xml:space="preserve">TREND    </v>
          </cell>
          <cell r="D122" t="str">
            <v xml:space="preserve">Trend -  QTD Average/Activity                     </v>
          </cell>
          <cell r="E122" t="str">
            <v>Run: 08/07/03 13:53:41</v>
          </cell>
          <cell r="F122" t="str">
            <v>999</v>
          </cell>
          <cell r="G122" t="str">
            <v>100</v>
          </cell>
          <cell r="H122" t="str">
            <v xml:space="preserve">Bank Of America Management Reporting              </v>
          </cell>
          <cell r="I122" t="str">
            <v>001</v>
          </cell>
          <cell r="J122" t="str">
            <v>FBD.......</v>
          </cell>
          <cell r="K122" t="str">
            <v xml:space="preserve">Emg Ops Asia                                      </v>
          </cell>
          <cell r="L122" t="str">
            <v xml:space="preserve"> </v>
          </cell>
          <cell r="M122" t="str">
            <v xml:space="preserve"> </v>
          </cell>
          <cell r="N122" t="str">
            <v>bamgt</v>
          </cell>
          <cell r="O122" t="str">
            <v>40</v>
          </cell>
          <cell r="P122" t="str">
            <v>600000A  662999B  662999C  665499B  999999999999999999999999999999999999</v>
          </cell>
          <cell r="Q122" t="str">
            <v xml:space="preserve">none     </v>
          </cell>
          <cell r="R122" t="str">
            <v>RollFCST-Working Version</v>
          </cell>
          <cell r="S122" t="str">
            <v>RollFCST-Working Version</v>
          </cell>
          <cell r="T122" t="str">
            <v xml:space="preserve"> </v>
          </cell>
          <cell r="U122" t="str">
            <v xml:space="preserve"> </v>
          </cell>
          <cell r="V122" t="str">
            <v>665499B</v>
          </cell>
          <cell r="W122" t="str">
            <v>4</v>
          </cell>
          <cell r="X122" t="str">
            <v xml:space="preserve">      Other Operating Expense           </v>
          </cell>
          <cell r="Y122">
            <v>31.579799999999999</v>
          </cell>
          <cell r="Z122">
            <v>31.08418</v>
          </cell>
          <cell r="AA122">
            <v>103.34325</v>
          </cell>
          <cell r="AB122">
            <v>31.77974</v>
          </cell>
          <cell r="AC122">
            <v>197.78697</v>
          </cell>
          <cell r="AD122">
            <v>20.676580000000001</v>
          </cell>
          <cell r="AE122">
            <v>26.619250000000001</v>
          </cell>
          <cell r="AF122">
            <v>35.107520000000001</v>
          </cell>
          <cell r="AG122">
            <v>37</v>
          </cell>
          <cell r="AH122">
            <v>119.40335</v>
          </cell>
          <cell r="AI122" t="str">
            <v xml:space="preserve">U.S. Dollar                   </v>
          </cell>
          <cell r="AJ122" t="str">
            <v xml:space="preserve"> </v>
          </cell>
          <cell r="AK122" t="str">
            <v xml:space="preserve"> </v>
          </cell>
          <cell r="AL122" t="str">
            <v xml:space="preserve"> </v>
          </cell>
          <cell r="AM122" t="str">
            <v xml:space="preserve"> </v>
          </cell>
          <cell r="AN122" t="str">
            <v xml:space="preserve"> </v>
          </cell>
          <cell r="AO122" t="str">
            <v xml:space="preserve"> </v>
          </cell>
          <cell r="AP122" t="str">
            <v xml:space="preserve"> </v>
          </cell>
          <cell r="AQ122" t="str">
            <v xml:space="preserve"> </v>
          </cell>
        </row>
        <row r="123">
          <cell r="A123" t="str">
            <v>FBD.......670200</v>
          </cell>
          <cell r="B123" t="str">
            <v>2003T12</v>
          </cell>
          <cell r="C123" t="str">
            <v xml:space="preserve">TREND    </v>
          </cell>
          <cell r="D123" t="str">
            <v xml:space="preserve">Trend -  QTD Average/Activity                     </v>
          </cell>
          <cell r="E123" t="str">
            <v>Run: 08/07/03 13:53:41</v>
          </cell>
          <cell r="F123" t="str">
            <v>999</v>
          </cell>
          <cell r="G123" t="str">
            <v>100</v>
          </cell>
          <cell r="H123" t="str">
            <v xml:space="preserve">Bank Of America Management Reporting              </v>
          </cell>
          <cell r="I123" t="str">
            <v>001</v>
          </cell>
          <cell r="J123" t="str">
            <v>FBD.......</v>
          </cell>
          <cell r="K123" t="str">
            <v xml:space="preserve">Emg Ops Asia                                      </v>
          </cell>
          <cell r="L123" t="str">
            <v xml:space="preserve"> </v>
          </cell>
          <cell r="M123" t="str">
            <v xml:space="preserve"> </v>
          </cell>
          <cell r="N123" t="str">
            <v>bamgt</v>
          </cell>
          <cell r="O123" t="str">
            <v>40</v>
          </cell>
          <cell r="P123" t="str">
            <v>600000A  662999B  670000B  670200   999999999999999999999999999999999999</v>
          </cell>
          <cell r="Q123" t="str">
            <v xml:space="preserve">none     </v>
          </cell>
          <cell r="R123" t="str">
            <v>RollFCST-Working Version</v>
          </cell>
          <cell r="S123" t="str">
            <v>RollFCST-Working Version</v>
          </cell>
          <cell r="T123" t="str">
            <v xml:space="preserve"> </v>
          </cell>
          <cell r="U123" t="str">
            <v xml:space="preserve"> </v>
          </cell>
          <cell r="V123" t="str">
            <v>670200</v>
          </cell>
          <cell r="W123" t="str">
            <v>4</v>
          </cell>
          <cell r="X123" t="str">
            <v xml:space="preserve">      Travel                            </v>
          </cell>
          <cell r="Y123">
            <v>10.126329999999999</v>
          </cell>
          <cell r="Z123">
            <v>6.1872999999999996</v>
          </cell>
          <cell r="AA123">
            <v>8.7347999999999999</v>
          </cell>
          <cell r="AB123">
            <v>8.8321400000000008</v>
          </cell>
          <cell r="AC123">
            <v>33.880569999999999</v>
          </cell>
          <cell r="AD123">
            <v>2.46271</v>
          </cell>
          <cell r="AE123">
            <v>1.1726000000000001</v>
          </cell>
          <cell r="AF123">
            <v>9.7200299999999995</v>
          </cell>
          <cell r="AG123">
            <v>15</v>
          </cell>
          <cell r="AH123">
            <v>28.355340000000002</v>
          </cell>
          <cell r="AI123" t="str">
            <v xml:space="preserve">U.S. Dollar                   </v>
          </cell>
          <cell r="AJ123" t="str">
            <v xml:space="preserve"> </v>
          </cell>
          <cell r="AK123" t="str">
            <v xml:space="preserve"> </v>
          </cell>
          <cell r="AL123" t="str">
            <v xml:space="preserve"> </v>
          </cell>
          <cell r="AM123" t="str">
            <v xml:space="preserve"> </v>
          </cell>
          <cell r="AN123" t="str">
            <v xml:space="preserve"> </v>
          </cell>
          <cell r="AO123" t="str">
            <v xml:space="preserve"> </v>
          </cell>
          <cell r="AP123" t="str">
            <v xml:space="preserve"> </v>
          </cell>
          <cell r="AQ123" t="str">
            <v xml:space="preserve"> </v>
          </cell>
        </row>
        <row r="124">
          <cell r="A124" t="str">
            <v>FBD.......670800</v>
          </cell>
          <cell r="B124" t="str">
            <v>2003T12</v>
          </cell>
          <cell r="C124" t="str">
            <v xml:space="preserve">TREND    </v>
          </cell>
          <cell r="D124" t="str">
            <v xml:space="preserve">Trend -  QTD Average/Activity                     </v>
          </cell>
          <cell r="E124" t="str">
            <v>Run: 08/07/03 13:53:41</v>
          </cell>
          <cell r="F124" t="str">
            <v>999</v>
          </cell>
          <cell r="G124" t="str">
            <v>100</v>
          </cell>
          <cell r="H124" t="str">
            <v xml:space="preserve">Bank Of America Management Reporting              </v>
          </cell>
          <cell r="I124" t="str">
            <v>001</v>
          </cell>
          <cell r="J124" t="str">
            <v>FBD.......</v>
          </cell>
          <cell r="K124" t="str">
            <v xml:space="preserve">Emg Ops Asia                                      </v>
          </cell>
          <cell r="L124" t="str">
            <v xml:space="preserve"> </v>
          </cell>
          <cell r="M124" t="str">
            <v xml:space="preserve"> </v>
          </cell>
          <cell r="N124" t="str">
            <v>bamgt</v>
          </cell>
          <cell r="O124" t="str">
            <v>40</v>
          </cell>
          <cell r="P124" t="str">
            <v>600000A  662999B  670000B  670800   999999999999999999999999999999999999</v>
          </cell>
          <cell r="Q124" t="str">
            <v xml:space="preserve">none     </v>
          </cell>
          <cell r="R124" t="str">
            <v>RollFCST-Working Version</v>
          </cell>
          <cell r="S124" t="str">
            <v>RollFCST-Working Version</v>
          </cell>
          <cell r="T124" t="str">
            <v xml:space="preserve"> </v>
          </cell>
          <cell r="U124" t="str">
            <v xml:space="preserve"> </v>
          </cell>
          <cell r="V124" t="str">
            <v>670800</v>
          </cell>
          <cell r="W124" t="str">
            <v>4</v>
          </cell>
          <cell r="X124" t="str">
            <v xml:space="preserve">      Taxes Other Than Income           </v>
          </cell>
          <cell r="Y124">
            <v>16.733039999999999</v>
          </cell>
          <cell r="Z124">
            <v>-5.7740099999999996</v>
          </cell>
          <cell r="AA124">
            <v>5.4420999999999999</v>
          </cell>
          <cell r="AB124">
            <v>4.2031700000000001</v>
          </cell>
          <cell r="AC124">
            <v>20.604299999999999</v>
          </cell>
          <cell r="AD124">
            <v>6.4134399999999996</v>
          </cell>
          <cell r="AE124">
            <v>1.03908</v>
          </cell>
          <cell r="AF124">
            <v>6.9518300000000002</v>
          </cell>
          <cell r="AG124">
            <v>9</v>
          </cell>
          <cell r="AH124">
            <v>23.404350000000001</v>
          </cell>
          <cell r="AI124" t="str">
            <v xml:space="preserve">U.S. Dollar                   </v>
          </cell>
          <cell r="AJ124" t="str">
            <v xml:space="preserve"> </v>
          </cell>
          <cell r="AK124" t="str">
            <v xml:space="preserve"> </v>
          </cell>
          <cell r="AL124" t="str">
            <v xml:space="preserve"> </v>
          </cell>
          <cell r="AM124" t="str">
            <v xml:space="preserve"> </v>
          </cell>
          <cell r="AN124" t="str">
            <v xml:space="preserve"> </v>
          </cell>
          <cell r="AO124" t="str">
            <v xml:space="preserve"> </v>
          </cell>
          <cell r="AP124" t="str">
            <v xml:space="preserve"> </v>
          </cell>
          <cell r="AQ124" t="str">
            <v xml:space="preserve"> </v>
          </cell>
        </row>
        <row r="125">
          <cell r="A125" t="str">
            <v>FBD.......671200</v>
          </cell>
          <cell r="B125" t="str">
            <v>2003T12</v>
          </cell>
          <cell r="C125" t="str">
            <v xml:space="preserve">TREND    </v>
          </cell>
          <cell r="D125" t="str">
            <v xml:space="preserve">Trend -  QTD Average/Activity                     </v>
          </cell>
          <cell r="E125" t="str">
            <v>Run: 08/07/03 13:53:41</v>
          </cell>
          <cell r="F125" t="str">
            <v>999</v>
          </cell>
          <cell r="G125" t="str">
            <v>100</v>
          </cell>
          <cell r="H125" t="str">
            <v xml:space="preserve">Bank Of America Management Reporting              </v>
          </cell>
          <cell r="I125" t="str">
            <v>001</v>
          </cell>
          <cell r="J125" t="str">
            <v>FBD.......</v>
          </cell>
          <cell r="K125" t="str">
            <v xml:space="preserve">Emg Ops Asia                                      </v>
          </cell>
          <cell r="L125" t="str">
            <v xml:space="preserve"> </v>
          </cell>
          <cell r="M125" t="str">
            <v xml:space="preserve"> </v>
          </cell>
          <cell r="N125" t="str">
            <v>bamgt</v>
          </cell>
          <cell r="O125" t="str">
            <v>40</v>
          </cell>
          <cell r="P125" t="str">
            <v>600000A  662999B  670000B  671200   999999999999999999999999999999999999</v>
          </cell>
          <cell r="Q125" t="str">
            <v xml:space="preserve">none     </v>
          </cell>
          <cell r="R125" t="str">
            <v>RollFCST-Working Version</v>
          </cell>
          <cell r="S125" t="str">
            <v>RollFCST-Working Version</v>
          </cell>
          <cell r="T125" t="str">
            <v xml:space="preserve"> </v>
          </cell>
          <cell r="U125" t="str">
            <v xml:space="preserve"> </v>
          </cell>
          <cell r="V125" t="str">
            <v>671200</v>
          </cell>
          <cell r="W125" t="str">
            <v>4</v>
          </cell>
          <cell r="X125" t="str">
            <v xml:space="preserve">      Subscription Services             </v>
          </cell>
          <cell r="Y125">
            <v>3.34179</v>
          </cell>
          <cell r="Z125">
            <v>1.7782899999999999</v>
          </cell>
          <cell r="AA125">
            <v>8.8950800000000001</v>
          </cell>
          <cell r="AB125">
            <v>8.4400399999999998</v>
          </cell>
          <cell r="AC125">
            <v>22.455200000000001</v>
          </cell>
          <cell r="AD125">
            <v>8.07334</v>
          </cell>
          <cell r="AE125">
            <v>8.8862000000000005</v>
          </cell>
          <cell r="AF125">
            <v>8.8152000000000008</v>
          </cell>
          <cell r="AG125">
            <v>3</v>
          </cell>
          <cell r="AH125">
            <v>28.774740000000001</v>
          </cell>
          <cell r="AI125" t="str">
            <v xml:space="preserve">U.S. Dollar                   </v>
          </cell>
          <cell r="AJ125" t="str">
            <v xml:space="preserve"> </v>
          </cell>
          <cell r="AK125" t="str">
            <v xml:space="preserve"> </v>
          </cell>
          <cell r="AL125" t="str">
            <v xml:space="preserve"> </v>
          </cell>
          <cell r="AM125" t="str">
            <v xml:space="preserve"> </v>
          </cell>
          <cell r="AN125" t="str">
            <v xml:space="preserve"> </v>
          </cell>
          <cell r="AO125" t="str">
            <v xml:space="preserve"> </v>
          </cell>
          <cell r="AP125" t="str">
            <v xml:space="preserve"> </v>
          </cell>
          <cell r="AQ125" t="str">
            <v xml:space="preserve"> </v>
          </cell>
        </row>
        <row r="126">
          <cell r="A126" t="str">
            <v>FBD.......671500</v>
          </cell>
          <cell r="B126" t="str">
            <v>2003T12</v>
          </cell>
          <cell r="C126" t="str">
            <v xml:space="preserve">TREND    </v>
          </cell>
          <cell r="D126" t="str">
            <v xml:space="preserve">Trend -  QTD Average/Activity                     </v>
          </cell>
          <cell r="E126" t="str">
            <v>Run: 08/07/03 13:53:41</v>
          </cell>
          <cell r="F126" t="str">
            <v>999</v>
          </cell>
          <cell r="G126" t="str">
            <v>100</v>
          </cell>
          <cell r="H126" t="str">
            <v xml:space="preserve">Bank Of America Management Reporting              </v>
          </cell>
          <cell r="I126" t="str">
            <v>001</v>
          </cell>
          <cell r="J126" t="str">
            <v>FBD.......</v>
          </cell>
          <cell r="K126" t="str">
            <v xml:space="preserve">Emg Ops Asia                                      </v>
          </cell>
          <cell r="L126" t="str">
            <v xml:space="preserve"> </v>
          </cell>
          <cell r="M126" t="str">
            <v xml:space="preserve"> </v>
          </cell>
          <cell r="N126" t="str">
            <v>bamgt</v>
          </cell>
          <cell r="O126" t="str">
            <v>40</v>
          </cell>
          <cell r="P126" t="str">
            <v>600000A  662999B  670000B  671500   999999999999999999999999999999999999</v>
          </cell>
          <cell r="Q126" t="str">
            <v xml:space="preserve">none     </v>
          </cell>
          <cell r="R126" t="str">
            <v>RollFCST-Working Version</v>
          </cell>
          <cell r="S126" t="str">
            <v>RollFCST-Working Version</v>
          </cell>
          <cell r="T126" t="str">
            <v xml:space="preserve"> </v>
          </cell>
          <cell r="U126" t="str">
            <v xml:space="preserve"> </v>
          </cell>
          <cell r="V126" t="str">
            <v>671500</v>
          </cell>
          <cell r="W126" t="str">
            <v>4</v>
          </cell>
          <cell r="X126" t="str">
            <v xml:space="preserve">      Other Administrative Expenses     </v>
          </cell>
          <cell r="Y126">
            <v>0</v>
          </cell>
          <cell r="Z126">
            <v>0</v>
          </cell>
          <cell r="AA126">
            <v>0</v>
          </cell>
          <cell r="AB126">
            <v>0</v>
          </cell>
          <cell r="AC126">
            <v>0</v>
          </cell>
          <cell r="AD126">
            <v>0</v>
          </cell>
          <cell r="AE126">
            <v>0</v>
          </cell>
          <cell r="AF126">
            <v>2</v>
          </cell>
          <cell r="AG126">
            <v>3</v>
          </cell>
          <cell r="AH126">
            <v>5</v>
          </cell>
          <cell r="AI126" t="str">
            <v xml:space="preserve">U.S. Dollar                   </v>
          </cell>
          <cell r="AJ126" t="str">
            <v xml:space="preserve"> </v>
          </cell>
          <cell r="AK126" t="str">
            <v xml:space="preserve"> </v>
          </cell>
          <cell r="AL126" t="str">
            <v xml:space="preserve"> </v>
          </cell>
          <cell r="AM126" t="str">
            <v xml:space="preserve"> </v>
          </cell>
          <cell r="AN126" t="str">
            <v xml:space="preserve"> </v>
          </cell>
          <cell r="AO126" t="str">
            <v xml:space="preserve"> </v>
          </cell>
          <cell r="AP126" t="str">
            <v xml:space="preserve"> </v>
          </cell>
          <cell r="AQ126" t="str">
            <v xml:space="preserve"> </v>
          </cell>
        </row>
        <row r="127">
          <cell r="A127" t="str">
            <v>FBD.......675000</v>
          </cell>
          <cell r="B127" t="str">
            <v>2003T12</v>
          </cell>
          <cell r="C127" t="str">
            <v xml:space="preserve">TREND    </v>
          </cell>
          <cell r="D127" t="str">
            <v xml:space="preserve">Trend -  QTD Average/Activity                     </v>
          </cell>
          <cell r="E127" t="str">
            <v>Run: 08/07/03 13:53:41</v>
          </cell>
          <cell r="F127" t="str">
            <v>999</v>
          </cell>
          <cell r="G127" t="str">
            <v>100</v>
          </cell>
          <cell r="H127" t="str">
            <v xml:space="preserve">Bank Of America Management Reporting              </v>
          </cell>
          <cell r="I127" t="str">
            <v>001</v>
          </cell>
          <cell r="J127" t="str">
            <v>FBD.......</v>
          </cell>
          <cell r="K127" t="str">
            <v xml:space="preserve">Emg Ops Asia                                      </v>
          </cell>
          <cell r="L127" t="str">
            <v xml:space="preserve"> </v>
          </cell>
          <cell r="M127" t="str">
            <v xml:space="preserve"> </v>
          </cell>
          <cell r="N127" t="str">
            <v>bamgt</v>
          </cell>
          <cell r="O127" t="str">
            <v>40</v>
          </cell>
          <cell r="P127" t="str">
            <v>600000A  675000   999999999999999999999999999999999999999999999999999999</v>
          </cell>
          <cell r="Q127" t="str">
            <v xml:space="preserve">none     </v>
          </cell>
          <cell r="R127" t="str">
            <v>RollFCST-Working Version</v>
          </cell>
          <cell r="S127" t="str">
            <v>RollFCST-Working Version</v>
          </cell>
          <cell r="T127" t="str">
            <v xml:space="preserve"> </v>
          </cell>
          <cell r="U127" t="str">
            <v xml:space="preserve"> </v>
          </cell>
          <cell r="V127" t="str">
            <v>675000</v>
          </cell>
          <cell r="W127" t="str">
            <v>2</v>
          </cell>
          <cell r="X127" t="str">
            <v xml:space="preserve">  Intercompany Expense                  </v>
          </cell>
          <cell r="Y127">
            <v>0.11040999999999999</v>
          </cell>
          <cell r="Z127">
            <v>0.21354999999999999</v>
          </cell>
          <cell r="AA127">
            <v>0</v>
          </cell>
          <cell r="AB127">
            <v>1.6709999999999999E-2</v>
          </cell>
          <cell r="AC127">
            <v>0.34066999999999997</v>
          </cell>
          <cell r="AD127">
            <v>0</v>
          </cell>
          <cell r="AE127">
            <v>0</v>
          </cell>
          <cell r="AF127">
            <v>0</v>
          </cell>
          <cell r="AG127">
            <v>0</v>
          </cell>
          <cell r="AH127">
            <v>0</v>
          </cell>
          <cell r="AI127" t="str">
            <v xml:space="preserve">U.S. Dollar                   </v>
          </cell>
          <cell r="AJ127" t="str">
            <v xml:space="preserve"> </v>
          </cell>
          <cell r="AK127" t="str">
            <v xml:space="preserve"> </v>
          </cell>
          <cell r="AL127" t="str">
            <v xml:space="preserve"> </v>
          </cell>
          <cell r="AM127" t="str">
            <v xml:space="preserve"> </v>
          </cell>
          <cell r="AN127" t="str">
            <v xml:space="preserve"> </v>
          </cell>
          <cell r="AO127" t="str">
            <v xml:space="preserve"> </v>
          </cell>
          <cell r="AP127" t="str">
            <v xml:space="preserve"> </v>
          </cell>
          <cell r="AQ127" t="str">
            <v xml:space="preserve"> </v>
          </cell>
        </row>
        <row r="128">
          <cell r="A128" t="str">
            <v>FBE.......600300</v>
          </cell>
          <cell r="B128" t="str">
            <v>2003T12</v>
          </cell>
          <cell r="C128" t="str">
            <v xml:space="preserve">TREND    </v>
          </cell>
          <cell r="D128" t="str">
            <v xml:space="preserve">Trend -  QTD Average/Activity                     </v>
          </cell>
          <cell r="E128" t="str">
            <v>Run: 08/07/03 13:53:41</v>
          </cell>
          <cell r="F128" t="str">
            <v>999</v>
          </cell>
          <cell r="G128" t="str">
            <v>100</v>
          </cell>
          <cell r="H128" t="str">
            <v xml:space="preserve">Bank Of America Management Reporting              </v>
          </cell>
          <cell r="I128" t="str">
            <v>001</v>
          </cell>
          <cell r="J128" t="str">
            <v>FBE.......</v>
          </cell>
          <cell r="K128" t="str">
            <v xml:space="preserve">Emg Ops Emea And Latin America                    </v>
          </cell>
          <cell r="L128" t="str">
            <v xml:space="preserve"> </v>
          </cell>
          <cell r="M128" t="str">
            <v xml:space="preserve"> </v>
          </cell>
          <cell r="N128" t="str">
            <v>bamgt</v>
          </cell>
          <cell r="O128" t="str">
            <v>40</v>
          </cell>
          <cell r="P128" t="str">
            <v>600000A  600250   999999999600300   999999999999999999999999999999999999</v>
          </cell>
          <cell r="Q128" t="str">
            <v xml:space="preserve">none     </v>
          </cell>
          <cell r="R128" t="str">
            <v>RollFCST-Working Version</v>
          </cell>
          <cell r="S128" t="str">
            <v>RollFCST-Working Version</v>
          </cell>
          <cell r="T128" t="str">
            <v xml:space="preserve"> </v>
          </cell>
          <cell r="U128" t="str">
            <v xml:space="preserve"> </v>
          </cell>
          <cell r="V128" t="str">
            <v>600300</v>
          </cell>
          <cell r="W128" t="str">
            <v>4</v>
          </cell>
          <cell r="X128" t="str">
            <v xml:space="preserve">      Salaries &amp; Wages                  </v>
          </cell>
          <cell r="Y128">
            <v>421.35645</v>
          </cell>
          <cell r="Z128">
            <v>326.16446999999999</v>
          </cell>
          <cell r="AA128">
            <v>304.88411000000002</v>
          </cell>
          <cell r="AB128">
            <v>279.36117999999999</v>
          </cell>
          <cell r="AC128">
            <v>1331.76621</v>
          </cell>
          <cell r="AD128">
            <v>246.93522999999999</v>
          </cell>
          <cell r="AE128">
            <v>271.72519</v>
          </cell>
          <cell r="AF128">
            <v>181.42510999999999</v>
          </cell>
          <cell r="AG128">
            <v>211.44</v>
          </cell>
          <cell r="AH128">
            <v>911.52553</v>
          </cell>
          <cell r="AI128" t="str">
            <v xml:space="preserve">U.S. Dollar                   </v>
          </cell>
          <cell r="AJ128" t="str">
            <v xml:space="preserve"> </v>
          </cell>
          <cell r="AK128" t="str">
            <v xml:space="preserve"> </v>
          </cell>
          <cell r="AL128" t="str">
            <v xml:space="preserve"> </v>
          </cell>
          <cell r="AM128" t="str">
            <v xml:space="preserve"> </v>
          </cell>
          <cell r="AN128" t="str">
            <v xml:space="preserve"> </v>
          </cell>
          <cell r="AO128" t="str">
            <v xml:space="preserve"> </v>
          </cell>
          <cell r="AP128" t="str">
            <v xml:space="preserve"> </v>
          </cell>
          <cell r="AQ128" t="str">
            <v xml:space="preserve"> </v>
          </cell>
        </row>
        <row r="129">
          <cell r="A129" t="str">
            <v>FBE.......601000</v>
          </cell>
          <cell r="B129" t="str">
            <v>2003T12</v>
          </cell>
          <cell r="C129" t="str">
            <v xml:space="preserve">TREND    </v>
          </cell>
          <cell r="D129" t="str">
            <v xml:space="preserve">Trend -  QTD Average/Activity                     </v>
          </cell>
          <cell r="E129" t="str">
            <v>Run: 08/07/03 13:53:41</v>
          </cell>
          <cell r="F129" t="str">
            <v>999</v>
          </cell>
          <cell r="G129" t="str">
            <v>100</v>
          </cell>
          <cell r="H129" t="str">
            <v xml:space="preserve">Bank Of America Management Reporting              </v>
          </cell>
          <cell r="I129" t="str">
            <v>001</v>
          </cell>
          <cell r="J129" t="str">
            <v>FBE.......</v>
          </cell>
          <cell r="K129" t="str">
            <v xml:space="preserve">Emg Ops Emea And Latin America                    </v>
          </cell>
          <cell r="L129" t="str">
            <v xml:space="preserve"> </v>
          </cell>
          <cell r="M129" t="str">
            <v xml:space="preserve"> </v>
          </cell>
          <cell r="N129" t="str">
            <v>bamgt</v>
          </cell>
          <cell r="O129" t="str">
            <v>40</v>
          </cell>
          <cell r="P129" t="str">
            <v>600000A  600250   999999999601000   999999999999999999999999999999999999</v>
          </cell>
          <cell r="Q129" t="str">
            <v xml:space="preserve">none     </v>
          </cell>
          <cell r="R129" t="str">
            <v>RollFCST-Working Version</v>
          </cell>
          <cell r="S129" t="str">
            <v>RollFCST-Working Version</v>
          </cell>
          <cell r="T129" t="str">
            <v xml:space="preserve"> </v>
          </cell>
          <cell r="U129" t="str">
            <v xml:space="preserve"> </v>
          </cell>
          <cell r="V129" t="str">
            <v>601000</v>
          </cell>
          <cell r="W129" t="str">
            <v>4</v>
          </cell>
          <cell r="X129" t="str">
            <v xml:space="preserve">      Overtime Salaries                 </v>
          </cell>
          <cell r="Y129">
            <v>23.92831</v>
          </cell>
          <cell r="Z129">
            <v>16.329599999999999</v>
          </cell>
          <cell r="AA129">
            <v>8.3739899999999992</v>
          </cell>
          <cell r="AB129">
            <v>7.3408800000000003</v>
          </cell>
          <cell r="AC129">
            <v>55.97278</v>
          </cell>
          <cell r="AD129">
            <v>3.7869700000000002</v>
          </cell>
          <cell r="AE129">
            <v>1.00943</v>
          </cell>
          <cell r="AF129">
            <v>2.4682200000000001</v>
          </cell>
          <cell r="AG129">
            <v>0</v>
          </cell>
          <cell r="AH129">
            <v>7.2646199999999999</v>
          </cell>
          <cell r="AI129" t="str">
            <v xml:space="preserve">U.S. Dollar                   </v>
          </cell>
          <cell r="AJ129" t="str">
            <v xml:space="preserve"> </v>
          </cell>
          <cell r="AK129" t="str">
            <v xml:space="preserve"> </v>
          </cell>
          <cell r="AL129" t="str">
            <v xml:space="preserve"> </v>
          </cell>
          <cell r="AM129" t="str">
            <v xml:space="preserve"> </v>
          </cell>
          <cell r="AN129" t="str">
            <v xml:space="preserve"> </v>
          </cell>
          <cell r="AO129" t="str">
            <v xml:space="preserve"> </v>
          </cell>
          <cell r="AP129" t="str">
            <v xml:space="preserve"> </v>
          </cell>
          <cell r="AQ129" t="str">
            <v xml:space="preserve"> </v>
          </cell>
        </row>
        <row r="130">
          <cell r="A130" t="str">
            <v>FBE.......601500</v>
          </cell>
          <cell r="B130" t="str">
            <v>2003T12</v>
          </cell>
          <cell r="C130" t="str">
            <v xml:space="preserve">TREND    </v>
          </cell>
          <cell r="D130" t="str">
            <v xml:space="preserve">Trend -  QTD Average/Activity                     </v>
          </cell>
          <cell r="E130" t="str">
            <v>Run: 08/07/03 13:53:41</v>
          </cell>
          <cell r="F130" t="str">
            <v>999</v>
          </cell>
          <cell r="G130" t="str">
            <v>100</v>
          </cell>
          <cell r="H130" t="str">
            <v xml:space="preserve">Bank Of America Management Reporting              </v>
          </cell>
          <cell r="I130" t="str">
            <v>001</v>
          </cell>
          <cell r="J130" t="str">
            <v>FBE.......</v>
          </cell>
          <cell r="K130" t="str">
            <v xml:space="preserve">Emg Ops Emea And Latin America                    </v>
          </cell>
          <cell r="L130" t="str">
            <v xml:space="preserve"> </v>
          </cell>
          <cell r="M130" t="str">
            <v xml:space="preserve"> </v>
          </cell>
          <cell r="N130" t="str">
            <v>bamgt</v>
          </cell>
          <cell r="O130" t="str">
            <v>40</v>
          </cell>
          <cell r="P130" t="str">
            <v>600000A  600250   999999999601500   999999999999999999999999999999999999</v>
          </cell>
          <cell r="Q130" t="str">
            <v xml:space="preserve">none     </v>
          </cell>
          <cell r="R130" t="str">
            <v>RollFCST-Working Version</v>
          </cell>
          <cell r="S130" t="str">
            <v>RollFCST-Working Version</v>
          </cell>
          <cell r="T130" t="str">
            <v xml:space="preserve"> </v>
          </cell>
          <cell r="U130" t="str">
            <v xml:space="preserve"> </v>
          </cell>
          <cell r="V130" t="str">
            <v>601500</v>
          </cell>
          <cell r="W130" t="str">
            <v>4</v>
          </cell>
          <cell r="X130" t="str">
            <v xml:space="preserve">      Incentive Compensation            </v>
          </cell>
          <cell r="Y130">
            <v>0</v>
          </cell>
          <cell r="Z130">
            <v>0</v>
          </cell>
          <cell r="AA130">
            <v>0</v>
          </cell>
          <cell r="AB130">
            <v>0</v>
          </cell>
          <cell r="AC130">
            <v>0</v>
          </cell>
          <cell r="AD130">
            <v>0</v>
          </cell>
          <cell r="AE130">
            <v>0</v>
          </cell>
          <cell r="AF130">
            <v>0</v>
          </cell>
          <cell r="AG130">
            <v>0</v>
          </cell>
          <cell r="AH130">
            <v>0</v>
          </cell>
          <cell r="AI130" t="str">
            <v xml:space="preserve">U.S. Dollar                   </v>
          </cell>
          <cell r="AJ130" t="str">
            <v xml:space="preserve"> </v>
          </cell>
          <cell r="AK130" t="str">
            <v xml:space="preserve"> </v>
          </cell>
          <cell r="AL130" t="str">
            <v xml:space="preserve"> </v>
          </cell>
          <cell r="AM130" t="str">
            <v xml:space="preserve"> </v>
          </cell>
          <cell r="AN130" t="str">
            <v xml:space="preserve"> </v>
          </cell>
          <cell r="AO130" t="str">
            <v xml:space="preserve"> </v>
          </cell>
          <cell r="AP130" t="str">
            <v xml:space="preserve"> </v>
          </cell>
          <cell r="AQ130" t="str">
            <v xml:space="preserve"> </v>
          </cell>
        </row>
        <row r="131">
          <cell r="A131" t="str">
            <v>FBE.......602400</v>
          </cell>
          <cell r="B131" t="str">
            <v>2003T12</v>
          </cell>
          <cell r="C131" t="str">
            <v xml:space="preserve">TREND    </v>
          </cell>
          <cell r="D131" t="str">
            <v xml:space="preserve">Trend -  QTD Average/Activity                     </v>
          </cell>
          <cell r="E131" t="str">
            <v>Run: 08/07/03 13:53:41</v>
          </cell>
          <cell r="F131" t="str">
            <v>999</v>
          </cell>
          <cell r="G131" t="str">
            <v>100</v>
          </cell>
          <cell r="H131" t="str">
            <v xml:space="preserve">Bank Of America Management Reporting              </v>
          </cell>
          <cell r="I131" t="str">
            <v>001</v>
          </cell>
          <cell r="J131" t="str">
            <v>FBE.......</v>
          </cell>
          <cell r="K131" t="str">
            <v xml:space="preserve">Emg Ops Emea And Latin America                    </v>
          </cell>
          <cell r="L131" t="str">
            <v xml:space="preserve"> </v>
          </cell>
          <cell r="M131" t="str">
            <v xml:space="preserve"> </v>
          </cell>
          <cell r="N131" t="str">
            <v>bamgt</v>
          </cell>
          <cell r="O131" t="str">
            <v>40</v>
          </cell>
          <cell r="P131" t="str">
            <v>600000A  600250   999999999602000   602400   999999999999999999999999999</v>
          </cell>
          <cell r="Q131" t="str">
            <v xml:space="preserve">none     </v>
          </cell>
          <cell r="R131" t="str">
            <v>RollFCST-Working Version</v>
          </cell>
          <cell r="S131" t="str">
            <v>RollFCST-Working Version</v>
          </cell>
          <cell r="T131" t="str">
            <v xml:space="preserve"> </v>
          </cell>
          <cell r="U131" t="str">
            <v xml:space="preserve"> </v>
          </cell>
          <cell r="V131" t="str">
            <v>602400</v>
          </cell>
          <cell r="W131" t="str">
            <v>5</v>
          </cell>
          <cell r="X131" t="str">
            <v xml:space="preserve">        Other Employee Compensation     </v>
          </cell>
          <cell r="Y131">
            <v>14.564590000000001</v>
          </cell>
          <cell r="Z131">
            <v>71.261089999999996</v>
          </cell>
          <cell r="AA131">
            <v>92.793620000000004</v>
          </cell>
          <cell r="AB131">
            <v>26.83109</v>
          </cell>
          <cell r="AC131">
            <v>205.45039</v>
          </cell>
          <cell r="AD131">
            <v>3.9534500000000001</v>
          </cell>
          <cell r="AE131">
            <v>6.9310600000000004</v>
          </cell>
          <cell r="AF131">
            <v>4</v>
          </cell>
          <cell r="AG131">
            <v>0</v>
          </cell>
          <cell r="AH131">
            <v>14.884510000000001</v>
          </cell>
          <cell r="AI131" t="str">
            <v xml:space="preserve">U.S. Dollar                   </v>
          </cell>
          <cell r="AJ131" t="str">
            <v xml:space="preserve"> </v>
          </cell>
          <cell r="AK131" t="str">
            <v xml:space="preserve"> </v>
          </cell>
          <cell r="AL131" t="str">
            <v xml:space="preserve"> </v>
          </cell>
          <cell r="AM131" t="str">
            <v xml:space="preserve"> </v>
          </cell>
          <cell r="AN131" t="str">
            <v xml:space="preserve"> </v>
          </cell>
          <cell r="AO131" t="str">
            <v xml:space="preserve"> </v>
          </cell>
          <cell r="AP131" t="str">
            <v xml:space="preserve"> </v>
          </cell>
          <cell r="AQ131" t="str">
            <v xml:space="preserve"> </v>
          </cell>
        </row>
        <row r="132">
          <cell r="A132" t="str">
            <v>FBE.......602000</v>
          </cell>
          <cell r="B132" t="str">
            <v>2003T12</v>
          </cell>
          <cell r="C132" t="str">
            <v xml:space="preserve">TREND    </v>
          </cell>
          <cell r="D132" t="str">
            <v xml:space="preserve">Trend -  QTD Average/Activity                     </v>
          </cell>
          <cell r="E132" t="str">
            <v>Run: 08/07/03 13:53:41</v>
          </cell>
          <cell r="F132" t="str">
            <v>999</v>
          </cell>
          <cell r="G132" t="str">
            <v>100</v>
          </cell>
          <cell r="H132" t="str">
            <v xml:space="preserve">Bank Of America Management Reporting              </v>
          </cell>
          <cell r="I132" t="str">
            <v>001</v>
          </cell>
          <cell r="J132" t="str">
            <v>FBE.......</v>
          </cell>
          <cell r="K132" t="str">
            <v xml:space="preserve">Emg Ops Emea And Latin America                    </v>
          </cell>
          <cell r="L132" t="str">
            <v xml:space="preserve"> </v>
          </cell>
          <cell r="M132" t="str">
            <v xml:space="preserve"> </v>
          </cell>
          <cell r="N132" t="str">
            <v>bamgt</v>
          </cell>
          <cell r="O132" t="str">
            <v>40</v>
          </cell>
          <cell r="P132" t="str">
            <v>600000A  600250   999999999602000   999999999999999999999999999999999999</v>
          </cell>
          <cell r="Q132" t="str">
            <v xml:space="preserve">none     </v>
          </cell>
          <cell r="R132" t="str">
            <v>RollFCST-Working Version</v>
          </cell>
          <cell r="S132" t="str">
            <v>RollFCST-Working Version</v>
          </cell>
          <cell r="T132" t="str">
            <v xml:space="preserve"> </v>
          </cell>
          <cell r="U132" t="str">
            <v xml:space="preserve"> </v>
          </cell>
          <cell r="V132" t="str">
            <v>602000</v>
          </cell>
          <cell r="W132" t="str">
            <v>4</v>
          </cell>
          <cell r="X132" t="str">
            <v xml:space="preserve">      Contract Temporary/Other Compensat</v>
          </cell>
          <cell r="Y132">
            <v>22.42708</v>
          </cell>
          <cell r="Z132">
            <v>79.621740000000003</v>
          </cell>
          <cell r="AA132">
            <v>99.608159999999998</v>
          </cell>
          <cell r="AB132">
            <v>34.549700000000001</v>
          </cell>
          <cell r="AC132">
            <v>236.20668000000001</v>
          </cell>
          <cell r="AD132">
            <v>8.7886199999999999</v>
          </cell>
          <cell r="AE132">
            <v>11.03012</v>
          </cell>
          <cell r="AF132">
            <v>5.1712999999999996</v>
          </cell>
          <cell r="AG132">
            <v>0</v>
          </cell>
          <cell r="AH132">
            <v>24.99004</v>
          </cell>
          <cell r="AI132" t="str">
            <v xml:space="preserve">U.S. Dollar                   </v>
          </cell>
          <cell r="AJ132" t="str">
            <v xml:space="preserve"> </v>
          </cell>
          <cell r="AK132" t="str">
            <v xml:space="preserve"> </v>
          </cell>
          <cell r="AL132" t="str">
            <v xml:space="preserve"> </v>
          </cell>
          <cell r="AM132" t="str">
            <v xml:space="preserve"> </v>
          </cell>
          <cell r="AN132" t="str">
            <v xml:space="preserve"> </v>
          </cell>
          <cell r="AO132" t="str">
            <v xml:space="preserve"> </v>
          </cell>
          <cell r="AP132" t="str">
            <v xml:space="preserve"> </v>
          </cell>
          <cell r="AQ132" t="str">
            <v xml:space="preserve"> </v>
          </cell>
        </row>
        <row r="133">
          <cell r="A133" t="str">
            <v>FBE.......603000</v>
          </cell>
          <cell r="B133" t="str">
            <v>2003T12</v>
          </cell>
          <cell r="C133" t="str">
            <v xml:space="preserve">TREND    </v>
          </cell>
          <cell r="D133" t="str">
            <v xml:space="preserve">Trend -  QTD Average/Activity                     </v>
          </cell>
          <cell r="E133" t="str">
            <v>Run: 08/07/03 13:53:41</v>
          </cell>
          <cell r="F133" t="str">
            <v>999</v>
          </cell>
          <cell r="G133" t="str">
            <v>100</v>
          </cell>
          <cell r="H133" t="str">
            <v xml:space="preserve">Bank Of America Management Reporting              </v>
          </cell>
          <cell r="I133" t="str">
            <v>001</v>
          </cell>
          <cell r="J133" t="str">
            <v>FBE.......</v>
          </cell>
          <cell r="K133" t="str">
            <v xml:space="preserve">Emg Ops Emea And Latin America                    </v>
          </cell>
          <cell r="L133" t="str">
            <v xml:space="preserve"> </v>
          </cell>
          <cell r="M133" t="str">
            <v xml:space="preserve"> </v>
          </cell>
          <cell r="N133" t="str">
            <v>bamgt</v>
          </cell>
          <cell r="O133" t="str">
            <v>40</v>
          </cell>
          <cell r="P133" t="str">
            <v>600000A  600250   999999999603000   999999999999999999999999999999999999</v>
          </cell>
          <cell r="Q133" t="str">
            <v xml:space="preserve">none     </v>
          </cell>
          <cell r="R133" t="str">
            <v>RollFCST-Working Version</v>
          </cell>
          <cell r="S133" t="str">
            <v>RollFCST-Working Version</v>
          </cell>
          <cell r="T133" t="str">
            <v xml:space="preserve"> </v>
          </cell>
          <cell r="U133" t="str">
            <v xml:space="preserve"> </v>
          </cell>
          <cell r="V133" t="str">
            <v>603000</v>
          </cell>
          <cell r="W133" t="str">
            <v>4</v>
          </cell>
          <cell r="X133" t="str">
            <v xml:space="preserve">      Employee Benefits                 </v>
          </cell>
          <cell r="Y133">
            <v>166.02869000000001</v>
          </cell>
          <cell r="Z133">
            <v>119.71207</v>
          </cell>
          <cell r="AA133">
            <v>121.59774</v>
          </cell>
          <cell r="AB133">
            <v>114.59823</v>
          </cell>
          <cell r="AC133">
            <v>521.93673000000001</v>
          </cell>
          <cell r="AD133">
            <v>122.99172</v>
          </cell>
          <cell r="AE133">
            <v>99.365729999999999</v>
          </cell>
          <cell r="AF133">
            <v>107.76475000000001</v>
          </cell>
          <cell r="AG133">
            <v>78.316800000000001</v>
          </cell>
          <cell r="AH133">
            <v>408.43900000000002</v>
          </cell>
          <cell r="AI133" t="str">
            <v xml:space="preserve">U.S. Dollar                   </v>
          </cell>
          <cell r="AJ133" t="str">
            <v xml:space="preserve"> </v>
          </cell>
          <cell r="AK133" t="str">
            <v xml:space="preserve"> </v>
          </cell>
          <cell r="AL133" t="str">
            <v xml:space="preserve"> </v>
          </cell>
          <cell r="AM133" t="str">
            <v xml:space="preserve"> </v>
          </cell>
          <cell r="AN133" t="str">
            <v xml:space="preserve"> </v>
          </cell>
          <cell r="AO133" t="str">
            <v xml:space="preserve"> </v>
          </cell>
          <cell r="AP133" t="str">
            <v xml:space="preserve"> </v>
          </cell>
          <cell r="AQ133" t="str">
            <v xml:space="preserve"> </v>
          </cell>
        </row>
        <row r="134">
          <cell r="A134" t="str">
            <v>FBE.......600250</v>
          </cell>
          <cell r="B134" t="str">
            <v>2003T12</v>
          </cell>
          <cell r="C134" t="str">
            <v xml:space="preserve">TREND    </v>
          </cell>
          <cell r="D134" t="str">
            <v xml:space="preserve">Trend -  QTD Average/Activity                     </v>
          </cell>
          <cell r="E134" t="str">
            <v>Run: 08/07/03 13:53:41</v>
          </cell>
          <cell r="F134" t="str">
            <v>999</v>
          </cell>
          <cell r="G134" t="str">
            <v>100</v>
          </cell>
          <cell r="H134" t="str">
            <v xml:space="preserve">Bank Of America Management Reporting              </v>
          </cell>
          <cell r="I134" t="str">
            <v>001</v>
          </cell>
          <cell r="J134" t="str">
            <v>FBE.......</v>
          </cell>
          <cell r="K134" t="str">
            <v xml:space="preserve">Emg Ops Emea And Latin America                    </v>
          </cell>
          <cell r="L134" t="str">
            <v xml:space="preserve"> </v>
          </cell>
          <cell r="M134" t="str">
            <v xml:space="preserve"> </v>
          </cell>
          <cell r="N134" t="str">
            <v>bamgt</v>
          </cell>
          <cell r="O134" t="str">
            <v>40</v>
          </cell>
          <cell r="P134" t="str">
            <v>600000A  600250   999999999999999999999999999999999999999999999999999999</v>
          </cell>
          <cell r="Q134" t="str">
            <v xml:space="preserve">none     </v>
          </cell>
          <cell r="R134" t="str">
            <v>RollFCST-Working Version</v>
          </cell>
          <cell r="S134" t="str">
            <v>RollFCST-Working Version</v>
          </cell>
          <cell r="T134" t="str">
            <v xml:space="preserve"> </v>
          </cell>
          <cell r="U134" t="str">
            <v xml:space="preserve"> </v>
          </cell>
          <cell r="V134" t="str">
            <v>600250</v>
          </cell>
          <cell r="W134" t="str">
            <v>2</v>
          </cell>
          <cell r="X134" t="str">
            <v xml:space="preserve">  Personnel                             </v>
          </cell>
          <cell r="Y134">
            <v>633.74053000000004</v>
          </cell>
          <cell r="Z134">
            <v>541.82788000000005</v>
          </cell>
          <cell r="AA134">
            <v>534.46400000000006</v>
          </cell>
          <cell r="AB134">
            <v>435.84998999999999</v>
          </cell>
          <cell r="AC134">
            <v>2145.8824</v>
          </cell>
          <cell r="AD134">
            <v>382.50254000000001</v>
          </cell>
          <cell r="AE134">
            <v>383.13047</v>
          </cell>
          <cell r="AF134">
            <v>296.82938000000001</v>
          </cell>
          <cell r="AG134">
            <v>289.7568</v>
          </cell>
          <cell r="AH134">
            <v>1352.21919</v>
          </cell>
          <cell r="AI134" t="str">
            <v xml:space="preserve">U.S. Dollar                   </v>
          </cell>
          <cell r="AJ134" t="str">
            <v xml:space="preserve"> </v>
          </cell>
          <cell r="AK134" t="str">
            <v xml:space="preserve"> </v>
          </cell>
          <cell r="AL134" t="str">
            <v xml:space="preserve"> </v>
          </cell>
          <cell r="AM134" t="str">
            <v xml:space="preserve"> </v>
          </cell>
          <cell r="AN134" t="str">
            <v xml:space="preserve"> </v>
          </cell>
          <cell r="AO134" t="str">
            <v xml:space="preserve"> </v>
          </cell>
          <cell r="AP134" t="str">
            <v xml:space="preserve"> </v>
          </cell>
          <cell r="AQ134" t="str">
            <v xml:space="preserve"> </v>
          </cell>
        </row>
        <row r="135">
          <cell r="A135" t="str">
            <v>FBE.......610000</v>
          </cell>
          <cell r="B135" t="str">
            <v>2003T12</v>
          </cell>
          <cell r="C135" t="str">
            <v xml:space="preserve">TREND    </v>
          </cell>
          <cell r="D135" t="str">
            <v xml:space="preserve">Trend -  QTD Average/Activity                     </v>
          </cell>
          <cell r="E135" t="str">
            <v>Run: 08/07/03 13:53:41</v>
          </cell>
          <cell r="F135" t="str">
            <v>999</v>
          </cell>
          <cell r="G135" t="str">
            <v>100</v>
          </cell>
          <cell r="H135" t="str">
            <v xml:space="preserve">Bank Of America Management Reporting              </v>
          </cell>
          <cell r="I135" t="str">
            <v>001</v>
          </cell>
          <cell r="J135" t="str">
            <v>FBE.......</v>
          </cell>
          <cell r="K135" t="str">
            <v xml:space="preserve">Emg Ops Emea And Latin America                    </v>
          </cell>
          <cell r="L135" t="str">
            <v xml:space="preserve"> </v>
          </cell>
          <cell r="M135" t="str">
            <v xml:space="preserve"> </v>
          </cell>
          <cell r="N135" t="str">
            <v>bamgt</v>
          </cell>
          <cell r="O135" t="str">
            <v>40</v>
          </cell>
          <cell r="P135" t="str">
            <v>600000A  610000   999999999999999999999999999999999999999999999999999999</v>
          </cell>
          <cell r="Q135" t="str">
            <v xml:space="preserve">none     </v>
          </cell>
          <cell r="R135" t="str">
            <v>RollFCST-Working Version</v>
          </cell>
          <cell r="S135" t="str">
            <v>RollFCST-Working Version</v>
          </cell>
          <cell r="T135" t="str">
            <v xml:space="preserve"> </v>
          </cell>
          <cell r="U135" t="str">
            <v xml:space="preserve"> </v>
          </cell>
          <cell r="V135" t="str">
            <v>610000</v>
          </cell>
          <cell r="W135" t="str">
            <v>2</v>
          </cell>
          <cell r="X135" t="str">
            <v xml:space="preserve">  Net Occupancy Expense                 </v>
          </cell>
          <cell r="Y135">
            <v>96.226849999999999</v>
          </cell>
          <cell r="Z135">
            <v>96.258150000000001</v>
          </cell>
          <cell r="AA135">
            <v>90.166449999999998</v>
          </cell>
          <cell r="AB135">
            <v>84.919579999999996</v>
          </cell>
          <cell r="AC135">
            <v>367.57103000000001</v>
          </cell>
          <cell r="AD135">
            <v>69.638300000000001</v>
          </cell>
          <cell r="AE135">
            <v>62.248959999999997</v>
          </cell>
          <cell r="AF135">
            <v>57.295630000000003</v>
          </cell>
          <cell r="AG135">
            <v>57</v>
          </cell>
          <cell r="AH135">
            <v>246.18288999999999</v>
          </cell>
          <cell r="AI135" t="str">
            <v xml:space="preserve">U.S. Dollar                   </v>
          </cell>
          <cell r="AJ135" t="str">
            <v xml:space="preserve"> </v>
          </cell>
          <cell r="AK135" t="str">
            <v xml:space="preserve"> </v>
          </cell>
          <cell r="AL135" t="str">
            <v xml:space="preserve"> </v>
          </cell>
          <cell r="AM135" t="str">
            <v xml:space="preserve"> </v>
          </cell>
          <cell r="AN135" t="str">
            <v xml:space="preserve"> </v>
          </cell>
          <cell r="AO135" t="str">
            <v xml:space="preserve"> </v>
          </cell>
          <cell r="AP135" t="str">
            <v xml:space="preserve"> </v>
          </cell>
          <cell r="AQ135" t="str">
            <v xml:space="preserve"> </v>
          </cell>
        </row>
        <row r="136">
          <cell r="A136" t="str">
            <v>FBE.......620000</v>
          </cell>
          <cell r="B136" t="str">
            <v>2003T12</v>
          </cell>
          <cell r="C136" t="str">
            <v xml:space="preserve">TREND    </v>
          </cell>
          <cell r="D136" t="str">
            <v xml:space="preserve">Trend -  QTD Average/Activity                     </v>
          </cell>
          <cell r="E136" t="str">
            <v>Run: 08/07/03 13:53:41</v>
          </cell>
          <cell r="F136" t="str">
            <v>999</v>
          </cell>
          <cell r="G136" t="str">
            <v>100</v>
          </cell>
          <cell r="H136" t="str">
            <v xml:space="preserve">Bank Of America Management Reporting              </v>
          </cell>
          <cell r="I136" t="str">
            <v>001</v>
          </cell>
          <cell r="J136" t="str">
            <v>FBE.......</v>
          </cell>
          <cell r="K136" t="str">
            <v xml:space="preserve">Emg Ops Emea And Latin America                    </v>
          </cell>
          <cell r="L136" t="str">
            <v xml:space="preserve"> </v>
          </cell>
          <cell r="M136" t="str">
            <v xml:space="preserve"> </v>
          </cell>
          <cell r="N136" t="str">
            <v>bamgt</v>
          </cell>
          <cell r="O136" t="str">
            <v>40</v>
          </cell>
          <cell r="P136" t="str">
            <v>600000A  620000   999999999999999999999999999999999999999999999999999999</v>
          </cell>
          <cell r="Q136" t="str">
            <v xml:space="preserve">none     </v>
          </cell>
          <cell r="R136" t="str">
            <v>RollFCST-Working Version</v>
          </cell>
          <cell r="S136" t="str">
            <v>RollFCST-Working Version</v>
          </cell>
          <cell r="T136" t="str">
            <v xml:space="preserve"> </v>
          </cell>
          <cell r="U136" t="str">
            <v xml:space="preserve"> </v>
          </cell>
          <cell r="V136" t="str">
            <v>620000</v>
          </cell>
          <cell r="W136" t="str">
            <v>2</v>
          </cell>
          <cell r="X136" t="str">
            <v xml:space="preserve">  Furniture &amp; Equipment                 </v>
          </cell>
          <cell r="Y136">
            <v>25.019390000000001</v>
          </cell>
          <cell r="Z136">
            <v>27.97514</v>
          </cell>
          <cell r="AA136">
            <v>27.783629999999999</v>
          </cell>
          <cell r="AB136">
            <v>9.6789000000000005</v>
          </cell>
          <cell r="AC136">
            <v>90.457059999999998</v>
          </cell>
          <cell r="AD136">
            <v>25.673690000000001</v>
          </cell>
          <cell r="AE136">
            <v>29.513290000000001</v>
          </cell>
          <cell r="AF136">
            <v>21.78706</v>
          </cell>
          <cell r="AG136">
            <v>27</v>
          </cell>
          <cell r="AH136">
            <v>103.97404</v>
          </cell>
          <cell r="AI136" t="str">
            <v xml:space="preserve">U.S. Dollar                   </v>
          </cell>
          <cell r="AJ136" t="str">
            <v xml:space="preserve"> </v>
          </cell>
          <cell r="AK136" t="str">
            <v xml:space="preserve"> </v>
          </cell>
          <cell r="AL136" t="str">
            <v xml:space="preserve"> </v>
          </cell>
          <cell r="AM136" t="str">
            <v xml:space="preserve"> </v>
          </cell>
          <cell r="AN136" t="str">
            <v xml:space="preserve"> </v>
          </cell>
          <cell r="AO136" t="str">
            <v xml:space="preserve"> </v>
          </cell>
          <cell r="AP136" t="str">
            <v xml:space="preserve"> </v>
          </cell>
          <cell r="AQ136" t="str">
            <v xml:space="preserve"> </v>
          </cell>
        </row>
        <row r="137">
          <cell r="A137" t="str">
            <v>FBE.......623000</v>
          </cell>
          <cell r="B137" t="str">
            <v>2003T12</v>
          </cell>
          <cell r="C137" t="str">
            <v xml:space="preserve">TREND    </v>
          </cell>
          <cell r="D137" t="str">
            <v xml:space="preserve">Trend -  QTD Average/Activity                     </v>
          </cell>
          <cell r="E137" t="str">
            <v>Run: 08/07/03 13:53:41</v>
          </cell>
          <cell r="F137" t="str">
            <v>999</v>
          </cell>
          <cell r="G137" t="str">
            <v>100</v>
          </cell>
          <cell r="H137" t="str">
            <v xml:space="preserve">Bank Of America Management Reporting              </v>
          </cell>
          <cell r="I137" t="str">
            <v>001</v>
          </cell>
          <cell r="J137" t="str">
            <v>FBE.......</v>
          </cell>
          <cell r="K137" t="str">
            <v xml:space="preserve">Emg Ops Emea And Latin America                    </v>
          </cell>
          <cell r="L137" t="str">
            <v xml:space="preserve"> </v>
          </cell>
          <cell r="M137" t="str">
            <v xml:space="preserve"> </v>
          </cell>
          <cell r="N137" t="str">
            <v>bamgt</v>
          </cell>
          <cell r="O137" t="str">
            <v>40</v>
          </cell>
          <cell r="P137" t="str">
            <v>600000A  623000   999999999999999999999999999999999999999999999999999999</v>
          </cell>
          <cell r="Q137" t="str">
            <v xml:space="preserve">none     </v>
          </cell>
          <cell r="R137" t="str">
            <v>RollFCST-Working Version</v>
          </cell>
          <cell r="S137" t="str">
            <v>RollFCST-Working Version</v>
          </cell>
          <cell r="T137" t="str">
            <v xml:space="preserve"> </v>
          </cell>
          <cell r="U137" t="str">
            <v xml:space="preserve"> </v>
          </cell>
          <cell r="V137" t="str">
            <v>623000</v>
          </cell>
          <cell r="W137" t="str">
            <v>2</v>
          </cell>
          <cell r="X137" t="str">
            <v xml:space="preserve">  Marketing &amp; Promotional               </v>
          </cell>
          <cell r="Y137">
            <v>1.9874799999999999</v>
          </cell>
          <cell r="Z137">
            <v>1.30813</v>
          </cell>
          <cell r="AA137">
            <v>21.6281</v>
          </cell>
          <cell r="AB137">
            <v>1.2776700000000001</v>
          </cell>
          <cell r="AC137">
            <v>26.20138</v>
          </cell>
          <cell r="AD137">
            <v>2.2158699999999998</v>
          </cell>
          <cell r="AE137">
            <v>2.3991600000000002</v>
          </cell>
          <cell r="AF137">
            <v>2.7134</v>
          </cell>
          <cell r="AG137">
            <v>3.33</v>
          </cell>
          <cell r="AH137">
            <v>10.658429999999999</v>
          </cell>
          <cell r="AI137" t="str">
            <v xml:space="preserve">U.S. Dollar                   </v>
          </cell>
          <cell r="AJ137" t="str">
            <v xml:space="preserve"> </v>
          </cell>
          <cell r="AK137" t="str">
            <v xml:space="preserve"> </v>
          </cell>
          <cell r="AL137" t="str">
            <v xml:space="preserve"> </v>
          </cell>
          <cell r="AM137" t="str">
            <v xml:space="preserve"> </v>
          </cell>
          <cell r="AN137" t="str">
            <v xml:space="preserve"> </v>
          </cell>
          <cell r="AO137" t="str">
            <v xml:space="preserve"> </v>
          </cell>
          <cell r="AP137" t="str">
            <v xml:space="preserve"> </v>
          </cell>
          <cell r="AQ137" t="str">
            <v xml:space="preserve"> </v>
          </cell>
        </row>
        <row r="138">
          <cell r="A138" t="str">
            <v>FBE.......630000</v>
          </cell>
          <cell r="B138" t="str">
            <v>2003T12</v>
          </cell>
          <cell r="C138" t="str">
            <v xml:space="preserve">TREND    </v>
          </cell>
          <cell r="D138" t="str">
            <v xml:space="preserve">Trend -  QTD Average/Activity                     </v>
          </cell>
          <cell r="E138" t="str">
            <v>Run: 08/07/03 13:53:41</v>
          </cell>
          <cell r="F138" t="str">
            <v>999</v>
          </cell>
          <cell r="G138" t="str">
            <v>100</v>
          </cell>
          <cell r="H138" t="str">
            <v xml:space="preserve">Bank Of America Management Reporting              </v>
          </cell>
          <cell r="I138" t="str">
            <v>001</v>
          </cell>
          <cell r="J138" t="str">
            <v>FBE.......</v>
          </cell>
          <cell r="K138" t="str">
            <v xml:space="preserve">Emg Ops Emea And Latin America                    </v>
          </cell>
          <cell r="L138" t="str">
            <v xml:space="preserve"> </v>
          </cell>
          <cell r="M138" t="str">
            <v xml:space="preserve"> </v>
          </cell>
          <cell r="N138" t="str">
            <v>bamgt</v>
          </cell>
          <cell r="O138" t="str">
            <v>40</v>
          </cell>
          <cell r="P138" t="str">
            <v>600000A  630000   999999999999999999999999999999999999999999999999999999</v>
          </cell>
          <cell r="Q138" t="str">
            <v xml:space="preserve">none     </v>
          </cell>
          <cell r="R138" t="str">
            <v>RollFCST-Working Version</v>
          </cell>
          <cell r="S138" t="str">
            <v>RollFCST-Working Version</v>
          </cell>
          <cell r="T138" t="str">
            <v xml:space="preserve"> </v>
          </cell>
          <cell r="U138" t="str">
            <v xml:space="preserve"> </v>
          </cell>
          <cell r="V138" t="str">
            <v>630000</v>
          </cell>
          <cell r="W138" t="str">
            <v>2</v>
          </cell>
          <cell r="X138" t="str">
            <v xml:space="preserve">  Professional Fees                     </v>
          </cell>
          <cell r="Y138">
            <v>104.35675000000001</v>
          </cell>
          <cell r="Z138">
            <v>-70.502120000000005</v>
          </cell>
          <cell r="AA138">
            <v>9.9483200000000007</v>
          </cell>
          <cell r="AB138">
            <v>23.876989999999999</v>
          </cell>
          <cell r="AC138">
            <v>67.679940000000002</v>
          </cell>
          <cell r="AD138">
            <v>11.57133</v>
          </cell>
          <cell r="AE138">
            <v>6.2964599999999997</v>
          </cell>
          <cell r="AF138">
            <v>10.69036</v>
          </cell>
          <cell r="AG138">
            <v>3</v>
          </cell>
          <cell r="AH138">
            <v>31.558150000000001</v>
          </cell>
          <cell r="AI138" t="str">
            <v xml:space="preserve">U.S. Dollar                   </v>
          </cell>
          <cell r="AJ138" t="str">
            <v xml:space="preserve"> </v>
          </cell>
          <cell r="AK138" t="str">
            <v xml:space="preserve"> </v>
          </cell>
          <cell r="AL138" t="str">
            <v xml:space="preserve"> </v>
          </cell>
          <cell r="AM138" t="str">
            <v xml:space="preserve"> </v>
          </cell>
          <cell r="AN138" t="str">
            <v xml:space="preserve"> </v>
          </cell>
          <cell r="AO138" t="str">
            <v xml:space="preserve"> </v>
          </cell>
          <cell r="AP138" t="str">
            <v xml:space="preserve"> </v>
          </cell>
          <cell r="AQ138" t="str">
            <v xml:space="preserve"> </v>
          </cell>
        </row>
        <row r="139">
          <cell r="A139" t="str">
            <v>FBE.......651500A</v>
          </cell>
          <cell r="B139" t="str">
            <v>2003T12</v>
          </cell>
          <cell r="C139" t="str">
            <v xml:space="preserve">TREND    </v>
          </cell>
          <cell r="D139" t="str">
            <v xml:space="preserve">Trend -  QTD Average/Activity                     </v>
          </cell>
          <cell r="E139" t="str">
            <v>Run: 08/07/03 13:53:41</v>
          </cell>
          <cell r="F139" t="str">
            <v>999</v>
          </cell>
          <cell r="G139" t="str">
            <v>100</v>
          </cell>
          <cell r="H139" t="str">
            <v xml:space="preserve">Bank Of America Management Reporting              </v>
          </cell>
          <cell r="I139" t="str">
            <v>001</v>
          </cell>
          <cell r="J139" t="str">
            <v>FBE.......</v>
          </cell>
          <cell r="K139" t="str">
            <v xml:space="preserve">Emg Ops Emea And Latin America                    </v>
          </cell>
          <cell r="L139" t="str">
            <v xml:space="preserve"> </v>
          </cell>
          <cell r="M139" t="str">
            <v xml:space="preserve"> </v>
          </cell>
          <cell r="N139" t="str">
            <v>bamgt</v>
          </cell>
          <cell r="O139" t="str">
            <v>40</v>
          </cell>
          <cell r="P139" t="str">
            <v>600000A  651500A  999999999999999999999999999999999999999999999999999999</v>
          </cell>
          <cell r="Q139" t="str">
            <v xml:space="preserve">none     </v>
          </cell>
          <cell r="R139" t="str">
            <v>RollFCST-Working Version</v>
          </cell>
          <cell r="S139" t="str">
            <v>RollFCST-Working Version</v>
          </cell>
          <cell r="T139" t="str">
            <v xml:space="preserve"> </v>
          </cell>
          <cell r="U139" t="str">
            <v xml:space="preserve"> </v>
          </cell>
          <cell r="V139" t="str">
            <v>651500A</v>
          </cell>
          <cell r="W139" t="str">
            <v>2</v>
          </cell>
          <cell r="X139" t="str">
            <v xml:space="preserve">  Direct Processing Expense             </v>
          </cell>
          <cell r="Y139">
            <v>71.688180000000003</v>
          </cell>
          <cell r="Z139">
            <v>110.83638000000001</v>
          </cell>
          <cell r="AA139">
            <v>64.157150000000001</v>
          </cell>
          <cell r="AB139">
            <v>40.668120000000002</v>
          </cell>
          <cell r="AC139">
            <v>287.34983</v>
          </cell>
          <cell r="AD139">
            <v>35.170569999999998</v>
          </cell>
          <cell r="AE139">
            <v>29.07113</v>
          </cell>
          <cell r="AF139">
            <v>21.439859999999999</v>
          </cell>
          <cell r="AG139">
            <v>12</v>
          </cell>
          <cell r="AH139">
            <v>97.681560000000005</v>
          </cell>
          <cell r="AI139" t="str">
            <v xml:space="preserve">U.S. Dollar                   </v>
          </cell>
          <cell r="AJ139" t="str">
            <v xml:space="preserve"> </v>
          </cell>
          <cell r="AK139" t="str">
            <v xml:space="preserve"> </v>
          </cell>
          <cell r="AL139" t="str">
            <v xml:space="preserve"> </v>
          </cell>
          <cell r="AM139" t="str">
            <v xml:space="preserve"> </v>
          </cell>
          <cell r="AN139" t="str">
            <v xml:space="preserve"> </v>
          </cell>
          <cell r="AO139" t="str">
            <v xml:space="preserve"> </v>
          </cell>
          <cell r="AP139" t="str">
            <v xml:space="preserve"> </v>
          </cell>
          <cell r="AQ139" t="str">
            <v xml:space="preserve"> </v>
          </cell>
        </row>
        <row r="140">
          <cell r="A140" t="str">
            <v>FBE.......660000A</v>
          </cell>
          <cell r="B140" t="str">
            <v>2003T12</v>
          </cell>
          <cell r="C140" t="str">
            <v xml:space="preserve">TREND    </v>
          </cell>
          <cell r="D140" t="str">
            <v xml:space="preserve">Trend -  QTD Average/Activity                     </v>
          </cell>
          <cell r="E140" t="str">
            <v>Run: 08/07/03 13:53:41</v>
          </cell>
          <cell r="F140" t="str">
            <v>999</v>
          </cell>
          <cell r="G140" t="str">
            <v>100</v>
          </cell>
          <cell r="H140" t="str">
            <v xml:space="preserve">Bank Of America Management Reporting              </v>
          </cell>
          <cell r="I140" t="str">
            <v>001</v>
          </cell>
          <cell r="J140" t="str">
            <v>FBE.......</v>
          </cell>
          <cell r="K140" t="str">
            <v xml:space="preserve">Emg Ops Emea And Latin America                    </v>
          </cell>
          <cell r="L140" t="str">
            <v xml:space="preserve"> </v>
          </cell>
          <cell r="M140" t="str">
            <v xml:space="preserve"> </v>
          </cell>
          <cell r="N140" t="str">
            <v>bamgt</v>
          </cell>
          <cell r="O140" t="str">
            <v>40</v>
          </cell>
          <cell r="P140" t="str">
            <v>600000A  660000A  999999999999999999999999999999999999999999999999999999</v>
          </cell>
          <cell r="Q140" t="str">
            <v xml:space="preserve">none     </v>
          </cell>
          <cell r="R140" t="str">
            <v>RollFCST-Working Version</v>
          </cell>
          <cell r="S140" t="str">
            <v>RollFCST-Working Version</v>
          </cell>
          <cell r="T140" t="str">
            <v xml:space="preserve"> </v>
          </cell>
          <cell r="U140" t="str">
            <v xml:space="preserve"> </v>
          </cell>
          <cell r="V140" t="str">
            <v>660000A</v>
          </cell>
          <cell r="W140" t="str">
            <v>2</v>
          </cell>
          <cell r="X140" t="str">
            <v xml:space="preserve">  Telecommunications                    </v>
          </cell>
          <cell r="Y140">
            <v>20.31307</v>
          </cell>
          <cell r="Z140">
            <v>25.482900000000001</v>
          </cell>
          <cell r="AA140">
            <v>24.69463</v>
          </cell>
          <cell r="AB140">
            <v>24.353269999999998</v>
          </cell>
          <cell r="AC140">
            <v>94.843869999999995</v>
          </cell>
          <cell r="AD140">
            <v>17.596540000000001</v>
          </cell>
          <cell r="AE140">
            <v>30.931319999999999</v>
          </cell>
          <cell r="AF140">
            <v>17.871690000000001</v>
          </cell>
          <cell r="AG140">
            <v>17.82</v>
          </cell>
          <cell r="AH140">
            <v>84.219549999999998</v>
          </cell>
          <cell r="AI140" t="str">
            <v xml:space="preserve">U.S. Dollar                   </v>
          </cell>
          <cell r="AJ140" t="str">
            <v xml:space="preserve"> </v>
          </cell>
          <cell r="AK140" t="str">
            <v xml:space="preserve"> </v>
          </cell>
          <cell r="AL140" t="str">
            <v xml:space="preserve"> </v>
          </cell>
          <cell r="AM140" t="str">
            <v xml:space="preserve"> </v>
          </cell>
          <cell r="AN140" t="str">
            <v xml:space="preserve"> </v>
          </cell>
          <cell r="AO140" t="str">
            <v xml:space="preserve"> </v>
          </cell>
          <cell r="AP140" t="str">
            <v xml:space="preserve"> </v>
          </cell>
          <cell r="AQ140" t="str">
            <v xml:space="preserve"> </v>
          </cell>
        </row>
        <row r="141">
          <cell r="A141" t="str">
            <v>FBE.......663000</v>
          </cell>
          <cell r="B141" t="str">
            <v>2003T12</v>
          </cell>
          <cell r="C141" t="str">
            <v xml:space="preserve">TREND    </v>
          </cell>
          <cell r="D141" t="str">
            <v xml:space="preserve">Trend -  QTD Average/Activity                     </v>
          </cell>
          <cell r="E141" t="str">
            <v>Run: 08/07/03 13:53:41</v>
          </cell>
          <cell r="F141" t="str">
            <v>999</v>
          </cell>
          <cell r="G141" t="str">
            <v>100</v>
          </cell>
          <cell r="H141" t="str">
            <v xml:space="preserve">Bank Of America Management Reporting              </v>
          </cell>
          <cell r="I141" t="str">
            <v>001</v>
          </cell>
          <cell r="J141" t="str">
            <v>FBE.......</v>
          </cell>
          <cell r="K141" t="str">
            <v xml:space="preserve">Emg Ops Emea And Latin America                    </v>
          </cell>
          <cell r="L141" t="str">
            <v xml:space="preserve"> </v>
          </cell>
          <cell r="M141" t="str">
            <v xml:space="preserve"> </v>
          </cell>
          <cell r="N141" t="str">
            <v>bamgt</v>
          </cell>
          <cell r="O141" t="str">
            <v>40</v>
          </cell>
          <cell r="P141" t="str">
            <v>600000A  662999B  662999C  663000   999999999999999999999999999999999999</v>
          </cell>
          <cell r="Q141" t="str">
            <v xml:space="preserve">none     </v>
          </cell>
          <cell r="R141" t="str">
            <v>RollFCST-Working Version</v>
          </cell>
          <cell r="S141" t="str">
            <v>RollFCST-Working Version</v>
          </cell>
          <cell r="T141" t="str">
            <v xml:space="preserve"> </v>
          </cell>
          <cell r="U141" t="str">
            <v xml:space="preserve"> </v>
          </cell>
          <cell r="V141" t="str">
            <v>663000</v>
          </cell>
          <cell r="W141" t="str">
            <v>4</v>
          </cell>
          <cell r="X141" t="str">
            <v xml:space="preserve">      Supplies                          </v>
          </cell>
          <cell r="Y141">
            <v>9.1887100000000004</v>
          </cell>
          <cell r="Z141">
            <v>10.042160000000001</v>
          </cell>
          <cell r="AA141">
            <v>9.6738999999999997</v>
          </cell>
          <cell r="AB141">
            <v>8.0751200000000001</v>
          </cell>
          <cell r="AC141">
            <v>36.979889999999997</v>
          </cell>
          <cell r="AD141">
            <v>5.9542299999999999</v>
          </cell>
          <cell r="AE141">
            <v>6.0445599999999997</v>
          </cell>
          <cell r="AF141">
            <v>5.0434599999999996</v>
          </cell>
          <cell r="AG141">
            <v>6.51</v>
          </cell>
          <cell r="AH141">
            <v>23.552250000000001</v>
          </cell>
          <cell r="AI141" t="str">
            <v xml:space="preserve">U.S. Dollar                   </v>
          </cell>
          <cell r="AJ141" t="str">
            <v xml:space="preserve"> </v>
          </cell>
          <cell r="AK141" t="str">
            <v xml:space="preserve"> </v>
          </cell>
          <cell r="AL141" t="str">
            <v xml:space="preserve"> </v>
          </cell>
          <cell r="AM141" t="str">
            <v xml:space="preserve"> </v>
          </cell>
          <cell r="AN141" t="str">
            <v xml:space="preserve"> </v>
          </cell>
          <cell r="AO141" t="str">
            <v xml:space="preserve"> </v>
          </cell>
          <cell r="AP141" t="str">
            <v xml:space="preserve"> </v>
          </cell>
          <cell r="AQ141" t="str">
            <v xml:space="preserve"> </v>
          </cell>
        </row>
        <row r="142">
          <cell r="A142" t="str">
            <v>FBE.......664500</v>
          </cell>
          <cell r="B142" t="str">
            <v>2003T12</v>
          </cell>
          <cell r="C142" t="str">
            <v xml:space="preserve">TREND    </v>
          </cell>
          <cell r="D142" t="str">
            <v xml:space="preserve">Trend -  QTD Average/Activity                     </v>
          </cell>
          <cell r="E142" t="str">
            <v>Run: 08/07/03 13:53:41</v>
          </cell>
          <cell r="F142" t="str">
            <v>999</v>
          </cell>
          <cell r="G142" t="str">
            <v>100</v>
          </cell>
          <cell r="H142" t="str">
            <v xml:space="preserve">Bank Of America Management Reporting              </v>
          </cell>
          <cell r="I142" t="str">
            <v>001</v>
          </cell>
          <cell r="J142" t="str">
            <v>FBE.......</v>
          </cell>
          <cell r="K142" t="str">
            <v xml:space="preserve">Emg Ops Emea And Latin America                    </v>
          </cell>
          <cell r="L142" t="str">
            <v xml:space="preserve"> </v>
          </cell>
          <cell r="M142" t="str">
            <v xml:space="preserve"> </v>
          </cell>
          <cell r="N142" t="str">
            <v>bamgt</v>
          </cell>
          <cell r="O142" t="str">
            <v>40</v>
          </cell>
          <cell r="P142" t="str">
            <v>600000A  662999B  662999C  664500   999999999999999999999999999999999999</v>
          </cell>
          <cell r="Q142" t="str">
            <v xml:space="preserve">none     </v>
          </cell>
          <cell r="R142" t="str">
            <v>RollFCST-Working Version</v>
          </cell>
          <cell r="S142" t="str">
            <v>RollFCST-Working Version</v>
          </cell>
          <cell r="T142" t="str">
            <v xml:space="preserve"> </v>
          </cell>
          <cell r="U142" t="str">
            <v xml:space="preserve"> </v>
          </cell>
          <cell r="V142" t="str">
            <v>664500</v>
          </cell>
          <cell r="W142" t="str">
            <v>4</v>
          </cell>
          <cell r="X142" t="str">
            <v xml:space="preserve">      Postage And Courier               </v>
          </cell>
          <cell r="Y142">
            <v>2.4369200000000002</v>
          </cell>
          <cell r="Z142">
            <v>2.2747099999999998</v>
          </cell>
          <cell r="AA142">
            <v>2.6787899999999998</v>
          </cell>
          <cell r="AB142">
            <v>1.6994899999999999</v>
          </cell>
          <cell r="AC142">
            <v>9.0899099999999997</v>
          </cell>
          <cell r="AD142">
            <v>1.0983000000000001</v>
          </cell>
          <cell r="AE142">
            <v>2.4882599999999999</v>
          </cell>
          <cell r="AF142">
            <v>0.91232999999999997</v>
          </cell>
          <cell r="AG142">
            <v>0.99</v>
          </cell>
          <cell r="AH142">
            <v>5.4888899999999996</v>
          </cell>
          <cell r="AI142" t="str">
            <v xml:space="preserve">U.S. Dollar                   </v>
          </cell>
          <cell r="AJ142" t="str">
            <v xml:space="preserve"> </v>
          </cell>
          <cell r="AK142" t="str">
            <v xml:space="preserve"> </v>
          </cell>
          <cell r="AL142" t="str">
            <v xml:space="preserve"> </v>
          </cell>
          <cell r="AM142" t="str">
            <v xml:space="preserve"> </v>
          </cell>
          <cell r="AN142" t="str">
            <v xml:space="preserve"> </v>
          </cell>
          <cell r="AO142" t="str">
            <v xml:space="preserve"> </v>
          </cell>
          <cell r="AP142" t="str">
            <v xml:space="preserve"> </v>
          </cell>
          <cell r="AQ142" t="str">
            <v xml:space="preserve"> </v>
          </cell>
        </row>
        <row r="143">
          <cell r="A143" t="str">
            <v>FBE.......665499F</v>
          </cell>
          <cell r="B143" t="str">
            <v>2003T12</v>
          </cell>
          <cell r="C143" t="str">
            <v xml:space="preserve">TREND    </v>
          </cell>
          <cell r="D143" t="str">
            <v xml:space="preserve">Trend -  QTD Average/Activity                     </v>
          </cell>
          <cell r="E143" t="str">
            <v>Run: 08/07/03 13:53:41</v>
          </cell>
          <cell r="F143" t="str">
            <v>999</v>
          </cell>
          <cell r="G143" t="str">
            <v>100</v>
          </cell>
          <cell r="H143" t="str">
            <v xml:space="preserve">Bank Of America Management Reporting              </v>
          </cell>
          <cell r="I143" t="str">
            <v>001</v>
          </cell>
          <cell r="J143" t="str">
            <v>FBE.......</v>
          </cell>
          <cell r="K143" t="str">
            <v xml:space="preserve">Emg Ops Emea And Latin America                    </v>
          </cell>
          <cell r="L143" t="str">
            <v xml:space="preserve"> </v>
          </cell>
          <cell r="M143" t="str">
            <v xml:space="preserve"> </v>
          </cell>
          <cell r="N143" t="str">
            <v>bamgt</v>
          </cell>
          <cell r="O143" t="str">
            <v>40</v>
          </cell>
          <cell r="P143" t="str">
            <v>600000A  662999B  662999C  665499B  665499D  665499F  999999999999999999</v>
          </cell>
          <cell r="Q143" t="str">
            <v xml:space="preserve">none     </v>
          </cell>
          <cell r="R143" t="str">
            <v>RollFCST-Working Version</v>
          </cell>
          <cell r="S143" t="str">
            <v>RollFCST-Working Version</v>
          </cell>
          <cell r="T143" t="str">
            <v xml:space="preserve"> </v>
          </cell>
          <cell r="U143" t="str">
            <v xml:space="preserve"> </v>
          </cell>
          <cell r="V143" t="str">
            <v>665499F</v>
          </cell>
          <cell r="W143" t="str">
            <v>6</v>
          </cell>
          <cell r="X143" t="str">
            <v xml:space="preserve">          Relocation Expense            </v>
          </cell>
          <cell r="Y143">
            <v>0</v>
          </cell>
          <cell r="Z143">
            <v>46.404870000000003</v>
          </cell>
          <cell r="AA143">
            <v>16.976710000000001</v>
          </cell>
          <cell r="AB143">
            <v>22.619779999999999</v>
          </cell>
          <cell r="AC143">
            <v>86.001360000000005</v>
          </cell>
          <cell r="AD143">
            <v>2.4032</v>
          </cell>
          <cell r="AE143">
            <v>0</v>
          </cell>
          <cell r="AF143">
            <v>0</v>
          </cell>
          <cell r="AG143">
            <v>0</v>
          </cell>
          <cell r="AH143">
            <v>2.4032</v>
          </cell>
          <cell r="AI143" t="str">
            <v xml:space="preserve">U.S. Dollar                   </v>
          </cell>
          <cell r="AJ143" t="str">
            <v xml:space="preserve"> </v>
          </cell>
          <cell r="AK143" t="str">
            <v xml:space="preserve"> </v>
          </cell>
          <cell r="AL143" t="str">
            <v xml:space="preserve"> </v>
          </cell>
          <cell r="AM143" t="str">
            <v xml:space="preserve"> </v>
          </cell>
          <cell r="AN143" t="str">
            <v xml:space="preserve"> </v>
          </cell>
          <cell r="AO143" t="str">
            <v xml:space="preserve"> </v>
          </cell>
          <cell r="AP143" t="str">
            <v xml:space="preserve"> </v>
          </cell>
          <cell r="AQ143" t="str">
            <v xml:space="preserve"> </v>
          </cell>
        </row>
        <row r="144">
          <cell r="A144" t="str">
            <v>FBE.......665499J</v>
          </cell>
          <cell r="B144" t="str">
            <v>2003T12</v>
          </cell>
          <cell r="C144" t="str">
            <v xml:space="preserve">TREND    </v>
          </cell>
          <cell r="D144" t="str">
            <v xml:space="preserve">Trend -  QTD Average/Activity                     </v>
          </cell>
          <cell r="E144" t="str">
            <v>Run: 08/07/03 13:53:41</v>
          </cell>
          <cell r="F144" t="str">
            <v>999</v>
          </cell>
          <cell r="G144" t="str">
            <v>100</v>
          </cell>
          <cell r="H144" t="str">
            <v xml:space="preserve">Bank Of America Management Reporting              </v>
          </cell>
          <cell r="I144" t="str">
            <v>001</v>
          </cell>
          <cell r="J144" t="str">
            <v>FBE.......</v>
          </cell>
          <cell r="K144" t="str">
            <v xml:space="preserve">Emg Ops Emea And Latin America                    </v>
          </cell>
          <cell r="L144" t="str">
            <v xml:space="preserve"> </v>
          </cell>
          <cell r="M144" t="str">
            <v xml:space="preserve"> </v>
          </cell>
          <cell r="N144" t="str">
            <v>bamgt</v>
          </cell>
          <cell r="O144" t="str">
            <v>40</v>
          </cell>
          <cell r="P144" t="str">
            <v>600000A  662999B  662999C  665499B  665499D  665499H  665499J  999999999</v>
          </cell>
          <cell r="Q144" t="str">
            <v xml:space="preserve">none     </v>
          </cell>
          <cell r="R144" t="str">
            <v>RollFCST-Working Version</v>
          </cell>
          <cell r="S144" t="str">
            <v>RollFCST-Working Version</v>
          </cell>
          <cell r="T144" t="str">
            <v xml:space="preserve"> </v>
          </cell>
          <cell r="U144" t="str">
            <v xml:space="preserve"> </v>
          </cell>
          <cell r="V144" t="str">
            <v>665499J</v>
          </cell>
          <cell r="W144" t="str">
            <v>7</v>
          </cell>
          <cell r="X144" t="str">
            <v xml:space="preserve">            Employee Training &amp; Seminars</v>
          </cell>
          <cell r="Y144">
            <v>15.157959999999999</v>
          </cell>
          <cell r="Z144">
            <v>10.52876</v>
          </cell>
          <cell r="AA144">
            <v>12.50221</v>
          </cell>
          <cell r="AB144">
            <v>10.241479999999999</v>
          </cell>
          <cell r="AC144">
            <v>48.430410000000002</v>
          </cell>
          <cell r="AD144">
            <v>5.15245</v>
          </cell>
          <cell r="AE144">
            <v>3.6163400000000001</v>
          </cell>
          <cell r="AF144">
            <v>2.8554599999999999</v>
          </cell>
          <cell r="AG144">
            <v>0</v>
          </cell>
          <cell r="AH144">
            <v>11.62425</v>
          </cell>
          <cell r="AI144" t="str">
            <v xml:space="preserve">U.S. Dollar                   </v>
          </cell>
          <cell r="AJ144" t="str">
            <v xml:space="preserve"> </v>
          </cell>
          <cell r="AK144" t="str">
            <v xml:space="preserve"> </v>
          </cell>
          <cell r="AL144" t="str">
            <v xml:space="preserve"> </v>
          </cell>
          <cell r="AM144" t="str">
            <v xml:space="preserve"> </v>
          </cell>
          <cell r="AN144" t="str">
            <v xml:space="preserve"> </v>
          </cell>
          <cell r="AO144" t="str">
            <v xml:space="preserve"> </v>
          </cell>
          <cell r="AP144" t="str">
            <v xml:space="preserve"> </v>
          </cell>
          <cell r="AQ144" t="str">
            <v xml:space="preserve"> </v>
          </cell>
        </row>
        <row r="145">
          <cell r="A145" t="str">
            <v>FBE.......665499H</v>
          </cell>
          <cell r="B145" t="str">
            <v>2003T12</v>
          </cell>
          <cell r="C145" t="str">
            <v xml:space="preserve">TREND    </v>
          </cell>
          <cell r="D145" t="str">
            <v xml:space="preserve">Trend -  QTD Average/Activity                     </v>
          </cell>
          <cell r="E145" t="str">
            <v>Run: 08/07/03 13:53:41</v>
          </cell>
          <cell r="F145" t="str">
            <v>999</v>
          </cell>
          <cell r="G145" t="str">
            <v>100</v>
          </cell>
          <cell r="H145" t="str">
            <v xml:space="preserve">Bank Of America Management Reporting              </v>
          </cell>
          <cell r="I145" t="str">
            <v>001</v>
          </cell>
          <cell r="J145" t="str">
            <v>FBE.......</v>
          </cell>
          <cell r="K145" t="str">
            <v xml:space="preserve">Emg Ops Emea And Latin America                    </v>
          </cell>
          <cell r="L145" t="str">
            <v xml:space="preserve"> </v>
          </cell>
          <cell r="M145" t="str">
            <v xml:space="preserve"> </v>
          </cell>
          <cell r="N145" t="str">
            <v>bamgt</v>
          </cell>
          <cell r="O145" t="str">
            <v>40</v>
          </cell>
          <cell r="P145" t="str">
            <v>600000A  662999B  662999C  665499B  665499D  665499H  999999999999999999</v>
          </cell>
          <cell r="Q145" t="str">
            <v xml:space="preserve">none     </v>
          </cell>
          <cell r="R145" t="str">
            <v>RollFCST-Working Version</v>
          </cell>
          <cell r="S145" t="str">
            <v>RollFCST-Working Version</v>
          </cell>
          <cell r="T145" t="str">
            <v xml:space="preserve"> </v>
          </cell>
          <cell r="U145" t="str">
            <v xml:space="preserve"> </v>
          </cell>
          <cell r="V145" t="str">
            <v>665499H</v>
          </cell>
          <cell r="W145" t="str">
            <v>6</v>
          </cell>
          <cell r="X145" t="str">
            <v xml:space="preserve">          Other Employee Expense        </v>
          </cell>
          <cell r="Y145">
            <v>22.43974</v>
          </cell>
          <cell r="Z145">
            <v>16.734590000000001</v>
          </cell>
          <cell r="AA145">
            <v>19.069949999999999</v>
          </cell>
          <cell r="AB145">
            <v>16.258089999999999</v>
          </cell>
          <cell r="AC145">
            <v>74.502369999999999</v>
          </cell>
          <cell r="AD145">
            <v>8.9625000000000004</v>
          </cell>
          <cell r="AE145">
            <v>8.28918</v>
          </cell>
          <cell r="AF145">
            <v>4.2634999999999996</v>
          </cell>
          <cell r="AG145">
            <v>0</v>
          </cell>
          <cell r="AH145">
            <v>21.515180000000001</v>
          </cell>
          <cell r="AI145" t="str">
            <v xml:space="preserve">U.S. Dollar                   </v>
          </cell>
          <cell r="AJ145" t="str">
            <v xml:space="preserve"> </v>
          </cell>
          <cell r="AK145" t="str">
            <v xml:space="preserve"> </v>
          </cell>
          <cell r="AL145" t="str">
            <v xml:space="preserve"> </v>
          </cell>
          <cell r="AM145" t="str">
            <v xml:space="preserve"> </v>
          </cell>
          <cell r="AN145" t="str">
            <v xml:space="preserve"> </v>
          </cell>
          <cell r="AO145" t="str">
            <v xml:space="preserve"> </v>
          </cell>
          <cell r="AP145" t="str">
            <v xml:space="preserve"> </v>
          </cell>
          <cell r="AQ145" t="str">
            <v xml:space="preserve"> </v>
          </cell>
        </row>
        <row r="146">
          <cell r="A146" t="str">
            <v>FBE.......665499D</v>
          </cell>
          <cell r="B146" t="str">
            <v>2003T12</v>
          </cell>
          <cell r="C146" t="str">
            <v xml:space="preserve">TREND    </v>
          </cell>
          <cell r="D146" t="str">
            <v xml:space="preserve">Trend -  QTD Average/Activity                     </v>
          </cell>
          <cell r="E146" t="str">
            <v>Run: 08/07/03 13:53:41</v>
          </cell>
          <cell r="F146" t="str">
            <v>999</v>
          </cell>
          <cell r="G146" t="str">
            <v>100</v>
          </cell>
          <cell r="H146" t="str">
            <v xml:space="preserve">Bank Of America Management Reporting              </v>
          </cell>
          <cell r="I146" t="str">
            <v>001</v>
          </cell>
          <cell r="J146" t="str">
            <v>FBE.......</v>
          </cell>
          <cell r="K146" t="str">
            <v xml:space="preserve">Emg Ops Emea And Latin America                    </v>
          </cell>
          <cell r="L146" t="str">
            <v xml:space="preserve"> </v>
          </cell>
          <cell r="M146" t="str">
            <v xml:space="preserve"> </v>
          </cell>
          <cell r="N146" t="str">
            <v>bamgt</v>
          </cell>
          <cell r="O146" t="str">
            <v>40</v>
          </cell>
          <cell r="P146" t="str">
            <v>600000A  662999B  662999C  665499B  665499D  999999999999999999999999999</v>
          </cell>
          <cell r="Q146" t="str">
            <v xml:space="preserve">none     </v>
          </cell>
          <cell r="R146" t="str">
            <v>RollFCST-Working Version</v>
          </cell>
          <cell r="S146" t="str">
            <v>RollFCST-Working Version</v>
          </cell>
          <cell r="T146" t="str">
            <v xml:space="preserve"> </v>
          </cell>
          <cell r="U146" t="str">
            <v xml:space="preserve"> </v>
          </cell>
          <cell r="V146" t="str">
            <v>665499D</v>
          </cell>
          <cell r="W146" t="str">
            <v>5</v>
          </cell>
          <cell r="X146" t="str">
            <v xml:space="preserve">        Employee Expense                </v>
          </cell>
          <cell r="Y146">
            <v>22.43974</v>
          </cell>
          <cell r="Z146">
            <v>63.13946</v>
          </cell>
          <cell r="AA146">
            <v>36.046660000000003</v>
          </cell>
          <cell r="AB146">
            <v>38.877870000000001</v>
          </cell>
          <cell r="AC146">
            <v>160.50372999999999</v>
          </cell>
          <cell r="AD146">
            <v>11.3657</v>
          </cell>
          <cell r="AE146">
            <v>8.28918</v>
          </cell>
          <cell r="AF146">
            <v>4.2634999999999996</v>
          </cell>
          <cell r="AG146">
            <v>0</v>
          </cell>
          <cell r="AH146">
            <v>23.918379999999999</v>
          </cell>
          <cell r="AI146" t="str">
            <v xml:space="preserve">U.S. Dollar                   </v>
          </cell>
          <cell r="AJ146" t="str">
            <v xml:space="preserve"> </v>
          </cell>
          <cell r="AK146" t="str">
            <v xml:space="preserve"> </v>
          </cell>
          <cell r="AL146" t="str">
            <v xml:space="preserve"> </v>
          </cell>
          <cell r="AM146" t="str">
            <v xml:space="preserve"> </v>
          </cell>
          <cell r="AN146" t="str">
            <v xml:space="preserve"> </v>
          </cell>
          <cell r="AO146" t="str">
            <v xml:space="preserve"> </v>
          </cell>
          <cell r="AP146" t="str">
            <v xml:space="preserve"> </v>
          </cell>
          <cell r="AQ146" t="str">
            <v xml:space="preserve"> </v>
          </cell>
        </row>
        <row r="147">
          <cell r="A147" t="str">
            <v>FBE.......665499B</v>
          </cell>
          <cell r="B147" t="str">
            <v>2003T12</v>
          </cell>
          <cell r="C147" t="str">
            <v xml:space="preserve">TREND    </v>
          </cell>
          <cell r="D147" t="str">
            <v xml:space="preserve">Trend -  QTD Average/Activity                     </v>
          </cell>
          <cell r="E147" t="str">
            <v>Run: 08/07/03 13:53:41</v>
          </cell>
          <cell r="F147" t="str">
            <v>999</v>
          </cell>
          <cell r="G147" t="str">
            <v>100</v>
          </cell>
          <cell r="H147" t="str">
            <v xml:space="preserve">Bank Of America Management Reporting              </v>
          </cell>
          <cell r="I147" t="str">
            <v>001</v>
          </cell>
          <cell r="J147" t="str">
            <v>FBE.......</v>
          </cell>
          <cell r="K147" t="str">
            <v xml:space="preserve">Emg Ops Emea And Latin America                    </v>
          </cell>
          <cell r="L147" t="str">
            <v xml:space="preserve"> </v>
          </cell>
          <cell r="M147" t="str">
            <v xml:space="preserve"> </v>
          </cell>
          <cell r="N147" t="str">
            <v>bamgt</v>
          </cell>
          <cell r="O147" t="str">
            <v>40</v>
          </cell>
          <cell r="P147" t="str">
            <v>600000A  662999B  662999C  665499B  999999999999999999999999999999999999</v>
          </cell>
          <cell r="Q147" t="str">
            <v xml:space="preserve">none     </v>
          </cell>
          <cell r="R147" t="str">
            <v>RollFCST-Working Version</v>
          </cell>
          <cell r="S147" t="str">
            <v>RollFCST-Working Version</v>
          </cell>
          <cell r="T147" t="str">
            <v xml:space="preserve"> </v>
          </cell>
          <cell r="U147" t="str">
            <v xml:space="preserve"> </v>
          </cell>
          <cell r="V147" t="str">
            <v>665499B</v>
          </cell>
          <cell r="W147" t="str">
            <v>4</v>
          </cell>
          <cell r="X147" t="str">
            <v xml:space="preserve">      Other Operating Expense           </v>
          </cell>
          <cell r="Y147">
            <v>41.556489999999997</v>
          </cell>
          <cell r="Z147">
            <v>71.037509999999997</v>
          </cell>
          <cell r="AA147">
            <v>44.373809999999999</v>
          </cell>
          <cell r="AB147">
            <v>47.543349999999997</v>
          </cell>
          <cell r="AC147">
            <v>204.51115999999999</v>
          </cell>
          <cell r="AD147">
            <v>15.714729999999999</v>
          </cell>
          <cell r="AE147">
            <v>25.859190000000002</v>
          </cell>
          <cell r="AF147">
            <v>20.432110000000002</v>
          </cell>
          <cell r="AG147">
            <v>23</v>
          </cell>
          <cell r="AH147">
            <v>85.006029999999996</v>
          </cell>
          <cell r="AI147" t="str">
            <v xml:space="preserve">U.S. Dollar                   </v>
          </cell>
          <cell r="AJ147" t="str">
            <v xml:space="preserve"> </v>
          </cell>
          <cell r="AK147" t="str">
            <v xml:space="preserve"> </v>
          </cell>
          <cell r="AL147" t="str">
            <v xml:space="preserve"> </v>
          </cell>
          <cell r="AM147" t="str">
            <v xml:space="preserve"> </v>
          </cell>
          <cell r="AN147" t="str">
            <v xml:space="preserve"> </v>
          </cell>
          <cell r="AO147" t="str">
            <v xml:space="preserve"> </v>
          </cell>
          <cell r="AP147" t="str">
            <v xml:space="preserve"> </v>
          </cell>
          <cell r="AQ147" t="str">
            <v xml:space="preserve"> </v>
          </cell>
        </row>
        <row r="148">
          <cell r="A148" t="str">
            <v>FBE.......670200</v>
          </cell>
          <cell r="B148" t="str">
            <v>2003T12</v>
          </cell>
          <cell r="C148" t="str">
            <v xml:space="preserve">TREND    </v>
          </cell>
          <cell r="D148" t="str">
            <v xml:space="preserve">Trend -  QTD Average/Activity                     </v>
          </cell>
          <cell r="E148" t="str">
            <v>Run: 08/07/03 13:53:41</v>
          </cell>
          <cell r="F148" t="str">
            <v>999</v>
          </cell>
          <cell r="G148" t="str">
            <v>100</v>
          </cell>
          <cell r="H148" t="str">
            <v xml:space="preserve">Bank Of America Management Reporting              </v>
          </cell>
          <cell r="I148" t="str">
            <v>001</v>
          </cell>
          <cell r="J148" t="str">
            <v>FBE.......</v>
          </cell>
          <cell r="K148" t="str">
            <v xml:space="preserve">Emg Ops Emea And Latin America                    </v>
          </cell>
          <cell r="L148" t="str">
            <v xml:space="preserve"> </v>
          </cell>
          <cell r="M148" t="str">
            <v xml:space="preserve"> </v>
          </cell>
          <cell r="N148" t="str">
            <v>bamgt</v>
          </cell>
          <cell r="O148" t="str">
            <v>40</v>
          </cell>
          <cell r="P148" t="str">
            <v>600000A  662999B  670000B  670200   999999999999999999999999999999999999</v>
          </cell>
          <cell r="Q148" t="str">
            <v xml:space="preserve">none     </v>
          </cell>
          <cell r="R148" t="str">
            <v>RollFCST-Working Version</v>
          </cell>
          <cell r="S148" t="str">
            <v>RollFCST-Working Version</v>
          </cell>
          <cell r="T148" t="str">
            <v xml:space="preserve"> </v>
          </cell>
          <cell r="U148" t="str">
            <v xml:space="preserve"> </v>
          </cell>
          <cell r="V148" t="str">
            <v>670200</v>
          </cell>
          <cell r="W148" t="str">
            <v>4</v>
          </cell>
          <cell r="X148" t="str">
            <v xml:space="preserve">      Travel                            </v>
          </cell>
          <cell r="Y148">
            <v>35.339219999999997</v>
          </cell>
          <cell r="Z148">
            <v>29.760760000000001</v>
          </cell>
          <cell r="AA148">
            <v>13.38335</v>
          </cell>
          <cell r="AB148">
            <v>30.612279999999998</v>
          </cell>
          <cell r="AC148">
            <v>109.09560999999999</v>
          </cell>
          <cell r="AD148">
            <v>9.3063699999999994</v>
          </cell>
          <cell r="AE148">
            <v>9.7682000000000002</v>
          </cell>
          <cell r="AF148">
            <v>4.6359700000000004</v>
          </cell>
          <cell r="AG148">
            <v>6</v>
          </cell>
          <cell r="AH148">
            <v>29.710540000000002</v>
          </cell>
          <cell r="AI148" t="str">
            <v xml:space="preserve">U.S. Dollar                   </v>
          </cell>
          <cell r="AJ148" t="str">
            <v xml:space="preserve"> </v>
          </cell>
          <cell r="AK148" t="str">
            <v xml:space="preserve"> </v>
          </cell>
          <cell r="AL148" t="str">
            <v xml:space="preserve"> </v>
          </cell>
          <cell r="AM148" t="str">
            <v xml:space="preserve"> </v>
          </cell>
          <cell r="AN148" t="str">
            <v xml:space="preserve"> </v>
          </cell>
          <cell r="AO148" t="str">
            <v xml:space="preserve"> </v>
          </cell>
          <cell r="AP148" t="str">
            <v xml:space="preserve"> </v>
          </cell>
          <cell r="AQ148" t="str">
            <v xml:space="preserve"> </v>
          </cell>
        </row>
        <row r="149">
          <cell r="A149" t="str">
            <v>FBE.......670800</v>
          </cell>
          <cell r="B149" t="str">
            <v>2003T12</v>
          </cell>
          <cell r="C149" t="str">
            <v xml:space="preserve">TREND    </v>
          </cell>
          <cell r="D149" t="str">
            <v xml:space="preserve">Trend -  QTD Average/Activity                     </v>
          </cell>
          <cell r="E149" t="str">
            <v>Run: 08/07/03 13:53:41</v>
          </cell>
          <cell r="F149" t="str">
            <v>999</v>
          </cell>
          <cell r="G149" t="str">
            <v>100</v>
          </cell>
          <cell r="H149" t="str">
            <v xml:space="preserve">Bank Of America Management Reporting              </v>
          </cell>
          <cell r="I149" t="str">
            <v>001</v>
          </cell>
          <cell r="J149" t="str">
            <v>FBE.......</v>
          </cell>
          <cell r="K149" t="str">
            <v xml:space="preserve">Emg Ops Emea And Latin America                    </v>
          </cell>
          <cell r="L149" t="str">
            <v xml:space="preserve"> </v>
          </cell>
          <cell r="M149" t="str">
            <v xml:space="preserve"> </v>
          </cell>
          <cell r="N149" t="str">
            <v>bamgt</v>
          </cell>
          <cell r="O149" t="str">
            <v>40</v>
          </cell>
          <cell r="P149" t="str">
            <v>600000A  662999B  670000B  670800   999999999999999999999999999999999999</v>
          </cell>
          <cell r="Q149" t="str">
            <v xml:space="preserve">none     </v>
          </cell>
          <cell r="R149" t="str">
            <v>RollFCST-Working Version</v>
          </cell>
          <cell r="S149" t="str">
            <v>RollFCST-Working Version</v>
          </cell>
          <cell r="T149" t="str">
            <v xml:space="preserve"> </v>
          </cell>
          <cell r="U149" t="str">
            <v xml:space="preserve"> </v>
          </cell>
          <cell r="V149" t="str">
            <v>670800</v>
          </cell>
          <cell r="W149" t="str">
            <v>4</v>
          </cell>
          <cell r="X149" t="str">
            <v xml:space="preserve">      Taxes Other Than Income           </v>
          </cell>
          <cell r="Y149">
            <v>49.204140000000002</v>
          </cell>
          <cell r="Z149">
            <v>26.040179999999999</v>
          </cell>
          <cell r="AA149">
            <v>19.389140000000001</v>
          </cell>
          <cell r="AB149">
            <v>30.108779999999999</v>
          </cell>
          <cell r="AC149">
            <v>124.74224</v>
          </cell>
          <cell r="AD149">
            <v>39.461640000000003</v>
          </cell>
          <cell r="AE149">
            <v>24.90016</v>
          </cell>
          <cell r="AF149">
            <v>20.888020000000001</v>
          </cell>
          <cell r="AG149">
            <v>21</v>
          </cell>
          <cell r="AH149">
            <v>106.24982</v>
          </cell>
          <cell r="AI149" t="str">
            <v xml:space="preserve">U.S. Dollar                   </v>
          </cell>
          <cell r="AJ149" t="str">
            <v xml:space="preserve"> </v>
          </cell>
          <cell r="AK149" t="str">
            <v xml:space="preserve"> </v>
          </cell>
          <cell r="AL149" t="str">
            <v xml:space="preserve"> </v>
          </cell>
          <cell r="AM149" t="str">
            <v xml:space="preserve"> </v>
          </cell>
          <cell r="AN149" t="str">
            <v xml:space="preserve"> </v>
          </cell>
          <cell r="AO149" t="str">
            <v xml:space="preserve"> </v>
          </cell>
          <cell r="AP149" t="str">
            <v xml:space="preserve"> </v>
          </cell>
          <cell r="AQ149" t="str">
            <v xml:space="preserve"> </v>
          </cell>
        </row>
        <row r="150">
          <cell r="A150" t="str">
            <v>FBE.......671200</v>
          </cell>
          <cell r="B150" t="str">
            <v>2003T12</v>
          </cell>
          <cell r="C150" t="str">
            <v xml:space="preserve">TREND    </v>
          </cell>
          <cell r="D150" t="str">
            <v xml:space="preserve">Trend -  QTD Average/Activity                     </v>
          </cell>
          <cell r="E150" t="str">
            <v>Run: 08/07/03 13:53:41</v>
          </cell>
          <cell r="F150" t="str">
            <v>999</v>
          </cell>
          <cell r="G150" t="str">
            <v>100</v>
          </cell>
          <cell r="H150" t="str">
            <v xml:space="preserve">Bank Of America Management Reporting              </v>
          </cell>
          <cell r="I150" t="str">
            <v>001</v>
          </cell>
          <cell r="J150" t="str">
            <v>FBE.......</v>
          </cell>
          <cell r="K150" t="str">
            <v xml:space="preserve">Emg Ops Emea And Latin America                    </v>
          </cell>
          <cell r="L150" t="str">
            <v xml:space="preserve"> </v>
          </cell>
          <cell r="M150" t="str">
            <v xml:space="preserve"> </v>
          </cell>
          <cell r="N150" t="str">
            <v>bamgt</v>
          </cell>
          <cell r="O150" t="str">
            <v>40</v>
          </cell>
          <cell r="P150" t="str">
            <v>600000A  662999B  670000B  671200   999999999999999999999999999999999999</v>
          </cell>
          <cell r="Q150" t="str">
            <v xml:space="preserve">none     </v>
          </cell>
          <cell r="R150" t="str">
            <v>RollFCST-Working Version</v>
          </cell>
          <cell r="S150" t="str">
            <v>RollFCST-Working Version</v>
          </cell>
          <cell r="T150" t="str">
            <v xml:space="preserve"> </v>
          </cell>
          <cell r="U150" t="str">
            <v xml:space="preserve"> </v>
          </cell>
          <cell r="V150" t="str">
            <v>671200</v>
          </cell>
          <cell r="W150" t="str">
            <v>4</v>
          </cell>
          <cell r="X150" t="str">
            <v xml:space="preserve">      Subscription Services             </v>
          </cell>
          <cell r="Y150">
            <v>0.87336000000000003</v>
          </cell>
          <cell r="Z150">
            <v>9.3717000000000006</v>
          </cell>
          <cell r="AA150">
            <v>37.81962</v>
          </cell>
          <cell r="AB150">
            <v>31.87321</v>
          </cell>
          <cell r="AC150">
            <v>79.937889999999996</v>
          </cell>
          <cell r="AD150">
            <v>22.50365</v>
          </cell>
          <cell r="AE150">
            <v>14.14301</v>
          </cell>
          <cell r="AF150">
            <v>16.298819999999999</v>
          </cell>
          <cell r="AG150">
            <v>11</v>
          </cell>
          <cell r="AH150">
            <v>63.945480000000003</v>
          </cell>
          <cell r="AI150" t="str">
            <v xml:space="preserve">U.S. Dollar                   </v>
          </cell>
          <cell r="AJ150" t="str">
            <v xml:space="preserve"> </v>
          </cell>
          <cell r="AK150" t="str">
            <v xml:space="preserve"> </v>
          </cell>
          <cell r="AL150" t="str">
            <v xml:space="preserve"> </v>
          </cell>
          <cell r="AM150" t="str">
            <v xml:space="preserve"> </v>
          </cell>
          <cell r="AN150" t="str">
            <v xml:space="preserve"> </v>
          </cell>
          <cell r="AO150" t="str">
            <v xml:space="preserve"> </v>
          </cell>
          <cell r="AP150" t="str">
            <v xml:space="preserve"> </v>
          </cell>
          <cell r="AQ150" t="str">
            <v xml:space="preserve"> </v>
          </cell>
        </row>
        <row r="151">
          <cell r="A151" t="str">
            <v>FBE.......671500</v>
          </cell>
          <cell r="B151" t="str">
            <v>2003T12</v>
          </cell>
          <cell r="C151" t="str">
            <v xml:space="preserve">TREND    </v>
          </cell>
          <cell r="D151" t="str">
            <v xml:space="preserve">Trend -  QTD Average/Activity                     </v>
          </cell>
          <cell r="E151" t="str">
            <v>Run: 08/07/03 13:53:41</v>
          </cell>
          <cell r="F151" t="str">
            <v>999</v>
          </cell>
          <cell r="G151" t="str">
            <v>100</v>
          </cell>
          <cell r="H151" t="str">
            <v xml:space="preserve">Bank Of America Management Reporting              </v>
          </cell>
          <cell r="I151" t="str">
            <v>001</v>
          </cell>
          <cell r="J151" t="str">
            <v>FBE.......</v>
          </cell>
          <cell r="K151" t="str">
            <v xml:space="preserve">Emg Ops Emea And Latin America                    </v>
          </cell>
          <cell r="L151" t="str">
            <v xml:space="preserve"> </v>
          </cell>
          <cell r="M151" t="str">
            <v xml:space="preserve"> </v>
          </cell>
          <cell r="N151" t="str">
            <v>bamgt</v>
          </cell>
          <cell r="O151" t="str">
            <v>40</v>
          </cell>
          <cell r="P151" t="str">
            <v>600000A  662999B  670000B  671500   999999999999999999999999999999999999</v>
          </cell>
          <cell r="Q151" t="str">
            <v xml:space="preserve">none     </v>
          </cell>
          <cell r="R151" t="str">
            <v>RollFCST-Working Version</v>
          </cell>
          <cell r="S151" t="str">
            <v>RollFCST-Working Version</v>
          </cell>
          <cell r="T151" t="str">
            <v xml:space="preserve"> </v>
          </cell>
          <cell r="U151" t="str">
            <v xml:space="preserve"> </v>
          </cell>
          <cell r="V151" t="str">
            <v>671500</v>
          </cell>
          <cell r="W151" t="str">
            <v>4</v>
          </cell>
          <cell r="X151" t="str">
            <v xml:space="preserve">      Other Administrative Expenses     </v>
          </cell>
          <cell r="Y151">
            <v>0</v>
          </cell>
          <cell r="Z151">
            <v>0</v>
          </cell>
          <cell r="AA151">
            <v>0</v>
          </cell>
          <cell r="AB151">
            <v>0</v>
          </cell>
          <cell r="AC151">
            <v>0</v>
          </cell>
          <cell r="AD151">
            <v>0</v>
          </cell>
          <cell r="AE151">
            <v>0</v>
          </cell>
          <cell r="AF151">
            <v>0</v>
          </cell>
          <cell r="AG151">
            <v>0</v>
          </cell>
          <cell r="AH151">
            <v>0</v>
          </cell>
          <cell r="AI151" t="str">
            <v xml:space="preserve">U.S. Dollar                   </v>
          </cell>
          <cell r="AJ151" t="str">
            <v xml:space="preserve"> </v>
          </cell>
          <cell r="AK151" t="str">
            <v xml:space="preserve"> </v>
          </cell>
          <cell r="AL151" t="str">
            <v xml:space="preserve"> </v>
          </cell>
          <cell r="AM151" t="str">
            <v xml:space="preserve"> </v>
          </cell>
          <cell r="AN151" t="str">
            <v xml:space="preserve"> </v>
          </cell>
          <cell r="AO151" t="str">
            <v xml:space="preserve"> </v>
          </cell>
          <cell r="AP151" t="str">
            <v xml:space="preserve"> </v>
          </cell>
          <cell r="AQ151" t="str">
            <v xml:space="preserve"> </v>
          </cell>
        </row>
        <row r="152">
          <cell r="A152" t="str">
            <v>FBE.......675000</v>
          </cell>
          <cell r="B152" t="str">
            <v>2003T12</v>
          </cell>
          <cell r="C152" t="str">
            <v xml:space="preserve">TREND    </v>
          </cell>
          <cell r="D152" t="str">
            <v xml:space="preserve">Trend -  QTD Average/Activity                     </v>
          </cell>
          <cell r="E152" t="str">
            <v>Run: 08/07/03 13:53:41</v>
          </cell>
          <cell r="F152" t="str">
            <v>999</v>
          </cell>
          <cell r="G152" t="str">
            <v>100</v>
          </cell>
          <cell r="H152" t="str">
            <v xml:space="preserve">Bank Of America Management Reporting              </v>
          </cell>
          <cell r="I152" t="str">
            <v>001</v>
          </cell>
          <cell r="J152" t="str">
            <v>FBE.......</v>
          </cell>
          <cell r="K152" t="str">
            <v xml:space="preserve">Emg Ops Emea And Latin America                    </v>
          </cell>
          <cell r="L152" t="str">
            <v xml:space="preserve"> </v>
          </cell>
          <cell r="M152" t="str">
            <v xml:space="preserve"> </v>
          </cell>
          <cell r="N152" t="str">
            <v>bamgt</v>
          </cell>
          <cell r="O152" t="str">
            <v>40</v>
          </cell>
          <cell r="P152" t="str">
            <v>600000A  675000   999999999999999999999999999999999999999999999999999999</v>
          </cell>
          <cell r="Q152" t="str">
            <v xml:space="preserve">none     </v>
          </cell>
          <cell r="R152" t="str">
            <v>RollFCST-Working Version</v>
          </cell>
          <cell r="S152" t="str">
            <v>RollFCST-Working Version</v>
          </cell>
          <cell r="T152" t="str">
            <v xml:space="preserve"> </v>
          </cell>
          <cell r="U152" t="str">
            <v xml:space="preserve"> </v>
          </cell>
          <cell r="V152" t="str">
            <v>675000</v>
          </cell>
          <cell r="W152" t="str">
            <v>2</v>
          </cell>
          <cell r="X152" t="str">
            <v xml:space="preserve">  Intercompany Expense                  </v>
          </cell>
          <cell r="Y152">
            <v>3.8205200000000001</v>
          </cell>
          <cell r="Z152">
            <v>3.2155100000000001</v>
          </cell>
          <cell r="AA152">
            <v>3.4955799999999999</v>
          </cell>
          <cell r="AB152">
            <v>3.39018</v>
          </cell>
          <cell r="AC152">
            <v>13.92179</v>
          </cell>
          <cell r="AD152">
            <v>3.2597700000000001</v>
          </cell>
          <cell r="AE152">
            <v>3.3399800000000002</v>
          </cell>
          <cell r="AF152">
            <v>1.6617999999999999</v>
          </cell>
          <cell r="AG152">
            <v>0</v>
          </cell>
          <cell r="AH152">
            <v>8.2615499999999997</v>
          </cell>
          <cell r="AI152" t="str">
            <v xml:space="preserve">U.S. Dollar                   </v>
          </cell>
          <cell r="AJ152" t="str">
            <v xml:space="preserve"> </v>
          </cell>
          <cell r="AK152" t="str">
            <v xml:space="preserve"> </v>
          </cell>
          <cell r="AL152" t="str">
            <v xml:space="preserve"> </v>
          </cell>
          <cell r="AM152" t="str">
            <v xml:space="preserve"> </v>
          </cell>
          <cell r="AN152" t="str">
            <v xml:space="preserve"> </v>
          </cell>
          <cell r="AO152" t="str">
            <v xml:space="preserve"> </v>
          </cell>
          <cell r="AP152" t="str">
            <v xml:space="preserve"> </v>
          </cell>
          <cell r="AQ152" t="str">
            <v xml:space="preserve"> </v>
          </cell>
        </row>
        <row r="153">
          <cell r="A153" t="str">
            <v>FBF.......600300</v>
          </cell>
          <cell r="B153" t="str">
            <v>2003T12</v>
          </cell>
          <cell r="C153" t="str">
            <v xml:space="preserve">TREND    </v>
          </cell>
          <cell r="D153" t="str">
            <v xml:space="preserve">Trend -  QTD Average/Activity                     </v>
          </cell>
          <cell r="E153" t="str">
            <v>Run: 08/07/03 13:53:41</v>
          </cell>
          <cell r="F153" t="str">
            <v>999</v>
          </cell>
          <cell r="G153" t="str">
            <v>100</v>
          </cell>
          <cell r="H153" t="str">
            <v xml:space="preserve">Bank Of America Management Reporting              </v>
          </cell>
          <cell r="I153" t="str">
            <v>001</v>
          </cell>
          <cell r="J153" t="str">
            <v>FBF.......</v>
          </cell>
          <cell r="K153" t="str">
            <v xml:space="preserve">Global Structured Product Operations              </v>
          </cell>
          <cell r="L153" t="str">
            <v xml:space="preserve"> </v>
          </cell>
          <cell r="M153" t="str">
            <v xml:space="preserve"> </v>
          </cell>
          <cell r="N153" t="str">
            <v>bamgt</v>
          </cell>
          <cell r="O153" t="str">
            <v>40</v>
          </cell>
          <cell r="P153" t="str">
            <v>600000A  600250   999999999600300   999999999999999999999999999999999999</v>
          </cell>
          <cell r="Q153" t="str">
            <v xml:space="preserve">none     </v>
          </cell>
          <cell r="R153" t="str">
            <v>RollFCST-Working Version</v>
          </cell>
          <cell r="S153" t="str">
            <v>RollFCST-Working Version</v>
          </cell>
          <cell r="T153" t="str">
            <v xml:space="preserve"> </v>
          </cell>
          <cell r="U153" t="str">
            <v xml:space="preserve"> </v>
          </cell>
          <cell r="V153" t="str">
            <v>600300</v>
          </cell>
          <cell r="W153" t="str">
            <v>4</v>
          </cell>
          <cell r="X153" t="str">
            <v xml:space="preserve">      Salaries &amp; Wages                  </v>
          </cell>
          <cell r="Y153">
            <v>2130.6097199999999</v>
          </cell>
          <cell r="Z153">
            <v>2319.8404599999999</v>
          </cell>
          <cell r="AA153">
            <v>2531.1789699999999</v>
          </cell>
          <cell r="AB153">
            <v>2893.7668899999999</v>
          </cell>
          <cell r="AC153">
            <v>9875.3960399999996</v>
          </cell>
          <cell r="AD153">
            <v>2790.19083</v>
          </cell>
          <cell r="AE153">
            <v>2883.1293599999999</v>
          </cell>
          <cell r="AF153">
            <v>3293.5084400000001</v>
          </cell>
          <cell r="AG153">
            <v>3602.37</v>
          </cell>
          <cell r="AH153">
            <v>12569.198630000001</v>
          </cell>
          <cell r="AI153" t="str">
            <v xml:space="preserve">U.S. Dollar                   </v>
          </cell>
          <cell r="AJ153" t="str">
            <v xml:space="preserve"> </v>
          </cell>
          <cell r="AK153" t="str">
            <v xml:space="preserve"> </v>
          </cell>
          <cell r="AL153" t="str">
            <v xml:space="preserve"> </v>
          </cell>
          <cell r="AM153" t="str">
            <v xml:space="preserve"> </v>
          </cell>
          <cell r="AN153" t="str">
            <v xml:space="preserve"> </v>
          </cell>
          <cell r="AO153" t="str">
            <v xml:space="preserve"> </v>
          </cell>
          <cell r="AP153" t="str">
            <v xml:space="preserve"> </v>
          </cell>
          <cell r="AQ153" t="str">
            <v xml:space="preserve"> </v>
          </cell>
        </row>
        <row r="154">
          <cell r="A154" t="str">
            <v>FBF.......601000</v>
          </cell>
          <cell r="B154" t="str">
            <v>2003T12</v>
          </cell>
          <cell r="C154" t="str">
            <v xml:space="preserve">TREND    </v>
          </cell>
          <cell r="D154" t="str">
            <v xml:space="preserve">Trend -  QTD Average/Activity                     </v>
          </cell>
          <cell r="E154" t="str">
            <v>Run: 08/07/03 13:53:41</v>
          </cell>
          <cell r="F154" t="str">
            <v>999</v>
          </cell>
          <cell r="G154" t="str">
            <v>100</v>
          </cell>
          <cell r="H154" t="str">
            <v xml:space="preserve">Bank Of America Management Reporting              </v>
          </cell>
          <cell r="I154" t="str">
            <v>001</v>
          </cell>
          <cell r="J154" t="str">
            <v>FBF.......</v>
          </cell>
          <cell r="K154" t="str">
            <v xml:space="preserve">Global Structured Product Operations              </v>
          </cell>
          <cell r="L154" t="str">
            <v xml:space="preserve"> </v>
          </cell>
          <cell r="M154" t="str">
            <v xml:space="preserve"> </v>
          </cell>
          <cell r="N154" t="str">
            <v>bamgt</v>
          </cell>
          <cell r="O154" t="str">
            <v>40</v>
          </cell>
          <cell r="P154" t="str">
            <v>600000A  600250   999999999601000   999999999999999999999999999999999999</v>
          </cell>
          <cell r="Q154" t="str">
            <v xml:space="preserve">none     </v>
          </cell>
          <cell r="R154" t="str">
            <v>RollFCST-Working Version</v>
          </cell>
          <cell r="S154" t="str">
            <v>RollFCST-Working Version</v>
          </cell>
          <cell r="T154" t="str">
            <v xml:space="preserve"> </v>
          </cell>
          <cell r="U154" t="str">
            <v xml:space="preserve"> </v>
          </cell>
          <cell r="V154" t="str">
            <v>601000</v>
          </cell>
          <cell r="W154" t="str">
            <v>4</v>
          </cell>
          <cell r="X154" t="str">
            <v xml:space="preserve">      Overtime Salaries                 </v>
          </cell>
          <cell r="Y154">
            <v>13.89575</v>
          </cell>
          <cell r="Z154">
            <v>10.741339999999999</v>
          </cell>
          <cell r="AA154">
            <v>29.60303</v>
          </cell>
          <cell r="AB154">
            <v>14.30907</v>
          </cell>
          <cell r="AC154">
            <v>68.549189999999996</v>
          </cell>
          <cell r="AD154">
            <v>18.706710000000001</v>
          </cell>
          <cell r="AE154">
            <v>15.06508</v>
          </cell>
          <cell r="AF154">
            <v>9.9979099999999992</v>
          </cell>
          <cell r="AG154">
            <v>11.16</v>
          </cell>
          <cell r="AH154">
            <v>54.929699999999997</v>
          </cell>
          <cell r="AI154" t="str">
            <v xml:space="preserve">U.S. Dollar                   </v>
          </cell>
          <cell r="AJ154" t="str">
            <v xml:space="preserve"> </v>
          </cell>
          <cell r="AK154" t="str">
            <v xml:space="preserve"> </v>
          </cell>
          <cell r="AL154" t="str">
            <v xml:space="preserve"> </v>
          </cell>
          <cell r="AM154" t="str">
            <v xml:space="preserve"> </v>
          </cell>
          <cell r="AN154" t="str">
            <v xml:space="preserve"> </v>
          </cell>
          <cell r="AO154" t="str">
            <v xml:space="preserve"> </v>
          </cell>
          <cell r="AP154" t="str">
            <v xml:space="preserve"> </v>
          </cell>
          <cell r="AQ154" t="str">
            <v xml:space="preserve"> </v>
          </cell>
        </row>
        <row r="155">
          <cell r="A155" t="str">
            <v>FBF.......601500</v>
          </cell>
          <cell r="B155" t="str">
            <v>2003T12</v>
          </cell>
          <cell r="C155" t="str">
            <v xml:space="preserve">TREND    </v>
          </cell>
          <cell r="D155" t="str">
            <v xml:space="preserve">Trend -  QTD Average/Activity                     </v>
          </cell>
          <cell r="E155" t="str">
            <v>Run: 08/07/03 13:53:41</v>
          </cell>
          <cell r="F155" t="str">
            <v>999</v>
          </cell>
          <cell r="G155" t="str">
            <v>100</v>
          </cell>
          <cell r="H155" t="str">
            <v xml:space="preserve">Bank Of America Management Reporting              </v>
          </cell>
          <cell r="I155" t="str">
            <v>001</v>
          </cell>
          <cell r="J155" t="str">
            <v>FBF.......</v>
          </cell>
          <cell r="K155" t="str">
            <v xml:space="preserve">Global Structured Product Operations              </v>
          </cell>
          <cell r="L155" t="str">
            <v xml:space="preserve"> </v>
          </cell>
          <cell r="M155" t="str">
            <v xml:space="preserve"> </v>
          </cell>
          <cell r="N155" t="str">
            <v>bamgt</v>
          </cell>
          <cell r="O155" t="str">
            <v>40</v>
          </cell>
          <cell r="P155" t="str">
            <v>600000A  600250   999999999601500   999999999999999999999999999999999999</v>
          </cell>
          <cell r="Q155" t="str">
            <v xml:space="preserve">none     </v>
          </cell>
          <cell r="R155" t="str">
            <v>RollFCST-Working Version</v>
          </cell>
          <cell r="S155" t="str">
            <v>RollFCST-Working Version</v>
          </cell>
          <cell r="T155" t="str">
            <v xml:space="preserve"> </v>
          </cell>
          <cell r="U155" t="str">
            <v xml:space="preserve"> </v>
          </cell>
          <cell r="V155" t="str">
            <v>601500</v>
          </cell>
          <cell r="W155" t="str">
            <v>4</v>
          </cell>
          <cell r="X155" t="str">
            <v xml:space="preserve">      Incentive Compensation            </v>
          </cell>
          <cell r="Y155">
            <v>0</v>
          </cell>
          <cell r="Z155">
            <v>2.2966500000000001</v>
          </cell>
          <cell r="AA155">
            <v>11.805999999999999</v>
          </cell>
          <cell r="AB155">
            <v>1.84521</v>
          </cell>
          <cell r="AC155">
            <v>15.94786</v>
          </cell>
          <cell r="AD155">
            <v>1.0740000000000001</v>
          </cell>
          <cell r="AE155">
            <v>2.37683</v>
          </cell>
          <cell r="AF155">
            <v>2.0270000000000001</v>
          </cell>
          <cell r="AG155">
            <v>0</v>
          </cell>
          <cell r="AH155">
            <v>5.47783</v>
          </cell>
          <cell r="AI155" t="str">
            <v xml:space="preserve">U.S. Dollar                   </v>
          </cell>
          <cell r="AJ155" t="str">
            <v xml:space="preserve"> </v>
          </cell>
          <cell r="AK155" t="str">
            <v xml:space="preserve"> </v>
          </cell>
          <cell r="AL155" t="str">
            <v xml:space="preserve"> </v>
          </cell>
          <cell r="AM155" t="str">
            <v xml:space="preserve"> </v>
          </cell>
          <cell r="AN155" t="str">
            <v xml:space="preserve"> </v>
          </cell>
          <cell r="AO155" t="str">
            <v xml:space="preserve"> </v>
          </cell>
          <cell r="AP155" t="str">
            <v xml:space="preserve"> </v>
          </cell>
          <cell r="AQ155" t="str">
            <v xml:space="preserve"> </v>
          </cell>
        </row>
        <row r="156">
          <cell r="A156" t="str">
            <v>FBF.......602400</v>
          </cell>
          <cell r="B156" t="str">
            <v>2003T12</v>
          </cell>
          <cell r="C156" t="str">
            <v xml:space="preserve">TREND    </v>
          </cell>
          <cell r="D156" t="str">
            <v xml:space="preserve">Trend -  QTD Average/Activity                     </v>
          </cell>
          <cell r="E156" t="str">
            <v>Run: 08/07/03 13:53:41</v>
          </cell>
          <cell r="F156" t="str">
            <v>999</v>
          </cell>
          <cell r="G156" t="str">
            <v>100</v>
          </cell>
          <cell r="H156" t="str">
            <v xml:space="preserve">Bank Of America Management Reporting              </v>
          </cell>
          <cell r="I156" t="str">
            <v>001</v>
          </cell>
          <cell r="J156" t="str">
            <v>FBF.......</v>
          </cell>
          <cell r="K156" t="str">
            <v xml:space="preserve">Global Structured Product Operations              </v>
          </cell>
          <cell r="L156" t="str">
            <v xml:space="preserve"> </v>
          </cell>
          <cell r="M156" t="str">
            <v xml:space="preserve"> </v>
          </cell>
          <cell r="N156" t="str">
            <v>bamgt</v>
          </cell>
          <cell r="O156" t="str">
            <v>40</v>
          </cell>
          <cell r="P156" t="str">
            <v>600000A  600250   999999999602000   602400   999999999999999999999999999</v>
          </cell>
          <cell r="Q156" t="str">
            <v xml:space="preserve">none     </v>
          </cell>
          <cell r="R156" t="str">
            <v>RollFCST-Working Version</v>
          </cell>
          <cell r="S156" t="str">
            <v>RollFCST-Working Version</v>
          </cell>
          <cell r="T156" t="str">
            <v xml:space="preserve"> </v>
          </cell>
          <cell r="U156" t="str">
            <v xml:space="preserve"> </v>
          </cell>
          <cell r="V156" t="str">
            <v>602400</v>
          </cell>
          <cell r="W156" t="str">
            <v>5</v>
          </cell>
          <cell r="X156" t="str">
            <v xml:space="preserve">        Other Employee Compensation     </v>
          </cell>
          <cell r="Y156">
            <v>95.432689999999994</v>
          </cell>
          <cell r="Z156">
            <v>191.25646</v>
          </cell>
          <cell r="AA156">
            <v>30.379429999999999</v>
          </cell>
          <cell r="AB156">
            <v>169.30395999999999</v>
          </cell>
          <cell r="AC156">
            <v>486.37254000000001</v>
          </cell>
          <cell r="AD156">
            <v>34.961419999999997</v>
          </cell>
          <cell r="AE156">
            <v>-8.6607299999999992</v>
          </cell>
          <cell r="AF156">
            <v>2.4917199999999999</v>
          </cell>
          <cell r="AG156">
            <v>0</v>
          </cell>
          <cell r="AH156">
            <v>28.79241</v>
          </cell>
          <cell r="AI156" t="str">
            <v xml:space="preserve">U.S. Dollar                   </v>
          </cell>
          <cell r="AJ156" t="str">
            <v xml:space="preserve"> </v>
          </cell>
          <cell r="AK156" t="str">
            <v xml:space="preserve"> </v>
          </cell>
          <cell r="AL156" t="str">
            <v xml:space="preserve"> </v>
          </cell>
          <cell r="AM156" t="str">
            <v xml:space="preserve"> </v>
          </cell>
          <cell r="AN156" t="str">
            <v xml:space="preserve"> </v>
          </cell>
          <cell r="AO156" t="str">
            <v xml:space="preserve"> </v>
          </cell>
          <cell r="AP156" t="str">
            <v xml:space="preserve"> </v>
          </cell>
          <cell r="AQ156" t="str">
            <v xml:space="preserve"> </v>
          </cell>
        </row>
        <row r="157">
          <cell r="A157" t="str">
            <v>FBF.......602000</v>
          </cell>
          <cell r="B157" t="str">
            <v>2003T12</v>
          </cell>
          <cell r="C157" t="str">
            <v xml:space="preserve">TREND    </v>
          </cell>
          <cell r="D157" t="str">
            <v xml:space="preserve">Trend -  QTD Average/Activity                     </v>
          </cell>
          <cell r="E157" t="str">
            <v>Run: 08/07/03 13:53:41</v>
          </cell>
          <cell r="F157" t="str">
            <v>999</v>
          </cell>
          <cell r="G157" t="str">
            <v>100</v>
          </cell>
          <cell r="H157" t="str">
            <v xml:space="preserve">Bank Of America Management Reporting              </v>
          </cell>
          <cell r="I157" t="str">
            <v>001</v>
          </cell>
          <cell r="J157" t="str">
            <v>FBF.......</v>
          </cell>
          <cell r="K157" t="str">
            <v xml:space="preserve">Global Structured Product Operations              </v>
          </cell>
          <cell r="L157" t="str">
            <v xml:space="preserve"> </v>
          </cell>
          <cell r="M157" t="str">
            <v xml:space="preserve"> </v>
          </cell>
          <cell r="N157" t="str">
            <v>bamgt</v>
          </cell>
          <cell r="O157" t="str">
            <v>40</v>
          </cell>
          <cell r="P157" t="str">
            <v>600000A  600250   999999999602000   999999999999999999999999999999999999</v>
          </cell>
          <cell r="Q157" t="str">
            <v xml:space="preserve">none     </v>
          </cell>
          <cell r="R157" t="str">
            <v>RollFCST-Working Version</v>
          </cell>
          <cell r="S157" t="str">
            <v>RollFCST-Working Version</v>
          </cell>
          <cell r="T157" t="str">
            <v xml:space="preserve"> </v>
          </cell>
          <cell r="U157" t="str">
            <v xml:space="preserve"> </v>
          </cell>
          <cell r="V157" t="str">
            <v>602000</v>
          </cell>
          <cell r="W157" t="str">
            <v>4</v>
          </cell>
          <cell r="X157" t="str">
            <v xml:space="preserve">      Contract Temporary/Other Compensat</v>
          </cell>
          <cell r="Y157">
            <v>227.64016000000001</v>
          </cell>
          <cell r="Z157">
            <v>334.97640000000001</v>
          </cell>
          <cell r="AA157">
            <v>213.28628</v>
          </cell>
          <cell r="AB157">
            <v>365.19556</v>
          </cell>
          <cell r="AC157">
            <v>1141.0984000000001</v>
          </cell>
          <cell r="AD157">
            <v>194.28272999999999</v>
          </cell>
          <cell r="AE157">
            <v>276.22928000000002</v>
          </cell>
          <cell r="AF157">
            <v>108.56088</v>
          </cell>
          <cell r="AG157">
            <v>50.41</v>
          </cell>
          <cell r="AH157">
            <v>629.48289</v>
          </cell>
          <cell r="AI157" t="str">
            <v xml:space="preserve">U.S. Dollar                   </v>
          </cell>
          <cell r="AJ157" t="str">
            <v xml:space="preserve"> </v>
          </cell>
          <cell r="AK157" t="str">
            <v xml:space="preserve"> </v>
          </cell>
          <cell r="AL157" t="str">
            <v xml:space="preserve"> </v>
          </cell>
          <cell r="AM157" t="str">
            <v xml:space="preserve"> </v>
          </cell>
          <cell r="AN157" t="str">
            <v xml:space="preserve"> </v>
          </cell>
          <cell r="AO157" t="str">
            <v xml:space="preserve"> </v>
          </cell>
          <cell r="AP157" t="str">
            <v xml:space="preserve"> </v>
          </cell>
          <cell r="AQ157" t="str">
            <v xml:space="preserve"> </v>
          </cell>
        </row>
        <row r="158">
          <cell r="A158" t="str">
            <v>FBF.......603000</v>
          </cell>
          <cell r="B158" t="str">
            <v>2003T12</v>
          </cell>
          <cell r="C158" t="str">
            <v xml:space="preserve">TREND    </v>
          </cell>
          <cell r="D158" t="str">
            <v xml:space="preserve">Trend -  QTD Average/Activity                     </v>
          </cell>
          <cell r="E158" t="str">
            <v>Run: 08/07/03 13:53:41</v>
          </cell>
          <cell r="F158" t="str">
            <v>999</v>
          </cell>
          <cell r="G158" t="str">
            <v>100</v>
          </cell>
          <cell r="H158" t="str">
            <v xml:space="preserve">Bank Of America Management Reporting              </v>
          </cell>
          <cell r="I158" t="str">
            <v>001</v>
          </cell>
          <cell r="J158" t="str">
            <v>FBF.......</v>
          </cell>
          <cell r="K158" t="str">
            <v xml:space="preserve">Global Structured Product Operations              </v>
          </cell>
          <cell r="L158" t="str">
            <v xml:space="preserve"> </v>
          </cell>
          <cell r="M158" t="str">
            <v xml:space="preserve"> </v>
          </cell>
          <cell r="N158" t="str">
            <v>bamgt</v>
          </cell>
          <cell r="O158" t="str">
            <v>40</v>
          </cell>
          <cell r="P158" t="str">
            <v>600000A  600250   999999999603000   999999999999999999999999999999999999</v>
          </cell>
          <cell r="Q158" t="str">
            <v xml:space="preserve">none     </v>
          </cell>
          <cell r="R158" t="str">
            <v>RollFCST-Working Version</v>
          </cell>
          <cell r="S158" t="str">
            <v>RollFCST-Working Version</v>
          </cell>
          <cell r="T158" t="str">
            <v xml:space="preserve"> </v>
          </cell>
          <cell r="U158" t="str">
            <v xml:space="preserve"> </v>
          </cell>
          <cell r="V158" t="str">
            <v>603000</v>
          </cell>
          <cell r="W158" t="str">
            <v>4</v>
          </cell>
          <cell r="X158" t="str">
            <v xml:space="preserve">      Employee Benefits                 </v>
          </cell>
          <cell r="Y158">
            <v>484.02301999999997</v>
          </cell>
          <cell r="Z158">
            <v>599.82849999999996</v>
          </cell>
          <cell r="AA158">
            <v>609.82471999999996</v>
          </cell>
          <cell r="AB158">
            <v>665.88140999999996</v>
          </cell>
          <cell r="AC158">
            <v>2359.5576500000002</v>
          </cell>
          <cell r="AD158">
            <v>692.88131999999996</v>
          </cell>
          <cell r="AE158">
            <v>738.97531000000004</v>
          </cell>
          <cell r="AF158">
            <v>871.85365999999999</v>
          </cell>
          <cell r="AG158">
            <v>903.75</v>
          </cell>
          <cell r="AH158">
            <v>3207.46029</v>
          </cell>
          <cell r="AI158" t="str">
            <v xml:space="preserve">U.S. Dollar                   </v>
          </cell>
          <cell r="AJ158" t="str">
            <v xml:space="preserve"> </v>
          </cell>
          <cell r="AK158" t="str">
            <v xml:space="preserve"> </v>
          </cell>
          <cell r="AL158" t="str">
            <v xml:space="preserve"> </v>
          </cell>
          <cell r="AM158" t="str">
            <v xml:space="preserve"> </v>
          </cell>
          <cell r="AN158" t="str">
            <v xml:space="preserve"> </v>
          </cell>
          <cell r="AO158" t="str">
            <v xml:space="preserve"> </v>
          </cell>
          <cell r="AP158" t="str">
            <v xml:space="preserve"> </v>
          </cell>
          <cell r="AQ158" t="str">
            <v xml:space="preserve"> </v>
          </cell>
        </row>
        <row r="159">
          <cell r="A159" t="str">
            <v>FBF.......600250</v>
          </cell>
          <cell r="B159" t="str">
            <v>2003T12</v>
          </cell>
          <cell r="C159" t="str">
            <v xml:space="preserve">TREND    </v>
          </cell>
          <cell r="D159" t="str">
            <v xml:space="preserve">Trend -  QTD Average/Activity                     </v>
          </cell>
          <cell r="E159" t="str">
            <v>Run: 08/07/03 13:53:41</v>
          </cell>
          <cell r="F159" t="str">
            <v>999</v>
          </cell>
          <cell r="G159" t="str">
            <v>100</v>
          </cell>
          <cell r="H159" t="str">
            <v xml:space="preserve">Bank Of America Management Reporting              </v>
          </cell>
          <cell r="I159" t="str">
            <v>001</v>
          </cell>
          <cell r="J159" t="str">
            <v>FBF.......</v>
          </cell>
          <cell r="K159" t="str">
            <v xml:space="preserve">Global Structured Product Operations              </v>
          </cell>
          <cell r="L159" t="str">
            <v xml:space="preserve"> </v>
          </cell>
          <cell r="M159" t="str">
            <v xml:space="preserve"> </v>
          </cell>
          <cell r="N159" t="str">
            <v>bamgt</v>
          </cell>
          <cell r="O159" t="str">
            <v>40</v>
          </cell>
          <cell r="P159" t="str">
            <v>600000A  600250   999999999999999999999999999999999999999999999999999999</v>
          </cell>
          <cell r="Q159" t="str">
            <v xml:space="preserve">none     </v>
          </cell>
          <cell r="R159" t="str">
            <v>RollFCST-Working Version</v>
          </cell>
          <cell r="S159" t="str">
            <v>RollFCST-Working Version</v>
          </cell>
          <cell r="T159" t="str">
            <v xml:space="preserve"> </v>
          </cell>
          <cell r="U159" t="str">
            <v xml:space="preserve"> </v>
          </cell>
          <cell r="V159" t="str">
            <v>600250</v>
          </cell>
          <cell r="W159" t="str">
            <v>2</v>
          </cell>
          <cell r="X159" t="str">
            <v xml:space="preserve">  Personnel                             </v>
          </cell>
          <cell r="Y159">
            <v>2856.1686500000001</v>
          </cell>
          <cell r="Z159">
            <v>3267.6833499999998</v>
          </cell>
          <cell r="AA159">
            <v>3395.6990000000001</v>
          </cell>
          <cell r="AB159">
            <v>3940.9981400000001</v>
          </cell>
          <cell r="AC159">
            <v>13460.549139999999</v>
          </cell>
          <cell r="AD159">
            <v>3697.1355899999999</v>
          </cell>
          <cell r="AE159">
            <v>3915.7758600000002</v>
          </cell>
          <cell r="AF159">
            <v>4285.9478900000004</v>
          </cell>
          <cell r="AG159">
            <v>4567.6899999999996</v>
          </cell>
          <cell r="AH159">
            <v>16466.549340000001</v>
          </cell>
          <cell r="AI159" t="str">
            <v xml:space="preserve">U.S. Dollar                   </v>
          </cell>
          <cell r="AJ159" t="str">
            <v xml:space="preserve"> </v>
          </cell>
          <cell r="AK159" t="str">
            <v xml:space="preserve"> </v>
          </cell>
          <cell r="AL159" t="str">
            <v xml:space="preserve"> </v>
          </cell>
          <cell r="AM159" t="str">
            <v xml:space="preserve"> </v>
          </cell>
          <cell r="AN159" t="str">
            <v xml:space="preserve"> </v>
          </cell>
          <cell r="AO159" t="str">
            <v xml:space="preserve"> </v>
          </cell>
          <cell r="AP159" t="str">
            <v xml:space="preserve"> </v>
          </cell>
          <cell r="AQ159" t="str">
            <v xml:space="preserve"> </v>
          </cell>
        </row>
        <row r="160">
          <cell r="A160" t="str">
            <v>FBF.......610000</v>
          </cell>
          <cell r="B160" t="str">
            <v>2003T12</v>
          </cell>
          <cell r="C160" t="str">
            <v xml:space="preserve">TREND    </v>
          </cell>
          <cell r="D160" t="str">
            <v xml:space="preserve">Trend -  QTD Average/Activity                     </v>
          </cell>
          <cell r="E160" t="str">
            <v>Run: 08/07/03 13:53:41</v>
          </cell>
          <cell r="F160" t="str">
            <v>999</v>
          </cell>
          <cell r="G160" t="str">
            <v>100</v>
          </cell>
          <cell r="H160" t="str">
            <v xml:space="preserve">Bank Of America Management Reporting              </v>
          </cell>
          <cell r="I160" t="str">
            <v>001</v>
          </cell>
          <cell r="J160" t="str">
            <v>FBF.......</v>
          </cell>
          <cell r="K160" t="str">
            <v xml:space="preserve">Global Structured Product Operations              </v>
          </cell>
          <cell r="L160" t="str">
            <v xml:space="preserve"> </v>
          </cell>
          <cell r="M160" t="str">
            <v xml:space="preserve"> </v>
          </cell>
          <cell r="N160" t="str">
            <v>bamgt</v>
          </cell>
          <cell r="O160" t="str">
            <v>40</v>
          </cell>
          <cell r="P160" t="str">
            <v>600000A  610000   999999999999999999999999999999999999999999999999999999</v>
          </cell>
          <cell r="Q160" t="str">
            <v xml:space="preserve">none     </v>
          </cell>
          <cell r="R160" t="str">
            <v>RollFCST-Working Version</v>
          </cell>
          <cell r="S160" t="str">
            <v>RollFCST-Working Version</v>
          </cell>
          <cell r="T160" t="str">
            <v xml:space="preserve"> </v>
          </cell>
          <cell r="U160" t="str">
            <v xml:space="preserve"> </v>
          </cell>
          <cell r="V160" t="str">
            <v>610000</v>
          </cell>
          <cell r="W160" t="str">
            <v>2</v>
          </cell>
          <cell r="X160" t="str">
            <v xml:space="preserve">  Net Occupancy Expense                 </v>
          </cell>
          <cell r="Y160">
            <v>317.03381999999999</v>
          </cell>
          <cell r="Z160">
            <v>297.29608999999999</v>
          </cell>
          <cell r="AA160">
            <v>288.78291999999999</v>
          </cell>
          <cell r="AB160">
            <v>416.68572999999998</v>
          </cell>
          <cell r="AC160">
            <v>1319.79856</v>
          </cell>
          <cell r="AD160">
            <v>420.77812999999998</v>
          </cell>
          <cell r="AE160">
            <v>478.77132</v>
          </cell>
          <cell r="AF160">
            <v>459.95931999999999</v>
          </cell>
          <cell r="AG160">
            <v>940.11</v>
          </cell>
          <cell r="AH160">
            <v>2299.61877</v>
          </cell>
          <cell r="AI160" t="str">
            <v xml:space="preserve">U.S. Dollar                   </v>
          </cell>
          <cell r="AJ160" t="str">
            <v xml:space="preserve"> </v>
          </cell>
          <cell r="AK160" t="str">
            <v xml:space="preserve"> </v>
          </cell>
          <cell r="AL160" t="str">
            <v xml:space="preserve"> </v>
          </cell>
          <cell r="AM160" t="str">
            <v xml:space="preserve"> </v>
          </cell>
          <cell r="AN160" t="str">
            <v xml:space="preserve"> </v>
          </cell>
          <cell r="AO160" t="str">
            <v xml:space="preserve"> </v>
          </cell>
          <cell r="AP160" t="str">
            <v xml:space="preserve"> </v>
          </cell>
          <cell r="AQ160" t="str">
            <v xml:space="preserve"> </v>
          </cell>
        </row>
        <row r="161">
          <cell r="A161" t="str">
            <v>FBF.......620000</v>
          </cell>
          <cell r="B161" t="str">
            <v>2003T12</v>
          </cell>
          <cell r="C161" t="str">
            <v xml:space="preserve">TREND    </v>
          </cell>
          <cell r="D161" t="str">
            <v xml:space="preserve">Trend -  QTD Average/Activity                     </v>
          </cell>
          <cell r="E161" t="str">
            <v>Run: 08/07/03 13:53:41</v>
          </cell>
          <cell r="F161" t="str">
            <v>999</v>
          </cell>
          <cell r="G161" t="str">
            <v>100</v>
          </cell>
          <cell r="H161" t="str">
            <v xml:space="preserve">Bank Of America Management Reporting              </v>
          </cell>
          <cell r="I161" t="str">
            <v>001</v>
          </cell>
          <cell r="J161" t="str">
            <v>FBF.......</v>
          </cell>
          <cell r="K161" t="str">
            <v xml:space="preserve">Global Structured Product Operations              </v>
          </cell>
          <cell r="L161" t="str">
            <v xml:space="preserve"> </v>
          </cell>
          <cell r="M161" t="str">
            <v xml:space="preserve"> </v>
          </cell>
          <cell r="N161" t="str">
            <v>bamgt</v>
          </cell>
          <cell r="O161" t="str">
            <v>40</v>
          </cell>
          <cell r="P161" t="str">
            <v>600000A  620000   999999999999999999999999999999999999999999999999999999</v>
          </cell>
          <cell r="Q161" t="str">
            <v xml:space="preserve">none     </v>
          </cell>
          <cell r="R161" t="str">
            <v>RollFCST-Working Version</v>
          </cell>
          <cell r="S161" t="str">
            <v>RollFCST-Working Version</v>
          </cell>
          <cell r="T161" t="str">
            <v xml:space="preserve"> </v>
          </cell>
          <cell r="U161" t="str">
            <v xml:space="preserve"> </v>
          </cell>
          <cell r="V161" t="str">
            <v>620000</v>
          </cell>
          <cell r="W161" t="str">
            <v>2</v>
          </cell>
          <cell r="X161" t="str">
            <v xml:space="preserve">  Furniture &amp; Equipment                 </v>
          </cell>
          <cell r="Y161">
            <v>23.71482</v>
          </cell>
          <cell r="Z161">
            <v>62.61439</v>
          </cell>
          <cell r="AA161">
            <v>54.90258</v>
          </cell>
          <cell r="AB161">
            <v>47.610790000000001</v>
          </cell>
          <cell r="AC161">
            <v>188.84258</v>
          </cell>
          <cell r="AD161">
            <v>48.875729999999997</v>
          </cell>
          <cell r="AE161">
            <v>61.119019999999999</v>
          </cell>
          <cell r="AF161">
            <v>57.088819999999998</v>
          </cell>
          <cell r="AG161">
            <v>53.11</v>
          </cell>
          <cell r="AH161">
            <v>220.19356999999999</v>
          </cell>
          <cell r="AI161" t="str">
            <v xml:space="preserve">U.S. Dollar                   </v>
          </cell>
          <cell r="AJ161" t="str">
            <v xml:space="preserve"> </v>
          </cell>
          <cell r="AK161" t="str">
            <v xml:space="preserve"> </v>
          </cell>
          <cell r="AL161" t="str">
            <v xml:space="preserve"> </v>
          </cell>
          <cell r="AM161" t="str">
            <v xml:space="preserve"> </v>
          </cell>
          <cell r="AN161" t="str">
            <v xml:space="preserve"> </v>
          </cell>
          <cell r="AO161" t="str">
            <v xml:space="preserve"> </v>
          </cell>
          <cell r="AP161" t="str">
            <v xml:space="preserve"> </v>
          </cell>
          <cell r="AQ161" t="str">
            <v xml:space="preserve"> </v>
          </cell>
        </row>
        <row r="162">
          <cell r="A162" t="str">
            <v>FBF.......623000</v>
          </cell>
          <cell r="B162" t="str">
            <v>2003T12</v>
          </cell>
          <cell r="C162" t="str">
            <v xml:space="preserve">TREND    </v>
          </cell>
          <cell r="D162" t="str">
            <v xml:space="preserve">Trend -  QTD Average/Activity                     </v>
          </cell>
          <cell r="E162" t="str">
            <v>Run: 08/07/03 13:53:41</v>
          </cell>
          <cell r="F162" t="str">
            <v>999</v>
          </cell>
          <cell r="G162" t="str">
            <v>100</v>
          </cell>
          <cell r="H162" t="str">
            <v xml:space="preserve">Bank Of America Management Reporting              </v>
          </cell>
          <cell r="I162" t="str">
            <v>001</v>
          </cell>
          <cell r="J162" t="str">
            <v>FBF.......</v>
          </cell>
          <cell r="K162" t="str">
            <v xml:space="preserve">Global Structured Product Operations              </v>
          </cell>
          <cell r="L162" t="str">
            <v xml:space="preserve"> </v>
          </cell>
          <cell r="M162" t="str">
            <v xml:space="preserve"> </v>
          </cell>
          <cell r="N162" t="str">
            <v>bamgt</v>
          </cell>
          <cell r="O162" t="str">
            <v>40</v>
          </cell>
          <cell r="P162" t="str">
            <v>600000A  623000   999999999999999999999999999999999999999999999999999999</v>
          </cell>
          <cell r="Q162" t="str">
            <v xml:space="preserve">none     </v>
          </cell>
          <cell r="R162" t="str">
            <v>RollFCST-Working Version</v>
          </cell>
          <cell r="S162" t="str">
            <v>RollFCST-Working Version</v>
          </cell>
          <cell r="T162" t="str">
            <v xml:space="preserve"> </v>
          </cell>
          <cell r="U162" t="str">
            <v xml:space="preserve"> </v>
          </cell>
          <cell r="V162" t="str">
            <v>623000</v>
          </cell>
          <cell r="W162" t="str">
            <v>2</v>
          </cell>
          <cell r="X162" t="str">
            <v xml:space="preserve">  Marketing &amp; Promotional               </v>
          </cell>
          <cell r="Y162">
            <v>5.5855699999999997</v>
          </cell>
          <cell r="Z162">
            <v>10.275320000000001</v>
          </cell>
          <cell r="AA162">
            <v>27.071709999999999</v>
          </cell>
          <cell r="AB162">
            <v>-18.891400000000001</v>
          </cell>
          <cell r="AC162">
            <v>24.0412</v>
          </cell>
          <cell r="AD162">
            <v>3.0729299999999999</v>
          </cell>
          <cell r="AE162">
            <v>2.07423</v>
          </cell>
          <cell r="AF162">
            <v>3.9824799999999998</v>
          </cell>
          <cell r="AG162">
            <v>5.43</v>
          </cell>
          <cell r="AH162">
            <v>14.55964</v>
          </cell>
          <cell r="AI162" t="str">
            <v xml:space="preserve">U.S. Dollar                   </v>
          </cell>
          <cell r="AJ162" t="str">
            <v xml:space="preserve"> </v>
          </cell>
          <cell r="AK162" t="str">
            <v xml:space="preserve"> </v>
          </cell>
          <cell r="AL162" t="str">
            <v xml:space="preserve"> </v>
          </cell>
          <cell r="AM162" t="str">
            <v xml:space="preserve"> </v>
          </cell>
          <cell r="AN162" t="str">
            <v xml:space="preserve"> </v>
          </cell>
          <cell r="AO162" t="str">
            <v xml:space="preserve"> </v>
          </cell>
          <cell r="AP162" t="str">
            <v xml:space="preserve"> </v>
          </cell>
          <cell r="AQ162" t="str">
            <v xml:space="preserve"> </v>
          </cell>
        </row>
        <row r="163">
          <cell r="A163" t="str">
            <v>FBF.......630000</v>
          </cell>
          <cell r="B163" t="str">
            <v>2003T12</v>
          </cell>
          <cell r="C163" t="str">
            <v xml:space="preserve">TREND    </v>
          </cell>
          <cell r="D163" t="str">
            <v xml:space="preserve">Trend -  QTD Average/Activity                     </v>
          </cell>
          <cell r="E163" t="str">
            <v>Run: 08/07/03 13:53:41</v>
          </cell>
          <cell r="F163" t="str">
            <v>999</v>
          </cell>
          <cell r="G163" t="str">
            <v>100</v>
          </cell>
          <cell r="H163" t="str">
            <v xml:space="preserve">Bank Of America Management Reporting              </v>
          </cell>
          <cell r="I163" t="str">
            <v>001</v>
          </cell>
          <cell r="J163" t="str">
            <v>FBF.......</v>
          </cell>
          <cell r="K163" t="str">
            <v xml:space="preserve">Global Structured Product Operations              </v>
          </cell>
          <cell r="L163" t="str">
            <v xml:space="preserve"> </v>
          </cell>
          <cell r="M163" t="str">
            <v xml:space="preserve"> </v>
          </cell>
          <cell r="N163" t="str">
            <v>bamgt</v>
          </cell>
          <cell r="O163" t="str">
            <v>40</v>
          </cell>
          <cell r="P163" t="str">
            <v>600000A  630000   999999999999999999999999999999999999999999999999999999</v>
          </cell>
          <cell r="Q163" t="str">
            <v xml:space="preserve">none     </v>
          </cell>
          <cell r="R163" t="str">
            <v>RollFCST-Working Version</v>
          </cell>
          <cell r="S163" t="str">
            <v>RollFCST-Working Version</v>
          </cell>
          <cell r="T163" t="str">
            <v xml:space="preserve"> </v>
          </cell>
          <cell r="U163" t="str">
            <v xml:space="preserve"> </v>
          </cell>
          <cell r="V163" t="str">
            <v>630000</v>
          </cell>
          <cell r="W163" t="str">
            <v>2</v>
          </cell>
          <cell r="X163" t="str">
            <v xml:space="preserve">  Professional Fees                     </v>
          </cell>
          <cell r="Y163">
            <v>21.18356</v>
          </cell>
          <cell r="Z163">
            <v>0.15456</v>
          </cell>
          <cell r="AA163">
            <v>7.1522899999999998</v>
          </cell>
          <cell r="AB163">
            <v>7.3248100000000003</v>
          </cell>
          <cell r="AC163">
            <v>35.815219999999997</v>
          </cell>
          <cell r="AD163">
            <v>16.415189999999999</v>
          </cell>
          <cell r="AE163">
            <v>17.428599999999999</v>
          </cell>
          <cell r="AF163">
            <v>7.4087899999999998</v>
          </cell>
          <cell r="AG163">
            <v>9.66</v>
          </cell>
          <cell r="AH163">
            <v>50.912579999999998</v>
          </cell>
          <cell r="AI163" t="str">
            <v xml:space="preserve">U.S. Dollar                   </v>
          </cell>
          <cell r="AJ163" t="str">
            <v xml:space="preserve"> </v>
          </cell>
          <cell r="AK163" t="str">
            <v xml:space="preserve"> </v>
          </cell>
          <cell r="AL163" t="str">
            <v xml:space="preserve"> </v>
          </cell>
          <cell r="AM163" t="str">
            <v xml:space="preserve"> </v>
          </cell>
          <cell r="AN163" t="str">
            <v xml:space="preserve"> </v>
          </cell>
          <cell r="AO163" t="str">
            <v xml:space="preserve"> </v>
          </cell>
          <cell r="AP163" t="str">
            <v xml:space="preserve"> </v>
          </cell>
          <cell r="AQ163" t="str">
            <v xml:space="preserve"> </v>
          </cell>
        </row>
        <row r="164">
          <cell r="A164" t="str">
            <v>FBF.......651500A</v>
          </cell>
          <cell r="B164" t="str">
            <v>2003T12</v>
          </cell>
          <cell r="C164" t="str">
            <v xml:space="preserve">TREND    </v>
          </cell>
          <cell r="D164" t="str">
            <v xml:space="preserve">Trend -  QTD Average/Activity                     </v>
          </cell>
          <cell r="E164" t="str">
            <v>Run: 08/07/03 13:53:41</v>
          </cell>
          <cell r="F164" t="str">
            <v>999</v>
          </cell>
          <cell r="G164" t="str">
            <v>100</v>
          </cell>
          <cell r="H164" t="str">
            <v xml:space="preserve">Bank Of America Management Reporting              </v>
          </cell>
          <cell r="I164" t="str">
            <v>001</v>
          </cell>
          <cell r="J164" t="str">
            <v>FBF.......</v>
          </cell>
          <cell r="K164" t="str">
            <v xml:space="preserve">Global Structured Product Operations              </v>
          </cell>
          <cell r="L164" t="str">
            <v xml:space="preserve"> </v>
          </cell>
          <cell r="M164" t="str">
            <v xml:space="preserve"> </v>
          </cell>
          <cell r="N164" t="str">
            <v>bamgt</v>
          </cell>
          <cell r="O164" t="str">
            <v>40</v>
          </cell>
          <cell r="P164" t="str">
            <v>600000A  651500A  999999999999999999999999999999999999999999999999999999</v>
          </cell>
          <cell r="Q164" t="str">
            <v xml:space="preserve">none     </v>
          </cell>
          <cell r="R164" t="str">
            <v>RollFCST-Working Version</v>
          </cell>
          <cell r="S164" t="str">
            <v>RollFCST-Working Version</v>
          </cell>
          <cell r="T164" t="str">
            <v xml:space="preserve"> </v>
          </cell>
          <cell r="U164" t="str">
            <v xml:space="preserve"> </v>
          </cell>
          <cell r="V164" t="str">
            <v>651500A</v>
          </cell>
          <cell r="W164" t="str">
            <v>2</v>
          </cell>
          <cell r="X164" t="str">
            <v xml:space="preserve">  Direct Processing Expense             </v>
          </cell>
          <cell r="Y164">
            <v>6.96509</v>
          </cell>
          <cell r="Z164">
            <v>39.048909999999999</v>
          </cell>
          <cell r="AA164">
            <v>19.714189999999999</v>
          </cell>
          <cell r="AB164">
            <v>27.201789999999999</v>
          </cell>
          <cell r="AC164">
            <v>92.92998</v>
          </cell>
          <cell r="AD164">
            <v>9.0591799999999996</v>
          </cell>
          <cell r="AE164">
            <v>30.455850000000002</v>
          </cell>
          <cell r="AF164">
            <v>20.616209999999999</v>
          </cell>
          <cell r="AG164">
            <v>19.559999999999999</v>
          </cell>
          <cell r="AH164">
            <v>79.691239999999993</v>
          </cell>
          <cell r="AI164" t="str">
            <v xml:space="preserve">U.S. Dollar                   </v>
          </cell>
          <cell r="AJ164" t="str">
            <v xml:space="preserve"> </v>
          </cell>
          <cell r="AK164" t="str">
            <v xml:space="preserve"> </v>
          </cell>
          <cell r="AL164" t="str">
            <v xml:space="preserve"> </v>
          </cell>
          <cell r="AM164" t="str">
            <v xml:space="preserve"> </v>
          </cell>
          <cell r="AN164" t="str">
            <v xml:space="preserve"> </v>
          </cell>
          <cell r="AO164" t="str">
            <v xml:space="preserve"> </v>
          </cell>
          <cell r="AP164" t="str">
            <v xml:space="preserve"> </v>
          </cell>
          <cell r="AQ164" t="str">
            <v xml:space="preserve"> </v>
          </cell>
        </row>
        <row r="165">
          <cell r="A165" t="str">
            <v>FBF.......660000A</v>
          </cell>
          <cell r="B165" t="str">
            <v>2003T12</v>
          </cell>
          <cell r="C165" t="str">
            <v xml:space="preserve">TREND    </v>
          </cell>
          <cell r="D165" t="str">
            <v xml:space="preserve">Trend -  QTD Average/Activity                     </v>
          </cell>
          <cell r="E165" t="str">
            <v>Run: 08/07/03 13:53:41</v>
          </cell>
          <cell r="F165" t="str">
            <v>999</v>
          </cell>
          <cell r="G165" t="str">
            <v>100</v>
          </cell>
          <cell r="H165" t="str">
            <v xml:space="preserve">Bank Of America Management Reporting              </v>
          </cell>
          <cell r="I165" t="str">
            <v>001</v>
          </cell>
          <cell r="J165" t="str">
            <v>FBF.......</v>
          </cell>
          <cell r="K165" t="str">
            <v xml:space="preserve">Global Structured Product Operations              </v>
          </cell>
          <cell r="L165" t="str">
            <v xml:space="preserve"> </v>
          </cell>
          <cell r="M165" t="str">
            <v xml:space="preserve"> </v>
          </cell>
          <cell r="N165" t="str">
            <v>bamgt</v>
          </cell>
          <cell r="O165" t="str">
            <v>40</v>
          </cell>
          <cell r="P165" t="str">
            <v>600000A  660000A  999999999999999999999999999999999999999999999999999999</v>
          </cell>
          <cell r="Q165" t="str">
            <v xml:space="preserve">none     </v>
          </cell>
          <cell r="R165" t="str">
            <v>RollFCST-Working Version</v>
          </cell>
          <cell r="S165" t="str">
            <v>RollFCST-Working Version</v>
          </cell>
          <cell r="T165" t="str">
            <v xml:space="preserve"> </v>
          </cell>
          <cell r="U165" t="str">
            <v xml:space="preserve"> </v>
          </cell>
          <cell r="V165" t="str">
            <v>660000A</v>
          </cell>
          <cell r="W165" t="str">
            <v>2</v>
          </cell>
          <cell r="X165" t="str">
            <v xml:space="preserve">  Telecommunications                    </v>
          </cell>
          <cell r="Y165">
            <v>38.32837</v>
          </cell>
          <cell r="Z165">
            <v>28.967839999999999</v>
          </cell>
          <cell r="AA165">
            <v>36.503590000000003</v>
          </cell>
          <cell r="AB165">
            <v>40.311590000000002</v>
          </cell>
          <cell r="AC165">
            <v>144.11139</v>
          </cell>
          <cell r="AD165">
            <v>31.760449999999999</v>
          </cell>
          <cell r="AE165">
            <v>37.379669999999997</v>
          </cell>
          <cell r="AF165">
            <v>46.262169999999998</v>
          </cell>
          <cell r="AG165">
            <v>51.41</v>
          </cell>
          <cell r="AH165">
            <v>166.81228999999999</v>
          </cell>
          <cell r="AI165" t="str">
            <v xml:space="preserve">U.S. Dollar                   </v>
          </cell>
          <cell r="AJ165" t="str">
            <v xml:space="preserve"> </v>
          </cell>
          <cell r="AK165" t="str">
            <v xml:space="preserve"> </v>
          </cell>
          <cell r="AL165" t="str">
            <v xml:space="preserve"> </v>
          </cell>
          <cell r="AM165" t="str">
            <v xml:space="preserve"> </v>
          </cell>
          <cell r="AN165" t="str">
            <v xml:space="preserve"> </v>
          </cell>
          <cell r="AO165" t="str">
            <v xml:space="preserve"> </v>
          </cell>
          <cell r="AP165" t="str">
            <v xml:space="preserve"> </v>
          </cell>
          <cell r="AQ165" t="str">
            <v xml:space="preserve"> </v>
          </cell>
        </row>
        <row r="166">
          <cell r="A166" t="str">
            <v>FBF.......663000</v>
          </cell>
          <cell r="B166" t="str">
            <v>2003T12</v>
          </cell>
          <cell r="C166" t="str">
            <v xml:space="preserve">TREND    </v>
          </cell>
          <cell r="D166" t="str">
            <v xml:space="preserve">Trend -  QTD Average/Activity                     </v>
          </cell>
          <cell r="E166" t="str">
            <v>Run: 08/07/03 13:53:41</v>
          </cell>
          <cell r="F166" t="str">
            <v>999</v>
          </cell>
          <cell r="G166" t="str">
            <v>100</v>
          </cell>
          <cell r="H166" t="str">
            <v xml:space="preserve">Bank Of America Management Reporting              </v>
          </cell>
          <cell r="I166" t="str">
            <v>001</v>
          </cell>
          <cell r="J166" t="str">
            <v>FBF.......</v>
          </cell>
          <cell r="K166" t="str">
            <v xml:space="preserve">Global Structured Product Operations              </v>
          </cell>
          <cell r="L166" t="str">
            <v xml:space="preserve"> </v>
          </cell>
          <cell r="M166" t="str">
            <v xml:space="preserve"> </v>
          </cell>
          <cell r="N166" t="str">
            <v>bamgt</v>
          </cell>
          <cell r="O166" t="str">
            <v>40</v>
          </cell>
          <cell r="P166" t="str">
            <v>600000A  662999B  662999C  663000   999999999999999999999999999999999999</v>
          </cell>
          <cell r="Q166" t="str">
            <v xml:space="preserve">none     </v>
          </cell>
          <cell r="R166" t="str">
            <v>RollFCST-Working Version</v>
          </cell>
          <cell r="S166" t="str">
            <v>RollFCST-Working Version</v>
          </cell>
          <cell r="T166" t="str">
            <v xml:space="preserve"> </v>
          </cell>
          <cell r="U166" t="str">
            <v xml:space="preserve"> </v>
          </cell>
          <cell r="V166" t="str">
            <v>663000</v>
          </cell>
          <cell r="W166" t="str">
            <v>4</v>
          </cell>
          <cell r="X166" t="str">
            <v xml:space="preserve">      Supplies                          </v>
          </cell>
          <cell r="Y166">
            <v>9.0995200000000001</v>
          </cell>
          <cell r="Z166">
            <v>9.6523800000000008</v>
          </cell>
          <cell r="AA166">
            <v>11.390470000000001</v>
          </cell>
          <cell r="AB166">
            <v>11.18547</v>
          </cell>
          <cell r="AC166">
            <v>41.327840000000002</v>
          </cell>
          <cell r="AD166">
            <v>13.026</v>
          </cell>
          <cell r="AE166">
            <v>13.10173</v>
          </cell>
          <cell r="AF166">
            <v>11.38537</v>
          </cell>
          <cell r="AG166">
            <v>12.19</v>
          </cell>
          <cell r="AH166">
            <v>49.703099999999999</v>
          </cell>
          <cell r="AI166" t="str">
            <v xml:space="preserve">U.S. Dollar                   </v>
          </cell>
          <cell r="AJ166" t="str">
            <v xml:space="preserve"> </v>
          </cell>
          <cell r="AK166" t="str">
            <v xml:space="preserve"> </v>
          </cell>
          <cell r="AL166" t="str">
            <v xml:space="preserve"> </v>
          </cell>
          <cell r="AM166" t="str">
            <v xml:space="preserve"> </v>
          </cell>
          <cell r="AN166" t="str">
            <v xml:space="preserve"> </v>
          </cell>
          <cell r="AO166" t="str">
            <v xml:space="preserve"> </v>
          </cell>
          <cell r="AP166" t="str">
            <v xml:space="preserve"> </v>
          </cell>
          <cell r="AQ166" t="str">
            <v xml:space="preserve"> </v>
          </cell>
        </row>
        <row r="167">
          <cell r="A167" t="str">
            <v>FBF.......664500</v>
          </cell>
          <cell r="B167" t="str">
            <v>2003T12</v>
          </cell>
          <cell r="C167" t="str">
            <v xml:space="preserve">TREND    </v>
          </cell>
          <cell r="D167" t="str">
            <v xml:space="preserve">Trend -  QTD Average/Activity                     </v>
          </cell>
          <cell r="E167" t="str">
            <v>Run: 08/07/03 13:53:41</v>
          </cell>
          <cell r="F167" t="str">
            <v>999</v>
          </cell>
          <cell r="G167" t="str">
            <v>100</v>
          </cell>
          <cell r="H167" t="str">
            <v xml:space="preserve">Bank Of America Management Reporting              </v>
          </cell>
          <cell r="I167" t="str">
            <v>001</v>
          </cell>
          <cell r="J167" t="str">
            <v>FBF.......</v>
          </cell>
          <cell r="K167" t="str">
            <v xml:space="preserve">Global Structured Product Operations              </v>
          </cell>
          <cell r="L167" t="str">
            <v xml:space="preserve"> </v>
          </cell>
          <cell r="M167" t="str">
            <v xml:space="preserve"> </v>
          </cell>
          <cell r="N167" t="str">
            <v>bamgt</v>
          </cell>
          <cell r="O167" t="str">
            <v>40</v>
          </cell>
          <cell r="P167" t="str">
            <v>600000A  662999B  662999C  664500   999999999999999999999999999999999999</v>
          </cell>
          <cell r="Q167" t="str">
            <v xml:space="preserve">none     </v>
          </cell>
          <cell r="R167" t="str">
            <v>RollFCST-Working Version</v>
          </cell>
          <cell r="S167" t="str">
            <v>RollFCST-Working Version</v>
          </cell>
          <cell r="T167" t="str">
            <v xml:space="preserve"> </v>
          </cell>
          <cell r="U167" t="str">
            <v xml:space="preserve"> </v>
          </cell>
          <cell r="V167" t="str">
            <v>664500</v>
          </cell>
          <cell r="W167" t="str">
            <v>4</v>
          </cell>
          <cell r="X167" t="str">
            <v xml:space="preserve">      Postage And Courier               </v>
          </cell>
          <cell r="Y167">
            <v>1.5581400000000001</v>
          </cell>
          <cell r="Z167">
            <v>3.46591</v>
          </cell>
          <cell r="AA167">
            <v>2.21116</v>
          </cell>
          <cell r="AB167">
            <v>2.06677</v>
          </cell>
          <cell r="AC167">
            <v>9.3019800000000004</v>
          </cell>
          <cell r="AD167">
            <v>0.74850000000000005</v>
          </cell>
          <cell r="AE167">
            <v>2.0937299999999999</v>
          </cell>
          <cell r="AF167">
            <v>2.2097000000000002</v>
          </cell>
          <cell r="AG167">
            <v>2.4</v>
          </cell>
          <cell r="AH167">
            <v>7.4519299999999999</v>
          </cell>
          <cell r="AI167" t="str">
            <v xml:space="preserve">U.S. Dollar                   </v>
          </cell>
          <cell r="AJ167" t="str">
            <v xml:space="preserve"> </v>
          </cell>
          <cell r="AK167" t="str">
            <v xml:space="preserve"> </v>
          </cell>
          <cell r="AL167" t="str">
            <v xml:space="preserve"> </v>
          </cell>
          <cell r="AM167" t="str">
            <v xml:space="preserve"> </v>
          </cell>
          <cell r="AN167" t="str">
            <v xml:space="preserve"> </v>
          </cell>
          <cell r="AO167" t="str">
            <v xml:space="preserve"> </v>
          </cell>
          <cell r="AP167" t="str">
            <v xml:space="preserve"> </v>
          </cell>
          <cell r="AQ167" t="str">
            <v xml:space="preserve"> </v>
          </cell>
        </row>
        <row r="168">
          <cell r="A168" t="str">
            <v>FBF.......665499F</v>
          </cell>
          <cell r="B168" t="str">
            <v>2003T12</v>
          </cell>
          <cell r="C168" t="str">
            <v xml:space="preserve">TREND    </v>
          </cell>
          <cell r="D168" t="str">
            <v xml:space="preserve">Trend -  QTD Average/Activity                     </v>
          </cell>
          <cell r="E168" t="str">
            <v>Run: 08/07/03 13:53:41</v>
          </cell>
          <cell r="F168" t="str">
            <v>999</v>
          </cell>
          <cell r="G168" t="str">
            <v>100</v>
          </cell>
          <cell r="H168" t="str">
            <v xml:space="preserve">Bank Of America Management Reporting              </v>
          </cell>
          <cell r="I168" t="str">
            <v>001</v>
          </cell>
          <cell r="J168" t="str">
            <v>FBF.......</v>
          </cell>
          <cell r="K168" t="str">
            <v xml:space="preserve">Global Structured Product Operations              </v>
          </cell>
          <cell r="L168" t="str">
            <v xml:space="preserve"> </v>
          </cell>
          <cell r="M168" t="str">
            <v xml:space="preserve"> </v>
          </cell>
          <cell r="N168" t="str">
            <v>bamgt</v>
          </cell>
          <cell r="O168" t="str">
            <v>40</v>
          </cell>
          <cell r="P168" t="str">
            <v>600000A  662999B  662999C  665499B  665499D  665499F  999999999999999999</v>
          </cell>
          <cell r="Q168" t="str">
            <v xml:space="preserve">none     </v>
          </cell>
          <cell r="R168" t="str">
            <v>RollFCST-Working Version</v>
          </cell>
          <cell r="S168" t="str">
            <v>RollFCST-Working Version</v>
          </cell>
          <cell r="T168" t="str">
            <v xml:space="preserve"> </v>
          </cell>
          <cell r="U168" t="str">
            <v xml:space="preserve"> </v>
          </cell>
          <cell r="V168" t="str">
            <v>665499F</v>
          </cell>
          <cell r="W168" t="str">
            <v>6</v>
          </cell>
          <cell r="X168" t="str">
            <v xml:space="preserve">          Relocation Expense            </v>
          </cell>
          <cell r="Y168">
            <v>8.7275700000000001</v>
          </cell>
          <cell r="Z168">
            <v>22.13391</v>
          </cell>
          <cell r="AA168">
            <v>9.0806699999999996</v>
          </cell>
          <cell r="AB168">
            <v>85.528710000000004</v>
          </cell>
          <cell r="AC168">
            <v>125.47086</v>
          </cell>
          <cell r="AD168">
            <v>1.2566299999999999</v>
          </cell>
          <cell r="AE168">
            <v>21.62415</v>
          </cell>
          <cell r="AF168">
            <v>0.44746999999999998</v>
          </cell>
          <cell r="AG168">
            <v>0</v>
          </cell>
          <cell r="AH168">
            <v>23.328250000000001</v>
          </cell>
          <cell r="AI168" t="str">
            <v xml:space="preserve">U.S. Dollar                   </v>
          </cell>
          <cell r="AJ168" t="str">
            <v xml:space="preserve"> </v>
          </cell>
          <cell r="AK168" t="str">
            <v xml:space="preserve"> </v>
          </cell>
          <cell r="AL168" t="str">
            <v xml:space="preserve"> </v>
          </cell>
          <cell r="AM168" t="str">
            <v xml:space="preserve"> </v>
          </cell>
          <cell r="AN168" t="str">
            <v xml:space="preserve"> </v>
          </cell>
          <cell r="AO168" t="str">
            <v xml:space="preserve"> </v>
          </cell>
          <cell r="AP168" t="str">
            <v xml:space="preserve"> </v>
          </cell>
          <cell r="AQ168" t="str">
            <v xml:space="preserve"> </v>
          </cell>
        </row>
        <row r="169">
          <cell r="A169" t="str">
            <v>FBF.......665499J</v>
          </cell>
          <cell r="B169" t="str">
            <v>2003T12</v>
          </cell>
          <cell r="C169" t="str">
            <v xml:space="preserve">TREND    </v>
          </cell>
          <cell r="D169" t="str">
            <v xml:space="preserve">Trend -  QTD Average/Activity                     </v>
          </cell>
          <cell r="E169" t="str">
            <v>Run: 08/07/03 13:53:41</v>
          </cell>
          <cell r="F169" t="str">
            <v>999</v>
          </cell>
          <cell r="G169" t="str">
            <v>100</v>
          </cell>
          <cell r="H169" t="str">
            <v xml:space="preserve">Bank Of America Management Reporting              </v>
          </cell>
          <cell r="I169" t="str">
            <v>001</v>
          </cell>
          <cell r="J169" t="str">
            <v>FBF.......</v>
          </cell>
          <cell r="K169" t="str">
            <v xml:space="preserve">Global Structured Product Operations              </v>
          </cell>
          <cell r="L169" t="str">
            <v xml:space="preserve"> </v>
          </cell>
          <cell r="M169" t="str">
            <v xml:space="preserve"> </v>
          </cell>
          <cell r="N169" t="str">
            <v>bamgt</v>
          </cell>
          <cell r="O169" t="str">
            <v>40</v>
          </cell>
          <cell r="P169" t="str">
            <v>600000A  662999B  662999C  665499B  665499D  665499H  665499J  999999999</v>
          </cell>
          <cell r="Q169" t="str">
            <v xml:space="preserve">none     </v>
          </cell>
          <cell r="R169" t="str">
            <v>RollFCST-Working Version</v>
          </cell>
          <cell r="S169" t="str">
            <v>RollFCST-Working Version</v>
          </cell>
          <cell r="T169" t="str">
            <v xml:space="preserve"> </v>
          </cell>
          <cell r="U169" t="str">
            <v xml:space="preserve"> </v>
          </cell>
          <cell r="V169" t="str">
            <v>665499J</v>
          </cell>
          <cell r="W169" t="str">
            <v>7</v>
          </cell>
          <cell r="X169" t="str">
            <v xml:space="preserve">            Employee Training &amp; Seminars</v>
          </cell>
          <cell r="Y169">
            <v>8.5963600000000007</v>
          </cell>
          <cell r="Z169">
            <v>25.886880000000001</v>
          </cell>
          <cell r="AA169">
            <v>53.805759999999999</v>
          </cell>
          <cell r="AB169">
            <v>22.885359999999999</v>
          </cell>
          <cell r="AC169">
            <v>111.17435999999999</v>
          </cell>
          <cell r="AD169">
            <v>37.851880000000001</v>
          </cell>
          <cell r="AE169">
            <v>17.894169999999999</v>
          </cell>
          <cell r="AF169">
            <v>6.5405800000000003</v>
          </cell>
          <cell r="AG169">
            <v>0</v>
          </cell>
          <cell r="AH169">
            <v>62.286630000000002</v>
          </cell>
          <cell r="AI169" t="str">
            <v xml:space="preserve">U.S. Dollar                   </v>
          </cell>
          <cell r="AJ169" t="str">
            <v xml:space="preserve"> </v>
          </cell>
          <cell r="AK169" t="str">
            <v xml:space="preserve"> </v>
          </cell>
          <cell r="AL169" t="str">
            <v xml:space="preserve"> </v>
          </cell>
          <cell r="AM169" t="str">
            <v xml:space="preserve"> </v>
          </cell>
          <cell r="AN169" t="str">
            <v xml:space="preserve"> </v>
          </cell>
          <cell r="AO169" t="str">
            <v xml:space="preserve"> </v>
          </cell>
          <cell r="AP169" t="str">
            <v xml:space="preserve"> </v>
          </cell>
          <cell r="AQ169" t="str">
            <v xml:space="preserve"> </v>
          </cell>
        </row>
        <row r="170">
          <cell r="A170" t="str">
            <v>FBF.......665499H</v>
          </cell>
          <cell r="B170" t="str">
            <v>2003T12</v>
          </cell>
          <cell r="C170" t="str">
            <v xml:space="preserve">TREND    </v>
          </cell>
          <cell r="D170" t="str">
            <v xml:space="preserve">Trend -  QTD Average/Activity                     </v>
          </cell>
          <cell r="E170" t="str">
            <v>Run: 08/07/03 13:53:41</v>
          </cell>
          <cell r="F170" t="str">
            <v>999</v>
          </cell>
          <cell r="G170" t="str">
            <v>100</v>
          </cell>
          <cell r="H170" t="str">
            <v xml:space="preserve">Bank Of America Management Reporting              </v>
          </cell>
          <cell r="I170" t="str">
            <v>001</v>
          </cell>
          <cell r="J170" t="str">
            <v>FBF.......</v>
          </cell>
          <cell r="K170" t="str">
            <v xml:space="preserve">Global Structured Product Operations              </v>
          </cell>
          <cell r="L170" t="str">
            <v xml:space="preserve"> </v>
          </cell>
          <cell r="M170" t="str">
            <v xml:space="preserve"> </v>
          </cell>
          <cell r="N170" t="str">
            <v>bamgt</v>
          </cell>
          <cell r="O170" t="str">
            <v>40</v>
          </cell>
          <cell r="P170" t="str">
            <v>600000A  662999B  662999C  665499B  665499D  665499H  999999999999999999</v>
          </cell>
          <cell r="Q170" t="str">
            <v xml:space="preserve">none     </v>
          </cell>
          <cell r="R170" t="str">
            <v>RollFCST-Working Version</v>
          </cell>
          <cell r="S170" t="str">
            <v>RollFCST-Working Version</v>
          </cell>
          <cell r="T170" t="str">
            <v xml:space="preserve"> </v>
          </cell>
          <cell r="U170" t="str">
            <v xml:space="preserve"> </v>
          </cell>
          <cell r="V170" t="str">
            <v>665499H</v>
          </cell>
          <cell r="W170" t="str">
            <v>6</v>
          </cell>
          <cell r="X170" t="str">
            <v xml:space="preserve">          Other Employee Expense        </v>
          </cell>
          <cell r="Y170">
            <v>65.230710000000002</v>
          </cell>
          <cell r="Z170">
            <v>144.58320000000001</v>
          </cell>
          <cell r="AA170">
            <v>228.61320000000001</v>
          </cell>
          <cell r="AB170">
            <v>167.57132999999999</v>
          </cell>
          <cell r="AC170">
            <v>605.99843999999996</v>
          </cell>
          <cell r="AD170">
            <v>102.58946</v>
          </cell>
          <cell r="AE170">
            <v>50.230229999999999</v>
          </cell>
          <cell r="AF170">
            <v>78.271439999999998</v>
          </cell>
          <cell r="AG170">
            <v>0</v>
          </cell>
          <cell r="AH170">
            <v>231.09112999999999</v>
          </cell>
          <cell r="AI170" t="str">
            <v xml:space="preserve">U.S. Dollar                   </v>
          </cell>
          <cell r="AJ170" t="str">
            <v xml:space="preserve"> </v>
          </cell>
          <cell r="AK170" t="str">
            <v xml:space="preserve"> </v>
          </cell>
          <cell r="AL170" t="str">
            <v xml:space="preserve"> </v>
          </cell>
          <cell r="AM170" t="str">
            <v xml:space="preserve"> </v>
          </cell>
          <cell r="AN170" t="str">
            <v xml:space="preserve"> </v>
          </cell>
          <cell r="AO170" t="str">
            <v xml:space="preserve"> </v>
          </cell>
          <cell r="AP170" t="str">
            <v xml:space="preserve"> </v>
          </cell>
          <cell r="AQ170" t="str">
            <v xml:space="preserve"> </v>
          </cell>
        </row>
        <row r="171">
          <cell r="A171" t="str">
            <v>FBF.......665499D</v>
          </cell>
          <cell r="B171" t="str">
            <v>2003T12</v>
          </cell>
          <cell r="C171" t="str">
            <v xml:space="preserve">TREND    </v>
          </cell>
          <cell r="D171" t="str">
            <v xml:space="preserve">Trend -  QTD Average/Activity                     </v>
          </cell>
          <cell r="E171" t="str">
            <v>Run: 08/07/03 13:53:41</v>
          </cell>
          <cell r="F171" t="str">
            <v>999</v>
          </cell>
          <cell r="G171" t="str">
            <v>100</v>
          </cell>
          <cell r="H171" t="str">
            <v xml:space="preserve">Bank Of America Management Reporting              </v>
          </cell>
          <cell r="I171" t="str">
            <v>001</v>
          </cell>
          <cell r="J171" t="str">
            <v>FBF.......</v>
          </cell>
          <cell r="K171" t="str">
            <v xml:space="preserve">Global Structured Product Operations              </v>
          </cell>
          <cell r="L171" t="str">
            <v xml:space="preserve"> </v>
          </cell>
          <cell r="M171" t="str">
            <v xml:space="preserve"> </v>
          </cell>
          <cell r="N171" t="str">
            <v>bamgt</v>
          </cell>
          <cell r="O171" t="str">
            <v>40</v>
          </cell>
          <cell r="P171" t="str">
            <v>600000A  662999B  662999C  665499B  665499D  999999999999999999999999999</v>
          </cell>
          <cell r="Q171" t="str">
            <v xml:space="preserve">none     </v>
          </cell>
          <cell r="R171" t="str">
            <v>RollFCST-Working Version</v>
          </cell>
          <cell r="S171" t="str">
            <v>RollFCST-Working Version</v>
          </cell>
          <cell r="T171" t="str">
            <v xml:space="preserve"> </v>
          </cell>
          <cell r="U171" t="str">
            <v xml:space="preserve"> </v>
          </cell>
          <cell r="V171" t="str">
            <v>665499D</v>
          </cell>
          <cell r="W171" t="str">
            <v>5</v>
          </cell>
          <cell r="X171" t="str">
            <v xml:space="preserve">        Employee Expense                </v>
          </cell>
          <cell r="Y171">
            <v>73.958280000000002</v>
          </cell>
          <cell r="Z171">
            <v>166.71710999999999</v>
          </cell>
          <cell r="AA171">
            <v>237.69387</v>
          </cell>
          <cell r="AB171">
            <v>253.10004000000001</v>
          </cell>
          <cell r="AC171">
            <v>731.46929999999998</v>
          </cell>
          <cell r="AD171">
            <v>103.84609</v>
          </cell>
          <cell r="AE171">
            <v>71.854380000000006</v>
          </cell>
          <cell r="AF171">
            <v>78.718909999999994</v>
          </cell>
          <cell r="AG171">
            <v>0</v>
          </cell>
          <cell r="AH171">
            <v>254.41937999999999</v>
          </cell>
          <cell r="AI171" t="str">
            <v xml:space="preserve">U.S. Dollar                   </v>
          </cell>
          <cell r="AJ171" t="str">
            <v xml:space="preserve"> </v>
          </cell>
          <cell r="AK171" t="str">
            <v xml:space="preserve"> </v>
          </cell>
          <cell r="AL171" t="str">
            <v xml:space="preserve"> </v>
          </cell>
          <cell r="AM171" t="str">
            <v xml:space="preserve"> </v>
          </cell>
          <cell r="AN171" t="str">
            <v xml:space="preserve"> </v>
          </cell>
          <cell r="AO171" t="str">
            <v xml:space="preserve"> </v>
          </cell>
          <cell r="AP171" t="str">
            <v xml:space="preserve"> </v>
          </cell>
          <cell r="AQ171" t="str">
            <v xml:space="preserve"> </v>
          </cell>
        </row>
        <row r="172">
          <cell r="A172" t="str">
            <v>FBF.......665499B</v>
          </cell>
          <cell r="B172" t="str">
            <v>2003T12</v>
          </cell>
          <cell r="C172" t="str">
            <v xml:space="preserve">TREND    </v>
          </cell>
          <cell r="D172" t="str">
            <v xml:space="preserve">Trend -  QTD Average/Activity                     </v>
          </cell>
          <cell r="E172" t="str">
            <v>Run: 08/07/03 13:53:41</v>
          </cell>
          <cell r="F172" t="str">
            <v>999</v>
          </cell>
          <cell r="G172" t="str">
            <v>100</v>
          </cell>
          <cell r="H172" t="str">
            <v xml:space="preserve">Bank Of America Management Reporting              </v>
          </cell>
          <cell r="I172" t="str">
            <v>001</v>
          </cell>
          <cell r="J172" t="str">
            <v>FBF.......</v>
          </cell>
          <cell r="K172" t="str">
            <v xml:space="preserve">Global Structured Product Operations              </v>
          </cell>
          <cell r="L172" t="str">
            <v xml:space="preserve"> </v>
          </cell>
          <cell r="M172" t="str">
            <v xml:space="preserve"> </v>
          </cell>
          <cell r="N172" t="str">
            <v>bamgt</v>
          </cell>
          <cell r="O172" t="str">
            <v>40</v>
          </cell>
          <cell r="P172" t="str">
            <v>600000A  662999B  662999C  665499B  999999999999999999999999999999999999</v>
          </cell>
          <cell r="Q172" t="str">
            <v xml:space="preserve">none     </v>
          </cell>
          <cell r="R172" t="str">
            <v>RollFCST-Working Version</v>
          </cell>
          <cell r="S172" t="str">
            <v>RollFCST-Working Version</v>
          </cell>
          <cell r="T172" t="str">
            <v xml:space="preserve"> </v>
          </cell>
          <cell r="U172" t="str">
            <v xml:space="preserve"> </v>
          </cell>
          <cell r="V172" t="str">
            <v>665499B</v>
          </cell>
          <cell r="W172" t="str">
            <v>4</v>
          </cell>
          <cell r="X172" t="str">
            <v xml:space="preserve">      Other Operating Expense           </v>
          </cell>
          <cell r="Y172">
            <v>80.871499999999997</v>
          </cell>
          <cell r="Z172">
            <v>172.20347000000001</v>
          </cell>
          <cell r="AA172">
            <v>242.95405</v>
          </cell>
          <cell r="AB172">
            <v>259.23966999999999</v>
          </cell>
          <cell r="AC172">
            <v>755.26868999999999</v>
          </cell>
          <cell r="AD172">
            <v>109.50443</v>
          </cell>
          <cell r="AE172">
            <v>80.225219999999993</v>
          </cell>
          <cell r="AF172">
            <v>270.63715999999999</v>
          </cell>
          <cell r="AG172">
            <v>178.79</v>
          </cell>
          <cell r="AH172">
            <v>639.15680999999995</v>
          </cell>
          <cell r="AI172" t="str">
            <v xml:space="preserve">U.S. Dollar                   </v>
          </cell>
          <cell r="AJ172" t="str">
            <v xml:space="preserve"> </v>
          </cell>
          <cell r="AK172" t="str">
            <v xml:space="preserve"> </v>
          </cell>
          <cell r="AL172" t="str">
            <v xml:space="preserve"> </v>
          </cell>
          <cell r="AM172" t="str">
            <v xml:space="preserve"> </v>
          </cell>
          <cell r="AN172" t="str">
            <v xml:space="preserve"> </v>
          </cell>
          <cell r="AO172" t="str">
            <v xml:space="preserve"> </v>
          </cell>
          <cell r="AP172" t="str">
            <v xml:space="preserve"> </v>
          </cell>
          <cell r="AQ172" t="str">
            <v xml:space="preserve"> </v>
          </cell>
        </row>
        <row r="173">
          <cell r="A173" t="str">
            <v>FBF.......670200</v>
          </cell>
          <cell r="B173" t="str">
            <v>2003T12</v>
          </cell>
          <cell r="C173" t="str">
            <v xml:space="preserve">TREND    </v>
          </cell>
          <cell r="D173" t="str">
            <v xml:space="preserve">Trend -  QTD Average/Activity                     </v>
          </cell>
          <cell r="E173" t="str">
            <v>Run: 08/07/03 13:53:41</v>
          </cell>
          <cell r="F173" t="str">
            <v>999</v>
          </cell>
          <cell r="G173" t="str">
            <v>100</v>
          </cell>
          <cell r="H173" t="str">
            <v xml:space="preserve">Bank Of America Management Reporting              </v>
          </cell>
          <cell r="I173" t="str">
            <v>001</v>
          </cell>
          <cell r="J173" t="str">
            <v>FBF.......</v>
          </cell>
          <cell r="K173" t="str">
            <v xml:space="preserve">Global Structured Product Operations              </v>
          </cell>
          <cell r="L173" t="str">
            <v xml:space="preserve"> </v>
          </cell>
          <cell r="M173" t="str">
            <v xml:space="preserve"> </v>
          </cell>
          <cell r="N173" t="str">
            <v>bamgt</v>
          </cell>
          <cell r="O173" t="str">
            <v>40</v>
          </cell>
          <cell r="P173" t="str">
            <v>600000A  662999B  670000B  670200   999999999999999999999999999999999999</v>
          </cell>
          <cell r="Q173" t="str">
            <v xml:space="preserve">none     </v>
          </cell>
          <cell r="R173" t="str">
            <v>RollFCST-Working Version</v>
          </cell>
          <cell r="S173" t="str">
            <v>RollFCST-Working Version</v>
          </cell>
          <cell r="T173" t="str">
            <v xml:space="preserve"> </v>
          </cell>
          <cell r="U173" t="str">
            <v xml:space="preserve"> </v>
          </cell>
          <cell r="V173" t="str">
            <v>670200</v>
          </cell>
          <cell r="W173" t="str">
            <v>4</v>
          </cell>
          <cell r="X173" t="str">
            <v xml:space="preserve">      Travel                            </v>
          </cell>
          <cell r="Y173">
            <v>66.869069999999994</v>
          </cell>
          <cell r="Z173">
            <v>117.47087999999999</v>
          </cell>
          <cell r="AA173">
            <v>145.24037000000001</v>
          </cell>
          <cell r="AB173">
            <v>123.57678</v>
          </cell>
          <cell r="AC173">
            <v>453.15710000000001</v>
          </cell>
          <cell r="AD173">
            <v>83.787459999999996</v>
          </cell>
          <cell r="AE173">
            <v>126.34348</v>
          </cell>
          <cell r="AF173">
            <v>122.26197000000001</v>
          </cell>
          <cell r="AG173">
            <v>124.29</v>
          </cell>
          <cell r="AH173">
            <v>456.68290999999999</v>
          </cell>
          <cell r="AI173" t="str">
            <v xml:space="preserve">U.S. Dollar                   </v>
          </cell>
          <cell r="AJ173" t="str">
            <v xml:space="preserve"> </v>
          </cell>
          <cell r="AK173" t="str">
            <v xml:space="preserve"> </v>
          </cell>
          <cell r="AL173" t="str">
            <v xml:space="preserve"> </v>
          </cell>
          <cell r="AM173" t="str">
            <v xml:space="preserve"> </v>
          </cell>
          <cell r="AN173" t="str">
            <v xml:space="preserve"> </v>
          </cell>
          <cell r="AO173" t="str">
            <v xml:space="preserve"> </v>
          </cell>
          <cell r="AP173" t="str">
            <v xml:space="preserve"> </v>
          </cell>
          <cell r="AQ173" t="str">
            <v xml:space="preserve"> </v>
          </cell>
        </row>
        <row r="174">
          <cell r="A174" t="str">
            <v>FBF.......670800</v>
          </cell>
          <cell r="B174" t="str">
            <v>2003T12</v>
          </cell>
          <cell r="C174" t="str">
            <v xml:space="preserve">TREND    </v>
          </cell>
          <cell r="D174" t="str">
            <v xml:space="preserve">Trend -  QTD Average/Activity                     </v>
          </cell>
          <cell r="E174" t="str">
            <v>Run: 08/07/03 13:53:41</v>
          </cell>
          <cell r="F174" t="str">
            <v>999</v>
          </cell>
          <cell r="G174" t="str">
            <v>100</v>
          </cell>
          <cell r="H174" t="str">
            <v xml:space="preserve">Bank Of America Management Reporting              </v>
          </cell>
          <cell r="I174" t="str">
            <v>001</v>
          </cell>
          <cell r="J174" t="str">
            <v>FBF.......</v>
          </cell>
          <cell r="K174" t="str">
            <v xml:space="preserve">Global Structured Product Operations              </v>
          </cell>
          <cell r="L174" t="str">
            <v xml:space="preserve"> </v>
          </cell>
          <cell r="M174" t="str">
            <v xml:space="preserve"> </v>
          </cell>
          <cell r="N174" t="str">
            <v>bamgt</v>
          </cell>
          <cell r="O174" t="str">
            <v>40</v>
          </cell>
          <cell r="P174" t="str">
            <v>600000A  662999B  670000B  670800   999999999999999999999999999999999999</v>
          </cell>
          <cell r="Q174" t="str">
            <v xml:space="preserve">none     </v>
          </cell>
          <cell r="R174" t="str">
            <v>RollFCST-Working Version</v>
          </cell>
          <cell r="S174" t="str">
            <v>RollFCST-Working Version</v>
          </cell>
          <cell r="T174" t="str">
            <v xml:space="preserve"> </v>
          </cell>
          <cell r="U174" t="str">
            <v xml:space="preserve"> </v>
          </cell>
          <cell r="V174" t="str">
            <v>670800</v>
          </cell>
          <cell r="W174" t="str">
            <v>4</v>
          </cell>
          <cell r="X174" t="str">
            <v xml:space="preserve">      Taxes Other Than Income           </v>
          </cell>
          <cell r="Y174">
            <v>11.47697</v>
          </cell>
          <cell r="Z174">
            <v>14.39963</v>
          </cell>
          <cell r="AA174">
            <v>28.52692</v>
          </cell>
          <cell r="AB174">
            <v>24.771339999999999</v>
          </cell>
          <cell r="AC174">
            <v>79.174859999999995</v>
          </cell>
          <cell r="AD174">
            <v>24.473089999999999</v>
          </cell>
          <cell r="AE174">
            <v>34.114930000000001</v>
          </cell>
          <cell r="AF174">
            <v>10.139609999999999</v>
          </cell>
          <cell r="AG174">
            <v>0.06</v>
          </cell>
          <cell r="AH174">
            <v>68.787629999999993</v>
          </cell>
          <cell r="AI174" t="str">
            <v xml:space="preserve">U.S. Dollar                   </v>
          </cell>
          <cell r="AJ174" t="str">
            <v xml:space="preserve"> </v>
          </cell>
          <cell r="AK174" t="str">
            <v xml:space="preserve"> </v>
          </cell>
          <cell r="AL174" t="str">
            <v xml:space="preserve"> </v>
          </cell>
          <cell r="AM174" t="str">
            <v xml:space="preserve"> </v>
          </cell>
          <cell r="AN174" t="str">
            <v xml:space="preserve"> </v>
          </cell>
          <cell r="AO174" t="str">
            <v xml:space="preserve"> </v>
          </cell>
          <cell r="AP174" t="str">
            <v xml:space="preserve"> </v>
          </cell>
          <cell r="AQ174" t="str">
            <v xml:space="preserve"> </v>
          </cell>
        </row>
        <row r="175">
          <cell r="A175" t="str">
            <v>FBF.......671200</v>
          </cell>
          <cell r="B175" t="str">
            <v>2003T12</v>
          </cell>
          <cell r="C175" t="str">
            <v xml:space="preserve">TREND    </v>
          </cell>
          <cell r="D175" t="str">
            <v xml:space="preserve">Trend -  QTD Average/Activity                     </v>
          </cell>
          <cell r="E175" t="str">
            <v>Run: 08/07/03 13:53:41</v>
          </cell>
          <cell r="F175" t="str">
            <v>999</v>
          </cell>
          <cell r="G175" t="str">
            <v>100</v>
          </cell>
          <cell r="H175" t="str">
            <v xml:space="preserve">Bank Of America Management Reporting              </v>
          </cell>
          <cell r="I175" t="str">
            <v>001</v>
          </cell>
          <cell r="J175" t="str">
            <v>FBF.......</v>
          </cell>
          <cell r="K175" t="str">
            <v xml:space="preserve">Global Structured Product Operations              </v>
          </cell>
          <cell r="L175" t="str">
            <v xml:space="preserve"> </v>
          </cell>
          <cell r="M175" t="str">
            <v xml:space="preserve"> </v>
          </cell>
          <cell r="N175" t="str">
            <v>bamgt</v>
          </cell>
          <cell r="O175" t="str">
            <v>40</v>
          </cell>
          <cell r="P175" t="str">
            <v>600000A  662999B  670000B  671200   999999999999999999999999999999999999</v>
          </cell>
          <cell r="Q175" t="str">
            <v xml:space="preserve">none     </v>
          </cell>
          <cell r="R175" t="str">
            <v>RollFCST-Working Version</v>
          </cell>
          <cell r="S175" t="str">
            <v>RollFCST-Working Version</v>
          </cell>
          <cell r="T175" t="str">
            <v xml:space="preserve"> </v>
          </cell>
          <cell r="U175" t="str">
            <v xml:space="preserve"> </v>
          </cell>
          <cell r="V175" t="str">
            <v>671200</v>
          </cell>
          <cell r="W175" t="str">
            <v>4</v>
          </cell>
          <cell r="X175" t="str">
            <v xml:space="preserve">      Subscription Services             </v>
          </cell>
          <cell r="Y175">
            <v>139.15703999999999</v>
          </cell>
          <cell r="Z175">
            <v>181.87558999999999</v>
          </cell>
          <cell r="AA175">
            <v>187.46804</v>
          </cell>
          <cell r="AB175">
            <v>188.90870000000001</v>
          </cell>
          <cell r="AC175">
            <v>697.40936999999997</v>
          </cell>
          <cell r="AD175">
            <v>203.74915999999999</v>
          </cell>
          <cell r="AE175">
            <v>210.09564</v>
          </cell>
          <cell r="AF175">
            <v>366.1979</v>
          </cell>
          <cell r="AG175">
            <v>234.58</v>
          </cell>
          <cell r="AH175">
            <v>1014.6227</v>
          </cell>
          <cell r="AI175" t="str">
            <v xml:space="preserve">U.S. Dollar                   </v>
          </cell>
          <cell r="AJ175" t="str">
            <v xml:space="preserve"> </v>
          </cell>
          <cell r="AK175" t="str">
            <v xml:space="preserve"> </v>
          </cell>
          <cell r="AL175" t="str">
            <v xml:space="preserve"> </v>
          </cell>
          <cell r="AM175" t="str">
            <v xml:space="preserve"> </v>
          </cell>
          <cell r="AN175" t="str">
            <v xml:space="preserve"> </v>
          </cell>
          <cell r="AO175" t="str">
            <v xml:space="preserve"> </v>
          </cell>
          <cell r="AP175" t="str">
            <v xml:space="preserve"> </v>
          </cell>
          <cell r="AQ175" t="str">
            <v xml:space="preserve"> </v>
          </cell>
        </row>
        <row r="176">
          <cell r="A176" t="str">
            <v>FBF.......671500</v>
          </cell>
          <cell r="B176" t="str">
            <v>2003T12</v>
          </cell>
          <cell r="C176" t="str">
            <v xml:space="preserve">TREND    </v>
          </cell>
          <cell r="D176" t="str">
            <v xml:space="preserve">Trend -  QTD Average/Activity                     </v>
          </cell>
          <cell r="E176" t="str">
            <v>Run: 08/07/03 13:53:41</v>
          </cell>
          <cell r="F176" t="str">
            <v>999</v>
          </cell>
          <cell r="G176" t="str">
            <v>100</v>
          </cell>
          <cell r="H176" t="str">
            <v xml:space="preserve">Bank Of America Management Reporting              </v>
          </cell>
          <cell r="I176" t="str">
            <v>001</v>
          </cell>
          <cell r="J176" t="str">
            <v>FBF.......</v>
          </cell>
          <cell r="K176" t="str">
            <v xml:space="preserve">Global Structured Product Operations              </v>
          </cell>
          <cell r="L176" t="str">
            <v xml:space="preserve"> </v>
          </cell>
          <cell r="M176" t="str">
            <v xml:space="preserve"> </v>
          </cell>
          <cell r="N176" t="str">
            <v>bamgt</v>
          </cell>
          <cell r="O176" t="str">
            <v>40</v>
          </cell>
          <cell r="P176" t="str">
            <v>600000A  662999B  670000B  671500   999999999999999999999999999999999999</v>
          </cell>
          <cell r="Q176" t="str">
            <v xml:space="preserve">none     </v>
          </cell>
          <cell r="R176" t="str">
            <v>RollFCST-Working Version</v>
          </cell>
          <cell r="S176" t="str">
            <v>RollFCST-Working Version</v>
          </cell>
          <cell r="T176" t="str">
            <v xml:space="preserve"> </v>
          </cell>
          <cell r="U176" t="str">
            <v xml:space="preserve"> </v>
          </cell>
          <cell r="V176" t="str">
            <v>671500</v>
          </cell>
          <cell r="W176" t="str">
            <v>4</v>
          </cell>
          <cell r="X176" t="str">
            <v xml:space="preserve">      Other Administrative Expenses     </v>
          </cell>
          <cell r="Y176">
            <v>0</v>
          </cell>
          <cell r="Z176">
            <v>6.6578400000000002</v>
          </cell>
          <cell r="AA176">
            <v>2.8188</v>
          </cell>
          <cell r="AB176">
            <v>3.1906400000000001</v>
          </cell>
          <cell r="AC176">
            <v>12.66728</v>
          </cell>
          <cell r="AD176">
            <v>3.6004</v>
          </cell>
          <cell r="AE176">
            <v>3.72194</v>
          </cell>
          <cell r="AF176">
            <v>16.02</v>
          </cell>
          <cell r="AG176">
            <v>24.03</v>
          </cell>
          <cell r="AH176">
            <v>47.372340000000001</v>
          </cell>
          <cell r="AI176" t="str">
            <v xml:space="preserve">U.S. Dollar                   </v>
          </cell>
          <cell r="AJ176" t="str">
            <v xml:space="preserve"> </v>
          </cell>
          <cell r="AK176" t="str">
            <v xml:space="preserve"> </v>
          </cell>
          <cell r="AL176" t="str">
            <v xml:space="preserve"> </v>
          </cell>
          <cell r="AM176" t="str">
            <v xml:space="preserve"> </v>
          </cell>
          <cell r="AN176" t="str">
            <v xml:space="preserve"> </v>
          </cell>
          <cell r="AO176" t="str">
            <v xml:space="preserve"> </v>
          </cell>
          <cell r="AP176" t="str">
            <v xml:space="preserve"> </v>
          </cell>
          <cell r="AQ176" t="str">
            <v xml:space="preserve"> </v>
          </cell>
        </row>
        <row r="177">
          <cell r="A177" t="str">
            <v>FBF.......675000</v>
          </cell>
          <cell r="B177" t="str">
            <v>2003T12</v>
          </cell>
          <cell r="C177" t="str">
            <v xml:space="preserve">TREND    </v>
          </cell>
          <cell r="D177" t="str">
            <v xml:space="preserve">Trend -  QTD Average/Activity                     </v>
          </cell>
          <cell r="E177" t="str">
            <v>Run: 08/07/03 13:53:41</v>
          </cell>
          <cell r="F177" t="str">
            <v>999</v>
          </cell>
          <cell r="G177" t="str">
            <v>100</v>
          </cell>
          <cell r="H177" t="str">
            <v xml:space="preserve">Bank Of America Management Reporting              </v>
          </cell>
          <cell r="I177" t="str">
            <v>001</v>
          </cell>
          <cell r="J177" t="str">
            <v>FBF.......</v>
          </cell>
          <cell r="K177" t="str">
            <v xml:space="preserve">Global Structured Product Operations              </v>
          </cell>
          <cell r="L177" t="str">
            <v xml:space="preserve"> </v>
          </cell>
          <cell r="M177" t="str">
            <v xml:space="preserve"> </v>
          </cell>
          <cell r="N177" t="str">
            <v>bamgt</v>
          </cell>
          <cell r="O177" t="str">
            <v>40</v>
          </cell>
          <cell r="P177" t="str">
            <v>600000A  675000   999999999999999999999999999999999999999999999999999999</v>
          </cell>
          <cell r="Q177" t="str">
            <v xml:space="preserve">none     </v>
          </cell>
          <cell r="R177" t="str">
            <v>RollFCST-Working Version</v>
          </cell>
          <cell r="S177" t="str">
            <v>RollFCST-Working Version</v>
          </cell>
          <cell r="T177" t="str">
            <v xml:space="preserve"> </v>
          </cell>
          <cell r="U177" t="str">
            <v xml:space="preserve"> </v>
          </cell>
          <cell r="V177" t="str">
            <v>675000</v>
          </cell>
          <cell r="W177" t="str">
            <v>2</v>
          </cell>
          <cell r="X177" t="str">
            <v xml:space="preserve">  Intercompany Expense                  </v>
          </cell>
          <cell r="Y177">
            <v>1.3692800000000001</v>
          </cell>
          <cell r="Z177">
            <v>1.5151300000000001</v>
          </cell>
          <cell r="AA177">
            <v>1.51515</v>
          </cell>
          <cell r="AB177">
            <v>1.7371799999999999</v>
          </cell>
          <cell r="AC177">
            <v>6.1367399999999996</v>
          </cell>
          <cell r="AD177">
            <v>1.5152399999999999</v>
          </cell>
          <cell r="AE177">
            <v>1.5362100000000001</v>
          </cell>
          <cell r="AF177">
            <v>1.47197</v>
          </cell>
          <cell r="AG177">
            <v>1.44</v>
          </cell>
          <cell r="AH177">
            <v>5.9634200000000002</v>
          </cell>
          <cell r="AI177" t="str">
            <v xml:space="preserve">U.S. Dollar                   </v>
          </cell>
          <cell r="AJ177" t="str">
            <v xml:space="preserve"> </v>
          </cell>
          <cell r="AK177" t="str">
            <v xml:space="preserve"> </v>
          </cell>
          <cell r="AL177" t="str">
            <v xml:space="preserve"> </v>
          </cell>
          <cell r="AM177" t="str">
            <v xml:space="preserve"> </v>
          </cell>
          <cell r="AN177" t="str">
            <v xml:space="preserve"> </v>
          </cell>
          <cell r="AO177" t="str">
            <v xml:space="preserve"> </v>
          </cell>
          <cell r="AP177" t="str">
            <v xml:space="preserve"> </v>
          </cell>
          <cell r="AQ177" t="str">
            <v xml:space="preserve"> </v>
          </cell>
        </row>
        <row r="178">
          <cell r="A178" t="str">
            <v>FBG.......600300</v>
          </cell>
          <cell r="B178" t="str">
            <v>2003T12</v>
          </cell>
          <cell r="C178" t="str">
            <v xml:space="preserve">TREND    </v>
          </cell>
          <cell r="D178" t="str">
            <v xml:space="preserve">Trend -  QTD Average/Activity                     </v>
          </cell>
          <cell r="E178" t="str">
            <v>Run: 08/07/03 13:53:41</v>
          </cell>
          <cell r="F178" t="str">
            <v>999</v>
          </cell>
          <cell r="G178" t="str">
            <v>100</v>
          </cell>
          <cell r="H178" t="str">
            <v xml:space="preserve">Bank Of America Management Reporting              </v>
          </cell>
          <cell r="I178" t="str">
            <v>001</v>
          </cell>
          <cell r="J178" t="str">
            <v>FBG.......</v>
          </cell>
          <cell r="K178" t="str">
            <v xml:space="preserve">Gcib Support-Tokyo Ops                            </v>
          </cell>
          <cell r="L178" t="str">
            <v xml:space="preserve"> </v>
          </cell>
          <cell r="M178" t="str">
            <v xml:space="preserve"> </v>
          </cell>
          <cell r="N178" t="str">
            <v>bamgt</v>
          </cell>
          <cell r="O178" t="str">
            <v>40</v>
          </cell>
          <cell r="P178" t="str">
            <v>600000A  600250   999999999600300   999999999999999999999999999999999999</v>
          </cell>
          <cell r="Q178" t="str">
            <v xml:space="preserve">none     </v>
          </cell>
          <cell r="R178" t="str">
            <v>RollFCST-Working Version</v>
          </cell>
          <cell r="S178" t="str">
            <v>RollFCST-Working Version</v>
          </cell>
          <cell r="T178" t="str">
            <v xml:space="preserve"> </v>
          </cell>
          <cell r="U178" t="str">
            <v xml:space="preserve"> </v>
          </cell>
          <cell r="V178" t="str">
            <v>600300</v>
          </cell>
          <cell r="W178" t="str">
            <v>4</v>
          </cell>
          <cell r="X178" t="str">
            <v xml:space="preserve">      Salaries &amp; Wages                  </v>
          </cell>
          <cell r="Y178">
            <v>636.91961000000003</v>
          </cell>
          <cell r="Z178">
            <v>624.16886</v>
          </cell>
          <cell r="AA178">
            <v>588.74929999999995</v>
          </cell>
          <cell r="AB178">
            <v>677.84109999999998</v>
          </cell>
          <cell r="AC178">
            <v>2527.6788700000002</v>
          </cell>
          <cell r="AD178">
            <v>762.91318999999999</v>
          </cell>
          <cell r="AE178">
            <v>722.71693000000005</v>
          </cell>
          <cell r="AF178">
            <v>519.53507999999999</v>
          </cell>
          <cell r="AG178">
            <v>564</v>
          </cell>
          <cell r="AH178">
            <v>2569.1651999999999</v>
          </cell>
          <cell r="AI178" t="str">
            <v xml:space="preserve">U.S. Dollar                   </v>
          </cell>
          <cell r="AJ178" t="str">
            <v xml:space="preserve"> </v>
          </cell>
          <cell r="AK178" t="str">
            <v xml:space="preserve"> </v>
          </cell>
          <cell r="AL178" t="str">
            <v xml:space="preserve"> </v>
          </cell>
          <cell r="AM178" t="str">
            <v xml:space="preserve"> </v>
          </cell>
          <cell r="AN178" t="str">
            <v xml:space="preserve"> </v>
          </cell>
          <cell r="AO178" t="str">
            <v xml:space="preserve"> </v>
          </cell>
          <cell r="AP178" t="str">
            <v xml:space="preserve"> </v>
          </cell>
          <cell r="AQ178" t="str">
            <v xml:space="preserve"> </v>
          </cell>
        </row>
        <row r="179">
          <cell r="A179" t="str">
            <v>FBG.......601000</v>
          </cell>
          <cell r="B179" t="str">
            <v>2003T12</v>
          </cell>
          <cell r="C179" t="str">
            <v xml:space="preserve">TREND    </v>
          </cell>
          <cell r="D179" t="str">
            <v xml:space="preserve">Trend -  QTD Average/Activity                     </v>
          </cell>
          <cell r="E179" t="str">
            <v>Run: 08/07/03 13:53:41</v>
          </cell>
          <cell r="F179" t="str">
            <v>999</v>
          </cell>
          <cell r="G179" t="str">
            <v>100</v>
          </cell>
          <cell r="H179" t="str">
            <v xml:space="preserve">Bank Of America Management Reporting              </v>
          </cell>
          <cell r="I179" t="str">
            <v>001</v>
          </cell>
          <cell r="J179" t="str">
            <v>FBG.......</v>
          </cell>
          <cell r="K179" t="str">
            <v xml:space="preserve">Gcib Support-Tokyo Ops                            </v>
          </cell>
          <cell r="L179" t="str">
            <v xml:space="preserve"> </v>
          </cell>
          <cell r="M179" t="str">
            <v xml:space="preserve"> </v>
          </cell>
          <cell r="N179" t="str">
            <v>bamgt</v>
          </cell>
          <cell r="O179" t="str">
            <v>40</v>
          </cell>
          <cell r="P179" t="str">
            <v>600000A  600250   999999999601000   999999999999999999999999999999999999</v>
          </cell>
          <cell r="Q179" t="str">
            <v xml:space="preserve">none     </v>
          </cell>
          <cell r="R179" t="str">
            <v>RollFCST-Working Version</v>
          </cell>
          <cell r="S179" t="str">
            <v>RollFCST-Working Version</v>
          </cell>
          <cell r="T179" t="str">
            <v xml:space="preserve"> </v>
          </cell>
          <cell r="U179" t="str">
            <v xml:space="preserve"> </v>
          </cell>
          <cell r="V179" t="str">
            <v>601000</v>
          </cell>
          <cell r="W179" t="str">
            <v>4</v>
          </cell>
          <cell r="X179" t="str">
            <v xml:space="preserve">      Overtime Salaries                 </v>
          </cell>
          <cell r="Y179">
            <v>6.4176799999999998</v>
          </cell>
          <cell r="Z179">
            <v>6.1208799999999997</v>
          </cell>
          <cell r="AA179">
            <v>4.0024800000000003</v>
          </cell>
          <cell r="AB179">
            <v>3.65741</v>
          </cell>
          <cell r="AC179">
            <v>20.198450000000001</v>
          </cell>
          <cell r="AD179">
            <v>2.58203</v>
          </cell>
          <cell r="AE179">
            <v>0.80405000000000004</v>
          </cell>
          <cell r="AF179">
            <v>0.33400000000000002</v>
          </cell>
          <cell r="AG179">
            <v>0</v>
          </cell>
          <cell r="AH179">
            <v>3.7200799999999998</v>
          </cell>
          <cell r="AI179" t="str">
            <v xml:space="preserve">U.S. Dollar                   </v>
          </cell>
          <cell r="AJ179" t="str">
            <v xml:space="preserve"> </v>
          </cell>
          <cell r="AK179" t="str">
            <v xml:space="preserve"> </v>
          </cell>
          <cell r="AL179" t="str">
            <v xml:space="preserve"> </v>
          </cell>
          <cell r="AM179" t="str">
            <v xml:space="preserve"> </v>
          </cell>
          <cell r="AN179" t="str">
            <v xml:space="preserve"> </v>
          </cell>
          <cell r="AO179" t="str">
            <v xml:space="preserve"> </v>
          </cell>
          <cell r="AP179" t="str">
            <v xml:space="preserve"> </v>
          </cell>
          <cell r="AQ179" t="str">
            <v xml:space="preserve"> </v>
          </cell>
        </row>
        <row r="180">
          <cell r="A180" t="str">
            <v>FBG.......602400</v>
          </cell>
          <cell r="B180" t="str">
            <v>2003T12</v>
          </cell>
          <cell r="C180" t="str">
            <v xml:space="preserve">TREND    </v>
          </cell>
          <cell r="D180" t="str">
            <v xml:space="preserve">Trend -  QTD Average/Activity                     </v>
          </cell>
          <cell r="E180" t="str">
            <v>Run: 08/07/03 13:53:41</v>
          </cell>
          <cell r="F180" t="str">
            <v>999</v>
          </cell>
          <cell r="G180" t="str">
            <v>100</v>
          </cell>
          <cell r="H180" t="str">
            <v xml:space="preserve">Bank Of America Management Reporting              </v>
          </cell>
          <cell r="I180" t="str">
            <v>001</v>
          </cell>
          <cell r="J180" t="str">
            <v>FBG.......</v>
          </cell>
          <cell r="K180" t="str">
            <v xml:space="preserve">Gcib Support-Tokyo Ops                            </v>
          </cell>
          <cell r="L180" t="str">
            <v xml:space="preserve"> </v>
          </cell>
          <cell r="M180" t="str">
            <v xml:space="preserve"> </v>
          </cell>
          <cell r="N180" t="str">
            <v>bamgt</v>
          </cell>
          <cell r="O180" t="str">
            <v>40</v>
          </cell>
          <cell r="P180" t="str">
            <v>600000A  600250   999999999602000   602400   999999999999999999999999999</v>
          </cell>
          <cell r="Q180" t="str">
            <v xml:space="preserve">none     </v>
          </cell>
          <cell r="R180" t="str">
            <v>RollFCST-Working Version</v>
          </cell>
          <cell r="S180" t="str">
            <v>RollFCST-Working Version</v>
          </cell>
          <cell r="T180" t="str">
            <v xml:space="preserve"> </v>
          </cell>
          <cell r="U180" t="str">
            <v xml:space="preserve"> </v>
          </cell>
          <cell r="V180" t="str">
            <v>602400</v>
          </cell>
          <cell r="W180" t="str">
            <v>5</v>
          </cell>
          <cell r="X180" t="str">
            <v xml:space="preserve">        Other Employee Compensation     </v>
          </cell>
          <cell r="Y180">
            <v>3.84314</v>
          </cell>
          <cell r="Z180">
            <v>2.5019300000000002</v>
          </cell>
          <cell r="AA180">
            <v>2.2993600000000001</v>
          </cell>
          <cell r="AB180">
            <v>6.8537499999999998</v>
          </cell>
          <cell r="AC180">
            <v>15.49818</v>
          </cell>
          <cell r="AD180">
            <v>1.97784</v>
          </cell>
          <cell r="AE180">
            <v>0.95406000000000002</v>
          </cell>
          <cell r="AF180">
            <v>0.24351</v>
          </cell>
          <cell r="AG180">
            <v>0</v>
          </cell>
          <cell r="AH180">
            <v>3.1754099999999998</v>
          </cell>
          <cell r="AI180" t="str">
            <v xml:space="preserve">U.S. Dollar                   </v>
          </cell>
          <cell r="AJ180" t="str">
            <v xml:space="preserve"> </v>
          </cell>
          <cell r="AK180" t="str">
            <v xml:space="preserve"> </v>
          </cell>
          <cell r="AL180" t="str">
            <v xml:space="preserve"> </v>
          </cell>
          <cell r="AM180" t="str">
            <v xml:space="preserve"> </v>
          </cell>
          <cell r="AN180" t="str">
            <v xml:space="preserve"> </v>
          </cell>
          <cell r="AO180" t="str">
            <v xml:space="preserve"> </v>
          </cell>
          <cell r="AP180" t="str">
            <v xml:space="preserve"> </v>
          </cell>
          <cell r="AQ180" t="str">
            <v xml:space="preserve"> </v>
          </cell>
        </row>
        <row r="181">
          <cell r="A181" t="str">
            <v>FBG.......602000</v>
          </cell>
          <cell r="B181" t="str">
            <v>2003T12</v>
          </cell>
          <cell r="C181" t="str">
            <v xml:space="preserve">TREND    </v>
          </cell>
          <cell r="D181" t="str">
            <v xml:space="preserve">Trend -  QTD Average/Activity                     </v>
          </cell>
          <cell r="E181" t="str">
            <v>Run: 08/07/03 13:53:41</v>
          </cell>
          <cell r="F181" t="str">
            <v>999</v>
          </cell>
          <cell r="G181" t="str">
            <v>100</v>
          </cell>
          <cell r="H181" t="str">
            <v xml:space="preserve">Bank Of America Management Reporting              </v>
          </cell>
          <cell r="I181" t="str">
            <v>001</v>
          </cell>
          <cell r="J181" t="str">
            <v>FBG.......</v>
          </cell>
          <cell r="K181" t="str">
            <v xml:space="preserve">Gcib Support-Tokyo Ops                            </v>
          </cell>
          <cell r="L181" t="str">
            <v xml:space="preserve"> </v>
          </cell>
          <cell r="M181" t="str">
            <v xml:space="preserve"> </v>
          </cell>
          <cell r="N181" t="str">
            <v>bamgt</v>
          </cell>
          <cell r="O181" t="str">
            <v>40</v>
          </cell>
          <cell r="P181" t="str">
            <v>600000A  600250   999999999602000   999999999999999999999999999999999999</v>
          </cell>
          <cell r="Q181" t="str">
            <v xml:space="preserve">none     </v>
          </cell>
          <cell r="R181" t="str">
            <v>RollFCST-Working Version</v>
          </cell>
          <cell r="S181" t="str">
            <v>RollFCST-Working Version</v>
          </cell>
          <cell r="T181" t="str">
            <v xml:space="preserve"> </v>
          </cell>
          <cell r="U181" t="str">
            <v xml:space="preserve"> </v>
          </cell>
          <cell r="V181" t="str">
            <v>602000</v>
          </cell>
          <cell r="W181" t="str">
            <v>4</v>
          </cell>
          <cell r="X181" t="str">
            <v xml:space="preserve">      Contract Temporary/Other Compensat</v>
          </cell>
          <cell r="Y181">
            <v>34.636310000000002</v>
          </cell>
          <cell r="Z181">
            <v>66.148740000000004</v>
          </cell>
          <cell r="AA181">
            <v>53.979039999999998</v>
          </cell>
          <cell r="AB181">
            <v>90.384889999999999</v>
          </cell>
          <cell r="AC181">
            <v>245.14897999999999</v>
          </cell>
          <cell r="AD181">
            <v>57.122329999999998</v>
          </cell>
          <cell r="AE181">
            <v>29.0746</v>
          </cell>
          <cell r="AF181">
            <v>17.128160000000001</v>
          </cell>
          <cell r="AG181">
            <v>15</v>
          </cell>
          <cell r="AH181">
            <v>118.32509</v>
          </cell>
          <cell r="AI181" t="str">
            <v xml:space="preserve">U.S. Dollar                   </v>
          </cell>
          <cell r="AJ181" t="str">
            <v xml:space="preserve"> </v>
          </cell>
          <cell r="AK181" t="str">
            <v xml:space="preserve"> </v>
          </cell>
          <cell r="AL181" t="str">
            <v xml:space="preserve"> </v>
          </cell>
          <cell r="AM181" t="str">
            <v xml:space="preserve"> </v>
          </cell>
          <cell r="AN181" t="str">
            <v xml:space="preserve"> </v>
          </cell>
          <cell r="AO181" t="str">
            <v xml:space="preserve"> </v>
          </cell>
          <cell r="AP181" t="str">
            <v xml:space="preserve"> </v>
          </cell>
          <cell r="AQ181" t="str">
            <v xml:space="preserve"> </v>
          </cell>
        </row>
        <row r="182">
          <cell r="A182" t="str">
            <v>FBG.......603000</v>
          </cell>
          <cell r="B182" t="str">
            <v>2003T12</v>
          </cell>
          <cell r="C182" t="str">
            <v xml:space="preserve">TREND    </v>
          </cell>
          <cell r="D182" t="str">
            <v xml:space="preserve">Trend -  QTD Average/Activity                     </v>
          </cell>
          <cell r="E182" t="str">
            <v>Run: 08/07/03 13:53:41</v>
          </cell>
          <cell r="F182" t="str">
            <v>999</v>
          </cell>
          <cell r="G182" t="str">
            <v>100</v>
          </cell>
          <cell r="H182" t="str">
            <v xml:space="preserve">Bank Of America Management Reporting              </v>
          </cell>
          <cell r="I182" t="str">
            <v>001</v>
          </cell>
          <cell r="J182" t="str">
            <v>FBG.......</v>
          </cell>
          <cell r="K182" t="str">
            <v xml:space="preserve">Gcib Support-Tokyo Ops                            </v>
          </cell>
          <cell r="L182" t="str">
            <v xml:space="preserve"> </v>
          </cell>
          <cell r="M182" t="str">
            <v xml:space="preserve"> </v>
          </cell>
          <cell r="N182" t="str">
            <v>bamgt</v>
          </cell>
          <cell r="O182" t="str">
            <v>40</v>
          </cell>
          <cell r="P182" t="str">
            <v>600000A  600250   999999999603000   999999999999999999999999999999999999</v>
          </cell>
          <cell r="Q182" t="str">
            <v xml:space="preserve">none     </v>
          </cell>
          <cell r="R182" t="str">
            <v>RollFCST-Working Version</v>
          </cell>
          <cell r="S182" t="str">
            <v>RollFCST-Working Version</v>
          </cell>
          <cell r="T182" t="str">
            <v xml:space="preserve"> </v>
          </cell>
          <cell r="U182" t="str">
            <v xml:space="preserve"> </v>
          </cell>
          <cell r="V182" t="str">
            <v>603000</v>
          </cell>
          <cell r="W182" t="str">
            <v>4</v>
          </cell>
          <cell r="X182" t="str">
            <v xml:space="preserve">      Employee Benefits                 </v>
          </cell>
          <cell r="Y182">
            <v>118.11053</v>
          </cell>
          <cell r="Z182">
            <v>172.23219</v>
          </cell>
          <cell r="AA182">
            <v>141.48955000000001</v>
          </cell>
          <cell r="AB182">
            <v>201.93876</v>
          </cell>
          <cell r="AC182">
            <v>633.77103</v>
          </cell>
          <cell r="AD182">
            <v>152.53319999999999</v>
          </cell>
          <cell r="AE182">
            <v>159.96836999999999</v>
          </cell>
          <cell r="AF182">
            <v>164.25835000000001</v>
          </cell>
          <cell r="AG182">
            <v>132.36000000000001</v>
          </cell>
          <cell r="AH182">
            <v>609.11991999999998</v>
          </cell>
          <cell r="AI182" t="str">
            <v xml:space="preserve">U.S. Dollar                   </v>
          </cell>
          <cell r="AJ182" t="str">
            <v xml:space="preserve"> </v>
          </cell>
          <cell r="AK182" t="str">
            <v xml:space="preserve"> </v>
          </cell>
          <cell r="AL182" t="str">
            <v xml:space="preserve"> </v>
          </cell>
          <cell r="AM182" t="str">
            <v xml:space="preserve"> </v>
          </cell>
          <cell r="AN182" t="str">
            <v xml:space="preserve"> </v>
          </cell>
          <cell r="AO182" t="str">
            <v xml:space="preserve"> </v>
          </cell>
          <cell r="AP182" t="str">
            <v xml:space="preserve"> </v>
          </cell>
          <cell r="AQ182" t="str">
            <v xml:space="preserve"> </v>
          </cell>
        </row>
        <row r="183">
          <cell r="A183" t="str">
            <v>FBG.......600250</v>
          </cell>
          <cell r="B183" t="str">
            <v>2003T12</v>
          </cell>
          <cell r="C183" t="str">
            <v xml:space="preserve">TREND    </v>
          </cell>
          <cell r="D183" t="str">
            <v xml:space="preserve">Trend -  QTD Average/Activity                     </v>
          </cell>
          <cell r="E183" t="str">
            <v>Run: 08/07/03 13:53:41</v>
          </cell>
          <cell r="F183" t="str">
            <v>999</v>
          </cell>
          <cell r="G183" t="str">
            <v>100</v>
          </cell>
          <cell r="H183" t="str">
            <v xml:space="preserve">Bank Of America Management Reporting              </v>
          </cell>
          <cell r="I183" t="str">
            <v>001</v>
          </cell>
          <cell r="J183" t="str">
            <v>FBG.......</v>
          </cell>
          <cell r="K183" t="str">
            <v xml:space="preserve">Gcib Support-Tokyo Ops                            </v>
          </cell>
          <cell r="L183" t="str">
            <v xml:space="preserve"> </v>
          </cell>
          <cell r="M183" t="str">
            <v xml:space="preserve"> </v>
          </cell>
          <cell r="N183" t="str">
            <v>bamgt</v>
          </cell>
          <cell r="O183" t="str">
            <v>40</v>
          </cell>
          <cell r="P183" t="str">
            <v>600000A  600250   999999999999999999999999999999999999999999999999999999</v>
          </cell>
          <cell r="Q183" t="str">
            <v xml:space="preserve">none     </v>
          </cell>
          <cell r="R183" t="str">
            <v>RollFCST-Working Version</v>
          </cell>
          <cell r="S183" t="str">
            <v>RollFCST-Working Version</v>
          </cell>
          <cell r="T183" t="str">
            <v xml:space="preserve"> </v>
          </cell>
          <cell r="U183" t="str">
            <v xml:space="preserve"> </v>
          </cell>
          <cell r="V183" t="str">
            <v>600250</v>
          </cell>
          <cell r="W183" t="str">
            <v>2</v>
          </cell>
          <cell r="X183" t="str">
            <v xml:space="preserve">  Personnel                             </v>
          </cell>
          <cell r="Y183">
            <v>796.08412999999996</v>
          </cell>
          <cell r="Z183">
            <v>868.67066999999997</v>
          </cell>
          <cell r="AA183">
            <v>788.22037</v>
          </cell>
          <cell r="AB183">
            <v>973.82216000000005</v>
          </cell>
          <cell r="AC183">
            <v>3426.7973299999999</v>
          </cell>
          <cell r="AD183">
            <v>975.15075000000002</v>
          </cell>
          <cell r="AE183">
            <v>912.56394999999998</v>
          </cell>
          <cell r="AF183">
            <v>701.25558999999998</v>
          </cell>
          <cell r="AG183">
            <v>711.36</v>
          </cell>
          <cell r="AH183">
            <v>3300.3302899999999</v>
          </cell>
          <cell r="AI183" t="str">
            <v xml:space="preserve">U.S. Dollar                   </v>
          </cell>
          <cell r="AJ183" t="str">
            <v xml:space="preserve"> </v>
          </cell>
          <cell r="AK183" t="str">
            <v xml:space="preserve"> </v>
          </cell>
          <cell r="AL183" t="str">
            <v xml:space="preserve"> </v>
          </cell>
          <cell r="AM183" t="str">
            <v xml:space="preserve"> </v>
          </cell>
          <cell r="AN183" t="str">
            <v xml:space="preserve"> </v>
          </cell>
          <cell r="AO183" t="str">
            <v xml:space="preserve"> </v>
          </cell>
          <cell r="AP183" t="str">
            <v xml:space="preserve"> </v>
          </cell>
          <cell r="AQ183" t="str">
            <v xml:space="preserve"> </v>
          </cell>
        </row>
        <row r="184">
          <cell r="A184" t="str">
            <v>FBG.......610000</v>
          </cell>
          <cell r="B184" t="str">
            <v>2003T12</v>
          </cell>
          <cell r="C184" t="str">
            <v xml:space="preserve">TREND    </v>
          </cell>
          <cell r="D184" t="str">
            <v xml:space="preserve">Trend -  QTD Average/Activity                     </v>
          </cell>
          <cell r="E184" t="str">
            <v>Run: 08/07/03 13:53:41</v>
          </cell>
          <cell r="F184" t="str">
            <v>999</v>
          </cell>
          <cell r="G184" t="str">
            <v>100</v>
          </cell>
          <cell r="H184" t="str">
            <v xml:space="preserve">Bank Of America Management Reporting              </v>
          </cell>
          <cell r="I184" t="str">
            <v>001</v>
          </cell>
          <cell r="J184" t="str">
            <v>FBG.......</v>
          </cell>
          <cell r="K184" t="str">
            <v xml:space="preserve">Gcib Support-Tokyo Ops                            </v>
          </cell>
          <cell r="L184" t="str">
            <v xml:space="preserve"> </v>
          </cell>
          <cell r="M184" t="str">
            <v xml:space="preserve"> </v>
          </cell>
          <cell r="N184" t="str">
            <v>bamgt</v>
          </cell>
          <cell r="O184" t="str">
            <v>40</v>
          </cell>
          <cell r="P184" t="str">
            <v>600000A  610000   999999999999999999999999999999999999999999999999999999</v>
          </cell>
          <cell r="Q184" t="str">
            <v xml:space="preserve">none     </v>
          </cell>
          <cell r="R184" t="str">
            <v>RollFCST-Working Version</v>
          </cell>
          <cell r="S184" t="str">
            <v>RollFCST-Working Version</v>
          </cell>
          <cell r="T184" t="str">
            <v xml:space="preserve"> </v>
          </cell>
          <cell r="U184" t="str">
            <v xml:space="preserve"> </v>
          </cell>
          <cell r="V184" t="str">
            <v>610000</v>
          </cell>
          <cell r="W184" t="str">
            <v>2</v>
          </cell>
          <cell r="X184" t="str">
            <v xml:space="preserve">  Net Occupancy Expense                 </v>
          </cell>
          <cell r="Y184">
            <v>183.697</v>
          </cell>
          <cell r="Z184">
            <v>339.99378999999999</v>
          </cell>
          <cell r="AA184">
            <v>302.71575999999999</v>
          </cell>
          <cell r="AB184">
            <v>340.60102000000001</v>
          </cell>
          <cell r="AC184">
            <v>1167.00757</v>
          </cell>
          <cell r="AD184">
            <v>277.38905999999997</v>
          </cell>
          <cell r="AE184">
            <v>276.80131</v>
          </cell>
          <cell r="AF184">
            <v>291.10106000000002</v>
          </cell>
          <cell r="AG184">
            <v>277.44</v>
          </cell>
          <cell r="AH184">
            <v>1122.73143</v>
          </cell>
          <cell r="AI184" t="str">
            <v xml:space="preserve">U.S. Dollar                   </v>
          </cell>
          <cell r="AJ184" t="str">
            <v xml:space="preserve"> </v>
          </cell>
          <cell r="AK184" t="str">
            <v xml:space="preserve"> </v>
          </cell>
          <cell r="AL184" t="str">
            <v xml:space="preserve"> </v>
          </cell>
          <cell r="AM184" t="str">
            <v xml:space="preserve"> </v>
          </cell>
          <cell r="AN184" t="str">
            <v xml:space="preserve"> </v>
          </cell>
          <cell r="AO184" t="str">
            <v xml:space="preserve"> </v>
          </cell>
          <cell r="AP184" t="str">
            <v xml:space="preserve"> </v>
          </cell>
          <cell r="AQ184" t="str">
            <v xml:space="preserve"> </v>
          </cell>
        </row>
        <row r="185">
          <cell r="A185" t="str">
            <v>FBG.......620000</v>
          </cell>
          <cell r="B185" t="str">
            <v>2003T12</v>
          </cell>
          <cell r="C185" t="str">
            <v xml:space="preserve">TREND    </v>
          </cell>
          <cell r="D185" t="str">
            <v xml:space="preserve">Trend -  QTD Average/Activity                     </v>
          </cell>
          <cell r="E185" t="str">
            <v>Run: 08/07/03 13:53:41</v>
          </cell>
          <cell r="F185" t="str">
            <v>999</v>
          </cell>
          <cell r="G185" t="str">
            <v>100</v>
          </cell>
          <cell r="H185" t="str">
            <v xml:space="preserve">Bank Of America Management Reporting              </v>
          </cell>
          <cell r="I185" t="str">
            <v>001</v>
          </cell>
          <cell r="J185" t="str">
            <v>FBG.......</v>
          </cell>
          <cell r="K185" t="str">
            <v xml:space="preserve">Gcib Support-Tokyo Ops                            </v>
          </cell>
          <cell r="L185" t="str">
            <v xml:space="preserve"> </v>
          </cell>
          <cell r="M185" t="str">
            <v xml:space="preserve"> </v>
          </cell>
          <cell r="N185" t="str">
            <v>bamgt</v>
          </cell>
          <cell r="O185" t="str">
            <v>40</v>
          </cell>
          <cell r="P185" t="str">
            <v>600000A  620000   999999999999999999999999999999999999999999999999999999</v>
          </cell>
          <cell r="Q185" t="str">
            <v xml:space="preserve">none     </v>
          </cell>
          <cell r="R185" t="str">
            <v>RollFCST-Working Version</v>
          </cell>
          <cell r="S185" t="str">
            <v>RollFCST-Working Version</v>
          </cell>
          <cell r="T185" t="str">
            <v xml:space="preserve"> </v>
          </cell>
          <cell r="U185" t="str">
            <v xml:space="preserve"> </v>
          </cell>
          <cell r="V185" t="str">
            <v>620000</v>
          </cell>
          <cell r="W185" t="str">
            <v>2</v>
          </cell>
          <cell r="X185" t="str">
            <v xml:space="preserve">  Furniture &amp; Equipment                 </v>
          </cell>
          <cell r="Y185">
            <v>61.912619999999997</v>
          </cell>
          <cell r="Z185">
            <v>69.505549999999999</v>
          </cell>
          <cell r="AA185">
            <v>53.723280000000003</v>
          </cell>
          <cell r="AB185">
            <v>136.67765</v>
          </cell>
          <cell r="AC185">
            <v>321.81909999999999</v>
          </cell>
          <cell r="AD185">
            <v>73.761309999999995</v>
          </cell>
          <cell r="AE185">
            <v>66.851380000000006</v>
          </cell>
          <cell r="AF185">
            <v>122.60645</v>
          </cell>
          <cell r="AG185">
            <v>114</v>
          </cell>
          <cell r="AH185">
            <v>377.21913999999998</v>
          </cell>
          <cell r="AI185" t="str">
            <v xml:space="preserve">U.S. Dollar                   </v>
          </cell>
          <cell r="AJ185" t="str">
            <v xml:space="preserve"> </v>
          </cell>
          <cell r="AK185" t="str">
            <v xml:space="preserve"> </v>
          </cell>
          <cell r="AL185" t="str">
            <v xml:space="preserve"> </v>
          </cell>
          <cell r="AM185" t="str">
            <v xml:space="preserve"> </v>
          </cell>
          <cell r="AN185" t="str">
            <v xml:space="preserve"> </v>
          </cell>
          <cell r="AO185" t="str">
            <v xml:space="preserve"> </v>
          </cell>
          <cell r="AP185" t="str">
            <v xml:space="preserve"> </v>
          </cell>
          <cell r="AQ185" t="str">
            <v xml:space="preserve"> </v>
          </cell>
        </row>
        <row r="186">
          <cell r="A186" t="str">
            <v>FBG.......623000</v>
          </cell>
          <cell r="B186" t="str">
            <v>2003T12</v>
          </cell>
          <cell r="C186" t="str">
            <v xml:space="preserve">TREND    </v>
          </cell>
          <cell r="D186" t="str">
            <v xml:space="preserve">Trend -  QTD Average/Activity                     </v>
          </cell>
          <cell r="E186" t="str">
            <v>Run: 08/07/03 13:53:41</v>
          </cell>
          <cell r="F186" t="str">
            <v>999</v>
          </cell>
          <cell r="G186" t="str">
            <v>100</v>
          </cell>
          <cell r="H186" t="str">
            <v xml:space="preserve">Bank Of America Management Reporting              </v>
          </cell>
          <cell r="I186" t="str">
            <v>001</v>
          </cell>
          <cell r="J186" t="str">
            <v>FBG.......</v>
          </cell>
          <cell r="K186" t="str">
            <v xml:space="preserve">Gcib Support-Tokyo Ops                            </v>
          </cell>
          <cell r="L186" t="str">
            <v xml:space="preserve"> </v>
          </cell>
          <cell r="M186" t="str">
            <v xml:space="preserve"> </v>
          </cell>
          <cell r="N186" t="str">
            <v>bamgt</v>
          </cell>
          <cell r="O186" t="str">
            <v>40</v>
          </cell>
          <cell r="P186" t="str">
            <v>600000A  623000   999999999999999999999999999999999999999999999999999999</v>
          </cell>
          <cell r="Q186" t="str">
            <v xml:space="preserve">none     </v>
          </cell>
          <cell r="R186" t="str">
            <v>RollFCST-Working Version</v>
          </cell>
          <cell r="S186" t="str">
            <v>RollFCST-Working Version</v>
          </cell>
          <cell r="T186" t="str">
            <v xml:space="preserve"> </v>
          </cell>
          <cell r="U186" t="str">
            <v xml:space="preserve"> </v>
          </cell>
          <cell r="V186" t="str">
            <v>623000</v>
          </cell>
          <cell r="W186" t="str">
            <v>2</v>
          </cell>
          <cell r="X186" t="str">
            <v xml:space="preserve">  Marketing &amp; Promotional               </v>
          </cell>
          <cell r="Y186">
            <v>7.6060000000000003E-2</v>
          </cell>
          <cell r="Z186">
            <v>0.79964999999999997</v>
          </cell>
          <cell r="AA186">
            <v>0.48370000000000002</v>
          </cell>
          <cell r="AB186">
            <v>7.4940000000000007E-2</v>
          </cell>
          <cell r="AC186">
            <v>1.43435</v>
          </cell>
          <cell r="AD186">
            <v>0.40633000000000002</v>
          </cell>
          <cell r="AE186">
            <v>0</v>
          </cell>
          <cell r="AF186">
            <v>1.3789400000000001</v>
          </cell>
          <cell r="AG186">
            <v>1</v>
          </cell>
          <cell r="AH186">
            <v>2.7852700000000001</v>
          </cell>
          <cell r="AI186" t="str">
            <v xml:space="preserve">U.S. Dollar                   </v>
          </cell>
          <cell r="AJ186" t="str">
            <v xml:space="preserve"> </v>
          </cell>
          <cell r="AK186" t="str">
            <v xml:space="preserve"> </v>
          </cell>
          <cell r="AL186" t="str">
            <v xml:space="preserve"> </v>
          </cell>
          <cell r="AM186" t="str">
            <v xml:space="preserve"> </v>
          </cell>
          <cell r="AN186" t="str">
            <v xml:space="preserve"> </v>
          </cell>
          <cell r="AO186" t="str">
            <v xml:space="preserve"> </v>
          </cell>
          <cell r="AP186" t="str">
            <v xml:space="preserve"> </v>
          </cell>
          <cell r="AQ186" t="str">
            <v xml:space="preserve"> </v>
          </cell>
        </row>
        <row r="187">
          <cell r="A187" t="str">
            <v>FBG.......630000</v>
          </cell>
          <cell r="B187" t="str">
            <v>2003T12</v>
          </cell>
          <cell r="C187" t="str">
            <v xml:space="preserve">TREND    </v>
          </cell>
          <cell r="D187" t="str">
            <v xml:space="preserve">Trend -  QTD Average/Activity                     </v>
          </cell>
          <cell r="E187" t="str">
            <v>Run: 08/07/03 13:53:41</v>
          </cell>
          <cell r="F187" t="str">
            <v>999</v>
          </cell>
          <cell r="G187" t="str">
            <v>100</v>
          </cell>
          <cell r="H187" t="str">
            <v xml:space="preserve">Bank Of America Management Reporting              </v>
          </cell>
          <cell r="I187" t="str">
            <v>001</v>
          </cell>
          <cell r="J187" t="str">
            <v>FBG.......</v>
          </cell>
          <cell r="K187" t="str">
            <v xml:space="preserve">Gcib Support-Tokyo Ops                            </v>
          </cell>
          <cell r="L187" t="str">
            <v xml:space="preserve"> </v>
          </cell>
          <cell r="M187" t="str">
            <v xml:space="preserve"> </v>
          </cell>
          <cell r="N187" t="str">
            <v>bamgt</v>
          </cell>
          <cell r="O187" t="str">
            <v>40</v>
          </cell>
          <cell r="P187" t="str">
            <v>600000A  630000   999999999999999999999999999999999999999999999999999999</v>
          </cell>
          <cell r="Q187" t="str">
            <v xml:space="preserve">none     </v>
          </cell>
          <cell r="R187" t="str">
            <v>RollFCST-Working Version</v>
          </cell>
          <cell r="S187" t="str">
            <v>RollFCST-Working Version</v>
          </cell>
          <cell r="T187" t="str">
            <v xml:space="preserve"> </v>
          </cell>
          <cell r="U187" t="str">
            <v xml:space="preserve"> </v>
          </cell>
          <cell r="V187" t="str">
            <v>630000</v>
          </cell>
          <cell r="W187" t="str">
            <v>2</v>
          </cell>
          <cell r="X187" t="str">
            <v xml:space="preserve">  Professional Fees                     </v>
          </cell>
          <cell r="Y187">
            <v>7.4597800000000003</v>
          </cell>
          <cell r="Z187">
            <v>16.582899999999999</v>
          </cell>
          <cell r="AA187">
            <v>13.17333</v>
          </cell>
          <cell r="AB187">
            <v>6.0468099999999998</v>
          </cell>
          <cell r="AC187">
            <v>43.262819999999998</v>
          </cell>
          <cell r="AD187">
            <v>11.036619999999999</v>
          </cell>
          <cell r="AE187">
            <v>7.3156299999999996</v>
          </cell>
          <cell r="AF187">
            <v>15.87959</v>
          </cell>
          <cell r="AG187">
            <v>9</v>
          </cell>
          <cell r="AH187">
            <v>43.231839999999998</v>
          </cell>
          <cell r="AI187" t="str">
            <v xml:space="preserve">U.S. Dollar                   </v>
          </cell>
          <cell r="AJ187" t="str">
            <v xml:space="preserve"> </v>
          </cell>
          <cell r="AK187" t="str">
            <v xml:space="preserve"> </v>
          </cell>
          <cell r="AL187" t="str">
            <v xml:space="preserve"> </v>
          </cell>
          <cell r="AM187" t="str">
            <v xml:space="preserve"> </v>
          </cell>
          <cell r="AN187" t="str">
            <v xml:space="preserve"> </v>
          </cell>
          <cell r="AO187" t="str">
            <v xml:space="preserve"> </v>
          </cell>
          <cell r="AP187" t="str">
            <v xml:space="preserve"> </v>
          </cell>
          <cell r="AQ187" t="str">
            <v xml:space="preserve"> </v>
          </cell>
        </row>
        <row r="188">
          <cell r="A188" t="str">
            <v>FBG.......651500A</v>
          </cell>
          <cell r="B188" t="str">
            <v>2003T12</v>
          </cell>
          <cell r="C188" t="str">
            <v xml:space="preserve">TREND    </v>
          </cell>
          <cell r="D188" t="str">
            <v xml:space="preserve">Trend -  QTD Average/Activity                     </v>
          </cell>
          <cell r="E188" t="str">
            <v>Run: 08/07/03 13:53:41</v>
          </cell>
          <cell r="F188" t="str">
            <v>999</v>
          </cell>
          <cell r="G188" t="str">
            <v>100</v>
          </cell>
          <cell r="H188" t="str">
            <v xml:space="preserve">Bank Of America Management Reporting              </v>
          </cell>
          <cell r="I188" t="str">
            <v>001</v>
          </cell>
          <cell r="J188" t="str">
            <v>FBG.......</v>
          </cell>
          <cell r="K188" t="str">
            <v xml:space="preserve">Gcib Support-Tokyo Ops                            </v>
          </cell>
          <cell r="L188" t="str">
            <v xml:space="preserve"> </v>
          </cell>
          <cell r="M188" t="str">
            <v xml:space="preserve"> </v>
          </cell>
          <cell r="N188" t="str">
            <v>bamgt</v>
          </cell>
          <cell r="O188" t="str">
            <v>40</v>
          </cell>
          <cell r="P188" t="str">
            <v>600000A  651500A  999999999999999999999999999999999999999999999999999999</v>
          </cell>
          <cell r="Q188" t="str">
            <v xml:space="preserve">none     </v>
          </cell>
          <cell r="R188" t="str">
            <v>RollFCST-Working Version</v>
          </cell>
          <cell r="S188" t="str">
            <v>RollFCST-Working Version</v>
          </cell>
          <cell r="T188" t="str">
            <v xml:space="preserve"> </v>
          </cell>
          <cell r="U188" t="str">
            <v xml:space="preserve"> </v>
          </cell>
          <cell r="V188" t="str">
            <v>651500A</v>
          </cell>
          <cell r="W188" t="str">
            <v>2</v>
          </cell>
          <cell r="X188" t="str">
            <v xml:space="preserve">  Direct Processing Expense             </v>
          </cell>
          <cell r="Y188">
            <v>51.267180000000003</v>
          </cell>
          <cell r="Z188">
            <v>71.108559999999997</v>
          </cell>
          <cell r="AA188">
            <v>79.402479999999997</v>
          </cell>
          <cell r="AB188">
            <v>71.172659999999993</v>
          </cell>
          <cell r="AC188">
            <v>272.95087999999998</v>
          </cell>
          <cell r="AD188">
            <v>74.419939999999997</v>
          </cell>
          <cell r="AE188">
            <v>67.674970000000002</v>
          </cell>
          <cell r="AF188">
            <v>66.561949999999996</v>
          </cell>
          <cell r="AG188">
            <v>72</v>
          </cell>
          <cell r="AH188">
            <v>280.65685999999999</v>
          </cell>
          <cell r="AI188" t="str">
            <v xml:space="preserve">U.S. Dollar                   </v>
          </cell>
          <cell r="AJ188" t="str">
            <v xml:space="preserve"> </v>
          </cell>
          <cell r="AK188" t="str">
            <v xml:space="preserve"> </v>
          </cell>
          <cell r="AL188" t="str">
            <v xml:space="preserve"> </v>
          </cell>
          <cell r="AM188" t="str">
            <v xml:space="preserve"> </v>
          </cell>
          <cell r="AN188" t="str">
            <v xml:space="preserve"> </v>
          </cell>
          <cell r="AO188" t="str">
            <v xml:space="preserve"> </v>
          </cell>
          <cell r="AP188" t="str">
            <v xml:space="preserve"> </v>
          </cell>
          <cell r="AQ188" t="str">
            <v xml:space="preserve"> </v>
          </cell>
        </row>
        <row r="189">
          <cell r="A189" t="str">
            <v>FBG.......660000A</v>
          </cell>
          <cell r="B189" t="str">
            <v>2003T12</v>
          </cell>
          <cell r="C189" t="str">
            <v xml:space="preserve">TREND    </v>
          </cell>
          <cell r="D189" t="str">
            <v xml:space="preserve">Trend -  QTD Average/Activity                     </v>
          </cell>
          <cell r="E189" t="str">
            <v>Run: 08/07/03 13:53:41</v>
          </cell>
          <cell r="F189" t="str">
            <v>999</v>
          </cell>
          <cell r="G189" t="str">
            <v>100</v>
          </cell>
          <cell r="H189" t="str">
            <v xml:space="preserve">Bank Of America Management Reporting              </v>
          </cell>
          <cell r="I189" t="str">
            <v>001</v>
          </cell>
          <cell r="J189" t="str">
            <v>FBG.......</v>
          </cell>
          <cell r="K189" t="str">
            <v xml:space="preserve">Gcib Support-Tokyo Ops                            </v>
          </cell>
          <cell r="L189" t="str">
            <v xml:space="preserve"> </v>
          </cell>
          <cell r="M189" t="str">
            <v xml:space="preserve"> </v>
          </cell>
          <cell r="N189" t="str">
            <v>bamgt</v>
          </cell>
          <cell r="O189" t="str">
            <v>40</v>
          </cell>
          <cell r="P189" t="str">
            <v>600000A  660000A  999999999999999999999999999999999999999999999999999999</v>
          </cell>
          <cell r="Q189" t="str">
            <v xml:space="preserve">none     </v>
          </cell>
          <cell r="R189" t="str">
            <v>RollFCST-Working Version</v>
          </cell>
          <cell r="S189" t="str">
            <v>RollFCST-Working Version</v>
          </cell>
          <cell r="T189" t="str">
            <v xml:space="preserve"> </v>
          </cell>
          <cell r="U189" t="str">
            <v xml:space="preserve"> </v>
          </cell>
          <cell r="V189" t="str">
            <v>660000A</v>
          </cell>
          <cell r="W189" t="str">
            <v>2</v>
          </cell>
          <cell r="X189" t="str">
            <v xml:space="preserve">  Telecommunications                    </v>
          </cell>
          <cell r="Y189">
            <v>6.5302800000000003</v>
          </cell>
          <cell r="Z189">
            <v>8.2632999999999992</v>
          </cell>
          <cell r="AA189">
            <v>6.9945599999999999</v>
          </cell>
          <cell r="AB189">
            <v>6.5056900000000004</v>
          </cell>
          <cell r="AC189">
            <v>28.29383</v>
          </cell>
          <cell r="AD189">
            <v>5.4752799999999997</v>
          </cell>
          <cell r="AE189">
            <v>5.6589299999999998</v>
          </cell>
          <cell r="AF189">
            <v>5.9700800000000003</v>
          </cell>
          <cell r="AG189">
            <v>6.24</v>
          </cell>
          <cell r="AH189">
            <v>23.344290000000001</v>
          </cell>
          <cell r="AI189" t="str">
            <v xml:space="preserve">U.S. Dollar                   </v>
          </cell>
          <cell r="AJ189" t="str">
            <v xml:space="preserve"> </v>
          </cell>
          <cell r="AK189" t="str">
            <v xml:space="preserve"> </v>
          </cell>
          <cell r="AL189" t="str">
            <v xml:space="preserve"> </v>
          </cell>
          <cell r="AM189" t="str">
            <v xml:space="preserve"> </v>
          </cell>
          <cell r="AN189" t="str">
            <v xml:space="preserve"> </v>
          </cell>
          <cell r="AO189" t="str">
            <v xml:space="preserve"> </v>
          </cell>
          <cell r="AP189" t="str">
            <v xml:space="preserve"> </v>
          </cell>
          <cell r="AQ189" t="str">
            <v xml:space="preserve"> </v>
          </cell>
        </row>
        <row r="190">
          <cell r="A190" t="str">
            <v>FBG.......663000</v>
          </cell>
          <cell r="B190" t="str">
            <v>2003T12</v>
          </cell>
          <cell r="C190" t="str">
            <v xml:space="preserve">TREND    </v>
          </cell>
          <cell r="D190" t="str">
            <v xml:space="preserve">Trend -  QTD Average/Activity                     </v>
          </cell>
          <cell r="E190" t="str">
            <v>Run: 08/07/03 13:53:41</v>
          </cell>
          <cell r="F190" t="str">
            <v>999</v>
          </cell>
          <cell r="G190" t="str">
            <v>100</v>
          </cell>
          <cell r="H190" t="str">
            <v xml:space="preserve">Bank Of America Management Reporting              </v>
          </cell>
          <cell r="I190" t="str">
            <v>001</v>
          </cell>
          <cell r="J190" t="str">
            <v>FBG.......</v>
          </cell>
          <cell r="K190" t="str">
            <v xml:space="preserve">Gcib Support-Tokyo Ops                            </v>
          </cell>
          <cell r="L190" t="str">
            <v xml:space="preserve"> </v>
          </cell>
          <cell r="M190" t="str">
            <v xml:space="preserve"> </v>
          </cell>
          <cell r="N190" t="str">
            <v>bamgt</v>
          </cell>
          <cell r="O190" t="str">
            <v>40</v>
          </cell>
          <cell r="P190" t="str">
            <v>600000A  662999B  662999C  663000   999999999999999999999999999999999999</v>
          </cell>
          <cell r="Q190" t="str">
            <v xml:space="preserve">none     </v>
          </cell>
          <cell r="R190" t="str">
            <v>RollFCST-Working Version</v>
          </cell>
          <cell r="S190" t="str">
            <v>RollFCST-Working Version</v>
          </cell>
          <cell r="T190" t="str">
            <v xml:space="preserve"> </v>
          </cell>
          <cell r="U190" t="str">
            <v xml:space="preserve"> </v>
          </cell>
          <cell r="V190" t="str">
            <v>663000</v>
          </cell>
          <cell r="W190" t="str">
            <v>4</v>
          </cell>
          <cell r="X190" t="str">
            <v xml:space="preserve">      Supplies                          </v>
          </cell>
          <cell r="Y190">
            <v>7.4493900000000002</v>
          </cell>
          <cell r="Z190">
            <v>8.1205099999999995</v>
          </cell>
          <cell r="AA190">
            <v>4.8080600000000002</v>
          </cell>
          <cell r="AB190">
            <v>7.71366</v>
          </cell>
          <cell r="AC190">
            <v>28.091619999999999</v>
          </cell>
          <cell r="AD190">
            <v>3.8371499999999998</v>
          </cell>
          <cell r="AE190">
            <v>7.3004899999999999</v>
          </cell>
          <cell r="AF190">
            <v>9.3405900000000006</v>
          </cell>
          <cell r="AG190">
            <v>9</v>
          </cell>
          <cell r="AH190">
            <v>29.47823</v>
          </cell>
          <cell r="AI190" t="str">
            <v xml:space="preserve">U.S. Dollar                   </v>
          </cell>
          <cell r="AJ190" t="str">
            <v xml:space="preserve"> </v>
          </cell>
          <cell r="AK190" t="str">
            <v xml:space="preserve"> </v>
          </cell>
          <cell r="AL190" t="str">
            <v xml:space="preserve"> </v>
          </cell>
          <cell r="AM190" t="str">
            <v xml:space="preserve"> </v>
          </cell>
          <cell r="AN190" t="str">
            <v xml:space="preserve"> </v>
          </cell>
          <cell r="AO190" t="str">
            <v xml:space="preserve"> </v>
          </cell>
          <cell r="AP190" t="str">
            <v xml:space="preserve"> </v>
          </cell>
          <cell r="AQ190" t="str">
            <v xml:space="preserve"> </v>
          </cell>
        </row>
        <row r="191">
          <cell r="A191" t="str">
            <v>FBG.......664500</v>
          </cell>
          <cell r="B191" t="str">
            <v>2003T12</v>
          </cell>
          <cell r="C191" t="str">
            <v xml:space="preserve">TREND    </v>
          </cell>
          <cell r="D191" t="str">
            <v xml:space="preserve">Trend -  QTD Average/Activity                     </v>
          </cell>
          <cell r="E191" t="str">
            <v>Run: 08/07/03 13:53:41</v>
          </cell>
          <cell r="F191" t="str">
            <v>999</v>
          </cell>
          <cell r="G191" t="str">
            <v>100</v>
          </cell>
          <cell r="H191" t="str">
            <v xml:space="preserve">Bank Of America Management Reporting              </v>
          </cell>
          <cell r="I191" t="str">
            <v>001</v>
          </cell>
          <cell r="J191" t="str">
            <v>FBG.......</v>
          </cell>
          <cell r="K191" t="str">
            <v xml:space="preserve">Gcib Support-Tokyo Ops                            </v>
          </cell>
          <cell r="L191" t="str">
            <v xml:space="preserve"> </v>
          </cell>
          <cell r="M191" t="str">
            <v xml:space="preserve"> </v>
          </cell>
          <cell r="N191" t="str">
            <v>bamgt</v>
          </cell>
          <cell r="O191" t="str">
            <v>40</v>
          </cell>
          <cell r="P191" t="str">
            <v>600000A  662999B  662999C  664500   999999999999999999999999999999999999</v>
          </cell>
          <cell r="Q191" t="str">
            <v xml:space="preserve">none     </v>
          </cell>
          <cell r="R191" t="str">
            <v>RollFCST-Working Version</v>
          </cell>
          <cell r="S191" t="str">
            <v>RollFCST-Working Version</v>
          </cell>
          <cell r="T191" t="str">
            <v xml:space="preserve"> </v>
          </cell>
          <cell r="U191" t="str">
            <v xml:space="preserve"> </v>
          </cell>
          <cell r="V191" t="str">
            <v>664500</v>
          </cell>
          <cell r="W191" t="str">
            <v>4</v>
          </cell>
          <cell r="X191" t="str">
            <v xml:space="preserve">      Postage And Courier               </v>
          </cell>
          <cell r="Y191">
            <v>3.2868400000000002</v>
          </cell>
          <cell r="Z191">
            <v>2.6422400000000001</v>
          </cell>
          <cell r="AA191">
            <v>2.67076</v>
          </cell>
          <cell r="AB191">
            <v>2.24336</v>
          </cell>
          <cell r="AC191">
            <v>10.8432</v>
          </cell>
          <cell r="AD191">
            <v>3.21678</v>
          </cell>
          <cell r="AE191">
            <v>2.2491599999999998</v>
          </cell>
          <cell r="AF191">
            <v>2.63714</v>
          </cell>
          <cell r="AG191">
            <v>3</v>
          </cell>
          <cell r="AH191">
            <v>11.10308</v>
          </cell>
          <cell r="AI191" t="str">
            <v xml:space="preserve">U.S. Dollar                   </v>
          </cell>
          <cell r="AJ191" t="str">
            <v xml:space="preserve"> </v>
          </cell>
          <cell r="AK191" t="str">
            <v xml:space="preserve"> </v>
          </cell>
          <cell r="AL191" t="str">
            <v xml:space="preserve"> </v>
          </cell>
          <cell r="AM191" t="str">
            <v xml:space="preserve"> </v>
          </cell>
          <cell r="AN191" t="str">
            <v xml:space="preserve"> </v>
          </cell>
          <cell r="AO191" t="str">
            <v xml:space="preserve"> </v>
          </cell>
          <cell r="AP191" t="str">
            <v xml:space="preserve"> </v>
          </cell>
          <cell r="AQ191" t="str">
            <v xml:space="preserve"> </v>
          </cell>
        </row>
        <row r="192">
          <cell r="A192" t="str">
            <v>FBG.......665499J</v>
          </cell>
          <cell r="B192" t="str">
            <v>2003T12</v>
          </cell>
          <cell r="C192" t="str">
            <v xml:space="preserve">TREND    </v>
          </cell>
          <cell r="D192" t="str">
            <v xml:space="preserve">Trend -  QTD Average/Activity                     </v>
          </cell>
          <cell r="E192" t="str">
            <v>Run: 08/07/03 13:53:41</v>
          </cell>
          <cell r="F192" t="str">
            <v>999</v>
          </cell>
          <cell r="G192" t="str">
            <v>100</v>
          </cell>
          <cell r="H192" t="str">
            <v xml:space="preserve">Bank Of America Management Reporting              </v>
          </cell>
          <cell r="I192" t="str">
            <v>001</v>
          </cell>
          <cell r="J192" t="str">
            <v>FBG.......</v>
          </cell>
          <cell r="K192" t="str">
            <v xml:space="preserve">Gcib Support-Tokyo Ops                            </v>
          </cell>
          <cell r="L192" t="str">
            <v xml:space="preserve"> </v>
          </cell>
          <cell r="M192" t="str">
            <v xml:space="preserve"> </v>
          </cell>
          <cell r="N192" t="str">
            <v>bamgt</v>
          </cell>
          <cell r="O192" t="str">
            <v>40</v>
          </cell>
          <cell r="P192" t="str">
            <v>600000A  662999B  662999C  665499B  665499D  665499H  665499J  999999999</v>
          </cell>
          <cell r="Q192" t="str">
            <v xml:space="preserve">none     </v>
          </cell>
          <cell r="R192" t="str">
            <v>RollFCST-Working Version</v>
          </cell>
          <cell r="S192" t="str">
            <v>RollFCST-Working Version</v>
          </cell>
          <cell r="T192" t="str">
            <v xml:space="preserve"> </v>
          </cell>
          <cell r="U192" t="str">
            <v xml:space="preserve"> </v>
          </cell>
          <cell r="V192" t="str">
            <v>665499J</v>
          </cell>
          <cell r="W192" t="str">
            <v>7</v>
          </cell>
          <cell r="X192" t="str">
            <v xml:space="preserve">            Employee Training &amp; Seminars</v>
          </cell>
          <cell r="Y192">
            <v>0.25896000000000002</v>
          </cell>
          <cell r="Z192">
            <v>0.40093000000000001</v>
          </cell>
          <cell r="AA192">
            <v>1.95194</v>
          </cell>
          <cell r="AB192">
            <v>1.93994</v>
          </cell>
          <cell r="AC192">
            <v>4.5517700000000003</v>
          </cell>
          <cell r="AD192">
            <v>1.4714700000000001</v>
          </cell>
          <cell r="AE192">
            <v>9.0900000000000009E-3</v>
          </cell>
          <cell r="AF192">
            <v>2</v>
          </cell>
          <cell r="AG192">
            <v>3</v>
          </cell>
          <cell r="AH192">
            <v>6.4805599999999997</v>
          </cell>
          <cell r="AI192" t="str">
            <v xml:space="preserve">U.S. Dollar                   </v>
          </cell>
          <cell r="AJ192" t="str">
            <v xml:space="preserve"> </v>
          </cell>
          <cell r="AK192" t="str">
            <v xml:space="preserve"> </v>
          </cell>
          <cell r="AL192" t="str">
            <v xml:space="preserve"> </v>
          </cell>
          <cell r="AM192" t="str">
            <v xml:space="preserve"> </v>
          </cell>
          <cell r="AN192" t="str">
            <v xml:space="preserve"> </v>
          </cell>
          <cell r="AO192" t="str">
            <v xml:space="preserve"> </v>
          </cell>
          <cell r="AP192" t="str">
            <v xml:space="preserve"> </v>
          </cell>
          <cell r="AQ192" t="str">
            <v xml:space="preserve"> </v>
          </cell>
        </row>
        <row r="193">
          <cell r="A193" t="str">
            <v>FBG.......665499H</v>
          </cell>
          <cell r="B193" t="str">
            <v>2003T12</v>
          </cell>
          <cell r="C193" t="str">
            <v xml:space="preserve">TREND    </v>
          </cell>
          <cell r="D193" t="str">
            <v xml:space="preserve">Trend -  QTD Average/Activity                     </v>
          </cell>
          <cell r="E193" t="str">
            <v>Run: 08/07/03 13:53:41</v>
          </cell>
          <cell r="F193" t="str">
            <v>999</v>
          </cell>
          <cell r="G193" t="str">
            <v>100</v>
          </cell>
          <cell r="H193" t="str">
            <v xml:space="preserve">Bank Of America Management Reporting              </v>
          </cell>
          <cell r="I193" t="str">
            <v>001</v>
          </cell>
          <cell r="J193" t="str">
            <v>FBG.......</v>
          </cell>
          <cell r="K193" t="str">
            <v xml:space="preserve">Gcib Support-Tokyo Ops                            </v>
          </cell>
          <cell r="L193" t="str">
            <v xml:space="preserve"> </v>
          </cell>
          <cell r="M193" t="str">
            <v xml:space="preserve"> </v>
          </cell>
          <cell r="N193" t="str">
            <v>bamgt</v>
          </cell>
          <cell r="O193" t="str">
            <v>40</v>
          </cell>
          <cell r="P193" t="str">
            <v>600000A  662999B  662999C  665499B  665499D  665499H  999999999999999999</v>
          </cell>
          <cell r="Q193" t="str">
            <v xml:space="preserve">none     </v>
          </cell>
          <cell r="R193" t="str">
            <v>RollFCST-Working Version</v>
          </cell>
          <cell r="S193" t="str">
            <v>RollFCST-Working Version</v>
          </cell>
          <cell r="T193" t="str">
            <v xml:space="preserve"> </v>
          </cell>
          <cell r="U193" t="str">
            <v xml:space="preserve"> </v>
          </cell>
          <cell r="V193" t="str">
            <v>665499H</v>
          </cell>
          <cell r="W193" t="str">
            <v>6</v>
          </cell>
          <cell r="X193" t="str">
            <v xml:space="preserve">          Other Employee Expense        </v>
          </cell>
          <cell r="Y193">
            <v>26.556290000000001</v>
          </cell>
          <cell r="Z193">
            <v>8.1563300000000005</v>
          </cell>
          <cell r="AA193">
            <v>8.9589300000000005</v>
          </cell>
          <cell r="AB193">
            <v>23.54064</v>
          </cell>
          <cell r="AC193">
            <v>67.212190000000007</v>
          </cell>
          <cell r="AD193">
            <v>10.634740000000001</v>
          </cell>
          <cell r="AE193">
            <v>8.2812599999999996</v>
          </cell>
          <cell r="AF193">
            <v>4.5688599999999999</v>
          </cell>
          <cell r="AG193">
            <v>3</v>
          </cell>
          <cell r="AH193">
            <v>26.484860000000001</v>
          </cell>
          <cell r="AI193" t="str">
            <v xml:space="preserve">U.S. Dollar                   </v>
          </cell>
          <cell r="AJ193" t="str">
            <v xml:space="preserve"> </v>
          </cell>
          <cell r="AK193" t="str">
            <v xml:space="preserve"> </v>
          </cell>
          <cell r="AL193" t="str">
            <v xml:space="preserve"> </v>
          </cell>
          <cell r="AM193" t="str">
            <v xml:space="preserve"> </v>
          </cell>
          <cell r="AN193" t="str">
            <v xml:space="preserve"> </v>
          </cell>
          <cell r="AO193" t="str">
            <v xml:space="preserve"> </v>
          </cell>
          <cell r="AP193" t="str">
            <v xml:space="preserve"> </v>
          </cell>
          <cell r="AQ193" t="str">
            <v xml:space="preserve"> </v>
          </cell>
        </row>
        <row r="194">
          <cell r="A194" t="str">
            <v>FBG.......665499D</v>
          </cell>
          <cell r="B194" t="str">
            <v>2003T12</v>
          </cell>
          <cell r="C194" t="str">
            <v xml:space="preserve">TREND    </v>
          </cell>
          <cell r="D194" t="str">
            <v xml:space="preserve">Trend -  QTD Average/Activity                     </v>
          </cell>
          <cell r="E194" t="str">
            <v>Run: 08/07/03 13:53:41</v>
          </cell>
          <cell r="F194" t="str">
            <v>999</v>
          </cell>
          <cell r="G194" t="str">
            <v>100</v>
          </cell>
          <cell r="H194" t="str">
            <v xml:space="preserve">Bank Of America Management Reporting              </v>
          </cell>
          <cell r="I194" t="str">
            <v>001</v>
          </cell>
          <cell r="J194" t="str">
            <v>FBG.......</v>
          </cell>
          <cell r="K194" t="str">
            <v xml:space="preserve">Gcib Support-Tokyo Ops                            </v>
          </cell>
          <cell r="L194" t="str">
            <v xml:space="preserve"> </v>
          </cell>
          <cell r="M194" t="str">
            <v xml:space="preserve"> </v>
          </cell>
          <cell r="N194" t="str">
            <v>bamgt</v>
          </cell>
          <cell r="O194" t="str">
            <v>40</v>
          </cell>
          <cell r="P194" t="str">
            <v>600000A  662999B  662999C  665499B  665499D  999999999999999999999999999</v>
          </cell>
          <cell r="Q194" t="str">
            <v xml:space="preserve">none     </v>
          </cell>
          <cell r="R194" t="str">
            <v>RollFCST-Working Version</v>
          </cell>
          <cell r="S194" t="str">
            <v>RollFCST-Working Version</v>
          </cell>
          <cell r="T194" t="str">
            <v xml:space="preserve"> </v>
          </cell>
          <cell r="U194" t="str">
            <v xml:space="preserve"> </v>
          </cell>
          <cell r="V194" t="str">
            <v>665499D</v>
          </cell>
          <cell r="W194" t="str">
            <v>5</v>
          </cell>
          <cell r="X194" t="str">
            <v xml:space="preserve">        Employee Expense                </v>
          </cell>
          <cell r="Y194">
            <v>26.556290000000001</v>
          </cell>
          <cell r="Z194">
            <v>8.1563300000000005</v>
          </cell>
          <cell r="AA194">
            <v>8.9589300000000005</v>
          </cell>
          <cell r="AB194">
            <v>23.54064</v>
          </cell>
          <cell r="AC194">
            <v>67.212190000000007</v>
          </cell>
          <cell r="AD194">
            <v>10.634740000000001</v>
          </cell>
          <cell r="AE194">
            <v>8.2812599999999996</v>
          </cell>
          <cell r="AF194">
            <v>4.5688599999999999</v>
          </cell>
          <cell r="AG194">
            <v>3</v>
          </cell>
          <cell r="AH194">
            <v>26.484860000000001</v>
          </cell>
          <cell r="AI194" t="str">
            <v xml:space="preserve">U.S. Dollar                   </v>
          </cell>
          <cell r="AJ194" t="str">
            <v xml:space="preserve"> </v>
          </cell>
          <cell r="AK194" t="str">
            <v xml:space="preserve"> </v>
          </cell>
          <cell r="AL194" t="str">
            <v xml:space="preserve"> </v>
          </cell>
          <cell r="AM194" t="str">
            <v xml:space="preserve"> </v>
          </cell>
          <cell r="AN194" t="str">
            <v xml:space="preserve"> </v>
          </cell>
          <cell r="AO194" t="str">
            <v xml:space="preserve"> </v>
          </cell>
          <cell r="AP194" t="str">
            <v xml:space="preserve"> </v>
          </cell>
          <cell r="AQ194" t="str">
            <v xml:space="preserve"> </v>
          </cell>
        </row>
        <row r="195">
          <cell r="A195" t="str">
            <v>FBG.......665499B</v>
          </cell>
          <cell r="B195" t="str">
            <v>2003T12</v>
          </cell>
          <cell r="C195" t="str">
            <v xml:space="preserve">TREND    </v>
          </cell>
          <cell r="D195" t="str">
            <v xml:space="preserve">Trend -  QTD Average/Activity                     </v>
          </cell>
          <cell r="E195" t="str">
            <v>Run: 08/07/03 13:53:41</v>
          </cell>
          <cell r="F195" t="str">
            <v>999</v>
          </cell>
          <cell r="G195" t="str">
            <v>100</v>
          </cell>
          <cell r="H195" t="str">
            <v xml:space="preserve">Bank Of America Management Reporting              </v>
          </cell>
          <cell r="I195" t="str">
            <v>001</v>
          </cell>
          <cell r="J195" t="str">
            <v>FBG.......</v>
          </cell>
          <cell r="K195" t="str">
            <v xml:space="preserve">Gcib Support-Tokyo Ops                            </v>
          </cell>
          <cell r="L195" t="str">
            <v xml:space="preserve"> </v>
          </cell>
          <cell r="M195" t="str">
            <v xml:space="preserve"> </v>
          </cell>
          <cell r="N195" t="str">
            <v>bamgt</v>
          </cell>
          <cell r="O195" t="str">
            <v>40</v>
          </cell>
          <cell r="P195" t="str">
            <v>600000A  662999B  662999C  665499B  999999999999999999999999999999999999</v>
          </cell>
          <cell r="Q195" t="str">
            <v xml:space="preserve">none     </v>
          </cell>
          <cell r="R195" t="str">
            <v>RollFCST-Working Version</v>
          </cell>
          <cell r="S195" t="str">
            <v>RollFCST-Working Version</v>
          </cell>
          <cell r="T195" t="str">
            <v xml:space="preserve"> </v>
          </cell>
          <cell r="U195" t="str">
            <v xml:space="preserve"> </v>
          </cell>
          <cell r="V195" t="str">
            <v>665499B</v>
          </cell>
          <cell r="W195" t="str">
            <v>4</v>
          </cell>
          <cell r="X195" t="str">
            <v xml:space="preserve">      Other Operating Expense           </v>
          </cell>
          <cell r="Y195">
            <v>29.985949999999999</v>
          </cell>
          <cell r="Z195">
            <v>17.616430000000001</v>
          </cell>
          <cell r="AA195">
            <v>17.983930000000001</v>
          </cell>
          <cell r="AB195">
            <v>33.900620000000004</v>
          </cell>
          <cell r="AC195">
            <v>99.486930000000001</v>
          </cell>
          <cell r="AD195">
            <v>27.251809999999999</v>
          </cell>
          <cell r="AE195">
            <v>29.394010000000002</v>
          </cell>
          <cell r="AF195">
            <v>12.556940000000001</v>
          </cell>
          <cell r="AG195">
            <v>12</v>
          </cell>
          <cell r="AH195">
            <v>81.202759999999998</v>
          </cell>
          <cell r="AI195" t="str">
            <v xml:space="preserve">U.S. Dollar                   </v>
          </cell>
          <cell r="AJ195" t="str">
            <v xml:space="preserve"> </v>
          </cell>
          <cell r="AK195" t="str">
            <v xml:space="preserve"> </v>
          </cell>
          <cell r="AL195" t="str">
            <v xml:space="preserve"> </v>
          </cell>
          <cell r="AM195" t="str">
            <v xml:space="preserve"> </v>
          </cell>
          <cell r="AN195" t="str">
            <v xml:space="preserve"> </v>
          </cell>
          <cell r="AO195" t="str">
            <v xml:space="preserve"> </v>
          </cell>
          <cell r="AP195" t="str">
            <v xml:space="preserve"> </v>
          </cell>
          <cell r="AQ195" t="str">
            <v xml:space="preserve"> </v>
          </cell>
        </row>
        <row r="196">
          <cell r="A196" t="str">
            <v>FBG.......670200</v>
          </cell>
          <cell r="B196" t="str">
            <v>2003T12</v>
          </cell>
          <cell r="C196" t="str">
            <v xml:space="preserve">TREND    </v>
          </cell>
          <cell r="D196" t="str">
            <v xml:space="preserve">Trend -  QTD Average/Activity                     </v>
          </cell>
          <cell r="E196" t="str">
            <v>Run: 08/07/03 13:53:41</v>
          </cell>
          <cell r="F196" t="str">
            <v>999</v>
          </cell>
          <cell r="G196" t="str">
            <v>100</v>
          </cell>
          <cell r="H196" t="str">
            <v xml:space="preserve">Bank Of America Management Reporting              </v>
          </cell>
          <cell r="I196" t="str">
            <v>001</v>
          </cell>
          <cell r="J196" t="str">
            <v>FBG.......</v>
          </cell>
          <cell r="K196" t="str">
            <v xml:space="preserve">Gcib Support-Tokyo Ops                            </v>
          </cell>
          <cell r="L196" t="str">
            <v xml:space="preserve"> </v>
          </cell>
          <cell r="M196" t="str">
            <v xml:space="preserve"> </v>
          </cell>
          <cell r="N196" t="str">
            <v>bamgt</v>
          </cell>
          <cell r="O196" t="str">
            <v>40</v>
          </cell>
          <cell r="P196" t="str">
            <v>600000A  662999B  670000B  670200   999999999999999999999999999999999999</v>
          </cell>
          <cell r="Q196" t="str">
            <v xml:space="preserve">none     </v>
          </cell>
          <cell r="R196" t="str">
            <v>RollFCST-Working Version</v>
          </cell>
          <cell r="S196" t="str">
            <v>RollFCST-Working Version</v>
          </cell>
          <cell r="T196" t="str">
            <v xml:space="preserve"> </v>
          </cell>
          <cell r="U196" t="str">
            <v xml:space="preserve"> </v>
          </cell>
          <cell r="V196" t="str">
            <v>670200</v>
          </cell>
          <cell r="W196" t="str">
            <v>4</v>
          </cell>
          <cell r="X196" t="str">
            <v xml:space="preserve">      Travel                            </v>
          </cell>
          <cell r="Y196">
            <v>2.5054599999999998</v>
          </cell>
          <cell r="Z196">
            <v>2.4067599999999998</v>
          </cell>
          <cell r="AA196">
            <v>10.54552</v>
          </cell>
          <cell r="AB196">
            <v>3.8743500000000002</v>
          </cell>
          <cell r="AC196">
            <v>19.332090000000001</v>
          </cell>
          <cell r="AD196">
            <v>2.3858799999999998</v>
          </cell>
          <cell r="AE196">
            <v>0.50827</v>
          </cell>
          <cell r="AF196">
            <v>4.3124099999999999</v>
          </cell>
          <cell r="AG196">
            <v>6</v>
          </cell>
          <cell r="AH196">
            <v>13.20656</v>
          </cell>
          <cell r="AI196" t="str">
            <v xml:space="preserve">U.S. Dollar                   </v>
          </cell>
          <cell r="AJ196" t="str">
            <v xml:space="preserve"> </v>
          </cell>
          <cell r="AK196" t="str">
            <v xml:space="preserve"> </v>
          </cell>
          <cell r="AL196" t="str">
            <v xml:space="preserve"> </v>
          </cell>
          <cell r="AM196" t="str">
            <v xml:space="preserve"> </v>
          </cell>
          <cell r="AN196" t="str">
            <v xml:space="preserve"> </v>
          </cell>
          <cell r="AO196" t="str">
            <v xml:space="preserve"> </v>
          </cell>
          <cell r="AP196" t="str">
            <v xml:space="preserve"> </v>
          </cell>
          <cell r="AQ196" t="str">
            <v xml:space="preserve"> </v>
          </cell>
        </row>
        <row r="197">
          <cell r="A197" t="str">
            <v>FBG.......670800</v>
          </cell>
          <cell r="B197" t="str">
            <v>2003T12</v>
          </cell>
          <cell r="C197" t="str">
            <v xml:space="preserve">TREND    </v>
          </cell>
          <cell r="D197" t="str">
            <v xml:space="preserve">Trend -  QTD Average/Activity                     </v>
          </cell>
          <cell r="E197" t="str">
            <v>Run: 08/07/03 13:53:41</v>
          </cell>
          <cell r="F197" t="str">
            <v>999</v>
          </cell>
          <cell r="G197" t="str">
            <v>100</v>
          </cell>
          <cell r="H197" t="str">
            <v xml:space="preserve">Bank Of America Management Reporting              </v>
          </cell>
          <cell r="I197" t="str">
            <v>001</v>
          </cell>
          <cell r="J197" t="str">
            <v>FBG.......</v>
          </cell>
          <cell r="K197" t="str">
            <v xml:space="preserve">Gcib Support-Tokyo Ops                            </v>
          </cell>
          <cell r="L197" t="str">
            <v xml:space="preserve"> </v>
          </cell>
          <cell r="M197" t="str">
            <v xml:space="preserve"> </v>
          </cell>
          <cell r="N197" t="str">
            <v>bamgt</v>
          </cell>
          <cell r="O197" t="str">
            <v>40</v>
          </cell>
          <cell r="P197" t="str">
            <v>600000A  662999B  670000B  670800   999999999999999999999999999999999999</v>
          </cell>
          <cell r="Q197" t="str">
            <v xml:space="preserve">none     </v>
          </cell>
          <cell r="R197" t="str">
            <v>RollFCST-Working Version</v>
          </cell>
          <cell r="S197" t="str">
            <v>RollFCST-Working Version</v>
          </cell>
          <cell r="T197" t="str">
            <v xml:space="preserve"> </v>
          </cell>
          <cell r="U197" t="str">
            <v xml:space="preserve"> </v>
          </cell>
          <cell r="V197" t="str">
            <v>670800</v>
          </cell>
          <cell r="W197" t="str">
            <v>4</v>
          </cell>
          <cell r="X197" t="str">
            <v xml:space="preserve">      Taxes Other Than Income           </v>
          </cell>
          <cell r="Y197">
            <v>4.19313</v>
          </cell>
          <cell r="Z197">
            <v>10.142150000000001</v>
          </cell>
          <cell r="AA197">
            <v>0.27400000000000002</v>
          </cell>
          <cell r="AB197">
            <v>0.379</v>
          </cell>
          <cell r="AC197">
            <v>14.98828</v>
          </cell>
          <cell r="AD197">
            <v>6.843</v>
          </cell>
          <cell r="AE197">
            <v>72.971180000000004</v>
          </cell>
          <cell r="AF197">
            <v>3.0000000000000001E-3</v>
          </cell>
          <cell r="AG197">
            <v>0</v>
          </cell>
          <cell r="AH197">
            <v>79.817179999999993</v>
          </cell>
          <cell r="AI197" t="str">
            <v xml:space="preserve">U.S. Dollar                   </v>
          </cell>
          <cell r="AJ197" t="str">
            <v xml:space="preserve"> </v>
          </cell>
          <cell r="AK197" t="str">
            <v xml:space="preserve"> </v>
          </cell>
          <cell r="AL197" t="str">
            <v xml:space="preserve"> </v>
          </cell>
          <cell r="AM197" t="str">
            <v xml:space="preserve"> </v>
          </cell>
          <cell r="AN197" t="str">
            <v xml:space="preserve"> </v>
          </cell>
          <cell r="AO197" t="str">
            <v xml:space="preserve"> </v>
          </cell>
          <cell r="AP197" t="str">
            <v xml:space="preserve"> </v>
          </cell>
          <cell r="AQ197" t="str">
            <v xml:space="preserve"> </v>
          </cell>
        </row>
        <row r="198">
          <cell r="A198" t="str">
            <v>FBG.......671200</v>
          </cell>
          <cell r="B198" t="str">
            <v>2003T12</v>
          </cell>
          <cell r="C198" t="str">
            <v xml:space="preserve">TREND    </v>
          </cell>
          <cell r="D198" t="str">
            <v xml:space="preserve">Trend -  QTD Average/Activity                     </v>
          </cell>
          <cell r="E198" t="str">
            <v>Run: 08/07/03 13:53:41</v>
          </cell>
          <cell r="F198" t="str">
            <v>999</v>
          </cell>
          <cell r="G198" t="str">
            <v>100</v>
          </cell>
          <cell r="H198" t="str">
            <v xml:space="preserve">Bank Of America Management Reporting              </v>
          </cell>
          <cell r="I198" t="str">
            <v>001</v>
          </cell>
          <cell r="J198" t="str">
            <v>FBG.......</v>
          </cell>
          <cell r="K198" t="str">
            <v xml:space="preserve">Gcib Support-Tokyo Ops                            </v>
          </cell>
          <cell r="L198" t="str">
            <v xml:space="preserve"> </v>
          </cell>
          <cell r="M198" t="str">
            <v xml:space="preserve"> </v>
          </cell>
          <cell r="N198" t="str">
            <v>bamgt</v>
          </cell>
          <cell r="O198" t="str">
            <v>40</v>
          </cell>
          <cell r="P198" t="str">
            <v>600000A  662999B  670000B  671200   999999999999999999999999999999999999</v>
          </cell>
          <cell r="Q198" t="str">
            <v xml:space="preserve">none     </v>
          </cell>
          <cell r="R198" t="str">
            <v>RollFCST-Working Version</v>
          </cell>
          <cell r="S198" t="str">
            <v>RollFCST-Working Version</v>
          </cell>
          <cell r="T198" t="str">
            <v xml:space="preserve"> </v>
          </cell>
          <cell r="U198" t="str">
            <v xml:space="preserve"> </v>
          </cell>
          <cell r="V198" t="str">
            <v>671200</v>
          </cell>
          <cell r="W198" t="str">
            <v>4</v>
          </cell>
          <cell r="X198" t="str">
            <v xml:space="preserve">      Subscription Services             </v>
          </cell>
          <cell r="Y198">
            <v>13.596819999999999</v>
          </cell>
          <cell r="Z198">
            <v>15.415789999999999</v>
          </cell>
          <cell r="AA198">
            <v>13.42783</v>
          </cell>
          <cell r="AB198">
            <v>18.278009999999998</v>
          </cell>
          <cell r="AC198">
            <v>60.718449999999997</v>
          </cell>
          <cell r="AD198">
            <v>17.77955</v>
          </cell>
          <cell r="AE198">
            <v>17.216180000000001</v>
          </cell>
          <cell r="AF198">
            <v>15.49844</v>
          </cell>
          <cell r="AG198">
            <v>15</v>
          </cell>
          <cell r="AH198">
            <v>65.494169999999997</v>
          </cell>
          <cell r="AI198" t="str">
            <v xml:space="preserve">U.S. Dollar                   </v>
          </cell>
          <cell r="AJ198" t="str">
            <v xml:space="preserve"> </v>
          </cell>
          <cell r="AK198" t="str">
            <v xml:space="preserve"> </v>
          </cell>
          <cell r="AL198" t="str">
            <v xml:space="preserve"> </v>
          </cell>
          <cell r="AM198" t="str">
            <v xml:space="preserve"> </v>
          </cell>
          <cell r="AN198" t="str">
            <v xml:space="preserve"> </v>
          </cell>
          <cell r="AO198" t="str">
            <v xml:space="preserve"> </v>
          </cell>
          <cell r="AP198" t="str">
            <v xml:space="preserve"> </v>
          </cell>
          <cell r="AQ198" t="str">
            <v xml:space="preserve"> </v>
          </cell>
        </row>
        <row r="199">
          <cell r="A199" t="str">
            <v>FBG.......671500</v>
          </cell>
          <cell r="B199" t="str">
            <v>2003T12</v>
          </cell>
          <cell r="C199" t="str">
            <v xml:space="preserve">TREND    </v>
          </cell>
          <cell r="D199" t="str">
            <v xml:space="preserve">Trend -  QTD Average/Activity                     </v>
          </cell>
          <cell r="E199" t="str">
            <v>Run: 08/07/03 13:53:41</v>
          </cell>
          <cell r="F199" t="str">
            <v>999</v>
          </cell>
          <cell r="G199" t="str">
            <v>100</v>
          </cell>
          <cell r="H199" t="str">
            <v xml:space="preserve">Bank Of America Management Reporting              </v>
          </cell>
          <cell r="I199" t="str">
            <v>001</v>
          </cell>
          <cell r="J199" t="str">
            <v>FBG.......</v>
          </cell>
          <cell r="K199" t="str">
            <v xml:space="preserve">Gcib Support-Tokyo Ops                            </v>
          </cell>
          <cell r="L199" t="str">
            <v xml:space="preserve"> </v>
          </cell>
          <cell r="M199" t="str">
            <v xml:space="preserve"> </v>
          </cell>
          <cell r="N199" t="str">
            <v>bamgt</v>
          </cell>
          <cell r="O199" t="str">
            <v>40</v>
          </cell>
          <cell r="P199" t="str">
            <v>600000A  662999B  670000B  671500   999999999999999999999999999999999999</v>
          </cell>
          <cell r="Q199" t="str">
            <v xml:space="preserve">none     </v>
          </cell>
          <cell r="R199" t="str">
            <v>RollFCST-Working Version</v>
          </cell>
          <cell r="S199" t="str">
            <v>RollFCST-Working Version</v>
          </cell>
          <cell r="T199" t="str">
            <v xml:space="preserve"> </v>
          </cell>
          <cell r="U199" t="str">
            <v xml:space="preserve"> </v>
          </cell>
          <cell r="V199" t="str">
            <v>671500</v>
          </cell>
          <cell r="W199" t="str">
            <v>4</v>
          </cell>
          <cell r="X199" t="str">
            <v xml:space="preserve">      Other Administrative Expenses     </v>
          </cell>
          <cell r="Y199">
            <v>0</v>
          </cell>
          <cell r="Z199">
            <v>0</v>
          </cell>
          <cell r="AA199">
            <v>0</v>
          </cell>
          <cell r="AB199">
            <v>0</v>
          </cell>
          <cell r="AC199">
            <v>0</v>
          </cell>
          <cell r="AD199">
            <v>0</v>
          </cell>
          <cell r="AE199">
            <v>0</v>
          </cell>
          <cell r="AF199">
            <v>2</v>
          </cell>
          <cell r="AG199">
            <v>3</v>
          </cell>
          <cell r="AH199">
            <v>5</v>
          </cell>
          <cell r="AI199" t="str">
            <v xml:space="preserve">U.S. Dollar                   </v>
          </cell>
          <cell r="AJ199" t="str">
            <v xml:space="preserve"> </v>
          </cell>
          <cell r="AK199" t="str">
            <v xml:space="preserve"> </v>
          </cell>
          <cell r="AL199" t="str">
            <v xml:space="preserve"> </v>
          </cell>
          <cell r="AM199" t="str">
            <v xml:space="preserve"> </v>
          </cell>
          <cell r="AN199" t="str">
            <v xml:space="preserve"> </v>
          </cell>
          <cell r="AO199" t="str">
            <v xml:space="preserve"> </v>
          </cell>
          <cell r="AP199" t="str">
            <v xml:space="preserve"> </v>
          </cell>
          <cell r="AQ199" t="str">
            <v xml:space="preserve"> </v>
          </cell>
        </row>
        <row r="200">
          <cell r="A200" t="str">
            <v>FBG.......675000</v>
          </cell>
          <cell r="B200" t="str">
            <v>2003T12</v>
          </cell>
          <cell r="C200" t="str">
            <v xml:space="preserve">TREND    </v>
          </cell>
          <cell r="D200" t="str">
            <v xml:space="preserve">Trend -  QTD Average/Activity                     </v>
          </cell>
          <cell r="E200" t="str">
            <v>Run: 08/07/03 13:53:41</v>
          </cell>
          <cell r="F200" t="str">
            <v>999</v>
          </cell>
          <cell r="G200" t="str">
            <v>100</v>
          </cell>
          <cell r="H200" t="str">
            <v xml:space="preserve">Bank Of America Management Reporting              </v>
          </cell>
          <cell r="I200" t="str">
            <v>001</v>
          </cell>
          <cell r="J200" t="str">
            <v>FBG.......</v>
          </cell>
          <cell r="K200" t="str">
            <v xml:space="preserve">Gcib Support-Tokyo Ops                            </v>
          </cell>
          <cell r="L200" t="str">
            <v xml:space="preserve"> </v>
          </cell>
          <cell r="M200" t="str">
            <v xml:space="preserve"> </v>
          </cell>
          <cell r="N200" t="str">
            <v>bamgt</v>
          </cell>
          <cell r="O200" t="str">
            <v>40</v>
          </cell>
          <cell r="P200" t="str">
            <v>600000A  675000   999999999999999999999999999999999999999999999999999999</v>
          </cell>
          <cell r="Q200" t="str">
            <v xml:space="preserve">none     </v>
          </cell>
          <cell r="R200" t="str">
            <v>RollFCST-Working Version</v>
          </cell>
          <cell r="S200" t="str">
            <v>RollFCST-Working Version</v>
          </cell>
          <cell r="T200" t="str">
            <v xml:space="preserve"> </v>
          </cell>
          <cell r="U200" t="str">
            <v xml:space="preserve"> </v>
          </cell>
          <cell r="V200" t="str">
            <v>675000</v>
          </cell>
          <cell r="W200" t="str">
            <v>2</v>
          </cell>
          <cell r="X200" t="str">
            <v xml:space="preserve">  Intercompany Expense                  </v>
          </cell>
          <cell r="Y200">
            <v>0</v>
          </cell>
          <cell r="Z200">
            <v>5.9477200000000003</v>
          </cell>
          <cell r="AA200">
            <v>-5.9480000000000004</v>
          </cell>
          <cell r="AB200">
            <v>0</v>
          </cell>
          <cell r="AC200">
            <v>-2.7999999999999998E-4</v>
          </cell>
          <cell r="AD200">
            <v>1.1144000000000001</v>
          </cell>
          <cell r="AE200">
            <v>1.4089700000000001</v>
          </cell>
          <cell r="AF200">
            <v>0</v>
          </cell>
          <cell r="AG200">
            <v>0</v>
          </cell>
          <cell r="AH200">
            <v>2.5233699999999999</v>
          </cell>
          <cell r="AI200" t="str">
            <v xml:space="preserve">U.S. Dollar                   </v>
          </cell>
          <cell r="AJ200" t="str">
            <v xml:space="preserve"> </v>
          </cell>
          <cell r="AK200" t="str">
            <v xml:space="preserve"> </v>
          </cell>
          <cell r="AL200" t="str">
            <v xml:space="preserve"> </v>
          </cell>
          <cell r="AM200" t="str">
            <v xml:space="preserve"> </v>
          </cell>
          <cell r="AN200" t="str">
            <v xml:space="preserve"> </v>
          </cell>
          <cell r="AO200" t="str">
            <v xml:space="preserve"> </v>
          </cell>
          <cell r="AP200" t="str">
            <v xml:space="preserve"> </v>
          </cell>
          <cell r="AQ200" t="str">
            <v xml:space="preserve"> </v>
          </cell>
        </row>
        <row r="201">
          <cell r="A201" t="str">
            <v>FBH.......600300</v>
          </cell>
          <cell r="B201" t="str">
            <v>2003T12</v>
          </cell>
          <cell r="C201" t="str">
            <v xml:space="preserve">TREND    </v>
          </cell>
          <cell r="D201" t="str">
            <v xml:space="preserve">Trend -  QTD Average/Activity                     </v>
          </cell>
          <cell r="E201" t="str">
            <v>Run: 08/07/03 13:53:41</v>
          </cell>
          <cell r="F201" t="str">
            <v>999</v>
          </cell>
          <cell r="G201" t="str">
            <v>100</v>
          </cell>
          <cell r="H201" t="str">
            <v xml:space="preserve">Bank Of America Management Reporting              </v>
          </cell>
          <cell r="I201" t="str">
            <v>001</v>
          </cell>
          <cell r="J201" t="str">
            <v>FBH.......</v>
          </cell>
          <cell r="K201" t="str">
            <v xml:space="preserve">Cash Securities Technology                        </v>
          </cell>
          <cell r="L201" t="str">
            <v xml:space="preserve"> </v>
          </cell>
          <cell r="M201" t="str">
            <v xml:space="preserve"> </v>
          </cell>
          <cell r="N201" t="str">
            <v>bamgt</v>
          </cell>
          <cell r="O201" t="str">
            <v>40</v>
          </cell>
          <cell r="P201" t="str">
            <v>600000A  600250   999999999600300   999999999999999999999999999999999999</v>
          </cell>
          <cell r="Q201" t="str">
            <v xml:space="preserve">none     </v>
          </cell>
          <cell r="R201" t="str">
            <v>RollFCST-Working Version</v>
          </cell>
          <cell r="S201" t="str">
            <v>RollFCST-Working Version</v>
          </cell>
          <cell r="T201" t="str">
            <v xml:space="preserve"> </v>
          </cell>
          <cell r="U201" t="str">
            <v xml:space="preserve"> </v>
          </cell>
          <cell r="V201" t="str">
            <v>600300</v>
          </cell>
          <cell r="W201" t="str">
            <v>4</v>
          </cell>
          <cell r="X201" t="str">
            <v xml:space="preserve">      Salaries &amp; Wages                  </v>
          </cell>
          <cell r="Y201">
            <v>2687.0657999999999</v>
          </cell>
          <cell r="Z201">
            <v>2645.9488999999999</v>
          </cell>
          <cell r="AA201">
            <v>2693.87437</v>
          </cell>
          <cell r="AB201">
            <v>2694.5079999999998</v>
          </cell>
          <cell r="AC201">
            <v>10721.397070000001</v>
          </cell>
          <cell r="AD201">
            <v>2410.2017700000001</v>
          </cell>
          <cell r="AE201">
            <v>2416.7807400000002</v>
          </cell>
          <cell r="AF201">
            <v>2599.5685400000002</v>
          </cell>
          <cell r="AG201">
            <v>2729.68</v>
          </cell>
          <cell r="AH201">
            <v>10156.23105</v>
          </cell>
          <cell r="AI201" t="str">
            <v xml:space="preserve">U.S. Dollar                   </v>
          </cell>
          <cell r="AJ201" t="str">
            <v xml:space="preserve"> </v>
          </cell>
          <cell r="AK201" t="str">
            <v xml:space="preserve"> </v>
          </cell>
          <cell r="AL201" t="str">
            <v xml:space="preserve"> </v>
          </cell>
          <cell r="AM201" t="str">
            <v xml:space="preserve"> </v>
          </cell>
          <cell r="AN201" t="str">
            <v xml:space="preserve"> </v>
          </cell>
          <cell r="AO201" t="str">
            <v xml:space="preserve"> </v>
          </cell>
          <cell r="AP201" t="str">
            <v xml:space="preserve"> </v>
          </cell>
          <cell r="AQ201" t="str">
            <v xml:space="preserve"> </v>
          </cell>
        </row>
        <row r="202">
          <cell r="A202" t="str">
            <v>FBH.......601000</v>
          </cell>
          <cell r="B202" t="str">
            <v>2003T12</v>
          </cell>
          <cell r="C202" t="str">
            <v xml:space="preserve">TREND    </v>
          </cell>
          <cell r="D202" t="str">
            <v xml:space="preserve">Trend -  QTD Average/Activity                     </v>
          </cell>
          <cell r="E202" t="str">
            <v>Run: 08/07/03 13:53:41</v>
          </cell>
          <cell r="F202" t="str">
            <v>999</v>
          </cell>
          <cell r="G202" t="str">
            <v>100</v>
          </cell>
          <cell r="H202" t="str">
            <v xml:space="preserve">Bank Of America Management Reporting              </v>
          </cell>
          <cell r="I202" t="str">
            <v>001</v>
          </cell>
          <cell r="J202" t="str">
            <v>FBH.......</v>
          </cell>
          <cell r="K202" t="str">
            <v xml:space="preserve">Cash Securities Technology                        </v>
          </cell>
          <cell r="L202" t="str">
            <v xml:space="preserve"> </v>
          </cell>
          <cell r="M202" t="str">
            <v xml:space="preserve"> </v>
          </cell>
          <cell r="N202" t="str">
            <v>bamgt</v>
          </cell>
          <cell r="O202" t="str">
            <v>40</v>
          </cell>
          <cell r="P202" t="str">
            <v>600000A  600250   999999999601000   999999999999999999999999999999999999</v>
          </cell>
          <cell r="Q202" t="str">
            <v xml:space="preserve">none     </v>
          </cell>
          <cell r="R202" t="str">
            <v>RollFCST-Working Version</v>
          </cell>
          <cell r="S202" t="str">
            <v>RollFCST-Working Version</v>
          </cell>
          <cell r="T202" t="str">
            <v xml:space="preserve"> </v>
          </cell>
          <cell r="U202" t="str">
            <v xml:space="preserve"> </v>
          </cell>
          <cell r="V202" t="str">
            <v>601000</v>
          </cell>
          <cell r="W202" t="str">
            <v>4</v>
          </cell>
          <cell r="X202" t="str">
            <v xml:space="preserve">      Overtime Salaries                 </v>
          </cell>
          <cell r="Y202">
            <v>2.4468700000000001</v>
          </cell>
          <cell r="Z202">
            <v>1.9658599999999999</v>
          </cell>
          <cell r="AA202">
            <v>1.6730799999999999</v>
          </cell>
          <cell r="AB202">
            <v>0</v>
          </cell>
          <cell r="AC202">
            <v>6.0858100000000004</v>
          </cell>
          <cell r="AD202">
            <v>0</v>
          </cell>
          <cell r="AE202">
            <v>7.8117299999999998</v>
          </cell>
          <cell r="AF202">
            <v>52.453899999999997</v>
          </cell>
          <cell r="AG202">
            <v>79</v>
          </cell>
          <cell r="AH202">
            <v>139.26562999999999</v>
          </cell>
          <cell r="AI202" t="str">
            <v xml:space="preserve">U.S. Dollar                   </v>
          </cell>
          <cell r="AJ202" t="str">
            <v xml:space="preserve"> </v>
          </cell>
          <cell r="AK202" t="str">
            <v xml:space="preserve"> </v>
          </cell>
          <cell r="AL202" t="str">
            <v xml:space="preserve"> </v>
          </cell>
          <cell r="AM202" t="str">
            <v xml:space="preserve"> </v>
          </cell>
          <cell r="AN202" t="str">
            <v xml:space="preserve"> </v>
          </cell>
          <cell r="AO202" t="str">
            <v xml:space="preserve"> </v>
          </cell>
          <cell r="AP202" t="str">
            <v xml:space="preserve"> </v>
          </cell>
          <cell r="AQ202" t="str">
            <v xml:space="preserve"> </v>
          </cell>
        </row>
        <row r="203">
          <cell r="A203" t="str">
            <v>FBH.......601500</v>
          </cell>
          <cell r="B203" t="str">
            <v>2003T12</v>
          </cell>
          <cell r="C203" t="str">
            <v xml:space="preserve">TREND    </v>
          </cell>
          <cell r="D203" t="str">
            <v xml:space="preserve">Trend -  QTD Average/Activity                     </v>
          </cell>
          <cell r="E203" t="str">
            <v>Run: 08/07/03 13:53:41</v>
          </cell>
          <cell r="F203" t="str">
            <v>999</v>
          </cell>
          <cell r="G203" t="str">
            <v>100</v>
          </cell>
          <cell r="H203" t="str">
            <v xml:space="preserve">Bank Of America Management Reporting              </v>
          </cell>
          <cell r="I203" t="str">
            <v>001</v>
          </cell>
          <cell r="J203" t="str">
            <v>FBH.......</v>
          </cell>
          <cell r="K203" t="str">
            <v xml:space="preserve">Cash Securities Technology                        </v>
          </cell>
          <cell r="L203" t="str">
            <v xml:space="preserve"> </v>
          </cell>
          <cell r="M203" t="str">
            <v xml:space="preserve"> </v>
          </cell>
          <cell r="N203" t="str">
            <v>bamgt</v>
          </cell>
          <cell r="O203" t="str">
            <v>40</v>
          </cell>
          <cell r="P203" t="str">
            <v>600000A  600250   999999999601500   999999999999999999999999999999999999</v>
          </cell>
          <cell r="Q203" t="str">
            <v xml:space="preserve">none     </v>
          </cell>
          <cell r="R203" t="str">
            <v>RollFCST-Working Version</v>
          </cell>
          <cell r="S203" t="str">
            <v>RollFCST-Working Version</v>
          </cell>
          <cell r="T203" t="str">
            <v xml:space="preserve"> </v>
          </cell>
          <cell r="U203" t="str">
            <v xml:space="preserve"> </v>
          </cell>
          <cell r="V203" t="str">
            <v>601500</v>
          </cell>
          <cell r="W203" t="str">
            <v>4</v>
          </cell>
          <cell r="X203" t="str">
            <v xml:space="preserve">      Incentive Compensation            </v>
          </cell>
          <cell r="Y203">
            <v>0</v>
          </cell>
          <cell r="Z203">
            <v>0</v>
          </cell>
          <cell r="AA203">
            <v>0</v>
          </cell>
          <cell r="AB203">
            <v>0</v>
          </cell>
          <cell r="AC203">
            <v>0</v>
          </cell>
          <cell r="AD203">
            <v>0</v>
          </cell>
          <cell r="AE203">
            <v>0</v>
          </cell>
          <cell r="AF203">
            <v>0</v>
          </cell>
          <cell r="AG203">
            <v>0</v>
          </cell>
          <cell r="AH203">
            <v>0</v>
          </cell>
          <cell r="AI203" t="str">
            <v xml:space="preserve">U.S. Dollar                   </v>
          </cell>
          <cell r="AJ203" t="str">
            <v xml:space="preserve"> </v>
          </cell>
          <cell r="AK203" t="str">
            <v xml:space="preserve"> </v>
          </cell>
          <cell r="AL203" t="str">
            <v xml:space="preserve"> </v>
          </cell>
          <cell r="AM203" t="str">
            <v xml:space="preserve"> </v>
          </cell>
          <cell r="AN203" t="str">
            <v xml:space="preserve"> </v>
          </cell>
          <cell r="AO203" t="str">
            <v xml:space="preserve"> </v>
          </cell>
          <cell r="AP203" t="str">
            <v xml:space="preserve"> </v>
          </cell>
          <cell r="AQ203" t="str">
            <v xml:space="preserve"> </v>
          </cell>
        </row>
        <row r="204">
          <cell r="A204" t="str">
            <v>FBH.......602400</v>
          </cell>
          <cell r="B204" t="str">
            <v>2003T12</v>
          </cell>
          <cell r="C204" t="str">
            <v xml:space="preserve">TREND    </v>
          </cell>
          <cell r="D204" t="str">
            <v xml:space="preserve">Trend -  QTD Average/Activity                     </v>
          </cell>
          <cell r="E204" t="str">
            <v>Run: 08/07/03 13:53:41</v>
          </cell>
          <cell r="F204" t="str">
            <v>999</v>
          </cell>
          <cell r="G204" t="str">
            <v>100</v>
          </cell>
          <cell r="H204" t="str">
            <v xml:space="preserve">Bank Of America Management Reporting              </v>
          </cell>
          <cell r="I204" t="str">
            <v>001</v>
          </cell>
          <cell r="J204" t="str">
            <v>FBH.......</v>
          </cell>
          <cell r="K204" t="str">
            <v xml:space="preserve">Cash Securities Technology                        </v>
          </cell>
          <cell r="L204" t="str">
            <v xml:space="preserve"> </v>
          </cell>
          <cell r="M204" t="str">
            <v xml:space="preserve"> </v>
          </cell>
          <cell r="N204" t="str">
            <v>bamgt</v>
          </cell>
          <cell r="O204" t="str">
            <v>40</v>
          </cell>
          <cell r="P204" t="str">
            <v>600000A  600250   999999999602000   602400   999999999999999999999999999</v>
          </cell>
          <cell r="Q204" t="str">
            <v xml:space="preserve">none     </v>
          </cell>
          <cell r="R204" t="str">
            <v>RollFCST-Working Version</v>
          </cell>
          <cell r="S204" t="str">
            <v>RollFCST-Working Version</v>
          </cell>
          <cell r="T204" t="str">
            <v xml:space="preserve"> </v>
          </cell>
          <cell r="U204" t="str">
            <v xml:space="preserve"> </v>
          </cell>
          <cell r="V204" t="str">
            <v>602400</v>
          </cell>
          <cell r="W204" t="str">
            <v>5</v>
          </cell>
          <cell r="X204" t="str">
            <v xml:space="preserve">        Other Employee Compensation     </v>
          </cell>
          <cell r="Y204">
            <v>0</v>
          </cell>
          <cell r="Z204">
            <v>0</v>
          </cell>
          <cell r="AA204">
            <v>0</v>
          </cell>
          <cell r="AB204">
            <v>0</v>
          </cell>
          <cell r="AC204">
            <v>0</v>
          </cell>
          <cell r="AD204">
            <v>1.2826599999999999</v>
          </cell>
          <cell r="AE204">
            <v>0.25684000000000001</v>
          </cell>
          <cell r="AF204">
            <v>0</v>
          </cell>
          <cell r="AG204">
            <v>0</v>
          </cell>
          <cell r="AH204">
            <v>1.5395000000000001</v>
          </cell>
          <cell r="AI204" t="str">
            <v xml:space="preserve">U.S. Dollar                   </v>
          </cell>
          <cell r="AJ204" t="str">
            <v xml:space="preserve"> </v>
          </cell>
          <cell r="AK204" t="str">
            <v xml:space="preserve"> </v>
          </cell>
          <cell r="AL204" t="str">
            <v xml:space="preserve"> </v>
          </cell>
          <cell r="AM204" t="str">
            <v xml:space="preserve"> </v>
          </cell>
          <cell r="AN204" t="str">
            <v xml:space="preserve"> </v>
          </cell>
          <cell r="AO204" t="str">
            <v xml:space="preserve"> </v>
          </cell>
          <cell r="AP204" t="str">
            <v xml:space="preserve"> </v>
          </cell>
          <cell r="AQ204" t="str">
            <v xml:space="preserve"> </v>
          </cell>
        </row>
        <row r="205">
          <cell r="A205" t="str">
            <v>FBH.......602000</v>
          </cell>
          <cell r="B205" t="str">
            <v>2003T12</v>
          </cell>
          <cell r="C205" t="str">
            <v xml:space="preserve">TREND    </v>
          </cell>
          <cell r="D205" t="str">
            <v xml:space="preserve">Trend -  QTD Average/Activity                     </v>
          </cell>
          <cell r="E205" t="str">
            <v>Run: 08/07/03 13:53:41</v>
          </cell>
          <cell r="F205" t="str">
            <v>999</v>
          </cell>
          <cell r="G205" t="str">
            <v>100</v>
          </cell>
          <cell r="H205" t="str">
            <v xml:space="preserve">Bank Of America Management Reporting              </v>
          </cell>
          <cell r="I205" t="str">
            <v>001</v>
          </cell>
          <cell r="J205" t="str">
            <v>FBH.......</v>
          </cell>
          <cell r="K205" t="str">
            <v xml:space="preserve">Cash Securities Technology                        </v>
          </cell>
          <cell r="L205" t="str">
            <v xml:space="preserve"> </v>
          </cell>
          <cell r="M205" t="str">
            <v xml:space="preserve"> </v>
          </cell>
          <cell r="N205" t="str">
            <v>bamgt</v>
          </cell>
          <cell r="O205" t="str">
            <v>40</v>
          </cell>
          <cell r="P205" t="str">
            <v>600000A  600250   999999999602000   999999999999999999999999999999999999</v>
          </cell>
          <cell r="Q205" t="str">
            <v xml:space="preserve">none     </v>
          </cell>
          <cell r="R205" t="str">
            <v>RollFCST-Working Version</v>
          </cell>
          <cell r="S205" t="str">
            <v>RollFCST-Working Version</v>
          </cell>
          <cell r="T205" t="str">
            <v xml:space="preserve"> </v>
          </cell>
          <cell r="U205" t="str">
            <v xml:space="preserve"> </v>
          </cell>
          <cell r="V205" t="str">
            <v>602000</v>
          </cell>
          <cell r="W205" t="str">
            <v>4</v>
          </cell>
          <cell r="X205" t="str">
            <v xml:space="preserve">      Contract Temporary/Other Compensat</v>
          </cell>
          <cell r="Y205">
            <v>1080.4463699999999</v>
          </cell>
          <cell r="Z205">
            <v>705.57464000000004</v>
          </cell>
          <cell r="AA205">
            <v>466.91973000000002</v>
          </cell>
          <cell r="AB205">
            <v>265.12421000000001</v>
          </cell>
          <cell r="AC205">
            <v>2518.06495</v>
          </cell>
          <cell r="AD205">
            <v>29.08258</v>
          </cell>
          <cell r="AE205">
            <v>49.91807</v>
          </cell>
          <cell r="AF205">
            <v>84.972499999999997</v>
          </cell>
          <cell r="AG205">
            <v>42</v>
          </cell>
          <cell r="AH205">
            <v>205.97315</v>
          </cell>
          <cell r="AI205" t="str">
            <v xml:space="preserve">U.S. Dollar                   </v>
          </cell>
          <cell r="AJ205" t="str">
            <v xml:space="preserve"> </v>
          </cell>
          <cell r="AK205" t="str">
            <v xml:space="preserve"> </v>
          </cell>
          <cell r="AL205" t="str">
            <v xml:space="preserve"> </v>
          </cell>
          <cell r="AM205" t="str">
            <v xml:space="preserve"> </v>
          </cell>
          <cell r="AN205" t="str">
            <v xml:space="preserve"> </v>
          </cell>
          <cell r="AO205" t="str">
            <v xml:space="preserve"> </v>
          </cell>
          <cell r="AP205" t="str">
            <v xml:space="preserve"> </v>
          </cell>
          <cell r="AQ205" t="str">
            <v xml:space="preserve"> </v>
          </cell>
        </row>
        <row r="206">
          <cell r="A206" t="str">
            <v>FBH.......603000</v>
          </cell>
          <cell r="B206" t="str">
            <v>2003T12</v>
          </cell>
          <cell r="C206" t="str">
            <v xml:space="preserve">TREND    </v>
          </cell>
          <cell r="D206" t="str">
            <v xml:space="preserve">Trend -  QTD Average/Activity                     </v>
          </cell>
          <cell r="E206" t="str">
            <v>Run: 08/07/03 13:53:41</v>
          </cell>
          <cell r="F206" t="str">
            <v>999</v>
          </cell>
          <cell r="G206" t="str">
            <v>100</v>
          </cell>
          <cell r="H206" t="str">
            <v xml:space="preserve">Bank Of America Management Reporting              </v>
          </cell>
          <cell r="I206" t="str">
            <v>001</v>
          </cell>
          <cell r="J206" t="str">
            <v>FBH.......</v>
          </cell>
          <cell r="K206" t="str">
            <v xml:space="preserve">Cash Securities Technology                        </v>
          </cell>
          <cell r="L206" t="str">
            <v xml:space="preserve"> </v>
          </cell>
          <cell r="M206" t="str">
            <v xml:space="preserve"> </v>
          </cell>
          <cell r="N206" t="str">
            <v>bamgt</v>
          </cell>
          <cell r="O206" t="str">
            <v>40</v>
          </cell>
          <cell r="P206" t="str">
            <v>600000A  600250   999999999603000   999999999999999999999999999999999999</v>
          </cell>
          <cell r="Q206" t="str">
            <v xml:space="preserve">none     </v>
          </cell>
          <cell r="R206" t="str">
            <v>RollFCST-Working Version</v>
          </cell>
          <cell r="S206" t="str">
            <v>RollFCST-Working Version</v>
          </cell>
          <cell r="T206" t="str">
            <v xml:space="preserve"> </v>
          </cell>
          <cell r="U206" t="str">
            <v xml:space="preserve"> </v>
          </cell>
          <cell r="V206" t="str">
            <v>603000</v>
          </cell>
          <cell r="W206" t="str">
            <v>4</v>
          </cell>
          <cell r="X206" t="str">
            <v xml:space="preserve">      Employee Benefits                 </v>
          </cell>
          <cell r="Y206">
            <v>543.58857999999998</v>
          </cell>
          <cell r="Z206">
            <v>666.99740999999995</v>
          </cell>
          <cell r="AA206">
            <v>610.56548999999995</v>
          </cell>
          <cell r="AB206">
            <v>608.82353000000001</v>
          </cell>
          <cell r="AC206">
            <v>2429.9750100000001</v>
          </cell>
          <cell r="AD206">
            <v>585.86102000000005</v>
          </cell>
          <cell r="AE206">
            <v>591.21700999999996</v>
          </cell>
          <cell r="AF206">
            <v>647.19187999999997</v>
          </cell>
          <cell r="AG206">
            <v>671.08320000000003</v>
          </cell>
          <cell r="AH206">
            <v>2495.35311</v>
          </cell>
          <cell r="AI206" t="str">
            <v xml:space="preserve">U.S. Dollar                   </v>
          </cell>
          <cell r="AJ206" t="str">
            <v xml:space="preserve"> </v>
          </cell>
          <cell r="AK206" t="str">
            <v xml:space="preserve"> </v>
          </cell>
          <cell r="AL206" t="str">
            <v xml:space="preserve"> </v>
          </cell>
          <cell r="AM206" t="str">
            <v xml:space="preserve"> </v>
          </cell>
          <cell r="AN206" t="str">
            <v xml:space="preserve"> </v>
          </cell>
          <cell r="AO206" t="str">
            <v xml:space="preserve"> </v>
          </cell>
          <cell r="AP206" t="str">
            <v xml:space="preserve"> </v>
          </cell>
          <cell r="AQ206" t="str">
            <v xml:space="preserve"> </v>
          </cell>
        </row>
        <row r="207">
          <cell r="A207" t="str">
            <v>FBH.......600250</v>
          </cell>
          <cell r="B207" t="str">
            <v>2003T12</v>
          </cell>
          <cell r="C207" t="str">
            <v xml:space="preserve">TREND    </v>
          </cell>
          <cell r="D207" t="str">
            <v xml:space="preserve">Trend -  QTD Average/Activity                     </v>
          </cell>
          <cell r="E207" t="str">
            <v>Run: 08/07/03 13:53:41</v>
          </cell>
          <cell r="F207" t="str">
            <v>999</v>
          </cell>
          <cell r="G207" t="str">
            <v>100</v>
          </cell>
          <cell r="H207" t="str">
            <v xml:space="preserve">Bank Of America Management Reporting              </v>
          </cell>
          <cell r="I207" t="str">
            <v>001</v>
          </cell>
          <cell r="J207" t="str">
            <v>FBH.......</v>
          </cell>
          <cell r="K207" t="str">
            <v xml:space="preserve">Cash Securities Technology                        </v>
          </cell>
          <cell r="L207" t="str">
            <v xml:space="preserve"> </v>
          </cell>
          <cell r="M207" t="str">
            <v xml:space="preserve"> </v>
          </cell>
          <cell r="N207" t="str">
            <v>bamgt</v>
          </cell>
          <cell r="O207" t="str">
            <v>40</v>
          </cell>
          <cell r="P207" t="str">
            <v>600000A  600250   999999999999999999999999999999999999999999999999999999</v>
          </cell>
          <cell r="Q207" t="str">
            <v xml:space="preserve">none     </v>
          </cell>
          <cell r="R207" t="str">
            <v>RollFCST-Working Version</v>
          </cell>
          <cell r="S207" t="str">
            <v>RollFCST-Working Version</v>
          </cell>
          <cell r="T207" t="str">
            <v xml:space="preserve"> </v>
          </cell>
          <cell r="U207" t="str">
            <v xml:space="preserve"> </v>
          </cell>
          <cell r="V207" t="str">
            <v>600250</v>
          </cell>
          <cell r="W207" t="str">
            <v>2</v>
          </cell>
          <cell r="X207" t="str">
            <v xml:space="preserve">  Personnel                             </v>
          </cell>
          <cell r="Y207">
            <v>4313.5476200000003</v>
          </cell>
          <cell r="Z207">
            <v>4020.4868099999999</v>
          </cell>
          <cell r="AA207">
            <v>3773.0326700000001</v>
          </cell>
          <cell r="AB207">
            <v>3568.4557399999999</v>
          </cell>
          <cell r="AC207">
            <v>15675.52284</v>
          </cell>
          <cell r="AD207">
            <v>3025.1453700000002</v>
          </cell>
          <cell r="AE207">
            <v>3065.7275500000001</v>
          </cell>
          <cell r="AF207">
            <v>3384.1868199999999</v>
          </cell>
          <cell r="AG207">
            <v>3521.7631999999999</v>
          </cell>
          <cell r="AH207">
            <v>12996.82294</v>
          </cell>
          <cell r="AI207" t="str">
            <v xml:space="preserve">U.S. Dollar                   </v>
          </cell>
          <cell r="AJ207" t="str">
            <v xml:space="preserve"> </v>
          </cell>
          <cell r="AK207" t="str">
            <v xml:space="preserve"> </v>
          </cell>
          <cell r="AL207" t="str">
            <v xml:space="preserve"> </v>
          </cell>
          <cell r="AM207" t="str">
            <v xml:space="preserve"> </v>
          </cell>
          <cell r="AN207" t="str">
            <v xml:space="preserve"> </v>
          </cell>
          <cell r="AO207" t="str">
            <v xml:space="preserve"> </v>
          </cell>
          <cell r="AP207" t="str">
            <v xml:space="preserve"> </v>
          </cell>
          <cell r="AQ207" t="str">
            <v xml:space="preserve"> </v>
          </cell>
        </row>
        <row r="208">
          <cell r="A208" t="str">
            <v>FBH.......610000</v>
          </cell>
          <cell r="B208" t="str">
            <v>2003T12</v>
          </cell>
          <cell r="C208" t="str">
            <v xml:space="preserve">TREND    </v>
          </cell>
          <cell r="D208" t="str">
            <v xml:space="preserve">Trend -  QTD Average/Activity                     </v>
          </cell>
          <cell r="E208" t="str">
            <v>Run: 08/07/03 13:53:41</v>
          </cell>
          <cell r="F208" t="str">
            <v>999</v>
          </cell>
          <cell r="G208" t="str">
            <v>100</v>
          </cell>
          <cell r="H208" t="str">
            <v xml:space="preserve">Bank Of America Management Reporting              </v>
          </cell>
          <cell r="I208" t="str">
            <v>001</v>
          </cell>
          <cell r="J208" t="str">
            <v>FBH.......</v>
          </cell>
          <cell r="K208" t="str">
            <v xml:space="preserve">Cash Securities Technology                        </v>
          </cell>
          <cell r="L208" t="str">
            <v xml:space="preserve"> </v>
          </cell>
          <cell r="M208" t="str">
            <v xml:space="preserve"> </v>
          </cell>
          <cell r="N208" t="str">
            <v>bamgt</v>
          </cell>
          <cell r="O208" t="str">
            <v>40</v>
          </cell>
          <cell r="P208" t="str">
            <v>600000A  610000   999999999999999999999999999999999999999999999999999999</v>
          </cell>
          <cell r="Q208" t="str">
            <v xml:space="preserve">none     </v>
          </cell>
          <cell r="R208" t="str">
            <v>RollFCST-Working Version</v>
          </cell>
          <cell r="S208" t="str">
            <v>RollFCST-Working Version</v>
          </cell>
          <cell r="T208" t="str">
            <v xml:space="preserve"> </v>
          </cell>
          <cell r="U208" t="str">
            <v xml:space="preserve"> </v>
          </cell>
          <cell r="V208" t="str">
            <v>610000</v>
          </cell>
          <cell r="W208" t="str">
            <v>2</v>
          </cell>
          <cell r="X208" t="str">
            <v xml:space="preserve">  Net Occupancy Expense                 </v>
          </cell>
          <cell r="Y208">
            <v>690.08209999999997</v>
          </cell>
          <cell r="Z208">
            <v>684.05764999999997</v>
          </cell>
          <cell r="AA208">
            <v>669.34392000000003</v>
          </cell>
          <cell r="AB208">
            <v>631.93391999999994</v>
          </cell>
          <cell r="AC208">
            <v>2675.41759</v>
          </cell>
          <cell r="AD208">
            <v>432.62470999999999</v>
          </cell>
          <cell r="AE208">
            <v>428.04441000000003</v>
          </cell>
          <cell r="AF208">
            <v>436.35577000000001</v>
          </cell>
          <cell r="AG208">
            <v>443.89</v>
          </cell>
          <cell r="AH208">
            <v>1740.91489</v>
          </cell>
          <cell r="AI208" t="str">
            <v xml:space="preserve">U.S. Dollar                   </v>
          </cell>
          <cell r="AJ208" t="str">
            <v xml:space="preserve"> </v>
          </cell>
          <cell r="AK208" t="str">
            <v xml:space="preserve"> </v>
          </cell>
          <cell r="AL208" t="str">
            <v xml:space="preserve"> </v>
          </cell>
          <cell r="AM208" t="str">
            <v xml:space="preserve"> </v>
          </cell>
          <cell r="AN208" t="str">
            <v xml:space="preserve"> </v>
          </cell>
          <cell r="AO208" t="str">
            <v xml:space="preserve"> </v>
          </cell>
          <cell r="AP208" t="str">
            <v xml:space="preserve"> </v>
          </cell>
          <cell r="AQ208" t="str">
            <v xml:space="preserve"> </v>
          </cell>
        </row>
        <row r="209">
          <cell r="A209" t="str">
            <v>FBH.......620000</v>
          </cell>
          <cell r="B209" t="str">
            <v>2003T12</v>
          </cell>
          <cell r="C209" t="str">
            <v xml:space="preserve">TREND    </v>
          </cell>
          <cell r="D209" t="str">
            <v xml:space="preserve">Trend -  QTD Average/Activity                     </v>
          </cell>
          <cell r="E209" t="str">
            <v>Run: 08/07/03 13:53:41</v>
          </cell>
          <cell r="F209" t="str">
            <v>999</v>
          </cell>
          <cell r="G209" t="str">
            <v>100</v>
          </cell>
          <cell r="H209" t="str">
            <v xml:space="preserve">Bank Of America Management Reporting              </v>
          </cell>
          <cell r="I209" t="str">
            <v>001</v>
          </cell>
          <cell r="J209" t="str">
            <v>FBH.......</v>
          </cell>
          <cell r="K209" t="str">
            <v xml:space="preserve">Cash Securities Technology                        </v>
          </cell>
          <cell r="L209" t="str">
            <v xml:space="preserve"> </v>
          </cell>
          <cell r="M209" t="str">
            <v xml:space="preserve"> </v>
          </cell>
          <cell r="N209" t="str">
            <v>bamgt</v>
          </cell>
          <cell r="O209" t="str">
            <v>40</v>
          </cell>
          <cell r="P209" t="str">
            <v>600000A  620000   999999999999999999999999999999999999999999999999999999</v>
          </cell>
          <cell r="Q209" t="str">
            <v xml:space="preserve">none     </v>
          </cell>
          <cell r="R209" t="str">
            <v>RollFCST-Working Version</v>
          </cell>
          <cell r="S209" t="str">
            <v>RollFCST-Working Version</v>
          </cell>
          <cell r="T209" t="str">
            <v xml:space="preserve"> </v>
          </cell>
          <cell r="U209" t="str">
            <v xml:space="preserve"> </v>
          </cell>
          <cell r="V209" t="str">
            <v>620000</v>
          </cell>
          <cell r="W209" t="str">
            <v>2</v>
          </cell>
          <cell r="X209" t="str">
            <v xml:space="preserve">  Furniture &amp; Equipment                 </v>
          </cell>
          <cell r="Y209">
            <v>400.37446999999997</v>
          </cell>
          <cell r="Z209">
            <v>420.07754999999997</v>
          </cell>
          <cell r="AA209">
            <v>480.83053999999998</v>
          </cell>
          <cell r="AB209">
            <v>179.16667000000001</v>
          </cell>
          <cell r="AC209">
            <v>1480.4492299999999</v>
          </cell>
          <cell r="AD209">
            <v>465.28573999999998</v>
          </cell>
          <cell r="AE209">
            <v>260.23820000000001</v>
          </cell>
          <cell r="AF209">
            <v>744.66830000000004</v>
          </cell>
          <cell r="AG209">
            <v>238.71</v>
          </cell>
          <cell r="AH209">
            <v>1708.9022399999999</v>
          </cell>
          <cell r="AI209" t="str">
            <v xml:space="preserve">U.S. Dollar                   </v>
          </cell>
          <cell r="AJ209" t="str">
            <v xml:space="preserve"> </v>
          </cell>
          <cell r="AK209" t="str">
            <v xml:space="preserve"> </v>
          </cell>
          <cell r="AL209" t="str">
            <v xml:space="preserve"> </v>
          </cell>
          <cell r="AM209" t="str">
            <v xml:space="preserve"> </v>
          </cell>
          <cell r="AN209" t="str">
            <v xml:space="preserve"> </v>
          </cell>
          <cell r="AO209" t="str">
            <v xml:space="preserve"> </v>
          </cell>
          <cell r="AP209" t="str">
            <v xml:space="preserve"> </v>
          </cell>
          <cell r="AQ209" t="str">
            <v xml:space="preserve"> </v>
          </cell>
        </row>
        <row r="210">
          <cell r="A210" t="str">
            <v>FBH.......623000</v>
          </cell>
          <cell r="B210" t="str">
            <v>2003T12</v>
          </cell>
          <cell r="C210" t="str">
            <v xml:space="preserve">TREND    </v>
          </cell>
          <cell r="D210" t="str">
            <v xml:space="preserve">Trend -  QTD Average/Activity                     </v>
          </cell>
          <cell r="E210" t="str">
            <v>Run: 08/07/03 13:53:41</v>
          </cell>
          <cell r="F210" t="str">
            <v>999</v>
          </cell>
          <cell r="G210" t="str">
            <v>100</v>
          </cell>
          <cell r="H210" t="str">
            <v xml:space="preserve">Bank Of America Management Reporting              </v>
          </cell>
          <cell r="I210" t="str">
            <v>001</v>
          </cell>
          <cell r="J210" t="str">
            <v>FBH.......</v>
          </cell>
          <cell r="K210" t="str">
            <v xml:space="preserve">Cash Securities Technology                        </v>
          </cell>
          <cell r="L210" t="str">
            <v xml:space="preserve"> </v>
          </cell>
          <cell r="M210" t="str">
            <v xml:space="preserve"> </v>
          </cell>
          <cell r="N210" t="str">
            <v>bamgt</v>
          </cell>
          <cell r="O210" t="str">
            <v>40</v>
          </cell>
          <cell r="P210" t="str">
            <v>600000A  623000   999999999999999999999999999999999999999999999999999999</v>
          </cell>
          <cell r="Q210" t="str">
            <v xml:space="preserve">none     </v>
          </cell>
          <cell r="R210" t="str">
            <v>RollFCST-Working Version</v>
          </cell>
          <cell r="S210" t="str">
            <v>RollFCST-Working Version</v>
          </cell>
          <cell r="T210" t="str">
            <v xml:space="preserve"> </v>
          </cell>
          <cell r="U210" t="str">
            <v xml:space="preserve"> </v>
          </cell>
          <cell r="V210" t="str">
            <v>623000</v>
          </cell>
          <cell r="W210" t="str">
            <v>2</v>
          </cell>
          <cell r="X210" t="str">
            <v xml:space="preserve">  Marketing &amp; Promotional               </v>
          </cell>
          <cell r="Y210">
            <v>0.29515999999999998</v>
          </cell>
          <cell r="Z210">
            <v>0.55000000000000004</v>
          </cell>
          <cell r="AA210">
            <v>0</v>
          </cell>
          <cell r="AB210">
            <v>0</v>
          </cell>
          <cell r="AC210">
            <v>0.84516000000000002</v>
          </cell>
          <cell r="AD210">
            <v>2.5</v>
          </cell>
          <cell r="AE210">
            <v>4.8000000000000001E-2</v>
          </cell>
          <cell r="AF210">
            <v>0.21740000000000001</v>
          </cell>
          <cell r="AG210">
            <v>0</v>
          </cell>
          <cell r="AH210">
            <v>2.7654000000000001</v>
          </cell>
          <cell r="AI210" t="str">
            <v xml:space="preserve">U.S. Dollar                   </v>
          </cell>
          <cell r="AJ210" t="str">
            <v xml:space="preserve"> </v>
          </cell>
          <cell r="AK210" t="str">
            <v xml:space="preserve"> </v>
          </cell>
          <cell r="AL210" t="str">
            <v xml:space="preserve"> </v>
          </cell>
          <cell r="AM210" t="str">
            <v xml:space="preserve"> </v>
          </cell>
          <cell r="AN210" t="str">
            <v xml:space="preserve"> </v>
          </cell>
          <cell r="AO210" t="str">
            <v xml:space="preserve"> </v>
          </cell>
          <cell r="AP210" t="str">
            <v xml:space="preserve"> </v>
          </cell>
          <cell r="AQ210" t="str">
            <v xml:space="preserve"> </v>
          </cell>
        </row>
        <row r="211">
          <cell r="A211" t="str">
            <v>FBH.......630000</v>
          </cell>
          <cell r="B211" t="str">
            <v>2003T12</v>
          </cell>
          <cell r="C211" t="str">
            <v xml:space="preserve">TREND    </v>
          </cell>
          <cell r="D211" t="str">
            <v xml:space="preserve">Trend -  QTD Average/Activity                     </v>
          </cell>
          <cell r="E211" t="str">
            <v>Run: 08/07/03 13:53:41</v>
          </cell>
          <cell r="F211" t="str">
            <v>999</v>
          </cell>
          <cell r="G211" t="str">
            <v>100</v>
          </cell>
          <cell r="H211" t="str">
            <v xml:space="preserve">Bank Of America Management Reporting              </v>
          </cell>
          <cell r="I211" t="str">
            <v>001</v>
          </cell>
          <cell r="J211" t="str">
            <v>FBH.......</v>
          </cell>
          <cell r="K211" t="str">
            <v xml:space="preserve">Cash Securities Technology                        </v>
          </cell>
          <cell r="L211" t="str">
            <v xml:space="preserve"> </v>
          </cell>
          <cell r="M211" t="str">
            <v xml:space="preserve"> </v>
          </cell>
          <cell r="N211" t="str">
            <v>bamgt</v>
          </cell>
          <cell r="O211" t="str">
            <v>40</v>
          </cell>
          <cell r="P211" t="str">
            <v>600000A  630000   999999999999999999999999999999999999999999999999999999</v>
          </cell>
          <cell r="Q211" t="str">
            <v xml:space="preserve">none     </v>
          </cell>
          <cell r="R211" t="str">
            <v>RollFCST-Working Version</v>
          </cell>
          <cell r="S211" t="str">
            <v>RollFCST-Working Version</v>
          </cell>
          <cell r="T211" t="str">
            <v xml:space="preserve"> </v>
          </cell>
          <cell r="U211" t="str">
            <v xml:space="preserve"> </v>
          </cell>
          <cell r="V211" t="str">
            <v>630000</v>
          </cell>
          <cell r="W211" t="str">
            <v>2</v>
          </cell>
          <cell r="X211" t="str">
            <v xml:space="preserve">  Professional Fees                     </v>
          </cell>
          <cell r="Y211">
            <v>273.04646000000002</v>
          </cell>
          <cell r="Z211">
            <v>398.07634000000002</v>
          </cell>
          <cell r="AA211">
            <v>46.338200000000001</v>
          </cell>
          <cell r="AB211">
            <v>60.075000000000003</v>
          </cell>
          <cell r="AC211">
            <v>777.53599999999994</v>
          </cell>
          <cell r="AD211">
            <v>23.265499999999999</v>
          </cell>
          <cell r="AE211">
            <v>52.313290000000002</v>
          </cell>
          <cell r="AF211">
            <v>61</v>
          </cell>
          <cell r="AG211">
            <v>36</v>
          </cell>
          <cell r="AH211">
            <v>172.57879</v>
          </cell>
          <cell r="AI211" t="str">
            <v xml:space="preserve">U.S. Dollar                   </v>
          </cell>
          <cell r="AJ211" t="str">
            <v xml:space="preserve"> </v>
          </cell>
          <cell r="AK211" t="str">
            <v xml:space="preserve"> </v>
          </cell>
          <cell r="AL211" t="str">
            <v xml:space="preserve"> </v>
          </cell>
          <cell r="AM211" t="str">
            <v xml:space="preserve"> </v>
          </cell>
          <cell r="AN211" t="str">
            <v xml:space="preserve"> </v>
          </cell>
          <cell r="AO211" t="str">
            <v xml:space="preserve"> </v>
          </cell>
          <cell r="AP211" t="str">
            <v xml:space="preserve"> </v>
          </cell>
          <cell r="AQ211" t="str">
            <v xml:space="preserve"> </v>
          </cell>
        </row>
        <row r="212">
          <cell r="A212" t="str">
            <v>FBH.......651500A</v>
          </cell>
          <cell r="B212" t="str">
            <v>2003T12</v>
          </cell>
          <cell r="C212" t="str">
            <v xml:space="preserve">TREND    </v>
          </cell>
          <cell r="D212" t="str">
            <v xml:space="preserve">Trend -  QTD Average/Activity                     </v>
          </cell>
          <cell r="E212" t="str">
            <v>Run: 08/07/03 13:53:41</v>
          </cell>
          <cell r="F212" t="str">
            <v>999</v>
          </cell>
          <cell r="G212" t="str">
            <v>100</v>
          </cell>
          <cell r="H212" t="str">
            <v xml:space="preserve">Bank Of America Management Reporting              </v>
          </cell>
          <cell r="I212" t="str">
            <v>001</v>
          </cell>
          <cell r="J212" t="str">
            <v>FBH.......</v>
          </cell>
          <cell r="K212" t="str">
            <v xml:space="preserve">Cash Securities Technology                        </v>
          </cell>
          <cell r="L212" t="str">
            <v xml:space="preserve"> </v>
          </cell>
          <cell r="M212" t="str">
            <v xml:space="preserve"> </v>
          </cell>
          <cell r="N212" t="str">
            <v>bamgt</v>
          </cell>
          <cell r="O212" t="str">
            <v>40</v>
          </cell>
          <cell r="P212" t="str">
            <v>600000A  651500A  999999999999999999999999999999999999999999999999999999</v>
          </cell>
          <cell r="Q212" t="str">
            <v xml:space="preserve">none     </v>
          </cell>
          <cell r="R212" t="str">
            <v>RollFCST-Working Version</v>
          </cell>
          <cell r="S212" t="str">
            <v>RollFCST-Working Version</v>
          </cell>
          <cell r="T212" t="str">
            <v xml:space="preserve"> </v>
          </cell>
          <cell r="U212" t="str">
            <v xml:space="preserve"> </v>
          </cell>
          <cell r="V212" t="str">
            <v>651500A</v>
          </cell>
          <cell r="W212" t="str">
            <v>2</v>
          </cell>
          <cell r="X212" t="str">
            <v xml:space="preserve">  Direct Processing Expense             </v>
          </cell>
          <cell r="Y212">
            <v>909.04904999999997</v>
          </cell>
          <cell r="Z212">
            <v>810.60565999999994</v>
          </cell>
          <cell r="AA212">
            <v>658.02311999999995</v>
          </cell>
          <cell r="AB212">
            <v>1066.50261</v>
          </cell>
          <cell r="AC212">
            <v>3444.1804400000001</v>
          </cell>
          <cell r="AD212">
            <v>958.93303000000003</v>
          </cell>
          <cell r="AE212">
            <v>666.18453999999997</v>
          </cell>
          <cell r="AF212">
            <v>376.27589999999998</v>
          </cell>
          <cell r="AG212">
            <v>549.41</v>
          </cell>
          <cell r="AH212">
            <v>2550.8034699999998</v>
          </cell>
          <cell r="AI212" t="str">
            <v xml:space="preserve">U.S. Dollar                   </v>
          </cell>
          <cell r="AJ212" t="str">
            <v xml:space="preserve"> </v>
          </cell>
          <cell r="AK212" t="str">
            <v xml:space="preserve"> </v>
          </cell>
          <cell r="AL212" t="str">
            <v xml:space="preserve"> </v>
          </cell>
          <cell r="AM212" t="str">
            <v xml:space="preserve"> </v>
          </cell>
          <cell r="AN212" t="str">
            <v xml:space="preserve"> </v>
          </cell>
          <cell r="AO212" t="str">
            <v xml:space="preserve"> </v>
          </cell>
          <cell r="AP212" t="str">
            <v xml:space="preserve"> </v>
          </cell>
          <cell r="AQ212" t="str">
            <v xml:space="preserve"> </v>
          </cell>
        </row>
        <row r="213">
          <cell r="A213" t="str">
            <v>FBH.......660000A</v>
          </cell>
          <cell r="B213" t="str">
            <v>2003T12</v>
          </cell>
          <cell r="C213" t="str">
            <v xml:space="preserve">TREND    </v>
          </cell>
          <cell r="D213" t="str">
            <v xml:space="preserve">Trend -  QTD Average/Activity                     </v>
          </cell>
          <cell r="E213" t="str">
            <v>Run: 08/07/03 13:53:41</v>
          </cell>
          <cell r="F213" t="str">
            <v>999</v>
          </cell>
          <cell r="G213" t="str">
            <v>100</v>
          </cell>
          <cell r="H213" t="str">
            <v xml:space="preserve">Bank Of America Management Reporting              </v>
          </cell>
          <cell r="I213" t="str">
            <v>001</v>
          </cell>
          <cell r="J213" t="str">
            <v>FBH.......</v>
          </cell>
          <cell r="K213" t="str">
            <v xml:space="preserve">Cash Securities Technology                        </v>
          </cell>
          <cell r="L213" t="str">
            <v xml:space="preserve"> </v>
          </cell>
          <cell r="M213" t="str">
            <v xml:space="preserve"> </v>
          </cell>
          <cell r="N213" t="str">
            <v>bamgt</v>
          </cell>
          <cell r="O213" t="str">
            <v>40</v>
          </cell>
          <cell r="P213" t="str">
            <v>600000A  660000A  999999999999999999999999999999999999999999999999999999</v>
          </cell>
          <cell r="Q213" t="str">
            <v xml:space="preserve">none     </v>
          </cell>
          <cell r="R213" t="str">
            <v>RollFCST-Working Version</v>
          </cell>
          <cell r="S213" t="str">
            <v>RollFCST-Working Version</v>
          </cell>
          <cell r="T213" t="str">
            <v xml:space="preserve"> </v>
          </cell>
          <cell r="U213" t="str">
            <v xml:space="preserve"> </v>
          </cell>
          <cell r="V213" t="str">
            <v>660000A</v>
          </cell>
          <cell r="W213" t="str">
            <v>2</v>
          </cell>
          <cell r="X213" t="str">
            <v xml:space="preserve">  Telecommunications                    </v>
          </cell>
          <cell r="Y213">
            <v>91.162300000000002</v>
          </cell>
          <cell r="Z213">
            <v>92.427710000000005</v>
          </cell>
          <cell r="AA213">
            <v>89.311589999999995</v>
          </cell>
          <cell r="AB213">
            <v>104.56081</v>
          </cell>
          <cell r="AC213">
            <v>377.46240999999998</v>
          </cell>
          <cell r="AD213">
            <v>83.015479999999997</v>
          </cell>
          <cell r="AE213">
            <v>57.122549999999997</v>
          </cell>
          <cell r="AF213">
            <v>69.423829999999995</v>
          </cell>
          <cell r="AG213">
            <v>74.819999999999993</v>
          </cell>
          <cell r="AH213">
            <v>284.38186000000002</v>
          </cell>
          <cell r="AI213" t="str">
            <v xml:space="preserve">U.S. Dollar                   </v>
          </cell>
          <cell r="AJ213" t="str">
            <v xml:space="preserve"> </v>
          </cell>
          <cell r="AK213" t="str">
            <v xml:space="preserve"> </v>
          </cell>
          <cell r="AL213" t="str">
            <v xml:space="preserve"> </v>
          </cell>
          <cell r="AM213" t="str">
            <v xml:space="preserve"> </v>
          </cell>
          <cell r="AN213" t="str">
            <v xml:space="preserve"> </v>
          </cell>
          <cell r="AO213" t="str">
            <v xml:space="preserve"> </v>
          </cell>
          <cell r="AP213" t="str">
            <v xml:space="preserve"> </v>
          </cell>
          <cell r="AQ213" t="str">
            <v xml:space="preserve"> </v>
          </cell>
        </row>
        <row r="214">
          <cell r="A214" t="str">
            <v>FBH.......663000</v>
          </cell>
          <cell r="B214" t="str">
            <v>2003T12</v>
          </cell>
          <cell r="C214" t="str">
            <v xml:space="preserve">TREND    </v>
          </cell>
          <cell r="D214" t="str">
            <v xml:space="preserve">Trend -  QTD Average/Activity                     </v>
          </cell>
          <cell r="E214" t="str">
            <v>Run: 08/07/03 13:53:41</v>
          </cell>
          <cell r="F214" t="str">
            <v>999</v>
          </cell>
          <cell r="G214" t="str">
            <v>100</v>
          </cell>
          <cell r="H214" t="str">
            <v xml:space="preserve">Bank Of America Management Reporting              </v>
          </cell>
          <cell r="I214" t="str">
            <v>001</v>
          </cell>
          <cell r="J214" t="str">
            <v>FBH.......</v>
          </cell>
          <cell r="K214" t="str">
            <v xml:space="preserve">Cash Securities Technology                        </v>
          </cell>
          <cell r="L214" t="str">
            <v xml:space="preserve"> </v>
          </cell>
          <cell r="M214" t="str">
            <v xml:space="preserve"> </v>
          </cell>
          <cell r="N214" t="str">
            <v>bamgt</v>
          </cell>
          <cell r="O214" t="str">
            <v>40</v>
          </cell>
          <cell r="P214" t="str">
            <v>600000A  662999B  662999C  663000   999999999999999999999999999999999999</v>
          </cell>
          <cell r="Q214" t="str">
            <v xml:space="preserve">none     </v>
          </cell>
          <cell r="R214" t="str">
            <v>RollFCST-Working Version</v>
          </cell>
          <cell r="S214" t="str">
            <v>RollFCST-Working Version</v>
          </cell>
          <cell r="T214" t="str">
            <v xml:space="preserve"> </v>
          </cell>
          <cell r="U214" t="str">
            <v xml:space="preserve"> </v>
          </cell>
          <cell r="V214" t="str">
            <v>663000</v>
          </cell>
          <cell r="W214" t="str">
            <v>4</v>
          </cell>
          <cell r="X214" t="str">
            <v xml:space="preserve">      Supplies                          </v>
          </cell>
          <cell r="Y214">
            <v>3.53105</v>
          </cell>
          <cell r="Z214">
            <v>3.2235100000000001</v>
          </cell>
          <cell r="AA214">
            <v>10.055160000000001</v>
          </cell>
          <cell r="AB214">
            <v>9.0063999999999993</v>
          </cell>
          <cell r="AC214">
            <v>25.816120000000002</v>
          </cell>
          <cell r="AD214">
            <v>7.1874200000000004</v>
          </cell>
          <cell r="AE214">
            <v>6.2480799999999999</v>
          </cell>
          <cell r="AF214">
            <v>38.340440000000001</v>
          </cell>
          <cell r="AG214">
            <v>55</v>
          </cell>
          <cell r="AH214">
            <v>106.77594000000001</v>
          </cell>
          <cell r="AI214" t="str">
            <v xml:space="preserve">U.S. Dollar                   </v>
          </cell>
          <cell r="AJ214" t="str">
            <v xml:space="preserve"> </v>
          </cell>
          <cell r="AK214" t="str">
            <v xml:space="preserve"> </v>
          </cell>
          <cell r="AL214" t="str">
            <v xml:space="preserve"> </v>
          </cell>
          <cell r="AM214" t="str">
            <v xml:space="preserve"> </v>
          </cell>
          <cell r="AN214" t="str">
            <v xml:space="preserve"> </v>
          </cell>
          <cell r="AO214" t="str">
            <v xml:space="preserve"> </v>
          </cell>
          <cell r="AP214" t="str">
            <v xml:space="preserve"> </v>
          </cell>
          <cell r="AQ214" t="str">
            <v xml:space="preserve"> </v>
          </cell>
        </row>
        <row r="215">
          <cell r="A215" t="str">
            <v>FBH.......664500</v>
          </cell>
          <cell r="B215" t="str">
            <v>2003T12</v>
          </cell>
          <cell r="C215" t="str">
            <v xml:space="preserve">TREND    </v>
          </cell>
          <cell r="D215" t="str">
            <v xml:space="preserve">Trend -  QTD Average/Activity                     </v>
          </cell>
          <cell r="E215" t="str">
            <v>Run: 08/07/03 13:53:41</v>
          </cell>
          <cell r="F215" t="str">
            <v>999</v>
          </cell>
          <cell r="G215" t="str">
            <v>100</v>
          </cell>
          <cell r="H215" t="str">
            <v xml:space="preserve">Bank Of America Management Reporting              </v>
          </cell>
          <cell r="I215" t="str">
            <v>001</v>
          </cell>
          <cell r="J215" t="str">
            <v>FBH.......</v>
          </cell>
          <cell r="K215" t="str">
            <v xml:space="preserve">Cash Securities Technology                        </v>
          </cell>
          <cell r="L215" t="str">
            <v xml:space="preserve"> </v>
          </cell>
          <cell r="M215" t="str">
            <v xml:space="preserve"> </v>
          </cell>
          <cell r="N215" t="str">
            <v>bamgt</v>
          </cell>
          <cell r="O215" t="str">
            <v>40</v>
          </cell>
          <cell r="P215" t="str">
            <v>600000A  662999B  662999C  664500   999999999999999999999999999999999999</v>
          </cell>
          <cell r="Q215" t="str">
            <v xml:space="preserve">none     </v>
          </cell>
          <cell r="R215" t="str">
            <v>RollFCST-Working Version</v>
          </cell>
          <cell r="S215" t="str">
            <v>RollFCST-Working Version</v>
          </cell>
          <cell r="T215" t="str">
            <v xml:space="preserve"> </v>
          </cell>
          <cell r="U215" t="str">
            <v xml:space="preserve"> </v>
          </cell>
          <cell r="V215" t="str">
            <v>664500</v>
          </cell>
          <cell r="W215" t="str">
            <v>4</v>
          </cell>
          <cell r="X215" t="str">
            <v xml:space="preserve">      Postage And Courier               </v>
          </cell>
          <cell r="Y215">
            <v>7.51858</v>
          </cell>
          <cell r="Z215">
            <v>5.7422000000000004</v>
          </cell>
          <cell r="AA215">
            <v>2.6442100000000002</v>
          </cell>
          <cell r="AB215">
            <v>1.4069499999999999</v>
          </cell>
          <cell r="AC215">
            <v>17.31194</v>
          </cell>
          <cell r="AD215">
            <v>1.1210899999999999</v>
          </cell>
          <cell r="AE215">
            <v>0.85087999999999997</v>
          </cell>
          <cell r="AF215">
            <v>0.15956000000000001</v>
          </cell>
          <cell r="AG215">
            <v>0</v>
          </cell>
          <cell r="AH215">
            <v>2.1315300000000001</v>
          </cell>
          <cell r="AI215" t="str">
            <v xml:space="preserve">U.S. Dollar                   </v>
          </cell>
          <cell r="AJ215" t="str">
            <v xml:space="preserve"> </v>
          </cell>
          <cell r="AK215" t="str">
            <v xml:space="preserve"> </v>
          </cell>
          <cell r="AL215" t="str">
            <v xml:space="preserve"> </v>
          </cell>
          <cell r="AM215" t="str">
            <v xml:space="preserve"> </v>
          </cell>
          <cell r="AN215" t="str">
            <v xml:space="preserve"> </v>
          </cell>
          <cell r="AO215" t="str">
            <v xml:space="preserve"> </v>
          </cell>
          <cell r="AP215" t="str">
            <v xml:space="preserve"> </v>
          </cell>
          <cell r="AQ215" t="str">
            <v xml:space="preserve"> </v>
          </cell>
        </row>
        <row r="216">
          <cell r="A216" t="str">
            <v>FBH.......665499F</v>
          </cell>
          <cell r="B216" t="str">
            <v>2003T12</v>
          </cell>
          <cell r="C216" t="str">
            <v xml:space="preserve">TREND    </v>
          </cell>
          <cell r="D216" t="str">
            <v xml:space="preserve">Trend -  QTD Average/Activity                     </v>
          </cell>
          <cell r="E216" t="str">
            <v>Run: 08/07/03 13:53:41</v>
          </cell>
          <cell r="F216" t="str">
            <v>999</v>
          </cell>
          <cell r="G216" t="str">
            <v>100</v>
          </cell>
          <cell r="H216" t="str">
            <v xml:space="preserve">Bank Of America Management Reporting              </v>
          </cell>
          <cell r="I216" t="str">
            <v>001</v>
          </cell>
          <cell r="J216" t="str">
            <v>FBH.......</v>
          </cell>
          <cell r="K216" t="str">
            <v xml:space="preserve">Cash Securities Technology                        </v>
          </cell>
          <cell r="L216" t="str">
            <v xml:space="preserve"> </v>
          </cell>
          <cell r="M216" t="str">
            <v xml:space="preserve"> </v>
          </cell>
          <cell r="N216" t="str">
            <v>bamgt</v>
          </cell>
          <cell r="O216" t="str">
            <v>40</v>
          </cell>
          <cell r="P216" t="str">
            <v>600000A  662999B  662999C  665499B  665499D  665499F  999999999999999999</v>
          </cell>
          <cell r="Q216" t="str">
            <v xml:space="preserve">none     </v>
          </cell>
          <cell r="R216" t="str">
            <v>RollFCST-Working Version</v>
          </cell>
          <cell r="S216" t="str">
            <v>RollFCST-Working Version</v>
          </cell>
          <cell r="T216" t="str">
            <v xml:space="preserve"> </v>
          </cell>
          <cell r="U216" t="str">
            <v xml:space="preserve"> </v>
          </cell>
          <cell r="V216" t="str">
            <v>665499F</v>
          </cell>
          <cell r="W216" t="str">
            <v>6</v>
          </cell>
          <cell r="X216" t="str">
            <v xml:space="preserve">          Relocation Expense            </v>
          </cell>
          <cell r="Y216">
            <v>0</v>
          </cell>
          <cell r="Z216">
            <v>0</v>
          </cell>
          <cell r="AA216">
            <v>0</v>
          </cell>
          <cell r="AB216">
            <v>0</v>
          </cell>
          <cell r="AC216">
            <v>0</v>
          </cell>
          <cell r="AD216">
            <v>0</v>
          </cell>
          <cell r="AE216">
            <v>0</v>
          </cell>
          <cell r="AF216">
            <v>0</v>
          </cell>
          <cell r="AG216">
            <v>0</v>
          </cell>
          <cell r="AH216">
            <v>0</v>
          </cell>
          <cell r="AI216" t="str">
            <v xml:space="preserve">U.S. Dollar                   </v>
          </cell>
          <cell r="AJ216" t="str">
            <v xml:space="preserve"> </v>
          </cell>
          <cell r="AK216" t="str">
            <v xml:space="preserve"> </v>
          </cell>
          <cell r="AL216" t="str">
            <v xml:space="preserve"> </v>
          </cell>
          <cell r="AM216" t="str">
            <v xml:space="preserve"> </v>
          </cell>
          <cell r="AN216" t="str">
            <v xml:space="preserve"> </v>
          </cell>
          <cell r="AO216" t="str">
            <v xml:space="preserve"> </v>
          </cell>
          <cell r="AP216" t="str">
            <v xml:space="preserve"> </v>
          </cell>
          <cell r="AQ216" t="str">
            <v xml:space="preserve"> </v>
          </cell>
        </row>
        <row r="217">
          <cell r="A217" t="str">
            <v>FBH.......665499J</v>
          </cell>
          <cell r="B217" t="str">
            <v>2003T12</v>
          </cell>
          <cell r="C217" t="str">
            <v xml:space="preserve">TREND    </v>
          </cell>
          <cell r="D217" t="str">
            <v xml:space="preserve">Trend -  QTD Average/Activity                     </v>
          </cell>
          <cell r="E217" t="str">
            <v>Run: 08/07/03 13:53:41</v>
          </cell>
          <cell r="F217" t="str">
            <v>999</v>
          </cell>
          <cell r="G217" t="str">
            <v>100</v>
          </cell>
          <cell r="H217" t="str">
            <v xml:space="preserve">Bank Of America Management Reporting              </v>
          </cell>
          <cell r="I217" t="str">
            <v>001</v>
          </cell>
          <cell r="J217" t="str">
            <v>FBH.......</v>
          </cell>
          <cell r="K217" t="str">
            <v xml:space="preserve">Cash Securities Technology                        </v>
          </cell>
          <cell r="L217" t="str">
            <v xml:space="preserve"> </v>
          </cell>
          <cell r="M217" t="str">
            <v xml:space="preserve"> </v>
          </cell>
          <cell r="N217" t="str">
            <v>bamgt</v>
          </cell>
          <cell r="O217" t="str">
            <v>40</v>
          </cell>
          <cell r="P217" t="str">
            <v>600000A  662999B  662999C  665499B  665499D  665499H  665499J  999999999</v>
          </cell>
          <cell r="Q217" t="str">
            <v xml:space="preserve">none     </v>
          </cell>
          <cell r="R217" t="str">
            <v>RollFCST-Working Version</v>
          </cell>
          <cell r="S217" t="str">
            <v>RollFCST-Working Version</v>
          </cell>
          <cell r="T217" t="str">
            <v xml:space="preserve"> </v>
          </cell>
          <cell r="U217" t="str">
            <v xml:space="preserve"> </v>
          </cell>
          <cell r="V217" t="str">
            <v>665499J</v>
          </cell>
          <cell r="W217" t="str">
            <v>7</v>
          </cell>
          <cell r="X217" t="str">
            <v xml:space="preserve">            Employee Training &amp; Seminars</v>
          </cell>
          <cell r="Y217">
            <v>6.9371700000000001</v>
          </cell>
          <cell r="Z217">
            <v>27.85285</v>
          </cell>
          <cell r="AA217">
            <v>20.007020000000001</v>
          </cell>
          <cell r="AB217">
            <v>27.04027</v>
          </cell>
          <cell r="AC217">
            <v>81.837310000000002</v>
          </cell>
          <cell r="AD217">
            <v>3.0990600000000001</v>
          </cell>
          <cell r="AE217">
            <v>19.343889999999998</v>
          </cell>
          <cell r="AF217">
            <v>32.408000000000001</v>
          </cell>
          <cell r="AG217">
            <v>32</v>
          </cell>
          <cell r="AH217">
            <v>86.850949999999997</v>
          </cell>
          <cell r="AI217" t="str">
            <v xml:space="preserve">U.S. Dollar                   </v>
          </cell>
          <cell r="AJ217" t="str">
            <v xml:space="preserve"> </v>
          </cell>
          <cell r="AK217" t="str">
            <v xml:space="preserve"> </v>
          </cell>
          <cell r="AL217" t="str">
            <v xml:space="preserve"> </v>
          </cell>
          <cell r="AM217" t="str">
            <v xml:space="preserve"> </v>
          </cell>
          <cell r="AN217" t="str">
            <v xml:space="preserve"> </v>
          </cell>
          <cell r="AO217" t="str">
            <v xml:space="preserve"> </v>
          </cell>
          <cell r="AP217" t="str">
            <v xml:space="preserve"> </v>
          </cell>
          <cell r="AQ217" t="str">
            <v xml:space="preserve"> </v>
          </cell>
        </row>
        <row r="218">
          <cell r="A218" t="str">
            <v>FBH.......665499H</v>
          </cell>
          <cell r="B218" t="str">
            <v>2003T12</v>
          </cell>
          <cell r="C218" t="str">
            <v xml:space="preserve">TREND    </v>
          </cell>
          <cell r="D218" t="str">
            <v xml:space="preserve">Trend -  QTD Average/Activity                     </v>
          </cell>
          <cell r="E218" t="str">
            <v>Run: 08/07/03 13:53:41</v>
          </cell>
          <cell r="F218" t="str">
            <v>999</v>
          </cell>
          <cell r="G218" t="str">
            <v>100</v>
          </cell>
          <cell r="H218" t="str">
            <v xml:space="preserve">Bank Of America Management Reporting              </v>
          </cell>
          <cell r="I218" t="str">
            <v>001</v>
          </cell>
          <cell r="J218" t="str">
            <v>FBH.......</v>
          </cell>
          <cell r="K218" t="str">
            <v xml:space="preserve">Cash Securities Technology                        </v>
          </cell>
          <cell r="L218" t="str">
            <v xml:space="preserve"> </v>
          </cell>
          <cell r="M218" t="str">
            <v xml:space="preserve"> </v>
          </cell>
          <cell r="N218" t="str">
            <v>bamgt</v>
          </cell>
          <cell r="O218" t="str">
            <v>40</v>
          </cell>
          <cell r="P218" t="str">
            <v>600000A  662999B  662999C  665499B  665499D  665499H  999999999999999999</v>
          </cell>
          <cell r="Q218" t="str">
            <v xml:space="preserve">none     </v>
          </cell>
          <cell r="R218" t="str">
            <v>RollFCST-Working Version</v>
          </cell>
          <cell r="S218" t="str">
            <v>RollFCST-Working Version</v>
          </cell>
          <cell r="T218" t="str">
            <v xml:space="preserve"> </v>
          </cell>
          <cell r="U218" t="str">
            <v xml:space="preserve"> </v>
          </cell>
          <cell r="V218" t="str">
            <v>665499H</v>
          </cell>
          <cell r="W218" t="str">
            <v>6</v>
          </cell>
          <cell r="X218" t="str">
            <v xml:space="preserve">          Other Employee Expense        </v>
          </cell>
          <cell r="Y218">
            <v>18.875109999999999</v>
          </cell>
          <cell r="Z218">
            <v>40.672449999999998</v>
          </cell>
          <cell r="AA218">
            <v>27.821079999999998</v>
          </cell>
          <cell r="AB218">
            <v>35.509529999999998</v>
          </cell>
          <cell r="AC218">
            <v>122.87817</v>
          </cell>
          <cell r="AD218">
            <v>9.2967399999999998</v>
          </cell>
          <cell r="AE218">
            <v>28.55462</v>
          </cell>
          <cell r="AF218">
            <v>35.785600000000002</v>
          </cell>
          <cell r="AG218">
            <v>32</v>
          </cell>
          <cell r="AH218">
            <v>105.63696</v>
          </cell>
          <cell r="AI218" t="str">
            <v xml:space="preserve">U.S. Dollar                   </v>
          </cell>
          <cell r="AJ218" t="str">
            <v xml:space="preserve"> </v>
          </cell>
          <cell r="AK218" t="str">
            <v xml:space="preserve"> </v>
          </cell>
          <cell r="AL218" t="str">
            <v xml:space="preserve"> </v>
          </cell>
          <cell r="AM218" t="str">
            <v xml:space="preserve"> </v>
          </cell>
          <cell r="AN218" t="str">
            <v xml:space="preserve"> </v>
          </cell>
          <cell r="AO218" t="str">
            <v xml:space="preserve"> </v>
          </cell>
          <cell r="AP218" t="str">
            <v xml:space="preserve"> </v>
          </cell>
          <cell r="AQ218" t="str">
            <v xml:space="preserve"> </v>
          </cell>
        </row>
        <row r="219">
          <cell r="A219" t="str">
            <v>FBH.......665499D</v>
          </cell>
          <cell r="B219" t="str">
            <v>2003T12</v>
          </cell>
          <cell r="C219" t="str">
            <v xml:space="preserve">TREND    </v>
          </cell>
          <cell r="D219" t="str">
            <v xml:space="preserve">Trend -  QTD Average/Activity                     </v>
          </cell>
          <cell r="E219" t="str">
            <v>Run: 08/07/03 13:53:41</v>
          </cell>
          <cell r="F219" t="str">
            <v>999</v>
          </cell>
          <cell r="G219" t="str">
            <v>100</v>
          </cell>
          <cell r="H219" t="str">
            <v xml:space="preserve">Bank Of America Management Reporting              </v>
          </cell>
          <cell r="I219" t="str">
            <v>001</v>
          </cell>
          <cell r="J219" t="str">
            <v>FBH.......</v>
          </cell>
          <cell r="K219" t="str">
            <v xml:space="preserve">Cash Securities Technology                        </v>
          </cell>
          <cell r="L219" t="str">
            <v xml:space="preserve"> </v>
          </cell>
          <cell r="M219" t="str">
            <v xml:space="preserve"> </v>
          </cell>
          <cell r="N219" t="str">
            <v>bamgt</v>
          </cell>
          <cell r="O219" t="str">
            <v>40</v>
          </cell>
          <cell r="P219" t="str">
            <v>600000A  662999B  662999C  665499B  665499D  999999999999999999999999999</v>
          </cell>
          <cell r="Q219" t="str">
            <v xml:space="preserve">none     </v>
          </cell>
          <cell r="R219" t="str">
            <v>RollFCST-Working Version</v>
          </cell>
          <cell r="S219" t="str">
            <v>RollFCST-Working Version</v>
          </cell>
          <cell r="T219" t="str">
            <v xml:space="preserve"> </v>
          </cell>
          <cell r="U219" t="str">
            <v xml:space="preserve"> </v>
          </cell>
          <cell r="V219" t="str">
            <v>665499D</v>
          </cell>
          <cell r="W219" t="str">
            <v>5</v>
          </cell>
          <cell r="X219" t="str">
            <v xml:space="preserve">        Employee Expense                </v>
          </cell>
          <cell r="Y219">
            <v>18.875109999999999</v>
          </cell>
          <cell r="Z219">
            <v>40.672449999999998</v>
          </cell>
          <cell r="AA219">
            <v>27.821079999999998</v>
          </cell>
          <cell r="AB219">
            <v>35.509529999999998</v>
          </cell>
          <cell r="AC219">
            <v>122.87817</v>
          </cell>
          <cell r="AD219">
            <v>9.2967399999999998</v>
          </cell>
          <cell r="AE219">
            <v>28.55462</v>
          </cell>
          <cell r="AF219">
            <v>35.785600000000002</v>
          </cell>
          <cell r="AG219">
            <v>32</v>
          </cell>
          <cell r="AH219">
            <v>105.63696</v>
          </cell>
          <cell r="AI219" t="str">
            <v xml:space="preserve">U.S. Dollar                   </v>
          </cell>
          <cell r="AJ219" t="str">
            <v xml:space="preserve"> </v>
          </cell>
          <cell r="AK219" t="str">
            <v xml:space="preserve"> </v>
          </cell>
          <cell r="AL219" t="str">
            <v xml:space="preserve"> </v>
          </cell>
          <cell r="AM219" t="str">
            <v xml:space="preserve"> </v>
          </cell>
          <cell r="AN219" t="str">
            <v xml:space="preserve"> </v>
          </cell>
          <cell r="AO219" t="str">
            <v xml:space="preserve"> </v>
          </cell>
          <cell r="AP219" t="str">
            <v xml:space="preserve"> </v>
          </cell>
          <cell r="AQ219" t="str">
            <v xml:space="preserve"> </v>
          </cell>
        </row>
        <row r="220">
          <cell r="A220" t="str">
            <v>FBH.......665499B</v>
          </cell>
          <cell r="B220" t="str">
            <v>2003T12</v>
          </cell>
          <cell r="C220" t="str">
            <v xml:space="preserve">TREND    </v>
          </cell>
          <cell r="D220" t="str">
            <v xml:space="preserve">Trend -  QTD Average/Activity                     </v>
          </cell>
          <cell r="E220" t="str">
            <v>Run: 08/07/03 13:53:41</v>
          </cell>
          <cell r="F220" t="str">
            <v>999</v>
          </cell>
          <cell r="G220" t="str">
            <v>100</v>
          </cell>
          <cell r="H220" t="str">
            <v xml:space="preserve">Bank Of America Management Reporting              </v>
          </cell>
          <cell r="I220" t="str">
            <v>001</v>
          </cell>
          <cell r="J220" t="str">
            <v>FBH.......</v>
          </cell>
          <cell r="K220" t="str">
            <v xml:space="preserve">Cash Securities Technology                        </v>
          </cell>
          <cell r="L220" t="str">
            <v xml:space="preserve"> </v>
          </cell>
          <cell r="M220" t="str">
            <v xml:space="preserve"> </v>
          </cell>
          <cell r="N220" t="str">
            <v>bamgt</v>
          </cell>
          <cell r="O220" t="str">
            <v>40</v>
          </cell>
          <cell r="P220" t="str">
            <v>600000A  662999B  662999C  665499B  999999999999999999999999999999999999</v>
          </cell>
          <cell r="Q220" t="str">
            <v xml:space="preserve">none     </v>
          </cell>
          <cell r="R220" t="str">
            <v>RollFCST-Working Version</v>
          </cell>
          <cell r="S220" t="str">
            <v>RollFCST-Working Version</v>
          </cell>
          <cell r="T220" t="str">
            <v xml:space="preserve"> </v>
          </cell>
          <cell r="U220" t="str">
            <v xml:space="preserve"> </v>
          </cell>
          <cell r="V220" t="str">
            <v>665499B</v>
          </cell>
          <cell r="W220" t="str">
            <v>4</v>
          </cell>
          <cell r="X220" t="str">
            <v xml:space="preserve">      Other Operating Expense           </v>
          </cell>
          <cell r="Y220">
            <v>20.454660000000001</v>
          </cell>
          <cell r="Z220">
            <v>42.688029999999998</v>
          </cell>
          <cell r="AA220">
            <v>40.2806</v>
          </cell>
          <cell r="AB220">
            <v>37.46866</v>
          </cell>
          <cell r="AC220">
            <v>140.89195000000001</v>
          </cell>
          <cell r="AD220">
            <v>10.042949999999999</v>
          </cell>
          <cell r="AE220">
            <v>29.278770000000002</v>
          </cell>
          <cell r="AF220">
            <v>30.202539999999999</v>
          </cell>
          <cell r="AG220">
            <v>34</v>
          </cell>
          <cell r="AH220">
            <v>103.52426</v>
          </cell>
          <cell r="AI220" t="str">
            <v xml:space="preserve">U.S. Dollar                   </v>
          </cell>
          <cell r="AJ220" t="str">
            <v xml:space="preserve"> </v>
          </cell>
          <cell r="AK220" t="str">
            <v xml:space="preserve"> </v>
          </cell>
          <cell r="AL220" t="str">
            <v xml:space="preserve"> </v>
          </cell>
          <cell r="AM220" t="str">
            <v xml:space="preserve"> </v>
          </cell>
          <cell r="AN220" t="str">
            <v xml:space="preserve"> </v>
          </cell>
          <cell r="AO220" t="str">
            <v xml:space="preserve"> </v>
          </cell>
          <cell r="AP220" t="str">
            <v xml:space="preserve"> </v>
          </cell>
          <cell r="AQ220" t="str">
            <v xml:space="preserve"> </v>
          </cell>
        </row>
        <row r="221">
          <cell r="A221" t="str">
            <v>FBH.......670200</v>
          </cell>
          <cell r="B221" t="str">
            <v>2003T12</v>
          </cell>
          <cell r="C221" t="str">
            <v xml:space="preserve">TREND    </v>
          </cell>
          <cell r="D221" t="str">
            <v xml:space="preserve">Trend -  QTD Average/Activity                     </v>
          </cell>
          <cell r="E221" t="str">
            <v>Run: 08/07/03 13:53:41</v>
          </cell>
          <cell r="F221" t="str">
            <v>999</v>
          </cell>
          <cell r="G221" t="str">
            <v>100</v>
          </cell>
          <cell r="H221" t="str">
            <v xml:space="preserve">Bank Of America Management Reporting              </v>
          </cell>
          <cell r="I221" t="str">
            <v>001</v>
          </cell>
          <cell r="J221" t="str">
            <v>FBH.......</v>
          </cell>
          <cell r="K221" t="str">
            <v xml:space="preserve">Cash Securities Technology                        </v>
          </cell>
          <cell r="L221" t="str">
            <v xml:space="preserve"> </v>
          </cell>
          <cell r="M221" t="str">
            <v xml:space="preserve"> </v>
          </cell>
          <cell r="N221" t="str">
            <v>bamgt</v>
          </cell>
          <cell r="O221" t="str">
            <v>40</v>
          </cell>
          <cell r="P221" t="str">
            <v>600000A  662999B  670000B  670200   999999999999999999999999999999999999</v>
          </cell>
          <cell r="Q221" t="str">
            <v xml:space="preserve">none     </v>
          </cell>
          <cell r="R221" t="str">
            <v>RollFCST-Working Version</v>
          </cell>
          <cell r="S221" t="str">
            <v>RollFCST-Working Version</v>
          </cell>
          <cell r="T221" t="str">
            <v xml:space="preserve"> </v>
          </cell>
          <cell r="U221" t="str">
            <v xml:space="preserve"> </v>
          </cell>
          <cell r="V221" t="str">
            <v>670200</v>
          </cell>
          <cell r="W221" t="str">
            <v>4</v>
          </cell>
          <cell r="X221" t="str">
            <v xml:space="preserve">      Travel                            </v>
          </cell>
          <cell r="Y221">
            <v>41.732729999999997</v>
          </cell>
          <cell r="Z221">
            <v>64.235029999999995</v>
          </cell>
          <cell r="AA221">
            <v>33.938040000000001</v>
          </cell>
          <cell r="AB221">
            <v>51.165469999999999</v>
          </cell>
          <cell r="AC221">
            <v>191.07127</v>
          </cell>
          <cell r="AD221">
            <v>37.623269999999998</v>
          </cell>
          <cell r="AE221">
            <v>62.537990000000001</v>
          </cell>
          <cell r="AF221">
            <v>73.862170000000006</v>
          </cell>
          <cell r="AG221">
            <v>65</v>
          </cell>
          <cell r="AH221">
            <v>239.02342999999999</v>
          </cell>
          <cell r="AI221" t="str">
            <v xml:space="preserve">U.S. Dollar                   </v>
          </cell>
          <cell r="AJ221" t="str">
            <v xml:space="preserve"> </v>
          </cell>
          <cell r="AK221" t="str">
            <v xml:space="preserve"> </v>
          </cell>
          <cell r="AL221" t="str">
            <v xml:space="preserve"> </v>
          </cell>
          <cell r="AM221" t="str">
            <v xml:space="preserve"> </v>
          </cell>
          <cell r="AN221" t="str">
            <v xml:space="preserve"> </v>
          </cell>
          <cell r="AO221" t="str">
            <v xml:space="preserve"> </v>
          </cell>
          <cell r="AP221" t="str">
            <v xml:space="preserve"> </v>
          </cell>
          <cell r="AQ221" t="str">
            <v xml:space="preserve"> </v>
          </cell>
        </row>
        <row r="222">
          <cell r="A222" t="str">
            <v>FBH.......670800</v>
          </cell>
          <cell r="B222" t="str">
            <v>2003T12</v>
          </cell>
          <cell r="C222" t="str">
            <v xml:space="preserve">TREND    </v>
          </cell>
          <cell r="D222" t="str">
            <v xml:space="preserve">Trend -  QTD Average/Activity                     </v>
          </cell>
          <cell r="E222" t="str">
            <v>Run: 08/07/03 13:53:41</v>
          </cell>
          <cell r="F222" t="str">
            <v>999</v>
          </cell>
          <cell r="G222" t="str">
            <v>100</v>
          </cell>
          <cell r="H222" t="str">
            <v xml:space="preserve">Bank Of America Management Reporting              </v>
          </cell>
          <cell r="I222" t="str">
            <v>001</v>
          </cell>
          <cell r="J222" t="str">
            <v>FBH.......</v>
          </cell>
          <cell r="K222" t="str">
            <v xml:space="preserve">Cash Securities Technology                        </v>
          </cell>
          <cell r="L222" t="str">
            <v xml:space="preserve"> </v>
          </cell>
          <cell r="M222" t="str">
            <v xml:space="preserve"> </v>
          </cell>
          <cell r="N222" t="str">
            <v>bamgt</v>
          </cell>
          <cell r="O222" t="str">
            <v>40</v>
          </cell>
          <cell r="P222" t="str">
            <v>600000A  662999B  670000B  670800   999999999999999999999999999999999999</v>
          </cell>
          <cell r="Q222" t="str">
            <v xml:space="preserve">none     </v>
          </cell>
          <cell r="R222" t="str">
            <v>RollFCST-Working Version</v>
          </cell>
          <cell r="S222" t="str">
            <v>RollFCST-Working Version</v>
          </cell>
          <cell r="T222" t="str">
            <v xml:space="preserve"> </v>
          </cell>
          <cell r="U222" t="str">
            <v xml:space="preserve"> </v>
          </cell>
          <cell r="V222" t="str">
            <v>670800</v>
          </cell>
          <cell r="W222" t="str">
            <v>4</v>
          </cell>
          <cell r="X222" t="str">
            <v xml:space="preserve">      Taxes Other Than Income           </v>
          </cell>
          <cell r="Y222">
            <v>0</v>
          </cell>
          <cell r="Z222">
            <v>0</v>
          </cell>
          <cell r="AA222">
            <v>0</v>
          </cell>
          <cell r="AB222">
            <v>0</v>
          </cell>
          <cell r="AC222">
            <v>0</v>
          </cell>
          <cell r="AD222">
            <v>0.43113000000000001</v>
          </cell>
          <cell r="AE222">
            <v>1.32813</v>
          </cell>
          <cell r="AF222">
            <v>0.14371</v>
          </cell>
          <cell r="AG222">
            <v>0</v>
          </cell>
          <cell r="AH222">
            <v>1.9029700000000001</v>
          </cell>
          <cell r="AI222" t="str">
            <v xml:space="preserve">U.S. Dollar                   </v>
          </cell>
          <cell r="AJ222" t="str">
            <v xml:space="preserve"> </v>
          </cell>
          <cell r="AK222" t="str">
            <v xml:space="preserve"> </v>
          </cell>
          <cell r="AL222" t="str">
            <v xml:space="preserve"> </v>
          </cell>
          <cell r="AM222" t="str">
            <v xml:space="preserve"> </v>
          </cell>
          <cell r="AN222" t="str">
            <v xml:space="preserve"> </v>
          </cell>
          <cell r="AO222" t="str">
            <v xml:space="preserve"> </v>
          </cell>
          <cell r="AP222" t="str">
            <v xml:space="preserve"> </v>
          </cell>
          <cell r="AQ222" t="str">
            <v xml:space="preserve"> </v>
          </cell>
        </row>
        <row r="223">
          <cell r="A223" t="str">
            <v>FBH.......671200</v>
          </cell>
          <cell r="B223" t="str">
            <v>2003T12</v>
          </cell>
          <cell r="C223" t="str">
            <v xml:space="preserve">TREND    </v>
          </cell>
          <cell r="D223" t="str">
            <v xml:space="preserve">Trend -  QTD Average/Activity                     </v>
          </cell>
          <cell r="E223" t="str">
            <v>Run: 08/07/03 13:53:41</v>
          </cell>
          <cell r="F223" t="str">
            <v>999</v>
          </cell>
          <cell r="G223" t="str">
            <v>100</v>
          </cell>
          <cell r="H223" t="str">
            <v xml:space="preserve">Bank Of America Management Reporting              </v>
          </cell>
          <cell r="I223" t="str">
            <v>001</v>
          </cell>
          <cell r="J223" t="str">
            <v>FBH.......</v>
          </cell>
          <cell r="K223" t="str">
            <v xml:space="preserve">Cash Securities Technology                        </v>
          </cell>
          <cell r="L223" t="str">
            <v xml:space="preserve"> </v>
          </cell>
          <cell r="M223" t="str">
            <v xml:space="preserve"> </v>
          </cell>
          <cell r="N223" t="str">
            <v>bamgt</v>
          </cell>
          <cell r="O223" t="str">
            <v>40</v>
          </cell>
          <cell r="P223" t="str">
            <v>600000A  662999B  670000B  671200   999999999999999999999999999999999999</v>
          </cell>
          <cell r="Q223" t="str">
            <v xml:space="preserve">none     </v>
          </cell>
          <cell r="R223" t="str">
            <v>RollFCST-Working Version</v>
          </cell>
          <cell r="S223" t="str">
            <v>RollFCST-Working Version</v>
          </cell>
          <cell r="T223" t="str">
            <v xml:space="preserve"> </v>
          </cell>
          <cell r="U223" t="str">
            <v xml:space="preserve"> </v>
          </cell>
          <cell r="V223" t="str">
            <v>671200</v>
          </cell>
          <cell r="W223" t="str">
            <v>4</v>
          </cell>
          <cell r="X223" t="str">
            <v xml:space="preserve">      Subscription Services             </v>
          </cell>
          <cell r="Y223">
            <v>120.21975</v>
          </cell>
          <cell r="Z223">
            <v>190.34869</v>
          </cell>
          <cell r="AA223">
            <v>142.05527000000001</v>
          </cell>
          <cell r="AB223">
            <v>161.94768999999999</v>
          </cell>
          <cell r="AC223">
            <v>614.57140000000004</v>
          </cell>
          <cell r="AD223">
            <v>181.56533999999999</v>
          </cell>
          <cell r="AE223">
            <v>257.66284000000002</v>
          </cell>
          <cell r="AF223">
            <v>77.55171</v>
          </cell>
          <cell r="AG223">
            <v>177</v>
          </cell>
          <cell r="AH223">
            <v>693.77989000000002</v>
          </cell>
          <cell r="AI223" t="str">
            <v xml:space="preserve">U.S. Dollar                   </v>
          </cell>
          <cell r="AJ223" t="str">
            <v xml:space="preserve"> </v>
          </cell>
          <cell r="AK223" t="str">
            <v xml:space="preserve"> </v>
          </cell>
          <cell r="AL223" t="str">
            <v xml:space="preserve"> </v>
          </cell>
          <cell r="AM223" t="str">
            <v xml:space="preserve"> </v>
          </cell>
          <cell r="AN223" t="str">
            <v xml:space="preserve"> </v>
          </cell>
          <cell r="AO223" t="str">
            <v xml:space="preserve"> </v>
          </cell>
          <cell r="AP223" t="str">
            <v xml:space="preserve"> </v>
          </cell>
          <cell r="AQ223" t="str">
            <v xml:space="preserve"> </v>
          </cell>
        </row>
        <row r="224">
          <cell r="A224" t="str">
            <v>FBH.......671500</v>
          </cell>
          <cell r="B224" t="str">
            <v>2003T12</v>
          </cell>
          <cell r="C224" t="str">
            <v xml:space="preserve">TREND    </v>
          </cell>
          <cell r="D224" t="str">
            <v xml:space="preserve">Trend -  QTD Average/Activity                     </v>
          </cell>
          <cell r="E224" t="str">
            <v>Run: 08/07/03 13:53:41</v>
          </cell>
          <cell r="F224" t="str">
            <v>999</v>
          </cell>
          <cell r="G224" t="str">
            <v>100</v>
          </cell>
          <cell r="H224" t="str">
            <v xml:space="preserve">Bank Of America Management Reporting              </v>
          </cell>
          <cell r="I224" t="str">
            <v>001</v>
          </cell>
          <cell r="J224" t="str">
            <v>FBH.......</v>
          </cell>
          <cell r="K224" t="str">
            <v xml:space="preserve">Cash Securities Technology                        </v>
          </cell>
          <cell r="L224" t="str">
            <v xml:space="preserve"> </v>
          </cell>
          <cell r="M224" t="str">
            <v xml:space="preserve"> </v>
          </cell>
          <cell r="N224" t="str">
            <v>bamgt</v>
          </cell>
          <cell r="O224" t="str">
            <v>40</v>
          </cell>
          <cell r="P224" t="str">
            <v>600000A  662999B  670000B  671500   999999999999999999999999999999999999</v>
          </cell>
          <cell r="Q224" t="str">
            <v xml:space="preserve">none     </v>
          </cell>
          <cell r="R224" t="str">
            <v>RollFCST-Working Version</v>
          </cell>
          <cell r="S224" t="str">
            <v>RollFCST-Working Version</v>
          </cell>
          <cell r="T224" t="str">
            <v xml:space="preserve"> </v>
          </cell>
          <cell r="U224" t="str">
            <v xml:space="preserve"> </v>
          </cell>
          <cell r="V224" t="str">
            <v>671500</v>
          </cell>
          <cell r="W224" t="str">
            <v>4</v>
          </cell>
          <cell r="X224" t="str">
            <v xml:space="preserve">      Other Administrative Expenses     </v>
          </cell>
          <cell r="Y224">
            <v>0</v>
          </cell>
          <cell r="Z224">
            <v>0</v>
          </cell>
          <cell r="AA224">
            <v>0</v>
          </cell>
          <cell r="AB224">
            <v>0</v>
          </cell>
          <cell r="AC224">
            <v>0</v>
          </cell>
          <cell r="AD224">
            <v>4.9725000000000001</v>
          </cell>
          <cell r="AE224">
            <v>4.9720000000000004</v>
          </cell>
          <cell r="AF224">
            <v>37</v>
          </cell>
          <cell r="AG224">
            <v>54</v>
          </cell>
          <cell r="AH224">
            <v>100.94450000000001</v>
          </cell>
          <cell r="AI224" t="str">
            <v xml:space="preserve">U.S. Dollar                   </v>
          </cell>
          <cell r="AJ224" t="str">
            <v xml:space="preserve"> </v>
          </cell>
          <cell r="AK224" t="str">
            <v xml:space="preserve"> </v>
          </cell>
          <cell r="AL224" t="str">
            <v xml:space="preserve"> </v>
          </cell>
          <cell r="AM224" t="str">
            <v xml:space="preserve"> </v>
          </cell>
          <cell r="AN224" t="str">
            <v xml:space="preserve"> </v>
          </cell>
          <cell r="AO224" t="str">
            <v xml:space="preserve"> </v>
          </cell>
          <cell r="AP224" t="str">
            <v xml:space="preserve"> </v>
          </cell>
          <cell r="AQ224" t="str">
            <v xml:space="preserve"> </v>
          </cell>
        </row>
        <row r="225">
          <cell r="A225" t="str">
            <v>FBH.......675000</v>
          </cell>
          <cell r="B225" t="str">
            <v>2003T12</v>
          </cell>
          <cell r="C225" t="str">
            <v xml:space="preserve">TREND    </v>
          </cell>
          <cell r="D225" t="str">
            <v xml:space="preserve">Trend -  QTD Average/Activity                     </v>
          </cell>
          <cell r="E225" t="str">
            <v>Run: 08/07/03 13:53:41</v>
          </cell>
          <cell r="F225" t="str">
            <v>999</v>
          </cell>
          <cell r="G225" t="str">
            <v>100</v>
          </cell>
          <cell r="H225" t="str">
            <v xml:space="preserve">Bank Of America Management Reporting              </v>
          </cell>
          <cell r="I225" t="str">
            <v>001</v>
          </cell>
          <cell r="J225" t="str">
            <v>FBH.......</v>
          </cell>
          <cell r="K225" t="str">
            <v xml:space="preserve">Cash Securities Technology                        </v>
          </cell>
          <cell r="L225" t="str">
            <v xml:space="preserve"> </v>
          </cell>
          <cell r="M225" t="str">
            <v xml:space="preserve"> </v>
          </cell>
          <cell r="N225" t="str">
            <v>bamgt</v>
          </cell>
          <cell r="O225" t="str">
            <v>40</v>
          </cell>
          <cell r="P225" t="str">
            <v>600000A  675000   999999999999999999999999999999999999999999999999999999</v>
          </cell>
          <cell r="Q225" t="str">
            <v xml:space="preserve">none     </v>
          </cell>
          <cell r="R225" t="str">
            <v>RollFCST-Working Version</v>
          </cell>
          <cell r="S225" t="str">
            <v>RollFCST-Working Version</v>
          </cell>
          <cell r="T225" t="str">
            <v xml:space="preserve"> </v>
          </cell>
          <cell r="U225" t="str">
            <v xml:space="preserve"> </v>
          </cell>
          <cell r="V225" t="str">
            <v>675000</v>
          </cell>
          <cell r="W225" t="str">
            <v>2</v>
          </cell>
          <cell r="X225" t="str">
            <v xml:space="preserve">  Intercompany Expense                  </v>
          </cell>
          <cell r="Y225">
            <v>0</v>
          </cell>
          <cell r="Z225">
            <v>0</v>
          </cell>
          <cell r="AA225">
            <v>0</v>
          </cell>
          <cell r="AB225">
            <v>0</v>
          </cell>
          <cell r="AC225">
            <v>0</v>
          </cell>
          <cell r="AD225">
            <v>0</v>
          </cell>
          <cell r="AE225">
            <v>0</v>
          </cell>
          <cell r="AF225">
            <v>0</v>
          </cell>
          <cell r="AG225">
            <v>0</v>
          </cell>
          <cell r="AH225">
            <v>0</v>
          </cell>
          <cell r="AI225" t="str">
            <v xml:space="preserve">U.S. Dollar                   </v>
          </cell>
          <cell r="AJ225" t="str">
            <v xml:space="preserve"> </v>
          </cell>
          <cell r="AK225" t="str">
            <v xml:space="preserve"> </v>
          </cell>
          <cell r="AL225" t="str">
            <v xml:space="preserve"> </v>
          </cell>
          <cell r="AM225" t="str">
            <v xml:space="preserve"> </v>
          </cell>
          <cell r="AN225" t="str">
            <v xml:space="preserve"> </v>
          </cell>
          <cell r="AO225" t="str">
            <v xml:space="preserve"> </v>
          </cell>
          <cell r="AP225" t="str">
            <v xml:space="preserve"> </v>
          </cell>
          <cell r="AQ225" t="str">
            <v xml:space="preserve"> </v>
          </cell>
        </row>
      </sheetData>
      <sheetData sheetId="13" refreshError="1">
        <row r="1">
          <cell r="B1" t="str">
            <v>yr_rnd_mth</v>
          </cell>
          <cell r="C1" t="str">
            <v>rpt_id</v>
          </cell>
          <cell r="D1" t="str">
            <v>rpt_title</v>
          </cell>
          <cell r="E1" t="str">
            <v>run_date</v>
          </cell>
          <cell r="F1" t="str">
            <v>entity</v>
          </cell>
          <cell r="G1" t="str">
            <v>sub_entity</v>
          </cell>
          <cell r="H1" t="str">
            <v>ent_descr</v>
          </cell>
          <cell r="I1" t="str">
            <v>hier_tbl_num</v>
          </cell>
          <cell r="J1" t="str">
            <v>hier_roll</v>
          </cell>
          <cell r="K1" t="str">
            <v>hier_descr</v>
          </cell>
          <cell r="L1" t="str">
            <v>hier_ctr</v>
          </cell>
          <cell r="M1" t="str">
            <v>ctr_descr</v>
          </cell>
          <cell r="N1" t="str">
            <v>acct_id</v>
          </cell>
          <cell r="O1" t="str">
            <v>acct_type</v>
          </cell>
          <cell r="P1" t="str">
            <v>acct_sort_key</v>
          </cell>
          <cell r="Q1" t="str">
            <v>filter_id</v>
          </cell>
          <cell r="R1" t="str">
            <v>plan_type1</v>
          </cell>
          <cell r="S1" t="str">
            <v>plan_type2</v>
          </cell>
          <cell r="T1" t="str">
            <v>filler19</v>
          </cell>
          <cell r="U1" t="str">
            <v>filler20</v>
          </cell>
          <cell r="V1" t="str">
            <v>account</v>
          </cell>
          <cell r="W1" t="str">
            <v>level</v>
          </cell>
          <cell r="X1" t="str">
            <v>description</v>
          </cell>
          <cell r="Y1" t="str">
            <v>qactavg_01012002</v>
          </cell>
          <cell r="Z1" t="str">
            <v>qactavg_04012002</v>
          </cell>
          <cell r="AA1" t="str">
            <v>qactavg_07012002</v>
          </cell>
          <cell r="AB1" t="str">
            <v>qactavg_10012002</v>
          </cell>
          <cell r="AC1" t="str">
            <v>yactavg_12012002</v>
          </cell>
          <cell r="AD1" t="str">
            <v>qactavg_01012003</v>
          </cell>
          <cell r="AE1" t="str">
            <v>qactavg_04012003</v>
          </cell>
          <cell r="AF1" t="str">
            <v>qactavg_07012003</v>
          </cell>
          <cell r="AG1" t="str">
            <v>qactavg_10012003</v>
          </cell>
          <cell r="AH1" t="str">
            <v>yactavg_12012003</v>
          </cell>
          <cell r="AI1" t="str">
            <v>currency_descr</v>
          </cell>
          <cell r="AJ1" t="str">
            <v>product_lvl</v>
          </cell>
          <cell r="AK1" t="str">
            <v>product_roll</v>
          </cell>
          <cell r="AL1" t="str">
            <v>product_roll_descr</v>
          </cell>
          <cell r="AM1" t="str">
            <v>product_sort_key</v>
          </cell>
          <cell r="AN1" t="str">
            <v>segment_lvl</v>
          </cell>
          <cell r="AO1" t="str">
            <v>segment_roll</v>
          </cell>
          <cell r="AP1" t="str">
            <v>segment_roll_descr</v>
          </cell>
          <cell r="AQ1" t="str">
            <v>segment_sort_key</v>
          </cell>
        </row>
        <row r="2">
          <cell r="A2" t="str">
            <v>FB........600300</v>
          </cell>
          <cell r="B2" t="str">
            <v>2004T12</v>
          </cell>
          <cell r="C2" t="str">
            <v xml:space="preserve">TREND    </v>
          </cell>
          <cell r="D2" t="str">
            <v xml:space="preserve">Trend -  QTD Average/Activity                     </v>
          </cell>
          <cell r="E2" t="str">
            <v>Run: 08/07/03 14:02:44</v>
          </cell>
          <cell r="F2" t="str">
            <v>999</v>
          </cell>
          <cell r="G2" t="str">
            <v>100</v>
          </cell>
          <cell r="H2" t="str">
            <v xml:space="preserve">Bank Of America Management Reporting              </v>
          </cell>
          <cell r="I2" t="str">
            <v>001</v>
          </cell>
          <cell r="J2" t="str">
            <v>FB........</v>
          </cell>
          <cell r="K2" t="str">
            <v xml:space="preserve">Gcib Global Operations                            </v>
          </cell>
          <cell r="L2" t="str">
            <v xml:space="preserve"> </v>
          </cell>
          <cell r="M2" t="str">
            <v xml:space="preserve"> </v>
          </cell>
          <cell r="N2" t="str">
            <v>bamgt</v>
          </cell>
          <cell r="O2" t="str">
            <v>40</v>
          </cell>
          <cell r="P2" t="str">
            <v>600000A  600250   999999999600300   999999999999999999999999999999999999</v>
          </cell>
          <cell r="Q2" t="str">
            <v xml:space="preserve">none     </v>
          </cell>
          <cell r="R2" t="str">
            <v>RollFCST-Working Version</v>
          </cell>
          <cell r="S2" t="str">
            <v>RollFCST-Working Version</v>
          </cell>
          <cell r="T2" t="str">
            <v xml:space="preserve"> </v>
          </cell>
          <cell r="U2" t="str">
            <v xml:space="preserve"> </v>
          </cell>
          <cell r="V2" t="str">
            <v>600300</v>
          </cell>
          <cell r="W2" t="str">
            <v>4</v>
          </cell>
          <cell r="X2" t="str">
            <v xml:space="preserve">      Salaries &amp; Wages                  </v>
          </cell>
          <cell r="Y2">
            <v>25299.14</v>
          </cell>
          <cell r="Z2">
            <v>22075.86</v>
          </cell>
          <cell r="AA2">
            <v>25822.82</v>
          </cell>
          <cell r="AB2">
            <v>26738.26</v>
          </cell>
          <cell r="AC2">
            <v>99936.08</v>
          </cell>
          <cell r="AD2">
            <v>25830.38</v>
          </cell>
          <cell r="AE2">
            <v>26408.53</v>
          </cell>
          <cell r="AF2">
            <v>26847.67</v>
          </cell>
          <cell r="AG2">
            <v>26841.73</v>
          </cell>
          <cell r="AH2">
            <v>105928.31</v>
          </cell>
          <cell r="AI2" t="str">
            <v xml:space="preserve">U.S. Dollar                   </v>
          </cell>
          <cell r="AJ2" t="str">
            <v xml:space="preserve"> </v>
          </cell>
          <cell r="AK2" t="str">
            <v xml:space="preserve"> </v>
          </cell>
          <cell r="AL2" t="str">
            <v xml:space="preserve"> </v>
          </cell>
          <cell r="AM2" t="str">
            <v xml:space="preserve"> </v>
          </cell>
          <cell r="AN2" t="str">
            <v xml:space="preserve"> </v>
          </cell>
          <cell r="AO2" t="str">
            <v xml:space="preserve"> </v>
          </cell>
          <cell r="AP2" t="str">
            <v xml:space="preserve"> </v>
          </cell>
          <cell r="AQ2" t="str">
            <v xml:space="preserve"> </v>
          </cell>
        </row>
        <row r="3">
          <cell r="A3" t="str">
            <v>FB........601000</v>
          </cell>
          <cell r="B3" t="str">
            <v>2004T12</v>
          </cell>
          <cell r="C3" t="str">
            <v xml:space="preserve">TREND    </v>
          </cell>
          <cell r="D3" t="str">
            <v xml:space="preserve">Trend -  QTD Average/Activity                     </v>
          </cell>
          <cell r="E3" t="str">
            <v>Run: 08/07/03 14:02:44</v>
          </cell>
          <cell r="F3" t="str">
            <v>999</v>
          </cell>
          <cell r="G3" t="str">
            <v>100</v>
          </cell>
          <cell r="H3" t="str">
            <v xml:space="preserve">Bank Of America Management Reporting              </v>
          </cell>
          <cell r="I3" t="str">
            <v>001</v>
          </cell>
          <cell r="J3" t="str">
            <v>FB........</v>
          </cell>
          <cell r="K3" t="str">
            <v xml:space="preserve">Gcib Global Operations                            </v>
          </cell>
          <cell r="L3" t="str">
            <v xml:space="preserve"> </v>
          </cell>
          <cell r="M3" t="str">
            <v xml:space="preserve"> </v>
          </cell>
          <cell r="N3" t="str">
            <v>bamgt</v>
          </cell>
          <cell r="O3" t="str">
            <v>40</v>
          </cell>
          <cell r="P3" t="str">
            <v>600000A  600250   999999999601000   999999999999999999999999999999999999</v>
          </cell>
          <cell r="Q3" t="str">
            <v xml:space="preserve">none     </v>
          </cell>
          <cell r="R3" t="str">
            <v>RollFCST-Working Version</v>
          </cell>
          <cell r="S3" t="str">
            <v>RollFCST-Working Version</v>
          </cell>
          <cell r="T3" t="str">
            <v xml:space="preserve"> </v>
          </cell>
          <cell r="U3" t="str">
            <v xml:space="preserve"> </v>
          </cell>
          <cell r="V3" t="str">
            <v>601000</v>
          </cell>
          <cell r="W3" t="str">
            <v>4</v>
          </cell>
          <cell r="X3" t="str">
            <v xml:space="preserve">      Overtime Salaries                 </v>
          </cell>
          <cell r="Y3">
            <v>507.37</v>
          </cell>
          <cell r="Z3">
            <v>433.19</v>
          </cell>
          <cell r="AA3">
            <v>353.53</v>
          </cell>
          <cell r="AB3">
            <v>355.47</v>
          </cell>
          <cell r="AC3">
            <v>1649.56</v>
          </cell>
          <cell r="AD3">
            <v>317.37</v>
          </cell>
          <cell r="AE3">
            <v>315.37</v>
          </cell>
          <cell r="AF3">
            <v>314.37</v>
          </cell>
          <cell r="AG3">
            <v>314.37</v>
          </cell>
          <cell r="AH3">
            <v>1261.48</v>
          </cell>
          <cell r="AI3" t="str">
            <v xml:space="preserve">U.S. Dollar                   </v>
          </cell>
          <cell r="AJ3" t="str">
            <v xml:space="preserve"> </v>
          </cell>
          <cell r="AK3" t="str">
            <v xml:space="preserve"> </v>
          </cell>
          <cell r="AL3" t="str">
            <v xml:space="preserve"> </v>
          </cell>
          <cell r="AM3" t="str">
            <v xml:space="preserve"> </v>
          </cell>
          <cell r="AN3" t="str">
            <v xml:space="preserve"> </v>
          </cell>
          <cell r="AO3" t="str">
            <v xml:space="preserve"> </v>
          </cell>
          <cell r="AP3" t="str">
            <v xml:space="preserve"> </v>
          </cell>
          <cell r="AQ3" t="str">
            <v xml:space="preserve"> </v>
          </cell>
        </row>
        <row r="4">
          <cell r="A4" t="str">
            <v>FB........601500</v>
          </cell>
          <cell r="B4" t="str">
            <v>2004T12</v>
          </cell>
          <cell r="C4" t="str">
            <v xml:space="preserve">TREND    </v>
          </cell>
          <cell r="D4" t="str">
            <v xml:space="preserve">Trend -  QTD Average/Activity                     </v>
          </cell>
          <cell r="E4" t="str">
            <v>Run: 08/07/03 14:02:44</v>
          </cell>
          <cell r="F4" t="str">
            <v>999</v>
          </cell>
          <cell r="G4" t="str">
            <v>100</v>
          </cell>
          <cell r="H4" t="str">
            <v xml:space="preserve">Bank Of America Management Reporting              </v>
          </cell>
          <cell r="I4" t="str">
            <v>001</v>
          </cell>
          <cell r="J4" t="str">
            <v>FB........</v>
          </cell>
          <cell r="K4" t="str">
            <v xml:space="preserve">Gcib Global Operations                            </v>
          </cell>
          <cell r="L4" t="str">
            <v xml:space="preserve"> </v>
          </cell>
          <cell r="M4" t="str">
            <v xml:space="preserve"> </v>
          </cell>
          <cell r="N4" t="str">
            <v>bamgt</v>
          </cell>
          <cell r="O4" t="str">
            <v>40</v>
          </cell>
          <cell r="P4" t="str">
            <v>600000A  600250   999999999601500   999999999999999999999999999999999999</v>
          </cell>
          <cell r="Q4" t="str">
            <v xml:space="preserve">none     </v>
          </cell>
          <cell r="R4" t="str">
            <v>RollFCST-Working Version</v>
          </cell>
          <cell r="S4" t="str">
            <v>RollFCST-Working Version</v>
          </cell>
          <cell r="T4" t="str">
            <v xml:space="preserve"> </v>
          </cell>
          <cell r="U4" t="str">
            <v xml:space="preserve"> </v>
          </cell>
          <cell r="V4" t="str">
            <v>601500</v>
          </cell>
          <cell r="W4" t="str">
            <v>4</v>
          </cell>
          <cell r="X4" t="str">
            <v xml:space="preserve">      Incentive Compensation            </v>
          </cell>
          <cell r="Y4">
            <v>0</v>
          </cell>
          <cell r="Z4">
            <v>0</v>
          </cell>
          <cell r="AA4">
            <v>14.04</v>
          </cell>
          <cell r="AB4">
            <v>0.9</v>
          </cell>
          <cell r="AC4">
            <v>14.94</v>
          </cell>
          <cell r="AD4">
            <v>20</v>
          </cell>
          <cell r="AE4">
            <v>20</v>
          </cell>
          <cell r="AF4">
            <v>20</v>
          </cell>
          <cell r="AG4">
            <v>20</v>
          </cell>
          <cell r="AH4">
            <v>80</v>
          </cell>
          <cell r="AI4" t="str">
            <v xml:space="preserve">U.S. Dollar                   </v>
          </cell>
          <cell r="AJ4" t="str">
            <v xml:space="preserve"> </v>
          </cell>
          <cell r="AK4" t="str">
            <v xml:space="preserve"> </v>
          </cell>
          <cell r="AL4" t="str">
            <v xml:space="preserve"> </v>
          </cell>
          <cell r="AM4" t="str">
            <v xml:space="preserve"> </v>
          </cell>
          <cell r="AN4" t="str">
            <v xml:space="preserve"> </v>
          </cell>
          <cell r="AO4" t="str">
            <v xml:space="preserve"> </v>
          </cell>
          <cell r="AP4" t="str">
            <v xml:space="preserve"> </v>
          </cell>
          <cell r="AQ4" t="str">
            <v xml:space="preserve"> </v>
          </cell>
        </row>
        <row r="5">
          <cell r="A5" t="str">
            <v>FB........602400</v>
          </cell>
          <cell r="B5" t="str">
            <v>2004T12</v>
          </cell>
          <cell r="C5" t="str">
            <v xml:space="preserve">TREND    </v>
          </cell>
          <cell r="D5" t="str">
            <v xml:space="preserve">Trend -  QTD Average/Activity                     </v>
          </cell>
          <cell r="E5" t="str">
            <v>Run: 08/07/03 14:02:44</v>
          </cell>
          <cell r="F5" t="str">
            <v>999</v>
          </cell>
          <cell r="G5" t="str">
            <v>100</v>
          </cell>
          <cell r="H5" t="str">
            <v xml:space="preserve">Bank Of America Management Reporting              </v>
          </cell>
          <cell r="I5" t="str">
            <v>001</v>
          </cell>
          <cell r="J5" t="str">
            <v>FB........</v>
          </cell>
          <cell r="K5" t="str">
            <v xml:space="preserve">Gcib Global Operations                            </v>
          </cell>
          <cell r="L5" t="str">
            <v xml:space="preserve"> </v>
          </cell>
          <cell r="M5" t="str">
            <v xml:space="preserve"> </v>
          </cell>
          <cell r="N5" t="str">
            <v>bamgt</v>
          </cell>
          <cell r="O5" t="str">
            <v>40</v>
          </cell>
          <cell r="P5" t="str">
            <v>600000A  600250   999999999602000   602400   999999999999999999999999999</v>
          </cell>
          <cell r="Q5" t="str">
            <v xml:space="preserve">none     </v>
          </cell>
          <cell r="R5" t="str">
            <v>RollFCST-Working Version</v>
          </cell>
          <cell r="S5" t="str">
            <v>RollFCST-Working Version</v>
          </cell>
          <cell r="T5" t="str">
            <v xml:space="preserve"> </v>
          </cell>
          <cell r="U5" t="str">
            <v xml:space="preserve"> </v>
          </cell>
          <cell r="V5" t="str">
            <v>602400</v>
          </cell>
          <cell r="W5" t="str">
            <v>5</v>
          </cell>
          <cell r="X5" t="str">
            <v xml:space="preserve">        Other Employee Compensation     </v>
          </cell>
          <cell r="Y5">
            <v>151.62</v>
          </cell>
          <cell r="Z5">
            <v>172</v>
          </cell>
          <cell r="AA5">
            <v>75</v>
          </cell>
          <cell r="AB5">
            <v>67</v>
          </cell>
          <cell r="AC5">
            <v>465.62</v>
          </cell>
          <cell r="AD5">
            <v>65</v>
          </cell>
          <cell r="AE5">
            <v>65</v>
          </cell>
          <cell r="AF5">
            <v>65</v>
          </cell>
          <cell r="AG5">
            <v>65</v>
          </cell>
          <cell r="AH5">
            <v>260</v>
          </cell>
          <cell r="AI5" t="str">
            <v xml:space="preserve">U.S. Dollar                   </v>
          </cell>
          <cell r="AJ5" t="str">
            <v xml:space="preserve"> </v>
          </cell>
          <cell r="AK5" t="str">
            <v xml:space="preserve"> </v>
          </cell>
          <cell r="AL5" t="str">
            <v xml:space="preserve"> </v>
          </cell>
          <cell r="AM5" t="str">
            <v xml:space="preserve"> </v>
          </cell>
          <cell r="AN5" t="str">
            <v xml:space="preserve"> </v>
          </cell>
          <cell r="AO5" t="str">
            <v xml:space="preserve"> </v>
          </cell>
          <cell r="AP5" t="str">
            <v xml:space="preserve"> </v>
          </cell>
          <cell r="AQ5" t="str">
            <v xml:space="preserve"> </v>
          </cell>
        </row>
        <row r="6">
          <cell r="A6" t="str">
            <v>FB........602000</v>
          </cell>
          <cell r="B6" t="str">
            <v>2004T12</v>
          </cell>
          <cell r="C6" t="str">
            <v xml:space="preserve">TREND    </v>
          </cell>
          <cell r="D6" t="str">
            <v xml:space="preserve">Trend -  QTD Average/Activity                     </v>
          </cell>
          <cell r="E6" t="str">
            <v>Run: 08/07/03 14:02:44</v>
          </cell>
          <cell r="F6" t="str">
            <v>999</v>
          </cell>
          <cell r="G6" t="str">
            <v>100</v>
          </cell>
          <cell r="H6" t="str">
            <v xml:space="preserve">Bank Of America Management Reporting              </v>
          </cell>
          <cell r="I6" t="str">
            <v>001</v>
          </cell>
          <cell r="J6" t="str">
            <v>FB........</v>
          </cell>
          <cell r="K6" t="str">
            <v xml:space="preserve">Gcib Global Operations                            </v>
          </cell>
          <cell r="L6" t="str">
            <v xml:space="preserve"> </v>
          </cell>
          <cell r="M6" t="str">
            <v xml:space="preserve"> </v>
          </cell>
          <cell r="N6" t="str">
            <v>bamgt</v>
          </cell>
          <cell r="O6" t="str">
            <v>40</v>
          </cell>
          <cell r="P6" t="str">
            <v>600000A  600250   999999999602000   999999999999999999999999999999999999</v>
          </cell>
          <cell r="Q6" t="str">
            <v xml:space="preserve">none     </v>
          </cell>
          <cell r="R6" t="str">
            <v>RollFCST-Working Version</v>
          </cell>
          <cell r="S6" t="str">
            <v>RollFCST-Working Version</v>
          </cell>
          <cell r="T6" t="str">
            <v xml:space="preserve"> </v>
          </cell>
          <cell r="U6" t="str">
            <v xml:space="preserve"> </v>
          </cell>
          <cell r="V6" t="str">
            <v>602000</v>
          </cell>
          <cell r="W6" t="str">
            <v>4</v>
          </cell>
          <cell r="X6" t="str">
            <v xml:space="preserve">      Contract Temporary/Other Compensat</v>
          </cell>
          <cell r="Y6">
            <v>858.93</v>
          </cell>
          <cell r="Z6">
            <v>755</v>
          </cell>
          <cell r="AA6">
            <v>1156.8399999999999</v>
          </cell>
          <cell r="AB6">
            <v>790.02</v>
          </cell>
          <cell r="AC6">
            <v>3560.79</v>
          </cell>
          <cell r="AD6">
            <v>528.47</v>
          </cell>
          <cell r="AE6">
            <v>540.35</v>
          </cell>
          <cell r="AF6">
            <v>540.13</v>
          </cell>
          <cell r="AG6">
            <v>537.87</v>
          </cell>
          <cell r="AH6">
            <v>2146.8200000000002</v>
          </cell>
          <cell r="AI6" t="str">
            <v xml:space="preserve">U.S. Dollar                   </v>
          </cell>
          <cell r="AJ6" t="str">
            <v xml:space="preserve"> </v>
          </cell>
          <cell r="AK6" t="str">
            <v xml:space="preserve"> </v>
          </cell>
          <cell r="AL6" t="str">
            <v xml:space="preserve"> </v>
          </cell>
          <cell r="AM6" t="str">
            <v xml:space="preserve"> </v>
          </cell>
          <cell r="AN6" t="str">
            <v xml:space="preserve"> </v>
          </cell>
          <cell r="AO6" t="str">
            <v xml:space="preserve"> </v>
          </cell>
          <cell r="AP6" t="str">
            <v xml:space="preserve"> </v>
          </cell>
          <cell r="AQ6" t="str">
            <v xml:space="preserve"> </v>
          </cell>
        </row>
        <row r="7">
          <cell r="A7" t="str">
            <v>FB........603000</v>
          </cell>
          <cell r="B7" t="str">
            <v>2004T12</v>
          </cell>
          <cell r="C7" t="str">
            <v xml:space="preserve">TREND    </v>
          </cell>
          <cell r="D7" t="str">
            <v xml:space="preserve">Trend -  QTD Average/Activity                     </v>
          </cell>
          <cell r="E7" t="str">
            <v>Run: 08/07/03 14:02:44</v>
          </cell>
          <cell r="F7" t="str">
            <v>999</v>
          </cell>
          <cell r="G7" t="str">
            <v>100</v>
          </cell>
          <cell r="H7" t="str">
            <v xml:space="preserve">Bank Of America Management Reporting              </v>
          </cell>
          <cell r="I7" t="str">
            <v>001</v>
          </cell>
          <cell r="J7" t="str">
            <v>FB........</v>
          </cell>
          <cell r="K7" t="str">
            <v xml:space="preserve">Gcib Global Operations                            </v>
          </cell>
          <cell r="L7" t="str">
            <v xml:space="preserve"> </v>
          </cell>
          <cell r="M7" t="str">
            <v xml:space="preserve"> </v>
          </cell>
          <cell r="N7" t="str">
            <v>bamgt</v>
          </cell>
          <cell r="O7" t="str">
            <v>40</v>
          </cell>
          <cell r="P7" t="str">
            <v>600000A  600250   999999999603000   999999999999999999999999999999999999</v>
          </cell>
          <cell r="Q7" t="str">
            <v xml:space="preserve">none     </v>
          </cell>
          <cell r="R7" t="str">
            <v>RollFCST-Working Version</v>
          </cell>
          <cell r="S7" t="str">
            <v>RollFCST-Working Version</v>
          </cell>
          <cell r="T7" t="str">
            <v xml:space="preserve"> </v>
          </cell>
          <cell r="U7" t="str">
            <v xml:space="preserve"> </v>
          </cell>
          <cell r="V7" t="str">
            <v>603000</v>
          </cell>
          <cell r="W7" t="str">
            <v>4</v>
          </cell>
          <cell r="X7" t="str">
            <v xml:space="preserve">      Employee Benefits                 </v>
          </cell>
          <cell r="Y7">
            <v>6261.98</v>
          </cell>
          <cell r="Z7">
            <v>5589.8508000000002</v>
          </cell>
          <cell r="AA7">
            <v>6487.4812000000002</v>
          </cell>
          <cell r="AB7">
            <v>6660.3</v>
          </cell>
          <cell r="AC7">
            <v>24999.612000000001</v>
          </cell>
          <cell r="AD7">
            <v>6881.0693000000001</v>
          </cell>
          <cell r="AE7">
            <v>7025.9861499999997</v>
          </cell>
          <cell r="AF7">
            <v>7125.5051999999996</v>
          </cell>
          <cell r="AG7">
            <v>7121.1549500000001</v>
          </cell>
          <cell r="AH7">
            <v>28153.7156</v>
          </cell>
          <cell r="AI7" t="str">
            <v xml:space="preserve">U.S. Dollar                   </v>
          </cell>
          <cell r="AJ7" t="str">
            <v xml:space="preserve"> </v>
          </cell>
          <cell r="AK7" t="str">
            <v xml:space="preserve"> </v>
          </cell>
          <cell r="AL7" t="str">
            <v xml:space="preserve"> </v>
          </cell>
          <cell r="AM7" t="str">
            <v xml:space="preserve"> </v>
          </cell>
          <cell r="AN7" t="str">
            <v xml:space="preserve"> </v>
          </cell>
          <cell r="AO7" t="str">
            <v xml:space="preserve"> </v>
          </cell>
          <cell r="AP7" t="str">
            <v xml:space="preserve"> </v>
          </cell>
          <cell r="AQ7" t="str">
            <v xml:space="preserve"> </v>
          </cell>
        </row>
        <row r="8">
          <cell r="A8" t="str">
            <v>FB........600250</v>
          </cell>
          <cell r="B8" t="str">
            <v>2004T12</v>
          </cell>
          <cell r="C8" t="str">
            <v xml:space="preserve">TREND    </v>
          </cell>
          <cell r="D8" t="str">
            <v xml:space="preserve">Trend -  QTD Average/Activity                     </v>
          </cell>
          <cell r="E8" t="str">
            <v>Run: 08/07/03 14:02:44</v>
          </cell>
          <cell r="F8" t="str">
            <v>999</v>
          </cell>
          <cell r="G8" t="str">
            <v>100</v>
          </cell>
          <cell r="H8" t="str">
            <v xml:space="preserve">Bank Of America Management Reporting              </v>
          </cell>
          <cell r="I8" t="str">
            <v>001</v>
          </cell>
          <cell r="J8" t="str">
            <v>FB........</v>
          </cell>
          <cell r="K8" t="str">
            <v xml:space="preserve">Gcib Global Operations                            </v>
          </cell>
          <cell r="L8" t="str">
            <v xml:space="preserve"> </v>
          </cell>
          <cell r="M8" t="str">
            <v xml:space="preserve"> </v>
          </cell>
          <cell r="N8" t="str">
            <v>bamgt</v>
          </cell>
          <cell r="O8" t="str">
            <v>40</v>
          </cell>
          <cell r="P8" t="str">
            <v>600000A  600250   999999999999999999999999999999999999999999999999999999</v>
          </cell>
          <cell r="Q8" t="str">
            <v xml:space="preserve">none     </v>
          </cell>
          <cell r="R8" t="str">
            <v>RollFCST-Working Version</v>
          </cell>
          <cell r="S8" t="str">
            <v>RollFCST-Working Version</v>
          </cell>
          <cell r="T8" t="str">
            <v xml:space="preserve"> </v>
          </cell>
          <cell r="U8" t="str">
            <v xml:space="preserve"> </v>
          </cell>
          <cell r="V8" t="str">
            <v>600250</v>
          </cell>
          <cell r="W8" t="str">
            <v>2</v>
          </cell>
          <cell r="X8" t="str">
            <v xml:space="preserve">  Personnel                             </v>
          </cell>
          <cell r="Y8">
            <v>32927.42</v>
          </cell>
          <cell r="Z8">
            <v>28853.900799999999</v>
          </cell>
          <cell r="AA8">
            <v>33834.711199999998</v>
          </cell>
          <cell r="AB8">
            <v>34544.949999999997</v>
          </cell>
          <cell r="AC8">
            <v>130160.982</v>
          </cell>
          <cell r="AD8">
            <v>33577.289299999997</v>
          </cell>
          <cell r="AE8">
            <v>34310.236149999997</v>
          </cell>
          <cell r="AF8">
            <v>34847.675199999998</v>
          </cell>
          <cell r="AG8">
            <v>34835.124949999998</v>
          </cell>
          <cell r="AH8">
            <v>137570.32560000001</v>
          </cell>
          <cell r="AI8" t="str">
            <v xml:space="preserve">U.S. Dollar                   </v>
          </cell>
          <cell r="AJ8" t="str">
            <v xml:space="preserve"> </v>
          </cell>
          <cell r="AK8" t="str">
            <v xml:space="preserve"> </v>
          </cell>
          <cell r="AL8" t="str">
            <v xml:space="preserve"> </v>
          </cell>
          <cell r="AM8" t="str">
            <v xml:space="preserve"> </v>
          </cell>
          <cell r="AN8" t="str">
            <v xml:space="preserve"> </v>
          </cell>
          <cell r="AO8" t="str">
            <v xml:space="preserve"> </v>
          </cell>
          <cell r="AP8" t="str">
            <v xml:space="preserve"> </v>
          </cell>
          <cell r="AQ8" t="str">
            <v xml:space="preserve"> </v>
          </cell>
        </row>
        <row r="9">
          <cell r="A9" t="str">
            <v>FB........610000</v>
          </cell>
          <cell r="B9" t="str">
            <v>2004T12</v>
          </cell>
          <cell r="C9" t="str">
            <v xml:space="preserve">TREND    </v>
          </cell>
          <cell r="D9" t="str">
            <v xml:space="preserve">Trend -  QTD Average/Activity                     </v>
          </cell>
          <cell r="E9" t="str">
            <v>Run: 08/07/03 14:02:44</v>
          </cell>
          <cell r="F9" t="str">
            <v>999</v>
          </cell>
          <cell r="G9" t="str">
            <v>100</v>
          </cell>
          <cell r="H9" t="str">
            <v xml:space="preserve">Bank Of America Management Reporting              </v>
          </cell>
          <cell r="I9" t="str">
            <v>001</v>
          </cell>
          <cell r="J9" t="str">
            <v>FB........</v>
          </cell>
          <cell r="K9" t="str">
            <v xml:space="preserve">Gcib Global Operations                            </v>
          </cell>
          <cell r="L9" t="str">
            <v xml:space="preserve"> </v>
          </cell>
          <cell r="M9" t="str">
            <v xml:space="preserve"> </v>
          </cell>
          <cell r="N9" t="str">
            <v>bamgt</v>
          </cell>
          <cell r="O9" t="str">
            <v>40</v>
          </cell>
          <cell r="P9" t="str">
            <v>600000A  610000   999999999999999999999999999999999999999999999999999999</v>
          </cell>
          <cell r="Q9" t="str">
            <v xml:space="preserve">none     </v>
          </cell>
          <cell r="R9" t="str">
            <v>RollFCST-Working Version</v>
          </cell>
          <cell r="S9" t="str">
            <v>RollFCST-Working Version</v>
          </cell>
          <cell r="T9" t="str">
            <v xml:space="preserve"> </v>
          </cell>
          <cell r="U9" t="str">
            <v xml:space="preserve"> </v>
          </cell>
          <cell r="V9" t="str">
            <v>610000</v>
          </cell>
          <cell r="W9" t="str">
            <v>2</v>
          </cell>
          <cell r="X9" t="str">
            <v xml:space="preserve">  Net Occupancy Expense                 </v>
          </cell>
          <cell r="Y9">
            <v>4498.6499999999996</v>
          </cell>
          <cell r="Z9">
            <v>4517.6099999999997</v>
          </cell>
          <cell r="AA9">
            <v>4600.42</v>
          </cell>
          <cell r="AB9">
            <v>5701.41</v>
          </cell>
          <cell r="AC9">
            <v>19318.09</v>
          </cell>
          <cell r="AD9">
            <v>5576.72</v>
          </cell>
          <cell r="AE9">
            <v>5576.72</v>
          </cell>
          <cell r="AF9">
            <v>5576.72</v>
          </cell>
          <cell r="AG9">
            <v>5579.72</v>
          </cell>
          <cell r="AH9">
            <v>22309.88</v>
          </cell>
          <cell r="AI9" t="str">
            <v xml:space="preserve">U.S. Dollar                   </v>
          </cell>
          <cell r="AJ9" t="str">
            <v xml:space="preserve"> </v>
          </cell>
          <cell r="AK9" t="str">
            <v xml:space="preserve"> </v>
          </cell>
          <cell r="AL9" t="str">
            <v xml:space="preserve"> </v>
          </cell>
          <cell r="AM9" t="str">
            <v xml:space="preserve"> </v>
          </cell>
          <cell r="AN9" t="str">
            <v xml:space="preserve"> </v>
          </cell>
          <cell r="AO9" t="str">
            <v xml:space="preserve"> </v>
          </cell>
          <cell r="AP9" t="str">
            <v xml:space="preserve"> </v>
          </cell>
          <cell r="AQ9" t="str">
            <v xml:space="preserve"> </v>
          </cell>
        </row>
        <row r="10">
          <cell r="A10" t="str">
            <v>FB........620000</v>
          </cell>
          <cell r="B10" t="str">
            <v>2004T12</v>
          </cell>
          <cell r="C10" t="str">
            <v xml:space="preserve">TREND    </v>
          </cell>
          <cell r="D10" t="str">
            <v xml:space="preserve">Trend -  QTD Average/Activity                     </v>
          </cell>
          <cell r="E10" t="str">
            <v>Run: 08/07/03 14:02:44</v>
          </cell>
          <cell r="F10" t="str">
            <v>999</v>
          </cell>
          <cell r="G10" t="str">
            <v>100</v>
          </cell>
          <cell r="H10" t="str">
            <v xml:space="preserve">Bank Of America Management Reporting              </v>
          </cell>
          <cell r="I10" t="str">
            <v>001</v>
          </cell>
          <cell r="J10" t="str">
            <v>FB........</v>
          </cell>
          <cell r="K10" t="str">
            <v xml:space="preserve">Gcib Global Operations                            </v>
          </cell>
          <cell r="L10" t="str">
            <v xml:space="preserve"> </v>
          </cell>
          <cell r="M10" t="str">
            <v xml:space="preserve"> </v>
          </cell>
          <cell r="N10" t="str">
            <v>bamgt</v>
          </cell>
          <cell r="O10" t="str">
            <v>40</v>
          </cell>
          <cell r="P10" t="str">
            <v>600000A  620000   999999999999999999999999999999999999999999999999999999</v>
          </cell>
          <cell r="Q10" t="str">
            <v xml:space="preserve">none     </v>
          </cell>
          <cell r="R10" t="str">
            <v>RollFCST-Working Version</v>
          </cell>
          <cell r="S10" t="str">
            <v>RollFCST-Working Version</v>
          </cell>
          <cell r="T10" t="str">
            <v xml:space="preserve"> </v>
          </cell>
          <cell r="U10" t="str">
            <v xml:space="preserve"> </v>
          </cell>
          <cell r="V10" t="str">
            <v>620000</v>
          </cell>
          <cell r="W10" t="str">
            <v>2</v>
          </cell>
          <cell r="X10" t="str">
            <v xml:space="preserve">  Furniture &amp; Equipment                 </v>
          </cell>
          <cell r="Y10">
            <v>1722.72</v>
          </cell>
          <cell r="Z10">
            <v>1657.31</v>
          </cell>
          <cell r="AA10">
            <v>1818.48</v>
          </cell>
          <cell r="AB10">
            <v>1158.2</v>
          </cell>
          <cell r="AC10">
            <v>6356.71</v>
          </cell>
          <cell r="AD10">
            <v>1207.5</v>
          </cell>
          <cell r="AE10">
            <v>1151.53</v>
          </cell>
          <cell r="AF10">
            <v>1130.03</v>
          </cell>
          <cell r="AG10">
            <v>1097.3900000000001</v>
          </cell>
          <cell r="AH10">
            <v>4586.45</v>
          </cell>
          <cell r="AI10" t="str">
            <v xml:space="preserve">U.S. Dollar                   </v>
          </cell>
          <cell r="AJ10" t="str">
            <v xml:space="preserve"> </v>
          </cell>
          <cell r="AK10" t="str">
            <v xml:space="preserve"> </v>
          </cell>
          <cell r="AL10" t="str">
            <v xml:space="preserve"> </v>
          </cell>
          <cell r="AM10" t="str">
            <v xml:space="preserve"> </v>
          </cell>
          <cell r="AN10" t="str">
            <v xml:space="preserve"> </v>
          </cell>
          <cell r="AO10" t="str">
            <v xml:space="preserve"> </v>
          </cell>
          <cell r="AP10" t="str">
            <v xml:space="preserve"> </v>
          </cell>
          <cell r="AQ10" t="str">
            <v xml:space="preserve"> </v>
          </cell>
        </row>
        <row r="11">
          <cell r="A11" t="str">
            <v>FB........623000</v>
          </cell>
          <cell r="B11" t="str">
            <v>2004T12</v>
          </cell>
          <cell r="C11" t="str">
            <v xml:space="preserve">TREND    </v>
          </cell>
          <cell r="D11" t="str">
            <v xml:space="preserve">Trend -  QTD Average/Activity                     </v>
          </cell>
          <cell r="E11" t="str">
            <v>Run: 08/07/03 14:02:44</v>
          </cell>
          <cell r="F11" t="str">
            <v>999</v>
          </cell>
          <cell r="G11" t="str">
            <v>100</v>
          </cell>
          <cell r="H11" t="str">
            <v xml:space="preserve">Bank Of America Management Reporting              </v>
          </cell>
          <cell r="I11" t="str">
            <v>001</v>
          </cell>
          <cell r="J11" t="str">
            <v>FB........</v>
          </cell>
          <cell r="K11" t="str">
            <v xml:space="preserve">Gcib Global Operations                            </v>
          </cell>
          <cell r="L11" t="str">
            <v xml:space="preserve"> </v>
          </cell>
          <cell r="M11" t="str">
            <v xml:space="preserve"> </v>
          </cell>
          <cell r="N11" t="str">
            <v>bamgt</v>
          </cell>
          <cell r="O11" t="str">
            <v>40</v>
          </cell>
          <cell r="P11" t="str">
            <v>600000A  623000   999999999999999999999999999999999999999999999999999999</v>
          </cell>
          <cell r="Q11" t="str">
            <v xml:space="preserve">none     </v>
          </cell>
          <cell r="R11" t="str">
            <v>RollFCST-Working Version</v>
          </cell>
          <cell r="S11" t="str">
            <v>RollFCST-Working Version</v>
          </cell>
          <cell r="T11" t="str">
            <v xml:space="preserve"> </v>
          </cell>
          <cell r="U11" t="str">
            <v xml:space="preserve"> </v>
          </cell>
          <cell r="V11" t="str">
            <v>623000</v>
          </cell>
          <cell r="W11" t="str">
            <v>2</v>
          </cell>
          <cell r="X11" t="str">
            <v xml:space="preserve">  Marketing &amp; Promotional               </v>
          </cell>
          <cell r="Y11">
            <v>20.420000000000002</v>
          </cell>
          <cell r="Z11">
            <v>-3.19</v>
          </cell>
          <cell r="AA11">
            <v>19.5</v>
          </cell>
          <cell r="AB11">
            <v>15.78</v>
          </cell>
          <cell r="AC11">
            <v>52.51</v>
          </cell>
          <cell r="AD11">
            <v>16.39</v>
          </cell>
          <cell r="AE11">
            <v>16.399999999999999</v>
          </cell>
          <cell r="AF11">
            <v>16.350000000000001</v>
          </cell>
          <cell r="AG11">
            <v>16.36</v>
          </cell>
          <cell r="AH11">
            <v>65.5</v>
          </cell>
          <cell r="AI11" t="str">
            <v xml:space="preserve">U.S. Dollar                   </v>
          </cell>
          <cell r="AJ11" t="str">
            <v xml:space="preserve"> </v>
          </cell>
          <cell r="AK11" t="str">
            <v xml:space="preserve"> </v>
          </cell>
          <cell r="AL11" t="str">
            <v xml:space="preserve"> </v>
          </cell>
          <cell r="AM11" t="str">
            <v xml:space="preserve"> </v>
          </cell>
          <cell r="AN11" t="str">
            <v xml:space="preserve"> </v>
          </cell>
          <cell r="AO11" t="str">
            <v xml:space="preserve"> </v>
          </cell>
          <cell r="AP11" t="str">
            <v xml:space="preserve"> </v>
          </cell>
          <cell r="AQ11" t="str">
            <v xml:space="preserve"> </v>
          </cell>
        </row>
        <row r="12">
          <cell r="A12" t="str">
            <v>FB........630000</v>
          </cell>
          <cell r="B12" t="str">
            <v>2004T12</v>
          </cell>
          <cell r="C12" t="str">
            <v xml:space="preserve">TREND    </v>
          </cell>
          <cell r="D12" t="str">
            <v xml:space="preserve">Trend -  QTD Average/Activity                     </v>
          </cell>
          <cell r="E12" t="str">
            <v>Run: 08/07/03 14:02:44</v>
          </cell>
          <cell r="F12" t="str">
            <v>999</v>
          </cell>
          <cell r="G12" t="str">
            <v>100</v>
          </cell>
          <cell r="H12" t="str">
            <v xml:space="preserve">Bank Of America Management Reporting              </v>
          </cell>
          <cell r="I12" t="str">
            <v>001</v>
          </cell>
          <cell r="J12" t="str">
            <v>FB........</v>
          </cell>
          <cell r="K12" t="str">
            <v xml:space="preserve">Gcib Global Operations                            </v>
          </cell>
          <cell r="L12" t="str">
            <v xml:space="preserve"> </v>
          </cell>
          <cell r="M12" t="str">
            <v xml:space="preserve"> </v>
          </cell>
          <cell r="N12" t="str">
            <v>bamgt</v>
          </cell>
          <cell r="O12" t="str">
            <v>40</v>
          </cell>
          <cell r="P12" t="str">
            <v>600000A  630000   999999999999999999999999999999999999999999999999999999</v>
          </cell>
          <cell r="Q12" t="str">
            <v xml:space="preserve">none     </v>
          </cell>
          <cell r="R12" t="str">
            <v>RollFCST-Working Version</v>
          </cell>
          <cell r="S12" t="str">
            <v>RollFCST-Working Version</v>
          </cell>
          <cell r="T12" t="str">
            <v xml:space="preserve"> </v>
          </cell>
          <cell r="U12" t="str">
            <v xml:space="preserve"> </v>
          </cell>
          <cell r="V12" t="str">
            <v>630000</v>
          </cell>
          <cell r="W12" t="str">
            <v>2</v>
          </cell>
          <cell r="X12" t="str">
            <v xml:space="preserve">  Professional Fees                     </v>
          </cell>
          <cell r="Y12">
            <v>322.64999999999998</v>
          </cell>
          <cell r="Z12">
            <v>451.21</v>
          </cell>
          <cell r="AA12">
            <v>464.69</v>
          </cell>
          <cell r="AB12">
            <v>501.41</v>
          </cell>
          <cell r="AC12">
            <v>1739.96</v>
          </cell>
          <cell r="AD12">
            <v>142.84</v>
          </cell>
          <cell r="AE12">
            <v>235.77</v>
          </cell>
          <cell r="AF12">
            <v>182.63</v>
          </cell>
          <cell r="AG12">
            <v>144.47999999999999</v>
          </cell>
          <cell r="AH12">
            <v>705.72</v>
          </cell>
          <cell r="AI12" t="str">
            <v xml:space="preserve">U.S. Dollar                   </v>
          </cell>
          <cell r="AJ12" t="str">
            <v xml:space="preserve"> </v>
          </cell>
          <cell r="AK12" t="str">
            <v xml:space="preserve"> </v>
          </cell>
          <cell r="AL12" t="str">
            <v xml:space="preserve"> </v>
          </cell>
          <cell r="AM12" t="str">
            <v xml:space="preserve"> </v>
          </cell>
          <cell r="AN12" t="str">
            <v xml:space="preserve"> </v>
          </cell>
          <cell r="AO12" t="str">
            <v xml:space="preserve"> </v>
          </cell>
          <cell r="AP12" t="str">
            <v xml:space="preserve"> </v>
          </cell>
          <cell r="AQ12" t="str">
            <v xml:space="preserve"> </v>
          </cell>
        </row>
        <row r="13">
          <cell r="A13" t="str">
            <v>FB........651500A</v>
          </cell>
          <cell r="B13" t="str">
            <v>2004T12</v>
          </cell>
          <cell r="C13" t="str">
            <v xml:space="preserve">TREND    </v>
          </cell>
          <cell r="D13" t="str">
            <v xml:space="preserve">Trend -  QTD Average/Activity                     </v>
          </cell>
          <cell r="E13" t="str">
            <v>Run: 08/07/03 14:02:44</v>
          </cell>
          <cell r="F13" t="str">
            <v>999</v>
          </cell>
          <cell r="G13" t="str">
            <v>100</v>
          </cell>
          <cell r="H13" t="str">
            <v xml:space="preserve">Bank Of America Management Reporting              </v>
          </cell>
          <cell r="I13" t="str">
            <v>001</v>
          </cell>
          <cell r="J13" t="str">
            <v>FB........</v>
          </cell>
          <cell r="K13" t="str">
            <v xml:space="preserve">Gcib Global Operations                            </v>
          </cell>
          <cell r="L13" t="str">
            <v xml:space="preserve"> </v>
          </cell>
          <cell r="M13" t="str">
            <v xml:space="preserve"> </v>
          </cell>
          <cell r="N13" t="str">
            <v>bamgt</v>
          </cell>
          <cell r="O13" t="str">
            <v>40</v>
          </cell>
          <cell r="P13" t="str">
            <v>600000A  651500A  999999999999999999999999999999999999999999999999999999</v>
          </cell>
          <cell r="Q13" t="str">
            <v xml:space="preserve">none     </v>
          </cell>
          <cell r="R13" t="str">
            <v>RollFCST-Working Version</v>
          </cell>
          <cell r="S13" t="str">
            <v>RollFCST-Working Version</v>
          </cell>
          <cell r="T13" t="str">
            <v xml:space="preserve"> </v>
          </cell>
          <cell r="U13" t="str">
            <v xml:space="preserve"> </v>
          </cell>
          <cell r="V13" t="str">
            <v>651500A</v>
          </cell>
          <cell r="W13" t="str">
            <v>2</v>
          </cell>
          <cell r="X13" t="str">
            <v xml:space="preserve">  Direct Processing Expense             </v>
          </cell>
          <cell r="Y13">
            <v>13350.37</v>
          </cell>
          <cell r="Z13">
            <v>6982.98</v>
          </cell>
          <cell r="AA13">
            <v>10096.93</v>
          </cell>
          <cell r="AB13">
            <v>10286.43</v>
          </cell>
          <cell r="AC13">
            <v>40716.71</v>
          </cell>
          <cell r="AD13">
            <v>11382.42</v>
          </cell>
          <cell r="AE13">
            <v>11254.83</v>
          </cell>
          <cell r="AF13">
            <v>10876.8</v>
          </cell>
          <cell r="AG13">
            <v>11510.62</v>
          </cell>
          <cell r="AH13">
            <v>45024.67</v>
          </cell>
          <cell r="AI13" t="str">
            <v xml:space="preserve">U.S. Dollar                   </v>
          </cell>
          <cell r="AJ13" t="str">
            <v xml:space="preserve"> </v>
          </cell>
          <cell r="AK13" t="str">
            <v xml:space="preserve"> </v>
          </cell>
          <cell r="AL13" t="str">
            <v xml:space="preserve"> </v>
          </cell>
          <cell r="AM13" t="str">
            <v xml:space="preserve"> </v>
          </cell>
          <cell r="AN13" t="str">
            <v xml:space="preserve"> </v>
          </cell>
          <cell r="AO13" t="str">
            <v xml:space="preserve"> </v>
          </cell>
          <cell r="AP13" t="str">
            <v xml:space="preserve"> </v>
          </cell>
          <cell r="AQ13" t="str">
            <v xml:space="preserve"> </v>
          </cell>
        </row>
        <row r="14">
          <cell r="A14" t="str">
            <v>FB........660000A</v>
          </cell>
          <cell r="B14" t="str">
            <v>2004T12</v>
          </cell>
          <cell r="C14" t="str">
            <v xml:space="preserve">TREND    </v>
          </cell>
          <cell r="D14" t="str">
            <v xml:space="preserve">Trend -  QTD Average/Activity                     </v>
          </cell>
          <cell r="E14" t="str">
            <v>Run: 08/07/03 14:02:44</v>
          </cell>
          <cell r="F14" t="str">
            <v>999</v>
          </cell>
          <cell r="G14" t="str">
            <v>100</v>
          </cell>
          <cell r="H14" t="str">
            <v xml:space="preserve">Bank Of America Management Reporting              </v>
          </cell>
          <cell r="I14" t="str">
            <v>001</v>
          </cell>
          <cell r="J14" t="str">
            <v>FB........</v>
          </cell>
          <cell r="K14" t="str">
            <v xml:space="preserve">Gcib Global Operations                            </v>
          </cell>
          <cell r="L14" t="str">
            <v xml:space="preserve"> </v>
          </cell>
          <cell r="M14" t="str">
            <v xml:space="preserve"> </v>
          </cell>
          <cell r="N14" t="str">
            <v>bamgt</v>
          </cell>
          <cell r="O14" t="str">
            <v>40</v>
          </cell>
          <cell r="P14" t="str">
            <v>600000A  660000A  999999999999999999999999999999999999999999999999999999</v>
          </cell>
          <cell r="Q14" t="str">
            <v xml:space="preserve">none     </v>
          </cell>
          <cell r="R14" t="str">
            <v>RollFCST-Working Version</v>
          </cell>
          <cell r="S14" t="str">
            <v>RollFCST-Working Version</v>
          </cell>
          <cell r="T14" t="str">
            <v xml:space="preserve"> </v>
          </cell>
          <cell r="U14" t="str">
            <v xml:space="preserve"> </v>
          </cell>
          <cell r="V14" t="str">
            <v>660000A</v>
          </cell>
          <cell r="W14" t="str">
            <v>2</v>
          </cell>
          <cell r="X14" t="str">
            <v xml:space="preserve">  Telecommunications                    </v>
          </cell>
          <cell r="Y14">
            <v>1106.3900000000001</v>
          </cell>
          <cell r="Z14">
            <v>1077.1400000000001</v>
          </cell>
          <cell r="AA14">
            <v>1064.07</v>
          </cell>
          <cell r="AB14">
            <v>1005.16</v>
          </cell>
          <cell r="AC14">
            <v>4252.76</v>
          </cell>
          <cell r="AD14">
            <v>936.46</v>
          </cell>
          <cell r="AE14">
            <v>916.09</v>
          </cell>
          <cell r="AF14">
            <v>931.01</v>
          </cell>
          <cell r="AG14">
            <v>933.9</v>
          </cell>
          <cell r="AH14">
            <v>3717.46</v>
          </cell>
          <cell r="AI14" t="str">
            <v xml:space="preserve">U.S. Dollar                   </v>
          </cell>
          <cell r="AJ14" t="str">
            <v xml:space="preserve"> </v>
          </cell>
          <cell r="AK14" t="str">
            <v xml:space="preserve"> </v>
          </cell>
          <cell r="AL14" t="str">
            <v xml:space="preserve"> </v>
          </cell>
          <cell r="AM14" t="str">
            <v xml:space="preserve"> </v>
          </cell>
          <cell r="AN14" t="str">
            <v xml:space="preserve"> </v>
          </cell>
          <cell r="AO14" t="str">
            <v xml:space="preserve"> </v>
          </cell>
          <cell r="AP14" t="str">
            <v xml:space="preserve"> </v>
          </cell>
          <cell r="AQ14" t="str">
            <v xml:space="preserve"> </v>
          </cell>
        </row>
        <row r="15">
          <cell r="A15" t="str">
            <v>FB........663000</v>
          </cell>
          <cell r="B15" t="str">
            <v>2004T12</v>
          </cell>
          <cell r="C15" t="str">
            <v xml:space="preserve">TREND    </v>
          </cell>
          <cell r="D15" t="str">
            <v xml:space="preserve">Trend -  QTD Average/Activity                     </v>
          </cell>
          <cell r="E15" t="str">
            <v>Run: 08/07/03 14:02:44</v>
          </cell>
          <cell r="F15" t="str">
            <v>999</v>
          </cell>
          <cell r="G15" t="str">
            <v>100</v>
          </cell>
          <cell r="H15" t="str">
            <v xml:space="preserve">Bank Of America Management Reporting              </v>
          </cell>
          <cell r="I15" t="str">
            <v>001</v>
          </cell>
          <cell r="J15" t="str">
            <v>FB........</v>
          </cell>
          <cell r="K15" t="str">
            <v xml:space="preserve">Gcib Global Operations                            </v>
          </cell>
          <cell r="L15" t="str">
            <v xml:space="preserve"> </v>
          </cell>
          <cell r="M15" t="str">
            <v xml:space="preserve"> </v>
          </cell>
          <cell r="N15" t="str">
            <v>bamgt</v>
          </cell>
          <cell r="O15" t="str">
            <v>40</v>
          </cell>
          <cell r="P15" t="str">
            <v>600000A  662999B  662999C  663000   999999999999999999999999999999999999</v>
          </cell>
          <cell r="Q15" t="str">
            <v xml:space="preserve">none     </v>
          </cell>
          <cell r="R15" t="str">
            <v>RollFCST-Working Version</v>
          </cell>
          <cell r="S15" t="str">
            <v>RollFCST-Working Version</v>
          </cell>
          <cell r="T15" t="str">
            <v xml:space="preserve"> </v>
          </cell>
          <cell r="U15" t="str">
            <v xml:space="preserve"> </v>
          </cell>
          <cell r="V15" t="str">
            <v>663000</v>
          </cell>
          <cell r="W15" t="str">
            <v>4</v>
          </cell>
          <cell r="X15" t="str">
            <v xml:space="preserve">      Supplies                          </v>
          </cell>
          <cell r="Y15">
            <v>998.71</v>
          </cell>
          <cell r="Z15">
            <v>889.62</v>
          </cell>
          <cell r="AA15">
            <v>1367.03</v>
          </cell>
          <cell r="AB15">
            <v>1073.3499999999999</v>
          </cell>
          <cell r="AC15">
            <v>4328.71</v>
          </cell>
          <cell r="AD15">
            <v>1068.26</v>
          </cell>
          <cell r="AE15">
            <v>1054.19</v>
          </cell>
          <cell r="AF15">
            <v>1060.05</v>
          </cell>
          <cell r="AG15">
            <v>1059.9000000000001</v>
          </cell>
          <cell r="AH15">
            <v>4242.3999999999996</v>
          </cell>
          <cell r="AI15" t="str">
            <v xml:space="preserve">U.S. Dollar                   </v>
          </cell>
          <cell r="AJ15" t="str">
            <v xml:space="preserve"> </v>
          </cell>
          <cell r="AK15" t="str">
            <v xml:space="preserve"> </v>
          </cell>
          <cell r="AL15" t="str">
            <v xml:space="preserve"> </v>
          </cell>
          <cell r="AM15" t="str">
            <v xml:space="preserve"> </v>
          </cell>
          <cell r="AN15" t="str">
            <v xml:space="preserve"> </v>
          </cell>
          <cell r="AO15" t="str">
            <v xml:space="preserve"> </v>
          </cell>
          <cell r="AP15" t="str">
            <v xml:space="preserve"> </v>
          </cell>
          <cell r="AQ15" t="str">
            <v xml:space="preserve"> </v>
          </cell>
        </row>
        <row r="16">
          <cell r="A16" t="str">
            <v>FB........664500</v>
          </cell>
          <cell r="B16" t="str">
            <v>2004T12</v>
          </cell>
          <cell r="C16" t="str">
            <v xml:space="preserve">TREND    </v>
          </cell>
          <cell r="D16" t="str">
            <v xml:space="preserve">Trend -  QTD Average/Activity                     </v>
          </cell>
          <cell r="E16" t="str">
            <v>Run: 08/07/03 14:02:44</v>
          </cell>
          <cell r="F16" t="str">
            <v>999</v>
          </cell>
          <cell r="G16" t="str">
            <v>100</v>
          </cell>
          <cell r="H16" t="str">
            <v xml:space="preserve">Bank Of America Management Reporting              </v>
          </cell>
          <cell r="I16" t="str">
            <v>001</v>
          </cell>
          <cell r="J16" t="str">
            <v>FB........</v>
          </cell>
          <cell r="K16" t="str">
            <v xml:space="preserve">Gcib Global Operations                            </v>
          </cell>
          <cell r="L16" t="str">
            <v xml:space="preserve"> </v>
          </cell>
          <cell r="M16" t="str">
            <v xml:space="preserve"> </v>
          </cell>
          <cell r="N16" t="str">
            <v>bamgt</v>
          </cell>
          <cell r="O16" t="str">
            <v>40</v>
          </cell>
          <cell r="P16" t="str">
            <v>600000A  662999B  662999C  664500   999999999999999999999999999999999999</v>
          </cell>
          <cell r="Q16" t="str">
            <v xml:space="preserve">none     </v>
          </cell>
          <cell r="R16" t="str">
            <v>RollFCST-Working Version</v>
          </cell>
          <cell r="S16" t="str">
            <v>RollFCST-Working Version</v>
          </cell>
          <cell r="T16" t="str">
            <v xml:space="preserve"> </v>
          </cell>
          <cell r="U16" t="str">
            <v xml:space="preserve"> </v>
          </cell>
          <cell r="V16" t="str">
            <v>664500</v>
          </cell>
          <cell r="W16" t="str">
            <v>4</v>
          </cell>
          <cell r="X16" t="str">
            <v xml:space="preserve">      Postage And Courier               </v>
          </cell>
          <cell r="Y16">
            <v>875.2</v>
          </cell>
          <cell r="Z16">
            <v>389.39</v>
          </cell>
          <cell r="AA16">
            <v>529.27</v>
          </cell>
          <cell r="AB16">
            <v>524.25</v>
          </cell>
          <cell r="AC16">
            <v>2318.11</v>
          </cell>
          <cell r="AD16">
            <v>775.7</v>
          </cell>
          <cell r="AE16">
            <v>779.69</v>
          </cell>
          <cell r="AF16">
            <v>783.64</v>
          </cell>
          <cell r="AG16">
            <v>786.58</v>
          </cell>
          <cell r="AH16">
            <v>3125.61</v>
          </cell>
          <cell r="AI16" t="str">
            <v xml:space="preserve">U.S. Dollar                   </v>
          </cell>
          <cell r="AJ16" t="str">
            <v xml:space="preserve"> </v>
          </cell>
          <cell r="AK16" t="str">
            <v xml:space="preserve"> </v>
          </cell>
          <cell r="AL16" t="str">
            <v xml:space="preserve"> </v>
          </cell>
          <cell r="AM16" t="str">
            <v xml:space="preserve"> </v>
          </cell>
          <cell r="AN16" t="str">
            <v xml:space="preserve"> </v>
          </cell>
          <cell r="AO16" t="str">
            <v xml:space="preserve"> </v>
          </cell>
          <cell r="AP16" t="str">
            <v xml:space="preserve"> </v>
          </cell>
          <cell r="AQ16" t="str">
            <v xml:space="preserve"> </v>
          </cell>
        </row>
        <row r="17">
          <cell r="A17" t="str">
            <v>FB........665499F</v>
          </cell>
          <cell r="B17" t="str">
            <v>2004T12</v>
          </cell>
          <cell r="C17" t="str">
            <v xml:space="preserve">TREND    </v>
          </cell>
          <cell r="D17" t="str">
            <v xml:space="preserve">Trend -  QTD Average/Activity                     </v>
          </cell>
          <cell r="E17" t="str">
            <v>Run: 08/07/03 14:02:44</v>
          </cell>
          <cell r="F17" t="str">
            <v>999</v>
          </cell>
          <cell r="G17" t="str">
            <v>100</v>
          </cell>
          <cell r="H17" t="str">
            <v xml:space="preserve">Bank Of America Management Reporting              </v>
          </cell>
          <cell r="I17" t="str">
            <v>001</v>
          </cell>
          <cell r="J17" t="str">
            <v>FB........</v>
          </cell>
          <cell r="K17" t="str">
            <v xml:space="preserve">Gcib Global Operations                            </v>
          </cell>
          <cell r="L17" t="str">
            <v xml:space="preserve"> </v>
          </cell>
          <cell r="M17" t="str">
            <v xml:space="preserve"> </v>
          </cell>
          <cell r="N17" t="str">
            <v>bamgt</v>
          </cell>
          <cell r="O17" t="str">
            <v>40</v>
          </cell>
          <cell r="P17" t="str">
            <v>600000A  662999B  662999C  665499B  665499D  665499F  999999999999999999</v>
          </cell>
          <cell r="Q17" t="str">
            <v xml:space="preserve">none     </v>
          </cell>
          <cell r="R17" t="str">
            <v>RollFCST-Working Version</v>
          </cell>
          <cell r="S17" t="str">
            <v>RollFCST-Working Version</v>
          </cell>
          <cell r="T17" t="str">
            <v xml:space="preserve"> </v>
          </cell>
          <cell r="U17" t="str">
            <v xml:space="preserve"> </v>
          </cell>
          <cell r="V17" t="str">
            <v>665499F</v>
          </cell>
          <cell r="W17" t="str">
            <v>6</v>
          </cell>
          <cell r="X17" t="str">
            <v xml:space="preserve">          Relocation Expense            </v>
          </cell>
          <cell r="Y17">
            <v>0</v>
          </cell>
          <cell r="Z17">
            <v>173</v>
          </cell>
          <cell r="AA17">
            <v>0</v>
          </cell>
          <cell r="AB17">
            <v>0</v>
          </cell>
          <cell r="AC17">
            <v>173</v>
          </cell>
          <cell r="AD17">
            <v>140</v>
          </cell>
          <cell r="AE17">
            <v>47</v>
          </cell>
          <cell r="AF17">
            <v>47</v>
          </cell>
          <cell r="AG17">
            <v>47</v>
          </cell>
          <cell r="AH17">
            <v>281</v>
          </cell>
          <cell r="AI17" t="str">
            <v xml:space="preserve">U.S. Dollar                   </v>
          </cell>
          <cell r="AJ17" t="str">
            <v xml:space="preserve"> </v>
          </cell>
          <cell r="AK17" t="str">
            <v xml:space="preserve"> </v>
          </cell>
          <cell r="AL17" t="str">
            <v xml:space="preserve"> </v>
          </cell>
          <cell r="AM17" t="str">
            <v xml:space="preserve"> </v>
          </cell>
          <cell r="AN17" t="str">
            <v xml:space="preserve"> </v>
          </cell>
          <cell r="AO17" t="str">
            <v xml:space="preserve"> </v>
          </cell>
          <cell r="AP17" t="str">
            <v xml:space="preserve"> </v>
          </cell>
          <cell r="AQ17" t="str">
            <v xml:space="preserve"> </v>
          </cell>
        </row>
        <row r="18">
          <cell r="A18" t="str">
            <v>FB........665499J</v>
          </cell>
          <cell r="B18" t="str">
            <v>2004T12</v>
          </cell>
          <cell r="C18" t="str">
            <v xml:space="preserve">TREND    </v>
          </cell>
          <cell r="D18" t="str">
            <v xml:space="preserve">Trend -  QTD Average/Activity                     </v>
          </cell>
          <cell r="E18" t="str">
            <v>Run: 08/07/03 14:02:44</v>
          </cell>
          <cell r="F18" t="str">
            <v>999</v>
          </cell>
          <cell r="G18" t="str">
            <v>100</v>
          </cell>
          <cell r="H18" t="str">
            <v xml:space="preserve">Bank Of America Management Reporting              </v>
          </cell>
          <cell r="I18" t="str">
            <v>001</v>
          </cell>
          <cell r="J18" t="str">
            <v>FB........</v>
          </cell>
          <cell r="K18" t="str">
            <v xml:space="preserve">Gcib Global Operations                            </v>
          </cell>
          <cell r="L18" t="str">
            <v xml:space="preserve"> </v>
          </cell>
          <cell r="M18" t="str">
            <v xml:space="preserve"> </v>
          </cell>
          <cell r="N18" t="str">
            <v>bamgt</v>
          </cell>
          <cell r="O18" t="str">
            <v>40</v>
          </cell>
          <cell r="P18" t="str">
            <v>600000A  662999B  662999C  665499B  665499D  665499H  665499J  999999999</v>
          </cell>
          <cell r="Q18" t="str">
            <v xml:space="preserve">none     </v>
          </cell>
          <cell r="R18" t="str">
            <v>RollFCST-Working Version</v>
          </cell>
          <cell r="S18" t="str">
            <v>RollFCST-Working Version</v>
          </cell>
          <cell r="T18" t="str">
            <v xml:space="preserve"> </v>
          </cell>
          <cell r="U18" t="str">
            <v xml:space="preserve"> </v>
          </cell>
          <cell r="V18" t="str">
            <v>665499J</v>
          </cell>
          <cell r="W18" t="str">
            <v>7</v>
          </cell>
          <cell r="X18" t="str">
            <v xml:space="preserve">            Employee Training &amp; Seminars</v>
          </cell>
          <cell r="Y18">
            <v>165</v>
          </cell>
          <cell r="Z18">
            <v>187</v>
          </cell>
          <cell r="AA18">
            <v>243.06</v>
          </cell>
          <cell r="AB18">
            <v>238.04</v>
          </cell>
          <cell r="AC18">
            <v>833.1</v>
          </cell>
          <cell r="AD18">
            <v>326.51</v>
          </cell>
          <cell r="AE18">
            <v>263.19</v>
          </cell>
          <cell r="AF18">
            <v>263.05</v>
          </cell>
          <cell r="AG18">
            <v>236.79</v>
          </cell>
          <cell r="AH18">
            <v>1089.54</v>
          </cell>
          <cell r="AI18" t="str">
            <v xml:space="preserve">U.S. Dollar                   </v>
          </cell>
          <cell r="AJ18" t="str">
            <v xml:space="preserve"> </v>
          </cell>
          <cell r="AK18" t="str">
            <v xml:space="preserve"> </v>
          </cell>
          <cell r="AL18" t="str">
            <v xml:space="preserve"> </v>
          </cell>
          <cell r="AM18" t="str">
            <v xml:space="preserve"> </v>
          </cell>
          <cell r="AN18" t="str">
            <v xml:space="preserve"> </v>
          </cell>
          <cell r="AO18" t="str">
            <v xml:space="preserve"> </v>
          </cell>
          <cell r="AP18" t="str">
            <v xml:space="preserve"> </v>
          </cell>
          <cell r="AQ18" t="str">
            <v xml:space="preserve"> </v>
          </cell>
        </row>
        <row r="19">
          <cell r="A19" t="str">
            <v>FB........665499H</v>
          </cell>
          <cell r="B19" t="str">
            <v>2004T12</v>
          </cell>
          <cell r="C19" t="str">
            <v xml:space="preserve">TREND    </v>
          </cell>
          <cell r="D19" t="str">
            <v xml:space="preserve">Trend -  QTD Average/Activity                     </v>
          </cell>
          <cell r="E19" t="str">
            <v>Run: 08/07/03 14:02:44</v>
          </cell>
          <cell r="F19" t="str">
            <v>999</v>
          </cell>
          <cell r="G19" t="str">
            <v>100</v>
          </cell>
          <cell r="H19" t="str">
            <v xml:space="preserve">Bank Of America Management Reporting              </v>
          </cell>
          <cell r="I19" t="str">
            <v>001</v>
          </cell>
          <cell r="J19" t="str">
            <v>FB........</v>
          </cell>
          <cell r="K19" t="str">
            <v xml:space="preserve">Gcib Global Operations                            </v>
          </cell>
          <cell r="L19" t="str">
            <v xml:space="preserve"> </v>
          </cell>
          <cell r="M19" t="str">
            <v xml:space="preserve"> </v>
          </cell>
          <cell r="N19" t="str">
            <v>bamgt</v>
          </cell>
          <cell r="O19" t="str">
            <v>40</v>
          </cell>
          <cell r="P19" t="str">
            <v>600000A  662999B  662999C  665499B  665499D  665499H  999999999999999999</v>
          </cell>
          <cell r="Q19" t="str">
            <v xml:space="preserve">none     </v>
          </cell>
          <cell r="R19" t="str">
            <v>RollFCST-Working Version</v>
          </cell>
          <cell r="S19" t="str">
            <v>RollFCST-Working Version</v>
          </cell>
          <cell r="T19" t="str">
            <v xml:space="preserve"> </v>
          </cell>
          <cell r="U19" t="str">
            <v xml:space="preserve"> </v>
          </cell>
          <cell r="V19" t="str">
            <v>665499H</v>
          </cell>
          <cell r="W19" t="str">
            <v>6</v>
          </cell>
          <cell r="X19" t="str">
            <v xml:space="preserve">          Other Employee Expense        </v>
          </cell>
          <cell r="Y19">
            <v>165</v>
          </cell>
          <cell r="Z19">
            <v>187</v>
          </cell>
          <cell r="AA19">
            <v>243.06</v>
          </cell>
          <cell r="AB19">
            <v>238.04</v>
          </cell>
          <cell r="AC19">
            <v>833.1</v>
          </cell>
          <cell r="AD19">
            <v>326.51</v>
          </cell>
          <cell r="AE19">
            <v>263.19</v>
          </cell>
          <cell r="AF19">
            <v>263.05</v>
          </cell>
          <cell r="AG19">
            <v>236.79</v>
          </cell>
          <cell r="AH19">
            <v>1089.54</v>
          </cell>
          <cell r="AI19" t="str">
            <v xml:space="preserve">U.S. Dollar                   </v>
          </cell>
          <cell r="AJ19" t="str">
            <v xml:space="preserve"> </v>
          </cell>
          <cell r="AK19" t="str">
            <v xml:space="preserve"> </v>
          </cell>
          <cell r="AL19" t="str">
            <v xml:space="preserve"> </v>
          </cell>
          <cell r="AM19" t="str">
            <v xml:space="preserve"> </v>
          </cell>
          <cell r="AN19" t="str">
            <v xml:space="preserve"> </v>
          </cell>
          <cell r="AO19" t="str">
            <v xml:space="preserve"> </v>
          </cell>
          <cell r="AP19" t="str">
            <v xml:space="preserve"> </v>
          </cell>
          <cell r="AQ19" t="str">
            <v xml:space="preserve"> </v>
          </cell>
        </row>
        <row r="20">
          <cell r="A20" t="str">
            <v>FB........665499D</v>
          </cell>
          <cell r="B20" t="str">
            <v>2004T12</v>
          </cell>
          <cell r="C20" t="str">
            <v xml:space="preserve">TREND    </v>
          </cell>
          <cell r="D20" t="str">
            <v xml:space="preserve">Trend -  QTD Average/Activity                     </v>
          </cell>
          <cell r="E20" t="str">
            <v>Run: 08/07/03 14:02:44</v>
          </cell>
          <cell r="F20" t="str">
            <v>999</v>
          </cell>
          <cell r="G20" t="str">
            <v>100</v>
          </cell>
          <cell r="H20" t="str">
            <v xml:space="preserve">Bank Of America Management Reporting              </v>
          </cell>
          <cell r="I20" t="str">
            <v>001</v>
          </cell>
          <cell r="J20" t="str">
            <v>FB........</v>
          </cell>
          <cell r="K20" t="str">
            <v xml:space="preserve">Gcib Global Operations                            </v>
          </cell>
          <cell r="L20" t="str">
            <v xml:space="preserve"> </v>
          </cell>
          <cell r="M20" t="str">
            <v xml:space="preserve"> </v>
          </cell>
          <cell r="N20" t="str">
            <v>bamgt</v>
          </cell>
          <cell r="O20" t="str">
            <v>40</v>
          </cell>
          <cell r="P20" t="str">
            <v>600000A  662999B  662999C  665499B  665499D  999999999999999999999999999</v>
          </cell>
          <cell r="Q20" t="str">
            <v xml:space="preserve">none     </v>
          </cell>
          <cell r="R20" t="str">
            <v>RollFCST-Working Version</v>
          </cell>
          <cell r="S20" t="str">
            <v>RollFCST-Working Version</v>
          </cell>
          <cell r="T20" t="str">
            <v xml:space="preserve"> </v>
          </cell>
          <cell r="U20" t="str">
            <v xml:space="preserve"> </v>
          </cell>
          <cell r="V20" t="str">
            <v>665499D</v>
          </cell>
          <cell r="W20" t="str">
            <v>5</v>
          </cell>
          <cell r="X20" t="str">
            <v xml:space="preserve">        Employee Expense                </v>
          </cell>
          <cell r="Y20">
            <v>165</v>
          </cell>
          <cell r="Z20">
            <v>360</v>
          </cell>
          <cell r="AA20">
            <v>243.06</v>
          </cell>
          <cell r="AB20">
            <v>238.04</v>
          </cell>
          <cell r="AC20">
            <v>1006.1</v>
          </cell>
          <cell r="AD20">
            <v>466.51</v>
          </cell>
          <cell r="AE20">
            <v>310.19</v>
          </cell>
          <cell r="AF20">
            <v>310.05</v>
          </cell>
          <cell r="AG20">
            <v>283.79000000000002</v>
          </cell>
          <cell r="AH20">
            <v>1370.54</v>
          </cell>
          <cell r="AI20" t="str">
            <v xml:space="preserve">U.S. Dollar                   </v>
          </cell>
          <cell r="AJ20" t="str">
            <v xml:space="preserve"> </v>
          </cell>
          <cell r="AK20" t="str">
            <v xml:space="preserve"> </v>
          </cell>
          <cell r="AL20" t="str">
            <v xml:space="preserve"> </v>
          </cell>
          <cell r="AM20" t="str">
            <v xml:space="preserve"> </v>
          </cell>
          <cell r="AN20" t="str">
            <v xml:space="preserve"> </v>
          </cell>
          <cell r="AO20" t="str">
            <v xml:space="preserve"> </v>
          </cell>
          <cell r="AP20" t="str">
            <v xml:space="preserve"> </v>
          </cell>
          <cell r="AQ20" t="str">
            <v xml:space="preserve"> </v>
          </cell>
        </row>
        <row r="21">
          <cell r="A21" t="str">
            <v>FB........665499B</v>
          </cell>
          <cell r="B21" t="str">
            <v>2004T12</v>
          </cell>
          <cell r="C21" t="str">
            <v xml:space="preserve">TREND    </v>
          </cell>
          <cell r="D21" t="str">
            <v xml:space="preserve">Trend -  QTD Average/Activity                     </v>
          </cell>
          <cell r="E21" t="str">
            <v>Run: 08/07/03 14:02:44</v>
          </cell>
          <cell r="F21" t="str">
            <v>999</v>
          </cell>
          <cell r="G21" t="str">
            <v>100</v>
          </cell>
          <cell r="H21" t="str">
            <v xml:space="preserve">Bank Of America Management Reporting              </v>
          </cell>
          <cell r="I21" t="str">
            <v>001</v>
          </cell>
          <cell r="J21" t="str">
            <v>FB........</v>
          </cell>
          <cell r="K21" t="str">
            <v xml:space="preserve">Gcib Global Operations                            </v>
          </cell>
          <cell r="L21" t="str">
            <v xml:space="preserve"> </v>
          </cell>
          <cell r="M21" t="str">
            <v xml:space="preserve"> </v>
          </cell>
          <cell r="N21" t="str">
            <v>bamgt</v>
          </cell>
          <cell r="O21" t="str">
            <v>40</v>
          </cell>
          <cell r="P21" t="str">
            <v>600000A  662999B  662999C  665499B  999999999999999999999999999999999999</v>
          </cell>
          <cell r="Q21" t="str">
            <v xml:space="preserve">none     </v>
          </cell>
          <cell r="R21" t="str">
            <v>RollFCST-Working Version</v>
          </cell>
          <cell r="S21" t="str">
            <v>RollFCST-Working Version</v>
          </cell>
          <cell r="T21" t="str">
            <v xml:space="preserve"> </v>
          </cell>
          <cell r="U21" t="str">
            <v xml:space="preserve"> </v>
          </cell>
          <cell r="V21" t="str">
            <v>665499B</v>
          </cell>
          <cell r="W21" t="str">
            <v>4</v>
          </cell>
          <cell r="X21" t="str">
            <v xml:space="preserve">      Other Operating Expense           </v>
          </cell>
          <cell r="Y21">
            <v>71.78</v>
          </cell>
          <cell r="Z21">
            <v>2306.2600000000002</v>
          </cell>
          <cell r="AA21">
            <v>1874.04</v>
          </cell>
          <cell r="AB21">
            <v>942.83</v>
          </cell>
          <cell r="AC21">
            <v>5194.91</v>
          </cell>
          <cell r="AD21">
            <v>1009.65</v>
          </cell>
          <cell r="AE21">
            <v>946.91</v>
          </cell>
          <cell r="AF21">
            <v>1007.08</v>
          </cell>
          <cell r="AG21">
            <v>814.57</v>
          </cell>
          <cell r="AH21">
            <v>3778.21</v>
          </cell>
          <cell r="AI21" t="str">
            <v xml:space="preserve">U.S. Dollar                   </v>
          </cell>
          <cell r="AJ21" t="str">
            <v xml:space="preserve"> </v>
          </cell>
          <cell r="AK21" t="str">
            <v xml:space="preserve"> </v>
          </cell>
          <cell r="AL21" t="str">
            <v xml:space="preserve"> </v>
          </cell>
          <cell r="AM21" t="str">
            <v xml:space="preserve"> </v>
          </cell>
          <cell r="AN21" t="str">
            <v xml:space="preserve"> </v>
          </cell>
          <cell r="AO21" t="str">
            <v xml:space="preserve"> </v>
          </cell>
          <cell r="AP21" t="str">
            <v xml:space="preserve"> </v>
          </cell>
          <cell r="AQ21" t="str">
            <v xml:space="preserve"> </v>
          </cell>
        </row>
        <row r="22">
          <cell r="A22" t="str">
            <v>FB........670200</v>
          </cell>
          <cell r="B22" t="str">
            <v>2004T12</v>
          </cell>
          <cell r="C22" t="str">
            <v xml:space="preserve">TREND    </v>
          </cell>
          <cell r="D22" t="str">
            <v xml:space="preserve">Trend -  QTD Average/Activity                     </v>
          </cell>
          <cell r="E22" t="str">
            <v>Run: 08/07/03 14:02:44</v>
          </cell>
          <cell r="F22" t="str">
            <v>999</v>
          </cell>
          <cell r="G22" t="str">
            <v>100</v>
          </cell>
          <cell r="H22" t="str">
            <v xml:space="preserve">Bank Of America Management Reporting              </v>
          </cell>
          <cell r="I22" t="str">
            <v>001</v>
          </cell>
          <cell r="J22" t="str">
            <v>FB........</v>
          </cell>
          <cell r="K22" t="str">
            <v xml:space="preserve">Gcib Global Operations                            </v>
          </cell>
          <cell r="L22" t="str">
            <v xml:space="preserve"> </v>
          </cell>
          <cell r="M22" t="str">
            <v xml:space="preserve"> </v>
          </cell>
          <cell r="N22" t="str">
            <v>bamgt</v>
          </cell>
          <cell r="O22" t="str">
            <v>40</v>
          </cell>
          <cell r="P22" t="str">
            <v>600000A  662999B  670000B  670200   999999999999999999999999999999999999</v>
          </cell>
          <cell r="Q22" t="str">
            <v xml:space="preserve">none     </v>
          </cell>
          <cell r="R22" t="str">
            <v>RollFCST-Working Version</v>
          </cell>
          <cell r="S22" t="str">
            <v>RollFCST-Working Version</v>
          </cell>
          <cell r="T22" t="str">
            <v xml:space="preserve"> </v>
          </cell>
          <cell r="U22" t="str">
            <v xml:space="preserve"> </v>
          </cell>
          <cell r="V22" t="str">
            <v>670200</v>
          </cell>
          <cell r="W22" t="str">
            <v>4</v>
          </cell>
          <cell r="X22" t="str">
            <v xml:space="preserve">      Travel                            </v>
          </cell>
          <cell r="Y22">
            <v>582.27</v>
          </cell>
          <cell r="Z22">
            <v>544.12</v>
          </cell>
          <cell r="AA22">
            <v>616.97</v>
          </cell>
          <cell r="AB22">
            <v>606.87</v>
          </cell>
          <cell r="AC22">
            <v>2350.23</v>
          </cell>
          <cell r="AD22">
            <v>524.84</v>
          </cell>
          <cell r="AE22">
            <v>566.27</v>
          </cell>
          <cell r="AF22">
            <v>560.96</v>
          </cell>
          <cell r="AG22">
            <v>540.41999999999996</v>
          </cell>
          <cell r="AH22">
            <v>2192.4899999999998</v>
          </cell>
          <cell r="AI22" t="str">
            <v xml:space="preserve">U.S. Dollar                   </v>
          </cell>
          <cell r="AJ22" t="str">
            <v xml:space="preserve"> </v>
          </cell>
          <cell r="AK22" t="str">
            <v xml:space="preserve"> </v>
          </cell>
          <cell r="AL22" t="str">
            <v xml:space="preserve"> </v>
          </cell>
          <cell r="AM22" t="str">
            <v xml:space="preserve"> </v>
          </cell>
          <cell r="AN22" t="str">
            <v xml:space="preserve"> </v>
          </cell>
          <cell r="AO22" t="str">
            <v xml:space="preserve"> </v>
          </cell>
          <cell r="AP22" t="str">
            <v xml:space="preserve"> </v>
          </cell>
          <cell r="AQ22" t="str">
            <v xml:space="preserve"> </v>
          </cell>
        </row>
        <row r="23">
          <cell r="A23" t="str">
            <v>FB........670800</v>
          </cell>
          <cell r="B23" t="str">
            <v>2004T12</v>
          </cell>
          <cell r="C23" t="str">
            <v xml:space="preserve">TREND    </v>
          </cell>
          <cell r="D23" t="str">
            <v xml:space="preserve">Trend -  QTD Average/Activity                     </v>
          </cell>
          <cell r="E23" t="str">
            <v>Run: 08/07/03 14:02:44</v>
          </cell>
          <cell r="F23" t="str">
            <v>999</v>
          </cell>
          <cell r="G23" t="str">
            <v>100</v>
          </cell>
          <cell r="H23" t="str">
            <v xml:space="preserve">Bank Of America Management Reporting              </v>
          </cell>
          <cell r="I23" t="str">
            <v>001</v>
          </cell>
          <cell r="J23" t="str">
            <v>FB........</v>
          </cell>
          <cell r="K23" t="str">
            <v xml:space="preserve">Gcib Global Operations                            </v>
          </cell>
          <cell r="L23" t="str">
            <v xml:space="preserve"> </v>
          </cell>
          <cell r="M23" t="str">
            <v xml:space="preserve"> </v>
          </cell>
          <cell r="N23" t="str">
            <v>bamgt</v>
          </cell>
          <cell r="O23" t="str">
            <v>40</v>
          </cell>
          <cell r="P23" t="str">
            <v>600000A  662999B  670000B  670800   999999999999999999999999999999999999</v>
          </cell>
          <cell r="Q23" t="str">
            <v xml:space="preserve">none     </v>
          </cell>
          <cell r="R23" t="str">
            <v>RollFCST-Working Version</v>
          </cell>
          <cell r="S23" t="str">
            <v>RollFCST-Working Version</v>
          </cell>
          <cell r="T23" t="str">
            <v xml:space="preserve"> </v>
          </cell>
          <cell r="U23" t="str">
            <v xml:space="preserve"> </v>
          </cell>
          <cell r="V23" t="str">
            <v>670800</v>
          </cell>
          <cell r="W23" t="str">
            <v>4</v>
          </cell>
          <cell r="X23" t="str">
            <v xml:space="preserve">      Taxes Other Than Income           </v>
          </cell>
          <cell r="Y23">
            <v>33.06</v>
          </cell>
          <cell r="Z23">
            <v>70.06</v>
          </cell>
          <cell r="AA23">
            <v>63.06</v>
          </cell>
          <cell r="AB23">
            <v>63.06</v>
          </cell>
          <cell r="AC23">
            <v>229.24</v>
          </cell>
          <cell r="AD23">
            <v>70.430000000000007</v>
          </cell>
          <cell r="AE23">
            <v>36</v>
          </cell>
          <cell r="AF23">
            <v>70.84</v>
          </cell>
          <cell r="AG23">
            <v>36</v>
          </cell>
          <cell r="AH23">
            <v>213.27</v>
          </cell>
          <cell r="AI23" t="str">
            <v xml:space="preserve">U.S. Dollar                   </v>
          </cell>
          <cell r="AJ23" t="str">
            <v xml:space="preserve"> </v>
          </cell>
          <cell r="AK23" t="str">
            <v xml:space="preserve"> </v>
          </cell>
          <cell r="AL23" t="str">
            <v xml:space="preserve"> </v>
          </cell>
          <cell r="AM23" t="str">
            <v xml:space="preserve"> </v>
          </cell>
          <cell r="AN23" t="str">
            <v xml:space="preserve"> </v>
          </cell>
          <cell r="AO23" t="str">
            <v xml:space="preserve"> </v>
          </cell>
          <cell r="AP23" t="str">
            <v xml:space="preserve"> </v>
          </cell>
          <cell r="AQ23" t="str">
            <v xml:space="preserve"> </v>
          </cell>
        </row>
        <row r="24">
          <cell r="A24" t="str">
            <v>FB........671200</v>
          </cell>
          <cell r="B24" t="str">
            <v>2004T12</v>
          </cell>
          <cell r="C24" t="str">
            <v xml:space="preserve">TREND    </v>
          </cell>
          <cell r="D24" t="str">
            <v xml:space="preserve">Trend -  QTD Average/Activity                     </v>
          </cell>
          <cell r="E24" t="str">
            <v>Run: 08/07/03 14:02:44</v>
          </cell>
          <cell r="F24" t="str">
            <v>999</v>
          </cell>
          <cell r="G24" t="str">
            <v>100</v>
          </cell>
          <cell r="H24" t="str">
            <v xml:space="preserve">Bank Of America Management Reporting              </v>
          </cell>
          <cell r="I24" t="str">
            <v>001</v>
          </cell>
          <cell r="J24" t="str">
            <v>FB........</v>
          </cell>
          <cell r="K24" t="str">
            <v xml:space="preserve">Gcib Global Operations                            </v>
          </cell>
          <cell r="L24" t="str">
            <v xml:space="preserve"> </v>
          </cell>
          <cell r="M24" t="str">
            <v xml:space="preserve"> </v>
          </cell>
          <cell r="N24" t="str">
            <v>bamgt</v>
          </cell>
          <cell r="O24" t="str">
            <v>40</v>
          </cell>
          <cell r="P24" t="str">
            <v>600000A  662999B  670000B  671200   999999999999999999999999999999999999</v>
          </cell>
          <cell r="Q24" t="str">
            <v xml:space="preserve">none     </v>
          </cell>
          <cell r="R24" t="str">
            <v>RollFCST-Working Version</v>
          </cell>
          <cell r="S24" t="str">
            <v>RollFCST-Working Version</v>
          </cell>
          <cell r="T24" t="str">
            <v xml:space="preserve"> </v>
          </cell>
          <cell r="U24" t="str">
            <v xml:space="preserve"> </v>
          </cell>
          <cell r="V24" t="str">
            <v>671200</v>
          </cell>
          <cell r="W24" t="str">
            <v>4</v>
          </cell>
          <cell r="X24" t="str">
            <v xml:space="preserve">      Subscription Services             </v>
          </cell>
          <cell r="Y24">
            <v>1329.77</v>
          </cell>
          <cell r="Z24">
            <v>1127.32</v>
          </cell>
          <cell r="AA24">
            <v>1515.29</v>
          </cell>
          <cell r="AB24">
            <v>1349.44</v>
          </cell>
          <cell r="AC24">
            <v>5321.82</v>
          </cell>
          <cell r="AD24">
            <v>1510.16</v>
          </cell>
          <cell r="AE24">
            <v>1518.8</v>
          </cell>
          <cell r="AF24">
            <v>1515.1</v>
          </cell>
          <cell r="AG24">
            <v>1512.02</v>
          </cell>
          <cell r="AH24">
            <v>6056.08</v>
          </cell>
          <cell r="AI24" t="str">
            <v xml:space="preserve">U.S. Dollar                   </v>
          </cell>
          <cell r="AJ24" t="str">
            <v xml:space="preserve"> </v>
          </cell>
          <cell r="AK24" t="str">
            <v xml:space="preserve"> </v>
          </cell>
          <cell r="AL24" t="str">
            <v xml:space="preserve"> </v>
          </cell>
          <cell r="AM24" t="str">
            <v xml:space="preserve"> </v>
          </cell>
          <cell r="AN24" t="str">
            <v xml:space="preserve"> </v>
          </cell>
          <cell r="AO24" t="str">
            <v xml:space="preserve"> </v>
          </cell>
          <cell r="AP24" t="str">
            <v xml:space="preserve"> </v>
          </cell>
          <cell r="AQ24" t="str">
            <v xml:space="preserve"> </v>
          </cell>
        </row>
        <row r="25">
          <cell r="A25" t="str">
            <v>FB........671500</v>
          </cell>
          <cell r="B25" t="str">
            <v>2004T12</v>
          </cell>
          <cell r="C25" t="str">
            <v xml:space="preserve">TREND    </v>
          </cell>
          <cell r="D25" t="str">
            <v xml:space="preserve">Trend -  QTD Average/Activity                     </v>
          </cell>
          <cell r="E25" t="str">
            <v>Run: 08/07/03 14:02:44</v>
          </cell>
          <cell r="F25" t="str">
            <v>999</v>
          </cell>
          <cell r="G25" t="str">
            <v>100</v>
          </cell>
          <cell r="H25" t="str">
            <v xml:space="preserve">Bank Of America Management Reporting              </v>
          </cell>
          <cell r="I25" t="str">
            <v>001</v>
          </cell>
          <cell r="J25" t="str">
            <v>FB........</v>
          </cell>
          <cell r="K25" t="str">
            <v xml:space="preserve">Gcib Global Operations                            </v>
          </cell>
          <cell r="L25" t="str">
            <v xml:space="preserve"> </v>
          </cell>
          <cell r="M25" t="str">
            <v xml:space="preserve"> </v>
          </cell>
          <cell r="N25" t="str">
            <v>bamgt</v>
          </cell>
          <cell r="O25" t="str">
            <v>40</v>
          </cell>
          <cell r="P25" t="str">
            <v>600000A  662999B  670000B  671500   999999999999999999999999999999999999</v>
          </cell>
          <cell r="Q25" t="str">
            <v xml:space="preserve">none     </v>
          </cell>
          <cell r="R25" t="str">
            <v>RollFCST-Working Version</v>
          </cell>
          <cell r="S25" t="str">
            <v>RollFCST-Working Version</v>
          </cell>
          <cell r="T25" t="str">
            <v xml:space="preserve"> </v>
          </cell>
          <cell r="U25" t="str">
            <v xml:space="preserve"> </v>
          </cell>
          <cell r="V25" t="str">
            <v>671500</v>
          </cell>
          <cell r="W25" t="str">
            <v>4</v>
          </cell>
          <cell r="X25" t="str">
            <v xml:space="preserve">      Other Administrative Expenses     </v>
          </cell>
          <cell r="Y25">
            <v>280.43</v>
          </cell>
          <cell r="Z25">
            <v>152.94999999999999</v>
          </cell>
          <cell r="AA25">
            <v>103.04</v>
          </cell>
          <cell r="AB25">
            <v>92.04</v>
          </cell>
          <cell r="AC25">
            <v>628.46</v>
          </cell>
          <cell r="AD25">
            <v>-1508.61</v>
          </cell>
          <cell r="AE25">
            <v>-1499.93</v>
          </cell>
          <cell r="AF25">
            <v>-1513.54</v>
          </cell>
          <cell r="AG25">
            <v>-1514.35</v>
          </cell>
          <cell r="AH25">
            <v>-6036.43</v>
          </cell>
          <cell r="AI25" t="str">
            <v xml:space="preserve">U.S. Dollar                   </v>
          </cell>
          <cell r="AJ25" t="str">
            <v xml:space="preserve"> </v>
          </cell>
          <cell r="AK25" t="str">
            <v xml:space="preserve"> </v>
          </cell>
          <cell r="AL25" t="str">
            <v xml:space="preserve"> </v>
          </cell>
          <cell r="AM25" t="str">
            <v xml:space="preserve"> </v>
          </cell>
          <cell r="AN25" t="str">
            <v xml:space="preserve"> </v>
          </cell>
          <cell r="AO25" t="str">
            <v xml:space="preserve"> </v>
          </cell>
          <cell r="AP25" t="str">
            <v xml:space="preserve"> </v>
          </cell>
          <cell r="AQ25" t="str">
            <v xml:space="preserve"> </v>
          </cell>
        </row>
        <row r="26">
          <cell r="A26" t="str">
            <v>FB........675000</v>
          </cell>
          <cell r="B26" t="str">
            <v>2004T12</v>
          </cell>
          <cell r="C26" t="str">
            <v xml:space="preserve">TREND    </v>
          </cell>
          <cell r="D26" t="str">
            <v xml:space="preserve">Trend -  QTD Average/Activity                     </v>
          </cell>
          <cell r="E26" t="str">
            <v>Run: 08/07/03 14:02:44</v>
          </cell>
          <cell r="F26" t="str">
            <v>999</v>
          </cell>
          <cell r="G26" t="str">
            <v>100</v>
          </cell>
          <cell r="H26" t="str">
            <v xml:space="preserve">Bank Of America Management Reporting              </v>
          </cell>
          <cell r="I26" t="str">
            <v>001</v>
          </cell>
          <cell r="J26" t="str">
            <v>FB........</v>
          </cell>
          <cell r="K26" t="str">
            <v xml:space="preserve">Gcib Global Operations                            </v>
          </cell>
          <cell r="L26" t="str">
            <v xml:space="preserve"> </v>
          </cell>
          <cell r="M26" t="str">
            <v xml:space="preserve"> </v>
          </cell>
          <cell r="N26" t="str">
            <v>bamgt</v>
          </cell>
          <cell r="O26" t="str">
            <v>40</v>
          </cell>
          <cell r="P26" t="str">
            <v>600000A  675000   999999999999999999999999999999999999999999999999999999</v>
          </cell>
          <cell r="Q26" t="str">
            <v xml:space="preserve">none     </v>
          </cell>
          <cell r="R26" t="str">
            <v>RollFCST-Working Version</v>
          </cell>
          <cell r="S26" t="str">
            <v>RollFCST-Working Version</v>
          </cell>
          <cell r="T26" t="str">
            <v xml:space="preserve"> </v>
          </cell>
          <cell r="U26" t="str">
            <v xml:space="preserve"> </v>
          </cell>
          <cell r="V26" t="str">
            <v>675000</v>
          </cell>
          <cell r="W26" t="str">
            <v>2</v>
          </cell>
          <cell r="X26" t="str">
            <v xml:space="preserve">  Intercompany Expense                  </v>
          </cell>
          <cell r="Y26">
            <v>-92.56</v>
          </cell>
          <cell r="Z26">
            <v>-120.8</v>
          </cell>
          <cell r="AA26">
            <v>40.44</v>
          </cell>
          <cell r="AB26">
            <v>40.44</v>
          </cell>
          <cell r="AC26">
            <v>-132.47999999999999</v>
          </cell>
          <cell r="AD26">
            <v>42</v>
          </cell>
          <cell r="AE26">
            <v>42</v>
          </cell>
          <cell r="AF26">
            <v>42</v>
          </cell>
          <cell r="AG26">
            <v>43</v>
          </cell>
          <cell r="AH26">
            <v>169</v>
          </cell>
          <cell r="AI26" t="str">
            <v xml:space="preserve">U.S. Dollar                   </v>
          </cell>
          <cell r="AJ26" t="str">
            <v xml:space="preserve"> </v>
          </cell>
          <cell r="AK26" t="str">
            <v xml:space="preserve"> </v>
          </cell>
          <cell r="AL26" t="str">
            <v xml:space="preserve"> </v>
          </cell>
          <cell r="AM26" t="str">
            <v xml:space="preserve"> </v>
          </cell>
          <cell r="AN26" t="str">
            <v xml:space="preserve"> </v>
          </cell>
          <cell r="AO26" t="str">
            <v xml:space="preserve"> </v>
          </cell>
          <cell r="AP26" t="str">
            <v xml:space="preserve"> </v>
          </cell>
          <cell r="AQ26" t="str">
            <v xml:space="preserve"> </v>
          </cell>
        </row>
        <row r="27">
          <cell r="A27" t="str">
            <v>FB........NIEBA-B</v>
          </cell>
          <cell r="B27" t="str">
            <v>2004T12</v>
          </cell>
          <cell r="C27" t="str">
            <v xml:space="preserve">TREND    </v>
          </cell>
          <cell r="D27" t="str">
            <v xml:space="preserve">Trend -  QTD Average/Activity                     </v>
          </cell>
          <cell r="E27" t="str">
            <v>Run: 08/07/03 14:02:44</v>
          </cell>
          <cell r="F27" t="str">
            <v>999</v>
          </cell>
          <cell r="G27" t="str">
            <v>100</v>
          </cell>
          <cell r="H27" t="str">
            <v xml:space="preserve">Bank Of America Management Reporting              </v>
          </cell>
          <cell r="I27" t="str">
            <v>001</v>
          </cell>
          <cell r="J27" t="str">
            <v>FB........</v>
          </cell>
          <cell r="K27" t="str">
            <v xml:space="preserve">Gcib Global Operations                            </v>
          </cell>
          <cell r="L27" t="str">
            <v xml:space="preserve"> </v>
          </cell>
          <cell r="M27" t="str">
            <v xml:space="preserve"> </v>
          </cell>
          <cell r="N27" t="str">
            <v>bamgt</v>
          </cell>
          <cell r="O27" t="str">
            <v>40</v>
          </cell>
          <cell r="P27" t="str">
            <v xml:space="preserve">600000A  675000A  999999999999999999999999999NIEBA-B                    </v>
          </cell>
          <cell r="Q27" t="str">
            <v xml:space="preserve">none     </v>
          </cell>
          <cell r="R27" t="str">
            <v>RollFCST-Working Version</v>
          </cell>
          <cell r="S27" t="str">
            <v>RollFCST-Working Version</v>
          </cell>
          <cell r="T27" t="str">
            <v xml:space="preserve"> </v>
          </cell>
          <cell r="U27" t="str">
            <v xml:space="preserve"> </v>
          </cell>
          <cell r="V27" t="str">
            <v>NIEBA-B</v>
          </cell>
          <cell r="W27" t="str">
            <v>0</v>
          </cell>
          <cell r="X27" t="str">
            <v xml:space="preserve">Sub-Tot Non Int Exp Before Cost         </v>
          </cell>
          <cell r="Y27">
            <v>58027.28</v>
          </cell>
          <cell r="Z27">
            <v>48895.880799999999</v>
          </cell>
          <cell r="AA27">
            <v>58007.941200000001</v>
          </cell>
          <cell r="AB27">
            <v>57905.62</v>
          </cell>
          <cell r="AC27">
            <v>222836.72200000001</v>
          </cell>
          <cell r="AD27">
            <v>56332.049299999999</v>
          </cell>
          <cell r="AE27">
            <v>56905.506150000001</v>
          </cell>
          <cell r="AF27">
            <v>57087.345200000003</v>
          </cell>
          <cell r="AG27">
            <v>57395.734949999998</v>
          </cell>
          <cell r="AH27">
            <v>227720.63560000001</v>
          </cell>
          <cell r="AI27" t="str">
            <v xml:space="preserve">U.S. Dollar                   </v>
          </cell>
          <cell r="AJ27" t="str">
            <v xml:space="preserve"> </v>
          </cell>
          <cell r="AK27" t="str">
            <v xml:space="preserve"> </v>
          </cell>
          <cell r="AL27" t="str">
            <v xml:space="preserve"> </v>
          </cell>
          <cell r="AM27" t="str">
            <v xml:space="preserve"> </v>
          </cell>
          <cell r="AN27" t="str">
            <v xml:space="preserve"> </v>
          </cell>
          <cell r="AO27" t="str">
            <v xml:space="preserve"> </v>
          </cell>
          <cell r="AP27" t="str">
            <v xml:space="preserve"> </v>
          </cell>
          <cell r="AQ27" t="str">
            <v xml:space="preserve"> </v>
          </cell>
        </row>
        <row r="28">
          <cell r="A28" t="str">
            <v>FBA.......600300</v>
          </cell>
          <cell r="B28" t="str">
            <v>2004T12</v>
          </cell>
          <cell r="C28" t="str">
            <v xml:space="preserve">TREND    </v>
          </cell>
          <cell r="D28" t="str">
            <v xml:space="preserve">Trend -  QTD Average/Activity                     </v>
          </cell>
          <cell r="E28" t="str">
            <v>Run: 08/07/03 14:02:44</v>
          </cell>
          <cell r="F28" t="str">
            <v>999</v>
          </cell>
          <cell r="G28" t="str">
            <v>100</v>
          </cell>
          <cell r="H28" t="str">
            <v xml:space="preserve">Bank Of America Management Reporting              </v>
          </cell>
          <cell r="I28" t="str">
            <v>001</v>
          </cell>
          <cell r="J28" t="str">
            <v>FBA.......</v>
          </cell>
          <cell r="K28" t="str">
            <v xml:space="preserve">Global Fx                                         </v>
          </cell>
          <cell r="L28" t="str">
            <v xml:space="preserve"> </v>
          </cell>
          <cell r="M28" t="str">
            <v xml:space="preserve"> </v>
          </cell>
          <cell r="N28" t="str">
            <v>bamgt</v>
          </cell>
          <cell r="O28" t="str">
            <v>40</v>
          </cell>
          <cell r="P28" t="str">
            <v>600000A  600250   999999999600300   999999999999999999999999999999999999</v>
          </cell>
          <cell r="Q28" t="str">
            <v xml:space="preserve">none     </v>
          </cell>
          <cell r="R28" t="str">
            <v>RollFCST-Working Version</v>
          </cell>
          <cell r="S28" t="str">
            <v>RollFCST-Working Version</v>
          </cell>
          <cell r="T28" t="str">
            <v xml:space="preserve"> </v>
          </cell>
          <cell r="U28" t="str">
            <v xml:space="preserve"> </v>
          </cell>
          <cell r="V28" t="str">
            <v>600300</v>
          </cell>
          <cell r="W28" t="str">
            <v>4</v>
          </cell>
          <cell r="X28" t="str">
            <v xml:space="preserve">      Salaries &amp; Wages                  </v>
          </cell>
          <cell r="Y28">
            <v>3688</v>
          </cell>
          <cell r="Z28">
            <v>3528.86</v>
          </cell>
          <cell r="AA28">
            <v>3547</v>
          </cell>
          <cell r="AB28">
            <v>3585</v>
          </cell>
          <cell r="AC28">
            <v>14348.86</v>
          </cell>
          <cell r="AD28">
            <v>3527</v>
          </cell>
          <cell r="AE28">
            <v>3648</v>
          </cell>
          <cell r="AF28">
            <v>3584</v>
          </cell>
          <cell r="AG28">
            <v>3587</v>
          </cell>
          <cell r="AH28">
            <v>14346</v>
          </cell>
          <cell r="AI28" t="str">
            <v xml:space="preserve">U.S. Dollar                   </v>
          </cell>
          <cell r="AJ28" t="str">
            <v xml:space="preserve"> </v>
          </cell>
          <cell r="AK28" t="str">
            <v xml:space="preserve"> </v>
          </cell>
          <cell r="AL28" t="str">
            <v xml:space="preserve"> </v>
          </cell>
          <cell r="AM28" t="str">
            <v xml:space="preserve"> </v>
          </cell>
          <cell r="AN28" t="str">
            <v xml:space="preserve"> </v>
          </cell>
          <cell r="AO28" t="str">
            <v xml:space="preserve"> </v>
          </cell>
          <cell r="AP28" t="str">
            <v xml:space="preserve"> </v>
          </cell>
          <cell r="AQ28" t="str">
            <v xml:space="preserve"> </v>
          </cell>
        </row>
        <row r="29">
          <cell r="A29" t="str">
            <v>FBA.......601000</v>
          </cell>
          <cell r="B29" t="str">
            <v>2004T12</v>
          </cell>
          <cell r="C29" t="str">
            <v xml:space="preserve">TREND    </v>
          </cell>
          <cell r="D29" t="str">
            <v xml:space="preserve">Trend -  QTD Average/Activity                     </v>
          </cell>
          <cell r="E29" t="str">
            <v>Run: 08/07/03 14:02:44</v>
          </cell>
          <cell r="F29" t="str">
            <v>999</v>
          </cell>
          <cell r="G29" t="str">
            <v>100</v>
          </cell>
          <cell r="H29" t="str">
            <v xml:space="preserve">Bank Of America Management Reporting              </v>
          </cell>
          <cell r="I29" t="str">
            <v>001</v>
          </cell>
          <cell r="J29" t="str">
            <v>FBA.......</v>
          </cell>
          <cell r="K29" t="str">
            <v xml:space="preserve">Global Fx                                         </v>
          </cell>
          <cell r="L29" t="str">
            <v xml:space="preserve"> </v>
          </cell>
          <cell r="M29" t="str">
            <v xml:space="preserve"> </v>
          </cell>
          <cell r="N29" t="str">
            <v>bamgt</v>
          </cell>
          <cell r="O29" t="str">
            <v>40</v>
          </cell>
          <cell r="P29" t="str">
            <v>600000A  600250   999999999601000   999999999999999999999999999999999999</v>
          </cell>
          <cell r="Q29" t="str">
            <v xml:space="preserve">none     </v>
          </cell>
          <cell r="R29" t="str">
            <v>RollFCST-Working Version</v>
          </cell>
          <cell r="S29" t="str">
            <v>RollFCST-Working Version</v>
          </cell>
          <cell r="T29" t="str">
            <v xml:space="preserve"> </v>
          </cell>
          <cell r="U29" t="str">
            <v xml:space="preserve"> </v>
          </cell>
          <cell r="V29" t="str">
            <v>601000</v>
          </cell>
          <cell r="W29" t="str">
            <v>4</v>
          </cell>
          <cell r="X29" t="str">
            <v xml:space="preserve">      Overtime Salaries                 </v>
          </cell>
          <cell r="Y29">
            <v>159</v>
          </cell>
          <cell r="Z29">
            <v>168.94</v>
          </cell>
          <cell r="AA29">
            <v>119</v>
          </cell>
          <cell r="AB29">
            <v>121</v>
          </cell>
          <cell r="AC29">
            <v>567.94000000000005</v>
          </cell>
          <cell r="AD29">
            <v>120</v>
          </cell>
          <cell r="AE29">
            <v>116</v>
          </cell>
          <cell r="AF29">
            <v>114</v>
          </cell>
          <cell r="AG29">
            <v>114</v>
          </cell>
          <cell r="AH29">
            <v>464</v>
          </cell>
          <cell r="AI29" t="str">
            <v xml:space="preserve">U.S. Dollar                   </v>
          </cell>
          <cell r="AJ29" t="str">
            <v xml:space="preserve"> </v>
          </cell>
          <cell r="AK29" t="str">
            <v xml:space="preserve"> </v>
          </cell>
          <cell r="AL29" t="str">
            <v xml:space="preserve"> </v>
          </cell>
          <cell r="AM29" t="str">
            <v xml:space="preserve"> </v>
          </cell>
          <cell r="AN29" t="str">
            <v xml:space="preserve"> </v>
          </cell>
          <cell r="AO29" t="str">
            <v xml:space="preserve"> </v>
          </cell>
          <cell r="AP29" t="str">
            <v xml:space="preserve"> </v>
          </cell>
          <cell r="AQ29" t="str">
            <v xml:space="preserve"> </v>
          </cell>
        </row>
        <row r="30">
          <cell r="A30" t="str">
            <v>FBA.......601500</v>
          </cell>
          <cell r="B30" t="str">
            <v>2004T12</v>
          </cell>
          <cell r="C30" t="str">
            <v xml:space="preserve">TREND    </v>
          </cell>
          <cell r="D30" t="str">
            <v xml:space="preserve">Trend -  QTD Average/Activity                     </v>
          </cell>
          <cell r="E30" t="str">
            <v>Run: 08/07/03 14:02:44</v>
          </cell>
          <cell r="F30" t="str">
            <v>999</v>
          </cell>
          <cell r="G30" t="str">
            <v>100</v>
          </cell>
          <cell r="H30" t="str">
            <v xml:space="preserve">Bank Of America Management Reporting              </v>
          </cell>
          <cell r="I30" t="str">
            <v>001</v>
          </cell>
          <cell r="J30" t="str">
            <v>FBA.......</v>
          </cell>
          <cell r="K30" t="str">
            <v xml:space="preserve">Global Fx                                         </v>
          </cell>
          <cell r="L30" t="str">
            <v xml:space="preserve"> </v>
          </cell>
          <cell r="M30" t="str">
            <v xml:space="preserve"> </v>
          </cell>
          <cell r="N30" t="str">
            <v>bamgt</v>
          </cell>
          <cell r="O30" t="str">
            <v>40</v>
          </cell>
          <cell r="P30" t="str">
            <v>600000A  600250   999999999601500   999999999999999999999999999999999999</v>
          </cell>
          <cell r="Q30" t="str">
            <v xml:space="preserve">none     </v>
          </cell>
          <cell r="R30" t="str">
            <v>RollFCST-Working Version</v>
          </cell>
          <cell r="S30" t="str">
            <v>RollFCST-Working Version</v>
          </cell>
          <cell r="T30" t="str">
            <v xml:space="preserve"> </v>
          </cell>
          <cell r="U30" t="str">
            <v xml:space="preserve"> </v>
          </cell>
          <cell r="V30" t="str">
            <v>601500</v>
          </cell>
          <cell r="W30" t="str">
            <v>4</v>
          </cell>
          <cell r="X30" t="str">
            <v xml:space="preserve">      Incentive Compensation            </v>
          </cell>
          <cell r="Y30">
            <v>0</v>
          </cell>
          <cell r="Z30">
            <v>0</v>
          </cell>
          <cell r="AA30">
            <v>0</v>
          </cell>
          <cell r="AB30">
            <v>0</v>
          </cell>
          <cell r="AC30">
            <v>0</v>
          </cell>
          <cell r="AD30">
            <v>0</v>
          </cell>
          <cell r="AE30">
            <v>0</v>
          </cell>
          <cell r="AF30">
            <v>0</v>
          </cell>
          <cell r="AG30">
            <v>0</v>
          </cell>
          <cell r="AH30">
            <v>0</v>
          </cell>
          <cell r="AI30" t="str">
            <v xml:space="preserve">U.S. Dollar                   </v>
          </cell>
          <cell r="AJ30" t="str">
            <v xml:space="preserve"> </v>
          </cell>
          <cell r="AK30" t="str">
            <v xml:space="preserve"> </v>
          </cell>
          <cell r="AL30" t="str">
            <v xml:space="preserve"> </v>
          </cell>
          <cell r="AM30" t="str">
            <v xml:space="preserve"> </v>
          </cell>
          <cell r="AN30" t="str">
            <v xml:space="preserve"> </v>
          </cell>
          <cell r="AO30" t="str">
            <v xml:space="preserve"> </v>
          </cell>
          <cell r="AP30" t="str">
            <v xml:space="preserve"> </v>
          </cell>
          <cell r="AQ30" t="str">
            <v xml:space="preserve"> </v>
          </cell>
        </row>
        <row r="31">
          <cell r="A31" t="str">
            <v>FBA.......602400</v>
          </cell>
          <cell r="B31" t="str">
            <v>2004T12</v>
          </cell>
          <cell r="C31" t="str">
            <v xml:space="preserve">TREND    </v>
          </cell>
          <cell r="D31" t="str">
            <v xml:space="preserve">Trend -  QTD Average/Activity                     </v>
          </cell>
          <cell r="E31" t="str">
            <v>Run: 08/07/03 14:02:44</v>
          </cell>
          <cell r="F31" t="str">
            <v>999</v>
          </cell>
          <cell r="G31" t="str">
            <v>100</v>
          </cell>
          <cell r="H31" t="str">
            <v xml:space="preserve">Bank Of America Management Reporting              </v>
          </cell>
          <cell r="I31" t="str">
            <v>001</v>
          </cell>
          <cell r="J31" t="str">
            <v>FBA.......</v>
          </cell>
          <cell r="K31" t="str">
            <v xml:space="preserve">Global Fx                                         </v>
          </cell>
          <cell r="L31" t="str">
            <v xml:space="preserve"> </v>
          </cell>
          <cell r="M31" t="str">
            <v xml:space="preserve"> </v>
          </cell>
          <cell r="N31" t="str">
            <v>bamgt</v>
          </cell>
          <cell r="O31" t="str">
            <v>40</v>
          </cell>
          <cell r="P31" t="str">
            <v>600000A  600250   999999999602000   602400   999999999999999999999999999</v>
          </cell>
          <cell r="Q31" t="str">
            <v xml:space="preserve">none     </v>
          </cell>
          <cell r="R31" t="str">
            <v>RollFCST-Working Version</v>
          </cell>
          <cell r="S31" t="str">
            <v>RollFCST-Working Version</v>
          </cell>
          <cell r="T31" t="str">
            <v xml:space="preserve"> </v>
          </cell>
          <cell r="U31" t="str">
            <v xml:space="preserve"> </v>
          </cell>
          <cell r="V31" t="str">
            <v>602400</v>
          </cell>
          <cell r="W31" t="str">
            <v>5</v>
          </cell>
          <cell r="X31" t="str">
            <v xml:space="preserve">        Other Employee Compensation     </v>
          </cell>
          <cell r="Y31">
            <v>0</v>
          </cell>
          <cell r="Z31">
            <v>0</v>
          </cell>
          <cell r="AA31">
            <v>0</v>
          </cell>
          <cell r="AB31">
            <v>0</v>
          </cell>
          <cell r="AC31">
            <v>0</v>
          </cell>
          <cell r="AD31">
            <v>0</v>
          </cell>
          <cell r="AE31">
            <v>0</v>
          </cell>
          <cell r="AF31">
            <v>0</v>
          </cell>
          <cell r="AG31">
            <v>0</v>
          </cell>
          <cell r="AH31">
            <v>0</v>
          </cell>
          <cell r="AI31" t="str">
            <v xml:space="preserve">U.S. Dollar                   </v>
          </cell>
          <cell r="AJ31" t="str">
            <v xml:space="preserve"> </v>
          </cell>
          <cell r="AK31" t="str">
            <v xml:space="preserve"> </v>
          </cell>
          <cell r="AL31" t="str">
            <v xml:space="preserve"> </v>
          </cell>
          <cell r="AM31" t="str">
            <v xml:space="preserve"> </v>
          </cell>
          <cell r="AN31" t="str">
            <v xml:space="preserve"> </v>
          </cell>
          <cell r="AO31" t="str">
            <v xml:space="preserve"> </v>
          </cell>
          <cell r="AP31" t="str">
            <v xml:space="preserve"> </v>
          </cell>
          <cell r="AQ31" t="str">
            <v xml:space="preserve"> </v>
          </cell>
        </row>
        <row r="32">
          <cell r="A32" t="str">
            <v>FBA.......602000</v>
          </cell>
          <cell r="B32" t="str">
            <v>2004T12</v>
          </cell>
          <cell r="C32" t="str">
            <v xml:space="preserve">TREND    </v>
          </cell>
          <cell r="D32" t="str">
            <v xml:space="preserve">Trend -  QTD Average/Activity                     </v>
          </cell>
          <cell r="E32" t="str">
            <v>Run: 08/07/03 14:02:44</v>
          </cell>
          <cell r="F32" t="str">
            <v>999</v>
          </cell>
          <cell r="G32" t="str">
            <v>100</v>
          </cell>
          <cell r="H32" t="str">
            <v xml:space="preserve">Bank Of America Management Reporting              </v>
          </cell>
          <cell r="I32" t="str">
            <v>001</v>
          </cell>
          <cell r="J32" t="str">
            <v>FBA.......</v>
          </cell>
          <cell r="K32" t="str">
            <v xml:space="preserve">Global Fx                                         </v>
          </cell>
          <cell r="L32" t="str">
            <v xml:space="preserve"> </v>
          </cell>
          <cell r="M32" t="str">
            <v xml:space="preserve"> </v>
          </cell>
          <cell r="N32" t="str">
            <v>bamgt</v>
          </cell>
          <cell r="O32" t="str">
            <v>40</v>
          </cell>
          <cell r="P32" t="str">
            <v>600000A  600250   999999999602000   999999999999999999999999999999999999</v>
          </cell>
          <cell r="Q32" t="str">
            <v xml:space="preserve">none     </v>
          </cell>
          <cell r="R32" t="str">
            <v>RollFCST-Working Version</v>
          </cell>
          <cell r="S32" t="str">
            <v>RollFCST-Working Version</v>
          </cell>
          <cell r="T32" t="str">
            <v xml:space="preserve"> </v>
          </cell>
          <cell r="U32" t="str">
            <v xml:space="preserve"> </v>
          </cell>
          <cell r="V32" t="str">
            <v>602000</v>
          </cell>
          <cell r="W32" t="str">
            <v>4</v>
          </cell>
          <cell r="X32" t="str">
            <v xml:space="preserve">      Contract Temporary/Other Compensat</v>
          </cell>
          <cell r="Y32">
            <v>60</v>
          </cell>
          <cell r="Z32">
            <v>56.33</v>
          </cell>
          <cell r="AA32">
            <v>48</v>
          </cell>
          <cell r="AB32">
            <v>27</v>
          </cell>
          <cell r="AC32">
            <v>191.33</v>
          </cell>
          <cell r="AD32">
            <v>26</v>
          </cell>
          <cell r="AE32">
            <v>26</v>
          </cell>
          <cell r="AF32">
            <v>26</v>
          </cell>
          <cell r="AG32">
            <v>24</v>
          </cell>
          <cell r="AH32">
            <v>102</v>
          </cell>
          <cell r="AI32" t="str">
            <v xml:space="preserve">U.S. Dollar                   </v>
          </cell>
          <cell r="AJ32" t="str">
            <v xml:space="preserve"> </v>
          </cell>
          <cell r="AK32" t="str">
            <v xml:space="preserve"> </v>
          </cell>
          <cell r="AL32" t="str">
            <v xml:space="preserve"> </v>
          </cell>
          <cell r="AM32" t="str">
            <v xml:space="preserve"> </v>
          </cell>
          <cell r="AN32" t="str">
            <v xml:space="preserve"> </v>
          </cell>
          <cell r="AO32" t="str">
            <v xml:space="preserve"> </v>
          </cell>
          <cell r="AP32" t="str">
            <v xml:space="preserve"> </v>
          </cell>
          <cell r="AQ32" t="str">
            <v xml:space="preserve"> </v>
          </cell>
        </row>
        <row r="33">
          <cell r="A33" t="str">
            <v>FBA.......603000</v>
          </cell>
          <cell r="B33" t="str">
            <v>2004T12</v>
          </cell>
          <cell r="C33" t="str">
            <v xml:space="preserve">TREND    </v>
          </cell>
          <cell r="D33" t="str">
            <v xml:space="preserve">Trend -  QTD Average/Activity                     </v>
          </cell>
          <cell r="E33" t="str">
            <v>Run: 08/07/03 14:02:44</v>
          </cell>
          <cell r="F33" t="str">
            <v>999</v>
          </cell>
          <cell r="G33" t="str">
            <v>100</v>
          </cell>
          <cell r="H33" t="str">
            <v xml:space="preserve">Bank Of America Management Reporting              </v>
          </cell>
          <cell r="I33" t="str">
            <v>001</v>
          </cell>
          <cell r="J33" t="str">
            <v>FBA.......</v>
          </cell>
          <cell r="K33" t="str">
            <v xml:space="preserve">Global Fx                                         </v>
          </cell>
          <cell r="L33" t="str">
            <v xml:space="preserve"> </v>
          </cell>
          <cell r="M33" t="str">
            <v xml:space="preserve"> </v>
          </cell>
          <cell r="N33" t="str">
            <v>bamgt</v>
          </cell>
          <cell r="O33" t="str">
            <v>40</v>
          </cell>
          <cell r="P33" t="str">
            <v>600000A  600250   999999999603000   999999999999999999999999999999999999</v>
          </cell>
          <cell r="Q33" t="str">
            <v xml:space="preserve">none     </v>
          </cell>
          <cell r="R33" t="str">
            <v>RollFCST-Working Version</v>
          </cell>
          <cell r="S33" t="str">
            <v>RollFCST-Working Version</v>
          </cell>
          <cell r="T33" t="str">
            <v xml:space="preserve"> </v>
          </cell>
          <cell r="U33" t="str">
            <v xml:space="preserve"> </v>
          </cell>
          <cell r="V33" t="str">
            <v>603000</v>
          </cell>
          <cell r="W33" t="str">
            <v>4</v>
          </cell>
          <cell r="X33" t="str">
            <v xml:space="preserve">      Employee Benefits                 </v>
          </cell>
          <cell r="Y33">
            <v>877.52</v>
          </cell>
          <cell r="Z33">
            <v>849.00639999999999</v>
          </cell>
          <cell r="AA33">
            <v>862.84</v>
          </cell>
          <cell r="AB33">
            <v>857.48</v>
          </cell>
          <cell r="AC33">
            <v>3446.8463999999999</v>
          </cell>
          <cell r="AD33">
            <v>902.08</v>
          </cell>
          <cell r="AE33">
            <v>927.84500000000003</v>
          </cell>
          <cell r="AF33">
            <v>895.70500000000004</v>
          </cell>
          <cell r="AG33">
            <v>893.70500000000004</v>
          </cell>
          <cell r="AH33">
            <v>3619.335</v>
          </cell>
          <cell r="AI33" t="str">
            <v xml:space="preserve">U.S. Dollar                   </v>
          </cell>
          <cell r="AJ33" t="str">
            <v xml:space="preserve"> </v>
          </cell>
          <cell r="AK33" t="str">
            <v xml:space="preserve"> </v>
          </cell>
          <cell r="AL33" t="str">
            <v xml:space="preserve"> </v>
          </cell>
          <cell r="AM33" t="str">
            <v xml:space="preserve"> </v>
          </cell>
          <cell r="AN33" t="str">
            <v xml:space="preserve"> </v>
          </cell>
          <cell r="AO33" t="str">
            <v xml:space="preserve"> </v>
          </cell>
          <cell r="AP33" t="str">
            <v xml:space="preserve"> </v>
          </cell>
          <cell r="AQ33" t="str">
            <v xml:space="preserve"> </v>
          </cell>
        </row>
        <row r="34">
          <cell r="A34" t="str">
            <v>FBA.......600250</v>
          </cell>
          <cell r="B34" t="str">
            <v>2004T12</v>
          </cell>
          <cell r="C34" t="str">
            <v xml:space="preserve">TREND    </v>
          </cell>
          <cell r="D34" t="str">
            <v xml:space="preserve">Trend -  QTD Average/Activity                     </v>
          </cell>
          <cell r="E34" t="str">
            <v>Run: 08/07/03 14:02:44</v>
          </cell>
          <cell r="F34" t="str">
            <v>999</v>
          </cell>
          <cell r="G34" t="str">
            <v>100</v>
          </cell>
          <cell r="H34" t="str">
            <v xml:space="preserve">Bank Of America Management Reporting              </v>
          </cell>
          <cell r="I34" t="str">
            <v>001</v>
          </cell>
          <cell r="J34" t="str">
            <v>FBA.......</v>
          </cell>
          <cell r="K34" t="str">
            <v xml:space="preserve">Global Fx                                         </v>
          </cell>
          <cell r="L34" t="str">
            <v xml:space="preserve"> </v>
          </cell>
          <cell r="M34" t="str">
            <v xml:space="preserve"> </v>
          </cell>
          <cell r="N34" t="str">
            <v>bamgt</v>
          </cell>
          <cell r="O34" t="str">
            <v>40</v>
          </cell>
          <cell r="P34" t="str">
            <v>600000A  600250   999999999999999999999999999999999999999999999999999999</v>
          </cell>
          <cell r="Q34" t="str">
            <v xml:space="preserve">none     </v>
          </cell>
          <cell r="R34" t="str">
            <v>RollFCST-Working Version</v>
          </cell>
          <cell r="S34" t="str">
            <v>RollFCST-Working Version</v>
          </cell>
          <cell r="T34" t="str">
            <v xml:space="preserve"> </v>
          </cell>
          <cell r="U34" t="str">
            <v xml:space="preserve"> </v>
          </cell>
          <cell r="V34" t="str">
            <v>600250</v>
          </cell>
          <cell r="W34" t="str">
            <v>2</v>
          </cell>
          <cell r="X34" t="str">
            <v xml:space="preserve">  Personnel                             </v>
          </cell>
          <cell r="Y34">
            <v>4784.5200000000004</v>
          </cell>
          <cell r="Z34">
            <v>4603.1364000000003</v>
          </cell>
          <cell r="AA34">
            <v>4576.84</v>
          </cell>
          <cell r="AB34">
            <v>4590.4799999999996</v>
          </cell>
          <cell r="AC34">
            <v>18554.9764</v>
          </cell>
          <cell r="AD34">
            <v>4575.08</v>
          </cell>
          <cell r="AE34">
            <v>4717.8450000000003</v>
          </cell>
          <cell r="AF34">
            <v>4619.7049999999999</v>
          </cell>
          <cell r="AG34">
            <v>4618.7049999999999</v>
          </cell>
          <cell r="AH34">
            <v>18531.334999999999</v>
          </cell>
          <cell r="AI34" t="str">
            <v xml:space="preserve">U.S. Dollar                   </v>
          </cell>
          <cell r="AJ34" t="str">
            <v xml:space="preserve"> </v>
          </cell>
          <cell r="AK34" t="str">
            <v xml:space="preserve"> </v>
          </cell>
          <cell r="AL34" t="str">
            <v xml:space="preserve"> </v>
          </cell>
          <cell r="AM34" t="str">
            <v xml:space="preserve"> </v>
          </cell>
          <cell r="AN34" t="str">
            <v xml:space="preserve"> </v>
          </cell>
          <cell r="AO34" t="str">
            <v xml:space="preserve"> </v>
          </cell>
          <cell r="AP34" t="str">
            <v xml:space="preserve"> </v>
          </cell>
          <cell r="AQ34" t="str">
            <v xml:space="preserve"> </v>
          </cell>
        </row>
        <row r="35">
          <cell r="A35" t="str">
            <v>FBA.......610000</v>
          </cell>
          <cell r="B35" t="str">
            <v>2004T12</v>
          </cell>
          <cell r="C35" t="str">
            <v xml:space="preserve">TREND    </v>
          </cell>
          <cell r="D35" t="str">
            <v xml:space="preserve">Trend -  QTD Average/Activity                     </v>
          </cell>
          <cell r="E35" t="str">
            <v>Run: 08/07/03 14:02:44</v>
          </cell>
          <cell r="F35" t="str">
            <v>999</v>
          </cell>
          <cell r="G35" t="str">
            <v>100</v>
          </cell>
          <cell r="H35" t="str">
            <v xml:space="preserve">Bank Of America Management Reporting              </v>
          </cell>
          <cell r="I35" t="str">
            <v>001</v>
          </cell>
          <cell r="J35" t="str">
            <v>FBA.......</v>
          </cell>
          <cell r="K35" t="str">
            <v xml:space="preserve">Global Fx                                         </v>
          </cell>
          <cell r="L35" t="str">
            <v xml:space="preserve"> </v>
          </cell>
          <cell r="M35" t="str">
            <v xml:space="preserve"> </v>
          </cell>
          <cell r="N35" t="str">
            <v>bamgt</v>
          </cell>
          <cell r="O35" t="str">
            <v>40</v>
          </cell>
          <cell r="P35" t="str">
            <v>600000A  610000   999999999999999999999999999999999999999999999999999999</v>
          </cell>
          <cell r="Q35" t="str">
            <v xml:space="preserve">none     </v>
          </cell>
          <cell r="R35" t="str">
            <v>RollFCST-Working Version</v>
          </cell>
          <cell r="S35" t="str">
            <v>RollFCST-Working Version</v>
          </cell>
          <cell r="T35" t="str">
            <v xml:space="preserve"> </v>
          </cell>
          <cell r="U35" t="str">
            <v xml:space="preserve"> </v>
          </cell>
          <cell r="V35" t="str">
            <v>610000</v>
          </cell>
          <cell r="W35" t="str">
            <v>2</v>
          </cell>
          <cell r="X35" t="str">
            <v xml:space="preserve">  Net Occupancy Expense                 </v>
          </cell>
          <cell r="Y35">
            <v>688.2</v>
          </cell>
          <cell r="Z35">
            <v>666.68</v>
          </cell>
          <cell r="AA35">
            <v>760.41</v>
          </cell>
          <cell r="AB35">
            <v>767.03</v>
          </cell>
          <cell r="AC35">
            <v>2882.32</v>
          </cell>
          <cell r="AD35">
            <v>730</v>
          </cell>
          <cell r="AE35">
            <v>730</v>
          </cell>
          <cell r="AF35">
            <v>730</v>
          </cell>
          <cell r="AG35">
            <v>733</v>
          </cell>
          <cell r="AH35">
            <v>2923</v>
          </cell>
          <cell r="AI35" t="str">
            <v xml:space="preserve">U.S. Dollar                   </v>
          </cell>
          <cell r="AJ35" t="str">
            <v xml:space="preserve"> </v>
          </cell>
          <cell r="AK35" t="str">
            <v xml:space="preserve"> </v>
          </cell>
          <cell r="AL35" t="str">
            <v xml:space="preserve"> </v>
          </cell>
          <cell r="AM35" t="str">
            <v xml:space="preserve"> </v>
          </cell>
          <cell r="AN35" t="str">
            <v xml:space="preserve"> </v>
          </cell>
          <cell r="AO35" t="str">
            <v xml:space="preserve"> </v>
          </cell>
          <cell r="AP35" t="str">
            <v xml:space="preserve"> </v>
          </cell>
          <cell r="AQ35" t="str">
            <v xml:space="preserve"> </v>
          </cell>
        </row>
        <row r="36">
          <cell r="A36" t="str">
            <v>FBA.......620000</v>
          </cell>
          <cell r="B36" t="str">
            <v>2004T12</v>
          </cell>
          <cell r="C36" t="str">
            <v xml:space="preserve">TREND    </v>
          </cell>
          <cell r="D36" t="str">
            <v xml:space="preserve">Trend -  QTD Average/Activity                     </v>
          </cell>
          <cell r="E36" t="str">
            <v>Run: 08/07/03 14:02:44</v>
          </cell>
          <cell r="F36" t="str">
            <v>999</v>
          </cell>
          <cell r="G36" t="str">
            <v>100</v>
          </cell>
          <cell r="H36" t="str">
            <v xml:space="preserve">Bank Of America Management Reporting              </v>
          </cell>
          <cell r="I36" t="str">
            <v>001</v>
          </cell>
          <cell r="J36" t="str">
            <v>FBA.......</v>
          </cell>
          <cell r="K36" t="str">
            <v xml:space="preserve">Global Fx                                         </v>
          </cell>
          <cell r="L36" t="str">
            <v xml:space="preserve"> </v>
          </cell>
          <cell r="M36" t="str">
            <v xml:space="preserve"> </v>
          </cell>
          <cell r="N36" t="str">
            <v>bamgt</v>
          </cell>
          <cell r="O36" t="str">
            <v>40</v>
          </cell>
          <cell r="P36" t="str">
            <v>600000A  620000   999999999999999999999999999999999999999999999999999999</v>
          </cell>
          <cell r="Q36" t="str">
            <v xml:space="preserve">none     </v>
          </cell>
          <cell r="R36" t="str">
            <v>RollFCST-Working Version</v>
          </cell>
          <cell r="S36" t="str">
            <v>RollFCST-Working Version</v>
          </cell>
          <cell r="T36" t="str">
            <v xml:space="preserve"> </v>
          </cell>
          <cell r="U36" t="str">
            <v xml:space="preserve"> </v>
          </cell>
          <cell r="V36" t="str">
            <v>620000</v>
          </cell>
          <cell r="W36" t="str">
            <v>2</v>
          </cell>
          <cell r="X36" t="str">
            <v xml:space="preserve">  Furniture &amp; Equipment                 </v>
          </cell>
          <cell r="Y36">
            <v>201.64</v>
          </cell>
          <cell r="Z36">
            <v>181.2</v>
          </cell>
          <cell r="AA36">
            <v>80.569999999999993</v>
          </cell>
          <cell r="AB36">
            <v>91.57</v>
          </cell>
          <cell r="AC36">
            <v>554.98</v>
          </cell>
          <cell r="AD36">
            <v>255.35</v>
          </cell>
          <cell r="AE36">
            <v>210.35</v>
          </cell>
          <cell r="AF36">
            <v>201.35</v>
          </cell>
          <cell r="AG36">
            <v>194.35</v>
          </cell>
          <cell r="AH36">
            <v>861.4</v>
          </cell>
          <cell r="AI36" t="str">
            <v xml:space="preserve">U.S. Dollar                   </v>
          </cell>
          <cell r="AJ36" t="str">
            <v xml:space="preserve"> </v>
          </cell>
          <cell r="AK36" t="str">
            <v xml:space="preserve"> </v>
          </cell>
          <cell r="AL36" t="str">
            <v xml:space="preserve"> </v>
          </cell>
          <cell r="AM36" t="str">
            <v xml:space="preserve"> </v>
          </cell>
          <cell r="AN36" t="str">
            <v xml:space="preserve"> </v>
          </cell>
          <cell r="AO36" t="str">
            <v xml:space="preserve"> </v>
          </cell>
          <cell r="AP36" t="str">
            <v xml:space="preserve"> </v>
          </cell>
          <cell r="AQ36" t="str">
            <v xml:space="preserve"> </v>
          </cell>
        </row>
        <row r="37">
          <cell r="A37" t="str">
            <v>FBA.......623000</v>
          </cell>
          <cell r="B37" t="str">
            <v>2004T12</v>
          </cell>
          <cell r="C37" t="str">
            <v xml:space="preserve">TREND    </v>
          </cell>
          <cell r="D37" t="str">
            <v xml:space="preserve">Trend -  QTD Average/Activity                     </v>
          </cell>
          <cell r="E37" t="str">
            <v>Run: 08/07/03 14:02:44</v>
          </cell>
          <cell r="F37" t="str">
            <v>999</v>
          </cell>
          <cell r="G37" t="str">
            <v>100</v>
          </cell>
          <cell r="H37" t="str">
            <v xml:space="preserve">Bank Of America Management Reporting              </v>
          </cell>
          <cell r="I37" t="str">
            <v>001</v>
          </cell>
          <cell r="J37" t="str">
            <v>FBA.......</v>
          </cell>
          <cell r="K37" t="str">
            <v xml:space="preserve">Global Fx                                         </v>
          </cell>
          <cell r="L37" t="str">
            <v xml:space="preserve"> </v>
          </cell>
          <cell r="M37" t="str">
            <v xml:space="preserve"> </v>
          </cell>
          <cell r="N37" t="str">
            <v>bamgt</v>
          </cell>
          <cell r="O37" t="str">
            <v>40</v>
          </cell>
          <cell r="P37" t="str">
            <v>600000A  623000   999999999999999999999999999999999999999999999999999999</v>
          </cell>
          <cell r="Q37" t="str">
            <v xml:space="preserve">none     </v>
          </cell>
          <cell r="R37" t="str">
            <v>RollFCST-Working Version</v>
          </cell>
          <cell r="S37" t="str">
            <v>RollFCST-Working Version</v>
          </cell>
          <cell r="T37" t="str">
            <v xml:space="preserve"> </v>
          </cell>
          <cell r="U37" t="str">
            <v xml:space="preserve"> </v>
          </cell>
          <cell r="V37" t="str">
            <v>623000</v>
          </cell>
          <cell r="W37" t="str">
            <v>2</v>
          </cell>
          <cell r="X37" t="str">
            <v xml:space="preserve">  Marketing &amp; Promotional               </v>
          </cell>
          <cell r="Y37">
            <v>0</v>
          </cell>
          <cell r="Z37">
            <v>-0.06</v>
          </cell>
          <cell r="AA37">
            <v>0</v>
          </cell>
          <cell r="AB37">
            <v>0</v>
          </cell>
          <cell r="AC37">
            <v>-0.06</v>
          </cell>
          <cell r="AD37">
            <v>0</v>
          </cell>
          <cell r="AE37">
            <v>0</v>
          </cell>
          <cell r="AF37">
            <v>0</v>
          </cell>
          <cell r="AG37">
            <v>0</v>
          </cell>
          <cell r="AH37">
            <v>0</v>
          </cell>
          <cell r="AI37" t="str">
            <v xml:space="preserve">U.S. Dollar                   </v>
          </cell>
          <cell r="AJ37" t="str">
            <v xml:space="preserve"> </v>
          </cell>
          <cell r="AK37" t="str">
            <v xml:space="preserve"> </v>
          </cell>
          <cell r="AL37" t="str">
            <v xml:space="preserve"> </v>
          </cell>
          <cell r="AM37" t="str">
            <v xml:space="preserve"> </v>
          </cell>
          <cell r="AN37" t="str">
            <v xml:space="preserve"> </v>
          </cell>
          <cell r="AO37" t="str">
            <v xml:space="preserve"> </v>
          </cell>
          <cell r="AP37" t="str">
            <v xml:space="preserve"> </v>
          </cell>
          <cell r="AQ37" t="str">
            <v xml:space="preserve"> </v>
          </cell>
        </row>
        <row r="38">
          <cell r="A38" t="str">
            <v>FBA.......630000</v>
          </cell>
          <cell r="B38" t="str">
            <v>2004T12</v>
          </cell>
          <cell r="C38" t="str">
            <v xml:space="preserve">TREND    </v>
          </cell>
          <cell r="D38" t="str">
            <v xml:space="preserve">Trend -  QTD Average/Activity                     </v>
          </cell>
          <cell r="E38" t="str">
            <v>Run: 08/07/03 14:02:44</v>
          </cell>
          <cell r="F38" t="str">
            <v>999</v>
          </cell>
          <cell r="G38" t="str">
            <v>100</v>
          </cell>
          <cell r="H38" t="str">
            <v xml:space="preserve">Bank Of America Management Reporting              </v>
          </cell>
          <cell r="I38" t="str">
            <v>001</v>
          </cell>
          <cell r="J38" t="str">
            <v>FBA.......</v>
          </cell>
          <cell r="K38" t="str">
            <v xml:space="preserve">Global Fx                                         </v>
          </cell>
          <cell r="L38" t="str">
            <v xml:space="preserve"> </v>
          </cell>
          <cell r="M38" t="str">
            <v xml:space="preserve"> </v>
          </cell>
          <cell r="N38" t="str">
            <v>bamgt</v>
          </cell>
          <cell r="O38" t="str">
            <v>40</v>
          </cell>
          <cell r="P38" t="str">
            <v>600000A  630000   999999999999999999999999999999999999999999999999999999</v>
          </cell>
          <cell r="Q38" t="str">
            <v xml:space="preserve">none     </v>
          </cell>
          <cell r="R38" t="str">
            <v>RollFCST-Working Version</v>
          </cell>
          <cell r="S38" t="str">
            <v>RollFCST-Working Version</v>
          </cell>
          <cell r="T38" t="str">
            <v xml:space="preserve"> </v>
          </cell>
          <cell r="U38" t="str">
            <v xml:space="preserve"> </v>
          </cell>
          <cell r="V38" t="str">
            <v>630000</v>
          </cell>
          <cell r="W38" t="str">
            <v>2</v>
          </cell>
          <cell r="X38" t="str">
            <v xml:space="preserve">  Professional Fees                     </v>
          </cell>
          <cell r="Y38">
            <v>6</v>
          </cell>
          <cell r="Z38">
            <v>2.78</v>
          </cell>
          <cell r="AA38">
            <v>49</v>
          </cell>
          <cell r="AB38">
            <v>29</v>
          </cell>
          <cell r="AC38">
            <v>86.78</v>
          </cell>
          <cell r="AD38">
            <v>12</v>
          </cell>
          <cell r="AE38">
            <v>12</v>
          </cell>
          <cell r="AF38">
            <v>12</v>
          </cell>
          <cell r="AG38">
            <v>12</v>
          </cell>
          <cell r="AH38">
            <v>48</v>
          </cell>
          <cell r="AI38" t="str">
            <v xml:space="preserve">U.S. Dollar                   </v>
          </cell>
          <cell r="AJ38" t="str">
            <v xml:space="preserve"> </v>
          </cell>
          <cell r="AK38" t="str">
            <v xml:space="preserve"> </v>
          </cell>
          <cell r="AL38" t="str">
            <v xml:space="preserve"> </v>
          </cell>
          <cell r="AM38" t="str">
            <v xml:space="preserve"> </v>
          </cell>
          <cell r="AN38" t="str">
            <v xml:space="preserve"> </v>
          </cell>
          <cell r="AO38" t="str">
            <v xml:space="preserve"> </v>
          </cell>
          <cell r="AP38" t="str">
            <v xml:space="preserve"> </v>
          </cell>
          <cell r="AQ38" t="str">
            <v xml:space="preserve"> </v>
          </cell>
        </row>
        <row r="39">
          <cell r="A39" t="str">
            <v>FBA.......651500A</v>
          </cell>
          <cell r="B39" t="str">
            <v>2004T12</v>
          </cell>
          <cell r="C39" t="str">
            <v xml:space="preserve">TREND    </v>
          </cell>
          <cell r="D39" t="str">
            <v xml:space="preserve">Trend -  QTD Average/Activity                     </v>
          </cell>
          <cell r="E39" t="str">
            <v>Run: 08/07/03 14:02:44</v>
          </cell>
          <cell r="F39" t="str">
            <v>999</v>
          </cell>
          <cell r="G39" t="str">
            <v>100</v>
          </cell>
          <cell r="H39" t="str">
            <v xml:space="preserve">Bank Of America Management Reporting              </v>
          </cell>
          <cell r="I39" t="str">
            <v>001</v>
          </cell>
          <cell r="J39" t="str">
            <v>FBA.......</v>
          </cell>
          <cell r="K39" t="str">
            <v xml:space="preserve">Global Fx                                         </v>
          </cell>
          <cell r="L39" t="str">
            <v xml:space="preserve"> </v>
          </cell>
          <cell r="M39" t="str">
            <v xml:space="preserve"> </v>
          </cell>
          <cell r="N39" t="str">
            <v>bamgt</v>
          </cell>
          <cell r="O39" t="str">
            <v>40</v>
          </cell>
          <cell r="P39" t="str">
            <v>600000A  651500A  999999999999999999999999999999999999999999999999999999</v>
          </cell>
          <cell r="Q39" t="str">
            <v xml:space="preserve">none     </v>
          </cell>
          <cell r="R39" t="str">
            <v>RollFCST-Working Version</v>
          </cell>
          <cell r="S39" t="str">
            <v>RollFCST-Working Version</v>
          </cell>
          <cell r="T39" t="str">
            <v xml:space="preserve"> </v>
          </cell>
          <cell r="U39" t="str">
            <v xml:space="preserve"> </v>
          </cell>
          <cell r="V39" t="str">
            <v>651500A</v>
          </cell>
          <cell r="W39" t="str">
            <v>2</v>
          </cell>
          <cell r="X39" t="str">
            <v xml:space="preserve">  Direct Processing Expense             </v>
          </cell>
          <cell r="Y39">
            <v>223.73</v>
          </cell>
          <cell r="Z39">
            <v>277.55</v>
          </cell>
          <cell r="AA39">
            <v>373.73</v>
          </cell>
          <cell r="AB39">
            <v>188.73</v>
          </cell>
          <cell r="AC39">
            <v>1063.74</v>
          </cell>
          <cell r="AD39">
            <v>149</v>
          </cell>
          <cell r="AE39">
            <v>389</v>
          </cell>
          <cell r="AF39">
            <v>304</v>
          </cell>
          <cell r="AG39">
            <v>156</v>
          </cell>
          <cell r="AH39">
            <v>998</v>
          </cell>
          <cell r="AI39" t="str">
            <v xml:space="preserve">U.S. Dollar                   </v>
          </cell>
          <cell r="AJ39" t="str">
            <v xml:space="preserve"> </v>
          </cell>
          <cell r="AK39" t="str">
            <v xml:space="preserve"> </v>
          </cell>
          <cell r="AL39" t="str">
            <v xml:space="preserve"> </v>
          </cell>
          <cell r="AM39" t="str">
            <v xml:space="preserve"> </v>
          </cell>
          <cell r="AN39" t="str">
            <v xml:space="preserve"> </v>
          </cell>
          <cell r="AO39" t="str">
            <v xml:space="preserve"> </v>
          </cell>
          <cell r="AP39" t="str">
            <v xml:space="preserve"> </v>
          </cell>
          <cell r="AQ39" t="str">
            <v xml:space="preserve"> </v>
          </cell>
        </row>
        <row r="40">
          <cell r="A40" t="str">
            <v>FBA.......660000A</v>
          </cell>
          <cell r="B40" t="str">
            <v>2004T12</v>
          </cell>
          <cell r="C40" t="str">
            <v xml:space="preserve">TREND    </v>
          </cell>
          <cell r="D40" t="str">
            <v xml:space="preserve">Trend -  QTD Average/Activity                     </v>
          </cell>
          <cell r="E40" t="str">
            <v>Run: 08/07/03 14:02:44</v>
          </cell>
          <cell r="F40" t="str">
            <v>999</v>
          </cell>
          <cell r="G40" t="str">
            <v>100</v>
          </cell>
          <cell r="H40" t="str">
            <v xml:space="preserve">Bank Of America Management Reporting              </v>
          </cell>
          <cell r="I40" t="str">
            <v>001</v>
          </cell>
          <cell r="J40" t="str">
            <v>FBA.......</v>
          </cell>
          <cell r="K40" t="str">
            <v xml:space="preserve">Global Fx                                         </v>
          </cell>
          <cell r="L40" t="str">
            <v xml:space="preserve"> </v>
          </cell>
          <cell r="M40" t="str">
            <v xml:space="preserve"> </v>
          </cell>
          <cell r="N40" t="str">
            <v>bamgt</v>
          </cell>
          <cell r="O40" t="str">
            <v>40</v>
          </cell>
          <cell r="P40" t="str">
            <v>600000A  660000A  999999999999999999999999999999999999999999999999999999</v>
          </cell>
          <cell r="Q40" t="str">
            <v xml:space="preserve">none     </v>
          </cell>
          <cell r="R40" t="str">
            <v>RollFCST-Working Version</v>
          </cell>
          <cell r="S40" t="str">
            <v>RollFCST-Working Version</v>
          </cell>
          <cell r="T40" t="str">
            <v xml:space="preserve"> </v>
          </cell>
          <cell r="U40" t="str">
            <v xml:space="preserve"> </v>
          </cell>
          <cell r="V40" t="str">
            <v>660000A</v>
          </cell>
          <cell r="W40" t="str">
            <v>2</v>
          </cell>
          <cell r="X40" t="str">
            <v xml:space="preserve">  Telecommunications                    </v>
          </cell>
          <cell r="Y40">
            <v>245.43</v>
          </cell>
          <cell r="Z40">
            <v>247.57</v>
          </cell>
          <cell r="AA40">
            <v>233.09</v>
          </cell>
          <cell r="AB40">
            <v>233.09</v>
          </cell>
          <cell r="AC40">
            <v>959.18</v>
          </cell>
          <cell r="AD40">
            <v>245</v>
          </cell>
          <cell r="AE40">
            <v>245</v>
          </cell>
          <cell r="AF40">
            <v>246</v>
          </cell>
          <cell r="AG40">
            <v>248</v>
          </cell>
          <cell r="AH40">
            <v>984</v>
          </cell>
          <cell r="AI40" t="str">
            <v xml:space="preserve">U.S. Dollar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row>
        <row r="41">
          <cell r="A41" t="str">
            <v>FBA.......663000</v>
          </cell>
          <cell r="B41" t="str">
            <v>2004T12</v>
          </cell>
          <cell r="C41" t="str">
            <v xml:space="preserve">TREND    </v>
          </cell>
          <cell r="D41" t="str">
            <v xml:space="preserve">Trend -  QTD Average/Activity                     </v>
          </cell>
          <cell r="E41" t="str">
            <v>Run: 08/07/03 14:02:44</v>
          </cell>
          <cell r="F41" t="str">
            <v>999</v>
          </cell>
          <cell r="G41" t="str">
            <v>100</v>
          </cell>
          <cell r="H41" t="str">
            <v xml:space="preserve">Bank Of America Management Reporting              </v>
          </cell>
          <cell r="I41" t="str">
            <v>001</v>
          </cell>
          <cell r="J41" t="str">
            <v>FBA.......</v>
          </cell>
          <cell r="K41" t="str">
            <v xml:space="preserve">Global Fx                                         </v>
          </cell>
          <cell r="L41" t="str">
            <v xml:space="preserve"> </v>
          </cell>
          <cell r="M41" t="str">
            <v xml:space="preserve"> </v>
          </cell>
          <cell r="N41" t="str">
            <v>bamgt</v>
          </cell>
          <cell r="O41" t="str">
            <v>40</v>
          </cell>
          <cell r="P41" t="str">
            <v>600000A  662999B  662999C  663000   999999999999999999999999999999999999</v>
          </cell>
          <cell r="Q41" t="str">
            <v xml:space="preserve">none     </v>
          </cell>
          <cell r="R41" t="str">
            <v>RollFCST-Working Version</v>
          </cell>
          <cell r="S41" t="str">
            <v>RollFCST-Working Version</v>
          </cell>
          <cell r="T41" t="str">
            <v xml:space="preserve"> </v>
          </cell>
          <cell r="U41" t="str">
            <v xml:space="preserve"> </v>
          </cell>
          <cell r="V41" t="str">
            <v>663000</v>
          </cell>
          <cell r="W41" t="str">
            <v>4</v>
          </cell>
          <cell r="X41" t="str">
            <v xml:space="preserve">      Supplies                          </v>
          </cell>
          <cell r="Y41">
            <v>129</v>
          </cell>
          <cell r="Z41">
            <v>128</v>
          </cell>
          <cell r="AA41">
            <v>113</v>
          </cell>
          <cell r="AB41">
            <v>116</v>
          </cell>
          <cell r="AC41">
            <v>486</v>
          </cell>
          <cell r="AD41">
            <v>139</v>
          </cell>
          <cell r="AE41">
            <v>129</v>
          </cell>
          <cell r="AF41">
            <v>132</v>
          </cell>
          <cell r="AG41">
            <v>132</v>
          </cell>
          <cell r="AH41">
            <v>532</v>
          </cell>
          <cell r="AI41" t="str">
            <v xml:space="preserve">U.S. Dollar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row>
        <row r="42">
          <cell r="A42" t="str">
            <v>FBA.......664500</v>
          </cell>
          <cell r="B42" t="str">
            <v>2004T12</v>
          </cell>
          <cell r="C42" t="str">
            <v xml:space="preserve">TREND    </v>
          </cell>
          <cell r="D42" t="str">
            <v xml:space="preserve">Trend -  QTD Average/Activity                     </v>
          </cell>
          <cell r="E42" t="str">
            <v>Run: 08/07/03 14:02:44</v>
          </cell>
          <cell r="F42" t="str">
            <v>999</v>
          </cell>
          <cell r="G42" t="str">
            <v>100</v>
          </cell>
          <cell r="H42" t="str">
            <v xml:space="preserve">Bank Of America Management Reporting              </v>
          </cell>
          <cell r="I42" t="str">
            <v>001</v>
          </cell>
          <cell r="J42" t="str">
            <v>FBA.......</v>
          </cell>
          <cell r="K42" t="str">
            <v xml:space="preserve">Global Fx                                         </v>
          </cell>
          <cell r="L42" t="str">
            <v xml:space="preserve"> </v>
          </cell>
          <cell r="M42" t="str">
            <v xml:space="preserve"> </v>
          </cell>
          <cell r="N42" t="str">
            <v>bamgt</v>
          </cell>
          <cell r="O42" t="str">
            <v>40</v>
          </cell>
          <cell r="P42" t="str">
            <v>600000A  662999B  662999C  664500   999999999999999999999999999999999999</v>
          </cell>
          <cell r="Q42" t="str">
            <v xml:space="preserve">none     </v>
          </cell>
          <cell r="R42" t="str">
            <v>RollFCST-Working Version</v>
          </cell>
          <cell r="S42" t="str">
            <v>RollFCST-Working Version</v>
          </cell>
          <cell r="T42" t="str">
            <v xml:space="preserve"> </v>
          </cell>
          <cell r="U42" t="str">
            <v xml:space="preserve"> </v>
          </cell>
          <cell r="V42" t="str">
            <v>664500</v>
          </cell>
          <cell r="W42" t="str">
            <v>4</v>
          </cell>
          <cell r="X42" t="str">
            <v xml:space="preserve">      Postage And Courier               </v>
          </cell>
          <cell r="Y42">
            <v>352</v>
          </cell>
          <cell r="Z42">
            <v>189</v>
          </cell>
          <cell r="AA42">
            <v>248</v>
          </cell>
          <cell r="AB42">
            <v>250</v>
          </cell>
          <cell r="AC42">
            <v>1039</v>
          </cell>
          <cell r="AD42">
            <v>499</v>
          </cell>
          <cell r="AE42">
            <v>503</v>
          </cell>
          <cell r="AF42">
            <v>507</v>
          </cell>
          <cell r="AG42">
            <v>509</v>
          </cell>
          <cell r="AH42">
            <v>2018</v>
          </cell>
          <cell r="AI42" t="str">
            <v xml:space="preserve">U.S. Dollar                   </v>
          </cell>
          <cell r="AJ42" t="str">
            <v xml:space="preserve"> </v>
          </cell>
          <cell r="AK42" t="str">
            <v xml:space="preserve"> </v>
          </cell>
          <cell r="AL42" t="str">
            <v xml:space="preserve"> </v>
          </cell>
          <cell r="AM42" t="str">
            <v xml:space="preserve"> </v>
          </cell>
          <cell r="AN42" t="str">
            <v xml:space="preserve"> </v>
          </cell>
          <cell r="AO42" t="str">
            <v xml:space="preserve"> </v>
          </cell>
          <cell r="AP42" t="str">
            <v xml:space="preserve"> </v>
          </cell>
          <cell r="AQ42" t="str">
            <v xml:space="preserve"> </v>
          </cell>
        </row>
        <row r="43">
          <cell r="A43" t="str">
            <v>FBA.......665499F</v>
          </cell>
          <cell r="B43" t="str">
            <v>2004T12</v>
          </cell>
          <cell r="C43" t="str">
            <v xml:space="preserve">TREND    </v>
          </cell>
          <cell r="D43" t="str">
            <v xml:space="preserve">Trend -  QTD Average/Activity                     </v>
          </cell>
          <cell r="E43" t="str">
            <v>Run: 08/07/03 14:02:44</v>
          </cell>
          <cell r="F43" t="str">
            <v>999</v>
          </cell>
          <cell r="G43" t="str">
            <v>100</v>
          </cell>
          <cell r="H43" t="str">
            <v xml:space="preserve">Bank Of America Management Reporting              </v>
          </cell>
          <cell r="I43" t="str">
            <v>001</v>
          </cell>
          <cell r="J43" t="str">
            <v>FBA.......</v>
          </cell>
          <cell r="K43" t="str">
            <v xml:space="preserve">Global Fx                                         </v>
          </cell>
          <cell r="L43" t="str">
            <v xml:space="preserve"> </v>
          </cell>
          <cell r="M43" t="str">
            <v xml:space="preserve"> </v>
          </cell>
          <cell r="N43" t="str">
            <v>bamgt</v>
          </cell>
          <cell r="O43" t="str">
            <v>40</v>
          </cell>
          <cell r="P43" t="str">
            <v>600000A  662999B  662999C  665499B  665499D  665499F  999999999999999999</v>
          </cell>
          <cell r="Q43" t="str">
            <v xml:space="preserve">none     </v>
          </cell>
          <cell r="R43" t="str">
            <v>RollFCST-Working Version</v>
          </cell>
          <cell r="S43" t="str">
            <v>RollFCST-Working Version</v>
          </cell>
          <cell r="T43" t="str">
            <v xml:space="preserve"> </v>
          </cell>
          <cell r="U43" t="str">
            <v xml:space="preserve"> </v>
          </cell>
          <cell r="V43" t="str">
            <v>665499F</v>
          </cell>
          <cell r="W43" t="str">
            <v>6</v>
          </cell>
          <cell r="X43" t="str">
            <v xml:space="preserve">          Relocation Expense            </v>
          </cell>
          <cell r="Y43">
            <v>0</v>
          </cell>
          <cell r="Z43">
            <v>0</v>
          </cell>
          <cell r="AA43">
            <v>0</v>
          </cell>
          <cell r="AB43">
            <v>0</v>
          </cell>
          <cell r="AC43">
            <v>0</v>
          </cell>
          <cell r="AD43">
            <v>0</v>
          </cell>
          <cell r="AE43">
            <v>0</v>
          </cell>
          <cell r="AF43">
            <v>0</v>
          </cell>
          <cell r="AG43">
            <v>0</v>
          </cell>
          <cell r="AH43">
            <v>0</v>
          </cell>
          <cell r="AI43" t="str">
            <v xml:space="preserve">U.S. Dollar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row>
        <row r="44">
          <cell r="A44" t="str">
            <v>FBA.......665499J</v>
          </cell>
          <cell r="B44" t="str">
            <v>2004T12</v>
          </cell>
          <cell r="C44" t="str">
            <v xml:space="preserve">TREND    </v>
          </cell>
          <cell r="D44" t="str">
            <v xml:space="preserve">Trend -  QTD Average/Activity                     </v>
          </cell>
          <cell r="E44" t="str">
            <v>Run: 08/07/03 14:02:44</v>
          </cell>
          <cell r="F44" t="str">
            <v>999</v>
          </cell>
          <cell r="G44" t="str">
            <v>100</v>
          </cell>
          <cell r="H44" t="str">
            <v xml:space="preserve">Bank Of America Management Reporting              </v>
          </cell>
          <cell r="I44" t="str">
            <v>001</v>
          </cell>
          <cell r="J44" t="str">
            <v>FBA.......</v>
          </cell>
          <cell r="K44" t="str">
            <v xml:space="preserve">Global Fx                                         </v>
          </cell>
          <cell r="L44" t="str">
            <v xml:space="preserve"> </v>
          </cell>
          <cell r="M44" t="str">
            <v xml:space="preserve"> </v>
          </cell>
          <cell r="N44" t="str">
            <v>bamgt</v>
          </cell>
          <cell r="O44" t="str">
            <v>40</v>
          </cell>
          <cell r="P44" t="str">
            <v>600000A  662999B  662999C  665499B  665499D  665499H  665499J  999999999</v>
          </cell>
          <cell r="Q44" t="str">
            <v xml:space="preserve">none     </v>
          </cell>
          <cell r="R44" t="str">
            <v>RollFCST-Working Version</v>
          </cell>
          <cell r="S44" t="str">
            <v>RollFCST-Working Version</v>
          </cell>
          <cell r="T44" t="str">
            <v xml:space="preserve"> </v>
          </cell>
          <cell r="U44" t="str">
            <v xml:space="preserve"> </v>
          </cell>
          <cell r="V44" t="str">
            <v>665499J</v>
          </cell>
          <cell r="W44" t="str">
            <v>7</v>
          </cell>
          <cell r="X44" t="str">
            <v xml:space="preserve">            Employee Training &amp; Seminars</v>
          </cell>
          <cell r="Y44">
            <v>67</v>
          </cell>
          <cell r="Z44">
            <v>73</v>
          </cell>
          <cell r="AA44">
            <v>-2</v>
          </cell>
          <cell r="AB44">
            <v>33</v>
          </cell>
          <cell r="AC44">
            <v>171</v>
          </cell>
          <cell r="AD44">
            <v>18</v>
          </cell>
          <cell r="AE44">
            <v>19</v>
          </cell>
          <cell r="AF44">
            <v>18</v>
          </cell>
          <cell r="AG44">
            <v>19</v>
          </cell>
          <cell r="AH44">
            <v>74</v>
          </cell>
          <cell r="AI44" t="str">
            <v xml:space="preserve">U.S. Dollar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row>
        <row r="45">
          <cell r="A45" t="str">
            <v>FBA.......665499H</v>
          </cell>
          <cell r="B45" t="str">
            <v>2004T12</v>
          </cell>
          <cell r="C45" t="str">
            <v xml:space="preserve">TREND    </v>
          </cell>
          <cell r="D45" t="str">
            <v xml:space="preserve">Trend -  QTD Average/Activity                     </v>
          </cell>
          <cell r="E45" t="str">
            <v>Run: 08/07/03 14:02:44</v>
          </cell>
          <cell r="F45" t="str">
            <v>999</v>
          </cell>
          <cell r="G45" t="str">
            <v>100</v>
          </cell>
          <cell r="H45" t="str">
            <v xml:space="preserve">Bank Of America Management Reporting              </v>
          </cell>
          <cell r="I45" t="str">
            <v>001</v>
          </cell>
          <cell r="J45" t="str">
            <v>FBA.......</v>
          </cell>
          <cell r="K45" t="str">
            <v xml:space="preserve">Global Fx                                         </v>
          </cell>
          <cell r="L45" t="str">
            <v xml:space="preserve"> </v>
          </cell>
          <cell r="M45" t="str">
            <v xml:space="preserve"> </v>
          </cell>
          <cell r="N45" t="str">
            <v>bamgt</v>
          </cell>
          <cell r="O45" t="str">
            <v>40</v>
          </cell>
          <cell r="P45" t="str">
            <v>600000A  662999B  662999C  665499B  665499D  665499H  999999999999999999</v>
          </cell>
          <cell r="Q45" t="str">
            <v xml:space="preserve">none     </v>
          </cell>
          <cell r="R45" t="str">
            <v>RollFCST-Working Version</v>
          </cell>
          <cell r="S45" t="str">
            <v>RollFCST-Working Version</v>
          </cell>
          <cell r="T45" t="str">
            <v xml:space="preserve"> </v>
          </cell>
          <cell r="U45" t="str">
            <v xml:space="preserve"> </v>
          </cell>
          <cell r="V45" t="str">
            <v>665499H</v>
          </cell>
          <cell r="W45" t="str">
            <v>6</v>
          </cell>
          <cell r="X45" t="str">
            <v xml:space="preserve">          Other Employee Expense        </v>
          </cell>
          <cell r="Y45">
            <v>67</v>
          </cell>
          <cell r="Z45">
            <v>73</v>
          </cell>
          <cell r="AA45">
            <v>-2</v>
          </cell>
          <cell r="AB45">
            <v>33</v>
          </cell>
          <cell r="AC45">
            <v>171</v>
          </cell>
          <cell r="AD45">
            <v>18</v>
          </cell>
          <cell r="AE45">
            <v>19</v>
          </cell>
          <cell r="AF45">
            <v>18</v>
          </cell>
          <cell r="AG45">
            <v>19</v>
          </cell>
          <cell r="AH45">
            <v>74</v>
          </cell>
          <cell r="AI45" t="str">
            <v xml:space="preserve">U.S. Dollar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row>
        <row r="46">
          <cell r="A46" t="str">
            <v>FBA.......665499D</v>
          </cell>
          <cell r="B46" t="str">
            <v>2004T12</v>
          </cell>
          <cell r="C46" t="str">
            <v xml:space="preserve">TREND    </v>
          </cell>
          <cell r="D46" t="str">
            <v xml:space="preserve">Trend -  QTD Average/Activity                     </v>
          </cell>
          <cell r="E46" t="str">
            <v>Run: 08/07/03 14:02:44</v>
          </cell>
          <cell r="F46" t="str">
            <v>999</v>
          </cell>
          <cell r="G46" t="str">
            <v>100</v>
          </cell>
          <cell r="H46" t="str">
            <v xml:space="preserve">Bank Of America Management Reporting              </v>
          </cell>
          <cell r="I46" t="str">
            <v>001</v>
          </cell>
          <cell r="J46" t="str">
            <v>FBA.......</v>
          </cell>
          <cell r="K46" t="str">
            <v xml:space="preserve">Global Fx                                         </v>
          </cell>
          <cell r="L46" t="str">
            <v xml:space="preserve"> </v>
          </cell>
          <cell r="M46" t="str">
            <v xml:space="preserve"> </v>
          </cell>
          <cell r="N46" t="str">
            <v>bamgt</v>
          </cell>
          <cell r="O46" t="str">
            <v>40</v>
          </cell>
          <cell r="P46" t="str">
            <v>600000A  662999B  662999C  665499B  665499D  999999999999999999999999999</v>
          </cell>
          <cell r="Q46" t="str">
            <v xml:space="preserve">none     </v>
          </cell>
          <cell r="R46" t="str">
            <v>RollFCST-Working Version</v>
          </cell>
          <cell r="S46" t="str">
            <v>RollFCST-Working Version</v>
          </cell>
          <cell r="T46" t="str">
            <v xml:space="preserve"> </v>
          </cell>
          <cell r="U46" t="str">
            <v xml:space="preserve"> </v>
          </cell>
          <cell r="V46" t="str">
            <v>665499D</v>
          </cell>
          <cell r="W46" t="str">
            <v>5</v>
          </cell>
          <cell r="X46" t="str">
            <v xml:space="preserve">        Employee Expense                </v>
          </cell>
          <cell r="Y46">
            <v>67</v>
          </cell>
          <cell r="Z46">
            <v>73</v>
          </cell>
          <cell r="AA46">
            <v>-2</v>
          </cell>
          <cell r="AB46">
            <v>33</v>
          </cell>
          <cell r="AC46">
            <v>171</v>
          </cell>
          <cell r="AD46">
            <v>18</v>
          </cell>
          <cell r="AE46">
            <v>19</v>
          </cell>
          <cell r="AF46">
            <v>18</v>
          </cell>
          <cell r="AG46">
            <v>19</v>
          </cell>
          <cell r="AH46">
            <v>74</v>
          </cell>
          <cell r="AI46" t="str">
            <v xml:space="preserve">U.S. Dollar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row>
        <row r="47">
          <cell r="A47" t="str">
            <v>FBA.......665499B</v>
          </cell>
          <cell r="B47" t="str">
            <v>2004T12</v>
          </cell>
          <cell r="C47" t="str">
            <v xml:space="preserve">TREND    </v>
          </cell>
          <cell r="D47" t="str">
            <v xml:space="preserve">Trend -  QTD Average/Activity                     </v>
          </cell>
          <cell r="E47" t="str">
            <v>Run: 08/07/03 14:02:44</v>
          </cell>
          <cell r="F47" t="str">
            <v>999</v>
          </cell>
          <cell r="G47" t="str">
            <v>100</v>
          </cell>
          <cell r="H47" t="str">
            <v xml:space="preserve">Bank Of America Management Reporting              </v>
          </cell>
          <cell r="I47" t="str">
            <v>001</v>
          </cell>
          <cell r="J47" t="str">
            <v>FBA.......</v>
          </cell>
          <cell r="K47" t="str">
            <v xml:space="preserve">Global Fx                                         </v>
          </cell>
          <cell r="L47" t="str">
            <v xml:space="preserve"> </v>
          </cell>
          <cell r="M47" t="str">
            <v xml:space="preserve"> </v>
          </cell>
          <cell r="N47" t="str">
            <v>bamgt</v>
          </cell>
          <cell r="O47" t="str">
            <v>40</v>
          </cell>
          <cell r="P47" t="str">
            <v>600000A  662999B  662999C  665499B  999999999999999999999999999999999999</v>
          </cell>
          <cell r="Q47" t="str">
            <v xml:space="preserve">none     </v>
          </cell>
          <cell r="R47" t="str">
            <v>RollFCST-Working Version</v>
          </cell>
          <cell r="S47" t="str">
            <v>RollFCST-Working Version</v>
          </cell>
          <cell r="T47" t="str">
            <v xml:space="preserve"> </v>
          </cell>
          <cell r="U47" t="str">
            <v xml:space="preserve"> </v>
          </cell>
          <cell r="V47" t="str">
            <v>665499B</v>
          </cell>
          <cell r="W47" t="str">
            <v>4</v>
          </cell>
          <cell r="X47" t="str">
            <v xml:space="preserve">      Other Operating Expense           </v>
          </cell>
          <cell r="Y47">
            <v>76</v>
          </cell>
          <cell r="Z47">
            <v>102.82</v>
          </cell>
          <cell r="AA47">
            <v>7</v>
          </cell>
          <cell r="AB47">
            <v>42</v>
          </cell>
          <cell r="AC47">
            <v>227.82</v>
          </cell>
          <cell r="AD47">
            <v>50</v>
          </cell>
          <cell r="AE47">
            <v>44</v>
          </cell>
          <cell r="AF47">
            <v>43</v>
          </cell>
          <cell r="AG47">
            <v>44</v>
          </cell>
          <cell r="AH47">
            <v>181</v>
          </cell>
          <cell r="AI47" t="str">
            <v xml:space="preserve">U.S. Dollar                   </v>
          </cell>
          <cell r="AJ47" t="str">
            <v xml:space="preserve"> </v>
          </cell>
          <cell r="AK47" t="str">
            <v xml:space="preserve"> </v>
          </cell>
          <cell r="AL47" t="str">
            <v xml:space="preserve"> </v>
          </cell>
          <cell r="AM47" t="str">
            <v xml:space="preserve"> </v>
          </cell>
          <cell r="AN47" t="str">
            <v xml:space="preserve"> </v>
          </cell>
          <cell r="AO47" t="str">
            <v xml:space="preserve"> </v>
          </cell>
          <cell r="AP47" t="str">
            <v xml:space="preserve"> </v>
          </cell>
          <cell r="AQ47" t="str">
            <v xml:space="preserve"> </v>
          </cell>
        </row>
        <row r="48">
          <cell r="A48" t="str">
            <v>FBA.......670200</v>
          </cell>
          <cell r="B48" t="str">
            <v>2004T12</v>
          </cell>
          <cell r="C48" t="str">
            <v xml:space="preserve">TREND    </v>
          </cell>
          <cell r="D48" t="str">
            <v xml:space="preserve">Trend -  QTD Average/Activity                     </v>
          </cell>
          <cell r="E48" t="str">
            <v>Run: 08/07/03 14:02:44</v>
          </cell>
          <cell r="F48" t="str">
            <v>999</v>
          </cell>
          <cell r="G48" t="str">
            <v>100</v>
          </cell>
          <cell r="H48" t="str">
            <v xml:space="preserve">Bank Of America Management Reporting              </v>
          </cell>
          <cell r="I48" t="str">
            <v>001</v>
          </cell>
          <cell r="J48" t="str">
            <v>FBA.......</v>
          </cell>
          <cell r="K48" t="str">
            <v xml:space="preserve">Global Fx                                         </v>
          </cell>
          <cell r="L48" t="str">
            <v xml:space="preserve"> </v>
          </cell>
          <cell r="M48" t="str">
            <v xml:space="preserve"> </v>
          </cell>
          <cell r="N48" t="str">
            <v>bamgt</v>
          </cell>
          <cell r="O48" t="str">
            <v>40</v>
          </cell>
          <cell r="P48" t="str">
            <v>600000A  662999B  670000B  670200   999999999999999999999999999999999999</v>
          </cell>
          <cell r="Q48" t="str">
            <v xml:space="preserve">none     </v>
          </cell>
          <cell r="R48" t="str">
            <v>RollFCST-Working Version</v>
          </cell>
          <cell r="S48" t="str">
            <v>RollFCST-Working Version</v>
          </cell>
          <cell r="T48" t="str">
            <v xml:space="preserve"> </v>
          </cell>
          <cell r="U48" t="str">
            <v xml:space="preserve"> </v>
          </cell>
          <cell r="V48" t="str">
            <v>670200</v>
          </cell>
          <cell r="W48" t="str">
            <v>4</v>
          </cell>
          <cell r="X48" t="str">
            <v xml:space="preserve">      Travel                            </v>
          </cell>
          <cell r="Y48">
            <v>47</v>
          </cell>
          <cell r="Z48">
            <v>47</v>
          </cell>
          <cell r="AA48">
            <v>36</v>
          </cell>
          <cell r="AB48">
            <v>21</v>
          </cell>
          <cell r="AC48">
            <v>151</v>
          </cell>
          <cell r="AD48">
            <v>23</v>
          </cell>
          <cell r="AE48">
            <v>23</v>
          </cell>
          <cell r="AF48">
            <v>39</v>
          </cell>
          <cell r="AG48">
            <v>23</v>
          </cell>
          <cell r="AH48">
            <v>108</v>
          </cell>
          <cell r="AI48" t="str">
            <v xml:space="preserve">U.S. Dollar                   </v>
          </cell>
          <cell r="AJ48" t="str">
            <v xml:space="preserve"> </v>
          </cell>
          <cell r="AK48" t="str">
            <v xml:space="preserve"> </v>
          </cell>
          <cell r="AL48" t="str">
            <v xml:space="preserve"> </v>
          </cell>
          <cell r="AM48" t="str">
            <v xml:space="preserve"> </v>
          </cell>
          <cell r="AN48" t="str">
            <v xml:space="preserve"> </v>
          </cell>
          <cell r="AO48" t="str">
            <v xml:space="preserve"> </v>
          </cell>
          <cell r="AP48" t="str">
            <v xml:space="preserve"> </v>
          </cell>
          <cell r="AQ48" t="str">
            <v xml:space="preserve"> </v>
          </cell>
        </row>
        <row r="49">
          <cell r="A49" t="str">
            <v>FBA.......670800</v>
          </cell>
          <cell r="B49" t="str">
            <v>2004T12</v>
          </cell>
          <cell r="C49" t="str">
            <v xml:space="preserve">TREND    </v>
          </cell>
          <cell r="D49" t="str">
            <v xml:space="preserve">Trend -  QTD Average/Activity                     </v>
          </cell>
          <cell r="E49" t="str">
            <v>Run: 08/07/03 14:02:44</v>
          </cell>
          <cell r="F49" t="str">
            <v>999</v>
          </cell>
          <cell r="G49" t="str">
            <v>100</v>
          </cell>
          <cell r="H49" t="str">
            <v xml:space="preserve">Bank Of America Management Reporting              </v>
          </cell>
          <cell r="I49" t="str">
            <v>001</v>
          </cell>
          <cell r="J49" t="str">
            <v>FBA.......</v>
          </cell>
          <cell r="K49" t="str">
            <v xml:space="preserve">Global Fx                                         </v>
          </cell>
          <cell r="L49" t="str">
            <v xml:space="preserve"> </v>
          </cell>
          <cell r="M49" t="str">
            <v xml:space="preserve"> </v>
          </cell>
          <cell r="N49" t="str">
            <v>bamgt</v>
          </cell>
          <cell r="O49" t="str">
            <v>40</v>
          </cell>
          <cell r="P49" t="str">
            <v>600000A  662999B  670000B  670800   999999999999999999999999999999999999</v>
          </cell>
          <cell r="Q49" t="str">
            <v xml:space="preserve">none     </v>
          </cell>
          <cell r="R49" t="str">
            <v>RollFCST-Working Version</v>
          </cell>
          <cell r="S49" t="str">
            <v>RollFCST-Working Version</v>
          </cell>
          <cell r="T49" t="str">
            <v xml:space="preserve"> </v>
          </cell>
          <cell r="U49" t="str">
            <v xml:space="preserve"> </v>
          </cell>
          <cell r="V49" t="str">
            <v>670800</v>
          </cell>
          <cell r="W49" t="str">
            <v>4</v>
          </cell>
          <cell r="X49" t="str">
            <v xml:space="preserve">      Taxes Other Than Income           </v>
          </cell>
          <cell r="Y49">
            <v>0</v>
          </cell>
          <cell r="Z49">
            <v>0</v>
          </cell>
          <cell r="AA49">
            <v>0</v>
          </cell>
          <cell r="AB49">
            <v>0</v>
          </cell>
          <cell r="AC49">
            <v>0</v>
          </cell>
          <cell r="AD49">
            <v>9</v>
          </cell>
          <cell r="AE49">
            <v>9</v>
          </cell>
          <cell r="AF49">
            <v>9</v>
          </cell>
          <cell r="AG49">
            <v>9</v>
          </cell>
          <cell r="AH49">
            <v>36</v>
          </cell>
          <cell r="AI49" t="str">
            <v xml:space="preserve">U.S. Dollar                   </v>
          </cell>
          <cell r="AJ49" t="str">
            <v xml:space="preserve"> </v>
          </cell>
          <cell r="AK49" t="str">
            <v xml:space="preserve"> </v>
          </cell>
          <cell r="AL49" t="str">
            <v xml:space="preserve"> </v>
          </cell>
          <cell r="AM49" t="str">
            <v xml:space="preserve"> </v>
          </cell>
          <cell r="AN49" t="str">
            <v xml:space="preserve"> </v>
          </cell>
          <cell r="AO49" t="str">
            <v xml:space="preserve"> </v>
          </cell>
          <cell r="AP49" t="str">
            <v xml:space="preserve"> </v>
          </cell>
          <cell r="AQ49" t="str">
            <v xml:space="preserve"> </v>
          </cell>
        </row>
        <row r="50">
          <cell r="A50" t="str">
            <v>FBA.......671200</v>
          </cell>
          <cell r="B50" t="str">
            <v>2004T12</v>
          </cell>
          <cell r="C50" t="str">
            <v xml:space="preserve">TREND    </v>
          </cell>
          <cell r="D50" t="str">
            <v xml:space="preserve">Trend -  QTD Average/Activity                     </v>
          </cell>
          <cell r="E50" t="str">
            <v>Run: 08/07/03 14:02:44</v>
          </cell>
          <cell r="F50" t="str">
            <v>999</v>
          </cell>
          <cell r="G50" t="str">
            <v>100</v>
          </cell>
          <cell r="H50" t="str">
            <v xml:space="preserve">Bank Of America Management Reporting              </v>
          </cell>
          <cell r="I50" t="str">
            <v>001</v>
          </cell>
          <cell r="J50" t="str">
            <v>FBA.......</v>
          </cell>
          <cell r="K50" t="str">
            <v xml:space="preserve">Global Fx                                         </v>
          </cell>
          <cell r="L50" t="str">
            <v xml:space="preserve"> </v>
          </cell>
          <cell r="M50" t="str">
            <v xml:space="preserve"> </v>
          </cell>
          <cell r="N50" t="str">
            <v>bamgt</v>
          </cell>
          <cell r="O50" t="str">
            <v>40</v>
          </cell>
          <cell r="P50" t="str">
            <v>600000A  662999B  670000B  671200   999999999999999999999999999999999999</v>
          </cell>
          <cell r="Q50" t="str">
            <v xml:space="preserve">none     </v>
          </cell>
          <cell r="R50" t="str">
            <v>RollFCST-Working Version</v>
          </cell>
          <cell r="S50" t="str">
            <v>RollFCST-Working Version</v>
          </cell>
          <cell r="T50" t="str">
            <v xml:space="preserve"> </v>
          </cell>
          <cell r="U50" t="str">
            <v xml:space="preserve"> </v>
          </cell>
          <cell r="V50" t="str">
            <v>671200</v>
          </cell>
          <cell r="W50" t="str">
            <v>4</v>
          </cell>
          <cell r="X50" t="str">
            <v xml:space="preserve">      Subscription Services             </v>
          </cell>
          <cell r="Y50">
            <v>-9</v>
          </cell>
          <cell r="Z50">
            <v>14.08</v>
          </cell>
          <cell r="AA50">
            <v>0</v>
          </cell>
          <cell r="AB50">
            <v>0</v>
          </cell>
          <cell r="AC50">
            <v>5.08</v>
          </cell>
          <cell r="AD50">
            <v>88</v>
          </cell>
          <cell r="AE50">
            <v>89</v>
          </cell>
          <cell r="AF50">
            <v>88</v>
          </cell>
          <cell r="AG50">
            <v>74</v>
          </cell>
          <cell r="AH50">
            <v>339</v>
          </cell>
          <cell r="AI50" t="str">
            <v xml:space="preserve">U.S. Dollar                   </v>
          </cell>
          <cell r="AJ50" t="str">
            <v xml:space="preserve"> </v>
          </cell>
          <cell r="AK50" t="str">
            <v xml:space="preserve"> </v>
          </cell>
          <cell r="AL50" t="str">
            <v xml:space="preserve"> </v>
          </cell>
          <cell r="AM50" t="str">
            <v xml:space="preserve"> </v>
          </cell>
          <cell r="AN50" t="str">
            <v xml:space="preserve"> </v>
          </cell>
          <cell r="AO50" t="str">
            <v xml:space="preserve"> </v>
          </cell>
          <cell r="AP50" t="str">
            <v xml:space="preserve"> </v>
          </cell>
          <cell r="AQ50" t="str">
            <v xml:space="preserve"> </v>
          </cell>
        </row>
        <row r="51">
          <cell r="A51" t="str">
            <v>FBA.......671500</v>
          </cell>
          <cell r="B51" t="str">
            <v>2004T12</v>
          </cell>
          <cell r="C51" t="str">
            <v xml:space="preserve">TREND    </v>
          </cell>
          <cell r="D51" t="str">
            <v xml:space="preserve">Trend -  QTD Average/Activity                     </v>
          </cell>
          <cell r="E51" t="str">
            <v>Run: 08/07/03 14:02:44</v>
          </cell>
          <cell r="F51" t="str">
            <v>999</v>
          </cell>
          <cell r="G51" t="str">
            <v>100</v>
          </cell>
          <cell r="H51" t="str">
            <v xml:space="preserve">Bank Of America Management Reporting              </v>
          </cell>
          <cell r="I51" t="str">
            <v>001</v>
          </cell>
          <cell r="J51" t="str">
            <v>FBA.......</v>
          </cell>
          <cell r="K51" t="str">
            <v xml:space="preserve">Global Fx                                         </v>
          </cell>
          <cell r="L51" t="str">
            <v xml:space="preserve"> </v>
          </cell>
          <cell r="M51" t="str">
            <v xml:space="preserve"> </v>
          </cell>
          <cell r="N51" t="str">
            <v>bamgt</v>
          </cell>
          <cell r="O51" t="str">
            <v>40</v>
          </cell>
          <cell r="P51" t="str">
            <v>600000A  662999B  670000B  671500   999999999999999999999999999999999999</v>
          </cell>
          <cell r="Q51" t="str">
            <v xml:space="preserve">none     </v>
          </cell>
          <cell r="R51" t="str">
            <v>RollFCST-Working Version</v>
          </cell>
          <cell r="S51" t="str">
            <v>RollFCST-Working Version</v>
          </cell>
          <cell r="T51" t="str">
            <v xml:space="preserve"> </v>
          </cell>
          <cell r="U51" t="str">
            <v xml:space="preserve"> </v>
          </cell>
          <cell r="V51" t="str">
            <v>671500</v>
          </cell>
          <cell r="W51" t="str">
            <v>4</v>
          </cell>
          <cell r="X51" t="str">
            <v xml:space="preserve">      Other Administrative Expenses     </v>
          </cell>
          <cell r="Y51">
            <v>128</v>
          </cell>
          <cell r="Z51">
            <v>111</v>
          </cell>
          <cell r="AA51">
            <v>91</v>
          </cell>
          <cell r="AB51">
            <v>68</v>
          </cell>
          <cell r="AC51">
            <v>398</v>
          </cell>
          <cell r="AD51">
            <v>0</v>
          </cell>
          <cell r="AE51">
            <v>0</v>
          </cell>
          <cell r="AF51">
            <v>0</v>
          </cell>
          <cell r="AG51">
            <v>0</v>
          </cell>
          <cell r="AH51">
            <v>0</v>
          </cell>
          <cell r="AI51" t="str">
            <v xml:space="preserve">U.S. Dollar                   </v>
          </cell>
          <cell r="AJ51" t="str">
            <v xml:space="preserve"> </v>
          </cell>
          <cell r="AK51" t="str">
            <v xml:space="preserve"> </v>
          </cell>
          <cell r="AL51" t="str">
            <v xml:space="preserve"> </v>
          </cell>
          <cell r="AM51" t="str">
            <v xml:space="preserve"> </v>
          </cell>
          <cell r="AN51" t="str">
            <v xml:space="preserve"> </v>
          </cell>
          <cell r="AO51" t="str">
            <v xml:space="preserve"> </v>
          </cell>
          <cell r="AP51" t="str">
            <v xml:space="preserve"> </v>
          </cell>
          <cell r="AQ51" t="str">
            <v xml:space="preserve"> </v>
          </cell>
        </row>
        <row r="52">
          <cell r="A52" t="str">
            <v>FBA.......675000</v>
          </cell>
          <cell r="B52" t="str">
            <v>2004T12</v>
          </cell>
          <cell r="C52" t="str">
            <v xml:space="preserve">TREND    </v>
          </cell>
          <cell r="D52" t="str">
            <v xml:space="preserve">Trend -  QTD Average/Activity                     </v>
          </cell>
          <cell r="E52" t="str">
            <v>Run: 08/07/03 14:02:44</v>
          </cell>
          <cell r="F52" t="str">
            <v>999</v>
          </cell>
          <cell r="G52" t="str">
            <v>100</v>
          </cell>
          <cell r="H52" t="str">
            <v xml:space="preserve">Bank Of America Management Reporting              </v>
          </cell>
          <cell r="I52" t="str">
            <v>001</v>
          </cell>
          <cell r="J52" t="str">
            <v>FBA.......</v>
          </cell>
          <cell r="K52" t="str">
            <v xml:space="preserve">Global Fx                                         </v>
          </cell>
          <cell r="L52" t="str">
            <v xml:space="preserve"> </v>
          </cell>
          <cell r="M52" t="str">
            <v xml:space="preserve"> </v>
          </cell>
          <cell r="N52" t="str">
            <v>bamgt</v>
          </cell>
          <cell r="O52" t="str">
            <v>40</v>
          </cell>
          <cell r="P52" t="str">
            <v>600000A  675000   999999999999999999999999999999999999999999999999999999</v>
          </cell>
          <cell r="Q52" t="str">
            <v xml:space="preserve">none     </v>
          </cell>
          <cell r="R52" t="str">
            <v>RollFCST-Working Version</v>
          </cell>
          <cell r="S52" t="str">
            <v>RollFCST-Working Version</v>
          </cell>
          <cell r="T52" t="str">
            <v xml:space="preserve"> </v>
          </cell>
          <cell r="U52" t="str">
            <v xml:space="preserve"> </v>
          </cell>
          <cell r="V52" t="str">
            <v>675000</v>
          </cell>
          <cell r="W52" t="str">
            <v>2</v>
          </cell>
          <cell r="X52" t="str">
            <v xml:space="preserve">  Intercompany Expense                  </v>
          </cell>
          <cell r="Y52">
            <v>54</v>
          </cell>
          <cell r="Z52">
            <v>58.31</v>
          </cell>
          <cell r="AA52">
            <v>39</v>
          </cell>
          <cell r="AB52">
            <v>39</v>
          </cell>
          <cell r="AC52">
            <v>190.31</v>
          </cell>
          <cell r="AD52">
            <v>39</v>
          </cell>
          <cell r="AE52">
            <v>39</v>
          </cell>
          <cell r="AF52">
            <v>39</v>
          </cell>
          <cell r="AG52">
            <v>39</v>
          </cell>
          <cell r="AH52">
            <v>156</v>
          </cell>
          <cell r="AI52" t="str">
            <v xml:space="preserve">U.S. Dollar                   </v>
          </cell>
          <cell r="AJ52" t="str">
            <v xml:space="preserve"> </v>
          </cell>
          <cell r="AK52" t="str">
            <v xml:space="preserve"> </v>
          </cell>
          <cell r="AL52" t="str">
            <v xml:space="preserve"> </v>
          </cell>
          <cell r="AM52" t="str">
            <v xml:space="preserve"> </v>
          </cell>
          <cell r="AN52" t="str">
            <v xml:space="preserve"> </v>
          </cell>
          <cell r="AO52" t="str">
            <v xml:space="preserve"> </v>
          </cell>
          <cell r="AP52" t="str">
            <v xml:space="preserve"> </v>
          </cell>
          <cell r="AQ52" t="str">
            <v xml:space="preserve"> </v>
          </cell>
        </row>
        <row r="53">
          <cell r="A53" t="str">
            <v>FBA.......NIEBA-B</v>
          </cell>
          <cell r="B53" t="str">
            <v>2004T12</v>
          </cell>
          <cell r="C53" t="str">
            <v xml:space="preserve">TREND    </v>
          </cell>
          <cell r="D53" t="str">
            <v xml:space="preserve">Trend -  QTD Average/Activity                     </v>
          </cell>
          <cell r="E53" t="str">
            <v>Run: 08/07/03 14:02:44</v>
          </cell>
          <cell r="F53" t="str">
            <v>999</v>
          </cell>
          <cell r="G53" t="str">
            <v>100</v>
          </cell>
          <cell r="H53" t="str">
            <v xml:space="preserve">Bank Of America Management Reporting              </v>
          </cell>
          <cell r="I53" t="str">
            <v>001</v>
          </cell>
          <cell r="J53" t="str">
            <v>FBA.......</v>
          </cell>
          <cell r="K53" t="str">
            <v xml:space="preserve">Global Fx                                         </v>
          </cell>
          <cell r="L53" t="str">
            <v xml:space="preserve"> </v>
          </cell>
          <cell r="M53" t="str">
            <v xml:space="preserve"> </v>
          </cell>
          <cell r="N53" t="str">
            <v>bamgt</v>
          </cell>
          <cell r="O53" t="str">
            <v>40</v>
          </cell>
          <cell r="P53" t="str">
            <v xml:space="preserve">600000A  675000A  999999999999999999999999999NIEBA-B                    </v>
          </cell>
          <cell r="Q53" t="str">
            <v xml:space="preserve">none     </v>
          </cell>
          <cell r="R53" t="str">
            <v>RollFCST-Working Version</v>
          </cell>
          <cell r="S53" t="str">
            <v>RollFCST-Working Version</v>
          </cell>
          <cell r="T53" t="str">
            <v xml:space="preserve"> </v>
          </cell>
          <cell r="U53" t="str">
            <v xml:space="preserve"> </v>
          </cell>
          <cell r="V53" t="str">
            <v>NIEBA-B</v>
          </cell>
          <cell r="W53" t="str">
            <v>0</v>
          </cell>
          <cell r="X53" t="str">
            <v xml:space="preserve">Sub-Tot Non Int Exp Before Cost         </v>
          </cell>
          <cell r="Y53">
            <v>6926.52</v>
          </cell>
          <cell r="Z53">
            <v>6629.0663999999997</v>
          </cell>
          <cell r="AA53">
            <v>6607.64</v>
          </cell>
          <cell r="AB53">
            <v>6435.9</v>
          </cell>
          <cell r="AC53">
            <v>26599.126400000001</v>
          </cell>
          <cell r="AD53">
            <v>6813.43</v>
          </cell>
          <cell r="AE53">
            <v>7140.1949999999997</v>
          </cell>
          <cell r="AF53">
            <v>6970.0550000000003</v>
          </cell>
          <cell r="AG53">
            <v>6792.0550000000003</v>
          </cell>
          <cell r="AH53">
            <v>27715.735000000001</v>
          </cell>
          <cell r="AI53" t="str">
            <v xml:space="preserve">U.S. Dollar                   </v>
          </cell>
          <cell r="AJ53" t="str">
            <v xml:space="preserve"> </v>
          </cell>
          <cell r="AK53" t="str">
            <v xml:space="preserve"> </v>
          </cell>
          <cell r="AL53" t="str">
            <v xml:space="preserve"> </v>
          </cell>
          <cell r="AM53" t="str">
            <v xml:space="preserve"> </v>
          </cell>
          <cell r="AN53" t="str">
            <v xml:space="preserve"> </v>
          </cell>
          <cell r="AO53" t="str">
            <v xml:space="preserve"> </v>
          </cell>
          <cell r="AP53" t="str">
            <v xml:space="preserve"> </v>
          </cell>
          <cell r="AQ53" t="str">
            <v xml:space="preserve"> </v>
          </cell>
        </row>
        <row r="54">
          <cell r="A54" t="str">
            <v>FBB.......600300</v>
          </cell>
          <cell r="B54" t="str">
            <v>2004T12</v>
          </cell>
          <cell r="C54" t="str">
            <v xml:space="preserve">TREND    </v>
          </cell>
          <cell r="D54" t="str">
            <v xml:space="preserve">Trend -  QTD Average/Activity                     </v>
          </cell>
          <cell r="E54" t="str">
            <v>Run: 08/07/03 14:02:44</v>
          </cell>
          <cell r="F54" t="str">
            <v>999</v>
          </cell>
          <cell r="G54" t="str">
            <v>100</v>
          </cell>
          <cell r="H54" t="str">
            <v xml:space="preserve">Bank Of America Management Reporting              </v>
          </cell>
          <cell r="I54" t="str">
            <v>001</v>
          </cell>
          <cell r="J54" t="str">
            <v>FBB.......</v>
          </cell>
          <cell r="K54" t="str">
            <v xml:space="preserve">Global Rates And Commodities Operations           </v>
          </cell>
          <cell r="L54" t="str">
            <v xml:space="preserve"> </v>
          </cell>
          <cell r="M54" t="str">
            <v xml:space="preserve"> </v>
          </cell>
          <cell r="N54" t="str">
            <v>bamgt</v>
          </cell>
          <cell r="O54" t="str">
            <v>40</v>
          </cell>
          <cell r="P54" t="str">
            <v>600000A  600250   999999999600300   999999999999999999999999999999999999</v>
          </cell>
          <cell r="Q54" t="str">
            <v xml:space="preserve">none     </v>
          </cell>
          <cell r="R54" t="str">
            <v>RollFCST-Working Version</v>
          </cell>
          <cell r="S54" t="str">
            <v>RollFCST-Working Version</v>
          </cell>
          <cell r="T54" t="str">
            <v xml:space="preserve"> </v>
          </cell>
          <cell r="U54" t="str">
            <v xml:space="preserve"> </v>
          </cell>
          <cell r="V54" t="str">
            <v>600300</v>
          </cell>
          <cell r="W54" t="str">
            <v>4</v>
          </cell>
          <cell r="X54" t="str">
            <v xml:space="preserve">      Salaries &amp; Wages                  </v>
          </cell>
          <cell r="Y54">
            <v>5986</v>
          </cell>
          <cell r="Z54">
            <v>5970.62</v>
          </cell>
          <cell r="AA54">
            <v>5937.38</v>
          </cell>
          <cell r="AB54">
            <v>6422.77</v>
          </cell>
          <cell r="AC54">
            <v>24316.77</v>
          </cell>
          <cell r="AD54">
            <v>5725.16</v>
          </cell>
          <cell r="AE54">
            <v>5912.68</v>
          </cell>
          <cell r="AF54">
            <v>6118.74</v>
          </cell>
          <cell r="AG54">
            <v>6076.74</v>
          </cell>
          <cell r="AH54">
            <v>23833.32</v>
          </cell>
          <cell r="AI54" t="str">
            <v xml:space="preserve">U.S. Dollar                   </v>
          </cell>
          <cell r="AJ54" t="str">
            <v xml:space="preserve"> </v>
          </cell>
          <cell r="AK54" t="str">
            <v xml:space="preserve"> </v>
          </cell>
          <cell r="AL54" t="str">
            <v xml:space="preserve"> </v>
          </cell>
          <cell r="AM54" t="str">
            <v xml:space="preserve"> </v>
          </cell>
          <cell r="AN54" t="str">
            <v xml:space="preserve"> </v>
          </cell>
          <cell r="AO54" t="str">
            <v xml:space="preserve"> </v>
          </cell>
          <cell r="AP54" t="str">
            <v xml:space="preserve"> </v>
          </cell>
          <cell r="AQ54" t="str">
            <v xml:space="preserve"> </v>
          </cell>
        </row>
        <row r="55">
          <cell r="A55" t="str">
            <v>FBB.......601000</v>
          </cell>
          <cell r="B55" t="str">
            <v>2004T12</v>
          </cell>
          <cell r="C55" t="str">
            <v xml:space="preserve">TREND    </v>
          </cell>
          <cell r="D55" t="str">
            <v xml:space="preserve">Trend -  QTD Average/Activity                     </v>
          </cell>
          <cell r="E55" t="str">
            <v>Run: 08/07/03 14:02:44</v>
          </cell>
          <cell r="F55" t="str">
            <v>999</v>
          </cell>
          <cell r="G55" t="str">
            <v>100</v>
          </cell>
          <cell r="H55" t="str">
            <v xml:space="preserve">Bank Of America Management Reporting              </v>
          </cell>
          <cell r="I55" t="str">
            <v>001</v>
          </cell>
          <cell r="J55" t="str">
            <v>FBB.......</v>
          </cell>
          <cell r="K55" t="str">
            <v xml:space="preserve">Global Rates And Commodities Operations           </v>
          </cell>
          <cell r="L55" t="str">
            <v xml:space="preserve"> </v>
          </cell>
          <cell r="M55" t="str">
            <v xml:space="preserve"> </v>
          </cell>
          <cell r="N55" t="str">
            <v>bamgt</v>
          </cell>
          <cell r="O55" t="str">
            <v>40</v>
          </cell>
          <cell r="P55" t="str">
            <v>600000A  600250   999999999601000   999999999999999999999999999999999999</v>
          </cell>
          <cell r="Q55" t="str">
            <v xml:space="preserve">none     </v>
          </cell>
          <cell r="R55" t="str">
            <v>RollFCST-Working Version</v>
          </cell>
          <cell r="S55" t="str">
            <v>RollFCST-Working Version</v>
          </cell>
          <cell r="T55" t="str">
            <v xml:space="preserve"> </v>
          </cell>
          <cell r="U55" t="str">
            <v xml:space="preserve"> </v>
          </cell>
          <cell r="V55" t="str">
            <v>601000</v>
          </cell>
          <cell r="W55" t="str">
            <v>4</v>
          </cell>
          <cell r="X55" t="str">
            <v xml:space="preserve">      Overtime Salaries                 </v>
          </cell>
          <cell r="Y55">
            <v>74</v>
          </cell>
          <cell r="Z55">
            <v>76.11</v>
          </cell>
          <cell r="AA55">
            <v>61.37</v>
          </cell>
          <cell r="AB55">
            <v>63.31</v>
          </cell>
          <cell r="AC55">
            <v>274.79000000000002</v>
          </cell>
          <cell r="AD55">
            <v>63.81</v>
          </cell>
          <cell r="AE55">
            <v>63.81</v>
          </cell>
          <cell r="AF55">
            <v>63.81</v>
          </cell>
          <cell r="AG55">
            <v>63.81</v>
          </cell>
          <cell r="AH55">
            <v>255.24</v>
          </cell>
          <cell r="AI55" t="str">
            <v xml:space="preserve">U.S. Dollar                   </v>
          </cell>
          <cell r="AJ55" t="str">
            <v xml:space="preserve"> </v>
          </cell>
          <cell r="AK55" t="str">
            <v xml:space="preserve"> </v>
          </cell>
          <cell r="AL55" t="str">
            <v xml:space="preserve"> </v>
          </cell>
          <cell r="AM55" t="str">
            <v xml:space="preserve"> </v>
          </cell>
          <cell r="AN55" t="str">
            <v xml:space="preserve"> </v>
          </cell>
          <cell r="AO55" t="str">
            <v xml:space="preserve"> </v>
          </cell>
          <cell r="AP55" t="str">
            <v xml:space="preserve"> </v>
          </cell>
          <cell r="AQ55" t="str">
            <v xml:space="preserve"> </v>
          </cell>
        </row>
        <row r="56">
          <cell r="A56" t="str">
            <v>FBB.......601500</v>
          </cell>
          <cell r="B56" t="str">
            <v>2004T12</v>
          </cell>
          <cell r="C56" t="str">
            <v xml:space="preserve">TREND    </v>
          </cell>
          <cell r="D56" t="str">
            <v xml:space="preserve">Trend -  QTD Average/Activity                     </v>
          </cell>
          <cell r="E56" t="str">
            <v>Run: 08/07/03 14:02:44</v>
          </cell>
          <cell r="F56" t="str">
            <v>999</v>
          </cell>
          <cell r="G56" t="str">
            <v>100</v>
          </cell>
          <cell r="H56" t="str">
            <v xml:space="preserve">Bank Of America Management Reporting              </v>
          </cell>
          <cell r="I56" t="str">
            <v>001</v>
          </cell>
          <cell r="J56" t="str">
            <v>FBB.......</v>
          </cell>
          <cell r="K56" t="str">
            <v xml:space="preserve">Global Rates And Commodities Operations           </v>
          </cell>
          <cell r="L56" t="str">
            <v xml:space="preserve"> </v>
          </cell>
          <cell r="M56" t="str">
            <v xml:space="preserve"> </v>
          </cell>
          <cell r="N56" t="str">
            <v>bamgt</v>
          </cell>
          <cell r="O56" t="str">
            <v>40</v>
          </cell>
          <cell r="P56" t="str">
            <v>600000A  600250   999999999601500   999999999999999999999999999999999999</v>
          </cell>
          <cell r="Q56" t="str">
            <v xml:space="preserve">none     </v>
          </cell>
          <cell r="R56" t="str">
            <v>RollFCST-Working Version</v>
          </cell>
          <cell r="S56" t="str">
            <v>RollFCST-Working Version</v>
          </cell>
          <cell r="T56" t="str">
            <v xml:space="preserve"> </v>
          </cell>
          <cell r="U56" t="str">
            <v xml:space="preserve"> </v>
          </cell>
          <cell r="V56" t="str">
            <v>601500</v>
          </cell>
          <cell r="W56" t="str">
            <v>4</v>
          </cell>
          <cell r="X56" t="str">
            <v xml:space="preserve">      Incentive Compensation            </v>
          </cell>
          <cell r="Y56">
            <v>0</v>
          </cell>
          <cell r="Z56">
            <v>0</v>
          </cell>
          <cell r="AA56">
            <v>14.04</v>
          </cell>
          <cell r="AB56">
            <v>0.9</v>
          </cell>
          <cell r="AC56">
            <v>14.94</v>
          </cell>
          <cell r="AD56">
            <v>18</v>
          </cell>
          <cell r="AE56">
            <v>18</v>
          </cell>
          <cell r="AF56">
            <v>18</v>
          </cell>
          <cell r="AG56">
            <v>18</v>
          </cell>
          <cell r="AH56">
            <v>72</v>
          </cell>
          <cell r="AI56" t="str">
            <v xml:space="preserve">U.S. Dollar                   </v>
          </cell>
          <cell r="AJ56" t="str">
            <v xml:space="preserve"> </v>
          </cell>
          <cell r="AK56" t="str">
            <v xml:space="preserve"> </v>
          </cell>
          <cell r="AL56" t="str">
            <v xml:space="preserve"> </v>
          </cell>
          <cell r="AM56" t="str">
            <v xml:space="preserve"> </v>
          </cell>
          <cell r="AN56" t="str">
            <v xml:space="preserve"> </v>
          </cell>
          <cell r="AO56" t="str">
            <v xml:space="preserve"> </v>
          </cell>
          <cell r="AP56" t="str">
            <v xml:space="preserve"> </v>
          </cell>
          <cell r="AQ56" t="str">
            <v xml:space="preserve"> </v>
          </cell>
        </row>
        <row r="57">
          <cell r="A57" t="str">
            <v>FBB.......602400</v>
          </cell>
          <cell r="B57" t="str">
            <v>2004T12</v>
          </cell>
          <cell r="C57" t="str">
            <v xml:space="preserve">TREND    </v>
          </cell>
          <cell r="D57" t="str">
            <v xml:space="preserve">Trend -  QTD Average/Activity                     </v>
          </cell>
          <cell r="E57" t="str">
            <v>Run: 08/07/03 14:02:44</v>
          </cell>
          <cell r="F57" t="str">
            <v>999</v>
          </cell>
          <cell r="G57" t="str">
            <v>100</v>
          </cell>
          <cell r="H57" t="str">
            <v xml:space="preserve">Bank Of America Management Reporting              </v>
          </cell>
          <cell r="I57" t="str">
            <v>001</v>
          </cell>
          <cell r="J57" t="str">
            <v>FBB.......</v>
          </cell>
          <cell r="K57" t="str">
            <v xml:space="preserve">Global Rates And Commodities Operations           </v>
          </cell>
          <cell r="L57" t="str">
            <v xml:space="preserve"> </v>
          </cell>
          <cell r="M57" t="str">
            <v xml:space="preserve"> </v>
          </cell>
          <cell r="N57" t="str">
            <v>bamgt</v>
          </cell>
          <cell r="O57" t="str">
            <v>40</v>
          </cell>
          <cell r="P57" t="str">
            <v>600000A  600250   999999999602000   602400   999999999999999999999999999</v>
          </cell>
          <cell r="Q57" t="str">
            <v xml:space="preserve">none     </v>
          </cell>
          <cell r="R57" t="str">
            <v>RollFCST-Working Version</v>
          </cell>
          <cell r="S57" t="str">
            <v>RollFCST-Working Version</v>
          </cell>
          <cell r="T57" t="str">
            <v xml:space="preserve"> </v>
          </cell>
          <cell r="U57" t="str">
            <v xml:space="preserve"> </v>
          </cell>
          <cell r="V57" t="str">
            <v>602400</v>
          </cell>
          <cell r="W57" t="str">
            <v>5</v>
          </cell>
          <cell r="X57" t="str">
            <v xml:space="preserve">        Other Employee Compensation     </v>
          </cell>
          <cell r="Y57">
            <v>33</v>
          </cell>
          <cell r="Z57">
            <v>112</v>
          </cell>
          <cell r="AA57">
            <v>39</v>
          </cell>
          <cell r="AB57">
            <v>37</v>
          </cell>
          <cell r="AC57">
            <v>221</v>
          </cell>
          <cell r="AD57">
            <v>0</v>
          </cell>
          <cell r="AE57">
            <v>0</v>
          </cell>
          <cell r="AF57">
            <v>0</v>
          </cell>
          <cell r="AG57">
            <v>0</v>
          </cell>
          <cell r="AH57">
            <v>0</v>
          </cell>
          <cell r="AI57" t="str">
            <v xml:space="preserve">U.S. Dollar                   </v>
          </cell>
          <cell r="AJ57" t="str">
            <v xml:space="preserve"> </v>
          </cell>
          <cell r="AK57" t="str">
            <v xml:space="preserve"> </v>
          </cell>
          <cell r="AL57" t="str">
            <v xml:space="preserve"> </v>
          </cell>
          <cell r="AM57" t="str">
            <v xml:space="preserve"> </v>
          </cell>
          <cell r="AN57" t="str">
            <v xml:space="preserve"> </v>
          </cell>
          <cell r="AO57" t="str">
            <v xml:space="preserve"> </v>
          </cell>
          <cell r="AP57" t="str">
            <v xml:space="preserve"> </v>
          </cell>
          <cell r="AQ57" t="str">
            <v xml:space="preserve"> </v>
          </cell>
        </row>
        <row r="58">
          <cell r="A58" t="str">
            <v>FBB.......602000</v>
          </cell>
          <cell r="B58" t="str">
            <v>2004T12</v>
          </cell>
          <cell r="C58" t="str">
            <v xml:space="preserve">TREND    </v>
          </cell>
          <cell r="D58" t="str">
            <v xml:space="preserve">Trend -  QTD Average/Activity                     </v>
          </cell>
          <cell r="E58" t="str">
            <v>Run: 08/07/03 14:02:44</v>
          </cell>
          <cell r="F58" t="str">
            <v>999</v>
          </cell>
          <cell r="G58" t="str">
            <v>100</v>
          </cell>
          <cell r="H58" t="str">
            <v xml:space="preserve">Bank Of America Management Reporting              </v>
          </cell>
          <cell r="I58" t="str">
            <v>001</v>
          </cell>
          <cell r="J58" t="str">
            <v>FBB.......</v>
          </cell>
          <cell r="K58" t="str">
            <v xml:space="preserve">Global Rates And Commodities Operations           </v>
          </cell>
          <cell r="L58" t="str">
            <v xml:space="preserve"> </v>
          </cell>
          <cell r="M58" t="str">
            <v xml:space="preserve"> </v>
          </cell>
          <cell r="N58" t="str">
            <v>bamgt</v>
          </cell>
          <cell r="O58" t="str">
            <v>40</v>
          </cell>
          <cell r="P58" t="str">
            <v>600000A  600250   999999999602000   999999999999999999999999999999999999</v>
          </cell>
          <cell r="Q58" t="str">
            <v xml:space="preserve">none     </v>
          </cell>
          <cell r="R58" t="str">
            <v>RollFCST-Working Version</v>
          </cell>
          <cell r="S58" t="str">
            <v>RollFCST-Working Version</v>
          </cell>
          <cell r="T58" t="str">
            <v xml:space="preserve"> </v>
          </cell>
          <cell r="U58" t="str">
            <v xml:space="preserve"> </v>
          </cell>
          <cell r="V58" t="str">
            <v>602000</v>
          </cell>
          <cell r="W58" t="str">
            <v>4</v>
          </cell>
          <cell r="X58" t="str">
            <v xml:space="preserve">      Contract Temporary/Other Compensat</v>
          </cell>
          <cell r="Y58">
            <v>185</v>
          </cell>
          <cell r="Z58">
            <v>325.64</v>
          </cell>
          <cell r="AA58">
            <v>258.61</v>
          </cell>
          <cell r="AB58">
            <v>260.61</v>
          </cell>
          <cell r="AC58">
            <v>1029.8599999999999</v>
          </cell>
          <cell r="AD58">
            <v>155.66999999999999</v>
          </cell>
          <cell r="AE58">
            <v>155.66999999999999</v>
          </cell>
          <cell r="AF58">
            <v>155.66999999999999</v>
          </cell>
          <cell r="AG58">
            <v>155.66999999999999</v>
          </cell>
          <cell r="AH58">
            <v>622.67999999999995</v>
          </cell>
          <cell r="AI58" t="str">
            <v xml:space="preserve">U.S. Dollar                   </v>
          </cell>
          <cell r="AJ58" t="str">
            <v xml:space="preserve"> </v>
          </cell>
          <cell r="AK58" t="str">
            <v xml:space="preserve"> </v>
          </cell>
          <cell r="AL58" t="str">
            <v xml:space="preserve"> </v>
          </cell>
          <cell r="AM58" t="str">
            <v xml:space="preserve"> </v>
          </cell>
          <cell r="AN58" t="str">
            <v xml:space="preserve"> </v>
          </cell>
          <cell r="AO58" t="str">
            <v xml:space="preserve"> </v>
          </cell>
          <cell r="AP58" t="str">
            <v xml:space="preserve"> </v>
          </cell>
          <cell r="AQ58" t="str">
            <v xml:space="preserve"> </v>
          </cell>
        </row>
        <row r="59">
          <cell r="A59" t="str">
            <v>FBB.......603000</v>
          </cell>
          <cell r="B59" t="str">
            <v>2004T12</v>
          </cell>
          <cell r="C59" t="str">
            <v xml:space="preserve">TREND    </v>
          </cell>
          <cell r="D59" t="str">
            <v xml:space="preserve">Trend -  QTD Average/Activity                     </v>
          </cell>
          <cell r="E59" t="str">
            <v>Run: 08/07/03 14:02:44</v>
          </cell>
          <cell r="F59" t="str">
            <v>999</v>
          </cell>
          <cell r="G59" t="str">
            <v>100</v>
          </cell>
          <cell r="H59" t="str">
            <v xml:space="preserve">Bank Of America Management Reporting              </v>
          </cell>
          <cell r="I59" t="str">
            <v>001</v>
          </cell>
          <cell r="J59" t="str">
            <v>FBB.......</v>
          </cell>
          <cell r="K59" t="str">
            <v xml:space="preserve">Global Rates And Commodities Operations           </v>
          </cell>
          <cell r="L59" t="str">
            <v xml:space="preserve"> </v>
          </cell>
          <cell r="M59" t="str">
            <v xml:space="preserve"> </v>
          </cell>
          <cell r="N59" t="str">
            <v>bamgt</v>
          </cell>
          <cell r="O59" t="str">
            <v>40</v>
          </cell>
          <cell r="P59" t="str">
            <v>600000A  600250   999999999603000   999999999999999999999999999999999999</v>
          </cell>
          <cell r="Q59" t="str">
            <v xml:space="preserve">none     </v>
          </cell>
          <cell r="R59" t="str">
            <v>RollFCST-Working Version</v>
          </cell>
          <cell r="S59" t="str">
            <v>RollFCST-Working Version</v>
          </cell>
          <cell r="T59" t="str">
            <v xml:space="preserve"> </v>
          </cell>
          <cell r="U59" t="str">
            <v xml:space="preserve"> </v>
          </cell>
          <cell r="V59" t="str">
            <v>603000</v>
          </cell>
          <cell r="W59" t="str">
            <v>4</v>
          </cell>
          <cell r="X59" t="str">
            <v xml:space="preserve">      Employee Benefits                 </v>
          </cell>
          <cell r="Y59">
            <v>1468</v>
          </cell>
          <cell r="Z59">
            <v>1484.86</v>
          </cell>
          <cell r="AA59">
            <v>1507.4</v>
          </cell>
          <cell r="AB59">
            <v>1631.76</v>
          </cell>
          <cell r="AC59">
            <v>6092.02</v>
          </cell>
          <cell r="AD59">
            <v>1523.1</v>
          </cell>
          <cell r="AE59">
            <v>1574.53</v>
          </cell>
          <cell r="AF59">
            <v>1630.15</v>
          </cell>
          <cell r="AG59">
            <v>1619.02</v>
          </cell>
          <cell r="AH59">
            <v>6346.8</v>
          </cell>
          <cell r="AI59" t="str">
            <v xml:space="preserve">U.S. Dollar                   </v>
          </cell>
          <cell r="AJ59" t="str">
            <v xml:space="preserve"> </v>
          </cell>
          <cell r="AK59" t="str">
            <v xml:space="preserve"> </v>
          </cell>
          <cell r="AL59" t="str">
            <v xml:space="preserve"> </v>
          </cell>
          <cell r="AM59" t="str">
            <v xml:space="preserve"> </v>
          </cell>
          <cell r="AN59" t="str">
            <v xml:space="preserve"> </v>
          </cell>
          <cell r="AO59" t="str">
            <v xml:space="preserve"> </v>
          </cell>
          <cell r="AP59" t="str">
            <v xml:space="preserve"> </v>
          </cell>
          <cell r="AQ59" t="str">
            <v xml:space="preserve"> </v>
          </cell>
        </row>
        <row r="60">
          <cell r="A60" t="str">
            <v>FBB.......600250</v>
          </cell>
          <cell r="B60" t="str">
            <v>2004T12</v>
          </cell>
          <cell r="C60" t="str">
            <v xml:space="preserve">TREND    </v>
          </cell>
          <cell r="D60" t="str">
            <v xml:space="preserve">Trend -  QTD Average/Activity                     </v>
          </cell>
          <cell r="E60" t="str">
            <v>Run: 08/07/03 14:02:44</v>
          </cell>
          <cell r="F60" t="str">
            <v>999</v>
          </cell>
          <cell r="G60" t="str">
            <v>100</v>
          </cell>
          <cell r="H60" t="str">
            <v xml:space="preserve">Bank Of America Management Reporting              </v>
          </cell>
          <cell r="I60" t="str">
            <v>001</v>
          </cell>
          <cell r="J60" t="str">
            <v>FBB.......</v>
          </cell>
          <cell r="K60" t="str">
            <v xml:space="preserve">Global Rates And Commodities Operations           </v>
          </cell>
          <cell r="L60" t="str">
            <v xml:space="preserve"> </v>
          </cell>
          <cell r="M60" t="str">
            <v xml:space="preserve"> </v>
          </cell>
          <cell r="N60" t="str">
            <v>bamgt</v>
          </cell>
          <cell r="O60" t="str">
            <v>40</v>
          </cell>
          <cell r="P60" t="str">
            <v>600000A  600250   999999999999999999999999999999999999999999999999999999</v>
          </cell>
          <cell r="Q60" t="str">
            <v xml:space="preserve">none     </v>
          </cell>
          <cell r="R60" t="str">
            <v>RollFCST-Working Version</v>
          </cell>
          <cell r="S60" t="str">
            <v>RollFCST-Working Version</v>
          </cell>
          <cell r="T60" t="str">
            <v xml:space="preserve"> </v>
          </cell>
          <cell r="U60" t="str">
            <v xml:space="preserve"> </v>
          </cell>
          <cell r="V60" t="str">
            <v>600250</v>
          </cell>
          <cell r="W60" t="str">
            <v>2</v>
          </cell>
          <cell r="X60" t="str">
            <v xml:space="preserve">  Personnel                             </v>
          </cell>
          <cell r="Y60">
            <v>7713</v>
          </cell>
          <cell r="Z60">
            <v>7857.23</v>
          </cell>
          <cell r="AA60">
            <v>7778.8</v>
          </cell>
          <cell r="AB60">
            <v>8379.35</v>
          </cell>
          <cell r="AC60">
            <v>31728.38</v>
          </cell>
          <cell r="AD60">
            <v>7485.74</v>
          </cell>
          <cell r="AE60">
            <v>7724.69</v>
          </cell>
          <cell r="AF60">
            <v>7986.37</v>
          </cell>
          <cell r="AG60">
            <v>7933.24</v>
          </cell>
          <cell r="AH60">
            <v>31130.04</v>
          </cell>
          <cell r="AI60" t="str">
            <v xml:space="preserve">U.S. Dollar                   </v>
          </cell>
          <cell r="AJ60" t="str">
            <v xml:space="preserve"> </v>
          </cell>
          <cell r="AK60" t="str">
            <v xml:space="preserve"> </v>
          </cell>
          <cell r="AL60" t="str">
            <v xml:space="preserve"> </v>
          </cell>
          <cell r="AM60" t="str">
            <v xml:space="preserve"> </v>
          </cell>
          <cell r="AN60" t="str">
            <v xml:space="preserve"> </v>
          </cell>
          <cell r="AO60" t="str">
            <v xml:space="preserve"> </v>
          </cell>
          <cell r="AP60" t="str">
            <v xml:space="preserve"> </v>
          </cell>
          <cell r="AQ60" t="str">
            <v xml:space="preserve"> </v>
          </cell>
        </row>
        <row r="61">
          <cell r="A61" t="str">
            <v>FBB.......610000</v>
          </cell>
          <cell r="B61" t="str">
            <v>2004T12</v>
          </cell>
          <cell r="C61" t="str">
            <v xml:space="preserve">TREND    </v>
          </cell>
          <cell r="D61" t="str">
            <v xml:space="preserve">Trend -  QTD Average/Activity                     </v>
          </cell>
          <cell r="E61" t="str">
            <v>Run: 08/07/03 14:02:44</v>
          </cell>
          <cell r="F61" t="str">
            <v>999</v>
          </cell>
          <cell r="G61" t="str">
            <v>100</v>
          </cell>
          <cell r="H61" t="str">
            <v xml:space="preserve">Bank Of America Management Reporting              </v>
          </cell>
          <cell r="I61" t="str">
            <v>001</v>
          </cell>
          <cell r="J61" t="str">
            <v>FBB.......</v>
          </cell>
          <cell r="K61" t="str">
            <v xml:space="preserve">Global Rates And Commodities Operations           </v>
          </cell>
          <cell r="L61" t="str">
            <v xml:space="preserve"> </v>
          </cell>
          <cell r="M61" t="str">
            <v xml:space="preserve"> </v>
          </cell>
          <cell r="N61" t="str">
            <v>bamgt</v>
          </cell>
          <cell r="O61" t="str">
            <v>40</v>
          </cell>
          <cell r="P61" t="str">
            <v>600000A  610000   999999999999999999999999999999999999999999999999999999</v>
          </cell>
          <cell r="Q61" t="str">
            <v xml:space="preserve">none     </v>
          </cell>
          <cell r="R61" t="str">
            <v>RollFCST-Working Version</v>
          </cell>
          <cell r="S61" t="str">
            <v>RollFCST-Working Version</v>
          </cell>
          <cell r="T61" t="str">
            <v xml:space="preserve"> </v>
          </cell>
          <cell r="U61" t="str">
            <v xml:space="preserve"> </v>
          </cell>
          <cell r="V61" t="str">
            <v>610000</v>
          </cell>
          <cell r="W61" t="str">
            <v>2</v>
          </cell>
          <cell r="X61" t="str">
            <v xml:space="preserve">  Net Occupancy Expense                 </v>
          </cell>
          <cell r="Y61">
            <v>851.41</v>
          </cell>
          <cell r="Z61">
            <v>878.25</v>
          </cell>
          <cell r="AA61">
            <v>803.79</v>
          </cell>
          <cell r="AB61">
            <v>1151.57</v>
          </cell>
          <cell r="AC61">
            <v>3685.02</v>
          </cell>
          <cell r="AD61">
            <v>1160.6099999999999</v>
          </cell>
          <cell r="AE61">
            <v>1160.6099999999999</v>
          </cell>
          <cell r="AF61">
            <v>1160.6099999999999</v>
          </cell>
          <cell r="AG61">
            <v>1160.6099999999999</v>
          </cell>
          <cell r="AH61">
            <v>4642.4399999999996</v>
          </cell>
          <cell r="AI61" t="str">
            <v xml:space="preserve">U.S. Dollar                   </v>
          </cell>
          <cell r="AJ61" t="str">
            <v xml:space="preserve"> </v>
          </cell>
          <cell r="AK61" t="str">
            <v xml:space="preserve"> </v>
          </cell>
          <cell r="AL61" t="str">
            <v xml:space="preserve"> </v>
          </cell>
          <cell r="AM61" t="str">
            <v xml:space="preserve"> </v>
          </cell>
          <cell r="AN61" t="str">
            <v xml:space="preserve"> </v>
          </cell>
          <cell r="AO61" t="str">
            <v xml:space="preserve"> </v>
          </cell>
          <cell r="AP61" t="str">
            <v xml:space="preserve"> </v>
          </cell>
          <cell r="AQ61" t="str">
            <v xml:space="preserve"> </v>
          </cell>
        </row>
        <row r="62">
          <cell r="A62" t="str">
            <v>FBB.......620000</v>
          </cell>
          <cell r="B62" t="str">
            <v>2004T12</v>
          </cell>
          <cell r="C62" t="str">
            <v xml:space="preserve">TREND    </v>
          </cell>
          <cell r="D62" t="str">
            <v xml:space="preserve">Trend -  QTD Average/Activity                     </v>
          </cell>
          <cell r="E62" t="str">
            <v>Run: 08/07/03 14:02:44</v>
          </cell>
          <cell r="F62" t="str">
            <v>999</v>
          </cell>
          <cell r="G62" t="str">
            <v>100</v>
          </cell>
          <cell r="H62" t="str">
            <v xml:space="preserve">Bank Of America Management Reporting              </v>
          </cell>
          <cell r="I62" t="str">
            <v>001</v>
          </cell>
          <cell r="J62" t="str">
            <v>FBB.......</v>
          </cell>
          <cell r="K62" t="str">
            <v xml:space="preserve">Global Rates And Commodities Operations           </v>
          </cell>
          <cell r="L62" t="str">
            <v xml:space="preserve"> </v>
          </cell>
          <cell r="M62" t="str">
            <v xml:space="preserve"> </v>
          </cell>
          <cell r="N62" t="str">
            <v>bamgt</v>
          </cell>
          <cell r="O62" t="str">
            <v>40</v>
          </cell>
          <cell r="P62" t="str">
            <v>600000A  620000   999999999999999999999999999999999999999999999999999999</v>
          </cell>
          <cell r="Q62" t="str">
            <v xml:space="preserve">none     </v>
          </cell>
          <cell r="R62" t="str">
            <v>RollFCST-Working Version</v>
          </cell>
          <cell r="S62" t="str">
            <v>RollFCST-Working Version</v>
          </cell>
          <cell r="T62" t="str">
            <v xml:space="preserve"> </v>
          </cell>
          <cell r="U62" t="str">
            <v xml:space="preserve"> </v>
          </cell>
          <cell r="V62" t="str">
            <v>620000</v>
          </cell>
          <cell r="W62" t="str">
            <v>2</v>
          </cell>
          <cell r="X62" t="str">
            <v xml:space="preserve">  Furniture &amp; Equipment                 </v>
          </cell>
          <cell r="Y62">
            <v>251.2</v>
          </cell>
          <cell r="Z62">
            <v>253.15</v>
          </cell>
          <cell r="AA62">
            <v>231.34</v>
          </cell>
          <cell r="AB62">
            <v>215.22</v>
          </cell>
          <cell r="AC62">
            <v>950.91</v>
          </cell>
          <cell r="AD62">
            <v>156.72999999999999</v>
          </cell>
          <cell r="AE62">
            <v>158.72999999999999</v>
          </cell>
          <cell r="AF62">
            <v>152.72999999999999</v>
          </cell>
          <cell r="AG62">
            <v>152.72999999999999</v>
          </cell>
          <cell r="AH62">
            <v>620.91999999999996</v>
          </cell>
          <cell r="AI62" t="str">
            <v xml:space="preserve">U.S. Dollar                   </v>
          </cell>
          <cell r="AJ62" t="str">
            <v xml:space="preserve"> </v>
          </cell>
          <cell r="AK62" t="str">
            <v xml:space="preserve"> </v>
          </cell>
          <cell r="AL62" t="str">
            <v xml:space="preserve"> </v>
          </cell>
          <cell r="AM62" t="str">
            <v xml:space="preserve"> </v>
          </cell>
          <cell r="AN62" t="str">
            <v xml:space="preserve"> </v>
          </cell>
          <cell r="AO62" t="str">
            <v xml:space="preserve"> </v>
          </cell>
          <cell r="AP62" t="str">
            <v xml:space="preserve"> </v>
          </cell>
          <cell r="AQ62" t="str">
            <v xml:space="preserve"> </v>
          </cell>
        </row>
        <row r="63">
          <cell r="A63" t="str">
            <v>FBB.......623000</v>
          </cell>
          <cell r="B63" t="str">
            <v>2004T12</v>
          </cell>
          <cell r="C63" t="str">
            <v xml:space="preserve">TREND    </v>
          </cell>
          <cell r="D63" t="str">
            <v xml:space="preserve">Trend -  QTD Average/Activity                     </v>
          </cell>
          <cell r="E63" t="str">
            <v>Run: 08/07/03 14:02:44</v>
          </cell>
          <cell r="F63" t="str">
            <v>999</v>
          </cell>
          <cell r="G63" t="str">
            <v>100</v>
          </cell>
          <cell r="H63" t="str">
            <v xml:space="preserve">Bank Of America Management Reporting              </v>
          </cell>
          <cell r="I63" t="str">
            <v>001</v>
          </cell>
          <cell r="J63" t="str">
            <v>FBB.......</v>
          </cell>
          <cell r="K63" t="str">
            <v xml:space="preserve">Global Rates And Commodities Operations           </v>
          </cell>
          <cell r="L63" t="str">
            <v xml:space="preserve"> </v>
          </cell>
          <cell r="M63" t="str">
            <v xml:space="preserve"> </v>
          </cell>
          <cell r="N63" t="str">
            <v>bamgt</v>
          </cell>
          <cell r="O63" t="str">
            <v>40</v>
          </cell>
          <cell r="P63" t="str">
            <v>600000A  623000   999999999999999999999999999999999999999999999999999999</v>
          </cell>
          <cell r="Q63" t="str">
            <v xml:space="preserve">none     </v>
          </cell>
          <cell r="R63" t="str">
            <v>RollFCST-Working Version</v>
          </cell>
          <cell r="S63" t="str">
            <v>RollFCST-Working Version</v>
          </cell>
          <cell r="T63" t="str">
            <v xml:space="preserve"> </v>
          </cell>
          <cell r="U63" t="str">
            <v xml:space="preserve"> </v>
          </cell>
          <cell r="V63" t="str">
            <v>623000</v>
          </cell>
          <cell r="W63" t="str">
            <v>2</v>
          </cell>
          <cell r="X63" t="str">
            <v xml:space="preserve">  Marketing &amp; Promotional               </v>
          </cell>
          <cell r="Y63">
            <v>0</v>
          </cell>
          <cell r="Z63">
            <v>-13.19</v>
          </cell>
          <cell r="AA63">
            <v>4.08</v>
          </cell>
          <cell r="AB63">
            <v>4.0199999999999996</v>
          </cell>
          <cell r="AC63">
            <v>-5.09</v>
          </cell>
          <cell r="AD63">
            <v>3.99</v>
          </cell>
          <cell r="AE63">
            <v>3.99</v>
          </cell>
          <cell r="AF63">
            <v>3.99</v>
          </cell>
          <cell r="AG63">
            <v>3.99</v>
          </cell>
          <cell r="AH63">
            <v>15.96</v>
          </cell>
          <cell r="AI63" t="str">
            <v xml:space="preserve">U.S. Dollar                   </v>
          </cell>
          <cell r="AJ63" t="str">
            <v xml:space="preserve"> </v>
          </cell>
          <cell r="AK63" t="str">
            <v xml:space="preserve"> </v>
          </cell>
          <cell r="AL63" t="str">
            <v xml:space="preserve"> </v>
          </cell>
          <cell r="AM63" t="str">
            <v xml:space="preserve"> </v>
          </cell>
          <cell r="AN63" t="str">
            <v xml:space="preserve"> </v>
          </cell>
          <cell r="AO63" t="str">
            <v xml:space="preserve"> </v>
          </cell>
          <cell r="AP63" t="str">
            <v xml:space="preserve"> </v>
          </cell>
          <cell r="AQ63" t="str">
            <v xml:space="preserve"> </v>
          </cell>
        </row>
        <row r="64">
          <cell r="A64" t="str">
            <v>FBB.......630000</v>
          </cell>
          <cell r="B64" t="str">
            <v>2004T12</v>
          </cell>
          <cell r="C64" t="str">
            <v xml:space="preserve">TREND    </v>
          </cell>
          <cell r="D64" t="str">
            <v xml:space="preserve">Trend -  QTD Average/Activity                     </v>
          </cell>
          <cell r="E64" t="str">
            <v>Run: 08/07/03 14:02:44</v>
          </cell>
          <cell r="F64" t="str">
            <v>999</v>
          </cell>
          <cell r="G64" t="str">
            <v>100</v>
          </cell>
          <cell r="H64" t="str">
            <v xml:space="preserve">Bank Of America Management Reporting              </v>
          </cell>
          <cell r="I64" t="str">
            <v>001</v>
          </cell>
          <cell r="J64" t="str">
            <v>FBB.......</v>
          </cell>
          <cell r="K64" t="str">
            <v xml:space="preserve">Global Rates And Commodities Operations           </v>
          </cell>
          <cell r="L64" t="str">
            <v xml:space="preserve"> </v>
          </cell>
          <cell r="M64" t="str">
            <v xml:space="preserve"> </v>
          </cell>
          <cell r="N64" t="str">
            <v>bamgt</v>
          </cell>
          <cell r="O64" t="str">
            <v>40</v>
          </cell>
          <cell r="P64" t="str">
            <v>600000A  630000   999999999999999999999999999999999999999999999999999999</v>
          </cell>
          <cell r="Q64" t="str">
            <v xml:space="preserve">none     </v>
          </cell>
          <cell r="R64" t="str">
            <v>RollFCST-Working Version</v>
          </cell>
          <cell r="S64" t="str">
            <v>RollFCST-Working Version</v>
          </cell>
          <cell r="T64" t="str">
            <v xml:space="preserve"> </v>
          </cell>
          <cell r="U64" t="str">
            <v xml:space="preserve"> </v>
          </cell>
          <cell r="V64" t="str">
            <v>630000</v>
          </cell>
          <cell r="W64" t="str">
            <v>2</v>
          </cell>
          <cell r="X64" t="str">
            <v xml:space="preserve">  Professional Fees                     </v>
          </cell>
          <cell r="Y64">
            <v>48</v>
          </cell>
          <cell r="Z64">
            <v>87.04</v>
          </cell>
          <cell r="AA64">
            <v>219.7</v>
          </cell>
          <cell r="AB64">
            <v>390.75</v>
          </cell>
          <cell r="AC64">
            <v>745.49</v>
          </cell>
          <cell r="AD64">
            <v>77.3</v>
          </cell>
          <cell r="AE64">
            <v>157.30000000000001</v>
          </cell>
          <cell r="AF64">
            <v>77.3</v>
          </cell>
          <cell r="AG64">
            <v>77.3</v>
          </cell>
          <cell r="AH64">
            <v>389.2</v>
          </cell>
          <cell r="AI64" t="str">
            <v xml:space="preserve">U.S. Dollar                   </v>
          </cell>
          <cell r="AJ64" t="str">
            <v xml:space="preserve"> </v>
          </cell>
          <cell r="AK64" t="str">
            <v xml:space="preserve"> </v>
          </cell>
          <cell r="AL64" t="str">
            <v xml:space="preserve"> </v>
          </cell>
          <cell r="AM64" t="str">
            <v xml:space="preserve"> </v>
          </cell>
          <cell r="AN64" t="str">
            <v xml:space="preserve"> </v>
          </cell>
          <cell r="AO64" t="str">
            <v xml:space="preserve"> </v>
          </cell>
          <cell r="AP64" t="str">
            <v xml:space="preserve"> </v>
          </cell>
          <cell r="AQ64" t="str">
            <v xml:space="preserve"> </v>
          </cell>
        </row>
        <row r="65">
          <cell r="A65" t="str">
            <v>FBB.......651500A</v>
          </cell>
          <cell r="B65" t="str">
            <v>2004T12</v>
          </cell>
          <cell r="C65" t="str">
            <v xml:space="preserve">TREND    </v>
          </cell>
          <cell r="D65" t="str">
            <v xml:space="preserve">Trend -  QTD Average/Activity                     </v>
          </cell>
          <cell r="E65" t="str">
            <v>Run: 08/07/03 14:02:44</v>
          </cell>
          <cell r="F65" t="str">
            <v>999</v>
          </cell>
          <cell r="G65" t="str">
            <v>100</v>
          </cell>
          <cell r="H65" t="str">
            <v xml:space="preserve">Bank Of America Management Reporting              </v>
          </cell>
          <cell r="I65" t="str">
            <v>001</v>
          </cell>
          <cell r="J65" t="str">
            <v>FBB.......</v>
          </cell>
          <cell r="K65" t="str">
            <v xml:space="preserve">Global Rates And Commodities Operations           </v>
          </cell>
          <cell r="L65" t="str">
            <v xml:space="preserve"> </v>
          </cell>
          <cell r="M65" t="str">
            <v xml:space="preserve"> </v>
          </cell>
          <cell r="N65" t="str">
            <v>bamgt</v>
          </cell>
          <cell r="O65" t="str">
            <v>40</v>
          </cell>
          <cell r="P65" t="str">
            <v>600000A  651500A  999999999999999999999999999999999999999999999999999999</v>
          </cell>
          <cell r="Q65" t="str">
            <v xml:space="preserve">none     </v>
          </cell>
          <cell r="R65" t="str">
            <v>RollFCST-Working Version</v>
          </cell>
          <cell r="S65" t="str">
            <v>RollFCST-Working Version</v>
          </cell>
          <cell r="T65" t="str">
            <v xml:space="preserve"> </v>
          </cell>
          <cell r="U65" t="str">
            <v xml:space="preserve"> </v>
          </cell>
          <cell r="V65" t="str">
            <v>651500A</v>
          </cell>
          <cell r="W65" t="str">
            <v>2</v>
          </cell>
          <cell r="X65" t="str">
            <v xml:space="preserve">  Direct Processing Expense             </v>
          </cell>
          <cell r="Y65">
            <v>15</v>
          </cell>
          <cell r="Z65">
            <v>220.86</v>
          </cell>
          <cell r="AA65">
            <v>173.59</v>
          </cell>
          <cell r="AB65">
            <v>94.57</v>
          </cell>
          <cell r="AC65">
            <v>504.02</v>
          </cell>
          <cell r="AD65">
            <v>130.47</v>
          </cell>
          <cell r="AE65">
            <v>130.47</v>
          </cell>
          <cell r="AF65">
            <v>130.47</v>
          </cell>
          <cell r="AG65">
            <v>130.47</v>
          </cell>
          <cell r="AH65">
            <v>521.88</v>
          </cell>
          <cell r="AI65" t="str">
            <v xml:space="preserve">U.S. Dollar                   </v>
          </cell>
          <cell r="AJ65" t="str">
            <v xml:space="preserve"> </v>
          </cell>
          <cell r="AK65" t="str">
            <v xml:space="preserve"> </v>
          </cell>
          <cell r="AL65" t="str">
            <v xml:space="preserve"> </v>
          </cell>
          <cell r="AM65" t="str">
            <v xml:space="preserve"> </v>
          </cell>
          <cell r="AN65" t="str">
            <v xml:space="preserve"> </v>
          </cell>
          <cell r="AO65" t="str">
            <v xml:space="preserve"> </v>
          </cell>
          <cell r="AP65" t="str">
            <v xml:space="preserve"> </v>
          </cell>
          <cell r="AQ65" t="str">
            <v xml:space="preserve"> </v>
          </cell>
        </row>
        <row r="66">
          <cell r="A66" t="str">
            <v>FBB.......660000A</v>
          </cell>
          <cell r="B66" t="str">
            <v>2004T12</v>
          </cell>
          <cell r="C66" t="str">
            <v xml:space="preserve">TREND    </v>
          </cell>
          <cell r="D66" t="str">
            <v xml:space="preserve">Trend -  QTD Average/Activity                     </v>
          </cell>
          <cell r="E66" t="str">
            <v>Run: 08/07/03 14:02:44</v>
          </cell>
          <cell r="F66" t="str">
            <v>999</v>
          </cell>
          <cell r="G66" t="str">
            <v>100</v>
          </cell>
          <cell r="H66" t="str">
            <v xml:space="preserve">Bank Of America Management Reporting              </v>
          </cell>
          <cell r="I66" t="str">
            <v>001</v>
          </cell>
          <cell r="J66" t="str">
            <v>FBB.......</v>
          </cell>
          <cell r="K66" t="str">
            <v xml:space="preserve">Global Rates And Commodities Operations           </v>
          </cell>
          <cell r="L66" t="str">
            <v xml:space="preserve"> </v>
          </cell>
          <cell r="M66" t="str">
            <v xml:space="preserve"> </v>
          </cell>
          <cell r="N66" t="str">
            <v>bamgt</v>
          </cell>
          <cell r="O66" t="str">
            <v>40</v>
          </cell>
          <cell r="P66" t="str">
            <v>600000A  660000A  999999999999999999999999999999999999999999999999999999</v>
          </cell>
          <cell r="Q66" t="str">
            <v xml:space="preserve">none     </v>
          </cell>
          <cell r="R66" t="str">
            <v>RollFCST-Working Version</v>
          </cell>
          <cell r="S66" t="str">
            <v>RollFCST-Working Version</v>
          </cell>
          <cell r="T66" t="str">
            <v xml:space="preserve"> </v>
          </cell>
          <cell r="U66" t="str">
            <v xml:space="preserve"> </v>
          </cell>
          <cell r="V66" t="str">
            <v>660000A</v>
          </cell>
          <cell r="W66" t="str">
            <v>2</v>
          </cell>
          <cell r="X66" t="str">
            <v xml:space="preserve">  Telecommunications                    </v>
          </cell>
          <cell r="Y66">
            <v>168.86</v>
          </cell>
          <cell r="Z66">
            <v>235.7</v>
          </cell>
          <cell r="AA66">
            <v>190.84</v>
          </cell>
          <cell r="AB66">
            <v>172.68</v>
          </cell>
          <cell r="AC66">
            <v>768.08</v>
          </cell>
          <cell r="AD66">
            <v>136.97</v>
          </cell>
          <cell r="AE66">
            <v>136.65</v>
          </cell>
          <cell r="AF66">
            <v>136.65</v>
          </cell>
          <cell r="AG66">
            <v>136.65</v>
          </cell>
          <cell r="AH66">
            <v>546.91999999999996</v>
          </cell>
          <cell r="AI66" t="str">
            <v xml:space="preserve">U.S. Dollar                   </v>
          </cell>
          <cell r="AJ66" t="str">
            <v xml:space="preserve"> </v>
          </cell>
          <cell r="AK66" t="str">
            <v xml:space="preserve"> </v>
          </cell>
          <cell r="AL66" t="str">
            <v xml:space="preserve"> </v>
          </cell>
          <cell r="AM66" t="str">
            <v xml:space="preserve"> </v>
          </cell>
          <cell r="AN66" t="str">
            <v xml:space="preserve"> </v>
          </cell>
          <cell r="AO66" t="str">
            <v xml:space="preserve"> </v>
          </cell>
          <cell r="AP66" t="str">
            <v xml:space="preserve"> </v>
          </cell>
          <cell r="AQ66" t="str">
            <v xml:space="preserve"> </v>
          </cell>
        </row>
        <row r="67">
          <cell r="A67" t="str">
            <v>FBB.......663000</v>
          </cell>
          <cell r="B67" t="str">
            <v>2004T12</v>
          </cell>
          <cell r="C67" t="str">
            <v xml:space="preserve">TREND    </v>
          </cell>
          <cell r="D67" t="str">
            <v xml:space="preserve">Trend -  QTD Average/Activity                     </v>
          </cell>
          <cell r="E67" t="str">
            <v>Run: 08/07/03 14:02:44</v>
          </cell>
          <cell r="F67" t="str">
            <v>999</v>
          </cell>
          <cell r="G67" t="str">
            <v>100</v>
          </cell>
          <cell r="H67" t="str">
            <v xml:space="preserve">Bank Of America Management Reporting              </v>
          </cell>
          <cell r="I67" t="str">
            <v>001</v>
          </cell>
          <cell r="J67" t="str">
            <v>FBB.......</v>
          </cell>
          <cell r="K67" t="str">
            <v xml:space="preserve">Global Rates And Commodities Operations           </v>
          </cell>
          <cell r="L67" t="str">
            <v xml:space="preserve"> </v>
          </cell>
          <cell r="M67" t="str">
            <v xml:space="preserve"> </v>
          </cell>
          <cell r="N67" t="str">
            <v>bamgt</v>
          </cell>
          <cell r="O67" t="str">
            <v>40</v>
          </cell>
          <cell r="P67" t="str">
            <v>600000A  662999B  662999C  663000   999999999999999999999999999999999999</v>
          </cell>
          <cell r="Q67" t="str">
            <v xml:space="preserve">none     </v>
          </cell>
          <cell r="R67" t="str">
            <v>RollFCST-Working Version</v>
          </cell>
          <cell r="S67" t="str">
            <v>RollFCST-Working Version</v>
          </cell>
          <cell r="T67" t="str">
            <v xml:space="preserve"> </v>
          </cell>
          <cell r="U67" t="str">
            <v xml:space="preserve"> </v>
          </cell>
          <cell r="V67" t="str">
            <v>663000</v>
          </cell>
          <cell r="W67" t="str">
            <v>4</v>
          </cell>
          <cell r="X67" t="str">
            <v xml:space="preserve">      Supplies                          </v>
          </cell>
          <cell r="Y67">
            <v>100</v>
          </cell>
          <cell r="Z67">
            <v>81</v>
          </cell>
          <cell r="AA67">
            <v>78.77</v>
          </cell>
          <cell r="AB67">
            <v>77.650000000000006</v>
          </cell>
          <cell r="AC67">
            <v>337.42</v>
          </cell>
          <cell r="AD67">
            <v>79.400000000000006</v>
          </cell>
          <cell r="AE67">
            <v>79.400000000000006</v>
          </cell>
          <cell r="AF67">
            <v>79.400000000000006</v>
          </cell>
          <cell r="AG67">
            <v>79.400000000000006</v>
          </cell>
          <cell r="AH67">
            <v>317.60000000000002</v>
          </cell>
          <cell r="AI67" t="str">
            <v xml:space="preserve">U.S. Dollar                   </v>
          </cell>
          <cell r="AJ67" t="str">
            <v xml:space="preserve"> </v>
          </cell>
          <cell r="AK67" t="str">
            <v xml:space="preserve"> </v>
          </cell>
          <cell r="AL67" t="str">
            <v xml:space="preserve"> </v>
          </cell>
          <cell r="AM67" t="str">
            <v xml:space="preserve"> </v>
          </cell>
          <cell r="AN67" t="str">
            <v xml:space="preserve"> </v>
          </cell>
          <cell r="AO67" t="str">
            <v xml:space="preserve"> </v>
          </cell>
          <cell r="AP67" t="str">
            <v xml:space="preserve"> </v>
          </cell>
          <cell r="AQ67" t="str">
            <v xml:space="preserve"> </v>
          </cell>
        </row>
        <row r="68">
          <cell r="A68" t="str">
            <v>FBB.......664500</v>
          </cell>
          <cell r="B68" t="str">
            <v>2004T12</v>
          </cell>
          <cell r="C68" t="str">
            <v xml:space="preserve">TREND    </v>
          </cell>
          <cell r="D68" t="str">
            <v xml:space="preserve">Trend -  QTD Average/Activity                     </v>
          </cell>
          <cell r="E68" t="str">
            <v>Run: 08/07/03 14:02:44</v>
          </cell>
          <cell r="F68" t="str">
            <v>999</v>
          </cell>
          <cell r="G68" t="str">
            <v>100</v>
          </cell>
          <cell r="H68" t="str">
            <v xml:space="preserve">Bank Of America Management Reporting              </v>
          </cell>
          <cell r="I68" t="str">
            <v>001</v>
          </cell>
          <cell r="J68" t="str">
            <v>FBB.......</v>
          </cell>
          <cell r="K68" t="str">
            <v xml:space="preserve">Global Rates And Commodities Operations           </v>
          </cell>
          <cell r="L68" t="str">
            <v xml:space="preserve"> </v>
          </cell>
          <cell r="M68" t="str">
            <v xml:space="preserve"> </v>
          </cell>
          <cell r="N68" t="str">
            <v>bamgt</v>
          </cell>
          <cell r="O68" t="str">
            <v>40</v>
          </cell>
          <cell r="P68" t="str">
            <v>600000A  662999B  662999C  664500   999999999999999999999999999999999999</v>
          </cell>
          <cell r="Q68" t="str">
            <v xml:space="preserve">none     </v>
          </cell>
          <cell r="R68" t="str">
            <v>RollFCST-Working Version</v>
          </cell>
          <cell r="S68" t="str">
            <v>RollFCST-Working Version</v>
          </cell>
          <cell r="T68" t="str">
            <v xml:space="preserve"> </v>
          </cell>
          <cell r="U68" t="str">
            <v xml:space="preserve"> </v>
          </cell>
          <cell r="V68" t="str">
            <v>664500</v>
          </cell>
          <cell r="W68" t="str">
            <v>4</v>
          </cell>
          <cell r="X68" t="str">
            <v xml:space="preserve">      Postage And Courier               </v>
          </cell>
          <cell r="Y68">
            <v>9</v>
          </cell>
          <cell r="Z68">
            <v>11</v>
          </cell>
          <cell r="AA68">
            <v>6.38</v>
          </cell>
          <cell r="AB68">
            <v>5.36</v>
          </cell>
          <cell r="AC68">
            <v>31.74</v>
          </cell>
          <cell r="AD68">
            <v>6.36</v>
          </cell>
          <cell r="AE68">
            <v>6.36</v>
          </cell>
          <cell r="AF68">
            <v>6.36</v>
          </cell>
          <cell r="AG68">
            <v>6.36</v>
          </cell>
          <cell r="AH68">
            <v>25.44</v>
          </cell>
          <cell r="AI68" t="str">
            <v xml:space="preserve">U.S. Dollar                   </v>
          </cell>
          <cell r="AJ68" t="str">
            <v xml:space="preserve"> </v>
          </cell>
          <cell r="AK68" t="str">
            <v xml:space="preserve"> </v>
          </cell>
          <cell r="AL68" t="str">
            <v xml:space="preserve"> </v>
          </cell>
          <cell r="AM68" t="str">
            <v xml:space="preserve"> </v>
          </cell>
          <cell r="AN68" t="str">
            <v xml:space="preserve"> </v>
          </cell>
          <cell r="AO68" t="str">
            <v xml:space="preserve"> </v>
          </cell>
          <cell r="AP68" t="str">
            <v xml:space="preserve"> </v>
          </cell>
          <cell r="AQ68" t="str">
            <v xml:space="preserve"> </v>
          </cell>
        </row>
        <row r="69">
          <cell r="A69" t="str">
            <v>FBB.......665499F</v>
          </cell>
          <cell r="B69" t="str">
            <v>2004T12</v>
          </cell>
          <cell r="C69" t="str">
            <v xml:space="preserve">TREND    </v>
          </cell>
          <cell r="D69" t="str">
            <v xml:space="preserve">Trend -  QTD Average/Activity                     </v>
          </cell>
          <cell r="E69" t="str">
            <v>Run: 08/07/03 14:02:44</v>
          </cell>
          <cell r="F69" t="str">
            <v>999</v>
          </cell>
          <cell r="G69" t="str">
            <v>100</v>
          </cell>
          <cell r="H69" t="str">
            <v xml:space="preserve">Bank Of America Management Reporting              </v>
          </cell>
          <cell r="I69" t="str">
            <v>001</v>
          </cell>
          <cell r="J69" t="str">
            <v>FBB.......</v>
          </cell>
          <cell r="K69" t="str">
            <v xml:space="preserve">Global Rates And Commodities Operations           </v>
          </cell>
          <cell r="L69" t="str">
            <v xml:space="preserve"> </v>
          </cell>
          <cell r="M69" t="str">
            <v xml:space="preserve"> </v>
          </cell>
          <cell r="N69" t="str">
            <v>bamgt</v>
          </cell>
          <cell r="O69" t="str">
            <v>40</v>
          </cell>
          <cell r="P69" t="str">
            <v>600000A  662999B  662999C  665499B  665499D  665499F  999999999999999999</v>
          </cell>
          <cell r="Q69" t="str">
            <v xml:space="preserve">none     </v>
          </cell>
          <cell r="R69" t="str">
            <v>RollFCST-Working Version</v>
          </cell>
          <cell r="S69" t="str">
            <v>RollFCST-Working Version</v>
          </cell>
          <cell r="T69" t="str">
            <v xml:space="preserve"> </v>
          </cell>
          <cell r="U69" t="str">
            <v xml:space="preserve"> </v>
          </cell>
          <cell r="V69" t="str">
            <v>665499F</v>
          </cell>
          <cell r="W69" t="str">
            <v>6</v>
          </cell>
          <cell r="X69" t="str">
            <v xml:space="preserve">          Relocation Expense            </v>
          </cell>
          <cell r="Y69">
            <v>0</v>
          </cell>
          <cell r="Z69">
            <v>0</v>
          </cell>
          <cell r="AA69">
            <v>0</v>
          </cell>
          <cell r="AB69">
            <v>0</v>
          </cell>
          <cell r="AC69">
            <v>0</v>
          </cell>
          <cell r="AD69">
            <v>0</v>
          </cell>
          <cell r="AE69">
            <v>0</v>
          </cell>
          <cell r="AF69">
            <v>0</v>
          </cell>
          <cell r="AG69">
            <v>0</v>
          </cell>
          <cell r="AH69">
            <v>0</v>
          </cell>
          <cell r="AI69" t="str">
            <v xml:space="preserve">U.S. Dollar                   </v>
          </cell>
          <cell r="AJ69" t="str">
            <v xml:space="preserve"> </v>
          </cell>
          <cell r="AK69" t="str">
            <v xml:space="preserve"> </v>
          </cell>
          <cell r="AL69" t="str">
            <v xml:space="preserve"> </v>
          </cell>
          <cell r="AM69" t="str">
            <v xml:space="preserve"> </v>
          </cell>
          <cell r="AN69" t="str">
            <v xml:space="preserve"> </v>
          </cell>
          <cell r="AO69" t="str">
            <v xml:space="preserve"> </v>
          </cell>
          <cell r="AP69" t="str">
            <v xml:space="preserve"> </v>
          </cell>
          <cell r="AQ69" t="str">
            <v xml:space="preserve"> </v>
          </cell>
        </row>
        <row r="70">
          <cell r="A70" t="str">
            <v>FBB.......665499J</v>
          </cell>
          <cell r="B70" t="str">
            <v>2004T12</v>
          </cell>
          <cell r="C70" t="str">
            <v xml:space="preserve">TREND    </v>
          </cell>
          <cell r="D70" t="str">
            <v xml:space="preserve">Trend -  QTD Average/Activity                     </v>
          </cell>
          <cell r="E70" t="str">
            <v>Run: 08/07/03 14:02:44</v>
          </cell>
          <cell r="F70" t="str">
            <v>999</v>
          </cell>
          <cell r="G70" t="str">
            <v>100</v>
          </cell>
          <cell r="H70" t="str">
            <v xml:space="preserve">Bank Of America Management Reporting              </v>
          </cell>
          <cell r="I70" t="str">
            <v>001</v>
          </cell>
          <cell r="J70" t="str">
            <v>FBB.......</v>
          </cell>
          <cell r="K70" t="str">
            <v xml:space="preserve">Global Rates And Commodities Operations           </v>
          </cell>
          <cell r="L70" t="str">
            <v xml:space="preserve"> </v>
          </cell>
          <cell r="M70" t="str">
            <v xml:space="preserve"> </v>
          </cell>
          <cell r="N70" t="str">
            <v>bamgt</v>
          </cell>
          <cell r="O70" t="str">
            <v>40</v>
          </cell>
          <cell r="P70" t="str">
            <v>600000A  662999B  662999C  665499B  665499D  665499H  665499J  999999999</v>
          </cell>
          <cell r="Q70" t="str">
            <v xml:space="preserve">none     </v>
          </cell>
          <cell r="R70" t="str">
            <v>RollFCST-Working Version</v>
          </cell>
          <cell r="S70" t="str">
            <v>RollFCST-Working Version</v>
          </cell>
          <cell r="T70" t="str">
            <v xml:space="preserve"> </v>
          </cell>
          <cell r="U70" t="str">
            <v xml:space="preserve"> </v>
          </cell>
          <cell r="V70" t="str">
            <v>665499J</v>
          </cell>
          <cell r="W70" t="str">
            <v>7</v>
          </cell>
          <cell r="X70" t="str">
            <v xml:space="preserve">            Employee Training &amp; Seminars</v>
          </cell>
          <cell r="Y70">
            <v>0</v>
          </cell>
          <cell r="Z70">
            <v>0</v>
          </cell>
          <cell r="AA70">
            <v>130.06</v>
          </cell>
          <cell r="AB70">
            <v>103.04</v>
          </cell>
          <cell r="AC70">
            <v>233.1</v>
          </cell>
          <cell r="AD70">
            <v>145.71</v>
          </cell>
          <cell r="AE70">
            <v>90.51</v>
          </cell>
          <cell r="AF70">
            <v>91.59</v>
          </cell>
          <cell r="AG70">
            <v>64.59</v>
          </cell>
          <cell r="AH70">
            <v>392.4</v>
          </cell>
          <cell r="AI70" t="str">
            <v xml:space="preserve">U.S. Dollar                   </v>
          </cell>
          <cell r="AJ70" t="str">
            <v xml:space="preserve"> </v>
          </cell>
          <cell r="AK70" t="str">
            <v xml:space="preserve"> </v>
          </cell>
          <cell r="AL70" t="str">
            <v xml:space="preserve"> </v>
          </cell>
          <cell r="AM70" t="str">
            <v xml:space="preserve"> </v>
          </cell>
          <cell r="AN70" t="str">
            <v xml:space="preserve"> </v>
          </cell>
          <cell r="AO70" t="str">
            <v xml:space="preserve"> </v>
          </cell>
          <cell r="AP70" t="str">
            <v xml:space="preserve"> </v>
          </cell>
          <cell r="AQ70" t="str">
            <v xml:space="preserve"> </v>
          </cell>
        </row>
        <row r="71">
          <cell r="A71" t="str">
            <v>FBB.......665499H</v>
          </cell>
          <cell r="B71" t="str">
            <v>2004T12</v>
          </cell>
          <cell r="C71" t="str">
            <v xml:space="preserve">TREND    </v>
          </cell>
          <cell r="D71" t="str">
            <v xml:space="preserve">Trend -  QTD Average/Activity                     </v>
          </cell>
          <cell r="E71" t="str">
            <v>Run: 08/07/03 14:02:44</v>
          </cell>
          <cell r="F71" t="str">
            <v>999</v>
          </cell>
          <cell r="G71" t="str">
            <v>100</v>
          </cell>
          <cell r="H71" t="str">
            <v xml:space="preserve">Bank Of America Management Reporting              </v>
          </cell>
          <cell r="I71" t="str">
            <v>001</v>
          </cell>
          <cell r="J71" t="str">
            <v>FBB.......</v>
          </cell>
          <cell r="K71" t="str">
            <v xml:space="preserve">Global Rates And Commodities Operations           </v>
          </cell>
          <cell r="L71" t="str">
            <v xml:space="preserve"> </v>
          </cell>
          <cell r="M71" t="str">
            <v xml:space="preserve"> </v>
          </cell>
          <cell r="N71" t="str">
            <v>bamgt</v>
          </cell>
          <cell r="O71" t="str">
            <v>40</v>
          </cell>
          <cell r="P71" t="str">
            <v>600000A  662999B  662999C  665499B  665499D  665499H  999999999999999999</v>
          </cell>
          <cell r="Q71" t="str">
            <v xml:space="preserve">none     </v>
          </cell>
          <cell r="R71" t="str">
            <v>RollFCST-Working Version</v>
          </cell>
          <cell r="S71" t="str">
            <v>RollFCST-Working Version</v>
          </cell>
          <cell r="T71" t="str">
            <v xml:space="preserve"> </v>
          </cell>
          <cell r="U71" t="str">
            <v xml:space="preserve"> </v>
          </cell>
          <cell r="V71" t="str">
            <v>665499H</v>
          </cell>
          <cell r="W71" t="str">
            <v>6</v>
          </cell>
          <cell r="X71" t="str">
            <v xml:space="preserve">          Other Employee Expense        </v>
          </cell>
          <cell r="Y71">
            <v>0</v>
          </cell>
          <cell r="Z71">
            <v>0</v>
          </cell>
          <cell r="AA71">
            <v>130.06</v>
          </cell>
          <cell r="AB71">
            <v>103.04</v>
          </cell>
          <cell r="AC71">
            <v>233.1</v>
          </cell>
          <cell r="AD71">
            <v>145.71</v>
          </cell>
          <cell r="AE71">
            <v>90.51</v>
          </cell>
          <cell r="AF71">
            <v>91.59</v>
          </cell>
          <cell r="AG71">
            <v>64.59</v>
          </cell>
          <cell r="AH71">
            <v>392.4</v>
          </cell>
          <cell r="AI71" t="str">
            <v xml:space="preserve">U.S. Dollar                   </v>
          </cell>
          <cell r="AJ71" t="str">
            <v xml:space="preserve"> </v>
          </cell>
          <cell r="AK71" t="str">
            <v xml:space="preserve"> </v>
          </cell>
          <cell r="AL71" t="str">
            <v xml:space="preserve"> </v>
          </cell>
          <cell r="AM71" t="str">
            <v xml:space="preserve"> </v>
          </cell>
          <cell r="AN71" t="str">
            <v xml:space="preserve"> </v>
          </cell>
          <cell r="AO71" t="str">
            <v xml:space="preserve"> </v>
          </cell>
          <cell r="AP71" t="str">
            <v xml:space="preserve"> </v>
          </cell>
          <cell r="AQ71" t="str">
            <v xml:space="preserve"> </v>
          </cell>
        </row>
        <row r="72">
          <cell r="A72" t="str">
            <v>FBB.......665499D</v>
          </cell>
          <cell r="B72" t="str">
            <v>2004T12</v>
          </cell>
          <cell r="C72" t="str">
            <v xml:space="preserve">TREND    </v>
          </cell>
          <cell r="D72" t="str">
            <v xml:space="preserve">Trend -  QTD Average/Activity                     </v>
          </cell>
          <cell r="E72" t="str">
            <v>Run: 08/07/03 14:02:44</v>
          </cell>
          <cell r="F72" t="str">
            <v>999</v>
          </cell>
          <cell r="G72" t="str">
            <v>100</v>
          </cell>
          <cell r="H72" t="str">
            <v xml:space="preserve">Bank Of America Management Reporting              </v>
          </cell>
          <cell r="I72" t="str">
            <v>001</v>
          </cell>
          <cell r="J72" t="str">
            <v>FBB.......</v>
          </cell>
          <cell r="K72" t="str">
            <v xml:space="preserve">Global Rates And Commodities Operations           </v>
          </cell>
          <cell r="L72" t="str">
            <v xml:space="preserve"> </v>
          </cell>
          <cell r="M72" t="str">
            <v xml:space="preserve"> </v>
          </cell>
          <cell r="N72" t="str">
            <v>bamgt</v>
          </cell>
          <cell r="O72" t="str">
            <v>40</v>
          </cell>
          <cell r="P72" t="str">
            <v>600000A  662999B  662999C  665499B  665499D  999999999999999999999999999</v>
          </cell>
          <cell r="Q72" t="str">
            <v xml:space="preserve">none     </v>
          </cell>
          <cell r="R72" t="str">
            <v>RollFCST-Working Version</v>
          </cell>
          <cell r="S72" t="str">
            <v>RollFCST-Working Version</v>
          </cell>
          <cell r="T72" t="str">
            <v xml:space="preserve"> </v>
          </cell>
          <cell r="U72" t="str">
            <v xml:space="preserve"> </v>
          </cell>
          <cell r="V72" t="str">
            <v>665499D</v>
          </cell>
          <cell r="W72" t="str">
            <v>5</v>
          </cell>
          <cell r="X72" t="str">
            <v xml:space="preserve">        Employee Expense                </v>
          </cell>
          <cell r="Y72">
            <v>0</v>
          </cell>
          <cell r="Z72">
            <v>0</v>
          </cell>
          <cell r="AA72">
            <v>130.06</v>
          </cell>
          <cell r="AB72">
            <v>103.04</v>
          </cell>
          <cell r="AC72">
            <v>233.1</v>
          </cell>
          <cell r="AD72">
            <v>145.71</v>
          </cell>
          <cell r="AE72">
            <v>90.51</v>
          </cell>
          <cell r="AF72">
            <v>91.59</v>
          </cell>
          <cell r="AG72">
            <v>64.59</v>
          </cell>
          <cell r="AH72">
            <v>392.4</v>
          </cell>
          <cell r="AI72" t="str">
            <v xml:space="preserve">U.S. Dollar                   </v>
          </cell>
          <cell r="AJ72" t="str">
            <v xml:space="preserve"> </v>
          </cell>
          <cell r="AK72" t="str">
            <v xml:space="preserve"> </v>
          </cell>
          <cell r="AL72" t="str">
            <v xml:space="preserve"> </v>
          </cell>
          <cell r="AM72" t="str">
            <v xml:space="preserve"> </v>
          </cell>
          <cell r="AN72" t="str">
            <v xml:space="preserve"> </v>
          </cell>
          <cell r="AO72" t="str">
            <v xml:space="preserve"> </v>
          </cell>
          <cell r="AP72" t="str">
            <v xml:space="preserve"> </v>
          </cell>
          <cell r="AQ72" t="str">
            <v xml:space="preserve"> </v>
          </cell>
        </row>
        <row r="73">
          <cell r="A73" t="str">
            <v>FBB.......665499B</v>
          </cell>
          <cell r="B73" t="str">
            <v>2004T12</v>
          </cell>
          <cell r="C73" t="str">
            <v xml:space="preserve">TREND    </v>
          </cell>
          <cell r="D73" t="str">
            <v xml:space="preserve">Trend -  QTD Average/Activity                     </v>
          </cell>
          <cell r="E73" t="str">
            <v>Run: 08/07/03 14:02:44</v>
          </cell>
          <cell r="F73" t="str">
            <v>999</v>
          </cell>
          <cell r="G73" t="str">
            <v>100</v>
          </cell>
          <cell r="H73" t="str">
            <v xml:space="preserve">Bank Of America Management Reporting              </v>
          </cell>
          <cell r="I73" t="str">
            <v>001</v>
          </cell>
          <cell r="J73" t="str">
            <v>FBB.......</v>
          </cell>
          <cell r="K73" t="str">
            <v xml:space="preserve">Global Rates And Commodities Operations           </v>
          </cell>
          <cell r="L73" t="str">
            <v xml:space="preserve"> </v>
          </cell>
          <cell r="M73" t="str">
            <v xml:space="preserve"> </v>
          </cell>
          <cell r="N73" t="str">
            <v>bamgt</v>
          </cell>
          <cell r="O73" t="str">
            <v>40</v>
          </cell>
          <cell r="P73" t="str">
            <v>600000A  662999B  662999C  665499B  999999999999999999999999999999999999</v>
          </cell>
          <cell r="Q73" t="str">
            <v xml:space="preserve">none     </v>
          </cell>
          <cell r="R73" t="str">
            <v>RollFCST-Working Version</v>
          </cell>
          <cell r="S73" t="str">
            <v>RollFCST-Working Version</v>
          </cell>
          <cell r="T73" t="str">
            <v xml:space="preserve"> </v>
          </cell>
          <cell r="U73" t="str">
            <v xml:space="preserve"> </v>
          </cell>
          <cell r="V73" t="str">
            <v>665499B</v>
          </cell>
          <cell r="W73" t="str">
            <v>4</v>
          </cell>
          <cell r="X73" t="str">
            <v xml:space="preserve">      Other Operating Expense           </v>
          </cell>
          <cell r="Y73">
            <v>241</v>
          </cell>
          <cell r="Z73">
            <v>320.79000000000002</v>
          </cell>
          <cell r="AA73">
            <v>512.05999999999995</v>
          </cell>
          <cell r="AB73">
            <v>266.04000000000002</v>
          </cell>
          <cell r="AC73">
            <v>1339.89</v>
          </cell>
          <cell r="AD73">
            <v>145.71</v>
          </cell>
          <cell r="AE73">
            <v>90.51</v>
          </cell>
          <cell r="AF73">
            <v>91.59</v>
          </cell>
          <cell r="AG73">
            <v>64.59</v>
          </cell>
          <cell r="AH73">
            <v>392.4</v>
          </cell>
          <cell r="AI73" t="str">
            <v xml:space="preserve">U.S. Dollar                   </v>
          </cell>
          <cell r="AJ73" t="str">
            <v xml:space="preserve"> </v>
          </cell>
          <cell r="AK73" t="str">
            <v xml:space="preserve"> </v>
          </cell>
          <cell r="AL73" t="str">
            <v xml:space="preserve"> </v>
          </cell>
          <cell r="AM73" t="str">
            <v xml:space="preserve"> </v>
          </cell>
          <cell r="AN73" t="str">
            <v xml:space="preserve"> </v>
          </cell>
          <cell r="AO73" t="str">
            <v xml:space="preserve"> </v>
          </cell>
          <cell r="AP73" t="str">
            <v xml:space="preserve"> </v>
          </cell>
          <cell r="AQ73" t="str">
            <v xml:space="preserve"> </v>
          </cell>
        </row>
        <row r="74">
          <cell r="A74" t="str">
            <v>FBB.......670200</v>
          </cell>
          <cell r="B74" t="str">
            <v>2004T12</v>
          </cell>
          <cell r="C74" t="str">
            <v xml:space="preserve">TREND    </v>
          </cell>
          <cell r="D74" t="str">
            <v xml:space="preserve">Trend -  QTD Average/Activity                     </v>
          </cell>
          <cell r="E74" t="str">
            <v>Run: 08/07/03 14:02:44</v>
          </cell>
          <cell r="F74" t="str">
            <v>999</v>
          </cell>
          <cell r="G74" t="str">
            <v>100</v>
          </cell>
          <cell r="H74" t="str">
            <v xml:space="preserve">Bank Of America Management Reporting              </v>
          </cell>
          <cell r="I74" t="str">
            <v>001</v>
          </cell>
          <cell r="J74" t="str">
            <v>FBB.......</v>
          </cell>
          <cell r="K74" t="str">
            <v xml:space="preserve">Global Rates And Commodities Operations           </v>
          </cell>
          <cell r="L74" t="str">
            <v xml:space="preserve"> </v>
          </cell>
          <cell r="M74" t="str">
            <v xml:space="preserve"> </v>
          </cell>
          <cell r="N74" t="str">
            <v>bamgt</v>
          </cell>
          <cell r="O74" t="str">
            <v>40</v>
          </cell>
          <cell r="P74" t="str">
            <v>600000A  662999B  670000B  670200   999999999999999999999999999999999999</v>
          </cell>
          <cell r="Q74" t="str">
            <v xml:space="preserve">none     </v>
          </cell>
          <cell r="R74" t="str">
            <v>RollFCST-Working Version</v>
          </cell>
          <cell r="S74" t="str">
            <v>RollFCST-Working Version</v>
          </cell>
          <cell r="T74" t="str">
            <v xml:space="preserve"> </v>
          </cell>
          <cell r="U74" t="str">
            <v xml:space="preserve"> </v>
          </cell>
          <cell r="V74" t="str">
            <v>670200</v>
          </cell>
          <cell r="W74" t="str">
            <v>4</v>
          </cell>
          <cell r="X74" t="str">
            <v xml:space="preserve">      Travel                            </v>
          </cell>
          <cell r="Y74">
            <v>109</v>
          </cell>
          <cell r="Z74">
            <v>133</v>
          </cell>
          <cell r="AA74">
            <v>121.68</v>
          </cell>
          <cell r="AB74">
            <v>114.58</v>
          </cell>
          <cell r="AC74">
            <v>478.26</v>
          </cell>
          <cell r="AD74">
            <v>72.98</v>
          </cell>
          <cell r="AE74">
            <v>72.98</v>
          </cell>
          <cell r="AF74">
            <v>72.98</v>
          </cell>
          <cell r="AG74">
            <v>72.98</v>
          </cell>
          <cell r="AH74">
            <v>291.92</v>
          </cell>
          <cell r="AI74" t="str">
            <v xml:space="preserve">U.S. Dollar                   </v>
          </cell>
          <cell r="AJ74" t="str">
            <v xml:space="preserve"> </v>
          </cell>
          <cell r="AK74" t="str">
            <v xml:space="preserve"> </v>
          </cell>
          <cell r="AL74" t="str">
            <v xml:space="preserve"> </v>
          </cell>
          <cell r="AM74" t="str">
            <v xml:space="preserve"> </v>
          </cell>
          <cell r="AN74" t="str">
            <v xml:space="preserve"> </v>
          </cell>
          <cell r="AO74" t="str">
            <v xml:space="preserve"> </v>
          </cell>
          <cell r="AP74" t="str">
            <v xml:space="preserve"> </v>
          </cell>
          <cell r="AQ74" t="str">
            <v xml:space="preserve"> </v>
          </cell>
        </row>
        <row r="75">
          <cell r="A75" t="str">
            <v>FBB.......670800</v>
          </cell>
          <cell r="B75" t="str">
            <v>2004T12</v>
          </cell>
          <cell r="C75" t="str">
            <v xml:space="preserve">TREND    </v>
          </cell>
          <cell r="D75" t="str">
            <v xml:space="preserve">Trend -  QTD Average/Activity                     </v>
          </cell>
          <cell r="E75" t="str">
            <v>Run: 08/07/03 14:02:44</v>
          </cell>
          <cell r="F75" t="str">
            <v>999</v>
          </cell>
          <cell r="G75" t="str">
            <v>100</v>
          </cell>
          <cell r="H75" t="str">
            <v xml:space="preserve">Bank Of America Management Reporting              </v>
          </cell>
          <cell r="I75" t="str">
            <v>001</v>
          </cell>
          <cell r="J75" t="str">
            <v>FBB.......</v>
          </cell>
          <cell r="K75" t="str">
            <v xml:space="preserve">Global Rates And Commodities Operations           </v>
          </cell>
          <cell r="L75" t="str">
            <v xml:space="preserve"> </v>
          </cell>
          <cell r="M75" t="str">
            <v xml:space="preserve"> </v>
          </cell>
          <cell r="N75" t="str">
            <v>bamgt</v>
          </cell>
          <cell r="O75" t="str">
            <v>40</v>
          </cell>
          <cell r="P75" t="str">
            <v>600000A  662999B  670000B  670800   999999999999999999999999999999999999</v>
          </cell>
          <cell r="Q75" t="str">
            <v xml:space="preserve">none     </v>
          </cell>
          <cell r="R75" t="str">
            <v>RollFCST-Working Version</v>
          </cell>
          <cell r="S75" t="str">
            <v>RollFCST-Working Version</v>
          </cell>
          <cell r="T75" t="str">
            <v xml:space="preserve"> </v>
          </cell>
          <cell r="U75" t="str">
            <v xml:space="preserve"> </v>
          </cell>
          <cell r="V75" t="str">
            <v>670800</v>
          </cell>
          <cell r="W75" t="str">
            <v>4</v>
          </cell>
          <cell r="X75" t="str">
            <v xml:space="preserve">      Taxes Other Than Income           </v>
          </cell>
          <cell r="Y75">
            <v>0</v>
          </cell>
          <cell r="Z75">
            <v>0</v>
          </cell>
          <cell r="AA75">
            <v>0</v>
          </cell>
          <cell r="AB75">
            <v>0</v>
          </cell>
          <cell r="AC75">
            <v>0</v>
          </cell>
          <cell r="AD75">
            <v>0</v>
          </cell>
          <cell r="AE75">
            <v>0</v>
          </cell>
          <cell r="AF75">
            <v>0</v>
          </cell>
          <cell r="AG75">
            <v>0</v>
          </cell>
          <cell r="AH75">
            <v>0</v>
          </cell>
          <cell r="AI75" t="str">
            <v xml:space="preserve">U.S. Dollar                   </v>
          </cell>
          <cell r="AJ75" t="str">
            <v xml:space="preserve"> </v>
          </cell>
          <cell r="AK75" t="str">
            <v xml:space="preserve"> </v>
          </cell>
          <cell r="AL75" t="str">
            <v xml:space="preserve"> </v>
          </cell>
          <cell r="AM75" t="str">
            <v xml:space="preserve"> </v>
          </cell>
          <cell r="AN75" t="str">
            <v xml:space="preserve"> </v>
          </cell>
          <cell r="AO75" t="str">
            <v xml:space="preserve"> </v>
          </cell>
          <cell r="AP75" t="str">
            <v xml:space="preserve"> </v>
          </cell>
          <cell r="AQ75" t="str">
            <v xml:space="preserve"> </v>
          </cell>
        </row>
        <row r="76">
          <cell r="A76" t="str">
            <v>FBB.......671200</v>
          </cell>
          <cell r="B76" t="str">
            <v>2004T12</v>
          </cell>
          <cell r="C76" t="str">
            <v xml:space="preserve">TREND    </v>
          </cell>
          <cell r="D76" t="str">
            <v xml:space="preserve">Trend -  QTD Average/Activity                     </v>
          </cell>
          <cell r="E76" t="str">
            <v>Run: 08/07/03 14:02:44</v>
          </cell>
          <cell r="F76" t="str">
            <v>999</v>
          </cell>
          <cell r="G76" t="str">
            <v>100</v>
          </cell>
          <cell r="H76" t="str">
            <v xml:space="preserve">Bank Of America Management Reporting              </v>
          </cell>
          <cell r="I76" t="str">
            <v>001</v>
          </cell>
          <cell r="J76" t="str">
            <v>FBB.......</v>
          </cell>
          <cell r="K76" t="str">
            <v xml:space="preserve">Global Rates And Commodities Operations           </v>
          </cell>
          <cell r="L76" t="str">
            <v xml:space="preserve"> </v>
          </cell>
          <cell r="M76" t="str">
            <v xml:space="preserve"> </v>
          </cell>
          <cell r="N76" t="str">
            <v>bamgt</v>
          </cell>
          <cell r="O76" t="str">
            <v>40</v>
          </cell>
          <cell r="P76" t="str">
            <v>600000A  662999B  670000B  671200   999999999999999999999999999999999999</v>
          </cell>
          <cell r="Q76" t="str">
            <v xml:space="preserve">none     </v>
          </cell>
          <cell r="R76" t="str">
            <v>RollFCST-Working Version</v>
          </cell>
          <cell r="S76" t="str">
            <v>RollFCST-Working Version</v>
          </cell>
          <cell r="T76" t="str">
            <v xml:space="preserve"> </v>
          </cell>
          <cell r="U76" t="str">
            <v xml:space="preserve"> </v>
          </cell>
          <cell r="V76" t="str">
            <v>671200</v>
          </cell>
          <cell r="W76" t="str">
            <v>4</v>
          </cell>
          <cell r="X76" t="str">
            <v xml:space="preserve">      Subscription Services             </v>
          </cell>
          <cell r="Y76">
            <v>361</v>
          </cell>
          <cell r="Z76">
            <v>286.48</v>
          </cell>
          <cell r="AA76">
            <v>190.11</v>
          </cell>
          <cell r="AB76">
            <v>176.86</v>
          </cell>
          <cell r="AC76">
            <v>1014.45</v>
          </cell>
          <cell r="AD76">
            <v>186.62</v>
          </cell>
          <cell r="AE76">
            <v>186.62</v>
          </cell>
          <cell r="AF76">
            <v>186.62</v>
          </cell>
          <cell r="AG76">
            <v>185.62</v>
          </cell>
          <cell r="AH76">
            <v>745.48</v>
          </cell>
          <cell r="AI76" t="str">
            <v xml:space="preserve">U.S. Dollar                   </v>
          </cell>
          <cell r="AJ76" t="str">
            <v xml:space="preserve"> </v>
          </cell>
          <cell r="AK76" t="str">
            <v xml:space="preserve"> </v>
          </cell>
          <cell r="AL76" t="str">
            <v xml:space="preserve"> </v>
          </cell>
          <cell r="AM76" t="str">
            <v xml:space="preserve"> </v>
          </cell>
          <cell r="AN76" t="str">
            <v xml:space="preserve"> </v>
          </cell>
          <cell r="AO76" t="str">
            <v xml:space="preserve"> </v>
          </cell>
          <cell r="AP76" t="str">
            <v xml:space="preserve"> </v>
          </cell>
          <cell r="AQ76" t="str">
            <v xml:space="preserve"> </v>
          </cell>
        </row>
        <row r="77">
          <cell r="A77" t="str">
            <v>FBB.......671500</v>
          </cell>
          <cell r="B77" t="str">
            <v>2004T12</v>
          </cell>
          <cell r="C77" t="str">
            <v xml:space="preserve">TREND    </v>
          </cell>
          <cell r="D77" t="str">
            <v xml:space="preserve">Trend -  QTD Average/Activity                     </v>
          </cell>
          <cell r="E77" t="str">
            <v>Run: 08/07/03 14:02:44</v>
          </cell>
          <cell r="F77" t="str">
            <v>999</v>
          </cell>
          <cell r="G77" t="str">
            <v>100</v>
          </cell>
          <cell r="H77" t="str">
            <v xml:space="preserve">Bank Of America Management Reporting              </v>
          </cell>
          <cell r="I77" t="str">
            <v>001</v>
          </cell>
          <cell r="J77" t="str">
            <v>FBB.......</v>
          </cell>
          <cell r="K77" t="str">
            <v xml:space="preserve">Global Rates And Commodities Operations           </v>
          </cell>
          <cell r="L77" t="str">
            <v xml:space="preserve"> </v>
          </cell>
          <cell r="M77" t="str">
            <v xml:space="preserve"> </v>
          </cell>
          <cell r="N77" t="str">
            <v>bamgt</v>
          </cell>
          <cell r="O77" t="str">
            <v>40</v>
          </cell>
          <cell r="P77" t="str">
            <v>600000A  662999B  670000B  671500   999999999999999999999999999999999999</v>
          </cell>
          <cell r="Q77" t="str">
            <v xml:space="preserve">none     </v>
          </cell>
          <cell r="R77" t="str">
            <v>RollFCST-Working Version</v>
          </cell>
          <cell r="S77" t="str">
            <v>RollFCST-Working Version</v>
          </cell>
          <cell r="T77" t="str">
            <v xml:space="preserve"> </v>
          </cell>
          <cell r="U77" t="str">
            <v xml:space="preserve"> </v>
          </cell>
          <cell r="V77" t="str">
            <v>671500</v>
          </cell>
          <cell r="W77" t="str">
            <v>4</v>
          </cell>
          <cell r="X77" t="str">
            <v xml:space="preserve">      Other Administrative Expenses     </v>
          </cell>
          <cell r="Y77">
            <v>0</v>
          </cell>
          <cell r="Z77">
            <v>0</v>
          </cell>
          <cell r="AA77">
            <v>0</v>
          </cell>
          <cell r="AB77">
            <v>0</v>
          </cell>
          <cell r="AC77">
            <v>0</v>
          </cell>
          <cell r="AD77">
            <v>0</v>
          </cell>
          <cell r="AE77">
            <v>0</v>
          </cell>
          <cell r="AF77">
            <v>0</v>
          </cell>
          <cell r="AG77">
            <v>0</v>
          </cell>
          <cell r="AH77">
            <v>0</v>
          </cell>
          <cell r="AI77" t="str">
            <v xml:space="preserve">U.S. Dollar                   </v>
          </cell>
          <cell r="AJ77" t="str">
            <v xml:space="preserve"> </v>
          </cell>
          <cell r="AK77" t="str">
            <v xml:space="preserve"> </v>
          </cell>
          <cell r="AL77" t="str">
            <v xml:space="preserve"> </v>
          </cell>
          <cell r="AM77" t="str">
            <v xml:space="preserve"> </v>
          </cell>
          <cell r="AN77" t="str">
            <v xml:space="preserve"> </v>
          </cell>
          <cell r="AO77" t="str">
            <v xml:space="preserve"> </v>
          </cell>
          <cell r="AP77" t="str">
            <v xml:space="preserve"> </v>
          </cell>
          <cell r="AQ77" t="str">
            <v xml:space="preserve"> </v>
          </cell>
        </row>
        <row r="78">
          <cell r="A78" t="str">
            <v>FBB.......675000</v>
          </cell>
          <cell r="B78" t="str">
            <v>2004T12</v>
          </cell>
          <cell r="C78" t="str">
            <v xml:space="preserve">TREND    </v>
          </cell>
          <cell r="D78" t="str">
            <v xml:space="preserve">Trend -  QTD Average/Activity                     </v>
          </cell>
          <cell r="E78" t="str">
            <v>Run: 08/07/03 14:02:44</v>
          </cell>
          <cell r="F78" t="str">
            <v>999</v>
          </cell>
          <cell r="G78" t="str">
            <v>100</v>
          </cell>
          <cell r="H78" t="str">
            <v xml:space="preserve">Bank Of America Management Reporting              </v>
          </cell>
          <cell r="I78" t="str">
            <v>001</v>
          </cell>
          <cell r="J78" t="str">
            <v>FBB.......</v>
          </cell>
          <cell r="K78" t="str">
            <v xml:space="preserve">Global Rates And Commodities Operations           </v>
          </cell>
          <cell r="L78" t="str">
            <v xml:space="preserve"> </v>
          </cell>
          <cell r="M78" t="str">
            <v xml:space="preserve"> </v>
          </cell>
          <cell r="N78" t="str">
            <v>bamgt</v>
          </cell>
          <cell r="O78" t="str">
            <v>40</v>
          </cell>
          <cell r="P78" t="str">
            <v>600000A  675000   999999999999999999999999999999999999999999999999999999</v>
          </cell>
          <cell r="Q78" t="str">
            <v xml:space="preserve">none     </v>
          </cell>
          <cell r="R78" t="str">
            <v>RollFCST-Working Version</v>
          </cell>
          <cell r="S78" t="str">
            <v>RollFCST-Working Version</v>
          </cell>
          <cell r="T78" t="str">
            <v xml:space="preserve"> </v>
          </cell>
          <cell r="U78" t="str">
            <v xml:space="preserve"> </v>
          </cell>
          <cell r="V78" t="str">
            <v>675000</v>
          </cell>
          <cell r="W78" t="str">
            <v>2</v>
          </cell>
          <cell r="X78" t="str">
            <v xml:space="preserve">  Intercompany Expense                  </v>
          </cell>
          <cell r="Y78">
            <v>-126</v>
          </cell>
          <cell r="Z78">
            <v>0</v>
          </cell>
          <cell r="AA78">
            <v>0</v>
          </cell>
          <cell r="AB78">
            <v>0</v>
          </cell>
          <cell r="AC78">
            <v>-126</v>
          </cell>
          <cell r="AD78">
            <v>0</v>
          </cell>
          <cell r="AE78">
            <v>0</v>
          </cell>
          <cell r="AF78">
            <v>0</v>
          </cell>
          <cell r="AG78">
            <v>0</v>
          </cell>
          <cell r="AH78">
            <v>0</v>
          </cell>
          <cell r="AI78" t="str">
            <v xml:space="preserve">U.S. Dollar                   </v>
          </cell>
          <cell r="AJ78" t="str">
            <v xml:space="preserve"> </v>
          </cell>
          <cell r="AK78" t="str">
            <v xml:space="preserve"> </v>
          </cell>
          <cell r="AL78" t="str">
            <v xml:space="preserve"> </v>
          </cell>
          <cell r="AM78" t="str">
            <v xml:space="preserve"> </v>
          </cell>
          <cell r="AN78" t="str">
            <v xml:space="preserve"> </v>
          </cell>
          <cell r="AO78" t="str">
            <v xml:space="preserve"> </v>
          </cell>
          <cell r="AP78" t="str">
            <v xml:space="preserve"> </v>
          </cell>
          <cell r="AQ78" t="str">
            <v xml:space="preserve"> </v>
          </cell>
        </row>
        <row r="79">
          <cell r="A79" t="str">
            <v>FBB.......NIEBA-B</v>
          </cell>
          <cell r="B79" t="str">
            <v>2004T12</v>
          </cell>
          <cell r="C79" t="str">
            <v xml:space="preserve">TREND    </v>
          </cell>
          <cell r="D79" t="str">
            <v xml:space="preserve">Trend -  QTD Average/Activity                     </v>
          </cell>
          <cell r="E79" t="str">
            <v>Run: 08/07/03 14:02:44</v>
          </cell>
          <cell r="F79" t="str">
            <v>999</v>
          </cell>
          <cell r="G79" t="str">
            <v>100</v>
          </cell>
          <cell r="H79" t="str">
            <v xml:space="preserve">Bank Of America Management Reporting              </v>
          </cell>
          <cell r="I79" t="str">
            <v>001</v>
          </cell>
          <cell r="J79" t="str">
            <v>FBB.......</v>
          </cell>
          <cell r="K79" t="str">
            <v xml:space="preserve">Global Rates And Commodities Operations           </v>
          </cell>
          <cell r="L79" t="str">
            <v xml:space="preserve"> </v>
          </cell>
          <cell r="M79" t="str">
            <v xml:space="preserve"> </v>
          </cell>
          <cell r="N79" t="str">
            <v>bamgt</v>
          </cell>
          <cell r="O79" t="str">
            <v>40</v>
          </cell>
          <cell r="P79" t="str">
            <v xml:space="preserve">600000A  675000A  999999999999999999999999999NIEBA-B                    </v>
          </cell>
          <cell r="Q79" t="str">
            <v xml:space="preserve">none     </v>
          </cell>
          <cell r="R79" t="str">
            <v>RollFCST-Working Version</v>
          </cell>
          <cell r="S79" t="str">
            <v>RollFCST-Working Version</v>
          </cell>
          <cell r="T79" t="str">
            <v xml:space="preserve"> </v>
          </cell>
          <cell r="U79" t="str">
            <v xml:space="preserve"> </v>
          </cell>
          <cell r="V79" t="str">
            <v>NIEBA-B</v>
          </cell>
          <cell r="W79" t="str">
            <v>0</v>
          </cell>
          <cell r="X79" t="str">
            <v xml:space="preserve">Sub-Tot Non Int Exp Before Cost         </v>
          </cell>
          <cell r="Y79">
            <v>9741.4699999999993</v>
          </cell>
          <cell r="Z79">
            <v>10351.31</v>
          </cell>
          <cell r="AA79">
            <v>10311.14</v>
          </cell>
          <cell r="AB79">
            <v>11048.65</v>
          </cell>
          <cell r="AC79">
            <v>41452.57</v>
          </cell>
          <cell r="AD79">
            <v>9642.8799999999992</v>
          </cell>
          <cell r="AE79">
            <v>9908.31</v>
          </cell>
          <cell r="AF79">
            <v>10085.07</v>
          </cell>
          <cell r="AG79">
            <v>10003.94</v>
          </cell>
          <cell r="AH79">
            <v>39640.199999999997</v>
          </cell>
          <cell r="AI79" t="str">
            <v xml:space="preserve">U.S. Dollar                   </v>
          </cell>
          <cell r="AJ79" t="str">
            <v xml:space="preserve"> </v>
          </cell>
          <cell r="AK79" t="str">
            <v xml:space="preserve"> </v>
          </cell>
          <cell r="AL79" t="str">
            <v xml:space="preserve"> </v>
          </cell>
          <cell r="AM79" t="str">
            <v xml:space="preserve"> </v>
          </cell>
          <cell r="AN79" t="str">
            <v xml:space="preserve"> </v>
          </cell>
          <cell r="AO79" t="str">
            <v xml:space="preserve"> </v>
          </cell>
          <cell r="AP79" t="str">
            <v xml:space="preserve"> </v>
          </cell>
          <cell r="AQ79" t="str">
            <v xml:space="preserve"> </v>
          </cell>
        </row>
        <row r="80">
          <cell r="A80" t="str">
            <v>FBC.......600300</v>
          </cell>
          <cell r="B80" t="str">
            <v>2004T12</v>
          </cell>
          <cell r="C80" t="str">
            <v xml:space="preserve">TREND    </v>
          </cell>
          <cell r="D80" t="str">
            <v xml:space="preserve">Trend -  QTD Average/Activity                     </v>
          </cell>
          <cell r="E80" t="str">
            <v>Run: 08/07/03 14:02:44</v>
          </cell>
          <cell r="F80" t="str">
            <v>999</v>
          </cell>
          <cell r="G80" t="str">
            <v>100</v>
          </cell>
          <cell r="H80" t="str">
            <v xml:space="preserve">Bank Of America Management Reporting              </v>
          </cell>
          <cell r="I80" t="str">
            <v>001</v>
          </cell>
          <cell r="J80" t="str">
            <v>FBC.......</v>
          </cell>
          <cell r="K80" t="str">
            <v xml:space="preserve">Global Securities Operations                      </v>
          </cell>
          <cell r="L80" t="str">
            <v xml:space="preserve"> </v>
          </cell>
          <cell r="M80" t="str">
            <v xml:space="preserve"> </v>
          </cell>
          <cell r="N80" t="str">
            <v>bamgt</v>
          </cell>
          <cell r="O80" t="str">
            <v>40</v>
          </cell>
          <cell r="P80" t="str">
            <v>600000A  600250   999999999600300   999999999999999999999999999999999999</v>
          </cell>
          <cell r="Q80" t="str">
            <v xml:space="preserve">none     </v>
          </cell>
          <cell r="R80" t="str">
            <v>RollFCST-Working Version</v>
          </cell>
          <cell r="S80" t="str">
            <v>RollFCST-Working Version</v>
          </cell>
          <cell r="T80" t="str">
            <v xml:space="preserve"> </v>
          </cell>
          <cell r="U80" t="str">
            <v xml:space="preserve"> </v>
          </cell>
          <cell r="V80" t="str">
            <v>600300</v>
          </cell>
          <cell r="W80" t="str">
            <v>4</v>
          </cell>
          <cell r="X80" t="str">
            <v xml:space="preserve">      Salaries &amp; Wages                  </v>
          </cell>
          <cell r="Y80">
            <v>9026.02</v>
          </cell>
          <cell r="Z80">
            <v>5832.02</v>
          </cell>
          <cell r="AA80">
            <v>9097</v>
          </cell>
          <cell r="AB80">
            <v>9188</v>
          </cell>
          <cell r="AC80">
            <v>33143.040000000001</v>
          </cell>
          <cell r="AD80">
            <v>8833</v>
          </cell>
          <cell r="AE80">
            <v>9227</v>
          </cell>
          <cell r="AF80">
            <v>9415</v>
          </cell>
          <cell r="AG80">
            <v>9465</v>
          </cell>
          <cell r="AH80">
            <v>36940</v>
          </cell>
          <cell r="AI80" t="str">
            <v xml:space="preserve">U.S. Dollar                   </v>
          </cell>
          <cell r="AJ80" t="str">
            <v xml:space="preserve"> </v>
          </cell>
          <cell r="AK80" t="str">
            <v xml:space="preserve"> </v>
          </cell>
          <cell r="AL80" t="str">
            <v xml:space="preserve"> </v>
          </cell>
          <cell r="AM80" t="str">
            <v xml:space="preserve"> </v>
          </cell>
          <cell r="AN80" t="str">
            <v xml:space="preserve"> </v>
          </cell>
          <cell r="AO80" t="str">
            <v xml:space="preserve"> </v>
          </cell>
          <cell r="AP80" t="str">
            <v xml:space="preserve"> </v>
          </cell>
          <cell r="AQ80" t="str">
            <v xml:space="preserve"> </v>
          </cell>
        </row>
        <row r="81">
          <cell r="A81" t="str">
            <v>FBC.......601000</v>
          </cell>
          <cell r="B81" t="str">
            <v>2004T12</v>
          </cell>
          <cell r="C81" t="str">
            <v xml:space="preserve">TREND    </v>
          </cell>
          <cell r="D81" t="str">
            <v xml:space="preserve">Trend -  QTD Average/Activity                     </v>
          </cell>
          <cell r="E81" t="str">
            <v>Run: 08/07/03 14:02:44</v>
          </cell>
          <cell r="F81" t="str">
            <v>999</v>
          </cell>
          <cell r="G81" t="str">
            <v>100</v>
          </cell>
          <cell r="H81" t="str">
            <v xml:space="preserve">Bank Of America Management Reporting              </v>
          </cell>
          <cell r="I81" t="str">
            <v>001</v>
          </cell>
          <cell r="J81" t="str">
            <v>FBC.......</v>
          </cell>
          <cell r="K81" t="str">
            <v xml:space="preserve">Global Securities Operations                      </v>
          </cell>
          <cell r="L81" t="str">
            <v xml:space="preserve"> </v>
          </cell>
          <cell r="M81" t="str">
            <v xml:space="preserve"> </v>
          </cell>
          <cell r="N81" t="str">
            <v>bamgt</v>
          </cell>
          <cell r="O81" t="str">
            <v>40</v>
          </cell>
          <cell r="P81" t="str">
            <v>600000A  600250   999999999601000   999999999999999999999999999999999999</v>
          </cell>
          <cell r="Q81" t="str">
            <v xml:space="preserve">none     </v>
          </cell>
          <cell r="R81" t="str">
            <v>RollFCST-Working Version</v>
          </cell>
          <cell r="S81" t="str">
            <v>RollFCST-Working Version</v>
          </cell>
          <cell r="T81" t="str">
            <v xml:space="preserve"> </v>
          </cell>
          <cell r="U81" t="str">
            <v xml:space="preserve"> </v>
          </cell>
          <cell r="V81" t="str">
            <v>601000</v>
          </cell>
          <cell r="W81" t="str">
            <v>4</v>
          </cell>
          <cell r="X81" t="str">
            <v xml:space="preserve">      Overtime Salaries                 </v>
          </cell>
          <cell r="Y81">
            <v>152.37</v>
          </cell>
          <cell r="Z81">
            <v>95.01</v>
          </cell>
          <cell r="AA81">
            <v>75</v>
          </cell>
          <cell r="AB81">
            <v>75</v>
          </cell>
          <cell r="AC81">
            <v>397.38</v>
          </cell>
          <cell r="AD81">
            <v>66</v>
          </cell>
          <cell r="AE81">
            <v>68</v>
          </cell>
          <cell r="AF81">
            <v>69</v>
          </cell>
          <cell r="AG81">
            <v>69</v>
          </cell>
          <cell r="AH81">
            <v>272</v>
          </cell>
          <cell r="AI81" t="str">
            <v xml:space="preserve">U.S. Dollar                   </v>
          </cell>
          <cell r="AJ81" t="str">
            <v xml:space="preserve"> </v>
          </cell>
          <cell r="AK81" t="str">
            <v xml:space="preserve"> </v>
          </cell>
          <cell r="AL81" t="str">
            <v xml:space="preserve"> </v>
          </cell>
          <cell r="AM81" t="str">
            <v xml:space="preserve"> </v>
          </cell>
          <cell r="AN81" t="str">
            <v xml:space="preserve"> </v>
          </cell>
          <cell r="AO81" t="str">
            <v xml:space="preserve"> </v>
          </cell>
          <cell r="AP81" t="str">
            <v xml:space="preserve"> </v>
          </cell>
          <cell r="AQ81" t="str">
            <v xml:space="preserve"> </v>
          </cell>
        </row>
        <row r="82">
          <cell r="A82" t="str">
            <v>FBC.......601500</v>
          </cell>
          <cell r="B82" t="str">
            <v>2004T12</v>
          </cell>
          <cell r="C82" t="str">
            <v xml:space="preserve">TREND    </v>
          </cell>
          <cell r="D82" t="str">
            <v xml:space="preserve">Trend -  QTD Average/Activity                     </v>
          </cell>
          <cell r="E82" t="str">
            <v>Run: 08/07/03 14:02:44</v>
          </cell>
          <cell r="F82" t="str">
            <v>999</v>
          </cell>
          <cell r="G82" t="str">
            <v>100</v>
          </cell>
          <cell r="H82" t="str">
            <v xml:space="preserve">Bank Of America Management Reporting              </v>
          </cell>
          <cell r="I82" t="str">
            <v>001</v>
          </cell>
          <cell r="J82" t="str">
            <v>FBC.......</v>
          </cell>
          <cell r="K82" t="str">
            <v xml:space="preserve">Global Securities Operations                      </v>
          </cell>
          <cell r="L82" t="str">
            <v xml:space="preserve"> </v>
          </cell>
          <cell r="M82" t="str">
            <v xml:space="preserve"> </v>
          </cell>
          <cell r="N82" t="str">
            <v>bamgt</v>
          </cell>
          <cell r="O82" t="str">
            <v>40</v>
          </cell>
          <cell r="P82" t="str">
            <v>600000A  600250   999999999601500   999999999999999999999999999999999999</v>
          </cell>
          <cell r="Q82" t="str">
            <v xml:space="preserve">none     </v>
          </cell>
          <cell r="R82" t="str">
            <v>RollFCST-Working Version</v>
          </cell>
          <cell r="S82" t="str">
            <v>RollFCST-Working Version</v>
          </cell>
          <cell r="T82" t="str">
            <v xml:space="preserve"> </v>
          </cell>
          <cell r="U82" t="str">
            <v xml:space="preserve"> </v>
          </cell>
          <cell r="V82" t="str">
            <v>601500</v>
          </cell>
          <cell r="W82" t="str">
            <v>4</v>
          </cell>
          <cell r="X82" t="str">
            <v xml:space="preserve">      Incentive Compensation            </v>
          </cell>
          <cell r="Y82">
            <v>0</v>
          </cell>
          <cell r="Z82">
            <v>0</v>
          </cell>
          <cell r="AA82">
            <v>0</v>
          </cell>
          <cell r="AB82">
            <v>0</v>
          </cell>
          <cell r="AC82">
            <v>0</v>
          </cell>
          <cell r="AD82">
            <v>2</v>
          </cell>
          <cell r="AE82">
            <v>2</v>
          </cell>
          <cell r="AF82">
            <v>2</v>
          </cell>
          <cell r="AG82">
            <v>2</v>
          </cell>
          <cell r="AH82">
            <v>8</v>
          </cell>
          <cell r="AI82" t="str">
            <v xml:space="preserve">U.S. Dollar                   </v>
          </cell>
          <cell r="AJ82" t="str">
            <v xml:space="preserve"> </v>
          </cell>
          <cell r="AK82" t="str">
            <v xml:space="preserve"> </v>
          </cell>
          <cell r="AL82" t="str">
            <v xml:space="preserve"> </v>
          </cell>
          <cell r="AM82" t="str">
            <v xml:space="preserve"> </v>
          </cell>
          <cell r="AN82" t="str">
            <v xml:space="preserve"> </v>
          </cell>
          <cell r="AO82" t="str">
            <v xml:space="preserve"> </v>
          </cell>
          <cell r="AP82" t="str">
            <v xml:space="preserve"> </v>
          </cell>
          <cell r="AQ82" t="str">
            <v xml:space="preserve"> </v>
          </cell>
        </row>
        <row r="83">
          <cell r="A83" t="str">
            <v>FBC.......602400</v>
          </cell>
          <cell r="B83" t="str">
            <v>2004T12</v>
          </cell>
          <cell r="C83" t="str">
            <v xml:space="preserve">TREND    </v>
          </cell>
          <cell r="D83" t="str">
            <v xml:space="preserve">Trend -  QTD Average/Activity                     </v>
          </cell>
          <cell r="E83" t="str">
            <v>Run: 08/07/03 14:02:44</v>
          </cell>
          <cell r="F83" t="str">
            <v>999</v>
          </cell>
          <cell r="G83" t="str">
            <v>100</v>
          </cell>
          <cell r="H83" t="str">
            <v xml:space="preserve">Bank Of America Management Reporting              </v>
          </cell>
          <cell r="I83" t="str">
            <v>001</v>
          </cell>
          <cell r="J83" t="str">
            <v>FBC.......</v>
          </cell>
          <cell r="K83" t="str">
            <v xml:space="preserve">Global Securities Operations                      </v>
          </cell>
          <cell r="L83" t="str">
            <v xml:space="preserve"> </v>
          </cell>
          <cell r="M83" t="str">
            <v xml:space="preserve"> </v>
          </cell>
          <cell r="N83" t="str">
            <v>bamgt</v>
          </cell>
          <cell r="O83" t="str">
            <v>40</v>
          </cell>
          <cell r="P83" t="str">
            <v>600000A  600250   999999999602000   602400   999999999999999999999999999</v>
          </cell>
          <cell r="Q83" t="str">
            <v xml:space="preserve">none     </v>
          </cell>
          <cell r="R83" t="str">
            <v>RollFCST-Working Version</v>
          </cell>
          <cell r="S83" t="str">
            <v>RollFCST-Working Version</v>
          </cell>
          <cell r="T83" t="str">
            <v xml:space="preserve"> </v>
          </cell>
          <cell r="U83" t="str">
            <v xml:space="preserve"> </v>
          </cell>
          <cell r="V83" t="str">
            <v>602400</v>
          </cell>
          <cell r="W83" t="str">
            <v>5</v>
          </cell>
          <cell r="X83" t="str">
            <v xml:space="preserve">        Other Employee Compensation     </v>
          </cell>
          <cell r="Y83">
            <v>0</v>
          </cell>
          <cell r="Z83">
            <v>0</v>
          </cell>
          <cell r="AA83">
            <v>0</v>
          </cell>
          <cell r="AB83">
            <v>0</v>
          </cell>
          <cell r="AC83">
            <v>0</v>
          </cell>
          <cell r="AD83">
            <v>0</v>
          </cell>
          <cell r="AE83">
            <v>0</v>
          </cell>
          <cell r="AF83">
            <v>0</v>
          </cell>
          <cell r="AG83">
            <v>0</v>
          </cell>
          <cell r="AH83">
            <v>0</v>
          </cell>
          <cell r="AI83" t="str">
            <v xml:space="preserve">U.S. Dollar                   </v>
          </cell>
          <cell r="AJ83" t="str">
            <v xml:space="preserve"> </v>
          </cell>
          <cell r="AK83" t="str">
            <v xml:space="preserve"> </v>
          </cell>
          <cell r="AL83" t="str">
            <v xml:space="preserve"> </v>
          </cell>
          <cell r="AM83" t="str">
            <v xml:space="preserve"> </v>
          </cell>
          <cell r="AN83" t="str">
            <v xml:space="preserve"> </v>
          </cell>
          <cell r="AO83" t="str">
            <v xml:space="preserve"> </v>
          </cell>
          <cell r="AP83" t="str">
            <v xml:space="preserve"> </v>
          </cell>
          <cell r="AQ83" t="str">
            <v xml:space="preserve"> </v>
          </cell>
        </row>
        <row r="84">
          <cell r="A84" t="str">
            <v>FBC.......602000</v>
          </cell>
          <cell r="B84" t="str">
            <v>2004T12</v>
          </cell>
          <cell r="C84" t="str">
            <v xml:space="preserve">TREND    </v>
          </cell>
          <cell r="D84" t="str">
            <v xml:space="preserve">Trend -  QTD Average/Activity                     </v>
          </cell>
          <cell r="E84" t="str">
            <v>Run: 08/07/03 14:02:44</v>
          </cell>
          <cell r="F84" t="str">
            <v>999</v>
          </cell>
          <cell r="G84" t="str">
            <v>100</v>
          </cell>
          <cell r="H84" t="str">
            <v xml:space="preserve">Bank Of America Management Reporting              </v>
          </cell>
          <cell r="I84" t="str">
            <v>001</v>
          </cell>
          <cell r="J84" t="str">
            <v>FBC.......</v>
          </cell>
          <cell r="K84" t="str">
            <v xml:space="preserve">Global Securities Operations                      </v>
          </cell>
          <cell r="L84" t="str">
            <v xml:space="preserve"> </v>
          </cell>
          <cell r="M84" t="str">
            <v xml:space="preserve"> </v>
          </cell>
          <cell r="N84" t="str">
            <v>bamgt</v>
          </cell>
          <cell r="O84" t="str">
            <v>40</v>
          </cell>
          <cell r="P84" t="str">
            <v>600000A  600250   999999999602000   999999999999999999999999999999999999</v>
          </cell>
          <cell r="Q84" t="str">
            <v xml:space="preserve">none     </v>
          </cell>
          <cell r="R84" t="str">
            <v>RollFCST-Working Version</v>
          </cell>
          <cell r="S84" t="str">
            <v>RollFCST-Working Version</v>
          </cell>
          <cell r="T84" t="str">
            <v xml:space="preserve"> </v>
          </cell>
          <cell r="U84" t="str">
            <v xml:space="preserve"> </v>
          </cell>
          <cell r="V84" t="str">
            <v>602000</v>
          </cell>
          <cell r="W84" t="str">
            <v>4</v>
          </cell>
          <cell r="X84" t="str">
            <v xml:space="preserve">      Contract Temporary/Other Compensat</v>
          </cell>
          <cell r="Y84">
            <v>222</v>
          </cell>
          <cell r="Z84">
            <v>76.790000000000006</v>
          </cell>
          <cell r="AA84">
            <v>449</v>
          </cell>
          <cell r="AB84">
            <v>312</v>
          </cell>
          <cell r="AC84">
            <v>1059.79</v>
          </cell>
          <cell r="AD84">
            <v>240</v>
          </cell>
          <cell r="AE84">
            <v>240</v>
          </cell>
          <cell r="AF84">
            <v>240</v>
          </cell>
          <cell r="AG84">
            <v>240</v>
          </cell>
          <cell r="AH84">
            <v>960</v>
          </cell>
          <cell r="AI84" t="str">
            <v xml:space="preserve">U.S. Dollar                   </v>
          </cell>
          <cell r="AJ84" t="str">
            <v xml:space="preserve"> </v>
          </cell>
          <cell r="AK84" t="str">
            <v xml:space="preserve"> </v>
          </cell>
          <cell r="AL84" t="str">
            <v xml:space="preserve"> </v>
          </cell>
          <cell r="AM84" t="str">
            <v xml:space="preserve"> </v>
          </cell>
          <cell r="AN84" t="str">
            <v xml:space="preserve"> </v>
          </cell>
          <cell r="AO84" t="str">
            <v xml:space="preserve"> </v>
          </cell>
          <cell r="AP84" t="str">
            <v xml:space="preserve"> </v>
          </cell>
          <cell r="AQ84" t="str">
            <v xml:space="preserve"> </v>
          </cell>
        </row>
        <row r="85">
          <cell r="A85" t="str">
            <v>FBC.......603000</v>
          </cell>
          <cell r="B85" t="str">
            <v>2004T12</v>
          </cell>
          <cell r="C85" t="str">
            <v xml:space="preserve">TREND    </v>
          </cell>
          <cell r="D85" t="str">
            <v xml:space="preserve">Trend -  QTD Average/Activity                     </v>
          </cell>
          <cell r="E85" t="str">
            <v>Run: 08/07/03 14:02:44</v>
          </cell>
          <cell r="F85" t="str">
            <v>999</v>
          </cell>
          <cell r="G85" t="str">
            <v>100</v>
          </cell>
          <cell r="H85" t="str">
            <v xml:space="preserve">Bank Of America Management Reporting              </v>
          </cell>
          <cell r="I85" t="str">
            <v>001</v>
          </cell>
          <cell r="J85" t="str">
            <v>FBC.......</v>
          </cell>
          <cell r="K85" t="str">
            <v xml:space="preserve">Global Securities Operations                      </v>
          </cell>
          <cell r="L85" t="str">
            <v xml:space="preserve"> </v>
          </cell>
          <cell r="M85" t="str">
            <v xml:space="preserve"> </v>
          </cell>
          <cell r="N85" t="str">
            <v>bamgt</v>
          </cell>
          <cell r="O85" t="str">
            <v>40</v>
          </cell>
          <cell r="P85" t="str">
            <v>600000A  600250   999999999603000   999999999999999999999999999999999999</v>
          </cell>
          <cell r="Q85" t="str">
            <v xml:space="preserve">none     </v>
          </cell>
          <cell r="R85" t="str">
            <v>RollFCST-Working Version</v>
          </cell>
          <cell r="S85" t="str">
            <v>RollFCST-Working Version</v>
          </cell>
          <cell r="T85" t="str">
            <v xml:space="preserve"> </v>
          </cell>
          <cell r="U85" t="str">
            <v xml:space="preserve"> </v>
          </cell>
          <cell r="V85" t="str">
            <v>603000</v>
          </cell>
          <cell r="W85" t="str">
            <v>4</v>
          </cell>
          <cell r="X85" t="str">
            <v xml:space="preserve">      Employee Benefits                 </v>
          </cell>
          <cell r="Y85">
            <v>2243.3087999999998</v>
          </cell>
          <cell r="Z85">
            <v>1567.0316</v>
          </cell>
          <cell r="AA85">
            <v>2251.67</v>
          </cell>
          <cell r="AB85">
            <v>2274.5500000000002</v>
          </cell>
          <cell r="AC85">
            <v>8336.5604000000003</v>
          </cell>
          <cell r="AD85">
            <v>2377.31</v>
          </cell>
          <cell r="AE85">
            <v>2482.395</v>
          </cell>
          <cell r="AF85">
            <v>2530.5650000000001</v>
          </cell>
          <cell r="AG85">
            <v>2543.8150000000001</v>
          </cell>
          <cell r="AH85">
            <v>9934.0849999999991</v>
          </cell>
          <cell r="AI85" t="str">
            <v xml:space="preserve">U.S. Dollar                   </v>
          </cell>
          <cell r="AJ85" t="str">
            <v xml:space="preserve"> </v>
          </cell>
          <cell r="AK85" t="str">
            <v xml:space="preserve"> </v>
          </cell>
          <cell r="AL85" t="str">
            <v xml:space="preserve"> </v>
          </cell>
          <cell r="AM85" t="str">
            <v xml:space="preserve"> </v>
          </cell>
          <cell r="AN85" t="str">
            <v xml:space="preserve"> </v>
          </cell>
          <cell r="AO85" t="str">
            <v xml:space="preserve"> </v>
          </cell>
          <cell r="AP85" t="str">
            <v xml:space="preserve"> </v>
          </cell>
          <cell r="AQ85" t="str">
            <v xml:space="preserve"> </v>
          </cell>
        </row>
        <row r="86">
          <cell r="A86" t="str">
            <v>FBC.......600250</v>
          </cell>
          <cell r="B86" t="str">
            <v>2004T12</v>
          </cell>
          <cell r="C86" t="str">
            <v xml:space="preserve">TREND    </v>
          </cell>
          <cell r="D86" t="str">
            <v xml:space="preserve">Trend -  QTD Average/Activity                     </v>
          </cell>
          <cell r="E86" t="str">
            <v>Run: 08/07/03 14:02:44</v>
          </cell>
          <cell r="F86" t="str">
            <v>999</v>
          </cell>
          <cell r="G86" t="str">
            <v>100</v>
          </cell>
          <cell r="H86" t="str">
            <v xml:space="preserve">Bank Of America Management Reporting              </v>
          </cell>
          <cell r="I86" t="str">
            <v>001</v>
          </cell>
          <cell r="J86" t="str">
            <v>FBC.......</v>
          </cell>
          <cell r="K86" t="str">
            <v xml:space="preserve">Global Securities Operations                      </v>
          </cell>
          <cell r="L86" t="str">
            <v xml:space="preserve"> </v>
          </cell>
          <cell r="M86" t="str">
            <v xml:space="preserve"> </v>
          </cell>
          <cell r="N86" t="str">
            <v>bamgt</v>
          </cell>
          <cell r="O86" t="str">
            <v>40</v>
          </cell>
          <cell r="P86" t="str">
            <v>600000A  600250   999999999999999999999999999999999999999999999999999999</v>
          </cell>
          <cell r="Q86" t="str">
            <v xml:space="preserve">none     </v>
          </cell>
          <cell r="R86" t="str">
            <v>RollFCST-Working Version</v>
          </cell>
          <cell r="S86" t="str">
            <v>RollFCST-Working Version</v>
          </cell>
          <cell r="T86" t="str">
            <v xml:space="preserve"> </v>
          </cell>
          <cell r="U86" t="str">
            <v xml:space="preserve"> </v>
          </cell>
          <cell r="V86" t="str">
            <v>600250</v>
          </cell>
          <cell r="W86" t="str">
            <v>2</v>
          </cell>
          <cell r="X86" t="str">
            <v xml:space="preserve">  Personnel                             </v>
          </cell>
          <cell r="Y86">
            <v>11643.6988</v>
          </cell>
          <cell r="Z86">
            <v>7570.8516</v>
          </cell>
          <cell r="AA86">
            <v>11872.67</v>
          </cell>
          <cell r="AB86">
            <v>11849.55</v>
          </cell>
          <cell r="AC86">
            <v>42936.770400000001</v>
          </cell>
          <cell r="AD86">
            <v>11518.31</v>
          </cell>
          <cell r="AE86">
            <v>12019.395</v>
          </cell>
          <cell r="AF86">
            <v>12256.565000000001</v>
          </cell>
          <cell r="AG86">
            <v>12319.815000000001</v>
          </cell>
          <cell r="AH86">
            <v>48114.084999999999</v>
          </cell>
          <cell r="AI86" t="str">
            <v xml:space="preserve">U.S. Dollar                   </v>
          </cell>
          <cell r="AJ86" t="str">
            <v xml:space="preserve"> </v>
          </cell>
          <cell r="AK86" t="str">
            <v xml:space="preserve"> </v>
          </cell>
          <cell r="AL86" t="str">
            <v xml:space="preserve"> </v>
          </cell>
          <cell r="AM86" t="str">
            <v xml:space="preserve"> </v>
          </cell>
          <cell r="AN86" t="str">
            <v xml:space="preserve"> </v>
          </cell>
          <cell r="AO86" t="str">
            <v xml:space="preserve"> </v>
          </cell>
          <cell r="AP86" t="str">
            <v xml:space="preserve"> </v>
          </cell>
          <cell r="AQ86" t="str">
            <v xml:space="preserve"> </v>
          </cell>
        </row>
        <row r="87">
          <cell r="A87" t="str">
            <v>FBC.......610000</v>
          </cell>
          <cell r="B87" t="str">
            <v>2004T12</v>
          </cell>
          <cell r="C87" t="str">
            <v xml:space="preserve">TREND    </v>
          </cell>
          <cell r="D87" t="str">
            <v xml:space="preserve">Trend -  QTD Average/Activity                     </v>
          </cell>
          <cell r="E87" t="str">
            <v>Run: 08/07/03 14:02:44</v>
          </cell>
          <cell r="F87" t="str">
            <v>999</v>
          </cell>
          <cell r="G87" t="str">
            <v>100</v>
          </cell>
          <cell r="H87" t="str">
            <v xml:space="preserve">Bank Of America Management Reporting              </v>
          </cell>
          <cell r="I87" t="str">
            <v>001</v>
          </cell>
          <cell r="J87" t="str">
            <v>FBC.......</v>
          </cell>
          <cell r="K87" t="str">
            <v xml:space="preserve">Global Securities Operations                      </v>
          </cell>
          <cell r="L87" t="str">
            <v xml:space="preserve"> </v>
          </cell>
          <cell r="M87" t="str">
            <v xml:space="preserve"> </v>
          </cell>
          <cell r="N87" t="str">
            <v>bamgt</v>
          </cell>
          <cell r="O87" t="str">
            <v>40</v>
          </cell>
          <cell r="P87" t="str">
            <v>600000A  610000   999999999999999999999999999999999999999999999999999999</v>
          </cell>
          <cell r="Q87" t="str">
            <v xml:space="preserve">none     </v>
          </cell>
          <cell r="R87" t="str">
            <v>RollFCST-Working Version</v>
          </cell>
          <cell r="S87" t="str">
            <v>RollFCST-Working Version</v>
          </cell>
          <cell r="T87" t="str">
            <v xml:space="preserve"> </v>
          </cell>
          <cell r="U87" t="str">
            <v xml:space="preserve"> </v>
          </cell>
          <cell r="V87" t="str">
            <v>610000</v>
          </cell>
          <cell r="W87" t="str">
            <v>2</v>
          </cell>
          <cell r="X87" t="str">
            <v xml:space="preserve">  Net Occupancy Expense                 </v>
          </cell>
          <cell r="Y87">
            <v>1672.61</v>
          </cell>
          <cell r="Z87">
            <v>1642.73</v>
          </cell>
          <cell r="AA87">
            <v>1689.69</v>
          </cell>
          <cell r="AB87">
            <v>1929.22</v>
          </cell>
          <cell r="AC87">
            <v>6934.25</v>
          </cell>
          <cell r="AD87">
            <v>1864</v>
          </cell>
          <cell r="AE87">
            <v>1864</v>
          </cell>
          <cell r="AF87">
            <v>1864</v>
          </cell>
          <cell r="AG87">
            <v>1864</v>
          </cell>
          <cell r="AH87">
            <v>7456</v>
          </cell>
          <cell r="AI87" t="str">
            <v xml:space="preserve">U.S. Dollar                   </v>
          </cell>
          <cell r="AJ87" t="str">
            <v xml:space="preserve"> </v>
          </cell>
          <cell r="AK87" t="str">
            <v xml:space="preserve"> </v>
          </cell>
          <cell r="AL87" t="str">
            <v xml:space="preserve"> </v>
          </cell>
          <cell r="AM87" t="str">
            <v xml:space="preserve"> </v>
          </cell>
          <cell r="AN87" t="str">
            <v xml:space="preserve"> </v>
          </cell>
          <cell r="AO87" t="str">
            <v xml:space="preserve"> </v>
          </cell>
          <cell r="AP87" t="str">
            <v xml:space="preserve"> </v>
          </cell>
          <cell r="AQ87" t="str">
            <v xml:space="preserve"> </v>
          </cell>
        </row>
        <row r="88">
          <cell r="A88" t="str">
            <v>FBC.......620000</v>
          </cell>
          <cell r="B88" t="str">
            <v>2004T12</v>
          </cell>
          <cell r="C88" t="str">
            <v xml:space="preserve">TREND    </v>
          </cell>
          <cell r="D88" t="str">
            <v xml:space="preserve">Trend -  QTD Average/Activity                     </v>
          </cell>
          <cell r="E88" t="str">
            <v>Run: 08/07/03 14:02:44</v>
          </cell>
          <cell r="F88" t="str">
            <v>999</v>
          </cell>
          <cell r="G88" t="str">
            <v>100</v>
          </cell>
          <cell r="H88" t="str">
            <v xml:space="preserve">Bank Of America Management Reporting              </v>
          </cell>
          <cell r="I88" t="str">
            <v>001</v>
          </cell>
          <cell r="J88" t="str">
            <v>FBC.......</v>
          </cell>
          <cell r="K88" t="str">
            <v xml:space="preserve">Global Securities Operations                      </v>
          </cell>
          <cell r="L88" t="str">
            <v xml:space="preserve"> </v>
          </cell>
          <cell r="M88" t="str">
            <v xml:space="preserve"> </v>
          </cell>
          <cell r="N88" t="str">
            <v>bamgt</v>
          </cell>
          <cell r="O88" t="str">
            <v>40</v>
          </cell>
          <cell r="P88" t="str">
            <v>600000A  620000   999999999999999999999999999999999999999999999999999999</v>
          </cell>
          <cell r="Q88" t="str">
            <v xml:space="preserve">none     </v>
          </cell>
          <cell r="R88" t="str">
            <v>RollFCST-Working Version</v>
          </cell>
          <cell r="S88" t="str">
            <v>RollFCST-Working Version</v>
          </cell>
          <cell r="T88" t="str">
            <v xml:space="preserve"> </v>
          </cell>
          <cell r="U88" t="str">
            <v xml:space="preserve"> </v>
          </cell>
          <cell r="V88" t="str">
            <v>620000</v>
          </cell>
          <cell r="W88" t="str">
            <v>2</v>
          </cell>
          <cell r="X88" t="str">
            <v xml:space="preserve">  Furniture &amp; Equipment                 </v>
          </cell>
          <cell r="Y88">
            <v>554.30999999999995</v>
          </cell>
          <cell r="Z88">
            <v>450.58</v>
          </cell>
          <cell r="AA88">
            <v>482.02</v>
          </cell>
          <cell r="AB88">
            <v>387.59</v>
          </cell>
          <cell r="AC88">
            <v>1874.5</v>
          </cell>
          <cell r="AD88">
            <v>387</v>
          </cell>
          <cell r="AE88">
            <v>384</v>
          </cell>
          <cell r="AF88">
            <v>387</v>
          </cell>
          <cell r="AG88">
            <v>384</v>
          </cell>
          <cell r="AH88">
            <v>1542</v>
          </cell>
          <cell r="AI88" t="str">
            <v xml:space="preserve">U.S. Dollar                   </v>
          </cell>
          <cell r="AJ88" t="str">
            <v xml:space="preserve"> </v>
          </cell>
          <cell r="AK88" t="str">
            <v xml:space="preserve"> </v>
          </cell>
          <cell r="AL88" t="str">
            <v xml:space="preserve"> </v>
          </cell>
          <cell r="AM88" t="str">
            <v xml:space="preserve"> </v>
          </cell>
          <cell r="AN88" t="str">
            <v xml:space="preserve"> </v>
          </cell>
          <cell r="AO88" t="str">
            <v xml:space="preserve"> </v>
          </cell>
          <cell r="AP88" t="str">
            <v xml:space="preserve"> </v>
          </cell>
          <cell r="AQ88" t="str">
            <v xml:space="preserve"> </v>
          </cell>
        </row>
        <row r="89">
          <cell r="A89" t="str">
            <v>FBC.......623000</v>
          </cell>
          <cell r="B89" t="str">
            <v>2004T12</v>
          </cell>
          <cell r="C89" t="str">
            <v xml:space="preserve">TREND    </v>
          </cell>
          <cell r="D89" t="str">
            <v xml:space="preserve">Trend -  QTD Average/Activity                     </v>
          </cell>
          <cell r="E89" t="str">
            <v>Run: 08/07/03 14:02:44</v>
          </cell>
          <cell r="F89" t="str">
            <v>999</v>
          </cell>
          <cell r="G89" t="str">
            <v>100</v>
          </cell>
          <cell r="H89" t="str">
            <v xml:space="preserve">Bank Of America Management Reporting              </v>
          </cell>
          <cell r="I89" t="str">
            <v>001</v>
          </cell>
          <cell r="J89" t="str">
            <v>FBC.......</v>
          </cell>
          <cell r="K89" t="str">
            <v xml:space="preserve">Global Securities Operations                      </v>
          </cell>
          <cell r="L89" t="str">
            <v xml:space="preserve"> </v>
          </cell>
          <cell r="M89" t="str">
            <v xml:space="preserve"> </v>
          </cell>
          <cell r="N89" t="str">
            <v>bamgt</v>
          </cell>
          <cell r="O89" t="str">
            <v>40</v>
          </cell>
          <cell r="P89" t="str">
            <v>600000A  623000   999999999999999999999999999999999999999999999999999999</v>
          </cell>
          <cell r="Q89" t="str">
            <v xml:space="preserve">none     </v>
          </cell>
          <cell r="R89" t="str">
            <v>RollFCST-Working Version</v>
          </cell>
          <cell r="S89" t="str">
            <v>RollFCST-Working Version</v>
          </cell>
          <cell r="T89" t="str">
            <v xml:space="preserve"> </v>
          </cell>
          <cell r="U89" t="str">
            <v xml:space="preserve"> </v>
          </cell>
          <cell r="V89" t="str">
            <v>623000</v>
          </cell>
          <cell r="W89" t="str">
            <v>2</v>
          </cell>
          <cell r="X89" t="str">
            <v xml:space="preserve">  Marketing &amp; Promotional               </v>
          </cell>
          <cell r="Y89">
            <v>9</v>
          </cell>
          <cell r="Z89">
            <v>-1.71</v>
          </cell>
          <cell r="AA89">
            <v>4</v>
          </cell>
          <cell r="AB89">
            <v>2</v>
          </cell>
          <cell r="AC89">
            <v>13.29</v>
          </cell>
          <cell r="AD89">
            <v>5</v>
          </cell>
          <cell r="AE89">
            <v>6</v>
          </cell>
          <cell r="AF89">
            <v>5</v>
          </cell>
          <cell r="AG89">
            <v>6</v>
          </cell>
          <cell r="AH89">
            <v>22</v>
          </cell>
          <cell r="AI89" t="str">
            <v xml:space="preserve">U.S. Dollar                   </v>
          </cell>
          <cell r="AJ89" t="str">
            <v xml:space="preserve"> </v>
          </cell>
          <cell r="AK89" t="str">
            <v xml:space="preserve"> </v>
          </cell>
          <cell r="AL89" t="str">
            <v xml:space="preserve"> </v>
          </cell>
          <cell r="AM89" t="str">
            <v xml:space="preserve"> </v>
          </cell>
          <cell r="AN89" t="str">
            <v xml:space="preserve"> </v>
          </cell>
          <cell r="AO89" t="str">
            <v xml:space="preserve"> </v>
          </cell>
          <cell r="AP89" t="str">
            <v xml:space="preserve"> </v>
          </cell>
          <cell r="AQ89" t="str">
            <v xml:space="preserve"> </v>
          </cell>
        </row>
        <row r="90">
          <cell r="A90" t="str">
            <v>FBC.......630000</v>
          </cell>
          <cell r="B90" t="str">
            <v>2004T12</v>
          </cell>
          <cell r="C90" t="str">
            <v xml:space="preserve">TREND    </v>
          </cell>
          <cell r="D90" t="str">
            <v xml:space="preserve">Trend -  QTD Average/Activity                     </v>
          </cell>
          <cell r="E90" t="str">
            <v>Run: 08/07/03 14:02:44</v>
          </cell>
          <cell r="F90" t="str">
            <v>999</v>
          </cell>
          <cell r="G90" t="str">
            <v>100</v>
          </cell>
          <cell r="H90" t="str">
            <v xml:space="preserve">Bank Of America Management Reporting              </v>
          </cell>
          <cell r="I90" t="str">
            <v>001</v>
          </cell>
          <cell r="J90" t="str">
            <v>FBC.......</v>
          </cell>
          <cell r="K90" t="str">
            <v xml:space="preserve">Global Securities Operations                      </v>
          </cell>
          <cell r="L90" t="str">
            <v xml:space="preserve"> </v>
          </cell>
          <cell r="M90" t="str">
            <v xml:space="preserve"> </v>
          </cell>
          <cell r="N90" t="str">
            <v>bamgt</v>
          </cell>
          <cell r="O90" t="str">
            <v>40</v>
          </cell>
          <cell r="P90" t="str">
            <v>600000A  630000   999999999999999999999999999999999999999999999999999999</v>
          </cell>
          <cell r="Q90" t="str">
            <v xml:space="preserve">none     </v>
          </cell>
          <cell r="R90" t="str">
            <v>RollFCST-Working Version</v>
          </cell>
          <cell r="S90" t="str">
            <v>RollFCST-Working Version</v>
          </cell>
          <cell r="T90" t="str">
            <v xml:space="preserve"> </v>
          </cell>
          <cell r="U90" t="str">
            <v xml:space="preserve"> </v>
          </cell>
          <cell r="V90" t="str">
            <v>630000</v>
          </cell>
          <cell r="W90" t="str">
            <v>2</v>
          </cell>
          <cell r="X90" t="str">
            <v xml:space="preserve">  Professional Fees                     </v>
          </cell>
          <cell r="Y90">
            <v>74</v>
          </cell>
          <cell r="Z90">
            <v>72.36</v>
          </cell>
          <cell r="AA90">
            <v>19</v>
          </cell>
          <cell r="AB90">
            <v>21</v>
          </cell>
          <cell r="AC90">
            <v>186.36</v>
          </cell>
          <cell r="AD90">
            <v>24</v>
          </cell>
          <cell r="AE90">
            <v>24</v>
          </cell>
          <cell r="AF90">
            <v>24</v>
          </cell>
          <cell r="AG90">
            <v>24</v>
          </cell>
          <cell r="AH90">
            <v>96</v>
          </cell>
          <cell r="AI90" t="str">
            <v xml:space="preserve">U.S. Dollar                   </v>
          </cell>
          <cell r="AJ90" t="str">
            <v xml:space="preserve"> </v>
          </cell>
          <cell r="AK90" t="str">
            <v xml:space="preserve"> </v>
          </cell>
          <cell r="AL90" t="str">
            <v xml:space="preserve"> </v>
          </cell>
          <cell r="AM90" t="str">
            <v xml:space="preserve"> </v>
          </cell>
          <cell r="AN90" t="str">
            <v xml:space="preserve"> </v>
          </cell>
          <cell r="AO90" t="str">
            <v xml:space="preserve"> </v>
          </cell>
          <cell r="AP90" t="str">
            <v xml:space="preserve"> </v>
          </cell>
          <cell r="AQ90" t="str">
            <v xml:space="preserve"> </v>
          </cell>
        </row>
        <row r="91">
          <cell r="A91" t="str">
            <v>FBC.......651500A</v>
          </cell>
          <cell r="B91" t="str">
            <v>2004T12</v>
          </cell>
          <cell r="C91" t="str">
            <v xml:space="preserve">TREND    </v>
          </cell>
          <cell r="D91" t="str">
            <v xml:space="preserve">Trend -  QTD Average/Activity                     </v>
          </cell>
          <cell r="E91" t="str">
            <v>Run: 08/07/03 14:02:44</v>
          </cell>
          <cell r="F91" t="str">
            <v>999</v>
          </cell>
          <cell r="G91" t="str">
            <v>100</v>
          </cell>
          <cell r="H91" t="str">
            <v xml:space="preserve">Bank Of America Management Reporting              </v>
          </cell>
          <cell r="I91" t="str">
            <v>001</v>
          </cell>
          <cell r="J91" t="str">
            <v>FBC.......</v>
          </cell>
          <cell r="K91" t="str">
            <v xml:space="preserve">Global Securities Operations                      </v>
          </cell>
          <cell r="L91" t="str">
            <v xml:space="preserve"> </v>
          </cell>
          <cell r="M91" t="str">
            <v xml:space="preserve"> </v>
          </cell>
          <cell r="N91" t="str">
            <v>bamgt</v>
          </cell>
          <cell r="O91" t="str">
            <v>40</v>
          </cell>
          <cell r="P91" t="str">
            <v>600000A  651500A  999999999999999999999999999999999999999999999999999999</v>
          </cell>
          <cell r="Q91" t="str">
            <v xml:space="preserve">none     </v>
          </cell>
          <cell r="R91" t="str">
            <v>RollFCST-Working Version</v>
          </cell>
          <cell r="S91" t="str">
            <v>RollFCST-Working Version</v>
          </cell>
          <cell r="T91" t="str">
            <v xml:space="preserve"> </v>
          </cell>
          <cell r="U91" t="str">
            <v xml:space="preserve"> </v>
          </cell>
          <cell r="V91" t="str">
            <v>651500A</v>
          </cell>
          <cell r="W91" t="str">
            <v>2</v>
          </cell>
          <cell r="X91" t="str">
            <v xml:space="preserve">  Direct Processing Expense             </v>
          </cell>
          <cell r="Y91">
            <v>12615.6</v>
          </cell>
          <cell r="Z91">
            <v>5514.11</v>
          </cell>
          <cell r="AA91">
            <v>9021.08</v>
          </cell>
          <cell r="AB91">
            <v>9336.16</v>
          </cell>
          <cell r="AC91">
            <v>36486.949999999997</v>
          </cell>
          <cell r="AD91">
            <v>10213</v>
          </cell>
          <cell r="AE91">
            <v>10006</v>
          </cell>
          <cell r="AF91">
            <v>10057</v>
          </cell>
          <cell r="AG91">
            <v>10613</v>
          </cell>
          <cell r="AH91">
            <v>40889</v>
          </cell>
          <cell r="AI91" t="str">
            <v xml:space="preserve">U.S. Dollar                   </v>
          </cell>
          <cell r="AJ91" t="str">
            <v xml:space="preserve"> </v>
          </cell>
          <cell r="AK91" t="str">
            <v xml:space="preserve"> </v>
          </cell>
          <cell r="AL91" t="str">
            <v xml:space="preserve"> </v>
          </cell>
          <cell r="AM91" t="str">
            <v xml:space="preserve"> </v>
          </cell>
          <cell r="AN91" t="str">
            <v xml:space="preserve"> </v>
          </cell>
          <cell r="AO91" t="str">
            <v xml:space="preserve"> </v>
          </cell>
          <cell r="AP91" t="str">
            <v xml:space="preserve"> </v>
          </cell>
          <cell r="AQ91" t="str">
            <v xml:space="preserve"> </v>
          </cell>
        </row>
        <row r="92">
          <cell r="A92" t="str">
            <v>FBC.......660000A</v>
          </cell>
          <cell r="B92" t="str">
            <v>2004T12</v>
          </cell>
          <cell r="C92" t="str">
            <v xml:space="preserve">TREND    </v>
          </cell>
          <cell r="D92" t="str">
            <v xml:space="preserve">Trend -  QTD Average/Activity                     </v>
          </cell>
          <cell r="E92" t="str">
            <v>Run: 08/07/03 14:02:44</v>
          </cell>
          <cell r="F92" t="str">
            <v>999</v>
          </cell>
          <cell r="G92" t="str">
            <v>100</v>
          </cell>
          <cell r="H92" t="str">
            <v xml:space="preserve">Bank Of America Management Reporting              </v>
          </cell>
          <cell r="I92" t="str">
            <v>001</v>
          </cell>
          <cell r="J92" t="str">
            <v>FBC.......</v>
          </cell>
          <cell r="K92" t="str">
            <v xml:space="preserve">Global Securities Operations                      </v>
          </cell>
          <cell r="L92" t="str">
            <v xml:space="preserve"> </v>
          </cell>
          <cell r="M92" t="str">
            <v xml:space="preserve"> </v>
          </cell>
          <cell r="N92" t="str">
            <v>bamgt</v>
          </cell>
          <cell r="O92" t="str">
            <v>40</v>
          </cell>
          <cell r="P92" t="str">
            <v>600000A  660000A  999999999999999999999999999999999999999999999999999999</v>
          </cell>
          <cell r="Q92" t="str">
            <v xml:space="preserve">none     </v>
          </cell>
          <cell r="R92" t="str">
            <v>RollFCST-Working Version</v>
          </cell>
          <cell r="S92" t="str">
            <v>RollFCST-Working Version</v>
          </cell>
          <cell r="T92" t="str">
            <v xml:space="preserve"> </v>
          </cell>
          <cell r="U92" t="str">
            <v xml:space="preserve"> </v>
          </cell>
          <cell r="V92" t="str">
            <v>660000A</v>
          </cell>
          <cell r="W92" t="str">
            <v>2</v>
          </cell>
          <cell r="X92" t="str">
            <v xml:space="preserve">  Telecommunications                    </v>
          </cell>
          <cell r="Y92">
            <v>494.48</v>
          </cell>
          <cell r="Z92">
            <v>416.27</v>
          </cell>
          <cell r="AA92">
            <v>476.37</v>
          </cell>
          <cell r="AB92">
            <v>436.37</v>
          </cell>
          <cell r="AC92">
            <v>1823.49</v>
          </cell>
          <cell r="AD92">
            <v>395</v>
          </cell>
          <cell r="AE92">
            <v>396</v>
          </cell>
          <cell r="AF92">
            <v>394</v>
          </cell>
          <cell r="AG92">
            <v>395</v>
          </cell>
          <cell r="AH92">
            <v>1580</v>
          </cell>
          <cell r="AI92" t="str">
            <v xml:space="preserve">U.S. Dollar                   </v>
          </cell>
          <cell r="AJ92" t="str">
            <v xml:space="preserve"> </v>
          </cell>
          <cell r="AK92" t="str">
            <v xml:space="preserve"> </v>
          </cell>
          <cell r="AL92" t="str">
            <v xml:space="preserve"> </v>
          </cell>
          <cell r="AM92" t="str">
            <v xml:space="preserve"> </v>
          </cell>
          <cell r="AN92" t="str">
            <v xml:space="preserve"> </v>
          </cell>
          <cell r="AO92" t="str">
            <v xml:space="preserve"> </v>
          </cell>
          <cell r="AP92" t="str">
            <v xml:space="preserve"> </v>
          </cell>
          <cell r="AQ92" t="str">
            <v xml:space="preserve"> </v>
          </cell>
        </row>
        <row r="93">
          <cell r="A93" t="str">
            <v>FBC.......663000</v>
          </cell>
          <cell r="B93" t="str">
            <v>2004T12</v>
          </cell>
          <cell r="C93" t="str">
            <v xml:space="preserve">TREND    </v>
          </cell>
          <cell r="D93" t="str">
            <v xml:space="preserve">Trend -  QTD Average/Activity                     </v>
          </cell>
          <cell r="E93" t="str">
            <v>Run: 08/07/03 14:02:44</v>
          </cell>
          <cell r="F93" t="str">
            <v>999</v>
          </cell>
          <cell r="G93" t="str">
            <v>100</v>
          </cell>
          <cell r="H93" t="str">
            <v xml:space="preserve">Bank Of America Management Reporting              </v>
          </cell>
          <cell r="I93" t="str">
            <v>001</v>
          </cell>
          <cell r="J93" t="str">
            <v>FBC.......</v>
          </cell>
          <cell r="K93" t="str">
            <v xml:space="preserve">Global Securities Operations                      </v>
          </cell>
          <cell r="L93" t="str">
            <v xml:space="preserve"> </v>
          </cell>
          <cell r="M93" t="str">
            <v xml:space="preserve"> </v>
          </cell>
          <cell r="N93" t="str">
            <v>bamgt</v>
          </cell>
          <cell r="O93" t="str">
            <v>40</v>
          </cell>
          <cell r="P93" t="str">
            <v>600000A  662999B  662999C  663000   999999999999999999999999999999999999</v>
          </cell>
          <cell r="Q93" t="str">
            <v xml:space="preserve">none     </v>
          </cell>
          <cell r="R93" t="str">
            <v>RollFCST-Working Version</v>
          </cell>
          <cell r="S93" t="str">
            <v>RollFCST-Working Version</v>
          </cell>
          <cell r="T93" t="str">
            <v xml:space="preserve"> </v>
          </cell>
          <cell r="U93" t="str">
            <v xml:space="preserve"> </v>
          </cell>
          <cell r="V93" t="str">
            <v>663000</v>
          </cell>
          <cell r="W93" t="str">
            <v>4</v>
          </cell>
          <cell r="X93" t="str">
            <v xml:space="preserve">      Supplies                          </v>
          </cell>
          <cell r="Y93">
            <v>729.67</v>
          </cell>
          <cell r="Z93">
            <v>643</v>
          </cell>
          <cell r="AA93">
            <v>1094</v>
          </cell>
          <cell r="AB93">
            <v>788</v>
          </cell>
          <cell r="AC93">
            <v>3254.67</v>
          </cell>
          <cell r="AD93">
            <v>809</v>
          </cell>
          <cell r="AE93">
            <v>806</v>
          </cell>
          <cell r="AF93">
            <v>809</v>
          </cell>
          <cell r="AG93">
            <v>806</v>
          </cell>
          <cell r="AH93">
            <v>3230</v>
          </cell>
          <cell r="AI93" t="str">
            <v xml:space="preserve">U.S. Dollar                   </v>
          </cell>
          <cell r="AJ93" t="str">
            <v xml:space="preserve"> </v>
          </cell>
          <cell r="AK93" t="str">
            <v xml:space="preserve"> </v>
          </cell>
          <cell r="AL93" t="str">
            <v xml:space="preserve"> </v>
          </cell>
          <cell r="AM93" t="str">
            <v xml:space="preserve"> </v>
          </cell>
          <cell r="AN93" t="str">
            <v xml:space="preserve"> </v>
          </cell>
          <cell r="AO93" t="str">
            <v xml:space="preserve"> </v>
          </cell>
          <cell r="AP93" t="str">
            <v xml:space="preserve"> </v>
          </cell>
          <cell r="AQ93" t="str">
            <v xml:space="preserve"> </v>
          </cell>
        </row>
        <row r="94">
          <cell r="A94" t="str">
            <v>FBC.......664500</v>
          </cell>
          <cell r="B94" t="str">
            <v>2004T12</v>
          </cell>
          <cell r="C94" t="str">
            <v xml:space="preserve">TREND    </v>
          </cell>
          <cell r="D94" t="str">
            <v xml:space="preserve">Trend -  QTD Average/Activity                     </v>
          </cell>
          <cell r="E94" t="str">
            <v>Run: 08/07/03 14:02:44</v>
          </cell>
          <cell r="F94" t="str">
            <v>999</v>
          </cell>
          <cell r="G94" t="str">
            <v>100</v>
          </cell>
          <cell r="H94" t="str">
            <v xml:space="preserve">Bank Of America Management Reporting              </v>
          </cell>
          <cell r="I94" t="str">
            <v>001</v>
          </cell>
          <cell r="J94" t="str">
            <v>FBC.......</v>
          </cell>
          <cell r="K94" t="str">
            <v xml:space="preserve">Global Securities Operations                      </v>
          </cell>
          <cell r="L94" t="str">
            <v xml:space="preserve"> </v>
          </cell>
          <cell r="M94" t="str">
            <v xml:space="preserve"> </v>
          </cell>
          <cell r="N94" t="str">
            <v>bamgt</v>
          </cell>
          <cell r="O94" t="str">
            <v>40</v>
          </cell>
          <cell r="P94" t="str">
            <v>600000A  662999B  662999C  664500   999999999999999999999999999999999999</v>
          </cell>
          <cell r="Q94" t="str">
            <v xml:space="preserve">none     </v>
          </cell>
          <cell r="R94" t="str">
            <v>RollFCST-Working Version</v>
          </cell>
          <cell r="S94" t="str">
            <v>RollFCST-Working Version</v>
          </cell>
          <cell r="T94" t="str">
            <v xml:space="preserve"> </v>
          </cell>
          <cell r="U94" t="str">
            <v xml:space="preserve"> </v>
          </cell>
          <cell r="V94" t="str">
            <v>664500</v>
          </cell>
          <cell r="W94" t="str">
            <v>4</v>
          </cell>
          <cell r="X94" t="str">
            <v xml:space="preserve">      Postage And Courier               </v>
          </cell>
          <cell r="Y94">
            <v>500.81</v>
          </cell>
          <cell r="Z94">
            <v>177</v>
          </cell>
          <cell r="AA94">
            <v>259.5</v>
          </cell>
          <cell r="AB94">
            <v>253.5</v>
          </cell>
          <cell r="AC94">
            <v>1190.81</v>
          </cell>
          <cell r="AD94">
            <v>258</v>
          </cell>
          <cell r="AE94">
            <v>258</v>
          </cell>
          <cell r="AF94">
            <v>258</v>
          </cell>
          <cell r="AG94">
            <v>258</v>
          </cell>
          <cell r="AH94">
            <v>1032</v>
          </cell>
          <cell r="AI94" t="str">
            <v xml:space="preserve">U.S. Dollar                   </v>
          </cell>
          <cell r="AJ94" t="str">
            <v xml:space="preserve"> </v>
          </cell>
          <cell r="AK94" t="str">
            <v xml:space="preserve"> </v>
          </cell>
          <cell r="AL94" t="str">
            <v xml:space="preserve"> </v>
          </cell>
          <cell r="AM94" t="str">
            <v xml:space="preserve"> </v>
          </cell>
          <cell r="AN94" t="str">
            <v xml:space="preserve"> </v>
          </cell>
          <cell r="AO94" t="str">
            <v xml:space="preserve"> </v>
          </cell>
          <cell r="AP94" t="str">
            <v xml:space="preserve"> </v>
          </cell>
          <cell r="AQ94" t="str">
            <v xml:space="preserve"> </v>
          </cell>
        </row>
        <row r="95">
          <cell r="A95" t="str">
            <v>FBC.......665499F</v>
          </cell>
          <cell r="B95" t="str">
            <v>2004T12</v>
          </cell>
          <cell r="C95" t="str">
            <v xml:space="preserve">TREND    </v>
          </cell>
          <cell r="D95" t="str">
            <v xml:space="preserve">Trend -  QTD Average/Activity                     </v>
          </cell>
          <cell r="E95" t="str">
            <v>Run: 08/07/03 14:02:44</v>
          </cell>
          <cell r="F95" t="str">
            <v>999</v>
          </cell>
          <cell r="G95" t="str">
            <v>100</v>
          </cell>
          <cell r="H95" t="str">
            <v xml:space="preserve">Bank Of America Management Reporting              </v>
          </cell>
          <cell r="I95" t="str">
            <v>001</v>
          </cell>
          <cell r="J95" t="str">
            <v>FBC.......</v>
          </cell>
          <cell r="K95" t="str">
            <v xml:space="preserve">Global Securities Operations                      </v>
          </cell>
          <cell r="L95" t="str">
            <v xml:space="preserve"> </v>
          </cell>
          <cell r="M95" t="str">
            <v xml:space="preserve"> </v>
          </cell>
          <cell r="N95" t="str">
            <v>bamgt</v>
          </cell>
          <cell r="O95" t="str">
            <v>40</v>
          </cell>
          <cell r="P95" t="str">
            <v>600000A  662999B  662999C  665499B  665499D  665499F  999999999999999999</v>
          </cell>
          <cell r="Q95" t="str">
            <v xml:space="preserve">none     </v>
          </cell>
          <cell r="R95" t="str">
            <v>RollFCST-Working Version</v>
          </cell>
          <cell r="S95" t="str">
            <v>RollFCST-Working Version</v>
          </cell>
          <cell r="T95" t="str">
            <v xml:space="preserve"> </v>
          </cell>
          <cell r="U95" t="str">
            <v xml:space="preserve"> </v>
          </cell>
          <cell r="V95" t="str">
            <v>665499F</v>
          </cell>
          <cell r="W95" t="str">
            <v>6</v>
          </cell>
          <cell r="X95" t="str">
            <v xml:space="preserve">          Relocation Expense            </v>
          </cell>
          <cell r="Y95">
            <v>0</v>
          </cell>
          <cell r="Z95">
            <v>0</v>
          </cell>
          <cell r="AA95">
            <v>0</v>
          </cell>
          <cell r="AB95">
            <v>0</v>
          </cell>
          <cell r="AC95">
            <v>0</v>
          </cell>
          <cell r="AD95">
            <v>0</v>
          </cell>
          <cell r="AE95">
            <v>0</v>
          </cell>
          <cell r="AF95">
            <v>0</v>
          </cell>
          <cell r="AG95">
            <v>0</v>
          </cell>
          <cell r="AH95">
            <v>0</v>
          </cell>
          <cell r="AI95" t="str">
            <v xml:space="preserve">U.S. Dollar                   </v>
          </cell>
          <cell r="AJ95" t="str">
            <v xml:space="preserve"> </v>
          </cell>
          <cell r="AK95" t="str">
            <v xml:space="preserve"> </v>
          </cell>
          <cell r="AL95" t="str">
            <v xml:space="preserve"> </v>
          </cell>
          <cell r="AM95" t="str">
            <v xml:space="preserve"> </v>
          </cell>
          <cell r="AN95" t="str">
            <v xml:space="preserve"> </v>
          </cell>
          <cell r="AO95" t="str">
            <v xml:space="preserve"> </v>
          </cell>
          <cell r="AP95" t="str">
            <v xml:space="preserve"> </v>
          </cell>
          <cell r="AQ95" t="str">
            <v xml:space="preserve"> </v>
          </cell>
        </row>
        <row r="96">
          <cell r="A96" t="str">
            <v>FBC.......665499J</v>
          </cell>
          <cell r="B96" t="str">
            <v>2004T12</v>
          </cell>
          <cell r="C96" t="str">
            <v xml:space="preserve">TREND    </v>
          </cell>
          <cell r="D96" t="str">
            <v xml:space="preserve">Trend -  QTD Average/Activity                     </v>
          </cell>
          <cell r="E96" t="str">
            <v>Run: 08/07/03 14:02:44</v>
          </cell>
          <cell r="F96" t="str">
            <v>999</v>
          </cell>
          <cell r="G96" t="str">
            <v>100</v>
          </cell>
          <cell r="H96" t="str">
            <v xml:space="preserve">Bank Of America Management Reporting              </v>
          </cell>
          <cell r="I96" t="str">
            <v>001</v>
          </cell>
          <cell r="J96" t="str">
            <v>FBC.......</v>
          </cell>
          <cell r="K96" t="str">
            <v xml:space="preserve">Global Securities Operations                      </v>
          </cell>
          <cell r="L96" t="str">
            <v xml:space="preserve"> </v>
          </cell>
          <cell r="M96" t="str">
            <v xml:space="preserve"> </v>
          </cell>
          <cell r="N96" t="str">
            <v>bamgt</v>
          </cell>
          <cell r="O96" t="str">
            <v>40</v>
          </cell>
          <cell r="P96" t="str">
            <v>600000A  662999B  662999C  665499B  665499D  665499H  665499J  999999999</v>
          </cell>
          <cell r="Q96" t="str">
            <v xml:space="preserve">none     </v>
          </cell>
          <cell r="R96" t="str">
            <v>RollFCST-Working Version</v>
          </cell>
          <cell r="S96" t="str">
            <v>RollFCST-Working Version</v>
          </cell>
          <cell r="T96" t="str">
            <v xml:space="preserve"> </v>
          </cell>
          <cell r="U96" t="str">
            <v xml:space="preserve"> </v>
          </cell>
          <cell r="V96" t="str">
            <v>665499J</v>
          </cell>
          <cell r="W96" t="str">
            <v>7</v>
          </cell>
          <cell r="X96" t="str">
            <v xml:space="preserve">            Employee Training &amp; Seminars</v>
          </cell>
          <cell r="Y96">
            <v>42</v>
          </cell>
          <cell r="Z96">
            <v>42</v>
          </cell>
          <cell r="AA96">
            <v>42</v>
          </cell>
          <cell r="AB96">
            <v>42</v>
          </cell>
          <cell r="AC96">
            <v>168</v>
          </cell>
          <cell r="AD96">
            <v>0</v>
          </cell>
          <cell r="AE96">
            <v>0</v>
          </cell>
          <cell r="AF96">
            <v>0</v>
          </cell>
          <cell r="AG96">
            <v>0</v>
          </cell>
          <cell r="AH96">
            <v>0</v>
          </cell>
          <cell r="AI96" t="str">
            <v xml:space="preserve">U.S. Dollar                   </v>
          </cell>
          <cell r="AJ96" t="str">
            <v xml:space="preserve"> </v>
          </cell>
          <cell r="AK96" t="str">
            <v xml:space="preserve"> </v>
          </cell>
          <cell r="AL96" t="str">
            <v xml:space="preserve"> </v>
          </cell>
          <cell r="AM96" t="str">
            <v xml:space="preserve"> </v>
          </cell>
          <cell r="AN96" t="str">
            <v xml:space="preserve"> </v>
          </cell>
          <cell r="AO96" t="str">
            <v xml:space="preserve"> </v>
          </cell>
          <cell r="AP96" t="str">
            <v xml:space="preserve"> </v>
          </cell>
          <cell r="AQ96" t="str">
            <v xml:space="preserve"> </v>
          </cell>
        </row>
        <row r="97">
          <cell r="A97" t="str">
            <v>FBC.......665499H</v>
          </cell>
          <cell r="B97" t="str">
            <v>2004T12</v>
          </cell>
          <cell r="C97" t="str">
            <v xml:space="preserve">TREND    </v>
          </cell>
          <cell r="D97" t="str">
            <v xml:space="preserve">Trend -  QTD Average/Activity                     </v>
          </cell>
          <cell r="E97" t="str">
            <v>Run: 08/07/03 14:02:44</v>
          </cell>
          <cell r="F97" t="str">
            <v>999</v>
          </cell>
          <cell r="G97" t="str">
            <v>100</v>
          </cell>
          <cell r="H97" t="str">
            <v xml:space="preserve">Bank Of America Management Reporting              </v>
          </cell>
          <cell r="I97" t="str">
            <v>001</v>
          </cell>
          <cell r="J97" t="str">
            <v>FBC.......</v>
          </cell>
          <cell r="K97" t="str">
            <v xml:space="preserve">Global Securities Operations                      </v>
          </cell>
          <cell r="L97" t="str">
            <v xml:space="preserve"> </v>
          </cell>
          <cell r="M97" t="str">
            <v xml:space="preserve"> </v>
          </cell>
          <cell r="N97" t="str">
            <v>bamgt</v>
          </cell>
          <cell r="O97" t="str">
            <v>40</v>
          </cell>
          <cell r="P97" t="str">
            <v>600000A  662999B  662999C  665499B  665499D  665499H  999999999999999999</v>
          </cell>
          <cell r="Q97" t="str">
            <v xml:space="preserve">none     </v>
          </cell>
          <cell r="R97" t="str">
            <v>RollFCST-Working Version</v>
          </cell>
          <cell r="S97" t="str">
            <v>RollFCST-Working Version</v>
          </cell>
          <cell r="T97" t="str">
            <v xml:space="preserve"> </v>
          </cell>
          <cell r="U97" t="str">
            <v xml:space="preserve"> </v>
          </cell>
          <cell r="V97" t="str">
            <v>665499H</v>
          </cell>
          <cell r="W97" t="str">
            <v>6</v>
          </cell>
          <cell r="X97" t="str">
            <v xml:space="preserve">          Other Employee Expense        </v>
          </cell>
          <cell r="Y97">
            <v>42</v>
          </cell>
          <cell r="Z97">
            <v>42</v>
          </cell>
          <cell r="AA97">
            <v>42</v>
          </cell>
          <cell r="AB97">
            <v>42</v>
          </cell>
          <cell r="AC97">
            <v>168</v>
          </cell>
          <cell r="AD97">
            <v>0</v>
          </cell>
          <cell r="AE97">
            <v>0</v>
          </cell>
          <cell r="AF97">
            <v>0</v>
          </cell>
          <cell r="AG97">
            <v>0</v>
          </cell>
          <cell r="AH97">
            <v>0</v>
          </cell>
          <cell r="AI97" t="str">
            <v xml:space="preserve">U.S. Dollar                   </v>
          </cell>
          <cell r="AJ97" t="str">
            <v xml:space="preserve"> </v>
          </cell>
          <cell r="AK97" t="str">
            <v xml:space="preserve"> </v>
          </cell>
          <cell r="AL97" t="str">
            <v xml:space="preserve"> </v>
          </cell>
          <cell r="AM97" t="str">
            <v xml:space="preserve"> </v>
          </cell>
          <cell r="AN97" t="str">
            <v xml:space="preserve"> </v>
          </cell>
          <cell r="AO97" t="str">
            <v xml:space="preserve"> </v>
          </cell>
          <cell r="AP97" t="str">
            <v xml:space="preserve"> </v>
          </cell>
          <cell r="AQ97" t="str">
            <v xml:space="preserve"> </v>
          </cell>
        </row>
        <row r="98">
          <cell r="A98" t="str">
            <v>FBC.......665499D</v>
          </cell>
          <cell r="B98" t="str">
            <v>2004T12</v>
          </cell>
          <cell r="C98" t="str">
            <v xml:space="preserve">TREND    </v>
          </cell>
          <cell r="D98" t="str">
            <v xml:space="preserve">Trend -  QTD Average/Activity                     </v>
          </cell>
          <cell r="E98" t="str">
            <v>Run: 08/07/03 14:02:44</v>
          </cell>
          <cell r="F98" t="str">
            <v>999</v>
          </cell>
          <cell r="G98" t="str">
            <v>100</v>
          </cell>
          <cell r="H98" t="str">
            <v xml:space="preserve">Bank Of America Management Reporting              </v>
          </cell>
          <cell r="I98" t="str">
            <v>001</v>
          </cell>
          <cell r="J98" t="str">
            <v>FBC.......</v>
          </cell>
          <cell r="K98" t="str">
            <v xml:space="preserve">Global Securities Operations                      </v>
          </cell>
          <cell r="L98" t="str">
            <v xml:space="preserve"> </v>
          </cell>
          <cell r="M98" t="str">
            <v xml:space="preserve"> </v>
          </cell>
          <cell r="N98" t="str">
            <v>bamgt</v>
          </cell>
          <cell r="O98" t="str">
            <v>40</v>
          </cell>
          <cell r="P98" t="str">
            <v>600000A  662999B  662999C  665499B  665499D  999999999999999999999999999</v>
          </cell>
          <cell r="Q98" t="str">
            <v xml:space="preserve">none     </v>
          </cell>
          <cell r="R98" t="str">
            <v>RollFCST-Working Version</v>
          </cell>
          <cell r="S98" t="str">
            <v>RollFCST-Working Version</v>
          </cell>
          <cell r="T98" t="str">
            <v xml:space="preserve"> </v>
          </cell>
          <cell r="U98" t="str">
            <v xml:space="preserve"> </v>
          </cell>
          <cell r="V98" t="str">
            <v>665499D</v>
          </cell>
          <cell r="W98" t="str">
            <v>5</v>
          </cell>
          <cell r="X98" t="str">
            <v xml:space="preserve">        Employee Expense                </v>
          </cell>
          <cell r="Y98">
            <v>42</v>
          </cell>
          <cell r="Z98">
            <v>42</v>
          </cell>
          <cell r="AA98">
            <v>42</v>
          </cell>
          <cell r="AB98">
            <v>42</v>
          </cell>
          <cell r="AC98">
            <v>168</v>
          </cell>
          <cell r="AD98">
            <v>0</v>
          </cell>
          <cell r="AE98">
            <v>0</v>
          </cell>
          <cell r="AF98">
            <v>0</v>
          </cell>
          <cell r="AG98">
            <v>0</v>
          </cell>
          <cell r="AH98">
            <v>0</v>
          </cell>
          <cell r="AI98" t="str">
            <v xml:space="preserve">U.S. Dollar                   </v>
          </cell>
          <cell r="AJ98" t="str">
            <v xml:space="preserve"> </v>
          </cell>
          <cell r="AK98" t="str">
            <v xml:space="preserve"> </v>
          </cell>
          <cell r="AL98" t="str">
            <v xml:space="preserve"> </v>
          </cell>
          <cell r="AM98" t="str">
            <v xml:space="preserve"> </v>
          </cell>
          <cell r="AN98" t="str">
            <v xml:space="preserve"> </v>
          </cell>
          <cell r="AO98" t="str">
            <v xml:space="preserve"> </v>
          </cell>
          <cell r="AP98" t="str">
            <v xml:space="preserve"> </v>
          </cell>
          <cell r="AQ98" t="str">
            <v xml:space="preserve"> </v>
          </cell>
        </row>
        <row r="99">
          <cell r="A99" t="str">
            <v>FBC.......665499B</v>
          </cell>
          <cell r="B99" t="str">
            <v>2004T12</v>
          </cell>
          <cell r="C99" t="str">
            <v xml:space="preserve">TREND    </v>
          </cell>
          <cell r="D99" t="str">
            <v xml:space="preserve">Trend -  QTD Average/Activity                     </v>
          </cell>
          <cell r="E99" t="str">
            <v>Run: 08/07/03 14:02:44</v>
          </cell>
          <cell r="F99" t="str">
            <v>999</v>
          </cell>
          <cell r="G99" t="str">
            <v>100</v>
          </cell>
          <cell r="H99" t="str">
            <v xml:space="preserve">Bank Of America Management Reporting              </v>
          </cell>
          <cell r="I99" t="str">
            <v>001</v>
          </cell>
          <cell r="J99" t="str">
            <v>FBC.......</v>
          </cell>
          <cell r="K99" t="str">
            <v xml:space="preserve">Global Securities Operations                      </v>
          </cell>
          <cell r="L99" t="str">
            <v xml:space="preserve"> </v>
          </cell>
          <cell r="M99" t="str">
            <v xml:space="preserve"> </v>
          </cell>
          <cell r="N99" t="str">
            <v>bamgt</v>
          </cell>
          <cell r="O99" t="str">
            <v>40</v>
          </cell>
          <cell r="P99" t="str">
            <v>600000A  662999B  662999C  665499B  999999999999999999999999999999999999</v>
          </cell>
          <cell r="Q99" t="str">
            <v xml:space="preserve">none     </v>
          </cell>
          <cell r="R99" t="str">
            <v>RollFCST-Working Version</v>
          </cell>
          <cell r="S99" t="str">
            <v>RollFCST-Working Version</v>
          </cell>
          <cell r="T99" t="str">
            <v xml:space="preserve"> </v>
          </cell>
          <cell r="U99" t="str">
            <v xml:space="preserve"> </v>
          </cell>
          <cell r="V99" t="str">
            <v>665499B</v>
          </cell>
          <cell r="W99" t="str">
            <v>4</v>
          </cell>
          <cell r="X99" t="str">
            <v xml:space="preserve">      Other Operating Expense           </v>
          </cell>
          <cell r="Y99">
            <v>-469.5</v>
          </cell>
          <cell r="Z99">
            <v>1134.8900000000001</v>
          </cell>
          <cell r="AA99">
            <v>856</v>
          </cell>
          <cell r="AB99">
            <v>344</v>
          </cell>
          <cell r="AC99">
            <v>1865.39</v>
          </cell>
          <cell r="AD99">
            <v>327</v>
          </cell>
          <cell r="AE99">
            <v>308</v>
          </cell>
          <cell r="AF99">
            <v>304</v>
          </cell>
          <cell r="AG99">
            <v>303</v>
          </cell>
          <cell r="AH99">
            <v>1242</v>
          </cell>
          <cell r="AI99" t="str">
            <v xml:space="preserve">U.S. Dollar                   </v>
          </cell>
          <cell r="AJ99" t="str">
            <v xml:space="preserve"> </v>
          </cell>
          <cell r="AK99" t="str">
            <v xml:space="preserve"> </v>
          </cell>
          <cell r="AL99" t="str">
            <v xml:space="preserve"> </v>
          </cell>
          <cell r="AM99" t="str">
            <v xml:space="preserve"> </v>
          </cell>
          <cell r="AN99" t="str">
            <v xml:space="preserve"> </v>
          </cell>
          <cell r="AO99" t="str">
            <v xml:space="preserve"> </v>
          </cell>
          <cell r="AP99" t="str">
            <v xml:space="preserve"> </v>
          </cell>
          <cell r="AQ99" t="str">
            <v xml:space="preserve"> </v>
          </cell>
        </row>
        <row r="100">
          <cell r="A100" t="str">
            <v>FBC.......670200</v>
          </cell>
          <cell r="B100" t="str">
            <v>2004T12</v>
          </cell>
          <cell r="C100" t="str">
            <v xml:space="preserve">TREND    </v>
          </cell>
          <cell r="D100" t="str">
            <v xml:space="preserve">Trend -  QTD Average/Activity                     </v>
          </cell>
          <cell r="E100" t="str">
            <v>Run: 08/07/03 14:02:44</v>
          </cell>
          <cell r="F100" t="str">
            <v>999</v>
          </cell>
          <cell r="G100" t="str">
            <v>100</v>
          </cell>
          <cell r="H100" t="str">
            <v xml:space="preserve">Bank Of America Management Reporting              </v>
          </cell>
          <cell r="I100" t="str">
            <v>001</v>
          </cell>
          <cell r="J100" t="str">
            <v>FBC.......</v>
          </cell>
          <cell r="K100" t="str">
            <v xml:space="preserve">Global Securities Operations                      </v>
          </cell>
          <cell r="L100" t="str">
            <v xml:space="preserve"> </v>
          </cell>
          <cell r="M100" t="str">
            <v xml:space="preserve"> </v>
          </cell>
          <cell r="N100" t="str">
            <v>bamgt</v>
          </cell>
          <cell r="O100" t="str">
            <v>40</v>
          </cell>
          <cell r="P100" t="str">
            <v>600000A  662999B  670000B  670200   999999999999999999999999999999999999</v>
          </cell>
          <cell r="Q100" t="str">
            <v xml:space="preserve">none     </v>
          </cell>
          <cell r="R100" t="str">
            <v>RollFCST-Working Version</v>
          </cell>
          <cell r="S100" t="str">
            <v>RollFCST-Working Version</v>
          </cell>
          <cell r="T100" t="str">
            <v xml:space="preserve"> </v>
          </cell>
          <cell r="U100" t="str">
            <v xml:space="preserve"> </v>
          </cell>
          <cell r="V100" t="str">
            <v>670200</v>
          </cell>
          <cell r="W100" t="str">
            <v>4</v>
          </cell>
          <cell r="X100" t="str">
            <v xml:space="preserve">      Travel                            </v>
          </cell>
          <cell r="Y100">
            <v>251.13</v>
          </cell>
          <cell r="Z100">
            <v>164</v>
          </cell>
          <cell r="AA100">
            <v>243</v>
          </cell>
          <cell r="AB100">
            <v>249</v>
          </cell>
          <cell r="AC100">
            <v>907.13</v>
          </cell>
          <cell r="AD100">
            <v>230</v>
          </cell>
          <cell r="AE100">
            <v>229</v>
          </cell>
          <cell r="AF100">
            <v>230</v>
          </cell>
          <cell r="AG100">
            <v>229</v>
          </cell>
          <cell r="AH100">
            <v>918</v>
          </cell>
          <cell r="AI100" t="str">
            <v xml:space="preserve">U.S. Dollar                   </v>
          </cell>
          <cell r="AJ100" t="str">
            <v xml:space="preserve"> </v>
          </cell>
          <cell r="AK100" t="str">
            <v xml:space="preserve"> </v>
          </cell>
          <cell r="AL100" t="str">
            <v xml:space="preserve"> </v>
          </cell>
          <cell r="AM100" t="str">
            <v xml:space="preserve"> </v>
          </cell>
          <cell r="AN100" t="str">
            <v xml:space="preserve"> </v>
          </cell>
          <cell r="AO100" t="str">
            <v xml:space="preserve"> </v>
          </cell>
          <cell r="AP100" t="str">
            <v xml:space="preserve"> </v>
          </cell>
          <cell r="AQ100" t="str">
            <v xml:space="preserve"> </v>
          </cell>
        </row>
        <row r="101">
          <cell r="A101" t="str">
            <v>FBC.......670800</v>
          </cell>
          <cell r="B101" t="str">
            <v>2004T12</v>
          </cell>
          <cell r="C101" t="str">
            <v xml:space="preserve">TREND    </v>
          </cell>
          <cell r="D101" t="str">
            <v xml:space="preserve">Trend -  QTD Average/Activity                     </v>
          </cell>
          <cell r="E101" t="str">
            <v>Run: 08/07/03 14:02:44</v>
          </cell>
          <cell r="F101" t="str">
            <v>999</v>
          </cell>
          <cell r="G101" t="str">
            <v>100</v>
          </cell>
          <cell r="H101" t="str">
            <v xml:space="preserve">Bank Of America Management Reporting              </v>
          </cell>
          <cell r="I101" t="str">
            <v>001</v>
          </cell>
          <cell r="J101" t="str">
            <v>FBC.......</v>
          </cell>
          <cell r="K101" t="str">
            <v xml:space="preserve">Global Securities Operations                      </v>
          </cell>
          <cell r="L101" t="str">
            <v xml:space="preserve"> </v>
          </cell>
          <cell r="M101" t="str">
            <v xml:space="preserve"> </v>
          </cell>
          <cell r="N101" t="str">
            <v>bamgt</v>
          </cell>
          <cell r="O101" t="str">
            <v>40</v>
          </cell>
          <cell r="P101" t="str">
            <v>600000A  662999B  670000B  670800   999999999999999999999999999999999999</v>
          </cell>
          <cell r="Q101" t="str">
            <v xml:space="preserve">none     </v>
          </cell>
          <cell r="R101" t="str">
            <v>RollFCST-Working Version</v>
          </cell>
          <cell r="S101" t="str">
            <v>RollFCST-Working Version</v>
          </cell>
          <cell r="T101" t="str">
            <v xml:space="preserve"> </v>
          </cell>
          <cell r="U101" t="str">
            <v xml:space="preserve"> </v>
          </cell>
          <cell r="V101" t="str">
            <v>670800</v>
          </cell>
          <cell r="W101" t="str">
            <v>4</v>
          </cell>
          <cell r="X101" t="str">
            <v xml:space="preserve">      Taxes Other Than Income           </v>
          </cell>
          <cell r="Y101">
            <v>17</v>
          </cell>
          <cell r="Z101">
            <v>39</v>
          </cell>
          <cell r="AA101">
            <v>33</v>
          </cell>
          <cell r="AB101">
            <v>33</v>
          </cell>
          <cell r="AC101">
            <v>122</v>
          </cell>
          <cell r="AD101">
            <v>0</v>
          </cell>
          <cell r="AE101">
            <v>0</v>
          </cell>
          <cell r="AF101">
            <v>0</v>
          </cell>
          <cell r="AG101">
            <v>0</v>
          </cell>
          <cell r="AH101">
            <v>0</v>
          </cell>
          <cell r="AI101" t="str">
            <v xml:space="preserve">U.S. Dollar                   </v>
          </cell>
          <cell r="AJ101" t="str">
            <v xml:space="preserve"> </v>
          </cell>
          <cell r="AK101" t="str">
            <v xml:space="preserve"> </v>
          </cell>
          <cell r="AL101" t="str">
            <v xml:space="preserve"> </v>
          </cell>
          <cell r="AM101" t="str">
            <v xml:space="preserve"> </v>
          </cell>
          <cell r="AN101" t="str">
            <v xml:space="preserve"> </v>
          </cell>
          <cell r="AO101" t="str">
            <v xml:space="preserve"> </v>
          </cell>
          <cell r="AP101" t="str">
            <v xml:space="preserve"> </v>
          </cell>
          <cell r="AQ101" t="str">
            <v xml:space="preserve"> </v>
          </cell>
        </row>
        <row r="102">
          <cell r="A102" t="str">
            <v>FBC.......671200</v>
          </cell>
          <cell r="B102" t="str">
            <v>2004T12</v>
          </cell>
          <cell r="C102" t="str">
            <v xml:space="preserve">TREND    </v>
          </cell>
          <cell r="D102" t="str">
            <v xml:space="preserve">Trend -  QTD Average/Activity                     </v>
          </cell>
          <cell r="E102" t="str">
            <v>Run: 08/07/03 14:02:44</v>
          </cell>
          <cell r="F102" t="str">
            <v>999</v>
          </cell>
          <cell r="G102" t="str">
            <v>100</v>
          </cell>
          <cell r="H102" t="str">
            <v xml:space="preserve">Bank Of America Management Reporting              </v>
          </cell>
          <cell r="I102" t="str">
            <v>001</v>
          </cell>
          <cell r="J102" t="str">
            <v>FBC.......</v>
          </cell>
          <cell r="K102" t="str">
            <v xml:space="preserve">Global Securities Operations                      </v>
          </cell>
          <cell r="L102" t="str">
            <v xml:space="preserve"> </v>
          </cell>
          <cell r="M102" t="str">
            <v xml:space="preserve"> </v>
          </cell>
          <cell r="N102" t="str">
            <v>bamgt</v>
          </cell>
          <cell r="O102" t="str">
            <v>40</v>
          </cell>
          <cell r="P102" t="str">
            <v>600000A  662999B  670000B  671200   999999999999999999999999999999999999</v>
          </cell>
          <cell r="Q102" t="str">
            <v xml:space="preserve">none     </v>
          </cell>
          <cell r="R102" t="str">
            <v>RollFCST-Working Version</v>
          </cell>
          <cell r="S102" t="str">
            <v>RollFCST-Working Version</v>
          </cell>
          <cell r="T102" t="str">
            <v xml:space="preserve"> </v>
          </cell>
          <cell r="U102" t="str">
            <v xml:space="preserve"> </v>
          </cell>
          <cell r="V102" t="str">
            <v>671200</v>
          </cell>
          <cell r="W102" t="str">
            <v>4</v>
          </cell>
          <cell r="X102" t="str">
            <v xml:space="preserve">      Subscription Services             </v>
          </cell>
          <cell r="Y102">
            <v>699.2</v>
          </cell>
          <cell r="Z102">
            <v>550.78</v>
          </cell>
          <cell r="AA102">
            <v>835</v>
          </cell>
          <cell r="AB102">
            <v>732</v>
          </cell>
          <cell r="AC102">
            <v>2816.98</v>
          </cell>
          <cell r="AD102">
            <v>796</v>
          </cell>
          <cell r="AE102">
            <v>797</v>
          </cell>
          <cell r="AF102">
            <v>797</v>
          </cell>
          <cell r="AG102">
            <v>796</v>
          </cell>
          <cell r="AH102">
            <v>3186</v>
          </cell>
          <cell r="AI102" t="str">
            <v xml:space="preserve">U.S. Dollar                   </v>
          </cell>
          <cell r="AJ102" t="str">
            <v xml:space="preserve"> </v>
          </cell>
          <cell r="AK102" t="str">
            <v xml:space="preserve"> </v>
          </cell>
          <cell r="AL102" t="str">
            <v xml:space="preserve"> </v>
          </cell>
          <cell r="AM102" t="str">
            <v xml:space="preserve"> </v>
          </cell>
          <cell r="AN102" t="str">
            <v xml:space="preserve"> </v>
          </cell>
          <cell r="AO102" t="str">
            <v xml:space="preserve"> </v>
          </cell>
          <cell r="AP102" t="str">
            <v xml:space="preserve"> </v>
          </cell>
          <cell r="AQ102" t="str">
            <v xml:space="preserve"> </v>
          </cell>
        </row>
        <row r="103">
          <cell r="A103" t="str">
            <v>FBC.......671500</v>
          </cell>
          <cell r="B103" t="str">
            <v>2004T12</v>
          </cell>
          <cell r="C103" t="str">
            <v xml:space="preserve">TREND    </v>
          </cell>
          <cell r="D103" t="str">
            <v xml:space="preserve">Trend -  QTD Average/Activity                     </v>
          </cell>
          <cell r="E103" t="str">
            <v>Run: 08/07/03 14:02:44</v>
          </cell>
          <cell r="F103" t="str">
            <v>999</v>
          </cell>
          <cell r="G103" t="str">
            <v>100</v>
          </cell>
          <cell r="H103" t="str">
            <v xml:space="preserve">Bank Of America Management Reporting              </v>
          </cell>
          <cell r="I103" t="str">
            <v>001</v>
          </cell>
          <cell r="J103" t="str">
            <v>FBC.......</v>
          </cell>
          <cell r="K103" t="str">
            <v xml:space="preserve">Global Securities Operations                      </v>
          </cell>
          <cell r="L103" t="str">
            <v xml:space="preserve"> </v>
          </cell>
          <cell r="M103" t="str">
            <v xml:space="preserve"> </v>
          </cell>
          <cell r="N103" t="str">
            <v>bamgt</v>
          </cell>
          <cell r="O103" t="str">
            <v>40</v>
          </cell>
          <cell r="P103" t="str">
            <v>600000A  662999B  670000B  671500   999999999999999999999999999999999999</v>
          </cell>
          <cell r="Q103" t="str">
            <v xml:space="preserve">none     </v>
          </cell>
          <cell r="R103" t="str">
            <v>RollFCST-Working Version</v>
          </cell>
          <cell r="S103" t="str">
            <v>RollFCST-Working Version</v>
          </cell>
          <cell r="T103" t="str">
            <v xml:space="preserve"> </v>
          </cell>
          <cell r="U103" t="str">
            <v xml:space="preserve"> </v>
          </cell>
          <cell r="V103" t="str">
            <v>671500</v>
          </cell>
          <cell r="W103" t="str">
            <v>4</v>
          </cell>
          <cell r="X103" t="str">
            <v xml:space="preserve">      Other Administrative Expenses     </v>
          </cell>
          <cell r="Y103">
            <v>58.34</v>
          </cell>
          <cell r="Z103">
            <v>-44.99</v>
          </cell>
          <cell r="AA103">
            <v>-96.99</v>
          </cell>
          <cell r="AB103">
            <v>-89.99</v>
          </cell>
          <cell r="AC103">
            <v>-173.63</v>
          </cell>
          <cell r="AD103">
            <v>-1547</v>
          </cell>
          <cell r="AE103">
            <v>-1548</v>
          </cell>
          <cell r="AF103">
            <v>-1547</v>
          </cell>
          <cell r="AG103">
            <v>-1548</v>
          </cell>
          <cell r="AH103">
            <v>-6190</v>
          </cell>
          <cell r="AI103" t="str">
            <v xml:space="preserve">U.S. Dollar                   </v>
          </cell>
          <cell r="AJ103" t="str">
            <v xml:space="preserve"> </v>
          </cell>
          <cell r="AK103" t="str">
            <v xml:space="preserve"> </v>
          </cell>
          <cell r="AL103" t="str">
            <v xml:space="preserve"> </v>
          </cell>
          <cell r="AM103" t="str">
            <v xml:space="preserve"> </v>
          </cell>
          <cell r="AN103" t="str">
            <v xml:space="preserve"> </v>
          </cell>
          <cell r="AO103" t="str">
            <v xml:space="preserve"> </v>
          </cell>
          <cell r="AP103" t="str">
            <v xml:space="preserve"> </v>
          </cell>
          <cell r="AQ103" t="str">
            <v xml:space="preserve"> </v>
          </cell>
        </row>
        <row r="104">
          <cell r="A104" t="str">
            <v>FBC.......675000</v>
          </cell>
          <cell r="B104" t="str">
            <v>2004T12</v>
          </cell>
          <cell r="C104" t="str">
            <v xml:space="preserve">TREND    </v>
          </cell>
          <cell r="D104" t="str">
            <v xml:space="preserve">Trend -  QTD Average/Activity                     </v>
          </cell>
          <cell r="E104" t="str">
            <v>Run: 08/07/03 14:02:44</v>
          </cell>
          <cell r="F104" t="str">
            <v>999</v>
          </cell>
          <cell r="G104" t="str">
            <v>100</v>
          </cell>
          <cell r="H104" t="str">
            <v xml:space="preserve">Bank Of America Management Reporting              </v>
          </cell>
          <cell r="I104" t="str">
            <v>001</v>
          </cell>
          <cell r="J104" t="str">
            <v>FBC.......</v>
          </cell>
          <cell r="K104" t="str">
            <v xml:space="preserve">Global Securities Operations                      </v>
          </cell>
          <cell r="L104" t="str">
            <v xml:space="preserve"> </v>
          </cell>
          <cell r="M104" t="str">
            <v xml:space="preserve"> </v>
          </cell>
          <cell r="N104" t="str">
            <v>bamgt</v>
          </cell>
          <cell r="O104" t="str">
            <v>40</v>
          </cell>
          <cell r="P104" t="str">
            <v>600000A  675000   999999999999999999999999999999999999999999999999999999</v>
          </cell>
          <cell r="Q104" t="str">
            <v xml:space="preserve">none     </v>
          </cell>
          <cell r="R104" t="str">
            <v>RollFCST-Working Version</v>
          </cell>
          <cell r="S104" t="str">
            <v>RollFCST-Working Version</v>
          </cell>
          <cell r="T104" t="str">
            <v xml:space="preserve"> </v>
          </cell>
          <cell r="U104" t="str">
            <v xml:space="preserve"> </v>
          </cell>
          <cell r="V104" t="str">
            <v>675000</v>
          </cell>
          <cell r="W104" t="str">
            <v>2</v>
          </cell>
          <cell r="X104" t="str">
            <v xml:space="preserve">  Intercompany Expense                  </v>
          </cell>
          <cell r="Y104">
            <v>-28</v>
          </cell>
          <cell r="Z104">
            <v>-182</v>
          </cell>
          <cell r="AA104">
            <v>0</v>
          </cell>
          <cell r="AB104">
            <v>0</v>
          </cell>
          <cell r="AC104">
            <v>-210</v>
          </cell>
          <cell r="AD104">
            <v>0</v>
          </cell>
          <cell r="AE104">
            <v>0</v>
          </cell>
          <cell r="AF104">
            <v>0</v>
          </cell>
          <cell r="AG104">
            <v>1</v>
          </cell>
          <cell r="AH104">
            <v>1</v>
          </cell>
          <cell r="AI104" t="str">
            <v xml:space="preserve">U.S. Dollar                   </v>
          </cell>
          <cell r="AJ104" t="str">
            <v xml:space="preserve"> </v>
          </cell>
          <cell r="AK104" t="str">
            <v xml:space="preserve"> </v>
          </cell>
          <cell r="AL104" t="str">
            <v xml:space="preserve"> </v>
          </cell>
          <cell r="AM104" t="str">
            <v xml:space="preserve"> </v>
          </cell>
          <cell r="AN104" t="str">
            <v xml:space="preserve"> </v>
          </cell>
          <cell r="AO104" t="str">
            <v xml:space="preserve"> </v>
          </cell>
          <cell r="AP104" t="str">
            <v xml:space="preserve"> </v>
          </cell>
          <cell r="AQ104" t="str">
            <v xml:space="preserve"> </v>
          </cell>
        </row>
        <row r="105">
          <cell r="A105" t="str">
            <v>FBC.......NIEBA-B</v>
          </cell>
          <cell r="B105" t="str">
            <v>2004T12</v>
          </cell>
          <cell r="C105" t="str">
            <v xml:space="preserve">TREND    </v>
          </cell>
          <cell r="D105" t="str">
            <v xml:space="preserve">Trend -  QTD Average/Activity                     </v>
          </cell>
          <cell r="E105" t="str">
            <v>Run: 08/07/03 14:02:44</v>
          </cell>
          <cell r="F105" t="str">
            <v>999</v>
          </cell>
          <cell r="G105" t="str">
            <v>100</v>
          </cell>
          <cell r="H105" t="str">
            <v xml:space="preserve">Bank Of America Management Reporting              </v>
          </cell>
          <cell r="I105" t="str">
            <v>001</v>
          </cell>
          <cell r="J105" t="str">
            <v>FBC.......</v>
          </cell>
          <cell r="K105" t="str">
            <v xml:space="preserve">Global Securities Operations                      </v>
          </cell>
          <cell r="L105" t="str">
            <v xml:space="preserve"> </v>
          </cell>
          <cell r="M105" t="str">
            <v xml:space="preserve"> </v>
          </cell>
          <cell r="N105" t="str">
            <v>bamgt</v>
          </cell>
          <cell r="O105" t="str">
            <v>40</v>
          </cell>
          <cell r="P105" t="str">
            <v xml:space="preserve">600000A  675000A  999999999999999999999999999NIEBA-B                    </v>
          </cell>
          <cell r="Q105" t="str">
            <v xml:space="preserve">none     </v>
          </cell>
          <cell r="R105" t="str">
            <v>RollFCST-Working Version</v>
          </cell>
          <cell r="S105" t="str">
            <v>RollFCST-Working Version</v>
          </cell>
          <cell r="T105" t="str">
            <v xml:space="preserve"> </v>
          </cell>
          <cell r="U105" t="str">
            <v xml:space="preserve"> </v>
          </cell>
          <cell r="V105" t="str">
            <v>NIEBA-B</v>
          </cell>
          <cell r="W105" t="str">
            <v>0</v>
          </cell>
          <cell r="X105" t="str">
            <v xml:space="preserve">Sub-Tot Non Int Exp Before Cost         </v>
          </cell>
          <cell r="Y105">
            <v>28822.3488</v>
          </cell>
          <cell r="Z105">
            <v>18146.871599999999</v>
          </cell>
          <cell r="AA105">
            <v>26788.34</v>
          </cell>
          <cell r="AB105">
            <v>26271.4</v>
          </cell>
          <cell r="AC105">
            <v>100028.9604</v>
          </cell>
          <cell r="AD105">
            <v>25279.31</v>
          </cell>
          <cell r="AE105">
            <v>25549.395</v>
          </cell>
          <cell r="AF105">
            <v>25838.564999999999</v>
          </cell>
          <cell r="AG105">
            <v>26450.814999999999</v>
          </cell>
          <cell r="AH105">
            <v>103118.08500000001</v>
          </cell>
          <cell r="AI105" t="str">
            <v xml:space="preserve">U.S. Dollar                   </v>
          </cell>
          <cell r="AJ105" t="str">
            <v xml:space="preserve"> </v>
          </cell>
          <cell r="AK105" t="str">
            <v xml:space="preserve"> </v>
          </cell>
          <cell r="AL105" t="str">
            <v xml:space="preserve"> </v>
          </cell>
          <cell r="AM105" t="str">
            <v xml:space="preserve"> </v>
          </cell>
          <cell r="AN105" t="str">
            <v xml:space="preserve"> </v>
          </cell>
          <cell r="AO105" t="str">
            <v xml:space="preserve"> </v>
          </cell>
          <cell r="AP105" t="str">
            <v xml:space="preserve"> </v>
          </cell>
          <cell r="AQ105" t="str">
            <v xml:space="preserve"> </v>
          </cell>
        </row>
        <row r="106">
          <cell r="A106" t="str">
            <v>FBD.......600300</v>
          </cell>
          <cell r="B106" t="str">
            <v>2004T12</v>
          </cell>
          <cell r="C106" t="str">
            <v xml:space="preserve">TREND    </v>
          </cell>
          <cell r="D106" t="str">
            <v xml:space="preserve">Trend -  QTD Average/Activity                     </v>
          </cell>
          <cell r="E106" t="str">
            <v>Run: 08/07/03 14:02:44</v>
          </cell>
          <cell r="F106" t="str">
            <v>999</v>
          </cell>
          <cell r="G106" t="str">
            <v>100</v>
          </cell>
          <cell r="H106" t="str">
            <v xml:space="preserve">Bank Of America Management Reporting              </v>
          </cell>
          <cell r="I106" t="str">
            <v>001</v>
          </cell>
          <cell r="J106" t="str">
            <v>FBD.......</v>
          </cell>
          <cell r="K106" t="str">
            <v xml:space="preserve">Emg Ops Asia                                      </v>
          </cell>
          <cell r="L106" t="str">
            <v xml:space="preserve"> </v>
          </cell>
          <cell r="M106" t="str">
            <v xml:space="preserve"> </v>
          </cell>
          <cell r="N106" t="str">
            <v>bamgt</v>
          </cell>
          <cell r="O106" t="str">
            <v>40</v>
          </cell>
          <cell r="P106" t="str">
            <v>600000A  600250   999999999600300   999999999999999999999999999999999999</v>
          </cell>
          <cell r="Q106" t="str">
            <v xml:space="preserve">none     </v>
          </cell>
          <cell r="R106" t="str">
            <v>RollFCST-Working Version</v>
          </cell>
          <cell r="S106" t="str">
            <v>RollFCST-Working Version</v>
          </cell>
          <cell r="T106" t="str">
            <v xml:space="preserve"> </v>
          </cell>
          <cell r="U106" t="str">
            <v xml:space="preserve"> </v>
          </cell>
          <cell r="V106" t="str">
            <v>600300</v>
          </cell>
          <cell r="W106" t="str">
            <v>4</v>
          </cell>
          <cell r="X106" t="str">
            <v xml:space="preserve">      Salaries &amp; Wages                  </v>
          </cell>
          <cell r="Y106">
            <v>377</v>
          </cell>
          <cell r="Z106">
            <v>406</v>
          </cell>
          <cell r="AA106">
            <v>389</v>
          </cell>
          <cell r="AB106">
            <v>405</v>
          </cell>
          <cell r="AC106">
            <v>1577</v>
          </cell>
          <cell r="AD106">
            <v>567</v>
          </cell>
          <cell r="AE106">
            <v>604</v>
          </cell>
          <cell r="AF106">
            <v>615</v>
          </cell>
          <cell r="AG106">
            <v>615</v>
          </cell>
          <cell r="AH106">
            <v>2401</v>
          </cell>
          <cell r="AI106" t="str">
            <v xml:space="preserve">U.S. Dollar                   </v>
          </cell>
          <cell r="AJ106" t="str">
            <v xml:space="preserve"> </v>
          </cell>
          <cell r="AK106" t="str">
            <v xml:space="preserve"> </v>
          </cell>
          <cell r="AL106" t="str">
            <v xml:space="preserve"> </v>
          </cell>
          <cell r="AM106" t="str">
            <v xml:space="preserve"> </v>
          </cell>
          <cell r="AN106" t="str">
            <v xml:space="preserve"> </v>
          </cell>
          <cell r="AO106" t="str">
            <v xml:space="preserve"> </v>
          </cell>
          <cell r="AP106" t="str">
            <v xml:space="preserve"> </v>
          </cell>
          <cell r="AQ106" t="str">
            <v xml:space="preserve"> </v>
          </cell>
        </row>
        <row r="107">
          <cell r="A107" t="str">
            <v>FBD.......601000</v>
          </cell>
          <cell r="B107" t="str">
            <v>2004T12</v>
          </cell>
          <cell r="C107" t="str">
            <v xml:space="preserve">TREND    </v>
          </cell>
          <cell r="D107" t="str">
            <v xml:space="preserve">Trend -  QTD Average/Activity                     </v>
          </cell>
          <cell r="E107" t="str">
            <v>Run: 08/07/03 14:02:44</v>
          </cell>
          <cell r="F107" t="str">
            <v>999</v>
          </cell>
          <cell r="G107" t="str">
            <v>100</v>
          </cell>
          <cell r="H107" t="str">
            <v xml:space="preserve">Bank Of America Management Reporting              </v>
          </cell>
          <cell r="I107" t="str">
            <v>001</v>
          </cell>
          <cell r="J107" t="str">
            <v>FBD.......</v>
          </cell>
          <cell r="K107" t="str">
            <v xml:space="preserve">Emg Ops Asia                                      </v>
          </cell>
          <cell r="L107" t="str">
            <v xml:space="preserve"> </v>
          </cell>
          <cell r="M107" t="str">
            <v xml:space="preserve"> </v>
          </cell>
          <cell r="N107" t="str">
            <v>bamgt</v>
          </cell>
          <cell r="O107" t="str">
            <v>40</v>
          </cell>
          <cell r="P107" t="str">
            <v>600000A  600250   999999999601000   999999999999999999999999999999999999</v>
          </cell>
          <cell r="Q107" t="str">
            <v xml:space="preserve">none     </v>
          </cell>
          <cell r="R107" t="str">
            <v>RollFCST-Working Version</v>
          </cell>
          <cell r="S107" t="str">
            <v>RollFCST-Working Version</v>
          </cell>
          <cell r="T107" t="str">
            <v xml:space="preserve"> </v>
          </cell>
          <cell r="U107" t="str">
            <v xml:space="preserve"> </v>
          </cell>
          <cell r="V107" t="str">
            <v>601000</v>
          </cell>
          <cell r="W107" t="str">
            <v>4</v>
          </cell>
          <cell r="X107" t="str">
            <v xml:space="preserve">      Overtime Salaries                 </v>
          </cell>
          <cell r="Y107">
            <v>12</v>
          </cell>
          <cell r="Z107">
            <v>14</v>
          </cell>
          <cell r="AA107">
            <v>6</v>
          </cell>
          <cell r="AB107">
            <v>6</v>
          </cell>
          <cell r="AC107">
            <v>38</v>
          </cell>
          <cell r="AD107">
            <v>9</v>
          </cell>
          <cell r="AE107">
            <v>9</v>
          </cell>
          <cell r="AF107">
            <v>9</v>
          </cell>
          <cell r="AG107">
            <v>9</v>
          </cell>
          <cell r="AH107">
            <v>36</v>
          </cell>
          <cell r="AI107" t="str">
            <v xml:space="preserve">U.S. Dollar                   </v>
          </cell>
          <cell r="AJ107" t="str">
            <v xml:space="preserve"> </v>
          </cell>
          <cell r="AK107" t="str">
            <v xml:space="preserve"> </v>
          </cell>
          <cell r="AL107" t="str">
            <v xml:space="preserve"> </v>
          </cell>
          <cell r="AM107" t="str">
            <v xml:space="preserve"> </v>
          </cell>
          <cell r="AN107" t="str">
            <v xml:space="preserve"> </v>
          </cell>
          <cell r="AO107" t="str">
            <v xml:space="preserve"> </v>
          </cell>
          <cell r="AP107" t="str">
            <v xml:space="preserve"> </v>
          </cell>
          <cell r="AQ107" t="str">
            <v xml:space="preserve"> </v>
          </cell>
        </row>
        <row r="108">
          <cell r="A108" t="str">
            <v>FBD.......602400</v>
          </cell>
          <cell r="B108" t="str">
            <v>2004T12</v>
          </cell>
          <cell r="C108" t="str">
            <v xml:space="preserve">TREND    </v>
          </cell>
          <cell r="D108" t="str">
            <v xml:space="preserve">Trend -  QTD Average/Activity                     </v>
          </cell>
          <cell r="E108" t="str">
            <v>Run: 08/07/03 14:02:44</v>
          </cell>
          <cell r="F108" t="str">
            <v>999</v>
          </cell>
          <cell r="G108" t="str">
            <v>100</v>
          </cell>
          <cell r="H108" t="str">
            <v xml:space="preserve">Bank Of America Management Reporting              </v>
          </cell>
          <cell r="I108" t="str">
            <v>001</v>
          </cell>
          <cell r="J108" t="str">
            <v>FBD.......</v>
          </cell>
          <cell r="K108" t="str">
            <v xml:space="preserve">Emg Ops Asia                                      </v>
          </cell>
          <cell r="L108" t="str">
            <v xml:space="preserve"> </v>
          </cell>
          <cell r="M108" t="str">
            <v xml:space="preserve"> </v>
          </cell>
          <cell r="N108" t="str">
            <v>bamgt</v>
          </cell>
          <cell r="O108" t="str">
            <v>40</v>
          </cell>
          <cell r="P108" t="str">
            <v>600000A  600250   999999999602000   602400   999999999999999999999999999</v>
          </cell>
          <cell r="Q108" t="str">
            <v xml:space="preserve">none     </v>
          </cell>
          <cell r="R108" t="str">
            <v>RollFCST-Working Version</v>
          </cell>
          <cell r="S108" t="str">
            <v>RollFCST-Working Version</v>
          </cell>
          <cell r="T108" t="str">
            <v xml:space="preserve"> </v>
          </cell>
          <cell r="U108" t="str">
            <v xml:space="preserve"> </v>
          </cell>
          <cell r="V108" t="str">
            <v>602400</v>
          </cell>
          <cell r="W108" t="str">
            <v>5</v>
          </cell>
          <cell r="X108" t="str">
            <v xml:space="preserve">        Other Employee Compensation     </v>
          </cell>
          <cell r="Y108">
            <v>30</v>
          </cell>
          <cell r="Z108">
            <v>30</v>
          </cell>
          <cell r="AA108">
            <v>30</v>
          </cell>
          <cell r="AB108">
            <v>30</v>
          </cell>
          <cell r="AC108">
            <v>120</v>
          </cell>
          <cell r="AD108">
            <v>27</v>
          </cell>
          <cell r="AE108">
            <v>27</v>
          </cell>
          <cell r="AF108">
            <v>27</v>
          </cell>
          <cell r="AG108">
            <v>27</v>
          </cell>
          <cell r="AH108">
            <v>108</v>
          </cell>
          <cell r="AI108" t="str">
            <v xml:space="preserve">U.S. Dollar                   </v>
          </cell>
          <cell r="AJ108" t="str">
            <v xml:space="preserve"> </v>
          </cell>
          <cell r="AK108" t="str">
            <v xml:space="preserve"> </v>
          </cell>
          <cell r="AL108" t="str">
            <v xml:space="preserve"> </v>
          </cell>
          <cell r="AM108" t="str">
            <v xml:space="preserve"> </v>
          </cell>
          <cell r="AN108" t="str">
            <v xml:space="preserve"> </v>
          </cell>
          <cell r="AO108" t="str">
            <v xml:space="preserve"> </v>
          </cell>
          <cell r="AP108" t="str">
            <v xml:space="preserve"> </v>
          </cell>
          <cell r="AQ108" t="str">
            <v xml:space="preserve"> </v>
          </cell>
        </row>
        <row r="109">
          <cell r="A109" t="str">
            <v>FBD.......602000</v>
          </cell>
          <cell r="B109" t="str">
            <v>2004T12</v>
          </cell>
          <cell r="C109" t="str">
            <v xml:space="preserve">TREND    </v>
          </cell>
          <cell r="D109" t="str">
            <v xml:space="preserve">Trend -  QTD Average/Activity                     </v>
          </cell>
          <cell r="E109" t="str">
            <v>Run: 08/07/03 14:02:44</v>
          </cell>
          <cell r="F109" t="str">
            <v>999</v>
          </cell>
          <cell r="G109" t="str">
            <v>100</v>
          </cell>
          <cell r="H109" t="str">
            <v xml:space="preserve">Bank Of America Management Reporting              </v>
          </cell>
          <cell r="I109" t="str">
            <v>001</v>
          </cell>
          <cell r="J109" t="str">
            <v>FBD.......</v>
          </cell>
          <cell r="K109" t="str">
            <v xml:space="preserve">Emg Ops Asia                                      </v>
          </cell>
          <cell r="L109" t="str">
            <v xml:space="preserve"> </v>
          </cell>
          <cell r="M109" t="str">
            <v xml:space="preserve"> </v>
          </cell>
          <cell r="N109" t="str">
            <v>bamgt</v>
          </cell>
          <cell r="O109" t="str">
            <v>40</v>
          </cell>
          <cell r="P109" t="str">
            <v>600000A  600250   999999999602000   999999999999999999999999999999999999</v>
          </cell>
          <cell r="Q109" t="str">
            <v xml:space="preserve">none     </v>
          </cell>
          <cell r="R109" t="str">
            <v>RollFCST-Working Version</v>
          </cell>
          <cell r="S109" t="str">
            <v>RollFCST-Working Version</v>
          </cell>
          <cell r="T109" t="str">
            <v xml:space="preserve"> </v>
          </cell>
          <cell r="U109" t="str">
            <v xml:space="preserve"> </v>
          </cell>
          <cell r="V109" t="str">
            <v>602000</v>
          </cell>
          <cell r="W109" t="str">
            <v>4</v>
          </cell>
          <cell r="X109" t="str">
            <v xml:space="preserve">      Contract Temporary/Other Compensat</v>
          </cell>
          <cell r="Y109">
            <v>36</v>
          </cell>
          <cell r="Z109">
            <v>40</v>
          </cell>
          <cell r="AA109">
            <v>33</v>
          </cell>
          <cell r="AB109">
            <v>33</v>
          </cell>
          <cell r="AC109">
            <v>142</v>
          </cell>
          <cell r="AD109">
            <v>30</v>
          </cell>
          <cell r="AE109">
            <v>30</v>
          </cell>
          <cell r="AF109">
            <v>30</v>
          </cell>
          <cell r="AG109">
            <v>30</v>
          </cell>
          <cell r="AH109">
            <v>120</v>
          </cell>
          <cell r="AI109" t="str">
            <v xml:space="preserve">U.S. Dollar                   </v>
          </cell>
          <cell r="AJ109" t="str">
            <v xml:space="preserve"> </v>
          </cell>
          <cell r="AK109" t="str">
            <v xml:space="preserve"> </v>
          </cell>
          <cell r="AL109" t="str">
            <v xml:space="preserve"> </v>
          </cell>
          <cell r="AM109" t="str">
            <v xml:space="preserve"> </v>
          </cell>
          <cell r="AN109" t="str">
            <v xml:space="preserve"> </v>
          </cell>
          <cell r="AO109" t="str">
            <v xml:space="preserve"> </v>
          </cell>
          <cell r="AP109" t="str">
            <v xml:space="preserve"> </v>
          </cell>
          <cell r="AQ109" t="str">
            <v xml:space="preserve"> </v>
          </cell>
        </row>
        <row r="110">
          <cell r="A110" t="str">
            <v>FBD.......603000</v>
          </cell>
          <cell r="B110" t="str">
            <v>2004T12</v>
          </cell>
          <cell r="C110" t="str">
            <v xml:space="preserve">TREND    </v>
          </cell>
          <cell r="D110" t="str">
            <v xml:space="preserve">Trend -  QTD Average/Activity                     </v>
          </cell>
          <cell r="E110" t="str">
            <v>Run: 08/07/03 14:02:44</v>
          </cell>
          <cell r="F110" t="str">
            <v>999</v>
          </cell>
          <cell r="G110" t="str">
            <v>100</v>
          </cell>
          <cell r="H110" t="str">
            <v xml:space="preserve">Bank Of America Management Reporting              </v>
          </cell>
          <cell r="I110" t="str">
            <v>001</v>
          </cell>
          <cell r="J110" t="str">
            <v>FBD.......</v>
          </cell>
          <cell r="K110" t="str">
            <v xml:space="preserve">Emg Ops Asia                                      </v>
          </cell>
          <cell r="L110" t="str">
            <v xml:space="preserve"> </v>
          </cell>
          <cell r="M110" t="str">
            <v xml:space="preserve"> </v>
          </cell>
          <cell r="N110" t="str">
            <v>bamgt</v>
          </cell>
          <cell r="O110" t="str">
            <v>40</v>
          </cell>
          <cell r="P110" t="str">
            <v>600000A  600250   999999999603000   999999999999999999999999999999999999</v>
          </cell>
          <cell r="Q110" t="str">
            <v xml:space="preserve">none     </v>
          </cell>
          <cell r="R110" t="str">
            <v>RollFCST-Working Version</v>
          </cell>
          <cell r="S110" t="str">
            <v>RollFCST-Working Version</v>
          </cell>
          <cell r="T110" t="str">
            <v xml:space="preserve"> </v>
          </cell>
          <cell r="U110" t="str">
            <v xml:space="preserve"> </v>
          </cell>
          <cell r="V110" t="str">
            <v>603000</v>
          </cell>
          <cell r="W110" t="str">
            <v>4</v>
          </cell>
          <cell r="X110" t="str">
            <v xml:space="preserve">      Employee Benefits                 </v>
          </cell>
          <cell r="Y110">
            <v>95</v>
          </cell>
          <cell r="Z110">
            <v>87.93</v>
          </cell>
          <cell r="AA110">
            <v>102</v>
          </cell>
          <cell r="AB110">
            <v>102</v>
          </cell>
          <cell r="AC110">
            <v>386.93</v>
          </cell>
          <cell r="AD110">
            <v>129</v>
          </cell>
          <cell r="AE110">
            <v>135</v>
          </cell>
          <cell r="AF110">
            <v>138</v>
          </cell>
          <cell r="AG110">
            <v>138</v>
          </cell>
          <cell r="AH110">
            <v>540</v>
          </cell>
          <cell r="AI110" t="str">
            <v xml:space="preserve">U.S. Dollar                   </v>
          </cell>
          <cell r="AJ110" t="str">
            <v xml:space="preserve"> </v>
          </cell>
          <cell r="AK110" t="str">
            <v xml:space="preserve"> </v>
          </cell>
          <cell r="AL110" t="str">
            <v xml:space="preserve"> </v>
          </cell>
          <cell r="AM110" t="str">
            <v xml:space="preserve"> </v>
          </cell>
          <cell r="AN110" t="str">
            <v xml:space="preserve"> </v>
          </cell>
          <cell r="AO110" t="str">
            <v xml:space="preserve"> </v>
          </cell>
          <cell r="AP110" t="str">
            <v xml:space="preserve"> </v>
          </cell>
          <cell r="AQ110" t="str">
            <v xml:space="preserve"> </v>
          </cell>
        </row>
        <row r="111">
          <cell r="A111" t="str">
            <v>FBD.......600250</v>
          </cell>
          <cell r="B111" t="str">
            <v>2004T12</v>
          </cell>
          <cell r="C111" t="str">
            <v xml:space="preserve">TREND    </v>
          </cell>
          <cell r="D111" t="str">
            <v xml:space="preserve">Trend -  QTD Average/Activity                     </v>
          </cell>
          <cell r="E111" t="str">
            <v>Run: 08/07/03 14:02:44</v>
          </cell>
          <cell r="F111" t="str">
            <v>999</v>
          </cell>
          <cell r="G111" t="str">
            <v>100</v>
          </cell>
          <cell r="H111" t="str">
            <v xml:space="preserve">Bank Of America Management Reporting              </v>
          </cell>
          <cell r="I111" t="str">
            <v>001</v>
          </cell>
          <cell r="J111" t="str">
            <v>FBD.......</v>
          </cell>
          <cell r="K111" t="str">
            <v xml:space="preserve">Emg Ops Asia                                      </v>
          </cell>
          <cell r="L111" t="str">
            <v xml:space="preserve"> </v>
          </cell>
          <cell r="M111" t="str">
            <v xml:space="preserve"> </v>
          </cell>
          <cell r="N111" t="str">
            <v>bamgt</v>
          </cell>
          <cell r="O111" t="str">
            <v>40</v>
          </cell>
          <cell r="P111" t="str">
            <v>600000A  600250   999999999999999999999999999999999999999999999999999999</v>
          </cell>
          <cell r="Q111" t="str">
            <v xml:space="preserve">none     </v>
          </cell>
          <cell r="R111" t="str">
            <v>RollFCST-Working Version</v>
          </cell>
          <cell r="S111" t="str">
            <v>RollFCST-Working Version</v>
          </cell>
          <cell r="T111" t="str">
            <v xml:space="preserve"> </v>
          </cell>
          <cell r="U111" t="str">
            <v xml:space="preserve"> </v>
          </cell>
          <cell r="V111" t="str">
            <v>600250</v>
          </cell>
          <cell r="W111" t="str">
            <v>2</v>
          </cell>
          <cell r="X111" t="str">
            <v xml:space="preserve">  Personnel                             </v>
          </cell>
          <cell r="Y111">
            <v>520</v>
          </cell>
          <cell r="Z111">
            <v>547.92999999999995</v>
          </cell>
          <cell r="AA111">
            <v>530</v>
          </cell>
          <cell r="AB111">
            <v>546</v>
          </cell>
          <cell r="AC111">
            <v>2143.9299999999998</v>
          </cell>
          <cell r="AD111">
            <v>735</v>
          </cell>
          <cell r="AE111">
            <v>778</v>
          </cell>
          <cell r="AF111">
            <v>792</v>
          </cell>
          <cell r="AG111">
            <v>792</v>
          </cell>
          <cell r="AH111">
            <v>3097</v>
          </cell>
          <cell r="AI111" t="str">
            <v xml:space="preserve">U.S. Dollar                   </v>
          </cell>
          <cell r="AJ111" t="str">
            <v xml:space="preserve"> </v>
          </cell>
          <cell r="AK111" t="str">
            <v xml:space="preserve"> </v>
          </cell>
          <cell r="AL111" t="str">
            <v xml:space="preserve"> </v>
          </cell>
          <cell r="AM111" t="str">
            <v xml:space="preserve"> </v>
          </cell>
          <cell r="AN111" t="str">
            <v xml:space="preserve"> </v>
          </cell>
          <cell r="AO111" t="str">
            <v xml:space="preserve"> </v>
          </cell>
          <cell r="AP111" t="str">
            <v xml:space="preserve"> </v>
          </cell>
          <cell r="AQ111" t="str">
            <v xml:space="preserve"> </v>
          </cell>
        </row>
        <row r="112">
          <cell r="A112" t="str">
            <v>FBD.......610000</v>
          </cell>
          <cell r="B112" t="str">
            <v>2004T12</v>
          </cell>
          <cell r="C112" t="str">
            <v xml:space="preserve">TREND    </v>
          </cell>
          <cell r="D112" t="str">
            <v xml:space="preserve">Trend -  QTD Average/Activity                     </v>
          </cell>
          <cell r="E112" t="str">
            <v>Run: 08/07/03 14:02:44</v>
          </cell>
          <cell r="F112" t="str">
            <v>999</v>
          </cell>
          <cell r="G112" t="str">
            <v>100</v>
          </cell>
          <cell r="H112" t="str">
            <v xml:space="preserve">Bank Of America Management Reporting              </v>
          </cell>
          <cell r="I112" t="str">
            <v>001</v>
          </cell>
          <cell r="J112" t="str">
            <v>FBD.......</v>
          </cell>
          <cell r="K112" t="str">
            <v xml:space="preserve">Emg Ops Asia                                      </v>
          </cell>
          <cell r="L112" t="str">
            <v xml:space="preserve"> </v>
          </cell>
          <cell r="M112" t="str">
            <v xml:space="preserve"> </v>
          </cell>
          <cell r="N112" t="str">
            <v>bamgt</v>
          </cell>
          <cell r="O112" t="str">
            <v>40</v>
          </cell>
          <cell r="P112" t="str">
            <v>600000A  610000   999999999999999999999999999999999999999999999999999999</v>
          </cell>
          <cell r="Q112" t="str">
            <v xml:space="preserve">none     </v>
          </cell>
          <cell r="R112" t="str">
            <v>RollFCST-Working Version</v>
          </cell>
          <cell r="S112" t="str">
            <v>RollFCST-Working Version</v>
          </cell>
          <cell r="T112" t="str">
            <v xml:space="preserve"> </v>
          </cell>
          <cell r="U112" t="str">
            <v xml:space="preserve"> </v>
          </cell>
          <cell r="V112" t="str">
            <v>610000</v>
          </cell>
          <cell r="W112" t="str">
            <v>2</v>
          </cell>
          <cell r="X112" t="str">
            <v xml:space="preserve">  Net Occupancy Expense                 </v>
          </cell>
          <cell r="Y112">
            <v>128.13</v>
          </cell>
          <cell r="Z112">
            <v>151.15</v>
          </cell>
          <cell r="AA112">
            <v>129.15</v>
          </cell>
          <cell r="AB112">
            <v>135.15</v>
          </cell>
          <cell r="AC112">
            <v>543.58000000000004</v>
          </cell>
          <cell r="AD112">
            <v>141</v>
          </cell>
          <cell r="AE112">
            <v>141</v>
          </cell>
          <cell r="AF112">
            <v>141</v>
          </cell>
          <cell r="AG112">
            <v>141</v>
          </cell>
          <cell r="AH112">
            <v>564</v>
          </cell>
          <cell r="AI112" t="str">
            <v xml:space="preserve">U.S. Dollar                   </v>
          </cell>
          <cell r="AJ112" t="str">
            <v xml:space="preserve"> </v>
          </cell>
          <cell r="AK112" t="str">
            <v xml:space="preserve"> </v>
          </cell>
          <cell r="AL112" t="str">
            <v xml:space="preserve"> </v>
          </cell>
          <cell r="AM112" t="str">
            <v xml:space="preserve"> </v>
          </cell>
          <cell r="AN112" t="str">
            <v xml:space="preserve"> </v>
          </cell>
          <cell r="AO112" t="str">
            <v xml:space="preserve"> </v>
          </cell>
          <cell r="AP112" t="str">
            <v xml:space="preserve"> </v>
          </cell>
          <cell r="AQ112" t="str">
            <v xml:space="preserve"> </v>
          </cell>
        </row>
        <row r="113">
          <cell r="A113" t="str">
            <v>FBD.......620000</v>
          </cell>
          <cell r="B113" t="str">
            <v>2004T12</v>
          </cell>
          <cell r="C113" t="str">
            <v xml:space="preserve">TREND    </v>
          </cell>
          <cell r="D113" t="str">
            <v xml:space="preserve">Trend -  QTD Average/Activity                     </v>
          </cell>
          <cell r="E113" t="str">
            <v>Run: 08/07/03 14:02:44</v>
          </cell>
          <cell r="F113" t="str">
            <v>999</v>
          </cell>
          <cell r="G113" t="str">
            <v>100</v>
          </cell>
          <cell r="H113" t="str">
            <v xml:space="preserve">Bank Of America Management Reporting              </v>
          </cell>
          <cell r="I113" t="str">
            <v>001</v>
          </cell>
          <cell r="J113" t="str">
            <v>FBD.......</v>
          </cell>
          <cell r="K113" t="str">
            <v xml:space="preserve">Emg Ops Asia                                      </v>
          </cell>
          <cell r="L113" t="str">
            <v xml:space="preserve"> </v>
          </cell>
          <cell r="M113" t="str">
            <v xml:space="preserve"> </v>
          </cell>
          <cell r="N113" t="str">
            <v>bamgt</v>
          </cell>
          <cell r="O113" t="str">
            <v>40</v>
          </cell>
          <cell r="P113" t="str">
            <v>600000A  620000   999999999999999999999999999999999999999999999999999999</v>
          </cell>
          <cell r="Q113" t="str">
            <v xml:space="preserve">none     </v>
          </cell>
          <cell r="R113" t="str">
            <v>RollFCST-Working Version</v>
          </cell>
          <cell r="S113" t="str">
            <v>RollFCST-Working Version</v>
          </cell>
          <cell r="T113" t="str">
            <v xml:space="preserve"> </v>
          </cell>
          <cell r="U113" t="str">
            <v xml:space="preserve"> </v>
          </cell>
          <cell r="V113" t="str">
            <v>620000</v>
          </cell>
          <cell r="W113" t="str">
            <v>2</v>
          </cell>
          <cell r="X113" t="str">
            <v xml:space="preserve">  Furniture &amp; Equipment                 </v>
          </cell>
          <cell r="Y113">
            <v>30</v>
          </cell>
          <cell r="Z113">
            <v>33.130000000000003</v>
          </cell>
          <cell r="AA113">
            <v>30</v>
          </cell>
          <cell r="AB113">
            <v>31</v>
          </cell>
          <cell r="AC113">
            <v>124.13</v>
          </cell>
          <cell r="AD113">
            <v>36</v>
          </cell>
          <cell r="AE113">
            <v>36</v>
          </cell>
          <cell r="AF113">
            <v>36</v>
          </cell>
          <cell r="AG113">
            <v>36</v>
          </cell>
          <cell r="AH113">
            <v>144</v>
          </cell>
          <cell r="AI113" t="str">
            <v xml:space="preserve">U.S. Dollar                   </v>
          </cell>
          <cell r="AJ113" t="str">
            <v xml:space="preserve"> </v>
          </cell>
          <cell r="AK113" t="str">
            <v xml:space="preserve"> </v>
          </cell>
          <cell r="AL113" t="str">
            <v xml:space="preserve"> </v>
          </cell>
          <cell r="AM113" t="str">
            <v xml:space="preserve"> </v>
          </cell>
          <cell r="AN113" t="str">
            <v xml:space="preserve"> </v>
          </cell>
          <cell r="AO113" t="str">
            <v xml:space="preserve"> </v>
          </cell>
          <cell r="AP113" t="str">
            <v xml:space="preserve"> </v>
          </cell>
          <cell r="AQ113" t="str">
            <v xml:space="preserve"> </v>
          </cell>
        </row>
        <row r="114">
          <cell r="A114" t="str">
            <v>FBD.......623000</v>
          </cell>
          <cell r="B114" t="str">
            <v>2004T12</v>
          </cell>
          <cell r="C114" t="str">
            <v xml:space="preserve">TREND    </v>
          </cell>
          <cell r="D114" t="str">
            <v xml:space="preserve">Trend -  QTD Average/Activity                     </v>
          </cell>
          <cell r="E114" t="str">
            <v>Run: 08/07/03 14:02:44</v>
          </cell>
          <cell r="F114" t="str">
            <v>999</v>
          </cell>
          <cell r="G114" t="str">
            <v>100</v>
          </cell>
          <cell r="H114" t="str">
            <v xml:space="preserve">Bank Of America Management Reporting              </v>
          </cell>
          <cell r="I114" t="str">
            <v>001</v>
          </cell>
          <cell r="J114" t="str">
            <v>FBD.......</v>
          </cell>
          <cell r="K114" t="str">
            <v xml:space="preserve">Emg Ops Asia                                      </v>
          </cell>
          <cell r="L114" t="str">
            <v xml:space="preserve"> </v>
          </cell>
          <cell r="M114" t="str">
            <v xml:space="preserve"> </v>
          </cell>
          <cell r="N114" t="str">
            <v>bamgt</v>
          </cell>
          <cell r="O114" t="str">
            <v>40</v>
          </cell>
          <cell r="P114" t="str">
            <v>600000A  623000   999999999999999999999999999999999999999999999999999999</v>
          </cell>
          <cell r="Q114" t="str">
            <v xml:space="preserve">none     </v>
          </cell>
          <cell r="R114" t="str">
            <v>RollFCST-Working Version</v>
          </cell>
          <cell r="S114" t="str">
            <v>RollFCST-Working Version</v>
          </cell>
          <cell r="T114" t="str">
            <v xml:space="preserve"> </v>
          </cell>
          <cell r="U114" t="str">
            <v xml:space="preserve"> </v>
          </cell>
          <cell r="V114" t="str">
            <v>623000</v>
          </cell>
          <cell r="W114" t="str">
            <v>2</v>
          </cell>
          <cell r="X114" t="str">
            <v xml:space="preserve">  Marketing &amp; Promotional               </v>
          </cell>
          <cell r="Y114">
            <v>0</v>
          </cell>
          <cell r="Z114">
            <v>-0.15</v>
          </cell>
          <cell r="AA114">
            <v>0</v>
          </cell>
          <cell r="AB114">
            <v>0</v>
          </cell>
          <cell r="AC114">
            <v>-0.15</v>
          </cell>
          <cell r="AD114">
            <v>0</v>
          </cell>
          <cell r="AE114">
            <v>0</v>
          </cell>
          <cell r="AF114">
            <v>0</v>
          </cell>
          <cell r="AG114">
            <v>0</v>
          </cell>
          <cell r="AH114">
            <v>0</v>
          </cell>
          <cell r="AI114" t="str">
            <v xml:space="preserve">U.S. Dollar                   </v>
          </cell>
          <cell r="AJ114" t="str">
            <v xml:space="preserve"> </v>
          </cell>
          <cell r="AK114" t="str">
            <v xml:space="preserve"> </v>
          </cell>
          <cell r="AL114" t="str">
            <v xml:space="preserve"> </v>
          </cell>
          <cell r="AM114" t="str">
            <v xml:space="preserve"> </v>
          </cell>
          <cell r="AN114" t="str">
            <v xml:space="preserve"> </v>
          </cell>
          <cell r="AO114" t="str">
            <v xml:space="preserve"> </v>
          </cell>
          <cell r="AP114" t="str">
            <v xml:space="preserve"> </v>
          </cell>
          <cell r="AQ114" t="str">
            <v xml:space="preserve"> </v>
          </cell>
        </row>
        <row r="115">
          <cell r="A115" t="str">
            <v>FBD.......630000</v>
          </cell>
          <cell r="B115" t="str">
            <v>2004T12</v>
          </cell>
          <cell r="C115" t="str">
            <v xml:space="preserve">TREND    </v>
          </cell>
          <cell r="D115" t="str">
            <v xml:space="preserve">Trend -  QTD Average/Activity                     </v>
          </cell>
          <cell r="E115" t="str">
            <v>Run: 08/07/03 14:02:44</v>
          </cell>
          <cell r="F115" t="str">
            <v>999</v>
          </cell>
          <cell r="G115" t="str">
            <v>100</v>
          </cell>
          <cell r="H115" t="str">
            <v xml:space="preserve">Bank Of America Management Reporting              </v>
          </cell>
          <cell r="I115" t="str">
            <v>001</v>
          </cell>
          <cell r="J115" t="str">
            <v>FBD.......</v>
          </cell>
          <cell r="K115" t="str">
            <v xml:space="preserve">Emg Ops Asia                                      </v>
          </cell>
          <cell r="L115" t="str">
            <v xml:space="preserve"> </v>
          </cell>
          <cell r="M115" t="str">
            <v xml:space="preserve"> </v>
          </cell>
          <cell r="N115" t="str">
            <v>bamgt</v>
          </cell>
          <cell r="O115" t="str">
            <v>40</v>
          </cell>
          <cell r="P115" t="str">
            <v>600000A  630000   999999999999999999999999999999999999999999999999999999</v>
          </cell>
          <cell r="Q115" t="str">
            <v xml:space="preserve">none     </v>
          </cell>
          <cell r="R115" t="str">
            <v>RollFCST-Working Version</v>
          </cell>
          <cell r="S115" t="str">
            <v>RollFCST-Working Version</v>
          </cell>
          <cell r="T115" t="str">
            <v xml:space="preserve"> </v>
          </cell>
          <cell r="U115" t="str">
            <v xml:space="preserve"> </v>
          </cell>
          <cell r="V115" t="str">
            <v>630000</v>
          </cell>
          <cell r="W115" t="str">
            <v>2</v>
          </cell>
          <cell r="X115" t="str">
            <v xml:space="preserve">  Professional Fees                     </v>
          </cell>
          <cell r="Y115">
            <v>3</v>
          </cell>
          <cell r="Z115">
            <v>3.76</v>
          </cell>
          <cell r="AA115">
            <v>3</v>
          </cell>
          <cell r="AB115">
            <v>3</v>
          </cell>
          <cell r="AC115">
            <v>12.76</v>
          </cell>
          <cell r="AD115">
            <v>3</v>
          </cell>
          <cell r="AE115">
            <v>3</v>
          </cell>
          <cell r="AF115">
            <v>3</v>
          </cell>
          <cell r="AG115">
            <v>3</v>
          </cell>
          <cell r="AH115">
            <v>12</v>
          </cell>
          <cell r="AI115" t="str">
            <v xml:space="preserve">U.S. Dollar                   </v>
          </cell>
          <cell r="AJ115" t="str">
            <v xml:space="preserve"> </v>
          </cell>
          <cell r="AK115" t="str">
            <v xml:space="preserve"> </v>
          </cell>
          <cell r="AL115" t="str">
            <v xml:space="preserve"> </v>
          </cell>
          <cell r="AM115" t="str">
            <v xml:space="preserve"> </v>
          </cell>
          <cell r="AN115" t="str">
            <v xml:space="preserve"> </v>
          </cell>
          <cell r="AO115" t="str">
            <v xml:space="preserve"> </v>
          </cell>
          <cell r="AP115" t="str">
            <v xml:space="preserve"> </v>
          </cell>
          <cell r="AQ115" t="str">
            <v xml:space="preserve"> </v>
          </cell>
        </row>
        <row r="116">
          <cell r="A116" t="str">
            <v>FBD.......651500A</v>
          </cell>
          <cell r="B116" t="str">
            <v>2004T12</v>
          </cell>
          <cell r="C116" t="str">
            <v xml:space="preserve">TREND    </v>
          </cell>
          <cell r="D116" t="str">
            <v xml:space="preserve">Trend -  QTD Average/Activity                     </v>
          </cell>
          <cell r="E116" t="str">
            <v>Run: 08/07/03 14:02:44</v>
          </cell>
          <cell r="F116" t="str">
            <v>999</v>
          </cell>
          <cell r="G116" t="str">
            <v>100</v>
          </cell>
          <cell r="H116" t="str">
            <v xml:space="preserve">Bank Of America Management Reporting              </v>
          </cell>
          <cell r="I116" t="str">
            <v>001</v>
          </cell>
          <cell r="J116" t="str">
            <v>FBD.......</v>
          </cell>
          <cell r="K116" t="str">
            <v xml:space="preserve">Emg Ops Asia                                      </v>
          </cell>
          <cell r="L116" t="str">
            <v xml:space="preserve"> </v>
          </cell>
          <cell r="M116" t="str">
            <v xml:space="preserve"> </v>
          </cell>
          <cell r="N116" t="str">
            <v>bamgt</v>
          </cell>
          <cell r="O116" t="str">
            <v>40</v>
          </cell>
          <cell r="P116" t="str">
            <v>600000A  651500A  999999999999999999999999999999999999999999999999999999</v>
          </cell>
          <cell r="Q116" t="str">
            <v xml:space="preserve">none     </v>
          </cell>
          <cell r="R116" t="str">
            <v>RollFCST-Working Version</v>
          </cell>
          <cell r="S116" t="str">
            <v>RollFCST-Working Version</v>
          </cell>
          <cell r="T116" t="str">
            <v xml:space="preserve"> </v>
          </cell>
          <cell r="U116" t="str">
            <v xml:space="preserve"> </v>
          </cell>
          <cell r="V116" t="str">
            <v>651500A</v>
          </cell>
          <cell r="W116" t="str">
            <v>2</v>
          </cell>
          <cell r="X116" t="str">
            <v xml:space="preserve">  Direct Processing Expense             </v>
          </cell>
          <cell r="Y116">
            <v>1</v>
          </cell>
          <cell r="Z116">
            <v>-2</v>
          </cell>
          <cell r="AA116">
            <v>13</v>
          </cell>
          <cell r="AB116">
            <v>14</v>
          </cell>
          <cell r="AC116">
            <v>26</v>
          </cell>
          <cell r="AD116">
            <v>12</v>
          </cell>
          <cell r="AE116">
            <v>12</v>
          </cell>
          <cell r="AF116">
            <v>12</v>
          </cell>
          <cell r="AG116">
            <v>12</v>
          </cell>
          <cell r="AH116">
            <v>48</v>
          </cell>
          <cell r="AI116" t="str">
            <v xml:space="preserve">U.S. Dollar                   </v>
          </cell>
          <cell r="AJ116" t="str">
            <v xml:space="preserve"> </v>
          </cell>
          <cell r="AK116" t="str">
            <v xml:space="preserve"> </v>
          </cell>
          <cell r="AL116" t="str">
            <v xml:space="preserve"> </v>
          </cell>
          <cell r="AM116" t="str">
            <v xml:space="preserve"> </v>
          </cell>
          <cell r="AN116" t="str">
            <v xml:space="preserve"> </v>
          </cell>
          <cell r="AO116" t="str">
            <v xml:space="preserve"> </v>
          </cell>
          <cell r="AP116" t="str">
            <v xml:space="preserve"> </v>
          </cell>
          <cell r="AQ116" t="str">
            <v xml:space="preserve"> </v>
          </cell>
        </row>
        <row r="117">
          <cell r="A117" t="str">
            <v>FBD.......660000A</v>
          </cell>
          <cell r="B117" t="str">
            <v>2004T12</v>
          </cell>
          <cell r="C117" t="str">
            <v xml:space="preserve">TREND    </v>
          </cell>
          <cell r="D117" t="str">
            <v xml:space="preserve">Trend -  QTD Average/Activity                     </v>
          </cell>
          <cell r="E117" t="str">
            <v>Run: 08/07/03 14:02:44</v>
          </cell>
          <cell r="F117" t="str">
            <v>999</v>
          </cell>
          <cell r="G117" t="str">
            <v>100</v>
          </cell>
          <cell r="H117" t="str">
            <v xml:space="preserve">Bank Of America Management Reporting              </v>
          </cell>
          <cell r="I117" t="str">
            <v>001</v>
          </cell>
          <cell r="J117" t="str">
            <v>FBD.......</v>
          </cell>
          <cell r="K117" t="str">
            <v xml:space="preserve">Emg Ops Asia                                      </v>
          </cell>
          <cell r="L117" t="str">
            <v xml:space="preserve"> </v>
          </cell>
          <cell r="M117" t="str">
            <v xml:space="preserve"> </v>
          </cell>
          <cell r="N117" t="str">
            <v>bamgt</v>
          </cell>
          <cell r="O117" t="str">
            <v>40</v>
          </cell>
          <cell r="P117" t="str">
            <v>600000A  660000A  999999999999999999999999999999999999999999999999999999</v>
          </cell>
          <cell r="Q117" t="str">
            <v xml:space="preserve">none     </v>
          </cell>
          <cell r="R117" t="str">
            <v>RollFCST-Working Version</v>
          </cell>
          <cell r="S117" t="str">
            <v>RollFCST-Working Version</v>
          </cell>
          <cell r="T117" t="str">
            <v xml:space="preserve"> </v>
          </cell>
          <cell r="U117" t="str">
            <v xml:space="preserve"> </v>
          </cell>
          <cell r="V117" t="str">
            <v>660000A</v>
          </cell>
          <cell r="W117" t="str">
            <v>2</v>
          </cell>
          <cell r="X117" t="str">
            <v xml:space="preserve">  Telecommunications                    </v>
          </cell>
          <cell r="Y117">
            <v>9.9</v>
          </cell>
          <cell r="Z117">
            <v>12.77</v>
          </cell>
          <cell r="AA117">
            <v>8.73</v>
          </cell>
          <cell r="AB117">
            <v>9.73</v>
          </cell>
          <cell r="AC117">
            <v>41.13</v>
          </cell>
          <cell r="AD117">
            <v>12</v>
          </cell>
          <cell r="AE117">
            <v>12</v>
          </cell>
          <cell r="AF117">
            <v>12</v>
          </cell>
          <cell r="AG117">
            <v>12</v>
          </cell>
          <cell r="AH117">
            <v>48</v>
          </cell>
          <cell r="AI117" t="str">
            <v xml:space="preserve">U.S. Dollar                   </v>
          </cell>
          <cell r="AJ117" t="str">
            <v xml:space="preserve"> </v>
          </cell>
          <cell r="AK117" t="str">
            <v xml:space="preserve"> </v>
          </cell>
          <cell r="AL117" t="str">
            <v xml:space="preserve"> </v>
          </cell>
          <cell r="AM117" t="str">
            <v xml:space="preserve"> </v>
          </cell>
          <cell r="AN117" t="str">
            <v xml:space="preserve"> </v>
          </cell>
          <cell r="AO117" t="str">
            <v xml:space="preserve"> </v>
          </cell>
          <cell r="AP117" t="str">
            <v xml:space="preserve"> </v>
          </cell>
          <cell r="AQ117" t="str">
            <v xml:space="preserve"> </v>
          </cell>
        </row>
        <row r="118">
          <cell r="A118" t="str">
            <v>FBD.......663000</v>
          </cell>
          <cell r="B118" t="str">
            <v>2004T12</v>
          </cell>
          <cell r="C118" t="str">
            <v xml:space="preserve">TREND    </v>
          </cell>
          <cell r="D118" t="str">
            <v xml:space="preserve">Trend -  QTD Average/Activity                     </v>
          </cell>
          <cell r="E118" t="str">
            <v>Run: 08/07/03 14:02:44</v>
          </cell>
          <cell r="F118" t="str">
            <v>999</v>
          </cell>
          <cell r="G118" t="str">
            <v>100</v>
          </cell>
          <cell r="H118" t="str">
            <v xml:space="preserve">Bank Of America Management Reporting              </v>
          </cell>
          <cell r="I118" t="str">
            <v>001</v>
          </cell>
          <cell r="J118" t="str">
            <v>FBD.......</v>
          </cell>
          <cell r="K118" t="str">
            <v xml:space="preserve">Emg Ops Asia                                      </v>
          </cell>
          <cell r="L118" t="str">
            <v xml:space="preserve"> </v>
          </cell>
          <cell r="M118" t="str">
            <v xml:space="preserve"> </v>
          </cell>
          <cell r="N118" t="str">
            <v>bamgt</v>
          </cell>
          <cell r="O118" t="str">
            <v>40</v>
          </cell>
          <cell r="P118" t="str">
            <v>600000A  662999B  662999C  663000   999999999999999999999999999999999999</v>
          </cell>
          <cell r="Q118" t="str">
            <v xml:space="preserve">none     </v>
          </cell>
          <cell r="R118" t="str">
            <v>RollFCST-Working Version</v>
          </cell>
          <cell r="S118" t="str">
            <v>RollFCST-Working Version</v>
          </cell>
          <cell r="T118" t="str">
            <v xml:space="preserve"> </v>
          </cell>
          <cell r="U118" t="str">
            <v xml:space="preserve"> </v>
          </cell>
          <cell r="V118" t="str">
            <v>663000</v>
          </cell>
          <cell r="W118" t="str">
            <v>4</v>
          </cell>
          <cell r="X118" t="str">
            <v xml:space="preserve">      Supplies                          </v>
          </cell>
          <cell r="Y118">
            <v>9</v>
          </cell>
          <cell r="Z118">
            <v>9</v>
          </cell>
          <cell r="AA118">
            <v>9</v>
          </cell>
          <cell r="AB118">
            <v>9</v>
          </cell>
          <cell r="AC118">
            <v>36</v>
          </cell>
          <cell r="AD118">
            <v>12</v>
          </cell>
          <cell r="AE118">
            <v>12</v>
          </cell>
          <cell r="AF118">
            <v>12</v>
          </cell>
          <cell r="AG118">
            <v>12</v>
          </cell>
          <cell r="AH118">
            <v>48</v>
          </cell>
          <cell r="AI118" t="str">
            <v xml:space="preserve">U.S. Dollar                   </v>
          </cell>
          <cell r="AJ118" t="str">
            <v xml:space="preserve"> </v>
          </cell>
          <cell r="AK118" t="str">
            <v xml:space="preserve"> </v>
          </cell>
          <cell r="AL118" t="str">
            <v xml:space="preserve"> </v>
          </cell>
          <cell r="AM118" t="str">
            <v xml:space="preserve"> </v>
          </cell>
          <cell r="AN118" t="str">
            <v xml:space="preserve"> </v>
          </cell>
          <cell r="AO118" t="str">
            <v xml:space="preserve"> </v>
          </cell>
          <cell r="AP118" t="str">
            <v xml:space="preserve"> </v>
          </cell>
          <cell r="AQ118" t="str">
            <v xml:space="preserve"> </v>
          </cell>
        </row>
        <row r="119">
          <cell r="A119" t="str">
            <v>FBD.......664500</v>
          </cell>
          <cell r="B119" t="str">
            <v>2004T12</v>
          </cell>
          <cell r="C119" t="str">
            <v xml:space="preserve">TREND    </v>
          </cell>
          <cell r="D119" t="str">
            <v xml:space="preserve">Trend -  QTD Average/Activity                     </v>
          </cell>
          <cell r="E119" t="str">
            <v>Run: 08/07/03 14:02:44</v>
          </cell>
          <cell r="F119" t="str">
            <v>999</v>
          </cell>
          <cell r="G119" t="str">
            <v>100</v>
          </cell>
          <cell r="H119" t="str">
            <v xml:space="preserve">Bank Of America Management Reporting              </v>
          </cell>
          <cell r="I119" t="str">
            <v>001</v>
          </cell>
          <cell r="J119" t="str">
            <v>FBD.......</v>
          </cell>
          <cell r="K119" t="str">
            <v xml:space="preserve">Emg Ops Asia                                      </v>
          </cell>
          <cell r="L119" t="str">
            <v xml:space="preserve"> </v>
          </cell>
          <cell r="M119" t="str">
            <v xml:space="preserve"> </v>
          </cell>
          <cell r="N119" t="str">
            <v>bamgt</v>
          </cell>
          <cell r="O119" t="str">
            <v>40</v>
          </cell>
          <cell r="P119" t="str">
            <v>600000A  662999B  662999C  664500   999999999999999999999999999999999999</v>
          </cell>
          <cell r="Q119" t="str">
            <v xml:space="preserve">none     </v>
          </cell>
          <cell r="R119" t="str">
            <v>RollFCST-Working Version</v>
          </cell>
          <cell r="S119" t="str">
            <v>RollFCST-Working Version</v>
          </cell>
          <cell r="T119" t="str">
            <v xml:space="preserve"> </v>
          </cell>
          <cell r="U119" t="str">
            <v xml:space="preserve"> </v>
          </cell>
          <cell r="V119" t="str">
            <v>664500</v>
          </cell>
          <cell r="W119" t="str">
            <v>4</v>
          </cell>
          <cell r="X119" t="str">
            <v xml:space="preserve">      Postage And Courier               </v>
          </cell>
          <cell r="Y119">
            <v>6</v>
          </cell>
          <cell r="Z119">
            <v>6</v>
          </cell>
          <cell r="AA119">
            <v>9</v>
          </cell>
          <cell r="AB119">
            <v>9</v>
          </cell>
          <cell r="AC119">
            <v>30</v>
          </cell>
          <cell r="AD119">
            <v>6</v>
          </cell>
          <cell r="AE119">
            <v>6</v>
          </cell>
          <cell r="AF119">
            <v>6</v>
          </cell>
          <cell r="AG119">
            <v>6</v>
          </cell>
          <cell r="AH119">
            <v>24</v>
          </cell>
          <cell r="AI119" t="str">
            <v xml:space="preserve">U.S. Dollar                   </v>
          </cell>
          <cell r="AJ119" t="str">
            <v xml:space="preserve"> </v>
          </cell>
          <cell r="AK119" t="str">
            <v xml:space="preserve"> </v>
          </cell>
          <cell r="AL119" t="str">
            <v xml:space="preserve"> </v>
          </cell>
          <cell r="AM119" t="str">
            <v xml:space="preserve"> </v>
          </cell>
          <cell r="AN119" t="str">
            <v xml:space="preserve"> </v>
          </cell>
          <cell r="AO119" t="str">
            <v xml:space="preserve"> </v>
          </cell>
          <cell r="AP119" t="str">
            <v xml:space="preserve"> </v>
          </cell>
          <cell r="AQ119" t="str">
            <v xml:space="preserve"> </v>
          </cell>
        </row>
        <row r="120">
          <cell r="A120" t="str">
            <v>FBD.......665499F</v>
          </cell>
          <cell r="B120" t="str">
            <v>2004T12</v>
          </cell>
          <cell r="C120" t="str">
            <v xml:space="preserve">TREND    </v>
          </cell>
          <cell r="D120" t="str">
            <v xml:space="preserve">Trend -  QTD Average/Activity                     </v>
          </cell>
          <cell r="E120" t="str">
            <v>Run: 08/07/03 14:02:44</v>
          </cell>
          <cell r="F120" t="str">
            <v>999</v>
          </cell>
          <cell r="G120" t="str">
            <v>100</v>
          </cell>
          <cell r="H120" t="str">
            <v xml:space="preserve">Bank Of America Management Reporting              </v>
          </cell>
          <cell r="I120" t="str">
            <v>001</v>
          </cell>
          <cell r="J120" t="str">
            <v>FBD.......</v>
          </cell>
          <cell r="K120" t="str">
            <v xml:space="preserve">Emg Ops Asia                                      </v>
          </cell>
          <cell r="L120" t="str">
            <v xml:space="preserve"> </v>
          </cell>
          <cell r="M120" t="str">
            <v xml:space="preserve"> </v>
          </cell>
          <cell r="N120" t="str">
            <v>bamgt</v>
          </cell>
          <cell r="O120" t="str">
            <v>40</v>
          </cell>
          <cell r="P120" t="str">
            <v>600000A  662999B  662999C  665499B  665499D  665499F  999999999999999999</v>
          </cell>
          <cell r="Q120" t="str">
            <v xml:space="preserve">none     </v>
          </cell>
          <cell r="R120" t="str">
            <v>RollFCST-Working Version</v>
          </cell>
          <cell r="S120" t="str">
            <v>RollFCST-Working Version</v>
          </cell>
          <cell r="T120" t="str">
            <v xml:space="preserve"> </v>
          </cell>
          <cell r="U120" t="str">
            <v xml:space="preserve"> </v>
          </cell>
          <cell r="V120" t="str">
            <v>665499F</v>
          </cell>
          <cell r="W120" t="str">
            <v>6</v>
          </cell>
          <cell r="X120" t="str">
            <v xml:space="preserve">          Relocation Expense            </v>
          </cell>
          <cell r="Y120">
            <v>0</v>
          </cell>
          <cell r="Z120">
            <v>0</v>
          </cell>
          <cell r="AA120">
            <v>0</v>
          </cell>
          <cell r="AB120">
            <v>0</v>
          </cell>
          <cell r="AC120">
            <v>0</v>
          </cell>
          <cell r="AD120">
            <v>0</v>
          </cell>
          <cell r="AE120">
            <v>0</v>
          </cell>
          <cell r="AF120">
            <v>0</v>
          </cell>
          <cell r="AG120">
            <v>0</v>
          </cell>
          <cell r="AH120">
            <v>0</v>
          </cell>
          <cell r="AI120" t="str">
            <v xml:space="preserve">U.S. Dollar                   </v>
          </cell>
          <cell r="AJ120" t="str">
            <v xml:space="preserve"> </v>
          </cell>
          <cell r="AK120" t="str">
            <v xml:space="preserve"> </v>
          </cell>
          <cell r="AL120" t="str">
            <v xml:space="preserve"> </v>
          </cell>
          <cell r="AM120" t="str">
            <v xml:space="preserve"> </v>
          </cell>
          <cell r="AN120" t="str">
            <v xml:space="preserve"> </v>
          </cell>
          <cell r="AO120" t="str">
            <v xml:space="preserve"> </v>
          </cell>
          <cell r="AP120" t="str">
            <v xml:space="preserve"> </v>
          </cell>
          <cell r="AQ120" t="str">
            <v xml:space="preserve"> </v>
          </cell>
        </row>
        <row r="121">
          <cell r="A121" t="str">
            <v>FBD.......665499J</v>
          </cell>
          <cell r="B121" t="str">
            <v>2004T12</v>
          </cell>
          <cell r="C121" t="str">
            <v xml:space="preserve">TREND    </v>
          </cell>
          <cell r="D121" t="str">
            <v xml:space="preserve">Trend -  QTD Average/Activity                     </v>
          </cell>
          <cell r="E121" t="str">
            <v>Run: 08/07/03 14:02:44</v>
          </cell>
          <cell r="F121" t="str">
            <v>999</v>
          </cell>
          <cell r="G121" t="str">
            <v>100</v>
          </cell>
          <cell r="H121" t="str">
            <v xml:space="preserve">Bank Of America Management Reporting              </v>
          </cell>
          <cell r="I121" t="str">
            <v>001</v>
          </cell>
          <cell r="J121" t="str">
            <v>FBD.......</v>
          </cell>
          <cell r="K121" t="str">
            <v xml:space="preserve">Emg Ops Asia                                      </v>
          </cell>
          <cell r="L121" t="str">
            <v xml:space="preserve"> </v>
          </cell>
          <cell r="M121" t="str">
            <v xml:space="preserve"> </v>
          </cell>
          <cell r="N121" t="str">
            <v>bamgt</v>
          </cell>
          <cell r="O121" t="str">
            <v>40</v>
          </cell>
          <cell r="P121" t="str">
            <v>600000A  662999B  662999C  665499B  665499D  665499H  665499J  999999999</v>
          </cell>
          <cell r="Q121" t="str">
            <v xml:space="preserve">none     </v>
          </cell>
          <cell r="R121" t="str">
            <v>RollFCST-Working Version</v>
          </cell>
          <cell r="S121" t="str">
            <v>RollFCST-Working Version</v>
          </cell>
          <cell r="T121" t="str">
            <v xml:space="preserve"> </v>
          </cell>
          <cell r="U121" t="str">
            <v xml:space="preserve"> </v>
          </cell>
          <cell r="V121" t="str">
            <v>665499J</v>
          </cell>
          <cell r="W121" t="str">
            <v>7</v>
          </cell>
          <cell r="X121" t="str">
            <v xml:space="preserve">            Employee Training &amp; Seminars</v>
          </cell>
          <cell r="Y121">
            <v>26</v>
          </cell>
          <cell r="Z121">
            <v>25</v>
          </cell>
          <cell r="AA121">
            <v>26</v>
          </cell>
          <cell r="AB121">
            <v>25</v>
          </cell>
          <cell r="AC121">
            <v>102</v>
          </cell>
          <cell r="AD121">
            <v>48</v>
          </cell>
          <cell r="AE121">
            <v>39</v>
          </cell>
          <cell r="AF121">
            <v>39</v>
          </cell>
          <cell r="AG121">
            <v>39</v>
          </cell>
          <cell r="AH121">
            <v>165</v>
          </cell>
          <cell r="AI121" t="str">
            <v xml:space="preserve">U.S. Dollar                   </v>
          </cell>
          <cell r="AJ121" t="str">
            <v xml:space="preserve"> </v>
          </cell>
          <cell r="AK121" t="str">
            <v xml:space="preserve"> </v>
          </cell>
          <cell r="AL121" t="str">
            <v xml:space="preserve"> </v>
          </cell>
          <cell r="AM121" t="str">
            <v xml:space="preserve"> </v>
          </cell>
          <cell r="AN121" t="str">
            <v xml:space="preserve"> </v>
          </cell>
          <cell r="AO121" t="str">
            <v xml:space="preserve"> </v>
          </cell>
          <cell r="AP121" t="str">
            <v xml:space="preserve"> </v>
          </cell>
          <cell r="AQ121" t="str">
            <v xml:space="preserve"> </v>
          </cell>
        </row>
        <row r="122">
          <cell r="A122" t="str">
            <v>FBD.......665499H</v>
          </cell>
          <cell r="B122" t="str">
            <v>2004T12</v>
          </cell>
          <cell r="C122" t="str">
            <v xml:space="preserve">TREND    </v>
          </cell>
          <cell r="D122" t="str">
            <v xml:space="preserve">Trend -  QTD Average/Activity                     </v>
          </cell>
          <cell r="E122" t="str">
            <v>Run: 08/07/03 14:02:44</v>
          </cell>
          <cell r="F122" t="str">
            <v>999</v>
          </cell>
          <cell r="G122" t="str">
            <v>100</v>
          </cell>
          <cell r="H122" t="str">
            <v xml:space="preserve">Bank Of America Management Reporting              </v>
          </cell>
          <cell r="I122" t="str">
            <v>001</v>
          </cell>
          <cell r="J122" t="str">
            <v>FBD.......</v>
          </cell>
          <cell r="K122" t="str">
            <v xml:space="preserve">Emg Ops Asia                                      </v>
          </cell>
          <cell r="L122" t="str">
            <v xml:space="preserve"> </v>
          </cell>
          <cell r="M122" t="str">
            <v xml:space="preserve"> </v>
          </cell>
          <cell r="N122" t="str">
            <v>bamgt</v>
          </cell>
          <cell r="O122" t="str">
            <v>40</v>
          </cell>
          <cell r="P122" t="str">
            <v>600000A  662999B  662999C  665499B  665499D  665499H  999999999999999999</v>
          </cell>
          <cell r="Q122" t="str">
            <v xml:space="preserve">none     </v>
          </cell>
          <cell r="R122" t="str">
            <v>RollFCST-Working Version</v>
          </cell>
          <cell r="S122" t="str">
            <v>RollFCST-Working Version</v>
          </cell>
          <cell r="T122" t="str">
            <v xml:space="preserve"> </v>
          </cell>
          <cell r="U122" t="str">
            <v xml:space="preserve"> </v>
          </cell>
          <cell r="V122" t="str">
            <v>665499H</v>
          </cell>
          <cell r="W122" t="str">
            <v>6</v>
          </cell>
          <cell r="X122" t="str">
            <v xml:space="preserve">          Other Employee Expense        </v>
          </cell>
          <cell r="Y122">
            <v>26</v>
          </cell>
          <cell r="Z122">
            <v>25</v>
          </cell>
          <cell r="AA122">
            <v>26</v>
          </cell>
          <cell r="AB122">
            <v>25</v>
          </cell>
          <cell r="AC122">
            <v>102</v>
          </cell>
          <cell r="AD122">
            <v>48</v>
          </cell>
          <cell r="AE122">
            <v>39</v>
          </cell>
          <cell r="AF122">
            <v>39</v>
          </cell>
          <cell r="AG122">
            <v>39</v>
          </cell>
          <cell r="AH122">
            <v>165</v>
          </cell>
          <cell r="AI122" t="str">
            <v xml:space="preserve">U.S. Dollar                   </v>
          </cell>
          <cell r="AJ122" t="str">
            <v xml:space="preserve"> </v>
          </cell>
          <cell r="AK122" t="str">
            <v xml:space="preserve"> </v>
          </cell>
          <cell r="AL122" t="str">
            <v xml:space="preserve"> </v>
          </cell>
          <cell r="AM122" t="str">
            <v xml:space="preserve"> </v>
          </cell>
          <cell r="AN122" t="str">
            <v xml:space="preserve"> </v>
          </cell>
          <cell r="AO122" t="str">
            <v xml:space="preserve"> </v>
          </cell>
          <cell r="AP122" t="str">
            <v xml:space="preserve"> </v>
          </cell>
          <cell r="AQ122" t="str">
            <v xml:space="preserve"> </v>
          </cell>
        </row>
        <row r="123">
          <cell r="A123" t="str">
            <v>FBD.......665499D</v>
          </cell>
          <cell r="B123" t="str">
            <v>2004T12</v>
          </cell>
          <cell r="C123" t="str">
            <v xml:space="preserve">TREND    </v>
          </cell>
          <cell r="D123" t="str">
            <v xml:space="preserve">Trend -  QTD Average/Activity                     </v>
          </cell>
          <cell r="E123" t="str">
            <v>Run: 08/07/03 14:02:44</v>
          </cell>
          <cell r="F123" t="str">
            <v>999</v>
          </cell>
          <cell r="G123" t="str">
            <v>100</v>
          </cell>
          <cell r="H123" t="str">
            <v xml:space="preserve">Bank Of America Management Reporting              </v>
          </cell>
          <cell r="I123" t="str">
            <v>001</v>
          </cell>
          <cell r="J123" t="str">
            <v>FBD.......</v>
          </cell>
          <cell r="K123" t="str">
            <v xml:space="preserve">Emg Ops Asia                                      </v>
          </cell>
          <cell r="L123" t="str">
            <v xml:space="preserve"> </v>
          </cell>
          <cell r="M123" t="str">
            <v xml:space="preserve"> </v>
          </cell>
          <cell r="N123" t="str">
            <v>bamgt</v>
          </cell>
          <cell r="O123" t="str">
            <v>40</v>
          </cell>
          <cell r="P123" t="str">
            <v>600000A  662999B  662999C  665499B  665499D  999999999999999999999999999</v>
          </cell>
          <cell r="Q123" t="str">
            <v xml:space="preserve">none     </v>
          </cell>
          <cell r="R123" t="str">
            <v>RollFCST-Working Version</v>
          </cell>
          <cell r="S123" t="str">
            <v>RollFCST-Working Version</v>
          </cell>
          <cell r="T123" t="str">
            <v xml:space="preserve"> </v>
          </cell>
          <cell r="U123" t="str">
            <v xml:space="preserve"> </v>
          </cell>
          <cell r="V123" t="str">
            <v>665499D</v>
          </cell>
          <cell r="W123" t="str">
            <v>5</v>
          </cell>
          <cell r="X123" t="str">
            <v xml:space="preserve">        Employee Expense                </v>
          </cell>
          <cell r="Y123">
            <v>26</v>
          </cell>
          <cell r="Z123">
            <v>25</v>
          </cell>
          <cell r="AA123">
            <v>26</v>
          </cell>
          <cell r="AB123">
            <v>25</v>
          </cell>
          <cell r="AC123">
            <v>102</v>
          </cell>
          <cell r="AD123">
            <v>48</v>
          </cell>
          <cell r="AE123">
            <v>39</v>
          </cell>
          <cell r="AF123">
            <v>39</v>
          </cell>
          <cell r="AG123">
            <v>39</v>
          </cell>
          <cell r="AH123">
            <v>165</v>
          </cell>
          <cell r="AI123" t="str">
            <v xml:space="preserve">U.S. Dollar                   </v>
          </cell>
          <cell r="AJ123" t="str">
            <v xml:space="preserve"> </v>
          </cell>
          <cell r="AK123" t="str">
            <v xml:space="preserve"> </v>
          </cell>
          <cell r="AL123" t="str">
            <v xml:space="preserve"> </v>
          </cell>
          <cell r="AM123" t="str">
            <v xml:space="preserve"> </v>
          </cell>
          <cell r="AN123" t="str">
            <v xml:space="preserve"> </v>
          </cell>
          <cell r="AO123" t="str">
            <v xml:space="preserve"> </v>
          </cell>
          <cell r="AP123" t="str">
            <v xml:space="preserve"> </v>
          </cell>
          <cell r="AQ123" t="str">
            <v xml:space="preserve"> </v>
          </cell>
        </row>
        <row r="124">
          <cell r="A124" t="str">
            <v>FBD.......665499B</v>
          </cell>
          <cell r="B124" t="str">
            <v>2004T12</v>
          </cell>
          <cell r="C124" t="str">
            <v xml:space="preserve">TREND    </v>
          </cell>
          <cell r="D124" t="str">
            <v xml:space="preserve">Trend -  QTD Average/Activity                     </v>
          </cell>
          <cell r="E124" t="str">
            <v>Run: 08/07/03 14:02:44</v>
          </cell>
          <cell r="F124" t="str">
            <v>999</v>
          </cell>
          <cell r="G124" t="str">
            <v>100</v>
          </cell>
          <cell r="H124" t="str">
            <v xml:space="preserve">Bank Of America Management Reporting              </v>
          </cell>
          <cell r="I124" t="str">
            <v>001</v>
          </cell>
          <cell r="J124" t="str">
            <v>FBD.......</v>
          </cell>
          <cell r="K124" t="str">
            <v xml:space="preserve">Emg Ops Asia                                      </v>
          </cell>
          <cell r="L124" t="str">
            <v xml:space="preserve"> </v>
          </cell>
          <cell r="M124" t="str">
            <v xml:space="preserve"> </v>
          </cell>
          <cell r="N124" t="str">
            <v>bamgt</v>
          </cell>
          <cell r="O124" t="str">
            <v>40</v>
          </cell>
          <cell r="P124" t="str">
            <v>600000A  662999B  662999C  665499B  999999999999999999999999999999999999</v>
          </cell>
          <cell r="Q124" t="str">
            <v xml:space="preserve">none     </v>
          </cell>
          <cell r="R124" t="str">
            <v>RollFCST-Working Version</v>
          </cell>
          <cell r="S124" t="str">
            <v>RollFCST-Working Version</v>
          </cell>
          <cell r="T124" t="str">
            <v xml:space="preserve"> </v>
          </cell>
          <cell r="U124" t="str">
            <v xml:space="preserve"> </v>
          </cell>
          <cell r="V124" t="str">
            <v>665499B</v>
          </cell>
          <cell r="W124" t="str">
            <v>4</v>
          </cell>
          <cell r="X124" t="str">
            <v xml:space="preserve">      Other Operating Expense           </v>
          </cell>
          <cell r="Y124">
            <v>31</v>
          </cell>
          <cell r="Z124">
            <v>33</v>
          </cell>
          <cell r="AA124">
            <v>38</v>
          </cell>
          <cell r="AB124">
            <v>37</v>
          </cell>
          <cell r="AC124">
            <v>139</v>
          </cell>
          <cell r="AD124">
            <v>48</v>
          </cell>
          <cell r="AE124">
            <v>39</v>
          </cell>
          <cell r="AF124">
            <v>39</v>
          </cell>
          <cell r="AG124">
            <v>39</v>
          </cell>
          <cell r="AH124">
            <v>165</v>
          </cell>
          <cell r="AI124" t="str">
            <v xml:space="preserve">U.S. Dollar                   </v>
          </cell>
          <cell r="AJ124" t="str">
            <v xml:space="preserve"> </v>
          </cell>
          <cell r="AK124" t="str">
            <v xml:space="preserve"> </v>
          </cell>
          <cell r="AL124" t="str">
            <v xml:space="preserve"> </v>
          </cell>
          <cell r="AM124" t="str">
            <v xml:space="preserve"> </v>
          </cell>
          <cell r="AN124" t="str">
            <v xml:space="preserve"> </v>
          </cell>
          <cell r="AO124" t="str">
            <v xml:space="preserve"> </v>
          </cell>
          <cell r="AP124" t="str">
            <v xml:space="preserve"> </v>
          </cell>
          <cell r="AQ124" t="str">
            <v xml:space="preserve"> </v>
          </cell>
        </row>
        <row r="125">
          <cell r="A125" t="str">
            <v>FBD.......670200</v>
          </cell>
          <cell r="B125" t="str">
            <v>2004T12</v>
          </cell>
          <cell r="C125" t="str">
            <v xml:space="preserve">TREND    </v>
          </cell>
          <cell r="D125" t="str">
            <v xml:space="preserve">Trend -  QTD Average/Activity                     </v>
          </cell>
          <cell r="E125" t="str">
            <v>Run: 08/07/03 14:02:44</v>
          </cell>
          <cell r="F125" t="str">
            <v>999</v>
          </cell>
          <cell r="G125" t="str">
            <v>100</v>
          </cell>
          <cell r="H125" t="str">
            <v xml:space="preserve">Bank Of America Management Reporting              </v>
          </cell>
          <cell r="I125" t="str">
            <v>001</v>
          </cell>
          <cell r="J125" t="str">
            <v>FBD.......</v>
          </cell>
          <cell r="K125" t="str">
            <v xml:space="preserve">Emg Ops Asia                                      </v>
          </cell>
          <cell r="L125" t="str">
            <v xml:space="preserve"> </v>
          </cell>
          <cell r="M125" t="str">
            <v xml:space="preserve"> </v>
          </cell>
          <cell r="N125" t="str">
            <v>bamgt</v>
          </cell>
          <cell r="O125" t="str">
            <v>40</v>
          </cell>
          <cell r="P125" t="str">
            <v>600000A  662999B  670000B  670200   999999999999999999999999999999999999</v>
          </cell>
          <cell r="Q125" t="str">
            <v xml:space="preserve">none     </v>
          </cell>
          <cell r="R125" t="str">
            <v>RollFCST-Working Version</v>
          </cell>
          <cell r="S125" t="str">
            <v>RollFCST-Working Version</v>
          </cell>
          <cell r="T125" t="str">
            <v xml:space="preserve"> </v>
          </cell>
          <cell r="U125" t="str">
            <v xml:space="preserve"> </v>
          </cell>
          <cell r="V125" t="str">
            <v>670200</v>
          </cell>
          <cell r="W125" t="str">
            <v>4</v>
          </cell>
          <cell r="X125" t="str">
            <v xml:space="preserve">      Travel                            </v>
          </cell>
          <cell r="Y125">
            <v>9</v>
          </cell>
          <cell r="Z125">
            <v>9</v>
          </cell>
          <cell r="AA125">
            <v>12</v>
          </cell>
          <cell r="AB125">
            <v>15</v>
          </cell>
          <cell r="AC125">
            <v>45</v>
          </cell>
          <cell r="AD125">
            <v>15</v>
          </cell>
          <cell r="AE125">
            <v>6</v>
          </cell>
          <cell r="AF125">
            <v>6</v>
          </cell>
          <cell r="AG125">
            <v>6</v>
          </cell>
          <cell r="AH125">
            <v>33</v>
          </cell>
          <cell r="AI125" t="str">
            <v xml:space="preserve">U.S. Dollar                   </v>
          </cell>
          <cell r="AJ125" t="str">
            <v xml:space="preserve"> </v>
          </cell>
          <cell r="AK125" t="str">
            <v xml:space="preserve"> </v>
          </cell>
          <cell r="AL125" t="str">
            <v xml:space="preserve"> </v>
          </cell>
          <cell r="AM125" t="str">
            <v xml:space="preserve"> </v>
          </cell>
          <cell r="AN125" t="str">
            <v xml:space="preserve"> </v>
          </cell>
          <cell r="AO125" t="str">
            <v xml:space="preserve"> </v>
          </cell>
          <cell r="AP125" t="str">
            <v xml:space="preserve"> </v>
          </cell>
          <cell r="AQ125" t="str">
            <v xml:space="preserve"> </v>
          </cell>
        </row>
        <row r="126">
          <cell r="A126" t="str">
            <v>FBD.......670800</v>
          </cell>
          <cell r="B126" t="str">
            <v>2004T12</v>
          </cell>
          <cell r="C126" t="str">
            <v xml:space="preserve">TREND    </v>
          </cell>
          <cell r="D126" t="str">
            <v xml:space="preserve">Trend -  QTD Average/Activity                     </v>
          </cell>
          <cell r="E126" t="str">
            <v>Run: 08/07/03 14:02:44</v>
          </cell>
          <cell r="F126" t="str">
            <v>999</v>
          </cell>
          <cell r="G126" t="str">
            <v>100</v>
          </cell>
          <cell r="H126" t="str">
            <v xml:space="preserve">Bank Of America Management Reporting              </v>
          </cell>
          <cell r="I126" t="str">
            <v>001</v>
          </cell>
          <cell r="J126" t="str">
            <v>FBD.......</v>
          </cell>
          <cell r="K126" t="str">
            <v xml:space="preserve">Emg Ops Asia                                      </v>
          </cell>
          <cell r="L126" t="str">
            <v xml:space="preserve"> </v>
          </cell>
          <cell r="M126" t="str">
            <v xml:space="preserve"> </v>
          </cell>
          <cell r="N126" t="str">
            <v>bamgt</v>
          </cell>
          <cell r="O126" t="str">
            <v>40</v>
          </cell>
          <cell r="P126" t="str">
            <v>600000A  662999B  670000B  670800   999999999999999999999999999999999999</v>
          </cell>
          <cell r="Q126" t="str">
            <v xml:space="preserve">none     </v>
          </cell>
          <cell r="R126" t="str">
            <v>RollFCST-Working Version</v>
          </cell>
          <cell r="S126" t="str">
            <v>RollFCST-Working Version</v>
          </cell>
          <cell r="T126" t="str">
            <v xml:space="preserve"> </v>
          </cell>
          <cell r="U126" t="str">
            <v xml:space="preserve"> </v>
          </cell>
          <cell r="V126" t="str">
            <v>670800</v>
          </cell>
          <cell r="W126" t="str">
            <v>4</v>
          </cell>
          <cell r="X126" t="str">
            <v xml:space="preserve">      Taxes Other Than Income           </v>
          </cell>
          <cell r="Y126">
            <v>9</v>
          </cell>
          <cell r="Z126">
            <v>9</v>
          </cell>
          <cell r="AA126">
            <v>9</v>
          </cell>
          <cell r="AB126">
            <v>9</v>
          </cell>
          <cell r="AC126">
            <v>36</v>
          </cell>
          <cell r="AD126">
            <v>6</v>
          </cell>
          <cell r="AE126">
            <v>6</v>
          </cell>
          <cell r="AF126">
            <v>6</v>
          </cell>
          <cell r="AG126">
            <v>6</v>
          </cell>
          <cell r="AH126">
            <v>24</v>
          </cell>
          <cell r="AI126" t="str">
            <v xml:space="preserve">U.S. Dollar                   </v>
          </cell>
          <cell r="AJ126" t="str">
            <v xml:space="preserve"> </v>
          </cell>
          <cell r="AK126" t="str">
            <v xml:space="preserve"> </v>
          </cell>
          <cell r="AL126" t="str">
            <v xml:space="preserve"> </v>
          </cell>
          <cell r="AM126" t="str">
            <v xml:space="preserve"> </v>
          </cell>
          <cell r="AN126" t="str">
            <v xml:space="preserve"> </v>
          </cell>
          <cell r="AO126" t="str">
            <v xml:space="preserve"> </v>
          </cell>
          <cell r="AP126" t="str">
            <v xml:space="preserve"> </v>
          </cell>
          <cell r="AQ126" t="str">
            <v xml:space="preserve"> </v>
          </cell>
        </row>
        <row r="127">
          <cell r="A127" t="str">
            <v>FBD.......671200</v>
          </cell>
          <cell r="B127" t="str">
            <v>2004T12</v>
          </cell>
          <cell r="C127" t="str">
            <v xml:space="preserve">TREND    </v>
          </cell>
          <cell r="D127" t="str">
            <v xml:space="preserve">Trend -  QTD Average/Activity                     </v>
          </cell>
          <cell r="E127" t="str">
            <v>Run: 08/07/03 14:02:44</v>
          </cell>
          <cell r="F127" t="str">
            <v>999</v>
          </cell>
          <cell r="G127" t="str">
            <v>100</v>
          </cell>
          <cell r="H127" t="str">
            <v xml:space="preserve">Bank Of America Management Reporting              </v>
          </cell>
          <cell r="I127" t="str">
            <v>001</v>
          </cell>
          <cell r="J127" t="str">
            <v>FBD.......</v>
          </cell>
          <cell r="K127" t="str">
            <v xml:space="preserve">Emg Ops Asia                                      </v>
          </cell>
          <cell r="L127" t="str">
            <v xml:space="preserve"> </v>
          </cell>
          <cell r="M127" t="str">
            <v xml:space="preserve"> </v>
          </cell>
          <cell r="N127" t="str">
            <v>bamgt</v>
          </cell>
          <cell r="O127" t="str">
            <v>40</v>
          </cell>
          <cell r="P127" t="str">
            <v>600000A  662999B  670000B  671200   999999999999999999999999999999999999</v>
          </cell>
          <cell r="Q127" t="str">
            <v xml:space="preserve">none     </v>
          </cell>
          <cell r="R127" t="str">
            <v>RollFCST-Working Version</v>
          </cell>
          <cell r="S127" t="str">
            <v>RollFCST-Working Version</v>
          </cell>
          <cell r="T127" t="str">
            <v xml:space="preserve"> </v>
          </cell>
          <cell r="U127" t="str">
            <v xml:space="preserve"> </v>
          </cell>
          <cell r="V127" t="str">
            <v>671200</v>
          </cell>
          <cell r="W127" t="str">
            <v>4</v>
          </cell>
          <cell r="X127" t="str">
            <v xml:space="preserve">      Subscription Services             </v>
          </cell>
          <cell r="Y127">
            <v>3</v>
          </cell>
          <cell r="Z127">
            <v>5.2</v>
          </cell>
          <cell r="AA127">
            <v>3</v>
          </cell>
          <cell r="AB127">
            <v>3</v>
          </cell>
          <cell r="AC127">
            <v>14.2</v>
          </cell>
          <cell r="AD127">
            <v>19</v>
          </cell>
          <cell r="AE127">
            <v>19</v>
          </cell>
          <cell r="AF127">
            <v>19</v>
          </cell>
          <cell r="AG127">
            <v>19</v>
          </cell>
          <cell r="AH127">
            <v>76</v>
          </cell>
          <cell r="AI127" t="str">
            <v xml:space="preserve">U.S. Dollar                   </v>
          </cell>
          <cell r="AJ127" t="str">
            <v xml:space="preserve"> </v>
          </cell>
          <cell r="AK127" t="str">
            <v xml:space="preserve"> </v>
          </cell>
          <cell r="AL127" t="str">
            <v xml:space="preserve"> </v>
          </cell>
          <cell r="AM127" t="str">
            <v xml:space="preserve"> </v>
          </cell>
          <cell r="AN127" t="str">
            <v xml:space="preserve"> </v>
          </cell>
          <cell r="AO127" t="str">
            <v xml:space="preserve"> </v>
          </cell>
          <cell r="AP127" t="str">
            <v xml:space="preserve"> </v>
          </cell>
          <cell r="AQ127" t="str">
            <v xml:space="preserve"> </v>
          </cell>
        </row>
        <row r="128">
          <cell r="A128" t="str">
            <v>FBD.......671500</v>
          </cell>
          <cell r="B128" t="str">
            <v>2004T12</v>
          </cell>
          <cell r="C128" t="str">
            <v xml:space="preserve">TREND    </v>
          </cell>
          <cell r="D128" t="str">
            <v xml:space="preserve">Trend -  QTD Average/Activity                     </v>
          </cell>
          <cell r="E128" t="str">
            <v>Run: 08/07/03 14:02:44</v>
          </cell>
          <cell r="F128" t="str">
            <v>999</v>
          </cell>
          <cell r="G128" t="str">
            <v>100</v>
          </cell>
          <cell r="H128" t="str">
            <v xml:space="preserve">Bank Of America Management Reporting              </v>
          </cell>
          <cell r="I128" t="str">
            <v>001</v>
          </cell>
          <cell r="J128" t="str">
            <v>FBD.......</v>
          </cell>
          <cell r="K128" t="str">
            <v xml:space="preserve">Emg Ops Asia                                      </v>
          </cell>
          <cell r="L128" t="str">
            <v xml:space="preserve"> </v>
          </cell>
          <cell r="M128" t="str">
            <v xml:space="preserve"> </v>
          </cell>
          <cell r="N128" t="str">
            <v>bamgt</v>
          </cell>
          <cell r="O128" t="str">
            <v>40</v>
          </cell>
          <cell r="P128" t="str">
            <v>600000A  662999B  670000B  671500   999999999999999999999999999999999999</v>
          </cell>
          <cell r="Q128" t="str">
            <v xml:space="preserve">none     </v>
          </cell>
          <cell r="R128" t="str">
            <v>RollFCST-Working Version</v>
          </cell>
          <cell r="S128" t="str">
            <v>RollFCST-Working Version</v>
          </cell>
          <cell r="T128" t="str">
            <v xml:space="preserve"> </v>
          </cell>
          <cell r="U128" t="str">
            <v xml:space="preserve"> </v>
          </cell>
          <cell r="V128" t="str">
            <v>671500</v>
          </cell>
          <cell r="W128" t="str">
            <v>4</v>
          </cell>
          <cell r="X128" t="str">
            <v xml:space="preserve">      Other Administrative Expenses     </v>
          </cell>
          <cell r="Y128">
            <v>3</v>
          </cell>
          <cell r="Z128">
            <v>3</v>
          </cell>
          <cell r="AA128">
            <v>3</v>
          </cell>
          <cell r="AB128">
            <v>3</v>
          </cell>
          <cell r="AC128">
            <v>12</v>
          </cell>
          <cell r="AD128">
            <v>3</v>
          </cell>
          <cell r="AE128">
            <v>3</v>
          </cell>
          <cell r="AF128">
            <v>3</v>
          </cell>
          <cell r="AG128">
            <v>3</v>
          </cell>
          <cell r="AH128">
            <v>12</v>
          </cell>
          <cell r="AI128" t="str">
            <v xml:space="preserve">U.S. Dollar                   </v>
          </cell>
          <cell r="AJ128" t="str">
            <v xml:space="preserve"> </v>
          </cell>
          <cell r="AK128" t="str">
            <v xml:space="preserve"> </v>
          </cell>
          <cell r="AL128" t="str">
            <v xml:space="preserve"> </v>
          </cell>
          <cell r="AM128" t="str">
            <v xml:space="preserve"> </v>
          </cell>
          <cell r="AN128" t="str">
            <v xml:space="preserve"> </v>
          </cell>
          <cell r="AO128" t="str">
            <v xml:space="preserve"> </v>
          </cell>
          <cell r="AP128" t="str">
            <v xml:space="preserve"> </v>
          </cell>
          <cell r="AQ128" t="str">
            <v xml:space="preserve"> </v>
          </cell>
        </row>
        <row r="129">
          <cell r="A129" t="str">
            <v>FBD.......675000</v>
          </cell>
          <cell r="B129" t="str">
            <v>2004T12</v>
          </cell>
          <cell r="C129" t="str">
            <v xml:space="preserve">TREND    </v>
          </cell>
          <cell r="D129" t="str">
            <v xml:space="preserve">Trend -  QTD Average/Activity                     </v>
          </cell>
          <cell r="E129" t="str">
            <v>Run: 08/07/03 14:02:44</v>
          </cell>
          <cell r="F129" t="str">
            <v>999</v>
          </cell>
          <cell r="G129" t="str">
            <v>100</v>
          </cell>
          <cell r="H129" t="str">
            <v xml:space="preserve">Bank Of America Management Reporting              </v>
          </cell>
          <cell r="I129" t="str">
            <v>001</v>
          </cell>
          <cell r="J129" t="str">
            <v>FBD.......</v>
          </cell>
          <cell r="K129" t="str">
            <v xml:space="preserve">Emg Ops Asia                                      </v>
          </cell>
          <cell r="L129" t="str">
            <v xml:space="preserve"> </v>
          </cell>
          <cell r="M129" t="str">
            <v xml:space="preserve"> </v>
          </cell>
          <cell r="N129" t="str">
            <v>bamgt</v>
          </cell>
          <cell r="O129" t="str">
            <v>40</v>
          </cell>
          <cell r="P129" t="str">
            <v>600000A  675000   999999999999999999999999999999999999999999999999999999</v>
          </cell>
          <cell r="Q129" t="str">
            <v xml:space="preserve">none     </v>
          </cell>
          <cell r="R129" t="str">
            <v>RollFCST-Working Version</v>
          </cell>
          <cell r="S129" t="str">
            <v>RollFCST-Working Version</v>
          </cell>
          <cell r="T129" t="str">
            <v xml:space="preserve"> </v>
          </cell>
          <cell r="U129" t="str">
            <v xml:space="preserve"> </v>
          </cell>
          <cell r="V129" t="str">
            <v>675000</v>
          </cell>
          <cell r="W129" t="str">
            <v>2</v>
          </cell>
          <cell r="X129" t="str">
            <v xml:space="preserve">  Intercompany Expense                  </v>
          </cell>
          <cell r="Y129">
            <v>0</v>
          </cell>
          <cell r="Z129">
            <v>0</v>
          </cell>
          <cell r="AA129">
            <v>0</v>
          </cell>
          <cell r="AB129">
            <v>0</v>
          </cell>
          <cell r="AC129">
            <v>0</v>
          </cell>
          <cell r="AD129">
            <v>3</v>
          </cell>
          <cell r="AE129">
            <v>3</v>
          </cell>
          <cell r="AF129">
            <v>3</v>
          </cell>
          <cell r="AG129">
            <v>3</v>
          </cell>
          <cell r="AH129">
            <v>12</v>
          </cell>
          <cell r="AI129" t="str">
            <v xml:space="preserve">U.S. Dollar                   </v>
          </cell>
          <cell r="AJ129" t="str">
            <v xml:space="preserve"> </v>
          </cell>
          <cell r="AK129" t="str">
            <v xml:space="preserve"> </v>
          </cell>
          <cell r="AL129" t="str">
            <v xml:space="preserve"> </v>
          </cell>
          <cell r="AM129" t="str">
            <v xml:space="preserve"> </v>
          </cell>
          <cell r="AN129" t="str">
            <v xml:space="preserve"> </v>
          </cell>
          <cell r="AO129" t="str">
            <v xml:space="preserve"> </v>
          </cell>
          <cell r="AP129" t="str">
            <v xml:space="preserve"> </v>
          </cell>
          <cell r="AQ129" t="str">
            <v xml:space="preserve"> </v>
          </cell>
        </row>
        <row r="130">
          <cell r="A130" t="str">
            <v>FBD.......NIEBA-B</v>
          </cell>
          <cell r="B130" t="str">
            <v>2004T12</v>
          </cell>
          <cell r="C130" t="str">
            <v xml:space="preserve">TREND    </v>
          </cell>
          <cell r="D130" t="str">
            <v xml:space="preserve">Trend -  QTD Average/Activity                     </v>
          </cell>
          <cell r="E130" t="str">
            <v>Run: 08/07/03 14:02:44</v>
          </cell>
          <cell r="F130" t="str">
            <v>999</v>
          </cell>
          <cell r="G130" t="str">
            <v>100</v>
          </cell>
          <cell r="H130" t="str">
            <v xml:space="preserve">Bank Of America Management Reporting              </v>
          </cell>
          <cell r="I130" t="str">
            <v>001</v>
          </cell>
          <cell r="J130" t="str">
            <v>FBD.......</v>
          </cell>
          <cell r="K130" t="str">
            <v xml:space="preserve">Emg Ops Asia                                      </v>
          </cell>
          <cell r="L130" t="str">
            <v xml:space="preserve"> </v>
          </cell>
          <cell r="M130" t="str">
            <v xml:space="preserve"> </v>
          </cell>
          <cell r="N130" t="str">
            <v>bamgt</v>
          </cell>
          <cell r="O130" t="str">
            <v>40</v>
          </cell>
          <cell r="P130" t="str">
            <v xml:space="preserve">600000A  675000A  999999999999999999999999999NIEBA-B                    </v>
          </cell>
          <cell r="Q130" t="str">
            <v xml:space="preserve">none     </v>
          </cell>
          <cell r="R130" t="str">
            <v>RollFCST-Working Version</v>
          </cell>
          <cell r="S130" t="str">
            <v>RollFCST-Working Version</v>
          </cell>
          <cell r="T130" t="str">
            <v xml:space="preserve"> </v>
          </cell>
          <cell r="U130" t="str">
            <v xml:space="preserve"> </v>
          </cell>
          <cell r="V130" t="str">
            <v>NIEBA-B</v>
          </cell>
          <cell r="W130" t="str">
            <v>0</v>
          </cell>
          <cell r="X130" t="str">
            <v xml:space="preserve">Sub-Tot Non Int Exp Before Cost         </v>
          </cell>
          <cell r="Y130">
            <v>762.03</v>
          </cell>
          <cell r="Z130">
            <v>820.79</v>
          </cell>
          <cell r="AA130">
            <v>796.88</v>
          </cell>
          <cell r="AB130">
            <v>823.88</v>
          </cell>
          <cell r="AC130">
            <v>3203.58</v>
          </cell>
          <cell r="AD130">
            <v>1051</v>
          </cell>
          <cell r="AE130">
            <v>1076</v>
          </cell>
          <cell r="AF130">
            <v>1090</v>
          </cell>
          <cell r="AG130">
            <v>1090</v>
          </cell>
          <cell r="AH130">
            <v>4307</v>
          </cell>
          <cell r="AI130" t="str">
            <v xml:space="preserve">U.S. Dollar                   </v>
          </cell>
          <cell r="AJ130" t="str">
            <v xml:space="preserve"> </v>
          </cell>
          <cell r="AK130" t="str">
            <v xml:space="preserve"> </v>
          </cell>
          <cell r="AL130" t="str">
            <v xml:space="preserve"> </v>
          </cell>
          <cell r="AM130" t="str">
            <v xml:space="preserve"> </v>
          </cell>
          <cell r="AN130" t="str">
            <v xml:space="preserve"> </v>
          </cell>
          <cell r="AO130" t="str">
            <v xml:space="preserve"> </v>
          </cell>
          <cell r="AP130" t="str">
            <v xml:space="preserve"> </v>
          </cell>
          <cell r="AQ130" t="str">
            <v xml:space="preserve"> </v>
          </cell>
        </row>
        <row r="131">
          <cell r="A131" t="str">
            <v>FBE.......600300</v>
          </cell>
          <cell r="B131" t="str">
            <v>2004T12</v>
          </cell>
          <cell r="C131" t="str">
            <v xml:space="preserve">TREND    </v>
          </cell>
          <cell r="D131" t="str">
            <v xml:space="preserve">Trend -  QTD Average/Activity                     </v>
          </cell>
          <cell r="E131" t="str">
            <v>Run: 08/07/03 14:02:44</v>
          </cell>
          <cell r="F131" t="str">
            <v>999</v>
          </cell>
          <cell r="G131" t="str">
            <v>100</v>
          </cell>
          <cell r="H131" t="str">
            <v xml:space="preserve">Bank Of America Management Reporting              </v>
          </cell>
          <cell r="I131" t="str">
            <v>001</v>
          </cell>
          <cell r="J131" t="str">
            <v>FBE.......</v>
          </cell>
          <cell r="K131" t="str">
            <v xml:space="preserve">Emg Ops Emea And Latin America                    </v>
          </cell>
          <cell r="L131" t="str">
            <v xml:space="preserve"> </v>
          </cell>
          <cell r="M131" t="str">
            <v xml:space="preserve"> </v>
          </cell>
          <cell r="N131" t="str">
            <v>bamgt</v>
          </cell>
          <cell r="O131" t="str">
            <v>40</v>
          </cell>
          <cell r="P131" t="str">
            <v>600000A  600250   999999999600300   999999999999999999999999999999999999</v>
          </cell>
          <cell r="Q131" t="str">
            <v xml:space="preserve">none     </v>
          </cell>
          <cell r="R131" t="str">
            <v>RollFCST-Working Version</v>
          </cell>
          <cell r="S131" t="str">
            <v>RollFCST-Working Version</v>
          </cell>
          <cell r="T131" t="str">
            <v xml:space="preserve"> </v>
          </cell>
          <cell r="U131" t="str">
            <v xml:space="preserve"> </v>
          </cell>
          <cell r="V131" t="str">
            <v>600300</v>
          </cell>
          <cell r="W131" t="str">
            <v>4</v>
          </cell>
          <cell r="X131" t="str">
            <v xml:space="preserve">      Salaries &amp; Wages                  </v>
          </cell>
          <cell r="Y131">
            <v>193.34</v>
          </cell>
          <cell r="Z131">
            <v>233.36</v>
          </cell>
          <cell r="AA131">
            <v>214.32</v>
          </cell>
          <cell r="AB131">
            <v>211.44</v>
          </cell>
          <cell r="AC131">
            <v>852.46</v>
          </cell>
          <cell r="AD131">
            <v>225.33</v>
          </cell>
          <cell r="AE131">
            <v>234.61</v>
          </cell>
          <cell r="AF131">
            <v>239.25</v>
          </cell>
          <cell r="AG131">
            <v>239.25</v>
          </cell>
          <cell r="AH131">
            <v>938.44</v>
          </cell>
          <cell r="AI131" t="str">
            <v xml:space="preserve">U.S. Dollar                   </v>
          </cell>
          <cell r="AJ131" t="str">
            <v xml:space="preserve"> </v>
          </cell>
          <cell r="AK131" t="str">
            <v xml:space="preserve"> </v>
          </cell>
          <cell r="AL131" t="str">
            <v xml:space="preserve"> </v>
          </cell>
          <cell r="AM131" t="str">
            <v xml:space="preserve"> </v>
          </cell>
          <cell r="AN131" t="str">
            <v xml:space="preserve"> </v>
          </cell>
          <cell r="AO131" t="str">
            <v xml:space="preserve"> </v>
          </cell>
          <cell r="AP131" t="str">
            <v xml:space="preserve"> </v>
          </cell>
          <cell r="AQ131" t="str">
            <v xml:space="preserve"> </v>
          </cell>
        </row>
        <row r="132">
          <cell r="A132" t="str">
            <v>FBE.......601000</v>
          </cell>
          <cell r="B132" t="str">
            <v>2004T12</v>
          </cell>
          <cell r="C132" t="str">
            <v xml:space="preserve">TREND    </v>
          </cell>
          <cell r="D132" t="str">
            <v xml:space="preserve">Trend -  QTD Average/Activity                     </v>
          </cell>
          <cell r="E132" t="str">
            <v>Run: 08/07/03 14:02:44</v>
          </cell>
          <cell r="F132" t="str">
            <v>999</v>
          </cell>
          <cell r="G132" t="str">
            <v>100</v>
          </cell>
          <cell r="H132" t="str">
            <v xml:space="preserve">Bank Of America Management Reporting              </v>
          </cell>
          <cell r="I132" t="str">
            <v>001</v>
          </cell>
          <cell r="J132" t="str">
            <v>FBE.......</v>
          </cell>
          <cell r="K132" t="str">
            <v xml:space="preserve">Emg Ops Emea And Latin America                    </v>
          </cell>
          <cell r="L132" t="str">
            <v xml:space="preserve"> </v>
          </cell>
          <cell r="M132" t="str">
            <v xml:space="preserve"> </v>
          </cell>
          <cell r="N132" t="str">
            <v>bamgt</v>
          </cell>
          <cell r="O132" t="str">
            <v>40</v>
          </cell>
          <cell r="P132" t="str">
            <v>600000A  600250   999999999601000   999999999999999999999999999999999999</v>
          </cell>
          <cell r="Q132" t="str">
            <v xml:space="preserve">none     </v>
          </cell>
          <cell r="R132" t="str">
            <v>RollFCST-Working Version</v>
          </cell>
          <cell r="S132" t="str">
            <v>RollFCST-Working Version</v>
          </cell>
          <cell r="T132" t="str">
            <v xml:space="preserve"> </v>
          </cell>
          <cell r="U132" t="str">
            <v xml:space="preserve"> </v>
          </cell>
          <cell r="V132" t="str">
            <v>601000</v>
          </cell>
          <cell r="W132" t="str">
            <v>4</v>
          </cell>
          <cell r="X132" t="str">
            <v xml:space="preserve">      Overtime Salaries                 </v>
          </cell>
          <cell r="Y132">
            <v>9.84</v>
          </cell>
          <cell r="Z132">
            <v>5.66</v>
          </cell>
          <cell r="AA132">
            <v>3</v>
          </cell>
          <cell r="AB132">
            <v>0</v>
          </cell>
          <cell r="AC132">
            <v>18.5</v>
          </cell>
          <cell r="AD132">
            <v>0</v>
          </cell>
          <cell r="AE132">
            <v>0</v>
          </cell>
          <cell r="AF132">
            <v>0</v>
          </cell>
          <cell r="AG132">
            <v>0</v>
          </cell>
          <cell r="AH132">
            <v>0</v>
          </cell>
          <cell r="AI132" t="str">
            <v xml:space="preserve">U.S. Dollar                   </v>
          </cell>
          <cell r="AJ132" t="str">
            <v xml:space="preserve"> </v>
          </cell>
          <cell r="AK132" t="str">
            <v xml:space="preserve"> </v>
          </cell>
          <cell r="AL132" t="str">
            <v xml:space="preserve"> </v>
          </cell>
          <cell r="AM132" t="str">
            <v xml:space="preserve"> </v>
          </cell>
          <cell r="AN132" t="str">
            <v xml:space="preserve"> </v>
          </cell>
          <cell r="AO132" t="str">
            <v xml:space="preserve"> </v>
          </cell>
          <cell r="AP132" t="str">
            <v xml:space="preserve"> </v>
          </cell>
          <cell r="AQ132" t="str">
            <v xml:space="preserve"> </v>
          </cell>
        </row>
        <row r="133">
          <cell r="A133" t="str">
            <v>FBE.......601500</v>
          </cell>
          <cell r="B133" t="str">
            <v>2004T12</v>
          </cell>
          <cell r="C133" t="str">
            <v xml:space="preserve">TREND    </v>
          </cell>
          <cell r="D133" t="str">
            <v xml:space="preserve">Trend -  QTD Average/Activity                     </v>
          </cell>
          <cell r="E133" t="str">
            <v>Run: 08/07/03 14:02:44</v>
          </cell>
          <cell r="F133" t="str">
            <v>999</v>
          </cell>
          <cell r="G133" t="str">
            <v>100</v>
          </cell>
          <cell r="H133" t="str">
            <v xml:space="preserve">Bank Of America Management Reporting              </v>
          </cell>
          <cell r="I133" t="str">
            <v>001</v>
          </cell>
          <cell r="J133" t="str">
            <v>FBE.......</v>
          </cell>
          <cell r="K133" t="str">
            <v xml:space="preserve">Emg Ops Emea And Latin America                    </v>
          </cell>
          <cell r="L133" t="str">
            <v xml:space="preserve"> </v>
          </cell>
          <cell r="M133" t="str">
            <v xml:space="preserve"> </v>
          </cell>
          <cell r="N133" t="str">
            <v>bamgt</v>
          </cell>
          <cell r="O133" t="str">
            <v>40</v>
          </cell>
          <cell r="P133" t="str">
            <v>600000A  600250   999999999601500   999999999999999999999999999999999999</v>
          </cell>
          <cell r="Q133" t="str">
            <v xml:space="preserve">none     </v>
          </cell>
          <cell r="R133" t="str">
            <v>RollFCST-Working Version</v>
          </cell>
          <cell r="S133" t="str">
            <v>RollFCST-Working Version</v>
          </cell>
          <cell r="T133" t="str">
            <v xml:space="preserve"> </v>
          </cell>
          <cell r="U133" t="str">
            <v xml:space="preserve"> </v>
          </cell>
          <cell r="V133" t="str">
            <v>601500</v>
          </cell>
          <cell r="W133" t="str">
            <v>4</v>
          </cell>
          <cell r="X133" t="str">
            <v xml:space="preserve">      Incentive Compensation            </v>
          </cell>
          <cell r="Y133">
            <v>0</v>
          </cell>
          <cell r="Z133">
            <v>0</v>
          </cell>
          <cell r="AA133">
            <v>0</v>
          </cell>
          <cell r="AB133">
            <v>0</v>
          </cell>
          <cell r="AC133">
            <v>0</v>
          </cell>
          <cell r="AD133">
            <v>0</v>
          </cell>
          <cell r="AE133">
            <v>0</v>
          </cell>
          <cell r="AF133">
            <v>0</v>
          </cell>
          <cell r="AG133">
            <v>0</v>
          </cell>
          <cell r="AH133">
            <v>0</v>
          </cell>
          <cell r="AI133" t="str">
            <v xml:space="preserve">U.S. Dollar                   </v>
          </cell>
          <cell r="AJ133" t="str">
            <v xml:space="preserve"> </v>
          </cell>
          <cell r="AK133" t="str">
            <v xml:space="preserve"> </v>
          </cell>
          <cell r="AL133" t="str">
            <v xml:space="preserve"> </v>
          </cell>
          <cell r="AM133" t="str">
            <v xml:space="preserve"> </v>
          </cell>
          <cell r="AN133" t="str">
            <v xml:space="preserve"> </v>
          </cell>
          <cell r="AO133" t="str">
            <v xml:space="preserve"> </v>
          </cell>
          <cell r="AP133" t="str">
            <v xml:space="preserve"> </v>
          </cell>
          <cell r="AQ133" t="str">
            <v xml:space="preserve"> </v>
          </cell>
        </row>
        <row r="134">
          <cell r="A134" t="str">
            <v>FBE.......602400</v>
          </cell>
          <cell r="B134" t="str">
            <v>2004T12</v>
          </cell>
          <cell r="C134" t="str">
            <v xml:space="preserve">TREND    </v>
          </cell>
          <cell r="D134" t="str">
            <v xml:space="preserve">Trend -  QTD Average/Activity                     </v>
          </cell>
          <cell r="E134" t="str">
            <v>Run: 08/07/03 14:02:44</v>
          </cell>
          <cell r="F134" t="str">
            <v>999</v>
          </cell>
          <cell r="G134" t="str">
            <v>100</v>
          </cell>
          <cell r="H134" t="str">
            <v xml:space="preserve">Bank Of America Management Reporting              </v>
          </cell>
          <cell r="I134" t="str">
            <v>001</v>
          </cell>
          <cell r="J134" t="str">
            <v>FBE.......</v>
          </cell>
          <cell r="K134" t="str">
            <v xml:space="preserve">Emg Ops Emea And Latin America                    </v>
          </cell>
          <cell r="L134" t="str">
            <v xml:space="preserve"> </v>
          </cell>
          <cell r="M134" t="str">
            <v xml:space="preserve"> </v>
          </cell>
          <cell r="N134" t="str">
            <v>bamgt</v>
          </cell>
          <cell r="O134" t="str">
            <v>40</v>
          </cell>
          <cell r="P134" t="str">
            <v>600000A  600250   999999999602000   602400   999999999999999999999999999</v>
          </cell>
          <cell r="Q134" t="str">
            <v xml:space="preserve">none     </v>
          </cell>
          <cell r="R134" t="str">
            <v>RollFCST-Working Version</v>
          </cell>
          <cell r="S134" t="str">
            <v>RollFCST-Working Version</v>
          </cell>
          <cell r="T134" t="str">
            <v xml:space="preserve"> </v>
          </cell>
          <cell r="U134" t="str">
            <v xml:space="preserve"> </v>
          </cell>
          <cell r="V134" t="str">
            <v>602400</v>
          </cell>
          <cell r="W134" t="str">
            <v>5</v>
          </cell>
          <cell r="X134" t="str">
            <v xml:space="preserve">        Other Employee Compensation     </v>
          </cell>
          <cell r="Y134">
            <v>44.62</v>
          </cell>
          <cell r="Z134">
            <v>0</v>
          </cell>
          <cell r="AA134">
            <v>6</v>
          </cell>
          <cell r="AB134">
            <v>0</v>
          </cell>
          <cell r="AC134">
            <v>50.62</v>
          </cell>
          <cell r="AD134">
            <v>0</v>
          </cell>
          <cell r="AE134">
            <v>0</v>
          </cell>
          <cell r="AF134">
            <v>0</v>
          </cell>
          <cell r="AG134">
            <v>0</v>
          </cell>
          <cell r="AH134">
            <v>0</v>
          </cell>
          <cell r="AI134" t="str">
            <v xml:space="preserve">U.S. Dollar                   </v>
          </cell>
          <cell r="AJ134" t="str">
            <v xml:space="preserve"> </v>
          </cell>
          <cell r="AK134" t="str">
            <v xml:space="preserve"> </v>
          </cell>
          <cell r="AL134" t="str">
            <v xml:space="preserve"> </v>
          </cell>
          <cell r="AM134" t="str">
            <v xml:space="preserve"> </v>
          </cell>
          <cell r="AN134" t="str">
            <v xml:space="preserve"> </v>
          </cell>
          <cell r="AO134" t="str">
            <v xml:space="preserve"> </v>
          </cell>
          <cell r="AP134" t="str">
            <v xml:space="preserve"> </v>
          </cell>
          <cell r="AQ134" t="str">
            <v xml:space="preserve"> </v>
          </cell>
        </row>
        <row r="135">
          <cell r="A135" t="str">
            <v>FBE.......602000</v>
          </cell>
          <cell r="B135" t="str">
            <v>2004T12</v>
          </cell>
          <cell r="C135" t="str">
            <v xml:space="preserve">TREND    </v>
          </cell>
          <cell r="D135" t="str">
            <v xml:space="preserve">Trend -  QTD Average/Activity                     </v>
          </cell>
          <cell r="E135" t="str">
            <v>Run: 08/07/03 14:02:44</v>
          </cell>
          <cell r="F135" t="str">
            <v>999</v>
          </cell>
          <cell r="G135" t="str">
            <v>100</v>
          </cell>
          <cell r="H135" t="str">
            <v xml:space="preserve">Bank Of America Management Reporting              </v>
          </cell>
          <cell r="I135" t="str">
            <v>001</v>
          </cell>
          <cell r="J135" t="str">
            <v>FBE.......</v>
          </cell>
          <cell r="K135" t="str">
            <v xml:space="preserve">Emg Ops Emea And Latin America                    </v>
          </cell>
          <cell r="L135" t="str">
            <v xml:space="preserve"> </v>
          </cell>
          <cell r="M135" t="str">
            <v xml:space="preserve"> </v>
          </cell>
          <cell r="N135" t="str">
            <v>bamgt</v>
          </cell>
          <cell r="O135" t="str">
            <v>40</v>
          </cell>
          <cell r="P135" t="str">
            <v>600000A  600250   999999999602000   999999999999999999999999999999999999</v>
          </cell>
          <cell r="Q135" t="str">
            <v xml:space="preserve">none     </v>
          </cell>
          <cell r="R135" t="str">
            <v>RollFCST-Working Version</v>
          </cell>
          <cell r="S135" t="str">
            <v>RollFCST-Working Version</v>
          </cell>
          <cell r="T135" t="str">
            <v xml:space="preserve"> </v>
          </cell>
          <cell r="U135" t="str">
            <v xml:space="preserve"> </v>
          </cell>
          <cell r="V135" t="str">
            <v>602000</v>
          </cell>
          <cell r="W135" t="str">
            <v>4</v>
          </cell>
          <cell r="X135" t="str">
            <v xml:space="preserve">      Contract Temporary/Other Compensat</v>
          </cell>
          <cell r="Y135">
            <v>9.93</v>
          </cell>
          <cell r="Z135">
            <v>11.86</v>
          </cell>
          <cell r="AA135">
            <v>6</v>
          </cell>
          <cell r="AB135">
            <v>0</v>
          </cell>
          <cell r="AC135">
            <v>27.79</v>
          </cell>
          <cell r="AD135">
            <v>0</v>
          </cell>
          <cell r="AE135">
            <v>0</v>
          </cell>
          <cell r="AF135">
            <v>0</v>
          </cell>
          <cell r="AG135">
            <v>0</v>
          </cell>
          <cell r="AH135">
            <v>0</v>
          </cell>
          <cell r="AI135" t="str">
            <v xml:space="preserve">U.S. Dollar                   </v>
          </cell>
          <cell r="AJ135" t="str">
            <v xml:space="preserve"> </v>
          </cell>
          <cell r="AK135" t="str">
            <v xml:space="preserve"> </v>
          </cell>
          <cell r="AL135" t="str">
            <v xml:space="preserve"> </v>
          </cell>
          <cell r="AM135" t="str">
            <v xml:space="preserve"> </v>
          </cell>
          <cell r="AN135" t="str">
            <v xml:space="preserve"> </v>
          </cell>
          <cell r="AO135" t="str">
            <v xml:space="preserve"> </v>
          </cell>
          <cell r="AP135" t="str">
            <v xml:space="preserve"> </v>
          </cell>
          <cell r="AQ135" t="str">
            <v xml:space="preserve"> </v>
          </cell>
        </row>
        <row r="136">
          <cell r="A136" t="str">
            <v>FBE.......603000</v>
          </cell>
          <cell r="B136" t="str">
            <v>2004T12</v>
          </cell>
          <cell r="C136" t="str">
            <v xml:space="preserve">TREND    </v>
          </cell>
          <cell r="D136" t="str">
            <v xml:space="preserve">Trend -  QTD Average/Activity                     </v>
          </cell>
          <cell r="E136" t="str">
            <v>Run: 08/07/03 14:02:44</v>
          </cell>
          <cell r="F136" t="str">
            <v>999</v>
          </cell>
          <cell r="G136" t="str">
            <v>100</v>
          </cell>
          <cell r="H136" t="str">
            <v xml:space="preserve">Bank Of America Management Reporting              </v>
          </cell>
          <cell r="I136" t="str">
            <v>001</v>
          </cell>
          <cell r="J136" t="str">
            <v>FBE.......</v>
          </cell>
          <cell r="K136" t="str">
            <v xml:space="preserve">Emg Ops Emea And Latin America                    </v>
          </cell>
          <cell r="L136" t="str">
            <v xml:space="preserve"> </v>
          </cell>
          <cell r="M136" t="str">
            <v xml:space="preserve"> </v>
          </cell>
          <cell r="N136" t="str">
            <v>bamgt</v>
          </cell>
          <cell r="O136" t="str">
            <v>40</v>
          </cell>
          <cell r="P136" t="str">
            <v>600000A  600250   999999999603000   999999999999999999999999999999999999</v>
          </cell>
          <cell r="Q136" t="str">
            <v xml:space="preserve">none     </v>
          </cell>
          <cell r="R136" t="str">
            <v>RollFCST-Working Version</v>
          </cell>
          <cell r="S136" t="str">
            <v>RollFCST-Working Version</v>
          </cell>
          <cell r="T136" t="str">
            <v xml:space="preserve"> </v>
          </cell>
          <cell r="U136" t="str">
            <v xml:space="preserve"> </v>
          </cell>
          <cell r="V136" t="str">
            <v>603000</v>
          </cell>
          <cell r="W136" t="str">
            <v>4</v>
          </cell>
          <cell r="X136" t="str">
            <v xml:space="preserve">      Employee Benefits                 </v>
          </cell>
          <cell r="Y136">
            <v>121.4944</v>
          </cell>
          <cell r="Z136">
            <v>93.146000000000001</v>
          </cell>
          <cell r="AA136">
            <v>82.337999999999994</v>
          </cell>
          <cell r="AB136">
            <v>78.316800000000001</v>
          </cell>
          <cell r="AC136">
            <v>375.29520000000002</v>
          </cell>
          <cell r="AD136">
            <v>92.172449999999998</v>
          </cell>
          <cell r="AE136">
            <v>95.111649999999997</v>
          </cell>
          <cell r="AF136">
            <v>96.581249999999997</v>
          </cell>
          <cell r="AG136">
            <v>96.581249999999997</v>
          </cell>
          <cell r="AH136">
            <v>380.44659999999999</v>
          </cell>
          <cell r="AI136" t="str">
            <v xml:space="preserve">U.S. Dollar                   </v>
          </cell>
          <cell r="AJ136" t="str">
            <v xml:space="preserve"> </v>
          </cell>
          <cell r="AK136" t="str">
            <v xml:space="preserve"> </v>
          </cell>
          <cell r="AL136" t="str">
            <v xml:space="preserve"> </v>
          </cell>
          <cell r="AM136" t="str">
            <v xml:space="preserve"> </v>
          </cell>
          <cell r="AN136" t="str">
            <v xml:space="preserve"> </v>
          </cell>
          <cell r="AO136" t="str">
            <v xml:space="preserve"> </v>
          </cell>
          <cell r="AP136" t="str">
            <v xml:space="preserve"> </v>
          </cell>
          <cell r="AQ136" t="str">
            <v xml:space="preserve"> </v>
          </cell>
        </row>
        <row r="137">
          <cell r="A137" t="str">
            <v>FBE.......600250</v>
          </cell>
          <cell r="B137" t="str">
            <v>2004T12</v>
          </cell>
          <cell r="C137" t="str">
            <v xml:space="preserve">TREND    </v>
          </cell>
          <cell r="D137" t="str">
            <v xml:space="preserve">Trend -  QTD Average/Activity                     </v>
          </cell>
          <cell r="E137" t="str">
            <v>Run: 08/07/03 14:02:44</v>
          </cell>
          <cell r="F137" t="str">
            <v>999</v>
          </cell>
          <cell r="G137" t="str">
            <v>100</v>
          </cell>
          <cell r="H137" t="str">
            <v xml:space="preserve">Bank Of America Management Reporting              </v>
          </cell>
          <cell r="I137" t="str">
            <v>001</v>
          </cell>
          <cell r="J137" t="str">
            <v>FBE.......</v>
          </cell>
          <cell r="K137" t="str">
            <v xml:space="preserve">Emg Ops Emea And Latin America                    </v>
          </cell>
          <cell r="L137" t="str">
            <v xml:space="preserve"> </v>
          </cell>
          <cell r="M137" t="str">
            <v xml:space="preserve"> </v>
          </cell>
          <cell r="N137" t="str">
            <v>bamgt</v>
          </cell>
          <cell r="O137" t="str">
            <v>40</v>
          </cell>
          <cell r="P137" t="str">
            <v>600000A  600250   999999999999999999999999999999999999999999999999999999</v>
          </cell>
          <cell r="Q137" t="str">
            <v xml:space="preserve">none     </v>
          </cell>
          <cell r="R137" t="str">
            <v>RollFCST-Working Version</v>
          </cell>
          <cell r="S137" t="str">
            <v>RollFCST-Working Version</v>
          </cell>
          <cell r="T137" t="str">
            <v xml:space="preserve"> </v>
          </cell>
          <cell r="U137" t="str">
            <v xml:space="preserve"> </v>
          </cell>
          <cell r="V137" t="str">
            <v>600250</v>
          </cell>
          <cell r="W137" t="str">
            <v>2</v>
          </cell>
          <cell r="X137" t="str">
            <v xml:space="preserve">  Personnel                             </v>
          </cell>
          <cell r="Y137">
            <v>334.6044</v>
          </cell>
          <cell r="Z137">
            <v>344.02600000000001</v>
          </cell>
          <cell r="AA137">
            <v>305.65800000000002</v>
          </cell>
          <cell r="AB137">
            <v>289.7568</v>
          </cell>
          <cell r="AC137">
            <v>1274.0452</v>
          </cell>
          <cell r="AD137">
            <v>317.50245000000001</v>
          </cell>
          <cell r="AE137">
            <v>329.72165000000001</v>
          </cell>
          <cell r="AF137">
            <v>335.83125000000001</v>
          </cell>
          <cell r="AG137">
            <v>335.83125000000001</v>
          </cell>
          <cell r="AH137">
            <v>1318.8866</v>
          </cell>
          <cell r="AI137" t="str">
            <v xml:space="preserve">U.S. Dollar                   </v>
          </cell>
          <cell r="AJ137" t="str">
            <v xml:space="preserve"> </v>
          </cell>
          <cell r="AK137" t="str">
            <v xml:space="preserve"> </v>
          </cell>
          <cell r="AL137" t="str">
            <v xml:space="preserve"> </v>
          </cell>
          <cell r="AM137" t="str">
            <v xml:space="preserve"> </v>
          </cell>
          <cell r="AN137" t="str">
            <v xml:space="preserve"> </v>
          </cell>
          <cell r="AO137" t="str">
            <v xml:space="preserve"> </v>
          </cell>
          <cell r="AP137" t="str">
            <v xml:space="preserve"> </v>
          </cell>
          <cell r="AQ137" t="str">
            <v xml:space="preserve"> </v>
          </cell>
        </row>
        <row r="138">
          <cell r="A138" t="str">
            <v>FBE.......610000</v>
          </cell>
          <cell r="B138" t="str">
            <v>2004T12</v>
          </cell>
          <cell r="C138" t="str">
            <v xml:space="preserve">TREND    </v>
          </cell>
          <cell r="D138" t="str">
            <v xml:space="preserve">Trend -  QTD Average/Activity                     </v>
          </cell>
          <cell r="E138" t="str">
            <v>Run: 08/07/03 14:02:44</v>
          </cell>
          <cell r="F138" t="str">
            <v>999</v>
          </cell>
          <cell r="G138" t="str">
            <v>100</v>
          </cell>
          <cell r="H138" t="str">
            <v xml:space="preserve">Bank Of America Management Reporting              </v>
          </cell>
          <cell r="I138" t="str">
            <v>001</v>
          </cell>
          <cell r="J138" t="str">
            <v>FBE.......</v>
          </cell>
          <cell r="K138" t="str">
            <v xml:space="preserve">Emg Ops Emea And Latin America                    </v>
          </cell>
          <cell r="L138" t="str">
            <v xml:space="preserve"> </v>
          </cell>
          <cell r="M138" t="str">
            <v xml:space="preserve"> </v>
          </cell>
          <cell r="N138" t="str">
            <v>bamgt</v>
          </cell>
          <cell r="O138" t="str">
            <v>40</v>
          </cell>
          <cell r="P138" t="str">
            <v>600000A  610000   999999999999999999999999999999999999999999999999999999</v>
          </cell>
          <cell r="Q138" t="str">
            <v xml:space="preserve">none     </v>
          </cell>
          <cell r="R138" t="str">
            <v>RollFCST-Working Version</v>
          </cell>
          <cell r="S138" t="str">
            <v>RollFCST-Working Version</v>
          </cell>
          <cell r="T138" t="str">
            <v xml:space="preserve"> </v>
          </cell>
          <cell r="U138" t="str">
            <v xml:space="preserve"> </v>
          </cell>
          <cell r="V138" t="str">
            <v>610000</v>
          </cell>
          <cell r="W138" t="str">
            <v>2</v>
          </cell>
          <cell r="X138" t="str">
            <v xml:space="preserve">  Net Occupancy Expense                 </v>
          </cell>
          <cell r="Y138">
            <v>72.010000000000005</v>
          </cell>
          <cell r="Z138">
            <v>76.27</v>
          </cell>
          <cell r="AA138">
            <v>60</v>
          </cell>
          <cell r="AB138">
            <v>57</v>
          </cell>
          <cell r="AC138">
            <v>265.27999999999997</v>
          </cell>
          <cell r="AD138">
            <v>45</v>
          </cell>
          <cell r="AE138">
            <v>45</v>
          </cell>
          <cell r="AF138">
            <v>45</v>
          </cell>
          <cell r="AG138">
            <v>45</v>
          </cell>
          <cell r="AH138">
            <v>180</v>
          </cell>
          <cell r="AI138" t="str">
            <v xml:space="preserve">U.S. Dollar                   </v>
          </cell>
          <cell r="AJ138" t="str">
            <v xml:space="preserve"> </v>
          </cell>
          <cell r="AK138" t="str">
            <v xml:space="preserve"> </v>
          </cell>
          <cell r="AL138" t="str">
            <v xml:space="preserve"> </v>
          </cell>
          <cell r="AM138" t="str">
            <v xml:space="preserve"> </v>
          </cell>
          <cell r="AN138" t="str">
            <v xml:space="preserve"> </v>
          </cell>
          <cell r="AO138" t="str">
            <v xml:space="preserve"> </v>
          </cell>
          <cell r="AP138" t="str">
            <v xml:space="preserve"> </v>
          </cell>
          <cell r="AQ138" t="str">
            <v xml:space="preserve"> </v>
          </cell>
        </row>
        <row r="139">
          <cell r="A139" t="str">
            <v>FBE.......620000</v>
          </cell>
          <cell r="B139" t="str">
            <v>2004T12</v>
          </cell>
          <cell r="C139" t="str">
            <v xml:space="preserve">TREND    </v>
          </cell>
          <cell r="D139" t="str">
            <v xml:space="preserve">Trend -  QTD Average/Activity                     </v>
          </cell>
          <cell r="E139" t="str">
            <v>Run: 08/07/03 14:02:44</v>
          </cell>
          <cell r="F139" t="str">
            <v>999</v>
          </cell>
          <cell r="G139" t="str">
            <v>100</v>
          </cell>
          <cell r="H139" t="str">
            <v xml:space="preserve">Bank Of America Management Reporting              </v>
          </cell>
          <cell r="I139" t="str">
            <v>001</v>
          </cell>
          <cell r="J139" t="str">
            <v>FBE.......</v>
          </cell>
          <cell r="K139" t="str">
            <v xml:space="preserve">Emg Ops Emea And Latin America                    </v>
          </cell>
          <cell r="L139" t="str">
            <v xml:space="preserve"> </v>
          </cell>
          <cell r="M139" t="str">
            <v xml:space="preserve"> </v>
          </cell>
          <cell r="N139" t="str">
            <v>bamgt</v>
          </cell>
          <cell r="O139" t="str">
            <v>40</v>
          </cell>
          <cell r="P139" t="str">
            <v>600000A  620000   999999999999999999999999999999999999999999999999999999</v>
          </cell>
          <cell r="Q139" t="str">
            <v xml:space="preserve">none     </v>
          </cell>
          <cell r="R139" t="str">
            <v>RollFCST-Working Version</v>
          </cell>
          <cell r="S139" t="str">
            <v>RollFCST-Working Version</v>
          </cell>
          <cell r="T139" t="str">
            <v xml:space="preserve"> </v>
          </cell>
          <cell r="U139" t="str">
            <v xml:space="preserve"> </v>
          </cell>
          <cell r="V139" t="str">
            <v>620000</v>
          </cell>
          <cell r="W139" t="str">
            <v>2</v>
          </cell>
          <cell r="X139" t="str">
            <v xml:space="preserve">  Furniture &amp; Equipment                 </v>
          </cell>
          <cell r="Y139">
            <v>25.98</v>
          </cell>
          <cell r="Z139">
            <v>22.81</v>
          </cell>
          <cell r="AA139">
            <v>28.67</v>
          </cell>
          <cell r="AB139">
            <v>27</v>
          </cell>
          <cell r="AC139">
            <v>104.46</v>
          </cell>
          <cell r="AD139">
            <v>19.5</v>
          </cell>
          <cell r="AE139">
            <v>19.5</v>
          </cell>
          <cell r="AF139">
            <v>19.5</v>
          </cell>
          <cell r="AG139">
            <v>19.5</v>
          </cell>
          <cell r="AH139">
            <v>78</v>
          </cell>
          <cell r="AI139" t="str">
            <v xml:space="preserve">U.S. Dollar                   </v>
          </cell>
          <cell r="AJ139" t="str">
            <v xml:space="preserve"> </v>
          </cell>
          <cell r="AK139" t="str">
            <v xml:space="preserve"> </v>
          </cell>
          <cell r="AL139" t="str">
            <v xml:space="preserve"> </v>
          </cell>
          <cell r="AM139" t="str">
            <v xml:space="preserve"> </v>
          </cell>
          <cell r="AN139" t="str">
            <v xml:space="preserve"> </v>
          </cell>
          <cell r="AO139" t="str">
            <v xml:space="preserve"> </v>
          </cell>
          <cell r="AP139" t="str">
            <v xml:space="preserve"> </v>
          </cell>
          <cell r="AQ139" t="str">
            <v xml:space="preserve"> </v>
          </cell>
        </row>
        <row r="140">
          <cell r="A140" t="str">
            <v>FBE.......623000</v>
          </cell>
          <cell r="B140" t="str">
            <v>2004T12</v>
          </cell>
          <cell r="C140" t="str">
            <v xml:space="preserve">TREND    </v>
          </cell>
          <cell r="D140" t="str">
            <v xml:space="preserve">Trend -  QTD Average/Activity                     </v>
          </cell>
          <cell r="E140" t="str">
            <v>Run: 08/07/03 14:02:44</v>
          </cell>
          <cell r="F140" t="str">
            <v>999</v>
          </cell>
          <cell r="G140" t="str">
            <v>100</v>
          </cell>
          <cell r="H140" t="str">
            <v xml:space="preserve">Bank Of America Management Reporting              </v>
          </cell>
          <cell r="I140" t="str">
            <v>001</v>
          </cell>
          <cell r="J140" t="str">
            <v>FBE.......</v>
          </cell>
          <cell r="K140" t="str">
            <v xml:space="preserve">Emg Ops Emea And Latin America                    </v>
          </cell>
          <cell r="L140" t="str">
            <v xml:space="preserve"> </v>
          </cell>
          <cell r="M140" t="str">
            <v xml:space="preserve"> </v>
          </cell>
          <cell r="N140" t="str">
            <v>bamgt</v>
          </cell>
          <cell r="O140" t="str">
            <v>40</v>
          </cell>
          <cell r="P140" t="str">
            <v>600000A  623000   999999999999999999999999999999999999999999999999999999</v>
          </cell>
          <cell r="Q140" t="str">
            <v xml:space="preserve">none     </v>
          </cell>
          <cell r="R140" t="str">
            <v>RollFCST-Working Version</v>
          </cell>
          <cell r="S140" t="str">
            <v>RollFCST-Working Version</v>
          </cell>
          <cell r="T140" t="str">
            <v xml:space="preserve"> </v>
          </cell>
          <cell r="U140" t="str">
            <v xml:space="preserve"> </v>
          </cell>
          <cell r="V140" t="str">
            <v>623000</v>
          </cell>
          <cell r="W140" t="str">
            <v>2</v>
          </cell>
          <cell r="X140" t="str">
            <v xml:space="preserve">  Marketing &amp; Promotional               </v>
          </cell>
          <cell r="Y140">
            <v>3.99</v>
          </cell>
          <cell r="Z140">
            <v>3.75</v>
          </cell>
          <cell r="AA140">
            <v>3.99</v>
          </cell>
          <cell r="AB140">
            <v>3.33</v>
          </cell>
          <cell r="AC140">
            <v>15.06</v>
          </cell>
          <cell r="AD140">
            <v>0</v>
          </cell>
          <cell r="AE140">
            <v>0</v>
          </cell>
          <cell r="AF140">
            <v>0</v>
          </cell>
          <cell r="AG140">
            <v>0</v>
          </cell>
          <cell r="AH140">
            <v>0</v>
          </cell>
          <cell r="AI140" t="str">
            <v xml:space="preserve">U.S. Dollar                   </v>
          </cell>
          <cell r="AJ140" t="str">
            <v xml:space="preserve"> </v>
          </cell>
          <cell r="AK140" t="str">
            <v xml:space="preserve"> </v>
          </cell>
          <cell r="AL140" t="str">
            <v xml:space="preserve"> </v>
          </cell>
          <cell r="AM140" t="str">
            <v xml:space="preserve"> </v>
          </cell>
          <cell r="AN140" t="str">
            <v xml:space="preserve"> </v>
          </cell>
          <cell r="AO140" t="str">
            <v xml:space="preserve"> </v>
          </cell>
          <cell r="AP140" t="str">
            <v xml:space="preserve"> </v>
          </cell>
          <cell r="AQ140" t="str">
            <v xml:space="preserve"> </v>
          </cell>
        </row>
        <row r="141">
          <cell r="A141" t="str">
            <v>FBE.......630000</v>
          </cell>
          <cell r="B141" t="str">
            <v>2004T12</v>
          </cell>
          <cell r="C141" t="str">
            <v xml:space="preserve">TREND    </v>
          </cell>
          <cell r="D141" t="str">
            <v xml:space="preserve">Trend -  QTD Average/Activity                     </v>
          </cell>
          <cell r="E141" t="str">
            <v>Run: 08/07/03 14:02:44</v>
          </cell>
          <cell r="F141" t="str">
            <v>999</v>
          </cell>
          <cell r="G141" t="str">
            <v>100</v>
          </cell>
          <cell r="H141" t="str">
            <v xml:space="preserve">Bank Of America Management Reporting              </v>
          </cell>
          <cell r="I141" t="str">
            <v>001</v>
          </cell>
          <cell r="J141" t="str">
            <v>FBE.......</v>
          </cell>
          <cell r="K141" t="str">
            <v xml:space="preserve">Emg Ops Emea And Latin America                    </v>
          </cell>
          <cell r="L141" t="str">
            <v xml:space="preserve"> </v>
          </cell>
          <cell r="M141" t="str">
            <v xml:space="preserve"> </v>
          </cell>
          <cell r="N141" t="str">
            <v>bamgt</v>
          </cell>
          <cell r="O141" t="str">
            <v>40</v>
          </cell>
          <cell r="P141" t="str">
            <v>600000A  630000   999999999999999999999999999999999999999999999999999999</v>
          </cell>
          <cell r="Q141" t="str">
            <v xml:space="preserve">none     </v>
          </cell>
          <cell r="R141" t="str">
            <v>RollFCST-Working Version</v>
          </cell>
          <cell r="S141" t="str">
            <v>RollFCST-Working Version</v>
          </cell>
          <cell r="T141" t="str">
            <v xml:space="preserve"> </v>
          </cell>
          <cell r="U141" t="str">
            <v xml:space="preserve"> </v>
          </cell>
          <cell r="V141" t="str">
            <v>630000</v>
          </cell>
          <cell r="W141" t="str">
            <v>2</v>
          </cell>
          <cell r="X141" t="str">
            <v xml:space="preserve">  Professional Fees                     </v>
          </cell>
          <cell r="Y141">
            <v>18.989999999999998</v>
          </cell>
          <cell r="Z141">
            <v>15.58</v>
          </cell>
          <cell r="AA141">
            <v>5.33</v>
          </cell>
          <cell r="AB141">
            <v>3</v>
          </cell>
          <cell r="AC141">
            <v>42.9</v>
          </cell>
          <cell r="AD141">
            <v>3</v>
          </cell>
          <cell r="AE141">
            <v>3</v>
          </cell>
          <cell r="AF141">
            <v>3</v>
          </cell>
          <cell r="AG141">
            <v>3</v>
          </cell>
          <cell r="AH141">
            <v>12</v>
          </cell>
          <cell r="AI141" t="str">
            <v xml:space="preserve">U.S. Dollar                   </v>
          </cell>
          <cell r="AJ141" t="str">
            <v xml:space="preserve"> </v>
          </cell>
          <cell r="AK141" t="str">
            <v xml:space="preserve"> </v>
          </cell>
          <cell r="AL141" t="str">
            <v xml:space="preserve"> </v>
          </cell>
          <cell r="AM141" t="str">
            <v xml:space="preserve"> </v>
          </cell>
          <cell r="AN141" t="str">
            <v xml:space="preserve"> </v>
          </cell>
          <cell r="AO141" t="str">
            <v xml:space="preserve"> </v>
          </cell>
          <cell r="AP141" t="str">
            <v xml:space="preserve"> </v>
          </cell>
          <cell r="AQ141" t="str">
            <v xml:space="preserve"> </v>
          </cell>
        </row>
        <row r="142">
          <cell r="A142" t="str">
            <v>FBE.......651500A</v>
          </cell>
          <cell r="B142" t="str">
            <v>2004T12</v>
          </cell>
          <cell r="C142" t="str">
            <v xml:space="preserve">TREND    </v>
          </cell>
          <cell r="D142" t="str">
            <v xml:space="preserve">Trend -  QTD Average/Activity                     </v>
          </cell>
          <cell r="E142" t="str">
            <v>Run: 08/07/03 14:02:44</v>
          </cell>
          <cell r="F142" t="str">
            <v>999</v>
          </cell>
          <cell r="G142" t="str">
            <v>100</v>
          </cell>
          <cell r="H142" t="str">
            <v xml:space="preserve">Bank Of America Management Reporting              </v>
          </cell>
          <cell r="I142" t="str">
            <v>001</v>
          </cell>
          <cell r="J142" t="str">
            <v>FBE.......</v>
          </cell>
          <cell r="K142" t="str">
            <v xml:space="preserve">Emg Ops Emea And Latin America                    </v>
          </cell>
          <cell r="L142" t="str">
            <v xml:space="preserve"> </v>
          </cell>
          <cell r="M142" t="str">
            <v xml:space="preserve"> </v>
          </cell>
          <cell r="N142" t="str">
            <v>bamgt</v>
          </cell>
          <cell r="O142" t="str">
            <v>40</v>
          </cell>
          <cell r="P142" t="str">
            <v>600000A  651500A  999999999999999999999999999999999999999999999999999999</v>
          </cell>
          <cell r="Q142" t="str">
            <v xml:space="preserve">none     </v>
          </cell>
          <cell r="R142" t="str">
            <v>RollFCST-Working Version</v>
          </cell>
          <cell r="S142" t="str">
            <v>RollFCST-Working Version</v>
          </cell>
          <cell r="T142" t="str">
            <v xml:space="preserve"> </v>
          </cell>
          <cell r="U142" t="str">
            <v xml:space="preserve"> </v>
          </cell>
          <cell r="V142" t="str">
            <v>651500A</v>
          </cell>
          <cell r="W142" t="str">
            <v>2</v>
          </cell>
          <cell r="X142" t="str">
            <v xml:space="preserve">  Direct Processing Expense             </v>
          </cell>
          <cell r="Y142">
            <v>51.34</v>
          </cell>
          <cell r="Z142">
            <v>39.68</v>
          </cell>
          <cell r="AA142">
            <v>21</v>
          </cell>
          <cell r="AB142">
            <v>12</v>
          </cell>
          <cell r="AC142">
            <v>124.02</v>
          </cell>
          <cell r="AD142">
            <v>3</v>
          </cell>
          <cell r="AE142">
            <v>3</v>
          </cell>
          <cell r="AF142">
            <v>3</v>
          </cell>
          <cell r="AG142">
            <v>3</v>
          </cell>
          <cell r="AH142">
            <v>12</v>
          </cell>
          <cell r="AI142" t="str">
            <v xml:space="preserve">U.S. Dollar                   </v>
          </cell>
          <cell r="AJ142" t="str">
            <v xml:space="preserve"> </v>
          </cell>
          <cell r="AK142" t="str">
            <v xml:space="preserve"> </v>
          </cell>
          <cell r="AL142" t="str">
            <v xml:space="preserve"> </v>
          </cell>
          <cell r="AM142" t="str">
            <v xml:space="preserve"> </v>
          </cell>
          <cell r="AN142" t="str">
            <v xml:space="preserve"> </v>
          </cell>
          <cell r="AO142" t="str">
            <v xml:space="preserve"> </v>
          </cell>
          <cell r="AP142" t="str">
            <v xml:space="preserve"> </v>
          </cell>
          <cell r="AQ142" t="str">
            <v xml:space="preserve"> </v>
          </cell>
        </row>
        <row r="143">
          <cell r="A143" t="str">
            <v>FBE.......660000A</v>
          </cell>
          <cell r="B143" t="str">
            <v>2004T12</v>
          </cell>
          <cell r="C143" t="str">
            <v xml:space="preserve">TREND    </v>
          </cell>
          <cell r="D143" t="str">
            <v xml:space="preserve">Trend -  QTD Average/Activity                     </v>
          </cell>
          <cell r="E143" t="str">
            <v>Run: 08/07/03 14:02:44</v>
          </cell>
          <cell r="F143" t="str">
            <v>999</v>
          </cell>
          <cell r="G143" t="str">
            <v>100</v>
          </cell>
          <cell r="H143" t="str">
            <v xml:space="preserve">Bank Of America Management Reporting              </v>
          </cell>
          <cell r="I143" t="str">
            <v>001</v>
          </cell>
          <cell r="J143" t="str">
            <v>FBE.......</v>
          </cell>
          <cell r="K143" t="str">
            <v xml:space="preserve">Emg Ops Emea And Latin America                    </v>
          </cell>
          <cell r="L143" t="str">
            <v xml:space="preserve"> </v>
          </cell>
          <cell r="M143" t="str">
            <v xml:space="preserve"> </v>
          </cell>
          <cell r="N143" t="str">
            <v>bamgt</v>
          </cell>
          <cell r="O143" t="str">
            <v>40</v>
          </cell>
          <cell r="P143" t="str">
            <v>600000A  660000A  999999999999999999999999999999999999999999999999999999</v>
          </cell>
          <cell r="Q143" t="str">
            <v xml:space="preserve">none     </v>
          </cell>
          <cell r="R143" t="str">
            <v>RollFCST-Working Version</v>
          </cell>
          <cell r="S143" t="str">
            <v>RollFCST-Working Version</v>
          </cell>
          <cell r="T143" t="str">
            <v xml:space="preserve"> </v>
          </cell>
          <cell r="U143" t="str">
            <v xml:space="preserve"> </v>
          </cell>
          <cell r="V143" t="str">
            <v>660000A</v>
          </cell>
          <cell r="W143" t="str">
            <v>2</v>
          </cell>
          <cell r="X143" t="str">
            <v xml:space="preserve">  Telecommunications                    </v>
          </cell>
          <cell r="Y143">
            <v>25.11</v>
          </cell>
          <cell r="Z143">
            <v>33.85</v>
          </cell>
          <cell r="AA143">
            <v>19.77</v>
          </cell>
          <cell r="AB143">
            <v>17.82</v>
          </cell>
          <cell r="AC143">
            <v>96.55</v>
          </cell>
          <cell r="AD143">
            <v>15</v>
          </cell>
          <cell r="AE143">
            <v>15</v>
          </cell>
          <cell r="AF143">
            <v>15</v>
          </cell>
          <cell r="AG143">
            <v>15</v>
          </cell>
          <cell r="AH143">
            <v>60</v>
          </cell>
          <cell r="AI143" t="str">
            <v xml:space="preserve">U.S. Dollar                   </v>
          </cell>
          <cell r="AJ143" t="str">
            <v xml:space="preserve"> </v>
          </cell>
          <cell r="AK143" t="str">
            <v xml:space="preserve"> </v>
          </cell>
          <cell r="AL143" t="str">
            <v xml:space="preserve"> </v>
          </cell>
          <cell r="AM143" t="str">
            <v xml:space="preserve"> </v>
          </cell>
          <cell r="AN143" t="str">
            <v xml:space="preserve"> </v>
          </cell>
          <cell r="AO143" t="str">
            <v xml:space="preserve"> </v>
          </cell>
          <cell r="AP143" t="str">
            <v xml:space="preserve"> </v>
          </cell>
          <cell r="AQ143" t="str">
            <v xml:space="preserve"> </v>
          </cell>
        </row>
        <row r="144">
          <cell r="A144" t="str">
            <v>FBE.......663000</v>
          </cell>
          <cell r="B144" t="str">
            <v>2004T12</v>
          </cell>
          <cell r="C144" t="str">
            <v xml:space="preserve">TREND    </v>
          </cell>
          <cell r="D144" t="str">
            <v xml:space="preserve">Trend -  QTD Average/Activity                     </v>
          </cell>
          <cell r="E144" t="str">
            <v>Run: 08/07/03 14:02:44</v>
          </cell>
          <cell r="F144" t="str">
            <v>999</v>
          </cell>
          <cell r="G144" t="str">
            <v>100</v>
          </cell>
          <cell r="H144" t="str">
            <v xml:space="preserve">Bank Of America Management Reporting              </v>
          </cell>
          <cell r="I144" t="str">
            <v>001</v>
          </cell>
          <cell r="J144" t="str">
            <v>FBE.......</v>
          </cell>
          <cell r="K144" t="str">
            <v xml:space="preserve">Emg Ops Emea And Latin America                    </v>
          </cell>
          <cell r="L144" t="str">
            <v xml:space="preserve"> </v>
          </cell>
          <cell r="M144" t="str">
            <v xml:space="preserve"> </v>
          </cell>
          <cell r="N144" t="str">
            <v>bamgt</v>
          </cell>
          <cell r="O144" t="str">
            <v>40</v>
          </cell>
          <cell r="P144" t="str">
            <v>600000A  662999B  662999C  663000   999999999999999999999999999999999999</v>
          </cell>
          <cell r="Q144" t="str">
            <v xml:space="preserve">none     </v>
          </cell>
          <cell r="R144" t="str">
            <v>RollFCST-Working Version</v>
          </cell>
          <cell r="S144" t="str">
            <v>RollFCST-Working Version</v>
          </cell>
          <cell r="T144" t="str">
            <v xml:space="preserve"> </v>
          </cell>
          <cell r="U144" t="str">
            <v xml:space="preserve"> </v>
          </cell>
          <cell r="V144" t="str">
            <v>663000</v>
          </cell>
          <cell r="W144" t="str">
            <v>4</v>
          </cell>
          <cell r="X144" t="str">
            <v xml:space="preserve">      Supplies                          </v>
          </cell>
          <cell r="Y144">
            <v>10.51</v>
          </cell>
          <cell r="Z144">
            <v>7.51</v>
          </cell>
          <cell r="AA144">
            <v>7.51</v>
          </cell>
          <cell r="AB144">
            <v>6.51</v>
          </cell>
          <cell r="AC144">
            <v>32.04</v>
          </cell>
          <cell r="AD144">
            <v>3.51</v>
          </cell>
          <cell r="AE144">
            <v>3.51</v>
          </cell>
          <cell r="AF144">
            <v>3.51</v>
          </cell>
          <cell r="AG144">
            <v>3.51</v>
          </cell>
          <cell r="AH144">
            <v>14.04</v>
          </cell>
          <cell r="AI144" t="str">
            <v xml:space="preserve">U.S. Dollar                   </v>
          </cell>
          <cell r="AJ144" t="str">
            <v xml:space="preserve"> </v>
          </cell>
          <cell r="AK144" t="str">
            <v xml:space="preserve"> </v>
          </cell>
          <cell r="AL144" t="str">
            <v xml:space="preserve"> </v>
          </cell>
          <cell r="AM144" t="str">
            <v xml:space="preserve"> </v>
          </cell>
          <cell r="AN144" t="str">
            <v xml:space="preserve"> </v>
          </cell>
          <cell r="AO144" t="str">
            <v xml:space="preserve"> </v>
          </cell>
          <cell r="AP144" t="str">
            <v xml:space="preserve"> </v>
          </cell>
          <cell r="AQ144" t="str">
            <v xml:space="preserve"> </v>
          </cell>
        </row>
        <row r="145">
          <cell r="A145" t="str">
            <v>FBE.......664500</v>
          </cell>
          <cell r="B145" t="str">
            <v>2004T12</v>
          </cell>
          <cell r="C145" t="str">
            <v xml:space="preserve">TREND    </v>
          </cell>
          <cell r="D145" t="str">
            <v xml:space="preserve">Trend -  QTD Average/Activity                     </v>
          </cell>
          <cell r="E145" t="str">
            <v>Run: 08/07/03 14:02:44</v>
          </cell>
          <cell r="F145" t="str">
            <v>999</v>
          </cell>
          <cell r="G145" t="str">
            <v>100</v>
          </cell>
          <cell r="H145" t="str">
            <v xml:space="preserve">Bank Of America Management Reporting              </v>
          </cell>
          <cell r="I145" t="str">
            <v>001</v>
          </cell>
          <cell r="J145" t="str">
            <v>FBE.......</v>
          </cell>
          <cell r="K145" t="str">
            <v xml:space="preserve">Emg Ops Emea And Latin America                    </v>
          </cell>
          <cell r="L145" t="str">
            <v xml:space="preserve"> </v>
          </cell>
          <cell r="M145" t="str">
            <v xml:space="preserve"> </v>
          </cell>
          <cell r="N145" t="str">
            <v>bamgt</v>
          </cell>
          <cell r="O145" t="str">
            <v>40</v>
          </cell>
          <cell r="P145" t="str">
            <v>600000A  662999B  662999C  664500   999999999999999999999999999999999999</v>
          </cell>
          <cell r="Q145" t="str">
            <v xml:space="preserve">none     </v>
          </cell>
          <cell r="R145" t="str">
            <v>RollFCST-Working Version</v>
          </cell>
          <cell r="S145" t="str">
            <v>RollFCST-Working Version</v>
          </cell>
          <cell r="T145" t="str">
            <v xml:space="preserve"> </v>
          </cell>
          <cell r="U145" t="str">
            <v xml:space="preserve"> </v>
          </cell>
          <cell r="V145" t="str">
            <v>664500</v>
          </cell>
          <cell r="W145" t="str">
            <v>4</v>
          </cell>
          <cell r="X145" t="str">
            <v xml:space="preserve">      Postage And Courier               </v>
          </cell>
          <cell r="Y145">
            <v>1.99</v>
          </cell>
          <cell r="Z145">
            <v>0.99</v>
          </cell>
          <cell r="AA145">
            <v>0.99</v>
          </cell>
          <cell r="AB145">
            <v>0.99</v>
          </cell>
          <cell r="AC145">
            <v>4.96</v>
          </cell>
          <cell r="AD145">
            <v>0.99</v>
          </cell>
          <cell r="AE145">
            <v>0.99</v>
          </cell>
          <cell r="AF145">
            <v>0.99</v>
          </cell>
          <cell r="AG145">
            <v>0.99</v>
          </cell>
          <cell r="AH145">
            <v>3.96</v>
          </cell>
          <cell r="AI145" t="str">
            <v xml:space="preserve">U.S. Dollar                   </v>
          </cell>
          <cell r="AJ145" t="str">
            <v xml:space="preserve"> </v>
          </cell>
          <cell r="AK145" t="str">
            <v xml:space="preserve"> </v>
          </cell>
          <cell r="AL145" t="str">
            <v xml:space="preserve"> </v>
          </cell>
          <cell r="AM145" t="str">
            <v xml:space="preserve"> </v>
          </cell>
          <cell r="AN145" t="str">
            <v xml:space="preserve"> </v>
          </cell>
          <cell r="AO145" t="str">
            <v xml:space="preserve"> </v>
          </cell>
          <cell r="AP145" t="str">
            <v xml:space="preserve"> </v>
          </cell>
          <cell r="AQ145" t="str">
            <v xml:space="preserve"> </v>
          </cell>
        </row>
        <row r="146">
          <cell r="A146" t="str">
            <v>FBE.......665499F</v>
          </cell>
          <cell r="B146" t="str">
            <v>2004T12</v>
          </cell>
          <cell r="C146" t="str">
            <v xml:space="preserve">TREND    </v>
          </cell>
          <cell r="D146" t="str">
            <v xml:space="preserve">Trend -  QTD Average/Activity                     </v>
          </cell>
          <cell r="E146" t="str">
            <v>Run: 08/07/03 14:02:44</v>
          </cell>
          <cell r="F146" t="str">
            <v>999</v>
          </cell>
          <cell r="G146" t="str">
            <v>100</v>
          </cell>
          <cell r="H146" t="str">
            <v xml:space="preserve">Bank Of America Management Reporting              </v>
          </cell>
          <cell r="I146" t="str">
            <v>001</v>
          </cell>
          <cell r="J146" t="str">
            <v>FBE.......</v>
          </cell>
          <cell r="K146" t="str">
            <v xml:space="preserve">Emg Ops Emea And Latin America                    </v>
          </cell>
          <cell r="L146" t="str">
            <v xml:space="preserve"> </v>
          </cell>
          <cell r="M146" t="str">
            <v xml:space="preserve"> </v>
          </cell>
          <cell r="N146" t="str">
            <v>bamgt</v>
          </cell>
          <cell r="O146" t="str">
            <v>40</v>
          </cell>
          <cell r="P146" t="str">
            <v>600000A  662999B  662999C  665499B  665499D  665499F  999999999999999999</v>
          </cell>
          <cell r="Q146" t="str">
            <v xml:space="preserve">none     </v>
          </cell>
          <cell r="R146" t="str">
            <v>RollFCST-Working Version</v>
          </cell>
          <cell r="S146" t="str">
            <v>RollFCST-Working Version</v>
          </cell>
          <cell r="T146" t="str">
            <v xml:space="preserve"> </v>
          </cell>
          <cell r="U146" t="str">
            <v xml:space="preserve"> </v>
          </cell>
          <cell r="V146" t="str">
            <v>665499F</v>
          </cell>
          <cell r="W146" t="str">
            <v>6</v>
          </cell>
          <cell r="X146" t="str">
            <v xml:space="preserve">          Relocation Expense            </v>
          </cell>
          <cell r="Y146">
            <v>0</v>
          </cell>
          <cell r="Z146">
            <v>0</v>
          </cell>
          <cell r="AA146">
            <v>0</v>
          </cell>
          <cell r="AB146">
            <v>0</v>
          </cell>
          <cell r="AC146">
            <v>0</v>
          </cell>
          <cell r="AD146">
            <v>0</v>
          </cell>
          <cell r="AE146">
            <v>0</v>
          </cell>
          <cell r="AF146">
            <v>0</v>
          </cell>
          <cell r="AG146">
            <v>0</v>
          </cell>
          <cell r="AH146">
            <v>0</v>
          </cell>
          <cell r="AI146" t="str">
            <v xml:space="preserve">U.S. Dollar                   </v>
          </cell>
          <cell r="AJ146" t="str">
            <v xml:space="preserve"> </v>
          </cell>
          <cell r="AK146" t="str">
            <v xml:space="preserve"> </v>
          </cell>
          <cell r="AL146" t="str">
            <v xml:space="preserve"> </v>
          </cell>
          <cell r="AM146" t="str">
            <v xml:space="preserve"> </v>
          </cell>
          <cell r="AN146" t="str">
            <v xml:space="preserve"> </v>
          </cell>
          <cell r="AO146" t="str">
            <v xml:space="preserve"> </v>
          </cell>
          <cell r="AP146" t="str">
            <v xml:space="preserve"> </v>
          </cell>
          <cell r="AQ146" t="str">
            <v xml:space="preserve"> </v>
          </cell>
        </row>
        <row r="147">
          <cell r="A147" t="str">
            <v>FBE.......665499J</v>
          </cell>
          <cell r="B147" t="str">
            <v>2004T12</v>
          </cell>
          <cell r="C147" t="str">
            <v xml:space="preserve">TREND    </v>
          </cell>
          <cell r="D147" t="str">
            <v xml:space="preserve">Trend -  QTD Average/Activity                     </v>
          </cell>
          <cell r="E147" t="str">
            <v>Run: 08/07/03 14:02:44</v>
          </cell>
          <cell r="F147" t="str">
            <v>999</v>
          </cell>
          <cell r="G147" t="str">
            <v>100</v>
          </cell>
          <cell r="H147" t="str">
            <v xml:space="preserve">Bank Of America Management Reporting              </v>
          </cell>
          <cell r="I147" t="str">
            <v>001</v>
          </cell>
          <cell r="J147" t="str">
            <v>FBE.......</v>
          </cell>
          <cell r="K147" t="str">
            <v xml:space="preserve">Emg Ops Emea And Latin America                    </v>
          </cell>
          <cell r="L147" t="str">
            <v xml:space="preserve"> </v>
          </cell>
          <cell r="M147" t="str">
            <v xml:space="preserve"> </v>
          </cell>
          <cell r="N147" t="str">
            <v>bamgt</v>
          </cell>
          <cell r="O147" t="str">
            <v>40</v>
          </cell>
          <cell r="P147" t="str">
            <v>600000A  662999B  662999C  665499B  665499D  665499H  665499J  999999999</v>
          </cell>
          <cell r="Q147" t="str">
            <v xml:space="preserve">none     </v>
          </cell>
          <cell r="R147" t="str">
            <v>RollFCST-Working Version</v>
          </cell>
          <cell r="S147" t="str">
            <v>RollFCST-Working Version</v>
          </cell>
          <cell r="T147" t="str">
            <v xml:space="preserve"> </v>
          </cell>
          <cell r="U147" t="str">
            <v xml:space="preserve"> </v>
          </cell>
          <cell r="V147" t="str">
            <v>665499J</v>
          </cell>
          <cell r="W147" t="str">
            <v>7</v>
          </cell>
          <cell r="X147" t="str">
            <v xml:space="preserve">            Employee Training &amp; Seminars</v>
          </cell>
          <cell r="Y147">
            <v>0</v>
          </cell>
          <cell r="Z147">
            <v>0</v>
          </cell>
          <cell r="AA147">
            <v>0</v>
          </cell>
          <cell r="AB147">
            <v>0</v>
          </cell>
          <cell r="AC147">
            <v>0</v>
          </cell>
          <cell r="AD147">
            <v>0</v>
          </cell>
          <cell r="AE147">
            <v>0</v>
          </cell>
          <cell r="AF147">
            <v>0</v>
          </cell>
          <cell r="AG147">
            <v>0</v>
          </cell>
          <cell r="AH147">
            <v>0</v>
          </cell>
          <cell r="AI147" t="str">
            <v xml:space="preserve">U.S. Dollar                   </v>
          </cell>
          <cell r="AJ147" t="str">
            <v xml:space="preserve"> </v>
          </cell>
          <cell r="AK147" t="str">
            <v xml:space="preserve"> </v>
          </cell>
          <cell r="AL147" t="str">
            <v xml:space="preserve"> </v>
          </cell>
          <cell r="AM147" t="str">
            <v xml:space="preserve"> </v>
          </cell>
          <cell r="AN147" t="str">
            <v xml:space="preserve"> </v>
          </cell>
          <cell r="AO147" t="str">
            <v xml:space="preserve"> </v>
          </cell>
          <cell r="AP147" t="str">
            <v xml:space="preserve"> </v>
          </cell>
          <cell r="AQ147" t="str">
            <v xml:space="preserve"> </v>
          </cell>
        </row>
        <row r="148">
          <cell r="A148" t="str">
            <v>FBE.......665499H</v>
          </cell>
          <cell r="B148" t="str">
            <v>2004T12</v>
          </cell>
          <cell r="C148" t="str">
            <v xml:space="preserve">TREND    </v>
          </cell>
          <cell r="D148" t="str">
            <v xml:space="preserve">Trend -  QTD Average/Activity                     </v>
          </cell>
          <cell r="E148" t="str">
            <v>Run: 08/07/03 14:02:44</v>
          </cell>
          <cell r="F148" t="str">
            <v>999</v>
          </cell>
          <cell r="G148" t="str">
            <v>100</v>
          </cell>
          <cell r="H148" t="str">
            <v xml:space="preserve">Bank Of America Management Reporting              </v>
          </cell>
          <cell r="I148" t="str">
            <v>001</v>
          </cell>
          <cell r="J148" t="str">
            <v>FBE.......</v>
          </cell>
          <cell r="K148" t="str">
            <v xml:space="preserve">Emg Ops Emea And Latin America                    </v>
          </cell>
          <cell r="L148" t="str">
            <v xml:space="preserve"> </v>
          </cell>
          <cell r="M148" t="str">
            <v xml:space="preserve"> </v>
          </cell>
          <cell r="N148" t="str">
            <v>bamgt</v>
          </cell>
          <cell r="O148" t="str">
            <v>40</v>
          </cell>
          <cell r="P148" t="str">
            <v>600000A  662999B  662999C  665499B  665499D  665499H  999999999999999999</v>
          </cell>
          <cell r="Q148" t="str">
            <v xml:space="preserve">none     </v>
          </cell>
          <cell r="R148" t="str">
            <v>RollFCST-Working Version</v>
          </cell>
          <cell r="S148" t="str">
            <v>RollFCST-Working Version</v>
          </cell>
          <cell r="T148" t="str">
            <v xml:space="preserve"> </v>
          </cell>
          <cell r="U148" t="str">
            <v xml:space="preserve"> </v>
          </cell>
          <cell r="V148" t="str">
            <v>665499H</v>
          </cell>
          <cell r="W148" t="str">
            <v>6</v>
          </cell>
          <cell r="X148" t="str">
            <v xml:space="preserve">          Other Employee Expense        </v>
          </cell>
          <cell r="Y148">
            <v>0</v>
          </cell>
          <cell r="Z148">
            <v>0</v>
          </cell>
          <cell r="AA148">
            <v>0</v>
          </cell>
          <cell r="AB148">
            <v>0</v>
          </cell>
          <cell r="AC148">
            <v>0</v>
          </cell>
          <cell r="AD148">
            <v>0</v>
          </cell>
          <cell r="AE148">
            <v>0</v>
          </cell>
          <cell r="AF148">
            <v>0</v>
          </cell>
          <cell r="AG148">
            <v>0</v>
          </cell>
          <cell r="AH148">
            <v>0</v>
          </cell>
          <cell r="AI148" t="str">
            <v xml:space="preserve">U.S. Dollar                   </v>
          </cell>
          <cell r="AJ148" t="str">
            <v xml:space="preserve"> </v>
          </cell>
          <cell r="AK148" t="str">
            <v xml:space="preserve"> </v>
          </cell>
          <cell r="AL148" t="str">
            <v xml:space="preserve"> </v>
          </cell>
          <cell r="AM148" t="str">
            <v xml:space="preserve"> </v>
          </cell>
          <cell r="AN148" t="str">
            <v xml:space="preserve"> </v>
          </cell>
          <cell r="AO148" t="str">
            <v xml:space="preserve"> </v>
          </cell>
          <cell r="AP148" t="str">
            <v xml:space="preserve"> </v>
          </cell>
          <cell r="AQ148" t="str">
            <v xml:space="preserve"> </v>
          </cell>
        </row>
        <row r="149">
          <cell r="A149" t="str">
            <v>FBE.......665499D</v>
          </cell>
          <cell r="B149" t="str">
            <v>2004T12</v>
          </cell>
          <cell r="C149" t="str">
            <v xml:space="preserve">TREND    </v>
          </cell>
          <cell r="D149" t="str">
            <v xml:space="preserve">Trend -  QTD Average/Activity                     </v>
          </cell>
          <cell r="E149" t="str">
            <v>Run: 08/07/03 14:02:44</v>
          </cell>
          <cell r="F149" t="str">
            <v>999</v>
          </cell>
          <cell r="G149" t="str">
            <v>100</v>
          </cell>
          <cell r="H149" t="str">
            <v xml:space="preserve">Bank Of America Management Reporting              </v>
          </cell>
          <cell r="I149" t="str">
            <v>001</v>
          </cell>
          <cell r="J149" t="str">
            <v>FBE.......</v>
          </cell>
          <cell r="K149" t="str">
            <v xml:space="preserve">Emg Ops Emea And Latin America                    </v>
          </cell>
          <cell r="L149" t="str">
            <v xml:space="preserve"> </v>
          </cell>
          <cell r="M149" t="str">
            <v xml:space="preserve"> </v>
          </cell>
          <cell r="N149" t="str">
            <v>bamgt</v>
          </cell>
          <cell r="O149" t="str">
            <v>40</v>
          </cell>
          <cell r="P149" t="str">
            <v>600000A  662999B  662999C  665499B  665499D  999999999999999999999999999</v>
          </cell>
          <cell r="Q149" t="str">
            <v xml:space="preserve">none     </v>
          </cell>
          <cell r="R149" t="str">
            <v>RollFCST-Working Version</v>
          </cell>
          <cell r="S149" t="str">
            <v>RollFCST-Working Version</v>
          </cell>
          <cell r="T149" t="str">
            <v xml:space="preserve"> </v>
          </cell>
          <cell r="U149" t="str">
            <v xml:space="preserve"> </v>
          </cell>
          <cell r="V149" t="str">
            <v>665499D</v>
          </cell>
          <cell r="W149" t="str">
            <v>5</v>
          </cell>
          <cell r="X149" t="str">
            <v xml:space="preserve">        Employee Expense                </v>
          </cell>
          <cell r="Y149">
            <v>0</v>
          </cell>
          <cell r="Z149">
            <v>0</v>
          </cell>
          <cell r="AA149">
            <v>0</v>
          </cell>
          <cell r="AB149">
            <v>0</v>
          </cell>
          <cell r="AC149">
            <v>0</v>
          </cell>
          <cell r="AD149">
            <v>0</v>
          </cell>
          <cell r="AE149">
            <v>0</v>
          </cell>
          <cell r="AF149">
            <v>0</v>
          </cell>
          <cell r="AG149">
            <v>0</v>
          </cell>
          <cell r="AH149">
            <v>0</v>
          </cell>
          <cell r="AI149" t="str">
            <v xml:space="preserve">U.S. Dollar                   </v>
          </cell>
          <cell r="AJ149" t="str">
            <v xml:space="preserve"> </v>
          </cell>
          <cell r="AK149" t="str">
            <v xml:space="preserve"> </v>
          </cell>
          <cell r="AL149" t="str">
            <v xml:space="preserve"> </v>
          </cell>
          <cell r="AM149" t="str">
            <v xml:space="preserve"> </v>
          </cell>
          <cell r="AN149" t="str">
            <v xml:space="preserve"> </v>
          </cell>
          <cell r="AO149" t="str">
            <v xml:space="preserve"> </v>
          </cell>
          <cell r="AP149" t="str">
            <v xml:space="preserve"> </v>
          </cell>
          <cell r="AQ149" t="str">
            <v xml:space="preserve"> </v>
          </cell>
        </row>
        <row r="150">
          <cell r="A150" t="str">
            <v>FBE.......665499B</v>
          </cell>
          <cell r="B150" t="str">
            <v>2004T12</v>
          </cell>
          <cell r="C150" t="str">
            <v xml:space="preserve">TREND    </v>
          </cell>
          <cell r="D150" t="str">
            <v xml:space="preserve">Trend -  QTD Average/Activity                     </v>
          </cell>
          <cell r="E150" t="str">
            <v>Run: 08/07/03 14:02:44</v>
          </cell>
          <cell r="F150" t="str">
            <v>999</v>
          </cell>
          <cell r="G150" t="str">
            <v>100</v>
          </cell>
          <cell r="H150" t="str">
            <v xml:space="preserve">Bank Of America Management Reporting              </v>
          </cell>
          <cell r="I150" t="str">
            <v>001</v>
          </cell>
          <cell r="J150" t="str">
            <v>FBE.......</v>
          </cell>
          <cell r="K150" t="str">
            <v xml:space="preserve">Emg Ops Emea And Latin America                    </v>
          </cell>
          <cell r="L150" t="str">
            <v xml:space="preserve"> </v>
          </cell>
          <cell r="M150" t="str">
            <v xml:space="preserve"> </v>
          </cell>
          <cell r="N150" t="str">
            <v>bamgt</v>
          </cell>
          <cell r="O150" t="str">
            <v>40</v>
          </cell>
          <cell r="P150" t="str">
            <v>600000A  662999B  662999C  665499B  999999999999999999999999999999999999</v>
          </cell>
          <cell r="Q150" t="str">
            <v xml:space="preserve">none     </v>
          </cell>
          <cell r="R150" t="str">
            <v>RollFCST-Working Version</v>
          </cell>
          <cell r="S150" t="str">
            <v>RollFCST-Working Version</v>
          </cell>
          <cell r="T150" t="str">
            <v xml:space="preserve"> </v>
          </cell>
          <cell r="U150" t="str">
            <v xml:space="preserve"> </v>
          </cell>
          <cell r="V150" t="str">
            <v>665499B</v>
          </cell>
          <cell r="W150" t="str">
            <v>4</v>
          </cell>
          <cell r="X150" t="str">
            <v xml:space="preserve">      Other Operating Expense           </v>
          </cell>
          <cell r="Y150">
            <v>31</v>
          </cell>
          <cell r="Z150">
            <v>19.13</v>
          </cell>
          <cell r="AA150">
            <v>26</v>
          </cell>
          <cell r="AB150">
            <v>23</v>
          </cell>
          <cell r="AC150">
            <v>99.13</v>
          </cell>
          <cell r="AD150">
            <v>28.5</v>
          </cell>
          <cell r="AE150">
            <v>28.5</v>
          </cell>
          <cell r="AF150">
            <v>28.5</v>
          </cell>
          <cell r="AG150">
            <v>28.5</v>
          </cell>
          <cell r="AH150">
            <v>114</v>
          </cell>
          <cell r="AI150" t="str">
            <v xml:space="preserve">U.S. Dollar                   </v>
          </cell>
          <cell r="AJ150" t="str">
            <v xml:space="preserve"> </v>
          </cell>
          <cell r="AK150" t="str">
            <v xml:space="preserve"> </v>
          </cell>
          <cell r="AL150" t="str">
            <v xml:space="preserve"> </v>
          </cell>
          <cell r="AM150" t="str">
            <v xml:space="preserve"> </v>
          </cell>
          <cell r="AN150" t="str">
            <v xml:space="preserve"> </v>
          </cell>
          <cell r="AO150" t="str">
            <v xml:space="preserve"> </v>
          </cell>
          <cell r="AP150" t="str">
            <v xml:space="preserve"> </v>
          </cell>
          <cell r="AQ150" t="str">
            <v xml:space="preserve"> </v>
          </cell>
        </row>
        <row r="151">
          <cell r="A151" t="str">
            <v>FBE.......670200</v>
          </cell>
          <cell r="B151" t="str">
            <v>2004T12</v>
          </cell>
          <cell r="C151" t="str">
            <v xml:space="preserve">TREND    </v>
          </cell>
          <cell r="D151" t="str">
            <v xml:space="preserve">Trend -  QTD Average/Activity                     </v>
          </cell>
          <cell r="E151" t="str">
            <v>Run: 08/07/03 14:02:44</v>
          </cell>
          <cell r="F151" t="str">
            <v>999</v>
          </cell>
          <cell r="G151" t="str">
            <v>100</v>
          </cell>
          <cell r="H151" t="str">
            <v xml:space="preserve">Bank Of America Management Reporting              </v>
          </cell>
          <cell r="I151" t="str">
            <v>001</v>
          </cell>
          <cell r="J151" t="str">
            <v>FBE.......</v>
          </cell>
          <cell r="K151" t="str">
            <v xml:space="preserve">Emg Ops Emea And Latin America                    </v>
          </cell>
          <cell r="L151" t="str">
            <v xml:space="preserve"> </v>
          </cell>
          <cell r="M151" t="str">
            <v xml:space="preserve"> </v>
          </cell>
          <cell r="N151" t="str">
            <v>bamgt</v>
          </cell>
          <cell r="O151" t="str">
            <v>40</v>
          </cell>
          <cell r="P151" t="str">
            <v>600000A  662999B  670000B  670200   999999999999999999999999999999999999</v>
          </cell>
          <cell r="Q151" t="str">
            <v xml:space="preserve">none     </v>
          </cell>
          <cell r="R151" t="str">
            <v>RollFCST-Working Version</v>
          </cell>
          <cell r="S151" t="str">
            <v>RollFCST-Working Version</v>
          </cell>
          <cell r="T151" t="str">
            <v xml:space="preserve"> </v>
          </cell>
          <cell r="U151" t="str">
            <v xml:space="preserve"> </v>
          </cell>
          <cell r="V151" t="str">
            <v>670200</v>
          </cell>
          <cell r="W151" t="str">
            <v>4</v>
          </cell>
          <cell r="X151" t="str">
            <v xml:space="preserve">      Travel                            </v>
          </cell>
          <cell r="Y151">
            <v>18.989999999999998</v>
          </cell>
          <cell r="Z151">
            <v>17.989999999999998</v>
          </cell>
          <cell r="AA151">
            <v>8</v>
          </cell>
          <cell r="AB151">
            <v>6</v>
          </cell>
          <cell r="AC151">
            <v>50.98</v>
          </cell>
          <cell r="AD151">
            <v>4.5</v>
          </cell>
          <cell r="AE151">
            <v>4.5</v>
          </cell>
          <cell r="AF151">
            <v>4.5</v>
          </cell>
          <cell r="AG151">
            <v>4.5</v>
          </cell>
          <cell r="AH151">
            <v>18</v>
          </cell>
          <cell r="AI151" t="str">
            <v xml:space="preserve">U.S. Dollar                   </v>
          </cell>
          <cell r="AJ151" t="str">
            <v xml:space="preserve"> </v>
          </cell>
          <cell r="AK151" t="str">
            <v xml:space="preserve"> </v>
          </cell>
          <cell r="AL151" t="str">
            <v xml:space="preserve"> </v>
          </cell>
          <cell r="AM151" t="str">
            <v xml:space="preserve"> </v>
          </cell>
          <cell r="AN151" t="str">
            <v xml:space="preserve"> </v>
          </cell>
          <cell r="AO151" t="str">
            <v xml:space="preserve"> </v>
          </cell>
          <cell r="AP151" t="str">
            <v xml:space="preserve"> </v>
          </cell>
          <cell r="AQ151" t="str">
            <v xml:space="preserve"> </v>
          </cell>
        </row>
        <row r="152">
          <cell r="A152" t="str">
            <v>FBE.......670800</v>
          </cell>
          <cell r="B152" t="str">
            <v>2004T12</v>
          </cell>
          <cell r="C152" t="str">
            <v xml:space="preserve">TREND    </v>
          </cell>
          <cell r="D152" t="str">
            <v xml:space="preserve">Trend -  QTD Average/Activity                     </v>
          </cell>
          <cell r="E152" t="str">
            <v>Run: 08/07/03 14:02:44</v>
          </cell>
          <cell r="F152" t="str">
            <v>999</v>
          </cell>
          <cell r="G152" t="str">
            <v>100</v>
          </cell>
          <cell r="H152" t="str">
            <v xml:space="preserve">Bank Of America Management Reporting              </v>
          </cell>
          <cell r="I152" t="str">
            <v>001</v>
          </cell>
          <cell r="J152" t="str">
            <v>FBE.......</v>
          </cell>
          <cell r="K152" t="str">
            <v xml:space="preserve">Emg Ops Emea And Latin America                    </v>
          </cell>
          <cell r="L152" t="str">
            <v xml:space="preserve"> </v>
          </cell>
          <cell r="M152" t="str">
            <v xml:space="preserve"> </v>
          </cell>
          <cell r="N152" t="str">
            <v>bamgt</v>
          </cell>
          <cell r="O152" t="str">
            <v>40</v>
          </cell>
          <cell r="P152" t="str">
            <v>600000A  662999B  670000B  670800   999999999999999999999999999999999999</v>
          </cell>
          <cell r="Q152" t="str">
            <v xml:space="preserve">none     </v>
          </cell>
          <cell r="R152" t="str">
            <v>RollFCST-Working Version</v>
          </cell>
          <cell r="S152" t="str">
            <v>RollFCST-Working Version</v>
          </cell>
          <cell r="T152" t="str">
            <v xml:space="preserve"> </v>
          </cell>
          <cell r="U152" t="str">
            <v xml:space="preserve"> </v>
          </cell>
          <cell r="V152" t="str">
            <v>670800</v>
          </cell>
          <cell r="W152" t="str">
            <v>4</v>
          </cell>
          <cell r="X152" t="str">
            <v xml:space="preserve">      Taxes Other Than Income           </v>
          </cell>
          <cell r="Y152">
            <v>7</v>
          </cell>
          <cell r="Z152">
            <v>22</v>
          </cell>
          <cell r="AA152">
            <v>21</v>
          </cell>
          <cell r="AB152">
            <v>21</v>
          </cell>
          <cell r="AC152">
            <v>71</v>
          </cell>
          <cell r="AD152">
            <v>21</v>
          </cell>
          <cell r="AE152">
            <v>21</v>
          </cell>
          <cell r="AF152">
            <v>21</v>
          </cell>
          <cell r="AG152">
            <v>21</v>
          </cell>
          <cell r="AH152">
            <v>84</v>
          </cell>
          <cell r="AI152" t="str">
            <v xml:space="preserve">U.S. Dollar                   </v>
          </cell>
          <cell r="AJ152" t="str">
            <v xml:space="preserve"> </v>
          </cell>
          <cell r="AK152" t="str">
            <v xml:space="preserve"> </v>
          </cell>
          <cell r="AL152" t="str">
            <v xml:space="preserve"> </v>
          </cell>
          <cell r="AM152" t="str">
            <v xml:space="preserve"> </v>
          </cell>
          <cell r="AN152" t="str">
            <v xml:space="preserve"> </v>
          </cell>
          <cell r="AO152" t="str">
            <v xml:space="preserve"> </v>
          </cell>
          <cell r="AP152" t="str">
            <v xml:space="preserve"> </v>
          </cell>
          <cell r="AQ152" t="str">
            <v xml:space="preserve"> </v>
          </cell>
        </row>
        <row r="153">
          <cell r="A153" t="str">
            <v>FBE.......671200</v>
          </cell>
          <cell r="B153" t="str">
            <v>2004T12</v>
          </cell>
          <cell r="C153" t="str">
            <v xml:space="preserve">TREND    </v>
          </cell>
          <cell r="D153" t="str">
            <v xml:space="preserve">Trend -  QTD Average/Activity                     </v>
          </cell>
          <cell r="E153" t="str">
            <v>Run: 08/07/03 14:02:44</v>
          </cell>
          <cell r="F153" t="str">
            <v>999</v>
          </cell>
          <cell r="G153" t="str">
            <v>100</v>
          </cell>
          <cell r="H153" t="str">
            <v xml:space="preserve">Bank Of America Management Reporting              </v>
          </cell>
          <cell r="I153" t="str">
            <v>001</v>
          </cell>
          <cell r="J153" t="str">
            <v>FBE.......</v>
          </cell>
          <cell r="K153" t="str">
            <v xml:space="preserve">Emg Ops Emea And Latin America                    </v>
          </cell>
          <cell r="L153" t="str">
            <v xml:space="preserve"> </v>
          </cell>
          <cell r="M153" t="str">
            <v xml:space="preserve"> </v>
          </cell>
          <cell r="N153" t="str">
            <v>bamgt</v>
          </cell>
          <cell r="O153" t="str">
            <v>40</v>
          </cell>
          <cell r="P153" t="str">
            <v>600000A  662999B  670000B  671200   999999999999999999999999999999999999</v>
          </cell>
          <cell r="Q153" t="str">
            <v xml:space="preserve">none     </v>
          </cell>
          <cell r="R153" t="str">
            <v>RollFCST-Working Version</v>
          </cell>
          <cell r="S153" t="str">
            <v>RollFCST-Working Version</v>
          </cell>
          <cell r="T153" t="str">
            <v xml:space="preserve"> </v>
          </cell>
          <cell r="U153" t="str">
            <v xml:space="preserve"> </v>
          </cell>
          <cell r="V153" t="str">
            <v>671200</v>
          </cell>
          <cell r="W153" t="str">
            <v>4</v>
          </cell>
          <cell r="X153" t="str">
            <v xml:space="preserve">      Subscription Services             </v>
          </cell>
          <cell r="Y153">
            <v>12</v>
          </cell>
          <cell r="Z153">
            <v>9.69</v>
          </cell>
          <cell r="AA153">
            <v>12.5</v>
          </cell>
          <cell r="AB153">
            <v>11</v>
          </cell>
          <cell r="AC153">
            <v>45.19</v>
          </cell>
          <cell r="AD153">
            <v>8</v>
          </cell>
          <cell r="AE153">
            <v>8</v>
          </cell>
          <cell r="AF153">
            <v>8</v>
          </cell>
          <cell r="AG153">
            <v>8</v>
          </cell>
          <cell r="AH153">
            <v>32</v>
          </cell>
          <cell r="AI153" t="str">
            <v xml:space="preserve">U.S. Dollar                   </v>
          </cell>
          <cell r="AJ153" t="str">
            <v xml:space="preserve"> </v>
          </cell>
          <cell r="AK153" t="str">
            <v xml:space="preserve"> </v>
          </cell>
          <cell r="AL153" t="str">
            <v xml:space="preserve"> </v>
          </cell>
          <cell r="AM153" t="str">
            <v xml:space="preserve"> </v>
          </cell>
          <cell r="AN153" t="str">
            <v xml:space="preserve"> </v>
          </cell>
          <cell r="AO153" t="str">
            <v xml:space="preserve"> </v>
          </cell>
          <cell r="AP153" t="str">
            <v xml:space="preserve"> </v>
          </cell>
          <cell r="AQ153" t="str">
            <v xml:space="preserve"> </v>
          </cell>
        </row>
        <row r="154">
          <cell r="A154" t="str">
            <v>FBE.......671500</v>
          </cell>
          <cell r="B154" t="str">
            <v>2004T12</v>
          </cell>
          <cell r="C154" t="str">
            <v xml:space="preserve">TREND    </v>
          </cell>
          <cell r="D154" t="str">
            <v xml:space="preserve">Trend -  QTD Average/Activity                     </v>
          </cell>
          <cell r="E154" t="str">
            <v>Run: 08/07/03 14:02:44</v>
          </cell>
          <cell r="F154" t="str">
            <v>999</v>
          </cell>
          <cell r="G154" t="str">
            <v>100</v>
          </cell>
          <cell r="H154" t="str">
            <v xml:space="preserve">Bank Of America Management Reporting              </v>
          </cell>
          <cell r="I154" t="str">
            <v>001</v>
          </cell>
          <cell r="J154" t="str">
            <v>FBE.......</v>
          </cell>
          <cell r="K154" t="str">
            <v xml:space="preserve">Emg Ops Emea And Latin America                    </v>
          </cell>
          <cell r="L154" t="str">
            <v xml:space="preserve"> </v>
          </cell>
          <cell r="M154" t="str">
            <v xml:space="preserve"> </v>
          </cell>
          <cell r="N154" t="str">
            <v>bamgt</v>
          </cell>
          <cell r="O154" t="str">
            <v>40</v>
          </cell>
          <cell r="P154" t="str">
            <v>600000A  662999B  670000B  671500   999999999999999999999999999999999999</v>
          </cell>
          <cell r="Q154" t="str">
            <v xml:space="preserve">none     </v>
          </cell>
          <cell r="R154" t="str">
            <v>RollFCST-Working Version</v>
          </cell>
          <cell r="S154" t="str">
            <v>RollFCST-Working Version</v>
          </cell>
          <cell r="T154" t="str">
            <v xml:space="preserve"> </v>
          </cell>
          <cell r="U154" t="str">
            <v xml:space="preserve"> </v>
          </cell>
          <cell r="V154" t="str">
            <v>671500</v>
          </cell>
          <cell r="W154" t="str">
            <v>4</v>
          </cell>
          <cell r="X154" t="str">
            <v xml:space="preserve">      Other Administrative Expenses     </v>
          </cell>
          <cell r="Y154">
            <v>18</v>
          </cell>
          <cell r="Z154">
            <v>0</v>
          </cell>
          <cell r="AA154">
            <v>0</v>
          </cell>
          <cell r="AB154">
            <v>0</v>
          </cell>
          <cell r="AC154">
            <v>18</v>
          </cell>
          <cell r="AD154">
            <v>0</v>
          </cell>
          <cell r="AE154">
            <v>0</v>
          </cell>
          <cell r="AF154">
            <v>0</v>
          </cell>
          <cell r="AG154">
            <v>0</v>
          </cell>
          <cell r="AH154">
            <v>0</v>
          </cell>
          <cell r="AI154" t="str">
            <v xml:space="preserve">U.S. Dollar                   </v>
          </cell>
          <cell r="AJ154" t="str">
            <v xml:space="preserve"> </v>
          </cell>
          <cell r="AK154" t="str">
            <v xml:space="preserve"> </v>
          </cell>
          <cell r="AL154" t="str">
            <v xml:space="preserve"> </v>
          </cell>
          <cell r="AM154" t="str">
            <v xml:space="preserve"> </v>
          </cell>
          <cell r="AN154" t="str">
            <v xml:space="preserve"> </v>
          </cell>
          <cell r="AO154" t="str">
            <v xml:space="preserve"> </v>
          </cell>
          <cell r="AP154" t="str">
            <v xml:space="preserve"> </v>
          </cell>
          <cell r="AQ154" t="str">
            <v xml:space="preserve"> </v>
          </cell>
        </row>
        <row r="155">
          <cell r="A155" t="str">
            <v>FBE.......675000</v>
          </cell>
          <cell r="B155" t="str">
            <v>2004T12</v>
          </cell>
          <cell r="C155" t="str">
            <v xml:space="preserve">TREND    </v>
          </cell>
          <cell r="D155" t="str">
            <v xml:space="preserve">Trend -  QTD Average/Activity                     </v>
          </cell>
          <cell r="E155" t="str">
            <v>Run: 08/07/03 14:02:44</v>
          </cell>
          <cell r="F155" t="str">
            <v>999</v>
          </cell>
          <cell r="G155" t="str">
            <v>100</v>
          </cell>
          <cell r="H155" t="str">
            <v xml:space="preserve">Bank Of America Management Reporting              </v>
          </cell>
          <cell r="I155" t="str">
            <v>001</v>
          </cell>
          <cell r="J155" t="str">
            <v>FBE.......</v>
          </cell>
          <cell r="K155" t="str">
            <v xml:space="preserve">Emg Ops Emea And Latin America                    </v>
          </cell>
          <cell r="L155" t="str">
            <v xml:space="preserve"> </v>
          </cell>
          <cell r="M155" t="str">
            <v xml:space="preserve"> </v>
          </cell>
          <cell r="N155" t="str">
            <v>bamgt</v>
          </cell>
          <cell r="O155" t="str">
            <v>40</v>
          </cell>
          <cell r="P155" t="str">
            <v>600000A  675000   999999999999999999999999999999999999999999999999999999</v>
          </cell>
          <cell r="Q155" t="str">
            <v xml:space="preserve">none     </v>
          </cell>
          <cell r="R155" t="str">
            <v>RollFCST-Working Version</v>
          </cell>
          <cell r="S155" t="str">
            <v>RollFCST-Working Version</v>
          </cell>
          <cell r="T155" t="str">
            <v xml:space="preserve"> </v>
          </cell>
          <cell r="U155" t="str">
            <v xml:space="preserve"> </v>
          </cell>
          <cell r="V155" t="str">
            <v>675000</v>
          </cell>
          <cell r="W155" t="str">
            <v>2</v>
          </cell>
          <cell r="X155" t="str">
            <v xml:space="preserve">  Intercompany Expense                  </v>
          </cell>
          <cell r="Y155">
            <v>6</v>
          </cell>
          <cell r="Z155">
            <v>1.95</v>
          </cell>
          <cell r="AA155">
            <v>0</v>
          </cell>
          <cell r="AB155">
            <v>0</v>
          </cell>
          <cell r="AC155">
            <v>7.95</v>
          </cell>
          <cell r="AD155">
            <v>0</v>
          </cell>
          <cell r="AE155">
            <v>0</v>
          </cell>
          <cell r="AF155">
            <v>0</v>
          </cell>
          <cell r="AG155">
            <v>0</v>
          </cell>
          <cell r="AH155">
            <v>0</v>
          </cell>
          <cell r="AI155" t="str">
            <v xml:space="preserve">U.S. Dollar                   </v>
          </cell>
          <cell r="AJ155" t="str">
            <v xml:space="preserve"> </v>
          </cell>
          <cell r="AK155" t="str">
            <v xml:space="preserve"> </v>
          </cell>
          <cell r="AL155" t="str">
            <v xml:space="preserve"> </v>
          </cell>
          <cell r="AM155" t="str">
            <v xml:space="preserve"> </v>
          </cell>
          <cell r="AN155" t="str">
            <v xml:space="preserve"> </v>
          </cell>
          <cell r="AO155" t="str">
            <v xml:space="preserve"> </v>
          </cell>
          <cell r="AP155" t="str">
            <v xml:space="preserve"> </v>
          </cell>
          <cell r="AQ155" t="str">
            <v xml:space="preserve"> </v>
          </cell>
        </row>
        <row r="156">
          <cell r="A156" t="str">
            <v>FBE.......NIEBA-B</v>
          </cell>
          <cell r="B156" t="str">
            <v>2004T12</v>
          </cell>
          <cell r="C156" t="str">
            <v xml:space="preserve">TREND    </v>
          </cell>
          <cell r="D156" t="str">
            <v xml:space="preserve">Trend -  QTD Average/Activity                     </v>
          </cell>
          <cell r="E156" t="str">
            <v>Run: 08/07/03 14:02:44</v>
          </cell>
          <cell r="F156" t="str">
            <v>999</v>
          </cell>
          <cell r="G156" t="str">
            <v>100</v>
          </cell>
          <cell r="H156" t="str">
            <v xml:space="preserve">Bank Of America Management Reporting              </v>
          </cell>
          <cell r="I156" t="str">
            <v>001</v>
          </cell>
          <cell r="J156" t="str">
            <v>FBE.......</v>
          </cell>
          <cell r="K156" t="str">
            <v xml:space="preserve">Emg Ops Emea And Latin America                    </v>
          </cell>
          <cell r="L156" t="str">
            <v xml:space="preserve"> </v>
          </cell>
          <cell r="M156" t="str">
            <v xml:space="preserve"> </v>
          </cell>
          <cell r="N156" t="str">
            <v>bamgt</v>
          </cell>
          <cell r="O156" t="str">
            <v>40</v>
          </cell>
          <cell r="P156" t="str">
            <v xml:space="preserve">600000A  675000A  999999999999999999999999999NIEBA-B                    </v>
          </cell>
          <cell r="Q156" t="str">
            <v xml:space="preserve">none     </v>
          </cell>
          <cell r="R156" t="str">
            <v>RollFCST-Working Version</v>
          </cell>
          <cell r="S156" t="str">
            <v>RollFCST-Working Version</v>
          </cell>
          <cell r="T156" t="str">
            <v xml:space="preserve"> </v>
          </cell>
          <cell r="U156" t="str">
            <v xml:space="preserve"> </v>
          </cell>
          <cell r="V156" t="str">
            <v>NIEBA-B</v>
          </cell>
          <cell r="W156" t="str">
            <v>0</v>
          </cell>
          <cell r="X156" t="str">
            <v xml:space="preserve">Sub-Tot Non Int Exp Before Cost         </v>
          </cell>
          <cell r="Y156">
            <v>637.51440000000002</v>
          </cell>
          <cell r="Z156">
            <v>615.226</v>
          </cell>
          <cell r="AA156">
            <v>520.41800000000001</v>
          </cell>
          <cell r="AB156">
            <v>478.40679999999998</v>
          </cell>
          <cell r="AC156">
            <v>2251.5652</v>
          </cell>
          <cell r="AD156">
            <v>469.50245000000001</v>
          </cell>
          <cell r="AE156">
            <v>481.72165000000001</v>
          </cell>
          <cell r="AF156">
            <v>487.83125000000001</v>
          </cell>
          <cell r="AG156">
            <v>487.83125000000001</v>
          </cell>
          <cell r="AH156">
            <v>1926.8866</v>
          </cell>
          <cell r="AI156" t="str">
            <v xml:space="preserve">U.S. Dollar                   </v>
          </cell>
          <cell r="AJ156" t="str">
            <v xml:space="preserve"> </v>
          </cell>
          <cell r="AK156" t="str">
            <v xml:space="preserve"> </v>
          </cell>
          <cell r="AL156" t="str">
            <v xml:space="preserve"> </v>
          </cell>
          <cell r="AM156" t="str">
            <v xml:space="preserve"> </v>
          </cell>
          <cell r="AN156" t="str">
            <v xml:space="preserve"> </v>
          </cell>
          <cell r="AO156" t="str">
            <v xml:space="preserve"> </v>
          </cell>
          <cell r="AP156" t="str">
            <v xml:space="preserve"> </v>
          </cell>
          <cell r="AQ156" t="str">
            <v xml:space="preserve"> </v>
          </cell>
        </row>
        <row r="157">
          <cell r="A157" t="str">
            <v>FBF.......600300</v>
          </cell>
          <cell r="B157" t="str">
            <v>2004T12</v>
          </cell>
          <cell r="C157" t="str">
            <v xml:space="preserve">TREND    </v>
          </cell>
          <cell r="D157" t="str">
            <v xml:space="preserve">Trend -  QTD Average/Activity                     </v>
          </cell>
          <cell r="E157" t="str">
            <v>Run: 08/07/03 14:02:44</v>
          </cell>
          <cell r="F157" t="str">
            <v>999</v>
          </cell>
          <cell r="G157" t="str">
            <v>100</v>
          </cell>
          <cell r="H157" t="str">
            <v xml:space="preserve">Bank Of America Management Reporting              </v>
          </cell>
          <cell r="I157" t="str">
            <v>001</v>
          </cell>
          <cell r="J157" t="str">
            <v>FBF.......</v>
          </cell>
          <cell r="K157" t="str">
            <v xml:space="preserve">Global Structured Product Operations              </v>
          </cell>
          <cell r="L157" t="str">
            <v xml:space="preserve"> </v>
          </cell>
          <cell r="M157" t="str">
            <v xml:space="preserve"> </v>
          </cell>
          <cell r="N157" t="str">
            <v>bamgt</v>
          </cell>
          <cell r="O157" t="str">
            <v>40</v>
          </cell>
          <cell r="P157" t="str">
            <v>600000A  600250   999999999600300   999999999999999999999999999999999999</v>
          </cell>
          <cell r="Q157" t="str">
            <v xml:space="preserve">none     </v>
          </cell>
          <cell r="R157" t="str">
            <v>RollFCST-Working Version</v>
          </cell>
          <cell r="S157" t="str">
            <v>RollFCST-Working Version</v>
          </cell>
          <cell r="T157" t="str">
            <v xml:space="preserve"> </v>
          </cell>
          <cell r="U157" t="str">
            <v xml:space="preserve"> </v>
          </cell>
          <cell r="V157" t="str">
            <v>600300</v>
          </cell>
          <cell r="W157" t="str">
            <v>4</v>
          </cell>
          <cell r="X157" t="str">
            <v xml:space="preserve">      Salaries &amp; Wages                  </v>
          </cell>
          <cell r="Y157">
            <v>2802.96</v>
          </cell>
          <cell r="Z157">
            <v>3024.78</v>
          </cell>
          <cell r="AA157">
            <v>3323.44</v>
          </cell>
          <cell r="AB157">
            <v>3602.37</v>
          </cell>
          <cell r="AC157">
            <v>12753.55</v>
          </cell>
          <cell r="AD157">
            <v>3496.6</v>
          </cell>
          <cell r="AE157">
            <v>3593.94</v>
          </cell>
          <cell r="AF157">
            <v>3699.25</v>
          </cell>
          <cell r="AG157">
            <v>3692.16</v>
          </cell>
          <cell r="AH157">
            <v>14481.95</v>
          </cell>
          <cell r="AI157" t="str">
            <v xml:space="preserve">U.S. Dollar                   </v>
          </cell>
          <cell r="AJ157" t="str">
            <v xml:space="preserve"> </v>
          </cell>
          <cell r="AK157" t="str">
            <v xml:space="preserve"> </v>
          </cell>
          <cell r="AL157" t="str">
            <v xml:space="preserve"> </v>
          </cell>
          <cell r="AM157" t="str">
            <v xml:space="preserve"> </v>
          </cell>
          <cell r="AN157" t="str">
            <v xml:space="preserve"> </v>
          </cell>
          <cell r="AO157" t="str">
            <v xml:space="preserve"> </v>
          </cell>
          <cell r="AP157" t="str">
            <v xml:space="preserve"> </v>
          </cell>
          <cell r="AQ157" t="str">
            <v xml:space="preserve"> </v>
          </cell>
        </row>
        <row r="158">
          <cell r="A158" t="str">
            <v>FBF.......601000</v>
          </cell>
          <cell r="B158" t="str">
            <v>2004T12</v>
          </cell>
          <cell r="C158" t="str">
            <v xml:space="preserve">TREND    </v>
          </cell>
          <cell r="D158" t="str">
            <v xml:space="preserve">Trend -  QTD Average/Activity                     </v>
          </cell>
          <cell r="E158" t="str">
            <v>Run: 08/07/03 14:02:44</v>
          </cell>
          <cell r="F158" t="str">
            <v>999</v>
          </cell>
          <cell r="G158" t="str">
            <v>100</v>
          </cell>
          <cell r="H158" t="str">
            <v xml:space="preserve">Bank Of America Management Reporting              </v>
          </cell>
          <cell r="I158" t="str">
            <v>001</v>
          </cell>
          <cell r="J158" t="str">
            <v>FBF.......</v>
          </cell>
          <cell r="K158" t="str">
            <v xml:space="preserve">Global Structured Product Operations              </v>
          </cell>
          <cell r="L158" t="str">
            <v xml:space="preserve"> </v>
          </cell>
          <cell r="M158" t="str">
            <v xml:space="preserve"> </v>
          </cell>
          <cell r="N158" t="str">
            <v>bamgt</v>
          </cell>
          <cell r="O158" t="str">
            <v>40</v>
          </cell>
          <cell r="P158" t="str">
            <v>600000A  600250   999999999601000   999999999999999999999999999999999999</v>
          </cell>
          <cell r="Q158" t="str">
            <v xml:space="preserve">none     </v>
          </cell>
          <cell r="R158" t="str">
            <v>RollFCST-Working Version</v>
          </cell>
          <cell r="S158" t="str">
            <v>RollFCST-Working Version</v>
          </cell>
          <cell r="T158" t="str">
            <v xml:space="preserve"> </v>
          </cell>
          <cell r="U158" t="str">
            <v xml:space="preserve"> </v>
          </cell>
          <cell r="V158" t="str">
            <v>601000</v>
          </cell>
          <cell r="W158" t="str">
            <v>4</v>
          </cell>
          <cell r="X158" t="str">
            <v xml:space="preserve">      Overtime Salaries                 </v>
          </cell>
          <cell r="Y158">
            <v>11.16</v>
          </cell>
          <cell r="Z158">
            <v>10.62</v>
          </cell>
          <cell r="AA158">
            <v>11.16</v>
          </cell>
          <cell r="AB158">
            <v>11.16</v>
          </cell>
          <cell r="AC158">
            <v>44.1</v>
          </cell>
          <cell r="AD158">
            <v>7.56</v>
          </cell>
          <cell r="AE158">
            <v>7.56</v>
          </cell>
          <cell r="AF158">
            <v>7.56</v>
          </cell>
          <cell r="AG158">
            <v>7.56</v>
          </cell>
          <cell r="AH158">
            <v>30.24</v>
          </cell>
          <cell r="AI158" t="str">
            <v xml:space="preserve">U.S. Dollar                   </v>
          </cell>
          <cell r="AJ158" t="str">
            <v xml:space="preserve"> </v>
          </cell>
          <cell r="AK158" t="str">
            <v xml:space="preserve"> </v>
          </cell>
          <cell r="AL158" t="str">
            <v xml:space="preserve"> </v>
          </cell>
          <cell r="AM158" t="str">
            <v xml:space="preserve"> </v>
          </cell>
          <cell r="AN158" t="str">
            <v xml:space="preserve"> </v>
          </cell>
          <cell r="AO158" t="str">
            <v xml:space="preserve"> </v>
          </cell>
          <cell r="AP158" t="str">
            <v xml:space="preserve"> </v>
          </cell>
          <cell r="AQ158" t="str">
            <v xml:space="preserve"> </v>
          </cell>
        </row>
        <row r="159">
          <cell r="A159" t="str">
            <v>FBF.......601500</v>
          </cell>
          <cell r="B159" t="str">
            <v>2004T12</v>
          </cell>
          <cell r="C159" t="str">
            <v xml:space="preserve">TREND    </v>
          </cell>
          <cell r="D159" t="str">
            <v xml:space="preserve">Trend -  QTD Average/Activity                     </v>
          </cell>
          <cell r="E159" t="str">
            <v>Run: 08/07/03 14:02:44</v>
          </cell>
          <cell r="F159" t="str">
            <v>999</v>
          </cell>
          <cell r="G159" t="str">
            <v>100</v>
          </cell>
          <cell r="H159" t="str">
            <v xml:space="preserve">Bank Of America Management Reporting              </v>
          </cell>
          <cell r="I159" t="str">
            <v>001</v>
          </cell>
          <cell r="J159" t="str">
            <v>FBF.......</v>
          </cell>
          <cell r="K159" t="str">
            <v xml:space="preserve">Global Structured Product Operations              </v>
          </cell>
          <cell r="L159" t="str">
            <v xml:space="preserve"> </v>
          </cell>
          <cell r="M159" t="str">
            <v xml:space="preserve"> </v>
          </cell>
          <cell r="N159" t="str">
            <v>bamgt</v>
          </cell>
          <cell r="O159" t="str">
            <v>40</v>
          </cell>
          <cell r="P159" t="str">
            <v>600000A  600250   999999999601500   999999999999999999999999999999999999</v>
          </cell>
          <cell r="Q159" t="str">
            <v xml:space="preserve">none     </v>
          </cell>
          <cell r="R159" t="str">
            <v>RollFCST-Working Version</v>
          </cell>
          <cell r="S159" t="str">
            <v>RollFCST-Working Version</v>
          </cell>
          <cell r="T159" t="str">
            <v xml:space="preserve"> </v>
          </cell>
          <cell r="U159" t="str">
            <v xml:space="preserve"> </v>
          </cell>
          <cell r="V159" t="str">
            <v>601500</v>
          </cell>
          <cell r="W159" t="str">
            <v>4</v>
          </cell>
          <cell r="X159" t="str">
            <v xml:space="preserve">      Incentive Compensation            </v>
          </cell>
          <cell r="Y159">
            <v>0</v>
          </cell>
          <cell r="Z159">
            <v>0</v>
          </cell>
          <cell r="AA159">
            <v>0</v>
          </cell>
          <cell r="AB159">
            <v>0</v>
          </cell>
          <cell r="AC159">
            <v>0</v>
          </cell>
          <cell r="AD159">
            <v>0</v>
          </cell>
          <cell r="AE159">
            <v>0</v>
          </cell>
          <cell r="AF159">
            <v>0</v>
          </cell>
          <cell r="AG159">
            <v>0</v>
          </cell>
          <cell r="AH159">
            <v>0</v>
          </cell>
          <cell r="AI159" t="str">
            <v xml:space="preserve">U.S. Dollar                   </v>
          </cell>
          <cell r="AJ159" t="str">
            <v xml:space="preserve"> </v>
          </cell>
          <cell r="AK159" t="str">
            <v xml:space="preserve"> </v>
          </cell>
          <cell r="AL159" t="str">
            <v xml:space="preserve"> </v>
          </cell>
          <cell r="AM159" t="str">
            <v xml:space="preserve"> </v>
          </cell>
          <cell r="AN159" t="str">
            <v xml:space="preserve"> </v>
          </cell>
          <cell r="AO159" t="str">
            <v xml:space="preserve"> </v>
          </cell>
          <cell r="AP159" t="str">
            <v xml:space="preserve"> </v>
          </cell>
          <cell r="AQ159" t="str">
            <v xml:space="preserve"> </v>
          </cell>
        </row>
        <row r="160">
          <cell r="A160" t="str">
            <v>FBF.......602400</v>
          </cell>
          <cell r="B160" t="str">
            <v>2004T12</v>
          </cell>
          <cell r="C160" t="str">
            <v xml:space="preserve">TREND    </v>
          </cell>
          <cell r="D160" t="str">
            <v xml:space="preserve">Trend -  QTD Average/Activity                     </v>
          </cell>
          <cell r="E160" t="str">
            <v>Run: 08/07/03 14:02:44</v>
          </cell>
          <cell r="F160" t="str">
            <v>999</v>
          </cell>
          <cell r="G160" t="str">
            <v>100</v>
          </cell>
          <cell r="H160" t="str">
            <v xml:space="preserve">Bank Of America Management Reporting              </v>
          </cell>
          <cell r="I160" t="str">
            <v>001</v>
          </cell>
          <cell r="J160" t="str">
            <v>FBF.......</v>
          </cell>
          <cell r="K160" t="str">
            <v xml:space="preserve">Global Structured Product Operations              </v>
          </cell>
          <cell r="L160" t="str">
            <v xml:space="preserve"> </v>
          </cell>
          <cell r="M160" t="str">
            <v xml:space="preserve"> </v>
          </cell>
          <cell r="N160" t="str">
            <v>bamgt</v>
          </cell>
          <cell r="O160" t="str">
            <v>40</v>
          </cell>
          <cell r="P160" t="str">
            <v>600000A  600250   999999999602000   602400   999999999999999999999999999</v>
          </cell>
          <cell r="Q160" t="str">
            <v xml:space="preserve">none     </v>
          </cell>
          <cell r="R160" t="str">
            <v>RollFCST-Working Version</v>
          </cell>
          <cell r="S160" t="str">
            <v>RollFCST-Working Version</v>
          </cell>
          <cell r="T160" t="str">
            <v xml:space="preserve"> </v>
          </cell>
          <cell r="U160" t="str">
            <v xml:space="preserve"> </v>
          </cell>
          <cell r="V160" t="str">
            <v>602400</v>
          </cell>
          <cell r="W160" t="str">
            <v>5</v>
          </cell>
          <cell r="X160" t="str">
            <v xml:space="preserve">        Other Employee Compensation     </v>
          </cell>
          <cell r="Y160">
            <v>0</v>
          </cell>
          <cell r="Z160">
            <v>0</v>
          </cell>
          <cell r="AA160">
            <v>0</v>
          </cell>
          <cell r="AB160">
            <v>0</v>
          </cell>
          <cell r="AC160">
            <v>0</v>
          </cell>
          <cell r="AD160">
            <v>0</v>
          </cell>
          <cell r="AE160">
            <v>0</v>
          </cell>
          <cell r="AF160">
            <v>0</v>
          </cell>
          <cell r="AG160">
            <v>0</v>
          </cell>
          <cell r="AH160">
            <v>0</v>
          </cell>
          <cell r="AI160" t="str">
            <v xml:space="preserve">U.S. Dollar                   </v>
          </cell>
          <cell r="AJ160" t="str">
            <v xml:space="preserve"> </v>
          </cell>
          <cell r="AK160" t="str">
            <v xml:space="preserve"> </v>
          </cell>
          <cell r="AL160" t="str">
            <v xml:space="preserve"> </v>
          </cell>
          <cell r="AM160" t="str">
            <v xml:space="preserve"> </v>
          </cell>
          <cell r="AN160" t="str">
            <v xml:space="preserve"> </v>
          </cell>
          <cell r="AO160" t="str">
            <v xml:space="preserve"> </v>
          </cell>
          <cell r="AP160" t="str">
            <v xml:space="preserve"> </v>
          </cell>
          <cell r="AQ160" t="str">
            <v xml:space="preserve"> </v>
          </cell>
        </row>
        <row r="161">
          <cell r="A161" t="str">
            <v>FBF.......602000</v>
          </cell>
          <cell r="B161" t="str">
            <v>2004T12</v>
          </cell>
          <cell r="C161" t="str">
            <v xml:space="preserve">TREND    </v>
          </cell>
          <cell r="D161" t="str">
            <v xml:space="preserve">Trend -  QTD Average/Activity                     </v>
          </cell>
          <cell r="E161" t="str">
            <v>Run: 08/07/03 14:02:44</v>
          </cell>
          <cell r="F161" t="str">
            <v>999</v>
          </cell>
          <cell r="G161" t="str">
            <v>100</v>
          </cell>
          <cell r="H161" t="str">
            <v xml:space="preserve">Bank Of America Management Reporting              </v>
          </cell>
          <cell r="I161" t="str">
            <v>001</v>
          </cell>
          <cell r="J161" t="str">
            <v>FBF.......</v>
          </cell>
          <cell r="K161" t="str">
            <v xml:space="preserve">Global Structured Product Operations              </v>
          </cell>
          <cell r="L161" t="str">
            <v xml:space="preserve"> </v>
          </cell>
          <cell r="M161" t="str">
            <v xml:space="preserve"> </v>
          </cell>
          <cell r="N161" t="str">
            <v>bamgt</v>
          </cell>
          <cell r="O161" t="str">
            <v>40</v>
          </cell>
          <cell r="P161" t="str">
            <v>600000A  600250   999999999602000   999999999999999999999999999999999999</v>
          </cell>
          <cell r="Q161" t="str">
            <v xml:space="preserve">none     </v>
          </cell>
          <cell r="R161" t="str">
            <v>RollFCST-Working Version</v>
          </cell>
          <cell r="S161" t="str">
            <v>RollFCST-Working Version</v>
          </cell>
          <cell r="T161" t="str">
            <v xml:space="preserve"> </v>
          </cell>
          <cell r="U161" t="str">
            <v xml:space="preserve"> </v>
          </cell>
          <cell r="V161" t="str">
            <v>602000</v>
          </cell>
          <cell r="W161" t="str">
            <v>4</v>
          </cell>
          <cell r="X161" t="str">
            <v xml:space="preserve">      Contract Temporary/Other Compensat</v>
          </cell>
          <cell r="Y161">
            <v>114</v>
          </cell>
          <cell r="Z161">
            <v>139.77000000000001</v>
          </cell>
          <cell r="AA161">
            <v>107.23</v>
          </cell>
          <cell r="AB161">
            <v>50.41</v>
          </cell>
          <cell r="AC161">
            <v>411.41</v>
          </cell>
          <cell r="AD161">
            <v>24</v>
          </cell>
          <cell r="AE161">
            <v>36</v>
          </cell>
          <cell r="AF161">
            <v>36</v>
          </cell>
          <cell r="AG161">
            <v>36</v>
          </cell>
          <cell r="AH161">
            <v>132</v>
          </cell>
          <cell r="AI161" t="str">
            <v xml:space="preserve">U.S. Dollar                   </v>
          </cell>
          <cell r="AJ161" t="str">
            <v xml:space="preserve"> </v>
          </cell>
          <cell r="AK161" t="str">
            <v xml:space="preserve"> </v>
          </cell>
          <cell r="AL161" t="str">
            <v xml:space="preserve"> </v>
          </cell>
          <cell r="AM161" t="str">
            <v xml:space="preserve"> </v>
          </cell>
          <cell r="AN161" t="str">
            <v xml:space="preserve"> </v>
          </cell>
          <cell r="AO161" t="str">
            <v xml:space="preserve"> </v>
          </cell>
          <cell r="AP161" t="str">
            <v xml:space="preserve"> </v>
          </cell>
          <cell r="AQ161" t="str">
            <v xml:space="preserve"> </v>
          </cell>
        </row>
        <row r="162">
          <cell r="A162" t="str">
            <v>FBF.......603000</v>
          </cell>
          <cell r="B162" t="str">
            <v>2004T12</v>
          </cell>
          <cell r="C162" t="str">
            <v xml:space="preserve">TREND    </v>
          </cell>
          <cell r="D162" t="str">
            <v xml:space="preserve">Trend -  QTD Average/Activity                     </v>
          </cell>
          <cell r="E162" t="str">
            <v>Run: 08/07/03 14:02:44</v>
          </cell>
          <cell r="F162" t="str">
            <v>999</v>
          </cell>
          <cell r="G162" t="str">
            <v>100</v>
          </cell>
          <cell r="H162" t="str">
            <v xml:space="preserve">Bank Of America Management Reporting              </v>
          </cell>
          <cell r="I162" t="str">
            <v>001</v>
          </cell>
          <cell r="J162" t="str">
            <v>FBF.......</v>
          </cell>
          <cell r="K162" t="str">
            <v xml:space="preserve">Global Structured Product Operations              </v>
          </cell>
          <cell r="L162" t="str">
            <v xml:space="preserve"> </v>
          </cell>
          <cell r="M162" t="str">
            <v xml:space="preserve"> </v>
          </cell>
          <cell r="N162" t="str">
            <v>bamgt</v>
          </cell>
          <cell r="O162" t="str">
            <v>40</v>
          </cell>
          <cell r="P162" t="str">
            <v>600000A  600250   999999999603000   999999999999999999999999999999999999</v>
          </cell>
          <cell r="Q162" t="str">
            <v xml:space="preserve">none     </v>
          </cell>
          <cell r="R162" t="str">
            <v>RollFCST-Working Version</v>
          </cell>
          <cell r="S162" t="str">
            <v>RollFCST-Working Version</v>
          </cell>
          <cell r="T162" t="str">
            <v xml:space="preserve"> </v>
          </cell>
          <cell r="U162" t="str">
            <v xml:space="preserve"> </v>
          </cell>
          <cell r="V162" t="str">
            <v>603000</v>
          </cell>
          <cell r="W162" t="str">
            <v>4</v>
          </cell>
          <cell r="X162" t="str">
            <v xml:space="preserve">      Employee Benefits                 </v>
          </cell>
          <cell r="Y162">
            <v>672.38</v>
          </cell>
          <cell r="Z162">
            <v>776.98</v>
          </cell>
          <cell r="AA162">
            <v>841.19</v>
          </cell>
          <cell r="AB162">
            <v>903.75</v>
          </cell>
          <cell r="AC162">
            <v>3194.3</v>
          </cell>
          <cell r="AD162">
            <v>924.73</v>
          </cell>
          <cell r="AE162">
            <v>950.48</v>
          </cell>
          <cell r="AF162">
            <v>978.39</v>
          </cell>
          <cell r="AG162">
            <v>976.53</v>
          </cell>
          <cell r="AH162">
            <v>3830.13</v>
          </cell>
          <cell r="AI162" t="str">
            <v xml:space="preserve">U.S. Dollar                   </v>
          </cell>
          <cell r="AJ162" t="str">
            <v xml:space="preserve"> </v>
          </cell>
          <cell r="AK162" t="str">
            <v xml:space="preserve"> </v>
          </cell>
          <cell r="AL162" t="str">
            <v xml:space="preserve"> </v>
          </cell>
          <cell r="AM162" t="str">
            <v xml:space="preserve"> </v>
          </cell>
          <cell r="AN162" t="str">
            <v xml:space="preserve"> </v>
          </cell>
          <cell r="AO162" t="str">
            <v xml:space="preserve"> </v>
          </cell>
          <cell r="AP162" t="str">
            <v xml:space="preserve"> </v>
          </cell>
          <cell r="AQ162" t="str">
            <v xml:space="preserve"> </v>
          </cell>
        </row>
        <row r="163">
          <cell r="A163" t="str">
            <v>FBF.......600250</v>
          </cell>
          <cell r="B163" t="str">
            <v>2004T12</v>
          </cell>
          <cell r="C163" t="str">
            <v xml:space="preserve">TREND    </v>
          </cell>
          <cell r="D163" t="str">
            <v xml:space="preserve">Trend -  QTD Average/Activity                     </v>
          </cell>
          <cell r="E163" t="str">
            <v>Run: 08/07/03 14:02:44</v>
          </cell>
          <cell r="F163" t="str">
            <v>999</v>
          </cell>
          <cell r="G163" t="str">
            <v>100</v>
          </cell>
          <cell r="H163" t="str">
            <v xml:space="preserve">Bank Of America Management Reporting              </v>
          </cell>
          <cell r="I163" t="str">
            <v>001</v>
          </cell>
          <cell r="J163" t="str">
            <v>FBF.......</v>
          </cell>
          <cell r="K163" t="str">
            <v xml:space="preserve">Global Structured Product Operations              </v>
          </cell>
          <cell r="L163" t="str">
            <v xml:space="preserve"> </v>
          </cell>
          <cell r="M163" t="str">
            <v xml:space="preserve"> </v>
          </cell>
          <cell r="N163" t="str">
            <v>bamgt</v>
          </cell>
          <cell r="O163" t="str">
            <v>40</v>
          </cell>
          <cell r="P163" t="str">
            <v>600000A  600250   999999999999999999999999999999999999999999999999999999</v>
          </cell>
          <cell r="Q163" t="str">
            <v xml:space="preserve">none     </v>
          </cell>
          <cell r="R163" t="str">
            <v>RollFCST-Working Version</v>
          </cell>
          <cell r="S163" t="str">
            <v>RollFCST-Working Version</v>
          </cell>
          <cell r="T163" t="str">
            <v xml:space="preserve"> </v>
          </cell>
          <cell r="U163" t="str">
            <v xml:space="preserve"> </v>
          </cell>
          <cell r="V163" t="str">
            <v>600250</v>
          </cell>
          <cell r="W163" t="str">
            <v>2</v>
          </cell>
          <cell r="X163" t="str">
            <v xml:space="preserve">  Personnel                             </v>
          </cell>
          <cell r="Y163">
            <v>3600.5</v>
          </cell>
          <cell r="Z163">
            <v>3952.15</v>
          </cell>
          <cell r="AA163">
            <v>4283.0200000000004</v>
          </cell>
          <cell r="AB163">
            <v>4567.6899999999996</v>
          </cell>
          <cell r="AC163">
            <v>16403.36</v>
          </cell>
          <cell r="AD163">
            <v>4452.8900000000003</v>
          </cell>
          <cell r="AE163">
            <v>4587.9799999999996</v>
          </cell>
          <cell r="AF163">
            <v>4721.2</v>
          </cell>
          <cell r="AG163">
            <v>4712.25</v>
          </cell>
          <cell r="AH163">
            <v>18474.32</v>
          </cell>
          <cell r="AI163" t="str">
            <v xml:space="preserve">U.S. Dollar                   </v>
          </cell>
          <cell r="AJ163" t="str">
            <v xml:space="preserve"> </v>
          </cell>
          <cell r="AK163" t="str">
            <v xml:space="preserve"> </v>
          </cell>
          <cell r="AL163" t="str">
            <v xml:space="preserve"> </v>
          </cell>
          <cell r="AM163" t="str">
            <v xml:space="preserve"> </v>
          </cell>
          <cell r="AN163" t="str">
            <v xml:space="preserve"> </v>
          </cell>
          <cell r="AO163" t="str">
            <v xml:space="preserve"> </v>
          </cell>
          <cell r="AP163" t="str">
            <v xml:space="preserve"> </v>
          </cell>
          <cell r="AQ163" t="str">
            <v xml:space="preserve"> </v>
          </cell>
        </row>
        <row r="164">
          <cell r="A164" t="str">
            <v>FBF.......610000</v>
          </cell>
          <cell r="B164" t="str">
            <v>2004T12</v>
          </cell>
          <cell r="C164" t="str">
            <v xml:space="preserve">TREND    </v>
          </cell>
          <cell r="D164" t="str">
            <v xml:space="preserve">Trend -  QTD Average/Activity                     </v>
          </cell>
          <cell r="E164" t="str">
            <v>Run: 08/07/03 14:02:44</v>
          </cell>
          <cell r="F164" t="str">
            <v>999</v>
          </cell>
          <cell r="G164" t="str">
            <v>100</v>
          </cell>
          <cell r="H164" t="str">
            <v xml:space="preserve">Bank Of America Management Reporting              </v>
          </cell>
          <cell r="I164" t="str">
            <v>001</v>
          </cell>
          <cell r="J164" t="str">
            <v>FBF.......</v>
          </cell>
          <cell r="K164" t="str">
            <v xml:space="preserve">Global Structured Product Operations              </v>
          </cell>
          <cell r="L164" t="str">
            <v xml:space="preserve"> </v>
          </cell>
          <cell r="M164" t="str">
            <v xml:space="preserve"> </v>
          </cell>
          <cell r="N164" t="str">
            <v>bamgt</v>
          </cell>
          <cell r="O164" t="str">
            <v>40</v>
          </cell>
          <cell r="P164" t="str">
            <v>600000A  610000   999999999999999999999999999999999999999999999999999999</v>
          </cell>
          <cell r="Q164" t="str">
            <v xml:space="preserve">none     </v>
          </cell>
          <cell r="R164" t="str">
            <v>RollFCST-Working Version</v>
          </cell>
          <cell r="S164" t="str">
            <v>RollFCST-Working Version</v>
          </cell>
          <cell r="T164" t="str">
            <v xml:space="preserve"> </v>
          </cell>
          <cell r="U164" t="str">
            <v xml:space="preserve"> </v>
          </cell>
          <cell r="V164" t="str">
            <v>610000</v>
          </cell>
          <cell r="W164" t="str">
            <v>2</v>
          </cell>
          <cell r="X164" t="str">
            <v xml:space="preserve">  Net Occupancy Expense                 </v>
          </cell>
          <cell r="Y164">
            <v>421.64</v>
          </cell>
          <cell r="Z164">
            <v>381.53</v>
          </cell>
          <cell r="AA164">
            <v>435.05</v>
          </cell>
          <cell r="AB164">
            <v>940.11</v>
          </cell>
          <cell r="AC164">
            <v>2178.33</v>
          </cell>
          <cell r="AD164">
            <v>913.11</v>
          </cell>
          <cell r="AE164">
            <v>913.11</v>
          </cell>
          <cell r="AF164">
            <v>913.11</v>
          </cell>
          <cell r="AG164">
            <v>913.11</v>
          </cell>
          <cell r="AH164">
            <v>3652.44</v>
          </cell>
          <cell r="AI164" t="str">
            <v xml:space="preserve">U.S. Dollar                   </v>
          </cell>
          <cell r="AJ164" t="str">
            <v xml:space="preserve"> </v>
          </cell>
          <cell r="AK164" t="str">
            <v xml:space="preserve"> </v>
          </cell>
          <cell r="AL164" t="str">
            <v xml:space="preserve"> </v>
          </cell>
          <cell r="AM164" t="str">
            <v xml:space="preserve"> </v>
          </cell>
          <cell r="AN164" t="str">
            <v xml:space="preserve"> </v>
          </cell>
          <cell r="AO164" t="str">
            <v xml:space="preserve"> </v>
          </cell>
          <cell r="AP164" t="str">
            <v xml:space="preserve"> </v>
          </cell>
          <cell r="AQ164" t="str">
            <v xml:space="preserve"> </v>
          </cell>
        </row>
        <row r="165">
          <cell r="A165" t="str">
            <v>FBF.......620000</v>
          </cell>
          <cell r="B165" t="str">
            <v>2004T12</v>
          </cell>
          <cell r="C165" t="str">
            <v xml:space="preserve">TREND    </v>
          </cell>
          <cell r="D165" t="str">
            <v xml:space="preserve">Trend -  QTD Average/Activity                     </v>
          </cell>
          <cell r="E165" t="str">
            <v>Run: 08/07/03 14:02:44</v>
          </cell>
          <cell r="F165" t="str">
            <v>999</v>
          </cell>
          <cell r="G165" t="str">
            <v>100</v>
          </cell>
          <cell r="H165" t="str">
            <v xml:space="preserve">Bank Of America Management Reporting              </v>
          </cell>
          <cell r="I165" t="str">
            <v>001</v>
          </cell>
          <cell r="J165" t="str">
            <v>FBF.......</v>
          </cell>
          <cell r="K165" t="str">
            <v xml:space="preserve">Global Structured Product Operations              </v>
          </cell>
          <cell r="L165" t="str">
            <v xml:space="preserve"> </v>
          </cell>
          <cell r="M165" t="str">
            <v xml:space="preserve"> </v>
          </cell>
          <cell r="N165" t="str">
            <v>bamgt</v>
          </cell>
          <cell r="O165" t="str">
            <v>40</v>
          </cell>
          <cell r="P165" t="str">
            <v>600000A  620000   999999999999999999999999999999999999999999999999999999</v>
          </cell>
          <cell r="Q165" t="str">
            <v xml:space="preserve">none     </v>
          </cell>
          <cell r="R165" t="str">
            <v>RollFCST-Working Version</v>
          </cell>
          <cell r="S165" t="str">
            <v>RollFCST-Working Version</v>
          </cell>
          <cell r="T165" t="str">
            <v xml:space="preserve"> </v>
          </cell>
          <cell r="U165" t="str">
            <v xml:space="preserve"> </v>
          </cell>
          <cell r="V165" t="str">
            <v>620000</v>
          </cell>
          <cell r="W165" t="str">
            <v>2</v>
          </cell>
          <cell r="X165" t="str">
            <v xml:space="preserve">  Furniture &amp; Equipment                 </v>
          </cell>
          <cell r="Y165">
            <v>46.42</v>
          </cell>
          <cell r="Z165">
            <v>76.59</v>
          </cell>
          <cell r="AA165">
            <v>65.709999999999994</v>
          </cell>
          <cell r="AB165">
            <v>53.11</v>
          </cell>
          <cell r="AC165">
            <v>241.83</v>
          </cell>
          <cell r="AD165">
            <v>44.92</v>
          </cell>
          <cell r="AE165">
            <v>57.95</v>
          </cell>
          <cell r="AF165">
            <v>60.45</v>
          </cell>
          <cell r="AG165">
            <v>46.81</v>
          </cell>
          <cell r="AH165">
            <v>210.13</v>
          </cell>
          <cell r="AI165" t="str">
            <v xml:space="preserve">U.S. Dollar                   </v>
          </cell>
          <cell r="AJ165" t="str">
            <v xml:space="preserve"> </v>
          </cell>
          <cell r="AK165" t="str">
            <v xml:space="preserve"> </v>
          </cell>
          <cell r="AL165" t="str">
            <v xml:space="preserve"> </v>
          </cell>
          <cell r="AM165" t="str">
            <v xml:space="preserve"> </v>
          </cell>
          <cell r="AN165" t="str">
            <v xml:space="preserve"> </v>
          </cell>
          <cell r="AO165" t="str">
            <v xml:space="preserve"> </v>
          </cell>
          <cell r="AP165" t="str">
            <v xml:space="preserve"> </v>
          </cell>
          <cell r="AQ165" t="str">
            <v xml:space="preserve"> </v>
          </cell>
        </row>
        <row r="166">
          <cell r="A166" t="str">
            <v>FBF.......623000</v>
          </cell>
          <cell r="B166" t="str">
            <v>2004T12</v>
          </cell>
          <cell r="C166" t="str">
            <v xml:space="preserve">TREND    </v>
          </cell>
          <cell r="D166" t="str">
            <v xml:space="preserve">Trend -  QTD Average/Activity                     </v>
          </cell>
          <cell r="E166" t="str">
            <v>Run: 08/07/03 14:02:44</v>
          </cell>
          <cell r="F166" t="str">
            <v>999</v>
          </cell>
          <cell r="G166" t="str">
            <v>100</v>
          </cell>
          <cell r="H166" t="str">
            <v xml:space="preserve">Bank Of America Management Reporting              </v>
          </cell>
          <cell r="I166" t="str">
            <v>001</v>
          </cell>
          <cell r="J166" t="str">
            <v>FBF.......</v>
          </cell>
          <cell r="K166" t="str">
            <v xml:space="preserve">Global Structured Product Operations              </v>
          </cell>
          <cell r="L166" t="str">
            <v xml:space="preserve"> </v>
          </cell>
          <cell r="M166" t="str">
            <v xml:space="preserve"> </v>
          </cell>
          <cell r="N166" t="str">
            <v>bamgt</v>
          </cell>
          <cell r="O166" t="str">
            <v>40</v>
          </cell>
          <cell r="P166" t="str">
            <v>600000A  623000   999999999999999999999999999999999999999999999999999999</v>
          </cell>
          <cell r="Q166" t="str">
            <v xml:space="preserve">none     </v>
          </cell>
          <cell r="R166" t="str">
            <v>RollFCST-Working Version</v>
          </cell>
          <cell r="S166" t="str">
            <v>RollFCST-Working Version</v>
          </cell>
          <cell r="T166" t="str">
            <v xml:space="preserve"> </v>
          </cell>
          <cell r="U166" t="str">
            <v xml:space="preserve"> </v>
          </cell>
          <cell r="V166" t="str">
            <v>623000</v>
          </cell>
          <cell r="W166" t="str">
            <v>2</v>
          </cell>
          <cell r="X166" t="str">
            <v xml:space="preserve">  Marketing &amp; Promotional               </v>
          </cell>
          <cell r="Y166">
            <v>5.43</v>
          </cell>
          <cell r="Z166">
            <v>6.22</v>
          </cell>
          <cell r="AA166">
            <v>5.43</v>
          </cell>
          <cell r="AB166">
            <v>5.43</v>
          </cell>
          <cell r="AC166">
            <v>22.51</v>
          </cell>
          <cell r="AD166">
            <v>5.43</v>
          </cell>
          <cell r="AE166">
            <v>5.43</v>
          </cell>
          <cell r="AF166">
            <v>5.43</v>
          </cell>
          <cell r="AG166">
            <v>5.43</v>
          </cell>
          <cell r="AH166">
            <v>21.72</v>
          </cell>
          <cell r="AI166" t="str">
            <v xml:space="preserve">U.S. Dollar                   </v>
          </cell>
          <cell r="AJ166" t="str">
            <v xml:space="preserve"> </v>
          </cell>
          <cell r="AK166" t="str">
            <v xml:space="preserve"> </v>
          </cell>
          <cell r="AL166" t="str">
            <v xml:space="preserve"> </v>
          </cell>
          <cell r="AM166" t="str">
            <v xml:space="preserve"> </v>
          </cell>
          <cell r="AN166" t="str">
            <v xml:space="preserve"> </v>
          </cell>
          <cell r="AO166" t="str">
            <v xml:space="preserve"> </v>
          </cell>
          <cell r="AP166" t="str">
            <v xml:space="preserve"> </v>
          </cell>
          <cell r="AQ166" t="str">
            <v xml:space="preserve"> </v>
          </cell>
        </row>
        <row r="167">
          <cell r="A167" t="str">
            <v>FBF.......630000</v>
          </cell>
          <cell r="B167" t="str">
            <v>2004T12</v>
          </cell>
          <cell r="C167" t="str">
            <v xml:space="preserve">TREND    </v>
          </cell>
          <cell r="D167" t="str">
            <v xml:space="preserve">Trend -  QTD Average/Activity                     </v>
          </cell>
          <cell r="E167" t="str">
            <v>Run: 08/07/03 14:02:44</v>
          </cell>
          <cell r="F167" t="str">
            <v>999</v>
          </cell>
          <cell r="G167" t="str">
            <v>100</v>
          </cell>
          <cell r="H167" t="str">
            <v xml:space="preserve">Bank Of America Management Reporting              </v>
          </cell>
          <cell r="I167" t="str">
            <v>001</v>
          </cell>
          <cell r="J167" t="str">
            <v>FBF.......</v>
          </cell>
          <cell r="K167" t="str">
            <v xml:space="preserve">Global Structured Product Operations              </v>
          </cell>
          <cell r="L167" t="str">
            <v xml:space="preserve"> </v>
          </cell>
          <cell r="M167" t="str">
            <v xml:space="preserve"> </v>
          </cell>
          <cell r="N167" t="str">
            <v>bamgt</v>
          </cell>
          <cell r="O167" t="str">
            <v>40</v>
          </cell>
          <cell r="P167" t="str">
            <v>600000A  630000   999999999999999999999999999999999999999999999999999999</v>
          </cell>
          <cell r="Q167" t="str">
            <v xml:space="preserve">none     </v>
          </cell>
          <cell r="R167" t="str">
            <v>RollFCST-Working Version</v>
          </cell>
          <cell r="S167" t="str">
            <v>RollFCST-Working Version</v>
          </cell>
          <cell r="T167" t="str">
            <v xml:space="preserve"> </v>
          </cell>
          <cell r="U167" t="str">
            <v xml:space="preserve"> </v>
          </cell>
          <cell r="V167" t="str">
            <v>630000</v>
          </cell>
          <cell r="W167" t="str">
            <v>2</v>
          </cell>
          <cell r="X167" t="str">
            <v xml:space="preserve">  Professional Fees                     </v>
          </cell>
          <cell r="Y167">
            <v>9.66</v>
          </cell>
          <cell r="Z167">
            <v>12.02</v>
          </cell>
          <cell r="AA167">
            <v>9.66</v>
          </cell>
          <cell r="AB167">
            <v>9.66</v>
          </cell>
          <cell r="AC167">
            <v>41</v>
          </cell>
          <cell r="AD167">
            <v>9.66</v>
          </cell>
          <cell r="AE167">
            <v>9.66</v>
          </cell>
          <cell r="AF167">
            <v>9.66</v>
          </cell>
          <cell r="AG167">
            <v>9.66</v>
          </cell>
          <cell r="AH167">
            <v>38.64</v>
          </cell>
          <cell r="AI167" t="str">
            <v xml:space="preserve">U.S. Dollar                   </v>
          </cell>
          <cell r="AJ167" t="str">
            <v xml:space="preserve"> </v>
          </cell>
          <cell r="AK167" t="str">
            <v xml:space="preserve"> </v>
          </cell>
          <cell r="AL167" t="str">
            <v xml:space="preserve"> </v>
          </cell>
          <cell r="AM167" t="str">
            <v xml:space="preserve"> </v>
          </cell>
          <cell r="AN167" t="str">
            <v xml:space="preserve"> </v>
          </cell>
          <cell r="AO167" t="str">
            <v xml:space="preserve"> </v>
          </cell>
          <cell r="AP167" t="str">
            <v xml:space="preserve"> </v>
          </cell>
          <cell r="AQ167" t="str">
            <v xml:space="preserve"> </v>
          </cell>
        </row>
        <row r="168">
          <cell r="A168" t="str">
            <v>FBF.......651500A</v>
          </cell>
          <cell r="B168" t="str">
            <v>2004T12</v>
          </cell>
          <cell r="C168" t="str">
            <v xml:space="preserve">TREND    </v>
          </cell>
          <cell r="D168" t="str">
            <v xml:space="preserve">Trend -  QTD Average/Activity                     </v>
          </cell>
          <cell r="E168" t="str">
            <v>Run: 08/07/03 14:02:44</v>
          </cell>
          <cell r="F168" t="str">
            <v>999</v>
          </cell>
          <cell r="G168" t="str">
            <v>100</v>
          </cell>
          <cell r="H168" t="str">
            <v xml:space="preserve">Bank Of America Management Reporting              </v>
          </cell>
          <cell r="I168" t="str">
            <v>001</v>
          </cell>
          <cell r="J168" t="str">
            <v>FBF.......</v>
          </cell>
          <cell r="K168" t="str">
            <v xml:space="preserve">Global Structured Product Operations              </v>
          </cell>
          <cell r="L168" t="str">
            <v xml:space="preserve"> </v>
          </cell>
          <cell r="M168" t="str">
            <v xml:space="preserve"> </v>
          </cell>
          <cell r="N168" t="str">
            <v>bamgt</v>
          </cell>
          <cell r="O168" t="str">
            <v>40</v>
          </cell>
          <cell r="P168" t="str">
            <v>600000A  651500A  999999999999999999999999999999999999999999999999999999</v>
          </cell>
          <cell r="Q168" t="str">
            <v xml:space="preserve">none     </v>
          </cell>
          <cell r="R168" t="str">
            <v>RollFCST-Working Version</v>
          </cell>
          <cell r="S168" t="str">
            <v>RollFCST-Working Version</v>
          </cell>
          <cell r="T168" t="str">
            <v xml:space="preserve"> </v>
          </cell>
          <cell r="U168" t="str">
            <v xml:space="preserve"> </v>
          </cell>
          <cell r="V168" t="str">
            <v>651500A</v>
          </cell>
          <cell r="W168" t="str">
            <v>2</v>
          </cell>
          <cell r="X168" t="str">
            <v xml:space="preserve">  Direct Processing Expense             </v>
          </cell>
          <cell r="Y168">
            <v>19.29</v>
          </cell>
          <cell r="Z168">
            <v>3.53</v>
          </cell>
          <cell r="AA168">
            <v>19.559999999999999</v>
          </cell>
          <cell r="AB168">
            <v>19.559999999999999</v>
          </cell>
          <cell r="AC168">
            <v>61.94</v>
          </cell>
          <cell r="AD168">
            <v>18.93</v>
          </cell>
          <cell r="AE168">
            <v>18.93</v>
          </cell>
          <cell r="AF168">
            <v>18.93</v>
          </cell>
          <cell r="AG168">
            <v>18.93</v>
          </cell>
          <cell r="AH168">
            <v>75.72</v>
          </cell>
          <cell r="AI168" t="str">
            <v xml:space="preserve">U.S. Dollar                   </v>
          </cell>
          <cell r="AJ168" t="str">
            <v xml:space="preserve"> </v>
          </cell>
          <cell r="AK168" t="str">
            <v xml:space="preserve"> </v>
          </cell>
          <cell r="AL168" t="str">
            <v xml:space="preserve"> </v>
          </cell>
          <cell r="AM168" t="str">
            <v xml:space="preserve"> </v>
          </cell>
          <cell r="AN168" t="str">
            <v xml:space="preserve"> </v>
          </cell>
          <cell r="AO168" t="str">
            <v xml:space="preserve"> </v>
          </cell>
          <cell r="AP168" t="str">
            <v xml:space="preserve"> </v>
          </cell>
          <cell r="AQ168" t="str">
            <v xml:space="preserve"> </v>
          </cell>
        </row>
        <row r="169">
          <cell r="A169" t="str">
            <v>FBF.......660000A</v>
          </cell>
          <cell r="B169" t="str">
            <v>2004T12</v>
          </cell>
          <cell r="C169" t="str">
            <v xml:space="preserve">TREND    </v>
          </cell>
          <cell r="D169" t="str">
            <v xml:space="preserve">Trend -  QTD Average/Activity                     </v>
          </cell>
          <cell r="E169" t="str">
            <v>Run: 08/07/03 14:02:44</v>
          </cell>
          <cell r="F169" t="str">
            <v>999</v>
          </cell>
          <cell r="G169" t="str">
            <v>100</v>
          </cell>
          <cell r="H169" t="str">
            <v xml:space="preserve">Bank Of America Management Reporting              </v>
          </cell>
          <cell r="I169" t="str">
            <v>001</v>
          </cell>
          <cell r="J169" t="str">
            <v>FBF.......</v>
          </cell>
          <cell r="K169" t="str">
            <v xml:space="preserve">Global Structured Product Operations              </v>
          </cell>
          <cell r="L169" t="str">
            <v xml:space="preserve"> </v>
          </cell>
          <cell r="M169" t="str">
            <v xml:space="preserve"> </v>
          </cell>
          <cell r="N169" t="str">
            <v>bamgt</v>
          </cell>
          <cell r="O169" t="str">
            <v>40</v>
          </cell>
          <cell r="P169" t="str">
            <v>600000A  660000A  999999999999999999999999999999999999999999999999999999</v>
          </cell>
          <cell r="Q169" t="str">
            <v xml:space="preserve">none     </v>
          </cell>
          <cell r="R169" t="str">
            <v>RollFCST-Working Version</v>
          </cell>
          <cell r="S169" t="str">
            <v>RollFCST-Working Version</v>
          </cell>
          <cell r="T169" t="str">
            <v xml:space="preserve"> </v>
          </cell>
          <cell r="U169" t="str">
            <v xml:space="preserve"> </v>
          </cell>
          <cell r="V169" t="str">
            <v>660000A</v>
          </cell>
          <cell r="W169" t="str">
            <v>2</v>
          </cell>
          <cell r="X169" t="str">
            <v xml:space="preserve">  Telecommunications                    </v>
          </cell>
          <cell r="Y169">
            <v>43.19</v>
          </cell>
          <cell r="Z169">
            <v>50.07</v>
          </cell>
          <cell r="AA169">
            <v>49.21</v>
          </cell>
          <cell r="AB169">
            <v>51.41</v>
          </cell>
          <cell r="AC169">
            <v>193.88</v>
          </cell>
          <cell r="AD169">
            <v>48.57</v>
          </cell>
          <cell r="AE169">
            <v>48.57</v>
          </cell>
          <cell r="AF169">
            <v>48.57</v>
          </cell>
          <cell r="AG169">
            <v>48.57</v>
          </cell>
          <cell r="AH169">
            <v>194.28</v>
          </cell>
          <cell r="AI169" t="str">
            <v xml:space="preserve">U.S. Dollar                   </v>
          </cell>
          <cell r="AJ169" t="str">
            <v xml:space="preserve"> </v>
          </cell>
          <cell r="AK169" t="str">
            <v xml:space="preserve"> </v>
          </cell>
          <cell r="AL169" t="str">
            <v xml:space="preserve"> </v>
          </cell>
          <cell r="AM169" t="str">
            <v xml:space="preserve"> </v>
          </cell>
          <cell r="AN169" t="str">
            <v xml:space="preserve"> </v>
          </cell>
          <cell r="AO169" t="str">
            <v xml:space="preserve"> </v>
          </cell>
          <cell r="AP169" t="str">
            <v xml:space="preserve"> </v>
          </cell>
          <cell r="AQ169" t="str">
            <v xml:space="preserve"> </v>
          </cell>
        </row>
        <row r="170">
          <cell r="A170" t="str">
            <v>FBF.......663000</v>
          </cell>
          <cell r="B170" t="str">
            <v>2004T12</v>
          </cell>
          <cell r="C170" t="str">
            <v xml:space="preserve">TREND    </v>
          </cell>
          <cell r="D170" t="str">
            <v xml:space="preserve">Trend -  QTD Average/Activity                     </v>
          </cell>
          <cell r="E170" t="str">
            <v>Run: 08/07/03 14:02:44</v>
          </cell>
          <cell r="F170" t="str">
            <v>999</v>
          </cell>
          <cell r="G170" t="str">
            <v>100</v>
          </cell>
          <cell r="H170" t="str">
            <v xml:space="preserve">Bank Of America Management Reporting              </v>
          </cell>
          <cell r="I170" t="str">
            <v>001</v>
          </cell>
          <cell r="J170" t="str">
            <v>FBF.......</v>
          </cell>
          <cell r="K170" t="str">
            <v xml:space="preserve">Global Structured Product Operations              </v>
          </cell>
          <cell r="L170" t="str">
            <v xml:space="preserve"> </v>
          </cell>
          <cell r="M170" t="str">
            <v xml:space="preserve"> </v>
          </cell>
          <cell r="N170" t="str">
            <v>bamgt</v>
          </cell>
          <cell r="O170" t="str">
            <v>40</v>
          </cell>
          <cell r="P170" t="str">
            <v>600000A  662999B  662999C  663000   999999999999999999999999999999999999</v>
          </cell>
          <cell r="Q170" t="str">
            <v xml:space="preserve">none     </v>
          </cell>
          <cell r="R170" t="str">
            <v>RollFCST-Working Version</v>
          </cell>
          <cell r="S170" t="str">
            <v>RollFCST-Working Version</v>
          </cell>
          <cell r="T170" t="str">
            <v xml:space="preserve"> </v>
          </cell>
          <cell r="U170" t="str">
            <v xml:space="preserve"> </v>
          </cell>
          <cell r="V170" t="str">
            <v>663000</v>
          </cell>
          <cell r="W170" t="str">
            <v>4</v>
          </cell>
          <cell r="X170" t="str">
            <v xml:space="preserve">      Supplies                          </v>
          </cell>
          <cell r="Y170">
            <v>10.53</v>
          </cell>
          <cell r="Z170">
            <v>11.11</v>
          </cell>
          <cell r="AA170">
            <v>11.75</v>
          </cell>
          <cell r="AB170">
            <v>12.19</v>
          </cell>
          <cell r="AC170">
            <v>45.58</v>
          </cell>
          <cell r="AD170">
            <v>10.47</v>
          </cell>
          <cell r="AE170">
            <v>10.47</v>
          </cell>
          <cell r="AF170">
            <v>10.47</v>
          </cell>
          <cell r="AG170">
            <v>10.47</v>
          </cell>
          <cell r="AH170">
            <v>41.88</v>
          </cell>
          <cell r="AI170" t="str">
            <v xml:space="preserve">U.S. Dollar                   </v>
          </cell>
          <cell r="AJ170" t="str">
            <v xml:space="preserve"> </v>
          </cell>
          <cell r="AK170" t="str">
            <v xml:space="preserve"> </v>
          </cell>
          <cell r="AL170" t="str">
            <v xml:space="preserve"> </v>
          </cell>
          <cell r="AM170" t="str">
            <v xml:space="preserve"> </v>
          </cell>
          <cell r="AN170" t="str">
            <v xml:space="preserve"> </v>
          </cell>
          <cell r="AO170" t="str">
            <v xml:space="preserve"> </v>
          </cell>
          <cell r="AP170" t="str">
            <v xml:space="preserve"> </v>
          </cell>
          <cell r="AQ170" t="str">
            <v xml:space="preserve"> </v>
          </cell>
        </row>
        <row r="171">
          <cell r="A171" t="str">
            <v>FBF.......664500</v>
          </cell>
          <cell r="B171" t="str">
            <v>2004T12</v>
          </cell>
          <cell r="C171" t="str">
            <v xml:space="preserve">TREND    </v>
          </cell>
          <cell r="D171" t="str">
            <v xml:space="preserve">Trend -  QTD Average/Activity                     </v>
          </cell>
          <cell r="E171" t="str">
            <v>Run: 08/07/03 14:02:44</v>
          </cell>
          <cell r="F171" t="str">
            <v>999</v>
          </cell>
          <cell r="G171" t="str">
            <v>100</v>
          </cell>
          <cell r="H171" t="str">
            <v xml:space="preserve">Bank Of America Management Reporting              </v>
          </cell>
          <cell r="I171" t="str">
            <v>001</v>
          </cell>
          <cell r="J171" t="str">
            <v>FBF.......</v>
          </cell>
          <cell r="K171" t="str">
            <v xml:space="preserve">Global Structured Product Operations              </v>
          </cell>
          <cell r="L171" t="str">
            <v xml:space="preserve"> </v>
          </cell>
          <cell r="M171" t="str">
            <v xml:space="preserve"> </v>
          </cell>
          <cell r="N171" t="str">
            <v>bamgt</v>
          </cell>
          <cell r="O171" t="str">
            <v>40</v>
          </cell>
          <cell r="P171" t="str">
            <v>600000A  662999B  662999C  664500   999999999999999999999999999999999999</v>
          </cell>
          <cell r="Q171" t="str">
            <v xml:space="preserve">none     </v>
          </cell>
          <cell r="R171" t="str">
            <v>RollFCST-Working Version</v>
          </cell>
          <cell r="S171" t="str">
            <v>RollFCST-Working Version</v>
          </cell>
          <cell r="T171" t="str">
            <v xml:space="preserve"> </v>
          </cell>
          <cell r="U171" t="str">
            <v xml:space="preserve"> </v>
          </cell>
          <cell r="V171" t="str">
            <v>664500</v>
          </cell>
          <cell r="W171" t="str">
            <v>4</v>
          </cell>
          <cell r="X171" t="str">
            <v xml:space="preserve">      Postage And Courier               </v>
          </cell>
          <cell r="Y171">
            <v>2.4</v>
          </cell>
          <cell r="Z171">
            <v>2.4</v>
          </cell>
          <cell r="AA171">
            <v>2.4</v>
          </cell>
          <cell r="AB171">
            <v>2.4</v>
          </cell>
          <cell r="AC171">
            <v>9.6</v>
          </cell>
          <cell r="AD171">
            <v>2.4</v>
          </cell>
          <cell r="AE171">
            <v>2.4</v>
          </cell>
          <cell r="AF171">
            <v>2.4</v>
          </cell>
          <cell r="AG171">
            <v>2.4</v>
          </cell>
          <cell r="AH171">
            <v>9.6</v>
          </cell>
          <cell r="AI171" t="str">
            <v xml:space="preserve">U.S. Dollar                   </v>
          </cell>
          <cell r="AJ171" t="str">
            <v xml:space="preserve"> </v>
          </cell>
          <cell r="AK171" t="str">
            <v xml:space="preserve"> </v>
          </cell>
          <cell r="AL171" t="str">
            <v xml:space="preserve"> </v>
          </cell>
          <cell r="AM171" t="str">
            <v xml:space="preserve"> </v>
          </cell>
          <cell r="AN171" t="str">
            <v xml:space="preserve"> </v>
          </cell>
          <cell r="AO171" t="str">
            <v xml:space="preserve"> </v>
          </cell>
          <cell r="AP171" t="str">
            <v xml:space="preserve"> </v>
          </cell>
          <cell r="AQ171" t="str">
            <v xml:space="preserve"> </v>
          </cell>
        </row>
        <row r="172">
          <cell r="A172" t="str">
            <v>FBF.......665499F</v>
          </cell>
          <cell r="B172" t="str">
            <v>2004T12</v>
          </cell>
          <cell r="C172" t="str">
            <v xml:space="preserve">TREND    </v>
          </cell>
          <cell r="D172" t="str">
            <v xml:space="preserve">Trend -  QTD Average/Activity                     </v>
          </cell>
          <cell r="E172" t="str">
            <v>Run: 08/07/03 14:02:44</v>
          </cell>
          <cell r="F172" t="str">
            <v>999</v>
          </cell>
          <cell r="G172" t="str">
            <v>100</v>
          </cell>
          <cell r="H172" t="str">
            <v xml:space="preserve">Bank Of America Management Reporting              </v>
          </cell>
          <cell r="I172" t="str">
            <v>001</v>
          </cell>
          <cell r="J172" t="str">
            <v>FBF.......</v>
          </cell>
          <cell r="K172" t="str">
            <v xml:space="preserve">Global Structured Product Operations              </v>
          </cell>
          <cell r="L172" t="str">
            <v xml:space="preserve"> </v>
          </cell>
          <cell r="M172" t="str">
            <v xml:space="preserve"> </v>
          </cell>
          <cell r="N172" t="str">
            <v>bamgt</v>
          </cell>
          <cell r="O172" t="str">
            <v>40</v>
          </cell>
          <cell r="P172" t="str">
            <v>600000A  662999B  662999C  665499B  665499D  665499F  999999999999999999</v>
          </cell>
          <cell r="Q172" t="str">
            <v xml:space="preserve">none     </v>
          </cell>
          <cell r="R172" t="str">
            <v>RollFCST-Working Version</v>
          </cell>
          <cell r="S172" t="str">
            <v>RollFCST-Working Version</v>
          </cell>
          <cell r="T172" t="str">
            <v xml:space="preserve"> </v>
          </cell>
          <cell r="U172" t="str">
            <v xml:space="preserve"> </v>
          </cell>
          <cell r="V172" t="str">
            <v>665499F</v>
          </cell>
          <cell r="W172" t="str">
            <v>6</v>
          </cell>
          <cell r="X172" t="str">
            <v xml:space="preserve">          Relocation Expense            </v>
          </cell>
          <cell r="Y172">
            <v>0</v>
          </cell>
          <cell r="Z172">
            <v>0</v>
          </cell>
          <cell r="AA172">
            <v>0</v>
          </cell>
          <cell r="AB172">
            <v>0</v>
          </cell>
          <cell r="AC172">
            <v>0</v>
          </cell>
          <cell r="AD172">
            <v>0</v>
          </cell>
          <cell r="AE172">
            <v>0</v>
          </cell>
          <cell r="AF172">
            <v>0</v>
          </cell>
          <cell r="AG172">
            <v>0</v>
          </cell>
          <cell r="AH172">
            <v>0</v>
          </cell>
          <cell r="AI172" t="str">
            <v xml:space="preserve">U.S. Dollar                   </v>
          </cell>
          <cell r="AJ172" t="str">
            <v xml:space="preserve"> </v>
          </cell>
          <cell r="AK172" t="str">
            <v xml:space="preserve"> </v>
          </cell>
          <cell r="AL172" t="str">
            <v xml:space="preserve"> </v>
          </cell>
          <cell r="AM172" t="str">
            <v xml:space="preserve"> </v>
          </cell>
          <cell r="AN172" t="str">
            <v xml:space="preserve"> </v>
          </cell>
          <cell r="AO172" t="str">
            <v xml:space="preserve"> </v>
          </cell>
          <cell r="AP172" t="str">
            <v xml:space="preserve"> </v>
          </cell>
          <cell r="AQ172" t="str">
            <v xml:space="preserve"> </v>
          </cell>
        </row>
        <row r="173">
          <cell r="A173" t="str">
            <v>FBF.......665499J</v>
          </cell>
          <cell r="B173" t="str">
            <v>2004T12</v>
          </cell>
          <cell r="C173" t="str">
            <v xml:space="preserve">TREND    </v>
          </cell>
          <cell r="D173" t="str">
            <v xml:space="preserve">Trend -  QTD Average/Activity                     </v>
          </cell>
          <cell r="E173" t="str">
            <v>Run: 08/07/03 14:02:44</v>
          </cell>
          <cell r="F173" t="str">
            <v>999</v>
          </cell>
          <cell r="G173" t="str">
            <v>100</v>
          </cell>
          <cell r="H173" t="str">
            <v xml:space="preserve">Bank Of America Management Reporting              </v>
          </cell>
          <cell r="I173" t="str">
            <v>001</v>
          </cell>
          <cell r="J173" t="str">
            <v>FBF.......</v>
          </cell>
          <cell r="K173" t="str">
            <v xml:space="preserve">Global Structured Product Operations              </v>
          </cell>
          <cell r="L173" t="str">
            <v xml:space="preserve"> </v>
          </cell>
          <cell r="M173" t="str">
            <v xml:space="preserve"> </v>
          </cell>
          <cell r="N173" t="str">
            <v>bamgt</v>
          </cell>
          <cell r="O173" t="str">
            <v>40</v>
          </cell>
          <cell r="P173" t="str">
            <v>600000A  662999B  662999C  665499B  665499D  665499H  665499J  999999999</v>
          </cell>
          <cell r="Q173" t="str">
            <v xml:space="preserve">none     </v>
          </cell>
          <cell r="R173" t="str">
            <v>RollFCST-Working Version</v>
          </cell>
          <cell r="S173" t="str">
            <v>RollFCST-Working Version</v>
          </cell>
          <cell r="T173" t="str">
            <v xml:space="preserve"> </v>
          </cell>
          <cell r="U173" t="str">
            <v xml:space="preserve"> </v>
          </cell>
          <cell r="V173" t="str">
            <v>665499J</v>
          </cell>
          <cell r="W173" t="str">
            <v>7</v>
          </cell>
          <cell r="X173" t="str">
            <v xml:space="preserve">            Employee Training &amp; Seminars</v>
          </cell>
          <cell r="Y173">
            <v>0</v>
          </cell>
          <cell r="Z173">
            <v>0</v>
          </cell>
          <cell r="AA173">
            <v>0</v>
          </cell>
          <cell r="AB173">
            <v>0</v>
          </cell>
          <cell r="AC173">
            <v>0</v>
          </cell>
          <cell r="AD173">
            <v>0</v>
          </cell>
          <cell r="AE173">
            <v>0</v>
          </cell>
          <cell r="AF173">
            <v>0</v>
          </cell>
          <cell r="AG173">
            <v>0</v>
          </cell>
          <cell r="AH173">
            <v>0</v>
          </cell>
          <cell r="AI173" t="str">
            <v xml:space="preserve">U.S. Dollar                   </v>
          </cell>
          <cell r="AJ173" t="str">
            <v xml:space="preserve"> </v>
          </cell>
          <cell r="AK173" t="str">
            <v xml:space="preserve"> </v>
          </cell>
          <cell r="AL173" t="str">
            <v xml:space="preserve"> </v>
          </cell>
          <cell r="AM173" t="str">
            <v xml:space="preserve"> </v>
          </cell>
          <cell r="AN173" t="str">
            <v xml:space="preserve"> </v>
          </cell>
          <cell r="AO173" t="str">
            <v xml:space="preserve"> </v>
          </cell>
          <cell r="AP173" t="str">
            <v xml:space="preserve"> </v>
          </cell>
          <cell r="AQ173" t="str">
            <v xml:space="preserve"> </v>
          </cell>
        </row>
        <row r="174">
          <cell r="A174" t="str">
            <v>FBF.......665499H</v>
          </cell>
          <cell r="B174" t="str">
            <v>2004T12</v>
          </cell>
          <cell r="C174" t="str">
            <v xml:space="preserve">TREND    </v>
          </cell>
          <cell r="D174" t="str">
            <v xml:space="preserve">Trend -  QTD Average/Activity                     </v>
          </cell>
          <cell r="E174" t="str">
            <v>Run: 08/07/03 14:02:44</v>
          </cell>
          <cell r="F174" t="str">
            <v>999</v>
          </cell>
          <cell r="G174" t="str">
            <v>100</v>
          </cell>
          <cell r="H174" t="str">
            <v xml:space="preserve">Bank Of America Management Reporting              </v>
          </cell>
          <cell r="I174" t="str">
            <v>001</v>
          </cell>
          <cell r="J174" t="str">
            <v>FBF.......</v>
          </cell>
          <cell r="K174" t="str">
            <v xml:space="preserve">Global Structured Product Operations              </v>
          </cell>
          <cell r="L174" t="str">
            <v xml:space="preserve"> </v>
          </cell>
          <cell r="M174" t="str">
            <v xml:space="preserve"> </v>
          </cell>
          <cell r="N174" t="str">
            <v>bamgt</v>
          </cell>
          <cell r="O174" t="str">
            <v>40</v>
          </cell>
          <cell r="P174" t="str">
            <v>600000A  662999B  662999C  665499B  665499D  665499H  999999999999999999</v>
          </cell>
          <cell r="Q174" t="str">
            <v xml:space="preserve">none     </v>
          </cell>
          <cell r="R174" t="str">
            <v>RollFCST-Working Version</v>
          </cell>
          <cell r="S174" t="str">
            <v>RollFCST-Working Version</v>
          </cell>
          <cell r="T174" t="str">
            <v xml:space="preserve"> </v>
          </cell>
          <cell r="U174" t="str">
            <v xml:space="preserve"> </v>
          </cell>
          <cell r="V174" t="str">
            <v>665499H</v>
          </cell>
          <cell r="W174" t="str">
            <v>6</v>
          </cell>
          <cell r="X174" t="str">
            <v xml:space="preserve">          Other Employee Expense        </v>
          </cell>
          <cell r="Y174">
            <v>0</v>
          </cell>
          <cell r="Z174">
            <v>0</v>
          </cell>
          <cell r="AA174">
            <v>0</v>
          </cell>
          <cell r="AB174">
            <v>0</v>
          </cell>
          <cell r="AC174">
            <v>0</v>
          </cell>
          <cell r="AD174">
            <v>0</v>
          </cell>
          <cell r="AE174">
            <v>0</v>
          </cell>
          <cell r="AF174">
            <v>0</v>
          </cell>
          <cell r="AG174">
            <v>0</v>
          </cell>
          <cell r="AH174">
            <v>0</v>
          </cell>
          <cell r="AI174" t="str">
            <v xml:space="preserve">U.S. Dollar                   </v>
          </cell>
          <cell r="AJ174" t="str">
            <v xml:space="preserve"> </v>
          </cell>
          <cell r="AK174" t="str">
            <v xml:space="preserve"> </v>
          </cell>
          <cell r="AL174" t="str">
            <v xml:space="preserve"> </v>
          </cell>
          <cell r="AM174" t="str">
            <v xml:space="preserve"> </v>
          </cell>
          <cell r="AN174" t="str">
            <v xml:space="preserve"> </v>
          </cell>
          <cell r="AO174" t="str">
            <v xml:space="preserve"> </v>
          </cell>
          <cell r="AP174" t="str">
            <v xml:space="preserve"> </v>
          </cell>
          <cell r="AQ174" t="str">
            <v xml:space="preserve"> </v>
          </cell>
        </row>
        <row r="175">
          <cell r="A175" t="str">
            <v>FBF.......665499D</v>
          </cell>
          <cell r="B175" t="str">
            <v>2004T12</v>
          </cell>
          <cell r="C175" t="str">
            <v xml:space="preserve">TREND    </v>
          </cell>
          <cell r="D175" t="str">
            <v xml:space="preserve">Trend -  QTD Average/Activity                     </v>
          </cell>
          <cell r="E175" t="str">
            <v>Run: 08/07/03 14:02:44</v>
          </cell>
          <cell r="F175" t="str">
            <v>999</v>
          </cell>
          <cell r="G175" t="str">
            <v>100</v>
          </cell>
          <cell r="H175" t="str">
            <v xml:space="preserve">Bank Of America Management Reporting              </v>
          </cell>
          <cell r="I175" t="str">
            <v>001</v>
          </cell>
          <cell r="J175" t="str">
            <v>FBF.......</v>
          </cell>
          <cell r="K175" t="str">
            <v xml:space="preserve">Global Structured Product Operations              </v>
          </cell>
          <cell r="L175" t="str">
            <v xml:space="preserve"> </v>
          </cell>
          <cell r="M175" t="str">
            <v xml:space="preserve"> </v>
          </cell>
          <cell r="N175" t="str">
            <v>bamgt</v>
          </cell>
          <cell r="O175" t="str">
            <v>40</v>
          </cell>
          <cell r="P175" t="str">
            <v>600000A  662999B  662999C  665499B  665499D  999999999999999999999999999</v>
          </cell>
          <cell r="Q175" t="str">
            <v xml:space="preserve">none     </v>
          </cell>
          <cell r="R175" t="str">
            <v>RollFCST-Working Version</v>
          </cell>
          <cell r="S175" t="str">
            <v>RollFCST-Working Version</v>
          </cell>
          <cell r="T175" t="str">
            <v xml:space="preserve"> </v>
          </cell>
          <cell r="U175" t="str">
            <v xml:space="preserve"> </v>
          </cell>
          <cell r="V175" t="str">
            <v>665499D</v>
          </cell>
          <cell r="W175" t="str">
            <v>5</v>
          </cell>
          <cell r="X175" t="str">
            <v xml:space="preserve">        Employee Expense                </v>
          </cell>
          <cell r="Y175">
            <v>0</v>
          </cell>
          <cell r="Z175">
            <v>0</v>
          </cell>
          <cell r="AA175">
            <v>0</v>
          </cell>
          <cell r="AB175">
            <v>0</v>
          </cell>
          <cell r="AC175">
            <v>0</v>
          </cell>
          <cell r="AD175">
            <v>0</v>
          </cell>
          <cell r="AE175">
            <v>0</v>
          </cell>
          <cell r="AF175">
            <v>0</v>
          </cell>
          <cell r="AG175">
            <v>0</v>
          </cell>
          <cell r="AH175">
            <v>0</v>
          </cell>
          <cell r="AI175" t="str">
            <v xml:space="preserve">U.S. Dollar                   </v>
          </cell>
          <cell r="AJ175" t="str">
            <v xml:space="preserve"> </v>
          </cell>
          <cell r="AK175" t="str">
            <v xml:space="preserve"> </v>
          </cell>
          <cell r="AL175" t="str">
            <v xml:space="preserve"> </v>
          </cell>
          <cell r="AM175" t="str">
            <v xml:space="preserve"> </v>
          </cell>
          <cell r="AN175" t="str">
            <v xml:space="preserve"> </v>
          </cell>
          <cell r="AO175" t="str">
            <v xml:space="preserve"> </v>
          </cell>
          <cell r="AP175" t="str">
            <v xml:space="preserve"> </v>
          </cell>
          <cell r="AQ175" t="str">
            <v xml:space="preserve"> </v>
          </cell>
        </row>
        <row r="176">
          <cell r="A176" t="str">
            <v>FBF.......665499B</v>
          </cell>
          <cell r="B176" t="str">
            <v>2004T12</v>
          </cell>
          <cell r="C176" t="str">
            <v xml:space="preserve">TREND    </v>
          </cell>
          <cell r="D176" t="str">
            <v xml:space="preserve">Trend -  QTD Average/Activity                     </v>
          </cell>
          <cell r="E176" t="str">
            <v>Run: 08/07/03 14:02:44</v>
          </cell>
          <cell r="F176" t="str">
            <v>999</v>
          </cell>
          <cell r="G176" t="str">
            <v>100</v>
          </cell>
          <cell r="H176" t="str">
            <v xml:space="preserve">Bank Of America Management Reporting              </v>
          </cell>
          <cell r="I176" t="str">
            <v>001</v>
          </cell>
          <cell r="J176" t="str">
            <v>FBF.......</v>
          </cell>
          <cell r="K176" t="str">
            <v xml:space="preserve">Global Structured Product Operations              </v>
          </cell>
          <cell r="L176" t="str">
            <v xml:space="preserve"> </v>
          </cell>
          <cell r="M176" t="str">
            <v xml:space="preserve"> </v>
          </cell>
          <cell r="N176" t="str">
            <v>bamgt</v>
          </cell>
          <cell r="O176" t="str">
            <v>40</v>
          </cell>
          <cell r="P176" t="str">
            <v>600000A  662999B  662999C  665499B  999999999999999999999999999999999999</v>
          </cell>
          <cell r="Q176" t="str">
            <v xml:space="preserve">none     </v>
          </cell>
          <cell r="R176" t="str">
            <v>RollFCST-Working Version</v>
          </cell>
          <cell r="S176" t="str">
            <v>RollFCST-Working Version</v>
          </cell>
          <cell r="T176" t="str">
            <v xml:space="preserve"> </v>
          </cell>
          <cell r="U176" t="str">
            <v xml:space="preserve"> </v>
          </cell>
          <cell r="V176" t="str">
            <v>665499B</v>
          </cell>
          <cell r="W176" t="str">
            <v>4</v>
          </cell>
          <cell r="X176" t="str">
            <v xml:space="preserve">      Other Operating Expense           </v>
          </cell>
          <cell r="Y176">
            <v>123.28</v>
          </cell>
          <cell r="Z176">
            <v>315.83999999999997</v>
          </cell>
          <cell r="AA176">
            <v>287.98</v>
          </cell>
          <cell r="AB176">
            <v>178.79</v>
          </cell>
          <cell r="AC176">
            <v>905.89</v>
          </cell>
          <cell r="AD176">
            <v>144.63999999999999</v>
          </cell>
          <cell r="AE176">
            <v>246.22</v>
          </cell>
          <cell r="AF176">
            <v>284.52999999999997</v>
          </cell>
          <cell r="AG176">
            <v>150.28</v>
          </cell>
          <cell r="AH176">
            <v>825.67</v>
          </cell>
          <cell r="AI176" t="str">
            <v xml:space="preserve">U.S. Dollar                   </v>
          </cell>
          <cell r="AJ176" t="str">
            <v xml:space="preserve"> </v>
          </cell>
          <cell r="AK176" t="str">
            <v xml:space="preserve"> </v>
          </cell>
          <cell r="AL176" t="str">
            <v xml:space="preserve"> </v>
          </cell>
          <cell r="AM176" t="str">
            <v xml:space="preserve"> </v>
          </cell>
          <cell r="AN176" t="str">
            <v xml:space="preserve"> </v>
          </cell>
          <cell r="AO176" t="str">
            <v xml:space="preserve"> </v>
          </cell>
          <cell r="AP176" t="str">
            <v xml:space="preserve"> </v>
          </cell>
          <cell r="AQ176" t="str">
            <v xml:space="preserve"> </v>
          </cell>
        </row>
        <row r="177">
          <cell r="A177" t="str">
            <v>FBF.......670200</v>
          </cell>
          <cell r="B177" t="str">
            <v>2004T12</v>
          </cell>
          <cell r="C177" t="str">
            <v xml:space="preserve">TREND    </v>
          </cell>
          <cell r="D177" t="str">
            <v xml:space="preserve">Trend -  QTD Average/Activity                     </v>
          </cell>
          <cell r="E177" t="str">
            <v>Run: 08/07/03 14:02:44</v>
          </cell>
          <cell r="F177" t="str">
            <v>999</v>
          </cell>
          <cell r="G177" t="str">
            <v>100</v>
          </cell>
          <cell r="H177" t="str">
            <v xml:space="preserve">Bank Of America Management Reporting              </v>
          </cell>
          <cell r="I177" t="str">
            <v>001</v>
          </cell>
          <cell r="J177" t="str">
            <v>FBF.......</v>
          </cell>
          <cell r="K177" t="str">
            <v xml:space="preserve">Global Structured Product Operations              </v>
          </cell>
          <cell r="L177" t="str">
            <v xml:space="preserve"> </v>
          </cell>
          <cell r="M177" t="str">
            <v xml:space="preserve"> </v>
          </cell>
          <cell r="N177" t="str">
            <v>bamgt</v>
          </cell>
          <cell r="O177" t="str">
            <v>40</v>
          </cell>
          <cell r="P177" t="str">
            <v>600000A  662999B  670000B  670200   999999999999999999999999999999999999</v>
          </cell>
          <cell r="Q177" t="str">
            <v xml:space="preserve">none     </v>
          </cell>
          <cell r="R177" t="str">
            <v>RollFCST-Working Version</v>
          </cell>
          <cell r="S177" t="str">
            <v>RollFCST-Working Version</v>
          </cell>
          <cell r="T177" t="str">
            <v xml:space="preserve"> </v>
          </cell>
          <cell r="U177" t="str">
            <v xml:space="preserve"> </v>
          </cell>
          <cell r="V177" t="str">
            <v>670200</v>
          </cell>
          <cell r="W177" t="str">
            <v>4</v>
          </cell>
          <cell r="X177" t="str">
            <v xml:space="preserve">      Travel                            </v>
          </cell>
          <cell r="Y177">
            <v>81.150000000000006</v>
          </cell>
          <cell r="Z177">
            <v>87.13</v>
          </cell>
          <cell r="AA177">
            <v>110.29</v>
          </cell>
          <cell r="AB177">
            <v>124.29</v>
          </cell>
          <cell r="AC177">
            <v>402.86</v>
          </cell>
          <cell r="AD177">
            <v>126.41</v>
          </cell>
          <cell r="AE177">
            <v>153.87</v>
          </cell>
          <cell r="AF177">
            <v>130.61000000000001</v>
          </cell>
          <cell r="AG177">
            <v>129.15</v>
          </cell>
          <cell r="AH177">
            <v>540.04</v>
          </cell>
          <cell r="AI177" t="str">
            <v xml:space="preserve">U.S. Dollar                   </v>
          </cell>
          <cell r="AJ177" t="str">
            <v xml:space="preserve"> </v>
          </cell>
          <cell r="AK177" t="str">
            <v xml:space="preserve"> </v>
          </cell>
          <cell r="AL177" t="str">
            <v xml:space="preserve"> </v>
          </cell>
          <cell r="AM177" t="str">
            <v xml:space="preserve"> </v>
          </cell>
          <cell r="AN177" t="str">
            <v xml:space="preserve"> </v>
          </cell>
          <cell r="AO177" t="str">
            <v xml:space="preserve"> </v>
          </cell>
          <cell r="AP177" t="str">
            <v xml:space="preserve"> </v>
          </cell>
          <cell r="AQ177" t="str">
            <v xml:space="preserve"> </v>
          </cell>
        </row>
        <row r="178">
          <cell r="A178" t="str">
            <v>FBF.......670800</v>
          </cell>
          <cell r="B178" t="str">
            <v>2004T12</v>
          </cell>
          <cell r="C178" t="str">
            <v xml:space="preserve">TREND    </v>
          </cell>
          <cell r="D178" t="str">
            <v xml:space="preserve">Trend -  QTD Average/Activity                     </v>
          </cell>
          <cell r="E178" t="str">
            <v>Run: 08/07/03 14:02:44</v>
          </cell>
          <cell r="F178" t="str">
            <v>999</v>
          </cell>
          <cell r="G178" t="str">
            <v>100</v>
          </cell>
          <cell r="H178" t="str">
            <v xml:space="preserve">Bank Of America Management Reporting              </v>
          </cell>
          <cell r="I178" t="str">
            <v>001</v>
          </cell>
          <cell r="J178" t="str">
            <v>FBF.......</v>
          </cell>
          <cell r="K178" t="str">
            <v xml:space="preserve">Global Structured Product Operations              </v>
          </cell>
          <cell r="L178" t="str">
            <v xml:space="preserve"> </v>
          </cell>
          <cell r="M178" t="str">
            <v xml:space="preserve"> </v>
          </cell>
          <cell r="N178" t="str">
            <v>bamgt</v>
          </cell>
          <cell r="O178" t="str">
            <v>40</v>
          </cell>
          <cell r="P178" t="str">
            <v>600000A  662999B  670000B  670800   999999999999999999999999999999999999</v>
          </cell>
          <cell r="Q178" t="str">
            <v xml:space="preserve">none     </v>
          </cell>
          <cell r="R178" t="str">
            <v>RollFCST-Working Version</v>
          </cell>
          <cell r="S178" t="str">
            <v>RollFCST-Working Version</v>
          </cell>
          <cell r="T178" t="str">
            <v xml:space="preserve"> </v>
          </cell>
          <cell r="U178" t="str">
            <v xml:space="preserve"> </v>
          </cell>
          <cell r="V178" t="str">
            <v>670800</v>
          </cell>
          <cell r="W178" t="str">
            <v>4</v>
          </cell>
          <cell r="X178" t="str">
            <v xml:space="preserve">      Taxes Other Than Income           </v>
          </cell>
          <cell r="Y178">
            <v>0.06</v>
          </cell>
          <cell r="Z178">
            <v>0.06</v>
          </cell>
          <cell r="AA178">
            <v>0.06</v>
          </cell>
          <cell r="AB178">
            <v>0.06</v>
          </cell>
          <cell r="AC178">
            <v>0.24</v>
          </cell>
          <cell r="AD178">
            <v>0</v>
          </cell>
          <cell r="AE178">
            <v>0</v>
          </cell>
          <cell r="AF178">
            <v>0</v>
          </cell>
          <cell r="AG178">
            <v>0</v>
          </cell>
          <cell r="AH178">
            <v>0</v>
          </cell>
          <cell r="AI178" t="str">
            <v xml:space="preserve">U.S. Dollar                   </v>
          </cell>
          <cell r="AJ178" t="str">
            <v xml:space="preserve"> </v>
          </cell>
          <cell r="AK178" t="str">
            <v xml:space="preserve"> </v>
          </cell>
          <cell r="AL178" t="str">
            <v xml:space="preserve"> </v>
          </cell>
          <cell r="AM178" t="str">
            <v xml:space="preserve"> </v>
          </cell>
          <cell r="AN178" t="str">
            <v xml:space="preserve"> </v>
          </cell>
          <cell r="AO178" t="str">
            <v xml:space="preserve"> </v>
          </cell>
          <cell r="AP178" t="str">
            <v xml:space="preserve"> </v>
          </cell>
          <cell r="AQ178" t="str">
            <v xml:space="preserve"> </v>
          </cell>
        </row>
        <row r="179">
          <cell r="A179" t="str">
            <v>FBF.......671200</v>
          </cell>
          <cell r="B179" t="str">
            <v>2004T12</v>
          </cell>
          <cell r="C179" t="str">
            <v xml:space="preserve">TREND    </v>
          </cell>
          <cell r="D179" t="str">
            <v xml:space="preserve">Trend -  QTD Average/Activity                     </v>
          </cell>
          <cell r="E179" t="str">
            <v>Run: 08/07/03 14:02:44</v>
          </cell>
          <cell r="F179" t="str">
            <v>999</v>
          </cell>
          <cell r="G179" t="str">
            <v>100</v>
          </cell>
          <cell r="H179" t="str">
            <v xml:space="preserve">Bank Of America Management Reporting              </v>
          </cell>
          <cell r="I179" t="str">
            <v>001</v>
          </cell>
          <cell r="J179" t="str">
            <v>FBF.......</v>
          </cell>
          <cell r="K179" t="str">
            <v xml:space="preserve">Global Structured Product Operations              </v>
          </cell>
          <cell r="L179" t="str">
            <v xml:space="preserve"> </v>
          </cell>
          <cell r="M179" t="str">
            <v xml:space="preserve"> </v>
          </cell>
          <cell r="N179" t="str">
            <v>bamgt</v>
          </cell>
          <cell r="O179" t="str">
            <v>40</v>
          </cell>
          <cell r="P179" t="str">
            <v>600000A  662999B  670000B  671200   999999999999999999999999999999999999</v>
          </cell>
          <cell r="Q179" t="str">
            <v xml:space="preserve">none     </v>
          </cell>
          <cell r="R179" t="str">
            <v>RollFCST-Working Version</v>
          </cell>
          <cell r="S179" t="str">
            <v>RollFCST-Working Version</v>
          </cell>
          <cell r="T179" t="str">
            <v xml:space="preserve"> </v>
          </cell>
          <cell r="U179" t="str">
            <v xml:space="preserve"> </v>
          </cell>
          <cell r="V179" t="str">
            <v>671200</v>
          </cell>
          <cell r="W179" t="str">
            <v>4</v>
          </cell>
          <cell r="X179" t="str">
            <v xml:space="preserve">      Subscription Services             </v>
          </cell>
          <cell r="Y179">
            <v>157.57</v>
          </cell>
          <cell r="Z179">
            <v>186.71</v>
          </cell>
          <cell r="AA179">
            <v>359.68</v>
          </cell>
          <cell r="AB179">
            <v>234.58</v>
          </cell>
          <cell r="AC179">
            <v>938.54</v>
          </cell>
          <cell r="AD179">
            <v>217.79</v>
          </cell>
          <cell r="AE179">
            <v>225.57</v>
          </cell>
          <cell r="AF179">
            <v>222.12</v>
          </cell>
          <cell r="AG179">
            <v>234.28</v>
          </cell>
          <cell r="AH179">
            <v>899.76</v>
          </cell>
          <cell r="AI179" t="str">
            <v xml:space="preserve">U.S. Dollar                   </v>
          </cell>
          <cell r="AJ179" t="str">
            <v xml:space="preserve"> </v>
          </cell>
          <cell r="AK179" t="str">
            <v xml:space="preserve"> </v>
          </cell>
          <cell r="AL179" t="str">
            <v xml:space="preserve"> </v>
          </cell>
          <cell r="AM179" t="str">
            <v xml:space="preserve"> </v>
          </cell>
          <cell r="AN179" t="str">
            <v xml:space="preserve"> </v>
          </cell>
          <cell r="AO179" t="str">
            <v xml:space="preserve"> </v>
          </cell>
          <cell r="AP179" t="str">
            <v xml:space="preserve"> </v>
          </cell>
          <cell r="AQ179" t="str">
            <v xml:space="preserve"> </v>
          </cell>
        </row>
        <row r="180">
          <cell r="A180" t="str">
            <v>FBF.......671500</v>
          </cell>
          <cell r="B180" t="str">
            <v>2004T12</v>
          </cell>
          <cell r="C180" t="str">
            <v xml:space="preserve">TREND    </v>
          </cell>
          <cell r="D180" t="str">
            <v xml:space="preserve">Trend -  QTD Average/Activity                     </v>
          </cell>
          <cell r="E180" t="str">
            <v>Run: 08/07/03 14:02:44</v>
          </cell>
          <cell r="F180" t="str">
            <v>999</v>
          </cell>
          <cell r="G180" t="str">
            <v>100</v>
          </cell>
          <cell r="H180" t="str">
            <v xml:space="preserve">Bank Of America Management Reporting              </v>
          </cell>
          <cell r="I180" t="str">
            <v>001</v>
          </cell>
          <cell r="J180" t="str">
            <v>FBF.......</v>
          </cell>
          <cell r="K180" t="str">
            <v xml:space="preserve">Global Structured Product Operations              </v>
          </cell>
          <cell r="L180" t="str">
            <v xml:space="preserve"> </v>
          </cell>
          <cell r="M180" t="str">
            <v xml:space="preserve"> </v>
          </cell>
          <cell r="N180" t="str">
            <v>bamgt</v>
          </cell>
          <cell r="O180" t="str">
            <v>40</v>
          </cell>
          <cell r="P180" t="str">
            <v>600000A  662999B  670000B  671500   999999999999999999999999999999999999</v>
          </cell>
          <cell r="Q180" t="str">
            <v xml:space="preserve">none     </v>
          </cell>
          <cell r="R180" t="str">
            <v>RollFCST-Working Version</v>
          </cell>
          <cell r="S180" t="str">
            <v>RollFCST-Working Version</v>
          </cell>
          <cell r="T180" t="str">
            <v xml:space="preserve"> </v>
          </cell>
          <cell r="U180" t="str">
            <v xml:space="preserve"> </v>
          </cell>
          <cell r="V180" t="str">
            <v>671500</v>
          </cell>
          <cell r="W180" t="str">
            <v>4</v>
          </cell>
          <cell r="X180" t="str">
            <v xml:space="preserve">      Other Administrative Expenses     </v>
          </cell>
          <cell r="Y180">
            <v>3.09</v>
          </cell>
          <cell r="Z180">
            <v>16.940000000000001</v>
          </cell>
          <cell r="AA180">
            <v>24.03</v>
          </cell>
          <cell r="AB180">
            <v>24.03</v>
          </cell>
          <cell r="AC180">
            <v>68.09</v>
          </cell>
          <cell r="AD180">
            <v>28.42</v>
          </cell>
          <cell r="AE180">
            <v>38.11</v>
          </cell>
          <cell r="AF180">
            <v>24.5</v>
          </cell>
          <cell r="AG180">
            <v>23.76</v>
          </cell>
          <cell r="AH180">
            <v>114.79</v>
          </cell>
          <cell r="AI180" t="str">
            <v xml:space="preserve">U.S. Dollar                   </v>
          </cell>
          <cell r="AJ180" t="str">
            <v xml:space="preserve"> </v>
          </cell>
          <cell r="AK180" t="str">
            <v xml:space="preserve"> </v>
          </cell>
          <cell r="AL180" t="str">
            <v xml:space="preserve"> </v>
          </cell>
          <cell r="AM180" t="str">
            <v xml:space="preserve"> </v>
          </cell>
          <cell r="AN180" t="str">
            <v xml:space="preserve"> </v>
          </cell>
          <cell r="AO180" t="str">
            <v xml:space="preserve"> </v>
          </cell>
          <cell r="AP180" t="str">
            <v xml:space="preserve"> </v>
          </cell>
          <cell r="AQ180" t="str">
            <v xml:space="preserve"> </v>
          </cell>
        </row>
        <row r="181">
          <cell r="A181" t="str">
            <v>FBF.......675000</v>
          </cell>
          <cell r="B181" t="str">
            <v>2004T12</v>
          </cell>
          <cell r="C181" t="str">
            <v xml:space="preserve">TREND    </v>
          </cell>
          <cell r="D181" t="str">
            <v xml:space="preserve">Trend -  QTD Average/Activity                     </v>
          </cell>
          <cell r="E181" t="str">
            <v>Run: 08/07/03 14:02:44</v>
          </cell>
          <cell r="F181" t="str">
            <v>999</v>
          </cell>
          <cell r="G181" t="str">
            <v>100</v>
          </cell>
          <cell r="H181" t="str">
            <v xml:space="preserve">Bank Of America Management Reporting              </v>
          </cell>
          <cell r="I181" t="str">
            <v>001</v>
          </cell>
          <cell r="J181" t="str">
            <v>FBF.......</v>
          </cell>
          <cell r="K181" t="str">
            <v xml:space="preserve">Global Structured Product Operations              </v>
          </cell>
          <cell r="L181" t="str">
            <v xml:space="preserve"> </v>
          </cell>
          <cell r="M181" t="str">
            <v xml:space="preserve"> </v>
          </cell>
          <cell r="N181" t="str">
            <v>bamgt</v>
          </cell>
          <cell r="O181" t="str">
            <v>40</v>
          </cell>
          <cell r="P181" t="str">
            <v>600000A  675000   999999999999999999999999999999999999999999999999999999</v>
          </cell>
          <cell r="Q181" t="str">
            <v xml:space="preserve">none     </v>
          </cell>
          <cell r="R181" t="str">
            <v>RollFCST-Working Version</v>
          </cell>
          <cell r="S181" t="str">
            <v>RollFCST-Working Version</v>
          </cell>
          <cell r="T181" t="str">
            <v xml:space="preserve"> </v>
          </cell>
          <cell r="U181" t="str">
            <v xml:space="preserve"> </v>
          </cell>
          <cell r="V181" t="str">
            <v>675000</v>
          </cell>
          <cell r="W181" t="str">
            <v>2</v>
          </cell>
          <cell r="X181" t="str">
            <v xml:space="preserve">  Intercompany Expense                  </v>
          </cell>
          <cell r="Y181">
            <v>1.44</v>
          </cell>
          <cell r="Z181">
            <v>1.4</v>
          </cell>
          <cell r="AA181">
            <v>1.44</v>
          </cell>
          <cell r="AB181">
            <v>1.44</v>
          </cell>
          <cell r="AC181">
            <v>5.72</v>
          </cell>
          <cell r="AD181">
            <v>0</v>
          </cell>
          <cell r="AE181">
            <v>0</v>
          </cell>
          <cell r="AF181">
            <v>0</v>
          </cell>
          <cell r="AG181">
            <v>0</v>
          </cell>
          <cell r="AH181">
            <v>0</v>
          </cell>
          <cell r="AI181" t="str">
            <v xml:space="preserve">U.S. Dollar                   </v>
          </cell>
          <cell r="AJ181" t="str">
            <v xml:space="preserve"> </v>
          </cell>
          <cell r="AK181" t="str">
            <v xml:space="preserve"> </v>
          </cell>
          <cell r="AL181" t="str">
            <v xml:space="preserve"> </v>
          </cell>
          <cell r="AM181" t="str">
            <v xml:space="preserve"> </v>
          </cell>
          <cell r="AN181" t="str">
            <v xml:space="preserve"> </v>
          </cell>
          <cell r="AO181" t="str">
            <v xml:space="preserve"> </v>
          </cell>
          <cell r="AP181" t="str">
            <v xml:space="preserve"> </v>
          </cell>
          <cell r="AQ181" t="str">
            <v xml:space="preserve"> </v>
          </cell>
        </row>
        <row r="182">
          <cell r="A182" t="str">
            <v>FBF.......NIEBA-B</v>
          </cell>
          <cell r="B182" t="str">
            <v>2004T12</v>
          </cell>
          <cell r="C182" t="str">
            <v xml:space="preserve">TREND    </v>
          </cell>
          <cell r="D182" t="str">
            <v xml:space="preserve">Trend -  QTD Average/Activity                     </v>
          </cell>
          <cell r="E182" t="str">
            <v>Run: 08/07/03 14:02:44</v>
          </cell>
          <cell r="F182" t="str">
            <v>999</v>
          </cell>
          <cell r="G182" t="str">
            <v>100</v>
          </cell>
          <cell r="H182" t="str">
            <v xml:space="preserve">Bank Of America Management Reporting              </v>
          </cell>
          <cell r="I182" t="str">
            <v>001</v>
          </cell>
          <cell r="J182" t="str">
            <v>FBF.......</v>
          </cell>
          <cell r="K182" t="str">
            <v xml:space="preserve">Global Structured Product Operations              </v>
          </cell>
          <cell r="L182" t="str">
            <v xml:space="preserve"> </v>
          </cell>
          <cell r="M182" t="str">
            <v xml:space="preserve"> </v>
          </cell>
          <cell r="N182" t="str">
            <v>bamgt</v>
          </cell>
          <cell r="O182" t="str">
            <v>40</v>
          </cell>
          <cell r="P182" t="str">
            <v xml:space="preserve">600000A  675000A  999999999999999999999999999NIEBA-B                    </v>
          </cell>
          <cell r="Q182" t="str">
            <v xml:space="preserve">none     </v>
          </cell>
          <cell r="R182" t="str">
            <v>RollFCST-Working Version</v>
          </cell>
          <cell r="S182" t="str">
            <v>RollFCST-Working Version</v>
          </cell>
          <cell r="T182" t="str">
            <v xml:space="preserve"> </v>
          </cell>
          <cell r="U182" t="str">
            <v xml:space="preserve"> </v>
          </cell>
          <cell r="V182" t="str">
            <v>NIEBA-B</v>
          </cell>
          <cell r="W182" t="str">
            <v>0</v>
          </cell>
          <cell r="X182" t="str">
            <v xml:space="preserve">Sub-Tot Non Int Exp Before Cost         </v>
          </cell>
          <cell r="Y182">
            <v>4525.6499999999996</v>
          </cell>
          <cell r="Z182">
            <v>5103.7</v>
          </cell>
          <cell r="AA182">
            <v>5665.27</v>
          </cell>
          <cell r="AB182">
            <v>6224.75</v>
          </cell>
          <cell r="AC182">
            <v>21519.37</v>
          </cell>
          <cell r="AD182">
            <v>6023.64</v>
          </cell>
          <cell r="AE182">
            <v>6318.27</v>
          </cell>
          <cell r="AF182">
            <v>6451.98</v>
          </cell>
          <cell r="AG182">
            <v>6305.1</v>
          </cell>
          <cell r="AH182">
            <v>25098.99</v>
          </cell>
          <cell r="AI182" t="str">
            <v xml:space="preserve">U.S. Dollar                   </v>
          </cell>
          <cell r="AJ182" t="str">
            <v xml:space="preserve"> </v>
          </cell>
          <cell r="AK182" t="str">
            <v xml:space="preserve"> </v>
          </cell>
          <cell r="AL182" t="str">
            <v xml:space="preserve"> </v>
          </cell>
          <cell r="AM182" t="str">
            <v xml:space="preserve"> </v>
          </cell>
          <cell r="AN182" t="str">
            <v xml:space="preserve"> </v>
          </cell>
          <cell r="AO182" t="str">
            <v xml:space="preserve"> </v>
          </cell>
          <cell r="AP182" t="str">
            <v xml:space="preserve"> </v>
          </cell>
          <cell r="AQ182" t="str">
            <v xml:space="preserve"> </v>
          </cell>
        </row>
        <row r="183">
          <cell r="A183" t="str">
            <v>FBG.......600300</v>
          </cell>
          <cell r="B183" t="str">
            <v>2004T12</v>
          </cell>
          <cell r="C183" t="str">
            <v xml:space="preserve">TREND    </v>
          </cell>
          <cell r="D183" t="str">
            <v xml:space="preserve">Trend -  QTD Average/Activity                     </v>
          </cell>
          <cell r="E183" t="str">
            <v>Run: 08/07/03 14:02:44</v>
          </cell>
          <cell r="F183" t="str">
            <v>999</v>
          </cell>
          <cell r="G183" t="str">
            <v>100</v>
          </cell>
          <cell r="H183" t="str">
            <v xml:space="preserve">Bank Of America Management Reporting              </v>
          </cell>
          <cell r="I183" t="str">
            <v>001</v>
          </cell>
          <cell r="J183" t="str">
            <v>FBG.......</v>
          </cell>
          <cell r="K183" t="str">
            <v xml:space="preserve">Gcib Support-Tokyo Ops                            </v>
          </cell>
          <cell r="L183" t="str">
            <v xml:space="preserve"> </v>
          </cell>
          <cell r="M183" t="str">
            <v xml:space="preserve"> </v>
          </cell>
          <cell r="N183" t="str">
            <v>bamgt</v>
          </cell>
          <cell r="O183" t="str">
            <v>40</v>
          </cell>
          <cell r="P183" t="str">
            <v>600000A  600250   999999999600300   999999999999999999999999999999999999</v>
          </cell>
          <cell r="Q183" t="str">
            <v xml:space="preserve">none     </v>
          </cell>
          <cell r="R183" t="str">
            <v>RollFCST-Working Version</v>
          </cell>
          <cell r="S183" t="str">
            <v>RollFCST-Working Version</v>
          </cell>
          <cell r="T183" t="str">
            <v xml:space="preserve"> </v>
          </cell>
          <cell r="U183" t="str">
            <v xml:space="preserve"> </v>
          </cell>
          <cell r="V183" t="str">
            <v>600300</v>
          </cell>
          <cell r="W183" t="str">
            <v>4</v>
          </cell>
          <cell r="X183" t="str">
            <v xml:space="preserve">      Salaries &amp; Wages                  </v>
          </cell>
          <cell r="Y183">
            <v>736</v>
          </cell>
          <cell r="Z183">
            <v>606</v>
          </cell>
          <cell r="AA183">
            <v>546</v>
          </cell>
          <cell r="AB183">
            <v>564</v>
          </cell>
          <cell r="AC183">
            <v>2452</v>
          </cell>
          <cell r="AD183">
            <v>556.29</v>
          </cell>
          <cell r="AE183">
            <v>573.29999999999995</v>
          </cell>
          <cell r="AF183">
            <v>575.42999999999995</v>
          </cell>
          <cell r="AG183">
            <v>565.58000000000004</v>
          </cell>
          <cell r="AH183">
            <v>2270.6</v>
          </cell>
          <cell r="AI183" t="str">
            <v xml:space="preserve">U.S. Dollar                   </v>
          </cell>
          <cell r="AJ183" t="str">
            <v xml:space="preserve"> </v>
          </cell>
          <cell r="AK183" t="str">
            <v xml:space="preserve"> </v>
          </cell>
          <cell r="AL183" t="str">
            <v xml:space="preserve"> </v>
          </cell>
          <cell r="AM183" t="str">
            <v xml:space="preserve"> </v>
          </cell>
          <cell r="AN183" t="str">
            <v xml:space="preserve"> </v>
          </cell>
          <cell r="AO183" t="str">
            <v xml:space="preserve"> </v>
          </cell>
          <cell r="AP183" t="str">
            <v xml:space="preserve"> </v>
          </cell>
          <cell r="AQ183" t="str">
            <v xml:space="preserve"> </v>
          </cell>
        </row>
        <row r="184">
          <cell r="A184" t="str">
            <v>FBG.......601000</v>
          </cell>
          <cell r="B184" t="str">
            <v>2004T12</v>
          </cell>
          <cell r="C184" t="str">
            <v xml:space="preserve">TREND    </v>
          </cell>
          <cell r="D184" t="str">
            <v xml:space="preserve">Trend -  QTD Average/Activity                     </v>
          </cell>
          <cell r="E184" t="str">
            <v>Run: 08/07/03 14:02:44</v>
          </cell>
          <cell r="F184" t="str">
            <v>999</v>
          </cell>
          <cell r="G184" t="str">
            <v>100</v>
          </cell>
          <cell r="H184" t="str">
            <v xml:space="preserve">Bank Of America Management Reporting              </v>
          </cell>
          <cell r="I184" t="str">
            <v>001</v>
          </cell>
          <cell r="J184" t="str">
            <v>FBG.......</v>
          </cell>
          <cell r="K184" t="str">
            <v xml:space="preserve">Gcib Support-Tokyo Ops                            </v>
          </cell>
          <cell r="L184" t="str">
            <v xml:space="preserve"> </v>
          </cell>
          <cell r="M184" t="str">
            <v xml:space="preserve"> </v>
          </cell>
          <cell r="N184" t="str">
            <v>bamgt</v>
          </cell>
          <cell r="O184" t="str">
            <v>40</v>
          </cell>
          <cell r="P184" t="str">
            <v>600000A  600250   999999999601000   999999999999999999999999999999999999</v>
          </cell>
          <cell r="Q184" t="str">
            <v xml:space="preserve">none     </v>
          </cell>
          <cell r="R184" t="str">
            <v>RollFCST-Working Version</v>
          </cell>
          <cell r="S184" t="str">
            <v>RollFCST-Working Version</v>
          </cell>
          <cell r="T184" t="str">
            <v xml:space="preserve"> </v>
          </cell>
          <cell r="U184" t="str">
            <v xml:space="preserve"> </v>
          </cell>
          <cell r="V184" t="str">
            <v>601000</v>
          </cell>
          <cell r="W184" t="str">
            <v>4</v>
          </cell>
          <cell r="X184" t="str">
            <v xml:space="preserve">      Overtime Salaries                 </v>
          </cell>
          <cell r="Y184">
            <v>6</v>
          </cell>
          <cell r="Z184">
            <v>8</v>
          </cell>
          <cell r="AA184">
            <v>0</v>
          </cell>
          <cell r="AB184">
            <v>0</v>
          </cell>
          <cell r="AC184">
            <v>14</v>
          </cell>
          <cell r="AD184">
            <v>0</v>
          </cell>
          <cell r="AE184">
            <v>0</v>
          </cell>
          <cell r="AF184">
            <v>0</v>
          </cell>
          <cell r="AG184">
            <v>0</v>
          </cell>
          <cell r="AH184">
            <v>0</v>
          </cell>
          <cell r="AI184" t="str">
            <v xml:space="preserve">U.S. Dollar                   </v>
          </cell>
          <cell r="AJ184" t="str">
            <v xml:space="preserve"> </v>
          </cell>
          <cell r="AK184" t="str">
            <v xml:space="preserve"> </v>
          </cell>
          <cell r="AL184" t="str">
            <v xml:space="preserve"> </v>
          </cell>
          <cell r="AM184" t="str">
            <v xml:space="preserve"> </v>
          </cell>
          <cell r="AN184" t="str">
            <v xml:space="preserve"> </v>
          </cell>
          <cell r="AO184" t="str">
            <v xml:space="preserve"> </v>
          </cell>
          <cell r="AP184" t="str">
            <v xml:space="preserve"> </v>
          </cell>
          <cell r="AQ184" t="str">
            <v xml:space="preserve"> </v>
          </cell>
        </row>
        <row r="185">
          <cell r="A185" t="str">
            <v>FBG.......602400</v>
          </cell>
          <cell r="B185" t="str">
            <v>2004T12</v>
          </cell>
          <cell r="C185" t="str">
            <v xml:space="preserve">TREND    </v>
          </cell>
          <cell r="D185" t="str">
            <v xml:space="preserve">Trend -  QTD Average/Activity                     </v>
          </cell>
          <cell r="E185" t="str">
            <v>Run: 08/07/03 14:02:44</v>
          </cell>
          <cell r="F185" t="str">
            <v>999</v>
          </cell>
          <cell r="G185" t="str">
            <v>100</v>
          </cell>
          <cell r="H185" t="str">
            <v xml:space="preserve">Bank Of America Management Reporting              </v>
          </cell>
          <cell r="I185" t="str">
            <v>001</v>
          </cell>
          <cell r="J185" t="str">
            <v>FBG.......</v>
          </cell>
          <cell r="K185" t="str">
            <v xml:space="preserve">Gcib Support-Tokyo Ops                            </v>
          </cell>
          <cell r="L185" t="str">
            <v xml:space="preserve"> </v>
          </cell>
          <cell r="M185" t="str">
            <v xml:space="preserve"> </v>
          </cell>
          <cell r="N185" t="str">
            <v>bamgt</v>
          </cell>
          <cell r="O185" t="str">
            <v>40</v>
          </cell>
          <cell r="P185" t="str">
            <v>600000A  600250   999999999602000   602400   999999999999999999999999999</v>
          </cell>
          <cell r="Q185" t="str">
            <v xml:space="preserve">none     </v>
          </cell>
          <cell r="R185" t="str">
            <v>RollFCST-Working Version</v>
          </cell>
          <cell r="S185" t="str">
            <v>RollFCST-Working Version</v>
          </cell>
          <cell r="T185" t="str">
            <v xml:space="preserve"> </v>
          </cell>
          <cell r="U185" t="str">
            <v xml:space="preserve"> </v>
          </cell>
          <cell r="V185" t="str">
            <v>602400</v>
          </cell>
          <cell r="W185" t="str">
            <v>5</v>
          </cell>
          <cell r="X185" t="str">
            <v xml:space="preserve">        Other Employee Compensation     </v>
          </cell>
          <cell r="Y185">
            <v>44</v>
          </cell>
          <cell r="Z185">
            <v>30</v>
          </cell>
          <cell r="AA185">
            <v>0</v>
          </cell>
          <cell r="AB185">
            <v>0</v>
          </cell>
          <cell r="AC185">
            <v>74</v>
          </cell>
          <cell r="AD185">
            <v>0</v>
          </cell>
          <cell r="AE185">
            <v>0</v>
          </cell>
          <cell r="AF185">
            <v>0</v>
          </cell>
          <cell r="AG185">
            <v>0</v>
          </cell>
          <cell r="AH185">
            <v>0</v>
          </cell>
          <cell r="AI185" t="str">
            <v xml:space="preserve">U.S. Dollar                   </v>
          </cell>
          <cell r="AJ185" t="str">
            <v xml:space="preserve"> </v>
          </cell>
          <cell r="AK185" t="str">
            <v xml:space="preserve"> </v>
          </cell>
          <cell r="AL185" t="str">
            <v xml:space="preserve"> </v>
          </cell>
          <cell r="AM185" t="str">
            <v xml:space="preserve"> </v>
          </cell>
          <cell r="AN185" t="str">
            <v xml:space="preserve"> </v>
          </cell>
          <cell r="AO185" t="str">
            <v xml:space="preserve"> </v>
          </cell>
          <cell r="AP185" t="str">
            <v xml:space="preserve"> </v>
          </cell>
          <cell r="AQ185" t="str">
            <v xml:space="preserve"> </v>
          </cell>
        </row>
        <row r="186">
          <cell r="A186" t="str">
            <v>FBG.......602000</v>
          </cell>
          <cell r="B186" t="str">
            <v>2004T12</v>
          </cell>
          <cell r="C186" t="str">
            <v xml:space="preserve">TREND    </v>
          </cell>
          <cell r="D186" t="str">
            <v xml:space="preserve">Trend -  QTD Average/Activity                     </v>
          </cell>
          <cell r="E186" t="str">
            <v>Run: 08/07/03 14:02:44</v>
          </cell>
          <cell r="F186" t="str">
            <v>999</v>
          </cell>
          <cell r="G186" t="str">
            <v>100</v>
          </cell>
          <cell r="H186" t="str">
            <v xml:space="preserve">Bank Of America Management Reporting              </v>
          </cell>
          <cell r="I186" t="str">
            <v>001</v>
          </cell>
          <cell r="J186" t="str">
            <v>FBG.......</v>
          </cell>
          <cell r="K186" t="str">
            <v xml:space="preserve">Gcib Support-Tokyo Ops                            </v>
          </cell>
          <cell r="L186" t="str">
            <v xml:space="preserve"> </v>
          </cell>
          <cell r="M186" t="str">
            <v xml:space="preserve"> </v>
          </cell>
          <cell r="N186" t="str">
            <v>bamgt</v>
          </cell>
          <cell r="O186" t="str">
            <v>40</v>
          </cell>
          <cell r="P186" t="str">
            <v>600000A  600250   999999999602000   999999999999999999999999999999999999</v>
          </cell>
          <cell r="Q186" t="str">
            <v xml:space="preserve">none     </v>
          </cell>
          <cell r="R186" t="str">
            <v>RollFCST-Working Version</v>
          </cell>
          <cell r="S186" t="str">
            <v>RollFCST-Working Version</v>
          </cell>
          <cell r="T186" t="str">
            <v xml:space="preserve"> </v>
          </cell>
          <cell r="U186" t="str">
            <v xml:space="preserve"> </v>
          </cell>
          <cell r="V186" t="str">
            <v>602000</v>
          </cell>
          <cell r="W186" t="str">
            <v>4</v>
          </cell>
          <cell r="X186" t="str">
            <v xml:space="preserve">      Contract Temporary/Other Compensat</v>
          </cell>
          <cell r="Y186">
            <v>44</v>
          </cell>
          <cell r="Z186">
            <v>35</v>
          </cell>
          <cell r="AA186">
            <v>15</v>
          </cell>
          <cell r="AB186">
            <v>15</v>
          </cell>
          <cell r="AC186">
            <v>109</v>
          </cell>
          <cell r="AD186">
            <v>14.8</v>
          </cell>
          <cell r="AE186">
            <v>14.68</v>
          </cell>
          <cell r="AF186">
            <v>14.46</v>
          </cell>
          <cell r="AG186">
            <v>14.2</v>
          </cell>
          <cell r="AH186">
            <v>58.14</v>
          </cell>
          <cell r="AI186" t="str">
            <v xml:space="preserve">U.S. Dollar                   </v>
          </cell>
          <cell r="AJ186" t="str">
            <v xml:space="preserve"> </v>
          </cell>
          <cell r="AK186" t="str">
            <v xml:space="preserve"> </v>
          </cell>
          <cell r="AL186" t="str">
            <v xml:space="preserve"> </v>
          </cell>
          <cell r="AM186" t="str">
            <v xml:space="preserve"> </v>
          </cell>
          <cell r="AN186" t="str">
            <v xml:space="preserve"> </v>
          </cell>
          <cell r="AO186" t="str">
            <v xml:space="preserve"> </v>
          </cell>
          <cell r="AP186" t="str">
            <v xml:space="preserve"> </v>
          </cell>
          <cell r="AQ186" t="str">
            <v xml:space="preserve"> </v>
          </cell>
        </row>
        <row r="187">
          <cell r="A187" t="str">
            <v>FBG.......603000</v>
          </cell>
          <cell r="B187" t="str">
            <v>2004T12</v>
          </cell>
          <cell r="C187" t="str">
            <v xml:space="preserve">TREND    </v>
          </cell>
          <cell r="D187" t="str">
            <v xml:space="preserve">Trend -  QTD Average/Activity                     </v>
          </cell>
          <cell r="E187" t="str">
            <v>Run: 08/07/03 14:02:44</v>
          </cell>
          <cell r="F187" t="str">
            <v>999</v>
          </cell>
          <cell r="G187" t="str">
            <v>100</v>
          </cell>
          <cell r="H187" t="str">
            <v xml:space="preserve">Bank Of America Management Reporting              </v>
          </cell>
          <cell r="I187" t="str">
            <v>001</v>
          </cell>
          <cell r="J187" t="str">
            <v>FBG.......</v>
          </cell>
          <cell r="K187" t="str">
            <v xml:space="preserve">Gcib Support-Tokyo Ops                            </v>
          </cell>
          <cell r="L187" t="str">
            <v xml:space="preserve"> </v>
          </cell>
          <cell r="M187" t="str">
            <v xml:space="preserve"> </v>
          </cell>
          <cell r="N187" t="str">
            <v>bamgt</v>
          </cell>
          <cell r="O187" t="str">
            <v>40</v>
          </cell>
          <cell r="P187" t="str">
            <v>600000A  600250   999999999603000   999999999999999999999999999999999999</v>
          </cell>
          <cell r="Q187" t="str">
            <v xml:space="preserve">none     </v>
          </cell>
          <cell r="R187" t="str">
            <v>RollFCST-Working Version</v>
          </cell>
          <cell r="S187" t="str">
            <v>RollFCST-Working Version</v>
          </cell>
          <cell r="T187" t="str">
            <v xml:space="preserve"> </v>
          </cell>
          <cell r="U187" t="str">
            <v xml:space="preserve"> </v>
          </cell>
          <cell r="V187" t="str">
            <v>603000</v>
          </cell>
          <cell r="W187" t="str">
            <v>4</v>
          </cell>
          <cell r="X187" t="str">
            <v xml:space="preserve">      Employee Benefits                 </v>
          </cell>
          <cell r="Y187">
            <v>155.08000000000001</v>
          </cell>
          <cell r="Z187">
            <v>115.95</v>
          </cell>
          <cell r="AA187">
            <v>143.04</v>
          </cell>
          <cell r="AB187">
            <v>132.36000000000001</v>
          </cell>
          <cell r="AC187">
            <v>546.42999999999995</v>
          </cell>
          <cell r="AD187">
            <v>133.41685000000001</v>
          </cell>
          <cell r="AE187">
            <v>137.92449999999999</v>
          </cell>
          <cell r="AF187">
            <v>137.48894999999999</v>
          </cell>
          <cell r="AG187">
            <v>134.87870000000001</v>
          </cell>
          <cell r="AH187">
            <v>543.70899999999995</v>
          </cell>
          <cell r="AI187" t="str">
            <v xml:space="preserve">U.S. Dollar                   </v>
          </cell>
          <cell r="AJ187" t="str">
            <v xml:space="preserve"> </v>
          </cell>
          <cell r="AK187" t="str">
            <v xml:space="preserve"> </v>
          </cell>
          <cell r="AL187" t="str">
            <v xml:space="preserve"> </v>
          </cell>
          <cell r="AM187" t="str">
            <v xml:space="preserve"> </v>
          </cell>
          <cell r="AN187" t="str">
            <v xml:space="preserve"> </v>
          </cell>
          <cell r="AO187" t="str">
            <v xml:space="preserve"> </v>
          </cell>
          <cell r="AP187" t="str">
            <v xml:space="preserve"> </v>
          </cell>
          <cell r="AQ187" t="str">
            <v xml:space="preserve"> </v>
          </cell>
        </row>
        <row r="188">
          <cell r="A188" t="str">
            <v>FBG.......600250</v>
          </cell>
          <cell r="B188" t="str">
            <v>2004T12</v>
          </cell>
          <cell r="C188" t="str">
            <v xml:space="preserve">TREND    </v>
          </cell>
          <cell r="D188" t="str">
            <v xml:space="preserve">Trend -  QTD Average/Activity                     </v>
          </cell>
          <cell r="E188" t="str">
            <v>Run: 08/07/03 14:02:44</v>
          </cell>
          <cell r="F188" t="str">
            <v>999</v>
          </cell>
          <cell r="G188" t="str">
            <v>100</v>
          </cell>
          <cell r="H188" t="str">
            <v xml:space="preserve">Bank Of America Management Reporting              </v>
          </cell>
          <cell r="I188" t="str">
            <v>001</v>
          </cell>
          <cell r="J188" t="str">
            <v>FBG.......</v>
          </cell>
          <cell r="K188" t="str">
            <v xml:space="preserve">Gcib Support-Tokyo Ops                            </v>
          </cell>
          <cell r="L188" t="str">
            <v xml:space="preserve"> </v>
          </cell>
          <cell r="M188" t="str">
            <v xml:space="preserve"> </v>
          </cell>
          <cell r="N188" t="str">
            <v>bamgt</v>
          </cell>
          <cell r="O188" t="str">
            <v>40</v>
          </cell>
          <cell r="P188" t="str">
            <v>600000A  600250   999999999999999999999999999999999999999999999999999999</v>
          </cell>
          <cell r="Q188" t="str">
            <v xml:space="preserve">none     </v>
          </cell>
          <cell r="R188" t="str">
            <v>RollFCST-Working Version</v>
          </cell>
          <cell r="S188" t="str">
            <v>RollFCST-Working Version</v>
          </cell>
          <cell r="T188" t="str">
            <v xml:space="preserve"> </v>
          </cell>
          <cell r="U188" t="str">
            <v xml:space="preserve"> </v>
          </cell>
          <cell r="V188" t="str">
            <v>600250</v>
          </cell>
          <cell r="W188" t="str">
            <v>2</v>
          </cell>
          <cell r="X188" t="str">
            <v xml:space="preserve">  Personnel                             </v>
          </cell>
          <cell r="Y188">
            <v>941.08</v>
          </cell>
          <cell r="Z188">
            <v>764.95</v>
          </cell>
          <cell r="AA188">
            <v>704.04</v>
          </cell>
          <cell r="AB188">
            <v>711.36</v>
          </cell>
          <cell r="AC188">
            <v>3121.43</v>
          </cell>
          <cell r="AD188">
            <v>704.50684999999999</v>
          </cell>
          <cell r="AE188">
            <v>725.90449999999998</v>
          </cell>
          <cell r="AF188">
            <v>727.37895000000003</v>
          </cell>
          <cell r="AG188">
            <v>714.65869999999995</v>
          </cell>
          <cell r="AH188">
            <v>2872.4490000000001</v>
          </cell>
          <cell r="AI188" t="str">
            <v xml:space="preserve">U.S. Dollar                   </v>
          </cell>
          <cell r="AJ188" t="str">
            <v xml:space="preserve"> </v>
          </cell>
          <cell r="AK188" t="str">
            <v xml:space="preserve"> </v>
          </cell>
          <cell r="AL188" t="str">
            <v xml:space="preserve"> </v>
          </cell>
          <cell r="AM188" t="str">
            <v xml:space="preserve"> </v>
          </cell>
          <cell r="AN188" t="str">
            <v xml:space="preserve"> </v>
          </cell>
          <cell r="AO188" t="str">
            <v xml:space="preserve"> </v>
          </cell>
          <cell r="AP188" t="str">
            <v xml:space="preserve"> </v>
          </cell>
          <cell r="AQ188" t="str">
            <v xml:space="preserve"> </v>
          </cell>
        </row>
        <row r="189">
          <cell r="A189" t="str">
            <v>FBG.......610000</v>
          </cell>
          <cell r="B189" t="str">
            <v>2004T12</v>
          </cell>
          <cell r="C189" t="str">
            <v xml:space="preserve">TREND    </v>
          </cell>
          <cell r="D189" t="str">
            <v xml:space="preserve">Trend -  QTD Average/Activity                     </v>
          </cell>
          <cell r="E189" t="str">
            <v>Run: 08/07/03 14:02:44</v>
          </cell>
          <cell r="F189" t="str">
            <v>999</v>
          </cell>
          <cell r="G189" t="str">
            <v>100</v>
          </cell>
          <cell r="H189" t="str">
            <v xml:space="preserve">Bank Of America Management Reporting              </v>
          </cell>
          <cell r="I189" t="str">
            <v>001</v>
          </cell>
          <cell r="J189" t="str">
            <v>FBG.......</v>
          </cell>
          <cell r="K189" t="str">
            <v xml:space="preserve">Gcib Support-Tokyo Ops                            </v>
          </cell>
          <cell r="L189" t="str">
            <v xml:space="preserve"> </v>
          </cell>
          <cell r="M189" t="str">
            <v xml:space="preserve"> </v>
          </cell>
          <cell r="N189" t="str">
            <v>bamgt</v>
          </cell>
          <cell r="O189" t="str">
            <v>40</v>
          </cell>
          <cell r="P189" t="str">
            <v>600000A  610000   999999999999999999999999999999999999999999999999999999</v>
          </cell>
          <cell r="Q189" t="str">
            <v xml:space="preserve">none     </v>
          </cell>
          <cell r="R189" t="str">
            <v>RollFCST-Working Version</v>
          </cell>
          <cell r="S189" t="str">
            <v>RollFCST-Working Version</v>
          </cell>
          <cell r="T189" t="str">
            <v xml:space="preserve"> </v>
          </cell>
          <cell r="U189" t="str">
            <v xml:space="preserve"> </v>
          </cell>
          <cell r="V189" t="str">
            <v>610000</v>
          </cell>
          <cell r="W189" t="str">
            <v>2</v>
          </cell>
          <cell r="X189" t="str">
            <v xml:space="preserve">  Net Occupancy Expense                 </v>
          </cell>
          <cell r="Y189">
            <v>191.78</v>
          </cell>
          <cell r="Z189">
            <v>241.52</v>
          </cell>
          <cell r="AA189">
            <v>277.44</v>
          </cell>
          <cell r="AB189">
            <v>277.44</v>
          </cell>
          <cell r="AC189">
            <v>988.18</v>
          </cell>
          <cell r="AD189">
            <v>276</v>
          </cell>
          <cell r="AE189">
            <v>276</v>
          </cell>
          <cell r="AF189">
            <v>276</v>
          </cell>
          <cell r="AG189">
            <v>276</v>
          </cell>
          <cell r="AH189">
            <v>1104</v>
          </cell>
          <cell r="AI189" t="str">
            <v xml:space="preserve">U.S. Dollar                   </v>
          </cell>
          <cell r="AJ189" t="str">
            <v xml:space="preserve"> </v>
          </cell>
          <cell r="AK189" t="str">
            <v xml:space="preserve"> </v>
          </cell>
          <cell r="AL189" t="str">
            <v xml:space="preserve"> </v>
          </cell>
          <cell r="AM189" t="str">
            <v xml:space="preserve"> </v>
          </cell>
          <cell r="AN189" t="str">
            <v xml:space="preserve"> </v>
          </cell>
          <cell r="AO189" t="str">
            <v xml:space="preserve"> </v>
          </cell>
          <cell r="AP189" t="str">
            <v xml:space="preserve"> </v>
          </cell>
          <cell r="AQ189" t="str">
            <v xml:space="preserve"> </v>
          </cell>
        </row>
        <row r="190">
          <cell r="A190" t="str">
            <v>FBG.......620000</v>
          </cell>
          <cell r="B190" t="str">
            <v>2004T12</v>
          </cell>
          <cell r="C190" t="str">
            <v xml:space="preserve">TREND    </v>
          </cell>
          <cell r="D190" t="str">
            <v xml:space="preserve">Trend -  QTD Average/Activity                     </v>
          </cell>
          <cell r="E190" t="str">
            <v>Run: 08/07/03 14:02:44</v>
          </cell>
          <cell r="F190" t="str">
            <v>999</v>
          </cell>
          <cell r="G190" t="str">
            <v>100</v>
          </cell>
          <cell r="H190" t="str">
            <v xml:space="preserve">Bank Of America Management Reporting              </v>
          </cell>
          <cell r="I190" t="str">
            <v>001</v>
          </cell>
          <cell r="J190" t="str">
            <v>FBG.......</v>
          </cell>
          <cell r="K190" t="str">
            <v xml:space="preserve">Gcib Support-Tokyo Ops                            </v>
          </cell>
          <cell r="L190" t="str">
            <v xml:space="preserve"> </v>
          </cell>
          <cell r="M190" t="str">
            <v xml:space="preserve"> </v>
          </cell>
          <cell r="N190" t="str">
            <v>bamgt</v>
          </cell>
          <cell r="O190" t="str">
            <v>40</v>
          </cell>
          <cell r="P190" t="str">
            <v>600000A  620000   999999999999999999999999999999999999999999999999999999</v>
          </cell>
          <cell r="Q190" t="str">
            <v xml:space="preserve">none     </v>
          </cell>
          <cell r="R190" t="str">
            <v>RollFCST-Working Version</v>
          </cell>
          <cell r="S190" t="str">
            <v>RollFCST-Working Version</v>
          </cell>
          <cell r="T190" t="str">
            <v xml:space="preserve"> </v>
          </cell>
          <cell r="U190" t="str">
            <v xml:space="preserve"> </v>
          </cell>
          <cell r="V190" t="str">
            <v>620000</v>
          </cell>
          <cell r="W190" t="str">
            <v>2</v>
          </cell>
          <cell r="X190" t="str">
            <v xml:space="preserve">  Furniture &amp; Equipment                 </v>
          </cell>
          <cell r="Y190">
            <v>74.94</v>
          </cell>
          <cell r="Z190">
            <v>52.25</v>
          </cell>
          <cell r="AA190">
            <v>121</v>
          </cell>
          <cell r="AB190">
            <v>114</v>
          </cell>
          <cell r="AC190">
            <v>362.19</v>
          </cell>
          <cell r="AD190">
            <v>114</v>
          </cell>
          <cell r="AE190">
            <v>112</v>
          </cell>
          <cell r="AF190">
            <v>111</v>
          </cell>
          <cell r="AG190">
            <v>108</v>
          </cell>
          <cell r="AH190">
            <v>445</v>
          </cell>
          <cell r="AI190" t="str">
            <v xml:space="preserve">U.S. Dollar                   </v>
          </cell>
          <cell r="AJ190" t="str">
            <v xml:space="preserve"> </v>
          </cell>
          <cell r="AK190" t="str">
            <v xml:space="preserve"> </v>
          </cell>
          <cell r="AL190" t="str">
            <v xml:space="preserve"> </v>
          </cell>
          <cell r="AM190" t="str">
            <v xml:space="preserve"> </v>
          </cell>
          <cell r="AN190" t="str">
            <v xml:space="preserve"> </v>
          </cell>
          <cell r="AO190" t="str">
            <v xml:space="preserve"> </v>
          </cell>
          <cell r="AP190" t="str">
            <v xml:space="preserve"> </v>
          </cell>
          <cell r="AQ190" t="str">
            <v xml:space="preserve"> </v>
          </cell>
        </row>
        <row r="191">
          <cell r="A191" t="str">
            <v>FBG.......623000</v>
          </cell>
          <cell r="B191" t="str">
            <v>2004T12</v>
          </cell>
          <cell r="C191" t="str">
            <v xml:space="preserve">TREND    </v>
          </cell>
          <cell r="D191" t="str">
            <v xml:space="preserve">Trend -  QTD Average/Activity                     </v>
          </cell>
          <cell r="E191" t="str">
            <v>Run: 08/07/03 14:02:44</v>
          </cell>
          <cell r="F191" t="str">
            <v>999</v>
          </cell>
          <cell r="G191" t="str">
            <v>100</v>
          </cell>
          <cell r="H191" t="str">
            <v xml:space="preserve">Bank Of America Management Reporting              </v>
          </cell>
          <cell r="I191" t="str">
            <v>001</v>
          </cell>
          <cell r="J191" t="str">
            <v>FBG.......</v>
          </cell>
          <cell r="K191" t="str">
            <v xml:space="preserve">Gcib Support-Tokyo Ops                            </v>
          </cell>
          <cell r="L191" t="str">
            <v xml:space="preserve"> </v>
          </cell>
          <cell r="M191" t="str">
            <v xml:space="preserve"> </v>
          </cell>
          <cell r="N191" t="str">
            <v>bamgt</v>
          </cell>
          <cell r="O191" t="str">
            <v>40</v>
          </cell>
          <cell r="P191" t="str">
            <v>600000A  623000   999999999999999999999999999999999999999999999999999999</v>
          </cell>
          <cell r="Q191" t="str">
            <v xml:space="preserve">none     </v>
          </cell>
          <cell r="R191" t="str">
            <v>RollFCST-Working Version</v>
          </cell>
          <cell r="S191" t="str">
            <v>RollFCST-Working Version</v>
          </cell>
          <cell r="T191" t="str">
            <v xml:space="preserve"> </v>
          </cell>
          <cell r="U191" t="str">
            <v xml:space="preserve"> </v>
          </cell>
          <cell r="V191" t="str">
            <v>623000</v>
          </cell>
          <cell r="W191" t="str">
            <v>2</v>
          </cell>
          <cell r="X191" t="str">
            <v xml:space="preserve">  Marketing &amp; Promotional               </v>
          </cell>
          <cell r="Y191">
            <v>2</v>
          </cell>
          <cell r="Z191">
            <v>2</v>
          </cell>
          <cell r="AA191">
            <v>2</v>
          </cell>
          <cell r="AB191">
            <v>1</v>
          </cell>
          <cell r="AC191">
            <v>7</v>
          </cell>
          <cell r="AD191">
            <v>1.97</v>
          </cell>
          <cell r="AE191">
            <v>0.98</v>
          </cell>
          <cell r="AF191">
            <v>1.93</v>
          </cell>
          <cell r="AG191">
            <v>0.94</v>
          </cell>
          <cell r="AH191">
            <v>5.82</v>
          </cell>
          <cell r="AI191" t="str">
            <v xml:space="preserve">U.S. Dollar                   </v>
          </cell>
          <cell r="AJ191" t="str">
            <v xml:space="preserve"> </v>
          </cell>
          <cell r="AK191" t="str">
            <v xml:space="preserve"> </v>
          </cell>
          <cell r="AL191" t="str">
            <v xml:space="preserve"> </v>
          </cell>
          <cell r="AM191" t="str">
            <v xml:space="preserve"> </v>
          </cell>
          <cell r="AN191" t="str">
            <v xml:space="preserve"> </v>
          </cell>
          <cell r="AO191" t="str">
            <v xml:space="preserve"> </v>
          </cell>
          <cell r="AP191" t="str">
            <v xml:space="preserve"> </v>
          </cell>
          <cell r="AQ191" t="str">
            <v xml:space="preserve"> </v>
          </cell>
        </row>
        <row r="192">
          <cell r="A192" t="str">
            <v>FBG.......630000</v>
          </cell>
          <cell r="B192" t="str">
            <v>2004T12</v>
          </cell>
          <cell r="C192" t="str">
            <v xml:space="preserve">TREND    </v>
          </cell>
          <cell r="D192" t="str">
            <v xml:space="preserve">Trend -  QTD Average/Activity                     </v>
          </cell>
          <cell r="E192" t="str">
            <v>Run: 08/07/03 14:02:44</v>
          </cell>
          <cell r="F192" t="str">
            <v>999</v>
          </cell>
          <cell r="G192" t="str">
            <v>100</v>
          </cell>
          <cell r="H192" t="str">
            <v xml:space="preserve">Bank Of America Management Reporting              </v>
          </cell>
          <cell r="I192" t="str">
            <v>001</v>
          </cell>
          <cell r="J192" t="str">
            <v>FBG.......</v>
          </cell>
          <cell r="K192" t="str">
            <v xml:space="preserve">Gcib Support-Tokyo Ops                            </v>
          </cell>
          <cell r="L192" t="str">
            <v xml:space="preserve"> </v>
          </cell>
          <cell r="M192" t="str">
            <v xml:space="preserve"> </v>
          </cell>
          <cell r="N192" t="str">
            <v>bamgt</v>
          </cell>
          <cell r="O192" t="str">
            <v>40</v>
          </cell>
          <cell r="P192" t="str">
            <v>600000A  630000   999999999999999999999999999999999999999999999999999999</v>
          </cell>
          <cell r="Q192" t="str">
            <v xml:space="preserve">none     </v>
          </cell>
          <cell r="R192" t="str">
            <v>RollFCST-Working Version</v>
          </cell>
          <cell r="S192" t="str">
            <v>RollFCST-Working Version</v>
          </cell>
          <cell r="T192" t="str">
            <v xml:space="preserve"> </v>
          </cell>
          <cell r="U192" t="str">
            <v xml:space="preserve"> </v>
          </cell>
          <cell r="V192" t="str">
            <v>630000</v>
          </cell>
          <cell r="W192" t="str">
            <v>2</v>
          </cell>
          <cell r="X192" t="str">
            <v xml:space="preserve">  Professional Fees                     </v>
          </cell>
          <cell r="Y192">
            <v>15</v>
          </cell>
          <cell r="Z192">
            <v>18.13</v>
          </cell>
          <cell r="AA192">
            <v>9</v>
          </cell>
          <cell r="AB192">
            <v>9</v>
          </cell>
          <cell r="AC192">
            <v>51.13</v>
          </cell>
          <cell r="AD192">
            <v>8.8800000000000008</v>
          </cell>
          <cell r="AE192">
            <v>8.81</v>
          </cell>
          <cell r="AF192">
            <v>8.67</v>
          </cell>
          <cell r="AG192">
            <v>8.52</v>
          </cell>
          <cell r="AH192">
            <v>34.880000000000003</v>
          </cell>
          <cell r="AI192" t="str">
            <v xml:space="preserve">U.S. Dollar                   </v>
          </cell>
          <cell r="AJ192" t="str">
            <v xml:space="preserve"> </v>
          </cell>
          <cell r="AK192" t="str">
            <v xml:space="preserve"> </v>
          </cell>
          <cell r="AL192" t="str">
            <v xml:space="preserve"> </v>
          </cell>
          <cell r="AM192" t="str">
            <v xml:space="preserve"> </v>
          </cell>
          <cell r="AN192" t="str">
            <v xml:space="preserve"> </v>
          </cell>
          <cell r="AO192" t="str">
            <v xml:space="preserve"> </v>
          </cell>
          <cell r="AP192" t="str">
            <v xml:space="preserve"> </v>
          </cell>
          <cell r="AQ192" t="str">
            <v xml:space="preserve"> </v>
          </cell>
        </row>
        <row r="193">
          <cell r="A193" t="str">
            <v>FBG.......651500A</v>
          </cell>
          <cell r="B193" t="str">
            <v>2004T12</v>
          </cell>
          <cell r="C193" t="str">
            <v xml:space="preserve">TREND    </v>
          </cell>
          <cell r="D193" t="str">
            <v xml:space="preserve">Trend -  QTD Average/Activity                     </v>
          </cell>
          <cell r="E193" t="str">
            <v>Run: 08/07/03 14:02:44</v>
          </cell>
          <cell r="F193" t="str">
            <v>999</v>
          </cell>
          <cell r="G193" t="str">
            <v>100</v>
          </cell>
          <cell r="H193" t="str">
            <v xml:space="preserve">Bank Of America Management Reporting              </v>
          </cell>
          <cell r="I193" t="str">
            <v>001</v>
          </cell>
          <cell r="J193" t="str">
            <v>FBG.......</v>
          </cell>
          <cell r="K193" t="str">
            <v xml:space="preserve">Gcib Support-Tokyo Ops                            </v>
          </cell>
          <cell r="L193" t="str">
            <v xml:space="preserve"> </v>
          </cell>
          <cell r="M193" t="str">
            <v xml:space="preserve"> </v>
          </cell>
          <cell r="N193" t="str">
            <v>bamgt</v>
          </cell>
          <cell r="O193" t="str">
            <v>40</v>
          </cell>
          <cell r="P193" t="str">
            <v>600000A  651500A  999999999999999999999999999999999999999999999999999999</v>
          </cell>
          <cell r="Q193" t="str">
            <v xml:space="preserve">none     </v>
          </cell>
          <cell r="R193" t="str">
            <v>RollFCST-Working Version</v>
          </cell>
          <cell r="S193" t="str">
            <v>RollFCST-Working Version</v>
          </cell>
          <cell r="T193" t="str">
            <v xml:space="preserve"> </v>
          </cell>
          <cell r="U193" t="str">
            <v xml:space="preserve"> </v>
          </cell>
          <cell r="V193" t="str">
            <v>651500A</v>
          </cell>
          <cell r="W193" t="str">
            <v>2</v>
          </cell>
          <cell r="X193" t="str">
            <v xml:space="preserve">  Direct Processing Expense             </v>
          </cell>
          <cell r="Y193">
            <v>72</v>
          </cell>
          <cell r="Z193">
            <v>72.709999999999994</v>
          </cell>
          <cell r="AA193">
            <v>72</v>
          </cell>
          <cell r="AB193">
            <v>72</v>
          </cell>
          <cell r="AC193">
            <v>288.70999999999998</v>
          </cell>
          <cell r="AD193">
            <v>71.02</v>
          </cell>
          <cell r="AE193">
            <v>70.430000000000007</v>
          </cell>
          <cell r="AF193">
            <v>69.400000000000006</v>
          </cell>
          <cell r="AG193">
            <v>68.22</v>
          </cell>
          <cell r="AH193">
            <v>279.07</v>
          </cell>
          <cell r="AI193" t="str">
            <v xml:space="preserve">U.S. Dollar                   </v>
          </cell>
          <cell r="AJ193" t="str">
            <v xml:space="preserve"> </v>
          </cell>
          <cell r="AK193" t="str">
            <v xml:space="preserve"> </v>
          </cell>
          <cell r="AL193" t="str">
            <v xml:space="preserve"> </v>
          </cell>
          <cell r="AM193" t="str">
            <v xml:space="preserve"> </v>
          </cell>
          <cell r="AN193" t="str">
            <v xml:space="preserve"> </v>
          </cell>
          <cell r="AO193" t="str">
            <v xml:space="preserve"> </v>
          </cell>
          <cell r="AP193" t="str">
            <v xml:space="preserve"> </v>
          </cell>
          <cell r="AQ193" t="str">
            <v xml:space="preserve"> </v>
          </cell>
        </row>
        <row r="194">
          <cell r="A194" t="str">
            <v>FBG.......660000A</v>
          </cell>
          <cell r="B194" t="str">
            <v>2004T12</v>
          </cell>
          <cell r="C194" t="str">
            <v xml:space="preserve">TREND    </v>
          </cell>
          <cell r="D194" t="str">
            <v xml:space="preserve">Trend -  QTD Average/Activity                     </v>
          </cell>
          <cell r="E194" t="str">
            <v>Run: 08/07/03 14:02:44</v>
          </cell>
          <cell r="F194" t="str">
            <v>999</v>
          </cell>
          <cell r="G194" t="str">
            <v>100</v>
          </cell>
          <cell r="H194" t="str">
            <v xml:space="preserve">Bank Of America Management Reporting              </v>
          </cell>
          <cell r="I194" t="str">
            <v>001</v>
          </cell>
          <cell r="J194" t="str">
            <v>FBG.......</v>
          </cell>
          <cell r="K194" t="str">
            <v xml:space="preserve">Gcib Support-Tokyo Ops                            </v>
          </cell>
          <cell r="L194" t="str">
            <v xml:space="preserve"> </v>
          </cell>
          <cell r="M194" t="str">
            <v xml:space="preserve"> </v>
          </cell>
          <cell r="N194" t="str">
            <v>bamgt</v>
          </cell>
          <cell r="O194" t="str">
            <v>40</v>
          </cell>
          <cell r="P194" t="str">
            <v>600000A  660000A  999999999999999999999999999999999999999999999999999999</v>
          </cell>
          <cell r="Q194" t="str">
            <v xml:space="preserve">none     </v>
          </cell>
          <cell r="R194" t="str">
            <v>RollFCST-Working Version</v>
          </cell>
          <cell r="S194" t="str">
            <v>RollFCST-Working Version</v>
          </cell>
          <cell r="T194" t="str">
            <v xml:space="preserve"> </v>
          </cell>
          <cell r="U194" t="str">
            <v xml:space="preserve"> </v>
          </cell>
          <cell r="V194" t="str">
            <v>660000A</v>
          </cell>
          <cell r="W194" t="str">
            <v>2</v>
          </cell>
          <cell r="X194" t="str">
            <v xml:space="preserve">  Telecommunications                    </v>
          </cell>
          <cell r="Y194">
            <v>8.43</v>
          </cell>
          <cell r="Z194">
            <v>9.6999999999999993</v>
          </cell>
          <cell r="AA194">
            <v>6.24</v>
          </cell>
          <cell r="AB194">
            <v>6.24</v>
          </cell>
          <cell r="AC194">
            <v>30.61</v>
          </cell>
          <cell r="AD194">
            <v>5.92</v>
          </cell>
          <cell r="AE194">
            <v>5.87</v>
          </cell>
          <cell r="AF194">
            <v>5.79</v>
          </cell>
          <cell r="AG194">
            <v>5.68</v>
          </cell>
          <cell r="AH194">
            <v>23.26</v>
          </cell>
          <cell r="AI194" t="str">
            <v xml:space="preserve">U.S. Dollar                   </v>
          </cell>
          <cell r="AJ194" t="str">
            <v xml:space="preserve"> </v>
          </cell>
          <cell r="AK194" t="str">
            <v xml:space="preserve"> </v>
          </cell>
          <cell r="AL194" t="str">
            <v xml:space="preserve"> </v>
          </cell>
          <cell r="AM194" t="str">
            <v xml:space="preserve"> </v>
          </cell>
          <cell r="AN194" t="str">
            <v xml:space="preserve"> </v>
          </cell>
          <cell r="AO194" t="str">
            <v xml:space="preserve"> </v>
          </cell>
          <cell r="AP194" t="str">
            <v xml:space="preserve"> </v>
          </cell>
          <cell r="AQ194" t="str">
            <v xml:space="preserve"> </v>
          </cell>
        </row>
        <row r="195">
          <cell r="A195" t="str">
            <v>FBG.......663000</v>
          </cell>
          <cell r="B195" t="str">
            <v>2004T12</v>
          </cell>
          <cell r="C195" t="str">
            <v xml:space="preserve">TREND    </v>
          </cell>
          <cell r="D195" t="str">
            <v xml:space="preserve">Trend -  QTD Average/Activity                     </v>
          </cell>
          <cell r="E195" t="str">
            <v>Run: 08/07/03 14:02:44</v>
          </cell>
          <cell r="F195" t="str">
            <v>999</v>
          </cell>
          <cell r="G195" t="str">
            <v>100</v>
          </cell>
          <cell r="H195" t="str">
            <v xml:space="preserve">Bank Of America Management Reporting              </v>
          </cell>
          <cell r="I195" t="str">
            <v>001</v>
          </cell>
          <cell r="J195" t="str">
            <v>FBG.......</v>
          </cell>
          <cell r="K195" t="str">
            <v xml:space="preserve">Gcib Support-Tokyo Ops                            </v>
          </cell>
          <cell r="L195" t="str">
            <v xml:space="preserve"> </v>
          </cell>
          <cell r="M195" t="str">
            <v xml:space="preserve"> </v>
          </cell>
          <cell r="N195" t="str">
            <v>bamgt</v>
          </cell>
          <cell r="O195" t="str">
            <v>40</v>
          </cell>
          <cell r="P195" t="str">
            <v>600000A  662999B  662999C  663000   999999999999999999999999999999999999</v>
          </cell>
          <cell r="Q195" t="str">
            <v xml:space="preserve">none     </v>
          </cell>
          <cell r="R195" t="str">
            <v>RollFCST-Working Version</v>
          </cell>
          <cell r="S195" t="str">
            <v>RollFCST-Working Version</v>
          </cell>
          <cell r="T195" t="str">
            <v xml:space="preserve"> </v>
          </cell>
          <cell r="U195" t="str">
            <v xml:space="preserve"> </v>
          </cell>
          <cell r="V195" t="str">
            <v>663000</v>
          </cell>
          <cell r="W195" t="str">
            <v>4</v>
          </cell>
          <cell r="X195" t="str">
            <v xml:space="preserve">      Supplies                          </v>
          </cell>
          <cell r="Y195">
            <v>9</v>
          </cell>
          <cell r="Z195">
            <v>9</v>
          </cell>
          <cell r="AA195">
            <v>9</v>
          </cell>
          <cell r="AB195">
            <v>9</v>
          </cell>
          <cell r="AC195">
            <v>36</v>
          </cell>
          <cell r="AD195">
            <v>8.8800000000000008</v>
          </cell>
          <cell r="AE195">
            <v>8.81</v>
          </cell>
          <cell r="AF195">
            <v>8.67</v>
          </cell>
          <cell r="AG195">
            <v>8.52</v>
          </cell>
          <cell r="AH195">
            <v>34.880000000000003</v>
          </cell>
          <cell r="AI195" t="str">
            <v xml:space="preserve">U.S. Dollar                   </v>
          </cell>
          <cell r="AJ195" t="str">
            <v xml:space="preserve"> </v>
          </cell>
          <cell r="AK195" t="str">
            <v xml:space="preserve"> </v>
          </cell>
          <cell r="AL195" t="str">
            <v xml:space="preserve"> </v>
          </cell>
          <cell r="AM195" t="str">
            <v xml:space="preserve"> </v>
          </cell>
          <cell r="AN195" t="str">
            <v xml:space="preserve"> </v>
          </cell>
          <cell r="AO195" t="str">
            <v xml:space="preserve"> </v>
          </cell>
          <cell r="AP195" t="str">
            <v xml:space="preserve"> </v>
          </cell>
          <cell r="AQ195" t="str">
            <v xml:space="preserve"> </v>
          </cell>
        </row>
        <row r="196">
          <cell r="A196" t="str">
            <v>FBG.......664500</v>
          </cell>
          <cell r="B196" t="str">
            <v>2004T12</v>
          </cell>
          <cell r="C196" t="str">
            <v xml:space="preserve">TREND    </v>
          </cell>
          <cell r="D196" t="str">
            <v xml:space="preserve">Trend -  QTD Average/Activity                     </v>
          </cell>
          <cell r="E196" t="str">
            <v>Run: 08/07/03 14:02:44</v>
          </cell>
          <cell r="F196" t="str">
            <v>999</v>
          </cell>
          <cell r="G196" t="str">
            <v>100</v>
          </cell>
          <cell r="H196" t="str">
            <v xml:space="preserve">Bank Of America Management Reporting              </v>
          </cell>
          <cell r="I196" t="str">
            <v>001</v>
          </cell>
          <cell r="J196" t="str">
            <v>FBG.......</v>
          </cell>
          <cell r="K196" t="str">
            <v xml:space="preserve">Gcib Support-Tokyo Ops                            </v>
          </cell>
          <cell r="L196" t="str">
            <v xml:space="preserve"> </v>
          </cell>
          <cell r="M196" t="str">
            <v xml:space="preserve"> </v>
          </cell>
          <cell r="N196" t="str">
            <v>bamgt</v>
          </cell>
          <cell r="O196" t="str">
            <v>40</v>
          </cell>
          <cell r="P196" t="str">
            <v>600000A  662999B  662999C  664500   999999999999999999999999999999999999</v>
          </cell>
          <cell r="Q196" t="str">
            <v xml:space="preserve">none     </v>
          </cell>
          <cell r="R196" t="str">
            <v>RollFCST-Working Version</v>
          </cell>
          <cell r="S196" t="str">
            <v>RollFCST-Working Version</v>
          </cell>
          <cell r="T196" t="str">
            <v xml:space="preserve"> </v>
          </cell>
          <cell r="U196" t="str">
            <v xml:space="preserve"> </v>
          </cell>
          <cell r="V196" t="str">
            <v>664500</v>
          </cell>
          <cell r="W196" t="str">
            <v>4</v>
          </cell>
          <cell r="X196" t="str">
            <v xml:space="preserve">      Postage And Courier               </v>
          </cell>
          <cell r="Y196">
            <v>3</v>
          </cell>
          <cell r="Z196">
            <v>3</v>
          </cell>
          <cell r="AA196">
            <v>3</v>
          </cell>
          <cell r="AB196">
            <v>3</v>
          </cell>
          <cell r="AC196">
            <v>12</v>
          </cell>
          <cell r="AD196">
            <v>2.95</v>
          </cell>
          <cell r="AE196">
            <v>2.94</v>
          </cell>
          <cell r="AF196">
            <v>2.89</v>
          </cell>
          <cell r="AG196">
            <v>2.83</v>
          </cell>
          <cell r="AH196">
            <v>11.61</v>
          </cell>
          <cell r="AI196" t="str">
            <v xml:space="preserve">U.S. Dollar                   </v>
          </cell>
          <cell r="AJ196" t="str">
            <v xml:space="preserve"> </v>
          </cell>
          <cell r="AK196" t="str">
            <v xml:space="preserve"> </v>
          </cell>
          <cell r="AL196" t="str">
            <v xml:space="preserve"> </v>
          </cell>
          <cell r="AM196" t="str">
            <v xml:space="preserve"> </v>
          </cell>
          <cell r="AN196" t="str">
            <v xml:space="preserve"> </v>
          </cell>
          <cell r="AO196" t="str">
            <v xml:space="preserve"> </v>
          </cell>
          <cell r="AP196" t="str">
            <v xml:space="preserve"> </v>
          </cell>
          <cell r="AQ196" t="str">
            <v xml:space="preserve"> </v>
          </cell>
        </row>
        <row r="197">
          <cell r="A197" t="str">
            <v>FBG.......665499J</v>
          </cell>
          <cell r="B197" t="str">
            <v>2004T12</v>
          </cell>
          <cell r="C197" t="str">
            <v xml:space="preserve">TREND    </v>
          </cell>
          <cell r="D197" t="str">
            <v xml:space="preserve">Trend -  QTD Average/Activity                     </v>
          </cell>
          <cell r="E197" t="str">
            <v>Run: 08/07/03 14:02:44</v>
          </cell>
          <cell r="F197" t="str">
            <v>999</v>
          </cell>
          <cell r="G197" t="str">
            <v>100</v>
          </cell>
          <cell r="H197" t="str">
            <v xml:space="preserve">Bank Of America Management Reporting              </v>
          </cell>
          <cell r="I197" t="str">
            <v>001</v>
          </cell>
          <cell r="J197" t="str">
            <v>FBG.......</v>
          </cell>
          <cell r="K197" t="str">
            <v xml:space="preserve">Gcib Support-Tokyo Ops                            </v>
          </cell>
          <cell r="L197" t="str">
            <v xml:space="preserve"> </v>
          </cell>
          <cell r="M197" t="str">
            <v xml:space="preserve"> </v>
          </cell>
          <cell r="N197" t="str">
            <v>bamgt</v>
          </cell>
          <cell r="O197" t="str">
            <v>40</v>
          </cell>
          <cell r="P197" t="str">
            <v>600000A  662999B  662999C  665499B  665499D  665499H  665499J  999999999</v>
          </cell>
          <cell r="Q197" t="str">
            <v xml:space="preserve">none     </v>
          </cell>
          <cell r="R197" t="str">
            <v>RollFCST-Working Version</v>
          </cell>
          <cell r="S197" t="str">
            <v>RollFCST-Working Version</v>
          </cell>
          <cell r="T197" t="str">
            <v xml:space="preserve"> </v>
          </cell>
          <cell r="U197" t="str">
            <v xml:space="preserve"> </v>
          </cell>
          <cell r="V197" t="str">
            <v>665499J</v>
          </cell>
          <cell r="W197" t="str">
            <v>7</v>
          </cell>
          <cell r="X197" t="str">
            <v xml:space="preserve">            Employee Training &amp; Seminars</v>
          </cell>
          <cell r="Y197">
            <v>3</v>
          </cell>
          <cell r="Z197">
            <v>3</v>
          </cell>
          <cell r="AA197">
            <v>3</v>
          </cell>
          <cell r="AB197">
            <v>3</v>
          </cell>
          <cell r="AC197">
            <v>12</v>
          </cell>
          <cell r="AD197">
            <v>14.8</v>
          </cell>
          <cell r="AE197">
            <v>14.68</v>
          </cell>
          <cell r="AF197">
            <v>14.46</v>
          </cell>
          <cell r="AG197">
            <v>14.2</v>
          </cell>
          <cell r="AH197">
            <v>58.14</v>
          </cell>
          <cell r="AI197" t="str">
            <v xml:space="preserve">U.S. Dollar                   </v>
          </cell>
          <cell r="AJ197" t="str">
            <v xml:space="preserve"> </v>
          </cell>
          <cell r="AK197" t="str">
            <v xml:space="preserve"> </v>
          </cell>
          <cell r="AL197" t="str">
            <v xml:space="preserve"> </v>
          </cell>
          <cell r="AM197" t="str">
            <v xml:space="preserve"> </v>
          </cell>
          <cell r="AN197" t="str">
            <v xml:space="preserve"> </v>
          </cell>
          <cell r="AO197" t="str">
            <v xml:space="preserve"> </v>
          </cell>
          <cell r="AP197" t="str">
            <v xml:space="preserve"> </v>
          </cell>
          <cell r="AQ197" t="str">
            <v xml:space="preserve"> </v>
          </cell>
        </row>
        <row r="198">
          <cell r="A198" t="str">
            <v>FBG.......665499H</v>
          </cell>
          <cell r="B198" t="str">
            <v>2004T12</v>
          </cell>
          <cell r="C198" t="str">
            <v xml:space="preserve">TREND    </v>
          </cell>
          <cell r="D198" t="str">
            <v xml:space="preserve">Trend -  QTD Average/Activity                     </v>
          </cell>
          <cell r="E198" t="str">
            <v>Run: 08/07/03 14:02:44</v>
          </cell>
          <cell r="F198" t="str">
            <v>999</v>
          </cell>
          <cell r="G198" t="str">
            <v>100</v>
          </cell>
          <cell r="H198" t="str">
            <v xml:space="preserve">Bank Of America Management Reporting              </v>
          </cell>
          <cell r="I198" t="str">
            <v>001</v>
          </cell>
          <cell r="J198" t="str">
            <v>FBG.......</v>
          </cell>
          <cell r="K198" t="str">
            <v xml:space="preserve">Gcib Support-Tokyo Ops                            </v>
          </cell>
          <cell r="L198" t="str">
            <v xml:space="preserve"> </v>
          </cell>
          <cell r="M198" t="str">
            <v xml:space="preserve"> </v>
          </cell>
          <cell r="N198" t="str">
            <v>bamgt</v>
          </cell>
          <cell r="O198" t="str">
            <v>40</v>
          </cell>
          <cell r="P198" t="str">
            <v>600000A  662999B  662999C  665499B  665499D  665499H  999999999999999999</v>
          </cell>
          <cell r="Q198" t="str">
            <v xml:space="preserve">none     </v>
          </cell>
          <cell r="R198" t="str">
            <v>RollFCST-Working Version</v>
          </cell>
          <cell r="S198" t="str">
            <v>RollFCST-Working Version</v>
          </cell>
          <cell r="T198" t="str">
            <v xml:space="preserve"> </v>
          </cell>
          <cell r="U198" t="str">
            <v xml:space="preserve"> </v>
          </cell>
          <cell r="V198" t="str">
            <v>665499H</v>
          </cell>
          <cell r="W198" t="str">
            <v>6</v>
          </cell>
          <cell r="X198" t="str">
            <v xml:space="preserve">          Other Employee Expense        </v>
          </cell>
          <cell r="Y198">
            <v>3</v>
          </cell>
          <cell r="Z198">
            <v>3</v>
          </cell>
          <cell r="AA198">
            <v>3</v>
          </cell>
          <cell r="AB198">
            <v>3</v>
          </cell>
          <cell r="AC198">
            <v>12</v>
          </cell>
          <cell r="AD198">
            <v>14.8</v>
          </cell>
          <cell r="AE198">
            <v>14.68</v>
          </cell>
          <cell r="AF198">
            <v>14.46</v>
          </cell>
          <cell r="AG198">
            <v>14.2</v>
          </cell>
          <cell r="AH198">
            <v>58.14</v>
          </cell>
          <cell r="AI198" t="str">
            <v xml:space="preserve">U.S. Dollar                   </v>
          </cell>
          <cell r="AJ198" t="str">
            <v xml:space="preserve"> </v>
          </cell>
          <cell r="AK198" t="str">
            <v xml:space="preserve"> </v>
          </cell>
          <cell r="AL198" t="str">
            <v xml:space="preserve"> </v>
          </cell>
          <cell r="AM198" t="str">
            <v xml:space="preserve"> </v>
          </cell>
          <cell r="AN198" t="str">
            <v xml:space="preserve"> </v>
          </cell>
          <cell r="AO198" t="str">
            <v xml:space="preserve"> </v>
          </cell>
          <cell r="AP198" t="str">
            <v xml:space="preserve"> </v>
          </cell>
          <cell r="AQ198" t="str">
            <v xml:space="preserve"> </v>
          </cell>
        </row>
        <row r="199">
          <cell r="A199" t="str">
            <v>FBG.......665499D</v>
          </cell>
          <cell r="B199" t="str">
            <v>2004T12</v>
          </cell>
          <cell r="C199" t="str">
            <v xml:space="preserve">TREND    </v>
          </cell>
          <cell r="D199" t="str">
            <v xml:space="preserve">Trend -  QTD Average/Activity                     </v>
          </cell>
          <cell r="E199" t="str">
            <v>Run: 08/07/03 14:02:44</v>
          </cell>
          <cell r="F199" t="str">
            <v>999</v>
          </cell>
          <cell r="G199" t="str">
            <v>100</v>
          </cell>
          <cell r="H199" t="str">
            <v xml:space="preserve">Bank Of America Management Reporting              </v>
          </cell>
          <cell r="I199" t="str">
            <v>001</v>
          </cell>
          <cell r="J199" t="str">
            <v>FBG.......</v>
          </cell>
          <cell r="K199" t="str">
            <v xml:space="preserve">Gcib Support-Tokyo Ops                            </v>
          </cell>
          <cell r="L199" t="str">
            <v xml:space="preserve"> </v>
          </cell>
          <cell r="M199" t="str">
            <v xml:space="preserve"> </v>
          </cell>
          <cell r="N199" t="str">
            <v>bamgt</v>
          </cell>
          <cell r="O199" t="str">
            <v>40</v>
          </cell>
          <cell r="P199" t="str">
            <v>600000A  662999B  662999C  665499B  665499D  999999999999999999999999999</v>
          </cell>
          <cell r="Q199" t="str">
            <v xml:space="preserve">none     </v>
          </cell>
          <cell r="R199" t="str">
            <v>RollFCST-Working Version</v>
          </cell>
          <cell r="S199" t="str">
            <v>RollFCST-Working Version</v>
          </cell>
          <cell r="T199" t="str">
            <v xml:space="preserve"> </v>
          </cell>
          <cell r="U199" t="str">
            <v xml:space="preserve"> </v>
          </cell>
          <cell r="V199" t="str">
            <v>665499D</v>
          </cell>
          <cell r="W199" t="str">
            <v>5</v>
          </cell>
          <cell r="X199" t="str">
            <v xml:space="preserve">        Employee Expense                </v>
          </cell>
          <cell r="Y199">
            <v>3</v>
          </cell>
          <cell r="Z199">
            <v>3</v>
          </cell>
          <cell r="AA199">
            <v>3</v>
          </cell>
          <cell r="AB199">
            <v>3</v>
          </cell>
          <cell r="AC199">
            <v>12</v>
          </cell>
          <cell r="AD199">
            <v>14.8</v>
          </cell>
          <cell r="AE199">
            <v>14.68</v>
          </cell>
          <cell r="AF199">
            <v>14.46</v>
          </cell>
          <cell r="AG199">
            <v>14.2</v>
          </cell>
          <cell r="AH199">
            <v>58.14</v>
          </cell>
          <cell r="AI199" t="str">
            <v xml:space="preserve">U.S. Dollar                   </v>
          </cell>
          <cell r="AJ199" t="str">
            <v xml:space="preserve"> </v>
          </cell>
          <cell r="AK199" t="str">
            <v xml:space="preserve"> </v>
          </cell>
          <cell r="AL199" t="str">
            <v xml:space="preserve"> </v>
          </cell>
          <cell r="AM199" t="str">
            <v xml:space="preserve"> </v>
          </cell>
          <cell r="AN199" t="str">
            <v xml:space="preserve"> </v>
          </cell>
          <cell r="AO199" t="str">
            <v xml:space="preserve"> </v>
          </cell>
          <cell r="AP199" t="str">
            <v xml:space="preserve"> </v>
          </cell>
          <cell r="AQ199" t="str">
            <v xml:space="preserve"> </v>
          </cell>
        </row>
        <row r="200">
          <cell r="A200" t="str">
            <v>FBG.......665499B</v>
          </cell>
          <cell r="B200" t="str">
            <v>2004T12</v>
          </cell>
          <cell r="C200" t="str">
            <v xml:space="preserve">TREND    </v>
          </cell>
          <cell r="D200" t="str">
            <v xml:space="preserve">Trend -  QTD Average/Activity                     </v>
          </cell>
          <cell r="E200" t="str">
            <v>Run: 08/07/03 14:02:44</v>
          </cell>
          <cell r="F200" t="str">
            <v>999</v>
          </cell>
          <cell r="G200" t="str">
            <v>100</v>
          </cell>
          <cell r="H200" t="str">
            <v xml:space="preserve">Bank Of America Management Reporting              </v>
          </cell>
          <cell r="I200" t="str">
            <v>001</v>
          </cell>
          <cell r="J200" t="str">
            <v>FBG.......</v>
          </cell>
          <cell r="K200" t="str">
            <v xml:space="preserve">Gcib Support-Tokyo Ops                            </v>
          </cell>
          <cell r="L200" t="str">
            <v xml:space="preserve"> </v>
          </cell>
          <cell r="M200" t="str">
            <v xml:space="preserve"> </v>
          </cell>
          <cell r="N200" t="str">
            <v>bamgt</v>
          </cell>
          <cell r="O200" t="str">
            <v>40</v>
          </cell>
          <cell r="P200" t="str">
            <v>600000A  662999B  662999C  665499B  999999999999999999999999999999999999</v>
          </cell>
          <cell r="Q200" t="str">
            <v xml:space="preserve">none     </v>
          </cell>
          <cell r="R200" t="str">
            <v>RollFCST-Working Version</v>
          </cell>
          <cell r="S200" t="str">
            <v>RollFCST-Working Version</v>
          </cell>
          <cell r="T200" t="str">
            <v xml:space="preserve"> </v>
          </cell>
          <cell r="U200" t="str">
            <v xml:space="preserve"> </v>
          </cell>
          <cell r="V200" t="str">
            <v>665499B</v>
          </cell>
          <cell r="W200" t="str">
            <v>4</v>
          </cell>
          <cell r="X200" t="str">
            <v xml:space="preserve">      Other Operating Expense           </v>
          </cell>
          <cell r="Y200">
            <v>12</v>
          </cell>
          <cell r="Z200">
            <v>13</v>
          </cell>
          <cell r="AA200">
            <v>98</v>
          </cell>
          <cell r="AB200">
            <v>12</v>
          </cell>
          <cell r="AC200">
            <v>135</v>
          </cell>
          <cell r="AD200">
            <v>14.8</v>
          </cell>
          <cell r="AE200">
            <v>14.68</v>
          </cell>
          <cell r="AF200">
            <v>14.46</v>
          </cell>
          <cell r="AG200">
            <v>14.2</v>
          </cell>
          <cell r="AH200">
            <v>58.14</v>
          </cell>
          <cell r="AI200" t="str">
            <v xml:space="preserve">U.S. Dollar                   </v>
          </cell>
          <cell r="AJ200" t="str">
            <v xml:space="preserve"> </v>
          </cell>
          <cell r="AK200" t="str">
            <v xml:space="preserve"> </v>
          </cell>
          <cell r="AL200" t="str">
            <v xml:space="preserve"> </v>
          </cell>
          <cell r="AM200" t="str">
            <v xml:space="preserve"> </v>
          </cell>
          <cell r="AN200" t="str">
            <v xml:space="preserve"> </v>
          </cell>
          <cell r="AO200" t="str">
            <v xml:space="preserve"> </v>
          </cell>
          <cell r="AP200" t="str">
            <v xml:space="preserve"> </v>
          </cell>
          <cell r="AQ200" t="str">
            <v xml:space="preserve"> </v>
          </cell>
        </row>
        <row r="201">
          <cell r="A201" t="str">
            <v>FBG.......670200</v>
          </cell>
          <cell r="B201" t="str">
            <v>2004T12</v>
          </cell>
          <cell r="C201" t="str">
            <v xml:space="preserve">TREND    </v>
          </cell>
          <cell r="D201" t="str">
            <v xml:space="preserve">Trend -  QTD Average/Activity                     </v>
          </cell>
          <cell r="E201" t="str">
            <v>Run: 08/07/03 14:02:44</v>
          </cell>
          <cell r="F201" t="str">
            <v>999</v>
          </cell>
          <cell r="G201" t="str">
            <v>100</v>
          </cell>
          <cell r="H201" t="str">
            <v xml:space="preserve">Bank Of America Management Reporting              </v>
          </cell>
          <cell r="I201" t="str">
            <v>001</v>
          </cell>
          <cell r="J201" t="str">
            <v>FBG.......</v>
          </cell>
          <cell r="K201" t="str">
            <v xml:space="preserve">Gcib Support-Tokyo Ops                            </v>
          </cell>
          <cell r="L201" t="str">
            <v xml:space="preserve"> </v>
          </cell>
          <cell r="M201" t="str">
            <v xml:space="preserve"> </v>
          </cell>
          <cell r="N201" t="str">
            <v>bamgt</v>
          </cell>
          <cell r="O201" t="str">
            <v>40</v>
          </cell>
          <cell r="P201" t="str">
            <v>600000A  662999B  670000B  670200   999999999999999999999999999999999999</v>
          </cell>
          <cell r="Q201" t="str">
            <v xml:space="preserve">none     </v>
          </cell>
          <cell r="R201" t="str">
            <v>RollFCST-Working Version</v>
          </cell>
          <cell r="S201" t="str">
            <v>RollFCST-Working Version</v>
          </cell>
          <cell r="T201" t="str">
            <v xml:space="preserve"> </v>
          </cell>
          <cell r="U201" t="str">
            <v xml:space="preserve"> </v>
          </cell>
          <cell r="V201" t="str">
            <v>670200</v>
          </cell>
          <cell r="W201" t="str">
            <v>4</v>
          </cell>
          <cell r="X201" t="str">
            <v xml:space="preserve">      Travel                            </v>
          </cell>
          <cell r="Y201">
            <v>6</v>
          </cell>
          <cell r="Z201">
            <v>6</v>
          </cell>
          <cell r="AA201">
            <v>6</v>
          </cell>
          <cell r="AB201">
            <v>6</v>
          </cell>
          <cell r="AC201">
            <v>24</v>
          </cell>
          <cell r="AD201">
            <v>3.95</v>
          </cell>
          <cell r="AE201">
            <v>3.92</v>
          </cell>
          <cell r="AF201">
            <v>3.87</v>
          </cell>
          <cell r="AG201">
            <v>3.79</v>
          </cell>
          <cell r="AH201">
            <v>15.53</v>
          </cell>
          <cell r="AI201" t="str">
            <v xml:space="preserve">U.S. Dollar                   </v>
          </cell>
          <cell r="AJ201" t="str">
            <v xml:space="preserve"> </v>
          </cell>
          <cell r="AK201" t="str">
            <v xml:space="preserve"> </v>
          </cell>
          <cell r="AL201" t="str">
            <v xml:space="preserve"> </v>
          </cell>
          <cell r="AM201" t="str">
            <v xml:space="preserve"> </v>
          </cell>
          <cell r="AN201" t="str">
            <v xml:space="preserve"> </v>
          </cell>
          <cell r="AO201" t="str">
            <v xml:space="preserve"> </v>
          </cell>
          <cell r="AP201" t="str">
            <v xml:space="preserve"> </v>
          </cell>
          <cell r="AQ201" t="str">
            <v xml:space="preserve"> </v>
          </cell>
        </row>
        <row r="202">
          <cell r="A202" t="str">
            <v>FBG.......670800</v>
          </cell>
          <cell r="B202" t="str">
            <v>2004T12</v>
          </cell>
          <cell r="C202" t="str">
            <v xml:space="preserve">TREND    </v>
          </cell>
          <cell r="D202" t="str">
            <v xml:space="preserve">Trend -  QTD Average/Activity                     </v>
          </cell>
          <cell r="E202" t="str">
            <v>Run: 08/07/03 14:02:44</v>
          </cell>
          <cell r="F202" t="str">
            <v>999</v>
          </cell>
          <cell r="G202" t="str">
            <v>100</v>
          </cell>
          <cell r="H202" t="str">
            <v xml:space="preserve">Bank Of America Management Reporting              </v>
          </cell>
          <cell r="I202" t="str">
            <v>001</v>
          </cell>
          <cell r="J202" t="str">
            <v>FBG.......</v>
          </cell>
          <cell r="K202" t="str">
            <v xml:space="preserve">Gcib Support-Tokyo Ops                            </v>
          </cell>
          <cell r="L202" t="str">
            <v xml:space="preserve"> </v>
          </cell>
          <cell r="M202" t="str">
            <v xml:space="preserve"> </v>
          </cell>
          <cell r="N202" t="str">
            <v>bamgt</v>
          </cell>
          <cell r="O202" t="str">
            <v>40</v>
          </cell>
          <cell r="P202" t="str">
            <v>600000A  662999B  670000B  670800   999999999999999999999999999999999999</v>
          </cell>
          <cell r="Q202" t="str">
            <v xml:space="preserve">none     </v>
          </cell>
          <cell r="R202" t="str">
            <v>RollFCST-Working Version</v>
          </cell>
          <cell r="S202" t="str">
            <v>RollFCST-Working Version</v>
          </cell>
          <cell r="T202" t="str">
            <v xml:space="preserve"> </v>
          </cell>
          <cell r="U202" t="str">
            <v xml:space="preserve"> </v>
          </cell>
          <cell r="V202" t="str">
            <v>670800</v>
          </cell>
          <cell r="W202" t="str">
            <v>4</v>
          </cell>
          <cell r="X202" t="str">
            <v xml:space="preserve">      Taxes Other Than Income           </v>
          </cell>
          <cell r="Y202">
            <v>0</v>
          </cell>
          <cell r="Z202">
            <v>0</v>
          </cell>
          <cell r="AA202">
            <v>0</v>
          </cell>
          <cell r="AB202">
            <v>0</v>
          </cell>
          <cell r="AC202">
            <v>0</v>
          </cell>
          <cell r="AD202">
            <v>34.43</v>
          </cell>
          <cell r="AE202">
            <v>0</v>
          </cell>
          <cell r="AF202">
            <v>34.840000000000003</v>
          </cell>
          <cell r="AG202">
            <v>0</v>
          </cell>
          <cell r="AH202">
            <v>69.27</v>
          </cell>
          <cell r="AI202" t="str">
            <v xml:space="preserve">U.S. Dollar                   </v>
          </cell>
          <cell r="AJ202" t="str">
            <v xml:space="preserve"> </v>
          </cell>
          <cell r="AK202" t="str">
            <v xml:space="preserve"> </v>
          </cell>
          <cell r="AL202" t="str">
            <v xml:space="preserve"> </v>
          </cell>
          <cell r="AM202" t="str">
            <v xml:space="preserve"> </v>
          </cell>
          <cell r="AN202" t="str">
            <v xml:space="preserve"> </v>
          </cell>
          <cell r="AO202" t="str">
            <v xml:space="preserve"> </v>
          </cell>
          <cell r="AP202" t="str">
            <v xml:space="preserve"> </v>
          </cell>
          <cell r="AQ202" t="str">
            <v xml:space="preserve"> </v>
          </cell>
        </row>
        <row r="203">
          <cell r="A203" t="str">
            <v>FBG.......671200</v>
          </cell>
          <cell r="B203" t="str">
            <v>2004T12</v>
          </cell>
          <cell r="C203" t="str">
            <v xml:space="preserve">TREND    </v>
          </cell>
          <cell r="D203" t="str">
            <v xml:space="preserve">Trend -  QTD Average/Activity                     </v>
          </cell>
          <cell r="E203" t="str">
            <v>Run: 08/07/03 14:02:44</v>
          </cell>
          <cell r="F203" t="str">
            <v>999</v>
          </cell>
          <cell r="G203" t="str">
            <v>100</v>
          </cell>
          <cell r="H203" t="str">
            <v xml:space="preserve">Bank Of America Management Reporting              </v>
          </cell>
          <cell r="I203" t="str">
            <v>001</v>
          </cell>
          <cell r="J203" t="str">
            <v>FBG.......</v>
          </cell>
          <cell r="K203" t="str">
            <v xml:space="preserve">Gcib Support-Tokyo Ops                            </v>
          </cell>
          <cell r="L203" t="str">
            <v xml:space="preserve"> </v>
          </cell>
          <cell r="M203" t="str">
            <v xml:space="preserve"> </v>
          </cell>
          <cell r="N203" t="str">
            <v>bamgt</v>
          </cell>
          <cell r="O203" t="str">
            <v>40</v>
          </cell>
          <cell r="P203" t="str">
            <v>600000A  662999B  670000B  671200   999999999999999999999999999999999999</v>
          </cell>
          <cell r="Q203" t="str">
            <v xml:space="preserve">none     </v>
          </cell>
          <cell r="R203" t="str">
            <v>RollFCST-Working Version</v>
          </cell>
          <cell r="S203" t="str">
            <v>RollFCST-Working Version</v>
          </cell>
          <cell r="T203" t="str">
            <v xml:space="preserve"> </v>
          </cell>
          <cell r="U203" t="str">
            <v xml:space="preserve"> </v>
          </cell>
          <cell r="V203" t="str">
            <v>671200</v>
          </cell>
          <cell r="W203" t="str">
            <v>4</v>
          </cell>
          <cell r="X203" t="str">
            <v xml:space="preserve">      Subscription Services             </v>
          </cell>
          <cell r="Y203">
            <v>15</v>
          </cell>
          <cell r="Z203">
            <v>-20.03</v>
          </cell>
          <cell r="AA203">
            <v>15</v>
          </cell>
          <cell r="AB203">
            <v>15</v>
          </cell>
          <cell r="AC203">
            <v>24.97</v>
          </cell>
          <cell r="AD203">
            <v>14.75</v>
          </cell>
          <cell r="AE203">
            <v>15.61</v>
          </cell>
          <cell r="AF203">
            <v>15.36</v>
          </cell>
          <cell r="AG203">
            <v>15.12</v>
          </cell>
          <cell r="AH203">
            <v>60.84</v>
          </cell>
          <cell r="AI203" t="str">
            <v xml:space="preserve">U.S. Dollar                   </v>
          </cell>
          <cell r="AJ203" t="str">
            <v xml:space="preserve"> </v>
          </cell>
          <cell r="AK203" t="str">
            <v xml:space="preserve"> </v>
          </cell>
          <cell r="AL203" t="str">
            <v xml:space="preserve"> </v>
          </cell>
          <cell r="AM203" t="str">
            <v xml:space="preserve"> </v>
          </cell>
          <cell r="AN203" t="str">
            <v xml:space="preserve"> </v>
          </cell>
          <cell r="AO203" t="str">
            <v xml:space="preserve"> </v>
          </cell>
          <cell r="AP203" t="str">
            <v xml:space="preserve"> </v>
          </cell>
          <cell r="AQ203" t="str">
            <v xml:space="preserve"> </v>
          </cell>
        </row>
        <row r="204">
          <cell r="A204" t="str">
            <v>FBG.......671500</v>
          </cell>
          <cell r="B204" t="str">
            <v>2004T12</v>
          </cell>
          <cell r="C204" t="str">
            <v xml:space="preserve">TREND    </v>
          </cell>
          <cell r="D204" t="str">
            <v xml:space="preserve">Trend -  QTD Average/Activity                     </v>
          </cell>
          <cell r="E204" t="str">
            <v>Run: 08/07/03 14:02:44</v>
          </cell>
          <cell r="F204" t="str">
            <v>999</v>
          </cell>
          <cell r="G204" t="str">
            <v>100</v>
          </cell>
          <cell r="H204" t="str">
            <v xml:space="preserve">Bank Of America Management Reporting              </v>
          </cell>
          <cell r="I204" t="str">
            <v>001</v>
          </cell>
          <cell r="J204" t="str">
            <v>FBG.......</v>
          </cell>
          <cell r="K204" t="str">
            <v xml:space="preserve">Gcib Support-Tokyo Ops                            </v>
          </cell>
          <cell r="L204" t="str">
            <v xml:space="preserve"> </v>
          </cell>
          <cell r="M204" t="str">
            <v xml:space="preserve"> </v>
          </cell>
          <cell r="N204" t="str">
            <v>bamgt</v>
          </cell>
          <cell r="O204" t="str">
            <v>40</v>
          </cell>
          <cell r="P204" t="str">
            <v>600000A  662999B  670000B  671500   999999999999999999999999999999999999</v>
          </cell>
          <cell r="Q204" t="str">
            <v xml:space="preserve">none     </v>
          </cell>
          <cell r="R204" t="str">
            <v>RollFCST-Working Version</v>
          </cell>
          <cell r="S204" t="str">
            <v>RollFCST-Working Version</v>
          </cell>
          <cell r="T204" t="str">
            <v xml:space="preserve"> </v>
          </cell>
          <cell r="U204" t="str">
            <v xml:space="preserve"> </v>
          </cell>
          <cell r="V204" t="str">
            <v>671500</v>
          </cell>
          <cell r="W204" t="str">
            <v>4</v>
          </cell>
          <cell r="X204" t="str">
            <v xml:space="preserve">      Other Administrative Expenses     </v>
          </cell>
          <cell r="Y204">
            <v>3</v>
          </cell>
          <cell r="Z204">
            <v>3</v>
          </cell>
          <cell r="AA204">
            <v>3</v>
          </cell>
          <cell r="AB204">
            <v>3</v>
          </cell>
          <cell r="AC204">
            <v>12</v>
          </cell>
          <cell r="AD204">
            <v>1.97</v>
          </cell>
          <cell r="AE204">
            <v>1.96</v>
          </cell>
          <cell r="AF204">
            <v>0.96</v>
          </cell>
          <cell r="AG204">
            <v>1.89</v>
          </cell>
          <cell r="AH204">
            <v>6.78</v>
          </cell>
          <cell r="AI204" t="str">
            <v xml:space="preserve">U.S. Dollar                   </v>
          </cell>
          <cell r="AJ204" t="str">
            <v xml:space="preserve"> </v>
          </cell>
          <cell r="AK204" t="str">
            <v xml:space="preserve"> </v>
          </cell>
          <cell r="AL204" t="str">
            <v xml:space="preserve"> </v>
          </cell>
          <cell r="AM204" t="str">
            <v xml:space="preserve"> </v>
          </cell>
          <cell r="AN204" t="str">
            <v xml:space="preserve"> </v>
          </cell>
          <cell r="AO204" t="str">
            <v xml:space="preserve"> </v>
          </cell>
          <cell r="AP204" t="str">
            <v xml:space="preserve"> </v>
          </cell>
          <cell r="AQ204" t="str">
            <v xml:space="preserve"> </v>
          </cell>
        </row>
        <row r="205">
          <cell r="A205" t="str">
            <v>FBG.......675000</v>
          </cell>
          <cell r="B205" t="str">
            <v>2004T12</v>
          </cell>
          <cell r="C205" t="str">
            <v xml:space="preserve">TREND    </v>
          </cell>
          <cell r="D205" t="str">
            <v xml:space="preserve">Trend -  QTD Average/Activity                     </v>
          </cell>
          <cell r="E205" t="str">
            <v>Run: 08/07/03 14:02:44</v>
          </cell>
          <cell r="F205" t="str">
            <v>999</v>
          </cell>
          <cell r="G205" t="str">
            <v>100</v>
          </cell>
          <cell r="H205" t="str">
            <v xml:space="preserve">Bank Of America Management Reporting              </v>
          </cell>
          <cell r="I205" t="str">
            <v>001</v>
          </cell>
          <cell r="J205" t="str">
            <v>FBG.......</v>
          </cell>
          <cell r="K205" t="str">
            <v xml:space="preserve">Gcib Support-Tokyo Ops                            </v>
          </cell>
          <cell r="L205" t="str">
            <v xml:space="preserve"> </v>
          </cell>
          <cell r="M205" t="str">
            <v xml:space="preserve"> </v>
          </cell>
          <cell r="N205" t="str">
            <v>bamgt</v>
          </cell>
          <cell r="O205" t="str">
            <v>40</v>
          </cell>
          <cell r="P205" t="str">
            <v>600000A  675000   999999999999999999999999999999999999999999999999999999</v>
          </cell>
          <cell r="Q205" t="str">
            <v xml:space="preserve">none     </v>
          </cell>
          <cell r="R205" t="str">
            <v>RollFCST-Working Version</v>
          </cell>
          <cell r="S205" t="str">
            <v>RollFCST-Working Version</v>
          </cell>
          <cell r="T205" t="str">
            <v xml:space="preserve"> </v>
          </cell>
          <cell r="U205" t="str">
            <v xml:space="preserve"> </v>
          </cell>
          <cell r="V205" t="str">
            <v>675000</v>
          </cell>
          <cell r="W205" t="str">
            <v>2</v>
          </cell>
          <cell r="X205" t="str">
            <v xml:space="preserve">  Intercompany Expense                  </v>
          </cell>
          <cell r="Y205">
            <v>0</v>
          </cell>
          <cell r="Z205">
            <v>-0.46</v>
          </cell>
          <cell r="AA205">
            <v>0</v>
          </cell>
          <cell r="AB205">
            <v>0</v>
          </cell>
          <cell r="AC205">
            <v>-0.46</v>
          </cell>
          <cell r="AD205">
            <v>0</v>
          </cell>
          <cell r="AE205">
            <v>0</v>
          </cell>
          <cell r="AF205">
            <v>0</v>
          </cell>
          <cell r="AG205">
            <v>0</v>
          </cell>
          <cell r="AH205">
            <v>0</v>
          </cell>
          <cell r="AI205" t="str">
            <v xml:space="preserve">U.S. Dollar                   </v>
          </cell>
          <cell r="AJ205" t="str">
            <v xml:space="preserve"> </v>
          </cell>
          <cell r="AK205" t="str">
            <v xml:space="preserve"> </v>
          </cell>
          <cell r="AL205" t="str">
            <v xml:space="preserve"> </v>
          </cell>
          <cell r="AM205" t="str">
            <v xml:space="preserve"> </v>
          </cell>
          <cell r="AN205" t="str">
            <v xml:space="preserve"> </v>
          </cell>
          <cell r="AO205" t="str">
            <v xml:space="preserve"> </v>
          </cell>
          <cell r="AP205" t="str">
            <v xml:space="preserve"> </v>
          </cell>
          <cell r="AQ205" t="str">
            <v xml:space="preserve"> </v>
          </cell>
        </row>
        <row r="206">
          <cell r="A206" t="str">
            <v>FBG.......NIEBA-B</v>
          </cell>
          <cell r="B206" t="str">
            <v>2004T12</v>
          </cell>
          <cell r="C206" t="str">
            <v xml:space="preserve">TREND    </v>
          </cell>
          <cell r="D206" t="str">
            <v xml:space="preserve">Trend -  QTD Average/Activity                     </v>
          </cell>
          <cell r="E206" t="str">
            <v>Run: 08/07/03 14:02:44</v>
          </cell>
          <cell r="F206" t="str">
            <v>999</v>
          </cell>
          <cell r="G206" t="str">
            <v>100</v>
          </cell>
          <cell r="H206" t="str">
            <v xml:space="preserve">Bank Of America Management Reporting              </v>
          </cell>
          <cell r="I206" t="str">
            <v>001</v>
          </cell>
          <cell r="J206" t="str">
            <v>FBG.......</v>
          </cell>
          <cell r="K206" t="str">
            <v xml:space="preserve">Gcib Support-Tokyo Ops                            </v>
          </cell>
          <cell r="L206" t="str">
            <v xml:space="preserve"> </v>
          </cell>
          <cell r="M206" t="str">
            <v xml:space="preserve"> </v>
          </cell>
          <cell r="N206" t="str">
            <v>bamgt</v>
          </cell>
          <cell r="O206" t="str">
            <v>40</v>
          </cell>
          <cell r="P206" t="str">
            <v xml:space="preserve">600000A  675000A  999999999999999999999999999NIEBA-B                    </v>
          </cell>
          <cell r="Q206" t="str">
            <v xml:space="preserve">none     </v>
          </cell>
          <cell r="R206" t="str">
            <v>RollFCST-Working Version</v>
          </cell>
          <cell r="S206" t="str">
            <v>RollFCST-Working Version</v>
          </cell>
          <cell r="T206" t="str">
            <v xml:space="preserve"> </v>
          </cell>
          <cell r="U206" t="str">
            <v xml:space="preserve"> </v>
          </cell>
          <cell r="V206" t="str">
            <v>NIEBA-B</v>
          </cell>
          <cell r="W206" t="str">
            <v>0</v>
          </cell>
          <cell r="X206" t="str">
            <v xml:space="preserve">Sub-Tot Non Int Exp Before Cost         </v>
          </cell>
          <cell r="Y206">
            <v>1353.23</v>
          </cell>
          <cell r="Z206">
            <v>1174.77</v>
          </cell>
          <cell r="AA206">
            <v>1325.72</v>
          </cell>
          <cell r="AB206">
            <v>1239.04</v>
          </cell>
          <cell r="AC206">
            <v>5092.76</v>
          </cell>
          <cell r="AD206">
            <v>1264.02685</v>
          </cell>
          <cell r="AE206">
            <v>1247.9145000000001</v>
          </cell>
          <cell r="AF206">
            <v>1281.2189499999999</v>
          </cell>
          <cell r="AG206">
            <v>1228.3687</v>
          </cell>
          <cell r="AH206">
            <v>5021.5290000000005</v>
          </cell>
          <cell r="AI206" t="str">
            <v xml:space="preserve">U.S. Dollar                   </v>
          </cell>
          <cell r="AJ206" t="str">
            <v xml:space="preserve"> </v>
          </cell>
          <cell r="AK206" t="str">
            <v xml:space="preserve"> </v>
          </cell>
          <cell r="AL206" t="str">
            <v xml:space="preserve"> </v>
          </cell>
          <cell r="AM206" t="str">
            <v xml:space="preserve"> </v>
          </cell>
          <cell r="AN206" t="str">
            <v xml:space="preserve"> </v>
          </cell>
          <cell r="AO206" t="str">
            <v xml:space="preserve"> </v>
          </cell>
          <cell r="AP206" t="str">
            <v xml:space="preserve"> </v>
          </cell>
          <cell r="AQ206" t="str">
            <v xml:space="preserve"> </v>
          </cell>
        </row>
        <row r="207">
          <cell r="A207" t="str">
            <v>FBH.......600300</v>
          </cell>
          <cell r="B207" t="str">
            <v>2004T12</v>
          </cell>
          <cell r="C207" t="str">
            <v xml:space="preserve">TREND    </v>
          </cell>
          <cell r="D207" t="str">
            <v xml:space="preserve">Trend -  QTD Average/Activity                     </v>
          </cell>
          <cell r="E207" t="str">
            <v>Run: 08/07/03 14:02:44</v>
          </cell>
          <cell r="F207" t="str">
            <v>999</v>
          </cell>
          <cell r="G207" t="str">
            <v>100</v>
          </cell>
          <cell r="H207" t="str">
            <v xml:space="preserve">Bank Of America Management Reporting              </v>
          </cell>
          <cell r="I207" t="str">
            <v>001</v>
          </cell>
          <cell r="J207" t="str">
            <v>FBH.......</v>
          </cell>
          <cell r="K207" t="str">
            <v xml:space="preserve">Cash Securities Technology                        </v>
          </cell>
          <cell r="L207" t="str">
            <v xml:space="preserve"> </v>
          </cell>
          <cell r="M207" t="str">
            <v xml:space="preserve"> </v>
          </cell>
          <cell r="N207" t="str">
            <v>bamgt</v>
          </cell>
          <cell r="O207" t="str">
            <v>40</v>
          </cell>
          <cell r="P207" t="str">
            <v>600000A  600250   999999999600300   999999999999999999999999999999999999</v>
          </cell>
          <cell r="Q207" t="str">
            <v xml:space="preserve">none     </v>
          </cell>
          <cell r="R207" t="str">
            <v>RollFCST-Working Version</v>
          </cell>
          <cell r="S207" t="str">
            <v>RollFCST-Working Version</v>
          </cell>
          <cell r="T207" t="str">
            <v xml:space="preserve"> </v>
          </cell>
          <cell r="U207" t="str">
            <v xml:space="preserve"> </v>
          </cell>
          <cell r="V207" t="str">
            <v>600300</v>
          </cell>
          <cell r="W207" t="str">
            <v>4</v>
          </cell>
          <cell r="X207" t="str">
            <v xml:space="preserve">      Salaries &amp; Wages                  </v>
          </cell>
          <cell r="Y207">
            <v>2417.8200000000002</v>
          </cell>
          <cell r="Z207">
            <v>2434.2199999999998</v>
          </cell>
          <cell r="AA207">
            <v>2738.68</v>
          </cell>
          <cell r="AB207">
            <v>2729.68</v>
          </cell>
          <cell r="AC207">
            <v>10320.4</v>
          </cell>
          <cell r="AD207">
            <v>2433</v>
          </cell>
          <cell r="AE207">
            <v>2529</v>
          </cell>
          <cell r="AF207">
            <v>2574</v>
          </cell>
          <cell r="AG207">
            <v>2574</v>
          </cell>
          <cell r="AH207">
            <v>10110</v>
          </cell>
          <cell r="AI207" t="str">
            <v xml:space="preserve">U.S. Dollar                   </v>
          </cell>
          <cell r="AJ207" t="str">
            <v xml:space="preserve"> </v>
          </cell>
          <cell r="AK207" t="str">
            <v xml:space="preserve"> </v>
          </cell>
          <cell r="AL207" t="str">
            <v xml:space="preserve"> </v>
          </cell>
          <cell r="AM207" t="str">
            <v xml:space="preserve"> </v>
          </cell>
          <cell r="AN207" t="str">
            <v xml:space="preserve"> </v>
          </cell>
          <cell r="AO207" t="str">
            <v xml:space="preserve"> </v>
          </cell>
          <cell r="AP207" t="str">
            <v xml:space="preserve"> </v>
          </cell>
          <cell r="AQ207" t="str">
            <v xml:space="preserve"> </v>
          </cell>
        </row>
        <row r="208">
          <cell r="A208" t="str">
            <v>FBH.......601000</v>
          </cell>
          <cell r="B208" t="str">
            <v>2004T12</v>
          </cell>
          <cell r="C208" t="str">
            <v xml:space="preserve">TREND    </v>
          </cell>
          <cell r="D208" t="str">
            <v xml:space="preserve">Trend -  QTD Average/Activity                     </v>
          </cell>
          <cell r="E208" t="str">
            <v>Run: 08/07/03 14:02:44</v>
          </cell>
          <cell r="F208" t="str">
            <v>999</v>
          </cell>
          <cell r="G208" t="str">
            <v>100</v>
          </cell>
          <cell r="H208" t="str">
            <v xml:space="preserve">Bank Of America Management Reporting              </v>
          </cell>
          <cell r="I208" t="str">
            <v>001</v>
          </cell>
          <cell r="J208" t="str">
            <v>FBH.......</v>
          </cell>
          <cell r="K208" t="str">
            <v xml:space="preserve">Cash Securities Technology                        </v>
          </cell>
          <cell r="L208" t="str">
            <v xml:space="preserve"> </v>
          </cell>
          <cell r="M208" t="str">
            <v xml:space="preserve"> </v>
          </cell>
          <cell r="N208" t="str">
            <v>bamgt</v>
          </cell>
          <cell r="O208" t="str">
            <v>40</v>
          </cell>
          <cell r="P208" t="str">
            <v>600000A  600250   999999999601000   999999999999999999999999999999999999</v>
          </cell>
          <cell r="Q208" t="str">
            <v xml:space="preserve">none     </v>
          </cell>
          <cell r="R208" t="str">
            <v>RollFCST-Working Version</v>
          </cell>
          <cell r="S208" t="str">
            <v>RollFCST-Working Version</v>
          </cell>
          <cell r="T208" t="str">
            <v xml:space="preserve"> </v>
          </cell>
          <cell r="U208" t="str">
            <v xml:space="preserve"> </v>
          </cell>
          <cell r="V208" t="str">
            <v>601000</v>
          </cell>
          <cell r="W208" t="str">
            <v>4</v>
          </cell>
          <cell r="X208" t="str">
            <v xml:space="preserve">      Overtime Salaries                 </v>
          </cell>
          <cell r="Y208">
            <v>83</v>
          </cell>
          <cell r="Z208">
            <v>54.85</v>
          </cell>
          <cell r="AA208">
            <v>78</v>
          </cell>
          <cell r="AB208">
            <v>79</v>
          </cell>
          <cell r="AC208">
            <v>294.85000000000002</v>
          </cell>
          <cell r="AD208">
            <v>51</v>
          </cell>
          <cell r="AE208">
            <v>51</v>
          </cell>
          <cell r="AF208">
            <v>51</v>
          </cell>
          <cell r="AG208">
            <v>51</v>
          </cell>
          <cell r="AH208">
            <v>204</v>
          </cell>
          <cell r="AI208" t="str">
            <v xml:space="preserve">U.S. Dollar                   </v>
          </cell>
          <cell r="AJ208" t="str">
            <v xml:space="preserve"> </v>
          </cell>
          <cell r="AK208" t="str">
            <v xml:space="preserve"> </v>
          </cell>
          <cell r="AL208" t="str">
            <v xml:space="preserve"> </v>
          </cell>
          <cell r="AM208" t="str">
            <v xml:space="preserve"> </v>
          </cell>
          <cell r="AN208" t="str">
            <v xml:space="preserve"> </v>
          </cell>
          <cell r="AO208" t="str">
            <v xml:space="preserve"> </v>
          </cell>
          <cell r="AP208" t="str">
            <v xml:space="preserve"> </v>
          </cell>
          <cell r="AQ208" t="str">
            <v xml:space="preserve"> </v>
          </cell>
        </row>
        <row r="209">
          <cell r="A209" t="str">
            <v>FBH.......601500</v>
          </cell>
          <cell r="B209" t="str">
            <v>2004T12</v>
          </cell>
          <cell r="C209" t="str">
            <v xml:space="preserve">TREND    </v>
          </cell>
          <cell r="D209" t="str">
            <v xml:space="preserve">Trend -  QTD Average/Activity                     </v>
          </cell>
          <cell r="E209" t="str">
            <v>Run: 08/07/03 14:02:44</v>
          </cell>
          <cell r="F209" t="str">
            <v>999</v>
          </cell>
          <cell r="G209" t="str">
            <v>100</v>
          </cell>
          <cell r="H209" t="str">
            <v xml:space="preserve">Bank Of America Management Reporting              </v>
          </cell>
          <cell r="I209" t="str">
            <v>001</v>
          </cell>
          <cell r="J209" t="str">
            <v>FBH.......</v>
          </cell>
          <cell r="K209" t="str">
            <v xml:space="preserve">Cash Securities Technology                        </v>
          </cell>
          <cell r="L209" t="str">
            <v xml:space="preserve"> </v>
          </cell>
          <cell r="M209" t="str">
            <v xml:space="preserve"> </v>
          </cell>
          <cell r="N209" t="str">
            <v>bamgt</v>
          </cell>
          <cell r="O209" t="str">
            <v>40</v>
          </cell>
          <cell r="P209" t="str">
            <v>600000A  600250   999999999601500   999999999999999999999999999999999999</v>
          </cell>
          <cell r="Q209" t="str">
            <v xml:space="preserve">none     </v>
          </cell>
          <cell r="R209" t="str">
            <v>RollFCST-Working Version</v>
          </cell>
          <cell r="S209" t="str">
            <v>RollFCST-Working Version</v>
          </cell>
          <cell r="T209" t="str">
            <v xml:space="preserve"> </v>
          </cell>
          <cell r="U209" t="str">
            <v xml:space="preserve"> </v>
          </cell>
          <cell r="V209" t="str">
            <v>601500</v>
          </cell>
          <cell r="W209" t="str">
            <v>4</v>
          </cell>
          <cell r="X209" t="str">
            <v xml:space="preserve">      Incentive Compensation            </v>
          </cell>
          <cell r="Y209">
            <v>0</v>
          </cell>
          <cell r="Z209">
            <v>0</v>
          </cell>
          <cell r="AA209">
            <v>0</v>
          </cell>
          <cell r="AB209">
            <v>0</v>
          </cell>
          <cell r="AC209">
            <v>0</v>
          </cell>
          <cell r="AD209">
            <v>0</v>
          </cell>
          <cell r="AE209">
            <v>0</v>
          </cell>
          <cell r="AF209">
            <v>0</v>
          </cell>
          <cell r="AG209">
            <v>0</v>
          </cell>
          <cell r="AH209">
            <v>0</v>
          </cell>
          <cell r="AI209" t="str">
            <v xml:space="preserve">U.S. Dollar                   </v>
          </cell>
          <cell r="AJ209" t="str">
            <v xml:space="preserve"> </v>
          </cell>
          <cell r="AK209" t="str">
            <v xml:space="preserve"> </v>
          </cell>
          <cell r="AL209" t="str">
            <v xml:space="preserve"> </v>
          </cell>
          <cell r="AM209" t="str">
            <v xml:space="preserve"> </v>
          </cell>
          <cell r="AN209" t="str">
            <v xml:space="preserve"> </v>
          </cell>
          <cell r="AO209" t="str">
            <v xml:space="preserve"> </v>
          </cell>
          <cell r="AP209" t="str">
            <v xml:space="preserve"> </v>
          </cell>
          <cell r="AQ209" t="str">
            <v xml:space="preserve"> </v>
          </cell>
        </row>
        <row r="210">
          <cell r="A210" t="str">
            <v>FBH.......602400</v>
          </cell>
          <cell r="B210" t="str">
            <v>2004T12</v>
          </cell>
          <cell r="C210" t="str">
            <v xml:space="preserve">TREND    </v>
          </cell>
          <cell r="D210" t="str">
            <v xml:space="preserve">Trend -  QTD Average/Activity                     </v>
          </cell>
          <cell r="E210" t="str">
            <v>Run: 08/07/03 14:02:44</v>
          </cell>
          <cell r="F210" t="str">
            <v>999</v>
          </cell>
          <cell r="G210" t="str">
            <v>100</v>
          </cell>
          <cell r="H210" t="str">
            <v xml:space="preserve">Bank Of America Management Reporting              </v>
          </cell>
          <cell r="I210" t="str">
            <v>001</v>
          </cell>
          <cell r="J210" t="str">
            <v>FBH.......</v>
          </cell>
          <cell r="K210" t="str">
            <v xml:space="preserve">Cash Securities Technology                        </v>
          </cell>
          <cell r="L210" t="str">
            <v xml:space="preserve"> </v>
          </cell>
          <cell r="M210" t="str">
            <v xml:space="preserve"> </v>
          </cell>
          <cell r="N210" t="str">
            <v>bamgt</v>
          </cell>
          <cell r="O210" t="str">
            <v>40</v>
          </cell>
          <cell r="P210" t="str">
            <v>600000A  600250   999999999602000   602400   999999999999999999999999999</v>
          </cell>
          <cell r="Q210" t="str">
            <v xml:space="preserve">none     </v>
          </cell>
          <cell r="R210" t="str">
            <v>RollFCST-Working Version</v>
          </cell>
          <cell r="S210" t="str">
            <v>RollFCST-Working Version</v>
          </cell>
          <cell r="T210" t="str">
            <v xml:space="preserve"> </v>
          </cell>
          <cell r="U210" t="str">
            <v xml:space="preserve"> </v>
          </cell>
          <cell r="V210" t="str">
            <v>602400</v>
          </cell>
          <cell r="W210" t="str">
            <v>5</v>
          </cell>
          <cell r="X210" t="str">
            <v xml:space="preserve">        Other Employee Compensation     </v>
          </cell>
          <cell r="Y210">
            <v>0</v>
          </cell>
          <cell r="Z210">
            <v>0</v>
          </cell>
          <cell r="AA210">
            <v>0</v>
          </cell>
          <cell r="AB210">
            <v>0</v>
          </cell>
          <cell r="AC210">
            <v>0</v>
          </cell>
          <cell r="AD210">
            <v>-30</v>
          </cell>
          <cell r="AE210">
            <v>-30</v>
          </cell>
          <cell r="AF210">
            <v>-30</v>
          </cell>
          <cell r="AG210">
            <v>-30</v>
          </cell>
          <cell r="AH210">
            <v>-120</v>
          </cell>
          <cell r="AI210" t="str">
            <v xml:space="preserve">U.S. Dollar                   </v>
          </cell>
          <cell r="AJ210" t="str">
            <v xml:space="preserve"> </v>
          </cell>
          <cell r="AK210" t="str">
            <v xml:space="preserve"> </v>
          </cell>
          <cell r="AL210" t="str">
            <v xml:space="preserve"> </v>
          </cell>
          <cell r="AM210" t="str">
            <v xml:space="preserve"> </v>
          </cell>
          <cell r="AN210" t="str">
            <v xml:space="preserve"> </v>
          </cell>
          <cell r="AO210" t="str">
            <v xml:space="preserve"> </v>
          </cell>
          <cell r="AP210" t="str">
            <v xml:space="preserve"> </v>
          </cell>
          <cell r="AQ210" t="str">
            <v xml:space="preserve"> </v>
          </cell>
        </row>
        <row r="211">
          <cell r="A211" t="str">
            <v>FBH.......602000</v>
          </cell>
          <cell r="B211" t="str">
            <v>2004T12</v>
          </cell>
          <cell r="C211" t="str">
            <v xml:space="preserve">TREND    </v>
          </cell>
          <cell r="D211" t="str">
            <v xml:space="preserve">Trend -  QTD Average/Activity                     </v>
          </cell>
          <cell r="E211" t="str">
            <v>Run: 08/07/03 14:02:44</v>
          </cell>
          <cell r="F211" t="str">
            <v>999</v>
          </cell>
          <cell r="G211" t="str">
            <v>100</v>
          </cell>
          <cell r="H211" t="str">
            <v xml:space="preserve">Bank Of America Management Reporting              </v>
          </cell>
          <cell r="I211" t="str">
            <v>001</v>
          </cell>
          <cell r="J211" t="str">
            <v>FBH.......</v>
          </cell>
          <cell r="K211" t="str">
            <v xml:space="preserve">Cash Securities Technology                        </v>
          </cell>
          <cell r="L211" t="str">
            <v xml:space="preserve"> </v>
          </cell>
          <cell r="M211" t="str">
            <v xml:space="preserve"> </v>
          </cell>
          <cell r="N211" t="str">
            <v>bamgt</v>
          </cell>
          <cell r="O211" t="str">
            <v>40</v>
          </cell>
          <cell r="P211" t="str">
            <v>600000A  600250   999999999602000   999999999999999999999999999999999999</v>
          </cell>
          <cell r="Q211" t="str">
            <v xml:space="preserve">none     </v>
          </cell>
          <cell r="R211" t="str">
            <v>RollFCST-Working Version</v>
          </cell>
          <cell r="S211" t="str">
            <v>RollFCST-Working Version</v>
          </cell>
          <cell r="T211" t="str">
            <v xml:space="preserve"> </v>
          </cell>
          <cell r="U211" t="str">
            <v xml:space="preserve"> </v>
          </cell>
          <cell r="V211" t="str">
            <v>602000</v>
          </cell>
          <cell r="W211" t="str">
            <v>4</v>
          </cell>
          <cell r="X211" t="str">
            <v xml:space="preserve">      Contract Temporary/Other Compensat</v>
          </cell>
          <cell r="Y211">
            <v>127</v>
          </cell>
          <cell r="Z211">
            <v>104.61</v>
          </cell>
          <cell r="AA211">
            <v>190</v>
          </cell>
          <cell r="AB211">
            <v>42</v>
          </cell>
          <cell r="AC211">
            <v>463.61</v>
          </cell>
          <cell r="AD211">
            <v>-30</v>
          </cell>
          <cell r="AE211">
            <v>-30</v>
          </cell>
          <cell r="AF211">
            <v>-30</v>
          </cell>
          <cell r="AG211">
            <v>-30</v>
          </cell>
          <cell r="AH211">
            <v>-120</v>
          </cell>
          <cell r="AI211" t="str">
            <v xml:space="preserve">U.S. Dollar                   </v>
          </cell>
          <cell r="AJ211" t="str">
            <v xml:space="preserve"> </v>
          </cell>
          <cell r="AK211" t="str">
            <v xml:space="preserve"> </v>
          </cell>
          <cell r="AL211" t="str">
            <v xml:space="preserve"> </v>
          </cell>
          <cell r="AM211" t="str">
            <v xml:space="preserve"> </v>
          </cell>
          <cell r="AN211" t="str">
            <v xml:space="preserve"> </v>
          </cell>
          <cell r="AO211" t="str">
            <v xml:space="preserve"> </v>
          </cell>
          <cell r="AP211" t="str">
            <v xml:space="preserve"> </v>
          </cell>
          <cell r="AQ211" t="str">
            <v xml:space="preserve"> </v>
          </cell>
        </row>
        <row r="212">
          <cell r="A212" t="str">
            <v>FBH.......603000</v>
          </cell>
          <cell r="B212" t="str">
            <v>2004T12</v>
          </cell>
          <cell r="C212" t="str">
            <v xml:space="preserve">TREND    </v>
          </cell>
          <cell r="D212" t="str">
            <v xml:space="preserve">Trend -  QTD Average/Activity                     </v>
          </cell>
          <cell r="E212" t="str">
            <v>Run: 08/07/03 14:02:44</v>
          </cell>
          <cell r="F212" t="str">
            <v>999</v>
          </cell>
          <cell r="G212" t="str">
            <v>100</v>
          </cell>
          <cell r="H212" t="str">
            <v xml:space="preserve">Bank Of America Management Reporting              </v>
          </cell>
          <cell r="I212" t="str">
            <v>001</v>
          </cell>
          <cell r="J212" t="str">
            <v>FBH.......</v>
          </cell>
          <cell r="K212" t="str">
            <v xml:space="preserve">Cash Securities Technology                        </v>
          </cell>
          <cell r="L212" t="str">
            <v xml:space="preserve"> </v>
          </cell>
          <cell r="M212" t="str">
            <v xml:space="preserve"> </v>
          </cell>
          <cell r="N212" t="str">
            <v>bamgt</v>
          </cell>
          <cell r="O212" t="str">
            <v>40</v>
          </cell>
          <cell r="P212" t="str">
            <v>600000A  600250   999999999603000   999999999999999999999999999999999999</v>
          </cell>
          <cell r="Q212" t="str">
            <v xml:space="preserve">none     </v>
          </cell>
          <cell r="R212" t="str">
            <v>RollFCST-Working Version</v>
          </cell>
          <cell r="S212" t="str">
            <v>RollFCST-Working Version</v>
          </cell>
          <cell r="T212" t="str">
            <v xml:space="preserve"> </v>
          </cell>
          <cell r="U212" t="str">
            <v xml:space="preserve"> </v>
          </cell>
          <cell r="V212" t="str">
            <v>603000</v>
          </cell>
          <cell r="W212" t="str">
            <v>4</v>
          </cell>
          <cell r="X212" t="str">
            <v xml:space="preserve">      Employee Benefits                 </v>
          </cell>
          <cell r="Y212">
            <v>600.19680000000005</v>
          </cell>
          <cell r="Z212">
            <v>602.94680000000005</v>
          </cell>
          <cell r="AA212">
            <v>688.00319999999999</v>
          </cell>
          <cell r="AB212">
            <v>671.08320000000003</v>
          </cell>
          <cell r="AC212">
            <v>2562.23</v>
          </cell>
          <cell r="AD212">
            <v>658.26</v>
          </cell>
          <cell r="AE212">
            <v>683.7</v>
          </cell>
          <cell r="AF212">
            <v>695.625</v>
          </cell>
          <cell r="AG212">
            <v>695.625</v>
          </cell>
          <cell r="AH212">
            <v>2733.21</v>
          </cell>
          <cell r="AI212" t="str">
            <v xml:space="preserve">U.S. Dollar                   </v>
          </cell>
          <cell r="AJ212" t="str">
            <v xml:space="preserve"> </v>
          </cell>
          <cell r="AK212" t="str">
            <v xml:space="preserve"> </v>
          </cell>
          <cell r="AL212" t="str">
            <v xml:space="preserve"> </v>
          </cell>
          <cell r="AM212" t="str">
            <v xml:space="preserve"> </v>
          </cell>
          <cell r="AN212" t="str">
            <v xml:space="preserve"> </v>
          </cell>
          <cell r="AO212" t="str">
            <v xml:space="preserve"> </v>
          </cell>
          <cell r="AP212" t="str">
            <v xml:space="preserve"> </v>
          </cell>
          <cell r="AQ212" t="str">
            <v xml:space="preserve"> </v>
          </cell>
        </row>
        <row r="213">
          <cell r="A213" t="str">
            <v>FBH.......600250</v>
          </cell>
          <cell r="B213" t="str">
            <v>2004T12</v>
          </cell>
          <cell r="C213" t="str">
            <v xml:space="preserve">TREND    </v>
          </cell>
          <cell r="D213" t="str">
            <v xml:space="preserve">Trend -  QTD Average/Activity                     </v>
          </cell>
          <cell r="E213" t="str">
            <v>Run: 08/07/03 14:02:44</v>
          </cell>
          <cell r="F213" t="str">
            <v>999</v>
          </cell>
          <cell r="G213" t="str">
            <v>100</v>
          </cell>
          <cell r="H213" t="str">
            <v xml:space="preserve">Bank Of America Management Reporting              </v>
          </cell>
          <cell r="I213" t="str">
            <v>001</v>
          </cell>
          <cell r="J213" t="str">
            <v>FBH.......</v>
          </cell>
          <cell r="K213" t="str">
            <v xml:space="preserve">Cash Securities Technology                        </v>
          </cell>
          <cell r="L213" t="str">
            <v xml:space="preserve"> </v>
          </cell>
          <cell r="M213" t="str">
            <v xml:space="preserve"> </v>
          </cell>
          <cell r="N213" t="str">
            <v>bamgt</v>
          </cell>
          <cell r="O213" t="str">
            <v>40</v>
          </cell>
          <cell r="P213" t="str">
            <v>600000A  600250   999999999999999999999999999999999999999999999999999999</v>
          </cell>
          <cell r="Q213" t="str">
            <v xml:space="preserve">none     </v>
          </cell>
          <cell r="R213" t="str">
            <v>RollFCST-Working Version</v>
          </cell>
          <cell r="S213" t="str">
            <v>RollFCST-Working Version</v>
          </cell>
          <cell r="T213" t="str">
            <v xml:space="preserve"> </v>
          </cell>
          <cell r="U213" t="str">
            <v xml:space="preserve"> </v>
          </cell>
          <cell r="V213" t="str">
            <v>600250</v>
          </cell>
          <cell r="W213" t="str">
            <v>2</v>
          </cell>
          <cell r="X213" t="str">
            <v xml:space="preserve">  Personnel                             </v>
          </cell>
          <cell r="Y213">
            <v>3228.0167999999999</v>
          </cell>
          <cell r="Z213">
            <v>3196.6268</v>
          </cell>
          <cell r="AA213">
            <v>3694.6831999999999</v>
          </cell>
          <cell r="AB213">
            <v>3521.7631999999999</v>
          </cell>
          <cell r="AC213">
            <v>13641.09</v>
          </cell>
          <cell r="AD213">
            <v>3112.26</v>
          </cell>
          <cell r="AE213">
            <v>3233.7</v>
          </cell>
          <cell r="AF213">
            <v>3290.625</v>
          </cell>
          <cell r="AG213">
            <v>3290.625</v>
          </cell>
          <cell r="AH213">
            <v>12927.21</v>
          </cell>
          <cell r="AI213" t="str">
            <v xml:space="preserve">U.S. Dollar                   </v>
          </cell>
          <cell r="AJ213" t="str">
            <v xml:space="preserve"> </v>
          </cell>
          <cell r="AK213" t="str">
            <v xml:space="preserve"> </v>
          </cell>
          <cell r="AL213" t="str">
            <v xml:space="preserve"> </v>
          </cell>
          <cell r="AM213" t="str">
            <v xml:space="preserve"> </v>
          </cell>
          <cell r="AN213" t="str">
            <v xml:space="preserve"> </v>
          </cell>
          <cell r="AO213" t="str">
            <v xml:space="preserve"> </v>
          </cell>
          <cell r="AP213" t="str">
            <v xml:space="preserve"> </v>
          </cell>
          <cell r="AQ213" t="str">
            <v xml:space="preserve"> </v>
          </cell>
        </row>
        <row r="214">
          <cell r="A214" t="str">
            <v>FBH.......610000</v>
          </cell>
          <cell r="B214" t="str">
            <v>2004T12</v>
          </cell>
          <cell r="C214" t="str">
            <v xml:space="preserve">TREND    </v>
          </cell>
          <cell r="D214" t="str">
            <v xml:space="preserve">Trend -  QTD Average/Activity                     </v>
          </cell>
          <cell r="E214" t="str">
            <v>Run: 08/07/03 14:02:44</v>
          </cell>
          <cell r="F214" t="str">
            <v>999</v>
          </cell>
          <cell r="G214" t="str">
            <v>100</v>
          </cell>
          <cell r="H214" t="str">
            <v xml:space="preserve">Bank Of America Management Reporting              </v>
          </cell>
          <cell r="I214" t="str">
            <v>001</v>
          </cell>
          <cell r="J214" t="str">
            <v>FBH.......</v>
          </cell>
          <cell r="K214" t="str">
            <v xml:space="preserve">Cash Securities Technology                        </v>
          </cell>
          <cell r="L214" t="str">
            <v xml:space="preserve"> </v>
          </cell>
          <cell r="M214" t="str">
            <v xml:space="preserve"> </v>
          </cell>
          <cell r="N214" t="str">
            <v>bamgt</v>
          </cell>
          <cell r="O214" t="str">
            <v>40</v>
          </cell>
          <cell r="P214" t="str">
            <v>600000A  610000   999999999999999999999999999999999999999999999999999999</v>
          </cell>
          <cell r="Q214" t="str">
            <v xml:space="preserve">none     </v>
          </cell>
          <cell r="R214" t="str">
            <v>RollFCST-Working Version</v>
          </cell>
          <cell r="S214" t="str">
            <v>RollFCST-Working Version</v>
          </cell>
          <cell r="T214" t="str">
            <v xml:space="preserve"> </v>
          </cell>
          <cell r="U214" t="str">
            <v xml:space="preserve"> </v>
          </cell>
          <cell r="V214" t="str">
            <v>610000</v>
          </cell>
          <cell r="W214" t="str">
            <v>2</v>
          </cell>
          <cell r="X214" t="str">
            <v xml:space="preserve">  Net Occupancy Expense                 </v>
          </cell>
          <cell r="Y214">
            <v>472.87</v>
          </cell>
          <cell r="Z214">
            <v>479.48</v>
          </cell>
          <cell r="AA214">
            <v>444.89</v>
          </cell>
          <cell r="AB214">
            <v>443.89</v>
          </cell>
          <cell r="AC214">
            <v>1841.13</v>
          </cell>
          <cell r="AD214">
            <v>447</v>
          </cell>
          <cell r="AE214">
            <v>447</v>
          </cell>
          <cell r="AF214">
            <v>447</v>
          </cell>
          <cell r="AG214">
            <v>447</v>
          </cell>
          <cell r="AH214">
            <v>1788</v>
          </cell>
          <cell r="AI214" t="str">
            <v xml:space="preserve">U.S. Dollar                   </v>
          </cell>
          <cell r="AJ214" t="str">
            <v xml:space="preserve"> </v>
          </cell>
          <cell r="AK214" t="str">
            <v xml:space="preserve"> </v>
          </cell>
          <cell r="AL214" t="str">
            <v xml:space="preserve"> </v>
          </cell>
          <cell r="AM214" t="str">
            <v xml:space="preserve"> </v>
          </cell>
          <cell r="AN214" t="str">
            <v xml:space="preserve"> </v>
          </cell>
          <cell r="AO214" t="str">
            <v xml:space="preserve"> </v>
          </cell>
          <cell r="AP214" t="str">
            <v xml:space="preserve"> </v>
          </cell>
          <cell r="AQ214" t="str">
            <v xml:space="preserve"> </v>
          </cell>
        </row>
        <row r="215">
          <cell r="A215" t="str">
            <v>FBH.......620000</v>
          </cell>
          <cell r="B215" t="str">
            <v>2004T12</v>
          </cell>
          <cell r="C215" t="str">
            <v xml:space="preserve">TREND    </v>
          </cell>
          <cell r="D215" t="str">
            <v xml:space="preserve">Trend -  QTD Average/Activity                     </v>
          </cell>
          <cell r="E215" t="str">
            <v>Run: 08/07/03 14:02:44</v>
          </cell>
          <cell r="F215" t="str">
            <v>999</v>
          </cell>
          <cell r="G215" t="str">
            <v>100</v>
          </cell>
          <cell r="H215" t="str">
            <v xml:space="preserve">Bank Of America Management Reporting              </v>
          </cell>
          <cell r="I215" t="str">
            <v>001</v>
          </cell>
          <cell r="J215" t="str">
            <v>FBH.......</v>
          </cell>
          <cell r="K215" t="str">
            <v xml:space="preserve">Cash Securities Technology                        </v>
          </cell>
          <cell r="L215" t="str">
            <v xml:space="preserve"> </v>
          </cell>
          <cell r="M215" t="str">
            <v xml:space="preserve"> </v>
          </cell>
          <cell r="N215" t="str">
            <v>bamgt</v>
          </cell>
          <cell r="O215" t="str">
            <v>40</v>
          </cell>
          <cell r="P215" t="str">
            <v>600000A  620000   999999999999999999999999999999999999999999999999999999</v>
          </cell>
          <cell r="Q215" t="str">
            <v xml:space="preserve">none     </v>
          </cell>
          <cell r="R215" t="str">
            <v>RollFCST-Working Version</v>
          </cell>
          <cell r="S215" t="str">
            <v>RollFCST-Working Version</v>
          </cell>
          <cell r="T215" t="str">
            <v xml:space="preserve"> </v>
          </cell>
          <cell r="U215" t="str">
            <v xml:space="preserve"> </v>
          </cell>
          <cell r="V215" t="str">
            <v>620000</v>
          </cell>
          <cell r="W215" t="str">
            <v>2</v>
          </cell>
          <cell r="X215" t="str">
            <v xml:space="preserve">  Furniture &amp; Equipment                 </v>
          </cell>
          <cell r="Y215">
            <v>538.23</v>
          </cell>
          <cell r="Z215">
            <v>587.6</v>
          </cell>
          <cell r="AA215">
            <v>779.17</v>
          </cell>
          <cell r="AB215">
            <v>238.71</v>
          </cell>
          <cell r="AC215">
            <v>2143.71</v>
          </cell>
          <cell r="AD215">
            <v>194</v>
          </cell>
          <cell r="AE215">
            <v>173</v>
          </cell>
          <cell r="AF215">
            <v>162</v>
          </cell>
          <cell r="AG215">
            <v>156</v>
          </cell>
          <cell r="AH215">
            <v>685</v>
          </cell>
          <cell r="AI215" t="str">
            <v xml:space="preserve">U.S. Dollar                   </v>
          </cell>
          <cell r="AJ215" t="str">
            <v xml:space="preserve"> </v>
          </cell>
          <cell r="AK215" t="str">
            <v xml:space="preserve"> </v>
          </cell>
          <cell r="AL215" t="str">
            <v xml:space="preserve"> </v>
          </cell>
          <cell r="AM215" t="str">
            <v xml:space="preserve"> </v>
          </cell>
          <cell r="AN215" t="str">
            <v xml:space="preserve"> </v>
          </cell>
          <cell r="AO215" t="str">
            <v xml:space="preserve"> </v>
          </cell>
          <cell r="AP215" t="str">
            <v xml:space="preserve"> </v>
          </cell>
          <cell r="AQ215" t="str">
            <v xml:space="preserve"> </v>
          </cell>
        </row>
        <row r="216">
          <cell r="A216" t="str">
            <v>FBH.......623000</v>
          </cell>
          <cell r="B216" t="str">
            <v>2004T12</v>
          </cell>
          <cell r="C216" t="str">
            <v xml:space="preserve">TREND    </v>
          </cell>
          <cell r="D216" t="str">
            <v xml:space="preserve">Trend -  QTD Average/Activity                     </v>
          </cell>
          <cell r="E216" t="str">
            <v>Run: 08/07/03 14:02:44</v>
          </cell>
          <cell r="F216" t="str">
            <v>999</v>
          </cell>
          <cell r="G216" t="str">
            <v>100</v>
          </cell>
          <cell r="H216" t="str">
            <v xml:space="preserve">Bank Of America Management Reporting              </v>
          </cell>
          <cell r="I216" t="str">
            <v>001</v>
          </cell>
          <cell r="J216" t="str">
            <v>FBH.......</v>
          </cell>
          <cell r="K216" t="str">
            <v xml:space="preserve">Cash Securities Technology                        </v>
          </cell>
          <cell r="L216" t="str">
            <v xml:space="preserve"> </v>
          </cell>
          <cell r="M216" t="str">
            <v xml:space="preserve"> </v>
          </cell>
          <cell r="N216" t="str">
            <v>bamgt</v>
          </cell>
          <cell r="O216" t="str">
            <v>40</v>
          </cell>
          <cell r="P216" t="str">
            <v>600000A  623000   999999999999999999999999999999999999999999999999999999</v>
          </cell>
          <cell r="Q216" t="str">
            <v xml:space="preserve">none     </v>
          </cell>
          <cell r="R216" t="str">
            <v>RollFCST-Working Version</v>
          </cell>
          <cell r="S216" t="str">
            <v>RollFCST-Working Version</v>
          </cell>
          <cell r="T216" t="str">
            <v xml:space="preserve"> </v>
          </cell>
          <cell r="U216" t="str">
            <v xml:space="preserve"> </v>
          </cell>
          <cell r="V216" t="str">
            <v>623000</v>
          </cell>
          <cell r="W216" t="str">
            <v>2</v>
          </cell>
          <cell r="X216" t="str">
            <v xml:space="preserve">  Marketing &amp; Promotional               </v>
          </cell>
          <cell r="Y216">
            <v>0</v>
          </cell>
          <cell r="Z216">
            <v>-0.05</v>
          </cell>
          <cell r="AA216">
            <v>0</v>
          </cell>
          <cell r="AB216">
            <v>0</v>
          </cell>
          <cell r="AC216">
            <v>-0.05</v>
          </cell>
          <cell r="AD216">
            <v>0</v>
          </cell>
          <cell r="AE216">
            <v>0</v>
          </cell>
          <cell r="AF216">
            <v>0</v>
          </cell>
          <cell r="AG216">
            <v>0</v>
          </cell>
          <cell r="AH216">
            <v>0</v>
          </cell>
          <cell r="AI216" t="str">
            <v xml:space="preserve">U.S. Dollar                   </v>
          </cell>
          <cell r="AJ216" t="str">
            <v xml:space="preserve"> </v>
          </cell>
          <cell r="AK216" t="str">
            <v xml:space="preserve"> </v>
          </cell>
          <cell r="AL216" t="str">
            <v xml:space="preserve"> </v>
          </cell>
          <cell r="AM216" t="str">
            <v xml:space="preserve"> </v>
          </cell>
          <cell r="AN216" t="str">
            <v xml:space="preserve"> </v>
          </cell>
          <cell r="AO216" t="str">
            <v xml:space="preserve"> </v>
          </cell>
          <cell r="AP216" t="str">
            <v xml:space="preserve"> </v>
          </cell>
          <cell r="AQ216" t="str">
            <v xml:space="preserve"> </v>
          </cell>
        </row>
        <row r="217">
          <cell r="A217" t="str">
            <v>FBH.......630000</v>
          </cell>
          <cell r="B217" t="str">
            <v>2004T12</v>
          </cell>
          <cell r="C217" t="str">
            <v xml:space="preserve">TREND    </v>
          </cell>
          <cell r="D217" t="str">
            <v xml:space="preserve">Trend -  QTD Average/Activity                     </v>
          </cell>
          <cell r="E217" t="str">
            <v>Run: 08/07/03 14:02:44</v>
          </cell>
          <cell r="F217" t="str">
            <v>999</v>
          </cell>
          <cell r="G217" t="str">
            <v>100</v>
          </cell>
          <cell r="H217" t="str">
            <v xml:space="preserve">Bank Of America Management Reporting              </v>
          </cell>
          <cell r="I217" t="str">
            <v>001</v>
          </cell>
          <cell r="J217" t="str">
            <v>FBH.......</v>
          </cell>
          <cell r="K217" t="str">
            <v xml:space="preserve">Cash Securities Technology                        </v>
          </cell>
          <cell r="L217" t="str">
            <v xml:space="preserve"> </v>
          </cell>
          <cell r="M217" t="str">
            <v xml:space="preserve"> </v>
          </cell>
          <cell r="N217" t="str">
            <v>bamgt</v>
          </cell>
          <cell r="O217" t="str">
            <v>40</v>
          </cell>
          <cell r="P217" t="str">
            <v>600000A  630000   999999999999999999999999999999999999999999999999999999</v>
          </cell>
          <cell r="Q217" t="str">
            <v xml:space="preserve">none     </v>
          </cell>
          <cell r="R217" t="str">
            <v>RollFCST-Working Version</v>
          </cell>
          <cell r="S217" t="str">
            <v>RollFCST-Working Version</v>
          </cell>
          <cell r="T217" t="str">
            <v xml:space="preserve"> </v>
          </cell>
          <cell r="U217" t="str">
            <v xml:space="preserve"> </v>
          </cell>
          <cell r="V217" t="str">
            <v>630000</v>
          </cell>
          <cell r="W217" t="str">
            <v>2</v>
          </cell>
          <cell r="X217" t="str">
            <v xml:space="preserve">  Professional Fees                     </v>
          </cell>
          <cell r="Y217">
            <v>148</v>
          </cell>
          <cell r="Z217">
            <v>239.54</v>
          </cell>
          <cell r="AA217">
            <v>150</v>
          </cell>
          <cell r="AB217">
            <v>36</v>
          </cell>
          <cell r="AC217">
            <v>573.54</v>
          </cell>
          <cell r="AD217">
            <v>5</v>
          </cell>
          <cell r="AE217">
            <v>18</v>
          </cell>
          <cell r="AF217">
            <v>45</v>
          </cell>
          <cell r="AG217">
            <v>7</v>
          </cell>
          <cell r="AH217">
            <v>75</v>
          </cell>
          <cell r="AI217" t="str">
            <v xml:space="preserve">U.S. Dollar                   </v>
          </cell>
          <cell r="AJ217" t="str">
            <v xml:space="preserve"> </v>
          </cell>
          <cell r="AK217" t="str">
            <v xml:space="preserve"> </v>
          </cell>
          <cell r="AL217" t="str">
            <v xml:space="preserve"> </v>
          </cell>
          <cell r="AM217" t="str">
            <v xml:space="preserve"> </v>
          </cell>
          <cell r="AN217" t="str">
            <v xml:space="preserve"> </v>
          </cell>
          <cell r="AO217" t="str">
            <v xml:space="preserve"> </v>
          </cell>
          <cell r="AP217" t="str">
            <v xml:space="preserve"> </v>
          </cell>
          <cell r="AQ217" t="str">
            <v xml:space="preserve"> </v>
          </cell>
        </row>
        <row r="218">
          <cell r="A218" t="str">
            <v>FBH.......651500A</v>
          </cell>
          <cell r="B218" t="str">
            <v>2004T12</v>
          </cell>
          <cell r="C218" t="str">
            <v xml:space="preserve">TREND    </v>
          </cell>
          <cell r="D218" t="str">
            <v xml:space="preserve">Trend -  QTD Average/Activity                     </v>
          </cell>
          <cell r="E218" t="str">
            <v>Run: 08/07/03 14:02:44</v>
          </cell>
          <cell r="F218" t="str">
            <v>999</v>
          </cell>
          <cell r="G218" t="str">
            <v>100</v>
          </cell>
          <cell r="H218" t="str">
            <v xml:space="preserve">Bank Of America Management Reporting              </v>
          </cell>
          <cell r="I218" t="str">
            <v>001</v>
          </cell>
          <cell r="J218" t="str">
            <v>FBH.......</v>
          </cell>
          <cell r="K218" t="str">
            <v xml:space="preserve">Cash Securities Technology                        </v>
          </cell>
          <cell r="L218" t="str">
            <v xml:space="preserve"> </v>
          </cell>
          <cell r="M218" t="str">
            <v xml:space="preserve"> </v>
          </cell>
          <cell r="N218" t="str">
            <v>bamgt</v>
          </cell>
          <cell r="O218" t="str">
            <v>40</v>
          </cell>
          <cell r="P218" t="str">
            <v>600000A  651500A  999999999999999999999999999999999999999999999999999999</v>
          </cell>
          <cell r="Q218" t="str">
            <v xml:space="preserve">none     </v>
          </cell>
          <cell r="R218" t="str">
            <v>RollFCST-Working Version</v>
          </cell>
          <cell r="S218" t="str">
            <v>RollFCST-Working Version</v>
          </cell>
          <cell r="T218" t="str">
            <v xml:space="preserve"> </v>
          </cell>
          <cell r="U218" t="str">
            <v xml:space="preserve"> </v>
          </cell>
          <cell r="V218" t="str">
            <v>651500A</v>
          </cell>
          <cell r="W218" t="str">
            <v>2</v>
          </cell>
          <cell r="X218" t="str">
            <v xml:space="preserve">  Direct Processing Expense             </v>
          </cell>
          <cell r="Y218">
            <v>352.41</v>
          </cell>
          <cell r="Z218">
            <v>856.54</v>
          </cell>
          <cell r="AA218">
            <v>402.97</v>
          </cell>
          <cell r="AB218">
            <v>549.41</v>
          </cell>
          <cell r="AC218">
            <v>2161.33</v>
          </cell>
          <cell r="AD218">
            <v>785</v>
          </cell>
          <cell r="AE218">
            <v>625</v>
          </cell>
          <cell r="AF218">
            <v>282</v>
          </cell>
          <cell r="AG218">
            <v>509</v>
          </cell>
          <cell r="AH218">
            <v>2201</v>
          </cell>
          <cell r="AI218" t="str">
            <v xml:space="preserve">U.S. Dollar                   </v>
          </cell>
          <cell r="AJ218" t="str">
            <v xml:space="preserve"> </v>
          </cell>
          <cell r="AK218" t="str">
            <v xml:space="preserve"> </v>
          </cell>
          <cell r="AL218" t="str">
            <v xml:space="preserve"> </v>
          </cell>
          <cell r="AM218" t="str">
            <v xml:space="preserve"> </v>
          </cell>
          <cell r="AN218" t="str">
            <v xml:space="preserve"> </v>
          </cell>
          <cell r="AO218" t="str">
            <v xml:space="preserve"> </v>
          </cell>
          <cell r="AP218" t="str">
            <v xml:space="preserve"> </v>
          </cell>
          <cell r="AQ218" t="str">
            <v xml:space="preserve"> </v>
          </cell>
        </row>
        <row r="219">
          <cell r="A219" t="str">
            <v>FBH.......660000A</v>
          </cell>
          <cell r="B219" t="str">
            <v>2004T12</v>
          </cell>
          <cell r="C219" t="str">
            <v xml:space="preserve">TREND    </v>
          </cell>
          <cell r="D219" t="str">
            <v xml:space="preserve">Trend -  QTD Average/Activity                     </v>
          </cell>
          <cell r="E219" t="str">
            <v>Run: 08/07/03 14:02:44</v>
          </cell>
          <cell r="F219" t="str">
            <v>999</v>
          </cell>
          <cell r="G219" t="str">
            <v>100</v>
          </cell>
          <cell r="H219" t="str">
            <v xml:space="preserve">Bank Of America Management Reporting              </v>
          </cell>
          <cell r="I219" t="str">
            <v>001</v>
          </cell>
          <cell r="J219" t="str">
            <v>FBH.......</v>
          </cell>
          <cell r="K219" t="str">
            <v xml:space="preserve">Cash Securities Technology                        </v>
          </cell>
          <cell r="L219" t="str">
            <v xml:space="preserve"> </v>
          </cell>
          <cell r="M219" t="str">
            <v xml:space="preserve"> </v>
          </cell>
          <cell r="N219" t="str">
            <v>bamgt</v>
          </cell>
          <cell r="O219" t="str">
            <v>40</v>
          </cell>
          <cell r="P219" t="str">
            <v>600000A  660000A  999999999999999999999999999999999999999999999999999999</v>
          </cell>
          <cell r="Q219" t="str">
            <v xml:space="preserve">none     </v>
          </cell>
          <cell r="R219" t="str">
            <v>RollFCST-Working Version</v>
          </cell>
          <cell r="S219" t="str">
            <v>RollFCST-Working Version</v>
          </cell>
          <cell r="T219" t="str">
            <v xml:space="preserve"> </v>
          </cell>
          <cell r="U219" t="str">
            <v xml:space="preserve"> </v>
          </cell>
          <cell r="V219" t="str">
            <v>660000A</v>
          </cell>
          <cell r="W219" t="str">
            <v>2</v>
          </cell>
          <cell r="X219" t="str">
            <v xml:space="preserve">  Telecommunications                    </v>
          </cell>
          <cell r="Y219">
            <v>110.99</v>
          </cell>
          <cell r="Z219">
            <v>71.209999999999994</v>
          </cell>
          <cell r="AA219">
            <v>77.819999999999993</v>
          </cell>
          <cell r="AB219">
            <v>74.819999999999993</v>
          </cell>
          <cell r="AC219">
            <v>334.84</v>
          </cell>
          <cell r="AD219">
            <v>72</v>
          </cell>
          <cell r="AE219">
            <v>51</v>
          </cell>
          <cell r="AF219">
            <v>67</v>
          </cell>
          <cell r="AG219">
            <v>67</v>
          </cell>
          <cell r="AH219">
            <v>257</v>
          </cell>
          <cell r="AI219" t="str">
            <v xml:space="preserve">U.S. Dollar                   </v>
          </cell>
          <cell r="AJ219" t="str">
            <v xml:space="preserve"> </v>
          </cell>
          <cell r="AK219" t="str">
            <v xml:space="preserve"> </v>
          </cell>
          <cell r="AL219" t="str">
            <v xml:space="preserve"> </v>
          </cell>
          <cell r="AM219" t="str">
            <v xml:space="preserve"> </v>
          </cell>
          <cell r="AN219" t="str">
            <v xml:space="preserve"> </v>
          </cell>
          <cell r="AO219" t="str">
            <v xml:space="preserve"> </v>
          </cell>
          <cell r="AP219" t="str">
            <v xml:space="preserve"> </v>
          </cell>
          <cell r="AQ219" t="str">
            <v xml:space="preserve"> </v>
          </cell>
        </row>
        <row r="220">
          <cell r="A220" t="str">
            <v>FBH.......663000</v>
          </cell>
          <cell r="B220" t="str">
            <v>2004T12</v>
          </cell>
          <cell r="C220" t="str">
            <v xml:space="preserve">TREND    </v>
          </cell>
          <cell r="D220" t="str">
            <v xml:space="preserve">Trend -  QTD Average/Activity                     </v>
          </cell>
          <cell r="E220" t="str">
            <v>Run: 08/07/03 14:02:44</v>
          </cell>
          <cell r="F220" t="str">
            <v>999</v>
          </cell>
          <cell r="G220" t="str">
            <v>100</v>
          </cell>
          <cell r="H220" t="str">
            <v xml:space="preserve">Bank Of America Management Reporting              </v>
          </cell>
          <cell r="I220" t="str">
            <v>001</v>
          </cell>
          <cell r="J220" t="str">
            <v>FBH.......</v>
          </cell>
          <cell r="K220" t="str">
            <v xml:space="preserve">Cash Securities Technology                        </v>
          </cell>
          <cell r="L220" t="str">
            <v xml:space="preserve"> </v>
          </cell>
          <cell r="M220" t="str">
            <v xml:space="preserve"> </v>
          </cell>
          <cell r="N220" t="str">
            <v>bamgt</v>
          </cell>
          <cell r="O220" t="str">
            <v>40</v>
          </cell>
          <cell r="P220" t="str">
            <v>600000A  662999B  662999C  663000   999999999999999999999999999999999999</v>
          </cell>
          <cell r="Q220" t="str">
            <v xml:space="preserve">none     </v>
          </cell>
          <cell r="R220" t="str">
            <v>RollFCST-Working Version</v>
          </cell>
          <cell r="S220" t="str">
            <v>RollFCST-Working Version</v>
          </cell>
          <cell r="T220" t="str">
            <v xml:space="preserve"> </v>
          </cell>
          <cell r="U220" t="str">
            <v xml:space="preserve"> </v>
          </cell>
          <cell r="V220" t="str">
            <v>663000</v>
          </cell>
          <cell r="W220" t="str">
            <v>4</v>
          </cell>
          <cell r="X220" t="str">
            <v xml:space="preserve">      Supplies                          </v>
          </cell>
          <cell r="Y220">
            <v>1</v>
          </cell>
          <cell r="Z220">
            <v>1</v>
          </cell>
          <cell r="AA220">
            <v>44</v>
          </cell>
          <cell r="AB220">
            <v>55</v>
          </cell>
          <cell r="AC220">
            <v>101</v>
          </cell>
          <cell r="AD220">
            <v>6</v>
          </cell>
          <cell r="AE220">
            <v>5</v>
          </cell>
          <cell r="AF220">
            <v>5</v>
          </cell>
          <cell r="AG220">
            <v>8</v>
          </cell>
          <cell r="AH220">
            <v>24</v>
          </cell>
          <cell r="AI220" t="str">
            <v xml:space="preserve">U.S. Dollar                   </v>
          </cell>
          <cell r="AJ220" t="str">
            <v xml:space="preserve"> </v>
          </cell>
          <cell r="AK220" t="str">
            <v xml:space="preserve"> </v>
          </cell>
          <cell r="AL220" t="str">
            <v xml:space="preserve"> </v>
          </cell>
          <cell r="AM220" t="str">
            <v xml:space="preserve"> </v>
          </cell>
          <cell r="AN220" t="str">
            <v xml:space="preserve"> </v>
          </cell>
          <cell r="AO220" t="str">
            <v xml:space="preserve"> </v>
          </cell>
          <cell r="AP220" t="str">
            <v xml:space="preserve"> </v>
          </cell>
          <cell r="AQ220" t="str">
            <v xml:space="preserve"> </v>
          </cell>
        </row>
        <row r="221">
          <cell r="A221" t="str">
            <v>FBH.......664500</v>
          </cell>
          <cell r="B221" t="str">
            <v>2004T12</v>
          </cell>
          <cell r="C221" t="str">
            <v xml:space="preserve">TREND    </v>
          </cell>
          <cell r="D221" t="str">
            <v xml:space="preserve">Trend -  QTD Average/Activity                     </v>
          </cell>
          <cell r="E221" t="str">
            <v>Run: 08/07/03 14:02:44</v>
          </cell>
          <cell r="F221" t="str">
            <v>999</v>
          </cell>
          <cell r="G221" t="str">
            <v>100</v>
          </cell>
          <cell r="H221" t="str">
            <v xml:space="preserve">Bank Of America Management Reporting              </v>
          </cell>
          <cell r="I221" t="str">
            <v>001</v>
          </cell>
          <cell r="J221" t="str">
            <v>FBH.......</v>
          </cell>
          <cell r="K221" t="str">
            <v xml:space="preserve">Cash Securities Technology                        </v>
          </cell>
          <cell r="L221" t="str">
            <v xml:space="preserve"> </v>
          </cell>
          <cell r="M221" t="str">
            <v xml:space="preserve"> </v>
          </cell>
          <cell r="N221" t="str">
            <v>bamgt</v>
          </cell>
          <cell r="O221" t="str">
            <v>40</v>
          </cell>
          <cell r="P221" t="str">
            <v>600000A  662999B  662999C  664500   999999999999999999999999999999999999</v>
          </cell>
          <cell r="Q221" t="str">
            <v xml:space="preserve">none     </v>
          </cell>
          <cell r="R221" t="str">
            <v>RollFCST-Working Version</v>
          </cell>
          <cell r="S221" t="str">
            <v>RollFCST-Working Version</v>
          </cell>
          <cell r="T221" t="str">
            <v xml:space="preserve"> </v>
          </cell>
          <cell r="U221" t="str">
            <v xml:space="preserve"> </v>
          </cell>
          <cell r="V221" t="str">
            <v>664500</v>
          </cell>
          <cell r="W221" t="str">
            <v>4</v>
          </cell>
          <cell r="X221" t="str">
            <v xml:space="preserve">      Postage And Courier               </v>
          </cell>
          <cell r="Y221">
            <v>0</v>
          </cell>
          <cell r="Z221">
            <v>0</v>
          </cell>
          <cell r="AA221">
            <v>0</v>
          </cell>
          <cell r="AB221">
            <v>0</v>
          </cell>
          <cell r="AC221">
            <v>0</v>
          </cell>
          <cell r="AD221">
            <v>0</v>
          </cell>
          <cell r="AE221">
            <v>0</v>
          </cell>
          <cell r="AF221">
            <v>0</v>
          </cell>
          <cell r="AG221">
            <v>1</v>
          </cell>
          <cell r="AH221">
            <v>1</v>
          </cell>
          <cell r="AI221" t="str">
            <v xml:space="preserve">U.S. Dollar                   </v>
          </cell>
          <cell r="AJ221" t="str">
            <v xml:space="preserve"> </v>
          </cell>
          <cell r="AK221" t="str">
            <v xml:space="preserve"> </v>
          </cell>
          <cell r="AL221" t="str">
            <v xml:space="preserve"> </v>
          </cell>
          <cell r="AM221" t="str">
            <v xml:space="preserve"> </v>
          </cell>
          <cell r="AN221" t="str">
            <v xml:space="preserve"> </v>
          </cell>
          <cell r="AO221" t="str">
            <v xml:space="preserve"> </v>
          </cell>
          <cell r="AP221" t="str">
            <v xml:space="preserve"> </v>
          </cell>
          <cell r="AQ221" t="str">
            <v xml:space="preserve"> </v>
          </cell>
        </row>
        <row r="222">
          <cell r="A222" t="str">
            <v>FBH.......665499F</v>
          </cell>
          <cell r="B222" t="str">
            <v>2004T12</v>
          </cell>
          <cell r="C222" t="str">
            <v xml:space="preserve">TREND    </v>
          </cell>
          <cell r="D222" t="str">
            <v xml:space="preserve">Trend -  QTD Average/Activity                     </v>
          </cell>
          <cell r="E222" t="str">
            <v>Run: 08/07/03 14:02:44</v>
          </cell>
          <cell r="F222" t="str">
            <v>999</v>
          </cell>
          <cell r="G222" t="str">
            <v>100</v>
          </cell>
          <cell r="H222" t="str">
            <v xml:space="preserve">Bank Of America Management Reporting              </v>
          </cell>
          <cell r="I222" t="str">
            <v>001</v>
          </cell>
          <cell r="J222" t="str">
            <v>FBH.......</v>
          </cell>
          <cell r="K222" t="str">
            <v xml:space="preserve">Cash Securities Technology                        </v>
          </cell>
          <cell r="L222" t="str">
            <v xml:space="preserve"> </v>
          </cell>
          <cell r="M222" t="str">
            <v xml:space="preserve"> </v>
          </cell>
          <cell r="N222" t="str">
            <v>bamgt</v>
          </cell>
          <cell r="O222" t="str">
            <v>40</v>
          </cell>
          <cell r="P222" t="str">
            <v>600000A  662999B  662999C  665499B  665499D  665499F  999999999999999999</v>
          </cell>
          <cell r="Q222" t="str">
            <v xml:space="preserve">none     </v>
          </cell>
          <cell r="R222" t="str">
            <v>RollFCST-Working Version</v>
          </cell>
          <cell r="S222" t="str">
            <v>RollFCST-Working Version</v>
          </cell>
          <cell r="T222" t="str">
            <v xml:space="preserve"> </v>
          </cell>
          <cell r="U222" t="str">
            <v xml:space="preserve"> </v>
          </cell>
          <cell r="V222" t="str">
            <v>665499F</v>
          </cell>
          <cell r="W222" t="str">
            <v>6</v>
          </cell>
          <cell r="X222" t="str">
            <v xml:space="preserve">          Relocation Expense            </v>
          </cell>
          <cell r="Y222">
            <v>0</v>
          </cell>
          <cell r="Z222">
            <v>0</v>
          </cell>
          <cell r="AA222">
            <v>0</v>
          </cell>
          <cell r="AB222">
            <v>0</v>
          </cell>
          <cell r="AC222">
            <v>0</v>
          </cell>
          <cell r="AD222">
            <v>140</v>
          </cell>
          <cell r="AE222">
            <v>47</v>
          </cell>
          <cell r="AF222">
            <v>47</v>
          </cell>
          <cell r="AG222">
            <v>47</v>
          </cell>
          <cell r="AH222">
            <v>281</v>
          </cell>
          <cell r="AI222" t="str">
            <v xml:space="preserve">U.S. Dollar                   </v>
          </cell>
          <cell r="AJ222" t="str">
            <v xml:space="preserve"> </v>
          </cell>
          <cell r="AK222" t="str">
            <v xml:space="preserve"> </v>
          </cell>
          <cell r="AL222" t="str">
            <v xml:space="preserve"> </v>
          </cell>
          <cell r="AM222" t="str">
            <v xml:space="preserve"> </v>
          </cell>
          <cell r="AN222" t="str">
            <v xml:space="preserve"> </v>
          </cell>
          <cell r="AO222" t="str">
            <v xml:space="preserve"> </v>
          </cell>
          <cell r="AP222" t="str">
            <v xml:space="preserve"> </v>
          </cell>
          <cell r="AQ222" t="str">
            <v xml:space="preserve"> </v>
          </cell>
        </row>
        <row r="223">
          <cell r="A223" t="str">
            <v>FBH.......665499J</v>
          </cell>
          <cell r="B223" t="str">
            <v>2004T12</v>
          </cell>
          <cell r="C223" t="str">
            <v xml:space="preserve">TREND    </v>
          </cell>
          <cell r="D223" t="str">
            <v xml:space="preserve">Trend -  QTD Average/Activity                     </v>
          </cell>
          <cell r="E223" t="str">
            <v>Run: 08/07/03 14:02:44</v>
          </cell>
          <cell r="F223" t="str">
            <v>999</v>
          </cell>
          <cell r="G223" t="str">
            <v>100</v>
          </cell>
          <cell r="H223" t="str">
            <v xml:space="preserve">Bank Of America Management Reporting              </v>
          </cell>
          <cell r="I223" t="str">
            <v>001</v>
          </cell>
          <cell r="J223" t="str">
            <v>FBH.......</v>
          </cell>
          <cell r="K223" t="str">
            <v xml:space="preserve">Cash Securities Technology                        </v>
          </cell>
          <cell r="L223" t="str">
            <v xml:space="preserve"> </v>
          </cell>
          <cell r="M223" t="str">
            <v xml:space="preserve"> </v>
          </cell>
          <cell r="N223" t="str">
            <v>bamgt</v>
          </cell>
          <cell r="O223" t="str">
            <v>40</v>
          </cell>
          <cell r="P223" t="str">
            <v>600000A  662999B  662999C  665499B  665499D  665499H  665499J  999999999</v>
          </cell>
          <cell r="Q223" t="str">
            <v xml:space="preserve">none     </v>
          </cell>
          <cell r="R223" t="str">
            <v>RollFCST-Working Version</v>
          </cell>
          <cell r="S223" t="str">
            <v>RollFCST-Working Version</v>
          </cell>
          <cell r="T223" t="str">
            <v xml:space="preserve"> </v>
          </cell>
          <cell r="U223" t="str">
            <v xml:space="preserve"> </v>
          </cell>
          <cell r="V223" t="str">
            <v>665499J</v>
          </cell>
          <cell r="W223" t="str">
            <v>7</v>
          </cell>
          <cell r="X223" t="str">
            <v xml:space="preserve">            Employee Training &amp; Seminars</v>
          </cell>
          <cell r="Y223">
            <v>27</v>
          </cell>
          <cell r="Z223">
            <v>44</v>
          </cell>
          <cell r="AA223">
            <v>44</v>
          </cell>
          <cell r="AB223">
            <v>32</v>
          </cell>
          <cell r="AC223">
            <v>147</v>
          </cell>
          <cell r="AD223">
            <v>0</v>
          </cell>
          <cell r="AE223">
            <v>0</v>
          </cell>
          <cell r="AF223">
            <v>0</v>
          </cell>
          <cell r="AG223">
            <v>0</v>
          </cell>
          <cell r="AH223">
            <v>0</v>
          </cell>
          <cell r="AI223" t="str">
            <v xml:space="preserve">U.S. Dollar                   </v>
          </cell>
          <cell r="AJ223" t="str">
            <v xml:space="preserve"> </v>
          </cell>
          <cell r="AK223" t="str">
            <v xml:space="preserve"> </v>
          </cell>
          <cell r="AL223" t="str">
            <v xml:space="preserve"> </v>
          </cell>
          <cell r="AM223" t="str">
            <v xml:space="preserve"> </v>
          </cell>
          <cell r="AN223" t="str">
            <v xml:space="preserve"> </v>
          </cell>
          <cell r="AO223" t="str">
            <v xml:space="preserve"> </v>
          </cell>
          <cell r="AP223" t="str">
            <v xml:space="preserve"> </v>
          </cell>
          <cell r="AQ223" t="str">
            <v xml:space="preserve"> </v>
          </cell>
        </row>
        <row r="224">
          <cell r="A224" t="str">
            <v>FBH.......665499H</v>
          </cell>
          <cell r="B224" t="str">
            <v>2004T12</v>
          </cell>
          <cell r="C224" t="str">
            <v xml:space="preserve">TREND    </v>
          </cell>
          <cell r="D224" t="str">
            <v xml:space="preserve">Trend -  QTD Average/Activity                     </v>
          </cell>
          <cell r="E224" t="str">
            <v>Run: 08/07/03 14:02:44</v>
          </cell>
          <cell r="F224" t="str">
            <v>999</v>
          </cell>
          <cell r="G224" t="str">
            <v>100</v>
          </cell>
          <cell r="H224" t="str">
            <v xml:space="preserve">Bank Of America Management Reporting              </v>
          </cell>
          <cell r="I224" t="str">
            <v>001</v>
          </cell>
          <cell r="J224" t="str">
            <v>FBH.......</v>
          </cell>
          <cell r="K224" t="str">
            <v xml:space="preserve">Cash Securities Technology                        </v>
          </cell>
          <cell r="L224" t="str">
            <v xml:space="preserve"> </v>
          </cell>
          <cell r="M224" t="str">
            <v xml:space="preserve"> </v>
          </cell>
          <cell r="N224" t="str">
            <v>bamgt</v>
          </cell>
          <cell r="O224" t="str">
            <v>40</v>
          </cell>
          <cell r="P224" t="str">
            <v>600000A  662999B  662999C  665499B  665499D  665499H  999999999999999999</v>
          </cell>
          <cell r="Q224" t="str">
            <v xml:space="preserve">none     </v>
          </cell>
          <cell r="R224" t="str">
            <v>RollFCST-Working Version</v>
          </cell>
          <cell r="S224" t="str">
            <v>RollFCST-Working Version</v>
          </cell>
          <cell r="T224" t="str">
            <v xml:space="preserve"> </v>
          </cell>
          <cell r="U224" t="str">
            <v xml:space="preserve"> </v>
          </cell>
          <cell r="V224" t="str">
            <v>665499H</v>
          </cell>
          <cell r="W224" t="str">
            <v>6</v>
          </cell>
          <cell r="X224" t="str">
            <v xml:space="preserve">          Other Employee Expense        </v>
          </cell>
          <cell r="Y224">
            <v>27</v>
          </cell>
          <cell r="Z224">
            <v>44</v>
          </cell>
          <cell r="AA224">
            <v>44</v>
          </cell>
          <cell r="AB224">
            <v>32</v>
          </cell>
          <cell r="AC224">
            <v>147</v>
          </cell>
          <cell r="AD224">
            <v>0</v>
          </cell>
          <cell r="AE224">
            <v>0</v>
          </cell>
          <cell r="AF224">
            <v>0</v>
          </cell>
          <cell r="AG224">
            <v>0</v>
          </cell>
          <cell r="AH224">
            <v>0</v>
          </cell>
          <cell r="AI224" t="str">
            <v xml:space="preserve">U.S. Dollar                   </v>
          </cell>
          <cell r="AJ224" t="str">
            <v xml:space="preserve"> </v>
          </cell>
          <cell r="AK224" t="str">
            <v xml:space="preserve"> </v>
          </cell>
          <cell r="AL224" t="str">
            <v xml:space="preserve"> </v>
          </cell>
          <cell r="AM224" t="str">
            <v xml:space="preserve"> </v>
          </cell>
          <cell r="AN224" t="str">
            <v xml:space="preserve"> </v>
          </cell>
          <cell r="AO224" t="str">
            <v xml:space="preserve"> </v>
          </cell>
          <cell r="AP224" t="str">
            <v xml:space="preserve"> </v>
          </cell>
          <cell r="AQ224" t="str">
            <v xml:space="preserve"> </v>
          </cell>
        </row>
        <row r="225">
          <cell r="A225" t="str">
            <v>FBH.......665499D</v>
          </cell>
          <cell r="B225" t="str">
            <v>2004T12</v>
          </cell>
          <cell r="C225" t="str">
            <v xml:space="preserve">TREND    </v>
          </cell>
          <cell r="D225" t="str">
            <v xml:space="preserve">Trend -  QTD Average/Activity                     </v>
          </cell>
          <cell r="E225" t="str">
            <v>Run: 08/07/03 14:02:44</v>
          </cell>
          <cell r="F225" t="str">
            <v>999</v>
          </cell>
          <cell r="G225" t="str">
            <v>100</v>
          </cell>
          <cell r="H225" t="str">
            <v xml:space="preserve">Bank Of America Management Reporting              </v>
          </cell>
          <cell r="I225" t="str">
            <v>001</v>
          </cell>
          <cell r="J225" t="str">
            <v>FBH.......</v>
          </cell>
          <cell r="K225" t="str">
            <v xml:space="preserve">Cash Securities Technology                        </v>
          </cell>
          <cell r="L225" t="str">
            <v xml:space="preserve"> </v>
          </cell>
          <cell r="M225" t="str">
            <v xml:space="preserve"> </v>
          </cell>
          <cell r="N225" t="str">
            <v>bamgt</v>
          </cell>
          <cell r="O225" t="str">
            <v>40</v>
          </cell>
          <cell r="P225" t="str">
            <v>600000A  662999B  662999C  665499B  665499D  999999999999999999999999999</v>
          </cell>
          <cell r="Q225" t="str">
            <v xml:space="preserve">none     </v>
          </cell>
          <cell r="R225" t="str">
            <v>RollFCST-Working Version</v>
          </cell>
          <cell r="S225" t="str">
            <v>RollFCST-Working Version</v>
          </cell>
          <cell r="T225" t="str">
            <v xml:space="preserve"> </v>
          </cell>
          <cell r="U225" t="str">
            <v xml:space="preserve"> </v>
          </cell>
          <cell r="V225" t="str">
            <v>665499D</v>
          </cell>
          <cell r="W225" t="str">
            <v>5</v>
          </cell>
          <cell r="X225" t="str">
            <v xml:space="preserve">        Employee Expense                </v>
          </cell>
          <cell r="Y225">
            <v>27</v>
          </cell>
          <cell r="Z225">
            <v>44</v>
          </cell>
          <cell r="AA225">
            <v>44</v>
          </cell>
          <cell r="AB225">
            <v>32</v>
          </cell>
          <cell r="AC225">
            <v>147</v>
          </cell>
          <cell r="AD225">
            <v>140</v>
          </cell>
          <cell r="AE225">
            <v>47</v>
          </cell>
          <cell r="AF225">
            <v>47</v>
          </cell>
          <cell r="AG225">
            <v>47</v>
          </cell>
          <cell r="AH225">
            <v>281</v>
          </cell>
          <cell r="AI225" t="str">
            <v xml:space="preserve">U.S. Dollar                   </v>
          </cell>
          <cell r="AJ225" t="str">
            <v xml:space="preserve"> </v>
          </cell>
          <cell r="AK225" t="str">
            <v xml:space="preserve"> </v>
          </cell>
          <cell r="AL225" t="str">
            <v xml:space="preserve"> </v>
          </cell>
          <cell r="AM225" t="str">
            <v xml:space="preserve"> </v>
          </cell>
          <cell r="AN225" t="str">
            <v xml:space="preserve"> </v>
          </cell>
          <cell r="AO225" t="str">
            <v xml:space="preserve"> </v>
          </cell>
          <cell r="AP225" t="str">
            <v xml:space="preserve"> </v>
          </cell>
          <cell r="AQ225" t="str">
            <v xml:space="preserve"> </v>
          </cell>
        </row>
        <row r="226">
          <cell r="A226" t="str">
            <v>FBH.......665499B</v>
          </cell>
          <cell r="B226" t="str">
            <v>2004T12</v>
          </cell>
          <cell r="C226" t="str">
            <v xml:space="preserve">TREND    </v>
          </cell>
          <cell r="D226" t="str">
            <v xml:space="preserve">Trend -  QTD Average/Activity                     </v>
          </cell>
          <cell r="E226" t="str">
            <v>Run: 08/07/03 14:02:44</v>
          </cell>
          <cell r="F226" t="str">
            <v>999</v>
          </cell>
          <cell r="G226" t="str">
            <v>100</v>
          </cell>
          <cell r="H226" t="str">
            <v xml:space="preserve">Bank Of America Management Reporting              </v>
          </cell>
          <cell r="I226" t="str">
            <v>001</v>
          </cell>
          <cell r="J226" t="str">
            <v>FBH.......</v>
          </cell>
          <cell r="K226" t="str">
            <v xml:space="preserve">Cash Securities Technology                        </v>
          </cell>
          <cell r="L226" t="str">
            <v xml:space="preserve"> </v>
          </cell>
          <cell r="M226" t="str">
            <v xml:space="preserve"> </v>
          </cell>
          <cell r="N226" t="str">
            <v>bamgt</v>
          </cell>
          <cell r="O226" t="str">
            <v>40</v>
          </cell>
          <cell r="P226" t="str">
            <v>600000A  662999B  662999C  665499B  999999999999999999999999999999999999</v>
          </cell>
          <cell r="Q226" t="str">
            <v xml:space="preserve">none     </v>
          </cell>
          <cell r="R226" t="str">
            <v>RollFCST-Working Version</v>
          </cell>
          <cell r="S226" t="str">
            <v>RollFCST-Working Version</v>
          </cell>
          <cell r="T226" t="str">
            <v xml:space="preserve"> </v>
          </cell>
          <cell r="U226" t="str">
            <v xml:space="preserve"> </v>
          </cell>
          <cell r="V226" t="str">
            <v>665499B</v>
          </cell>
          <cell r="W226" t="str">
            <v>4</v>
          </cell>
          <cell r="X226" t="str">
            <v xml:space="preserve">      Other Operating Expense           </v>
          </cell>
          <cell r="Y226">
            <v>27</v>
          </cell>
          <cell r="Z226">
            <v>69.790000000000006</v>
          </cell>
          <cell r="AA226">
            <v>45</v>
          </cell>
          <cell r="AB226">
            <v>34</v>
          </cell>
          <cell r="AC226">
            <v>175.79</v>
          </cell>
          <cell r="AD226">
            <v>151</v>
          </cell>
          <cell r="AE226">
            <v>76</v>
          </cell>
          <cell r="AF226">
            <v>102</v>
          </cell>
          <cell r="AG226">
            <v>71</v>
          </cell>
          <cell r="AH226">
            <v>400</v>
          </cell>
          <cell r="AI226" t="str">
            <v xml:space="preserve">U.S. Dollar                   </v>
          </cell>
          <cell r="AJ226" t="str">
            <v xml:space="preserve"> </v>
          </cell>
          <cell r="AK226" t="str">
            <v xml:space="preserve"> </v>
          </cell>
          <cell r="AL226" t="str">
            <v xml:space="preserve"> </v>
          </cell>
          <cell r="AM226" t="str">
            <v xml:space="preserve"> </v>
          </cell>
          <cell r="AN226" t="str">
            <v xml:space="preserve"> </v>
          </cell>
          <cell r="AO226" t="str">
            <v xml:space="preserve"> </v>
          </cell>
          <cell r="AP226" t="str">
            <v xml:space="preserve"> </v>
          </cell>
          <cell r="AQ226" t="str">
            <v xml:space="preserve"> </v>
          </cell>
        </row>
        <row r="227">
          <cell r="A227" t="str">
            <v>FBH.......670200</v>
          </cell>
          <cell r="B227" t="str">
            <v>2004T12</v>
          </cell>
          <cell r="C227" t="str">
            <v xml:space="preserve">TREND    </v>
          </cell>
          <cell r="D227" t="str">
            <v xml:space="preserve">Trend -  QTD Average/Activity                     </v>
          </cell>
          <cell r="E227" t="str">
            <v>Run: 08/07/03 14:02:44</v>
          </cell>
          <cell r="F227" t="str">
            <v>999</v>
          </cell>
          <cell r="G227" t="str">
            <v>100</v>
          </cell>
          <cell r="H227" t="str">
            <v xml:space="preserve">Bank Of America Management Reporting              </v>
          </cell>
          <cell r="I227" t="str">
            <v>001</v>
          </cell>
          <cell r="J227" t="str">
            <v>FBH.......</v>
          </cell>
          <cell r="K227" t="str">
            <v xml:space="preserve">Cash Securities Technology                        </v>
          </cell>
          <cell r="L227" t="str">
            <v xml:space="preserve"> </v>
          </cell>
          <cell r="M227" t="str">
            <v xml:space="preserve"> </v>
          </cell>
          <cell r="N227" t="str">
            <v>bamgt</v>
          </cell>
          <cell r="O227" t="str">
            <v>40</v>
          </cell>
          <cell r="P227" t="str">
            <v>600000A  662999B  670000B  670200   999999999999999999999999999999999999</v>
          </cell>
          <cell r="Q227" t="str">
            <v xml:space="preserve">none     </v>
          </cell>
          <cell r="R227" t="str">
            <v>RollFCST-Working Version</v>
          </cell>
          <cell r="S227" t="str">
            <v>RollFCST-Working Version</v>
          </cell>
          <cell r="T227" t="str">
            <v xml:space="preserve"> </v>
          </cell>
          <cell r="U227" t="str">
            <v xml:space="preserve"> </v>
          </cell>
          <cell r="V227" t="str">
            <v>670200</v>
          </cell>
          <cell r="W227" t="str">
            <v>4</v>
          </cell>
          <cell r="X227" t="str">
            <v xml:space="preserve">      Travel                            </v>
          </cell>
          <cell r="Y227">
            <v>60</v>
          </cell>
          <cell r="Z227">
            <v>80</v>
          </cell>
          <cell r="AA227">
            <v>76</v>
          </cell>
          <cell r="AB227">
            <v>65</v>
          </cell>
          <cell r="AC227">
            <v>281</v>
          </cell>
          <cell r="AD227">
            <v>37</v>
          </cell>
          <cell r="AE227">
            <v>61</v>
          </cell>
          <cell r="AF227">
            <v>62</v>
          </cell>
          <cell r="AG227">
            <v>60</v>
          </cell>
          <cell r="AH227">
            <v>220</v>
          </cell>
          <cell r="AI227" t="str">
            <v xml:space="preserve">U.S. Dollar                   </v>
          </cell>
          <cell r="AJ227" t="str">
            <v xml:space="preserve"> </v>
          </cell>
          <cell r="AK227" t="str">
            <v xml:space="preserve"> </v>
          </cell>
          <cell r="AL227" t="str">
            <v xml:space="preserve"> </v>
          </cell>
          <cell r="AM227" t="str">
            <v xml:space="preserve"> </v>
          </cell>
          <cell r="AN227" t="str">
            <v xml:space="preserve"> </v>
          </cell>
          <cell r="AO227" t="str">
            <v xml:space="preserve"> </v>
          </cell>
          <cell r="AP227" t="str">
            <v xml:space="preserve"> </v>
          </cell>
          <cell r="AQ227" t="str">
            <v xml:space="preserve"> </v>
          </cell>
        </row>
        <row r="228">
          <cell r="A228" t="str">
            <v>FBH.......670800</v>
          </cell>
          <cell r="B228" t="str">
            <v>2004T12</v>
          </cell>
          <cell r="C228" t="str">
            <v xml:space="preserve">TREND    </v>
          </cell>
          <cell r="D228" t="str">
            <v xml:space="preserve">Trend -  QTD Average/Activity                     </v>
          </cell>
          <cell r="E228" t="str">
            <v>Run: 08/07/03 14:02:44</v>
          </cell>
          <cell r="F228" t="str">
            <v>999</v>
          </cell>
          <cell r="G228" t="str">
            <v>100</v>
          </cell>
          <cell r="H228" t="str">
            <v xml:space="preserve">Bank Of America Management Reporting              </v>
          </cell>
          <cell r="I228" t="str">
            <v>001</v>
          </cell>
          <cell r="J228" t="str">
            <v>FBH.......</v>
          </cell>
          <cell r="K228" t="str">
            <v xml:space="preserve">Cash Securities Technology                        </v>
          </cell>
          <cell r="L228" t="str">
            <v xml:space="preserve"> </v>
          </cell>
          <cell r="M228" t="str">
            <v xml:space="preserve"> </v>
          </cell>
          <cell r="N228" t="str">
            <v>bamgt</v>
          </cell>
          <cell r="O228" t="str">
            <v>40</v>
          </cell>
          <cell r="P228" t="str">
            <v>600000A  662999B  670000B  670800   999999999999999999999999999999999999</v>
          </cell>
          <cell r="Q228" t="str">
            <v xml:space="preserve">none     </v>
          </cell>
          <cell r="R228" t="str">
            <v>RollFCST-Working Version</v>
          </cell>
          <cell r="S228" t="str">
            <v>RollFCST-Working Version</v>
          </cell>
          <cell r="T228" t="str">
            <v xml:space="preserve"> </v>
          </cell>
          <cell r="U228" t="str">
            <v xml:space="preserve"> </v>
          </cell>
          <cell r="V228" t="str">
            <v>670800</v>
          </cell>
          <cell r="W228" t="str">
            <v>4</v>
          </cell>
          <cell r="X228" t="str">
            <v xml:space="preserve">      Taxes Other Than Income           </v>
          </cell>
          <cell r="Y228">
            <v>0</v>
          </cell>
          <cell r="Z228">
            <v>0</v>
          </cell>
          <cell r="AA228">
            <v>0</v>
          </cell>
          <cell r="AB228">
            <v>0</v>
          </cell>
          <cell r="AC228">
            <v>0</v>
          </cell>
          <cell r="AD228">
            <v>0</v>
          </cell>
          <cell r="AE228">
            <v>0</v>
          </cell>
          <cell r="AF228">
            <v>0</v>
          </cell>
          <cell r="AG228">
            <v>0</v>
          </cell>
          <cell r="AH228">
            <v>0</v>
          </cell>
          <cell r="AI228" t="str">
            <v xml:space="preserve">U.S. Dollar                   </v>
          </cell>
          <cell r="AJ228" t="str">
            <v xml:space="preserve"> </v>
          </cell>
          <cell r="AK228" t="str">
            <v xml:space="preserve"> </v>
          </cell>
          <cell r="AL228" t="str">
            <v xml:space="preserve"> </v>
          </cell>
          <cell r="AM228" t="str">
            <v xml:space="preserve"> </v>
          </cell>
          <cell r="AN228" t="str">
            <v xml:space="preserve"> </v>
          </cell>
          <cell r="AO228" t="str">
            <v xml:space="preserve"> </v>
          </cell>
          <cell r="AP228" t="str">
            <v xml:space="preserve"> </v>
          </cell>
          <cell r="AQ228" t="str">
            <v xml:space="preserve"> </v>
          </cell>
        </row>
        <row r="229">
          <cell r="A229" t="str">
            <v>FBH.......671200</v>
          </cell>
          <cell r="B229" t="str">
            <v>2004T12</v>
          </cell>
          <cell r="C229" t="str">
            <v xml:space="preserve">TREND    </v>
          </cell>
          <cell r="D229" t="str">
            <v xml:space="preserve">Trend -  QTD Average/Activity                     </v>
          </cell>
          <cell r="E229" t="str">
            <v>Run: 08/07/03 14:02:44</v>
          </cell>
          <cell r="F229" t="str">
            <v>999</v>
          </cell>
          <cell r="G229" t="str">
            <v>100</v>
          </cell>
          <cell r="H229" t="str">
            <v xml:space="preserve">Bank Of America Management Reporting              </v>
          </cell>
          <cell r="I229" t="str">
            <v>001</v>
          </cell>
          <cell r="J229" t="str">
            <v>FBH.......</v>
          </cell>
          <cell r="K229" t="str">
            <v xml:space="preserve">Cash Securities Technology                        </v>
          </cell>
          <cell r="L229" t="str">
            <v xml:space="preserve"> </v>
          </cell>
          <cell r="M229" t="str">
            <v xml:space="preserve"> </v>
          </cell>
          <cell r="N229" t="str">
            <v>bamgt</v>
          </cell>
          <cell r="O229" t="str">
            <v>40</v>
          </cell>
          <cell r="P229" t="str">
            <v>600000A  662999B  670000B  671200   999999999999999999999999999999999999</v>
          </cell>
          <cell r="Q229" t="str">
            <v xml:space="preserve">none     </v>
          </cell>
          <cell r="R229" t="str">
            <v>RollFCST-Working Version</v>
          </cell>
          <cell r="S229" t="str">
            <v>RollFCST-Working Version</v>
          </cell>
          <cell r="T229" t="str">
            <v xml:space="preserve"> </v>
          </cell>
          <cell r="U229" t="str">
            <v xml:space="preserve"> </v>
          </cell>
          <cell r="V229" t="str">
            <v>671200</v>
          </cell>
          <cell r="W229" t="str">
            <v>4</v>
          </cell>
          <cell r="X229" t="str">
            <v xml:space="preserve">      Subscription Services             </v>
          </cell>
          <cell r="Y229">
            <v>91</v>
          </cell>
          <cell r="Z229">
            <v>84.41</v>
          </cell>
          <cell r="AA229">
            <v>100</v>
          </cell>
          <cell r="AB229">
            <v>177</v>
          </cell>
          <cell r="AC229">
            <v>452.41</v>
          </cell>
          <cell r="AD229">
            <v>180</v>
          </cell>
          <cell r="AE229">
            <v>178</v>
          </cell>
          <cell r="AF229">
            <v>179</v>
          </cell>
          <cell r="AG229">
            <v>180</v>
          </cell>
          <cell r="AH229">
            <v>717</v>
          </cell>
          <cell r="AI229" t="str">
            <v xml:space="preserve">U.S. Dollar                   </v>
          </cell>
          <cell r="AJ229" t="str">
            <v xml:space="preserve"> </v>
          </cell>
          <cell r="AK229" t="str">
            <v xml:space="preserve"> </v>
          </cell>
          <cell r="AL229" t="str">
            <v xml:space="preserve"> </v>
          </cell>
          <cell r="AM229" t="str">
            <v xml:space="preserve"> </v>
          </cell>
          <cell r="AN229" t="str">
            <v xml:space="preserve"> </v>
          </cell>
          <cell r="AO229" t="str">
            <v xml:space="preserve"> </v>
          </cell>
          <cell r="AP229" t="str">
            <v xml:space="preserve"> </v>
          </cell>
          <cell r="AQ229" t="str">
            <v xml:space="preserve"> </v>
          </cell>
        </row>
        <row r="230">
          <cell r="A230" t="str">
            <v>FBH.......671500</v>
          </cell>
          <cell r="B230" t="str">
            <v>2004T12</v>
          </cell>
          <cell r="C230" t="str">
            <v xml:space="preserve">TREND    </v>
          </cell>
          <cell r="D230" t="str">
            <v xml:space="preserve">Trend -  QTD Average/Activity                     </v>
          </cell>
          <cell r="E230" t="str">
            <v>Run: 08/07/03 14:02:44</v>
          </cell>
          <cell r="F230" t="str">
            <v>999</v>
          </cell>
          <cell r="G230" t="str">
            <v>100</v>
          </cell>
          <cell r="H230" t="str">
            <v xml:space="preserve">Bank Of America Management Reporting              </v>
          </cell>
          <cell r="I230" t="str">
            <v>001</v>
          </cell>
          <cell r="J230" t="str">
            <v>FBH.......</v>
          </cell>
          <cell r="K230" t="str">
            <v xml:space="preserve">Cash Securities Technology                        </v>
          </cell>
          <cell r="L230" t="str">
            <v xml:space="preserve"> </v>
          </cell>
          <cell r="M230" t="str">
            <v xml:space="preserve"> </v>
          </cell>
          <cell r="N230" t="str">
            <v>bamgt</v>
          </cell>
          <cell r="O230" t="str">
            <v>40</v>
          </cell>
          <cell r="P230" t="str">
            <v>600000A  662999B  670000B  671500   999999999999999999999999999999999999</v>
          </cell>
          <cell r="Q230" t="str">
            <v xml:space="preserve">none     </v>
          </cell>
          <cell r="R230" t="str">
            <v>RollFCST-Working Version</v>
          </cell>
          <cell r="S230" t="str">
            <v>RollFCST-Working Version</v>
          </cell>
          <cell r="T230" t="str">
            <v xml:space="preserve"> </v>
          </cell>
          <cell r="U230" t="str">
            <v xml:space="preserve"> </v>
          </cell>
          <cell r="V230" t="str">
            <v>671500</v>
          </cell>
          <cell r="W230" t="str">
            <v>4</v>
          </cell>
          <cell r="X230" t="str">
            <v xml:space="preserve">      Other Administrative Expenses     </v>
          </cell>
          <cell r="Y230">
            <v>67</v>
          </cell>
          <cell r="Z230">
            <v>34</v>
          </cell>
          <cell r="AA230">
            <v>49</v>
          </cell>
          <cell r="AB230">
            <v>54</v>
          </cell>
          <cell r="AC230">
            <v>204</v>
          </cell>
          <cell r="AD230">
            <v>5</v>
          </cell>
          <cell r="AE230">
            <v>5</v>
          </cell>
          <cell r="AF230">
            <v>5</v>
          </cell>
          <cell r="AG230">
            <v>5</v>
          </cell>
          <cell r="AH230">
            <v>20</v>
          </cell>
          <cell r="AI230" t="str">
            <v xml:space="preserve">U.S. Dollar                   </v>
          </cell>
          <cell r="AJ230" t="str">
            <v xml:space="preserve"> </v>
          </cell>
          <cell r="AK230" t="str">
            <v xml:space="preserve"> </v>
          </cell>
          <cell r="AL230" t="str">
            <v xml:space="preserve"> </v>
          </cell>
          <cell r="AM230" t="str">
            <v xml:space="preserve"> </v>
          </cell>
          <cell r="AN230" t="str">
            <v xml:space="preserve"> </v>
          </cell>
          <cell r="AO230" t="str">
            <v xml:space="preserve"> </v>
          </cell>
          <cell r="AP230" t="str">
            <v xml:space="preserve"> </v>
          </cell>
          <cell r="AQ230" t="str">
            <v xml:space="preserve"> </v>
          </cell>
        </row>
        <row r="231">
          <cell r="A231" t="str">
            <v>FBH.......675000</v>
          </cell>
          <cell r="B231" t="str">
            <v>2004T12</v>
          </cell>
          <cell r="C231" t="str">
            <v xml:space="preserve">TREND    </v>
          </cell>
          <cell r="D231" t="str">
            <v xml:space="preserve">Trend -  QTD Average/Activity                     </v>
          </cell>
          <cell r="E231" t="str">
            <v>Run: 08/07/03 14:02:44</v>
          </cell>
          <cell r="F231" t="str">
            <v>999</v>
          </cell>
          <cell r="G231" t="str">
            <v>100</v>
          </cell>
          <cell r="H231" t="str">
            <v xml:space="preserve">Bank Of America Management Reporting              </v>
          </cell>
          <cell r="I231" t="str">
            <v>001</v>
          </cell>
          <cell r="J231" t="str">
            <v>FBH.......</v>
          </cell>
          <cell r="K231" t="str">
            <v xml:space="preserve">Cash Securities Technology                        </v>
          </cell>
          <cell r="L231" t="str">
            <v xml:space="preserve"> </v>
          </cell>
          <cell r="M231" t="str">
            <v xml:space="preserve"> </v>
          </cell>
          <cell r="N231" t="str">
            <v>bamgt</v>
          </cell>
          <cell r="O231" t="str">
            <v>40</v>
          </cell>
          <cell r="P231" t="str">
            <v>600000A  675000   999999999999999999999999999999999999999999999999999999</v>
          </cell>
          <cell r="Q231" t="str">
            <v xml:space="preserve">none     </v>
          </cell>
          <cell r="R231" t="str">
            <v>RollFCST-Working Version</v>
          </cell>
          <cell r="S231" t="str">
            <v>RollFCST-Working Version</v>
          </cell>
          <cell r="T231" t="str">
            <v xml:space="preserve"> </v>
          </cell>
          <cell r="U231" t="str">
            <v xml:space="preserve"> </v>
          </cell>
          <cell r="V231" t="str">
            <v>675000</v>
          </cell>
          <cell r="W231" t="str">
            <v>2</v>
          </cell>
          <cell r="X231" t="str">
            <v xml:space="preserve">  Intercompany Expense                  </v>
          </cell>
          <cell r="Y231">
            <v>0</v>
          </cell>
          <cell r="Z231">
            <v>0</v>
          </cell>
          <cell r="AA231">
            <v>0</v>
          </cell>
          <cell r="AB231">
            <v>0</v>
          </cell>
          <cell r="AC231">
            <v>0</v>
          </cell>
          <cell r="AD231">
            <v>0</v>
          </cell>
          <cell r="AE231">
            <v>0</v>
          </cell>
          <cell r="AF231">
            <v>0</v>
          </cell>
          <cell r="AG231">
            <v>0</v>
          </cell>
          <cell r="AH231">
            <v>0</v>
          </cell>
          <cell r="AI231" t="str">
            <v xml:space="preserve">U.S. Dollar                   </v>
          </cell>
          <cell r="AJ231" t="str">
            <v xml:space="preserve"> </v>
          </cell>
          <cell r="AK231" t="str">
            <v xml:space="preserve"> </v>
          </cell>
          <cell r="AL231" t="str">
            <v xml:space="preserve"> </v>
          </cell>
          <cell r="AM231" t="str">
            <v xml:space="preserve"> </v>
          </cell>
          <cell r="AN231" t="str">
            <v xml:space="preserve"> </v>
          </cell>
          <cell r="AO231" t="str">
            <v xml:space="preserve"> </v>
          </cell>
          <cell r="AP231" t="str">
            <v xml:space="preserve"> </v>
          </cell>
          <cell r="AQ231" t="str">
            <v xml:space="preserve"> </v>
          </cell>
        </row>
        <row r="232">
          <cell r="A232" t="str">
            <v>FBH.......NIEBA-B</v>
          </cell>
          <cell r="B232" t="str">
            <v>2004T12</v>
          </cell>
          <cell r="C232" t="str">
            <v xml:space="preserve">TREND    </v>
          </cell>
          <cell r="D232" t="str">
            <v xml:space="preserve">Trend -  QTD Average/Activity                     </v>
          </cell>
          <cell r="E232" t="str">
            <v>Run: 08/07/03 14:02:44</v>
          </cell>
          <cell r="F232" t="str">
            <v>999</v>
          </cell>
          <cell r="G232" t="str">
            <v>100</v>
          </cell>
          <cell r="H232" t="str">
            <v xml:space="preserve">Bank Of America Management Reporting              </v>
          </cell>
          <cell r="I232" t="str">
            <v>001</v>
          </cell>
          <cell r="J232" t="str">
            <v>FBH.......</v>
          </cell>
          <cell r="K232" t="str">
            <v xml:space="preserve">Cash Securities Technology                        </v>
          </cell>
          <cell r="L232" t="str">
            <v xml:space="preserve"> </v>
          </cell>
          <cell r="M232" t="str">
            <v xml:space="preserve"> </v>
          </cell>
          <cell r="N232" t="str">
            <v>bamgt</v>
          </cell>
          <cell r="O232" t="str">
            <v>40</v>
          </cell>
          <cell r="P232" t="str">
            <v xml:space="preserve">600000A  675000A  999999999999999999999999999NIEBA-B                    </v>
          </cell>
          <cell r="Q232" t="str">
            <v xml:space="preserve">none     </v>
          </cell>
          <cell r="R232" t="str">
            <v>RollFCST-Working Version</v>
          </cell>
          <cell r="S232" t="str">
            <v>RollFCST-Working Version</v>
          </cell>
          <cell r="T232" t="str">
            <v xml:space="preserve"> </v>
          </cell>
          <cell r="U232" t="str">
            <v xml:space="preserve"> </v>
          </cell>
          <cell r="V232" t="str">
            <v>NIEBA-B</v>
          </cell>
          <cell r="W232" t="str">
            <v>0</v>
          </cell>
          <cell r="X232" t="str">
            <v xml:space="preserve">Sub-Tot Non Int Exp Before Cost         </v>
          </cell>
          <cell r="Y232">
            <v>5096.5168000000003</v>
          </cell>
          <cell r="Z232">
            <v>5700.1468000000004</v>
          </cell>
          <cell r="AA232">
            <v>5863.5331999999999</v>
          </cell>
          <cell r="AB232">
            <v>5249.5932000000003</v>
          </cell>
          <cell r="AC232">
            <v>21909.79</v>
          </cell>
          <cell r="AD232">
            <v>4994.26</v>
          </cell>
          <cell r="AE232">
            <v>4872.7</v>
          </cell>
          <cell r="AF232">
            <v>4646.625</v>
          </cell>
          <cell r="AG232">
            <v>4801.625</v>
          </cell>
          <cell r="AH232">
            <v>19315.21</v>
          </cell>
          <cell r="AI232" t="str">
            <v xml:space="preserve">U.S. Dollar                   </v>
          </cell>
          <cell r="AJ232" t="str">
            <v xml:space="preserve"> </v>
          </cell>
          <cell r="AK232" t="str">
            <v xml:space="preserve"> </v>
          </cell>
          <cell r="AL232" t="str">
            <v xml:space="preserve"> </v>
          </cell>
          <cell r="AM232" t="str">
            <v xml:space="preserve"> </v>
          </cell>
          <cell r="AN232" t="str">
            <v xml:space="preserve"> </v>
          </cell>
          <cell r="AO232" t="str">
            <v xml:space="preserve"> </v>
          </cell>
          <cell r="AP232" t="str">
            <v xml:space="preserve"> </v>
          </cell>
          <cell r="AQ232" t="str">
            <v xml:space="preserve"> </v>
          </cell>
        </row>
        <row r="233">
          <cell r="A233" t="str">
            <v>FBZ.......600300</v>
          </cell>
          <cell r="B233" t="str">
            <v>2004T12</v>
          </cell>
          <cell r="C233" t="str">
            <v xml:space="preserve">TREND    </v>
          </cell>
          <cell r="D233" t="str">
            <v xml:space="preserve">Trend -  QTD Average/Activity                     </v>
          </cell>
          <cell r="E233" t="str">
            <v>Run: 08/07/03 14:02:44</v>
          </cell>
          <cell r="F233" t="str">
            <v>999</v>
          </cell>
          <cell r="G233" t="str">
            <v>100</v>
          </cell>
          <cell r="H233" t="str">
            <v xml:space="preserve">Bank Of America Management Reporting              </v>
          </cell>
          <cell r="I233" t="str">
            <v>001</v>
          </cell>
          <cell r="J233" t="str">
            <v>FBZ.......</v>
          </cell>
          <cell r="K233" t="str">
            <v xml:space="preserve">Global Ops Admin                                  </v>
          </cell>
          <cell r="L233" t="str">
            <v xml:space="preserve"> </v>
          </cell>
          <cell r="M233" t="str">
            <v xml:space="preserve"> </v>
          </cell>
          <cell r="N233" t="str">
            <v>bamgt</v>
          </cell>
          <cell r="O233" t="str">
            <v>40</v>
          </cell>
          <cell r="P233" t="str">
            <v>600000A  600250   999999999600300   999999999999999999999999999999999999</v>
          </cell>
          <cell r="Q233" t="str">
            <v xml:space="preserve">none     </v>
          </cell>
          <cell r="R233" t="str">
            <v>RollFCST-Working Version</v>
          </cell>
          <cell r="S233" t="str">
            <v>RollFCST-Working Version</v>
          </cell>
          <cell r="T233" t="str">
            <v xml:space="preserve"> </v>
          </cell>
          <cell r="U233" t="str">
            <v xml:space="preserve"> </v>
          </cell>
          <cell r="V233" t="str">
            <v>600300</v>
          </cell>
          <cell r="W233" t="str">
            <v>4</v>
          </cell>
          <cell r="X233" t="str">
            <v xml:space="preserve">      Salaries &amp; Wages                  </v>
          </cell>
          <cell r="Y233">
            <v>72</v>
          </cell>
          <cell r="Z233">
            <v>40</v>
          </cell>
          <cell r="AA233">
            <v>30</v>
          </cell>
          <cell r="AB233">
            <v>30</v>
          </cell>
          <cell r="AC233">
            <v>172</v>
          </cell>
          <cell r="AD233">
            <v>467</v>
          </cell>
          <cell r="AE233">
            <v>86</v>
          </cell>
          <cell r="AF233">
            <v>27</v>
          </cell>
          <cell r="AG233">
            <v>27</v>
          </cell>
          <cell r="AH233">
            <v>607</v>
          </cell>
          <cell r="AI233" t="str">
            <v xml:space="preserve">U.S. Dollar                   </v>
          </cell>
          <cell r="AJ233" t="str">
            <v xml:space="preserve"> </v>
          </cell>
          <cell r="AK233" t="str">
            <v xml:space="preserve"> </v>
          </cell>
          <cell r="AL233" t="str">
            <v xml:space="preserve"> </v>
          </cell>
          <cell r="AM233" t="str">
            <v xml:space="preserve"> </v>
          </cell>
          <cell r="AN233" t="str">
            <v xml:space="preserve"> </v>
          </cell>
          <cell r="AO233" t="str">
            <v xml:space="preserve"> </v>
          </cell>
          <cell r="AP233" t="str">
            <v xml:space="preserve"> </v>
          </cell>
          <cell r="AQ233" t="str">
            <v xml:space="preserve"> </v>
          </cell>
        </row>
        <row r="234">
          <cell r="A234" t="str">
            <v>FBZ.......601000</v>
          </cell>
          <cell r="B234" t="str">
            <v>2004T12</v>
          </cell>
          <cell r="C234" t="str">
            <v xml:space="preserve">TREND    </v>
          </cell>
          <cell r="D234" t="str">
            <v xml:space="preserve">Trend -  QTD Average/Activity                     </v>
          </cell>
          <cell r="E234" t="str">
            <v>Run: 08/07/03 14:02:44</v>
          </cell>
          <cell r="F234" t="str">
            <v>999</v>
          </cell>
          <cell r="G234" t="str">
            <v>100</v>
          </cell>
          <cell r="H234" t="str">
            <v xml:space="preserve">Bank Of America Management Reporting              </v>
          </cell>
          <cell r="I234" t="str">
            <v>001</v>
          </cell>
          <cell r="J234" t="str">
            <v>FBZ.......</v>
          </cell>
          <cell r="K234" t="str">
            <v xml:space="preserve">Global Ops Admin                                  </v>
          </cell>
          <cell r="L234" t="str">
            <v xml:space="preserve"> </v>
          </cell>
          <cell r="M234" t="str">
            <v xml:space="preserve"> </v>
          </cell>
          <cell r="N234" t="str">
            <v>bamgt</v>
          </cell>
          <cell r="O234" t="str">
            <v>40</v>
          </cell>
          <cell r="P234" t="str">
            <v>600000A  600250   999999999601000   999999999999999999999999999999999999</v>
          </cell>
          <cell r="Q234" t="str">
            <v xml:space="preserve">none     </v>
          </cell>
          <cell r="R234" t="str">
            <v>RollFCST-Working Version</v>
          </cell>
          <cell r="S234" t="str">
            <v>RollFCST-Working Version</v>
          </cell>
          <cell r="T234" t="str">
            <v xml:space="preserve"> </v>
          </cell>
          <cell r="U234" t="str">
            <v xml:space="preserve"> </v>
          </cell>
          <cell r="V234" t="str">
            <v>601000</v>
          </cell>
          <cell r="W234" t="str">
            <v>4</v>
          </cell>
          <cell r="X234" t="str">
            <v xml:space="preserve">      Overtime Salaries                 </v>
          </cell>
          <cell r="Y234">
            <v>0</v>
          </cell>
          <cell r="Z234">
            <v>0</v>
          </cell>
          <cell r="AA234">
            <v>0</v>
          </cell>
          <cell r="AB234">
            <v>0</v>
          </cell>
          <cell r="AC234">
            <v>0</v>
          </cell>
          <cell r="AD234">
            <v>0</v>
          </cell>
          <cell r="AE234">
            <v>0</v>
          </cell>
          <cell r="AF234">
            <v>0</v>
          </cell>
          <cell r="AG234">
            <v>0</v>
          </cell>
          <cell r="AH234">
            <v>0</v>
          </cell>
          <cell r="AI234" t="str">
            <v xml:space="preserve">U.S. Dollar                   </v>
          </cell>
          <cell r="AJ234" t="str">
            <v xml:space="preserve"> </v>
          </cell>
          <cell r="AK234" t="str">
            <v xml:space="preserve"> </v>
          </cell>
          <cell r="AL234" t="str">
            <v xml:space="preserve"> </v>
          </cell>
          <cell r="AM234" t="str">
            <v xml:space="preserve"> </v>
          </cell>
          <cell r="AN234" t="str">
            <v xml:space="preserve"> </v>
          </cell>
          <cell r="AO234" t="str">
            <v xml:space="preserve"> </v>
          </cell>
          <cell r="AP234" t="str">
            <v xml:space="preserve"> </v>
          </cell>
          <cell r="AQ234" t="str">
            <v xml:space="preserve"> </v>
          </cell>
        </row>
        <row r="235">
          <cell r="A235" t="str">
            <v>FBZ.......602400</v>
          </cell>
          <cell r="B235" t="str">
            <v>2004T12</v>
          </cell>
          <cell r="C235" t="str">
            <v xml:space="preserve">TREND    </v>
          </cell>
          <cell r="D235" t="str">
            <v xml:space="preserve">Trend -  QTD Average/Activity                     </v>
          </cell>
          <cell r="E235" t="str">
            <v>Run: 08/07/03 14:02:44</v>
          </cell>
          <cell r="F235" t="str">
            <v>999</v>
          </cell>
          <cell r="G235" t="str">
            <v>100</v>
          </cell>
          <cell r="H235" t="str">
            <v xml:space="preserve">Bank Of America Management Reporting              </v>
          </cell>
          <cell r="I235" t="str">
            <v>001</v>
          </cell>
          <cell r="J235" t="str">
            <v>FBZ.......</v>
          </cell>
          <cell r="K235" t="str">
            <v xml:space="preserve">Global Ops Admin                                  </v>
          </cell>
          <cell r="L235" t="str">
            <v xml:space="preserve"> </v>
          </cell>
          <cell r="M235" t="str">
            <v xml:space="preserve"> </v>
          </cell>
          <cell r="N235" t="str">
            <v>bamgt</v>
          </cell>
          <cell r="O235" t="str">
            <v>40</v>
          </cell>
          <cell r="P235" t="str">
            <v>600000A  600250   999999999602000   602400   999999999999999999999999999</v>
          </cell>
          <cell r="Q235" t="str">
            <v xml:space="preserve">none     </v>
          </cell>
          <cell r="R235" t="str">
            <v>RollFCST-Working Version</v>
          </cell>
          <cell r="S235" t="str">
            <v>RollFCST-Working Version</v>
          </cell>
          <cell r="T235" t="str">
            <v xml:space="preserve"> </v>
          </cell>
          <cell r="U235" t="str">
            <v xml:space="preserve"> </v>
          </cell>
          <cell r="V235" t="str">
            <v>602400</v>
          </cell>
          <cell r="W235" t="str">
            <v>5</v>
          </cell>
          <cell r="X235" t="str">
            <v xml:space="preserve">        Other Employee Compensation     </v>
          </cell>
          <cell r="Y235">
            <v>0</v>
          </cell>
          <cell r="Z235">
            <v>0</v>
          </cell>
          <cell r="AA235">
            <v>0</v>
          </cell>
          <cell r="AB235">
            <v>0</v>
          </cell>
          <cell r="AC235">
            <v>0</v>
          </cell>
          <cell r="AD235">
            <v>68</v>
          </cell>
          <cell r="AE235">
            <v>68</v>
          </cell>
          <cell r="AF235">
            <v>68</v>
          </cell>
          <cell r="AG235">
            <v>68</v>
          </cell>
          <cell r="AH235">
            <v>272</v>
          </cell>
          <cell r="AI235" t="str">
            <v xml:space="preserve">U.S. Dollar                   </v>
          </cell>
          <cell r="AJ235" t="str">
            <v xml:space="preserve"> </v>
          </cell>
          <cell r="AK235" t="str">
            <v xml:space="preserve"> </v>
          </cell>
          <cell r="AL235" t="str">
            <v xml:space="preserve"> </v>
          </cell>
          <cell r="AM235" t="str">
            <v xml:space="preserve"> </v>
          </cell>
          <cell r="AN235" t="str">
            <v xml:space="preserve"> </v>
          </cell>
          <cell r="AO235" t="str">
            <v xml:space="preserve"> </v>
          </cell>
          <cell r="AP235" t="str">
            <v xml:space="preserve"> </v>
          </cell>
          <cell r="AQ235" t="str">
            <v xml:space="preserve"> </v>
          </cell>
        </row>
        <row r="236">
          <cell r="A236" t="str">
            <v>FBZ.......602000</v>
          </cell>
          <cell r="B236" t="str">
            <v>2004T12</v>
          </cell>
          <cell r="C236" t="str">
            <v xml:space="preserve">TREND    </v>
          </cell>
          <cell r="D236" t="str">
            <v xml:space="preserve">Trend -  QTD Average/Activity                     </v>
          </cell>
          <cell r="E236" t="str">
            <v>Run: 08/07/03 14:02:44</v>
          </cell>
          <cell r="F236" t="str">
            <v>999</v>
          </cell>
          <cell r="G236" t="str">
            <v>100</v>
          </cell>
          <cell r="H236" t="str">
            <v xml:space="preserve">Bank Of America Management Reporting              </v>
          </cell>
          <cell r="I236" t="str">
            <v>001</v>
          </cell>
          <cell r="J236" t="str">
            <v>FBZ.......</v>
          </cell>
          <cell r="K236" t="str">
            <v xml:space="preserve">Global Ops Admin                                  </v>
          </cell>
          <cell r="L236" t="str">
            <v xml:space="preserve"> </v>
          </cell>
          <cell r="M236" t="str">
            <v xml:space="preserve"> </v>
          </cell>
          <cell r="N236" t="str">
            <v>bamgt</v>
          </cell>
          <cell r="O236" t="str">
            <v>40</v>
          </cell>
          <cell r="P236" t="str">
            <v>600000A  600250   999999999602000   999999999999999999999999999999999999</v>
          </cell>
          <cell r="Q236" t="str">
            <v xml:space="preserve">none     </v>
          </cell>
          <cell r="R236" t="str">
            <v>RollFCST-Working Version</v>
          </cell>
          <cell r="S236" t="str">
            <v>RollFCST-Working Version</v>
          </cell>
          <cell r="T236" t="str">
            <v xml:space="preserve"> </v>
          </cell>
          <cell r="U236" t="str">
            <v xml:space="preserve"> </v>
          </cell>
          <cell r="V236" t="str">
            <v>602000</v>
          </cell>
          <cell r="W236" t="str">
            <v>4</v>
          </cell>
          <cell r="X236" t="str">
            <v xml:space="preserve">      Contract Temporary/Other Compensat</v>
          </cell>
          <cell r="Y236">
            <v>61</v>
          </cell>
          <cell r="Z236">
            <v>-35</v>
          </cell>
          <cell r="AA236">
            <v>50</v>
          </cell>
          <cell r="AB236">
            <v>50</v>
          </cell>
          <cell r="AC236">
            <v>126</v>
          </cell>
          <cell r="AD236">
            <v>68</v>
          </cell>
          <cell r="AE236">
            <v>68</v>
          </cell>
          <cell r="AF236">
            <v>68</v>
          </cell>
          <cell r="AG236">
            <v>68</v>
          </cell>
          <cell r="AH236">
            <v>272</v>
          </cell>
          <cell r="AI236" t="str">
            <v xml:space="preserve">U.S. Dollar                   </v>
          </cell>
          <cell r="AJ236" t="str">
            <v xml:space="preserve"> </v>
          </cell>
          <cell r="AK236" t="str">
            <v xml:space="preserve"> </v>
          </cell>
          <cell r="AL236" t="str">
            <v xml:space="preserve"> </v>
          </cell>
          <cell r="AM236" t="str">
            <v xml:space="preserve"> </v>
          </cell>
          <cell r="AN236" t="str">
            <v xml:space="preserve"> </v>
          </cell>
          <cell r="AO236" t="str">
            <v xml:space="preserve"> </v>
          </cell>
          <cell r="AP236" t="str">
            <v xml:space="preserve"> </v>
          </cell>
          <cell r="AQ236" t="str">
            <v xml:space="preserve"> </v>
          </cell>
        </row>
        <row r="237">
          <cell r="A237" t="str">
            <v>FBZ.......603000</v>
          </cell>
          <cell r="B237" t="str">
            <v>2004T12</v>
          </cell>
          <cell r="C237" t="str">
            <v xml:space="preserve">TREND    </v>
          </cell>
          <cell r="D237" t="str">
            <v xml:space="preserve">Trend -  QTD Average/Activity                     </v>
          </cell>
          <cell r="E237" t="str">
            <v>Run: 08/07/03 14:02:44</v>
          </cell>
          <cell r="F237" t="str">
            <v>999</v>
          </cell>
          <cell r="G237" t="str">
            <v>100</v>
          </cell>
          <cell r="H237" t="str">
            <v xml:space="preserve">Bank Of America Management Reporting              </v>
          </cell>
          <cell r="I237" t="str">
            <v>001</v>
          </cell>
          <cell r="J237" t="str">
            <v>FBZ.......</v>
          </cell>
          <cell r="K237" t="str">
            <v xml:space="preserve">Global Ops Admin                                  </v>
          </cell>
          <cell r="L237" t="str">
            <v xml:space="preserve"> </v>
          </cell>
          <cell r="M237" t="str">
            <v xml:space="preserve"> </v>
          </cell>
          <cell r="N237" t="str">
            <v>bamgt</v>
          </cell>
          <cell r="O237" t="str">
            <v>40</v>
          </cell>
          <cell r="P237" t="str">
            <v>600000A  600250   999999999603000   999999999999999999999999999999999999</v>
          </cell>
          <cell r="Q237" t="str">
            <v xml:space="preserve">none     </v>
          </cell>
          <cell r="R237" t="str">
            <v>RollFCST-Working Version</v>
          </cell>
          <cell r="S237" t="str">
            <v>RollFCST-Working Version</v>
          </cell>
          <cell r="T237" t="str">
            <v xml:space="preserve"> </v>
          </cell>
          <cell r="U237" t="str">
            <v xml:space="preserve"> </v>
          </cell>
          <cell r="V237" t="str">
            <v>603000</v>
          </cell>
          <cell r="W237" t="str">
            <v>4</v>
          </cell>
          <cell r="X237" t="str">
            <v xml:space="preserve">      Employee Benefits                 </v>
          </cell>
          <cell r="Y237">
            <v>29</v>
          </cell>
          <cell r="Z237">
            <v>12</v>
          </cell>
          <cell r="AA237">
            <v>9</v>
          </cell>
          <cell r="AB237">
            <v>9</v>
          </cell>
          <cell r="AC237">
            <v>59</v>
          </cell>
          <cell r="AD237">
            <v>141</v>
          </cell>
          <cell r="AE237">
            <v>39</v>
          </cell>
          <cell r="AF237">
            <v>23</v>
          </cell>
          <cell r="AG237">
            <v>23</v>
          </cell>
          <cell r="AH237">
            <v>226</v>
          </cell>
          <cell r="AI237" t="str">
            <v xml:space="preserve">U.S. Dollar                   </v>
          </cell>
          <cell r="AJ237" t="str">
            <v xml:space="preserve"> </v>
          </cell>
          <cell r="AK237" t="str">
            <v xml:space="preserve"> </v>
          </cell>
          <cell r="AL237" t="str">
            <v xml:space="preserve"> </v>
          </cell>
          <cell r="AM237" t="str">
            <v xml:space="preserve"> </v>
          </cell>
          <cell r="AN237" t="str">
            <v xml:space="preserve"> </v>
          </cell>
          <cell r="AO237" t="str">
            <v xml:space="preserve"> </v>
          </cell>
          <cell r="AP237" t="str">
            <v xml:space="preserve"> </v>
          </cell>
          <cell r="AQ237" t="str">
            <v xml:space="preserve"> </v>
          </cell>
        </row>
        <row r="238">
          <cell r="A238" t="str">
            <v>FBZ.......600250</v>
          </cell>
          <cell r="B238" t="str">
            <v>2004T12</v>
          </cell>
          <cell r="C238" t="str">
            <v xml:space="preserve">TREND    </v>
          </cell>
          <cell r="D238" t="str">
            <v xml:space="preserve">Trend -  QTD Average/Activity                     </v>
          </cell>
          <cell r="E238" t="str">
            <v>Run: 08/07/03 14:02:44</v>
          </cell>
          <cell r="F238" t="str">
            <v>999</v>
          </cell>
          <cell r="G238" t="str">
            <v>100</v>
          </cell>
          <cell r="H238" t="str">
            <v xml:space="preserve">Bank Of America Management Reporting              </v>
          </cell>
          <cell r="I238" t="str">
            <v>001</v>
          </cell>
          <cell r="J238" t="str">
            <v>FBZ.......</v>
          </cell>
          <cell r="K238" t="str">
            <v xml:space="preserve">Global Ops Admin                                  </v>
          </cell>
          <cell r="L238" t="str">
            <v xml:space="preserve"> </v>
          </cell>
          <cell r="M238" t="str">
            <v xml:space="preserve"> </v>
          </cell>
          <cell r="N238" t="str">
            <v>bamgt</v>
          </cell>
          <cell r="O238" t="str">
            <v>40</v>
          </cell>
          <cell r="P238" t="str">
            <v>600000A  600250   999999999999999999999999999999999999999999999999999999</v>
          </cell>
          <cell r="Q238" t="str">
            <v xml:space="preserve">none     </v>
          </cell>
          <cell r="R238" t="str">
            <v>RollFCST-Working Version</v>
          </cell>
          <cell r="S238" t="str">
            <v>RollFCST-Working Version</v>
          </cell>
          <cell r="T238" t="str">
            <v xml:space="preserve"> </v>
          </cell>
          <cell r="U238" t="str">
            <v xml:space="preserve"> </v>
          </cell>
          <cell r="V238" t="str">
            <v>600250</v>
          </cell>
          <cell r="W238" t="str">
            <v>2</v>
          </cell>
          <cell r="X238" t="str">
            <v xml:space="preserve">  Personnel                             </v>
          </cell>
          <cell r="Y238">
            <v>162</v>
          </cell>
          <cell r="Z238">
            <v>17</v>
          </cell>
          <cell r="AA238">
            <v>89</v>
          </cell>
          <cell r="AB238">
            <v>89</v>
          </cell>
          <cell r="AC238">
            <v>357</v>
          </cell>
          <cell r="AD238">
            <v>676</v>
          </cell>
          <cell r="AE238">
            <v>193</v>
          </cell>
          <cell r="AF238">
            <v>118</v>
          </cell>
          <cell r="AG238">
            <v>118</v>
          </cell>
          <cell r="AH238">
            <v>1105</v>
          </cell>
          <cell r="AI238" t="str">
            <v xml:space="preserve">U.S. Dollar                   </v>
          </cell>
          <cell r="AJ238" t="str">
            <v xml:space="preserve"> </v>
          </cell>
          <cell r="AK238" t="str">
            <v xml:space="preserve"> </v>
          </cell>
          <cell r="AL238" t="str">
            <v xml:space="preserve"> </v>
          </cell>
          <cell r="AM238" t="str">
            <v xml:space="preserve"> </v>
          </cell>
          <cell r="AN238" t="str">
            <v xml:space="preserve"> </v>
          </cell>
          <cell r="AO238" t="str">
            <v xml:space="preserve"> </v>
          </cell>
          <cell r="AP238" t="str">
            <v xml:space="preserve"> </v>
          </cell>
          <cell r="AQ238" t="str">
            <v xml:space="preserve"> </v>
          </cell>
        </row>
        <row r="239">
          <cell r="A239" t="str">
            <v>FBZ.......610000</v>
          </cell>
          <cell r="B239" t="str">
            <v>2004T12</v>
          </cell>
          <cell r="C239" t="str">
            <v xml:space="preserve">TREND    </v>
          </cell>
          <cell r="D239" t="str">
            <v xml:space="preserve">Trend -  QTD Average/Activity                     </v>
          </cell>
          <cell r="E239" t="str">
            <v>Run: 08/07/03 14:02:44</v>
          </cell>
          <cell r="F239" t="str">
            <v>999</v>
          </cell>
          <cell r="G239" t="str">
            <v>100</v>
          </cell>
          <cell r="H239" t="str">
            <v xml:space="preserve">Bank Of America Management Reporting              </v>
          </cell>
          <cell r="I239" t="str">
            <v>001</v>
          </cell>
          <cell r="J239" t="str">
            <v>FBZ.......</v>
          </cell>
          <cell r="K239" t="str">
            <v xml:space="preserve">Global Ops Admin                                  </v>
          </cell>
          <cell r="L239" t="str">
            <v xml:space="preserve"> </v>
          </cell>
          <cell r="M239" t="str">
            <v xml:space="preserve"> </v>
          </cell>
          <cell r="N239" t="str">
            <v>bamgt</v>
          </cell>
          <cell r="O239" t="str">
            <v>40</v>
          </cell>
          <cell r="P239" t="str">
            <v>600000A  610000   999999999999999999999999999999999999999999999999999999</v>
          </cell>
          <cell r="Q239" t="str">
            <v xml:space="preserve">none     </v>
          </cell>
          <cell r="R239" t="str">
            <v>RollFCST-Working Version</v>
          </cell>
          <cell r="S239" t="str">
            <v>RollFCST-Working Version</v>
          </cell>
          <cell r="T239" t="str">
            <v xml:space="preserve"> </v>
          </cell>
          <cell r="U239" t="str">
            <v xml:space="preserve"> </v>
          </cell>
          <cell r="V239" t="str">
            <v>610000</v>
          </cell>
          <cell r="W239" t="str">
            <v>2</v>
          </cell>
          <cell r="X239" t="str">
            <v xml:space="preserve">  Net Occupancy Expense                 </v>
          </cell>
          <cell r="Y239">
            <v>0</v>
          </cell>
          <cell r="Z239">
            <v>0</v>
          </cell>
          <cell r="AA239">
            <v>0</v>
          </cell>
          <cell r="AB239">
            <v>0</v>
          </cell>
          <cell r="AC239">
            <v>0</v>
          </cell>
          <cell r="AD239">
            <v>0</v>
          </cell>
          <cell r="AE239">
            <v>0</v>
          </cell>
          <cell r="AF239">
            <v>0</v>
          </cell>
          <cell r="AG239">
            <v>0</v>
          </cell>
          <cell r="AH239">
            <v>0</v>
          </cell>
          <cell r="AI239" t="str">
            <v xml:space="preserve">U.S. Dollar                   </v>
          </cell>
          <cell r="AJ239" t="str">
            <v xml:space="preserve"> </v>
          </cell>
          <cell r="AK239" t="str">
            <v xml:space="preserve"> </v>
          </cell>
          <cell r="AL239" t="str">
            <v xml:space="preserve"> </v>
          </cell>
          <cell r="AM239" t="str">
            <v xml:space="preserve"> </v>
          </cell>
          <cell r="AN239" t="str">
            <v xml:space="preserve"> </v>
          </cell>
          <cell r="AO239" t="str">
            <v xml:space="preserve"> </v>
          </cell>
          <cell r="AP239" t="str">
            <v xml:space="preserve"> </v>
          </cell>
          <cell r="AQ239" t="str">
            <v xml:space="preserve"> </v>
          </cell>
        </row>
        <row r="240">
          <cell r="A240" t="str">
            <v>FBZ.......651500A</v>
          </cell>
          <cell r="B240" t="str">
            <v>2004T12</v>
          </cell>
          <cell r="C240" t="str">
            <v xml:space="preserve">TREND    </v>
          </cell>
          <cell r="D240" t="str">
            <v xml:space="preserve">Trend -  QTD Average/Activity                     </v>
          </cell>
          <cell r="E240" t="str">
            <v>Run: 08/07/03 14:02:44</v>
          </cell>
          <cell r="F240" t="str">
            <v>999</v>
          </cell>
          <cell r="G240" t="str">
            <v>100</v>
          </cell>
          <cell r="H240" t="str">
            <v xml:space="preserve">Bank Of America Management Reporting              </v>
          </cell>
          <cell r="I240" t="str">
            <v>001</v>
          </cell>
          <cell r="J240" t="str">
            <v>FBZ.......</v>
          </cell>
          <cell r="K240" t="str">
            <v xml:space="preserve">Global Ops Admin                                  </v>
          </cell>
          <cell r="L240" t="str">
            <v xml:space="preserve"> </v>
          </cell>
          <cell r="M240" t="str">
            <v xml:space="preserve"> </v>
          </cell>
          <cell r="N240" t="str">
            <v>bamgt</v>
          </cell>
          <cell r="O240" t="str">
            <v>40</v>
          </cell>
          <cell r="P240" t="str">
            <v>600000A  651500A  999999999999999999999999999999999999999999999999999999</v>
          </cell>
          <cell r="Q240" t="str">
            <v xml:space="preserve">none     </v>
          </cell>
          <cell r="R240" t="str">
            <v>RollFCST-Working Version</v>
          </cell>
          <cell r="S240" t="str">
            <v>RollFCST-Working Version</v>
          </cell>
          <cell r="T240" t="str">
            <v xml:space="preserve"> </v>
          </cell>
          <cell r="U240" t="str">
            <v xml:space="preserve"> </v>
          </cell>
          <cell r="V240" t="str">
            <v>651500A</v>
          </cell>
          <cell r="W240" t="str">
            <v>2</v>
          </cell>
          <cell r="X240" t="str">
            <v xml:space="preserve">  Direct Processing Expense             </v>
          </cell>
          <cell r="Y240">
            <v>0</v>
          </cell>
          <cell r="Z240">
            <v>0</v>
          </cell>
          <cell r="AA240">
            <v>0</v>
          </cell>
          <cell r="AB240">
            <v>0</v>
          </cell>
          <cell r="AC240">
            <v>0</v>
          </cell>
          <cell r="AD240">
            <v>0</v>
          </cell>
          <cell r="AE240">
            <v>0</v>
          </cell>
          <cell r="AF240">
            <v>0</v>
          </cell>
          <cell r="AG240">
            <v>0</v>
          </cell>
          <cell r="AH240">
            <v>0</v>
          </cell>
          <cell r="AI240" t="str">
            <v xml:space="preserve">U.S. Dollar                   </v>
          </cell>
          <cell r="AJ240" t="str">
            <v xml:space="preserve"> </v>
          </cell>
          <cell r="AK240" t="str">
            <v xml:space="preserve"> </v>
          </cell>
          <cell r="AL240" t="str">
            <v xml:space="preserve"> </v>
          </cell>
          <cell r="AM240" t="str">
            <v xml:space="preserve"> </v>
          </cell>
          <cell r="AN240" t="str">
            <v xml:space="preserve"> </v>
          </cell>
          <cell r="AO240" t="str">
            <v xml:space="preserve"> </v>
          </cell>
          <cell r="AP240" t="str">
            <v xml:space="preserve"> </v>
          </cell>
          <cell r="AQ240" t="str">
            <v xml:space="preserve"> </v>
          </cell>
        </row>
        <row r="241">
          <cell r="A241" t="str">
            <v>FBZ.......660000A</v>
          </cell>
          <cell r="B241" t="str">
            <v>2004T12</v>
          </cell>
          <cell r="C241" t="str">
            <v xml:space="preserve">TREND    </v>
          </cell>
          <cell r="D241" t="str">
            <v xml:space="preserve">Trend -  QTD Average/Activity                     </v>
          </cell>
          <cell r="E241" t="str">
            <v>Run: 08/07/03 14:02:44</v>
          </cell>
          <cell r="F241" t="str">
            <v>999</v>
          </cell>
          <cell r="G241" t="str">
            <v>100</v>
          </cell>
          <cell r="H241" t="str">
            <v xml:space="preserve">Bank Of America Management Reporting              </v>
          </cell>
          <cell r="I241" t="str">
            <v>001</v>
          </cell>
          <cell r="J241" t="str">
            <v>FBZ.......</v>
          </cell>
          <cell r="K241" t="str">
            <v xml:space="preserve">Global Ops Admin                                  </v>
          </cell>
          <cell r="L241" t="str">
            <v xml:space="preserve"> </v>
          </cell>
          <cell r="M241" t="str">
            <v xml:space="preserve"> </v>
          </cell>
          <cell r="N241" t="str">
            <v>bamgt</v>
          </cell>
          <cell r="O241" t="str">
            <v>40</v>
          </cell>
          <cell r="P241" t="str">
            <v>600000A  660000A  999999999999999999999999999999999999999999999999999999</v>
          </cell>
          <cell r="Q241" t="str">
            <v xml:space="preserve">none     </v>
          </cell>
          <cell r="R241" t="str">
            <v>RollFCST-Working Version</v>
          </cell>
          <cell r="S241" t="str">
            <v>RollFCST-Working Version</v>
          </cell>
          <cell r="T241" t="str">
            <v xml:space="preserve"> </v>
          </cell>
          <cell r="U241" t="str">
            <v xml:space="preserve"> </v>
          </cell>
          <cell r="V241" t="str">
            <v>660000A</v>
          </cell>
          <cell r="W241" t="str">
            <v>2</v>
          </cell>
          <cell r="X241" t="str">
            <v xml:space="preserve">  Telecommunications                    </v>
          </cell>
          <cell r="Y241">
            <v>0</v>
          </cell>
          <cell r="Z241">
            <v>0</v>
          </cell>
          <cell r="AA241">
            <v>2</v>
          </cell>
          <cell r="AB241">
            <v>3</v>
          </cell>
          <cell r="AC241">
            <v>5</v>
          </cell>
          <cell r="AD241">
            <v>6</v>
          </cell>
          <cell r="AE241">
            <v>6</v>
          </cell>
          <cell r="AF241">
            <v>6</v>
          </cell>
          <cell r="AG241">
            <v>6</v>
          </cell>
          <cell r="AH241">
            <v>24</v>
          </cell>
          <cell r="AI241" t="str">
            <v xml:space="preserve">U.S. Dollar                   </v>
          </cell>
          <cell r="AJ241" t="str">
            <v xml:space="preserve"> </v>
          </cell>
          <cell r="AK241" t="str">
            <v xml:space="preserve"> </v>
          </cell>
          <cell r="AL241" t="str">
            <v xml:space="preserve"> </v>
          </cell>
          <cell r="AM241" t="str">
            <v xml:space="preserve"> </v>
          </cell>
          <cell r="AN241" t="str">
            <v xml:space="preserve"> </v>
          </cell>
          <cell r="AO241" t="str">
            <v xml:space="preserve"> </v>
          </cell>
          <cell r="AP241" t="str">
            <v xml:space="preserve"> </v>
          </cell>
          <cell r="AQ241" t="str">
            <v xml:space="preserve"> </v>
          </cell>
        </row>
        <row r="242">
          <cell r="A242" t="str">
            <v>FBZ.......665499F</v>
          </cell>
          <cell r="B242" t="str">
            <v>2004T12</v>
          </cell>
          <cell r="C242" t="str">
            <v xml:space="preserve">TREND    </v>
          </cell>
          <cell r="D242" t="str">
            <v xml:space="preserve">Trend -  QTD Average/Activity                     </v>
          </cell>
          <cell r="E242" t="str">
            <v>Run: 08/07/03 14:02:44</v>
          </cell>
          <cell r="F242" t="str">
            <v>999</v>
          </cell>
          <cell r="G242" t="str">
            <v>100</v>
          </cell>
          <cell r="H242" t="str">
            <v xml:space="preserve">Bank Of America Management Reporting              </v>
          </cell>
          <cell r="I242" t="str">
            <v>001</v>
          </cell>
          <cell r="J242" t="str">
            <v>FBZ.......</v>
          </cell>
          <cell r="K242" t="str">
            <v xml:space="preserve">Global Ops Admin                                  </v>
          </cell>
          <cell r="L242" t="str">
            <v xml:space="preserve"> </v>
          </cell>
          <cell r="M242" t="str">
            <v xml:space="preserve"> </v>
          </cell>
          <cell r="N242" t="str">
            <v>bamgt</v>
          </cell>
          <cell r="O242" t="str">
            <v>40</v>
          </cell>
          <cell r="P242" t="str">
            <v>600000A  662999B  662999C  665499B  665499D  665499F  999999999999999999</v>
          </cell>
          <cell r="Q242" t="str">
            <v xml:space="preserve">none     </v>
          </cell>
          <cell r="R242" t="str">
            <v>RollFCST-Working Version</v>
          </cell>
          <cell r="S242" t="str">
            <v>RollFCST-Working Version</v>
          </cell>
          <cell r="T242" t="str">
            <v xml:space="preserve"> </v>
          </cell>
          <cell r="U242" t="str">
            <v xml:space="preserve"> </v>
          </cell>
          <cell r="V242" t="str">
            <v>665499F</v>
          </cell>
          <cell r="W242" t="str">
            <v>6</v>
          </cell>
          <cell r="X242" t="str">
            <v xml:space="preserve">          Relocation Expense            </v>
          </cell>
          <cell r="Y242">
            <v>0</v>
          </cell>
          <cell r="Z242">
            <v>173</v>
          </cell>
          <cell r="AA242">
            <v>0</v>
          </cell>
          <cell r="AB242">
            <v>0</v>
          </cell>
          <cell r="AC242">
            <v>173</v>
          </cell>
          <cell r="AD242">
            <v>0</v>
          </cell>
          <cell r="AE242">
            <v>0</v>
          </cell>
          <cell r="AF242">
            <v>0</v>
          </cell>
          <cell r="AG242">
            <v>0</v>
          </cell>
          <cell r="AH242">
            <v>0</v>
          </cell>
          <cell r="AI242" t="str">
            <v xml:space="preserve">U.S. Dollar                   </v>
          </cell>
          <cell r="AJ242" t="str">
            <v xml:space="preserve"> </v>
          </cell>
          <cell r="AK242" t="str">
            <v xml:space="preserve"> </v>
          </cell>
          <cell r="AL242" t="str">
            <v xml:space="preserve"> </v>
          </cell>
          <cell r="AM242" t="str">
            <v xml:space="preserve"> </v>
          </cell>
          <cell r="AN242" t="str">
            <v xml:space="preserve"> </v>
          </cell>
          <cell r="AO242" t="str">
            <v xml:space="preserve"> </v>
          </cell>
          <cell r="AP242" t="str">
            <v xml:space="preserve"> </v>
          </cell>
          <cell r="AQ242" t="str">
            <v xml:space="preserve"> </v>
          </cell>
        </row>
        <row r="243">
          <cell r="A243" t="str">
            <v>FBZ.......665499J</v>
          </cell>
          <cell r="B243" t="str">
            <v>2004T12</v>
          </cell>
          <cell r="C243" t="str">
            <v xml:space="preserve">TREND    </v>
          </cell>
          <cell r="D243" t="str">
            <v xml:space="preserve">Trend -  QTD Average/Activity                     </v>
          </cell>
          <cell r="E243" t="str">
            <v>Run: 08/07/03 14:02:44</v>
          </cell>
          <cell r="F243" t="str">
            <v>999</v>
          </cell>
          <cell r="G243" t="str">
            <v>100</v>
          </cell>
          <cell r="H243" t="str">
            <v xml:space="preserve">Bank Of America Management Reporting              </v>
          </cell>
          <cell r="I243" t="str">
            <v>001</v>
          </cell>
          <cell r="J243" t="str">
            <v>FBZ.......</v>
          </cell>
          <cell r="K243" t="str">
            <v xml:space="preserve">Global Ops Admin                                  </v>
          </cell>
          <cell r="L243" t="str">
            <v xml:space="preserve"> </v>
          </cell>
          <cell r="M243" t="str">
            <v xml:space="preserve"> </v>
          </cell>
          <cell r="N243" t="str">
            <v>bamgt</v>
          </cell>
          <cell r="O243" t="str">
            <v>40</v>
          </cell>
          <cell r="P243" t="str">
            <v>600000A  662999B  662999C  665499B  665499D  665499H  665499J  999999999</v>
          </cell>
          <cell r="Q243" t="str">
            <v xml:space="preserve">none     </v>
          </cell>
          <cell r="R243" t="str">
            <v>RollFCST-Working Version</v>
          </cell>
          <cell r="S243" t="str">
            <v>RollFCST-Working Version</v>
          </cell>
          <cell r="T243" t="str">
            <v xml:space="preserve"> </v>
          </cell>
          <cell r="U243" t="str">
            <v xml:space="preserve"> </v>
          </cell>
          <cell r="V243" t="str">
            <v>665499J</v>
          </cell>
          <cell r="W243" t="str">
            <v>7</v>
          </cell>
          <cell r="X243" t="str">
            <v xml:space="preserve">            Employee Training &amp; Seminars</v>
          </cell>
          <cell r="Y243">
            <v>0</v>
          </cell>
          <cell r="Z243">
            <v>0</v>
          </cell>
          <cell r="AA243">
            <v>0</v>
          </cell>
          <cell r="AB243">
            <v>0</v>
          </cell>
          <cell r="AC243">
            <v>0</v>
          </cell>
          <cell r="AD243">
            <v>100</v>
          </cell>
          <cell r="AE243">
            <v>100</v>
          </cell>
          <cell r="AF243">
            <v>100</v>
          </cell>
          <cell r="AG243">
            <v>100</v>
          </cell>
          <cell r="AH243">
            <v>400</v>
          </cell>
          <cell r="AI243" t="str">
            <v xml:space="preserve">U.S. Dollar                   </v>
          </cell>
          <cell r="AJ243" t="str">
            <v xml:space="preserve"> </v>
          </cell>
          <cell r="AK243" t="str">
            <v xml:space="preserve"> </v>
          </cell>
          <cell r="AL243" t="str">
            <v xml:space="preserve"> </v>
          </cell>
          <cell r="AM243" t="str">
            <v xml:space="preserve"> </v>
          </cell>
          <cell r="AN243" t="str">
            <v xml:space="preserve"> </v>
          </cell>
          <cell r="AO243" t="str">
            <v xml:space="preserve"> </v>
          </cell>
          <cell r="AP243" t="str">
            <v xml:space="preserve"> </v>
          </cell>
          <cell r="AQ243" t="str">
            <v xml:space="preserve"> </v>
          </cell>
        </row>
        <row r="244">
          <cell r="A244" t="str">
            <v>FBZ.......665499H</v>
          </cell>
          <cell r="B244" t="str">
            <v>2004T12</v>
          </cell>
          <cell r="C244" t="str">
            <v xml:space="preserve">TREND    </v>
          </cell>
          <cell r="D244" t="str">
            <v xml:space="preserve">Trend -  QTD Average/Activity                     </v>
          </cell>
          <cell r="E244" t="str">
            <v>Run: 08/07/03 14:02:44</v>
          </cell>
          <cell r="F244" t="str">
            <v>999</v>
          </cell>
          <cell r="G244" t="str">
            <v>100</v>
          </cell>
          <cell r="H244" t="str">
            <v xml:space="preserve">Bank Of America Management Reporting              </v>
          </cell>
          <cell r="I244" t="str">
            <v>001</v>
          </cell>
          <cell r="J244" t="str">
            <v>FBZ.......</v>
          </cell>
          <cell r="K244" t="str">
            <v xml:space="preserve">Global Ops Admin                                  </v>
          </cell>
          <cell r="L244" t="str">
            <v xml:space="preserve"> </v>
          </cell>
          <cell r="M244" t="str">
            <v xml:space="preserve"> </v>
          </cell>
          <cell r="N244" t="str">
            <v>bamgt</v>
          </cell>
          <cell r="O244" t="str">
            <v>40</v>
          </cell>
          <cell r="P244" t="str">
            <v>600000A  662999B  662999C  665499B  665499D  665499H  999999999999999999</v>
          </cell>
          <cell r="Q244" t="str">
            <v xml:space="preserve">none     </v>
          </cell>
          <cell r="R244" t="str">
            <v>RollFCST-Working Version</v>
          </cell>
          <cell r="S244" t="str">
            <v>RollFCST-Working Version</v>
          </cell>
          <cell r="T244" t="str">
            <v xml:space="preserve"> </v>
          </cell>
          <cell r="U244" t="str">
            <v xml:space="preserve"> </v>
          </cell>
          <cell r="V244" t="str">
            <v>665499H</v>
          </cell>
          <cell r="W244" t="str">
            <v>6</v>
          </cell>
          <cell r="X244" t="str">
            <v xml:space="preserve">          Other Employee Expense        </v>
          </cell>
          <cell r="Y244">
            <v>0</v>
          </cell>
          <cell r="Z244">
            <v>0</v>
          </cell>
          <cell r="AA244">
            <v>0</v>
          </cell>
          <cell r="AB244">
            <v>0</v>
          </cell>
          <cell r="AC244">
            <v>0</v>
          </cell>
          <cell r="AD244">
            <v>100</v>
          </cell>
          <cell r="AE244">
            <v>100</v>
          </cell>
          <cell r="AF244">
            <v>100</v>
          </cell>
          <cell r="AG244">
            <v>100</v>
          </cell>
          <cell r="AH244">
            <v>400</v>
          </cell>
          <cell r="AI244" t="str">
            <v xml:space="preserve">U.S. Dollar                   </v>
          </cell>
          <cell r="AJ244" t="str">
            <v xml:space="preserve"> </v>
          </cell>
          <cell r="AK244" t="str">
            <v xml:space="preserve"> </v>
          </cell>
          <cell r="AL244" t="str">
            <v xml:space="preserve"> </v>
          </cell>
          <cell r="AM244" t="str">
            <v xml:space="preserve"> </v>
          </cell>
          <cell r="AN244" t="str">
            <v xml:space="preserve"> </v>
          </cell>
          <cell r="AO244" t="str">
            <v xml:space="preserve"> </v>
          </cell>
          <cell r="AP244" t="str">
            <v xml:space="preserve"> </v>
          </cell>
          <cell r="AQ244" t="str">
            <v xml:space="preserve"> </v>
          </cell>
        </row>
        <row r="245">
          <cell r="A245" t="str">
            <v>FBZ.......665499D</v>
          </cell>
          <cell r="B245" t="str">
            <v>2004T12</v>
          </cell>
          <cell r="C245" t="str">
            <v xml:space="preserve">TREND    </v>
          </cell>
          <cell r="D245" t="str">
            <v xml:space="preserve">Trend -  QTD Average/Activity                     </v>
          </cell>
          <cell r="E245" t="str">
            <v>Run: 08/07/03 14:02:44</v>
          </cell>
          <cell r="F245" t="str">
            <v>999</v>
          </cell>
          <cell r="G245" t="str">
            <v>100</v>
          </cell>
          <cell r="H245" t="str">
            <v xml:space="preserve">Bank Of America Management Reporting              </v>
          </cell>
          <cell r="I245" t="str">
            <v>001</v>
          </cell>
          <cell r="J245" t="str">
            <v>FBZ.......</v>
          </cell>
          <cell r="K245" t="str">
            <v xml:space="preserve">Global Ops Admin                                  </v>
          </cell>
          <cell r="L245" t="str">
            <v xml:space="preserve"> </v>
          </cell>
          <cell r="M245" t="str">
            <v xml:space="preserve"> </v>
          </cell>
          <cell r="N245" t="str">
            <v>bamgt</v>
          </cell>
          <cell r="O245" t="str">
            <v>40</v>
          </cell>
          <cell r="P245" t="str">
            <v>600000A  662999B  662999C  665499B  665499D  999999999999999999999999999</v>
          </cell>
          <cell r="Q245" t="str">
            <v xml:space="preserve">none     </v>
          </cell>
          <cell r="R245" t="str">
            <v>RollFCST-Working Version</v>
          </cell>
          <cell r="S245" t="str">
            <v>RollFCST-Working Version</v>
          </cell>
          <cell r="T245" t="str">
            <v xml:space="preserve"> </v>
          </cell>
          <cell r="U245" t="str">
            <v xml:space="preserve"> </v>
          </cell>
          <cell r="V245" t="str">
            <v>665499D</v>
          </cell>
          <cell r="W245" t="str">
            <v>5</v>
          </cell>
          <cell r="X245" t="str">
            <v xml:space="preserve">        Employee Expense                </v>
          </cell>
          <cell r="Y245">
            <v>0</v>
          </cell>
          <cell r="Z245">
            <v>173</v>
          </cell>
          <cell r="AA245">
            <v>0</v>
          </cell>
          <cell r="AB245">
            <v>0</v>
          </cell>
          <cell r="AC245">
            <v>173</v>
          </cell>
          <cell r="AD245">
            <v>100</v>
          </cell>
          <cell r="AE245">
            <v>100</v>
          </cell>
          <cell r="AF245">
            <v>100</v>
          </cell>
          <cell r="AG245">
            <v>100</v>
          </cell>
          <cell r="AH245">
            <v>400</v>
          </cell>
          <cell r="AI245" t="str">
            <v xml:space="preserve">U.S. Dollar                   </v>
          </cell>
          <cell r="AJ245" t="str">
            <v xml:space="preserve"> </v>
          </cell>
          <cell r="AK245" t="str">
            <v xml:space="preserve"> </v>
          </cell>
          <cell r="AL245" t="str">
            <v xml:space="preserve"> </v>
          </cell>
          <cell r="AM245" t="str">
            <v xml:space="preserve"> </v>
          </cell>
          <cell r="AN245" t="str">
            <v xml:space="preserve"> </v>
          </cell>
          <cell r="AO245" t="str">
            <v xml:space="preserve"> </v>
          </cell>
          <cell r="AP245" t="str">
            <v xml:space="preserve"> </v>
          </cell>
          <cell r="AQ245" t="str">
            <v xml:space="preserve"> </v>
          </cell>
        </row>
        <row r="246">
          <cell r="A246" t="str">
            <v>FBZ.......665499B</v>
          </cell>
          <cell r="B246" t="str">
            <v>2004T12</v>
          </cell>
          <cell r="C246" t="str">
            <v xml:space="preserve">TREND    </v>
          </cell>
          <cell r="D246" t="str">
            <v xml:space="preserve">Trend -  QTD Average/Activity                     </v>
          </cell>
          <cell r="E246" t="str">
            <v>Run: 08/07/03 14:02:44</v>
          </cell>
          <cell r="F246" t="str">
            <v>999</v>
          </cell>
          <cell r="G246" t="str">
            <v>100</v>
          </cell>
          <cell r="H246" t="str">
            <v xml:space="preserve">Bank Of America Management Reporting              </v>
          </cell>
          <cell r="I246" t="str">
            <v>001</v>
          </cell>
          <cell r="J246" t="str">
            <v>FBZ.......</v>
          </cell>
          <cell r="K246" t="str">
            <v xml:space="preserve">Global Ops Admin                                  </v>
          </cell>
          <cell r="L246" t="str">
            <v xml:space="preserve"> </v>
          </cell>
          <cell r="M246" t="str">
            <v xml:space="preserve"> </v>
          </cell>
          <cell r="N246" t="str">
            <v>bamgt</v>
          </cell>
          <cell r="O246" t="str">
            <v>40</v>
          </cell>
          <cell r="P246" t="str">
            <v>600000A  662999B  662999C  665499B  999999999999999999999999999999999999</v>
          </cell>
          <cell r="Q246" t="str">
            <v xml:space="preserve">none     </v>
          </cell>
          <cell r="R246" t="str">
            <v>RollFCST-Working Version</v>
          </cell>
          <cell r="S246" t="str">
            <v>RollFCST-Working Version</v>
          </cell>
          <cell r="T246" t="str">
            <v xml:space="preserve"> </v>
          </cell>
          <cell r="U246" t="str">
            <v xml:space="preserve"> </v>
          </cell>
          <cell r="V246" t="str">
            <v>665499B</v>
          </cell>
          <cell r="W246" t="str">
            <v>4</v>
          </cell>
          <cell r="X246" t="str">
            <v xml:space="preserve">      Other Operating Expense           </v>
          </cell>
          <cell r="Y246">
            <v>0</v>
          </cell>
          <cell r="Z246">
            <v>297</v>
          </cell>
          <cell r="AA246">
            <v>4</v>
          </cell>
          <cell r="AB246">
            <v>6</v>
          </cell>
          <cell r="AC246">
            <v>307</v>
          </cell>
          <cell r="AD246">
            <v>100</v>
          </cell>
          <cell r="AE246">
            <v>100</v>
          </cell>
          <cell r="AF246">
            <v>100</v>
          </cell>
          <cell r="AG246">
            <v>100</v>
          </cell>
          <cell r="AH246">
            <v>400</v>
          </cell>
          <cell r="AI246" t="str">
            <v xml:space="preserve">U.S. Dollar                   </v>
          </cell>
          <cell r="AJ246" t="str">
            <v xml:space="preserve"> </v>
          </cell>
          <cell r="AK246" t="str">
            <v xml:space="preserve"> </v>
          </cell>
          <cell r="AL246" t="str">
            <v xml:space="preserve"> </v>
          </cell>
          <cell r="AM246" t="str">
            <v xml:space="preserve"> </v>
          </cell>
          <cell r="AN246" t="str">
            <v xml:space="preserve"> </v>
          </cell>
          <cell r="AO246" t="str">
            <v xml:space="preserve"> </v>
          </cell>
          <cell r="AP246" t="str">
            <v xml:space="preserve"> </v>
          </cell>
          <cell r="AQ246" t="str">
            <v xml:space="preserve"> </v>
          </cell>
        </row>
        <row r="247">
          <cell r="A247" t="str">
            <v>FBZ.......670200</v>
          </cell>
          <cell r="B247" t="str">
            <v>2004T12</v>
          </cell>
          <cell r="C247" t="str">
            <v xml:space="preserve">TREND    </v>
          </cell>
          <cell r="D247" t="str">
            <v xml:space="preserve">Trend -  QTD Average/Activity                     </v>
          </cell>
          <cell r="E247" t="str">
            <v>Run: 08/07/03 14:02:44</v>
          </cell>
          <cell r="F247" t="str">
            <v>999</v>
          </cell>
          <cell r="G247" t="str">
            <v>100</v>
          </cell>
          <cell r="H247" t="str">
            <v xml:space="preserve">Bank Of America Management Reporting              </v>
          </cell>
          <cell r="I247" t="str">
            <v>001</v>
          </cell>
          <cell r="J247" t="str">
            <v>FBZ.......</v>
          </cell>
          <cell r="K247" t="str">
            <v xml:space="preserve">Global Ops Admin                                  </v>
          </cell>
          <cell r="L247" t="str">
            <v xml:space="preserve"> </v>
          </cell>
          <cell r="M247" t="str">
            <v xml:space="preserve"> </v>
          </cell>
          <cell r="N247" t="str">
            <v>bamgt</v>
          </cell>
          <cell r="O247" t="str">
            <v>40</v>
          </cell>
          <cell r="P247" t="str">
            <v>600000A  662999B  670000B  670200   999999999999999999999999999999999999</v>
          </cell>
          <cell r="Q247" t="str">
            <v xml:space="preserve">none     </v>
          </cell>
          <cell r="R247" t="str">
            <v>RollFCST-Working Version</v>
          </cell>
          <cell r="S247" t="str">
            <v>RollFCST-Working Version</v>
          </cell>
          <cell r="T247" t="str">
            <v xml:space="preserve"> </v>
          </cell>
          <cell r="U247" t="str">
            <v xml:space="preserve"> </v>
          </cell>
          <cell r="V247" t="str">
            <v>670200</v>
          </cell>
          <cell r="W247" t="str">
            <v>4</v>
          </cell>
          <cell r="X247" t="str">
            <v xml:space="preserve">      Travel                            </v>
          </cell>
          <cell r="Y247">
            <v>0</v>
          </cell>
          <cell r="Z247">
            <v>0</v>
          </cell>
          <cell r="AA247">
            <v>4</v>
          </cell>
          <cell r="AB247">
            <v>6</v>
          </cell>
          <cell r="AC247">
            <v>10</v>
          </cell>
          <cell r="AD247">
            <v>12</v>
          </cell>
          <cell r="AE247">
            <v>12</v>
          </cell>
          <cell r="AF247">
            <v>12</v>
          </cell>
          <cell r="AG247">
            <v>12</v>
          </cell>
          <cell r="AH247">
            <v>48</v>
          </cell>
          <cell r="AI247" t="str">
            <v xml:space="preserve">U.S. Dollar                   </v>
          </cell>
          <cell r="AJ247" t="str">
            <v xml:space="preserve"> </v>
          </cell>
          <cell r="AK247" t="str">
            <v xml:space="preserve"> </v>
          </cell>
          <cell r="AL247" t="str">
            <v xml:space="preserve"> </v>
          </cell>
          <cell r="AM247" t="str">
            <v xml:space="preserve"> </v>
          </cell>
          <cell r="AN247" t="str">
            <v xml:space="preserve"> </v>
          </cell>
          <cell r="AO247" t="str">
            <v xml:space="preserve"> </v>
          </cell>
          <cell r="AP247" t="str">
            <v xml:space="preserve"> </v>
          </cell>
          <cell r="AQ247" t="str">
            <v xml:space="preserve"> </v>
          </cell>
        </row>
        <row r="248">
          <cell r="A248" t="str">
            <v>FBZ.......671200</v>
          </cell>
          <cell r="B248" t="str">
            <v>2004T12</v>
          </cell>
          <cell r="C248" t="str">
            <v xml:space="preserve">TREND    </v>
          </cell>
          <cell r="D248" t="str">
            <v xml:space="preserve">Trend -  QTD Average/Activity                     </v>
          </cell>
          <cell r="E248" t="str">
            <v>Run: 08/07/03 14:02:44</v>
          </cell>
          <cell r="F248" t="str">
            <v>999</v>
          </cell>
          <cell r="G248" t="str">
            <v>100</v>
          </cell>
          <cell r="H248" t="str">
            <v xml:space="preserve">Bank Of America Management Reporting              </v>
          </cell>
          <cell r="I248" t="str">
            <v>001</v>
          </cell>
          <cell r="J248" t="str">
            <v>FBZ.......</v>
          </cell>
          <cell r="K248" t="str">
            <v xml:space="preserve">Global Ops Admin                                  </v>
          </cell>
          <cell r="L248" t="str">
            <v xml:space="preserve"> </v>
          </cell>
          <cell r="M248" t="str">
            <v xml:space="preserve"> </v>
          </cell>
          <cell r="N248" t="str">
            <v>bamgt</v>
          </cell>
          <cell r="O248" t="str">
            <v>40</v>
          </cell>
          <cell r="P248" t="str">
            <v>600000A  662999B  670000B  671200   999999999999999999999999999999999999</v>
          </cell>
          <cell r="Q248" t="str">
            <v xml:space="preserve">none     </v>
          </cell>
          <cell r="R248" t="str">
            <v>RollFCST-Working Version</v>
          </cell>
          <cell r="S248" t="str">
            <v>RollFCST-Working Version</v>
          </cell>
          <cell r="T248" t="str">
            <v xml:space="preserve"> </v>
          </cell>
          <cell r="U248" t="str">
            <v xml:space="preserve"> </v>
          </cell>
          <cell r="V248" t="str">
            <v>671200</v>
          </cell>
          <cell r="W248" t="str">
            <v>4</v>
          </cell>
          <cell r="X248" t="str">
            <v xml:space="preserve">      Subscription Services             </v>
          </cell>
          <cell r="Y248">
            <v>0</v>
          </cell>
          <cell r="Z248">
            <v>10</v>
          </cell>
          <cell r="AA248">
            <v>0</v>
          </cell>
          <cell r="AB248">
            <v>0</v>
          </cell>
          <cell r="AC248">
            <v>10</v>
          </cell>
          <cell r="AD248">
            <v>0</v>
          </cell>
          <cell r="AE248">
            <v>0</v>
          </cell>
          <cell r="AF248">
            <v>0</v>
          </cell>
          <cell r="AG248">
            <v>0</v>
          </cell>
          <cell r="AH248">
            <v>0</v>
          </cell>
          <cell r="AI248" t="str">
            <v xml:space="preserve">U.S. Dollar                   </v>
          </cell>
          <cell r="AJ248" t="str">
            <v xml:space="preserve"> </v>
          </cell>
          <cell r="AK248" t="str">
            <v xml:space="preserve"> </v>
          </cell>
          <cell r="AL248" t="str">
            <v xml:space="preserve"> </v>
          </cell>
          <cell r="AM248" t="str">
            <v xml:space="preserve"> </v>
          </cell>
          <cell r="AN248" t="str">
            <v xml:space="preserve"> </v>
          </cell>
          <cell r="AO248" t="str">
            <v xml:space="preserve"> </v>
          </cell>
          <cell r="AP248" t="str">
            <v xml:space="preserve"> </v>
          </cell>
          <cell r="AQ248" t="str">
            <v xml:space="preserve"> </v>
          </cell>
        </row>
        <row r="249">
          <cell r="A249" t="str">
            <v>FBZ.......671500</v>
          </cell>
          <cell r="B249" t="str">
            <v>2004T12</v>
          </cell>
          <cell r="C249" t="str">
            <v xml:space="preserve">TREND    </v>
          </cell>
          <cell r="D249" t="str">
            <v xml:space="preserve">Trend -  QTD Average/Activity                     </v>
          </cell>
          <cell r="E249" t="str">
            <v>Run: 08/07/03 14:02:44</v>
          </cell>
          <cell r="F249" t="str">
            <v>999</v>
          </cell>
          <cell r="G249" t="str">
            <v>100</v>
          </cell>
          <cell r="H249" t="str">
            <v xml:space="preserve">Bank Of America Management Reporting              </v>
          </cell>
          <cell r="I249" t="str">
            <v>001</v>
          </cell>
          <cell r="J249" t="str">
            <v>FBZ.......</v>
          </cell>
          <cell r="K249" t="str">
            <v xml:space="preserve">Global Ops Admin                                  </v>
          </cell>
          <cell r="L249" t="str">
            <v xml:space="preserve"> </v>
          </cell>
          <cell r="M249" t="str">
            <v xml:space="preserve"> </v>
          </cell>
          <cell r="N249" t="str">
            <v>bamgt</v>
          </cell>
          <cell r="O249" t="str">
            <v>40</v>
          </cell>
          <cell r="P249" t="str">
            <v>600000A  662999B  670000B  671500   999999999999999999999999999999999999</v>
          </cell>
          <cell r="Q249" t="str">
            <v xml:space="preserve">none     </v>
          </cell>
          <cell r="R249" t="str">
            <v>RollFCST-Working Version</v>
          </cell>
          <cell r="S249" t="str">
            <v>RollFCST-Working Version</v>
          </cell>
          <cell r="T249" t="str">
            <v xml:space="preserve"> </v>
          </cell>
          <cell r="U249" t="str">
            <v xml:space="preserve"> </v>
          </cell>
          <cell r="V249" t="str">
            <v>671500</v>
          </cell>
          <cell r="W249" t="str">
            <v>4</v>
          </cell>
          <cell r="X249" t="str">
            <v xml:space="preserve">      Other Administrative Expenses     </v>
          </cell>
          <cell r="Y249">
            <v>0</v>
          </cell>
          <cell r="Z249">
            <v>30</v>
          </cell>
          <cell r="AA249">
            <v>30</v>
          </cell>
          <cell r="AB249">
            <v>30</v>
          </cell>
          <cell r="AC249">
            <v>90</v>
          </cell>
          <cell r="AD249">
            <v>0</v>
          </cell>
          <cell r="AE249">
            <v>0</v>
          </cell>
          <cell r="AF249">
            <v>0</v>
          </cell>
          <cell r="AG249">
            <v>0</v>
          </cell>
          <cell r="AH249">
            <v>0</v>
          </cell>
          <cell r="AI249" t="str">
            <v xml:space="preserve">U.S. Dollar                   </v>
          </cell>
          <cell r="AJ249" t="str">
            <v xml:space="preserve"> </v>
          </cell>
          <cell r="AK249" t="str">
            <v xml:space="preserve"> </v>
          </cell>
          <cell r="AL249" t="str">
            <v xml:space="preserve"> </v>
          </cell>
          <cell r="AM249" t="str">
            <v xml:space="preserve"> </v>
          </cell>
          <cell r="AN249" t="str">
            <v xml:space="preserve"> </v>
          </cell>
          <cell r="AO249" t="str">
            <v xml:space="preserve"> </v>
          </cell>
          <cell r="AP249" t="str">
            <v xml:space="preserve"> </v>
          </cell>
          <cell r="AQ249" t="str">
            <v xml:space="preserve"> </v>
          </cell>
        </row>
        <row r="250">
          <cell r="A250" t="str">
            <v>FBZ.......NIEBA-B</v>
          </cell>
          <cell r="B250" t="str">
            <v>2004T12</v>
          </cell>
          <cell r="C250" t="str">
            <v xml:space="preserve">TREND    </v>
          </cell>
          <cell r="D250" t="str">
            <v xml:space="preserve">Trend -  QTD Average/Activity                     </v>
          </cell>
          <cell r="E250" t="str">
            <v>Run: 08/07/03 14:02:44</v>
          </cell>
          <cell r="F250" t="str">
            <v>999</v>
          </cell>
          <cell r="G250" t="str">
            <v>100</v>
          </cell>
          <cell r="H250" t="str">
            <v xml:space="preserve">Bank Of America Management Reporting              </v>
          </cell>
          <cell r="I250" t="str">
            <v>001</v>
          </cell>
          <cell r="J250" t="str">
            <v>FBZ.......</v>
          </cell>
          <cell r="K250" t="str">
            <v xml:space="preserve">Global Ops Admin                                  </v>
          </cell>
          <cell r="L250" t="str">
            <v xml:space="preserve"> </v>
          </cell>
          <cell r="M250" t="str">
            <v xml:space="preserve"> </v>
          </cell>
          <cell r="N250" t="str">
            <v>bamgt</v>
          </cell>
          <cell r="O250" t="str">
            <v>40</v>
          </cell>
          <cell r="P250" t="str">
            <v xml:space="preserve">600000A  675000A  999999999999999999999999999NIEBA-B                    </v>
          </cell>
          <cell r="Q250" t="str">
            <v xml:space="preserve">none     </v>
          </cell>
          <cell r="R250" t="str">
            <v>RollFCST-Working Version</v>
          </cell>
          <cell r="S250" t="str">
            <v>RollFCST-Working Version</v>
          </cell>
          <cell r="T250" t="str">
            <v xml:space="preserve"> </v>
          </cell>
          <cell r="U250" t="str">
            <v xml:space="preserve"> </v>
          </cell>
          <cell r="V250" t="str">
            <v>NIEBA-B</v>
          </cell>
          <cell r="W250" t="str">
            <v>0</v>
          </cell>
          <cell r="X250" t="str">
            <v xml:space="preserve">Sub-Tot Non Int Exp Before Cost         </v>
          </cell>
          <cell r="Y250">
            <v>162</v>
          </cell>
          <cell r="Z250">
            <v>354</v>
          </cell>
          <cell r="AA250">
            <v>129</v>
          </cell>
          <cell r="AB250">
            <v>134</v>
          </cell>
          <cell r="AC250">
            <v>779</v>
          </cell>
          <cell r="AD250">
            <v>794</v>
          </cell>
          <cell r="AE250">
            <v>311</v>
          </cell>
          <cell r="AF250">
            <v>236</v>
          </cell>
          <cell r="AG250">
            <v>236</v>
          </cell>
          <cell r="AH250">
            <v>1577</v>
          </cell>
          <cell r="AI250" t="str">
            <v xml:space="preserve">U.S. Dollar                   </v>
          </cell>
          <cell r="AJ250" t="str">
            <v xml:space="preserve"> </v>
          </cell>
          <cell r="AK250" t="str">
            <v xml:space="preserve"> </v>
          </cell>
          <cell r="AL250" t="str">
            <v xml:space="preserve"> </v>
          </cell>
          <cell r="AM250" t="str">
            <v xml:space="preserve"> </v>
          </cell>
          <cell r="AN250" t="str">
            <v xml:space="preserve"> </v>
          </cell>
          <cell r="AO250" t="str">
            <v xml:space="preserve"> </v>
          </cell>
          <cell r="AP250" t="str">
            <v xml:space="preserve"> </v>
          </cell>
          <cell r="AQ250" t="str">
            <v xml:space="preserve"> </v>
          </cell>
        </row>
        <row r="251">
          <cell r="A251">
            <v>0</v>
          </cell>
        </row>
        <row r="252">
          <cell r="A252">
            <v>0</v>
          </cell>
        </row>
        <row r="253">
          <cell r="A253">
            <v>0</v>
          </cell>
        </row>
      </sheetData>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F"/>
      <sheetName val="Overview"/>
      <sheetName val="Control"/>
      <sheetName val="405"/>
      <sheetName val="427"/>
      <sheetName val="403"/>
      <sheetName val="trial (2)"/>
      <sheetName val="P&amp;L"/>
      <sheetName val="LINK GAP"/>
      <sheetName val="SCH4"/>
      <sheetName val="References"/>
      <sheetName val="Charts"/>
      <sheetName val="PL Groupings"/>
      <sheetName val="BS Groupings"/>
      <sheetName val="URD-s"/>
      <sheetName val="Holidays"/>
      <sheetName val="Other notes"/>
      <sheetName val="grootboekrek"/>
      <sheetName val="BS-203"/>
      <sheetName val="ConsolSkol31122002-ECBDL"/>
      <sheetName val="Model"/>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PL grp"/>
      <sheetName val="kpmg format"/>
      <sheetName val="cash flow"/>
      <sheetName val="#REF"/>
      <sheetName val="Ann -1"/>
      <sheetName val="Co.26 Unfinished P&amp;E"/>
      <sheetName val="Lookups"/>
      <sheetName val="gen ledger data"/>
      <sheetName val="Original format"/>
      <sheetName val="E755 Annex"/>
      <sheetName val="Details"/>
      <sheetName val="S.4.3_SAP Dump"/>
      <sheetName val="Data"/>
      <sheetName val="curlocal"/>
      <sheetName val="Groupings BS"/>
      <sheetName val="DEC PIVOT"/>
      <sheetName val="Op Plan Sales"/>
      <sheetName val="Basic Details"/>
      <sheetName val="Currency"/>
      <sheetName val="DropDown"/>
      <sheetName val="Non-Statistical Sampling"/>
      <sheetName val="E1 Invoice"/>
      <sheetName val="Budd Lanner Split"/>
      <sheetName val="HIGHLIGHTS"/>
      <sheetName val="STOCK VALUEMay03"/>
      <sheetName val="DataFF"/>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Sheet1"/>
      <sheetName val="Adm97"/>
      <sheetName val="130-UNIDADES"/>
      <sheetName val="Schedules"/>
      <sheetName val="BS-P&amp;L"/>
      <sheetName val="Cntmrs-Recruit"/>
      <sheetName val="Apr 08 to Mar 09"/>
      <sheetName val="Expense Budget_NOV"/>
      <sheetName val="CSCCincSKR"/>
      <sheetName val="Proforma"/>
      <sheetName val="WGE P&amp;E"/>
      <sheetName val="Accrual Nov'05"/>
      <sheetName val="Query SS 1_805"/>
      <sheetName val="Sheet2"/>
      <sheetName val="pcQueryData"/>
      <sheetName val="Income Statement"/>
      <sheetName val="Assum"/>
      <sheetName val="Debt"/>
      <sheetName val="Sum"/>
      <sheetName val="Cover"/>
      <sheetName val="MoCF"/>
      <sheetName val="Cochin Invoice File"/>
      <sheetName val="STPI November 08"/>
      <sheetName val="BS - L+OE"/>
      <sheetName val="Annexure 3A"/>
      <sheetName val="CRITERIA1"/>
      <sheetName val="Financials"/>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CWIP"/>
      <sheetName val="Purchase Order"/>
      <sheetName val="Opening"/>
      <sheetName val="DepRate"/>
      <sheetName val="FORM-16"/>
      <sheetName val="Summary"/>
      <sheetName val="TPM"/>
      <sheetName val="Brand &amp; CC list"/>
      <sheetName val="Market list"/>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Analysis"/>
      <sheetName val="Con0304"/>
      <sheetName val="Dep"/>
      <sheetName val="DCF"/>
      <sheetName val="trial_(2)1"/>
      <sheetName val="LINK_GAP1"/>
      <sheetName val="trial_(2)2"/>
      <sheetName val="LINK_GAP2"/>
      <sheetName val="CashFlow"/>
      <sheetName val="Cochin_Invoice_File"/>
      <sheetName val="STPI_November_08"/>
      <sheetName val="BS_-_L+OE"/>
      <sheetName val="Annexure_3A"/>
      <sheetName val="DCF_Analysis"/>
      <sheetName val="CP-CT1"/>
      <sheetName val="CP-CT2"/>
      <sheetName val="Letter"/>
      <sheetName val="Basic Resources"/>
      <sheetName val="JAN"/>
      <sheetName val="CAMPWISE COLL"/>
      <sheetName val="DB"/>
      <sheetName val="Page 8 "/>
      <sheetName val="Modality Summary"/>
      <sheetName val="Sheet1 (2)"/>
      <sheetName val="INV-512"/>
      <sheetName val="A91_97"/>
      <sheetName val="BS IAS (eur)"/>
      <sheetName val="Val Com4"/>
      <sheetName val="Val Com7"/>
      <sheetName val="BS"/>
      <sheetName val="Sch"/>
      <sheetName val="Audit"/>
      <sheetName val="Comp"/>
      <sheetName val="Balance Sheet "/>
      <sheetName val="Nandan"/>
      <sheetName val="Revenue"/>
      <sheetName val="March"/>
      <sheetName val="Definition"/>
      <sheetName val="Input schedule"/>
      <sheetName val="200B"/>
      <sheetName val="DEC07 GL DL"/>
      <sheetName val="Simulator Detail"/>
      <sheetName val="lead schs"/>
      <sheetName val="Power &amp; Fuel (S)"/>
      <sheetName val="Detailed"/>
      <sheetName val="UBRD"/>
      <sheetName val="UBRS"/>
      <sheetName val="UPLA"/>
      <sheetName val="KPM DT"/>
      <sheetName val="BBRD"/>
      <sheetName val="BBRS"/>
      <sheetName val="BBSR"/>
      <sheetName val="cashbackup"/>
      <sheetName val="BusinessList"/>
      <sheetName val="BPLA"/>
      <sheetName val="BPSR"/>
      <sheetName val="BKPM1"/>
      <sheetName val="BKPM2"/>
      <sheetName val="BPCA"/>
      <sheetName val="Annexure to HDFC"/>
      <sheetName val="T&amp;L"/>
      <sheetName val="dtxl"/>
      <sheetName val="EXPL.AGUA"/>
      <sheetName val="Read me"/>
      <sheetName val="Worksheet"/>
      <sheetName val="15"/>
      <sheetName val="Movement of Mutual Funds"/>
      <sheetName val="purchase PBC"/>
      <sheetName val="Prices"/>
      <sheetName val="TYPE"/>
      <sheetName val="computation"/>
      <sheetName val="depit"/>
      <sheetName val="X rate"/>
      <sheetName val="IC-RP list"/>
      <sheetName val="EAW Final Accounts - 99"/>
      <sheetName val="Sch 13 Notes 13-16"/>
      <sheetName val="NOPAT_VDF"/>
      <sheetName val="Invested capital_VDF"/>
      <sheetName val="DCF_VDF"/>
      <sheetName val="WACC_VDF"/>
      <sheetName val="PV of Op Leases_VDF"/>
      <sheetName val="Income Statement_VDF"/>
      <sheetName val="Jul-02 tb"/>
      <sheetName val="groupcodes"/>
      <sheetName val="Excess Premium Settled"/>
      <sheetName val="HIP Premium Working"/>
      <sheetName val="FX Rate - Current Month Rates"/>
      <sheetName val="YTD"/>
      <sheetName val="SMTHKLNE"/>
      <sheetName val="KLHT"/>
      <sheetName val="Setting"/>
      <sheetName val="Inputs"/>
      <sheetName val="Summ"/>
      <sheetName val="A"/>
      <sheetName val="CRITERIA2"/>
      <sheetName val="PAY_DATES"/>
      <sheetName val="Rentals Real 1"/>
      <sheetName val="All Components Report"/>
      <sheetName val="Masters"/>
      <sheetName val="Development"/>
      <sheetName val="IP Business Manpower"/>
      <sheetName val="CRITERIA4"/>
      <sheetName val="Festlegungen"/>
      <sheetName val="ALL DAT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Service Function"/>
      <sheetName val="CRITERIA3"/>
      <sheetName val="CRITERIA5"/>
      <sheetName val="CRITERIA6"/>
      <sheetName val="TRIAL BALANCE"/>
      <sheetName val="PROGRAM REV"/>
      <sheetName val="Master"/>
      <sheetName val="YTD Data"/>
      <sheetName val="BASIS"/>
      <sheetName val="J1iex"/>
      <sheetName val="girder"/>
      <sheetName val="Fill this out first..."/>
      <sheetName val="Main"/>
      <sheetName val="Bal_Gr"/>
      <sheetName val="it-dep"/>
      <sheetName val="Complete CWIP Status"/>
      <sheetName val="Co. TB"/>
      <sheetName val="CVBUH2MONTHLY"/>
      <sheetName val="TT35"/>
      <sheetName val="Sch 7-13"/>
      <sheetName val="Exchange"/>
      <sheetName val="RECEIPT"/>
      <sheetName val="BS, PL, Sch 5 to 9"/>
      <sheetName val="GRN-2010"/>
      <sheetName val="Himachal"/>
      <sheetName val="Sheet"/>
      <sheetName val="Quarterly Scrap"/>
      <sheetName val="Raw Mtls."/>
      <sheetName val="WIP"/>
      <sheetName val="Finished Goods"/>
      <sheetName val="Raw Data"/>
      <sheetName val="KEY INPUTS"/>
      <sheetName val="XXL_1ST"/>
      <sheetName val="Anlage 1"/>
      <sheetName val="trail"/>
      <sheetName val="IRR"/>
      <sheetName val="deduction"/>
      <sheetName val="addition"/>
      <sheetName val="sep01"/>
      <sheetName val="ETC Plant Cost"/>
      <sheetName val="BSPL"/>
      <sheetName val="AR Drop Downs"/>
      <sheetName val="DF"/>
      <sheetName val="fcl"/>
      <sheetName val="dwbulk"/>
      <sheetName val="Branch"/>
      <sheetName val="TB trend"/>
      <sheetName val="Payroll reconciliation"/>
      <sheetName val="2003"/>
      <sheetName val="dealer list"/>
      <sheetName val="February"/>
      <sheetName val="January"/>
      <sheetName val="TB"/>
      <sheetName val="Account balances"/>
      <sheetName val="Struktur"/>
      <sheetName val="Criteria"/>
      <sheetName val="DC Actual"/>
      <sheetName val="DC PLan"/>
      <sheetName val="Input"/>
      <sheetName val="gvl"/>
      <sheetName val="??????"/>
      <sheetName val="대리점리스트"/>
      <sheetName val="Validation"/>
      <sheetName val="Disp Table"/>
      <sheetName val="Values"/>
      <sheetName val="SLOC Listing"/>
      <sheetName val="24100 Accr Liab"/>
      <sheetName val="BS and P&amp;L"/>
      <sheetName val="Directors"/>
      <sheetName val="Parameter"/>
      <sheetName val="3BPA00132-5-3 W plan HVPNL"/>
      <sheetName val="off"/>
      <sheetName val="Summary-PSG"/>
      <sheetName val="환율"/>
      <sheetName val="CAUSTIC"/>
      <sheetName val="ReworkLabour"/>
      <sheetName val="JE10310X"/>
      <sheetName val="BS JUL"/>
      <sheetName val="EP"/>
      <sheetName val="RES"/>
      <sheetName val="MB-05, JU"/>
      <sheetName val="Grouping 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refreshError="1"/>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sheetName val="Supply"/>
      <sheetName val="Induced Demand"/>
      <sheetName val="Demand"/>
      <sheetName val="New Hotel Induced Demand"/>
      <sheetName val="Hotel Expansion Induced Demand"/>
      <sheetName val="Occ"/>
      <sheetName val="ADR"/>
      <sheetName val="Calculation"/>
      <sheetName val="Ref"/>
      <sheetName val="HotelInduced"/>
      <sheetName val="marketinduce"/>
      <sheetName val="hotelinduce"/>
      <sheetName val="occ&amp;rate"/>
      <sheetName val="Unaccomodated (2)"/>
      <sheetName val="Unaccomodated"/>
      <sheetName val="Sheet1"/>
      <sheetName val="MarketInduce1"/>
      <sheetName val=""/>
      <sheetName val="Convention"/>
      <sheetName val="Tertiary Competition"/>
      <sheetName val="Tourism Induce"/>
      <sheetName val="Inputs"/>
      <sheetName val="Designation"/>
      <sheetName val="EXPENSES"/>
      <sheetName val="Exim FCL"/>
    </sheetNames>
    <sheetDataSet>
      <sheetData sheetId="0"/>
      <sheetData sheetId="1"/>
      <sheetData sheetId="2"/>
      <sheetData sheetId="3"/>
      <sheetData sheetId="4"/>
      <sheetData sheetId="5"/>
      <sheetData sheetId="6"/>
      <sheetData sheetId="7"/>
      <sheetData sheetId="8"/>
      <sheetData sheetId="9">
        <row r="27">
          <cell r="C27">
            <v>365</v>
          </cell>
        </row>
      </sheetData>
      <sheetData sheetId="10"/>
      <sheetData sheetId="11"/>
      <sheetData sheetId="12" refreshError="1"/>
      <sheetData sheetId="13" refreshError="1"/>
      <sheetData sheetId="14" refreshError="1"/>
      <sheetData sheetId="15"/>
      <sheetData sheetId="16"/>
      <sheetData sheetId="17"/>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2001"/>
      <sheetName val="BU2002"/>
      <sheetName val="AC2002"/>
      <sheetName val="Var2002 BU-AC"/>
      <sheetName val="P12002"/>
      <sheetName val="Var2002 BU-P1"/>
      <sheetName val="P22002"/>
      <sheetName val="Var2002 P1-P2"/>
      <sheetName val="Var2002 BU-P2"/>
      <sheetName val="P32002"/>
      <sheetName val="P42002"/>
      <sheetName val="aklternative 1"/>
      <sheetName val="Summary Incr."/>
      <sheetName val="BU2003 Incremental"/>
      <sheetName val="aklternative 2"/>
      <sheetName val="Summary NO1"/>
      <sheetName val="BU2003 NO1"/>
      <sheetName val="Var2002 P2-P3"/>
      <sheetName val="Frango PL"/>
      <sheetName val="Income"/>
      <sheetName val="Frango"/>
      <sheetName val="BS comparison"/>
      <sheetName val="Companycode"/>
      <sheetName val="Capex"/>
      <sheetName val="Employees"/>
      <sheetName val="Cashflow"/>
      <sheetName val="Control"/>
      <sheetName val="Balance"/>
      <sheetName val="Program"/>
      <sheetName val="Expenses"/>
      <sheetName val="INPUT"/>
      <sheetName val="OUTPUT"/>
      <sheetName val="DSO DPO chart"/>
      <sheetName val="Indexes"/>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Income &amp; Occupancy Customer"/>
      <sheetName val="Index"/>
      <sheetName val="DEPRE"/>
      <sheetName val="Global Assm."/>
      <sheetName val="QoQ Forecast"/>
      <sheetName val="BBEuros"/>
      <sheetName val="Income Statements"/>
      <sheetName val="Sheet3_(2)"/>
      <sheetName val="Sheet3__2_"/>
      <sheetName val="InvoiceList"/>
      <sheetName val="Summary"/>
      <sheetName val="노무비"/>
      <sheetName val="Set"/>
      <sheetName val="Analysis"/>
      <sheetName val="Sheet2"/>
      <sheetName val="van khuon"/>
      <sheetName val="Names"/>
      <sheetName val="Introduction"/>
      <sheetName val="IDC macro"/>
      <sheetName val="SALE"/>
      <sheetName val="sheet6"/>
      <sheetName val="Aladdin Macro1"/>
      <sheetName val="BalSht"/>
      <sheetName val="Acc_10.5"/>
      <sheetName val="ABP inputs"/>
      <sheetName val="Synergy Sales Budget"/>
      <sheetName val="Project Budget Worksheet"/>
      <sheetName val="Calculation (2)"/>
      <sheetName val="JCF"/>
      <sheetName val="Multiple output"/>
      <sheetName val="유통망계획"/>
      <sheetName val="Builtup Area"/>
      <sheetName val="Headings"/>
      <sheetName val="RCC,Ret. Wall"/>
      <sheetName val="BOQ T4B"/>
      <sheetName val="F1a-Pile"/>
      <sheetName val="CV"/>
      <sheetName val="ES(Kor)"/>
      <sheetName val="INDIGINEOUS ITEMS "/>
      <sheetName val="fco"/>
      <sheetName val="Formulas"/>
      <sheetName val="Inputs"/>
      <sheetName val="LISTS"/>
      <sheetName val="download"/>
      <sheetName val="170810-lease tax"/>
      <sheetName val="TIll_Q_sal"/>
      <sheetName val="tiller"/>
      <sheetName val="Input"/>
      <sheetName val="Main Sheet (MTD)"/>
      <sheetName val="Consl Daily Report"/>
      <sheetName val="Acc_10_5"/>
      <sheetName val="Preside"/>
      <sheetName val="balance sheet"/>
      <sheetName val="GBW"/>
      <sheetName val="Material "/>
      <sheetName val="Labour &amp; Plant"/>
      <sheetName val="Design"/>
      <sheetName val="BOQ"/>
      <sheetName val=" B3"/>
      <sheetName val=" B1"/>
      <sheetName val="Lead"/>
      <sheetName val="Main-Material"/>
      <sheetName val="Sheet1"/>
      <sheetName val="beam-reinft-IIInd floor"/>
      <sheetName val="CFForecast detail"/>
      <sheetName val="Site Dev BOQ"/>
      <sheetName val="Break up Sheet"/>
      <sheetName val="Vind-BtB"/>
      <sheetName val="Approved MTD Proj #'s"/>
      <sheetName val="MN T.B."/>
      <sheetName val="Load Details-220kV"/>
      <sheetName val="Block A - BOQ"/>
      <sheetName val="ABP_inputs"/>
      <sheetName val="Synergy_Sales_Budget"/>
      <sheetName val="Project_Budget_Worksheet"/>
      <sheetName val="QoQ_Forecast"/>
      <sheetName val="Income_Statements"/>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Aladdin_Macro1"/>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Portfolio Summary"/>
      <sheetName val="strand"/>
      <sheetName val="CABLE DATA"/>
      <sheetName val="1st flr"/>
      <sheetName val="final abstract"/>
      <sheetName val="Rate analysis"/>
      <sheetName val="q-details"/>
      <sheetName val="Rollup Summary"/>
      <sheetName val="Depreciation"/>
      <sheetName val="CapitalOutlay"/>
      <sheetName val="Assum"/>
      <sheetName val="Assumptions"/>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Occ"/>
      <sheetName val="Demand"/>
      <sheetName val="Ref"/>
      <sheetName val="02"/>
      <sheetName val="03"/>
      <sheetName val="04"/>
      <sheetName val="01"/>
      <sheetName val="Civil Boq"/>
      <sheetName val="Summary Excise"/>
      <sheetName val="02022005"/>
      <sheetName val="16022005"/>
      <sheetName val="05012005"/>
      <sheetName val="19012005"/>
      <sheetName val="02032005"/>
      <sheetName val="16032005"/>
      <sheetName val="30032005"/>
      <sheetName val="International"/>
      <sheetName val="Internet"/>
      <sheetName val="sept-plan"/>
      <sheetName val="EBITDA"/>
      <sheetName val="IMPORT T12"/>
      <sheetName val="classes"/>
      <sheetName val="IT Block"/>
      <sheetName val="Location CODE"/>
      <sheetName val="Location TYPE"/>
      <sheetName val="sub class"/>
      <sheetName val=" sub Loc "/>
      <sheetName val=" Acc. Sched."/>
      <sheetName val="Current Bill MB ref"/>
      <sheetName val="Meas.-Hotel Part"/>
      <sheetName val="March Analysts"/>
      <sheetName val="Company"/>
      <sheetName val="F"/>
      <sheetName val="EXHIBIT&quot; T&quot;"/>
      <sheetName val="Turnover"/>
      <sheetName val="SCH-E-1"/>
      <sheetName val="BIPR"/>
      <sheetName val="BPCA"/>
      <sheetName val="BBRS"/>
      <sheetName val="KPM DT"/>
      <sheetName val="Grouping Master"/>
      <sheetName val="LBO"/>
      <sheetName val="Main workings"/>
      <sheetName val="Factor_Sheet"/>
      <sheetName val="HELP"/>
      <sheetName val="BS-2005"/>
      <sheetName val="MAIN_MENU"/>
      <sheetName val="exec summ"/>
      <sheetName val="MIS - kINR"/>
      <sheetName val="BS"/>
      <sheetName val="Other BS Sch 5-9"/>
      <sheetName val="Excess Calc"/>
      <sheetName val="compu"/>
      <sheetName val="P &amp; L"/>
      <sheetName val="PLAN_FEB97"/>
      <sheetName val="Fin Sum"/>
      <sheetName val="Sheet3_(2)5"/>
      <sheetName val="Sheet3__2_5"/>
      <sheetName val="Calculation_(2)5"/>
      <sheetName val="Multiple_output5"/>
      <sheetName val="170810-lease_tax"/>
      <sheetName val="QoQ_Forecast5"/>
      <sheetName val="Income_Statements5"/>
      <sheetName val="Income_&amp;_Occupancy_Customer5"/>
      <sheetName val="ABP_inputs5"/>
      <sheetName val="Synergy_Sales_Budget5"/>
      <sheetName val="Project_Budget_Worksheet5"/>
      <sheetName val="INDIGINEOUS_ITEMS_5"/>
      <sheetName val="Builtup_Area5"/>
      <sheetName val="RCC,Ret__Wall5"/>
      <sheetName val="BOQ_T4B5"/>
      <sheetName val="Material_5"/>
      <sheetName val="Labour_&amp;_Plant5"/>
      <sheetName val="_B35"/>
      <sheetName val="_B15"/>
      <sheetName val="CFForecast_detail5"/>
      <sheetName val="Site_Dev_BOQ5"/>
      <sheetName val="beam-reinft-IIInd_floor5"/>
      <sheetName val="Global_Assm_5"/>
      <sheetName val="Main_Sheet_(MTD)"/>
      <sheetName val="Consl_Daily_Report"/>
      <sheetName val="balance_sheet"/>
      <sheetName val="van_khuon"/>
      <sheetName val="IDC_macro"/>
      <sheetName val="Aladdin_Macro15"/>
      <sheetName val="Acc_10_55"/>
      <sheetName val="Portfolio_Summary"/>
      <sheetName val="MIS_-_kINR"/>
      <sheetName val="Break_up_Sheet5"/>
      <sheetName val="Approved_MTD_Proj_#'s5"/>
      <sheetName val="MN_T_B_5"/>
      <sheetName val="Load_Details-220kV5"/>
      <sheetName val="Block_A_-_BOQ5"/>
      <sheetName val="CABLE_DATA"/>
      <sheetName val="1st_flr"/>
      <sheetName val="final_abstract"/>
      <sheetName val="Rate_analysis"/>
      <sheetName val="Rollup_Summary"/>
      <sheetName val="Civil_Boq"/>
      <sheetName val="QoQ In Lakhs"/>
      <sheetName val="GENERAL2"/>
      <sheetName val="M-2 Adjusted"/>
      <sheetName val="Master Price List"/>
      <sheetName val="reference"/>
      <sheetName val="new_data"/>
      <sheetName val="earnmodl"/>
      <sheetName val="Dom Cell (IS)"/>
      <sheetName val="?????"/>
      <sheetName val="Budget Summary"/>
      <sheetName val="PERHW"/>
      <sheetName val="Licences"/>
      <sheetName val="Balance Sheet "/>
      <sheetName val="Macro1"/>
      <sheetName val="Loss 3004"/>
      <sheetName val="Reconciliation of GL &amp; FAR"/>
      <sheetName val="Settings"/>
      <sheetName val="Rates"/>
      <sheetName val="EDS  Bestshore Migration"/>
      <sheetName val="NewCo"/>
      <sheetName val="TB_FOR_MIS"/>
      <sheetName val="Area"/>
      <sheetName val="TB FOR MIS"/>
      <sheetName val="INPUT SHEET"/>
      <sheetName val="Summ"/>
      <sheetName val="Fossil_DCF"/>
      <sheetName val="SOPMA DD"/>
      <sheetName val="03 (2)"/>
      <sheetName val="WIng F(Typical)"/>
      <sheetName val="FlashMgtMo"/>
      <sheetName val="FlashMgtYTD"/>
      <sheetName val="CAP"/>
      <sheetName val="ANN.K"/>
      <sheetName val="AOP13"/>
      <sheetName val="TH"/>
      <sheetName val="Hardware"/>
      <sheetName val="Power &amp; Fuel (S)"/>
      <sheetName val="Recon"/>
      <sheetName val="Sheet3_(2)6"/>
      <sheetName val="Sheet3__2_6"/>
      <sheetName val="170810-lease_tax1"/>
      <sheetName val="Multiple_output6"/>
      <sheetName val="Calculation_(2)6"/>
      <sheetName val="QoQ_Forecast6"/>
      <sheetName val="Income_Statements6"/>
      <sheetName val="Income_&amp;_Occupancy_Customer6"/>
      <sheetName val="ABP_inputs6"/>
      <sheetName val="Synergy_Sales_Budget6"/>
      <sheetName val="Project_Budget_Worksheet6"/>
      <sheetName val="Builtup_Area6"/>
      <sheetName val="INDIGINEOUS_ITEMS_6"/>
      <sheetName val="RCC,Ret__Wall6"/>
      <sheetName val="BOQ_T4B6"/>
      <sheetName val="Main_Sheet_(MTD)1"/>
      <sheetName val="Consl_Daily_Report1"/>
      <sheetName val="balance_sheet1"/>
      <sheetName val="Global_Assm_6"/>
      <sheetName val="van_khuon1"/>
      <sheetName val="IDC_macro1"/>
      <sheetName val="Aladdin_Macro16"/>
      <sheetName val="Acc_10_56"/>
      <sheetName val="Portfolio_Summary1"/>
      <sheetName val="Summary_Excise"/>
      <sheetName val="Other_BS_Sch_5-9"/>
      <sheetName val="Excess_Calc"/>
      <sheetName val="Grouping_Master"/>
      <sheetName val="Current_Bill_MB_ref"/>
      <sheetName val="Meas_-Hotel_Part"/>
      <sheetName val="Material_6"/>
      <sheetName val="Labour_&amp;_Plant6"/>
      <sheetName val="_B36"/>
      <sheetName val="_B16"/>
      <sheetName val="beam-reinft-IIInd_floor6"/>
      <sheetName val="Approved_MTD_Proj_#'s6"/>
      <sheetName val="MN_T_B_6"/>
      <sheetName val="CFForecast_detail6"/>
      <sheetName val="Site_Dev_BOQ6"/>
      <sheetName val="Break_up_Sheet6"/>
      <sheetName val="Load_Details-220kV6"/>
      <sheetName val="Block_A_-_BOQ6"/>
      <sheetName val="March_Analysts"/>
      <sheetName val="P_&amp;_L"/>
      <sheetName val="Fin_Sum"/>
      <sheetName val="QoQ_In_Lakhs"/>
      <sheetName val="Main_workings"/>
      <sheetName val="CABLE_DATA1"/>
      <sheetName val="1st_flr1"/>
      <sheetName val="final_abstract1"/>
      <sheetName val="Rate_analysis1"/>
      <sheetName val="Rollup_Summary1"/>
      <sheetName val="Civil_Boq1"/>
      <sheetName val="MIS_-_kINR1"/>
      <sheetName val="ANN_K"/>
      <sheetName val="IT_Block"/>
      <sheetName val="Location_CODE"/>
      <sheetName val="Location_TYPE"/>
      <sheetName val="sub_class"/>
      <sheetName val="_sub_Loc_"/>
      <sheetName val="_Acc__Sched_"/>
      <sheetName val="IMPORT_T12"/>
      <sheetName val="EDS__Bestshore_Migration"/>
      <sheetName val="TB_FOR_MIS1"/>
      <sheetName val="INPUT_SHEET"/>
      <sheetName val="SOPMA_DD"/>
      <sheetName val="03_(2)"/>
      <sheetName val="WIng_F(Typical)"/>
      <sheetName val="M-2_Adjusted"/>
      <sheetName val="EXHIBIT&quot;_T&quot;"/>
      <sheetName val="KPM_DT"/>
      <sheetName val="Master_Price_List"/>
      <sheetName val="Dom_Cell_(IS)"/>
      <sheetName val="Power_&amp;_Fuel_(S)"/>
      <sheetName val="Balance_Sheet_"/>
      <sheetName val="Budget_Summary"/>
      <sheetName val="EXPENSES"/>
      <sheetName val="Sheet3"/>
      <sheetName val="Training Deposits coding"/>
      <sheetName val="MASTER_RATE ANALYSIS"/>
      <sheetName val="Valuation - block 2"/>
      <sheetName val="Hot"/>
      <sheetName val="Mico"/>
      <sheetName val="OpRes"/>
      <sheetName val="master"/>
      <sheetName val="AOR"/>
      <sheetName val="CashFlow"/>
      <sheetName val="TB"/>
      <sheetName val="OpTrack"/>
      <sheetName val="ras"/>
      <sheetName val="Legal Risk Analysis"/>
      <sheetName val="Ins Erection"/>
      <sheetName val="RNT"/>
      <sheetName val="Combi"/>
      <sheetName val="Assumption"/>
      <sheetName val="IO"/>
      <sheetName val="Customize Your Invoice"/>
      <sheetName val="97-98"/>
      <sheetName val="LBO Financials"/>
      <sheetName val="Task"/>
      <sheetName val="SODA02"/>
      <sheetName val="Pay_Sep06"/>
      <sheetName val="PLGroupings"/>
      <sheetName val="Results"/>
      <sheetName val="FY2001-02"/>
      <sheetName val="CARO"/>
      <sheetName val="Redelvery provision changed"/>
      <sheetName val="EVA1"/>
      <sheetName val="Felix Street Summary"/>
      <sheetName val="Newspapers"/>
      <sheetName val="AccDil"/>
      <sheetName val="ITEM  STUDY (2)"/>
      <sheetName val="TDS Certificate-Format"/>
      <sheetName val="FA"/>
      <sheetName val="Tyre1"/>
      <sheetName val="Auto"/>
      <sheetName val="YTD"/>
      <sheetName val="RES-PLANNING"/>
      <sheetName val="Cost_any"/>
      <sheetName val="10. &amp; 11. Rate Code &amp; BQ"/>
      <sheetName val="FITZ MORT 94"/>
      <sheetName val="Currency"/>
      <sheetName val="Sale Charts"/>
      <sheetName val="EXIS-COMBINED"/>
      <sheetName val="Boiler&amp;TG"/>
      <sheetName val="9. Package split - Cost "/>
      <sheetName val="Code"/>
      <sheetName val="vb 9&amp;10"/>
      <sheetName val="269T(final)"/>
      <sheetName val=""/>
      <sheetName val="Base Assumptions"/>
      <sheetName val="CASHFLOWS"/>
      <sheetName val="Params"/>
      <sheetName val="drop-dwn list"/>
      <sheetName val="tngst1"/>
      <sheetName val="horizontal"/>
      <sheetName val="concrete"/>
      <sheetName val="CSCCincSKR"/>
      <sheetName val="form26"/>
      <sheetName val="F29B"/>
      <sheetName val="Dep"/>
      <sheetName val="Fill this out first..."/>
      <sheetName val="Expansion"/>
      <sheetName val="Phasing"/>
      <sheetName val="cash_flow"/>
      <sheetName val="sales_value"/>
      <sheetName val="colaw_dep"/>
      <sheetName val="freight"/>
      <sheetName val="gm"/>
      <sheetName val="interest"/>
      <sheetName val="jb_cost"/>
      <sheetName val="c_flow_%"/>
      <sheetName val="consum_cost"/>
      <sheetName val="Tender Summary"/>
      <sheetName val="RA"/>
      <sheetName val="Bill 1-BOQ-Civil Works"/>
      <sheetName val="#REF"/>
      <sheetName val="Data"/>
      <sheetName val="Related party - P&amp;L"/>
      <sheetName val="Contribution"/>
      <sheetName val="Rx"/>
      <sheetName val="Base data Security Procedures"/>
      <sheetName val="PRECAST lightconc-II"/>
      <sheetName val="Standalone"/>
      <sheetName val="IO LIST"/>
      <sheetName val="RATE LIST (2)"/>
      <sheetName val="Capital Structure"/>
      <sheetName val="GROUPING"/>
      <sheetName val="차수"/>
      <sheetName val="P&amp;L"/>
      <sheetName val="DIVBUD99"/>
      <sheetName val="AREAS"/>
      <sheetName val="Sch5TO10"/>
      <sheetName val="NOA Data"/>
      <sheetName val="Cash Flow Working"/>
      <sheetName val="TRIAL BALANCE"/>
      <sheetName val="Schedule v1"/>
      <sheetName val="Database"/>
      <sheetName val="SCHEDULE"/>
      <sheetName val="schedule nos"/>
      <sheetName val="labour rates"/>
      <sheetName val="Sensitivity"/>
      <sheetName val="Timesheet"/>
      <sheetName val="Loads"/>
      <sheetName val="sumary"/>
      <sheetName val="old_serial no."/>
      <sheetName val="tot_ass_9697"/>
      <sheetName val="Budget_CF - Overall"/>
      <sheetName val="공사비 내역 (가)"/>
      <sheetName val="4K - (6a) Non Manual Breakdown"/>
      <sheetName val="3. Elemental Summary"/>
      <sheetName val="Financials"/>
      <sheetName val="L"/>
      <sheetName val="Estimate"/>
      <sheetName val="conc-foot-gradeslab"/>
      <sheetName val="p1-costg"/>
      <sheetName val="costing"/>
      <sheetName val="August TB"/>
      <sheetName val="Control"/>
      <sheetName val="Rev Opt - Rollup"/>
      <sheetName val="Variables_x"/>
      <sheetName val="Trial Balance_Format"/>
      <sheetName val="Current_Bill_MB_ref1"/>
      <sheetName val="Meas_-Hotel_Part1"/>
      <sheetName val="ES"/>
      <sheetName val="Material List "/>
      <sheetName val="NEW-IDs Fun &amp; Group"/>
      <sheetName val="XZLC003_PART1"/>
      <sheetName val="Service Invoice"/>
      <sheetName val="0. Data Validation List"/>
      <sheetName val="Crest"/>
      <sheetName val="Pinnacle"/>
      <sheetName val="Zenith"/>
      <sheetName val="stacking sheet"/>
      <sheetName val="Night Shift"/>
      <sheetName val="12-ACTPL"/>
      <sheetName val="DET0900"/>
      <sheetName val="Theatre mgmt cont"/>
      <sheetName val="Scope"/>
      <sheetName val="GenAssump"/>
      <sheetName val="Goldberg Portfolio Combined"/>
      <sheetName val="Commercial Research"/>
      <sheetName val="Leasing Commision"/>
      <sheetName val="Master list"/>
      <sheetName val="Labour List"/>
      <sheetName val="Material List"/>
      <sheetName val="Architectural Summary"/>
      <sheetName val="Labor abs-NMR"/>
      <sheetName val="Beam at Ground flr lvl(Steel)"/>
      <sheetName val="1st -vpd"/>
      <sheetName val="WT-LIST"/>
      <sheetName val="Material"/>
      <sheetName val="Intaccrual"/>
      <sheetName val="SBU"/>
      <sheetName val="Operating Statistics"/>
      <sheetName val="A-Mum"/>
      <sheetName val="BKCSTOCKVAL"/>
      <sheetName val="MAHSTOCKVAL"/>
      <sheetName val="Checks"/>
      <sheetName val="FA Schedule Dec 07"/>
      <sheetName val="Menu"/>
      <sheetName val="P.R. TAXES"/>
      <sheetName val="BILLING SUM"/>
      <sheetName val="Lease-rents"/>
      <sheetName val="Key Assumption"/>
      <sheetName val="Master Information"/>
      <sheetName val="GF Columns"/>
      <sheetName val="Debtors analysis"/>
      <sheetName val="pile Fabrication"/>
      <sheetName val="Improvements"/>
      <sheetName val="UNP-NCW "/>
      <sheetName val="SEW4"/>
      <sheetName val="Variables"/>
      <sheetName val="Publicbuilding"/>
      <sheetName val="Non-Factory"/>
      <sheetName val="extra work elec bill "/>
      <sheetName val="Sheet4"/>
      <sheetName val="CrRajWMM"/>
      <sheetName val="소상 &quot;1&quot;"/>
      <sheetName val="Graph (LGEN)"/>
      <sheetName val="out_prog"/>
      <sheetName val="선적schedule (2)"/>
      <sheetName val="steam outlet"/>
      <sheetName val="BOQ Distribution"/>
      <sheetName val="wordsdata"/>
      <sheetName val="GM &amp; TA"/>
      <sheetName val="Retail Mall"/>
      <sheetName val="Control Sheet"/>
      <sheetName val="crs"/>
      <sheetName val="PIMS"/>
      <sheetName val="SCH 10"/>
      <sheetName val="SAP EMP"/>
      <sheetName val="A1-Continuous"/>
      <sheetName val="schedules"/>
      <sheetName val="Summary_Local"/>
      <sheetName val="Open Items-311208"/>
      <sheetName val="exp"/>
      <sheetName val="details"/>
      <sheetName val="Cost summary"/>
      <sheetName val="RCC Rates"/>
      <sheetName val="FORM7"/>
      <sheetName val="目录"/>
      <sheetName val="4.4 External Plaster"/>
      <sheetName val="MFG"/>
      <sheetName val="USB 1"/>
      <sheetName val="apr-aug"/>
      <sheetName val="15-21"/>
      <sheetName val="Cover"/>
      <sheetName val="RA-markate"/>
      <sheetName val="BQ"/>
      <sheetName val="Notes-pivot1 "/>
      <sheetName val="Approval"/>
      <sheetName val=" COP"/>
      <sheetName val="Feb_Prfl_28"/>
      <sheetName val="macroDat"/>
      <sheetName val="Fin_Sum1"/>
      <sheetName val="KPM_DT1"/>
      <sheetName val="Loss_3004"/>
      <sheetName val="Reconciliation_of_GL_&amp;_FAR"/>
      <sheetName val="IMPORT_T121"/>
      <sheetName val="LBO_Financials"/>
      <sheetName val="Training_Deposits_coding"/>
      <sheetName val="exec_summ"/>
      <sheetName val="MASTER_RATE_ANALYSIS"/>
      <sheetName val="Valuation_-_block_2"/>
      <sheetName val="Rev_Opt_-_Rollup"/>
      <sheetName val="Molasses-FG"/>
      <sheetName val="grp "/>
      <sheetName val="전체현황"/>
      <sheetName val="Misc. Master"/>
      <sheetName val="FCIIHyperion"/>
      <sheetName val="MIS AC wise"/>
      <sheetName val="Timeline"/>
      <sheetName val="Assump"/>
      <sheetName val="Overall Summary"/>
      <sheetName val="HBI NCD"/>
      <sheetName val="CUSTOM Jun99"/>
      <sheetName val="A.O.R."/>
      <sheetName val="Base"/>
      <sheetName val="final 061106"/>
      <sheetName val="SAB P&amp;L"/>
      <sheetName val="cash flow"/>
      <sheetName val="Kontensalden"/>
      <sheetName val="Gen_Ass"/>
      <sheetName val="Op_Ass"/>
      <sheetName val="Staff Costs"/>
      <sheetName val="General_Assumptions"/>
      <sheetName val="HOUSE RENT DEPO."/>
      <sheetName val="Inv_Data"/>
      <sheetName val="Lease Expiry"/>
      <sheetName val="Basement Budget"/>
      <sheetName val="labour"/>
      <sheetName val="Collection"/>
      <sheetName val="HRD1"/>
      <sheetName val="Taluka wise dealer (2)"/>
      <sheetName val="TMasterCurrency"/>
      <sheetName val="TMasterSeg"/>
      <sheetName val="Notes"/>
      <sheetName val="XLR_NoRangeSheet"/>
      <sheetName val="BOM"/>
      <sheetName val="FA(Apr 07)"/>
      <sheetName val="Reco O.S"/>
      <sheetName val="Accounts"/>
      <sheetName val="dlvoid"/>
      <sheetName val="Formated Trial Balance"/>
      <sheetName val="Sch_BS"/>
      <sheetName val="Grp_PL"/>
      <sheetName val="ITEM__STUDY_(2)"/>
      <sheetName val="TDS_Certificate-Format"/>
      <sheetName val="Felix_Street_Summary"/>
      <sheetName val="10__&amp;_11__Rate_Code_&amp;_BQ"/>
      <sheetName val="vb_9&amp;10"/>
      <sheetName val="9__Package_split_-_Cost_"/>
      <sheetName val="FITZ_MORT_94"/>
      <sheetName val="Fill_this_out_first___"/>
      <sheetName val="Base_Assumptions"/>
      <sheetName val="PRECAST_lightconc-II"/>
      <sheetName val="Ins_Erection"/>
      <sheetName val="HOUSE_RENT_DEPO_"/>
      <sheetName val="Debtors_analysis"/>
      <sheetName val="Tender_Summary"/>
      <sheetName val="Bill_1-BOQ-Civil_Works"/>
      <sheetName val="drop-dwn_list"/>
      <sheetName val="Customize_Your_Invoice"/>
      <sheetName val="Sale_Charts"/>
      <sheetName val="EAST"/>
      <sheetName val="YOEMAGUM"/>
      <sheetName val="A-1"/>
      <sheetName val="SAP downloaded schedule"/>
      <sheetName val="Transaction"/>
      <sheetName val="Main"/>
      <sheetName val="beam-reinft-machine rm"/>
      <sheetName val="FIFO"/>
      <sheetName val="Links"/>
      <sheetName val="Annexure-I"/>
      <sheetName val="인사현황(부서)"/>
      <sheetName val="Overheads"/>
      <sheetName val="SCH4"/>
      <sheetName val="FixedAssets"/>
      <sheetName val="Debt"/>
      <sheetName val="SALES"/>
      <sheetName val="Basework"/>
      <sheetName val="Monthly Inputs"/>
      <sheetName val="2000-1 Monthly Cashflows"/>
      <sheetName val="2002-2 Monthly Cashflows"/>
      <sheetName val="ASSETS P&amp;M"/>
      <sheetName val="Assets Land &amp; Mise FA"/>
      <sheetName val="cl 14 Annex 7 "/>
      <sheetName val="Encl 7A"/>
      <sheetName val="wdr bldg"/>
      <sheetName val="Costs"/>
      <sheetName val="I"/>
      <sheetName val="PL"/>
      <sheetName val="EMPMAST"/>
      <sheetName val="agrolist"/>
      <sheetName val=" "/>
      <sheetName val="S &amp; A"/>
      <sheetName val="Legal_Risk_Analysis"/>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p&amp;m"/>
      <sheetName val="Rollup"/>
      <sheetName val="Fin. Assumpt. - Sensitivities"/>
      <sheetName val="Fin"/>
      <sheetName val="Intro"/>
      <sheetName val="OHT_Abs"/>
      <sheetName val="1"/>
      <sheetName val="Linked Lead"/>
      <sheetName val="hist&amp;proj"/>
      <sheetName val="TASKRSRC (2)"/>
      <sheetName val="TARGET"/>
      <sheetName val="BASELINE"/>
      <sheetName val="Portfolio_Summary2"/>
      <sheetName val="Current_Bill_MB_ref2"/>
      <sheetName val="Meas_-Hotel_Part2"/>
      <sheetName val="extra_work_elec_bill_"/>
      <sheetName val="NEW-IDs_Fun_&amp;_Group"/>
      <sheetName val="Elec Summ"/>
      <sheetName val="ELEC BOQ"/>
      <sheetName val="TRACK BUSWAY"/>
      <sheetName val="BBT"/>
      <sheetName val="LIGHTING"/>
      <sheetName val="LMS"/>
      <sheetName val="Severity"/>
      <sheetName val="Pur"/>
      <sheetName val="mltc"/>
      <sheetName val="Determination of Threshold"/>
      <sheetName val="MultipleSecurities"/>
      <sheetName val="Dollar_Value"/>
      <sheetName val="BASIS -DEC 08"/>
      <sheetName val="DUMP "/>
      <sheetName val="Bspl Main"/>
      <sheetName val="Parameter"/>
      <sheetName val="Cash_Flow_Working"/>
      <sheetName val="register"/>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Earnings"/>
      <sheetName val="Sources"/>
      <sheetName val="Multipliers &amp; KRA"/>
      <sheetName val="MARCH"/>
      <sheetName val="SEP "/>
      <sheetName val="CPR"/>
      <sheetName val="DB"/>
      <sheetName val="Base Data"/>
      <sheetName val="080 (2)"/>
      <sheetName val="F.01 - June 2005"/>
      <sheetName val="HW SW"/>
      <sheetName val="CRITERIA1"/>
      <sheetName val="WC analytics (+data pages)"/>
      <sheetName val="TBAL9697 -group wise  sdpl"/>
      <sheetName val="Quotation"/>
      <sheetName val="RCC_Ret_ Wall"/>
      <sheetName val="DYN PP"/>
      <sheetName val="TXN97"/>
      <sheetName val="June Reserve - Far East"/>
      <sheetName val="Coalmine"/>
      <sheetName val="Theatre_mgmt_cont"/>
      <sheetName val="Open_Items-311208"/>
      <sheetName val="Trial_Balance"/>
      <sheetName val="MIS_AC_wise"/>
      <sheetName val="Goldberg_Portfolio_Combined"/>
      <sheetName val="Commercial_Research"/>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소상_&quot;1&quot;"/>
      <sheetName val="Overall_Summary"/>
      <sheetName val="RCC_Rates"/>
      <sheetName val="Cost_summary"/>
      <sheetName val="UNP-NCW_"/>
      <sheetName val="4_4_External_Plaster"/>
      <sheetName val="HBI_NCD"/>
      <sheetName val="CUSTOM_Jun99"/>
      <sheetName val="A_O_R_"/>
      <sheetName val="Staff_Costs"/>
      <sheetName val="0__Data_Validation_List"/>
      <sheetName val="stacking_sheet"/>
      <sheetName val="Basement_Budget"/>
      <sheetName val="Night_Shift"/>
      <sheetName val="Audit"/>
      <sheetName val="Account title"/>
      <sheetName val="Titel"/>
      <sheetName val="PROV_CONSOLIDATED"/>
      <sheetName val="NGS Data Sheet"/>
      <sheetName val="SGS Data Sheet"/>
      <sheetName val="Micro"/>
      <sheetName val="Macro"/>
      <sheetName val="Scaff-Rose"/>
      <sheetName val="Tickmarks"/>
      <sheetName val="Check Register"/>
      <sheetName val="EBITDA Bridge"/>
      <sheetName val="Detailed"/>
      <sheetName val="2003 Budget-PL-case1"/>
      <sheetName val="STATSUM"/>
      <sheetName val="TB9899"/>
      <sheetName val="Cases"/>
      <sheetName val="现金流量分析表"/>
      <sheetName val="边际贡献分析表"/>
      <sheetName val="HIDDEN"/>
      <sheetName val="DEP99"/>
      <sheetName val="IGAAP"/>
      <sheetName val="INI"/>
      <sheetName val="Output"/>
      <sheetName val="meeting rectification control"/>
      <sheetName val="Loan Data"/>
      <sheetName val="Challan"/>
      <sheetName val="Standalone seg"/>
      <sheetName val="4 Annex 1 Basic rate"/>
      <sheetName val="oresreqsum"/>
      <sheetName val="Other notes"/>
      <sheetName val="STAFFSCHED "/>
      <sheetName val="Basic Rate"/>
      <sheetName val="MIS"/>
      <sheetName val="800CC_FR_HOSE"/>
      <sheetName val="Esteem Rear"/>
      <sheetName val="Rs in lacs"/>
      <sheetName val="ADV-TK-HORT"/>
      <sheetName val="Classification"/>
      <sheetName val="XREF"/>
      <sheetName val="Income"/>
      <sheetName val="EPS"/>
      <sheetName val="currency (2)"/>
      <sheetName val="Companies"/>
      <sheetName val="People"/>
      <sheetName val="NW RTU"/>
      <sheetName val="Clause 9"/>
      <sheetName val="Périodes"/>
      <sheetName val="SP Break Up"/>
      <sheetName val="Names&amp;Cases"/>
      <sheetName val="Maping_Other"/>
      <sheetName val="PX1DATA"/>
      <sheetName val="PX2DATA"/>
      <sheetName val="Indices"/>
      <sheetName val="pri-com"/>
      <sheetName val="BOQ CIVIL"/>
      <sheetName val="Price Comparison"/>
      <sheetName val="Measurment"/>
      <sheetName val="HSA"/>
      <sheetName val="WGSRL"/>
      <sheetName val="B_S"/>
      <sheetName val="s8"/>
      <sheetName val="s7"/>
      <sheetName val="s9"/>
      <sheetName val="ADDN0304"/>
      <sheetName val="Balance Sheet_US$"/>
      <sheetName val="HONOTES"/>
      <sheetName val="PL- Notes"/>
      <sheetName val="Cash Flow "/>
      <sheetName val="Temp"/>
      <sheetName val="Proforma"/>
      <sheetName val="nela"/>
      <sheetName val="COST-MTRS"/>
      <sheetName val="FLASH"/>
      <sheetName val="Annexure"/>
      <sheetName val="Schedules 3-8"/>
      <sheetName val="C120102"/>
      <sheetName val="TR-PBT-Final-Detail"/>
      <sheetName val="1612.01AN(7) - Niep Tds Summary"/>
      <sheetName val="GSTR-3B"/>
      <sheetName val="XWR"/>
      <sheetName val="INQVAR PY"/>
      <sheetName val="Bgt_Lst"/>
      <sheetName val="Cnt_Lst"/>
      <sheetName val="Jan"/>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Base_data_Security_Procedures"/>
      <sheetName val="Key_Assumption"/>
      <sheetName val="Master_Information"/>
      <sheetName val="DYN_PP"/>
      <sheetName val="June_Reserve_-_Far_East"/>
      <sheetName val="Schedule_v1"/>
      <sheetName val="Multipliers_&amp;_KRA"/>
      <sheetName val="WC_analytics_(+data_pages)"/>
      <sheetName val="final_061106"/>
      <sheetName val="SAB_P&amp;L"/>
      <sheetName val="cash_flow1"/>
      <sheetName val="3-dep"/>
      <sheetName val="PARAMETERS"/>
      <sheetName val="BM"/>
      <sheetName val="Total MTH"/>
      <sheetName val="PetroChina"/>
      <sheetName val="Charts"/>
      <sheetName val="Infinite Studios"/>
      <sheetName val="Neuros &amp; Immunos"/>
      <sheetName val="Nucleos"/>
      <sheetName val="Configurator"/>
      <sheetName val="PriceDB"/>
      <sheetName val="Misc__Master"/>
      <sheetName val="Capital_Structure"/>
      <sheetName val="TBAL9697_-group_wise__sdpl"/>
      <sheetName val="SEP_"/>
      <sheetName val="Account_title"/>
      <sheetName val="Redelvery_provision_changed"/>
      <sheetName val="earnings model"/>
      <sheetName val="PVAs"/>
      <sheetName val="인원계획"/>
      <sheetName val="1072"/>
      <sheetName val="ICD"/>
      <sheetName val="Exim FCL"/>
      <sheetName val="HOUSE_RENT_DEPO_1"/>
      <sheetName val="Budget_Summary1"/>
      <sheetName val="Loss_30041"/>
      <sheetName val="Reconciliation_of_GL_&amp;_FAR1"/>
      <sheetName val="exec_summ1"/>
      <sheetName val="Customize_Your_Invoice1"/>
      <sheetName val="Sale_Charts1"/>
      <sheetName val="Trial_Balance_Format"/>
      <sheetName val="NOA_Data"/>
      <sheetName val="COM"/>
      <sheetName val="FSA"/>
      <sheetName val="B"/>
      <sheetName val="FF-2 (1)"/>
      <sheetName val="addl cost"/>
      <sheetName val="FF-1"/>
      <sheetName val="accumdeprn"/>
      <sheetName val="exgratia-feb06"/>
      <sheetName val="GL Master Data"/>
      <sheetName val="15"/>
      <sheetName val="DCF"/>
      <sheetName val="Power_&amp;_Fuel_(S)1"/>
      <sheetName val="GF_Columns"/>
      <sheetName val="labour_rates"/>
      <sheetName val="old_serial_no_"/>
      <sheetName val="Budget_CF_-_Overall"/>
      <sheetName val="공사비_내역_(가)"/>
      <sheetName val="4K_-_(6a)_Non_Manual_Breakdown"/>
      <sheetName val="3__Elemental_Summary"/>
      <sheetName val="August_TB"/>
      <sheetName val="_COP"/>
      <sheetName val="Unmatched"/>
      <sheetName val="Matched"/>
      <sheetName val="MPR_PA_1"/>
      <sheetName val="EAW Final Accounts - 99"/>
      <sheetName val="Sheet3_(2)8"/>
      <sheetName val="Global_Assm_8"/>
      <sheetName val="Calculation_(2)8"/>
      <sheetName val="Multiple_output8"/>
      <sheetName val="Sheet3__2_8"/>
      <sheetName val="QoQ_Forecast8"/>
      <sheetName val="Income_Statements8"/>
      <sheetName val="Income_&amp;_Occupancy_Customer8"/>
      <sheetName val="ABP_inputs8"/>
      <sheetName val="Synergy_Sales_Budget8"/>
      <sheetName val="Project_Budget_Worksheet8"/>
      <sheetName val="Builtup_Area8"/>
      <sheetName val="INDIGINEOUS_ITEMS_8"/>
      <sheetName val="RCC,Ret__Wall8"/>
      <sheetName val="BOQ_T4B8"/>
      <sheetName val="170810-lease_tax3"/>
      <sheetName val="Main_Sheet_(MTD)3"/>
      <sheetName val="Consl_Daily_Report3"/>
      <sheetName val="balance_sheet3"/>
      <sheetName val="van_khuon3"/>
      <sheetName val="IDC_macro3"/>
      <sheetName val="Aladdin_Macro18"/>
      <sheetName val="Acc_10_58"/>
      <sheetName val="Portfolio_Summary4"/>
      <sheetName val="Summary_Excise2"/>
      <sheetName val="Other_BS_Sch_5-92"/>
      <sheetName val="Excess_Calc2"/>
      <sheetName val="Grouping_Master2"/>
      <sheetName val="Current_Bill_MB_ref4"/>
      <sheetName val="Meas_-Hotel_Part4"/>
      <sheetName val="Material_8"/>
      <sheetName val="Labour_&amp;_Plant8"/>
      <sheetName val="_B38"/>
      <sheetName val="_B18"/>
      <sheetName val="beam-reinft-IIInd_floor8"/>
      <sheetName val="Approved_MTD_Proj_#'s8"/>
      <sheetName val="MN_T_B_8"/>
      <sheetName val="CFForecast_detail8"/>
      <sheetName val="Site_Dev_BOQ8"/>
      <sheetName val="Break_up_Sheet8"/>
      <sheetName val="Load_Details-220kV8"/>
      <sheetName val="Block_A_-_BOQ8"/>
      <sheetName val="March_Analysts2"/>
      <sheetName val="P_&amp;_L2"/>
      <sheetName val="Fin_Sum3"/>
      <sheetName val="Rollup_Summary3"/>
      <sheetName val="CABLE_DATA3"/>
      <sheetName val="1st_flr3"/>
      <sheetName val="final_abstract3"/>
      <sheetName val="Rate_analysis3"/>
      <sheetName val="Civil_Boq3"/>
      <sheetName val="IT_Block2"/>
      <sheetName val="Location_CODE2"/>
      <sheetName val="Location_TYPE2"/>
      <sheetName val="sub_class2"/>
      <sheetName val="_sub_Loc_2"/>
      <sheetName val="_Acc__Sched_2"/>
      <sheetName val="IMPORT_T123"/>
      <sheetName val="EDS__Bestshore_Migration2"/>
      <sheetName val="TB_FOR_MIS3"/>
      <sheetName val="INPUT_SHEET2"/>
      <sheetName val="SOPMA_DD2"/>
      <sheetName val="03_(2)2"/>
      <sheetName val="WIng_F(Typical)2"/>
      <sheetName val="MIS_-_kINR3"/>
      <sheetName val="QoQ_In_Lakhs2"/>
      <sheetName val="EXHIBIT&quot;_T&quot;2"/>
      <sheetName val="KPM_DT3"/>
      <sheetName val="Main_workings2"/>
      <sheetName val="M-2_Adjusted2"/>
      <sheetName val="ANN_K2"/>
      <sheetName val="Balance_Sheet_2"/>
      <sheetName val="Dom_Cell_(IS)2"/>
      <sheetName val="TDS_Certificate-Format2"/>
      <sheetName val="Master_Price_List2"/>
      <sheetName val="ITEM__STUDY_(2)2"/>
      <sheetName val="Felix_Street_Summary2"/>
      <sheetName val="Budget_Summary2"/>
      <sheetName val="Loss_30042"/>
      <sheetName val="Reconciliation_of_GL_&amp;_FAR2"/>
      <sheetName val="LBO_Financials2"/>
      <sheetName val="Training_Deposits_coding2"/>
      <sheetName val="10__&amp;_11__Rate_Code_&amp;_BQ2"/>
      <sheetName val="vb_9&amp;102"/>
      <sheetName val="MASTER_RATE_ANALYSIS2"/>
      <sheetName val="Valuation_-_block_22"/>
      <sheetName val="Base_Assumptions2"/>
      <sheetName val="FITZ_MORT_942"/>
      <sheetName val="9__Package_split_-_Cost_2"/>
      <sheetName val="drop-dwn_list2"/>
      <sheetName val="exec_summ2"/>
      <sheetName val="Ins_Erection2"/>
      <sheetName val="Rev_Opt_-_Rollup2"/>
      <sheetName val="Customize_Your_Invoice2"/>
      <sheetName val="Sale_Charts2"/>
      <sheetName val="Fill_this_out_first___2"/>
      <sheetName val="Tender_Summary2"/>
      <sheetName val="Bill_1-BOQ-Civil_Works2"/>
      <sheetName val="Legal_Risk_Analysis2"/>
      <sheetName val="Related_party_-_P&amp;L2"/>
      <sheetName val="Base_data_Security_Procedures1"/>
      <sheetName val="PRECAST_lightconc-II2"/>
      <sheetName val="IO_LIST2"/>
      <sheetName val="RATE_LIST_(2)1"/>
      <sheetName val="Night_Shift2"/>
      <sheetName val="Theatre_mgmt_cont2"/>
      <sheetName val="Trial_Balance2"/>
      <sheetName val="Goldberg_Portfolio_Combined2"/>
      <sheetName val="Commercial_Research2"/>
      <sheetName val="Leasing_Commision2"/>
      <sheetName val="Master_list2"/>
      <sheetName val="Labour_List2"/>
      <sheetName val="Material_List2"/>
      <sheetName val="Architectural_Summary2"/>
      <sheetName val="Labor_abs-NMR2"/>
      <sheetName val="Beam_at_Ground_flr_lvl(Steel)2"/>
      <sheetName val="1st_-vpd2"/>
      <sheetName val="Material_List_2"/>
      <sheetName val="schedule_nos2"/>
      <sheetName val="Operating_Statistics2"/>
      <sheetName val="FA_Schedule_Dec_072"/>
      <sheetName val="P_R__TAXES2"/>
      <sheetName val="BILLING_SUM2"/>
      <sheetName val="Capital_Structure1"/>
      <sheetName val="Redelvery_provision_changed1"/>
      <sheetName val="Debtors_analysis2"/>
      <sheetName val="pile_Fabrication2"/>
      <sheetName val="UNP-NCW_2"/>
      <sheetName val="extra_work_elec_bill_2"/>
      <sheetName val="소상_&quot;1&quot;2"/>
      <sheetName val="Graph_(LGEN)1"/>
      <sheetName val="선적schedule_(2)1"/>
      <sheetName val="steam_outlet1"/>
      <sheetName val="BOQ_Distribution1"/>
      <sheetName val="GM_&amp;_TA1"/>
      <sheetName val="Cash_Flow_Working2"/>
      <sheetName val="Retail_Mall2"/>
      <sheetName val="Control_Sheet1"/>
      <sheetName val="SCH_101"/>
      <sheetName val="SAP_EMP1"/>
      <sheetName val="Open_Items-3112082"/>
      <sheetName val="NEW-IDs_Fun_&amp;_Group2"/>
      <sheetName val="Cost_summary2"/>
      <sheetName val="RCC_Rates2"/>
      <sheetName val="4_4_External_Plaster2"/>
      <sheetName val="USB_11"/>
      <sheetName val="Service_Invoice2"/>
      <sheetName val="Notes-pivot1_2"/>
      <sheetName val="Misc__Master1"/>
      <sheetName val="Schedule_v11"/>
      <sheetName val="MIS_AC_wise2"/>
      <sheetName val="Overall_Summary2"/>
      <sheetName val="HBI_NCD2"/>
      <sheetName val="CUSTOM_Jun992"/>
      <sheetName val="A_O_R_2"/>
      <sheetName val="final_0611061"/>
      <sheetName val="SAB_P&amp;L1"/>
      <sheetName val="cash_flow2"/>
      <sheetName val="Staff_Costs2"/>
      <sheetName val="Formated_Trial_Balance1"/>
      <sheetName val="Trial_Balance_Format1"/>
      <sheetName val="Key_Assumption1"/>
      <sheetName val="Master_Information1"/>
      <sheetName val="Taluka_wise_dealer_(2)1"/>
      <sheetName val="Basement_Budget2"/>
      <sheetName val="FA(Apr_07)1"/>
      <sheetName val="Reco_O_S1"/>
      <sheetName val="NOA_Data1"/>
      <sheetName val="_1"/>
      <sheetName val="S_&amp;_A1"/>
      <sheetName val="BASIS_-DEC_08"/>
      <sheetName val="DUMP_"/>
      <sheetName val="Bspl_Main"/>
      <sheetName val="Linked_Lead"/>
      <sheetName val="Fin__Assumpt__-_Sensitivities"/>
      <sheetName val="SAP_downloaded_schedule1"/>
      <sheetName val="Lease_Expiry1"/>
      <sheetName val="ASSETS_P&amp;M2"/>
      <sheetName val="Assets_Land_&amp;_Mise_FA2"/>
      <sheetName val="HOUSE_RENT_DEPO_2"/>
      <sheetName val="0__Data_Validation_List2"/>
      <sheetName val="stacking_sheet2"/>
      <sheetName val="TASKRSRC_(2)"/>
      <sheetName val="Elec_Summ"/>
      <sheetName val="ELEC_BOQ"/>
      <sheetName val="TRACK_BUSWAY"/>
      <sheetName val="Multipliers_&amp;_KRA1"/>
      <sheetName val="grp_"/>
      <sheetName val="Monthly_Inputs1"/>
      <sheetName val="2000-1_Monthly_Cashflows1"/>
      <sheetName val="2002-2_Monthly_Cashflows1"/>
      <sheetName val="cl_14_Annex_7_1"/>
      <sheetName val="Encl_7A1"/>
      <sheetName val="wdr_bldg1"/>
      <sheetName val="Base_Data"/>
      <sheetName val="080_(2)"/>
      <sheetName val="F_01_-_June_2005"/>
      <sheetName val="HW_SW"/>
      <sheetName val="WC_analytics_(+data_pages)1"/>
      <sheetName val="TBAL9697_-group_wise__sdpl1"/>
      <sheetName val="Determination_of_Threshold1"/>
      <sheetName val="RCC_Ret__Wall1"/>
      <sheetName val="DYN_PP1"/>
      <sheetName val="June_Reserve_-_Far_East1"/>
      <sheetName val="SEP_1"/>
      <sheetName val="Account_title1"/>
      <sheetName val="NGS_Data_Sheet"/>
      <sheetName val="SGS_Data_Sheet"/>
      <sheetName val="Check_Register"/>
      <sheetName val="EBITDA_Bridge"/>
      <sheetName val="2003_Budget-PL-case1"/>
      <sheetName val="meeting_rectification_control"/>
      <sheetName val="Loan_Data"/>
      <sheetName val="Standalone_seg"/>
      <sheetName val="4_Annex_1_Basic_rate"/>
      <sheetName val="Other_notes"/>
      <sheetName val="STAFFSCHED_"/>
      <sheetName val="Basic_Rate"/>
      <sheetName val="Esteem_Rear"/>
      <sheetName val="Rs_in_lacs"/>
      <sheetName val="currency_(2)"/>
      <sheetName val="NW_RTU"/>
      <sheetName val="Clause_9"/>
      <sheetName val="SP_Break_Up"/>
      <sheetName val="Cash_Flow_"/>
      <sheetName val="INQVAR_PY"/>
      <sheetName val="Total_MTH"/>
      <sheetName val="Infinite_Studios"/>
      <sheetName val="Neuros_&amp;_Immunos"/>
      <sheetName val="earnings_model"/>
      <sheetName val="Balance_Sheet_US$"/>
      <sheetName val="FF-2_(1)"/>
      <sheetName val="addl_cost"/>
      <sheetName val="Lookups"/>
      <sheetName val="Factors"/>
      <sheetName val="NOT FULL RESTRAINT"/>
      <sheetName val="UC"/>
      <sheetName val="BEARING &amp; BUCKLING"/>
      <sheetName val="PFC"/>
      <sheetName val="RSJ"/>
      <sheetName val="cover page"/>
      <sheetName val="Structure Bills Qty"/>
      <sheetName val="beam-reinft"/>
      <sheetName val="Appendix B- 3.Structural Steel"/>
      <sheetName val="Appendix A- 1.Variation"/>
      <sheetName val="Contracts Status"/>
      <sheetName val="Cost Status-1"/>
      <sheetName val="Centaurus Contract Sum "/>
      <sheetName val="Payment Status"/>
      <sheetName val="1. Report"/>
      <sheetName val="Supplier"/>
      <sheetName val="CANDY BOQ"/>
      <sheetName val="FitOutConfCentre"/>
      <sheetName val="COSTMAR"/>
      <sheetName val="Jun 2000"/>
      <sheetName val="Sheet2 (2)"/>
      <sheetName val="BHANDUP"/>
      <sheetName val="Manufacturing Statistics"/>
      <sheetName val="curlocal"/>
      <sheetName val="Manualformat"/>
      <sheetName val="ANNX-C"/>
      <sheetName val="MenuData"/>
      <sheetName val="Schedules_3-8"/>
      <sheetName val="Jun_2000"/>
      <sheetName val="Sheet2_(2)"/>
      <sheetName val="A"/>
      <sheetName val="Leg 1-1"/>
      <sheetName val="Door &amp; Window"/>
      <sheetName val="Sheet5"/>
      <sheetName val="Labour productivity"/>
      <sheetName val="Field Values"/>
      <sheetName val="Old"/>
      <sheetName val="Measurements"/>
      <sheetName val="Tables"/>
      <sheetName val="Flooring"/>
      <sheetName val="Ceilings"/>
      <sheetName val="ACAD Finishes"/>
      <sheetName val="Site Details"/>
      <sheetName val="Chair"/>
      <sheetName val="Site Area Statement"/>
      <sheetName val="Doors"/>
      <sheetName val="Form 6"/>
      <sheetName val="COLUMN"/>
      <sheetName val="except wiring"/>
      <sheetName val="loadcal"/>
      <sheetName val="WXY"/>
      <sheetName val="경비공통"/>
      <sheetName val="SUPPLY -Sanitary Fixtures"/>
      <sheetName val="External"/>
      <sheetName val="ITEMS FOR CIVIL TENDER"/>
      <sheetName val="IncidentsEAP"/>
      <sheetName val="Power &amp; Fuel(SMS)"/>
      <sheetName val="Mthly CFS (Kha)"/>
      <sheetName val="BS-203"/>
      <sheetName val="entitlements"/>
      <sheetName val="Final Summary"/>
      <sheetName val="Figures in"/>
      <sheetName val="annexure13_Corporate"/>
      <sheetName val="Jul 96 Worksheet"/>
      <sheetName val="7 Jan 02"/>
      <sheetName val="AR Graphs"/>
      <sheetName val="RESOIL-DELETE!!!!!"/>
      <sheetName val="RELACION REFERENCIAS"/>
      <sheetName val="NEES"/>
      <sheetName val="exp-m"/>
      <sheetName val="Roll-up"/>
      <sheetName val="VAR STORE_CONS"/>
      <sheetName val="Flexi"/>
      <sheetName val="Profit and Loss"/>
      <sheetName val="G02"/>
      <sheetName val="sch"/>
      <sheetName val="grid"/>
      <sheetName val="Deno"/>
      <sheetName val="Consolidated CF"/>
      <sheetName val="Anlysis"/>
      <sheetName val="Bal_Gr"/>
      <sheetName val="Conversion Table"/>
      <sheetName val="Key Assumptions"/>
      <sheetName val="Trading Comps"/>
      <sheetName val="IFS_Cr"/>
      <sheetName val="Stacking Plan &amp; LEP"/>
      <sheetName val="Stack Expiry"/>
      <sheetName val="Assm"/>
      <sheetName val="gl"/>
      <sheetName val="TENSCH"/>
      <sheetName val="Sheet1 (2)"/>
      <sheetName val="1 LeadSchedule"/>
      <sheetName val="Rates Basic"/>
      <sheetName val="CapStru"/>
      <sheetName val="MktCap"/>
      <sheetName val="TradingVol"/>
      <sheetName val="_____"/>
      <sheetName val="LIST OF MAKES"/>
      <sheetName val="banilad"/>
      <sheetName val="Mactan"/>
      <sheetName val="Mandaue"/>
      <sheetName val="lineby line consolidation"/>
      <sheetName val="GUT (2)"/>
      <sheetName val="ACE-OUT"/>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4"/>
      <sheetName val="NEWACNO"/>
      <sheetName val="complexall"/>
      <sheetName val="Resue Hoist"/>
      <sheetName val="인원계획-미화"/>
      <sheetName val="Basic Rates"/>
      <sheetName val="RateAnalysis"/>
      <sheetName val="Column L1 to L2"/>
      <sheetName val="Column L2 to L3"/>
      <sheetName val="BEAM"/>
      <sheetName val="RAMP 3"/>
      <sheetName val="RAMP 1"/>
      <sheetName val="staircase"/>
      <sheetName val="R_Wall"/>
      <sheetName val="Column B1 to L1"/>
      <sheetName val="Slab L1"/>
      <sheetName val="Slab L2"/>
      <sheetName val="COA"/>
      <sheetName val="ECR.ECNOI Slide"/>
      <sheetName val="NOPAT_VDF"/>
      <sheetName val="Invested capital_VDF"/>
      <sheetName val="Abstract"/>
      <sheetName val="DDETABLE "/>
      <sheetName val="Ignore"/>
      <sheetName val="Corrupt SSCI"/>
      <sheetName val="Monthly Ship+Prod"/>
      <sheetName val="Perform"/>
      <sheetName val="chem"/>
      <sheetName val="projections"/>
      <sheetName val="r&amp;m"/>
      <sheetName val="africa"/>
      <sheetName val="row"/>
      <sheetName val="euro"/>
      <sheetName val="group e&amp;p"/>
      <sheetName val="health"/>
      <sheetName val="BS-Cem"/>
      <sheetName val="Ledger Dump"/>
      <sheetName val="Physical"/>
      <sheetName val="Interface"/>
      <sheetName val="Basic assumptions"/>
      <sheetName val="VALUE2_5"/>
      <sheetName val="1996-97"/>
      <sheetName val="QTY. PROV.LAB"/>
      <sheetName val="List"/>
      <sheetName val="CAUSTIC"/>
      <sheetName val="Senario Manager"/>
      <sheetName val="dealer list"/>
      <sheetName val="Power_&amp;_Fuel_(S)2"/>
      <sheetName val="Prov_for_exp-April'08_-_June'08"/>
      <sheetName val="Provision_for_exp-Upto_Mar'08"/>
      <sheetName val="creditors_to_others"/>
      <sheetName val="other_amt&amp;recoveries_payable"/>
      <sheetName val="other_exp_charges_recoverable"/>
      <sheetName val="rental_deposits"/>
      <sheetName val="other_deposits_"/>
      <sheetName val="prepaid_expenses"/>
      <sheetName val="sal_adv"/>
      <sheetName val="labour_rates1"/>
      <sheetName val="old_serial_no_1"/>
      <sheetName val="Budget_CF_-_Overall1"/>
      <sheetName val="공사비_내역_(가)1"/>
      <sheetName val="4K_-_(6a)_Non_Manual_Breakdown1"/>
      <sheetName val="3__Elemental_Summary1"/>
      <sheetName val="August_TB1"/>
      <sheetName val="_COP1"/>
      <sheetName val="GF_Columns1"/>
      <sheetName val="NOT_FULL_RESTRAINT"/>
      <sheetName val="BEARING_&amp;_BUCKLING"/>
      <sheetName val="GL_Master_Data"/>
      <sheetName val="PL-_Notes"/>
      <sheetName val="1612_01AN(7)_-_Niep_Tds_Summary"/>
      <sheetName val="Senario_Manager"/>
      <sheetName val="Ann B1"/>
      <sheetName val="Reporting VA"/>
      <sheetName val="Standing Data"/>
      <sheetName val="cost sheet-1999-00"/>
      <sheetName val="nishanth"/>
      <sheetName val="Pivot_Weighted_SC_edit"/>
      <sheetName val="lookup"/>
      <sheetName val="BOQ "/>
      <sheetName val="Detail"/>
      <sheetName val="Local Data"/>
      <sheetName val="REPV2002"/>
      <sheetName val="Expenditure Analysis"/>
      <sheetName val="RAZ$"/>
      <sheetName val="P&amp;L and CFlow"/>
      <sheetName val="O2.1"/>
      <sheetName val="NOV95"/>
      <sheetName val="Acquisition Assumptions"/>
      <sheetName val="Elec_Summ1"/>
      <sheetName val="ELEC_BOQ1"/>
      <sheetName val="TRACK_BUSWAY1"/>
      <sheetName val="STAFFSCHED_1"/>
      <sheetName val="Basic_Rate1"/>
      <sheetName val="SP_Break_Up1"/>
      <sheetName val="4_Annex_1_Basic_rate1"/>
      <sheetName val="Fin__Assumpt__-_Sensitivities1"/>
      <sheetName val="Other_notes1"/>
      <sheetName val="Linked_Lead1"/>
      <sheetName val="TASKRSRC_(2)1"/>
      <sheetName val="RELACION_REFERENCIAS"/>
      <sheetName val="MERGER"/>
      <sheetName val="Budget heads"/>
      <sheetName val="OGExp"/>
      <sheetName val="VC_WKG"/>
      <sheetName val="Original"/>
      <sheetName val="S1BOQ"/>
      <sheetName val="Columns &amp; Walls"/>
      <sheetName val="#REF!"/>
      <sheetName val="PROCTOR"/>
      <sheetName val="Total Debtors Ageing Sheet"/>
      <sheetName val="Consignment"/>
      <sheetName val="Entity Names"/>
      <sheetName val="Pr.-hist."/>
      <sheetName val="Kristal Court"/>
      <sheetName val="TB Jan-Dec96"/>
      <sheetName val="Managerial Remuneration-Dec96"/>
      <sheetName val="BS&amp;PL_DEC96"/>
      <sheetName val="Trial"/>
      <sheetName val="Allocation"/>
      <sheetName val="Plant &amp;  Machinery"/>
      <sheetName val="Vehicles"/>
      <sheetName val="Sheet 1"/>
      <sheetName val="Last Month Report"/>
      <sheetName val="Fin Chrgs"/>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65">
          <cell r="A65" t="str">
            <v>(II)</v>
          </cell>
        </row>
      </sheetData>
      <sheetData sheetId="74">
        <row r="65">
          <cell r="A65" t="str">
            <v>(II)</v>
          </cell>
        </row>
      </sheetData>
      <sheetData sheetId="75">
        <row r="65">
          <cell r="A65" t="str">
            <v>(II)</v>
          </cell>
        </row>
      </sheetData>
      <sheetData sheetId="76">
        <row r="65">
          <cell r="A65" t="str">
            <v>(II)</v>
          </cell>
        </row>
      </sheetData>
      <sheetData sheetId="77">
        <row r="65">
          <cell r="A65" t="str">
            <v>(II)</v>
          </cell>
        </row>
      </sheetData>
      <sheetData sheetId="78">
        <row r="65">
          <cell r="A65" t="str">
            <v>(II)</v>
          </cell>
        </row>
      </sheetData>
      <sheetData sheetId="79">
        <row r="65">
          <cell r="A65" t="str">
            <v>(II)</v>
          </cell>
        </row>
      </sheetData>
      <sheetData sheetId="80">
        <row r="65">
          <cell r="A65" t="str">
            <v>(II)</v>
          </cell>
        </row>
      </sheetData>
      <sheetData sheetId="81">
        <row r="65">
          <cell r="A65" t="str">
            <v>(II)</v>
          </cell>
        </row>
      </sheetData>
      <sheetData sheetId="82">
        <row r="65">
          <cell r="A65" t="str">
            <v>(II)</v>
          </cell>
        </row>
      </sheetData>
      <sheetData sheetId="83">
        <row r="65">
          <cell r="A65" t="str">
            <v>(II)</v>
          </cell>
        </row>
      </sheetData>
      <sheetData sheetId="84">
        <row r="65">
          <cell r="A65" t="str">
            <v>(II)</v>
          </cell>
        </row>
      </sheetData>
      <sheetData sheetId="85">
        <row r="65">
          <cell r="A65" t="str">
            <v>(II)</v>
          </cell>
        </row>
      </sheetData>
      <sheetData sheetId="86">
        <row r="65">
          <cell r="A65" t="str">
            <v>(II)</v>
          </cell>
        </row>
      </sheetData>
      <sheetData sheetId="87">
        <row r="65">
          <cell r="A65" t="str">
            <v>(II)</v>
          </cell>
        </row>
      </sheetData>
      <sheetData sheetId="88">
        <row r="65">
          <cell r="A65" t="str">
            <v>(II)</v>
          </cell>
        </row>
      </sheetData>
      <sheetData sheetId="89">
        <row r="65">
          <cell r="A65" t="str">
            <v>(II)</v>
          </cell>
        </row>
      </sheetData>
      <sheetData sheetId="90">
        <row r="65">
          <cell r="A65" t="str">
            <v>(II)</v>
          </cell>
        </row>
      </sheetData>
      <sheetData sheetId="91">
        <row r="65">
          <cell r="A65" t="str">
            <v>(II)</v>
          </cell>
        </row>
      </sheetData>
      <sheetData sheetId="92">
        <row r="65">
          <cell r="A65" t="str">
            <v>(II)</v>
          </cell>
        </row>
      </sheetData>
      <sheetData sheetId="93">
        <row r="65">
          <cell r="A65" t="str">
            <v>(II)</v>
          </cell>
        </row>
      </sheetData>
      <sheetData sheetId="94">
        <row r="65">
          <cell r="A65" t="str">
            <v>(II)</v>
          </cell>
        </row>
      </sheetData>
      <sheetData sheetId="95">
        <row r="65">
          <cell r="A65" t="str">
            <v>(II)</v>
          </cell>
        </row>
      </sheetData>
      <sheetData sheetId="96">
        <row r="65">
          <cell r="A65" t="str">
            <v>(II)</v>
          </cell>
        </row>
      </sheetData>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ow r="65">
          <cell r="A65" t="str">
            <v>(II)</v>
          </cell>
        </row>
      </sheetData>
      <sheetData sheetId="285">
        <row r="65">
          <cell r="A65" t="str">
            <v>(II)</v>
          </cell>
        </row>
      </sheetData>
      <sheetData sheetId="286">
        <row r="65">
          <cell r="A65" t="str">
            <v>(II)</v>
          </cell>
        </row>
      </sheetData>
      <sheetData sheetId="287">
        <row r="65">
          <cell r="A65" t="str">
            <v>(II)</v>
          </cell>
        </row>
      </sheetData>
      <sheetData sheetId="288">
        <row r="65">
          <cell r="A65" t="str">
            <v>(II)</v>
          </cell>
        </row>
      </sheetData>
      <sheetData sheetId="289">
        <row r="65">
          <cell r="A65" t="str">
            <v>(II)</v>
          </cell>
        </row>
      </sheetData>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ow r="65">
          <cell r="A65" t="str">
            <v>(II)</v>
          </cell>
        </row>
      </sheetData>
      <sheetData sheetId="350"/>
      <sheetData sheetId="351">
        <row r="65">
          <cell r="A65" t="str">
            <v>(II)</v>
          </cell>
        </row>
      </sheetData>
      <sheetData sheetId="352">
        <row r="65">
          <cell r="A65" t="str">
            <v>(II)</v>
          </cell>
        </row>
      </sheetData>
      <sheetData sheetId="353">
        <row r="65">
          <cell r="A65" t="str">
            <v>(II)</v>
          </cell>
        </row>
      </sheetData>
      <sheetData sheetId="354">
        <row r="65">
          <cell r="A65" t="str">
            <v>(II)</v>
          </cell>
        </row>
      </sheetData>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ow r="65">
          <cell r="A65" t="str">
            <v>(II)</v>
          </cell>
        </row>
      </sheetData>
      <sheetData sheetId="366">
        <row r="65">
          <cell r="A65" t="str">
            <v>(II)</v>
          </cell>
        </row>
      </sheetData>
      <sheetData sheetId="367">
        <row r="65">
          <cell r="A65" t="str">
            <v>(II)</v>
          </cell>
        </row>
      </sheetData>
      <sheetData sheetId="368">
        <row r="65">
          <cell r="A65" t="str">
            <v>(II)</v>
          </cell>
        </row>
      </sheetData>
      <sheetData sheetId="369">
        <row r="65">
          <cell r="A65" t="str">
            <v>(II)</v>
          </cell>
        </row>
      </sheetData>
      <sheetData sheetId="370">
        <row r="65">
          <cell r="A65" t="str">
            <v>(II)</v>
          </cell>
        </row>
      </sheetData>
      <sheetData sheetId="371">
        <row r="65">
          <cell r="A65" t="str">
            <v>(II)</v>
          </cell>
        </row>
      </sheetData>
      <sheetData sheetId="372">
        <row r="65">
          <cell r="A65" t="str">
            <v>(II)</v>
          </cell>
        </row>
      </sheetData>
      <sheetData sheetId="373">
        <row r="65">
          <cell r="A65" t="str">
            <v>(II)</v>
          </cell>
        </row>
      </sheetData>
      <sheetData sheetId="374">
        <row r="65">
          <cell r="A65" t="str">
            <v>(II)</v>
          </cell>
        </row>
      </sheetData>
      <sheetData sheetId="375">
        <row r="65">
          <cell r="A65" t="str">
            <v>(II)</v>
          </cell>
        </row>
      </sheetData>
      <sheetData sheetId="376">
        <row r="65">
          <cell r="A65" t="str">
            <v>(II)</v>
          </cell>
        </row>
      </sheetData>
      <sheetData sheetId="377">
        <row r="65">
          <cell r="A65" t="str">
            <v>(II)</v>
          </cell>
        </row>
      </sheetData>
      <sheetData sheetId="378">
        <row r="65">
          <cell r="A65" t="str">
            <v>(II)</v>
          </cell>
        </row>
      </sheetData>
      <sheetData sheetId="379">
        <row r="65">
          <cell r="A65" t="str">
            <v>(II)</v>
          </cell>
        </row>
      </sheetData>
      <sheetData sheetId="380">
        <row r="65">
          <cell r="A65" t="str">
            <v>(II)</v>
          </cell>
        </row>
      </sheetData>
      <sheetData sheetId="381">
        <row r="65">
          <cell r="A65" t="str">
            <v>(II)</v>
          </cell>
        </row>
      </sheetData>
      <sheetData sheetId="382">
        <row r="65">
          <cell r="A65" t="str">
            <v>(II)</v>
          </cell>
        </row>
      </sheetData>
      <sheetData sheetId="383">
        <row r="65">
          <cell r="A65" t="str">
            <v>(II)</v>
          </cell>
        </row>
      </sheetData>
      <sheetData sheetId="384">
        <row r="65">
          <cell r="A65" t="str">
            <v>(II)</v>
          </cell>
        </row>
      </sheetData>
      <sheetData sheetId="385">
        <row r="65">
          <cell r="A65" t="str">
            <v>(II)</v>
          </cell>
        </row>
      </sheetData>
      <sheetData sheetId="386">
        <row r="65">
          <cell r="A65" t="str">
            <v>(II)</v>
          </cell>
        </row>
      </sheetData>
      <sheetData sheetId="387">
        <row r="65">
          <cell r="A65" t="str">
            <v>(II)</v>
          </cell>
        </row>
      </sheetData>
      <sheetData sheetId="388" refreshError="1"/>
      <sheetData sheetId="389">
        <row r="65">
          <cell r="A65" t="str">
            <v>(II)</v>
          </cell>
        </row>
      </sheetData>
      <sheetData sheetId="390">
        <row r="65">
          <cell r="A65" t="str">
            <v>(II)</v>
          </cell>
        </row>
      </sheetData>
      <sheetData sheetId="391">
        <row r="65">
          <cell r="A65" t="str">
            <v>(II)</v>
          </cell>
        </row>
      </sheetData>
      <sheetData sheetId="392">
        <row r="65">
          <cell r="A65" t="str">
            <v>(II)</v>
          </cell>
        </row>
      </sheetData>
      <sheetData sheetId="393" refreshError="1"/>
      <sheetData sheetId="394" refreshError="1"/>
      <sheetData sheetId="395">
        <row r="65">
          <cell r="A65" t="str">
            <v>(II)</v>
          </cell>
        </row>
      </sheetData>
      <sheetData sheetId="396">
        <row r="65">
          <cell r="A65" t="str">
            <v>(II)</v>
          </cell>
        </row>
      </sheetData>
      <sheetData sheetId="397">
        <row r="65">
          <cell r="A65" t="str">
            <v>(II)</v>
          </cell>
        </row>
      </sheetData>
      <sheetData sheetId="398">
        <row r="65">
          <cell r="A65" t="str">
            <v>(II)</v>
          </cell>
        </row>
      </sheetData>
      <sheetData sheetId="399">
        <row r="65">
          <cell r="A65" t="str">
            <v>(II)</v>
          </cell>
        </row>
      </sheetData>
      <sheetData sheetId="400">
        <row r="65">
          <cell r="A65" t="str">
            <v>(II)</v>
          </cell>
        </row>
      </sheetData>
      <sheetData sheetId="401">
        <row r="65">
          <cell r="A65" t="str">
            <v>(II)</v>
          </cell>
        </row>
      </sheetData>
      <sheetData sheetId="402">
        <row r="65">
          <cell r="A65" t="str">
            <v>(II)</v>
          </cell>
        </row>
      </sheetData>
      <sheetData sheetId="403">
        <row r="65">
          <cell r="A65" t="str">
            <v>(II)</v>
          </cell>
        </row>
      </sheetData>
      <sheetData sheetId="404">
        <row r="65">
          <cell r="A65" t="str">
            <v>(II)</v>
          </cell>
        </row>
      </sheetData>
      <sheetData sheetId="405">
        <row r="65">
          <cell r="A65" t="str">
            <v>(II)</v>
          </cell>
        </row>
      </sheetData>
      <sheetData sheetId="406">
        <row r="65">
          <cell r="A65" t="str">
            <v>(II)</v>
          </cell>
        </row>
      </sheetData>
      <sheetData sheetId="407">
        <row r="65">
          <cell r="A65" t="str">
            <v>(II)</v>
          </cell>
        </row>
      </sheetData>
      <sheetData sheetId="408">
        <row r="65">
          <cell r="A65" t="str">
            <v>(II)</v>
          </cell>
        </row>
      </sheetData>
      <sheetData sheetId="409" refreshError="1"/>
      <sheetData sheetId="410">
        <row r="65">
          <cell r="A65" t="str">
            <v>(II)</v>
          </cell>
        </row>
      </sheetData>
      <sheetData sheetId="411">
        <row r="65">
          <cell r="A65" t="str">
            <v>(II)</v>
          </cell>
        </row>
      </sheetData>
      <sheetData sheetId="412">
        <row r="65">
          <cell r="A65" t="str">
            <v>(II)</v>
          </cell>
        </row>
      </sheetData>
      <sheetData sheetId="413">
        <row r="65">
          <cell r="A65" t="str">
            <v>(II)</v>
          </cell>
        </row>
      </sheetData>
      <sheetData sheetId="414">
        <row r="65">
          <cell r="A65" t="str">
            <v>(II)</v>
          </cell>
        </row>
      </sheetData>
      <sheetData sheetId="415">
        <row r="65">
          <cell r="A65" t="str">
            <v>(II)</v>
          </cell>
        </row>
      </sheetData>
      <sheetData sheetId="416">
        <row r="65">
          <cell r="A65" t="str">
            <v>(II)</v>
          </cell>
        </row>
      </sheetData>
      <sheetData sheetId="417">
        <row r="65">
          <cell r="A65" t="str">
            <v>(II)</v>
          </cell>
        </row>
      </sheetData>
      <sheetData sheetId="418">
        <row r="65">
          <cell r="A65" t="str">
            <v>(II)</v>
          </cell>
        </row>
      </sheetData>
      <sheetData sheetId="419">
        <row r="65">
          <cell r="A65" t="str">
            <v>(II)</v>
          </cell>
        </row>
      </sheetData>
      <sheetData sheetId="420">
        <row r="65">
          <cell r="A65" t="str">
            <v>(II)</v>
          </cell>
        </row>
      </sheetData>
      <sheetData sheetId="421">
        <row r="65">
          <cell r="A65" t="str">
            <v>(II)</v>
          </cell>
        </row>
      </sheetData>
      <sheetData sheetId="422">
        <row r="65">
          <cell r="A65" t="str">
            <v>(II)</v>
          </cell>
        </row>
      </sheetData>
      <sheetData sheetId="423">
        <row r="65">
          <cell r="A65" t="str">
            <v>(II)</v>
          </cell>
        </row>
      </sheetData>
      <sheetData sheetId="424">
        <row r="65">
          <cell r="A65" t="str">
            <v>(II)</v>
          </cell>
        </row>
      </sheetData>
      <sheetData sheetId="425">
        <row r="65">
          <cell r="A65" t="str">
            <v>(II)</v>
          </cell>
        </row>
      </sheetData>
      <sheetData sheetId="426" refreshError="1"/>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ow r="65">
          <cell r="A65" t="str">
            <v>(II)</v>
          </cell>
        </row>
      </sheetData>
      <sheetData sheetId="434">
        <row r="65">
          <cell r="A65" t="str">
            <v>(II)</v>
          </cell>
        </row>
      </sheetData>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ow r="65">
          <cell r="A65" t="str">
            <v>(II)</v>
          </cell>
        </row>
      </sheetData>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ow r="65">
          <cell r="A65" t="str">
            <v>(II)</v>
          </cell>
        </row>
      </sheetData>
      <sheetData sheetId="501" refreshError="1"/>
      <sheetData sheetId="502" refreshError="1"/>
      <sheetData sheetId="503" refreshError="1"/>
      <sheetData sheetId="504" refreshError="1"/>
      <sheetData sheetId="505" refreshError="1"/>
      <sheetData sheetId="506">
        <row r="65">
          <cell r="A65" t="str">
            <v>(II)</v>
          </cell>
        </row>
      </sheetData>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ow r="65">
          <cell r="A65" t="str">
            <v>(II)</v>
          </cell>
        </row>
      </sheetData>
      <sheetData sheetId="517"/>
      <sheetData sheetId="518"/>
      <sheetData sheetId="519"/>
      <sheetData sheetId="520"/>
      <sheetData sheetId="521"/>
      <sheetData sheetId="522"/>
      <sheetData sheetId="523"/>
      <sheetData sheetId="524"/>
      <sheetData sheetId="525">
        <row r="65">
          <cell r="A65" t="str">
            <v>(II)</v>
          </cell>
        </row>
      </sheetData>
      <sheetData sheetId="526">
        <row r="65">
          <cell r="A65" t="str">
            <v>(II)</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ow r="65">
          <cell r="A65" t="str">
            <v>(II)</v>
          </cell>
        </row>
      </sheetData>
      <sheetData sheetId="575">
        <row r="65">
          <cell r="A65" t="str">
            <v>(II)</v>
          </cell>
        </row>
      </sheetData>
      <sheetData sheetId="576">
        <row r="65">
          <cell r="A65" t="str">
            <v>(II)</v>
          </cell>
        </row>
      </sheetData>
      <sheetData sheetId="577">
        <row r="65">
          <cell r="A65" t="str">
            <v>(II)</v>
          </cell>
        </row>
      </sheetData>
      <sheetData sheetId="578">
        <row r="65">
          <cell r="A65" t="str">
            <v>(II)</v>
          </cell>
        </row>
      </sheetData>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ow r="65">
          <cell r="A65" t="str">
            <v>(II)</v>
          </cell>
        </row>
      </sheetData>
      <sheetData sheetId="661">
        <row r="65">
          <cell r="A65" t="str">
            <v>(II)</v>
          </cell>
        </row>
      </sheetData>
      <sheetData sheetId="662"/>
      <sheetData sheetId="663"/>
      <sheetData sheetId="664">
        <row r="65">
          <cell r="A65" t="str">
            <v>(II)</v>
          </cell>
        </row>
      </sheetData>
      <sheetData sheetId="665">
        <row r="65">
          <cell r="A65" t="str">
            <v>(II)</v>
          </cell>
        </row>
      </sheetData>
      <sheetData sheetId="666" refreshError="1"/>
      <sheetData sheetId="667">
        <row r="65">
          <cell r="A65" t="str">
            <v>(II)</v>
          </cell>
        </row>
      </sheetData>
      <sheetData sheetId="668">
        <row r="65">
          <cell r="A65" t="str">
            <v>(II)</v>
          </cell>
        </row>
      </sheetData>
      <sheetData sheetId="669">
        <row r="65">
          <cell r="A65" t="str">
            <v>(II)</v>
          </cell>
        </row>
      </sheetData>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ow r="65">
          <cell r="A65" t="str">
            <v>(II)</v>
          </cell>
        </row>
      </sheetData>
      <sheetData sheetId="713"/>
      <sheetData sheetId="714">
        <row r="65">
          <cell r="A65" t="str">
            <v>(II)</v>
          </cell>
        </row>
      </sheetData>
      <sheetData sheetId="715">
        <row r="65">
          <cell r="A65" t="str">
            <v>(II)</v>
          </cell>
        </row>
      </sheetData>
      <sheetData sheetId="716">
        <row r="65">
          <cell r="A65" t="str">
            <v>(II)</v>
          </cell>
        </row>
      </sheetData>
      <sheetData sheetId="717">
        <row r="65">
          <cell r="A65" t="str">
            <v>(II)</v>
          </cell>
        </row>
      </sheetData>
      <sheetData sheetId="718">
        <row r="65">
          <cell r="A65" t="str">
            <v>(II)</v>
          </cell>
        </row>
      </sheetData>
      <sheetData sheetId="719">
        <row r="65">
          <cell r="A65" t="str">
            <v>(II)</v>
          </cell>
        </row>
      </sheetData>
      <sheetData sheetId="720">
        <row r="65">
          <cell r="A65" t="str">
            <v>(II)</v>
          </cell>
        </row>
      </sheetData>
      <sheetData sheetId="721">
        <row r="65">
          <cell r="A65" t="str">
            <v>(II)</v>
          </cell>
        </row>
      </sheetData>
      <sheetData sheetId="722">
        <row r="65">
          <cell r="A65" t="str">
            <v>(II)</v>
          </cell>
        </row>
      </sheetData>
      <sheetData sheetId="723">
        <row r="65">
          <cell r="A65" t="str">
            <v>(II)</v>
          </cell>
        </row>
      </sheetData>
      <sheetData sheetId="724">
        <row r="65">
          <cell r="A65" t="str">
            <v>(II)</v>
          </cell>
        </row>
      </sheetData>
      <sheetData sheetId="725">
        <row r="65">
          <cell r="A65" t="str">
            <v>(II)</v>
          </cell>
        </row>
      </sheetData>
      <sheetData sheetId="726">
        <row r="65">
          <cell r="A65" t="str">
            <v>(II)</v>
          </cell>
        </row>
      </sheetData>
      <sheetData sheetId="727">
        <row r="65">
          <cell r="A65" t="str">
            <v>(II)</v>
          </cell>
        </row>
      </sheetData>
      <sheetData sheetId="728">
        <row r="65">
          <cell r="A65" t="str">
            <v>(II)</v>
          </cell>
        </row>
      </sheetData>
      <sheetData sheetId="729">
        <row r="65">
          <cell r="A65" t="str">
            <v>(II)</v>
          </cell>
        </row>
      </sheetData>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ow r="65">
          <cell r="A65" t="str">
            <v>(II)</v>
          </cell>
        </row>
      </sheetData>
      <sheetData sheetId="743">
        <row r="65">
          <cell r="A65" t="str">
            <v>(II)</v>
          </cell>
        </row>
      </sheetData>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refreshError="1"/>
      <sheetData sheetId="759" refreshError="1"/>
      <sheetData sheetId="760" refreshError="1"/>
      <sheetData sheetId="761" refreshError="1"/>
      <sheetData sheetId="762">
        <row r="65">
          <cell r="A65" t="str">
            <v>(II)</v>
          </cell>
        </row>
      </sheetData>
      <sheetData sheetId="763">
        <row r="65">
          <cell r="A65" t="str">
            <v>(II)</v>
          </cell>
        </row>
      </sheetData>
      <sheetData sheetId="764">
        <row r="65">
          <cell r="A65" t="str">
            <v>(II)</v>
          </cell>
        </row>
      </sheetData>
      <sheetData sheetId="765">
        <row r="65">
          <cell r="A65" t="str">
            <v>(II)</v>
          </cell>
        </row>
      </sheetData>
      <sheetData sheetId="766">
        <row r="65">
          <cell r="A65" t="str">
            <v>(II)</v>
          </cell>
        </row>
      </sheetData>
      <sheetData sheetId="767">
        <row r="65">
          <cell r="A65" t="str">
            <v>(II)</v>
          </cell>
        </row>
      </sheetData>
      <sheetData sheetId="768">
        <row r="65">
          <cell r="A65" t="str">
            <v>(II)</v>
          </cell>
        </row>
      </sheetData>
      <sheetData sheetId="769">
        <row r="65">
          <cell r="A65" t="str">
            <v>(II)</v>
          </cell>
        </row>
      </sheetData>
      <sheetData sheetId="770">
        <row r="65">
          <cell r="A65" t="str">
            <v>(II)</v>
          </cell>
        </row>
      </sheetData>
      <sheetData sheetId="771">
        <row r="65">
          <cell r="A65" t="str">
            <v>(II)</v>
          </cell>
        </row>
      </sheetData>
      <sheetData sheetId="772">
        <row r="65">
          <cell r="A65" t="str">
            <v>(II)</v>
          </cell>
        </row>
      </sheetData>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ow r="65">
          <cell r="A65" t="str">
            <v>(II)</v>
          </cell>
        </row>
      </sheetData>
      <sheetData sheetId="791">
        <row r="65">
          <cell r="A65" t="str">
            <v>(II)</v>
          </cell>
        </row>
      </sheetData>
      <sheetData sheetId="792">
        <row r="65">
          <cell r="A65" t="str">
            <v>(II)</v>
          </cell>
        </row>
      </sheetData>
      <sheetData sheetId="793">
        <row r="65">
          <cell r="A65" t="str">
            <v>(II)</v>
          </cell>
        </row>
      </sheetData>
      <sheetData sheetId="794">
        <row r="65">
          <cell r="A65" t="str">
            <v>(II)</v>
          </cell>
        </row>
      </sheetData>
      <sheetData sheetId="795">
        <row r="65">
          <cell r="A65" t="str">
            <v>(II)</v>
          </cell>
        </row>
      </sheetData>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ow r="65">
          <cell r="A65" t="str">
            <v>(II)</v>
          </cell>
        </row>
      </sheetData>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ow r="65">
          <cell r="A65" t="str">
            <v>(II)</v>
          </cell>
        </row>
      </sheetData>
      <sheetData sheetId="838">
        <row r="65">
          <cell r="A65" t="str">
            <v>(II)</v>
          </cell>
        </row>
      </sheetData>
      <sheetData sheetId="839">
        <row r="65">
          <cell r="A65" t="str">
            <v>(II)</v>
          </cell>
        </row>
      </sheetData>
      <sheetData sheetId="840">
        <row r="65">
          <cell r="A65" t="str">
            <v>(II)</v>
          </cell>
        </row>
      </sheetData>
      <sheetData sheetId="841"/>
      <sheetData sheetId="842">
        <row r="65">
          <cell r="A65" t="str">
            <v>(II)</v>
          </cell>
        </row>
      </sheetData>
      <sheetData sheetId="843"/>
      <sheetData sheetId="844"/>
      <sheetData sheetId="845">
        <row r="65">
          <cell r="A65" t="str">
            <v>(II)</v>
          </cell>
        </row>
      </sheetData>
      <sheetData sheetId="846">
        <row r="65">
          <cell r="A65" t="str">
            <v>(II)</v>
          </cell>
        </row>
      </sheetData>
      <sheetData sheetId="847">
        <row r="65">
          <cell r="A65" t="str">
            <v>(II)</v>
          </cell>
        </row>
      </sheetData>
      <sheetData sheetId="848">
        <row r="65">
          <cell r="A65" t="str">
            <v>(II)</v>
          </cell>
        </row>
      </sheetData>
      <sheetData sheetId="849">
        <row r="65">
          <cell r="A65" t="str">
            <v>(II)</v>
          </cell>
        </row>
      </sheetData>
      <sheetData sheetId="850">
        <row r="65">
          <cell r="A65" t="str">
            <v>(II)</v>
          </cell>
        </row>
      </sheetData>
      <sheetData sheetId="851">
        <row r="65">
          <cell r="A65" t="str">
            <v>(II)</v>
          </cell>
        </row>
      </sheetData>
      <sheetData sheetId="852">
        <row r="65">
          <cell r="A65" t="str">
            <v>(II)</v>
          </cell>
        </row>
      </sheetData>
      <sheetData sheetId="853">
        <row r="65">
          <cell r="A65" t="str">
            <v>(II)</v>
          </cell>
        </row>
      </sheetData>
      <sheetData sheetId="854">
        <row r="65">
          <cell r="A65" t="str">
            <v>(II)</v>
          </cell>
        </row>
      </sheetData>
      <sheetData sheetId="855">
        <row r="65">
          <cell r="A65" t="str">
            <v>(II)</v>
          </cell>
        </row>
      </sheetData>
      <sheetData sheetId="856">
        <row r="65">
          <cell r="A65" t="str">
            <v>(II)</v>
          </cell>
        </row>
      </sheetData>
      <sheetData sheetId="857">
        <row r="65">
          <cell r="A65" t="str">
            <v>(II)</v>
          </cell>
        </row>
      </sheetData>
      <sheetData sheetId="858">
        <row r="65">
          <cell r="A65" t="str">
            <v>(II)</v>
          </cell>
        </row>
      </sheetData>
      <sheetData sheetId="859"/>
      <sheetData sheetId="860">
        <row r="65">
          <cell r="A65" t="str">
            <v>(II)</v>
          </cell>
        </row>
      </sheetData>
      <sheetData sheetId="861">
        <row r="65">
          <cell r="A65" t="str">
            <v>(II)</v>
          </cell>
        </row>
      </sheetData>
      <sheetData sheetId="862"/>
      <sheetData sheetId="863">
        <row r="65">
          <cell r="A65" t="str">
            <v>(II)</v>
          </cell>
        </row>
      </sheetData>
      <sheetData sheetId="864">
        <row r="65">
          <cell r="A65" t="str">
            <v>(II)</v>
          </cell>
        </row>
      </sheetData>
      <sheetData sheetId="865"/>
      <sheetData sheetId="866"/>
      <sheetData sheetId="867"/>
      <sheetData sheetId="868"/>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sheetData sheetId="966"/>
      <sheetData sheetId="967"/>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sheetData sheetId="1000" refreshError="1"/>
      <sheetData sheetId="1001"/>
      <sheetData sheetId="1002" refreshError="1"/>
      <sheetData sheetId="1003" refreshError="1"/>
      <sheetData sheetId="1004">
        <row r="65">
          <cell r="A65" t="str">
            <v>(II)</v>
          </cell>
        </row>
      </sheetData>
      <sheetData sheetId="1005">
        <row r="65">
          <cell r="A65" t="str">
            <v>(II)</v>
          </cell>
        </row>
      </sheetData>
      <sheetData sheetId="1006" refreshError="1"/>
      <sheetData sheetId="1007" refreshError="1"/>
      <sheetData sheetId="1008">
        <row r="65">
          <cell r="A65" t="str">
            <v>(II)</v>
          </cell>
        </row>
      </sheetData>
      <sheetData sheetId="1009">
        <row r="65">
          <cell r="A65" t="str">
            <v>(II)</v>
          </cell>
        </row>
      </sheetData>
      <sheetData sheetId="1010"/>
      <sheetData sheetId="1011">
        <row r="65">
          <cell r="A65" t="str">
            <v>(II)</v>
          </cell>
        </row>
      </sheetData>
      <sheetData sheetId="1012" refreshError="1"/>
      <sheetData sheetId="1013" refreshError="1"/>
      <sheetData sheetId="1014" refreshError="1"/>
      <sheetData sheetId="1015" refreshError="1"/>
      <sheetData sheetId="1016">
        <row r="65">
          <cell r="A65" t="str">
            <v>(II)</v>
          </cell>
        </row>
      </sheetData>
      <sheetData sheetId="1017">
        <row r="65">
          <cell r="A65" t="str">
            <v>(II)</v>
          </cell>
        </row>
      </sheetData>
      <sheetData sheetId="1018"/>
      <sheetData sheetId="1019">
        <row r="65">
          <cell r="A65" t="str">
            <v>(II)</v>
          </cell>
        </row>
      </sheetData>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sheetData sheetId="1034" refreshError="1"/>
      <sheetData sheetId="1035" refreshError="1"/>
      <sheetData sheetId="1036" refreshError="1"/>
      <sheetData sheetId="1037" refreshError="1"/>
      <sheetData sheetId="1038" refreshError="1"/>
      <sheetData sheetId="1039" refreshError="1"/>
      <sheetData sheetId="1040">
        <row r="65">
          <cell r="A65" t="str">
            <v>(II)</v>
          </cell>
        </row>
      </sheetData>
      <sheetData sheetId="1041">
        <row r="65">
          <cell r="A65" t="str">
            <v>(II)</v>
          </cell>
        </row>
      </sheetData>
      <sheetData sheetId="1042" refreshError="1"/>
      <sheetData sheetId="1043" refreshError="1"/>
      <sheetData sheetId="1044"/>
      <sheetData sheetId="1045">
        <row r="65">
          <cell r="A65" t="str">
            <v>(II)</v>
          </cell>
        </row>
      </sheetData>
      <sheetData sheetId="1046" refreshError="1"/>
      <sheetData sheetId="1047" refreshError="1"/>
      <sheetData sheetId="1048" refreshError="1"/>
      <sheetData sheetId="1049" refreshError="1"/>
      <sheetData sheetId="1050" refreshError="1"/>
      <sheetData sheetId="1051"/>
      <sheetData sheetId="1052"/>
      <sheetData sheetId="1053" refreshError="1"/>
      <sheetData sheetId="1054" refreshError="1"/>
      <sheetData sheetId="1055"/>
      <sheetData sheetId="1056"/>
      <sheetData sheetId="1057">
        <row r="65">
          <cell r="A65" t="str">
            <v>(II)</v>
          </cell>
        </row>
      </sheetData>
      <sheetData sheetId="1058">
        <row r="65">
          <cell r="A65" t="str">
            <v>(II)</v>
          </cell>
        </row>
      </sheetData>
      <sheetData sheetId="1059"/>
      <sheetData sheetId="1060"/>
      <sheetData sheetId="1061">
        <row r="65">
          <cell r="A65" t="str">
            <v>(II)</v>
          </cell>
        </row>
      </sheetData>
      <sheetData sheetId="1062"/>
      <sheetData sheetId="1063"/>
      <sheetData sheetId="1064"/>
      <sheetData sheetId="1065"/>
      <sheetData sheetId="1066" refreshError="1"/>
      <sheetData sheetId="1067"/>
      <sheetData sheetId="1068" refreshError="1"/>
      <sheetData sheetId="1069" refreshError="1"/>
      <sheetData sheetId="1070"/>
      <sheetData sheetId="1071" refreshError="1"/>
      <sheetData sheetId="1072"/>
      <sheetData sheetId="1073"/>
      <sheetData sheetId="1074" refreshError="1"/>
      <sheetData sheetId="1075"/>
      <sheetData sheetId="1076"/>
      <sheetData sheetId="1077"/>
      <sheetData sheetId="1078" refreshError="1"/>
      <sheetData sheetId="1079" refreshError="1"/>
      <sheetData sheetId="1080" refreshError="1"/>
      <sheetData sheetId="1081"/>
      <sheetData sheetId="1082"/>
      <sheetData sheetId="1083"/>
      <sheetData sheetId="1084"/>
      <sheetData sheetId="1085"/>
      <sheetData sheetId="1086" refreshError="1"/>
      <sheetData sheetId="1087"/>
      <sheetData sheetId="1088"/>
      <sheetData sheetId="1089"/>
      <sheetData sheetId="1090"/>
      <sheetData sheetId="1091" refreshError="1"/>
      <sheetData sheetId="1092" refreshError="1"/>
      <sheetData sheetId="1093"/>
      <sheetData sheetId="1094"/>
      <sheetData sheetId="1095" refreshError="1"/>
      <sheetData sheetId="1096" refreshError="1"/>
      <sheetData sheetId="1097"/>
      <sheetData sheetId="1098"/>
      <sheetData sheetId="1099"/>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sheetData sheetId="1111"/>
      <sheetData sheetId="1112"/>
      <sheetData sheetId="1113"/>
      <sheetData sheetId="1114"/>
      <sheetData sheetId="1115"/>
      <sheetData sheetId="1116" refreshError="1"/>
      <sheetData sheetId="1117"/>
      <sheetData sheetId="1118"/>
      <sheetData sheetId="1119" refreshError="1"/>
      <sheetData sheetId="1120" refreshError="1"/>
      <sheetData sheetId="1121" refreshError="1"/>
      <sheetData sheetId="1122" refreshError="1"/>
      <sheetData sheetId="1123"/>
      <sheetData sheetId="1124"/>
      <sheetData sheetId="1125" refreshError="1"/>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sheetData sheetId="1138">
        <row r="65">
          <cell r="A65" t="str">
            <v>(II)</v>
          </cell>
        </row>
      </sheetData>
      <sheetData sheetId="1139"/>
      <sheetData sheetId="1140" refreshError="1"/>
      <sheetData sheetId="1141" refreshError="1"/>
      <sheetData sheetId="1142"/>
      <sheetData sheetId="1143" refreshError="1"/>
      <sheetData sheetId="1144"/>
      <sheetData sheetId="1145"/>
      <sheetData sheetId="1146"/>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sheetData sheetId="1175"/>
      <sheetData sheetId="1176"/>
      <sheetData sheetId="1177"/>
      <sheetData sheetId="1178"/>
      <sheetData sheetId="1179">
        <row r="65">
          <cell r="A65" t="str">
            <v>(II)</v>
          </cell>
        </row>
      </sheetData>
      <sheetData sheetId="1180">
        <row r="65">
          <cell r="A65" t="str">
            <v>(II)</v>
          </cell>
        </row>
      </sheetData>
      <sheetData sheetId="1181"/>
      <sheetData sheetId="1182"/>
      <sheetData sheetId="1183"/>
      <sheetData sheetId="1184" refreshError="1"/>
      <sheetData sheetId="1185" refreshError="1"/>
      <sheetData sheetId="1186" refreshError="1"/>
      <sheetData sheetId="1187" refreshError="1"/>
      <sheetData sheetId="1188">
        <row r="65">
          <cell r="A65" t="str">
            <v>(II)</v>
          </cell>
        </row>
      </sheetData>
      <sheetData sheetId="1189"/>
      <sheetData sheetId="1190"/>
      <sheetData sheetId="1191">
        <row r="65">
          <cell r="A65" t="str">
            <v>(II)</v>
          </cell>
        </row>
      </sheetData>
      <sheetData sheetId="1192"/>
      <sheetData sheetId="1193"/>
      <sheetData sheetId="1194">
        <row r="65">
          <cell r="A65" t="str">
            <v>(II)</v>
          </cell>
        </row>
      </sheetData>
      <sheetData sheetId="1195"/>
      <sheetData sheetId="1196"/>
      <sheetData sheetId="1197">
        <row r="65">
          <cell r="A65" t="str">
            <v>(II)</v>
          </cell>
        </row>
      </sheetData>
      <sheetData sheetId="1198"/>
      <sheetData sheetId="1199">
        <row r="65">
          <cell r="A65" t="str">
            <v>(II)</v>
          </cell>
        </row>
      </sheetData>
      <sheetData sheetId="1200"/>
      <sheetData sheetId="1201"/>
      <sheetData sheetId="1202"/>
      <sheetData sheetId="1203"/>
      <sheetData sheetId="1204"/>
      <sheetData sheetId="1205"/>
      <sheetData sheetId="1206"/>
      <sheetData sheetId="1207"/>
      <sheetData sheetId="1208"/>
      <sheetData sheetId="1209"/>
      <sheetData sheetId="1210"/>
      <sheetData sheetId="1211">
        <row r="65">
          <cell r="A65" t="str">
            <v>(II)</v>
          </cell>
        </row>
      </sheetData>
      <sheetData sheetId="1212"/>
      <sheetData sheetId="1213"/>
      <sheetData sheetId="1214"/>
      <sheetData sheetId="1215"/>
      <sheetData sheetId="1216"/>
      <sheetData sheetId="1217"/>
      <sheetData sheetId="1218"/>
      <sheetData sheetId="1219"/>
      <sheetData sheetId="1220"/>
      <sheetData sheetId="1221"/>
      <sheetData sheetId="1222"/>
      <sheetData sheetId="1223">
        <row r="65">
          <cell r="A65" t="str">
            <v>(II)</v>
          </cell>
        </row>
      </sheetData>
      <sheetData sheetId="1224"/>
      <sheetData sheetId="1225"/>
      <sheetData sheetId="1226"/>
      <sheetData sheetId="1227"/>
      <sheetData sheetId="1228"/>
      <sheetData sheetId="1229">
        <row r="65">
          <cell r="A65" t="str">
            <v>(II)</v>
          </cell>
        </row>
      </sheetData>
      <sheetData sheetId="1230"/>
      <sheetData sheetId="1231"/>
      <sheetData sheetId="1232"/>
      <sheetData sheetId="1233">
        <row r="65">
          <cell r="A65" t="str">
            <v>(II)</v>
          </cell>
        </row>
      </sheetData>
      <sheetData sheetId="1234">
        <row r="65">
          <cell r="A65" t="str">
            <v>(II)</v>
          </cell>
        </row>
      </sheetData>
      <sheetData sheetId="1235"/>
      <sheetData sheetId="1236"/>
      <sheetData sheetId="1237">
        <row r="65">
          <cell r="A65" t="str">
            <v>(II)</v>
          </cell>
        </row>
      </sheetData>
      <sheetData sheetId="1238"/>
      <sheetData sheetId="1239"/>
      <sheetData sheetId="1240">
        <row r="65">
          <cell r="A65" t="str">
            <v>(II)</v>
          </cell>
        </row>
      </sheetData>
      <sheetData sheetId="1241"/>
      <sheetData sheetId="1242"/>
      <sheetData sheetId="1243"/>
      <sheetData sheetId="1244"/>
      <sheetData sheetId="1245">
        <row r="65">
          <cell r="A65" t="str">
            <v>(II)</v>
          </cell>
        </row>
      </sheetData>
      <sheetData sheetId="1246"/>
      <sheetData sheetId="1247">
        <row r="65">
          <cell r="A65" t="str">
            <v>(II)</v>
          </cell>
        </row>
      </sheetData>
      <sheetData sheetId="1248">
        <row r="65">
          <cell r="A65" t="str">
            <v>(II)</v>
          </cell>
        </row>
      </sheetData>
      <sheetData sheetId="1249">
        <row r="65">
          <cell r="A65" t="str">
            <v>(II)</v>
          </cell>
        </row>
      </sheetData>
      <sheetData sheetId="1250"/>
      <sheetData sheetId="1251"/>
      <sheetData sheetId="1252"/>
      <sheetData sheetId="1253"/>
      <sheetData sheetId="1254">
        <row r="65">
          <cell r="A65" t="str">
            <v>(II)</v>
          </cell>
        </row>
      </sheetData>
      <sheetData sheetId="1255"/>
      <sheetData sheetId="1256"/>
      <sheetData sheetId="1257"/>
      <sheetData sheetId="1258"/>
      <sheetData sheetId="1259"/>
      <sheetData sheetId="1260"/>
      <sheetData sheetId="1261"/>
      <sheetData sheetId="1262">
        <row r="65">
          <cell r="A65" t="str">
            <v>(II)</v>
          </cell>
        </row>
      </sheetData>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ow r="65">
          <cell r="A65" t="str">
            <v>(II)</v>
          </cell>
        </row>
      </sheetData>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row r="65">
          <cell r="A65" t="str">
            <v>(II)</v>
          </cell>
        </row>
      </sheetData>
      <sheetData sheetId="1315"/>
      <sheetData sheetId="1316"/>
      <sheetData sheetId="1317"/>
      <sheetData sheetId="1318"/>
      <sheetData sheetId="1319"/>
      <sheetData sheetId="1320"/>
      <sheetData sheetId="1321"/>
      <sheetData sheetId="1322"/>
      <sheetData sheetId="1323">
        <row r="65">
          <cell r="A65" t="str">
            <v>(II)</v>
          </cell>
        </row>
      </sheetData>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row r="65">
          <cell r="A65" t="str">
            <v>(II)</v>
          </cell>
        </row>
      </sheetData>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sheetData sheetId="1451"/>
      <sheetData sheetId="1452"/>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W Final Accounts - 99"/>
      <sheetName val="RM-Summary"/>
      <sheetName val="Customize Your Purchase Order"/>
      <sheetName val="Forecast Sales Model"/>
      <sheetName val="BS-203"/>
      <sheetName val="P&amp;L"/>
      <sheetName val="Schedules"/>
      <sheetName val="BL Staff"/>
      <sheetName val="SUMMARY"/>
      <sheetName val="dealer list"/>
      <sheetName val="Break up Sheet"/>
      <sheetName val="Reference Table"/>
      <sheetName val="Payroll_Statement"/>
      <sheetName val="EXPENSES"/>
      <sheetName val="grp "/>
      <sheetName val="calcul"/>
      <sheetName val="Sch BS"/>
      <sheetName val="Groupings BS"/>
      <sheetName val="cashflow"/>
      <sheetName val="Bs_dft"/>
      <sheetName val="P&amp;l_dft"/>
      <sheetName val="Sch_dft"/>
      <sheetName val="CBM-proj"/>
      <sheetName val="lbo-sum"/>
      <sheetName val="STPI"/>
      <sheetName val="Seats Planning"/>
      <sheetName val="EAW_Final_Accounts_-_99"/>
      <sheetName val="Customize_Your_Purchase_Order"/>
      <sheetName val="Forecast_Sales_Model"/>
      <sheetName val="BL_Staff"/>
      <sheetName val="Sch_BS"/>
      <sheetName val="Groupings_BS"/>
      <sheetName val="Seats_Planning"/>
      <sheetName val="Meas.-Hotel Part"/>
      <sheetName val="Break_up_Sheet"/>
      <sheetName val="dealer_list"/>
      <sheetName val="Plant &amp; Mach"/>
      <sheetName val="Sheet1"/>
      <sheetName val="Sheet3 (2)"/>
      <sheetName val="accounts"/>
      <sheetName val="MOB-MAN1"/>
      <sheetName val="Deduction Details"/>
      <sheetName val="grp_"/>
      <sheetName val="Meas_-Hotel_Part"/>
      <sheetName val="Reference_Table"/>
      <sheetName val="FRINGE_BENEFIT_INFO"/>
      <sheetName val="exp-m"/>
      <sheetName val="Introduction"/>
      <sheetName val="Profit and Loss"/>
      <sheetName val="Earnings model"/>
      <sheetName val="Alloc CORP Summary"/>
      <sheetName val="Factor_sheet"/>
      <sheetName val="Main"/>
      <sheetName val="Collection"/>
      <sheetName val="R.1.5_GL Dump"/>
      <sheetName val="General Parameters"/>
      <sheetName val="EAWFINAL"/>
      <sheetName val="Lookup Table Fixed Costs"/>
      <sheetName val="Cons"/>
      <sheetName val="Severity"/>
      <sheetName val="2C"/>
      <sheetName val="Cover"/>
      <sheetName val="Data Sheet"/>
      <sheetName val="SPI"/>
      <sheetName val="DATA-INPUT"/>
      <sheetName val="Firmabil"/>
      <sheetName val="Pensionsoversigt"/>
      <sheetName val="Personale stamdata"/>
      <sheetName val="concrete"/>
      <sheetName val="SOCIPC"/>
      <sheetName val="SOO"/>
      <sheetName val="BGTCODES"/>
      <sheetName val="Cntmrs-Recruit"/>
      <sheetName val="start"/>
      <sheetName val="Adj Memo - SHB lease"/>
      <sheetName val="Branch"/>
      <sheetName val="3BPA00132-5-3 W plan HVPNL"/>
      <sheetName val="VAR STORE_CONS"/>
      <sheetName val="EXCH"/>
      <sheetName val="Flexi"/>
      <sheetName val="NN"/>
      <sheetName val="15"/>
      <sheetName val="TAX INCOME"/>
      <sheetName val="Tables"/>
      <sheetName val="Currency"/>
      <sheetName val="SCH4"/>
      <sheetName val="Call Stratgy-RMC"/>
      <sheetName val="Detailed"/>
      <sheetName val="2005 Q4"/>
      <sheetName val="Form"/>
      <sheetName val="Challan"/>
      <sheetName val="Tariff"/>
      <sheetName val="O&amp;M Exp"/>
      <sheetName val="Fleet Numbers"/>
      <sheetName val="Apr04"/>
      <sheetName val="Aug04"/>
      <sheetName val="Jan04"/>
      <sheetName val="Feb04"/>
      <sheetName val="Jul04"/>
      <sheetName val="Jun04"/>
      <sheetName val="Mar04"/>
      <sheetName val="May04"/>
      <sheetName val="Oct04"/>
      <sheetName val="JA-FC"/>
      <sheetName val="JA-GC"/>
      <sheetName val="JA-ROCE"/>
      <sheetName val="monthly-var"/>
      <sheetName val="IPO"/>
      <sheetName val="LSR"/>
      <sheetName val="Directors"/>
      <sheetName val="Comp"/>
      <sheetName val="Balance Sheet"/>
      <sheetName val="Sales &amp; Material Cost 00-01"/>
      <sheetName val="S&amp;M(3)"/>
      <sheetName val="유통망계획"/>
      <sheetName val="All Components Report"/>
      <sheetName val="SALARIES"/>
      <sheetName val="EAW_Final_Accounts_-_991"/>
      <sheetName val="Customize_Your_Purchase_Order1"/>
      <sheetName val="Forecast_Sales_Model1"/>
      <sheetName val="grp_1"/>
      <sheetName val="dealer_list1"/>
      <sheetName val="BL_Staff1"/>
      <sheetName val="Break_up_Sheet1"/>
      <sheetName val="Sch_BS1"/>
      <sheetName val="Groupings_BS1"/>
      <sheetName val="Meas_-Hotel_Part1"/>
      <sheetName val="Seats_Planning1"/>
      <sheetName val="Reference_Table1"/>
      <sheetName val="Plant_&amp;_Mach"/>
      <sheetName val="Sheet3_(2)"/>
      <sheetName val="General_Parameters"/>
      <sheetName val="Lookup_Table_Fixed_Costs"/>
      <sheetName val="EXPL.AGUA"/>
      <sheetName val="Proforma"/>
      <sheetName val="Stammdaten"/>
      <sheetName val="Bal_Gr"/>
      <sheetName val="beam-reinft-IIInd floor"/>
      <sheetName val="B12"/>
      <sheetName val="B13"/>
      <sheetName val="B4"/>
      <sheetName val="Assumptions"/>
      <sheetName val="SALE&amp;COST"/>
      <sheetName val="trial"/>
      <sheetName val="BOQ"/>
      <sheetName val="LIST OF MAKES"/>
      <sheetName val="Profit_and_Loss"/>
      <sheetName val="R_1_5_GL_Dump"/>
      <sheetName val="Personale_stamdata"/>
      <sheetName val="3BPA00132-5-3_W_plan_HVPNL"/>
      <sheetName val="Deduction_Details"/>
      <sheetName val="Data_Sheet"/>
      <sheetName val="Funds Requirement"/>
      <sheetName val="GROUPING"/>
      <sheetName val="Standalone Rs Mn"/>
      <sheetName val="Hoja2"/>
      <sheetName val="drop"/>
      <sheetName val="Set"/>
      <sheetName val="EXIS-COMBINED"/>
      <sheetName val="revenues - geographies"/>
      <sheetName val="capex"/>
      <sheetName val="Rentals Real 1"/>
      <sheetName val="XL4Poppy"/>
      <sheetName val="Roll-up"/>
      <sheetName val="B Sheetbajaj"/>
      <sheetName val="Orig SG&amp;A Corp"/>
      <sheetName val="Entities"/>
      <sheetName val="DSM checkbook"/>
      <sheetName val="Price List - Raw"/>
      <sheetName val="Validation"/>
      <sheetName val="Forecast"/>
      <sheetName val="EAW_Final_Accounts_-_992"/>
      <sheetName val="EAW_Final_Accounts_-_993"/>
      <sheetName val="EAW_Final_Accounts_-_994"/>
      <sheetName val="EAW_Final_Accounts_-_995"/>
      <sheetName val="Lead"/>
      <sheetName val="CREH SUD "/>
      <sheetName val="Monthly Report"/>
      <sheetName val="Gross Salary Forecast"/>
      <sheetName val="all client IDs"/>
      <sheetName val="Base"/>
      <sheetName val="Data"/>
      <sheetName val="NAVREC"/>
      <sheetName val="P1 Variables"/>
      <sheetName val="A"/>
      <sheetName val="inv (2)"/>
      <sheetName val="Unmatched"/>
      <sheetName val="Matched"/>
      <sheetName val="Parametre"/>
      <sheetName val="WGE P&amp;E"/>
      <sheetName val="entitlements"/>
      <sheetName val="FORM-16"/>
      <sheetName val="Imports-dataload"/>
      <sheetName val="Name"/>
      <sheetName val="BS and P&amp;L"/>
      <sheetName val="Links"/>
      <sheetName val="easitax"/>
      <sheetName val="Compensation Summary"/>
      <sheetName val="Dep"/>
      <sheetName val="PIMS"/>
      <sheetName val="ReworkLabour"/>
      <sheetName val="Hrly-Billed"/>
      <sheetName val="Revenue-Annexure (UL)"/>
      <sheetName val="CONTROL "/>
      <sheetName val="BellFlowerprem"/>
      <sheetName val="Basic Details"/>
      <sheetName val="DF"/>
      <sheetName val=" Back up Enc 3A"/>
      <sheetName val="WORKINGS"/>
      <sheetName val="Excise on RM"/>
      <sheetName val="Charts"/>
      <sheetName val="Calendar year Summary Plan"/>
      <sheetName val="TB MAR2004"/>
      <sheetName val="Customize_Your_Purchase_Order2"/>
      <sheetName val="Forecast_Sales_Model2"/>
      <sheetName val="BL_Staff2"/>
      <sheetName val="Break_up_Sheet2"/>
      <sheetName val="dealer_list2"/>
      <sheetName val="grp_2"/>
      <sheetName val="Sch_BS2"/>
      <sheetName val="Groupings_BS2"/>
      <sheetName val="Reference_Table2"/>
      <sheetName val="Meas_-Hotel_Part2"/>
      <sheetName val="Seats_Planning2"/>
      <sheetName val="Plant_&amp;_Mach1"/>
      <sheetName val="Sheet3_(2)1"/>
      <sheetName val="VAR_STORE_CONS"/>
      <sheetName val="Profit_and_Loss1"/>
      <sheetName val="Personale_stamdata1"/>
      <sheetName val="General_Parameters1"/>
      <sheetName val="Lookup_Table_Fixed_Costs1"/>
      <sheetName val="R_1_5_GL_Dump1"/>
      <sheetName val="Earnings_model"/>
      <sheetName val="Alloc_CORP_Summary"/>
      <sheetName val="3BPA00132-5-3_W_plan_HVPNL1"/>
      <sheetName val="TAX_INCOME"/>
      <sheetName val="Deduction_Details1"/>
      <sheetName val="Data_Sheet1"/>
      <sheetName val="All_Components_Report"/>
      <sheetName val="Fleet_Numbers"/>
      <sheetName val="O&amp;M_Exp"/>
      <sheetName val="Balance_Sheet"/>
      <sheetName val="Funds_Requirement"/>
      <sheetName val="B_Sheetbajaj"/>
      <sheetName val="CON"/>
      <sheetName val="Reference"/>
      <sheetName val="Lead Sheet"/>
      <sheetName val="Top_Sheet"/>
      <sheetName val="Costs"/>
      <sheetName val="Input"/>
      <sheetName val="D"/>
      <sheetName val="Service Function"/>
      <sheetName val="Sheet2"/>
      <sheetName val="TRIAL BALANCE"/>
      <sheetName val="BS, PL, Sch 5 to 9"/>
      <sheetName val="February"/>
      <sheetName val="January"/>
      <sheetName val="March"/>
      <sheetName val="BS Rec Control Sheet"/>
      <sheetName val="b"/>
      <sheetName val="Total DTH Forecast"/>
      <sheetName val="Total Distribution Forecast"/>
      <sheetName val="EAW_Final_Accounts_-_996"/>
      <sheetName val="Erlang B"/>
      <sheetName val="HI-TARGE"/>
      <sheetName val="Macro1"/>
      <sheetName val="final abstract"/>
      <sheetName val="Cash Flow"/>
      <sheetName val="flow"/>
      <sheetName val="cashbook"/>
      <sheetName val="Stryker DIV "/>
      <sheetName val="LTM"/>
      <sheetName val="DropZone"/>
      <sheetName val="Accrued exp - taxes"/>
      <sheetName val="RSU Tax Deduction Forecast"/>
      <sheetName val="TemplateReports"/>
      <sheetName val="BS"/>
      <sheetName val="Support Processes(R)"/>
      <sheetName val="Company Consol.(R)"/>
      <sheetName val="FORM01"/>
      <sheetName val="FORM02"/>
      <sheetName val="FORM03"/>
      <sheetName val="URVE Trend"/>
      <sheetName val="#ref"/>
      <sheetName val="BILLING DEALERSHIP WISE "/>
      <sheetName val="FixedAssets"/>
      <sheetName val="data 3A|6A"/>
      <sheetName val="Schedules 1-15 (BIW)"/>
      <sheetName val="Schedules 16-22 (BIW)"/>
      <sheetName val="Actual Data (MAP)"/>
      <sheetName val="Actual Data (STX)"/>
      <sheetName val="Sales_&amp;_Material_Cost_00-01"/>
      <sheetName val="DSM_checkbook"/>
      <sheetName val="all_client_IDs"/>
      <sheetName val="P1_Variables"/>
      <sheetName val="XLR_NoRangeSheet"/>
      <sheetName val="Biz Reviews"/>
      <sheetName val="PL"/>
      <sheetName val="BalSht"/>
      <sheetName val="Setup"/>
      <sheetName val="FINAL"/>
      <sheetName val="schedules pl"/>
      <sheetName val="schedules bs"/>
      <sheetName val="Add  02-03"/>
      <sheetName val="22.12"/>
      <sheetName val="진행 data (2)"/>
      <sheetName val="FN1 Significant Acct Policies"/>
      <sheetName val="PL- Notes"/>
      <sheetName val="PRDMAR96"/>
      <sheetName val="Income Statement"/>
      <sheetName val="Formula"/>
      <sheetName val="FA"/>
      <sheetName val="COMPS"/>
      <sheetName val="UK P&amp;L"/>
      <sheetName val="Orig_SG&amp;A_Corp"/>
      <sheetName val="Call_Stratgy-RMC"/>
      <sheetName val="X rate"/>
      <sheetName val="Bal Sheet"/>
      <sheetName val="defaults"/>
      <sheetName val="header"/>
      <sheetName val="Customize_Your_Purchase_Order3"/>
      <sheetName val="Forecast_Sales_Model3"/>
      <sheetName val="BL_Staff3"/>
      <sheetName val="Sch_BS3"/>
      <sheetName val="Groupings_BS3"/>
      <sheetName val="dealer_list3"/>
      <sheetName val="grp_3"/>
      <sheetName val="Break_up_Sheet3"/>
      <sheetName val="Meas_-Hotel_Part3"/>
      <sheetName val="Reference_Table3"/>
      <sheetName val="Seats_Planning3"/>
      <sheetName val="Plant_&amp;_Mach2"/>
      <sheetName val="Sheet3_(2)2"/>
      <sheetName val="R_1_5_GL_Dump2"/>
      <sheetName val="General_Parameters2"/>
      <sheetName val="Lookup_Table_Fixed_Costs2"/>
      <sheetName val="Deduction_Details2"/>
      <sheetName val="Data_Sheet2"/>
      <sheetName val="Earnings_model1"/>
      <sheetName val="Profit_and_Loss2"/>
      <sheetName val="Personale_stamdata2"/>
      <sheetName val="Alloc_CORP_Summary1"/>
      <sheetName val="TAX_INCOME1"/>
      <sheetName val="Balance_Sheet1"/>
      <sheetName val="3BPA00132-5-3_W_plan_HVPNL2"/>
      <sheetName val="VAR_STORE_CONS1"/>
      <sheetName val="Fleet_Numbers1"/>
      <sheetName val="All_Components_Report1"/>
      <sheetName val="Funds_Requirement1"/>
      <sheetName val="B_Sheetbajaj1"/>
      <sheetName val="O&amp;M_Exp1"/>
      <sheetName val="revenues_-_geographies"/>
      <sheetName val="Rentals_Real_1"/>
      <sheetName val="CREH_SUD_"/>
      <sheetName val="all_client_IDs1"/>
      <sheetName val="TRIAL_BALANCE"/>
      <sheetName val="BS,_PL,_Sch_5_to_9"/>
      <sheetName val="Gross_Salary_Forecast"/>
      <sheetName val="beam-reinft-IIInd_floor"/>
      <sheetName val="Price_List_-_Raw"/>
      <sheetName val="Sales_&amp;_Material_Cost_00-011"/>
      <sheetName val="2005_Q4"/>
      <sheetName val="inv_(2)"/>
      <sheetName val="WGE_P&amp;E"/>
      <sheetName val="BS_and_P&amp;L"/>
      <sheetName val="Compensation_Summary"/>
      <sheetName val="P1_Variables1"/>
      <sheetName val="DSM_checkbook1"/>
      <sheetName val="EXPL_AGUA"/>
      <sheetName val="Adj_Memo_-_SHB_lease"/>
      <sheetName val="Monthly_Report"/>
      <sheetName val="Revenue-Annexure_(UL)"/>
      <sheetName val="CONTROL_"/>
      <sheetName val="Basic_Details"/>
      <sheetName val="_Back_up_Enc_3A"/>
      <sheetName val="Excise_on_RM"/>
      <sheetName val="Calendar_year_Summary_Plan"/>
      <sheetName val="TB_MAR2004"/>
      <sheetName val="Lead_Sheet"/>
      <sheetName val="LIST_OF_MAKES"/>
      <sheetName val="Accrued_exp_-_taxes"/>
      <sheetName val="URVE_Trend"/>
      <sheetName val="Support_Processes(R)"/>
      <sheetName val="Company_Consol_(R)"/>
      <sheetName val="Standalone_Rs_Mn"/>
      <sheetName val="Actual_Data_(MAP)"/>
      <sheetName val="Actual_Data_(STX)"/>
      <sheetName val="RSU_Tax_Deduction_Forecast"/>
      <sheetName val="2009 Corrected"/>
      <sheetName val="data_3A|6A"/>
      <sheetName val="Schedules_1-15_(BIW)"/>
      <sheetName val="Schedules_16-22_(BIW)"/>
      <sheetName val="Service_Function"/>
      <sheetName val="BS_Rec_Control_Sheet"/>
      <sheetName val="Biz_Reviews"/>
      <sheetName val="Total_DTH_Forecast"/>
      <sheetName val="Total_Distribution_Forecast"/>
      <sheetName val="Erlang_B"/>
      <sheetName val="final_abstract"/>
      <sheetName val="Cash_Flow"/>
      <sheetName val="22_12"/>
      <sheetName val="Forecast Detail"/>
      <sheetName val="Organic Manure Sales Regist "/>
      <sheetName val="CFForecast detail"/>
      <sheetName val="CASHFLOWS"/>
      <sheetName val="DP Master"/>
      <sheetName val="COMPUTATION"/>
      <sheetName val="CF"/>
      <sheetName val="EAW_Final_Accounts_-_997"/>
      <sheetName val="Stryker_DIV_"/>
      <sheetName val="sheet6"/>
      <sheetName val="Insts"/>
      <sheetName val="Estimation"/>
      <sheetName val="RA-markate"/>
      <sheetName val="TBAL9697 -group wise  sdpl"/>
      <sheetName val="COLUMN"/>
      <sheetName val="FAB별"/>
      <sheetName val="Variables"/>
      <sheetName val="Size_Growth_Adj"/>
      <sheetName val="Inputs"/>
      <sheetName val="L6"/>
      <sheetName val="Costs_TA"/>
      <sheetName val="Multi_Stack_Waterfall_LU"/>
      <sheetName val="TIP 2-ETR"/>
      <sheetName val="K-PIS"/>
      <sheetName val="Lists"/>
      <sheetName val="????&lt;?&gt;"/>
      <sheetName val="LBO"/>
      <sheetName val="Prod Anal"/>
      <sheetName val="Customize_Your_Purchase_Order4"/>
      <sheetName val="Forecast_Sales_Model4"/>
      <sheetName val="BL_Staff4"/>
      <sheetName val="dealer_list4"/>
      <sheetName val="Break_up_Sheet4"/>
      <sheetName val="Sch_BS4"/>
      <sheetName val="Groupings_BS4"/>
      <sheetName val="grp_4"/>
      <sheetName val="Meas_-Hotel_Part4"/>
      <sheetName val="Reference_Table4"/>
      <sheetName val="Seats_Planning4"/>
      <sheetName val="Plant_&amp;_Mach3"/>
      <sheetName val="Sheet3_(2)3"/>
      <sheetName val="Profit_and_Loss3"/>
      <sheetName val="R_1_5_GL_Dump3"/>
      <sheetName val="General_Parameters3"/>
      <sheetName val="Lookup_Table_Fixed_Costs3"/>
      <sheetName val="Personale_stamdata3"/>
      <sheetName val="Deduction_Details3"/>
      <sheetName val="Earnings_model2"/>
      <sheetName val="Data_Sheet3"/>
      <sheetName val="EXPL_AGUA1"/>
      <sheetName val="2005_Q41"/>
      <sheetName val="TAX_INCOME2"/>
      <sheetName val="O&amp;M_Exp2"/>
      <sheetName val="VAR_STORE_CONS2"/>
      <sheetName val="3BPA00132-5-3_W_plan_HVPNL3"/>
      <sheetName val="Alloc_CORP_Summary2"/>
      <sheetName val="Fleet_Numbers2"/>
      <sheetName val="All_Components_Report2"/>
      <sheetName val="beam-reinft-IIInd_floor1"/>
      <sheetName val="Call_Stratgy-RMC1"/>
      <sheetName val="Adj_Memo_-_SHB_lease1"/>
      <sheetName val="Sales_&amp;_Material_Cost_00-012"/>
      <sheetName val="Balance_Sheet2"/>
      <sheetName val="Funds_Requirement2"/>
      <sheetName val="B_Sheetbajaj2"/>
      <sheetName val="Price_List_-_Raw1"/>
      <sheetName val="DSM_checkbook2"/>
      <sheetName val="all_client_IDs2"/>
      <sheetName val="P1_Variables2"/>
      <sheetName val="Monthly_Report1"/>
      <sheetName val="Orig_SG&amp;A_Corp1"/>
      <sheetName val="inv_(2)1"/>
      <sheetName val="WGE_P&amp;E1"/>
      <sheetName val="BS_and_P&amp;L1"/>
      <sheetName val="Gross_Salary_Forecast1"/>
      <sheetName val="Compensation_Summary1"/>
      <sheetName val="Accrued_exp_-_taxes1"/>
      <sheetName val="revenues_-_geographies1"/>
      <sheetName val="Rentals_Real_11"/>
      <sheetName val="Revenue-Annexure_(UL)1"/>
      <sheetName val="CONTROL_1"/>
      <sheetName val="Basic_Details1"/>
      <sheetName val="_Back_up_Enc_3A1"/>
      <sheetName val="Excise_on_RM1"/>
      <sheetName val="Calendar_year_Summary_Plan1"/>
      <sheetName val="TB_MAR20041"/>
      <sheetName val="URVE_Trend1"/>
      <sheetName val="CREH_SUD_1"/>
      <sheetName val="LIST_OF_MAKES1"/>
      <sheetName val="TRIAL_BALANCE1"/>
      <sheetName val="BS,_PL,_Sch_5_to_91"/>
      <sheetName val="Support_Processes(R)1"/>
      <sheetName val="Company_Consol_(R)1"/>
      <sheetName val="Standalone_Rs_Mn1"/>
      <sheetName val="Lead_Sheet1"/>
      <sheetName val="Actual_Data_(MAP)1"/>
      <sheetName val="Actual_Data_(STX)1"/>
      <sheetName val="RSU_Tax_Deduction_Forecast1"/>
      <sheetName val="Add__02-03"/>
      <sheetName val="진행_data_(2)"/>
      <sheetName val="FN1_Significant_Acct_Policies"/>
      <sheetName val="BILLING_DEALERSHIP_WISE_"/>
      <sheetName val="Pur"/>
      <sheetName val="Kleinkessselservice"/>
      <sheetName val="PROJECTIONS"/>
      <sheetName val="PROFITANALYSIS"/>
      <sheetName val="CHF 0104"/>
      <sheetName val="Enc 3A"/>
      <sheetName val="PVT."/>
      <sheetName val="CRITERIA1"/>
      <sheetName val="China"/>
      <sheetName val="list"/>
      <sheetName val="TIP_2-ETR"/>
      <sheetName val="CR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Card Collections"/>
      <sheetName val="Consumer"/>
      <sheetName val="Govt"/>
      <sheetName val="Commercial"/>
      <sheetName val="collections plan 0401"/>
    </sheetNames>
    <sheetDataSet>
      <sheetData sheetId="0" refreshError="1"/>
      <sheetData sheetId="1"/>
      <sheetData sheetId="2"/>
      <sheetData sheetId="3"/>
      <sheetData sheetId="4" refreshError="1">
        <row r="309">
          <cell r="C309" t="str">
            <v>600300</v>
          </cell>
          <cell r="D309" t="str">
            <v>4</v>
          </cell>
          <cell r="E309" t="str">
            <v xml:space="preserve">      Salaries &amp; Wages                  </v>
          </cell>
          <cell r="F309">
            <v>193</v>
          </cell>
          <cell r="G309">
            <v>203</v>
          </cell>
          <cell r="H309">
            <v>214</v>
          </cell>
          <cell r="I309">
            <v>238</v>
          </cell>
          <cell r="J309">
            <v>259</v>
          </cell>
          <cell r="K309">
            <v>259</v>
          </cell>
          <cell r="L309">
            <v>262</v>
          </cell>
          <cell r="M309">
            <v>262</v>
          </cell>
          <cell r="N309">
            <v>262</v>
          </cell>
          <cell r="O309">
            <v>264</v>
          </cell>
          <cell r="P309">
            <v>264</v>
          </cell>
          <cell r="Q309">
            <v>264</v>
          </cell>
          <cell r="R309">
            <v>2944</v>
          </cell>
        </row>
        <row r="310">
          <cell r="C310" t="str">
            <v>601000</v>
          </cell>
          <cell r="D310" t="str">
            <v>4</v>
          </cell>
          <cell r="E310" t="str">
            <v xml:space="preserve">      Overtime Salaries                 </v>
          </cell>
          <cell r="F310">
            <v>2</v>
          </cell>
          <cell r="G310">
            <v>3</v>
          </cell>
          <cell r="H310">
            <v>2</v>
          </cell>
          <cell r="I310">
            <v>3</v>
          </cell>
          <cell r="J310">
            <v>2</v>
          </cell>
          <cell r="K310">
            <v>3</v>
          </cell>
          <cell r="L310">
            <v>2</v>
          </cell>
          <cell r="M310">
            <v>3</v>
          </cell>
          <cell r="N310">
            <v>2</v>
          </cell>
          <cell r="O310">
            <v>3</v>
          </cell>
          <cell r="P310">
            <v>2</v>
          </cell>
          <cell r="Q310">
            <v>3</v>
          </cell>
          <cell r="R310">
            <v>30</v>
          </cell>
        </row>
        <row r="311">
          <cell r="C311" t="str">
            <v>601500</v>
          </cell>
          <cell r="D311" t="str">
            <v>4</v>
          </cell>
          <cell r="E311" t="str">
            <v xml:space="preserve">      Incentive Compensation            </v>
          </cell>
          <cell r="F311">
            <v>29</v>
          </cell>
          <cell r="G311">
            <v>30</v>
          </cell>
          <cell r="H311">
            <v>31</v>
          </cell>
          <cell r="I311">
            <v>33</v>
          </cell>
          <cell r="J311">
            <v>35</v>
          </cell>
          <cell r="K311">
            <v>35</v>
          </cell>
          <cell r="L311">
            <v>35</v>
          </cell>
          <cell r="M311">
            <v>35</v>
          </cell>
          <cell r="N311">
            <v>35</v>
          </cell>
          <cell r="O311">
            <v>34</v>
          </cell>
          <cell r="P311">
            <v>35</v>
          </cell>
          <cell r="Q311">
            <v>32</v>
          </cell>
          <cell r="R311">
            <v>399</v>
          </cell>
        </row>
        <row r="312">
          <cell r="C312" t="str">
            <v>602000</v>
          </cell>
          <cell r="D312" t="str">
            <v>4</v>
          </cell>
          <cell r="E312" t="str">
            <v xml:space="preserve">      Contract Temporary/Other Compensat</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t="str">
            <v>603000</v>
          </cell>
          <cell r="D313" t="str">
            <v>4</v>
          </cell>
          <cell r="E313" t="str">
            <v xml:space="preserve">      Employee Benefits                 </v>
          </cell>
          <cell r="F313">
            <v>39</v>
          </cell>
          <cell r="G313">
            <v>41.2</v>
          </cell>
          <cell r="H313">
            <v>43.2</v>
          </cell>
          <cell r="I313">
            <v>48.2</v>
          </cell>
          <cell r="J313">
            <v>52.2</v>
          </cell>
          <cell r="K313">
            <v>52.4</v>
          </cell>
          <cell r="L313">
            <v>52.8</v>
          </cell>
          <cell r="M313">
            <v>53</v>
          </cell>
          <cell r="N313">
            <v>52.8</v>
          </cell>
          <cell r="O313">
            <v>53.4</v>
          </cell>
          <cell r="P313">
            <v>53.2</v>
          </cell>
          <cell r="Q313">
            <v>53.4</v>
          </cell>
          <cell r="R313">
            <v>594.79999999999995</v>
          </cell>
        </row>
        <row r="314">
          <cell r="C314" t="str">
            <v>607500</v>
          </cell>
          <cell r="D314" t="str">
            <v>4</v>
          </cell>
          <cell r="E314" t="str">
            <v xml:space="preserve">      Capitalized Personnel Expense     </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t="str">
            <v>600250</v>
          </cell>
          <cell r="D315" t="str">
            <v>2</v>
          </cell>
          <cell r="E315" t="str">
            <v xml:space="preserve">  Personnel                             </v>
          </cell>
          <cell r="F315">
            <v>263</v>
          </cell>
          <cell r="G315">
            <v>277.2</v>
          </cell>
          <cell r="H315">
            <v>290.2</v>
          </cell>
          <cell r="I315">
            <v>322.2</v>
          </cell>
          <cell r="J315">
            <v>348.2</v>
          </cell>
          <cell r="K315">
            <v>349.4</v>
          </cell>
          <cell r="L315">
            <v>351.8</v>
          </cell>
          <cell r="M315">
            <v>353</v>
          </cell>
          <cell r="N315">
            <v>351.8</v>
          </cell>
          <cell r="O315">
            <v>354.4</v>
          </cell>
          <cell r="P315">
            <v>354.2</v>
          </cell>
          <cell r="Q315">
            <v>352.4</v>
          </cell>
          <cell r="R315">
            <v>3967.8</v>
          </cell>
        </row>
        <row r="316">
          <cell r="C316" t="str">
            <v>610200A</v>
          </cell>
          <cell r="D316" t="str">
            <v>3</v>
          </cell>
          <cell r="E316" t="str">
            <v xml:space="preserve">    Rental &amp; Service Income-Premises    </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t="str">
            <v>612000A</v>
          </cell>
          <cell r="D317" t="str">
            <v>3</v>
          </cell>
          <cell r="E317" t="str">
            <v xml:space="preserve">    Rental Expense                      </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t="str">
            <v>613000A</v>
          </cell>
          <cell r="D318" t="str">
            <v>3</v>
          </cell>
          <cell r="E318" t="str">
            <v xml:space="preserve">    Utilities                           </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t="str">
            <v>614000A</v>
          </cell>
          <cell r="D319" t="str">
            <v>3</v>
          </cell>
          <cell r="E319" t="str">
            <v xml:space="preserve">    Building Depreciation/Amortization  </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t="str">
            <v>615000A</v>
          </cell>
          <cell r="D320" t="str">
            <v>3</v>
          </cell>
          <cell r="E320" t="str">
            <v xml:space="preserve">    Property Taxes &amp; Insurance          </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t="str">
            <v>616100A</v>
          </cell>
          <cell r="D321" t="str">
            <v>4</v>
          </cell>
          <cell r="E321" t="str">
            <v xml:space="preserve">      Other Building Operating          </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t="str">
            <v>617000A</v>
          </cell>
          <cell r="D322" t="str">
            <v>4</v>
          </cell>
          <cell r="E322" t="str">
            <v xml:space="preserve">      Cleaning &amp; Janitorial             </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t="str">
            <v>618000A</v>
          </cell>
          <cell r="D323" t="str">
            <v>4</v>
          </cell>
          <cell r="E323" t="str">
            <v xml:space="preserve">      Repairs &amp; Maintenance             </v>
          </cell>
          <cell r="F323">
            <v>0</v>
          </cell>
          <cell r="G323">
            <v>0</v>
          </cell>
          <cell r="H323">
            <v>0</v>
          </cell>
          <cell r="I323">
            <v>0</v>
          </cell>
          <cell r="J323">
            <v>0</v>
          </cell>
          <cell r="K323">
            <v>0</v>
          </cell>
          <cell r="L323">
            <v>0</v>
          </cell>
          <cell r="M323">
            <v>0</v>
          </cell>
          <cell r="N323">
            <v>0</v>
          </cell>
          <cell r="O323">
            <v>0</v>
          </cell>
          <cell r="P323">
            <v>0</v>
          </cell>
          <cell r="Q323">
            <v>0</v>
          </cell>
          <cell r="R323">
            <v>0</v>
          </cell>
        </row>
        <row r="324">
          <cell r="C324" t="str">
            <v>619000A</v>
          </cell>
          <cell r="D324" t="str">
            <v>4</v>
          </cell>
          <cell r="E324" t="str">
            <v xml:space="preserve">      Other Occupancy Expense-Other     </v>
          </cell>
          <cell r="F324">
            <v>0</v>
          </cell>
          <cell r="G324">
            <v>0</v>
          </cell>
          <cell r="H324">
            <v>0</v>
          </cell>
          <cell r="I324">
            <v>0</v>
          </cell>
          <cell r="J324">
            <v>0</v>
          </cell>
          <cell r="K324">
            <v>0</v>
          </cell>
          <cell r="L324">
            <v>0</v>
          </cell>
          <cell r="M324">
            <v>0</v>
          </cell>
          <cell r="N324">
            <v>0</v>
          </cell>
          <cell r="O324">
            <v>0</v>
          </cell>
          <cell r="P324">
            <v>0</v>
          </cell>
          <cell r="Q324">
            <v>0</v>
          </cell>
          <cell r="R324">
            <v>0</v>
          </cell>
        </row>
        <row r="325">
          <cell r="C325" t="str">
            <v>619825A</v>
          </cell>
          <cell r="D325" t="str">
            <v>4</v>
          </cell>
          <cell r="E325" t="str">
            <v xml:space="preserve">      Property Management Fees          </v>
          </cell>
          <cell r="F325">
            <v>0</v>
          </cell>
          <cell r="G325">
            <v>0</v>
          </cell>
          <cell r="H325">
            <v>0</v>
          </cell>
          <cell r="I325">
            <v>0</v>
          </cell>
          <cell r="J325">
            <v>0</v>
          </cell>
          <cell r="K325">
            <v>0</v>
          </cell>
          <cell r="L325">
            <v>0</v>
          </cell>
          <cell r="M325">
            <v>0</v>
          </cell>
          <cell r="N325">
            <v>0</v>
          </cell>
          <cell r="O325">
            <v>0</v>
          </cell>
          <cell r="P325">
            <v>0</v>
          </cell>
          <cell r="Q325">
            <v>0</v>
          </cell>
          <cell r="R325">
            <v>0</v>
          </cell>
        </row>
        <row r="326">
          <cell r="C326" t="str">
            <v>616000A</v>
          </cell>
          <cell r="D326" t="str">
            <v>3</v>
          </cell>
          <cell r="E326" t="str">
            <v xml:space="preserve">    Other Occupancy Expenses            </v>
          </cell>
          <cell r="F326">
            <v>0</v>
          </cell>
          <cell r="G326">
            <v>0</v>
          </cell>
          <cell r="H326">
            <v>0</v>
          </cell>
          <cell r="I326">
            <v>0</v>
          </cell>
          <cell r="J326">
            <v>0</v>
          </cell>
          <cell r="K326">
            <v>0</v>
          </cell>
          <cell r="L326">
            <v>0</v>
          </cell>
          <cell r="M326">
            <v>0</v>
          </cell>
          <cell r="N326">
            <v>0</v>
          </cell>
          <cell r="O326">
            <v>0</v>
          </cell>
          <cell r="P326">
            <v>0</v>
          </cell>
          <cell r="Q326">
            <v>0</v>
          </cell>
          <cell r="R326">
            <v>0</v>
          </cell>
        </row>
        <row r="327">
          <cell r="C327" t="str">
            <v>619900</v>
          </cell>
          <cell r="D327" t="str">
            <v>3</v>
          </cell>
          <cell r="E327" t="str">
            <v xml:space="preserve">    Occupancy Exp Chargeouts I/C        </v>
          </cell>
          <cell r="F327">
            <v>0</v>
          </cell>
          <cell r="G327">
            <v>0</v>
          </cell>
          <cell r="H327">
            <v>41</v>
          </cell>
          <cell r="I327">
            <v>14</v>
          </cell>
          <cell r="J327">
            <v>14</v>
          </cell>
          <cell r="K327">
            <v>14</v>
          </cell>
          <cell r="L327">
            <v>14</v>
          </cell>
          <cell r="M327">
            <v>14</v>
          </cell>
          <cell r="N327">
            <v>14</v>
          </cell>
          <cell r="O327">
            <v>14</v>
          </cell>
          <cell r="P327">
            <v>14</v>
          </cell>
          <cell r="Q327">
            <v>14</v>
          </cell>
          <cell r="R327">
            <v>167</v>
          </cell>
        </row>
        <row r="328">
          <cell r="C328" t="str">
            <v>610000</v>
          </cell>
          <cell r="D328" t="str">
            <v>2</v>
          </cell>
          <cell r="E328" t="str">
            <v xml:space="preserve">  Net Occupancy                         </v>
          </cell>
          <cell r="F328">
            <v>0</v>
          </cell>
          <cell r="G328">
            <v>0</v>
          </cell>
          <cell r="H328">
            <v>41</v>
          </cell>
          <cell r="I328">
            <v>14</v>
          </cell>
          <cell r="J328">
            <v>14</v>
          </cell>
          <cell r="K328">
            <v>14</v>
          </cell>
          <cell r="L328">
            <v>14</v>
          </cell>
          <cell r="M328">
            <v>14</v>
          </cell>
          <cell r="N328">
            <v>14</v>
          </cell>
          <cell r="O328">
            <v>14</v>
          </cell>
          <cell r="P328">
            <v>14</v>
          </cell>
          <cell r="Q328">
            <v>14</v>
          </cell>
          <cell r="R328">
            <v>167</v>
          </cell>
        </row>
        <row r="329">
          <cell r="C329" t="str">
            <v>620200A</v>
          </cell>
          <cell r="D329" t="str">
            <v>3</v>
          </cell>
          <cell r="E329" t="str">
            <v xml:space="preserve">    Equipment Depreciation              </v>
          </cell>
          <cell r="F329">
            <v>0.6</v>
          </cell>
          <cell r="G329">
            <v>0.6</v>
          </cell>
          <cell r="H329">
            <v>0.6</v>
          </cell>
          <cell r="I329">
            <v>0.6</v>
          </cell>
          <cell r="J329">
            <v>0.6</v>
          </cell>
          <cell r="K329">
            <v>0.6</v>
          </cell>
          <cell r="L329">
            <v>0.6</v>
          </cell>
          <cell r="M329">
            <v>0.6</v>
          </cell>
          <cell r="N329">
            <v>0.6</v>
          </cell>
          <cell r="O329">
            <v>0.6</v>
          </cell>
          <cell r="P329">
            <v>0.6</v>
          </cell>
          <cell r="Q329">
            <v>0.6</v>
          </cell>
          <cell r="R329">
            <v>7.2</v>
          </cell>
        </row>
        <row r="330">
          <cell r="C330" t="str">
            <v>621000A</v>
          </cell>
          <cell r="D330" t="str">
            <v>3</v>
          </cell>
          <cell r="E330" t="str">
            <v xml:space="preserve">    Rental                              </v>
          </cell>
          <cell r="F330">
            <v>0</v>
          </cell>
          <cell r="G330">
            <v>0</v>
          </cell>
          <cell r="H330">
            <v>0</v>
          </cell>
          <cell r="I330">
            <v>0</v>
          </cell>
          <cell r="J330">
            <v>0</v>
          </cell>
          <cell r="K330">
            <v>0</v>
          </cell>
          <cell r="L330">
            <v>0</v>
          </cell>
          <cell r="M330">
            <v>0</v>
          </cell>
          <cell r="N330">
            <v>0</v>
          </cell>
          <cell r="O330">
            <v>0</v>
          </cell>
          <cell r="P330">
            <v>0</v>
          </cell>
          <cell r="Q330">
            <v>0</v>
          </cell>
          <cell r="R330">
            <v>0</v>
          </cell>
        </row>
        <row r="331">
          <cell r="C331" t="str">
            <v>622000A</v>
          </cell>
          <cell r="D331" t="str">
            <v>3</v>
          </cell>
          <cell r="E331" t="str">
            <v xml:space="preserve">    Maintenance/Other                   </v>
          </cell>
          <cell r="F331">
            <v>3</v>
          </cell>
          <cell r="G331">
            <v>3</v>
          </cell>
          <cell r="H331">
            <v>5</v>
          </cell>
          <cell r="I331">
            <v>36</v>
          </cell>
          <cell r="J331">
            <v>3</v>
          </cell>
          <cell r="K331">
            <v>2</v>
          </cell>
          <cell r="L331">
            <v>2</v>
          </cell>
          <cell r="M331">
            <v>2</v>
          </cell>
          <cell r="N331">
            <v>2</v>
          </cell>
          <cell r="O331">
            <v>2</v>
          </cell>
          <cell r="P331">
            <v>2</v>
          </cell>
          <cell r="Q331">
            <v>2</v>
          </cell>
          <cell r="R331">
            <v>64</v>
          </cell>
        </row>
        <row r="332">
          <cell r="C332" t="str">
            <v>622900</v>
          </cell>
          <cell r="D332" t="str">
            <v>3</v>
          </cell>
          <cell r="E332" t="str">
            <v xml:space="preserve">    Furniture &amp; Equip Chargeouts I/C    </v>
          </cell>
          <cell r="F332">
            <v>0</v>
          </cell>
          <cell r="G332">
            <v>0</v>
          </cell>
          <cell r="H332">
            <v>0</v>
          </cell>
          <cell r="I332">
            <v>0</v>
          </cell>
          <cell r="J332">
            <v>0</v>
          </cell>
          <cell r="K332">
            <v>0</v>
          </cell>
          <cell r="L332">
            <v>0</v>
          </cell>
          <cell r="M332">
            <v>0</v>
          </cell>
          <cell r="N332">
            <v>0</v>
          </cell>
          <cell r="O332">
            <v>0</v>
          </cell>
          <cell r="P332">
            <v>0</v>
          </cell>
          <cell r="Q332">
            <v>0</v>
          </cell>
          <cell r="R332">
            <v>0</v>
          </cell>
        </row>
        <row r="333">
          <cell r="C333" t="str">
            <v>620000</v>
          </cell>
          <cell r="D333" t="str">
            <v>2</v>
          </cell>
          <cell r="E333" t="str">
            <v xml:space="preserve">  Furniture &amp; Equipment                 </v>
          </cell>
          <cell r="F333">
            <v>3.6</v>
          </cell>
          <cell r="G333">
            <v>3.6</v>
          </cell>
          <cell r="H333">
            <v>5.6</v>
          </cell>
          <cell r="I333">
            <v>36.6</v>
          </cell>
          <cell r="J333">
            <v>3.6</v>
          </cell>
          <cell r="K333">
            <v>2.6</v>
          </cell>
          <cell r="L333">
            <v>2.6</v>
          </cell>
          <cell r="M333">
            <v>2.6</v>
          </cell>
          <cell r="N333">
            <v>2.6</v>
          </cell>
          <cell r="O333">
            <v>2.6</v>
          </cell>
          <cell r="P333">
            <v>2.6</v>
          </cell>
          <cell r="Q333">
            <v>2.6</v>
          </cell>
          <cell r="R333">
            <v>71.2</v>
          </cell>
        </row>
        <row r="334">
          <cell r="C334" t="str">
            <v>623200A</v>
          </cell>
          <cell r="D334" t="str">
            <v>3</v>
          </cell>
          <cell r="E334" t="str">
            <v xml:space="preserve">    Advertising                         </v>
          </cell>
          <cell r="F334">
            <v>0</v>
          </cell>
          <cell r="G334">
            <v>0</v>
          </cell>
          <cell r="H334">
            <v>0</v>
          </cell>
          <cell r="I334">
            <v>0</v>
          </cell>
          <cell r="J334">
            <v>0</v>
          </cell>
          <cell r="K334">
            <v>0</v>
          </cell>
          <cell r="L334">
            <v>0</v>
          </cell>
          <cell r="M334">
            <v>0</v>
          </cell>
          <cell r="N334">
            <v>0</v>
          </cell>
          <cell r="O334">
            <v>0</v>
          </cell>
          <cell r="P334">
            <v>0</v>
          </cell>
          <cell r="Q334">
            <v>0</v>
          </cell>
          <cell r="R334">
            <v>0</v>
          </cell>
        </row>
        <row r="335">
          <cell r="C335" t="str">
            <v>624000A</v>
          </cell>
          <cell r="D335" t="str">
            <v>3</v>
          </cell>
          <cell r="E335" t="str">
            <v xml:space="preserve">    Public Relations &amp; Promotional      </v>
          </cell>
          <cell r="F335">
            <v>0</v>
          </cell>
          <cell r="G335">
            <v>0</v>
          </cell>
          <cell r="H335">
            <v>0</v>
          </cell>
          <cell r="I335">
            <v>0</v>
          </cell>
          <cell r="J335">
            <v>0</v>
          </cell>
          <cell r="K335">
            <v>0</v>
          </cell>
          <cell r="L335">
            <v>0</v>
          </cell>
          <cell r="M335">
            <v>0</v>
          </cell>
          <cell r="N335">
            <v>0</v>
          </cell>
          <cell r="O335">
            <v>0</v>
          </cell>
          <cell r="P335">
            <v>0</v>
          </cell>
          <cell r="Q335">
            <v>0</v>
          </cell>
          <cell r="R335">
            <v>0</v>
          </cell>
        </row>
        <row r="336">
          <cell r="C336" t="str">
            <v>626000A</v>
          </cell>
          <cell r="D336" t="str">
            <v>3</v>
          </cell>
          <cell r="E336" t="str">
            <v xml:space="preserve">    Business Development                </v>
          </cell>
          <cell r="F336">
            <v>1</v>
          </cell>
          <cell r="G336">
            <v>0</v>
          </cell>
          <cell r="H336">
            <v>1</v>
          </cell>
          <cell r="I336">
            <v>0</v>
          </cell>
          <cell r="J336">
            <v>1</v>
          </cell>
          <cell r="K336">
            <v>0</v>
          </cell>
          <cell r="L336">
            <v>1</v>
          </cell>
          <cell r="M336">
            <v>0</v>
          </cell>
          <cell r="N336">
            <v>1</v>
          </cell>
          <cell r="O336">
            <v>1</v>
          </cell>
          <cell r="P336">
            <v>1</v>
          </cell>
          <cell r="Q336">
            <v>0</v>
          </cell>
          <cell r="R336">
            <v>7</v>
          </cell>
        </row>
        <row r="337">
          <cell r="C337" t="str">
            <v>629000A</v>
          </cell>
          <cell r="D337" t="str">
            <v>3</v>
          </cell>
          <cell r="E337" t="str">
            <v xml:space="preserve">    Charitable Contributions            </v>
          </cell>
          <cell r="F337">
            <v>0</v>
          </cell>
          <cell r="G337">
            <v>0</v>
          </cell>
          <cell r="H337">
            <v>0</v>
          </cell>
          <cell r="I337">
            <v>0</v>
          </cell>
          <cell r="J337">
            <v>0</v>
          </cell>
          <cell r="K337">
            <v>0</v>
          </cell>
          <cell r="L337">
            <v>0</v>
          </cell>
          <cell r="M337">
            <v>0</v>
          </cell>
          <cell r="N337">
            <v>0</v>
          </cell>
          <cell r="O337">
            <v>0</v>
          </cell>
          <cell r="P337">
            <v>0</v>
          </cell>
          <cell r="Q337">
            <v>0</v>
          </cell>
          <cell r="R337">
            <v>0</v>
          </cell>
        </row>
        <row r="338">
          <cell r="C338" t="str">
            <v>623000</v>
          </cell>
          <cell r="D338" t="str">
            <v>2</v>
          </cell>
          <cell r="E338" t="str">
            <v xml:space="preserve">  Marketing &amp; Promotional               </v>
          </cell>
          <cell r="F338">
            <v>1</v>
          </cell>
          <cell r="G338">
            <v>0</v>
          </cell>
          <cell r="H338">
            <v>1</v>
          </cell>
          <cell r="I338">
            <v>0</v>
          </cell>
          <cell r="J338">
            <v>1</v>
          </cell>
          <cell r="K338">
            <v>0</v>
          </cell>
          <cell r="L338">
            <v>1</v>
          </cell>
          <cell r="M338">
            <v>0</v>
          </cell>
          <cell r="N338">
            <v>1</v>
          </cell>
          <cell r="O338">
            <v>1</v>
          </cell>
          <cell r="P338">
            <v>1</v>
          </cell>
          <cell r="Q338">
            <v>0</v>
          </cell>
          <cell r="R338">
            <v>7</v>
          </cell>
        </row>
        <row r="339">
          <cell r="C339" t="str">
            <v>630200A</v>
          </cell>
          <cell r="D339" t="str">
            <v>3</v>
          </cell>
          <cell r="E339" t="str">
            <v xml:space="preserve">    Legal                               </v>
          </cell>
          <cell r="F339">
            <v>0</v>
          </cell>
          <cell r="G339">
            <v>0</v>
          </cell>
          <cell r="H339">
            <v>0</v>
          </cell>
          <cell r="I339">
            <v>0</v>
          </cell>
          <cell r="J339">
            <v>0</v>
          </cell>
          <cell r="K339">
            <v>0</v>
          </cell>
          <cell r="L339">
            <v>0</v>
          </cell>
          <cell r="M339">
            <v>0</v>
          </cell>
          <cell r="N339">
            <v>0</v>
          </cell>
          <cell r="O339">
            <v>0</v>
          </cell>
          <cell r="P339">
            <v>0</v>
          </cell>
          <cell r="Q339">
            <v>0</v>
          </cell>
          <cell r="R339">
            <v>0</v>
          </cell>
        </row>
        <row r="340">
          <cell r="C340" t="str">
            <v>634000</v>
          </cell>
          <cell r="D340" t="str">
            <v>4</v>
          </cell>
          <cell r="E340" t="str">
            <v xml:space="preserve">      Consulting Fees                   </v>
          </cell>
          <cell r="F340">
            <v>0</v>
          </cell>
          <cell r="G340">
            <v>0</v>
          </cell>
          <cell r="H340">
            <v>0</v>
          </cell>
          <cell r="I340">
            <v>0</v>
          </cell>
          <cell r="J340">
            <v>0</v>
          </cell>
          <cell r="K340">
            <v>0</v>
          </cell>
          <cell r="L340">
            <v>0</v>
          </cell>
          <cell r="M340">
            <v>0</v>
          </cell>
          <cell r="N340">
            <v>0</v>
          </cell>
          <cell r="O340">
            <v>0</v>
          </cell>
          <cell r="P340">
            <v>0</v>
          </cell>
          <cell r="Q340">
            <v>0</v>
          </cell>
          <cell r="R340">
            <v>0</v>
          </cell>
        </row>
        <row r="341">
          <cell r="C341" t="str">
            <v>630999B</v>
          </cell>
          <cell r="D341" t="str">
            <v>3</v>
          </cell>
          <cell r="E341" t="str">
            <v xml:space="preserve">    Consulting                          </v>
          </cell>
          <cell r="F341">
            <v>0</v>
          </cell>
          <cell r="G341">
            <v>0</v>
          </cell>
          <cell r="H341">
            <v>0</v>
          </cell>
          <cell r="I341">
            <v>0</v>
          </cell>
          <cell r="J341">
            <v>0</v>
          </cell>
          <cell r="K341">
            <v>0</v>
          </cell>
          <cell r="L341">
            <v>0</v>
          </cell>
          <cell r="M341">
            <v>0</v>
          </cell>
          <cell r="N341">
            <v>0</v>
          </cell>
          <cell r="O341">
            <v>0</v>
          </cell>
          <cell r="P341">
            <v>0</v>
          </cell>
          <cell r="Q341">
            <v>0</v>
          </cell>
          <cell r="R341">
            <v>0</v>
          </cell>
        </row>
        <row r="342">
          <cell r="C342" t="str">
            <v>631000</v>
          </cell>
          <cell r="D342" t="str">
            <v>4</v>
          </cell>
          <cell r="E342" t="str">
            <v xml:space="preserve">      Accounting Fees                   </v>
          </cell>
          <cell r="F342">
            <v>1</v>
          </cell>
          <cell r="G342">
            <v>0</v>
          </cell>
          <cell r="H342">
            <v>1</v>
          </cell>
          <cell r="I342">
            <v>0</v>
          </cell>
          <cell r="J342">
            <v>1</v>
          </cell>
          <cell r="K342">
            <v>0</v>
          </cell>
          <cell r="L342">
            <v>1</v>
          </cell>
          <cell r="M342">
            <v>0</v>
          </cell>
          <cell r="N342">
            <v>1</v>
          </cell>
          <cell r="O342">
            <v>0</v>
          </cell>
          <cell r="P342">
            <v>1</v>
          </cell>
          <cell r="Q342">
            <v>0</v>
          </cell>
          <cell r="R342">
            <v>6</v>
          </cell>
        </row>
        <row r="343">
          <cell r="C343" t="str">
            <v>635000</v>
          </cell>
          <cell r="D343" t="str">
            <v>4</v>
          </cell>
          <cell r="E343" t="str">
            <v xml:space="preserve">      Other Professional Fees - Other   </v>
          </cell>
          <cell r="F343">
            <v>0</v>
          </cell>
          <cell r="G343">
            <v>0</v>
          </cell>
          <cell r="H343">
            <v>0</v>
          </cell>
          <cell r="I343">
            <v>0</v>
          </cell>
          <cell r="J343">
            <v>0</v>
          </cell>
          <cell r="K343">
            <v>0</v>
          </cell>
          <cell r="L343">
            <v>0</v>
          </cell>
          <cell r="M343">
            <v>0</v>
          </cell>
          <cell r="N343">
            <v>0</v>
          </cell>
          <cell r="O343">
            <v>0</v>
          </cell>
          <cell r="P343">
            <v>0</v>
          </cell>
          <cell r="Q343">
            <v>0</v>
          </cell>
          <cell r="R343">
            <v>0</v>
          </cell>
        </row>
        <row r="344">
          <cell r="C344" t="str">
            <v>630999D</v>
          </cell>
          <cell r="D344" t="str">
            <v>3</v>
          </cell>
          <cell r="E344" t="str">
            <v xml:space="preserve">    Other Professional Fees             </v>
          </cell>
          <cell r="F344">
            <v>1</v>
          </cell>
          <cell r="G344">
            <v>0</v>
          </cell>
          <cell r="H344">
            <v>1</v>
          </cell>
          <cell r="I344">
            <v>0</v>
          </cell>
          <cell r="J344">
            <v>1</v>
          </cell>
          <cell r="K344">
            <v>0</v>
          </cell>
          <cell r="L344">
            <v>1</v>
          </cell>
          <cell r="M344">
            <v>0</v>
          </cell>
          <cell r="N344">
            <v>1</v>
          </cell>
          <cell r="O344">
            <v>0</v>
          </cell>
          <cell r="P344">
            <v>1</v>
          </cell>
          <cell r="Q344">
            <v>0</v>
          </cell>
          <cell r="R344">
            <v>6</v>
          </cell>
        </row>
        <row r="345">
          <cell r="C345" t="str">
            <v>630000</v>
          </cell>
          <cell r="D345" t="str">
            <v>2</v>
          </cell>
          <cell r="E345" t="str">
            <v xml:space="preserve">  Professional Fees                     </v>
          </cell>
          <cell r="F345">
            <v>1</v>
          </cell>
          <cell r="G345">
            <v>0</v>
          </cell>
          <cell r="H345">
            <v>1</v>
          </cell>
          <cell r="I345">
            <v>0</v>
          </cell>
          <cell r="J345">
            <v>1</v>
          </cell>
          <cell r="K345">
            <v>0</v>
          </cell>
          <cell r="L345">
            <v>1</v>
          </cell>
          <cell r="M345">
            <v>0</v>
          </cell>
          <cell r="N345">
            <v>1</v>
          </cell>
          <cell r="O345">
            <v>0</v>
          </cell>
          <cell r="P345">
            <v>1</v>
          </cell>
          <cell r="Q345">
            <v>0</v>
          </cell>
          <cell r="R345">
            <v>6</v>
          </cell>
        </row>
        <row r="346">
          <cell r="C346" t="str">
            <v>640200A</v>
          </cell>
          <cell r="D346" t="str">
            <v>4</v>
          </cell>
          <cell r="E346" t="str">
            <v xml:space="preserve">      Amortization - Goodwill &amp; Other   </v>
          </cell>
          <cell r="F346">
            <v>0</v>
          </cell>
          <cell r="G346">
            <v>0</v>
          </cell>
          <cell r="H346">
            <v>0</v>
          </cell>
          <cell r="I346">
            <v>0</v>
          </cell>
          <cell r="J346">
            <v>0</v>
          </cell>
          <cell r="K346">
            <v>0</v>
          </cell>
          <cell r="L346">
            <v>0</v>
          </cell>
          <cell r="M346">
            <v>0</v>
          </cell>
          <cell r="N346">
            <v>0</v>
          </cell>
          <cell r="O346">
            <v>0</v>
          </cell>
          <cell r="P346">
            <v>0</v>
          </cell>
          <cell r="Q346">
            <v>0</v>
          </cell>
          <cell r="R346">
            <v>0</v>
          </cell>
        </row>
        <row r="347">
          <cell r="C347" t="str">
            <v>641000A</v>
          </cell>
          <cell r="D347" t="str">
            <v>4</v>
          </cell>
          <cell r="E347" t="str">
            <v xml:space="preserve">      Amortization-C/D'S &amp; Other Intangi</v>
          </cell>
          <cell r="F347">
            <v>0</v>
          </cell>
          <cell r="G347">
            <v>0</v>
          </cell>
          <cell r="H347">
            <v>0</v>
          </cell>
          <cell r="I347">
            <v>0</v>
          </cell>
          <cell r="J347">
            <v>0</v>
          </cell>
          <cell r="K347">
            <v>0</v>
          </cell>
          <cell r="L347">
            <v>0</v>
          </cell>
          <cell r="M347">
            <v>0</v>
          </cell>
          <cell r="N347">
            <v>0</v>
          </cell>
          <cell r="O347">
            <v>0</v>
          </cell>
          <cell r="P347">
            <v>0</v>
          </cell>
          <cell r="Q347">
            <v>0</v>
          </cell>
          <cell r="R347">
            <v>0</v>
          </cell>
        </row>
        <row r="348">
          <cell r="C348" t="str">
            <v>640000A</v>
          </cell>
          <cell r="D348" t="str">
            <v>2</v>
          </cell>
          <cell r="E348" t="str">
            <v xml:space="preserve">  Amortization Of Intangibles           </v>
          </cell>
          <cell r="F348">
            <v>0</v>
          </cell>
          <cell r="G348">
            <v>0</v>
          </cell>
          <cell r="H348">
            <v>0</v>
          </cell>
          <cell r="I348">
            <v>0</v>
          </cell>
          <cell r="J348">
            <v>0</v>
          </cell>
          <cell r="K348">
            <v>0</v>
          </cell>
          <cell r="L348">
            <v>0</v>
          </cell>
          <cell r="M348">
            <v>0</v>
          </cell>
          <cell r="N348">
            <v>0</v>
          </cell>
          <cell r="O348">
            <v>0</v>
          </cell>
          <cell r="P348">
            <v>0</v>
          </cell>
          <cell r="Q348">
            <v>0</v>
          </cell>
          <cell r="R348">
            <v>0</v>
          </cell>
        </row>
        <row r="349">
          <cell r="C349" t="str">
            <v>650200</v>
          </cell>
          <cell r="D349" t="str">
            <v>2</v>
          </cell>
          <cell r="E349" t="str">
            <v xml:space="preserve">  Credit Card                           </v>
          </cell>
          <cell r="F349">
            <v>0</v>
          </cell>
          <cell r="G349">
            <v>0</v>
          </cell>
          <cell r="H349">
            <v>0</v>
          </cell>
          <cell r="I349">
            <v>0</v>
          </cell>
          <cell r="J349">
            <v>0</v>
          </cell>
          <cell r="K349">
            <v>0</v>
          </cell>
          <cell r="L349">
            <v>0</v>
          </cell>
          <cell r="M349">
            <v>0</v>
          </cell>
          <cell r="N349">
            <v>0</v>
          </cell>
          <cell r="O349">
            <v>0</v>
          </cell>
          <cell r="P349">
            <v>0</v>
          </cell>
          <cell r="Q349">
            <v>0</v>
          </cell>
          <cell r="R349">
            <v>0</v>
          </cell>
        </row>
        <row r="350">
          <cell r="C350" t="str">
            <v>651525B</v>
          </cell>
          <cell r="D350" t="str">
            <v>4</v>
          </cell>
          <cell r="E350" t="str">
            <v xml:space="preserve">      Purchased Software Amortization   </v>
          </cell>
          <cell r="F350">
            <v>0</v>
          </cell>
          <cell r="G350">
            <v>0</v>
          </cell>
          <cell r="H350">
            <v>0</v>
          </cell>
          <cell r="I350">
            <v>0</v>
          </cell>
          <cell r="J350">
            <v>0</v>
          </cell>
          <cell r="K350">
            <v>0</v>
          </cell>
          <cell r="L350">
            <v>0</v>
          </cell>
          <cell r="M350">
            <v>0</v>
          </cell>
          <cell r="N350">
            <v>0</v>
          </cell>
          <cell r="O350">
            <v>0</v>
          </cell>
          <cell r="P350">
            <v>0</v>
          </cell>
          <cell r="Q350">
            <v>0</v>
          </cell>
          <cell r="R350">
            <v>0</v>
          </cell>
        </row>
        <row r="351">
          <cell r="C351" t="str">
            <v>651535B</v>
          </cell>
          <cell r="D351" t="str">
            <v>4</v>
          </cell>
          <cell r="E351" t="str">
            <v xml:space="preserve">      Other Direct Data Processing      </v>
          </cell>
          <cell r="F351">
            <v>3</v>
          </cell>
          <cell r="G351">
            <v>3</v>
          </cell>
          <cell r="H351">
            <v>3</v>
          </cell>
          <cell r="I351">
            <v>3</v>
          </cell>
          <cell r="J351">
            <v>3</v>
          </cell>
          <cell r="K351">
            <v>3</v>
          </cell>
          <cell r="L351">
            <v>3</v>
          </cell>
          <cell r="M351">
            <v>3</v>
          </cell>
          <cell r="N351">
            <v>3</v>
          </cell>
          <cell r="O351">
            <v>3</v>
          </cell>
          <cell r="P351">
            <v>3</v>
          </cell>
          <cell r="Q351">
            <v>3</v>
          </cell>
          <cell r="R351">
            <v>36</v>
          </cell>
        </row>
        <row r="352">
          <cell r="C352" t="str">
            <v>651525A</v>
          </cell>
          <cell r="D352" t="str">
            <v>3</v>
          </cell>
          <cell r="E352" t="str">
            <v xml:space="preserve">    Direct Data Processing              </v>
          </cell>
          <cell r="F352">
            <v>3</v>
          </cell>
          <cell r="G352">
            <v>3</v>
          </cell>
          <cell r="H352">
            <v>3</v>
          </cell>
          <cell r="I352">
            <v>3</v>
          </cell>
          <cell r="J352">
            <v>3</v>
          </cell>
          <cell r="K352">
            <v>3</v>
          </cell>
          <cell r="L352">
            <v>3</v>
          </cell>
          <cell r="M352">
            <v>3</v>
          </cell>
          <cell r="N352">
            <v>3</v>
          </cell>
          <cell r="O352">
            <v>3</v>
          </cell>
          <cell r="P352">
            <v>3</v>
          </cell>
          <cell r="Q352">
            <v>3</v>
          </cell>
          <cell r="R352">
            <v>36</v>
          </cell>
        </row>
        <row r="353">
          <cell r="C353" t="str">
            <v>652000A</v>
          </cell>
          <cell r="D353" t="str">
            <v>3</v>
          </cell>
          <cell r="E353" t="str">
            <v xml:space="preserve">    Item Processsing &amp; Check Clearing   </v>
          </cell>
          <cell r="F353">
            <v>0</v>
          </cell>
          <cell r="G353">
            <v>0</v>
          </cell>
          <cell r="H353">
            <v>0</v>
          </cell>
          <cell r="I353">
            <v>0</v>
          </cell>
          <cell r="J353">
            <v>0</v>
          </cell>
          <cell r="K353">
            <v>0</v>
          </cell>
          <cell r="L353">
            <v>0</v>
          </cell>
          <cell r="M353">
            <v>0</v>
          </cell>
          <cell r="N353">
            <v>0</v>
          </cell>
          <cell r="O353">
            <v>0</v>
          </cell>
          <cell r="P353">
            <v>0</v>
          </cell>
          <cell r="Q353">
            <v>0</v>
          </cell>
          <cell r="R353">
            <v>0</v>
          </cell>
        </row>
        <row r="354">
          <cell r="C354" t="str">
            <v>653100A</v>
          </cell>
          <cell r="D354" t="str">
            <v>3</v>
          </cell>
          <cell r="E354" t="str">
            <v xml:space="preserve">    Mortgage Production Expense         </v>
          </cell>
          <cell r="F354">
            <v>0</v>
          </cell>
          <cell r="G354">
            <v>0</v>
          </cell>
          <cell r="H354">
            <v>0</v>
          </cell>
          <cell r="I354">
            <v>0</v>
          </cell>
          <cell r="J354">
            <v>0</v>
          </cell>
          <cell r="K354">
            <v>0</v>
          </cell>
          <cell r="L354">
            <v>0</v>
          </cell>
          <cell r="M354">
            <v>0</v>
          </cell>
          <cell r="N354">
            <v>0</v>
          </cell>
          <cell r="O354">
            <v>0</v>
          </cell>
          <cell r="P354">
            <v>0</v>
          </cell>
          <cell r="Q354">
            <v>0</v>
          </cell>
          <cell r="R354">
            <v>0</v>
          </cell>
        </row>
        <row r="355">
          <cell r="C355" t="str">
            <v>651500A</v>
          </cell>
          <cell r="D355" t="str">
            <v>2</v>
          </cell>
          <cell r="E355" t="str">
            <v xml:space="preserve">  Direct Processing Expense             </v>
          </cell>
          <cell r="F355">
            <v>3</v>
          </cell>
          <cell r="G355">
            <v>3</v>
          </cell>
          <cell r="H355">
            <v>3</v>
          </cell>
          <cell r="I355">
            <v>3</v>
          </cell>
          <cell r="J355">
            <v>3</v>
          </cell>
          <cell r="K355">
            <v>3</v>
          </cell>
          <cell r="L355">
            <v>3</v>
          </cell>
          <cell r="M355">
            <v>3</v>
          </cell>
          <cell r="N355">
            <v>3</v>
          </cell>
          <cell r="O355">
            <v>3</v>
          </cell>
          <cell r="P355">
            <v>3</v>
          </cell>
          <cell r="Q355">
            <v>3</v>
          </cell>
          <cell r="R355">
            <v>36</v>
          </cell>
        </row>
        <row r="356">
          <cell r="C356" t="str">
            <v>653499C</v>
          </cell>
          <cell r="D356" t="str">
            <v>4</v>
          </cell>
          <cell r="E356" t="str">
            <v xml:space="preserve">      Base Support                      </v>
          </cell>
          <cell r="F356">
            <v>0</v>
          </cell>
          <cell r="G356">
            <v>0</v>
          </cell>
          <cell r="H356">
            <v>0</v>
          </cell>
          <cell r="I356">
            <v>0</v>
          </cell>
          <cell r="J356">
            <v>0</v>
          </cell>
          <cell r="K356">
            <v>0</v>
          </cell>
          <cell r="L356">
            <v>0</v>
          </cell>
          <cell r="M356">
            <v>0</v>
          </cell>
          <cell r="N356">
            <v>0</v>
          </cell>
          <cell r="O356">
            <v>0</v>
          </cell>
          <cell r="P356">
            <v>0</v>
          </cell>
          <cell r="Q356">
            <v>0</v>
          </cell>
          <cell r="R356">
            <v>0</v>
          </cell>
        </row>
        <row r="357">
          <cell r="C357" t="str">
            <v>653499D</v>
          </cell>
          <cell r="D357" t="str">
            <v>4</v>
          </cell>
          <cell r="E357" t="str">
            <v xml:space="preserve">      Project Programming               </v>
          </cell>
          <cell r="F357">
            <v>0</v>
          </cell>
          <cell r="G357">
            <v>0</v>
          </cell>
          <cell r="H357">
            <v>0</v>
          </cell>
          <cell r="I357">
            <v>0</v>
          </cell>
          <cell r="J357">
            <v>0</v>
          </cell>
          <cell r="K357">
            <v>0</v>
          </cell>
          <cell r="L357">
            <v>0</v>
          </cell>
          <cell r="M357">
            <v>0</v>
          </cell>
          <cell r="N357">
            <v>0</v>
          </cell>
          <cell r="O357">
            <v>0</v>
          </cell>
          <cell r="P357">
            <v>0</v>
          </cell>
          <cell r="Q357">
            <v>0</v>
          </cell>
          <cell r="R357">
            <v>0</v>
          </cell>
        </row>
        <row r="358">
          <cell r="C358" t="str">
            <v>653499E</v>
          </cell>
          <cell r="D358" t="str">
            <v>4</v>
          </cell>
          <cell r="E358" t="str">
            <v xml:space="preserve">      Software Amortization/Maintenance </v>
          </cell>
          <cell r="F358">
            <v>0</v>
          </cell>
          <cell r="G358">
            <v>0</v>
          </cell>
          <cell r="H358">
            <v>0</v>
          </cell>
          <cell r="I358">
            <v>0</v>
          </cell>
          <cell r="J358">
            <v>0</v>
          </cell>
          <cell r="K358">
            <v>0</v>
          </cell>
          <cell r="L358">
            <v>0</v>
          </cell>
          <cell r="M358">
            <v>0</v>
          </cell>
          <cell r="N358">
            <v>0</v>
          </cell>
          <cell r="O358">
            <v>0</v>
          </cell>
          <cell r="P358">
            <v>0</v>
          </cell>
          <cell r="Q358">
            <v>0</v>
          </cell>
          <cell r="R358">
            <v>0</v>
          </cell>
        </row>
        <row r="359">
          <cell r="C359" t="str">
            <v>653499B</v>
          </cell>
          <cell r="D359" t="str">
            <v>3</v>
          </cell>
          <cell r="E359" t="str">
            <v xml:space="preserve">    Programming Services Chargeouts     </v>
          </cell>
          <cell r="F359">
            <v>0</v>
          </cell>
          <cell r="G359">
            <v>0</v>
          </cell>
          <cell r="H359">
            <v>0</v>
          </cell>
          <cell r="I359">
            <v>0</v>
          </cell>
          <cell r="J359">
            <v>0</v>
          </cell>
          <cell r="K359">
            <v>0</v>
          </cell>
          <cell r="L359">
            <v>0</v>
          </cell>
          <cell r="M359">
            <v>0</v>
          </cell>
          <cell r="N359">
            <v>0</v>
          </cell>
          <cell r="O359">
            <v>0</v>
          </cell>
          <cell r="P359">
            <v>0</v>
          </cell>
          <cell r="Q359">
            <v>0</v>
          </cell>
          <cell r="R359">
            <v>0</v>
          </cell>
        </row>
        <row r="360">
          <cell r="C360" t="str">
            <v>653499K</v>
          </cell>
          <cell r="D360" t="str">
            <v>4</v>
          </cell>
          <cell r="E360" t="str">
            <v xml:space="preserve">      Base Support Recoveries           </v>
          </cell>
          <cell r="F360">
            <v>0</v>
          </cell>
          <cell r="G360">
            <v>0</v>
          </cell>
          <cell r="H360">
            <v>0</v>
          </cell>
          <cell r="I360">
            <v>0</v>
          </cell>
          <cell r="J360">
            <v>0</v>
          </cell>
          <cell r="K360">
            <v>0</v>
          </cell>
          <cell r="L360">
            <v>0</v>
          </cell>
          <cell r="M360">
            <v>0</v>
          </cell>
          <cell r="N360">
            <v>0</v>
          </cell>
          <cell r="O360">
            <v>0</v>
          </cell>
          <cell r="P360">
            <v>0</v>
          </cell>
          <cell r="Q360">
            <v>0</v>
          </cell>
          <cell r="R360">
            <v>0</v>
          </cell>
        </row>
        <row r="361">
          <cell r="C361" t="str">
            <v>653499M</v>
          </cell>
          <cell r="D361" t="str">
            <v>4</v>
          </cell>
          <cell r="E361" t="str">
            <v xml:space="preserve">      Project Programming Recoveries    </v>
          </cell>
          <cell r="F361">
            <v>0</v>
          </cell>
          <cell r="G361">
            <v>0</v>
          </cell>
          <cell r="H361">
            <v>0</v>
          </cell>
          <cell r="I361">
            <v>0</v>
          </cell>
          <cell r="J361">
            <v>0</v>
          </cell>
          <cell r="K361">
            <v>0</v>
          </cell>
          <cell r="L361">
            <v>0</v>
          </cell>
          <cell r="M361">
            <v>0</v>
          </cell>
          <cell r="N361">
            <v>0</v>
          </cell>
          <cell r="O361">
            <v>0</v>
          </cell>
          <cell r="P361">
            <v>0</v>
          </cell>
          <cell r="Q361">
            <v>0</v>
          </cell>
          <cell r="R361">
            <v>0</v>
          </cell>
        </row>
        <row r="362">
          <cell r="C362" t="str">
            <v>653499N</v>
          </cell>
          <cell r="D362" t="str">
            <v>4</v>
          </cell>
          <cell r="E362" t="str">
            <v xml:space="preserve">      Software Amort/Maint Rec          </v>
          </cell>
          <cell r="F362">
            <v>0</v>
          </cell>
          <cell r="G362">
            <v>0</v>
          </cell>
          <cell r="H362">
            <v>0</v>
          </cell>
          <cell r="I362">
            <v>0</v>
          </cell>
          <cell r="J362">
            <v>0</v>
          </cell>
          <cell r="K362">
            <v>0</v>
          </cell>
          <cell r="L362">
            <v>0</v>
          </cell>
          <cell r="M362">
            <v>0</v>
          </cell>
          <cell r="N362">
            <v>0</v>
          </cell>
          <cell r="O362">
            <v>0</v>
          </cell>
          <cell r="P362">
            <v>0</v>
          </cell>
          <cell r="Q362">
            <v>0</v>
          </cell>
          <cell r="R362">
            <v>0</v>
          </cell>
        </row>
        <row r="363">
          <cell r="C363" t="str">
            <v>653499J</v>
          </cell>
          <cell r="D363" t="str">
            <v>3</v>
          </cell>
          <cell r="E363" t="str">
            <v xml:space="preserve">    Programming Services Recoveries     </v>
          </cell>
          <cell r="F363">
            <v>0</v>
          </cell>
          <cell r="G363">
            <v>0</v>
          </cell>
          <cell r="H363">
            <v>0</v>
          </cell>
          <cell r="I363">
            <v>0</v>
          </cell>
          <cell r="J363">
            <v>0</v>
          </cell>
          <cell r="K363">
            <v>0</v>
          </cell>
          <cell r="L363">
            <v>0</v>
          </cell>
          <cell r="M363">
            <v>0</v>
          </cell>
          <cell r="N363">
            <v>0</v>
          </cell>
          <cell r="O363">
            <v>0</v>
          </cell>
          <cell r="P363">
            <v>0</v>
          </cell>
          <cell r="Q363">
            <v>0</v>
          </cell>
          <cell r="R363">
            <v>0</v>
          </cell>
        </row>
        <row r="364">
          <cell r="C364" t="str">
            <v>653499A</v>
          </cell>
          <cell r="D364" t="str">
            <v>2</v>
          </cell>
          <cell r="E364" t="str">
            <v xml:space="preserve">  Programming Svc C/O'S &amp; Rec I/C       </v>
          </cell>
          <cell r="F364">
            <v>0</v>
          </cell>
          <cell r="G364">
            <v>0</v>
          </cell>
          <cell r="H364">
            <v>0</v>
          </cell>
          <cell r="I364">
            <v>0</v>
          </cell>
          <cell r="J364">
            <v>0</v>
          </cell>
          <cell r="K364">
            <v>0</v>
          </cell>
          <cell r="L364">
            <v>0</v>
          </cell>
          <cell r="M364">
            <v>0</v>
          </cell>
          <cell r="N364">
            <v>0</v>
          </cell>
          <cell r="O364">
            <v>0</v>
          </cell>
          <cell r="P364">
            <v>0</v>
          </cell>
          <cell r="Q364">
            <v>0</v>
          </cell>
          <cell r="R364">
            <v>0</v>
          </cell>
        </row>
        <row r="365">
          <cell r="C365" t="str">
            <v>653499Q</v>
          </cell>
          <cell r="D365" t="str">
            <v>3</v>
          </cell>
          <cell r="E365" t="str">
            <v xml:space="preserve">    Project Svc Chargeouts              </v>
          </cell>
          <cell r="F365">
            <v>0</v>
          </cell>
          <cell r="G365">
            <v>0</v>
          </cell>
          <cell r="H365">
            <v>0</v>
          </cell>
          <cell r="I365">
            <v>0</v>
          </cell>
          <cell r="J365">
            <v>0</v>
          </cell>
          <cell r="K365">
            <v>0</v>
          </cell>
          <cell r="L365">
            <v>0</v>
          </cell>
          <cell r="M365">
            <v>0</v>
          </cell>
          <cell r="N365">
            <v>0</v>
          </cell>
          <cell r="O365">
            <v>0</v>
          </cell>
          <cell r="P365">
            <v>0</v>
          </cell>
          <cell r="Q365">
            <v>0</v>
          </cell>
          <cell r="R365">
            <v>0</v>
          </cell>
        </row>
        <row r="366">
          <cell r="C366" t="str">
            <v>653499R</v>
          </cell>
          <cell r="D366" t="str">
            <v>3</v>
          </cell>
          <cell r="E366" t="str">
            <v xml:space="preserve">    Project Services Recoveries         </v>
          </cell>
          <cell r="F366">
            <v>0</v>
          </cell>
          <cell r="G366">
            <v>0</v>
          </cell>
          <cell r="H366">
            <v>0</v>
          </cell>
          <cell r="I366">
            <v>0</v>
          </cell>
          <cell r="J366">
            <v>0</v>
          </cell>
          <cell r="K366">
            <v>0</v>
          </cell>
          <cell r="L366">
            <v>0</v>
          </cell>
          <cell r="M366">
            <v>0</v>
          </cell>
          <cell r="N366">
            <v>0</v>
          </cell>
          <cell r="O366">
            <v>0</v>
          </cell>
          <cell r="P366">
            <v>0</v>
          </cell>
          <cell r="Q366">
            <v>0</v>
          </cell>
          <cell r="R366">
            <v>0</v>
          </cell>
        </row>
        <row r="367">
          <cell r="C367" t="str">
            <v>653499P</v>
          </cell>
          <cell r="D367" t="str">
            <v>2</v>
          </cell>
          <cell r="E367" t="str">
            <v xml:space="preserve">  Project Svc C/O'S &amp; Recov I/C         </v>
          </cell>
          <cell r="F367">
            <v>0</v>
          </cell>
          <cell r="G367">
            <v>0</v>
          </cell>
          <cell r="H367">
            <v>0</v>
          </cell>
          <cell r="I367">
            <v>0</v>
          </cell>
          <cell r="J367">
            <v>0</v>
          </cell>
          <cell r="K367">
            <v>0</v>
          </cell>
          <cell r="L367">
            <v>0</v>
          </cell>
          <cell r="M367">
            <v>0</v>
          </cell>
          <cell r="N367">
            <v>0</v>
          </cell>
          <cell r="O367">
            <v>0</v>
          </cell>
          <cell r="P367">
            <v>0</v>
          </cell>
          <cell r="Q367">
            <v>0</v>
          </cell>
          <cell r="R367">
            <v>0</v>
          </cell>
        </row>
        <row r="368">
          <cell r="C368" t="str">
            <v>660099B</v>
          </cell>
          <cell r="D368" t="str">
            <v>4</v>
          </cell>
          <cell r="E368" t="str">
            <v xml:space="preserve">      Outbound Long Distance            </v>
          </cell>
          <cell r="F368">
            <v>0</v>
          </cell>
          <cell r="G368">
            <v>0</v>
          </cell>
          <cell r="H368">
            <v>0</v>
          </cell>
          <cell r="I368">
            <v>0</v>
          </cell>
          <cell r="J368">
            <v>0</v>
          </cell>
          <cell r="K368">
            <v>0</v>
          </cell>
          <cell r="L368">
            <v>0</v>
          </cell>
          <cell r="M368">
            <v>0</v>
          </cell>
          <cell r="N368">
            <v>0</v>
          </cell>
          <cell r="O368">
            <v>0</v>
          </cell>
          <cell r="P368">
            <v>0</v>
          </cell>
          <cell r="Q368">
            <v>0</v>
          </cell>
          <cell r="R368">
            <v>0</v>
          </cell>
        </row>
        <row r="369">
          <cell r="C369" t="str">
            <v>660119B</v>
          </cell>
          <cell r="D369" t="str">
            <v>4</v>
          </cell>
          <cell r="E369" t="str">
            <v xml:space="preserve">      Inbound Long Distance             </v>
          </cell>
          <cell r="F369">
            <v>0</v>
          </cell>
          <cell r="G369">
            <v>0</v>
          </cell>
          <cell r="H369">
            <v>0</v>
          </cell>
          <cell r="I369">
            <v>0</v>
          </cell>
          <cell r="J369">
            <v>0</v>
          </cell>
          <cell r="K369">
            <v>0</v>
          </cell>
          <cell r="L369">
            <v>0</v>
          </cell>
          <cell r="M369">
            <v>0</v>
          </cell>
          <cell r="N369">
            <v>0</v>
          </cell>
          <cell r="O369">
            <v>0</v>
          </cell>
          <cell r="P369">
            <v>0</v>
          </cell>
          <cell r="Q369">
            <v>0</v>
          </cell>
          <cell r="R369">
            <v>0</v>
          </cell>
        </row>
        <row r="370">
          <cell r="C370" t="str">
            <v>660199B</v>
          </cell>
          <cell r="D370" t="str">
            <v>4</v>
          </cell>
          <cell r="E370" t="str">
            <v xml:space="preserve">      Local Service                     </v>
          </cell>
          <cell r="F370">
            <v>0</v>
          </cell>
          <cell r="G370">
            <v>0</v>
          </cell>
          <cell r="H370">
            <v>0</v>
          </cell>
          <cell r="I370">
            <v>0</v>
          </cell>
          <cell r="J370">
            <v>0</v>
          </cell>
          <cell r="K370">
            <v>0</v>
          </cell>
          <cell r="L370">
            <v>0</v>
          </cell>
          <cell r="M370">
            <v>0</v>
          </cell>
          <cell r="N370">
            <v>0</v>
          </cell>
          <cell r="O370">
            <v>0</v>
          </cell>
          <cell r="P370">
            <v>0</v>
          </cell>
          <cell r="Q370">
            <v>0</v>
          </cell>
          <cell r="R370">
            <v>0</v>
          </cell>
        </row>
        <row r="371">
          <cell r="C371" t="str">
            <v>660249B</v>
          </cell>
          <cell r="D371" t="str">
            <v>4</v>
          </cell>
          <cell r="E371" t="str">
            <v xml:space="preserve">      Moves, Changes And Repairs        </v>
          </cell>
          <cell r="F371">
            <v>0</v>
          </cell>
          <cell r="G371">
            <v>0</v>
          </cell>
          <cell r="H371">
            <v>0</v>
          </cell>
          <cell r="I371">
            <v>0</v>
          </cell>
          <cell r="J371">
            <v>0</v>
          </cell>
          <cell r="K371">
            <v>0</v>
          </cell>
          <cell r="L371">
            <v>0</v>
          </cell>
          <cell r="M371">
            <v>0</v>
          </cell>
          <cell r="N371">
            <v>0</v>
          </cell>
          <cell r="O371">
            <v>0</v>
          </cell>
          <cell r="P371">
            <v>0</v>
          </cell>
          <cell r="Q371">
            <v>0</v>
          </cell>
          <cell r="R371">
            <v>0</v>
          </cell>
        </row>
        <row r="372">
          <cell r="C372" t="str">
            <v>660249E</v>
          </cell>
          <cell r="D372" t="str">
            <v>4</v>
          </cell>
          <cell r="E372" t="str">
            <v xml:space="preserve">      Other Direct Telecomm Charges     </v>
          </cell>
          <cell r="F372">
            <v>-39</v>
          </cell>
          <cell r="G372">
            <v>-38</v>
          </cell>
          <cell r="H372">
            <v>-37</v>
          </cell>
          <cell r="I372">
            <v>-35</v>
          </cell>
          <cell r="J372">
            <v>-33</v>
          </cell>
          <cell r="K372">
            <v>-33</v>
          </cell>
          <cell r="L372">
            <v>-33</v>
          </cell>
          <cell r="M372">
            <v>-33</v>
          </cell>
          <cell r="N372">
            <v>-33</v>
          </cell>
          <cell r="O372">
            <v>-33</v>
          </cell>
          <cell r="P372">
            <v>-33</v>
          </cell>
          <cell r="Q372">
            <v>-33</v>
          </cell>
          <cell r="R372">
            <v>-413</v>
          </cell>
        </row>
        <row r="373">
          <cell r="C373" t="str">
            <v>660025A</v>
          </cell>
          <cell r="D373" t="str">
            <v>3</v>
          </cell>
          <cell r="E373" t="str">
            <v xml:space="preserve">    Telecommunications                  </v>
          </cell>
          <cell r="F373">
            <v>-39</v>
          </cell>
          <cell r="G373">
            <v>-38</v>
          </cell>
          <cell r="H373">
            <v>-37</v>
          </cell>
          <cell r="I373">
            <v>-35</v>
          </cell>
          <cell r="J373">
            <v>-33</v>
          </cell>
          <cell r="K373">
            <v>-33</v>
          </cell>
          <cell r="L373">
            <v>-33</v>
          </cell>
          <cell r="M373">
            <v>-33</v>
          </cell>
          <cell r="N373">
            <v>-33</v>
          </cell>
          <cell r="O373">
            <v>-33</v>
          </cell>
          <cell r="P373">
            <v>-33</v>
          </cell>
          <cell r="Q373">
            <v>-33</v>
          </cell>
          <cell r="R373">
            <v>-413</v>
          </cell>
        </row>
        <row r="374">
          <cell r="C374" t="str">
            <v>660707A</v>
          </cell>
          <cell r="D374" t="str">
            <v>4</v>
          </cell>
          <cell r="E374" t="str">
            <v xml:space="preserve">      Telecomm Chargeouts I/C           </v>
          </cell>
          <cell r="F374">
            <v>57</v>
          </cell>
          <cell r="G374">
            <v>57</v>
          </cell>
          <cell r="H374">
            <v>57</v>
          </cell>
          <cell r="I374">
            <v>57</v>
          </cell>
          <cell r="J374">
            <v>57</v>
          </cell>
          <cell r="K374">
            <v>57</v>
          </cell>
          <cell r="L374">
            <v>57</v>
          </cell>
          <cell r="M374">
            <v>57</v>
          </cell>
          <cell r="N374">
            <v>57</v>
          </cell>
          <cell r="O374">
            <v>57</v>
          </cell>
          <cell r="P374">
            <v>57</v>
          </cell>
          <cell r="Q374">
            <v>57</v>
          </cell>
          <cell r="R374">
            <v>684</v>
          </cell>
        </row>
        <row r="375">
          <cell r="C375" t="str">
            <v>660807A</v>
          </cell>
          <cell r="D375" t="str">
            <v>4</v>
          </cell>
          <cell r="E375" t="str">
            <v xml:space="preserve">      Telecomm Recoveries               </v>
          </cell>
          <cell r="F375">
            <v>0</v>
          </cell>
          <cell r="G375">
            <v>0</v>
          </cell>
          <cell r="H375">
            <v>0</v>
          </cell>
          <cell r="I375">
            <v>0</v>
          </cell>
          <cell r="J375">
            <v>0</v>
          </cell>
          <cell r="K375">
            <v>0</v>
          </cell>
          <cell r="L375">
            <v>0</v>
          </cell>
          <cell r="M375">
            <v>0</v>
          </cell>
          <cell r="N375">
            <v>0</v>
          </cell>
          <cell r="O375">
            <v>0</v>
          </cell>
          <cell r="P375">
            <v>0</v>
          </cell>
          <cell r="Q375">
            <v>0</v>
          </cell>
          <cell r="R375">
            <v>0</v>
          </cell>
        </row>
        <row r="376">
          <cell r="C376" t="str">
            <v>660705A</v>
          </cell>
          <cell r="D376" t="str">
            <v>3</v>
          </cell>
          <cell r="E376" t="str">
            <v xml:space="preserve">    Telecomm C/O'S &amp; Recov I/C          </v>
          </cell>
          <cell r="F376">
            <v>57</v>
          </cell>
          <cell r="G376">
            <v>57</v>
          </cell>
          <cell r="H376">
            <v>57</v>
          </cell>
          <cell r="I376">
            <v>57</v>
          </cell>
          <cell r="J376">
            <v>57</v>
          </cell>
          <cell r="K376">
            <v>57</v>
          </cell>
          <cell r="L376">
            <v>57</v>
          </cell>
          <cell r="M376">
            <v>57</v>
          </cell>
          <cell r="N376">
            <v>57</v>
          </cell>
          <cell r="O376">
            <v>57</v>
          </cell>
          <cell r="P376">
            <v>57</v>
          </cell>
          <cell r="Q376">
            <v>57</v>
          </cell>
          <cell r="R376">
            <v>684</v>
          </cell>
        </row>
        <row r="377">
          <cell r="C377" t="str">
            <v>660000A</v>
          </cell>
          <cell r="D377" t="str">
            <v>2</v>
          </cell>
          <cell r="E377" t="str">
            <v xml:space="preserve">  Telecommunications                    </v>
          </cell>
          <cell r="F377">
            <v>18</v>
          </cell>
          <cell r="G377">
            <v>19</v>
          </cell>
          <cell r="H377">
            <v>20</v>
          </cell>
          <cell r="I377">
            <v>22</v>
          </cell>
          <cell r="J377">
            <v>24</v>
          </cell>
          <cell r="K377">
            <v>24</v>
          </cell>
          <cell r="L377">
            <v>24</v>
          </cell>
          <cell r="M377">
            <v>24</v>
          </cell>
          <cell r="N377">
            <v>24</v>
          </cell>
          <cell r="O377">
            <v>24</v>
          </cell>
          <cell r="P377">
            <v>24</v>
          </cell>
          <cell r="Q377">
            <v>24</v>
          </cell>
          <cell r="R377">
            <v>271</v>
          </cell>
        </row>
        <row r="378">
          <cell r="C378" t="str">
            <v>663000A</v>
          </cell>
          <cell r="D378" t="str">
            <v>2</v>
          </cell>
          <cell r="E378" t="str">
            <v xml:space="preserve">  Supplies                              </v>
          </cell>
          <cell r="F378">
            <v>5</v>
          </cell>
          <cell r="G378">
            <v>5</v>
          </cell>
          <cell r="H378">
            <v>4</v>
          </cell>
          <cell r="I378">
            <v>6</v>
          </cell>
          <cell r="J378">
            <v>6</v>
          </cell>
          <cell r="K378">
            <v>5</v>
          </cell>
          <cell r="L378">
            <v>7</v>
          </cell>
          <cell r="M378">
            <v>7</v>
          </cell>
          <cell r="N378">
            <v>6</v>
          </cell>
          <cell r="O378">
            <v>8</v>
          </cell>
          <cell r="P378">
            <v>8</v>
          </cell>
          <cell r="Q378">
            <v>6</v>
          </cell>
          <cell r="R378">
            <v>73</v>
          </cell>
        </row>
        <row r="379">
          <cell r="C379" t="str">
            <v>664525B</v>
          </cell>
          <cell r="D379" t="str">
            <v>3</v>
          </cell>
          <cell r="E379" t="str">
            <v xml:space="preserve">    Postage                             </v>
          </cell>
          <cell r="F379">
            <v>0</v>
          </cell>
          <cell r="G379">
            <v>0</v>
          </cell>
          <cell r="H379">
            <v>0</v>
          </cell>
          <cell r="I379">
            <v>0</v>
          </cell>
          <cell r="J379">
            <v>0</v>
          </cell>
          <cell r="K379">
            <v>0</v>
          </cell>
          <cell r="L379">
            <v>0</v>
          </cell>
          <cell r="M379">
            <v>0</v>
          </cell>
          <cell r="N379">
            <v>0</v>
          </cell>
          <cell r="O379">
            <v>0</v>
          </cell>
          <cell r="P379">
            <v>0</v>
          </cell>
          <cell r="Q379">
            <v>0</v>
          </cell>
          <cell r="R379">
            <v>0</v>
          </cell>
        </row>
        <row r="380">
          <cell r="C380" t="str">
            <v>664775C</v>
          </cell>
          <cell r="D380" t="str">
            <v>4</v>
          </cell>
          <cell r="E380" t="str">
            <v xml:space="preserve">      Postage Chargeouts I/C            </v>
          </cell>
          <cell r="F380">
            <v>0</v>
          </cell>
          <cell r="G380">
            <v>0</v>
          </cell>
          <cell r="H380">
            <v>0</v>
          </cell>
          <cell r="I380">
            <v>0</v>
          </cell>
          <cell r="J380">
            <v>0</v>
          </cell>
          <cell r="K380">
            <v>0</v>
          </cell>
          <cell r="L380">
            <v>0</v>
          </cell>
          <cell r="M380">
            <v>0</v>
          </cell>
          <cell r="N380">
            <v>0</v>
          </cell>
          <cell r="O380">
            <v>0</v>
          </cell>
          <cell r="P380">
            <v>0</v>
          </cell>
          <cell r="Q380">
            <v>0</v>
          </cell>
          <cell r="R380">
            <v>0</v>
          </cell>
        </row>
        <row r="381">
          <cell r="C381" t="str">
            <v>664780B</v>
          </cell>
          <cell r="D381" t="str">
            <v>4</v>
          </cell>
          <cell r="E381" t="str">
            <v xml:space="preserve">      Postage Recoveries I/C            </v>
          </cell>
          <cell r="F381">
            <v>0</v>
          </cell>
          <cell r="G381">
            <v>0</v>
          </cell>
          <cell r="H381">
            <v>0</v>
          </cell>
          <cell r="I381">
            <v>0</v>
          </cell>
          <cell r="J381">
            <v>0</v>
          </cell>
          <cell r="K381">
            <v>0</v>
          </cell>
          <cell r="L381">
            <v>0</v>
          </cell>
          <cell r="M381">
            <v>0</v>
          </cell>
          <cell r="N381">
            <v>0</v>
          </cell>
          <cell r="O381">
            <v>0</v>
          </cell>
          <cell r="P381">
            <v>0</v>
          </cell>
          <cell r="Q381">
            <v>0</v>
          </cell>
          <cell r="R381">
            <v>0</v>
          </cell>
        </row>
        <row r="382">
          <cell r="C382" t="str">
            <v>664775B</v>
          </cell>
          <cell r="D382" t="str">
            <v>3</v>
          </cell>
          <cell r="E382" t="str">
            <v xml:space="preserve">    Postage C/O'S &amp; Recov I/C           </v>
          </cell>
          <cell r="F382">
            <v>0</v>
          </cell>
          <cell r="G382">
            <v>0</v>
          </cell>
          <cell r="H382">
            <v>0</v>
          </cell>
          <cell r="I382">
            <v>0</v>
          </cell>
          <cell r="J382">
            <v>0</v>
          </cell>
          <cell r="K382">
            <v>0</v>
          </cell>
          <cell r="L382">
            <v>0</v>
          </cell>
          <cell r="M382">
            <v>0</v>
          </cell>
          <cell r="N382">
            <v>0</v>
          </cell>
          <cell r="O382">
            <v>0</v>
          </cell>
          <cell r="P382">
            <v>0</v>
          </cell>
          <cell r="Q382">
            <v>0</v>
          </cell>
          <cell r="R382">
            <v>0</v>
          </cell>
        </row>
        <row r="383">
          <cell r="C383" t="str">
            <v>664500B</v>
          </cell>
          <cell r="D383" t="str">
            <v>2</v>
          </cell>
          <cell r="E383" t="str">
            <v xml:space="preserve">  Postage                               </v>
          </cell>
          <cell r="F383">
            <v>0</v>
          </cell>
          <cell r="G383">
            <v>0</v>
          </cell>
          <cell r="H383">
            <v>0</v>
          </cell>
          <cell r="I383">
            <v>0</v>
          </cell>
          <cell r="J383">
            <v>0</v>
          </cell>
          <cell r="K383">
            <v>0</v>
          </cell>
          <cell r="L383">
            <v>0</v>
          </cell>
          <cell r="M383">
            <v>0</v>
          </cell>
          <cell r="N383">
            <v>0</v>
          </cell>
          <cell r="O383">
            <v>0</v>
          </cell>
          <cell r="P383">
            <v>0</v>
          </cell>
          <cell r="Q383">
            <v>0</v>
          </cell>
          <cell r="R383">
            <v>0</v>
          </cell>
        </row>
        <row r="384">
          <cell r="C384" t="str">
            <v>665000A</v>
          </cell>
          <cell r="D384" t="str">
            <v>2</v>
          </cell>
          <cell r="E384" t="str">
            <v xml:space="preserve">  Fdic Assessment                       </v>
          </cell>
          <cell r="F384">
            <v>0</v>
          </cell>
          <cell r="G384">
            <v>0</v>
          </cell>
          <cell r="H384">
            <v>0</v>
          </cell>
          <cell r="I384">
            <v>0</v>
          </cell>
          <cell r="J384">
            <v>0</v>
          </cell>
          <cell r="K384">
            <v>0</v>
          </cell>
          <cell r="L384">
            <v>0</v>
          </cell>
          <cell r="M384">
            <v>0</v>
          </cell>
          <cell r="N384">
            <v>0</v>
          </cell>
          <cell r="O384">
            <v>0</v>
          </cell>
          <cell r="P384">
            <v>0</v>
          </cell>
          <cell r="Q384">
            <v>0</v>
          </cell>
          <cell r="R384">
            <v>0</v>
          </cell>
        </row>
        <row r="385">
          <cell r="C385" t="str">
            <v>665499B</v>
          </cell>
          <cell r="D385" t="str">
            <v>3</v>
          </cell>
          <cell r="E385" t="str">
            <v xml:space="preserve">    Loan &amp; Collection                   </v>
          </cell>
          <cell r="F385">
            <v>0</v>
          </cell>
          <cell r="G385">
            <v>0</v>
          </cell>
          <cell r="H385">
            <v>0</v>
          </cell>
          <cell r="I385">
            <v>0</v>
          </cell>
          <cell r="J385">
            <v>0</v>
          </cell>
          <cell r="K385">
            <v>0</v>
          </cell>
          <cell r="L385">
            <v>0</v>
          </cell>
          <cell r="M385">
            <v>0</v>
          </cell>
          <cell r="N385">
            <v>0</v>
          </cell>
          <cell r="O385">
            <v>0</v>
          </cell>
          <cell r="P385">
            <v>0</v>
          </cell>
          <cell r="Q385">
            <v>0</v>
          </cell>
          <cell r="R385">
            <v>0</v>
          </cell>
        </row>
        <row r="386">
          <cell r="C386" t="str">
            <v>665499F</v>
          </cell>
          <cell r="D386" t="str">
            <v>4</v>
          </cell>
          <cell r="E386" t="str">
            <v xml:space="preserve">      Relocation Expense                </v>
          </cell>
          <cell r="F386">
            <v>0</v>
          </cell>
          <cell r="G386">
            <v>0</v>
          </cell>
          <cell r="H386">
            <v>0</v>
          </cell>
          <cell r="I386">
            <v>0</v>
          </cell>
          <cell r="J386">
            <v>0</v>
          </cell>
          <cell r="K386">
            <v>0</v>
          </cell>
          <cell r="L386">
            <v>0</v>
          </cell>
          <cell r="M386">
            <v>0</v>
          </cell>
          <cell r="N386">
            <v>0</v>
          </cell>
          <cell r="O386">
            <v>0</v>
          </cell>
          <cell r="P386">
            <v>0</v>
          </cell>
          <cell r="Q386">
            <v>0</v>
          </cell>
          <cell r="R386">
            <v>0</v>
          </cell>
        </row>
        <row r="387">
          <cell r="C387" t="str">
            <v>665499H</v>
          </cell>
          <cell r="D387" t="str">
            <v>4</v>
          </cell>
          <cell r="E387" t="str">
            <v xml:space="preserve">      Other Employee Expense            </v>
          </cell>
          <cell r="F387">
            <v>3</v>
          </cell>
          <cell r="G387">
            <v>3</v>
          </cell>
          <cell r="H387">
            <v>2</v>
          </cell>
          <cell r="I387">
            <v>4</v>
          </cell>
          <cell r="J387">
            <v>3</v>
          </cell>
          <cell r="K387">
            <v>3</v>
          </cell>
          <cell r="L387">
            <v>3</v>
          </cell>
          <cell r="M387">
            <v>3</v>
          </cell>
          <cell r="N387">
            <v>3</v>
          </cell>
          <cell r="O387">
            <v>3</v>
          </cell>
          <cell r="P387">
            <v>3</v>
          </cell>
          <cell r="Q387">
            <v>3</v>
          </cell>
          <cell r="R387">
            <v>36</v>
          </cell>
        </row>
        <row r="388">
          <cell r="C388" t="str">
            <v>665499D</v>
          </cell>
          <cell r="D388" t="str">
            <v>3</v>
          </cell>
          <cell r="E388" t="str">
            <v xml:space="preserve">    Employee Expense                    </v>
          </cell>
          <cell r="F388">
            <v>3</v>
          </cell>
          <cell r="G388">
            <v>3</v>
          </cell>
          <cell r="H388">
            <v>2</v>
          </cell>
          <cell r="I388">
            <v>4</v>
          </cell>
          <cell r="J388">
            <v>3</v>
          </cell>
          <cell r="K388">
            <v>3</v>
          </cell>
          <cell r="L388">
            <v>3</v>
          </cell>
          <cell r="M388">
            <v>3</v>
          </cell>
          <cell r="N388">
            <v>3</v>
          </cell>
          <cell r="O388">
            <v>3</v>
          </cell>
          <cell r="P388">
            <v>3</v>
          </cell>
          <cell r="Q388">
            <v>3</v>
          </cell>
          <cell r="R388">
            <v>36</v>
          </cell>
        </row>
        <row r="389">
          <cell r="C389" t="str">
            <v>665499L</v>
          </cell>
          <cell r="D389" t="str">
            <v>3</v>
          </cell>
          <cell r="E389" t="str">
            <v xml:space="preserve">    Insurance                           </v>
          </cell>
          <cell r="F389">
            <v>0</v>
          </cell>
          <cell r="G389">
            <v>0</v>
          </cell>
          <cell r="H389">
            <v>0</v>
          </cell>
          <cell r="I389">
            <v>0</v>
          </cell>
          <cell r="J389">
            <v>0</v>
          </cell>
          <cell r="K389">
            <v>0</v>
          </cell>
          <cell r="L389">
            <v>0</v>
          </cell>
          <cell r="M389">
            <v>0</v>
          </cell>
          <cell r="N389">
            <v>0</v>
          </cell>
          <cell r="O389">
            <v>0</v>
          </cell>
          <cell r="P389">
            <v>0</v>
          </cell>
          <cell r="Q389">
            <v>0</v>
          </cell>
          <cell r="R389">
            <v>0</v>
          </cell>
        </row>
        <row r="390">
          <cell r="C390" t="str">
            <v>665850A</v>
          </cell>
          <cell r="D390" t="str">
            <v>3</v>
          </cell>
          <cell r="E390" t="str">
            <v xml:space="preserve">    Foreclosed Properties Expense       </v>
          </cell>
          <cell r="F390">
            <v>0</v>
          </cell>
          <cell r="G390">
            <v>0</v>
          </cell>
          <cell r="H390">
            <v>0</v>
          </cell>
          <cell r="I390">
            <v>0</v>
          </cell>
          <cell r="J390">
            <v>0</v>
          </cell>
          <cell r="K390">
            <v>0</v>
          </cell>
          <cell r="L390">
            <v>0</v>
          </cell>
          <cell r="M390">
            <v>0</v>
          </cell>
          <cell r="N390">
            <v>0</v>
          </cell>
          <cell r="O390">
            <v>0</v>
          </cell>
          <cell r="P390">
            <v>0</v>
          </cell>
          <cell r="Q390">
            <v>0</v>
          </cell>
          <cell r="R390">
            <v>0</v>
          </cell>
        </row>
        <row r="391">
          <cell r="C391" t="str">
            <v>666100A</v>
          </cell>
          <cell r="D391" t="str">
            <v>3</v>
          </cell>
          <cell r="E391" t="str">
            <v xml:space="preserve">    Non-Credit Losses &amp; Recoveries      </v>
          </cell>
          <cell r="F391">
            <v>0</v>
          </cell>
          <cell r="G391">
            <v>0</v>
          </cell>
          <cell r="H391">
            <v>0</v>
          </cell>
          <cell r="I391">
            <v>0</v>
          </cell>
          <cell r="J391">
            <v>0</v>
          </cell>
          <cell r="K391">
            <v>0</v>
          </cell>
          <cell r="L391">
            <v>0</v>
          </cell>
          <cell r="M391">
            <v>0</v>
          </cell>
          <cell r="N391">
            <v>0</v>
          </cell>
          <cell r="O391">
            <v>0</v>
          </cell>
          <cell r="P391">
            <v>0</v>
          </cell>
          <cell r="Q391">
            <v>0</v>
          </cell>
          <cell r="R391">
            <v>0</v>
          </cell>
        </row>
        <row r="392">
          <cell r="C392" t="str">
            <v>668000B</v>
          </cell>
          <cell r="D392" t="str">
            <v>4</v>
          </cell>
          <cell r="E392" t="str">
            <v xml:space="preserve">      B/D Commission &amp; Clearance        </v>
          </cell>
          <cell r="F392">
            <v>0</v>
          </cell>
          <cell r="G392">
            <v>0</v>
          </cell>
          <cell r="H392">
            <v>0</v>
          </cell>
          <cell r="I392">
            <v>0</v>
          </cell>
          <cell r="J392">
            <v>0</v>
          </cell>
          <cell r="K392">
            <v>0</v>
          </cell>
          <cell r="L392">
            <v>0</v>
          </cell>
          <cell r="M392">
            <v>0</v>
          </cell>
          <cell r="N392">
            <v>0</v>
          </cell>
          <cell r="O392">
            <v>0</v>
          </cell>
          <cell r="P392">
            <v>0</v>
          </cell>
          <cell r="Q392">
            <v>0</v>
          </cell>
          <cell r="R392">
            <v>0</v>
          </cell>
        </row>
        <row r="393">
          <cell r="C393" t="str">
            <v>668000C</v>
          </cell>
          <cell r="D393" t="str">
            <v>4</v>
          </cell>
          <cell r="E393" t="str">
            <v xml:space="preserve">      Other Misc Operating - Other      </v>
          </cell>
          <cell r="F393">
            <v>0</v>
          </cell>
          <cell r="G393">
            <v>0</v>
          </cell>
          <cell r="H393">
            <v>0</v>
          </cell>
          <cell r="I393">
            <v>0</v>
          </cell>
          <cell r="J393">
            <v>0</v>
          </cell>
          <cell r="K393">
            <v>0</v>
          </cell>
          <cell r="L393">
            <v>0</v>
          </cell>
          <cell r="M393">
            <v>0</v>
          </cell>
          <cell r="N393">
            <v>0</v>
          </cell>
          <cell r="O393">
            <v>0</v>
          </cell>
          <cell r="P393">
            <v>0</v>
          </cell>
          <cell r="Q393">
            <v>0</v>
          </cell>
          <cell r="R393">
            <v>0</v>
          </cell>
        </row>
        <row r="394">
          <cell r="C394" t="str">
            <v>668000A</v>
          </cell>
          <cell r="D394" t="str">
            <v>3</v>
          </cell>
          <cell r="E394" t="str">
            <v xml:space="preserve">    Other Miscellaneous Operating       </v>
          </cell>
          <cell r="F394">
            <v>0</v>
          </cell>
          <cell r="G394">
            <v>0</v>
          </cell>
          <cell r="H394">
            <v>0</v>
          </cell>
          <cell r="I394">
            <v>0</v>
          </cell>
          <cell r="J394">
            <v>0</v>
          </cell>
          <cell r="K394">
            <v>0</v>
          </cell>
          <cell r="L394">
            <v>0</v>
          </cell>
          <cell r="M394">
            <v>0</v>
          </cell>
          <cell r="N394">
            <v>0</v>
          </cell>
          <cell r="O394">
            <v>0</v>
          </cell>
          <cell r="P394">
            <v>0</v>
          </cell>
          <cell r="Q394">
            <v>0</v>
          </cell>
          <cell r="R394">
            <v>0</v>
          </cell>
        </row>
        <row r="395">
          <cell r="C395" t="str">
            <v>665499A</v>
          </cell>
          <cell r="D395" t="str">
            <v>2</v>
          </cell>
          <cell r="E395" t="str">
            <v xml:space="preserve">  All Other General Operating           </v>
          </cell>
          <cell r="F395">
            <v>3</v>
          </cell>
          <cell r="G395">
            <v>3</v>
          </cell>
          <cell r="H395">
            <v>2</v>
          </cell>
          <cell r="I395">
            <v>4</v>
          </cell>
          <cell r="J395">
            <v>3</v>
          </cell>
          <cell r="K395">
            <v>3</v>
          </cell>
          <cell r="L395">
            <v>3</v>
          </cell>
          <cell r="M395">
            <v>3</v>
          </cell>
          <cell r="N395">
            <v>3</v>
          </cell>
          <cell r="O395">
            <v>3</v>
          </cell>
          <cell r="P395">
            <v>3</v>
          </cell>
          <cell r="Q395">
            <v>3</v>
          </cell>
          <cell r="R395">
            <v>36</v>
          </cell>
        </row>
        <row r="396">
          <cell r="C396" t="str">
            <v>670200A</v>
          </cell>
          <cell r="D396" t="str">
            <v>3</v>
          </cell>
          <cell r="E396" t="str">
            <v xml:space="preserve">    Travel                              </v>
          </cell>
          <cell r="F396">
            <v>4</v>
          </cell>
          <cell r="G396">
            <v>4</v>
          </cell>
          <cell r="H396">
            <v>4</v>
          </cell>
          <cell r="I396">
            <v>4</v>
          </cell>
          <cell r="J396">
            <v>4</v>
          </cell>
          <cell r="K396">
            <v>4</v>
          </cell>
          <cell r="L396">
            <v>4</v>
          </cell>
          <cell r="M396">
            <v>4</v>
          </cell>
          <cell r="N396">
            <v>3</v>
          </cell>
          <cell r="O396">
            <v>3</v>
          </cell>
          <cell r="P396">
            <v>3</v>
          </cell>
          <cell r="Q396">
            <v>3</v>
          </cell>
          <cell r="R396">
            <v>44</v>
          </cell>
        </row>
        <row r="397">
          <cell r="C397" t="str">
            <v>670800A</v>
          </cell>
          <cell r="D397" t="str">
            <v>3</v>
          </cell>
          <cell r="E397" t="str">
            <v xml:space="preserve">    Taxes Other Than Income             </v>
          </cell>
          <cell r="F397">
            <v>0</v>
          </cell>
          <cell r="G397">
            <v>0</v>
          </cell>
          <cell r="H397">
            <v>0</v>
          </cell>
          <cell r="I397">
            <v>0</v>
          </cell>
          <cell r="J397">
            <v>0</v>
          </cell>
          <cell r="K397">
            <v>0</v>
          </cell>
          <cell r="L397">
            <v>0</v>
          </cell>
          <cell r="M397">
            <v>0</v>
          </cell>
          <cell r="N397">
            <v>0</v>
          </cell>
          <cell r="O397">
            <v>0</v>
          </cell>
          <cell r="P397">
            <v>0</v>
          </cell>
          <cell r="Q397">
            <v>0</v>
          </cell>
          <cell r="R397">
            <v>0</v>
          </cell>
        </row>
        <row r="398">
          <cell r="C398" t="str">
            <v>671200A</v>
          </cell>
          <cell r="D398" t="str">
            <v>3</v>
          </cell>
          <cell r="E398" t="str">
            <v xml:space="preserve">    Subscription Services               </v>
          </cell>
          <cell r="F398">
            <v>0</v>
          </cell>
          <cell r="G398">
            <v>0</v>
          </cell>
          <cell r="H398">
            <v>0</v>
          </cell>
          <cell r="I398">
            <v>0</v>
          </cell>
          <cell r="J398">
            <v>0</v>
          </cell>
          <cell r="K398">
            <v>0</v>
          </cell>
          <cell r="L398">
            <v>0</v>
          </cell>
          <cell r="M398">
            <v>0</v>
          </cell>
          <cell r="N398">
            <v>0</v>
          </cell>
          <cell r="O398">
            <v>0</v>
          </cell>
          <cell r="P398">
            <v>0</v>
          </cell>
          <cell r="Q398">
            <v>0</v>
          </cell>
          <cell r="R398">
            <v>0</v>
          </cell>
        </row>
        <row r="399">
          <cell r="C399" t="str">
            <v>671500A</v>
          </cell>
          <cell r="D399" t="str">
            <v>3</v>
          </cell>
          <cell r="E399" t="str">
            <v xml:space="preserve">    Other Admin Expense                 </v>
          </cell>
          <cell r="F399">
            <v>0</v>
          </cell>
          <cell r="G399">
            <v>0</v>
          </cell>
          <cell r="H399">
            <v>0</v>
          </cell>
          <cell r="I399">
            <v>0</v>
          </cell>
          <cell r="J399">
            <v>0</v>
          </cell>
          <cell r="K399">
            <v>0</v>
          </cell>
          <cell r="L399">
            <v>0</v>
          </cell>
          <cell r="M399">
            <v>0</v>
          </cell>
          <cell r="N399">
            <v>0</v>
          </cell>
          <cell r="O399">
            <v>0</v>
          </cell>
          <cell r="P399">
            <v>0</v>
          </cell>
          <cell r="Q399">
            <v>0</v>
          </cell>
          <cell r="R399">
            <v>0</v>
          </cell>
        </row>
        <row r="400">
          <cell r="C400" t="str">
            <v>670000</v>
          </cell>
          <cell r="D400" t="str">
            <v>2</v>
          </cell>
          <cell r="E400" t="str">
            <v xml:space="preserve">  General Administrative                </v>
          </cell>
          <cell r="F400">
            <v>4</v>
          </cell>
          <cell r="G400">
            <v>4</v>
          </cell>
          <cell r="H400">
            <v>4</v>
          </cell>
          <cell r="I400">
            <v>4</v>
          </cell>
          <cell r="J400">
            <v>4</v>
          </cell>
          <cell r="K400">
            <v>4</v>
          </cell>
          <cell r="L400">
            <v>4</v>
          </cell>
          <cell r="M400">
            <v>4</v>
          </cell>
          <cell r="N400">
            <v>3</v>
          </cell>
          <cell r="O400">
            <v>3</v>
          </cell>
          <cell r="P400">
            <v>3</v>
          </cell>
          <cell r="Q400">
            <v>3</v>
          </cell>
          <cell r="R400">
            <v>44</v>
          </cell>
        </row>
        <row r="401">
          <cell r="C401" t="str">
            <v>675100</v>
          </cell>
          <cell r="D401" t="str">
            <v>4</v>
          </cell>
          <cell r="E401" t="str">
            <v xml:space="preserve">      Support Svcs Interco Exp          </v>
          </cell>
          <cell r="F401">
            <v>0</v>
          </cell>
          <cell r="G401">
            <v>0</v>
          </cell>
          <cell r="H401">
            <v>0</v>
          </cell>
          <cell r="I401">
            <v>0</v>
          </cell>
          <cell r="J401">
            <v>0</v>
          </cell>
          <cell r="K401">
            <v>0</v>
          </cell>
          <cell r="L401">
            <v>0</v>
          </cell>
          <cell r="M401">
            <v>0</v>
          </cell>
          <cell r="N401">
            <v>0</v>
          </cell>
          <cell r="O401">
            <v>0</v>
          </cell>
          <cell r="P401">
            <v>0</v>
          </cell>
          <cell r="Q401">
            <v>0</v>
          </cell>
          <cell r="R401">
            <v>0</v>
          </cell>
        </row>
        <row r="402">
          <cell r="C402" t="str">
            <v>675000</v>
          </cell>
          <cell r="D402" t="str">
            <v>2</v>
          </cell>
          <cell r="E402" t="str">
            <v xml:space="preserve">  Intercompany Expense                  </v>
          </cell>
          <cell r="F402">
            <v>0</v>
          </cell>
          <cell r="G402">
            <v>0</v>
          </cell>
          <cell r="H402">
            <v>0</v>
          </cell>
          <cell r="I402">
            <v>0</v>
          </cell>
          <cell r="J402">
            <v>0</v>
          </cell>
          <cell r="K402">
            <v>0</v>
          </cell>
          <cell r="L402">
            <v>0</v>
          </cell>
          <cell r="M402">
            <v>0</v>
          </cell>
          <cell r="N402">
            <v>0</v>
          </cell>
          <cell r="O402">
            <v>0</v>
          </cell>
          <cell r="P402">
            <v>0</v>
          </cell>
          <cell r="Q402">
            <v>0</v>
          </cell>
          <cell r="R402">
            <v>0</v>
          </cell>
        </row>
        <row r="403">
          <cell r="C403" t="str">
            <v>860010</v>
          </cell>
          <cell r="D403" t="str">
            <v>4</v>
          </cell>
          <cell r="E403" t="str">
            <v xml:space="preserve">      Processing/Support Income         </v>
          </cell>
          <cell r="F403">
            <v>0</v>
          </cell>
          <cell r="G403">
            <v>0</v>
          </cell>
          <cell r="H403">
            <v>0</v>
          </cell>
          <cell r="I403">
            <v>0</v>
          </cell>
          <cell r="J403">
            <v>0</v>
          </cell>
          <cell r="K403">
            <v>0</v>
          </cell>
          <cell r="L403">
            <v>0</v>
          </cell>
          <cell r="M403">
            <v>0</v>
          </cell>
          <cell r="N403">
            <v>0</v>
          </cell>
          <cell r="O403">
            <v>0</v>
          </cell>
          <cell r="P403">
            <v>0</v>
          </cell>
          <cell r="Q403">
            <v>0</v>
          </cell>
          <cell r="R403">
            <v>0</v>
          </cell>
        </row>
        <row r="404">
          <cell r="C404" t="str">
            <v>860510</v>
          </cell>
          <cell r="D404" t="str">
            <v>4</v>
          </cell>
          <cell r="E404" t="str">
            <v xml:space="preserve">      Processing/Support Expense        </v>
          </cell>
          <cell r="F404">
            <v>0</v>
          </cell>
          <cell r="G404">
            <v>0</v>
          </cell>
          <cell r="H404">
            <v>0</v>
          </cell>
          <cell r="I404">
            <v>0</v>
          </cell>
          <cell r="J404">
            <v>0</v>
          </cell>
          <cell r="K404">
            <v>0</v>
          </cell>
          <cell r="L404">
            <v>0</v>
          </cell>
          <cell r="M404">
            <v>0</v>
          </cell>
          <cell r="N404">
            <v>0</v>
          </cell>
          <cell r="O404">
            <v>0</v>
          </cell>
          <cell r="P404">
            <v>0</v>
          </cell>
          <cell r="Q404">
            <v>0</v>
          </cell>
          <cell r="R404">
            <v>0</v>
          </cell>
        </row>
        <row r="405">
          <cell r="C405" t="str">
            <v>700500B</v>
          </cell>
          <cell r="D405" t="str">
            <v>2</v>
          </cell>
          <cell r="E405" t="str">
            <v xml:space="preserve">  Processing/Support Costs              </v>
          </cell>
          <cell r="F405">
            <v>0</v>
          </cell>
          <cell r="G405">
            <v>0</v>
          </cell>
          <cell r="H405">
            <v>0</v>
          </cell>
          <cell r="I405">
            <v>0</v>
          </cell>
          <cell r="J405">
            <v>0</v>
          </cell>
          <cell r="K405">
            <v>0</v>
          </cell>
          <cell r="L405">
            <v>0</v>
          </cell>
          <cell r="M405">
            <v>0</v>
          </cell>
          <cell r="N405">
            <v>0</v>
          </cell>
          <cell r="O405">
            <v>0</v>
          </cell>
          <cell r="P405">
            <v>0</v>
          </cell>
          <cell r="Q405">
            <v>0</v>
          </cell>
          <cell r="R405">
            <v>0</v>
          </cell>
        </row>
        <row r="406">
          <cell r="C406" t="str">
            <v>600000A</v>
          </cell>
          <cell r="D406" t="str">
            <v>1</v>
          </cell>
          <cell r="E406" t="str">
            <v xml:space="preserve">Total Non - Interest Expense            </v>
          </cell>
          <cell r="F406">
            <v>301.60000000000002</v>
          </cell>
          <cell r="G406">
            <v>314.8</v>
          </cell>
          <cell r="H406">
            <v>371.8</v>
          </cell>
          <cell r="I406">
            <v>411.8</v>
          </cell>
          <cell r="J406">
            <v>407.8</v>
          </cell>
          <cell r="K406">
            <v>405</v>
          </cell>
          <cell r="L406">
            <v>411.4</v>
          </cell>
          <cell r="M406">
            <v>410.6</v>
          </cell>
          <cell r="N406">
            <v>409.4</v>
          </cell>
          <cell r="O406">
            <v>413</v>
          </cell>
          <cell r="P406">
            <v>413.8</v>
          </cell>
          <cell r="Q406">
            <v>408</v>
          </cell>
          <cell r="R406">
            <v>4679</v>
          </cell>
        </row>
        <row r="407">
          <cell r="C407" t="str">
            <v>799999A</v>
          </cell>
          <cell r="D407" t="str">
            <v>1</v>
          </cell>
          <cell r="E407" t="str">
            <v xml:space="preserve">Income Tax Allocation                   </v>
          </cell>
          <cell r="F407">
            <v>-115.26436</v>
          </cell>
          <cell r="G407">
            <v>-120.52495999999999</v>
          </cell>
          <cell r="H407">
            <v>-142.36474999999999</v>
          </cell>
          <cell r="I407">
            <v>-157.45885000000001</v>
          </cell>
          <cell r="J407">
            <v>-155.83203</v>
          </cell>
          <cell r="K407">
            <v>-154.85455999999999</v>
          </cell>
          <cell r="L407">
            <v>-157.18065000000001</v>
          </cell>
          <cell r="M407">
            <v>-156.86345</v>
          </cell>
          <cell r="N407">
            <v>-156.48732999999999</v>
          </cell>
          <cell r="O407">
            <v>-157.72547</v>
          </cell>
          <cell r="P407">
            <v>-158.11854</v>
          </cell>
          <cell r="Q407">
            <v>-155.77139</v>
          </cell>
          <cell r="R407">
            <v>-1788.44634</v>
          </cell>
        </row>
        <row r="408">
          <cell r="C408" t="str">
            <v>830130A</v>
          </cell>
          <cell r="D408" t="str">
            <v>1</v>
          </cell>
          <cell r="E408" t="str">
            <v xml:space="preserve">Full Time Equivalent Staff              </v>
          </cell>
          <cell r="F408">
            <v>89</v>
          </cell>
          <cell r="G408">
            <v>94</v>
          </cell>
          <cell r="H408">
            <v>99</v>
          </cell>
          <cell r="I408">
            <v>109</v>
          </cell>
          <cell r="J408">
            <v>119</v>
          </cell>
          <cell r="K408">
            <v>119</v>
          </cell>
          <cell r="L408">
            <v>119</v>
          </cell>
          <cell r="M408">
            <v>119</v>
          </cell>
          <cell r="N408">
            <v>119</v>
          </cell>
          <cell r="O408">
            <v>119</v>
          </cell>
          <cell r="P408">
            <v>119</v>
          </cell>
          <cell r="Q408">
            <v>119</v>
          </cell>
          <cell r="R408">
            <v>112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trial (2)"/>
      <sheetName val="P&amp;L"/>
      <sheetName val="LINK GAP"/>
      <sheetName val="URD-s"/>
      <sheetName val="Holidays"/>
      <sheetName val="References"/>
      <sheetName val="SCH4"/>
      <sheetName val="Charts"/>
      <sheetName val="Other notes"/>
      <sheetName val="PL Groupings"/>
      <sheetName val="BS Groupings"/>
      <sheetName val="grootboekrek"/>
      <sheetName val="BS-203"/>
      <sheetName val="Sheet1"/>
      <sheetName val="ConsolSkol31122002-ECBDL"/>
      <sheetName val="Model"/>
      <sheetName val="Control"/>
      <sheetName val="405"/>
      <sheetName val="427"/>
      <sheetName val="403"/>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PL grp"/>
      <sheetName val="kpmg format"/>
      <sheetName val="cash flow"/>
      <sheetName val="#REF"/>
      <sheetName val="Lookups"/>
      <sheetName val="gen ledger data"/>
      <sheetName val="Original format"/>
      <sheetName val="Data"/>
      <sheetName val="curlocal"/>
      <sheetName val="S.4.3_SAP Dump"/>
      <sheetName val="E755 Annex"/>
      <sheetName val="E1 Invoice"/>
      <sheetName val="Basic Details"/>
      <sheetName val="Adm97"/>
      <sheetName val="130-UNIDADES"/>
      <sheetName val="Details"/>
      <sheetName val="Currency"/>
      <sheetName val="DropDown"/>
      <sheetName val="Non-Statistical Sampling"/>
      <sheetName val="Schedules"/>
      <sheetName val="BS-P&amp;L"/>
      <sheetName val="Cntmrs-Recruit"/>
      <sheetName val="Groupings BS"/>
      <sheetName val="DEC PIVOT"/>
      <sheetName val="Op Plan Sales"/>
      <sheetName val="Apr 08 to Mar 09"/>
      <sheetName val="Budd Lanner Split"/>
      <sheetName val="CF"/>
      <sheetName val="Overview"/>
      <sheetName val="Ann -1"/>
      <sheetName val="Co.26 Unfinished P&amp;E"/>
      <sheetName val="HIGHLIGHTS"/>
      <sheetName val="STOCK VALUEMay03"/>
      <sheetName val="DataFF"/>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Expense Budget_NOV"/>
      <sheetName val="CSCCincSKR"/>
      <sheetName val="Proforma"/>
      <sheetName val="WGE P&amp;E"/>
      <sheetName val="Income Statement"/>
      <sheetName val="Accrual Nov'05"/>
      <sheetName val="Assum"/>
      <sheetName val="Debt"/>
      <sheetName val="Sum"/>
      <sheetName val="Cover"/>
      <sheetName val="MoCF"/>
      <sheetName val="Query SS 1_805"/>
      <sheetName val="Summary"/>
      <sheetName val="TPM"/>
      <sheetName val="Financials"/>
      <sheetName val="Opening"/>
      <sheetName val="DepRate"/>
      <sheetName val="CRITERIA1"/>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trial_(2)"/>
      <sheetName val="LINK_GAP"/>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trial_(2)1"/>
      <sheetName val="LINK_GAP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trial_(2)2"/>
      <sheetName val="LINK_GAP2"/>
      <sheetName val="Brand &amp; CC list"/>
      <sheetName val="Market list"/>
      <sheetName val="Purchase Order"/>
      <sheetName val="FORM-16"/>
      <sheetName val="Cochin Invoice File"/>
      <sheetName val="STPI November 08"/>
      <sheetName val="BS - L+OE"/>
      <sheetName val="CWIP"/>
      <sheetName val="Annexure 3A"/>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Query_SS_1_805"/>
      <sheetName val="Accrual_Nov'05"/>
      <sheetName val="Letter"/>
      <sheetName val="Detailed"/>
      <sheetName val="DCF Analysis"/>
      <sheetName val="Con0304"/>
      <sheetName val="15"/>
      <sheetName val="Movement of Mutual Funds"/>
      <sheetName val="purchase PBC"/>
      <sheetName val="Prices"/>
      <sheetName val="INV-512"/>
      <sheetName val="TYPE"/>
      <sheetName val="Basic Resources"/>
      <sheetName val="computation"/>
      <sheetName val="Modality Summary"/>
      <sheetName val="Dep"/>
      <sheetName val="DCF"/>
      <sheetName val="Page 8 "/>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CP-CT1"/>
      <sheetName val="CP-CT2"/>
      <sheetName val="depit"/>
      <sheetName val="X rate"/>
      <sheetName val="IC-RP list"/>
      <sheetName val="EAW Final Accounts - 99"/>
      <sheetName val="Sch 13 Notes 13-16"/>
      <sheetName val="Cochin_Invoice_File"/>
      <sheetName val="STPI_November_08"/>
      <sheetName val="BS_-_L+OE"/>
      <sheetName val="Annexure_3A"/>
      <sheetName val="DCF_Analysis"/>
      <sheetName val="Input schedule"/>
      <sheetName val="200B"/>
      <sheetName val="DEC07 GL DL"/>
      <sheetName val="Simulator Detail"/>
      <sheetName val="lead schs"/>
      <sheetName val="DB"/>
      <sheetName val="Sheet1 (2)"/>
      <sheetName val="A91_97"/>
      <sheetName val="Audit"/>
      <sheetName val="Comp"/>
      <sheetName val="Balance Sheet "/>
      <sheetName val="groupcodes"/>
      <sheetName val="Excess Premium Settled"/>
      <sheetName val="HIP Premium Working"/>
      <sheetName val="CashFlow"/>
      <sheetName val="CVBUH2MONTHLY"/>
      <sheetName val="TT35"/>
      <sheetName val="Sch 7-13"/>
      <sheetName val="RECEIPT"/>
      <sheetName val="All Components Report"/>
      <sheetName val="BS, PL, Sch 5 to 9"/>
      <sheetName val="GRN-2010"/>
      <sheetName val="Masters"/>
      <sheetName val="Rentals Real 1"/>
      <sheetName val="Himachal"/>
      <sheetName val="Sheet"/>
      <sheetName val="Quarterly Scrap"/>
      <sheetName val="Raw Mtls."/>
      <sheetName val="WIP"/>
      <sheetName val="Finished Goods"/>
      <sheetName val="Raw Data"/>
      <sheetName val="KEY INPUTS"/>
      <sheetName val="BS IAS (eur)"/>
      <sheetName val="Val Com4"/>
      <sheetName val="Val Com7"/>
      <sheetName val="BS"/>
      <sheetName val="Sch"/>
      <sheetName val="YTD"/>
      <sheetName val="FX Rate - Current Month Rates"/>
      <sheetName val="CAMPWISE COLL"/>
      <sheetName val="SMTHKLNE"/>
      <sheetName val="KLHT"/>
      <sheetName val="Nandan"/>
      <sheetName val="Revenue"/>
      <sheetName val="UBRD"/>
      <sheetName val="UBRS"/>
      <sheetName val="UPLA"/>
      <sheetName val="KPM DT"/>
      <sheetName val="Exchange"/>
      <sheetName val="Total revenue"/>
      <sheetName val="Profit and loss"/>
      <sheetName val="1"/>
      <sheetName val="Code"/>
      <sheetName val="Overheads"/>
      <sheetName val="Annexure I"/>
      <sheetName val="OPERATING HEAD"/>
      <sheetName val="HIST - IS"/>
      <sheetName val="Locked cell"/>
      <sheetName val="EP"/>
      <sheetName val="RES"/>
      <sheetName val="Stammdaten"/>
      <sheetName val="CRITERIA2"/>
      <sheetName val="PAY_DATES"/>
      <sheetName val="Discounted Cash Flow"/>
      <sheetName val="PL"/>
      <sheetName val="16.IC-RP list"/>
      <sheetName val="UNIT-II"/>
      <sheetName val="PRO AND SALE -APRIL-04-JAN-05"/>
      <sheetName val="5A ASSETLIST"/>
      <sheetName val="Grey cloth outsource"/>
      <sheetName val="CM"/>
      <sheetName val="DF"/>
      <sheetName val="grp "/>
      <sheetName val="dtxl"/>
      <sheetName val="DCF Senstivities"/>
      <sheetName val="1072"/>
      <sheetName val="ITEM  STUDY (2)"/>
      <sheetName val="BBRD"/>
      <sheetName val="BBRS"/>
      <sheetName val="BBSR"/>
      <sheetName val="cashbackup"/>
      <sheetName val="BusinessList"/>
      <sheetName val="BPLA"/>
      <sheetName val="BPSR"/>
      <sheetName val="BKPM1"/>
      <sheetName val="BKPM2"/>
      <sheetName val="BPCA"/>
      <sheetName val="TRIAL BALANCE"/>
      <sheetName val="Tickers"/>
      <sheetName val="NXTL"/>
      <sheetName val="Methodology"/>
      <sheetName val="Pro-Forma profile_AVP"/>
      <sheetName val="A"/>
      <sheetName val="BALANCE_SHEET3"/>
      <sheetName val="P_&amp;_L3"/>
      <sheetName val="SHARE_CAPITAL3"/>
      <sheetName val="R_&amp;_s3"/>
      <sheetName val="Res_&amp;_surplus3"/>
      <sheetName val="SEC_LOAN_3"/>
      <sheetName val="UN-SEC_LOAN3"/>
      <sheetName val="Fixed_Assets3"/>
      <sheetName val="OTHER_INC_3"/>
      <sheetName val="FinishedTraded_Goods3"/>
      <sheetName val="Int_&amp;_Fin_chgs3"/>
      <sheetName val="gen_ledger_data3"/>
      <sheetName val="Original_format3"/>
      <sheetName val="E755_Annex3"/>
      <sheetName val="S_4_3_SAP_Dump3"/>
      <sheetName val="Basic_Details3"/>
      <sheetName val="BS_Groupings3"/>
      <sheetName val="PL_Groupings3"/>
      <sheetName val="Current_assets3"/>
      <sheetName val="Current_liabilities3"/>
      <sheetName val="Deferred_tax3"/>
      <sheetName val="Employment_of_capital3"/>
      <sheetName val="Long_Term_Borrowings3"/>
      <sheetName val="FA_LB3"/>
      <sheetName val="Working_capital3"/>
      <sheetName val="Non-Statistical_Sampling3"/>
      <sheetName val="E1_Invoice3"/>
      <sheetName val="Groupings_BS3"/>
      <sheetName val="DEC_PIVOT3"/>
      <sheetName val="Op_Plan_Sales3"/>
      <sheetName val="Budd_Lanner_Split1"/>
      <sheetName val="STOCK_VALUEMay031"/>
      <sheetName val="Apr_08_to_Mar_091"/>
      <sheetName val="Expense_Budget_NOV1"/>
      <sheetName val="PL_grp1"/>
      <sheetName val="kpmg_format1"/>
      <sheetName val="cash_flow1"/>
      <sheetName val="trial_(2)3"/>
      <sheetName val="LINK_GAP3"/>
      <sheetName val="WGE_P&amp;E1"/>
      <sheetName val="Accrual_Nov'051"/>
      <sheetName val="Query_SS_1_8051"/>
      <sheetName val="Cochin_Invoice_File1"/>
      <sheetName val="STPI_November_081"/>
      <sheetName val="BS_-_L+OE1"/>
      <sheetName val="Annexure_3A1"/>
      <sheetName val="Purchase_Order"/>
      <sheetName val="Other_notes"/>
      <sheetName val="Brand_&amp;_CC_list"/>
      <sheetName val="Market_list"/>
      <sheetName val="DCF_Analysis1"/>
      <sheetName val="Ann_-1"/>
      <sheetName val="Co_26_Unfinished_P&amp;E"/>
      <sheetName val="AP_Example"/>
      <sheetName val="S2_Chart"/>
      <sheetName val="S5_Chart"/>
      <sheetName val="Income_Statement"/>
      <sheetName val="Page_8_"/>
      <sheetName val="Modality_Summary"/>
      <sheetName val="Sheet1_(2)"/>
      <sheetName val="BS_IAS_(eur)"/>
      <sheetName val="Val_Com4"/>
      <sheetName val="Val_Com7"/>
      <sheetName val="FX_Rate_-_Current_Month_Rates"/>
      <sheetName val="CAMPWISE_COLL"/>
      <sheetName val="BALANCE_SHEET4"/>
      <sheetName val="P_&amp;_L4"/>
      <sheetName val="SHARE_CAPITAL4"/>
      <sheetName val="R_&amp;_s4"/>
      <sheetName val="Res_&amp;_surplus4"/>
      <sheetName val="SEC_LOAN_4"/>
      <sheetName val="UN-SEC_LOAN4"/>
      <sheetName val="Fixed_Assets4"/>
      <sheetName val="OTHER_INC_4"/>
      <sheetName val="FinishedTraded_Goods4"/>
      <sheetName val="Int_&amp;_Fin_chgs4"/>
      <sheetName val="gen_ledger_data4"/>
      <sheetName val="Original_format4"/>
      <sheetName val="E755_Annex4"/>
      <sheetName val="S_4_3_SAP_Dump4"/>
      <sheetName val="Basic_Details4"/>
      <sheetName val="BS_Groupings4"/>
      <sheetName val="PL_Groupings4"/>
      <sheetName val="Current_assets4"/>
      <sheetName val="Current_liabilities4"/>
      <sheetName val="Deferred_tax4"/>
      <sheetName val="Employment_of_capital4"/>
      <sheetName val="Long_Term_Borrowings4"/>
      <sheetName val="FA_LB4"/>
      <sheetName val="Working_capital4"/>
      <sheetName val="Non-Statistical_Sampling4"/>
      <sheetName val="E1_Invoice4"/>
      <sheetName val="Groupings_BS4"/>
      <sheetName val="DEC_PIVOT4"/>
      <sheetName val="Op_Plan_Sales4"/>
      <sheetName val="Budd_Lanner_Split2"/>
      <sheetName val="STOCK_VALUEMay032"/>
      <sheetName val="Apr_08_to_Mar_092"/>
      <sheetName val="Expense_Budget_NOV2"/>
      <sheetName val="PL_grp2"/>
      <sheetName val="kpmg_format2"/>
      <sheetName val="cash_flow2"/>
      <sheetName val="trial_(2)4"/>
      <sheetName val="LINK_GAP4"/>
      <sheetName val="WGE_P&amp;E2"/>
      <sheetName val="Accrual_Nov'052"/>
      <sheetName val="Query_SS_1_8052"/>
      <sheetName val="Cochin_Invoice_File2"/>
      <sheetName val="STPI_November_082"/>
      <sheetName val="BS_-_L+OE2"/>
      <sheetName val="Annexure_3A2"/>
      <sheetName val="Purchase_Order1"/>
      <sheetName val="Other_notes1"/>
      <sheetName val="Brand_&amp;_CC_list1"/>
      <sheetName val="Market_list1"/>
      <sheetName val="DCF_Analysis2"/>
      <sheetName val="Ann_-11"/>
      <sheetName val="Co_26_Unfinished_P&amp;E1"/>
      <sheetName val="AP_Example1"/>
      <sheetName val="S2_Chart1"/>
      <sheetName val="S5_Chart1"/>
      <sheetName val="Income_Statement1"/>
      <sheetName val="Page_8_1"/>
      <sheetName val="Modality_Summary1"/>
      <sheetName val="Sheet1_(2)1"/>
      <sheetName val="BS_IAS_(eur)1"/>
      <sheetName val="Val_Com41"/>
      <sheetName val="Val_Com71"/>
      <sheetName val="FX_Rate_-_Current_Month_Rates1"/>
      <sheetName val="CAMPWISE_COLL1"/>
      <sheetName val="INPUT"/>
      <sheetName val="Setting"/>
      <sheetName val="Debt Calcs."/>
      <sheetName val="Sheet2"/>
      <sheetName val="Stryker DIV "/>
      <sheetName val="LTM"/>
      <sheetName val="DropZone"/>
      <sheetName val="Dev"/>
      <sheetName val="Exchange rates"/>
      <sheetName val="VL,NC,MTC"/>
      <sheetName val="EXPL.AGUA"/>
      <sheetName val="Input Param"/>
      <sheetName val="Page1"/>
      <sheetName val="BS India Schedule"/>
      <sheetName val="BS India"/>
      <sheetName val="RM-Summary"/>
      <sheetName val="Bilanz"/>
      <sheetName val="BS Schedule"/>
      <sheetName val="Bal_Gr"/>
      <sheetName val="Page 2"/>
      <sheetName val="IND9899"/>
      <sheetName val="T&amp;L"/>
      <sheetName val="Assumptions"/>
      <sheetName val="shtLookup"/>
      <sheetName val="TB trend"/>
      <sheetName val="Form"/>
      <sheetName val="Challan"/>
      <sheetName val="JAN"/>
      <sheetName val="PROGRAM REV"/>
      <sheetName val="Service Function"/>
      <sheetName val="trail"/>
      <sheetName val="IRR"/>
      <sheetName val="beam-reinft"/>
      <sheetName val="revenues - geographies"/>
      <sheetName val="Parametre"/>
      <sheetName val="Mumbai Revised"/>
      <sheetName val="Power &amp; Fuel (S)"/>
      <sheetName val="Account balances"/>
      <sheetName val="Struktur"/>
      <sheetName val="Criteria"/>
      <sheetName val="DC Actual"/>
      <sheetName val="DC PLan"/>
      <sheetName val="B_S"/>
      <sheetName val="Project Ignite"/>
      <sheetName val="Multiples output"/>
      <sheetName val="Profitability stats"/>
      <sheetName val="Inputs from PSTN Model"/>
      <sheetName val="Payroll reconciliation"/>
      <sheetName val="sch 11 thru 15"/>
      <sheetName val="sch 1 thru 6 sans 4"/>
      <sheetName val="??????"/>
      <sheetName val="대리점리스트"/>
      <sheetName val="Validation"/>
      <sheetName val="Disp Table"/>
      <sheetName val="Values"/>
      <sheetName val="SLOC Listing"/>
      <sheetName val="gvl"/>
      <sheetName val="off"/>
      <sheetName val="Key Brd Data"/>
      <sheetName val="Iressa Pat Dyn"/>
      <sheetName val="Exanta Assumptions"/>
      <sheetName val="Sym Assumptions"/>
      <sheetName val="Iressa Assumptions"/>
      <sheetName val="Cerovive Contr"/>
      <sheetName val="Galida Contr"/>
      <sheetName val="Nexium Assumptions"/>
      <sheetName val="Nexium Pat Dyn"/>
      <sheetName val="Crestor Pat Dyn"/>
      <sheetName val="Exanta Pat Dyn"/>
      <sheetName val="Sym Pat Dyn"/>
      <sheetName val="Faslodex Pat Dyn"/>
      <sheetName val="Crestor Assumptions"/>
      <sheetName val="Arimidex Pat Dyn"/>
      <sheetName val="Casodex Pat Dyn"/>
      <sheetName val="Zoladex Pat Dyn"/>
      <sheetName val="Seroquel Pat Dyn"/>
      <sheetName val="Nexium Pen Val"/>
      <sheetName val="Brand 4 Contr"/>
      <sheetName val="Brand 1 Pen Val"/>
      <sheetName val="Brand 2 Pen Val"/>
      <sheetName val="Brand 3 Pen Val"/>
      <sheetName val="Brand 4 Pen Val"/>
      <sheetName val="Sh_IT_Main"/>
      <sheetName val="BS Schedules"/>
      <sheetName val="Cover Page"/>
      <sheetName val="lov-COAct"/>
      <sheetName val="lov-cspl"/>
      <sheetName val="ReworkLabour"/>
      <sheetName val="Citrix"/>
      <sheetName val="ALL DATA"/>
      <sheetName val="CRITERIA4"/>
      <sheetName val="CRITERIA3"/>
      <sheetName val="CRITERIA5"/>
      <sheetName val="CRITERIA6"/>
      <sheetName val="ETC Plant Cost"/>
      <sheetName val="Calculation (2)"/>
      <sheetName val="2003"/>
      <sheetName val="dealer list"/>
      <sheetName val="February"/>
      <sheetName val="January"/>
      <sheetName val="March"/>
      <sheetName val="TB"/>
      <sheetName val="SCH 10"/>
      <sheetName val="entitlements"/>
      <sheetName val="Total DTH Forecast"/>
      <sheetName val="Total Distribution Forecast"/>
      <sheetName val="DSM checkbook"/>
      <sheetName val="dwbulk"/>
      <sheetName val="Grouping"/>
      <sheetName val="RESULTS"/>
      <sheetName val="4Q R&amp;O-ES"/>
      <sheetName val="LEX AugDR95"/>
      <sheetName val="SCH F"/>
      <sheetName val="Outgoing"/>
      <sheetName val="Incoming"/>
      <sheetName val="MSU"/>
      <sheetName val="Cost Sheet "/>
      <sheetName val="profit &amp; loss"/>
      <sheetName val="M.G.P-2010"/>
      <sheetName val="new_main_20K"/>
      <sheetName val="Main"/>
      <sheetName val="IP Business Manpower"/>
      <sheetName val="Festlegungen"/>
      <sheetName val="CM Calc"/>
      <sheetName val="Orders"/>
      <sheetName val="Sales"/>
      <sheetName val="SCB - Annexure A"/>
      <sheetName val="A-3 MODULE"/>
      <sheetName val="SITE-RAMAGUNDAM"/>
      <sheetName val="MD'S RESI"/>
      <sheetName val="JAPANESE ACCM"/>
      <sheetName val="INDIAN GUEST HOUSE"/>
      <sheetName val="ANPARA-SITE "/>
      <sheetName val="BFNR"/>
      <sheetName val="BIPR"/>
      <sheetName val="Addl.40"/>
      <sheetName val="UK"/>
      <sheetName val="24100 Accr Liab"/>
      <sheetName val="BS and P&amp;L"/>
      <sheetName val="Directors"/>
      <sheetName val="Parameter"/>
      <sheetName val="Master"/>
      <sheetName val="3BPA00132-5-3 W plan HVPNL"/>
      <sheetName val="Summary-PSG"/>
      <sheetName val="DCF_VDF"/>
      <sheetName val="환율"/>
      <sheetName val="PV of Op Leases_VDF"/>
      <sheetName val="YTD Data"/>
      <sheetName val="Development"/>
      <sheetName val="Anlage 1"/>
      <sheetName val="deduction"/>
      <sheetName val="addition"/>
      <sheetName val="sep01"/>
      <sheetName val="BASIS"/>
      <sheetName val="J1iex"/>
      <sheetName val="E"/>
      <sheetName val="CWIP-detl-AUC"/>
      <sheetName val="NMDC Porf"/>
      <sheetName val="F"/>
      <sheetName val="G"/>
      <sheetName val="DET0900"/>
      <sheetName val="Co. TB"/>
      <sheetName val="Bal.Sht.Sch."/>
      <sheetName val="XXL_1ST"/>
      <sheetName val="BSPL"/>
      <sheetName val="Complete CWIP Status"/>
      <sheetName val="deptcodesdec30"/>
      <sheetName val="R+d"/>
      <sheetName val="it-dep"/>
      <sheetName val="girder"/>
      <sheetName val="Fill this out first..."/>
      <sheetName val="Tables"/>
      <sheetName val="F&amp;B"/>
      <sheetName val="BackupWksht2"/>
      <sheetName val="Definition"/>
      <sheetName val="Annexure to HDFC"/>
      <sheetName val="Read me"/>
      <sheetName val="Worksheet"/>
      <sheetName val="FF-5"/>
      <sheetName val="MMIP(JU)"/>
      <sheetName val="F-1&amp;F-2"/>
      <sheetName val="ecc"/>
      <sheetName val="DATA 91-98"/>
      <sheetName val="Export"/>
      <sheetName val="INI"/>
      <sheetName val="Output"/>
      <sheetName val="BL-Bud"/>
      <sheetName val="BS-Bud"/>
      <sheetName val="GW-Bud"/>
      <sheetName val="Head Office-Bud"/>
      <sheetName val="MS-Bud"/>
      <sheetName val="PL-Bud"/>
      <sheetName val="TB-Bud"/>
      <sheetName val="TM-Bud"/>
      <sheetName val="YS-Bud"/>
      <sheetName val="TAX INCOME"/>
      <sheetName val="Balance_Sheet_"/>
      <sheetName val="Basic_Resources"/>
      <sheetName val="M4a-1"/>
      <sheetName val="Sheet3"/>
      <sheetName val="HVAC1"/>
      <sheetName val="Pending settlements"/>
      <sheetName val="미지급이자(분쟁대상)"/>
      <sheetName val="Revaluation"/>
      <sheetName val="KeyMultInputs"/>
      <sheetName val="Input Page"/>
      <sheetName val="ICB"/>
      <sheetName val="SEP "/>
      <sheetName val="val"/>
      <sheetName val="Sch_13_Notes_13-16"/>
      <sheetName val="Movement_of_Mutual_Funds"/>
      <sheetName val="purchase_PBC"/>
      <sheetName val="EAW_Final_Accounts_-_99"/>
      <sheetName val="Input_schedule"/>
      <sheetName val="DEC07_GL_DL"/>
      <sheetName val="Simulator_Detail"/>
      <sheetName val="lead_schs"/>
      <sheetName val="Sch_7-13"/>
      <sheetName val="All_Components_Report"/>
      <sheetName val="BS,_PL,_Sch_5_to_9"/>
      <sheetName val="Rentals_Real_1"/>
      <sheetName val="Quarterly_Scrap"/>
      <sheetName val="Raw_Mtls_"/>
      <sheetName val="Finished_Goods"/>
      <sheetName val="Raw_Data"/>
      <sheetName val="KEY_INPUTS"/>
      <sheetName val="X_rate"/>
      <sheetName val="IC-RP_list"/>
      <sheetName val="Excess_Premium_Settled"/>
      <sheetName val="HIP_Premium_Working"/>
      <sheetName val="KPM_DT"/>
      <sheetName val="Total_revenue"/>
      <sheetName val="Profit_and_loss"/>
      <sheetName val="Annexure_I"/>
      <sheetName val="co.tax"/>
      <sheetName val="Groups"/>
      <sheetName val="Bsheet"/>
      <sheetName val="inv07_08"/>
      <sheetName val="2136"/>
      <sheetName val="Deposits"/>
      <sheetName val="Oakwood Exp"/>
      <sheetName val="CAUSTIC"/>
      <sheetName val="Branch"/>
      <sheetName val="Instruction Sheet"/>
      <sheetName val="MACH&amp;EQUIP "/>
      <sheetName val="MI"/>
      <sheetName val="Notes to cash flow pt. 1"/>
      <sheetName val="PackInformation"/>
      <sheetName val="SECTOR"/>
      <sheetName val="August"/>
      <sheetName val="July"/>
      <sheetName val="November"/>
      <sheetName val="old_serial no."/>
      <sheetName val="tot_ass_9697"/>
      <sheetName val="Input Data"/>
      <sheetName val="all"/>
      <sheetName val="due to from"/>
      <sheetName val="TBAL9697 -group wise  sdpl"/>
      <sheetName val="Inputs"/>
      <sheetName val="Summ"/>
      <sheetName val="PL_Input_YTD"/>
      <sheetName val="PL_Input_YTD_P"/>
      <sheetName val="BalanceSheet"/>
      <sheetName val="Data Center P&amp;L"/>
      <sheetName val="AR Drop Downs"/>
      <sheetName val="Anx-to-Form3AA"/>
      <sheetName val="ACS(1)"/>
      <sheetName val="FAS-C(4)"/>
      <sheetName val="CCTV(old)"/>
      <sheetName val="A-General"/>
      <sheetName val="Procedures"/>
      <sheetName val="Crédit"/>
      <sheetName val="Vente"/>
      <sheetName val="14"/>
      <sheetName val="CC &amp; PC"/>
      <sheetName val="3"/>
      <sheetName val="40"/>
      <sheetName val="3901"/>
      <sheetName val="ClientMaster"/>
      <sheetName val="ProjectMaster"/>
      <sheetName val="Add  02-03"/>
      <sheetName val="Jul-02 tb"/>
      <sheetName val="Annx 3"/>
      <sheetName val="list"/>
      <sheetName val="Sch BS"/>
      <sheetName val="Depn chart"/>
      <sheetName val="Schedules PL"/>
      <sheetName val="Schedules BS"/>
      <sheetName val="FORM B _ Oct 2005"/>
      <sheetName val="BY Client &amp; Region Aug"/>
      <sheetName val="XLR_NoRangeSheet"/>
      <sheetName val="JE10310X"/>
      <sheetName val="BS JUL"/>
      <sheetName val="o_(r)"/>
      <sheetName val="corp_con"/>
      <sheetName val="CY-OS-90-1"/>
      <sheetName val="Power"/>
      <sheetName val="PGGDeal"/>
      <sheetName val="Rate analysis"/>
      <sheetName val="Company"/>
      <sheetName val="drs"/>
      <sheetName val="Coding"/>
      <sheetName val="Weekend Allow Jan,10"/>
      <sheetName val="ALVXXL01"/>
      <sheetName val="EF-Daten"/>
      <sheetName val="compu(format)"/>
      <sheetName val="Parameters"/>
      <sheetName val="fcl"/>
      <sheetName val="NOPAT_VDF"/>
      <sheetName val="Invested capital_VDF"/>
      <sheetName val="WACC_VDF"/>
      <sheetName val="Income Statement_VDF"/>
      <sheetName val="MB-05, JU"/>
      <sheetName val="Grouping TB"/>
      <sheetName val="CYTB"/>
      <sheetName val="PYTB"/>
      <sheetName val="PRECAST lightconc-II"/>
      <sheetName val="Monthly Break Up"/>
      <sheetName val="Support"/>
      <sheetName val="IO"/>
      <sheetName val="Fixed asset register"/>
      <sheetName val="XREF"/>
      <sheetName val="NOVEMBER SWAMY ORG-I"/>
      <sheetName val="SCM"/>
      <sheetName val="Prepaid Expenses"/>
      <sheetName val="26AS Reconciliation"/>
      <sheetName val="Section 186 - Compliance"/>
      <sheetName val="Sublead"/>
      <sheetName val="Balances with Govt Authorities"/>
      <sheetName val="Service Tax"/>
      <sheetName val="Excise Duty"/>
      <sheetName val="Rev Mnt mkt &amp; Brnd"/>
      <sheetName val="SUM-WDV"/>
      <sheetName val="June 2000"/>
      <sheetName val="7.0 CapEx"/>
      <sheetName val="Rates"/>
      <sheetName val="PT Cost Details"/>
      <sheetName val="BS &amp; Sch."/>
      <sheetName val="KRRPS"/>
      <sheetName val="KRRP"/>
      <sheetName val="KRRPC"/>
      <sheetName val="Assets"/>
      <sheetName val="LEGAL GUJ"/>
      <sheetName val="Autolec"/>
      <sheetName val="crs"/>
      <sheetName val="3335"/>
      <sheetName val="tngst1"/>
      <sheetName val="Output Sheet"/>
      <sheetName val="4.L C GENERAL"/>
      <sheetName val="Oliver"/>
      <sheetName val="Pricelist"/>
      <sheetName val="AR"/>
      <sheetName val="ANX"/>
      <sheetName val="2005 Capital Plan"/>
      <sheetName val="2005 OneTimePLImpact Plan"/>
      <sheetName val="2005 Depreciation Plan"/>
      <sheetName val="2005 Project Summary"/>
      <sheetName val="2005 RecurringPLImpact Plan"/>
      <sheetName val="upa"/>
      <sheetName val="Lead Sheet"/>
      <sheetName val="Location &amp; Dept Master"/>
      <sheetName val="Kontensalden"/>
      <sheetName val="GL MASTER"/>
      <sheetName val="Index"/>
      <sheetName val="Cummulative method"/>
      <sheetName val="Asset &amp; Exp dump"/>
      <sheetName val="VENDOR MASTER"/>
      <sheetName val="Rev Fct"/>
      <sheetName val="July 06-Mar 07"/>
      <sheetName val="Investments"/>
      <sheetName val="Accounts"/>
      <sheetName val="Register"/>
      <sheetName val="AVGSAL"/>
      <sheetName val="INC_CONV"/>
      <sheetName val="MP Variance Summary"/>
      <sheetName val="FX"/>
      <sheetName val="IP_Business_Manpower"/>
      <sheetName val="Fill_this_out_first___"/>
      <sheetName val="Anlage_1"/>
      <sheetName val="Rentals_Real_11"/>
      <sheetName val="All_Components_Report1"/>
      <sheetName val="IP_Business_Manpower1"/>
      <sheetName val="EAW_Final_Accounts_-_991"/>
      <sheetName val="Fill_this_out_first___1"/>
      <sheetName val="Anlage_11"/>
      <sheetName val="Basic_Resources1"/>
      <sheetName val="Inter connect Revenue"/>
      <sheetName val="Params"/>
      <sheetName val="Earnings model"/>
      <sheetName val="외화금융(97-03)"/>
      <sheetName val="xxxxxx"/>
      <sheetName val="자금조달방침"/>
      <sheetName val="원화장기(97-01)"/>
      <sheetName val="원화장기월(97-01)"/>
      <sheetName val="외화장기요약(97-06)"/>
      <sheetName val="외화장기(97-06)"/>
      <sheetName val="산출기준(파견전산실)"/>
      <sheetName val="SALE"/>
      <sheetName val="1-1-1-1"/>
      <sheetName val="상정안건"/>
      <sheetName val="경비공통"/>
      <sheetName val="상여 (2)"/>
      <sheetName val="118.세금과공과"/>
      <sheetName val="1차명단"/>
      <sheetName val="본사감가상각대장(비품)"/>
      <sheetName val="조정전"/>
      <sheetName val="DS"/>
      <sheetName val="과거PL"/>
      <sheetName val="ﾃﾞｰﾀﾍﾞｰｽ(CD順)"/>
      <sheetName val="2COMPO_TABLE"/>
      <sheetName val="기초"/>
      <sheetName val="집연95"/>
      <sheetName val="재무제표3년"/>
      <sheetName val="모델별판매(수정본)"/>
      <sheetName val="종합2"/>
      <sheetName val="產成品收發明細表"/>
      <sheetName val="ACTPL03"/>
      <sheetName val="Lists"/>
      <sheetName val="2.대외공문"/>
      <sheetName val="비교99-00"/>
      <sheetName val="주요기준"/>
      <sheetName val="tsuga"/>
      <sheetName val="반기PL"/>
      <sheetName val="FAB4생산"/>
      <sheetName val="시실누(모) "/>
      <sheetName val="현우실적"/>
      <sheetName val="부문손익"/>
      <sheetName val="A-LINE"/>
      <sheetName val="수익성 분석"/>
      <sheetName val="연간상여집계"/>
      <sheetName val="원재료"/>
      <sheetName val="대차대조표5년"/>
      <sheetName val="이익잉여금처분계산서"/>
      <sheetName val="재무상태변동표"/>
      <sheetName val="제조원가명세서"/>
      <sheetName val="현금흐름표"/>
      <sheetName val="협력업체"/>
      <sheetName val="코드1"/>
      <sheetName val="코드2"/>
      <sheetName val="총제품수불"/>
      <sheetName val="BS3"/>
      <sheetName val="투자예산"/>
      <sheetName val="admin"/>
      <sheetName val="표건"/>
      <sheetName val="이자율"/>
      <sheetName val="WorldQuest"/>
      <sheetName val="타계정에서 명세서(PL상)"/>
      <sheetName val="상품수불"/>
      <sheetName val="Intro2"/>
      <sheetName val="Id"/>
      <sheetName val="외화9612"/>
      <sheetName val="1월"/>
      <sheetName val="손익계산서"/>
      <sheetName val="용역원가명세서"/>
      <sheetName val="81HM"/>
      <sheetName val="대손충당금"/>
      <sheetName val="투자주식평가"/>
      <sheetName val="자본준비금"/>
      <sheetName val="산업재산권"/>
      <sheetName val="예금"/>
      <sheetName val="매출액"/>
      <sheetName val="시산"/>
      <sheetName val="SHEET31"/>
      <sheetName val="외화금융_97_03_"/>
      <sheetName val="Calculation"/>
      <sheetName val="X-3 ENG"/>
      <sheetName val="ASP"/>
      <sheetName val="CHIP_O"/>
      <sheetName val="FAB_I"/>
      <sheetName val="FRT_O"/>
      <sheetName val="PKG_I"/>
      <sheetName val="FT_금액"/>
      <sheetName val="YIELD"/>
      <sheetName val="AcqIS"/>
      <sheetName val="AcqBSCF"/>
      <sheetName val="DATA-1"/>
      <sheetName val="당일"/>
      <sheetName val="달력"/>
      <sheetName val="차수"/>
      <sheetName val="본봉표"/>
      <sheetName val="品名"/>
      <sheetName val="업체명"/>
      <sheetName val="TB Mar'06"/>
      <sheetName val="Data1(全社)"/>
      <sheetName val="주주명부&lt;끝&gt;"/>
      <sheetName val="업무분장 "/>
      <sheetName val="?????"/>
      <sheetName val="4. TOP 25 QTY &amp; VALUE WISE "/>
      <sheetName val="INDIVIDUAL GRAPH DATA"/>
      <sheetName val="INFORM"/>
      <sheetName val="10W"/>
      <sheetName val="Intelenet"/>
      <sheetName val="평가금액"/>
      <sheetName val="코드"/>
      <sheetName val="연습장소"/>
      <sheetName val="GA"/>
      <sheetName val="재료율"/>
      <sheetName val="판매46"/>
      <sheetName val="완성차"/>
      <sheetName val="Revenue-Invoicewise"/>
      <sheetName val="Financial"/>
      <sheetName val="Cal-sheet"/>
      <sheetName val="FUNDFLOW"/>
      <sheetName val="SALE&amp;COST"/>
      <sheetName val="WORKINGS"/>
      <sheetName val="EMPMAST"/>
      <sheetName val="43b"/>
      <sheetName val="Data Tables"/>
      <sheetName val="EXCH"/>
      <sheetName val="TB9899"/>
      <sheetName val="Mount Fuji"/>
      <sheetName val="Sales Analysis"/>
      <sheetName val="P&amp;L Summary Page"/>
      <sheetName val="Dump"/>
      <sheetName val="PNL"/>
      <sheetName val="plbs"/>
      <sheetName val=""/>
      <sheetName val="B"/>
      <sheetName val="Entities"/>
      <sheetName val="2001 CC"/>
      <sheetName val="REGIONAL ADJUSTMENTS"/>
      <sheetName val="madhu"/>
      <sheetName val="WP_Hist ABC"/>
      <sheetName val="Stock"/>
      <sheetName val="Assumption"/>
      <sheetName val="ROYALTY"/>
      <sheetName val="SCOS0302"/>
      <sheetName val="P&amp;L SUB GROUPING"/>
      <sheetName val="COAT&amp;WRAP-QIOT-#3"/>
      <sheetName val="PNT-QUOT-#3"/>
      <sheetName val="Quantity"/>
      <sheetName val="Notes"/>
      <sheetName val="INST-ROE"/>
      <sheetName val="COMMRY"/>
      <sheetName val="UA"/>
      <sheetName val="labour rates"/>
      <sheetName val="96수출"/>
      <sheetName val="VALIDATION_LIST"/>
      <sheetName val="Electrical"/>
      <sheetName val="OPERATING_HEAD"/>
      <sheetName val="HIST_-_IS"/>
      <sheetName val="Fixed Assets Top Sheet- Consol"/>
      <sheetName val="Occ"/>
      <sheetName val="Demand"/>
      <sheetName val="handover290702"/>
      <sheetName val="HOUSE RENT DEPO."/>
      <sheetName val="Front Sheet"/>
      <sheetName val="FX &amp; Hedge - Pacific Ltd"/>
      <sheetName val="Sub._Growth"/>
      <sheetName val="RPM &amp; Usage"/>
      <sheetName val="Advisory"/>
      <sheetName val="Sales Summary"/>
      <sheetName val="DJ1"/>
      <sheetName val="EPS Adjustments"/>
      <sheetName val="Transaction Inputs"/>
      <sheetName val="Company Inputs"/>
      <sheetName val="Computations"/>
      <sheetName val="Price Sensitivities"/>
      <sheetName val="BALANCE_SHEET5"/>
      <sheetName val="P_&amp;_L5"/>
      <sheetName val="SHARE_CAPITAL5"/>
      <sheetName val="R_&amp;_s5"/>
      <sheetName val="Res_&amp;_surplus5"/>
      <sheetName val="SEC_LOAN_5"/>
      <sheetName val="UN-SEC_LOAN5"/>
      <sheetName val="Fixed_Assets5"/>
      <sheetName val="OTHER_INC_5"/>
      <sheetName val="FinishedTraded_Goods5"/>
      <sheetName val="Int_&amp;_Fin_chgs5"/>
      <sheetName val="trial_(2)5"/>
      <sheetName val="LINK_GAP5"/>
      <sheetName val="PL_Groupings5"/>
      <sheetName val="BS_Groupings5"/>
      <sheetName val="Other_notes2"/>
      <sheetName val="Current_assets5"/>
      <sheetName val="Current_liabilities5"/>
      <sheetName val="Deferred_tax5"/>
      <sheetName val="Employment_of_capital5"/>
      <sheetName val="Long_Term_Borrowings5"/>
      <sheetName val="FA_LB5"/>
      <sheetName val="Working_capital5"/>
      <sheetName val="PL_grp3"/>
      <sheetName val="kpmg_format3"/>
      <sheetName val="cash_flow3"/>
      <sheetName val="gen_ledger_data5"/>
      <sheetName val="Original_format5"/>
      <sheetName val="S_4_3_SAP_Dump5"/>
      <sheetName val="E755_Annex5"/>
      <sheetName val="E1_Invoice5"/>
      <sheetName val="Basic_Details5"/>
      <sheetName val="Non-Statistical_Sampling5"/>
      <sheetName val="Groupings_BS5"/>
      <sheetName val="DEC_PIVOT5"/>
      <sheetName val="Op_Plan_Sales5"/>
      <sheetName val="Apr_08_to_Mar_093"/>
      <sheetName val="Budd_Lanner_Split3"/>
      <sheetName val="Ann_-12"/>
      <sheetName val="Co_26_Unfinished_P&amp;E2"/>
      <sheetName val="STOCK_VALUEMay033"/>
      <sheetName val="AP_Example2"/>
      <sheetName val="S2_Chart2"/>
      <sheetName val="S5_Chart2"/>
      <sheetName val="Expense_Budget_NOV3"/>
      <sheetName val="WGE_P&amp;E3"/>
      <sheetName val="Income_Statement2"/>
      <sheetName val="Accrual_Nov'053"/>
      <sheetName val="Query_SS_1_8053"/>
      <sheetName val="Balance_Sheet_1"/>
      <sheetName val="Brand_&amp;_CC_list2"/>
      <sheetName val="Market_list2"/>
      <sheetName val="Purchase_Order2"/>
      <sheetName val="Cochin_Invoice_File3"/>
      <sheetName val="STPI_November_083"/>
      <sheetName val="BS_-_L+OE3"/>
      <sheetName val="Annexure_3A3"/>
      <sheetName val="DCF_Analysis3"/>
      <sheetName val="Movement_of_Mutual_Funds1"/>
      <sheetName val="purchase_PBC1"/>
      <sheetName val="SCH_F"/>
      <sheetName val="Modality_Summary2"/>
      <sheetName val="Page_8_2"/>
      <sheetName val="BS,_PL,_Sch_5_to_91"/>
      <sheetName val="Sheet1_(2)2"/>
      <sheetName val="Sch_13_Notes_13-161"/>
      <sheetName val="Input_schedule1"/>
      <sheetName val="DEC07_GL_DL1"/>
      <sheetName val="Simulator_Detail1"/>
      <sheetName val="lead_schs1"/>
      <sheetName val="KEY_INPUTS1"/>
      <sheetName val="Quarterly_Scrap1"/>
      <sheetName val="Raw_Mtls_1"/>
      <sheetName val="Finished_Goods1"/>
      <sheetName val="Raw_Data1"/>
      <sheetName val="Sch_7-131"/>
      <sheetName val="Cost_Sheet_"/>
      <sheetName val="profit_&amp;_loss"/>
      <sheetName val="M_G_P-2010"/>
      <sheetName val="TRIAL_BALANCE"/>
      <sheetName val="Locked_cell"/>
      <sheetName val="X_rate1"/>
      <sheetName val="IC-RP_list1"/>
      <sheetName val="Excess_Premium_Settled1"/>
      <sheetName val="HIP_Premium_Working1"/>
      <sheetName val="CM_Calc"/>
      <sheetName val="5A_ASSETLIST"/>
      <sheetName val="BS_IAS_(eur)2"/>
      <sheetName val="Val_Com42"/>
      <sheetName val="Val_Com72"/>
      <sheetName val="FX_Rate_-_Current_Month_Rates2"/>
      <sheetName val="CAMPWISE_COLL2"/>
      <sheetName val="KPM_DT1"/>
      <sheetName val="Total_revenue1"/>
      <sheetName val="Profit_and_loss1"/>
      <sheetName val="Annexure_I1"/>
      <sheetName val="Grey_cloth_outsource"/>
      <sheetName val="Account_balances"/>
      <sheetName val="TB_trend"/>
      <sheetName val="16_IC-RP_list"/>
      <sheetName val="PRO_AND_SALE_-APRIL-04-JAN-05"/>
      <sheetName val="revenues_-_geographies"/>
      <sheetName val="Mumbai_Revised"/>
      <sheetName val="SCB_-_Annexure_A"/>
      <sheetName val="Discounted_Cash_Flow"/>
      <sheetName val="Power_&amp;_Fuel_(S)"/>
      <sheetName val="A-3_MODULE"/>
      <sheetName val="MD'S_RESI"/>
      <sheetName val="JAPANESE_ACCM"/>
      <sheetName val="INDIAN_GUEST_HOUSE"/>
      <sheetName val="ANPARA-SITE_"/>
      <sheetName val="Addl_40"/>
      <sheetName val="4Q_R&amp;O-ES"/>
      <sheetName val="LEX_AugDR95"/>
      <sheetName val="grp_"/>
      <sheetName val="DCF_Senstivities"/>
      <sheetName val="ITEM__STUDY_(2)"/>
      <sheetName val="Pro-Forma_profile_AVP"/>
      <sheetName val="Debt_Calcs_"/>
      <sheetName val="Stryker_DIV_"/>
      <sheetName val="Exchange_rates"/>
      <sheetName val="EXPL_AGUA"/>
      <sheetName val="Input_Param"/>
      <sheetName val="BS_India_Schedule"/>
      <sheetName val="BS_India"/>
      <sheetName val="BS_Schedule"/>
      <sheetName val="Page_2"/>
      <sheetName val="PROGRAM_REV"/>
      <sheetName val="Service_Function"/>
      <sheetName val="DC_Actual"/>
      <sheetName val="DC_PLan"/>
      <sheetName val="Disp_Table"/>
      <sheetName val="SLOC_Listing"/>
      <sheetName val="24100_Accr_Liab"/>
      <sheetName val="BS_and_P&amp;L"/>
      <sheetName val="3BPA00132-5-3_W_plan_HVPNL"/>
      <sheetName val="PV_of_Op_Leases_VDF"/>
      <sheetName val="Payroll_reconciliation"/>
      <sheetName val="YTD_Data"/>
      <sheetName val="ALL_DATA"/>
      <sheetName val="Total_DTH_Forecast"/>
      <sheetName val="Total_Distribution_Forecast"/>
      <sheetName val="NMDC_Porf"/>
      <sheetName val="Co__TB"/>
      <sheetName val="Bal_Sht_Sch_"/>
      <sheetName val="Complete_CWIP_Status"/>
      <sheetName val="Project_Ignite"/>
      <sheetName val="Multiples_output"/>
      <sheetName val="Profitability_stats"/>
      <sheetName val="Inputs_from_PSTN_Model"/>
      <sheetName val="sch_11_thru_15"/>
      <sheetName val="sch_1_thru_6_sans_4"/>
      <sheetName val="Key_Brd_Data"/>
      <sheetName val="Iressa_Pat_Dyn"/>
      <sheetName val="Exanta_Assumptions"/>
      <sheetName val="Sym_Assumptions"/>
      <sheetName val="Iressa_Assumptions"/>
      <sheetName val="Cerovive_Contr"/>
      <sheetName val="Galida_Contr"/>
      <sheetName val="Nexium_Assumptions"/>
      <sheetName val="Nexium_Pat_Dyn"/>
      <sheetName val="Crestor_Pat_Dyn"/>
      <sheetName val="Exanta_Pat_Dyn"/>
      <sheetName val="Sym_Pat_Dyn"/>
      <sheetName val="Faslodex_Pat_Dyn"/>
      <sheetName val="Crestor_Assumptions"/>
      <sheetName val="Arimidex_Pat_Dyn"/>
      <sheetName val="Casodex_Pat_Dyn"/>
      <sheetName val="Zoladex_Pat_Dyn"/>
      <sheetName val="Seroquel_Pat_Dyn"/>
      <sheetName val="Nexium_Pen_Val"/>
      <sheetName val="Brand_4_Contr"/>
      <sheetName val="Brand_1_Pen_Val"/>
      <sheetName val="Brand_2_Pen_Val"/>
      <sheetName val="Brand_3_Pen_Val"/>
      <sheetName val="Brand_4_Pen_Val"/>
      <sheetName val="BS_Schedules"/>
      <sheetName val="Cover_Page"/>
      <sheetName val="ETC_Plant_Cost"/>
      <sheetName val="Calculation_(2)"/>
      <sheetName val="dealer_list"/>
      <sheetName val="SCH_10"/>
      <sheetName val="DSM_checkbook"/>
      <sheetName val="Annexure_to_HDFC"/>
      <sheetName val="Read_me"/>
      <sheetName val="DATA_91-98"/>
      <sheetName val="Head_Office-Bud"/>
      <sheetName val="TAX_INCOME"/>
      <sheetName val="Input_Page"/>
      <sheetName val="SEP_"/>
      <sheetName val="Pending_settlements"/>
      <sheetName val="Data_Tables"/>
      <sheetName val="co_tax"/>
      <sheetName val="Oakwood_Exp"/>
      <sheetName val="Instruction_Sheet"/>
      <sheetName val="MACH&amp;EQUIP_"/>
      <sheetName val="Notes_to_cash_flow_pt__1"/>
      <sheetName val="old_serial_no_"/>
      <sheetName val="Input_Data"/>
      <sheetName val="due_to_from"/>
      <sheetName val="TBAL9697_-group_wise__sdpl"/>
      <sheetName val="Data_Center_P&amp;L"/>
      <sheetName val="AR_Drop_Downs"/>
      <sheetName val="CC_&amp;_PC"/>
      <sheetName val="Add__02-03"/>
      <sheetName val="Jul-02_tb"/>
      <sheetName val="Annx_3"/>
      <sheetName val="Sch_BS"/>
      <sheetName val="Depn_chart"/>
      <sheetName val="Schedules_PL"/>
      <sheetName val="Schedules_BS"/>
      <sheetName val="FORM_B___Oct_2005"/>
      <sheetName val="BY_Client_&amp;_Region_Aug"/>
      <sheetName val="BS_JUL"/>
      <sheetName val="Rate_analysis"/>
      <sheetName val="Weekend_Allow_Jan,10"/>
      <sheetName val="Earnings_model"/>
      <sheetName val="2001_CC"/>
      <sheetName val="REGIONAL_ADJUSTMENTS"/>
      <sheetName val="WP_Hist_ABC"/>
      <sheetName val="Prepaid_Expenses"/>
      <sheetName val="26AS_Reconciliation"/>
      <sheetName val="Section_186_-_Compliance"/>
      <sheetName val="Balances_with_Govt_Authorities"/>
      <sheetName val="Service_Tax"/>
      <sheetName val="Excise_Duty"/>
      <sheetName val="Rev_Mnt_mkt_&amp;_Brnd"/>
      <sheetName val="Monthly_Break_Up"/>
      <sheetName val="Output_Sheet"/>
      <sheetName val="4_L_C_GENERAL"/>
      <sheetName val="2005_Capital_Plan"/>
      <sheetName val="2005_OneTimePLImpact_Plan"/>
      <sheetName val="2005_Depreciation_Plan"/>
      <sheetName val="2005_Project_Summary"/>
      <sheetName val="2005_RecurringPLImpact_Plan"/>
      <sheetName val="Lead_Sheet"/>
      <sheetName val="Location_&amp;_Dept_Master"/>
      <sheetName val="GL_MASTER"/>
      <sheetName val="Cummulative_method"/>
      <sheetName val="Asset_&amp;_Exp_dump"/>
      <sheetName val="VENDOR_MASTER"/>
      <sheetName val="NOVEMBER_SWAMY_ORG-I"/>
      <sheetName val="Rev_Fct"/>
      <sheetName val="PT_Cost_Details"/>
      <sheetName val="BS_&amp;_Sch_"/>
      <sheetName val="July_06-Mar_07"/>
      <sheetName val="June_2000"/>
      <sheetName val="7_0_CapEx"/>
      <sheetName val="Mount_Fuji"/>
      <sheetName val="Sales_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sheetData sheetId="874"/>
      <sheetData sheetId="875"/>
      <sheetData sheetId="876"/>
      <sheetData sheetId="877"/>
      <sheetData sheetId="878"/>
      <sheetData sheetId="879"/>
      <sheetData sheetId="880"/>
      <sheetData sheetId="881"/>
      <sheetData sheetId="882" refreshError="1"/>
      <sheetData sheetId="883" refreshError="1"/>
      <sheetData sheetId="884" refreshError="1"/>
      <sheetData sheetId="885"/>
      <sheetData sheetId="886"/>
      <sheetData sheetId="887"/>
      <sheetData sheetId="888"/>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PKG"/>
      <sheetName val="collections plan 0401"/>
      <sheetName val="HOLIDAY LIST"/>
      <sheetName val="DASH BOARD"/>
      <sheetName val="ABB"/>
      <sheetName val="Status Control Sheet"/>
      <sheetName val="Basement Budget"/>
    </sheetNames>
    <definedNames>
      <definedName name="Import"/>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heetName val="Overall Summary"/>
      <sheetName val="Basement Summary"/>
      <sheetName val="Basement Budget"/>
      <sheetName val="Podium Summary"/>
      <sheetName val="Podium Budgets"/>
      <sheetName val="Guestroom Summary"/>
      <sheetName val="Guestroom Budget"/>
      <sheetName val="Sitework Summary"/>
      <sheetName val="Sitework Budget"/>
      <sheetName val="GM &amp; TA"/>
      <sheetName val="beam-reinft"/>
      <sheetName val="Break up Sheet"/>
      <sheetName val="Headings"/>
      <sheetName val="Micro"/>
      <sheetName val="Macro"/>
      <sheetName val="Scaff-Rose"/>
      <sheetName val="Rate analysis"/>
      <sheetName val="dBase"/>
      <sheetName val="Indices"/>
      <sheetName val="Data"/>
      <sheetName val="Lead"/>
      <sheetName val="LIST OF MAKES"/>
      <sheetName val="PCS"/>
      <sheetName val="Cost summary"/>
      <sheetName val="INPUT SHEET"/>
      <sheetName val="RES-PLANNING"/>
      <sheetName val="Master Sheet"/>
      <sheetName val="TBAL9697 -group wise  sdpl"/>
      <sheetName val="FACTOR"/>
      <sheetName val="PANEL ANNEXURE"/>
      <sheetName val="Sheet1"/>
      <sheetName val="Estimate"/>
      <sheetName val="Fill this out first..."/>
      <sheetName val="HPL"/>
      <sheetName val="Site Dev BOQ"/>
      <sheetName val="Timesheet"/>
      <sheetName val="Staff Acco."/>
      <sheetName val="Macro1"/>
      <sheetName val="Template-Design Devt Estimate"/>
      <sheetName val="Sheet2"/>
      <sheetName val="Material "/>
      <sheetName val="Labour &amp; Plant"/>
      <sheetName val="Voucher"/>
      <sheetName val="Balustrade"/>
      <sheetName val="final estimate"/>
      <sheetName val="Conc"/>
      <sheetName val="BOQ"/>
      <sheetName val="E150-4"/>
      <sheetName val="PRECAST lightconc-II"/>
      <sheetName val="Sheet4"/>
      <sheetName val="CFForecast detail"/>
      <sheetName val="Design"/>
      <sheetName val="3. Elemental Summary"/>
      <sheetName val="9. Package split - Cost "/>
      <sheetName val="12a. CFTable"/>
      <sheetName val="Legend"/>
      <sheetName val="10. &amp; 11. Rate Code &amp; BQ"/>
      <sheetName val="Input"/>
      <sheetName val="Break_Up"/>
      <sheetName val="RESULT"/>
      <sheetName val="dlvoid"/>
      <sheetName val="GBW"/>
      <sheetName val="Testing"/>
      <sheetName val="Masters"/>
      <sheetName val="Fin"/>
      <sheetName val="Area"/>
      <sheetName val="Intro"/>
      <sheetName val="월선수금"/>
      <sheetName val="预算"/>
      <sheetName val="Codes"/>
      <sheetName val="Sheet3"/>
      <sheetName val="Fin. Assumpt. - Sensitivities"/>
      <sheetName val="External"/>
      <sheetName val="SUPPLY -Sanitary Fixtures"/>
      <sheetName val="ITEMS FOR CIVIL TENDER"/>
      <sheetName val="analysis"/>
      <sheetName val="Global Assm."/>
      <sheetName val="X rate"/>
      <sheetName val="PointNo.5"/>
      <sheetName val="NPV"/>
      <sheetName val="96수출"/>
      <sheetName val="PUMP"/>
      <sheetName val="Misc.Liq"/>
      <sheetName val="Results"/>
      <sheetName val="Invoice"/>
      <sheetName val="Working"/>
      <sheetName val="horizontal"/>
      <sheetName val="RMZ Summary"/>
      <sheetName val="Project Budget Worksheet"/>
      <sheetName val="Base data Security Procedures"/>
      <sheetName val="I-CO"/>
      <sheetName val="loadcal"/>
      <sheetName val="GF Columns"/>
      <sheetName val="IO LIST"/>
      <sheetName val="AutoOpen Stub Data"/>
      <sheetName val="Guidelines"/>
      <sheetName val="P&amp;L"/>
      <sheetName val="Phase 1"/>
      <sheetName val="Phase 2"/>
      <sheetName val="Pay_Sep06"/>
      <sheetName val="Pay Rec"/>
      <sheetName val="Other Inc"/>
      <sheetName val="F&amp;B"/>
      <sheetName val="Admin"/>
      <sheetName val="Room Rev"/>
      <sheetName val="SMS Format"/>
      <sheetName val="S 2"/>
      <sheetName val="Assumptions"/>
      <sheetName val="Summary"/>
      <sheetName val="ESTIMATE for approval"/>
      <sheetName val="Construction"/>
      <sheetName val="GreenSheet"/>
      <sheetName val="Summary year Plan"/>
      <sheetName val="VALIDATIONS"/>
      <sheetName val="Background"/>
      <sheetName val="ABB"/>
      <sheetName val="07016, Master List-Major Minor"/>
      <sheetName val="FORM7"/>
      <sheetName val="HEAD"/>
      <sheetName val="Basic Rates"/>
      <sheetName val="introduction"/>
      <sheetName val="MASTER_RATE ANALYSIS"/>
      <sheetName val="Build-up"/>
      <sheetName val="Factors"/>
      <sheetName val="Costing"/>
      <sheetName val="Overall_Summary"/>
      <sheetName val="Basement_Summary"/>
      <sheetName val="Basement_Budget"/>
      <sheetName val="Podium_Summary"/>
      <sheetName val="Podium_Budgets"/>
      <sheetName val="Guestroom_Summary"/>
      <sheetName val="Guestroom_Budget"/>
      <sheetName val="Sitework_Summary"/>
      <sheetName val="Sitework_Budget"/>
      <sheetName val="TBAL9697_-group_wise__sdpl"/>
      <sheetName val="Cost_summary"/>
      <sheetName val="GM_&amp;_TA"/>
      <sheetName val="PANEL_ANNEXURE"/>
      <sheetName val="Break_up_Sheet"/>
      <sheetName val="Rate_analysis"/>
      <sheetName val="INPUT_SHEET"/>
      <sheetName val="LIST_OF_MAKES"/>
      <sheetName val="Material_"/>
      <sheetName val="Labour_&amp;_Plant"/>
      <sheetName val="Master_Sheet"/>
      <sheetName val="Site_Dev_BOQ"/>
      <sheetName val="Substation"/>
      <sheetName val="INDIGINEOUS ITEMS "/>
      <sheetName val="Extra Item"/>
      <sheetName val="Database"/>
      <sheetName val="SCHEDULE"/>
      <sheetName val="schedule nos"/>
      <sheetName val=" B3"/>
      <sheetName val=" B1"/>
      <sheetName val="LOM_MOD"/>
      <sheetName val="3cd Annexure"/>
      <sheetName val="Variables"/>
      <sheetName val="Wordsdata"/>
      <sheetName val="item"/>
      <sheetName val="Reference Information"/>
      <sheetName val="Employee List"/>
      <sheetName val="Sales Office"/>
      <sheetName val="HVAC1"/>
      <sheetName val="SECURITY 1"/>
      <sheetName val="협조전"/>
      <sheetName val="Sheet14"/>
      <sheetName val="Sheet15"/>
      <sheetName val="os liabilities analysis"/>
      <sheetName val="#REF"/>
      <sheetName val="Maint"/>
      <sheetName val="Kitchen"/>
      <sheetName val="Housek"/>
      <sheetName val="Intaccrual"/>
      <sheetName val="SBU"/>
      <sheetName val="tdint"/>
      <sheetName val="collections plan 0401"/>
      <sheetName val="DB_REL_SIDC_UP"/>
      <sheetName val="sept-plan"/>
      <sheetName val="Civil Boq"/>
      <sheetName val="Traffic"/>
      <sheetName val="Area St"/>
      <sheetName val="Sump_cal"/>
      <sheetName val="Estimation"/>
      <sheetName val="sqn_ldr_3 Unit_2_"/>
      <sheetName val="Assumption Inputs"/>
      <sheetName val="Cal"/>
      <sheetName val="labour coeff"/>
      <sheetName val="Msht-Int-Msht-GF"/>
      <sheetName val="Detail"/>
      <sheetName val="ISO RECON"/>
      <sheetName val="Back filling"/>
      <sheetName val="NT items summary"/>
      <sheetName val="Vehicles"/>
      <sheetName val="VCH-SLC"/>
      <sheetName val="Supplier"/>
      <sheetName val="LOCAL RATES"/>
      <sheetName val="Meas.-Hotel Part"/>
      <sheetName val="Risk &amp; Opportunities"/>
      <sheetName val="PROG_DATA"/>
      <sheetName val="type ahead combo"/>
      <sheetName val="adp-budget"/>
      <sheetName val="Constants"/>
      <sheetName val="labour rates"/>
      <sheetName val="Msht 5F"/>
      <sheetName val="Cont"/>
      <sheetName val="COST"/>
      <sheetName val="Master"/>
      <sheetName val="RCC,Ret. Wall"/>
      <sheetName val="Fill_this_out_first___"/>
      <sheetName val="電気設備表"/>
      <sheetName val="FTE Totals_Plan"/>
      <sheetName val="Masonry"/>
      <sheetName val="Assmpns"/>
      <sheetName val="Erection grider"/>
      <sheetName val="doq"/>
      <sheetName val="keyword"/>
      <sheetName val="PA- Consutant "/>
      <sheetName val="PEDESB"/>
      <sheetName val="p&amp;m"/>
      <sheetName val="Order Info"/>
      <sheetName val="Status Control Sheet"/>
      <sheetName val="DATA BOQ"/>
      <sheetName val="재1"/>
      <sheetName val="BoQ-1"/>
      <sheetName val="BoQ-2"/>
      <sheetName val="INDEX"/>
      <sheetName val="HOLIDAY LIST"/>
      <sheetName val="DASH BOARD"/>
      <sheetName val="Hardware"/>
      <sheetName val="Dimensions"/>
      <sheetName val="crews"/>
      <sheetName val="M"/>
      <sheetName val="N"/>
      <sheetName val="maing1"/>
      <sheetName val="Approved MTD Proj #'s"/>
      <sheetName val="BASIS -DEC 08"/>
      <sheetName val="Block A - BOQ"/>
      <sheetName val="Cover"/>
      <sheetName val="Material"/>
      <sheetName val="electr_ work CA "/>
      <sheetName val="zone-8"/>
      <sheetName val="MHNO_LEV"/>
      <sheetName val="#REF!"/>
      <sheetName val="L.Chg"/>
      <sheetName val="Other_Input"/>
      <sheetName val="Building 1"/>
      <sheetName val="PPA Summary"/>
      <sheetName val="F1a-Pile"/>
      <sheetName val="Overall_Summary3"/>
      <sheetName val="Basement_Summary3"/>
      <sheetName val="Basement_Budget3"/>
      <sheetName val="Podium_Summary3"/>
      <sheetName val="Podium_Budgets3"/>
      <sheetName val="Guestroom_Summary3"/>
      <sheetName val="Guestroom_Budget3"/>
      <sheetName val="Sitework_Summary3"/>
      <sheetName val="Sitework_Budget3"/>
      <sheetName val="GM_&amp;_TA3"/>
      <sheetName val="TBAL9697_-group_wise__sdpl3"/>
      <sheetName val="X_rate1"/>
      <sheetName val="Cost_summary3"/>
      <sheetName val="PANEL_ANNEXURE3"/>
      <sheetName val="LIST_OF_MAKES3"/>
      <sheetName val="Break_up_Sheet3"/>
      <sheetName val="Rate_analysis3"/>
      <sheetName val="INPUT_SHEET3"/>
      <sheetName val="Master_Sheet3"/>
      <sheetName val="Material_3"/>
      <sheetName val="Labour_&amp;_Plant3"/>
      <sheetName val="Site_Dev_BOQ3"/>
      <sheetName val="CFForecast_detail1"/>
      <sheetName val="3__Elemental_Summary1"/>
      <sheetName val="9__Package_split_-_Cost_1"/>
      <sheetName val="12a__CFTable1"/>
      <sheetName val="10__&amp;_11__Rate_Code_&amp;_BQ1"/>
      <sheetName val="PRECAST_lightconc-II1"/>
      <sheetName val="Fill_this_out_first___1"/>
      <sheetName val="final_estimate1"/>
      <sheetName val="Base_data_Security_Procedures1"/>
      <sheetName val="Fin__Assumpt__-_Sensitivities1"/>
      <sheetName val="Template-Design_Devt_Estimate1"/>
      <sheetName val="Staff_Acco_1"/>
      <sheetName val="Project_Budget_Worksheet1"/>
      <sheetName val="RMZ_Summary1"/>
      <sheetName val="SUPPLY_-Sanitary_Fixtures1"/>
      <sheetName val="ITEMS_FOR_CIVIL_TENDER1"/>
      <sheetName val="Global_Assm_1"/>
      <sheetName val="PointNo_51"/>
      <sheetName val="ESTIMATE_for_approval1"/>
      <sheetName val="Misc_Liq1"/>
      <sheetName val="GF_Columns1"/>
      <sheetName val="IO_LIST1"/>
      <sheetName val="Phase_11"/>
      <sheetName val="Phase_21"/>
      <sheetName val="Pay_Rec1"/>
      <sheetName val="S_21"/>
      <sheetName val="07016,_Master_List-Major_Minor1"/>
      <sheetName val="Other_Inc1"/>
      <sheetName val="Room_Rev1"/>
      <sheetName val="SMS_Format1"/>
      <sheetName val="Basic_Rates1"/>
      <sheetName val="Summary_year_Plan1"/>
      <sheetName val="MASTER_RATE_ANALYSIS1"/>
      <sheetName val="AutoOpen_Stub_Data1"/>
      <sheetName val="INDIGINEOUS_ITEMS_1"/>
      <sheetName val="Extra_Item1"/>
      <sheetName val="schedule_nos1"/>
      <sheetName val="_B31"/>
      <sheetName val="_B11"/>
      <sheetName val="collections_plan_04011"/>
      <sheetName val="SECURITY_11"/>
      <sheetName val="Reference_Information1"/>
      <sheetName val="Employee_List1"/>
      <sheetName val="Sales_Office1"/>
      <sheetName val="3cd_Annexure1"/>
      <sheetName val="Risk_&amp;_Opportunities1"/>
      <sheetName val="Civil_Boq1"/>
      <sheetName val="type_ahead_combo1"/>
      <sheetName val="Assumption_Inputs1"/>
      <sheetName val="os_liabilities_analysis1"/>
      <sheetName val="Area_St1"/>
      <sheetName val="sqn_ldr_3_Unit_2_1"/>
      <sheetName val="labour_coeff1"/>
      <sheetName val="Msht_5F1"/>
      <sheetName val="Overall_Summary1"/>
      <sheetName val="Basement_Summary1"/>
      <sheetName val="Basement_Budget1"/>
      <sheetName val="Podium_Summary1"/>
      <sheetName val="Podium_Budgets1"/>
      <sheetName val="Guestroom_Summary1"/>
      <sheetName val="Guestroom_Budget1"/>
      <sheetName val="Sitework_Summary1"/>
      <sheetName val="Sitework_Budget1"/>
      <sheetName val="GM_&amp;_TA1"/>
      <sheetName val="Break_up_Sheet1"/>
      <sheetName val="Rate_analysis1"/>
      <sheetName val="LIST_OF_MAKES1"/>
      <sheetName val="Cost_summary1"/>
      <sheetName val="Master_Sheet1"/>
      <sheetName val="TBAL9697_-group_wise__sdpl1"/>
      <sheetName val="INPUT_SHEET1"/>
      <sheetName val="PANEL_ANNEXURE1"/>
      <sheetName val="Site_Dev_BOQ1"/>
      <sheetName val="Staff_Acco_"/>
      <sheetName val="Template-Design_Devt_Estimate"/>
      <sheetName val="Material_1"/>
      <sheetName val="Labour_&amp;_Plant1"/>
      <sheetName val="final_estimate"/>
      <sheetName val="CFForecast_detail"/>
      <sheetName val="3__Elemental_Summary"/>
      <sheetName val="9__Package_split_-_Cost_"/>
      <sheetName val="12a__CFTable"/>
      <sheetName val="10__&amp;_11__Rate_Code_&amp;_BQ"/>
      <sheetName val="PRECAST_lightconc-II"/>
      <sheetName val="Fin__Assumpt__-_Sensitivities"/>
      <sheetName val="SUPPLY_-Sanitary_Fixtures"/>
      <sheetName val="ITEMS_FOR_CIVIL_TENDER"/>
      <sheetName val="Global_Assm_"/>
      <sheetName val="X_rate"/>
      <sheetName val="PointNo_5"/>
      <sheetName val="Misc_Liq"/>
      <sheetName val="RMZ_Summary"/>
      <sheetName val="Project_Budget_Worksheet"/>
      <sheetName val="Base_data_Security_Procedures"/>
      <sheetName val="GF_Columns"/>
      <sheetName val="IO_LIST"/>
      <sheetName val="AutoOpen_Stub_Data"/>
      <sheetName val="Phase_1"/>
      <sheetName val="Phase_2"/>
      <sheetName val="Pay_Rec"/>
      <sheetName val="Other_Inc"/>
      <sheetName val="Room_Rev"/>
      <sheetName val="SMS_Format"/>
      <sheetName val="S_2"/>
      <sheetName val="ESTIMATE_for_approval"/>
      <sheetName val="Summary_year_Plan"/>
      <sheetName val="07016,_Master_List-Major_Minor"/>
      <sheetName val="Basic_Rates"/>
      <sheetName val="MASTER_RATE_ANALYSIS"/>
      <sheetName val="INDIGINEOUS_ITEMS_"/>
      <sheetName val="Extra_Item"/>
      <sheetName val="schedule_nos"/>
      <sheetName val="_B3"/>
      <sheetName val="_B1"/>
      <sheetName val="collections_plan_0401"/>
      <sheetName val="SECURITY_1"/>
      <sheetName val="Reference_Information"/>
      <sheetName val="Employee_List"/>
      <sheetName val="Sales_Office"/>
      <sheetName val="3cd_Annexure"/>
      <sheetName val="Assumption_Inputs"/>
      <sheetName val="Civil_Boq"/>
      <sheetName val="Risk_&amp;_Opportunities"/>
      <sheetName val="type_ahead_combo"/>
      <sheetName val="os_liabilities_analysis"/>
      <sheetName val="Area_St"/>
      <sheetName val="Msht_5F"/>
      <sheetName val="sqn_ldr_3_Unit_2_"/>
      <sheetName val="labour_coeff"/>
      <sheetName val="Overall_Summary2"/>
      <sheetName val="Basement_Summary2"/>
      <sheetName val="Basement_Budget2"/>
      <sheetName val="Podium_Summary2"/>
      <sheetName val="Podium_Budgets2"/>
      <sheetName val="Guestroom_Summary2"/>
      <sheetName val="Guestroom_Budget2"/>
      <sheetName val="Sitework_Summary2"/>
      <sheetName val="Sitework_Budget2"/>
      <sheetName val="GM_&amp;_TA2"/>
      <sheetName val="TBAL9697_-group_wise__sdpl2"/>
      <sheetName val="PANEL_ANNEXURE2"/>
      <sheetName val="Cost_summary2"/>
      <sheetName val="Break_up_Sheet2"/>
      <sheetName val="Rate_analysis2"/>
      <sheetName val="INPUT_SHEET2"/>
      <sheetName val="LIST_OF_MAKES2"/>
      <sheetName val="Material_2"/>
      <sheetName val="Labour_&amp;_Plant2"/>
      <sheetName val="Master_Sheet2"/>
      <sheetName val="Site_Dev_BOQ2"/>
      <sheetName val="LOCAL_RATES"/>
      <sheetName val="PA-_Consutant_"/>
      <sheetName val="ISO_RECON"/>
      <sheetName val="Back_filling"/>
      <sheetName val="NT_items_summary"/>
      <sheetName val="Meas_-Hotel_Part"/>
      <sheetName val="labour_rates"/>
      <sheetName val="RCC,Ret__Wall"/>
      <sheetName val="Erection_grider"/>
      <sheetName val="FTE_Totals_Plan"/>
      <sheetName val="DATA_BOQ"/>
      <sheetName val="Order_Info"/>
      <sheetName val="Report"/>
      <sheetName val="Fill_this_out_first___2"/>
      <sheetName val="LOCAL_RATES1"/>
      <sheetName val="PA-_Consutant_1"/>
      <sheetName val="ISO_RECON1"/>
      <sheetName val="Back_filling1"/>
      <sheetName val="NT_items_summary1"/>
      <sheetName val="Meas_-Hotel_Part1"/>
      <sheetName val="labour_rates1"/>
      <sheetName val="RCC,Ret__Wall1"/>
      <sheetName val="Erection_grider1"/>
      <sheetName val="FTE_Totals_Plan1"/>
      <sheetName val="DATA_BOQ1"/>
      <sheetName val="Order_Info1"/>
      <sheetName val="CFForecast_detail2"/>
      <sheetName val="3__Elemental_Summary2"/>
      <sheetName val="9__Package_split_-_Cost_2"/>
      <sheetName val="12a__CFTable2"/>
      <sheetName val="10__&amp;_11__Rate_Code_&amp;_BQ2"/>
      <sheetName val="PRECAST_lightconc-II2"/>
      <sheetName val="Fill_this_out_first___3"/>
      <sheetName val="X_rate2"/>
      <sheetName val="final_estimate2"/>
      <sheetName val="Base_data_Security_Procedures2"/>
      <sheetName val="Fin__Assumpt__-_Sensitivities2"/>
      <sheetName val="Template-Design_Devt_Estimate2"/>
      <sheetName val="Staff_Acco_2"/>
      <sheetName val="Project_Budget_Worksheet2"/>
      <sheetName val="RMZ_Summary2"/>
      <sheetName val="Misc_Liq2"/>
      <sheetName val="SUPPLY_-Sanitary_Fixtures2"/>
      <sheetName val="ITEMS_FOR_CIVIL_TENDER2"/>
      <sheetName val="Global_Assm_2"/>
      <sheetName val="PointNo_52"/>
      <sheetName val="ESTIMATE_for_approval2"/>
      <sheetName val="Phase_12"/>
      <sheetName val="Phase_22"/>
      <sheetName val="Pay_Rec2"/>
      <sheetName val="S_22"/>
      <sheetName val="07016,_Master_List-Major_Minor2"/>
      <sheetName val="Other_Inc2"/>
      <sheetName val="Room_Rev2"/>
      <sheetName val="SMS_Format2"/>
      <sheetName val="MASTER_RATE_ANALYSIS2"/>
      <sheetName val="GF_Columns2"/>
      <sheetName val="IO_LIST2"/>
      <sheetName val="Basic_Rates2"/>
      <sheetName val="Summary_year_Plan2"/>
      <sheetName val="INDIGINEOUS_ITEMS_2"/>
      <sheetName val="Extra_Item2"/>
      <sheetName val="schedule_nos2"/>
      <sheetName val="_B32"/>
      <sheetName val="_B12"/>
      <sheetName val="AutoOpen_Stub_Data2"/>
      <sheetName val="os_liabilities_analysis2"/>
      <sheetName val="3cd_Annexure2"/>
      <sheetName val="Civil_Boq2"/>
      <sheetName val="Assumption_Inputs2"/>
      <sheetName val="labour_coeff2"/>
      <sheetName val="sqn_ldr_3_Unit_2_2"/>
      <sheetName val="Reference_Information2"/>
      <sheetName val="Employee_List2"/>
      <sheetName val="Sales_Office2"/>
      <sheetName val="SECURITY_12"/>
      <sheetName val="Area_St2"/>
      <sheetName val="collections_plan_04012"/>
      <sheetName val="LOCAL_RATES2"/>
      <sheetName val="Msht_5F2"/>
      <sheetName val="Risk_&amp;_Opportunities2"/>
      <sheetName val="PA-_Consutant_2"/>
      <sheetName val="ISO_RECON2"/>
      <sheetName val="Back_filling2"/>
      <sheetName val="NT_items_summary2"/>
      <sheetName val="Meas_-Hotel_Part2"/>
      <sheetName val="type_ahead_combo2"/>
      <sheetName val="labour_rates2"/>
      <sheetName val="RCC,Ret__Wall2"/>
      <sheetName val="Erection_grider2"/>
      <sheetName val="FTE_Totals_Plan2"/>
      <sheetName val="DATA_BOQ2"/>
      <sheetName val="Order_Info2"/>
      <sheetName val="Overall_Summary4"/>
      <sheetName val="Basement_Summary4"/>
      <sheetName val="Ext Works"/>
      <sheetName val="Position Class"/>
      <sheetName val="Timeoffice"/>
      <sheetName val="BBS"/>
      <sheetName val="Basement_Budget4"/>
      <sheetName val="Budgetary office area"/>
      <sheetName val="Podium_Summary4"/>
      <sheetName val="Podium_Budgets4"/>
      <sheetName val="Guestroom_Summary4"/>
      <sheetName val="Guestroom_Budget4"/>
      <sheetName val="Sitework_Summary4"/>
      <sheetName val="Sitework_Budget4"/>
      <sheetName val="Master_Sheet4"/>
      <sheetName val="GM_&amp;_TA4"/>
      <sheetName val="Cost_summary4"/>
      <sheetName val="TBAL9697_-group_wise__sdpl4"/>
      <sheetName val="Material_4"/>
      <sheetName val="Labour_&amp;_Plant4"/>
      <sheetName val="LIST_OF_MAKES4"/>
      <sheetName val="INPUT_SHEET4"/>
      <sheetName val="Site_Dev_BOQ4"/>
      <sheetName val="CFForecast_detail3"/>
      <sheetName val="3__Elemental_Summary3"/>
      <sheetName val="9__Package_split_-_Cost_3"/>
      <sheetName val="12a__CFTable3"/>
      <sheetName val="10__&amp;_11__Rate_Code_&amp;_BQ3"/>
      <sheetName val="Break_up_Sheet4"/>
      <sheetName val="PRECAST_lightconc-II3"/>
      <sheetName val="PANEL_ANNEXURE4"/>
      <sheetName val="Rate_analysis4"/>
      <sheetName val="Fill_this_out_first___4"/>
      <sheetName val="X_rate3"/>
      <sheetName val="final_estimate3"/>
      <sheetName val="Base_data_Security_Procedures3"/>
      <sheetName val="Fin__Assumpt__-_Sensitivities3"/>
      <sheetName val="Template-Design_Devt_Estimate3"/>
      <sheetName val="Staff_Acco_3"/>
      <sheetName val="Project_Budget_Worksheet3"/>
      <sheetName val="RMZ_Summary3"/>
      <sheetName val="Misc_Liq3"/>
      <sheetName val="SUPPLY_-Sanitary_Fixtures3"/>
      <sheetName val="ITEMS_FOR_CIVIL_TENDER3"/>
      <sheetName val="Global_Assm_3"/>
      <sheetName val="PointNo_53"/>
      <sheetName val="ESTIMATE_for_approval3"/>
      <sheetName val="Phase_13"/>
      <sheetName val="Phase_23"/>
      <sheetName val="Pay_Rec3"/>
      <sheetName val="S_23"/>
      <sheetName val="07016,_Master_List-Major_Minor3"/>
      <sheetName val="Other_Inc3"/>
      <sheetName val="Room_Rev3"/>
      <sheetName val="SMS_Format3"/>
      <sheetName val="MASTER_RATE_ANALYSIS3"/>
      <sheetName val="GF_Columns3"/>
      <sheetName val="IO_LIST3"/>
      <sheetName val="Basic_Rates3"/>
      <sheetName val="Summary_year_Plan3"/>
      <sheetName val="INDIGINEOUS_ITEMS_3"/>
      <sheetName val="Extra_Item3"/>
      <sheetName val="schedule_nos3"/>
      <sheetName val="_B33"/>
      <sheetName val="_B13"/>
      <sheetName val="AutoOpen_Stub_Data3"/>
      <sheetName val="os_liabilities_analysis3"/>
      <sheetName val="3cd_Annexure3"/>
      <sheetName val="Civil_Boq3"/>
      <sheetName val="Assumption_Inputs3"/>
      <sheetName val="labour_coeff3"/>
      <sheetName val="sqn_ldr_3_Unit_2_3"/>
      <sheetName val="Reference_Information3"/>
      <sheetName val="Employee_List3"/>
      <sheetName val="Sales_Office3"/>
      <sheetName val="SECURITY_13"/>
      <sheetName val="Area_St3"/>
      <sheetName val="collections_plan_04013"/>
      <sheetName val="LOCAL_RATES3"/>
      <sheetName val="Msht_5F3"/>
      <sheetName val="Risk_&amp;_Opportunities3"/>
      <sheetName val="PA-_Consutant_3"/>
      <sheetName val="ISO_RECON3"/>
      <sheetName val="Back_filling3"/>
      <sheetName val="NT_items_summary3"/>
      <sheetName val="Meas_-Hotel_Part3"/>
      <sheetName val="type_ahead_combo3"/>
      <sheetName val="labour_rates3"/>
      <sheetName val="RCC,Ret__Wall3"/>
      <sheetName val="Erection_grider3"/>
      <sheetName val="FTE_Totals_Plan3"/>
      <sheetName val="DATA_BOQ3"/>
      <sheetName val="Order_Info3"/>
      <sheetName val="Driveway Beams"/>
      <sheetName val="65 FINANCE"/>
      <sheetName val="Pacakges split"/>
      <sheetName val="Quotation"/>
      <sheetName val="d-safe DELUXE"/>
      <sheetName val="Diawise steel abstract"/>
      <sheetName val="RA"/>
      <sheetName val="대비내역"/>
      <sheetName val="appendix A"/>
      <sheetName val="CCB"/>
      <sheetName val="Config"/>
      <sheetName val="Break Dw"/>
      <sheetName val="Controls"/>
      <sheetName val="Mat_Cost"/>
      <sheetName val="beam-reinft-IIInd floor"/>
      <sheetName val="Lowside"/>
      <sheetName val="Sqn_Abs"/>
      <sheetName val="DSLP"/>
      <sheetName val="Overall_Summary5"/>
      <sheetName val="Basement_Summary5"/>
      <sheetName val="Basement_Budget5"/>
      <sheetName val="Podium_Summary5"/>
      <sheetName val="Podium_Budgets5"/>
      <sheetName val="Guestroom_Summary5"/>
      <sheetName val="Guestroom_Budget5"/>
      <sheetName val="Sitework_Summary5"/>
      <sheetName val="Sitework_Budget5"/>
      <sheetName val="Master_Sheet5"/>
      <sheetName val="GM_&amp;_TA5"/>
      <sheetName val="Cost_summary5"/>
      <sheetName val="TBAL9697_-group_wise__sdpl5"/>
      <sheetName val="Material_5"/>
      <sheetName val="Labour_&amp;_Plant5"/>
      <sheetName val="LIST_OF_MAKES5"/>
      <sheetName val="INPUT_SHEET5"/>
      <sheetName val="Site_Dev_BOQ5"/>
      <sheetName val="CFForecast_detail4"/>
      <sheetName val="3__Elemental_Summary4"/>
      <sheetName val="9__Package_split_-_Cost_4"/>
      <sheetName val="12a__CFTable4"/>
      <sheetName val="10__&amp;_11__Rate_Code_&amp;_BQ4"/>
      <sheetName val="Break_up_Sheet5"/>
      <sheetName val="PRECAST_lightconc-II4"/>
      <sheetName val="PANEL_ANNEXURE5"/>
      <sheetName val="Rate_analysis5"/>
      <sheetName val="Fill_this_out_first___5"/>
      <sheetName val="X_rate4"/>
      <sheetName val="final_estimate4"/>
      <sheetName val="Base_data_Security_Procedures4"/>
      <sheetName val="Fin__Assumpt__-_Sensitivities4"/>
      <sheetName val="Template-Design_Devt_Estimate4"/>
      <sheetName val="Staff_Acco_4"/>
      <sheetName val="Project_Budget_Worksheet4"/>
      <sheetName val="RMZ_Summary4"/>
      <sheetName val="Misc_Liq4"/>
      <sheetName val="SUPPLY_-Sanitary_Fixtures4"/>
      <sheetName val="ITEMS_FOR_CIVIL_TENDER4"/>
      <sheetName val="Global_Assm_4"/>
      <sheetName val="PointNo_54"/>
      <sheetName val="ESTIMATE_for_approval4"/>
      <sheetName val="Phase_14"/>
      <sheetName val="Phase_24"/>
      <sheetName val="Pay_Rec4"/>
      <sheetName val="S_24"/>
      <sheetName val="07016,_Master_List-Major_Minor4"/>
      <sheetName val="Other_Inc4"/>
      <sheetName val="Room_Rev4"/>
      <sheetName val="SMS_Format4"/>
      <sheetName val="MASTER_RATE_ANALYSIS4"/>
      <sheetName val="GF_Columns4"/>
      <sheetName val="IO_LIST4"/>
      <sheetName val="Basic_Rates4"/>
      <sheetName val="Summary_year_Plan4"/>
      <sheetName val="INDIGINEOUS_ITEMS_4"/>
      <sheetName val="Extra_Item4"/>
      <sheetName val="schedule_nos4"/>
      <sheetName val="_B34"/>
      <sheetName val="_B14"/>
      <sheetName val="AutoOpen_Stub_Data4"/>
      <sheetName val="os_liabilities_analysis4"/>
      <sheetName val="3cd_Annexure4"/>
      <sheetName val="Civil_Boq4"/>
      <sheetName val="Assumption_Inputs4"/>
      <sheetName val="labour_coeff4"/>
      <sheetName val="sqn_ldr_3_Unit_2_4"/>
      <sheetName val="Reference_Information4"/>
      <sheetName val="Employee_List4"/>
      <sheetName val="Sales_Office4"/>
      <sheetName val="SECURITY_14"/>
      <sheetName val="Area_St4"/>
      <sheetName val="collections_plan_04014"/>
      <sheetName val="LOCAL_RATES4"/>
      <sheetName val="Msht_5F4"/>
      <sheetName val="Risk_&amp;_Opportunities4"/>
      <sheetName val="PA-_Consutant_4"/>
      <sheetName val="ISO_RECON4"/>
      <sheetName val="Back_filling4"/>
      <sheetName val="NT_items_summary4"/>
      <sheetName val="Meas_-Hotel_Part4"/>
      <sheetName val="type_ahead_combo4"/>
      <sheetName val="labour_rates4"/>
      <sheetName val="RCC,Ret__Wall4"/>
      <sheetName val="Erection_grider4"/>
      <sheetName val="FTE_Totals_Plan4"/>
      <sheetName val="DATA_BOQ4"/>
      <sheetName val="Order_Info4"/>
      <sheetName val="BASIS_-DEC_08"/>
      <sheetName val="Block_A_-_BOQ"/>
      <sheetName val="Approved_MTD_Proj_#'s"/>
      <sheetName val="Status_Control_Sheet"/>
      <sheetName val="HOLIDAY_LIST"/>
      <sheetName val="DASH_BOARD"/>
      <sheetName val="Overall_Summary6"/>
      <sheetName val="Basement_Summary6"/>
      <sheetName val="Basement_Budget6"/>
      <sheetName val="Podium_Summary6"/>
      <sheetName val="Podium_Budgets6"/>
      <sheetName val="Guestroom_Summary6"/>
      <sheetName val="Guestroom_Budget6"/>
      <sheetName val="Sitework_Summary6"/>
      <sheetName val="Sitework_Budget6"/>
      <sheetName val="Master_Sheet6"/>
      <sheetName val="GM_&amp;_TA6"/>
      <sheetName val="Cost_summary6"/>
      <sheetName val="TBAL9697_-group_wise__sdpl6"/>
      <sheetName val="Material_6"/>
      <sheetName val="Labour_&amp;_Plant6"/>
      <sheetName val="LIST_OF_MAKES6"/>
      <sheetName val="INPUT_SHEET6"/>
      <sheetName val="Site_Dev_BOQ6"/>
      <sheetName val="CFForecast_detail5"/>
      <sheetName val="3__Elemental_Summary5"/>
      <sheetName val="9__Package_split_-_Cost_5"/>
      <sheetName val="12a__CFTable5"/>
      <sheetName val="10__&amp;_11__Rate_Code_&amp;_BQ5"/>
      <sheetName val="Break_up_Sheet6"/>
      <sheetName val="PRECAST_lightconc-II5"/>
      <sheetName val="PANEL_ANNEXURE6"/>
      <sheetName val="Rate_analysis6"/>
      <sheetName val="Fill_this_out_first___6"/>
      <sheetName val="X_rate5"/>
      <sheetName val="final_estimate5"/>
      <sheetName val="Base_data_Security_Procedures5"/>
      <sheetName val="Fin__Assumpt__-_Sensitivities5"/>
      <sheetName val="Template-Design_Devt_Estimate5"/>
      <sheetName val="Staff_Acco_5"/>
      <sheetName val="Project_Budget_Worksheet5"/>
      <sheetName val="RMZ_Summary5"/>
      <sheetName val="Misc_Liq5"/>
      <sheetName val="SUPPLY_-Sanitary_Fixtures5"/>
      <sheetName val="ITEMS_FOR_CIVIL_TENDER5"/>
      <sheetName val="Global_Assm_5"/>
      <sheetName val="PointNo_55"/>
      <sheetName val="ESTIMATE_for_approval5"/>
      <sheetName val="Phase_15"/>
      <sheetName val="Phase_25"/>
      <sheetName val="Pay_Rec5"/>
      <sheetName val="S_25"/>
      <sheetName val="07016,_Master_List-Major_Minor5"/>
      <sheetName val="Other_Inc5"/>
      <sheetName val="Room_Rev5"/>
      <sheetName val="SMS_Format5"/>
      <sheetName val="MASTER_RATE_ANALYSIS5"/>
      <sheetName val="GF_Columns5"/>
      <sheetName val="IO_LIST5"/>
      <sheetName val="Basic_Rates5"/>
      <sheetName val="Summary_year_Plan5"/>
      <sheetName val="INDIGINEOUS_ITEMS_5"/>
      <sheetName val="Extra_Item5"/>
      <sheetName val="schedule_nos5"/>
      <sheetName val="_B35"/>
      <sheetName val="_B15"/>
      <sheetName val="AutoOpen_Stub_Data5"/>
      <sheetName val="os_liabilities_analysis5"/>
      <sheetName val="3cd_Annexure5"/>
      <sheetName val="Civil_Boq5"/>
      <sheetName val="Assumption_Inputs5"/>
      <sheetName val="labour_coeff5"/>
      <sheetName val="sqn_ldr_3_Unit_2_5"/>
      <sheetName val="Reference_Information5"/>
      <sheetName val="Employee_List5"/>
      <sheetName val="Sales_Office5"/>
      <sheetName val="SECURITY_15"/>
      <sheetName val="Area_St5"/>
      <sheetName val="collections_plan_04015"/>
      <sheetName val="LOCAL_RATES5"/>
      <sheetName val="Msht_5F5"/>
      <sheetName val="Risk_&amp;_Opportunities5"/>
      <sheetName val="PA-_Consutant_5"/>
      <sheetName val="ISO_RECON5"/>
      <sheetName val="Back_filling5"/>
      <sheetName val="NT_items_summary5"/>
      <sheetName val="Meas_-Hotel_Part5"/>
      <sheetName val="type_ahead_combo5"/>
      <sheetName val="labour_rates5"/>
      <sheetName val="RCC,Ret__Wall5"/>
      <sheetName val="Erection_grider5"/>
      <sheetName val="FTE_Totals_Plan5"/>
      <sheetName val="DATA_BOQ5"/>
      <sheetName val="Order_Info5"/>
      <sheetName val="BASIS_-DEC_081"/>
      <sheetName val="Block_A_-_BOQ1"/>
      <sheetName val="Approved_MTD_Proj_#'s1"/>
      <sheetName val="Status_Control_Sheet1"/>
      <sheetName val="HOLIDAY_LIST1"/>
      <sheetName val="DASH_BOARD1"/>
      <sheetName val="Overall_Summary7"/>
      <sheetName val="Basement_Summary7"/>
      <sheetName val="Basement_Budget7"/>
      <sheetName val="Podium_Summary7"/>
      <sheetName val="Podium_Budgets7"/>
      <sheetName val="Guestroom_Summary7"/>
      <sheetName val="Guestroom_Budget7"/>
      <sheetName val="Sitework_Summary7"/>
      <sheetName val="Sitework_Budget7"/>
      <sheetName val="Master_Sheet7"/>
      <sheetName val="GM_&amp;_TA7"/>
      <sheetName val="Cost_summary7"/>
      <sheetName val="TBAL9697_-group_wise__sdpl7"/>
      <sheetName val="Material_7"/>
      <sheetName val="Labour_&amp;_Plant7"/>
      <sheetName val="LIST_OF_MAKES7"/>
      <sheetName val="INPUT_SHEET7"/>
      <sheetName val="Site_Dev_BOQ7"/>
      <sheetName val="CFForecast_detail6"/>
      <sheetName val="3__Elemental_Summary6"/>
      <sheetName val="9__Package_split_-_Cost_6"/>
      <sheetName val="12a__CFTable6"/>
      <sheetName val="10__&amp;_11__Rate_Code_&amp;_BQ6"/>
      <sheetName val="Break_up_Sheet7"/>
      <sheetName val="PRECAST_lightconc-II6"/>
      <sheetName val="PANEL_ANNEXURE7"/>
      <sheetName val="Rate_analysis7"/>
      <sheetName val="Fill_this_out_first___7"/>
      <sheetName val="X_rate6"/>
      <sheetName val="final_estimate6"/>
      <sheetName val="Base_data_Security_Procedures6"/>
      <sheetName val="Fin__Assumpt__-_Sensitivities6"/>
      <sheetName val="Template-Design_Devt_Estimate6"/>
      <sheetName val="Staff_Acco_6"/>
      <sheetName val="Project_Budget_Worksheet6"/>
      <sheetName val="RMZ_Summary6"/>
      <sheetName val="Misc_Liq6"/>
      <sheetName val="SUPPLY_-Sanitary_Fixtures6"/>
      <sheetName val="ITEMS_FOR_CIVIL_TENDER6"/>
      <sheetName val="Global_Assm_6"/>
      <sheetName val="PointNo_56"/>
      <sheetName val="ESTIMATE_for_approval6"/>
      <sheetName val="Phase_16"/>
      <sheetName val="Phase_26"/>
      <sheetName val="Pay_Rec6"/>
      <sheetName val="S_26"/>
      <sheetName val="07016,_Master_List-Major_Minor6"/>
      <sheetName val="Other_Inc6"/>
      <sheetName val="Room_Rev6"/>
      <sheetName val="SMS_Format6"/>
      <sheetName val="MASTER_RATE_ANALYSIS6"/>
      <sheetName val="GF_Columns6"/>
      <sheetName val="IO_LIST6"/>
      <sheetName val="Basic_Rates6"/>
      <sheetName val="Summary_year_Plan6"/>
      <sheetName val="INDIGINEOUS_ITEMS_6"/>
      <sheetName val="Extra_Item6"/>
      <sheetName val="schedule_nos6"/>
      <sheetName val="_B36"/>
      <sheetName val="_B16"/>
      <sheetName val="AutoOpen_Stub_Data6"/>
      <sheetName val="os_liabilities_analysis6"/>
      <sheetName val="3cd_Annexure6"/>
      <sheetName val="Civil_Boq6"/>
      <sheetName val="Assumption_Inputs6"/>
      <sheetName val="labour_coeff6"/>
      <sheetName val="sqn_ldr_3_Unit_2_6"/>
      <sheetName val="Reference_Information6"/>
      <sheetName val="Employee_List6"/>
      <sheetName val="Sales_Office6"/>
      <sheetName val="SECURITY_16"/>
      <sheetName val="Area_St6"/>
      <sheetName val="collections_plan_04016"/>
      <sheetName val="LOCAL_RATES6"/>
      <sheetName val="Msht_5F6"/>
      <sheetName val="Risk_&amp;_Opportunities6"/>
      <sheetName val="PA-_Consutant_6"/>
      <sheetName val="ISO_RECON6"/>
      <sheetName val="Back_filling6"/>
      <sheetName val="NT_items_summary6"/>
      <sheetName val="Meas_-Hotel_Part6"/>
      <sheetName val="type_ahead_combo6"/>
      <sheetName val="labour_rates6"/>
      <sheetName val="RCC,Ret__Wall6"/>
      <sheetName val="Erection_grider6"/>
      <sheetName val="FTE_Totals_Plan6"/>
      <sheetName val="DATA_BOQ6"/>
      <sheetName val="Order_Info6"/>
      <sheetName val="BASIS_-DEC_082"/>
      <sheetName val="Block_A_-_BOQ2"/>
      <sheetName val="Approved_MTD_Proj_#'s2"/>
      <sheetName val="Status_Control_Sheet2"/>
      <sheetName val="HOLIDAY_LIST2"/>
      <sheetName val="DASH_BOARD2"/>
      <sheetName val="Modular"/>
      <sheetName val="RA-markate"/>
      <sheetName val="Register"/>
      <sheetName val="Reference Values"/>
      <sheetName val="LANGUAGE"/>
      <sheetName val="Hot"/>
      <sheetName val="Field Values"/>
      <sheetName val="sheeet7"/>
      <sheetName val="BLOCK-E"/>
      <sheetName val="WORK TABLE"/>
      <sheetName val="grid"/>
      <sheetName val="cashflow"/>
      <sheetName val="SITE OVERHEADS"/>
      <sheetName val="환율"/>
      <sheetName val="storm water1"/>
      <sheetName val="MB.Prod"/>
      <sheetName val="Material Current"/>
      <sheetName val="D1_CO"/>
      <sheetName val="Break_Up (bc)"/>
      <sheetName val="Break_Up (bc1)"/>
      <sheetName val="Break_Up (bc2)"/>
      <sheetName val="Status"/>
      <sheetName val="electr__work_CA_"/>
      <sheetName val="A"/>
      <sheetName val="except wiring"/>
      <sheetName val="Step 7"/>
      <sheetName val="BLKs_C"/>
      <sheetName val="LT internal works"/>
      <sheetName val="OpRes"/>
      <sheetName val="WING - A RAFT (23-08-09)"/>
      <sheetName val="System"/>
      <sheetName val="General input"/>
      <sheetName val="FORM-16"/>
      <sheetName val="Senorita Project information"/>
      <sheetName val="Data base"/>
      <sheetName val="sheet6"/>
      <sheetName val="G.1-AV SYSTEM"/>
      <sheetName val="sq ftg detail"/>
      <sheetName val="lookup"/>
      <sheetName val="F4.13"/>
      <sheetName val="office"/>
      <sheetName val="Lab"/>
      <sheetName val="Material&amp;equipment"/>
      <sheetName val="Detail In Door Stad"/>
      <sheetName val=""/>
      <sheetName val="A.CIVIL AND INTERIOR WORKS"/>
      <sheetName val="입찰내역 발주처 양식"/>
      <sheetName val="Comparative at bid opening"/>
      <sheetName val="-"/>
      <sheetName val="Basic Resources"/>
      <sheetName val="Overall_Summary8"/>
      <sheetName val="Basement_Summary8"/>
      <sheetName val="Basement_Budget8"/>
      <sheetName val="Podium_Summary8"/>
      <sheetName val="Podium_Budgets8"/>
      <sheetName val="Guestroom_Summary8"/>
      <sheetName val="Guestroom_Budget8"/>
      <sheetName val="Sitework_Summary8"/>
      <sheetName val="Sitework_Budget8"/>
      <sheetName val="GM_&amp;_TA8"/>
      <sheetName val="TBAL9697_-group_wise__sdpl8"/>
      <sheetName val="Overall_Summary9"/>
      <sheetName val="Basement_Summary9"/>
      <sheetName val="Basement_Budget9"/>
      <sheetName val="Podium_Summary9"/>
      <sheetName val="Podium_Budgets9"/>
      <sheetName val="Guestroom_Summary9"/>
      <sheetName val="Guestroom_Budget9"/>
      <sheetName val="Sitework_Summary9"/>
      <sheetName val="Sitework_Budget9"/>
      <sheetName val="GM_&amp;_TA9"/>
      <sheetName val="TBAL9697_-group_wise__sdpl9"/>
      <sheetName val="Break_up_Sheet8"/>
      <sheetName val="LIST_OF_MAKES8"/>
      <sheetName val="INPUT_SHEET8"/>
      <sheetName val="Overall_Summary10"/>
      <sheetName val="Basement_Summary10"/>
      <sheetName val="Basement_Budget10"/>
      <sheetName val="Podium_Summary10"/>
      <sheetName val="Podium_Budgets10"/>
      <sheetName val="Guestroom_Summary10"/>
      <sheetName val="Guestroom_Budget10"/>
      <sheetName val="Sitework_Summary10"/>
      <sheetName val="Sitework_Budget10"/>
      <sheetName val="GM_&amp;_TA10"/>
      <sheetName val="TBAL9697_-group_wise__sdpl10"/>
      <sheetName val="Break_up_Sheet9"/>
      <sheetName val="LIST_OF_MAKES9"/>
      <sheetName val="INPUT_SHEET9"/>
      <sheetName val="Overall_Summary11"/>
      <sheetName val="Basement_Summary11"/>
      <sheetName val="Basement_Budget11"/>
      <sheetName val="Podium_Summary11"/>
      <sheetName val="Podium_Budgets11"/>
      <sheetName val="Guestroom_Summary11"/>
      <sheetName val="Guestroom_Budget11"/>
      <sheetName val="Sitework_Summary11"/>
      <sheetName val="Sitework_Budget11"/>
      <sheetName val="GM_&amp;_TA11"/>
      <sheetName val="TBAL9697_-group_wise__sdpl11"/>
      <sheetName val="Break_up_Sheet10"/>
      <sheetName val="LIST_OF_MAKES10"/>
      <sheetName val="INPUT_SHEET10"/>
      <sheetName val="Overall_Summary15"/>
      <sheetName val="Basement_Summary15"/>
      <sheetName val="Basement_Budget15"/>
      <sheetName val="Podium_Summary15"/>
      <sheetName val="Podium_Budgets15"/>
      <sheetName val="Guestroom_Summary15"/>
      <sheetName val="Guestroom_Budget15"/>
      <sheetName val="Sitework_Summary15"/>
      <sheetName val="Sitework_Budget15"/>
      <sheetName val="GM_&amp;_TA15"/>
      <sheetName val="TBAL9697_-group_wise__sdpl15"/>
      <sheetName val="Break_up_Sheet14"/>
      <sheetName val="LIST_OF_MAKES14"/>
      <sheetName val="INPUT_SHEET14"/>
      <sheetName val="Overall_Summary12"/>
      <sheetName val="Basement_Summary12"/>
      <sheetName val="Basement_Budget12"/>
      <sheetName val="Podium_Summary12"/>
      <sheetName val="Podium_Budgets12"/>
      <sheetName val="Guestroom_Summary12"/>
      <sheetName val="Guestroom_Budget12"/>
      <sheetName val="Sitework_Summary12"/>
      <sheetName val="Sitework_Budget12"/>
      <sheetName val="GM_&amp;_TA12"/>
      <sheetName val="TBAL9697_-group_wise__sdpl12"/>
      <sheetName val="Break_up_Sheet11"/>
      <sheetName val="LIST_OF_MAKES11"/>
      <sheetName val="INPUT_SHEET11"/>
      <sheetName val="Overall_Summary13"/>
      <sheetName val="Basement_Summary13"/>
      <sheetName val="Basement_Budget13"/>
      <sheetName val="Podium_Summary13"/>
      <sheetName val="Podium_Budgets13"/>
      <sheetName val="Guestroom_Summary13"/>
      <sheetName val="Guestroom_Budget13"/>
      <sheetName val="Sitework_Summary13"/>
      <sheetName val="Sitework_Budget13"/>
      <sheetName val="GM_&amp;_TA13"/>
      <sheetName val="TBAL9697_-group_wise__sdpl13"/>
      <sheetName val="Break_up_Sheet12"/>
      <sheetName val="LIST_OF_MAKES12"/>
      <sheetName val="INPUT_SHEET12"/>
      <sheetName val="Overall_Summary14"/>
      <sheetName val="Basement_Summary14"/>
      <sheetName val="Basement_Budget14"/>
      <sheetName val="Podium_Summary14"/>
      <sheetName val="Podium_Budgets14"/>
      <sheetName val="Guestroom_Summary14"/>
      <sheetName val="Guestroom_Budget14"/>
      <sheetName val="Sitework_Summary14"/>
      <sheetName val="Sitework_Budget14"/>
      <sheetName val="GM_&amp;_TA14"/>
      <sheetName val="TBAL9697_-group_wise__sdpl14"/>
      <sheetName val="Break_up_Sheet13"/>
      <sheetName val="LIST_OF_MAKES13"/>
      <sheetName val="INPUT_SHEET13"/>
      <sheetName val="Overall_Summary16"/>
      <sheetName val="Basement_Summary16"/>
      <sheetName val="Basement_Budget16"/>
      <sheetName val="Podium_Summary16"/>
      <sheetName val="Podium_Budgets16"/>
      <sheetName val="Guestroom_Summary16"/>
      <sheetName val="Guestroom_Budget16"/>
      <sheetName val="Sitework_Summary16"/>
      <sheetName val="Sitework_Budget16"/>
      <sheetName val="GM_&amp;_TA16"/>
      <sheetName val="TBAL9697_-group_wise__sdpl16"/>
      <sheetName val="Break_up_Sheet15"/>
      <sheetName val="LIST_OF_MAKES15"/>
      <sheetName val="INPUT_SHEET15"/>
      <sheetName val="Overall_Summary17"/>
      <sheetName val="Basement_Summary17"/>
      <sheetName val="Basement_Budget17"/>
      <sheetName val="Podium_Summary17"/>
      <sheetName val="Podium_Budgets17"/>
      <sheetName val="Guestroom_Summary17"/>
      <sheetName val="Guestroom_Budget17"/>
      <sheetName val="Sitework_Summary17"/>
      <sheetName val="Sitework_Budget17"/>
      <sheetName val="GM_&amp;_TA17"/>
      <sheetName val="TBAL9697_-group_wise__sdpl17"/>
      <sheetName val="Break_up_Sheet16"/>
      <sheetName val="LIST_OF_MAKES16"/>
      <sheetName val="INPUT_SHEET16"/>
      <sheetName val="Overall_Summary18"/>
      <sheetName val="Basement_Summary18"/>
      <sheetName val="Basement_Budget18"/>
      <sheetName val="Podium_Summary18"/>
      <sheetName val="Podium_Budgets18"/>
      <sheetName val="Guestroom_Summary18"/>
      <sheetName val="Guestroom_Budget18"/>
      <sheetName val="Sitework_Summary18"/>
      <sheetName val="Sitework_Budget18"/>
      <sheetName val="GM_&amp;_TA18"/>
      <sheetName val="TBAL9697_-group_wise__sdpl18"/>
      <sheetName val="Break_up_Sheet17"/>
      <sheetName val="LIST_OF_MAKES17"/>
      <sheetName val="INPUT_SHEET17"/>
      <sheetName val="Overall_Summary20"/>
      <sheetName val="Basement_Summary20"/>
      <sheetName val="Basement_Budget20"/>
      <sheetName val="Podium_Summary20"/>
      <sheetName val="Podium_Budgets20"/>
      <sheetName val="Guestroom_Summary20"/>
      <sheetName val="Guestroom_Budget20"/>
      <sheetName val="Sitework_Summary20"/>
      <sheetName val="Sitework_Budget20"/>
      <sheetName val="GM_&amp;_TA20"/>
      <sheetName val="TBAL9697_-group_wise__sdpl20"/>
      <sheetName val="Break_up_Sheet19"/>
      <sheetName val="LIST_OF_MAKES19"/>
      <sheetName val="INPUT_SHEET19"/>
      <sheetName val="Overall_Summary19"/>
      <sheetName val="Basement_Summary19"/>
      <sheetName val="Basement_Budget19"/>
      <sheetName val="Podium_Summary19"/>
      <sheetName val="Podium_Budgets19"/>
      <sheetName val="Guestroom_Summary19"/>
      <sheetName val="Guestroom_Budget19"/>
      <sheetName val="Sitework_Summary19"/>
      <sheetName val="Sitework_Budget19"/>
      <sheetName val="GM_&amp;_TA19"/>
      <sheetName val="TBAL9697_-group_wise__sdpl19"/>
      <sheetName val="Break_up_Sheet18"/>
      <sheetName val="LIST_OF_MAKES18"/>
      <sheetName val="INPUT_SHEET18"/>
      <sheetName val="Overall_Summary21"/>
      <sheetName val="Basement_Summary21"/>
      <sheetName val="Basement_Budget21"/>
      <sheetName val="Podium_Summary21"/>
      <sheetName val="Podium_Budgets21"/>
      <sheetName val="Guestroom_Summary21"/>
      <sheetName val="Guestroom_Budget21"/>
      <sheetName val="Sitework_Summary21"/>
      <sheetName val="Sitework_Budget21"/>
      <sheetName val="GM_&amp;_TA21"/>
      <sheetName val="TBAL9697_-group_wise__sdpl21"/>
      <sheetName val="Break_up_Sheet20"/>
      <sheetName val="LIST_OF_MAKES20"/>
      <sheetName val="INPUT_SHEET20"/>
      <sheetName val="Overall_Summary22"/>
      <sheetName val="Basement_Summary22"/>
      <sheetName val="Basement_Budget22"/>
      <sheetName val="Podium_Summary22"/>
      <sheetName val="Podium_Budgets22"/>
      <sheetName val="Guestroom_Summary22"/>
      <sheetName val="Guestroom_Budget22"/>
      <sheetName val="Sitework_Summary22"/>
      <sheetName val="Sitework_Budget22"/>
      <sheetName val="GM_&amp;_TA22"/>
      <sheetName val="TBAL9697_-group_wise__sdpl22"/>
      <sheetName val="Break_up_Sheet21"/>
      <sheetName val="LIST_OF_MAKES21"/>
      <sheetName val="INPUT_SHEET21"/>
      <sheetName val="Overall_Summary23"/>
      <sheetName val="Basement_Summary23"/>
      <sheetName val="Basement_Budget23"/>
      <sheetName val="Podium_Summary23"/>
      <sheetName val="Podium_Budgets23"/>
      <sheetName val="Guestroom_Summary23"/>
      <sheetName val="Guestroom_Budget23"/>
      <sheetName val="Sitework_Summary23"/>
      <sheetName val="Sitework_Budget23"/>
      <sheetName val="GM_&amp;_TA23"/>
      <sheetName val="TBAL9697_-group_wise__sdpl23"/>
      <sheetName val="Break_up_Sheet22"/>
      <sheetName val="LIST_OF_MAKES22"/>
      <sheetName val="INPUT_SHEET22"/>
      <sheetName val="CIF COST ITEM"/>
      <sheetName val="4.총괄(통합)"/>
      <sheetName val="Electrical-Line Items"/>
      <sheetName val="사진"/>
      <sheetName val="Boiler&amp;TG"/>
      <sheetName val="一発シート"/>
      <sheetName val="OS"/>
      <sheetName val="PANEL_ANNEXURE8"/>
      <sheetName val="Cost_summary8"/>
      <sheetName val="Master_Sheet8"/>
      <sheetName val="Rate_analysis8"/>
      <sheetName val="Material_8"/>
      <sheetName val="Labour_&amp;_Plant8"/>
      <sheetName val="Site_Dev_BOQ8"/>
      <sheetName val="Fill_this_out_first___8"/>
      <sheetName val="X_rate7"/>
      <sheetName val="CFForecast_detail7"/>
      <sheetName val="3__Elemental_Summary7"/>
      <sheetName val="9__Package_split_-_Cost_7"/>
      <sheetName val="12a__CFTable7"/>
      <sheetName val="10__&amp;_11__Rate_Code_&amp;_BQ7"/>
      <sheetName val="PRECAST_lightconc-II7"/>
      <sheetName val="final_estimate7"/>
      <sheetName val="Template-Design_Devt_Estimate7"/>
      <sheetName val="RMZ_Summary7"/>
      <sheetName val="Staff_Acco_7"/>
      <sheetName val="Fin__Assumpt__-_Sensitivities7"/>
      <sheetName val="Misc_Liq7"/>
      <sheetName val="S_27"/>
      <sheetName val="Base_data_Security_Procedures7"/>
      <sheetName val="Project_Budget_Worksheet7"/>
      <sheetName val="GF_Columns7"/>
      <sheetName val="IO_LIST7"/>
      <sheetName val="SUPPLY_-Sanitary_Fixtures7"/>
      <sheetName val="ITEMS_FOR_CIVIL_TENDER7"/>
      <sheetName val="Other_Inc7"/>
      <sheetName val="Room_Rev7"/>
      <sheetName val="SMS_Format7"/>
      <sheetName val="Global_Assm_7"/>
      <sheetName val="PointNo_57"/>
      <sheetName val="Summary_year_Plan7"/>
      <sheetName val="ESTIMATE_for_approval7"/>
      <sheetName val="Phase_17"/>
      <sheetName val="Phase_27"/>
      <sheetName val="Pay_Rec7"/>
      <sheetName val="07016,_Master_List-Major_Minor7"/>
      <sheetName val="MASTER_RATE_ANALYSIS7"/>
      <sheetName val="Basic_Rates7"/>
      <sheetName val="INDIGINEOUS_ITEMS_7"/>
      <sheetName val="_B37"/>
      <sheetName val="_B17"/>
      <sheetName val="Extra_Item7"/>
      <sheetName val="schedule_nos7"/>
      <sheetName val="os_liabilities_analysis7"/>
      <sheetName val="AutoOpen_Stub_Data7"/>
      <sheetName val="3cd_Annexure7"/>
      <sheetName val="Reference_Information7"/>
      <sheetName val="Employee_List7"/>
      <sheetName val="Sales_Office7"/>
      <sheetName val="SECURITY_17"/>
      <sheetName val="labour_coeff7"/>
      <sheetName val="Civil_Boq7"/>
      <sheetName val="Assumption_Inputs7"/>
      <sheetName val="sqn_ldr_3_Unit_2_7"/>
      <sheetName val="Area_St7"/>
      <sheetName val="collections_plan_04017"/>
      <sheetName val="Risk_&amp;_Opportunities7"/>
      <sheetName val="type_ahead_combo7"/>
      <sheetName val="LOCAL_RATES7"/>
      <sheetName val="Msht_5F7"/>
      <sheetName val="ISO_RECON7"/>
      <sheetName val="Back_filling7"/>
      <sheetName val="NT_items_summary7"/>
      <sheetName val="DATA_BOQ7"/>
      <sheetName val="Meas_-Hotel_Part7"/>
      <sheetName val="labour_rates7"/>
      <sheetName val="RCC,Ret__Wall7"/>
      <sheetName val="FTE_Totals_Plan7"/>
      <sheetName val="Erection_grider7"/>
      <sheetName val="PA-_Consutant_7"/>
      <sheetName val="Order_Info7"/>
      <sheetName val="Status_Control_Sheet3"/>
      <sheetName val="HOLIDAY_LIST3"/>
      <sheetName val="DASH_BOARD3"/>
      <sheetName val="Approved_MTD_Proj_#'s3"/>
      <sheetName val="BASIS_-DEC_083"/>
      <sheetName val="Block_A_-_BOQ3"/>
      <sheetName val="electr__work_CA_1"/>
      <sheetName val="beam-reinft-IIInd_floor"/>
      <sheetName val="L_Chg"/>
      <sheetName val="Building_1"/>
      <sheetName val="PPA_Summary"/>
      <sheetName val="reference"/>
      <sheetName val="PLANNING"/>
      <sheetName val="India F&amp;S Template"/>
      <sheetName val="IBD"/>
      <sheetName val="MLCP Connection Details"/>
      <sheetName val="KALK"/>
      <sheetName val="JACKWELL"/>
      <sheetName val="CABLERET"/>
      <sheetName val="Sch-3"/>
      <sheetName val="Tables"/>
      <sheetName val="Electrical"/>
      <sheetName val="S &amp; A"/>
      <sheetName val="Formula"/>
      <sheetName val="Labour"/>
      <sheetName val="CABLE DATA"/>
      <sheetName val="XREF"/>
      <sheetName val="INTERIORS"/>
      <sheetName val="Fire Pumps"/>
      <sheetName val="B - E"/>
      <sheetName val="Civil Works"/>
      <sheetName val="prsch"/>
      <sheetName val="BM"/>
      <sheetName val="measersheet"/>
      <sheetName val="Parameter"/>
      <sheetName val="concrete"/>
      <sheetName val="35892-1254"/>
      <sheetName val="Weightage-Sub Sht"/>
      <sheetName val="Risk Assessment"/>
      <sheetName val="Sheet1 (2)"/>
      <sheetName val="Sheet5"/>
      <sheetName val="Position_Class"/>
      <sheetName val="Ext_Works"/>
      <sheetName val="Budgetary_office_area"/>
      <sheetName val="WORK_TABLE"/>
      <sheetName val="col-reinft1"/>
      <sheetName val="Vind-BtB"/>
      <sheetName val="Set"/>
      <sheetName val="Overall_Summary_x0003_"/>
      <sheetName val="Overall_Summary°"/>
      <sheetName val="Rising Main"/>
      <sheetName val="FX"/>
      <sheetName val="Architect"/>
      <sheetName val="Work"/>
      <sheetName val="Mechanical"/>
      <sheetName val="Structural"/>
      <sheetName val="PAYWORK"/>
      <sheetName val="InterCoBala"/>
      <sheetName val="FA BOQ"/>
      <sheetName val="CCTV(old)"/>
      <sheetName val="d-safe specs"/>
      <sheetName val="Global factors"/>
      <sheetName val="Detail Top Sheet"/>
      <sheetName val="Basement Budget:Podium Summary"/>
      <sheetName val="C23"/>
      <sheetName val="31st_Oct"/>
      <sheetName val="01st_Nov"/>
      <sheetName val="SP Break Up"/>
      <sheetName val="ACS(1)"/>
      <sheetName val="2.DATA"/>
      <sheetName val="water prop."/>
      <sheetName val="List"/>
      <sheetName val="INTERIOR"/>
      <sheetName val="FAS-C(4)"/>
      <sheetName val="Sheet 1"/>
      <sheetName val="SWL SUMMARY"/>
      <sheetName val="Driveway_Beams"/>
      <sheetName val="Break_Dw"/>
      <sheetName val="Reference_Values"/>
      <sheetName val="65_FINANCE"/>
      <sheetName val="Pacakges_split"/>
      <sheetName val="appendix_A"/>
      <sheetName val="d-safe_DELUXE"/>
      <sheetName val="Diawise_steel_abstract"/>
      <sheetName val="Budgetary_office_area1"/>
      <sheetName val="Ext_Works1"/>
      <sheetName val="Position_Class1"/>
      <sheetName val="Driveway_Beams1"/>
      <sheetName val="Building_11"/>
      <sheetName val="PPA_Summary1"/>
      <sheetName val="Budgetary_office_area2"/>
      <sheetName val="Ext_Works2"/>
      <sheetName val="Position_Class2"/>
      <sheetName val="electr__work_CA_2"/>
      <sheetName val="Driveway_Beams2"/>
      <sheetName val="Building_12"/>
      <sheetName val="PPA_Summary2"/>
      <sheetName val="Break_Dw1"/>
      <sheetName val="Reference_Values1"/>
      <sheetName val="L_Chg1"/>
      <sheetName val="65_FINANCE1"/>
      <sheetName val="Pacakges_split1"/>
      <sheetName val="beam-reinft-IIInd_floor1"/>
      <sheetName val="appendix_A1"/>
      <sheetName val="d-safe_DELUXE1"/>
      <sheetName val="Diawise_steel_abstract1"/>
      <sheetName val="Overall_Summary_x0000_"/>
      <sheetName val="PhaDoMong"/>
      <sheetName val="WING_-_A_RAFT_(23-08-09)"/>
      <sheetName val="Material_Current"/>
      <sheetName val="Detail_In_Door_Stad"/>
      <sheetName val="SITE_OVERHEADS"/>
      <sheetName val="storm_water1"/>
      <sheetName val="MB_Prod"/>
      <sheetName val="except_wiring"/>
      <sheetName val="Field_Values"/>
      <sheetName val="General_input"/>
      <sheetName val="Break_Up_(bc)"/>
      <sheetName val="Break_Up_(bc1)"/>
      <sheetName val="Break_Up_(bc2)"/>
      <sheetName val="Step_7"/>
      <sheetName val="Senorita_Project_information"/>
      <sheetName val="Data_base"/>
      <sheetName val="G_1-AV_SYSTEM"/>
      <sheetName val="CIF_COST_ITEM"/>
      <sheetName val="Master_Sheet9"/>
      <sheetName val="Cost_summary9"/>
      <sheetName val="Material_9"/>
      <sheetName val="Labour_&amp;_Plant9"/>
      <sheetName val="Site_Dev_BOQ9"/>
      <sheetName val="CFForecast_detail8"/>
      <sheetName val="PANEL_ANNEXURE9"/>
      <sheetName val="Rate_analysis9"/>
      <sheetName val="X_rate8"/>
      <sheetName val="3__Elemental_Summary8"/>
      <sheetName val="9__Package_split_-_Cost_8"/>
      <sheetName val="12a__CFTable8"/>
      <sheetName val="10__&amp;_11__Rate_Code_&amp;_BQ8"/>
      <sheetName val="PRECAST_lightconc-II8"/>
      <sheetName val="Fill_this_out_first___9"/>
      <sheetName val="final_estimate8"/>
      <sheetName val="Base_data_Security_Procedures8"/>
      <sheetName val="Fin__Assumpt__-_Sensitivities8"/>
      <sheetName val="Template-Design_Devt_Estimate8"/>
      <sheetName val="Staff_Acco_8"/>
      <sheetName val="Project_Budget_Worksheet8"/>
      <sheetName val="RMZ_Summary8"/>
      <sheetName val="Misc_Liq8"/>
      <sheetName val="Phase_18"/>
      <sheetName val="Phase_28"/>
      <sheetName val="Pay_Rec8"/>
      <sheetName val="Other_Inc8"/>
      <sheetName val="Room_Rev8"/>
      <sheetName val="SMS_Format8"/>
      <sheetName val="S_28"/>
      <sheetName val="Summary_year_Plan8"/>
      <sheetName val="SECURITY_18"/>
      <sheetName val="GF_Columns8"/>
      <sheetName val="IO_LIST8"/>
      <sheetName val="Reference_Information8"/>
      <sheetName val="Employee_List8"/>
      <sheetName val="Sales_Office8"/>
      <sheetName val="SUPPLY_-Sanitary_Fixtures8"/>
      <sheetName val="ITEMS_FOR_CIVIL_TENDER8"/>
      <sheetName val="Global_Assm_8"/>
      <sheetName val="PointNo_58"/>
      <sheetName val="ESTIMATE_for_approval8"/>
      <sheetName val="07016,_Master_List-Major_Minor8"/>
      <sheetName val="MASTER_RATE_ANALYSIS8"/>
      <sheetName val="Basic_Rates8"/>
      <sheetName val="_B38"/>
      <sheetName val="_B18"/>
      <sheetName val="Extra_Item8"/>
      <sheetName val="schedule_nos8"/>
      <sheetName val="AutoOpen_Stub_Data8"/>
      <sheetName val="INDIGINEOUS_ITEMS_8"/>
      <sheetName val="os_liabilities_analysis8"/>
      <sheetName val="3cd_Annexure8"/>
      <sheetName val="collections_plan_04018"/>
      <sheetName val="Civil_Boq8"/>
      <sheetName val="Area_St8"/>
      <sheetName val="Assumption_Inputs8"/>
      <sheetName val="Meas_-Hotel_Part8"/>
      <sheetName val="Risk_&amp;_Opportunities8"/>
      <sheetName val="type_ahead_combo8"/>
      <sheetName val="labour_rates8"/>
      <sheetName val="Msht_5F8"/>
      <sheetName val="sqn_ldr_3_Unit_2_8"/>
      <sheetName val="labour_coeff8"/>
      <sheetName val="ISO_RECON8"/>
      <sheetName val="Back_filling8"/>
      <sheetName val="NT_items_summary8"/>
      <sheetName val="LOCAL_RATES8"/>
      <sheetName val="RCC,Ret__Wall8"/>
      <sheetName val="Erection_grider8"/>
      <sheetName val="PA-_Consutant_8"/>
      <sheetName val="FTE_Totals_Plan8"/>
      <sheetName val="Order_Info8"/>
      <sheetName val="DATA_BOQ8"/>
      <sheetName val="HOLIDAY_LIST4"/>
      <sheetName val="DASH_BOARD4"/>
      <sheetName val="Status_Control_Sheet4"/>
      <sheetName val="Approved_MTD_Proj_#'s4"/>
      <sheetName val="BASIS_-DEC_084"/>
      <sheetName val="Block_A_-_BOQ4"/>
      <sheetName val="WING_-_A_RAFT_(23-08-09)1"/>
      <sheetName val="Material_Current1"/>
      <sheetName val="Detail_In_Door_Stad1"/>
      <sheetName val="SITE_OVERHEADS1"/>
      <sheetName val="storm_water11"/>
      <sheetName val="MB_Prod1"/>
      <sheetName val="except_wiring1"/>
      <sheetName val="Field_Values1"/>
      <sheetName val="General_input1"/>
      <sheetName val="Break_Up_(bc)1"/>
      <sheetName val="Break_Up_(bc1)1"/>
      <sheetName val="Break_Up_(bc2)1"/>
      <sheetName val="Step_71"/>
      <sheetName val="WORK_TABLE1"/>
      <sheetName val="Senorita_Project_information1"/>
      <sheetName val="Data_base1"/>
      <sheetName val="G_1-AV_SYSTEM1"/>
      <sheetName val="CIF_COST_ITEM1"/>
      <sheetName val="Cost_summary10"/>
      <sheetName val="PANEL_ANNEXURE10"/>
      <sheetName val="Rate_analysis10"/>
      <sheetName val="Material_10"/>
      <sheetName val="Labour_&amp;_Plant10"/>
      <sheetName val="Master_Sheet10"/>
      <sheetName val="Site_Dev_BOQ10"/>
      <sheetName val="CFForecast_detail9"/>
      <sheetName val="3__Elemental_Summary9"/>
      <sheetName val="9__Package_split_-_Cost_9"/>
      <sheetName val="12a__CFTable9"/>
      <sheetName val="10__&amp;_11__Rate_Code_&amp;_BQ9"/>
      <sheetName val="PRECAST_lightconc-II9"/>
      <sheetName val="Misc_Liq9"/>
      <sheetName val="Fill_this_out_first___10"/>
      <sheetName val="Staff_Acco_9"/>
      <sheetName val="X_rate9"/>
      <sheetName val="final_estimate9"/>
      <sheetName val="Template-Design_Devt_Estimate9"/>
      <sheetName val="Fin__Assumpt__-_Sensitivities9"/>
      <sheetName val="SUPPLY_-Sanitary_Fixtures9"/>
      <sheetName val="ITEMS_FOR_CIVIL_TENDER9"/>
      <sheetName val="Global_Assm_9"/>
      <sheetName val="PointNo_59"/>
      <sheetName val="Base_data_Security_Procedures9"/>
      <sheetName val="Project_Budget_Worksheet9"/>
      <sheetName val="RMZ_Summary9"/>
      <sheetName val="Phase_19"/>
      <sheetName val="Phase_29"/>
      <sheetName val="Pay_Rec9"/>
      <sheetName val="Other_Inc9"/>
      <sheetName val="Room_Rev9"/>
      <sheetName val="SMS_Format9"/>
      <sheetName val="S_29"/>
      <sheetName val="ESTIMATE_for_approval9"/>
      <sheetName val="Summary_year_Plan9"/>
      <sheetName val="Basic_Rates9"/>
      <sheetName val="07016,_Master_List-Major_Minor9"/>
      <sheetName val="GF_Columns9"/>
      <sheetName val="IO_LIST9"/>
      <sheetName val="3cd_Annexure9"/>
      <sheetName val="os_liabilities_analysis9"/>
      <sheetName val="MASTER_RATE_ANALYSIS9"/>
      <sheetName val="INDIGINEOUS_ITEMS_9"/>
      <sheetName val="Extra_Item9"/>
      <sheetName val="schedule_nos9"/>
      <sheetName val="_B39"/>
      <sheetName val="_B19"/>
      <sheetName val="AutoOpen_Stub_Data9"/>
      <sheetName val="Assumption_Inputs9"/>
      <sheetName val="Civil_Boq9"/>
      <sheetName val="Area_St9"/>
      <sheetName val="Reference_Information9"/>
      <sheetName val="Employee_List9"/>
      <sheetName val="Sales_Office9"/>
      <sheetName val="labour_coeff9"/>
      <sheetName val="SECURITY_19"/>
      <sheetName val="sqn_ldr_3_Unit_2_9"/>
      <sheetName val="collections_plan_04019"/>
      <sheetName val="Risk_&amp;_Opportunities9"/>
      <sheetName val="type_ahead_combo9"/>
      <sheetName val="LOCAL_RATES9"/>
      <sheetName val="ISO_RECON9"/>
      <sheetName val="Back_filling9"/>
      <sheetName val="NT_items_summary9"/>
      <sheetName val="PA-_Consutant_9"/>
      <sheetName val="Msht_5F9"/>
      <sheetName val="RCC,Ret__Wall9"/>
      <sheetName val="Meas_-Hotel_Part9"/>
      <sheetName val="labour_rates9"/>
      <sheetName val="FTE_Totals_Plan9"/>
      <sheetName val="Erection_grider9"/>
      <sheetName val="Order_Info9"/>
      <sheetName val="DATA_BOQ9"/>
      <sheetName val="BASIS_-DEC_085"/>
      <sheetName val="Block_A_-_BOQ5"/>
      <sheetName val="Approved_MTD_Proj_#'s5"/>
      <sheetName val="Status_Control_Sheet5"/>
      <sheetName val="HOLIDAY_LIST5"/>
      <sheetName val="DASH_BOARD5"/>
      <sheetName val="beam-reinft-IIInd_floor2"/>
      <sheetName val="L_Chg2"/>
      <sheetName val="appendix_A2"/>
      <sheetName val="except_wiring2"/>
      <sheetName val="d-safe_DELUXE2"/>
      <sheetName val="Diawise_steel_abstract2"/>
      <sheetName val="WING_-_A_RAFT_(23-08-09)2"/>
      <sheetName val="Reference_Values2"/>
      <sheetName val="65_FINANCE2"/>
      <sheetName val="Break_Dw2"/>
      <sheetName val="Material_Current2"/>
      <sheetName val="Detail_In_Door_Stad2"/>
      <sheetName val="SITE_OVERHEADS2"/>
      <sheetName val="storm_water12"/>
      <sheetName val="MB_Prod2"/>
      <sheetName val="Pacakges_split2"/>
      <sheetName val="Field_Values2"/>
      <sheetName val="General_input2"/>
      <sheetName val="Break_Up_(bc)2"/>
      <sheetName val="Break_Up_(bc1)2"/>
      <sheetName val="Break_Up_(bc2)2"/>
      <sheetName val="Step_72"/>
      <sheetName val="WORK_TABLE2"/>
      <sheetName val="Senorita_Project_information2"/>
      <sheetName val="Data_base2"/>
      <sheetName val="G_1-AV_SYSTEM2"/>
      <sheetName val="CIF_COST_ITEM2"/>
      <sheetName val="Overall_Summary24"/>
      <sheetName val="Basement_Summary24"/>
      <sheetName val="Basement_Budget24"/>
      <sheetName val="Podium_Summary24"/>
      <sheetName val="Podium_Budgets24"/>
      <sheetName val="Guestroom_Summary24"/>
      <sheetName val="Guestroom_Budget24"/>
      <sheetName val="Sitework_Summary24"/>
      <sheetName val="Sitework_Budget24"/>
      <sheetName val="GM_&amp;_TA24"/>
      <sheetName val="Break_up_Sheet23"/>
      <sheetName val="LIST_OF_MAKES23"/>
      <sheetName val="TBAL9697_-group_wise__sdpl24"/>
      <sheetName val="INPUT_SHEET23"/>
      <sheetName val="LT_internal_works"/>
      <sheetName val="A_CIVIL_AND_INTERIOR_WORKS"/>
      <sheetName val="sq_ftg_detail"/>
      <sheetName val="입찰내역_발주처_양식"/>
      <sheetName val="Comparative_at_bid_opening"/>
      <sheetName val="India_F&amp;S_Template"/>
      <sheetName val="F4_13"/>
      <sheetName val="4_총괄(통합)"/>
      <sheetName val="Basic_Resources"/>
      <sheetName val="fcstdwld"/>
      <sheetName val="Plandwld"/>
      <sheetName val="Financing"/>
      <sheetName val="BOQ DG BQ PP"/>
      <sheetName val="NEW Main"/>
      <sheetName val="Start"/>
      <sheetName val="Beam at Ground flr lvl(Steel)"/>
      <sheetName val="sumary"/>
      <sheetName val="Phasewise Dev Summary"/>
      <sheetName val="1"/>
      <sheetName val="info"/>
      <sheetName val="20_002"/>
      <sheetName val="Measurements"/>
      <sheetName val="Flooring"/>
      <sheetName val="Ceilings"/>
      <sheetName val="ACAD_Finishes"/>
      <sheetName val="Site_Details"/>
      <sheetName val="Chair"/>
      <sheetName val="Site_Area_Statement"/>
      <sheetName val="Doors"/>
      <sheetName val="Cat A Change Control"/>
      <sheetName val="calcul"/>
      <sheetName val="margin"/>
      <sheetName val="TT35"/>
      <sheetName val="細目"/>
      <sheetName val="Walmart Budgetary Costing"/>
      <sheetName val="Outgoing"/>
      <sheetName val="Incoming"/>
      <sheetName val="SEW4"/>
      <sheetName val="L.L Rates"/>
      <sheetName val="(7) RFI (Slab)"/>
      <sheetName val="beam-reinft-machine rm"/>
      <sheetName val="Factors, Disc, Acces, Labour"/>
      <sheetName val="Basement Budget_Podium Summary"/>
      <sheetName val="Staff Acco_"/>
      <sheetName val="Non-Factory"/>
      <sheetName val="SPT vs PHI"/>
      <sheetName val="FURNITURE"/>
      <sheetName val="Project Profile"/>
      <sheetName val="Mini"/>
      <sheetName val="Jan resp"/>
      <sheetName val="nglrpt042964858"/>
      <sheetName val="Trial Bal"/>
      <sheetName val="Desc "/>
      <sheetName val="Costing Sheet"/>
      <sheetName val="Sheet3 (2)"/>
      <sheetName val="Groupings-final"/>
      <sheetName val="Sched"/>
      <sheetName val="Trial"/>
      <sheetName val="FA_Final"/>
      <sheetName val="jobhist"/>
      <sheetName val="int-Dia-hdpe"/>
      <sheetName val="habs-list"/>
      <sheetName val="int-Dia-pvc"/>
      <sheetName val="segments-details"/>
      <sheetName val="Overall_Summaryð"/>
      <sheetName val="lc 11"/>
      <sheetName val="lc 21"/>
      <sheetName val="BOQ (2)"/>
      <sheetName val="Liability bill wise"/>
      <sheetName val="Service Function"/>
      <sheetName val="Bar Budget"/>
      <sheetName val="Machine HC - 19.08 "/>
      <sheetName val="Site Data"/>
      <sheetName val="Bar"/>
      <sheetName val="Analysed rate"/>
      <sheetName val="Shutter"/>
      <sheetName val="BOQ Backup"/>
      <sheetName val="Final Qty"/>
      <sheetName val="Door &amp; Window"/>
      <sheetName val="Data sheet"/>
      <sheetName val="Cash Flow Working"/>
      <sheetName val="Publicbuilding"/>
      <sheetName val="starter"/>
      <sheetName val="Name Manager"/>
      <sheetName val="p1-costg"/>
      <sheetName val="PLGroupings"/>
      <sheetName val="EAW Final Accounts - 99"/>
      <sheetName val="Debit_Transit"/>
      <sheetName val="T08-2102"/>
      <sheetName val="PRICE COMP"/>
      <sheetName val="Name List"/>
      <sheetName val="Next Weeks Plan"/>
      <sheetName val="Dropdown lists"/>
      <sheetName val="FY Function"/>
      <sheetName val="Workings-Hyd"/>
      <sheetName val="Measurement Sheet"/>
      <sheetName val="S1BOQ"/>
      <sheetName val="Master Data Sheet"/>
      <sheetName val="ESC 10%"/>
      <sheetName val="ESC 12%"/>
      <sheetName val="Overall_Summary`"/>
      <sheetName val="Labels"/>
      <sheetName val="Electrical-Line_Items"/>
      <sheetName val="Current Bill MB ref"/>
      <sheetName val="????"/>
      <sheetName val="sq_ftg_detail1"/>
      <sheetName val="F4_131"/>
      <sheetName val="Fin Sum"/>
      <sheetName val="General"/>
      <sheetName val="DETA TABLE"/>
      <sheetName val="공사비 내역 (가)"/>
      <sheetName val="cover page"/>
      <sheetName val="Labor abs-NMR"/>
      <sheetName val="pri-com"/>
      <sheetName val="gen"/>
      <sheetName val="ridgewood"/>
      <sheetName val="August TB"/>
      <sheetName val="Builtup Area"/>
      <sheetName val="CANDY BOQ"/>
      <sheetName val="Sensitivity"/>
      <sheetName val="PC and Emp Details"/>
      <sheetName val="____"/>
      <sheetName val="site fab&amp;ernstr"/>
      <sheetName val="Footing"/>
      <sheetName val="2.1 受電設備棟"/>
      <sheetName val="2.2 受・防火水槽"/>
      <sheetName val="2.3 排水処理設備棟"/>
      <sheetName val="2.4 倉庫棟"/>
      <sheetName val="2.5 守衛棟"/>
      <sheetName val="ABSTRACT"/>
      <sheetName val="DOOR-WIN SCH"/>
      <sheetName val="meas-wp"/>
      <sheetName val="RCC Rates"/>
      <sheetName val="Formulas"/>
      <sheetName val="KP1590_E"/>
      <sheetName val="Überblick"/>
      <sheetName val="Costcal"/>
      <sheetName val="STEEL STRUCTURE"/>
      <sheetName val="SBI(Siliguri)"/>
      <sheetName val="column"/>
      <sheetName val="Measurment"/>
      <sheetName val="A.O.R."/>
      <sheetName val="BOQ Distribution"/>
      <sheetName val="NON-TOWER WATER TANK"/>
      <sheetName val="filling 75 mm"/>
      <sheetName val="Road - Kerb stone"/>
      <sheetName val="3MLKQ"/>
      <sheetName val="Execution Plan"/>
      <sheetName val="WORK_TABLE3"/>
      <sheetName val="electr__work_CA_3"/>
      <sheetName val="Building_13"/>
      <sheetName val="PPA_Summary3"/>
      <sheetName val="Position_Class3"/>
      <sheetName val="hdpe weights"/>
      <sheetName val="PVC weights"/>
      <sheetName val="Gatewayconsol"/>
      <sheetName val="GE_Vizag"/>
      <sheetName val="NH207con"/>
      <sheetName val="Shankari_consol"/>
      <sheetName val="Surabhi"/>
      <sheetName val="DetEst"/>
      <sheetName val="CCTV_EST1"/>
      <sheetName val="co_5"/>
      <sheetName val="Canteen"/>
      <sheetName val="2gii"/>
      <sheetName val="Detail P&amp;L"/>
      <sheetName val="Assumption Sheet"/>
      <sheetName val="CASHFLOWS"/>
      <sheetName val="Code"/>
      <sheetName val="Main"/>
      <sheetName val="EST-CIVIL"/>
      <sheetName val="PLAN_FEB97"/>
      <sheetName val="BUDGET"/>
      <sheetName val="Summ"/>
      <sheetName val="Fossil_DCF"/>
      <sheetName val="MM"/>
      <sheetName val="DCF"/>
      <sheetName val="Names&amp;Cases"/>
      <sheetName val="opd"/>
      <sheetName val="Discount Rate "/>
      <sheetName val="_Template_Design_Devt_Estimat_2"/>
      <sheetName val="Material Inventory"/>
      <sheetName val="Rate_analysis13"/>
      <sheetName val="ESTIMATE_for_approval12"/>
      <sheetName val="PRECAST_lightconc-II12"/>
      <sheetName val="Cost_summary13"/>
      <sheetName val="Material_13"/>
      <sheetName val="Labour_&amp;_Plant13"/>
      <sheetName val="Site_Dev_BOQ13"/>
      <sheetName val="Master_Sheet13"/>
      <sheetName val="CFForecast_detail12"/>
      <sheetName val="3__Elemental_Summary12"/>
      <sheetName val="9__Package_split_-_Cost_12"/>
      <sheetName val="12a__CFTable12"/>
      <sheetName val="10__&amp;_11__Rate_Code_&amp;_BQ12"/>
      <sheetName val="PANEL_ANNEXURE13"/>
      <sheetName val="final_estimate12"/>
      <sheetName val="Fill_this_out_first___13"/>
      <sheetName val="X_rate12"/>
      <sheetName val="Base_data_Security_Procedures12"/>
      <sheetName val="Fin__Assumpt__-_Sensitivities12"/>
      <sheetName val="Template-Design_Devt_Estimate12"/>
      <sheetName val="Staff_Acco_12"/>
      <sheetName val="Project_Budget_Worksheet12"/>
      <sheetName val="RMZ_Summary12"/>
      <sheetName val="07016,_Master_List-Major_Mino12"/>
      <sheetName val="Misc_Liq12"/>
      <sheetName val="S_212"/>
      <sheetName val="Phase_112"/>
      <sheetName val="Phase_212"/>
      <sheetName val="Pay_Rec12"/>
      <sheetName val="SUPPLY_-Sanitary_Fixtures12"/>
      <sheetName val="ITEMS_FOR_CIVIL_TENDER12"/>
      <sheetName val="Global_Assm_12"/>
      <sheetName val="PointNo_512"/>
      <sheetName val="Other_Inc12"/>
      <sheetName val="Room_Rev12"/>
      <sheetName val="SMS_Format12"/>
      <sheetName val="GF_Columns12"/>
      <sheetName val="IO_LIST12"/>
      <sheetName val="Basic_Rates12"/>
      <sheetName val="MASTER_RATE_ANALYSIS12"/>
      <sheetName val="Summary_year_Plan12"/>
      <sheetName val="INDIGINEOUS_ITEMS_12"/>
      <sheetName val="os_liabilities_analysis12"/>
      <sheetName val="Extra_Item12"/>
      <sheetName val="schedule_nos12"/>
      <sheetName val="_B312"/>
      <sheetName val="_B112"/>
      <sheetName val="AutoOpen_Stub_Data12"/>
      <sheetName val="Civil_Boq12"/>
      <sheetName val="3cd_Annexure12"/>
      <sheetName val="Reference_Information12"/>
      <sheetName val="Employee_List12"/>
      <sheetName val="Sales_Office12"/>
      <sheetName val="SECURITY_112"/>
      <sheetName val="Assumption_Inputs12"/>
      <sheetName val="sqn_ldr_3_Unit_2_12"/>
      <sheetName val="Area_St12"/>
      <sheetName val="collections_plan_040112"/>
      <sheetName val="labour_coeff12"/>
      <sheetName val="Risk_&amp;_Opportunities12"/>
      <sheetName val="type_ahead_combo12"/>
      <sheetName val="ISO_RECON12"/>
      <sheetName val="Back_filling12"/>
      <sheetName val="NT_items_summary12"/>
      <sheetName val="LOCAL_RATES12"/>
      <sheetName val="Meas_-Hotel_Part12"/>
      <sheetName val="labour_rates12"/>
      <sheetName val="Msht_5F12"/>
      <sheetName val="DATA_BOQ12"/>
      <sheetName val="RCC,Ret__Wall12"/>
      <sheetName val="FTE_Totals_Plan12"/>
      <sheetName val="Erection_grider12"/>
      <sheetName val="PA-_Consutant_12"/>
      <sheetName val="d-safe_DELUXE5"/>
      <sheetName val="Diawise_steel_abstract5"/>
      <sheetName val="Order_Info12"/>
      <sheetName val="Status_Control_Sheet8"/>
      <sheetName val="HOLIDAY_LIST8"/>
      <sheetName val="DASH_BOARD8"/>
      <sheetName val="Approved_MTD_Proj_#'s8"/>
      <sheetName val="BASIS_-DEC_088"/>
      <sheetName val="Block_A_-_BOQ8"/>
      <sheetName val="electr__work_CA_6"/>
      <sheetName val="Ext_Works5"/>
      <sheetName val="Position_Class5"/>
      <sheetName val="L_Chg5"/>
      <sheetName val="Budgetary_office_area5"/>
      <sheetName val="beam-reinft-IIInd_floor5"/>
      <sheetName val="CIF_COST_ITEM5"/>
      <sheetName val="Building_15"/>
      <sheetName val="PPA_Summary5"/>
      <sheetName val="Rate_analysis11"/>
      <sheetName val="PRECAST_lightconc-II10"/>
      <sheetName val="Cost_summary11"/>
      <sheetName val="Material_11"/>
      <sheetName val="Labour_&amp;_Plant11"/>
      <sheetName val="Site_Dev_BOQ11"/>
      <sheetName val="Master_Sheet11"/>
      <sheetName val="CFForecast_detail10"/>
      <sheetName val="3__Elemental_Summary10"/>
      <sheetName val="9__Package_split_-_Cost_10"/>
      <sheetName val="12a__CFTable10"/>
      <sheetName val="10__&amp;_11__Rate_Code_&amp;_BQ10"/>
      <sheetName val="ESTIMATE_for_approval10"/>
      <sheetName val="Fill_this_out_first___11"/>
      <sheetName val="Staff_Acco_10"/>
      <sheetName val="PANEL_ANNEXURE11"/>
      <sheetName val="final_estimate10"/>
      <sheetName val="X_rate10"/>
      <sheetName val="Base_data_Security_Procedures10"/>
      <sheetName val="Fin__Assumpt__-_Sensitivities10"/>
      <sheetName val="Template-Design_Devt_Estimate10"/>
      <sheetName val="Project_Budget_Worksheet10"/>
      <sheetName val="RMZ_Summary10"/>
      <sheetName val="07016,_Master_List-Major_Mino10"/>
      <sheetName val="Misc_Liq10"/>
      <sheetName val="S_210"/>
      <sheetName val="Phase_110"/>
      <sheetName val="Phase_210"/>
      <sheetName val="Pay_Rec10"/>
      <sheetName val="SUPPLY_-Sanitary_Fixtures10"/>
      <sheetName val="ITEMS_FOR_CIVIL_TENDER10"/>
      <sheetName val="Global_Assm_10"/>
      <sheetName val="PointNo_510"/>
      <sheetName val="Other_Inc10"/>
      <sheetName val="Room_Rev10"/>
      <sheetName val="SMS_Format10"/>
      <sheetName val="GF_Columns10"/>
      <sheetName val="IO_LIST10"/>
      <sheetName val="Basic_Rates10"/>
      <sheetName val="MASTER_RATE_ANALYSIS10"/>
      <sheetName val="Summary_year_Plan10"/>
      <sheetName val="INDIGINEOUS_ITEMS_10"/>
      <sheetName val="os_liabilities_analysis10"/>
      <sheetName val="Extra_Item10"/>
      <sheetName val="schedule_nos10"/>
      <sheetName val="_B310"/>
      <sheetName val="_B110"/>
      <sheetName val="AutoOpen_Stub_Data10"/>
      <sheetName val="Civil_Boq10"/>
      <sheetName val="3cd_Annexure10"/>
      <sheetName val="Reference_Information10"/>
      <sheetName val="Employee_List10"/>
      <sheetName val="Sales_Office10"/>
      <sheetName val="SECURITY_110"/>
      <sheetName val="Assumption_Inputs10"/>
      <sheetName val="sqn_ldr_3_Unit_2_10"/>
      <sheetName val="Area_St10"/>
      <sheetName val="collections_plan_040110"/>
      <sheetName val="labour_coeff10"/>
      <sheetName val="Risk_&amp;_Opportunities10"/>
      <sheetName val="type_ahead_combo10"/>
      <sheetName val="ISO_RECON10"/>
      <sheetName val="Back_filling10"/>
      <sheetName val="NT_items_summary10"/>
      <sheetName val="LOCAL_RATES10"/>
      <sheetName val="Meas_-Hotel_Part10"/>
      <sheetName val="labour_rates10"/>
      <sheetName val="Msht_5F10"/>
      <sheetName val="DATA_BOQ10"/>
      <sheetName val="RCC,Ret__Wall10"/>
      <sheetName val="FTE_Totals_Plan10"/>
      <sheetName val="Erection_grider10"/>
      <sheetName val="PA-_Consutant_10"/>
      <sheetName val="Order_Info10"/>
      <sheetName val="Status_Control_Sheet6"/>
      <sheetName val="HOLIDAY_LIST6"/>
      <sheetName val="DASH_BOARD6"/>
      <sheetName val="Approved_MTD_Proj_#'s6"/>
      <sheetName val="BASIS_-DEC_086"/>
      <sheetName val="Block_A_-_BOQ6"/>
      <sheetName val="electr__work_CA_4"/>
      <sheetName val="Ext_Works3"/>
      <sheetName val="d-safe_DELUXE3"/>
      <sheetName val="Diawise_steel_abstract3"/>
      <sheetName val="L_Chg3"/>
      <sheetName val="Budgetary_office_area3"/>
      <sheetName val="beam-reinft-IIInd_floor3"/>
      <sheetName val="CIF_COST_ITEM3"/>
      <sheetName val="Driveway_Beams3"/>
      <sheetName val="65_FINANCE3"/>
      <sheetName val="Pacakges_split3"/>
      <sheetName val="appendix_A3"/>
      <sheetName val="Break_Dw3"/>
      <sheetName val="Reference_Values3"/>
      <sheetName val="CABLE_DATA"/>
      <sheetName val="S_&amp;_A"/>
      <sheetName val="Material_Inventory"/>
      <sheetName val="4_총괄(통합)1"/>
      <sheetName val="Basic_Resources1"/>
      <sheetName val="LT_internal_works1"/>
      <sheetName val="CABLE_DATA1"/>
      <sheetName val="A_CIVIL_AND_INTERIOR_WORKS1"/>
      <sheetName val="입찰내역_발주처_양식1"/>
      <sheetName val="Comparative_at_bid_opening1"/>
      <sheetName val="S_&amp;_A1"/>
      <sheetName val="Electrical-Line_Items1"/>
      <sheetName val="Material_Inventory1"/>
      <sheetName val="sq_ftg_detail2"/>
      <sheetName val="4_총괄(통합)2"/>
      <sheetName val="Basic_Resources2"/>
      <sheetName val="LT_internal_works2"/>
      <sheetName val="F4_132"/>
      <sheetName val="CABLE_DATA2"/>
      <sheetName val="A_CIVIL_AND_INTERIOR_WORKS2"/>
      <sheetName val="입찰내역_발주처_양식2"/>
      <sheetName val="Comparative_at_bid_opening2"/>
      <sheetName val="S_&amp;_A2"/>
      <sheetName val="Electrical-Line_Items2"/>
      <sheetName val="Material_Inventory2"/>
      <sheetName val="Rate_analysis12"/>
      <sheetName val="PRECAST_lightconc-II11"/>
      <sheetName val="Cost_summary12"/>
      <sheetName val="Material_12"/>
      <sheetName val="Labour_&amp;_Plant12"/>
      <sheetName val="Site_Dev_BOQ12"/>
      <sheetName val="Master_Sheet12"/>
      <sheetName val="CFForecast_detail11"/>
      <sheetName val="3__Elemental_Summary11"/>
      <sheetName val="9__Package_split_-_Cost_11"/>
      <sheetName val="12a__CFTable11"/>
      <sheetName val="10__&amp;_11__Rate_Code_&amp;_BQ11"/>
      <sheetName val="ESTIMATE_for_approval11"/>
      <sheetName val="Fill_this_out_first___12"/>
      <sheetName val="Staff_Acco_11"/>
      <sheetName val="PANEL_ANNEXURE12"/>
      <sheetName val="final_estimate11"/>
      <sheetName val="X_rate11"/>
      <sheetName val="Base_data_Security_Procedures11"/>
      <sheetName val="Fin__Assumpt__-_Sensitivities11"/>
      <sheetName val="Template-Design_Devt_Estimate11"/>
      <sheetName val="Project_Budget_Worksheet11"/>
      <sheetName val="RMZ_Summary11"/>
      <sheetName val="07016,_Master_List-Major_Mino11"/>
      <sheetName val="Misc_Liq11"/>
      <sheetName val="S_211"/>
      <sheetName val="Phase_111"/>
      <sheetName val="Phase_211"/>
      <sheetName val="Pay_Rec11"/>
      <sheetName val="SUPPLY_-Sanitary_Fixtures11"/>
      <sheetName val="ITEMS_FOR_CIVIL_TENDER11"/>
      <sheetName val="Global_Assm_11"/>
      <sheetName val="PointNo_511"/>
      <sheetName val="Other_Inc11"/>
      <sheetName val="Room_Rev11"/>
      <sheetName val="SMS_Format11"/>
      <sheetName val="GF_Columns11"/>
      <sheetName val="IO_LIST11"/>
      <sheetName val="Basic_Rates11"/>
      <sheetName val="MASTER_RATE_ANALYSIS11"/>
      <sheetName val="Summary_year_Plan11"/>
      <sheetName val="INDIGINEOUS_ITEMS_11"/>
      <sheetName val="os_liabilities_analysis11"/>
      <sheetName val="Extra_Item11"/>
      <sheetName val="schedule_nos11"/>
      <sheetName val="_B311"/>
      <sheetName val="_B111"/>
      <sheetName val="AutoOpen_Stub_Data11"/>
      <sheetName val="Civil_Boq11"/>
      <sheetName val="3cd_Annexure11"/>
      <sheetName val="Reference_Information11"/>
      <sheetName val="Employee_List11"/>
      <sheetName val="Sales_Office11"/>
      <sheetName val="SECURITY_111"/>
      <sheetName val="Assumption_Inputs11"/>
      <sheetName val="sqn_ldr_3_Unit_2_11"/>
      <sheetName val="Area_St11"/>
      <sheetName val="collections_plan_040111"/>
      <sheetName val="labour_coeff11"/>
      <sheetName val="Risk_&amp;_Opportunities11"/>
      <sheetName val="type_ahead_combo11"/>
      <sheetName val="ISO_RECON11"/>
      <sheetName val="Back_filling11"/>
      <sheetName val="NT_items_summary11"/>
      <sheetName val="LOCAL_RATES11"/>
      <sheetName val="Meas_-Hotel_Part11"/>
      <sheetName val="labour_rates11"/>
      <sheetName val="Msht_5F11"/>
      <sheetName val="DATA_BOQ11"/>
      <sheetName val="RCC,Ret__Wall11"/>
      <sheetName val="FTE_Totals_Plan11"/>
      <sheetName val="Erection_grider11"/>
      <sheetName val="PA-_Consutant_11"/>
      <sheetName val="Order_Info11"/>
      <sheetName val="Status_Control_Sheet7"/>
      <sheetName val="HOLIDAY_LIST7"/>
      <sheetName val="DASH_BOARD7"/>
      <sheetName val="Approved_MTD_Proj_#'s7"/>
      <sheetName val="BASIS_-DEC_087"/>
      <sheetName val="Block_A_-_BOQ7"/>
      <sheetName val="electr__work_CA_5"/>
      <sheetName val="Ext_Works4"/>
      <sheetName val="d-safe_DELUXE4"/>
      <sheetName val="Diawise_steel_abstract4"/>
      <sheetName val="Position_Class4"/>
      <sheetName val="L_Chg4"/>
      <sheetName val="Budgetary_office_area4"/>
      <sheetName val="beam-reinft-IIInd_floor4"/>
      <sheetName val="CIF_COST_ITEM4"/>
      <sheetName val="Building_14"/>
      <sheetName val="PPA_Summary4"/>
      <sheetName val="Latest est"/>
      <sheetName val="P&amp;M Final"/>
      <sheetName val="Sch"/>
      <sheetName val="co.tax"/>
      <sheetName val="Groups"/>
      <sheetName val="Bsheet"/>
      <sheetName val="Rate_analysis14"/>
      <sheetName val="ESTIMATE_for_approval13"/>
      <sheetName val="PRECAST_lightconc-II13"/>
      <sheetName val="Cost_summary14"/>
      <sheetName val="Material_14"/>
      <sheetName val="Labour_&amp;_Plant14"/>
      <sheetName val="Site_Dev_BOQ14"/>
      <sheetName val="Master_Sheet14"/>
      <sheetName val="CFForecast_detail13"/>
      <sheetName val="3__Elemental_Summary13"/>
      <sheetName val="9__Package_split_-_Cost_13"/>
      <sheetName val="12a__CFTable13"/>
      <sheetName val="10__&amp;_11__Rate_Code_&amp;_BQ13"/>
      <sheetName val="Fill_this_out_first___14"/>
      <sheetName val="Staff_Acco_13"/>
      <sheetName val="PANEL_ANNEXURE14"/>
      <sheetName val="final_estimate13"/>
      <sheetName val="X_rate13"/>
      <sheetName val="Base_data_Security_Procedures13"/>
      <sheetName val="Fin__Assumpt__-_Sensitivities13"/>
      <sheetName val="Template-Design_Devt_Estimate13"/>
      <sheetName val="Project_Budget_Worksheet13"/>
      <sheetName val="RMZ_Summary13"/>
      <sheetName val="07016,_Master_List-Major_Mino13"/>
      <sheetName val="Misc_Liq13"/>
      <sheetName val="S_213"/>
      <sheetName val="Phase_113"/>
      <sheetName val="Phase_213"/>
      <sheetName val="Pay_Rec13"/>
      <sheetName val="SUPPLY_-Sanitary_Fixtures13"/>
      <sheetName val="ITEMS_FOR_CIVIL_TENDER13"/>
      <sheetName val="Global_Assm_13"/>
      <sheetName val="PointNo_513"/>
      <sheetName val="Other_Inc13"/>
      <sheetName val="Room_Rev13"/>
      <sheetName val="SMS_Format13"/>
      <sheetName val="GF_Columns13"/>
      <sheetName val="IO_LIST13"/>
      <sheetName val="Basic_Rates13"/>
      <sheetName val="MASTER_RATE_ANALYSIS13"/>
      <sheetName val="Summary_year_Plan13"/>
      <sheetName val="INDIGINEOUS_ITEMS_13"/>
      <sheetName val="os_liabilities_analysis13"/>
      <sheetName val="Extra_Item13"/>
      <sheetName val="schedule_nos13"/>
      <sheetName val="_B313"/>
      <sheetName val="_B113"/>
      <sheetName val="AutoOpen_Stub_Data13"/>
      <sheetName val="Civil_Boq13"/>
      <sheetName val="3cd_Annexure13"/>
      <sheetName val="Reference_Information13"/>
      <sheetName val="Employee_List13"/>
      <sheetName val="Sales_Office13"/>
      <sheetName val="SECURITY_113"/>
      <sheetName val="Assumption_Inputs13"/>
      <sheetName val="sqn_ldr_3_Unit_2_13"/>
      <sheetName val="Area_St13"/>
      <sheetName val="collections_plan_040113"/>
      <sheetName val="labour_coeff13"/>
      <sheetName val="Risk_&amp;_Opportunities13"/>
      <sheetName val="type_ahead_combo13"/>
      <sheetName val="ISO_RECON13"/>
      <sheetName val="Back_filling13"/>
      <sheetName val="NT_items_summary13"/>
      <sheetName val="LOCAL_RATES13"/>
      <sheetName val="Meas_-Hotel_Part13"/>
      <sheetName val="labour_rates13"/>
      <sheetName val="Msht_5F13"/>
      <sheetName val="DATA_BOQ13"/>
      <sheetName val="RCC,Ret__Wall13"/>
      <sheetName val="FTE_Totals_Plan13"/>
      <sheetName val="Erection_grider13"/>
      <sheetName val="PA-_Consutant_13"/>
      <sheetName val="Order_Info13"/>
      <sheetName val="Status_Control_Sheet9"/>
      <sheetName val="HOLIDAY_LIST9"/>
      <sheetName val="DASH_BOARD9"/>
      <sheetName val="Approved_MTD_Proj_#'s9"/>
      <sheetName val="BASIS_-DEC_089"/>
      <sheetName val="Block_A_-_BOQ9"/>
      <sheetName val="electr__work_CA_7"/>
      <sheetName val="Ext_Works6"/>
      <sheetName val="d-safe_DELUXE6"/>
      <sheetName val="Diawise_steel_abstract6"/>
      <sheetName val="Position_Class6"/>
      <sheetName val="L_Chg6"/>
      <sheetName val="Budgetary_office_area6"/>
      <sheetName val="beam-reinft-IIInd_floor6"/>
      <sheetName val="CIF_COST_ITEM6"/>
      <sheetName val="Building_16"/>
      <sheetName val="PPA_Summary6"/>
      <sheetName val="Driveway_Beams4"/>
      <sheetName val="65_FINANCE4"/>
      <sheetName val="Pacakges_split4"/>
      <sheetName val="appendix_A4"/>
      <sheetName val="Break_Dw4"/>
      <sheetName val="Reference_Values4"/>
      <sheetName val="Break_Up_(bc)3"/>
      <sheetName val="Break_Up_(bc1)3"/>
      <sheetName val="Break_Up_(bc2)3"/>
      <sheetName val="except_wiring3"/>
      <sheetName val="Material_Current3"/>
      <sheetName val="SITE_OVERHEADS3"/>
      <sheetName val="storm_water13"/>
      <sheetName val="MB_Prod3"/>
      <sheetName val="Detail_In_Door_Stad3"/>
      <sheetName val="Data_base3"/>
      <sheetName val="Senorita_Project_information3"/>
      <sheetName val="Field_Values3"/>
      <sheetName val="G_1-AV_SYSTEM3"/>
      <sheetName val="sq_ftg_detail3"/>
      <sheetName val="Step_73"/>
      <sheetName val="WING_-_A_RAFT_(23-08-09)3"/>
      <sheetName val="4_총괄(통합)3"/>
      <sheetName val="General_input3"/>
      <sheetName val="Basic_Resources3"/>
      <sheetName val="LT_internal_works3"/>
      <sheetName val="F4_133"/>
      <sheetName val="CABLE_DATA3"/>
      <sheetName val="A_CIVIL_AND_INTERIOR_WORKS3"/>
      <sheetName val="입찰내역_발주처_양식3"/>
      <sheetName val="Comparative_at_bid_opening3"/>
      <sheetName val="S_&amp;_A3"/>
      <sheetName val="Electrical-Line_Items3"/>
      <sheetName val="Material_Inventory3"/>
      <sheetName val="Latest_est"/>
      <sheetName val="P&amp;M_Final"/>
      <sheetName val="Overall_Summary25"/>
      <sheetName val="Basement_Summary25"/>
      <sheetName val="Basement_Budget25"/>
      <sheetName val="Podium_Summary25"/>
      <sheetName val="Podium_Budgets25"/>
      <sheetName val="Guestroom_Summary25"/>
      <sheetName val="Guestroom_Budget25"/>
      <sheetName val="Sitework_Summary25"/>
      <sheetName val="Sitework_Budget25"/>
      <sheetName val="TBAL9697_-group_wise__sdpl25"/>
      <sheetName val="GM_&amp;_TA25"/>
      <sheetName val="LIST_OF_MAKES24"/>
      <sheetName val="INPUT_SHEET24"/>
      <sheetName val="Break_up_Sheet24"/>
      <sheetName val="India_F&amp;S_Template1"/>
      <sheetName val="Fire_Pumps1"/>
      <sheetName val="B_-_E1"/>
      <sheetName val="Civil_Works1"/>
      <sheetName val="Weightage-Sub_Sht1"/>
      <sheetName val="FA_BOQ1"/>
      <sheetName val="Rising_Main1"/>
      <sheetName val="d-safe_specs1"/>
      <sheetName val="Risk_Assessment1"/>
      <sheetName val="Sheet1_(2)1"/>
      <sheetName val="MLCP_Connection_Details1"/>
      <sheetName val="Global_factors1"/>
      <sheetName val="Detail_Top_Sheet1"/>
      <sheetName val="water_prop_1"/>
      <sheetName val="Basement_Budget:Podium_Summary1"/>
      <sheetName val="SP_Break_Up1"/>
      <sheetName val="Sheet_11"/>
      <sheetName val="Fire_Pumps"/>
      <sheetName val="B_-_E"/>
      <sheetName val="Civil_Works"/>
      <sheetName val="Weightage-Sub_Sht"/>
      <sheetName val="FA_BOQ"/>
      <sheetName val="Rising_Main"/>
      <sheetName val="d-safe_specs"/>
      <sheetName val="Risk_Assessment"/>
      <sheetName val="Sheet1_(2)"/>
      <sheetName val="MLCP_Connection_Details"/>
      <sheetName val="Global_factors"/>
      <sheetName val="Detail_Top_Sheet"/>
      <sheetName val="water_prop_"/>
      <sheetName val="Basement_Budget:Podium_Summary"/>
      <sheetName val="SP_Break_Up"/>
      <sheetName val="Sheet_1"/>
      <sheetName val="General Note"/>
      <sheetName val="BOQ_DG_BQ_PP"/>
      <sheetName val="NEW_Main"/>
      <sheetName val="BOQ_(2)"/>
      <sheetName val="WING_-_A_RAFT_(23-08-09)4"/>
      <sheetName val="General_input4"/>
      <sheetName val="Break_Up_(bc)4"/>
      <sheetName val="Break_Up_(bc1)4"/>
      <sheetName val="Break_Up_(bc2)4"/>
      <sheetName val="Field_Values4"/>
      <sheetName val="except_wiring4"/>
      <sheetName val="WORK_TABLE4"/>
      <sheetName val="SITE_OVERHEADS4"/>
      <sheetName val="storm_water14"/>
      <sheetName val="MB_Prod4"/>
      <sheetName val="Material_Current4"/>
      <sheetName val="Detail_In_Door_Stad4"/>
      <sheetName val="Senorita_Project_information4"/>
      <sheetName val="Data_base4"/>
      <sheetName val="Step_74"/>
      <sheetName val="G_1-AV_SYSTEM4"/>
      <sheetName val="Liability_bill_wise"/>
      <sheetName val="Overall_Summary26"/>
      <sheetName val="Basement_Summary26"/>
      <sheetName val="Basement_Budget26"/>
      <sheetName val="Podium_Summary26"/>
      <sheetName val="Podium_Budgets26"/>
      <sheetName val="Guestroom_Summary26"/>
      <sheetName val="Guestroom_Budget26"/>
      <sheetName val="Sitework_Summary26"/>
      <sheetName val="Sitework_Budget26"/>
      <sheetName val="GM_&amp;_TA26"/>
      <sheetName val="TBAL9697_-group_wise__sdpl26"/>
      <sheetName val="LIST_OF_MAKES25"/>
      <sheetName val="INPUT_SHEET25"/>
      <sheetName val="Break_up_Sheet25"/>
      <sheetName val="Driveway_Beams5"/>
      <sheetName val="appendix_A5"/>
      <sheetName val="Pacakges_split5"/>
      <sheetName val="65_FINANCE5"/>
      <sheetName val="except_wiring5"/>
      <sheetName val="Senorita_Project_information5"/>
      <sheetName val="Data_base5"/>
      <sheetName val="Material_Current5"/>
      <sheetName val="WING_-_A_RAFT_(23-08-09)5"/>
      <sheetName val="WORK_TABLE5"/>
      <sheetName val="Reference_Values5"/>
      <sheetName val="Break_Dw5"/>
      <sheetName val="Field_Values5"/>
      <sheetName val="Break_Up_(bc)5"/>
      <sheetName val="Break_Up_(bc1)5"/>
      <sheetName val="Break_Up_(bc2)5"/>
      <sheetName val="General_input5"/>
      <sheetName val="Step_75"/>
      <sheetName val="SITE_OVERHEADS5"/>
      <sheetName val="storm_water15"/>
      <sheetName val="MB_Prod5"/>
      <sheetName val="Detail_In_Door_Stad5"/>
      <sheetName val="G_1-AV_SYSTEM5"/>
      <sheetName val="India_F&amp;S_Template2"/>
      <sheetName val="Detail_Top_Sheet2"/>
      <sheetName val="Fire_Pumps2"/>
      <sheetName val="B_-_E2"/>
      <sheetName val="Global_factors2"/>
      <sheetName val="Civil_Works2"/>
      <sheetName val="Rising_Main2"/>
      <sheetName val="Weightage-Sub_Sht2"/>
      <sheetName val="FA_BOQ2"/>
      <sheetName val="d-safe_specs2"/>
      <sheetName val="Sheet_12"/>
      <sheetName val="Liability_bill_wise1"/>
      <sheetName val="Beam_at_Ground_flr_lvl(Steel)"/>
      <sheetName val="Phasewise_Dev_Summary"/>
      <sheetName val="Trial_Bal"/>
      <sheetName val="Desc_"/>
      <sheetName val="Cat_A_Change_Control"/>
      <sheetName val="SWL_SUMMARY"/>
      <sheetName val="DETA_TABLE"/>
      <sheetName val="Beam_at_Ground_flr_lvl(Steel)1"/>
      <sheetName val="Phasewise_Dev_Summary1"/>
      <sheetName val="Trial_Bal1"/>
      <sheetName val="Desc_1"/>
      <sheetName val="Cat_A_Change_Control1"/>
      <sheetName val="SWL_SUMMARY1"/>
      <sheetName val="BOQ_DG_BQ_PP1"/>
      <sheetName val="NEW_Main1"/>
      <sheetName val="DETA_TABLE1"/>
      <sheetName val="Risk_Assessment2"/>
      <sheetName val="Sheet1_(2)2"/>
      <sheetName val="MLCP_Connection_Details2"/>
      <sheetName val="water_prop_2"/>
      <sheetName val="Basement_Budget:Podium_Summary2"/>
      <sheetName val="SP_Break_Up2"/>
      <sheetName val="Walmart_Budgetary_Costing1"/>
      <sheetName val="L_L_Rates1"/>
      <sheetName val="ESC_10%1"/>
      <sheetName val="ESC_12%1"/>
      <sheetName val="Measurement_Sheet1"/>
      <sheetName val="Sheet3_(2)"/>
      <sheetName val="Costing_Sheet"/>
      <sheetName val="Project_Profile"/>
      <sheetName val="Basement_Budget_Podium_Summary"/>
      <sheetName val="SPT_vs_PHI"/>
      <sheetName val="Factors,_Disc,_Acces,_Labour"/>
      <sheetName val="(7)_RFI_(Slab)"/>
      <sheetName val="beam-reinft-machine_rm"/>
      <sheetName val="Jan_resp"/>
      <sheetName val="EAW_Final_Accounts_-_99"/>
      <sheetName val="lc_11"/>
      <sheetName val="lc_21"/>
      <sheetName val="Name_Manager"/>
      <sheetName val="2_DATA"/>
      <sheetName val="Fin_Sum"/>
      <sheetName val="Walmart_Budgetary_Costing"/>
      <sheetName val="L_L_Rates"/>
      <sheetName val="ESC_10%"/>
      <sheetName val="ESC_12%"/>
      <sheetName val="Measurement_Sheet"/>
      <sheetName val="tuong"/>
      <sheetName val="Ass"/>
      <sheetName val="Final"/>
      <sheetName val="Sqn _Main_ Abs"/>
      <sheetName val="KQ Cost Controlling"/>
      <sheetName val="KQ Appropriation"/>
      <sheetName val="girder"/>
      <sheetName val="Indirect expenses"/>
    </sheetNames>
    <sheetDataSet>
      <sheetData sheetId="0"/>
      <sheetData sheetId="1" refreshError="1"/>
      <sheetData sheetId="2"/>
      <sheetData sheetId="3"/>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refreshError="1"/>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refreshError="1"/>
      <sheetData sheetId="620" refreshError="1"/>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sheetData sheetId="801"/>
      <sheetData sheetId="802"/>
      <sheetData sheetId="803" refreshError="1"/>
      <sheetData sheetId="804"/>
      <sheetData sheetId="805" refreshError="1"/>
      <sheetData sheetId="806"/>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sheetData sheetId="917" refreshError="1"/>
      <sheetData sheetId="918" refreshError="1"/>
      <sheetData sheetId="919" refreshError="1"/>
      <sheetData sheetId="920" refreshError="1"/>
      <sheetData sheetId="921" refreshError="1"/>
      <sheetData sheetId="922" refreshError="1"/>
      <sheetData sheetId="923"/>
      <sheetData sheetId="924" refreshError="1"/>
      <sheetData sheetId="925" refreshError="1"/>
      <sheetData sheetId="926" refreshError="1"/>
      <sheetData sheetId="927" refreshError="1"/>
      <sheetData sheetId="928" refreshError="1"/>
      <sheetData sheetId="929" refreshError="1"/>
      <sheetData sheetId="930"/>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sheetData sheetId="1329" refreshError="1"/>
      <sheetData sheetId="1330" refreshError="1"/>
      <sheetData sheetId="1331" refreshError="1"/>
      <sheetData sheetId="1332" refreshError="1"/>
      <sheetData sheetId="1333" refreshError="1"/>
      <sheetData sheetId="1334" refreshError="1"/>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refreshError="1"/>
      <sheetData sheetId="1350" refreshError="1"/>
      <sheetData sheetId="1351" refreshError="1"/>
      <sheetData sheetId="1352" refreshError="1"/>
      <sheetData sheetId="1353" refreshError="1"/>
      <sheetData sheetId="1354" refreshError="1"/>
      <sheetData sheetId="1355" refreshError="1"/>
      <sheetData sheetId="1356"/>
      <sheetData sheetId="1357"/>
      <sheetData sheetId="1358"/>
      <sheetData sheetId="1359"/>
      <sheetData sheetId="1360"/>
      <sheetData sheetId="1361"/>
      <sheetData sheetId="1362"/>
      <sheetData sheetId="1363"/>
      <sheetData sheetId="1364"/>
      <sheetData sheetId="1365" refreshError="1"/>
      <sheetData sheetId="1366" refreshError="1"/>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sheetData sheetId="1568"/>
      <sheetData sheetId="1569"/>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sheetData sheetId="1709"/>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sheetData sheetId="1752"/>
      <sheetData sheetId="1753"/>
      <sheetData sheetId="1754"/>
      <sheetData sheetId="1755"/>
      <sheetData sheetId="1756" refreshError="1"/>
      <sheetData sheetId="1757" refreshError="1"/>
      <sheetData sheetId="1758"/>
      <sheetData sheetId="1759"/>
      <sheetData sheetId="1760"/>
      <sheetData sheetId="1761"/>
      <sheetData sheetId="1762"/>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refreshError="1"/>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 Sheet"/>
      <sheetName val="Input"/>
      <sheetName val="Debt"/>
      <sheetName val="Book2"/>
      <sheetName val="monthly"/>
      <sheetName val="Calculation (2)"/>
      <sheetName val="EVA1"/>
      <sheetName val="InQuart"/>
      <sheetName val="Mico"/>
      <sheetName val="Corrupt SSCI"/>
      <sheetName val="Monthly Ship+Prod"/>
      <sheetName val="Perform"/>
      <sheetName val="Profile"/>
      <sheetName val="QuanOP"/>
      <sheetName val="Aladdin Macro1"/>
      <sheetName val="New Microsoft Excel Worksheet"/>
      <sheetName val="#REF"/>
      <sheetName val="Macro1"/>
      <sheetName val="Interface"/>
      <sheetName val="bajaj_copeland"/>
      <sheetName val="Customers"/>
      <sheetName val="Financials"/>
      <sheetName val="Introduction"/>
      <sheetName val="Charts"/>
      <sheetName val="OI"/>
      <sheetName val="New%20Microsoft%20Excel%20Works"/>
      <sheetName val="Weights"/>
      <sheetName val="Project S Curve"/>
      <sheetName val="Indices"/>
      <sheetName val="Trial Bal"/>
      <sheetName val="Main"/>
      <sheetName val="Staffing"/>
      <sheetName val="vehicles"/>
      <sheetName val="val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Report"/>
      <sheetName val="Controls"/>
      <sheetName val="Basement Budget"/>
    </sheetNames>
    <sheetDataSet>
      <sheetData sheetId="0" refreshError="1"/>
      <sheetData sheetId="1" refreshError="1">
        <row r="21">
          <cell r="H21" t="str">
            <v>Pending</v>
          </cell>
        </row>
        <row r="22">
          <cell r="H22" t="str">
            <v>Resolved</v>
          </cell>
        </row>
        <row r="23">
          <cell r="H23" t="str">
            <v>Canceled</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R"/>
      <sheetName val="BALANCE_SHEET"/>
      <sheetName val="fcl"/>
      <sheetName val="BALANCE_SHEET1"/>
      <sheetName val="BALANCE_SHEET2"/>
      <sheetName val="BALANCE_SHEET3"/>
      <sheetName val="77S(O)"/>
      <sheetName val="CONBS"/>
      <sheetName val="expired"/>
      <sheetName val="DURGESH"/>
      <sheetName val="BALANCE_SHEET4"/>
      <sheetName val="Risks of material misstatement"/>
      <sheetName val="BALANCE_SHEET5"/>
      <sheetName val="1.Loans Control Chart- Mar 2007"/>
      <sheetName val="BALANCE_SHEET6"/>
      <sheetName val="Scheme"/>
      <sheetName val="ROMM Data for Validation"/>
      <sheetName val="Validation Details"/>
      <sheetName val="Data from Access"/>
      <sheetName val="License Area"/>
      <sheetName val="Chart-Major customer"/>
      <sheetName val="ANUAL PLAN"/>
      <sheetName val="BS "/>
      <sheetName val="FitOutConfCentre"/>
      <sheetName val="Accounts"/>
      <sheetName val="Ins Erection"/>
      <sheetName val="Sheet2"/>
      <sheetName val="Top Sheet"/>
      <sheetName val="2005"/>
      <sheetName val="BALANCE_SHEET7"/>
      <sheetName val="Risks_of_material_misstatement"/>
      <sheetName val="1_Loans_Control_Chart-_Mar_2007"/>
      <sheetName val="ROMM_Data_for_Validation"/>
      <sheetName val="Validation_Details"/>
      <sheetName val="Data_from_Access"/>
      <sheetName val="Material "/>
      <sheetName val="Labour &amp; Plant"/>
      <sheetName val="summary"/>
      <sheetName val="PTIN03"/>
      <sheetName val="Instructions"/>
      <sheetName val="plbs"/>
      <sheetName val="P&amp;L"/>
      <sheetName val="subsidary tranction"/>
      <sheetName val="BALANCE-SHEET"/>
      <sheetName val="sdrs_mar"/>
      <sheetName val="Branch"/>
      <sheetName val="data"/>
      <sheetName val="INDEPENDENT"/>
      <sheetName val="tb, p&amp;l, bs"/>
      <sheetName val="Trial Report"/>
      <sheetName val="ACK-NEW"/>
      <sheetName val="x-rate"/>
      <sheetName val="Les Cèdres"/>
      <sheetName val="COMPLEXALL"/>
    </sheetNames>
    <sheetDataSet>
      <sheetData sheetId="0" refreshError="1">
        <row r="1">
          <cell r="B1" t="str">
            <v>ESSAR OIL LIMITED</v>
          </cell>
        </row>
        <row r="58">
          <cell r="L58">
            <v>407888122</v>
          </cell>
          <cell r="M58" t="str">
            <v>:</v>
          </cell>
        </row>
        <row r="59">
          <cell r="L59" t="str">
            <v>-</v>
          </cell>
          <cell r="M59" t="str">
            <v>:</v>
          </cell>
        </row>
        <row r="60">
          <cell r="L60" t="str">
            <v>:</v>
          </cell>
          <cell r="M60" t="str">
            <v>:</v>
          </cell>
        </row>
        <row r="61">
          <cell r="L61">
            <v>-319358932</v>
          </cell>
          <cell r="M61" t="str">
            <v>:</v>
          </cell>
        </row>
        <row r="62">
          <cell r="L62" t="str">
            <v>:</v>
          </cell>
          <cell r="M62" t="str">
            <v>:</v>
          </cell>
        </row>
        <row r="63">
          <cell r="L63">
            <v>23383172</v>
          </cell>
          <cell r="M63" t="str">
            <v>:</v>
          </cell>
        </row>
        <row r="64">
          <cell r="L64" t="str">
            <v>-</v>
          </cell>
          <cell r="M64" t="str">
            <v>:</v>
          </cell>
        </row>
        <row r="65">
          <cell r="L65">
            <v>1352522244.49</v>
          </cell>
          <cell r="M65" t="str">
            <v>:</v>
          </cell>
        </row>
        <row r="67">
          <cell r="L67">
            <v>821501408.50999999</v>
          </cell>
        </row>
      </sheetData>
      <sheetData sheetId="1" refreshError="1"/>
      <sheetData sheetId="2" refreshError="1"/>
      <sheetData sheetId="3" refreshError="1"/>
      <sheetData sheetId="4" refreshError="1"/>
      <sheetData sheetId="5"/>
      <sheetData sheetId="6">
        <row r="1">
          <cell r="B1" t="str">
            <v>ESSAR OIL LIMITED</v>
          </cell>
        </row>
      </sheetData>
      <sheetData sheetId="7" refreshError="1"/>
      <sheetData sheetId="8" refreshError="1"/>
      <sheetData sheetId="9" refreshError="1"/>
      <sheetData sheetId="10" refreshError="1"/>
      <sheetData sheetId="11">
        <row r="1">
          <cell r="B1" t="str">
            <v>ESSAR OIL LIMITED</v>
          </cell>
        </row>
      </sheetData>
      <sheetData sheetId="12" refreshError="1"/>
      <sheetData sheetId="13">
        <row r="1">
          <cell r="B1" t="str">
            <v>ESSAR OIL LIMITED</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
          <cell r="B1" t="str">
            <v>ESSAR OIL LIMITED</v>
          </cell>
        </row>
      </sheetData>
      <sheetData sheetId="31"/>
      <sheetData sheetId="32">
        <row r="1">
          <cell r="B1" t="str">
            <v>ESSAR OIL LIMITED</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istribtn"/>
      <sheetName val="Cover_Pg"/>
      <sheetName val="Trends"/>
      <sheetName val="2000 Trends "/>
      <sheetName val="Loans"/>
      <sheetName val="NII_NIE"/>
      <sheetName val="Insight"/>
      <sheetName val="Controls"/>
      <sheetName val="Costing"/>
      <sheetName val="refere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row>
        <row r="4">
          <cell r="B4" t="str">
            <v>yr_rnd_mth</v>
          </cell>
          <cell r="C4" t="str">
            <v>rpt_id</v>
          </cell>
          <cell r="D4" t="str">
            <v>rpt_title</v>
          </cell>
          <cell r="E4" t="str">
            <v>run_date</v>
          </cell>
          <cell r="F4" t="str">
            <v>entity</v>
          </cell>
          <cell r="G4" t="str">
            <v>sub_entity</v>
          </cell>
          <cell r="H4" t="str">
            <v>ent_descr</v>
          </cell>
          <cell r="I4" t="str">
            <v>hier_tbl_num</v>
          </cell>
          <cell r="J4" t="str">
            <v>hier_roll</v>
          </cell>
          <cell r="K4" t="str">
            <v>hier_descr</v>
          </cell>
          <cell r="L4" t="str">
            <v>hier_ctr</v>
          </cell>
          <cell r="M4" t="str">
            <v>ctr_descr</v>
          </cell>
          <cell r="N4" t="str">
            <v>acct_id</v>
          </cell>
          <cell r="O4" t="str">
            <v>acct_type</v>
          </cell>
          <cell r="P4" t="str">
            <v>acct_sort_key</v>
          </cell>
          <cell r="Q4" t="str">
            <v>filter_id</v>
          </cell>
          <cell r="R4" t="str">
            <v>plan_type1</v>
          </cell>
          <cell r="S4" t="str">
            <v>plan_type2</v>
          </cell>
          <cell r="T4" t="str">
            <v>filler19</v>
          </cell>
          <cell r="U4" t="str">
            <v>filler20</v>
          </cell>
          <cell r="V4" t="str">
            <v>mactavg_10011999</v>
          </cell>
          <cell r="W4" t="str">
            <v>mplanavg_10011999</v>
          </cell>
          <cell r="X4" t="str">
            <v>mv_actavg_pland_10011999</v>
          </cell>
          <cell r="Y4" t="str">
            <v>mv_actavg_ppd_10011999</v>
          </cell>
          <cell r="Z4" t="str">
            <v>blank_10011999</v>
          </cell>
          <cell r="AA4" t="str">
            <v>account</v>
          </cell>
          <cell r="AB4" t="str">
            <v>level</v>
          </cell>
          <cell r="AC4" t="str">
            <v>description</v>
          </cell>
          <cell r="AD4" t="str">
            <v>yactavg_10011999</v>
          </cell>
          <cell r="AE4" t="str">
            <v>yplanavg_10011999</v>
          </cell>
          <cell r="AF4" t="str">
            <v>yv_actavg_pland_10011999</v>
          </cell>
          <cell r="AG4" t="str">
            <v>yv_actavg_planp_10011999</v>
          </cell>
          <cell r="AH4" t="str">
            <v>currency_descr</v>
          </cell>
        </row>
        <row r="5">
          <cell r="A5" t="str">
            <v>J.........130100</v>
          </cell>
          <cell r="B5" t="str">
            <v>1999T12</v>
          </cell>
          <cell r="C5" t="str">
            <v xml:space="preserve">M10      </v>
          </cell>
          <cell r="D5" t="str">
            <v xml:space="preserve">Monthly Actual vs Plan                            </v>
          </cell>
          <cell r="E5" t="str">
            <v>Run: 01/13/00 10:16:47</v>
          </cell>
          <cell r="F5" t="str">
            <v>999</v>
          </cell>
          <cell r="G5" t="str">
            <v>100</v>
          </cell>
          <cell r="H5" t="str">
            <v xml:space="preserve">Bank Of America Management Reporting              </v>
          </cell>
          <cell r="I5" t="str">
            <v>001</v>
          </cell>
          <cell r="J5" t="str">
            <v>J.........</v>
          </cell>
          <cell r="K5" t="str">
            <v xml:space="preserve">Consumer Finance Group                            </v>
          </cell>
          <cell r="L5" t="str">
            <v xml:space="preserve"> </v>
          </cell>
          <cell r="M5" t="str">
            <v xml:space="preserve"> </v>
          </cell>
          <cell r="N5" t="str">
            <v>bamgt</v>
          </cell>
          <cell r="O5" t="str">
            <v>01</v>
          </cell>
          <cell r="P5" t="str">
            <v>100000   100099A  130100   999999999999999999999999999999999999999999999</v>
          </cell>
          <cell r="Q5" t="str">
            <v xml:space="preserve">none     </v>
          </cell>
          <cell r="R5" t="str">
            <v>Final Profit Plan</v>
          </cell>
          <cell r="S5" t="str">
            <v>Final Profit Plan</v>
          </cell>
          <cell r="T5" t="str">
            <v xml:space="preserve"> </v>
          </cell>
          <cell r="U5" t="str">
            <v xml:space="preserve"> </v>
          </cell>
          <cell r="V5">
            <v>4655921.9960599998</v>
          </cell>
          <cell r="W5">
            <v>5206613.8</v>
          </cell>
          <cell r="X5">
            <v>-550691.80394000001</v>
          </cell>
          <cell r="Y5">
            <v>285235.50624999998</v>
          </cell>
          <cell r="Z5" t="str">
            <v xml:space="preserve">     </v>
          </cell>
          <cell r="AA5" t="str">
            <v>130100</v>
          </cell>
          <cell r="AB5" t="str">
            <v>3</v>
          </cell>
          <cell r="AC5" t="str">
            <v>Commercial</v>
          </cell>
          <cell r="AD5">
            <v>4432721.7468100004</v>
          </cell>
          <cell r="AE5">
            <v>4783130.4630300002</v>
          </cell>
          <cell r="AF5">
            <v>-350408.71622</v>
          </cell>
          <cell r="AG5">
            <v>-7.3259284673164498</v>
          </cell>
          <cell r="AH5" t="str">
            <v xml:space="preserve">U.S. Dollar                   </v>
          </cell>
        </row>
        <row r="6">
          <cell r="A6" t="str">
            <v>J.........136999F</v>
          </cell>
          <cell r="B6" t="str">
            <v>1999T12</v>
          </cell>
          <cell r="C6" t="str">
            <v xml:space="preserve">M10      </v>
          </cell>
          <cell r="D6" t="str">
            <v xml:space="preserve">Monthly Actual vs Plan                            </v>
          </cell>
          <cell r="E6" t="str">
            <v>Run: 01/13/00 10:16:47</v>
          </cell>
          <cell r="F6" t="str">
            <v>999</v>
          </cell>
          <cell r="G6" t="str">
            <v>100</v>
          </cell>
          <cell r="H6" t="str">
            <v xml:space="preserve">Bank Of America Management Reporting              </v>
          </cell>
          <cell r="I6" t="str">
            <v>001</v>
          </cell>
          <cell r="J6" t="str">
            <v>J.........</v>
          </cell>
          <cell r="K6" t="str">
            <v xml:space="preserve">Consumer Finance Group                            </v>
          </cell>
          <cell r="L6" t="str">
            <v xml:space="preserve"> </v>
          </cell>
          <cell r="M6" t="str">
            <v xml:space="preserve"> </v>
          </cell>
          <cell r="N6" t="str">
            <v>bamgt</v>
          </cell>
          <cell r="O6" t="str">
            <v>01</v>
          </cell>
          <cell r="P6" t="str">
            <v>100000   100099A  136999F  999999999999999999999999999999999999999999999</v>
          </cell>
          <cell r="Q6" t="str">
            <v xml:space="preserve">none     </v>
          </cell>
          <cell r="R6" t="str">
            <v>Final Profit Plan</v>
          </cell>
          <cell r="S6" t="str">
            <v>Final Profit Plan</v>
          </cell>
          <cell r="T6" t="str">
            <v xml:space="preserve"> </v>
          </cell>
          <cell r="U6" t="str">
            <v xml:space="preserve"> </v>
          </cell>
          <cell r="V6">
            <v>64789.307000000001</v>
          </cell>
          <cell r="W6">
            <v>49617</v>
          </cell>
          <cell r="X6">
            <v>15172.307000000001</v>
          </cell>
          <cell r="Y6">
            <v>2350.2710000000002</v>
          </cell>
          <cell r="Z6" t="str">
            <v xml:space="preserve">     </v>
          </cell>
          <cell r="AA6" t="str">
            <v>136999F</v>
          </cell>
          <cell r="AB6" t="str">
            <v>3</v>
          </cell>
          <cell r="AC6" t="str">
            <v>Foreign</v>
          </cell>
          <cell r="AD6">
            <v>69617.396380000006</v>
          </cell>
          <cell r="AE6">
            <v>52062.353419999999</v>
          </cell>
          <cell r="AF6">
            <v>17555.042959999999</v>
          </cell>
          <cell r="AG6">
            <v>33.7192650865763</v>
          </cell>
          <cell r="AH6" t="str">
            <v xml:space="preserve">U.S. Dollar                   </v>
          </cell>
        </row>
        <row r="7">
          <cell r="A7" t="str">
            <v>J.........137000</v>
          </cell>
          <cell r="B7" t="str">
            <v>1999T12</v>
          </cell>
          <cell r="C7" t="str">
            <v xml:space="preserve">M10      </v>
          </cell>
          <cell r="D7" t="str">
            <v xml:space="preserve">Monthly Actual vs Plan                            </v>
          </cell>
          <cell r="E7" t="str">
            <v>Run: 01/13/00 10:16:47</v>
          </cell>
          <cell r="F7" t="str">
            <v>999</v>
          </cell>
          <cell r="G7" t="str">
            <v>100</v>
          </cell>
          <cell r="H7" t="str">
            <v xml:space="preserve">Bank Of America Management Reporting              </v>
          </cell>
          <cell r="I7" t="str">
            <v>001</v>
          </cell>
          <cell r="J7" t="str">
            <v>J.........</v>
          </cell>
          <cell r="K7" t="str">
            <v xml:space="preserve">Consumer Finance Group                            </v>
          </cell>
          <cell r="L7" t="str">
            <v xml:space="preserve"> </v>
          </cell>
          <cell r="M7" t="str">
            <v xml:space="preserve"> </v>
          </cell>
          <cell r="N7" t="str">
            <v>bamgt</v>
          </cell>
          <cell r="O7" t="str">
            <v>01</v>
          </cell>
          <cell r="P7" t="str">
            <v>100000   100099A  137000   999999999999999999999999999999999999999999999</v>
          </cell>
          <cell r="Q7" t="str">
            <v xml:space="preserve">none     </v>
          </cell>
          <cell r="R7" t="str">
            <v>Final Profit Plan</v>
          </cell>
          <cell r="S7" t="str">
            <v>Final Profit Plan</v>
          </cell>
          <cell r="T7" t="str">
            <v xml:space="preserve"> </v>
          </cell>
          <cell r="U7" t="str">
            <v xml:space="preserve"> </v>
          </cell>
          <cell r="V7">
            <v>44209.953070000003</v>
          </cell>
          <cell r="W7">
            <v>15568</v>
          </cell>
          <cell r="X7">
            <v>28641.95307</v>
          </cell>
          <cell r="Y7">
            <v>4696.6150500000003</v>
          </cell>
          <cell r="Z7" t="str">
            <v xml:space="preserve">     </v>
          </cell>
          <cell r="AA7" t="str">
            <v>137000</v>
          </cell>
          <cell r="AB7" t="str">
            <v>3</v>
          </cell>
          <cell r="AC7" t="str">
            <v>Construction / Land Development</v>
          </cell>
          <cell r="AD7">
            <v>21088.59448</v>
          </cell>
          <cell r="AE7">
            <v>14263.72603</v>
          </cell>
          <cell r="AF7">
            <v>6824.8684499999999</v>
          </cell>
          <cell r="AG7">
            <v>47.847725311364499</v>
          </cell>
          <cell r="AH7" t="str">
            <v xml:space="preserve">U.S. Dollar                   </v>
          </cell>
        </row>
        <row r="8">
          <cell r="A8" t="str">
            <v>J.........100099A</v>
          </cell>
          <cell r="B8" t="str">
            <v>1999T12</v>
          </cell>
          <cell r="C8" t="str">
            <v xml:space="preserve">M10      </v>
          </cell>
          <cell r="D8" t="str">
            <v xml:space="preserve">Monthly Actual vs Plan                            </v>
          </cell>
          <cell r="E8" t="str">
            <v>Run: 01/13/00 10:16:47</v>
          </cell>
          <cell r="F8" t="str">
            <v>999</v>
          </cell>
          <cell r="G8" t="str">
            <v>100</v>
          </cell>
          <cell r="H8" t="str">
            <v xml:space="preserve">Bank Of America Management Reporting              </v>
          </cell>
          <cell r="I8" t="str">
            <v>001</v>
          </cell>
          <cell r="J8" t="str">
            <v>J.........</v>
          </cell>
          <cell r="K8" t="str">
            <v xml:space="preserve">Consumer Finance Group                            </v>
          </cell>
          <cell r="L8" t="str">
            <v xml:space="preserve"> </v>
          </cell>
          <cell r="M8" t="str">
            <v xml:space="preserve"> </v>
          </cell>
          <cell r="N8" t="str">
            <v>bamgt</v>
          </cell>
          <cell r="O8" t="str">
            <v>01</v>
          </cell>
          <cell r="P8" t="str">
            <v>100000   100099A  999999999999999999999999999999999999999999999999999999</v>
          </cell>
          <cell r="Q8" t="str">
            <v xml:space="preserve">none     </v>
          </cell>
          <cell r="R8" t="str">
            <v>Final Profit Plan</v>
          </cell>
          <cell r="S8" t="str">
            <v>Final Profit Plan</v>
          </cell>
          <cell r="T8" t="str">
            <v xml:space="preserve"> </v>
          </cell>
          <cell r="U8" t="str">
            <v xml:space="preserve"> </v>
          </cell>
          <cell r="V8">
            <v>55244353.3411</v>
          </cell>
          <cell r="W8">
            <v>46784476.719999999</v>
          </cell>
          <cell r="X8">
            <v>8459876.6210999992</v>
          </cell>
          <cell r="Y8">
            <v>889437.42923000001</v>
          </cell>
          <cell r="Z8" t="str">
            <v xml:space="preserve">     </v>
          </cell>
          <cell r="AA8" t="str">
            <v>100099A</v>
          </cell>
          <cell r="AB8" t="str">
            <v>2</v>
          </cell>
          <cell r="AC8" t="str">
            <v>Total Loans &amp; Leases</v>
          </cell>
          <cell r="AD8">
            <v>51963689.268189996</v>
          </cell>
          <cell r="AE8">
            <v>45852468.670699999</v>
          </cell>
          <cell r="AF8">
            <v>6111220.5974899996</v>
          </cell>
          <cell r="AG8">
            <v>13.328007792512</v>
          </cell>
          <cell r="AH8" t="str">
            <v xml:space="preserve">U.S. Dollar                   </v>
          </cell>
        </row>
        <row r="9">
          <cell r="A9" t="str">
            <v>J.........EARN-B</v>
          </cell>
          <cell r="B9" t="str">
            <v>1999T12</v>
          </cell>
          <cell r="C9" t="str">
            <v xml:space="preserve">M10      </v>
          </cell>
          <cell r="D9" t="str">
            <v xml:space="preserve">Monthly Actual vs Plan                            </v>
          </cell>
          <cell r="E9" t="str">
            <v>Run: 01/13/00 10:16:47</v>
          </cell>
          <cell r="F9" t="str">
            <v>999</v>
          </cell>
          <cell r="G9" t="str">
            <v>100</v>
          </cell>
          <cell r="H9" t="str">
            <v xml:space="preserve">Bank Of America Management Reporting              </v>
          </cell>
          <cell r="I9" t="str">
            <v>001</v>
          </cell>
          <cell r="J9" t="str">
            <v>J.........</v>
          </cell>
          <cell r="K9" t="str">
            <v xml:space="preserve">Consumer Finance Group                            </v>
          </cell>
          <cell r="L9" t="str">
            <v xml:space="preserve"> </v>
          </cell>
          <cell r="M9" t="str">
            <v xml:space="preserve"> </v>
          </cell>
          <cell r="N9" t="str">
            <v>bamgt</v>
          </cell>
          <cell r="O9" t="str">
            <v>01</v>
          </cell>
          <cell r="P9" t="str">
            <v xml:space="preserve">100000   128999C 9999999999EARN-B                                       </v>
          </cell>
          <cell r="Q9" t="str">
            <v xml:space="preserve">none     </v>
          </cell>
          <cell r="R9" t="str">
            <v>Final Profit Plan</v>
          </cell>
          <cell r="S9" t="str">
            <v>Final Profit Plan</v>
          </cell>
          <cell r="T9" t="str">
            <v xml:space="preserve"> </v>
          </cell>
          <cell r="U9" t="str">
            <v xml:space="preserve"> </v>
          </cell>
          <cell r="V9">
            <v>55361556.58924</v>
          </cell>
          <cell r="W9">
            <v>46858383.719999999</v>
          </cell>
          <cell r="X9">
            <v>8503172.8692400008</v>
          </cell>
          <cell r="Y9">
            <v>894227.67137</v>
          </cell>
          <cell r="Z9" t="str">
            <v xml:space="preserve">     </v>
          </cell>
          <cell r="AA9" t="str">
            <v>EARN-B</v>
          </cell>
          <cell r="AB9" t="str">
            <v>0</v>
          </cell>
          <cell r="AC9" t="str">
            <v>Total Earning Assets</v>
          </cell>
          <cell r="AD9">
            <v>52104384.784029998</v>
          </cell>
          <cell r="AE9">
            <v>45934216.577550001</v>
          </cell>
          <cell r="AF9">
            <v>6170168.2064800002</v>
          </cell>
          <cell r="AG9">
            <v>13.432618788791199</v>
          </cell>
          <cell r="AH9" t="str">
            <v xml:space="preserve">U.S. Dollar                   </v>
          </cell>
        </row>
        <row r="10">
          <cell r="A10" t="str">
            <v>J.........190900A</v>
          </cell>
          <cell r="B10" t="str">
            <v>1999T12</v>
          </cell>
          <cell r="C10" t="str">
            <v xml:space="preserve">M10      </v>
          </cell>
          <cell r="D10" t="str">
            <v xml:space="preserve">Monthly Actual vs Plan                            </v>
          </cell>
          <cell r="E10" t="str">
            <v>Run: 01/13/00 10:16:47</v>
          </cell>
          <cell r="F10" t="str">
            <v>999</v>
          </cell>
          <cell r="G10" t="str">
            <v>100</v>
          </cell>
          <cell r="H10" t="str">
            <v xml:space="preserve">Bank Of America Management Reporting              </v>
          </cell>
          <cell r="I10" t="str">
            <v>001</v>
          </cell>
          <cell r="J10" t="str">
            <v>J.........</v>
          </cell>
          <cell r="K10" t="str">
            <v xml:space="preserve">Consumer Finance Group                            </v>
          </cell>
          <cell r="L10" t="str">
            <v xml:space="preserve"> </v>
          </cell>
          <cell r="M10" t="str">
            <v xml:space="preserve"> </v>
          </cell>
          <cell r="N10" t="str">
            <v>bamgt</v>
          </cell>
          <cell r="O10" t="str">
            <v>01</v>
          </cell>
          <cell r="P10" t="str">
            <v>100000   168999J  182000A  182000B  190900A  999999999999999999999999999</v>
          </cell>
          <cell r="Q10" t="str">
            <v xml:space="preserve">none     </v>
          </cell>
          <cell r="R10" t="str">
            <v>Final Profit Plan</v>
          </cell>
          <cell r="S10" t="str">
            <v>Final Profit Plan</v>
          </cell>
          <cell r="T10" t="str">
            <v xml:space="preserve"> </v>
          </cell>
          <cell r="U10" t="str">
            <v xml:space="preserve"> </v>
          </cell>
          <cell r="V10">
            <v>918269.14913000003</v>
          </cell>
          <cell r="W10">
            <v>971499</v>
          </cell>
          <cell r="X10">
            <v>-53229.850870000002</v>
          </cell>
          <cell r="Y10">
            <v>-62261.061309999997</v>
          </cell>
          <cell r="Z10" t="str">
            <v xml:space="preserve">     </v>
          </cell>
          <cell r="AA10" t="str">
            <v>190900A</v>
          </cell>
          <cell r="AB10" t="str">
            <v>5</v>
          </cell>
          <cell r="AC10" t="str">
            <v>Operating Leases</v>
          </cell>
          <cell r="AD10">
            <v>1118783.33607</v>
          </cell>
          <cell r="AE10">
            <v>1214007.20548</v>
          </cell>
          <cell r="AF10">
            <v>-95223.869409999999</v>
          </cell>
          <cell r="AG10">
            <v>-7.8437647635171999</v>
          </cell>
          <cell r="AH10" t="str">
            <v xml:space="preserve">U.S. Dollar                   </v>
          </cell>
        </row>
        <row r="11">
          <cell r="A11" t="str">
            <v>J.........INTLIAB-B</v>
          </cell>
          <cell r="B11" t="str">
            <v>1999T12</v>
          </cell>
          <cell r="C11" t="str">
            <v xml:space="preserve">M10      </v>
          </cell>
          <cell r="D11" t="str">
            <v xml:space="preserve">Monthly Actual vs Plan                            </v>
          </cell>
          <cell r="E11" t="str">
            <v>Run: 01/13/00 10:16:47</v>
          </cell>
          <cell r="F11" t="str">
            <v>999</v>
          </cell>
          <cell r="G11" t="str">
            <v>100</v>
          </cell>
          <cell r="H11" t="str">
            <v xml:space="preserve">Bank Of America Management Reporting              </v>
          </cell>
          <cell r="I11" t="str">
            <v>001</v>
          </cell>
          <cell r="J11" t="str">
            <v>J.........</v>
          </cell>
          <cell r="K11" t="str">
            <v xml:space="preserve">Consumer Finance Group                            </v>
          </cell>
          <cell r="L11" t="str">
            <v xml:space="preserve"> </v>
          </cell>
          <cell r="M11" t="str">
            <v xml:space="preserve"> </v>
          </cell>
          <cell r="N11" t="str">
            <v>bamgt</v>
          </cell>
          <cell r="O11" t="str">
            <v>05</v>
          </cell>
          <cell r="P11" t="str">
            <v xml:space="preserve">200000   239999B   9999999999258000INTLIAB-B                            </v>
          </cell>
          <cell r="Q11" t="str">
            <v xml:space="preserve">none     </v>
          </cell>
          <cell r="R11" t="str">
            <v>Final Profit Plan</v>
          </cell>
          <cell r="S11" t="str">
            <v>Final Profit Plan</v>
          </cell>
          <cell r="T11" t="str">
            <v xml:space="preserve"> </v>
          </cell>
          <cell r="U11" t="str">
            <v xml:space="preserve"> </v>
          </cell>
          <cell r="V11">
            <v>71870.962750000006</v>
          </cell>
          <cell r="W11">
            <v>709462.02</v>
          </cell>
          <cell r="X11">
            <v>-637591.05724999995</v>
          </cell>
          <cell r="Y11">
            <v>-8025.2502699999995</v>
          </cell>
          <cell r="Z11" t="str">
            <v xml:space="preserve">     </v>
          </cell>
          <cell r="AA11" t="str">
            <v>INTLIAB-B</v>
          </cell>
          <cell r="AB11" t="str">
            <v>0</v>
          </cell>
          <cell r="AC11" t="str">
            <v>Total Interest Bearing Liabilities</v>
          </cell>
          <cell r="AD11">
            <v>407474.12557999999</v>
          </cell>
          <cell r="AE11">
            <v>807553.36817000003</v>
          </cell>
          <cell r="AF11">
            <v>-400079.24258999998</v>
          </cell>
          <cell r="AG11">
            <v>-49.542142768424299</v>
          </cell>
          <cell r="AH11" t="str">
            <v xml:space="preserve">U.S. Dollar                   </v>
          </cell>
        </row>
        <row r="12">
          <cell r="A12" t="str">
            <v>J.........TOTDEP-B</v>
          </cell>
          <cell r="B12" t="str">
            <v>1999T12</v>
          </cell>
          <cell r="C12" t="str">
            <v xml:space="preserve">M10      </v>
          </cell>
          <cell r="D12" t="str">
            <v xml:space="preserve">Monthly Actual vs Plan                            </v>
          </cell>
          <cell r="E12" t="str">
            <v>Run: 01/13/00 10:16:47</v>
          </cell>
          <cell r="F12" t="str">
            <v>999</v>
          </cell>
          <cell r="G12" t="str">
            <v>100</v>
          </cell>
          <cell r="H12" t="str">
            <v xml:space="preserve">Bank Of America Management Reporting              </v>
          </cell>
          <cell r="I12" t="str">
            <v>001</v>
          </cell>
          <cell r="J12" t="str">
            <v>J.........</v>
          </cell>
          <cell r="K12" t="str">
            <v xml:space="preserve">Consumer Finance Group                            </v>
          </cell>
          <cell r="L12" t="str">
            <v xml:space="preserve"> </v>
          </cell>
          <cell r="M12" t="str">
            <v xml:space="preserve"> </v>
          </cell>
          <cell r="N12" t="str">
            <v>bamgt</v>
          </cell>
          <cell r="O12" t="str">
            <v>05</v>
          </cell>
          <cell r="P12" t="str">
            <v xml:space="preserve">200000TOTDEP-B                                                          </v>
          </cell>
          <cell r="Q12" t="str">
            <v xml:space="preserve">none     </v>
          </cell>
          <cell r="R12" t="str">
            <v>Final Profit Plan</v>
          </cell>
          <cell r="S12" t="str">
            <v>Final Profit Plan</v>
          </cell>
          <cell r="T12" t="str">
            <v xml:space="preserve"> </v>
          </cell>
          <cell r="U12" t="str">
            <v xml:space="preserve"> </v>
          </cell>
          <cell r="V12">
            <v>780284.35178000003</v>
          </cell>
          <cell r="W12">
            <v>949678.36</v>
          </cell>
          <cell r="X12">
            <v>-169394.00821999999</v>
          </cell>
          <cell r="Y12">
            <v>-23436.90482</v>
          </cell>
          <cell r="Z12" t="str">
            <v xml:space="preserve">     </v>
          </cell>
          <cell r="AA12" t="str">
            <v>TOTDEP-B</v>
          </cell>
          <cell r="AB12" t="str">
            <v>0</v>
          </cell>
          <cell r="AC12" t="str">
            <v>Total Deposits</v>
          </cell>
          <cell r="AD12">
            <v>784319.30174999998</v>
          </cell>
          <cell r="AE12">
            <v>898246.88626000006</v>
          </cell>
          <cell r="AF12">
            <v>-113927.58451</v>
          </cell>
          <cell r="AG12">
            <v>-12.683326405322299</v>
          </cell>
          <cell r="AH12" t="str">
            <v xml:space="preserve">U.S. Dollar                   </v>
          </cell>
        </row>
        <row r="13">
          <cell r="A13" t="str">
            <v>J.........300000</v>
          </cell>
          <cell r="B13" t="str">
            <v>1999T12</v>
          </cell>
          <cell r="C13" t="str">
            <v xml:space="preserve">M10      </v>
          </cell>
          <cell r="D13" t="str">
            <v xml:space="preserve">Monthly Actual vs Plan                            </v>
          </cell>
          <cell r="E13" t="str">
            <v>Run: 01/13/00 10:16:47</v>
          </cell>
          <cell r="F13" t="str">
            <v>999</v>
          </cell>
          <cell r="G13" t="str">
            <v>100</v>
          </cell>
          <cell r="H13" t="str">
            <v xml:space="preserve">Bank Of America Management Reporting              </v>
          </cell>
          <cell r="I13" t="str">
            <v>001</v>
          </cell>
          <cell r="J13" t="str">
            <v>J.........</v>
          </cell>
          <cell r="K13" t="str">
            <v xml:space="preserve">Consumer Finance Group                            </v>
          </cell>
          <cell r="L13" t="str">
            <v xml:space="preserve"> </v>
          </cell>
          <cell r="M13" t="str">
            <v xml:space="preserve"> </v>
          </cell>
          <cell r="N13" t="str">
            <v>bamgt</v>
          </cell>
          <cell r="O13" t="str">
            <v>20</v>
          </cell>
          <cell r="P13" t="str">
            <v>300000   999999999999999999999999999999999999999999999999999999999999999</v>
          </cell>
          <cell r="Q13" t="str">
            <v xml:space="preserve">none     </v>
          </cell>
          <cell r="R13" t="str">
            <v>Final Profit Plan</v>
          </cell>
          <cell r="S13" t="str">
            <v>Final Profit Plan</v>
          </cell>
          <cell r="T13" t="str">
            <v xml:space="preserve"> </v>
          </cell>
          <cell r="U13" t="str">
            <v xml:space="preserve"> </v>
          </cell>
          <cell r="V13">
            <v>382515.19900000002</v>
          </cell>
          <cell r="W13">
            <v>331876.29742999998</v>
          </cell>
          <cell r="X13">
            <v>50638.901570000002</v>
          </cell>
          <cell r="Y13">
            <v>18368.791740000001</v>
          </cell>
          <cell r="Z13" t="str">
            <v xml:space="preserve">     </v>
          </cell>
          <cell r="AA13" t="str">
            <v>300000</v>
          </cell>
          <cell r="AB13" t="str">
            <v>1</v>
          </cell>
          <cell r="AC13" t="str">
            <v>Interest Income On Assets</v>
          </cell>
          <cell r="AD13">
            <v>4338964.71141</v>
          </cell>
          <cell r="AE13">
            <v>3889006.5365599999</v>
          </cell>
          <cell r="AF13">
            <v>449958.17485000001</v>
          </cell>
          <cell r="AG13">
            <v>11.570003048850801</v>
          </cell>
          <cell r="AH13" t="str">
            <v xml:space="preserve">U.S. Dollar                   </v>
          </cell>
        </row>
        <row r="14">
          <cell r="A14" t="str">
            <v>J.........400000</v>
          </cell>
          <cell r="B14" t="str">
            <v>1999T12</v>
          </cell>
          <cell r="C14" t="str">
            <v xml:space="preserve">M10      </v>
          </cell>
          <cell r="D14" t="str">
            <v xml:space="preserve">Monthly Actual vs Plan                            </v>
          </cell>
          <cell r="E14" t="str">
            <v>Run: 01/13/00 10:16:47</v>
          </cell>
          <cell r="F14" t="str">
            <v>999</v>
          </cell>
          <cell r="G14" t="str">
            <v>100</v>
          </cell>
          <cell r="H14" t="str">
            <v xml:space="preserve">Bank Of America Management Reporting              </v>
          </cell>
          <cell r="I14" t="str">
            <v>001</v>
          </cell>
          <cell r="J14" t="str">
            <v>J.........</v>
          </cell>
          <cell r="K14" t="str">
            <v xml:space="preserve">Consumer Finance Group                            </v>
          </cell>
          <cell r="L14" t="str">
            <v xml:space="preserve"> </v>
          </cell>
          <cell r="M14" t="str">
            <v xml:space="preserve"> </v>
          </cell>
          <cell r="N14" t="str">
            <v>bamgt</v>
          </cell>
          <cell r="O14" t="str">
            <v>25</v>
          </cell>
          <cell r="P14" t="str">
            <v>400000   999999999999999999999999999999999999999999999999999999999999999</v>
          </cell>
          <cell r="Q14" t="str">
            <v xml:space="preserve">none     </v>
          </cell>
          <cell r="R14" t="str">
            <v>Final Profit Plan</v>
          </cell>
          <cell r="S14" t="str">
            <v>Final Profit Plan</v>
          </cell>
          <cell r="T14" t="str">
            <v xml:space="preserve"> </v>
          </cell>
          <cell r="U14" t="str">
            <v xml:space="preserve"> </v>
          </cell>
          <cell r="V14">
            <v>2146.2658900000001</v>
          </cell>
          <cell r="W14">
            <v>3987.8624599999998</v>
          </cell>
          <cell r="X14">
            <v>1841.5965699999999</v>
          </cell>
          <cell r="Y14">
            <v>19076.301889999999</v>
          </cell>
          <cell r="Z14" t="str">
            <v xml:space="preserve">     </v>
          </cell>
          <cell r="AA14" t="str">
            <v>400000</v>
          </cell>
          <cell r="AB14" t="str">
            <v>1</v>
          </cell>
          <cell r="AC14" t="str">
            <v>Interest Expense On Liabilities</v>
          </cell>
          <cell r="AD14">
            <v>244143.17954000001</v>
          </cell>
          <cell r="AE14">
            <v>55818.413</v>
          </cell>
          <cell r="AF14">
            <v>-188324.76654000001</v>
          </cell>
          <cell r="AG14">
            <v>-337.38824953694098</v>
          </cell>
          <cell r="AH14" t="str">
            <v xml:space="preserve">U.S. Dollar                   </v>
          </cell>
        </row>
        <row r="15">
          <cell r="A15" t="str">
            <v>J.........510000</v>
          </cell>
          <cell r="B15" t="str">
            <v>1999T12</v>
          </cell>
          <cell r="C15" t="str">
            <v xml:space="preserve">M10      </v>
          </cell>
          <cell r="D15" t="str">
            <v xml:space="preserve">Monthly Actual vs Plan                            </v>
          </cell>
          <cell r="E15" t="str">
            <v>Run: 01/13/00 10:16:47</v>
          </cell>
          <cell r="F15" t="str">
            <v>999</v>
          </cell>
          <cell r="G15" t="str">
            <v>100</v>
          </cell>
          <cell r="H15" t="str">
            <v xml:space="preserve">Bank Of America Management Reporting              </v>
          </cell>
          <cell r="I15" t="str">
            <v>001</v>
          </cell>
          <cell r="J15" t="str">
            <v>J.........</v>
          </cell>
          <cell r="K15" t="str">
            <v xml:space="preserve">Consumer Finance Group                            </v>
          </cell>
          <cell r="L15" t="str">
            <v xml:space="preserve"> </v>
          </cell>
          <cell r="M15" t="str">
            <v xml:space="preserve"> </v>
          </cell>
          <cell r="N15" t="str">
            <v>bamgt</v>
          </cell>
          <cell r="O15" t="str">
            <v>35</v>
          </cell>
          <cell r="P15" t="str">
            <v>500099A  510000   999999999999999999999999999999999999999999999999999999</v>
          </cell>
          <cell r="Q15" t="str">
            <v xml:space="preserve">none     </v>
          </cell>
          <cell r="R15" t="str">
            <v>Final Profit Plan</v>
          </cell>
          <cell r="S15" t="str">
            <v>Final Profit Plan</v>
          </cell>
          <cell r="T15" t="str">
            <v xml:space="preserve"> </v>
          </cell>
          <cell r="U15" t="str">
            <v xml:space="preserve"> </v>
          </cell>
          <cell r="V15">
            <v>653.89927</v>
          </cell>
          <cell r="W15">
            <v>657.14</v>
          </cell>
          <cell r="X15">
            <v>-3.2407300000000001</v>
          </cell>
          <cell r="Y15">
            <v>61.95026</v>
          </cell>
          <cell r="Z15" t="str">
            <v xml:space="preserve">     </v>
          </cell>
          <cell r="AA15" t="str">
            <v>510000</v>
          </cell>
          <cell r="AB15" t="str">
            <v>2</v>
          </cell>
          <cell r="AC15" t="str">
            <v>Service Charges On Deposit Accounts</v>
          </cell>
          <cell r="AD15">
            <v>8060.9031500000001</v>
          </cell>
          <cell r="AE15">
            <v>7587.68</v>
          </cell>
          <cell r="AF15">
            <v>473.22314999999998</v>
          </cell>
          <cell r="AG15">
            <v>6.2367304630664497</v>
          </cell>
          <cell r="AH15" t="str">
            <v xml:space="preserve">U.S. Dollar                   </v>
          </cell>
        </row>
        <row r="16">
          <cell r="A16" t="str">
            <v>J.........560200A</v>
          </cell>
          <cell r="B16" t="str">
            <v>1999T12</v>
          </cell>
          <cell r="C16" t="str">
            <v xml:space="preserve">M10      </v>
          </cell>
          <cell r="D16" t="str">
            <v xml:space="preserve">Monthly Actual vs Plan                            </v>
          </cell>
          <cell r="E16" t="str">
            <v>Run: 01/13/00 10:16:47</v>
          </cell>
          <cell r="F16" t="str">
            <v>999</v>
          </cell>
          <cell r="G16" t="str">
            <v>100</v>
          </cell>
          <cell r="H16" t="str">
            <v xml:space="preserve">Bank Of America Management Reporting              </v>
          </cell>
          <cell r="I16" t="str">
            <v>001</v>
          </cell>
          <cell r="J16" t="str">
            <v>J.........</v>
          </cell>
          <cell r="K16" t="str">
            <v xml:space="preserve">Consumer Finance Group                            </v>
          </cell>
          <cell r="L16" t="str">
            <v xml:space="preserve"> </v>
          </cell>
          <cell r="M16" t="str">
            <v xml:space="preserve"> </v>
          </cell>
          <cell r="N16" t="str">
            <v>bamgt</v>
          </cell>
          <cell r="O16" t="str">
            <v>35</v>
          </cell>
          <cell r="P16" t="str">
            <v>500099A  557900   560200A  999999999999999999999999999999999999999999999</v>
          </cell>
          <cell r="Q16" t="str">
            <v xml:space="preserve">none     </v>
          </cell>
          <cell r="R16" t="str">
            <v>Final Profit Plan</v>
          </cell>
          <cell r="S16" t="str">
            <v>Final Profit Plan</v>
          </cell>
          <cell r="T16" t="str">
            <v xml:space="preserve"> </v>
          </cell>
          <cell r="U16" t="str">
            <v xml:space="preserve"> </v>
          </cell>
          <cell r="V16">
            <v>36557.419130000002</v>
          </cell>
          <cell r="W16">
            <v>-834.79</v>
          </cell>
          <cell r="X16">
            <v>37392.209130000003</v>
          </cell>
          <cell r="Y16">
            <v>30724.228660000001</v>
          </cell>
          <cell r="Z16" t="str">
            <v xml:space="preserve">     </v>
          </cell>
          <cell r="AA16" t="str">
            <v>560200A</v>
          </cell>
          <cell r="AB16" t="str">
            <v>3</v>
          </cell>
          <cell r="AC16" t="str">
            <v>Gains &amp; Losses</v>
          </cell>
          <cell r="AD16">
            <v>63307.750800000002</v>
          </cell>
          <cell r="AE16">
            <v>18460.490000000002</v>
          </cell>
          <cell r="AF16">
            <v>44847.260799999996</v>
          </cell>
          <cell r="AG16">
            <v>242.93645943309201</v>
          </cell>
          <cell r="AH16" t="str">
            <v xml:space="preserve">U.S. Dollar                   </v>
          </cell>
        </row>
        <row r="17">
          <cell r="A17" t="str">
            <v>J.........500099A</v>
          </cell>
          <cell r="B17" t="str">
            <v>1999T12</v>
          </cell>
          <cell r="C17" t="str">
            <v xml:space="preserve">M10      </v>
          </cell>
          <cell r="D17" t="str">
            <v xml:space="preserve">Monthly Actual vs Plan                            </v>
          </cell>
          <cell r="E17" t="str">
            <v>Run: 01/13/00 10:16:47</v>
          </cell>
          <cell r="F17" t="str">
            <v>999</v>
          </cell>
          <cell r="G17" t="str">
            <v>100</v>
          </cell>
          <cell r="H17" t="str">
            <v xml:space="preserve">Bank Of America Management Reporting              </v>
          </cell>
          <cell r="I17" t="str">
            <v>001</v>
          </cell>
          <cell r="J17" t="str">
            <v>J.........</v>
          </cell>
          <cell r="K17" t="str">
            <v xml:space="preserve">Consumer Finance Group                            </v>
          </cell>
          <cell r="L17" t="str">
            <v xml:space="preserve"> </v>
          </cell>
          <cell r="M17" t="str">
            <v xml:space="preserve"> </v>
          </cell>
          <cell r="N17" t="str">
            <v>bamgt</v>
          </cell>
          <cell r="O17" t="str">
            <v>35</v>
          </cell>
          <cell r="P17" t="str">
            <v>500099A  999999999999999999999999999999999999999999999999999999999999999</v>
          </cell>
          <cell r="Q17" t="str">
            <v xml:space="preserve">none     </v>
          </cell>
          <cell r="R17" t="str">
            <v>Final Profit Plan</v>
          </cell>
          <cell r="S17" t="str">
            <v>Final Profit Plan</v>
          </cell>
          <cell r="T17" t="str">
            <v xml:space="preserve"> </v>
          </cell>
          <cell r="U17" t="str">
            <v xml:space="preserve"> </v>
          </cell>
          <cell r="V17">
            <v>50738.822339999999</v>
          </cell>
          <cell r="W17">
            <v>19799.03</v>
          </cell>
          <cell r="X17">
            <v>30939.79234</v>
          </cell>
          <cell r="Y17">
            <v>29250.77548</v>
          </cell>
          <cell r="Z17" t="str">
            <v xml:space="preserve">     </v>
          </cell>
          <cell r="AA17" t="str">
            <v>500099A</v>
          </cell>
          <cell r="AB17" t="str">
            <v>1</v>
          </cell>
          <cell r="AC17" t="str">
            <v>Total Non-Interest Income</v>
          </cell>
          <cell r="AD17">
            <v>438036.57195999997</v>
          </cell>
          <cell r="AE17">
            <v>492658.19</v>
          </cell>
          <cell r="AF17">
            <v>-54621.618040000001</v>
          </cell>
          <cell r="AG17">
            <v>-11.087122704689</v>
          </cell>
          <cell r="AH17" t="str">
            <v xml:space="preserve">U.S. Dollar                   </v>
          </cell>
        </row>
        <row r="18">
          <cell r="A18" t="str">
            <v>J.........599999C</v>
          </cell>
          <cell r="B18" t="str">
            <v>1999T12</v>
          </cell>
          <cell r="C18" t="str">
            <v xml:space="preserve">M10      </v>
          </cell>
          <cell r="D18" t="str">
            <v xml:space="preserve">Monthly Actual vs Plan                            </v>
          </cell>
          <cell r="E18" t="str">
            <v>Run: 01/13/00 10:16:47</v>
          </cell>
          <cell r="F18" t="str">
            <v>999</v>
          </cell>
          <cell r="G18" t="str">
            <v>100</v>
          </cell>
          <cell r="H18" t="str">
            <v xml:space="preserve">Bank Of America Management Reporting              </v>
          </cell>
          <cell r="I18" t="str">
            <v>001</v>
          </cell>
          <cell r="J18" t="str">
            <v>J.........</v>
          </cell>
          <cell r="K18" t="str">
            <v xml:space="preserve">Consumer Finance Group                            </v>
          </cell>
          <cell r="L18" t="str">
            <v xml:space="preserve"> </v>
          </cell>
          <cell r="M18" t="str">
            <v xml:space="preserve"> </v>
          </cell>
          <cell r="N18" t="str">
            <v>bamgt</v>
          </cell>
          <cell r="O18" t="str">
            <v>30</v>
          </cell>
          <cell r="P18" t="str">
            <v>599999B  599999C  999999999999999999999999999999999999999999999999999999</v>
          </cell>
          <cell r="Q18" t="str">
            <v xml:space="preserve">none     </v>
          </cell>
          <cell r="R18" t="str">
            <v>Final Profit Plan</v>
          </cell>
          <cell r="S18" t="str">
            <v>Final Profit Plan</v>
          </cell>
          <cell r="T18" t="str">
            <v xml:space="preserve"> </v>
          </cell>
          <cell r="U18" t="str">
            <v xml:space="preserve"> </v>
          </cell>
          <cell r="V18">
            <v>97561.947400000005</v>
          </cell>
          <cell r="W18">
            <v>40513.222900000001</v>
          </cell>
          <cell r="X18">
            <v>-57048.724499999997</v>
          </cell>
          <cell r="Y18">
            <v>-42803.427430000003</v>
          </cell>
          <cell r="Z18" t="str">
            <v xml:space="preserve">     </v>
          </cell>
          <cell r="AA18" t="str">
            <v>599999C</v>
          </cell>
          <cell r="AB18" t="str">
            <v>2</v>
          </cell>
          <cell r="AC18" t="str">
            <v>Provision For Credit Losses - Direct</v>
          </cell>
          <cell r="AD18">
            <v>500674.70617999998</v>
          </cell>
          <cell r="AE18">
            <v>421960.99494</v>
          </cell>
          <cell r="AF18">
            <v>-78713.711240000004</v>
          </cell>
          <cell r="AG18">
            <v>-18.654262404323099</v>
          </cell>
          <cell r="AH18" t="str">
            <v xml:space="preserve">U.S. Dollar                   </v>
          </cell>
        </row>
        <row r="19">
          <cell r="A19" t="str">
            <v>J.........600250</v>
          </cell>
          <cell r="B19" t="str">
            <v>1999T12</v>
          </cell>
          <cell r="C19" t="str">
            <v xml:space="preserve">M10      </v>
          </cell>
          <cell r="D19" t="str">
            <v xml:space="preserve">Monthly Actual vs Plan                            </v>
          </cell>
          <cell r="E19" t="str">
            <v>Run: 01/13/00 10:16:47</v>
          </cell>
          <cell r="F19" t="str">
            <v>999</v>
          </cell>
          <cell r="G19" t="str">
            <v>100</v>
          </cell>
          <cell r="H19" t="str">
            <v xml:space="preserve">Bank Of America Management Reporting              </v>
          </cell>
          <cell r="I19" t="str">
            <v>001</v>
          </cell>
          <cell r="J19" t="str">
            <v>J.........</v>
          </cell>
          <cell r="K19" t="str">
            <v xml:space="preserve">Consumer Finance Group                            </v>
          </cell>
          <cell r="L19" t="str">
            <v xml:space="preserve"> </v>
          </cell>
          <cell r="M19" t="str">
            <v xml:space="preserve"> </v>
          </cell>
          <cell r="N19" t="str">
            <v>bamgt</v>
          </cell>
          <cell r="O19" t="str">
            <v>40</v>
          </cell>
          <cell r="P19" t="str">
            <v>600000A  600250   999999999999999999999999999999999999999999999999999999</v>
          </cell>
          <cell r="Q19" t="str">
            <v xml:space="preserve">none     </v>
          </cell>
          <cell r="R19" t="str">
            <v>Final Profit Plan</v>
          </cell>
          <cell r="S19" t="str">
            <v>Final Profit Plan</v>
          </cell>
          <cell r="T19" t="str">
            <v xml:space="preserve"> </v>
          </cell>
          <cell r="U19" t="str">
            <v xml:space="preserve"> </v>
          </cell>
          <cell r="V19">
            <v>27508.159599999999</v>
          </cell>
          <cell r="W19">
            <v>25825.756700000002</v>
          </cell>
          <cell r="X19">
            <v>-1682.4029</v>
          </cell>
          <cell r="Y19">
            <v>-4629.0726199999999</v>
          </cell>
          <cell r="Z19" t="str">
            <v xml:space="preserve">     </v>
          </cell>
          <cell r="AA19" t="str">
            <v>600250</v>
          </cell>
          <cell r="AB19" t="str">
            <v>2</v>
          </cell>
          <cell r="AC19" t="str">
            <v>Personnel</v>
          </cell>
          <cell r="AD19">
            <v>310913.41528000002</v>
          </cell>
          <cell r="AE19">
            <v>260195.5998</v>
          </cell>
          <cell r="AF19">
            <v>-50717.815479999997</v>
          </cell>
          <cell r="AG19">
            <v>-19.492187999714201</v>
          </cell>
          <cell r="AH19" t="str">
            <v xml:space="preserve">U.S. Dollar                   </v>
          </cell>
        </row>
        <row r="20">
          <cell r="A20" t="str">
            <v>J.........610000</v>
          </cell>
          <cell r="B20" t="str">
            <v>1999T12</v>
          </cell>
          <cell r="C20" t="str">
            <v xml:space="preserve">M10      </v>
          </cell>
          <cell r="D20" t="str">
            <v xml:space="preserve">Monthly Actual vs Plan                            </v>
          </cell>
          <cell r="E20" t="str">
            <v>Run: 01/13/00 10:16:47</v>
          </cell>
          <cell r="F20" t="str">
            <v>999</v>
          </cell>
          <cell r="G20" t="str">
            <v>100</v>
          </cell>
          <cell r="H20" t="str">
            <v xml:space="preserve">Bank Of America Management Reporting              </v>
          </cell>
          <cell r="I20" t="str">
            <v>001</v>
          </cell>
          <cell r="J20" t="str">
            <v>J.........</v>
          </cell>
          <cell r="K20" t="str">
            <v xml:space="preserve">Consumer Finance Group                            </v>
          </cell>
          <cell r="L20" t="str">
            <v xml:space="preserve"> </v>
          </cell>
          <cell r="M20" t="str">
            <v xml:space="preserve"> </v>
          </cell>
          <cell r="N20" t="str">
            <v>bamgt</v>
          </cell>
          <cell r="O20" t="str">
            <v>40</v>
          </cell>
          <cell r="P20" t="str">
            <v>600000A  610000   999999999999999999999999999999999999999999999999999999</v>
          </cell>
          <cell r="Q20" t="str">
            <v xml:space="preserve">none     </v>
          </cell>
          <cell r="R20" t="str">
            <v>Final Profit Plan</v>
          </cell>
          <cell r="S20" t="str">
            <v>Final Profit Plan</v>
          </cell>
          <cell r="T20" t="str">
            <v xml:space="preserve"> </v>
          </cell>
          <cell r="U20" t="str">
            <v xml:space="preserve"> </v>
          </cell>
          <cell r="V20">
            <v>3505.13762</v>
          </cell>
          <cell r="W20">
            <v>3284.93</v>
          </cell>
          <cell r="X20">
            <v>-220.20761999999999</v>
          </cell>
          <cell r="Y20">
            <v>-147.41016999999999</v>
          </cell>
          <cell r="Z20" t="str">
            <v xml:space="preserve">     </v>
          </cell>
          <cell r="AA20" t="str">
            <v>610000</v>
          </cell>
          <cell r="AB20" t="str">
            <v>2</v>
          </cell>
          <cell r="AC20" t="str">
            <v>Net Occupancy</v>
          </cell>
          <cell r="AD20">
            <v>39414.789109999998</v>
          </cell>
          <cell r="AE20">
            <v>42795.5</v>
          </cell>
          <cell r="AF20">
            <v>3380.7108899999998</v>
          </cell>
          <cell r="AG20">
            <v>7.8996877942774404</v>
          </cell>
          <cell r="AH20" t="str">
            <v xml:space="preserve">U.S. Dollar                   </v>
          </cell>
        </row>
        <row r="21">
          <cell r="A21" t="str">
            <v>J.........620000</v>
          </cell>
          <cell r="B21" t="str">
            <v>1999T12</v>
          </cell>
          <cell r="C21" t="str">
            <v xml:space="preserve">M10      </v>
          </cell>
          <cell r="D21" t="str">
            <v xml:space="preserve">Monthly Actual vs Plan                            </v>
          </cell>
          <cell r="E21" t="str">
            <v>Run: 01/13/00 10:16:47</v>
          </cell>
          <cell r="F21" t="str">
            <v>999</v>
          </cell>
          <cell r="G21" t="str">
            <v>100</v>
          </cell>
          <cell r="H21" t="str">
            <v xml:space="preserve">Bank Of America Management Reporting              </v>
          </cell>
          <cell r="I21" t="str">
            <v>001</v>
          </cell>
          <cell r="J21" t="str">
            <v>J.........</v>
          </cell>
          <cell r="K21" t="str">
            <v xml:space="preserve">Consumer Finance Group                            </v>
          </cell>
          <cell r="L21" t="str">
            <v xml:space="preserve"> </v>
          </cell>
          <cell r="M21" t="str">
            <v xml:space="preserve"> </v>
          </cell>
          <cell r="N21" t="str">
            <v>bamgt</v>
          </cell>
          <cell r="O21" t="str">
            <v>40</v>
          </cell>
          <cell r="P21" t="str">
            <v>600000A  620000   999999999999999999999999999999999999999999999999999999</v>
          </cell>
          <cell r="Q21" t="str">
            <v xml:space="preserve">none     </v>
          </cell>
          <cell r="R21" t="str">
            <v>Final Profit Plan</v>
          </cell>
          <cell r="S21" t="str">
            <v>Final Profit Plan</v>
          </cell>
          <cell r="T21" t="str">
            <v xml:space="preserve"> </v>
          </cell>
          <cell r="U21" t="str">
            <v xml:space="preserve"> </v>
          </cell>
          <cell r="V21">
            <v>1769.1276600000001</v>
          </cell>
          <cell r="W21">
            <v>2006.14</v>
          </cell>
          <cell r="X21">
            <v>237.01233999999999</v>
          </cell>
          <cell r="Y21">
            <v>-72.002740000000003</v>
          </cell>
          <cell r="Z21" t="str">
            <v xml:space="preserve">     </v>
          </cell>
          <cell r="AA21" t="str">
            <v>620000</v>
          </cell>
          <cell r="AB21" t="str">
            <v>2</v>
          </cell>
          <cell r="AC21" t="str">
            <v>Furniture &amp; Equipment</v>
          </cell>
          <cell r="AD21">
            <v>28169.554609999999</v>
          </cell>
          <cell r="AE21">
            <v>29402.73</v>
          </cell>
          <cell r="AF21">
            <v>1233.1753900000001</v>
          </cell>
          <cell r="AG21">
            <v>4.1940846649273702</v>
          </cell>
          <cell r="AH21" t="str">
            <v xml:space="preserve">U.S. Dollar                   </v>
          </cell>
        </row>
        <row r="22">
          <cell r="A22" t="str">
            <v>J.........660000A</v>
          </cell>
          <cell r="B22" t="str">
            <v>1999T12</v>
          </cell>
          <cell r="C22" t="str">
            <v xml:space="preserve">M10      </v>
          </cell>
          <cell r="D22" t="str">
            <v xml:space="preserve">Monthly Actual vs Plan                            </v>
          </cell>
          <cell r="E22" t="str">
            <v>Run: 01/13/00 10:16:47</v>
          </cell>
          <cell r="F22" t="str">
            <v>999</v>
          </cell>
          <cell r="G22" t="str">
            <v>100</v>
          </cell>
          <cell r="H22" t="str">
            <v xml:space="preserve">Bank Of America Management Reporting              </v>
          </cell>
          <cell r="I22" t="str">
            <v>001</v>
          </cell>
          <cell r="J22" t="str">
            <v>J.........</v>
          </cell>
          <cell r="K22" t="str">
            <v xml:space="preserve">Consumer Finance Group                            </v>
          </cell>
          <cell r="L22" t="str">
            <v xml:space="preserve"> </v>
          </cell>
          <cell r="M22" t="str">
            <v xml:space="preserve"> </v>
          </cell>
          <cell r="N22" t="str">
            <v>bamgt</v>
          </cell>
          <cell r="O22" t="str">
            <v>40</v>
          </cell>
          <cell r="P22" t="str">
            <v>600000A  660000A  999999999999999999999999999999999999999999999999999999</v>
          </cell>
          <cell r="Q22" t="str">
            <v xml:space="preserve">none     </v>
          </cell>
          <cell r="R22" t="str">
            <v>Final Profit Plan</v>
          </cell>
          <cell r="S22" t="str">
            <v>Final Profit Plan</v>
          </cell>
          <cell r="T22" t="str">
            <v xml:space="preserve"> </v>
          </cell>
          <cell r="U22" t="str">
            <v xml:space="preserve"> </v>
          </cell>
          <cell r="V22">
            <v>2645.7307000000001</v>
          </cell>
          <cell r="W22">
            <v>2393.3000000000002</v>
          </cell>
          <cell r="X22">
            <v>-252.4307</v>
          </cell>
          <cell r="Y22">
            <v>-46.445360000000001</v>
          </cell>
          <cell r="Z22" t="str">
            <v xml:space="preserve">     </v>
          </cell>
          <cell r="AA22" t="str">
            <v>660000A</v>
          </cell>
          <cell r="AB22" t="str">
            <v>2</v>
          </cell>
          <cell r="AC22" t="str">
            <v>Telecommunications</v>
          </cell>
          <cell r="AD22">
            <v>30347.316790000001</v>
          </cell>
          <cell r="AE22">
            <v>29947.79</v>
          </cell>
          <cell r="AF22">
            <v>-399.52679000000001</v>
          </cell>
          <cell r="AG22">
            <v>-1.33407770656867</v>
          </cell>
          <cell r="AH22" t="str">
            <v xml:space="preserve">U.S. Dollar                   </v>
          </cell>
        </row>
        <row r="23">
          <cell r="A23" t="str">
            <v>J.........665499B</v>
          </cell>
          <cell r="B23" t="str">
            <v>1999T12</v>
          </cell>
          <cell r="C23" t="str">
            <v xml:space="preserve">M10      </v>
          </cell>
          <cell r="D23" t="str">
            <v xml:space="preserve">Monthly Actual vs Plan                            </v>
          </cell>
          <cell r="E23" t="str">
            <v>Run: 01/13/00 10:16:47</v>
          </cell>
          <cell r="F23" t="str">
            <v>999</v>
          </cell>
          <cell r="G23" t="str">
            <v>100</v>
          </cell>
          <cell r="H23" t="str">
            <v xml:space="preserve">Bank Of America Management Reporting              </v>
          </cell>
          <cell r="I23" t="str">
            <v>001</v>
          </cell>
          <cell r="J23" t="str">
            <v>J.........</v>
          </cell>
          <cell r="K23" t="str">
            <v xml:space="preserve">Consumer Finance Group                            </v>
          </cell>
          <cell r="L23" t="str">
            <v xml:space="preserve"> </v>
          </cell>
          <cell r="M23" t="str">
            <v xml:space="preserve"> </v>
          </cell>
          <cell r="N23" t="str">
            <v>bamgt</v>
          </cell>
          <cell r="O23" t="str">
            <v>40</v>
          </cell>
          <cell r="P23" t="str">
            <v>600000A  665499A  665499B  999999999999999999999999999999999999999999999</v>
          </cell>
          <cell r="Q23" t="str">
            <v xml:space="preserve">none     </v>
          </cell>
          <cell r="R23" t="str">
            <v>Final Profit Plan</v>
          </cell>
          <cell r="S23" t="str">
            <v>Final Profit Plan</v>
          </cell>
          <cell r="T23" t="str">
            <v xml:space="preserve"> </v>
          </cell>
          <cell r="U23" t="str">
            <v xml:space="preserve"> </v>
          </cell>
          <cell r="V23">
            <v>2457.4947400000001</v>
          </cell>
          <cell r="W23">
            <v>2639.14</v>
          </cell>
          <cell r="X23">
            <v>181.64526000000001</v>
          </cell>
          <cell r="Y23">
            <v>-414.58409</v>
          </cell>
          <cell r="Z23" t="str">
            <v xml:space="preserve">     </v>
          </cell>
          <cell r="AA23" t="str">
            <v>665499B</v>
          </cell>
          <cell r="AB23" t="str">
            <v>3</v>
          </cell>
          <cell r="AC23" t="str">
            <v>Loan &amp; Collection</v>
          </cell>
          <cell r="AD23">
            <v>28257.97854</v>
          </cell>
          <cell r="AE23">
            <v>31774.37</v>
          </cell>
          <cell r="AF23">
            <v>3516.3914599999998</v>
          </cell>
          <cell r="AG23">
            <v>11.0667543054355</v>
          </cell>
          <cell r="AH23" t="str">
            <v xml:space="preserve">U.S. Dollar                   </v>
          </cell>
        </row>
        <row r="24">
          <cell r="A24" t="str">
            <v>J.........665850A</v>
          </cell>
          <cell r="B24" t="str">
            <v>1999T12</v>
          </cell>
          <cell r="C24" t="str">
            <v xml:space="preserve">M10      </v>
          </cell>
          <cell r="D24" t="str">
            <v xml:space="preserve">Monthly Actual vs Plan                            </v>
          </cell>
          <cell r="E24" t="str">
            <v>Run: 01/13/00 10:16:47</v>
          </cell>
          <cell r="F24" t="str">
            <v>999</v>
          </cell>
          <cell r="G24" t="str">
            <v>100</v>
          </cell>
          <cell r="H24" t="str">
            <v xml:space="preserve">Bank Of America Management Reporting              </v>
          </cell>
          <cell r="I24" t="str">
            <v>001</v>
          </cell>
          <cell r="J24" t="str">
            <v>J.........</v>
          </cell>
          <cell r="K24" t="str">
            <v xml:space="preserve">Consumer Finance Group                            </v>
          </cell>
          <cell r="L24" t="str">
            <v xml:space="preserve"> </v>
          </cell>
          <cell r="M24" t="str">
            <v xml:space="preserve"> </v>
          </cell>
          <cell r="N24" t="str">
            <v>bamgt</v>
          </cell>
          <cell r="O24" t="str">
            <v>40</v>
          </cell>
          <cell r="P24" t="str">
            <v>600000A  665499A  665850A  999999999999999999999999999999999999999999999</v>
          </cell>
          <cell r="Q24" t="str">
            <v xml:space="preserve">none     </v>
          </cell>
          <cell r="R24" t="str">
            <v>Final Profit Plan</v>
          </cell>
          <cell r="S24" t="str">
            <v>Final Profit Plan</v>
          </cell>
          <cell r="T24" t="str">
            <v xml:space="preserve"> </v>
          </cell>
          <cell r="U24" t="str">
            <v xml:space="preserve"> </v>
          </cell>
          <cell r="V24">
            <v>4999.21605</v>
          </cell>
          <cell r="W24">
            <v>1250.8599999999999</v>
          </cell>
          <cell r="X24">
            <v>-3748.3560499999999</v>
          </cell>
          <cell r="Y24">
            <v>170.88699</v>
          </cell>
          <cell r="Z24" t="str">
            <v xml:space="preserve">     </v>
          </cell>
          <cell r="AA24" t="str">
            <v>665850A</v>
          </cell>
          <cell r="AB24" t="str">
            <v>3</v>
          </cell>
          <cell r="AC24" t="str">
            <v>Foreclosed Properties Expense</v>
          </cell>
          <cell r="AD24">
            <v>63256.39892</v>
          </cell>
          <cell r="AE24">
            <v>13414.32</v>
          </cell>
          <cell r="AF24">
            <v>-49842.07892</v>
          </cell>
          <cell r="AG24">
            <v>-371.55874408840702</v>
          </cell>
          <cell r="AH24" t="str">
            <v xml:space="preserve">U.S. Dollar                   </v>
          </cell>
        </row>
        <row r="25">
          <cell r="A25" t="str">
            <v>J.........NIEBA-B</v>
          </cell>
          <cell r="B25" t="str">
            <v>1999T12</v>
          </cell>
          <cell r="C25" t="str">
            <v xml:space="preserve">M10      </v>
          </cell>
          <cell r="D25" t="str">
            <v xml:space="preserve">Monthly Actual vs Plan                            </v>
          </cell>
          <cell r="E25" t="str">
            <v>Run: 01/13/00 10:16:47</v>
          </cell>
          <cell r="F25" t="str">
            <v>999</v>
          </cell>
          <cell r="G25" t="str">
            <v>100</v>
          </cell>
          <cell r="H25" t="str">
            <v xml:space="preserve">Bank Of America Management Reporting              </v>
          </cell>
          <cell r="I25" t="str">
            <v>001</v>
          </cell>
          <cell r="J25" t="str">
            <v>J.........</v>
          </cell>
          <cell r="K25" t="str">
            <v xml:space="preserve">Consumer Finance Group                            </v>
          </cell>
          <cell r="L25" t="str">
            <v xml:space="preserve"> </v>
          </cell>
          <cell r="M25" t="str">
            <v xml:space="preserve"> </v>
          </cell>
          <cell r="N25" t="str">
            <v>bamgt</v>
          </cell>
          <cell r="O25" t="str">
            <v>40</v>
          </cell>
          <cell r="P25" t="str">
            <v xml:space="preserve">600000A  675000A  999999999999999999999999999NIEBA-B                    </v>
          </cell>
          <cell r="Q25" t="str">
            <v xml:space="preserve">none     </v>
          </cell>
          <cell r="R25" t="str">
            <v>Final Profit Plan</v>
          </cell>
          <cell r="S25" t="str">
            <v>Final Profit Plan</v>
          </cell>
          <cell r="T25" t="str">
            <v xml:space="preserve"> </v>
          </cell>
          <cell r="U25" t="str">
            <v xml:space="preserve"> </v>
          </cell>
          <cell r="V25">
            <v>68738.353340000001</v>
          </cell>
          <cell r="W25">
            <v>54747.466699999997</v>
          </cell>
          <cell r="X25">
            <v>-13990.886640000001</v>
          </cell>
          <cell r="Y25">
            <v>-5669.0825000000004</v>
          </cell>
          <cell r="Z25" t="str">
            <v xml:space="preserve">     </v>
          </cell>
          <cell r="AA25" t="str">
            <v>NIEBA-B</v>
          </cell>
          <cell r="AB25" t="str">
            <v>0</v>
          </cell>
          <cell r="AC25" t="str">
            <v>Sub-Tot Non Int Exp Before Cost</v>
          </cell>
          <cell r="AD25">
            <v>771505.44993999996</v>
          </cell>
          <cell r="AE25">
            <v>627539.69979999994</v>
          </cell>
          <cell r="AF25">
            <v>-143965.75013999999</v>
          </cell>
          <cell r="AG25">
            <v>-22.941297608084799</v>
          </cell>
          <cell r="AH25" t="str">
            <v xml:space="preserve">U.S. Dollar                   </v>
          </cell>
        </row>
        <row r="26">
          <cell r="A26" t="str">
            <v>J.........830130A</v>
          </cell>
          <cell r="B26" t="str">
            <v>1999T12</v>
          </cell>
          <cell r="C26" t="str">
            <v xml:space="preserve">M10      </v>
          </cell>
          <cell r="D26" t="str">
            <v xml:space="preserve">Monthly Actual vs Plan                            </v>
          </cell>
          <cell r="E26" t="str">
            <v>Run: 01/13/00 10:16:47</v>
          </cell>
          <cell r="F26" t="str">
            <v>999</v>
          </cell>
          <cell r="G26" t="str">
            <v>100</v>
          </cell>
          <cell r="H26" t="str">
            <v xml:space="preserve">Bank Of America Management Reporting              </v>
          </cell>
          <cell r="I26" t="str">
            <v>001</v>
          </cell>
          <cell r="J26" t="str">
            <v>J.........</v>
          </cell>
          <cell r="K26" t="str">
            <v xml:space="preserve">Consumer Finance Group                            </v>
          </cell>
          <cell r="L26" t="str">
            <v xml:space="preserve"> </v>
          </cell>
          <cell r="M26" t="str">
            <v xml:space="preserve"> </v>
          </cell>
          <cell r="N26" t="str">
            <v>bamgt</v>
          </cell>
          <cell r="O26" t="str">
            <v>05</v>
          </cell>
          <cell r="P26" t="str">
            <v>830130A  999999999999999999999999999999999999999999999999999999999999999</v>
          </cell>
          <cell r="Q26" t="str">
            <v xml:space="preserve">none     </v>
          </cell>
          <cell r="R26" t="str">
            <v>Final Profit Plan</v>
          </cell>
          <cell r="S26" t="str">
            <v>Final Profit Plan</v>
          </cell>
          <cell r="T26" t="str">
            <v xml:space="preserve"> </v>
          </cell>
          <cell r="U26" t="str">
            <v xml:space="preserve"> </v>
          </cell>
          <cell r="V26">
            <v>6919.01</v>
          </cell>
          <cell r="W26">
            <v>6539.15</v>
          </cell>
          <cell r="X26">
            <v>379.86</v>
          </cell>
          <cell r="Y26">
            <v>-150.13999999999999</v>
          </cell>
          <cell r="Z26" t="str">
            <v xml:space="preserve">     </v>
          </cell>
          <cell r="AA26" t="str">
            <v>830130A</v>
          </cell>
          <cell r="AB26" t="str">
            <v>1</v>
          </cell>
          <cell r="AC26" t="str">
            <v>Full Time Equivalent Staff</v>
          </cell>
          <cell r="AD26">
            <v>7289.88</v>
          </cell>
          <cell r="AE26">
            <v>6721.62</v>
          </cell>
          <cell r="AF26">
            <v>568.26</v>
          </cell>
          <cell r="AG26">
            <v>8.45421193105234</v>
          </cell>
          <cell r="AH26" t="str">
            <v xml:space="preserve">U.S. Dollar                   </v>
          </cell>
        </row>
        <row r="27">
          <cell r="A27" t="str">
            <v>JA........130100</v>
          </cell>
          <cell r="B27" t="str">
            <v>1999T12</v>
          </cell>
          <cell r="C27" t="str">
            <v xml:space="preserve">M10      </v>
          </cell>
          <cell r="D27" t="str">
            <v xml:space="preserve">Monthly Actual vs Plan                            </v>
          </cell>
          <cell r="E27" t="str">
            <v>Run: 01/13/00 10:16:47</v>
          </cell>
          <cell r="F27" t="str">
            <v>999</v>
          </cell>
          <cell r="G27" t="str">
            <v>100</v>
          </cell>
          <cell r="H27" t="str">
            <v xml:space="preserve">Bank Of America Management Reporting              </v>
          </cell>
          <cell r="I27" t="str">
            <v>001</v>
          </cell>
          <cell r="J27" t="str">
            <v>JA........</v>
          </cell>
          <cell r="K27" t="str">
            <v xml:space="preserve">Consumer Finance Administration                   </v>
          </cell>
          <cell r="L27" t="str">
            <v xml:space="preserve"> </v>
          </cell>
          <cell r="M27" t="str">
            <v xml:space="preserve"> </v>
          </cell>
          <cell r="N27" t="str">
            <v>bamgt</v>
          </cell>
          <cell r="O27" t="str">
            <v>01</v>
          </cell>
          <cell r="P27" t="str">
            <v>100000   100099A  130100   999999999999999999999999999999999999999999999</v>
          </cell>
          <cell r="Q27" t="str">
            <v xml:space="preserve">none     </v>
          </cell>
          <cell r="R27" t="str">
            <v>Final Profit Plan</v>
          </cell>
          <cell r="S27" t="str">
            <v>Final Profit Plan</v>
          </cell>
          <cell r="T27" t="str">
            <v xml:space="preserve"> </v>
          </cell>
          <cell r="U27" t="str">
            <v xml:space="preserve"> </v>
          </cell>
          <cell r="V27">
            <v>0</v>
          </cell>
          <cell r="W27">
            <v>-472000</v>
          </cell>
          <cell r="X27">
            <v>472000</v>
          </cell>
          <cell r="Y27">
            <v>0</v>
          </cell>
          <cell r="Z27" t="str">
            <v xml:space="preserve">     </v>
          </cell>
          <cell r="AA27" t="str">
            <v>130100</v>
          </cell>
          <cell r="AB27" t="str">
            <v>3</v>
          </cell>
          <cell r="AC27" t="str">
            <v>Commercial</v>
          </cell>
          <cell r="AD27">
            <v>0</v>
          </cell>
          <cell r="AE27">
            <v>-391824.65753000003</v>
          </cell>
          <cell r="AF27">
            <v>391824.65753000003</v>
          </cell>
          <cell r="AG27">
            <v>100</v>
          </cell>
          <cell r="AH27" t="str">
            <v xml:space="preserve">U.S. Dollar                   </v>
          </cell>
        </row>
        <row r="28">
          <cell r="A28" t="str">
            <v>JA........100099A</v>
          </cell>
          <cell r="B28" t="str">
            <v>1999T12</v>
          </cell>
          <cell r="C28" t="str">
            <v xml:space="preserve">M10      </v>
          </cell>
          <cell r="D28" t="str">
            <v xml:space="preserve">Monthly Actual vs Plan                            </v>
          </cell>
          <cell r="E28" t="str">
            <v>Run: 01/13/00 10:16:47</v>
          </cell>
          <cell r="F28" t="str">
            <v>999</v>
          </cell>
          <cell r="G28" t="str">
            <v>100</v>
          </cell>
          <cell r="H28" t="str">
            <v xml:space="preserve">Bank Of America Management Reporting              </v>
          </cell>
          <cell r="I28" t="str">
            <v>001</v>
          </cell>
          <cell r="J28" t="str">
            <v>JA........</v>
          </cell>
          <cell r="K28" t="str">
            <v xml:space="preserve">Consumer Finance Administration                   </v>
          </cell>
          <cell r="L28" t="str">
            <v xml:space="preserve"> </v>
          </cell>
          <cell r="M28" t="str">
            <v xml:space="preserve"> </v>
          </cell>
          <cell r="N28" t="str">
            <v>bamgt</v>
          </cell>
          <cell r="O28" t="str">
            <v>01</v>
          </cell>
          <cell r="P28" t="str">
            <v>100000   100099A  999999999999999999999999999999999999999999999999999999</v>
          </cell>
          <cell r="Q28" t="str">
            <v xml:space="preserve">none     </v>
          </cell>
          <cell r="R28" t="str">
            <v>Final Profit Plan</v>
          </cell>
          <cell r="S28" t="str">
            <v>Final Profit Plan</v>
          </cell>
          <cell r="T28" t="str">
            <v xml:space="preserve"> </v>
          </cell>
          <cell r="U28" t="str">
            <v xml:space="preserve"> </v>
          </cell>
          <cell r="V28">
            <v>0</v>
          </cell>
          <cell r="W28">
            <v>-1854000</v>
          </cell>
          <cell r="X28">
            <v>1854000</v>
          </cell>
          <cell r="Y28">
            <v>0</v>
          </cell>
          <cell r="Z28" t="str">
            <v xml:space="preserve">     </v>
          </cell>
          <cell r="AA28" t="str">
            <v>100099A</v>
          </cell>
          <cell r="AB28" t="str">
            <v>2</v>
          </cell>
          <cell r="AC28" t="str">
            <v>Total Loans &amp; Leases</v>
          </cell>
          <cell r="AD28">
            <v>0</v>
          </cell>
          <cell r="AE28">
            <v>-1342528.2191699999</v>
          </cell>
          <cell r="AF28">
            <v>1342528.2191699999</v>
          </cell>
          <cell r="AG28">
            <v>100</v>
          </cell>
          <cell r="AH28" t="str">
            <v xml:space="preserve">U.S. Dollar                   </v>
          </cell>
        </row>
        <row r="29">
          <cell r="A29" t="str">
            <v>JA........EARN-B</v>
          </cell>
          <cell r="B29" t="str">
            <v>1999T12</v>
          </cell>
          <cell r="C29" t="str">
            <v xml:space="preserve">M10      </v>
          </cell>
          <cell r="D29" t="str">
            <v xml:space="preserve">Monthly Actual vs Plan                            </v>
          </cell>
          <cell r="E29" t="str">
            <v>Run: 01/13/00 10:16:47</v>
          </cell>
          <cell r="F29" t="str">
            <v>999</v>
          </cell>
          <cell r="G29" t="str">
            <v>100</v>
          </cell>
          <cell r="H29" t="str">
            <v xml:space="preserve">Bank Of America Management Reporting              </v>
          </cell>
          <cell r="I29" t="str">
            <v>001</v>
          </cell>
          <cell r="J29" t="str">
            <v>JA........</v>
          </cell>
          <cell r="K29" t="str">
            <v xml:space="preserve">Consumer Finance Administration                   </v>
          </cell>
          <cell r="L29" t="str">
            <v xml:space="preserve"> </v>
          </cell>
          <cell r="M29" t="str">
            <v xml:space="preserve"> </v>
          </cell>
          <cell r="N29" t="str">
            <v>bamgt</v>
          </cell>
          <cell r="O29" t="str">
            <v>01</v>
          </cell>
          <cell r="P29" t="str">
            <v xml:space="preserve">100000   128999C 9999999999EARN-B                                       </v>
          </cell>
          <cell r="Q29" t="str">
            <v xml:space="preserve">none     </v>
          </cell>
          <cell r="R29" t="str">
            <v>Final Profit Plan</v>
          </cell>
          <cell r="S29" t="str">
            <v>Final Profit Plan</v>
          </cell>
          <cell r="T29" t="str">
            <v xml:space="preserve"> </v>
          </cell>
          <cell r="U29" t="str">
            <v xml:space="preserve"> </v>
          </cell>
          <cell r="V29">
            <v>0</v>
          </cell>
          <cell r="W29">
            <v>-1854000</v>
          </cell>
          <cell r="X29">
            <v>1854000</v>
          </cell>
          <cell r="Y29">
            <v>0</v>
          </cell>
          <cell r="Z29" t="str">
            <v xml:space="preserve">     </v>
          </cell>
          <cell r="AA29" t="str">
            <v>EARN-B</v>
          </cell>
          <cell r="AB29" t="str">
            <v>0</v>
          </cell>
          <cell r="AC29" t="str">
            <v>Total Earning Assets</v>
          </cell>
          <cell r="AD29">
            <v>0</v>
          </cell>
          <cell r="AE29">
            <v>-1342528.2191699999</v>
          </cell>
          <cell r="AF29">
            <v>1342528.2191699999</v>
          </cell>
          <cell r="AG29">
            <v>100</v>
          </cell>
          <cell r="AH29" t="str">
            <v xml:space="preserve">U.S. Dollar                   </v>
          </cell>
        </row>
        <row r="30">
          <cell r="A30" t="str">
            <v>JA........TOTDEP-B</v>
          </cell>
          <cell r="B30" t="str">
            <v>1999T12</v>
          </cell>
          <cell r="C30" t="str">
            <v xml:space="preserve">M10      </v>
          </cell>
          <cell r="D30" t="str">
            <v xml:space="preserve">Monthly Actual vs Plan                            </v>
          </cell>
          <cell r="E30" t="str">
            <v>Run: 01/13/00 10:16:47</v>
          </cell>
          <cell r="F30" t="str">
            <v>999</v>
          </cell>
          <cell r="G30" t="str">
            <v>100</v>
          </cell>
          <cell r="H30" t="str">
            <v xml:space="preserve">Bank Of America Management Reporting              </v>
          </cell>
          <cell r="I30" t="str">
            <v>001</v>
          </cell>
          <cell r="J30" t="str">
            <v>JA........</v>
          </cell>
          <cell r="K30" t="str">
            <v xml:space="preserve">Consumer Finance Administration                   </v>
          </cell>
          <cell r="L30" t="str">
            <v xml:space="preserve"> </v>
          </cell>
          <cell r="M30" t="str">
            <v xml:space="preserve"> </v>
          </cell>
          <cell r="N30" t="str">
            <v>bamgt</v>
          </cell>
          <cell r="O30" t="str">
            <v>05</v>
          </cell>
          <cell r="P30" t="str">
            <v xml:space="preserve">200000TOTDEP-B                                                          </v>
          </cell>
          <cell r="Q30" t="str">
            <v xml:space="preserve">none     </v>
          </cell>
          <cell r="R30" t="str">
            <v>Final Profit Plan</v>
          </cell>
          <cell r="S30" t="str">
            <v>Final Profit Plan</v>
          </cell>
          <cell r="T30" t="str">
            <v xml:space="preserve"> </v>
          </cell>
          <cell r="U30" t="str">
            <v xml:space="preserve"> </v>
          </cell>
          <cell r="V30">
            <v>-9.8229999999999998E-2</v>
          </cell>
          <cell r="W30">
            <v>0</v>
          </cell>
          <cell r="X30">
            <v>-9.8229999999999998E-2</v>
          </cell>
          <cell r="Y30">
            <v>0</v>
          </cell>
          <cell r="Z30" t="str">
            <v xml:space="preserve">     </v>
          </cell>
          <cell r="AA30" t="str">
            <v>TOTDEP-B</v>
          </cell>
          <cell r="AB30" t="str">
            <v>0</v>
          </cell>
          <cell r="AC30" t="str">
            <v>Total Deposits</v>
          </cell>
          <cell r="AD30">
            <v>-9.8229999999999998E-2</v>
          </cell>
          <cell r="AE30">
            <v>0</v>
          </cell>
          <cell r="AF30">
            <v>-9.8229999999999998E-2</v>
          </cell>
          <cell r="AG30">
            <v>0</v>
          </cell>
          <cell r="AH30" t="str">
            <v xml:space="preserve">U.S. Dollar                   </v>
          </cell>
        </row>
        <row r="31">
          <cell r="A31" t="str">
            <v>JA........300000</v>
          </cell>
          <cell r="B31" t="str">
            <v>1999T12</v>
          </cell>
          <cell r="C31" t="str">
            <v xml:space="preserve">M10      </v>
          </cell>
          <cell r="D31" t="str">
            <v xml:space="preserve">Monthly Actual vs Plan                            </v>
          </cell>
          <cell r="E31" t="str">
            <v>Run: 01/13/00 10:16:47</v>
          </cell>
          <cell r="F31" t="str">
            <v>999</v>
          </cell>
          <cell r="G31" t="str">
            <v>100</v>
          </cell>
          <cell r="H31" t="str">
            <v xml:space="preserve">Bank Of America Management Reporting              </v>
          </cell>
          <cell r="I31" t="str">
            <v>001</v>
          </cell>
          <cell r="J31" t="str">
            <v>JA........</v>
          </cell>
          <cell r="K31" t="str">
            <v xml:space="preserve">Consumer Finance Administration                   </v>
          </cell>
          <cell r="L31" t="str">
            <v xml:space="preserve"> </v>
          </cell>
          <cell r="M31" t="str">
            <v xml:space="preserve"> </v>
          </cell>
          <cell r="N31" t="str">
            <v>bamgt</v>
          </cell>
          <cell r="O31" t="str">
            <v>20</v>
          </cell>
          <cell r="P31" t="str">
            <v>300000   999999999999999999999999999999999999999999999999999999999999999</v>
          </cell>
          <cell r="Q31" t="str">
            <v xml:space="preserve">none     </v>
          </cell>
          <cell r="R31" t="str">
            <v>Final Profit Plan</v>
          </cell>
          <cell r="S31" t="str">
            <v>Final Profit Plan</v>
          </cell>
          <cell r="T31" t="str">
            <v xml:space="preserve"> </v>
          </cell>
          <cell r="U31" t="str">
            <v xml:space="preserve"> </v>
          </cell>
          <cell r="V31">
            <v>0</v>
          </cell>
          <cell r="W31">
            <v>-12025</v>
          </cell>
          <cell r="X31">
            <v>12025</v>
          </cell>
          <cell r="Y31">
            <v>0</v>
          </cell>
          <cell r="Z31" t="str">
            <v xml:space="preserve">     </v>
          </cell>
          <cell r="AA31" t="str">
            <v>300000</v>
          </cell>
          <cell r="AB31" t="str">
            <v>1</v>
          </cell>
          <cell r="AC31" t="str">
            <v>Interest Income On Assets</v>
          </cell>
          <cell r="AD31">
            <v>-0.10643</v>
          </cell>
          <cell r="AE31">
            <v>-103707</v>
          </cell>
          <cell r="AF31">
            <v>103706.89357</v>
          </cell>
          <cell r="AG31">
            <v>99.9998973743335</v>
          </cell>
          <cell r="AH31" t="str">
            <v xml:space="preserve">U.S. Dollar                   </v>
          </cell>
        </row>
        <row r="32">
          <cell r="A32" t="str">
            <v>JA........400000</v>
          </cell>
          <cell r="B32" t="str">
            <v>1999T12</v>
          </cell>
          <cell r="C32" t="str">
            <v xml:space="preserve">M10      </v>
          </cell>
          <cell r="D32" t="str">
            <v xml:space="preserve">Monthly Actual vs Plan                            </v>
          </cell>
          <cell r="E32" t="str">
            <v>Run: 01/13/00 10:16:47</v>
          </cell>
          <cell r="F32" t="str">
            <v>999</v>
          </cell>
          <cell r="G32" t="str">
            <v>100</v>
          </cell>
          <cell r="H32" t="str">
            <v xml:space="preserve">Bank Of America Management Reporting              </v>
          </cell>
          <cell r="I32" t="str">
            <v>001</v>
          </cell>
          <cell r="J32" t="str">
            <v>JA........</v>
          </cell>
          <cell r="K32" t="str">
            <v xml:space="preserve">Consumer Finance Administration                   </v>
          </cell>
          <cell r="L32" t="str">
            <v xml:space="preserve"> </v>
          </cell>
          <cell r="M32" t="str">
            <v xml:space="preserve"> </v>
          </cell>
          <cell r="N32" t="str">
            <v>bamgt</v>
          </cell>
          <cell r="O32" t="str">
            <v>25</v>
          </cell>
          <cell r="P32" t="str">
            <v>400000   999999999999999999999999999999999999999999999999999999999999999</v>
          </cell>
          <cell r="Q32" t="str">
            <v xml:space="preserve">none     </v>
          </cell>
          <cell r="R32" t="str">
            <v>Final Profit Plan</v>
          </cell>
          <cell r="S32" t="str">
            <v>Final Profit Plan</v>
          </cell>
          <cell r="T32" t="str">
            <v xml:space="preserve"> </v>
          </cell>
          <cell r="U32" t="str">
            <v xml:space="preserve"> </v>
          </cell>
          <cell r="V32">
            <v>0</v>
          </cell>
          <cell r="W32">
            <v>0</v>
          </cell>
          <cell r="X32">
            <v>0</v>
          </cell>
          <cell r="Y32">
            <v>0</v>
          </cell>
          <cell r="Z32" t="str">
            <v xml:space="preserve">     </v>
          </cell>
          <cell r="AA32" t="str">
            <v>400000</v>
          </cell>
          <cell r="AB32" t="str">
            <v>1</v>
          </cell>
          <cell r="AC32" t="str">
            <v>Interest Expense On Liabilities</v>
          </cell>
          <cell r="AD32">
            <v>1.24E-3</v>
          </cell>
          <cell r="AE32">
            <v>0</v>
          </cell>
          <cell r="AF32">
            <v>-1.24E-3</v>
          </cell>
          <cell r="AG32">
            <v>0</v>
          </cell>
          <cell r="AH32" t="str">
            <v xml:space="preserve">U.S. Dollar                   </v>
          </cell>
        </row>
        <row r="33">
          <cell r="A33" t="str">
            <v>JA........510000</v>
          </cell>
          <cell r="B33" t="str">
            <v>1999T12</v>
          </cell>
          <cell r="C33" t="str">
            <v xml:space="preserve">M10      </v>
          </cell>
          <cell r="D33" t="str">
            <v xml:space="preserve">Monthly Actual vs Plan                            </v>
          </cell>
          <cell r="E33" t="str">
            <v>Run: 01/13/00 10:16:47</v>
          </cell>
          <cell r="F33" t="str">
            <v>999</v>
          </cell>
          <cell r="G33" t="str">
            <v>100</v>
          </cell>
          <cell r="H33" t="str">
            <v xml:space="preserve">Bank Of America Management Reporting              </v>
          </cell>
          <cell r="I33" t="str">
            <v>001</v>
          </cell>
          <cell r="J33" t="str">
            <v>JA........</v>
          </cell>
          <cell r="K33" t="str">
            <v xml:space="preserve">Consumer Finance Administration                   </v>
          </cell>
          <cell r="L33" t="str">
            <v xml:space="preserve"> </v>
          </cell>
          <cell r="M33" t="str">
            <v xml:space="preserve"> </v>
          </cell>
          <cell r="N33" t="str">
            <v>bamgt</v>
          </cell>
          <cell r="O33" t="str">
            <v>35</v>
          </cell>
          <cell r="P33" t="str">
            <v>500099A  510000   999999999999999999999999999999999999999999999999999999</v>
          </cell>
          <cell r="Q33" t="str">
            <v xml:space="preserve">none     </v>
          </cell>
          <cell r="R33" t="str">
            <v>Final Profit Plan</v>
          </cell>
          <cell r="S33" t="str">
            <v>Final Profit Plan</v>
          </cell>
          <cell r="T33" t="str">
            <v xml:space="preserve"> </v>
          </cell>
          <cell r="U33" t="str">
            <v xml:space="preserve"> </v>
          </cell>
          <cell r="V33">
            <v>0</v>
          </cell>
          <cell r="W33">
            <v>0</v>
          </cell>
          <cell r="X33">
            <v>0</v>
          </cell>
          <cell r="Y33">
            <v>0</v>
          </cell>
          <cell r="Z33" t="str">
            <v xml:space="preserve">     </v>
          </cell>
          <cell r="AA33" t="str">
            <v>510000</v>
          </cell>
          <cell r="AB33" t="str">
            <v>2</v>
          </cell>
          <cell r="AC33" t="str">
            <v>Service Charges On Deposit Accounts</v>
          </cell>
          <cell r="AD33">
            <v>-0.20200000000000001</v>
          </cell>
          <cell r="AE33">
            <v>0</v>
          </cell>
          <cell r="AF33">
            <v>-0.20200000000000001</v>
          </cell>
          <cell r="AG33">
            <v>0</v>
          </cell>
          <cell r="AH33" t="str">
            <v xml:space="preserve">U.S. Dollar                   </v>
          </cell>
        </row>
        <row r="34">
          <cell r="A34" t="str">
            <v>JA........500099A</v>
          </cell>
          <cell r="B34" t="str">
            <v>1999T12</v>
          </cell>
          <cell r="C34" t="str">
            <v xml:space="preserve">M10      </v>
          </cell>
          <cell r="D34" t="str">
            <v xml:space="preserve">Monthly Actual vs Plan                            </v>
          </cell>
          <cell r="E34" t="str">
            <v>Run: 01/13/00 10:16:47</v>
          </cell>
          <cell r="F34" t="str">
            <v>999</v>
          </cell>
          <cell r="G34" t="str">
            <v>100</v>
          </cell>
          <cell r="H34" t="str">
            <v xml:space="preserve">Bank Of America Management Reporting              </v>
          </cell>
          <cell r="I34" t="str">
            <v>001</v>
          </cell>
          <cell r="J34" t="str">
            <v>JA........</v>
          </cell>
          <cell r="K34" t="str">
            <v xml:space="preserve">Consumer Finance Administration                   </v>
          </cell>
          <cell r="L34" t="str">
            <v xml:space="preserve"> </v>
          </cell>
          <cell r="M34" t="str">
            <v xml:space="preserve"> </v>
          </cell>
          <cell r="N34" t="str">
            <v>bamgt</v>
          </cell>
          <cell r="O34" t="str">
            <v>35</v>
          </cell>
          <cell r="P34" t="str">
            <v>500099A  999999999999999999999999999999999999999999999999999999999999999</v>
          </cell>
          <cell r="Q34" t="str">
            <v xml:space="preserve">none     </v>
          </cell>
          <cell r="R34" t="str">
            <v>Final Profit Plan</v>
          </cell>
          <cell r="S34" t="str">
            <v>Final Profit Plan</v>
          </cell>
          <cell r="T34" t="str">
            <v xml:space="preserve"> </v>
          </cell>
          <cell r="U34" t="str">
            <v xml:space="preserve"> </v>
          </cell>
          <cell r="V34">
            <v>3.0000000000000001E-3</v>
          </cell>
          <cell r="W34">
            <v>-630</v>
          </cell>
          <cell r="X34">
            <v>630.00300000000004</v>
          </cell>
          <cell r="Y34">
            <v>3.0000000000000001E-3</v>
          </cell>
          <cell r="Z34" t="str">
            <v xml:space="preserve">     </v>
          </cell>
          <cell r="AA34" t="str">
            <v>500099A</v>
          </cell>
          <cell r="AB34" t="str">
            <v>1</v>
          </cell>
          <cell r="AC34" t="str">
            <v>Total Non-Interest Income</v>
          </cell>
          <cell r="AD34">
            <v>-0.40100000000000002</v>
          </cell>
          <cell r="AE34">
            <v>-7370</v>
          </cell>
          <cell r="AF34">
            <v>7369.5990000000002</v>
          </cell>
          <cell r="AG34">
            <v>99.9945590230665</v>
          </cell>
          <cell r="AH34" t="str">
            <v xml:space="preserve">U.S. Dollar                   </v>
          </cell>
        </row>
        <row r="35">
          <cell r="A35" t="str">
            <v>JA........599999C</v>
          </cell>
          <cell r="B35" t="str">
            <v>1999T12</v>
          </cell>
          <cell r="C35" t="str">
            <v xml:space="preserve">M10      </v>
          </cell>
          <cell r="D35" t="str">
            <v xml:space="preserve">Monthly Actual vs Plan                            </v>
          </cell>
          <cell r="E35" t="str">
            <v>Run: 01/13/00 10:16:47</v>
          </cell>
          <cell r="F35" t="str">
            <v>999</v>
          </cell>
          <cell r="G35" t="str">
            <v>100</v>
          </cell>
          <cell r="H35" t="str">
            <v xml:space="preserve">Bank Of America Management Reporting              </v>
          </cell>
          <cell r="I35" t="str">
            <v>001</v>
          </cell>
          <cell r="J35" t="str">
            <v>JA........</v>
          </cell>
          <cell r="K35" t="str">
            <v xml:space="preserve">Consumer Finance Administration                   </v>
          </cell>
          <cell r="L35" t="str">
            <v xml:space="preserve"> </v>
          </cell>
          <cell r="M35" t="str">
            <v xml:space="preserve"> </v>
          </cell>
          <cell r="N35" t="str">
            <v>bamgt</v>
          </cell>
          <cell r="O35" t="str">
            <v>30</v>
          </cell>
          <cell r="P35" t="str">
            <v>599999B  599999C  999999999999999999999999999999999999999999999999999999</v>
          </cell>
          <cell r="Q35" t="str">
            <v xml:space="preserve">none     </v>
          </cell>
          <cell r="R35" t="str">
            <v>Final Profit Plan</v>
          </cell>
          <cell r="S35" t="str">
            <v>Final Profit Plan</v>
          </cell>
          <cell r="T35" t="str">
            <v xml:space="preserve"> </v>
          </cell>
          <cell r="U35" t="str">
            <v xml:space="preserve"> </v>
          </cell>
          <cell r="V35">
            <v>0</v>
          </cell>
          <cell r="W35">
            <v>-636</v>
          </cell>
          <cell r="X35">
            <v>-636</v>
          </cell>
          <cell r="Y35">
            <v>0</v>
          </cell>
          <cell r="Z35" t="str">
            <v xml:space="preserve">     </v>
          </cell>
          <cell r="AA35" t="str">
            <v>599999C</v>
          </cell>
          <cell r="AB35" t="str">
            <v>2</v>
          </cell>
          <cell r="AC35" t="str">
            <v>Provision For Credit Losses - Direct</v>
          </cell>
          <cell r="AD35">
            <v>0</v>
          </cell>
          <cell r="AE35">
            <v>-6360</v>
          </cell>
          <cell r="AF35">
            <v>-6360</v>
          </cell>
          <cell r="AG35">
            <v>-100</v>
          </cell>
          <cell r="AH35" t="str">
            <v xml:space="preserve">U.S. Dollar                   </v>
          </cell>
        </row>
        <row r="36">
          <cell r="A36" t="str">
            <v>JA........600250</v>
          </cell>
          <cell r="B36" t="str">
            <v>1999T12</v>
          </cell>
          <cell r="C36" t="str">
            <v xml:space="preserve">M10      </v>
          </cell>
          <cell r="D36" t="str">
            <v xml:space="preserve">Monthly Actual vs Plan                            </v>
          </cell>
          <cell r="E36" t="str">
            <v>Run: 01/13/00 10:16:47</v>
          </cell>
          <cell r="F36" t="str">
            <v>999</v>
          </cell>
          <cell r="G36" t="str">
            <v>100</v>
          </cell>
          <cell r="H36" t="str">
            <v xml:space="preserve">Bank Of America Management Reporting              </v>
          </cell>
          <cell r="I36" t="str">
            <v>001</v>
          </cell>
          <cell r="J36" t="str">
            <v>JA........</v>
          </cell>
          <cell r="K36" t="str">
            <v xml:space="preserve">Consumer Finance Administration                   </v>
          </cell>
          <cell r="L36" t="str">
            <v xml:space="preserve"> </v>
          </cell>
          <cell r="M36" t="str">
            <v xml:space="preserve"> </v>
          </cell>
          <cell r="N36" t="str">
            <v>bamgt</v>
          </cell>
          <cell r="O36" t="str">
            <v>40</v>
          </cell>
          <cell r="P36" t="str">
            <v>600000A  600250   999999999999999999999999999999999999999999999999999999</v>
          </cell>
          <cell r="Q36" t="str">
            <v xml:space="preserve">none     </v>
          </cell>
          <cell r="R36" t="str">
            <v>Final Profit Plan</v>
          </cell>
          <cell r="S36" t="str">
            <v>Final Profit Plan</v>
          </cell>
          <cell r="T36" t="str">
            <v xml:space="preserve"> </v>
          </cell>
          <cell r="U36" t="str">
            <v xml:space="preserve"> </v>
          </cell>
          <cell r="V36">
            <v>443.80700999999999</v>
          </cell>
          <cell r="W36">
            <v>-2074.96</v>
          </cell>
          <cell r="X36">
            <v>-2518.76701</v>
          </cell>
          <cell r="Y36">
            <v>3.4186700000000001</v>
          </cell>
          <cell r="Z36" t="str">
            <v xml:space="preserve">     </v>
          </cell>
          <cell r="AA36" t="str">
            <v>600250</v>
          </cell>
          <cell r="AB36" t="str">
            <v>2</v>
          </cell>
          <cell r="AC36" t="str">
            <v>Personnel</v>
          </cell>
          <cell r="AD36">
            <v>5936.9051799999997</v>
          </cell>
          <cell r="AE36">
            <v>-23024.76</v>
          </cell>
          <cell r="AF36">
            <v>-28961.66518</v>
          </cell>
          <cell r="AG36">
            <v>-125.784873240807</v>
          </cell>
          <cell r="AH36" t="str">
            <v xml:space="preserve">U.S. Dollar                   </v>
          </cell>
        </row>
        <row r="37">
          <cell r="A37" t="str">
            <v>JA........610000</v>
          </cell>
          <cell r="B37" t="str">
            <v>1999T12</v>
          </cell>
          <cell r="C37" t="str">
            <v xml:space="preserve">M10      </v>
          </cell>
          <cell r="D37" t="str">
            <v xml:space="preserve">Monthly Actual vs Plan                            </v>
          </cell>
          <cell r="E37" t="str">
            <v>Run: 01/13/00 10:16:47</v>
          </cell>
          <cell r="F37" t="str">
            <v>999</v>
          </cell>
          <cell r="G37" t="str">
            <v>100</v>
          </cell>
          <cell r="H37" t="str">
            <v xml:space="preserve">Bank Of America Management Reporting              </v>
          </cell>
          <cell r="I37" t="str">
            <v>001</v>
          </cell>
          <cell r="J37" t="str">
            <v>JA........</v>
          </cell>
          <cell r="K37" t="str">
            <v xml:space="preserve">Consumer Finance Administration                   </v>
          </cell>
          <cell r="L37" t="str">
            <v xml:space="preserve"> </v>
          </cell>
          <cell r="M37" t="str">
            <v xml:space="preserve"> </v>
          </cell>
          <cell r="N37" t="str">
            <v>bamgt</v>
          </cell>
          <cell r="O37" t="str">
            <v>40</v>
          </cell>
          <cell r="P37" t="str">
            <v>600000A  610000   999999999999999999999999999999999999999999999999999999</v>
          </cell>
          <cell r="Q37" t="str">
            <v xml:space="preserve">none     </v>
          </cell>
          <cell r="R37" t="str">
            <v>Final Profit Plan</v>
          </cell>
          <cell r="S37" t="str">
            <v>Final Profit Plan</v>
          </cell>
          <cell r="T37" t="str">
            <v xml:space="preserve"> </v>
          </cell>
          <cell r="U37" t="str">
            <v xml:space="preserve"> </v>
          </cell>
          <cell r="V37">
            <v>464.18664999999999</v>
          </cell>
          <cell r="W37">
            <v>62.7</v>
          </cell>
          <cell r="X37">
            <v>-401.48665</v>
          </cell>
          <cell r="Y37">
            <v>-349.89724999999999</v>
          </cell>
          <cell r="Z37" t="str">
            <v xml:space="preserve">     </v>
          </cell>
          <cell r="AA37" t="str">
            <v>610000</v>
          </cell>
          <cell r="AB37" t="str">
            <v>2</v>
          </cell>
          <cell r="AC37" t="str">
            <v>Net Occupancy</v>
          </cell>
          <cell r="AD37">
            <v>1938.71199</v>
          </cell>
          <cell r="AE37">
            <v>2735.4</v>
          </cell>
          <cell r="AF37">
            <v>796.68800999999996</v>
          </cell>
          <cell r="AG37">
            <v>29.12510089932</v>
          </cell>
          <cell r="AH37" t="str">
            <v xml:space="preserve">U.S. Dollar                   </v>
          </cell>
        </row>
        <row r="38">
          <cell r="A38" t="str">
            <v>JA........620000</v>
          </cell>
          <cell r="B38" t="str">
            <v>1999T12</v>
          </cell>
          <cell r="C38" t="str">
            <v xml:space="preserve">M10      </v>
          </cell>
          <cell r="D38" t="str">
            <v xml:space="preserve">Monthly Actual vs Plan                            </v>
          </cell>
          <cell r="E38" t="str">
            <v>Run: 01/13/00 10:16:47</v>
          </cell>
          <cell r="F38" t="str">
            <v>999</v>
          </cell>
          <cell r="G38" t="str">
            <v>100</v>
          </cell>
          <cell r="H38" t="str">
            <v xml:space="preserve">Bank Of America Management Reporting              </v>
          </cell>
          <cell r="I38" t="str">
            <v>001</v>
          </cell>
          <cell r="J38" t="str">
            <v>JA........</v>
          </cell>
          <cell r="K38" t="str">
            <v xml:space="preserve">Consumer Finance Administration                   </v>
          </cell>
          <cell r="L38" t="str">
            <v xml:space="preserve"> </v>
          </cell>
          <cell r="M38" t="str">
            <v xml:space="preserve"> </v>
          </cell>
          <cell r="N38" t="str">
            <v>bamgt</v>
          </cell>
          <cell r="O38" t="str">
            <v>40</v>
          </cell>
          <cell r="P38" t="str">
            <v>600000A  620000   999999999999999999999999999999999999999999999999999999</v>
          </cell>
          <cell r="Q38" t="str">
            <v xml:space="preserve">none     </v>
          </cell>
          <cell r="R38" t="str">
            <v>Final Profit Plan</v>
          </cell>
          <cell r="S38" t="str">
            <v>Final Profit Plan</v>
          </cell>
          <cell r="T38" t="str">
            <v xml:space="preserve"> </v>
          </cell>
          <cell r="U38" t="str">
            <v xml:space="preserve"> </v>
          </cell>
          <cell r="V38">
            <v>35.005310000000001</v>
          </cell>
          <cell r="W38">
            <v>72.290000000000006</v>
          </cell>
          <cell r="X38">
            <v>37.284689999999998</v>
          </cell>
          <cell r="Y38">
            <v>1.0881799999999999</v>
          </cell>
          <cell r="Z38" t="str">
            <v xml:space="preserve">     </v>
          </cell>
          <cell r="AA38" t="str">
            <v>620000</v>
          </cell>
          <cell r="AB38" t="str">
            <v>2</v>
          </cell>
          <cell r="AC38" t="str">
            <v>Furniture &amp; Equipment</v>
          </cell>
          <cell r="AD38">
            <v>464.26432999999997</v>
          </cell>
          <cell r="AE38">
            <v>978.89</v>
          </cell>
          <cell r="AF38">
            <v>514.62567000000001</v>
          </cell>
          <cell r="AG38">
            <v>52.572369724892503</v>
          </cell>
          <cell r="AH38" t="str">
            <v xml:space="preserve">U.S. Dollar                   </v>
          </cell>
        </row>
        <row r="39">
          <cell r="A39" t="str">
            <v>JA........660000A</v>
          </cell>
          <cell r="B39" t="str">
            <v>1999T12</v>
          </cell>
          <cell r="C39" t="str">
            <v xml:space="preserve">M10      </v>
          </cell>
          <cell r="D39" t="str">
            <v xml:space="preserve">Monthly Actual vs Plan                            </v>
          </cell>
          <cell r="E39" t="str">
            <v>Run: 01/13/00 10:16:47</v>
          </cell>
          <cell r="F39" t="str">
            <v>999</v>
          </cell>
          <cell r="G39" t="str">
            <v>100</v>
          </cell>
          <cell r="H39" t="str">
            <v xml:space="preserve">Bank Of America Management Reporting              </v>
          </cell>
          <cell r="I39" t="str">
            <v>001</v>
          </cell>
          <cell r="J39" t="str">
            <v>JA........</v>
          </cell>
          <cell r="K39" t="str">
            <v xml:space="preserve">Consumer Finance Administration                   </v>
          </cell>
          <cell r="L39" t="str">
            <v xml:space="preserve"> </v>
          </cell>
          <cell r="M39" t="str">
            <v xml:space="preserve"> </v>
          </cell>
          <cell r="N39" t="str">
            <v>bamgt</v>
          </cell>
          <cell r="O39" t="str">
            <v>40</v>
          </cell>
          <cell r="P39" t="str">
            <v>600000A  660000A  999999999999999999999999999999999999999999999999999999</v>
          </cell>
          <cell r="Q39" t="str">
            <v xml:space="preserve">none     </v>
          </cell>
          <cell r="R39" t="str">
            <v>Final Profit Plan</v>
          </cell>
          <cell r="S39" t="str">
            <v>Final Profit Plan</v>
          </cell>
          <cell r="T39" t="str">
            <v xml:space="preserve"> </v>
          </cell>
          <cell r="U39" t="str">
            <v xml:space="preserve"> </v>
          </cell>
          <cell r="V39">
            <v>34.941420000000001</v>
          </cell>
          <cell r="W39">
            <v>22</v>
          </cell>
          <cell r="X39">
            <v>-12.941420000000001</v>
          </cell>
          <cell r="Y39">
            <v>7.0170300000000001</v>
          </cell>
          <cell r="Z39" t="str">
            <v xml:space="preserve">     </v>
          </cell>
          <cell r="AA39" t="str">
            <v>660000A</v>
          </cell>
          <cell r="AB39" t="str">
            <v>2</v>
          </cell>
          <cell r="AC39" t="str">
            <v>Telecommunications</v>
          </cell>
          <cell r="AD39">
            <v>658.92899</v>
          </cell>
          <cell r="AE39">
            <v>297</v>
          </cell>
          <cell r="AF39">
            <v>-361.92899</v>
          </cell>
          <cell r="AG39">
            <v>-121.861612794613</v>
          </cell>
          <cell r="AH39" t="str">
            <v xml:space="preserve">U.S. Dollar                   </v>
          </cell>
        </row>
        <row r="40">
          <cell r="A40" t="str">
            <v>JA........NIEBA-B</v>
          </cell>
          <cell r="B40" t="str">
            <v>1999T12</v>
          </cell>
          <cell r="C40" t="str">
            <v xml:space="preserve">M10      </v>
          </cell>
          <cell r="D40" t="str">
            <v xml:space="preserve">Monthly Actual vs Plan                            </v>
          </cell>
          <cell r="E40" t="str">
            <v>Run: 01/13/00 10:16:47</v>
          </cell>
          <cell r="F40" t="str">
            <v>999</v>
          </cell>
          <cell r="G40" t="str">
            <v>100</v>
          </cell>
          <cell r="H40" t="str">
            <v xml:space="preserve">Bank Of America Management Reporting              </v>
          </cell>
          <cell r="I40" t="str">
            <v>001</v>
          </cell>
          <cell r="J40" t="str">
            <v>JA........</v>
          </cell>
          <cell r="K40" t="str">
            <v xml:space="preserve">Consumer Finance Administration                   </v>
          </cell>
          <cell r="L40" t="str">
            <v xml:space="preserve"> </v>
          </cell>
          <cell r="M40" t="str">
            <v xml:space="preserve"> </v>
          </cell>
          <cell r="N40" t="str">
            <v>bamgt</v>
          </cell>
          <cell r="O40" t="str">
            <v>40</v>
          </cell>
          <cell r="P40" t="str">
            <v xml:space="preserve">600000A  675000A  999999999999999999999999999NIEBA-B                    </v>
          </cell>
          <cell r="Q40" t="str">
            <v xml:space="preserve">none     </v>
          </cell>
          <cell r="R40" t="str">
            <v>Final Profit Plan</v>
          </cell>
          <cell r="S40" t="str">
            <v>Final Profit Plan</v>
          </cell>
          <cell r="T40" t="str">
            <v xml:space="preserve"> </v>
          </cell>
          <cell r="U40" t="str">
            <v xml:space="preserve"> </v>
          </cell>
          <cell r="V40">
            <v>2053.40227</v>
          </cell>
          <cell r="W40">
            <v>-2600.39</v>
          </cell>
          <cell r="X40">
            <v>-4653.7922699999999</v>
          </cell>
          <cell r="Y40">
            <v>-707.65719000000001</v>
          </cell>
          <cell r="Z40" t="str">
            <v xml:space="preserve">     </v>
          </cell>
          <cell r="AA40" t="str">
            <v>NIEBA-B</v>
          </cell>
          <cell r="AB40" t="str">
            <v>0</v>
          </cell>
          <cell r="AC40" t="str">
            <v>Sub-Tot Non Int Exp Before Cost</v>
          </cell>
          <cell r="AD40">
            <v>20718.909029999999</v>
          </cell>
          <cell r="AE40">
            <v>-25980.51</v>
          </cell>
          <cell r="AF40">
            <v>-46699.419029999997</v>
          </cell>
          <cell r="AG40">
            <v>-179.74789190050501</v>
          </cell>
          <cell r="AH40" t="str">
            <v xml:space="preserve">U.S. Dollar                   </v>
          </cell>
        </row>
        <row r="41">
          <cell r="A41" t="str">
            <v>JA........830130A</v>
          </cell>
          <cell r="B41" t="str">
            <v>1999T12</v>
          </cell>
          <cell r="C41" t="str">
            <v xml:space="preserve">M10      </v>
          </cell>
          <cell r="D41" t="str">
            <v xml:space="preserve">Monthly Actual vs Plan                            </v>
          </cell>
          <cell r="E41" t="str">
            <v>Run: 01/13/00 10:16:47</v>
          </cell>
          <cell r="F41" t="str">
            <v>999</v>
          </cell>
          <cell r="G41" t="str">
            <v>100</v>
          </cell>
          <cell r="H41" t="str">
            <v xml:space="preserve">Bank Of America Management Reporting              </v>
          </cell>
          <cell r="I41" t="str">
            <v>001</v>
          </cell>
          <cell r="J41" t="str">
            <v>JA........</v>
          </cell>
          <cell r="K41" t="str">
            <v xml:space="preserve">Consumer Finance Administration                   </v>
          </cell>
          <cell r="L41" t="str">
            <v xml:space="preserve"> </v>
          </cell>
          <cell r="M41" t="str">
            <v xml:space="preserve"> </v>
          </cell>
          <cell r="N41" t="str">
            <v>bamgt</v>
          </cell>
          <cell r="O41" t="str">
            <v>05</v>
          </cell>
          <cell r="P41" t="str">
            <v>830130A  999999999999999999999999999999999999999999999999999999999999999</v>
          </cell>
          <cell r="Q41" t="str">
            <v xml:space="preserve">none     </v>
          </cell>
          <cell r="R41" t="str">
            <v>Final Profit Plan</v>
          </cell>
          <cell r="S41" t="str">
            <v>Final Profit Plan</v>
          </cell>
          <cell r="T41" t="str">
            <v xml:space="preserve"> </v>
          </cell>
          <cell r="U41" t="str">
            <v xml:space="preserve"> </v>
          </cell>
          <cell r="V41">
            <v>82.6</v>
          </cell>
          <cell r="W41">
            <v>-384.5</v>
          </cell>
          <cell r="X41">
            <v>467.1</v>
          </cell>
          <cell r="Y41">
            <v>-3.16</v>
          </cell>
          <cell r="Z41" t="str">
            <v xml:space="preserve">     </v>
          </cell>
          <cell r="AA41" t="str">
            <v>830130A</v>
          </cell>
          <cell r="AB41" t="str">
            <v>1</v>
          </cell>
          <cell r="AC41" t="str">
            <v>Full Time Equivalent Staff</v>
          </cell>
          <cell r="AD41">
            <v>89.29</v>
          </cell>
          <cell r="AE41">
            <v>-350.95</v>
          </cell>
          <cell r="AF41">
            <v>440.24</v>
          </cell>
          <cell r="AG41">
            <v>125.442370708078</v>
          </cell>
          <cell r="AH41" t="str">
            <v xml:space="preserve">U.S. Dollar                   </v>
          </cell>
        </row>
        <row r="42">
          <cell r="A42" t="str">
            <v>JC........130100</v>
          </cell>
          <cell r="B42" t="str">
            <v>1999T12</v>
          </cell>
          <cell r="C42" t="str">
            <v xml:space="preserve">M10      </v>
          </cell>
          <cell r="D42" t="str">
            <v xml:space="preserve">Monthly Actual vs Plan                            </v>
          </cell>
          <cell r="E42" t="str">
            <v>Run: 01/13/00 10:16:47</v>
          </cell>
          <cell r="F42" t="str">
            <v>999</v>
          </cell>
          <cell r="G42" t="str">
            <v>100</v>
          </cell>
          <cell r="H42" t="str">
            <v xml:space="preserve">Bank Of America Management Reporting              </v>
          </cell>
          <cell r="I42" t="str">
            <v>001</v>
          </cell>
          <cell r="J42" t="str">
            <v>JC........</v>
          </cell>
          <cell r="K42" t="str">
            <v xml:space="preserve">Bank Of America Auto Group                        </v>
          </cell>
          <cell r="L42" t="str">
            <v xml:space="preserve"> </v>
          </cell>
          <cell r="M42" t="str">
            <v xml:space="preserve"> </v>
          </cell>
          <cell r="N42" t="str">
            <v>bamgt</v>
          </cell>
          <cell r="O42" t="str">
            <v>01</v>
          </cell>
          <cell r="P42" t="str">
            <v>100000   100099A  130100   999999999999999999999999999999999999999999999</v>
          </cell>
          <cell r="Q42" t="str">
            <v xml:space="preserve">none     </v>
          </cell>
          <cell r="R42" t="str">
            <v>Final Profit Plan</v>
          </cell>
          <cell r="S42" t="str">
            <v>Final Profit Plan</v>
          </cell>
          <cell r="T42" t="str">
            <v xml:space="preserve"> </v>
          </cell>
          <cell r="U42" t="str">
            <v xml:space="preserve"> </v>
          </cell>
          <cell r="V42">
            <v>3316259.9283400001</v>
          </cell>
          <cell r="W42">
            <v>4174985.88</v>
          </cell>
          <cell r="X42">
            <v>-858725.95166000002</v>
          </cell>
          <cell r="Y42">
            <v>235274.50727999999</v>
          </cell>
          <cell r="Z42" t="str">
            <v xml:space="preserve">     </v>
          </cell>
          <cell r="AA42" t="str">
            <v>130100</v>
          </cell>
          <cell r="AB42" t="str">
            <v>3</v>
          </cell>
          <cell r="AC42" t="str">
            <v>Commercial</v>
          </cell>
          <cell r="AD42">
            <v>3198671.67967</v>
          </cell>
          <cell r="AE42">
            <v>3854429.6635699999</v>
          </cell>
          <cell r="AF42">
            <v>-655757.98389999999</v>
          </cell>
          <cell r="AG42">
            <v>-17.013100280383199</v>
          </cell>
          <cell r="AH42" t="str">
            <v xml:space="preserve">U.S. Dollar                   </v>
          </cell>
        </row>
        <row r="43">
          <cell r="A43" t="str">
            <v>JC........137000</v>
          </cell>
          <cell r="B43" t="str">
            <v>1999T12</v>
          </cell>
          <cell r="C43" t="str">
            <v xml:space="preserve">M10      </v>
          </cell>
          <cell r="D43" t="str">
            <v xml:space="preserve">Monthly Actual vs Plan                            </v>
          </cell>
          <cell r="E43" t="str">
            <v>Run: 01/13/00 10:16:47</v>
          </cell>
          <cell r="F43" t="str">
            <v>999</v>
          </cell>
          <cell r="G43" t="str">
            <v>100</v>
          </cell>
          <cell r="H43" t="str">
            <v xml:space="preserve">Bank Of America Management Reporting              </v>
          </cell>
          <cell r="I43" t="str">
            <v>001</v>
          </cell>
          <cell r="J43" t="str">
            <v>JC........</v>
          </cell>
          <cell r="K43" t="str">
            <v xml:space="preserve">Bank Of America Auto Group                        </v>
          </cell>
          <cell r="L43" t="str">
            <v xml:space="preserve"> </v>
          </cell>
          <cell r="M43" t="str">
            <v xml:space="preserve"> </v>
          </cell>
          <cell r="N43" t="str">
            <v>bamgt</v>
          </cell>
          <cell r="O43" t="str">
            <v>01</v>
          </cell>
          <cell r="P43" t="str">
            <v>100000   100099A  137000   999999999999999999999999999999999999999999999</v>
          </cell>
          <cell r="Q43" t="str">
            <v xml:space="preserve">none     </v>
          </cell>
          <cell r="R43" t="str">
            <v>Final Profit Plan</v>
          </cell>
          <cell r="S43" t="str">
            <v>Final Profit Plan</v>
          </cell>
          <cell r="T43" t="str">
            <v xml:space="preserve"> </v>
          </cell>
          <cell r="U43" t="str">
            <v xml:space="preserve"> </v>
          </cell>
          <cell r="V43">
            <v>44209.953070000003</v>
          </cell>
          <cell r="W43">
            <v>14427</v>
          </cell>
          <cell r="X43">
            <v>29782.95307</v>
          </cell>
          <cell r="Y43">
            <v>4696.6150500000003</v>
          </cell>
          <cell r="Z43" t="str">
            <v xml:space="preserve">     </v>
          </cell>
          <cell r="AA43" t="str">
            <v>137000</v>
          </cell>
          <cell r="AB43" t="str">
            <v>3</v>
          </cell>
          <cell r="AC43" t="str">
            <v>Construction / Land Development</v>
          </cell>
          <cell r="AD43">
            <v>20882.230309999999</v>
          </cell>
          <cell r="AE43">
            <v>13331.572609999999</v>
          </cell>
          <cell r="AF43">
            <v>7550.6576999999997</v>
          </cell>
          <cell r="AG43">
            <v>56.637411960958502</v>
          </cell>
          <cell r="AH43" t="str">
            <v xml:space="preserve">U.S. Dollar                   </v>
          </cell>
        </row>
        <row r="44">
          <cell r="A44" t="str">
            <v>JC........100099A</v>
          </cell>
          <cell r="B44" t="str">
            <v>1999T12</v>
          </cell>
          <cell r="C44" t="str">
            <v xml:space="preserve">M10      </v>
          </cell>
          <cell r="D44" t="str">
            <v xml:space="preserve">Monthly Actual vs Plan                            </v>
          </cell>
          <cell r="E44" t="str">
            <v>Run: 01/13/00 10:16:47</v>
          </cell>
          <cell r="F44" t="str">
            <v>999</v>
          </cell>
          <cell r="G44" t="str">
            <v>100</v>
          </cell>
          <cell r="H44" t="str">
            <v xml:space="preserve">Bank Of America Management Reporting              </v>
          </cell>
          <cell r="I44" t="str">
            <v>001</v>
          </cell>
          <cell r="J44" t="str">
            <v>JC........</v>
          </cell>
          <cell r="K44" t="str">
            <v xml:space="preserve">Bank Of America Auto Group                        </v>
          </cell>
          <cell r="L44" t="str">
            <v xml:space="preserve"> </v>
          </cell>
          <cell r="M44" t="str">
            <v xml:space="preserve"> </v>
          </cell>
          <cell r="N44" t="str">
            <v>bamgt</v>
          </cell>
          <cell r="O44" t="str">
            <v>01</v>
          </cell>
          <cell r="P44" t="str">
            <v>100000   100099A  999999999999999999999999999999999999999999999999999999</v>
          </cell>
          <cell r="Q44" t="str">
            <v xml:space="preserve">none     </v>
          </cell>
          <cell r="R44" t="str">
            <v>Final Profit Plan</v>
          </cell>
          <cell r="S44" t="str">
            <v>Final Profit Plan</v>
          </cell>
          <cell r="T44" t="str">
            <v xml:space="preserve"> </v>
          </cell>
          <cell r="U44" t="str">
            <v xml:space="preserve"> </v>
          </cell>
          <cell r="V44">
            <v>27527847.299120001</v>
          </cell>
          <cell r="W44">
            <v>29887840.850000001</v>
          </cell>
          <cell r="X44">
            <v>-2359993.55088</v>
          </cell>
          <cell r="Y44">
            <v>-52800.308449999997</v>
          </cell>
          <cell r="Z44" t="str">
            <v xml:space="preserve">     </v>
          </cell>
          <cell r="AA44" t="str">
            <v>100099A</v>
          </cell>
          <cell r="AB44" t="str">
            <v>2</v>
          </cell>
          <cell r="AC44" t="str">
            <v>Total Loans &amp; Leases</v>
          </cell>
          <cell r="AD44">
            <v>28400475.614810001</v>
          </cell>
          <cell r="AE44">
            <v>29114120.214400001</v>
          </cell>
          <cell r="AF44">
            <v>-713644.59959</v>
          </cell>
          <cell r="AG44">
            <v>-2.4511975437850499</v>
          </cell>
          <cell r="AH44" t="str">
            <v xml:space="preserve">U.S. Dollar                   </v>
          </cell>
        </row>
        <row r="45">
          <cell r="A45" t="str">
            <v>JC........EARN-B</v>
          </cell>
          <cell r="B45" t="str">
            <v>1999T12</v>
          </cell>
          <cell r="C45" t="str">
            <v xml:space="preserve">M10      </v>
          </cell>
          <cell r="D45" t="str">
            <v xml:space="preserve">Monthly Actual vs Plan                            </v>
          </cell>
          <cell r="E45" t="str">
            <v>Run: 01/13/00 10:16:47</v>
          </cell>
          <cell r="F45" t="str">
            <v>999</v>
          </cell>
          <cell r="G45" t="str">
            <v>100</v>
          </cell>
          <cell r="H45" t="str">
            <v xml:space="preserve">Bank Of America Management Reporting              </v>
          </cell>
          <cell r="I45" t="str">
            <v>001</v>
          </cell>
          <cell r="J45" t="str">
            <v>JC........</v>
          </cell>
          <cell r="K45" t="str">
            <v xml:space="preserve">Bank Of America Auto Group                        </v>
          </cell>
          <cell r="L45" t="str">
            <v xml:space="preserve"> </v>
          </cell>
          <cell r="M45" t="str">
            <v xml:space="preserve"> </v>
          </cell>
          <cell r="N45" t="str">
            <v>bamgt</v>
          </cell>
          <cell r="O45" t="str">
            <v>01</v>
          </cell>
          <cell r="P45" t="str">
            <v xml:space="preserve">100000   128999C 9999999999EARN-B                                       </v>
          </cell>
          <cell r="Q45" t="str">
            <v xml:space="preserve">none     </v>
          </cell>
          <cell r="R45" t="str">
            <v>Final Profit Plan</v>
          </cell>
          <cell r="S45" t="str">
            <v>Final Profit Plan</v>
          </cell>
          <cell r="T45" t="str">
            <v xml:space="preserve"> </v>
          </cell>
          <cell r="U45" t="str">
            <v xml:space="preserve"> </v>
          </cell>
          <cell r="V45">
            <v>27527847.299120001</v>
          </cell>
          <cell r="W45">
            <v>29890440.850000001</v>
          </cell>
          <cell r="X45">
            <v>-2362593.55088</v>
          </cell>
          <cell r="Y45">
            <v>-52800.308449999997</v>
          </cell>
          <cell r="Z45" t="str">
            <v xml:space="preserve">     </v>
          </cell>
          <cell r="AA45" t="str">
            <v>EARN-B</v>
          </cell>
          <cell r="AB45" t="str">
            <v>0</v>
          </cell>
          <cell r="AC45" t="str">
            <v>Total Earning Assets</v>
          </cell>
          <cell r="AD45">
            <v>28400549.463490002</v>
          </cell>
          <cell r="AE45">
            <v>29116720.214400001</v>
          </cell>
          <cell r="AF45">
            <v>-716170.75090999994</v>
          </cell>
          <cell r="AG45">
            <v>-2.4596546095731302</v>
          </cell>
          <cell r="AH45" t="str">
            <v xml:space="preserve">U.S. Dollar                   </v>
          </cell>
        </row>
        <row r="46">
          <cell r="A46" t="str">
            <v>JC........190900A</v>
          </cell>
          <cell r="B46" t="str">
            <v>1999T12</v>
          </cell>
          <cell r="C46" t="str">
            <v xml:space="preserve">M10      </v>
          </cell>
          <cell r="D46" t="str">
            <v xml:space="preserve">Monthly Actual vs Plan                            </v>
          </cell>
          <cell r="E46" t="str">
            <v>Run: 01/13/00 10:16:47</v>
          </cell>
          <cell r="F46" t="str">
            <v>999</v>
          </cell>
          <cell r="G46" t="str">
            <v>100</v>
          </cell>
          <cell r="H46" t="str">
            <v xml:space="preserve">Bank Of America Management Reporting              </v>
          </cell>
          <cell r="I46" t="str">
            <v>001</v>
          </cell>
          <cell r="J46" t="str">
            <v>JC........</v>
          </cell>
          <cell r="K46" t="str">
            <v xml:space="preserve">Bank Of America Auto Group                        </v>
          </cell>
          <cell r="L46" t="str">
            <v xml:space="preserve"> </v>
          </cell>
          <cell r="M46" t="str">
            <v xml:space="preserve"> </v>
          </cell>
          <cell r="N46" t="str">
            <v>bamgt</v>
          </cell>
          <cell r="O46" t="str">
            <v>01</v>
          </cell>
          <cell r="P46" t="str">
            <v>100000   168999J  182000A  182000B  190900A  999999999999999999999999999</v>
          </cell>
          <cell r="Q46" t="str">
            <v xml:space="preserve">none     </v>
          </cell>
          <cell r="R46" t="str">
            <v>Final Profit Plan</v>
          </cell>
          <cell r="S46" t="str">
            <v>Final Profit Plan</v>
          </cell>
          <cell r="T46" t="str">
            <v xml:space="preserve"> </v>
          </cell>
          <cell r="U46" t="str">
            <v xml:space="preserve"> </v>
          </cell>
          <cell r="V46">
            <v>918269.14913000003</v>
          </cell>
          <cell r="W46">
            <v>971499</v>
          </cell>
          <cell r="X46">
            <v>-53229.850870000002</v>
          </cell>
          <cell r="Y46">
            <v>-62261.061309999997</v>
          </cell>
          <cell r="Z46" t="str">
            <v xml:space="preserve">     </v>
          </cell>
          <cell r="AA46" t="str">
            <v>190900A</v>
          </cell>
          <cell r="AB46" t="str">
            <v>5</v>
          </cell>
          <cell r="AC46" t="str">
            <v>Operating Leases</v>
          </cell>
          <cell r="AD46">
            <v>1118783.33607</v>
          </cell>
          <cell r="AE46">
            <v>1214007.20548</v>
          </cell>
          <cell r="AF46">
            <v>-95223.869409999999</v>
          </cell>
          <cell r="AG46">
            <v>-7.8437647635171999</v>
          </cell>
          <cell r="AH46" t="str">
            <v xml:space="preserve">U.S. Dollar                   </v>
          </cell>
        </row>
        <row r="47">
          <cell r="A47" t="str">
            <v>JC........INTLIAB-B</v>
          </cell>
          <cell r="B47" t="str">
            <v>1999T12</v>
          </cell>
          <cell r="C47" t="str">
            <v xml:space="preserve">M10      </v>
          </cell>
          <cell r="D47" t="str">
            <v xml:space="preserve">Monthly Actual vs Plan                            </v>
          </cell>
          <cell r="E47" t="str">
            <v>Run: 01/13/00 10:16:47</v>
          </cell>
          <cell r="F47" t="str">
            <v>999</v>
          </cell>
          <cell r="G47" t="str">
            <v>100</v>
          </cell>
          <cell r="H47" t="str">
            <v xml:space="preserve">Bank Of America Management Reporting              </v>
          </cell>
          <cell r="I47" t="str">
            <v>001</v>
          </cell>
          <cell r="J47" t="str">
            <v>JC........</v>
          </cell>
          <cell r="K47" t="str">
            <v xml:space="preserve">Bank Of America Auto Group                        </v>
          </cell>
          <cell r="L47" t="str">
            <v xml:space="preserve"> </v>
          </cell>
          <cell r="M47" t="str">
            <v xml:space="preserve"> </v>
          </cell>
          <cell r="N47" t="str">
            <v>bamgt</v>
          </cell>
          <cell r="O47" t="str">
            <v>05</v>
          </cell>
          <cell r="P47" t="str">
            <v xml:space="preserve">200000   239999B   9999999999258000INTLIAB-B                            </v>
          </cell>
          <cell r="Q47" t="str">
            <v xml:space="preserve">none     </v>
          </cell>
          <cell r="R47" t="str">
            <v>Final Profit Plan</v>
          </cell>
          <cell r="S47" t="str">
            <v>Final Profit Plan</v>
          </cell>
          <cell r="T47" t="str">
            <v xml:space="preserve"> </v>
          </cell>
          <cell r="U47" t="str">
            <v xml:space="preserve"> </v>
          </cell>
          <cell r="V47">
            <v>67615.611489999996</v>
          </cell>
          <cell r="W47">
            <v>702255</v>
          </cell>
          <cell r="X47">
            <v>-634639.38850999996</v>
          </cell>
          <cell r="Y47">
            <v>-8730.6736400000009</v>
          </cell>
          <cell r="Z47" t="str">
            <v xml:space="preserve">     </v>
          </cell>
          <cell r="AA47" t="str">
            <v>INTLIAB-B</v>
          </cell>
          <cell r="AB47" t="str">
            <v>0</v>
          </cell>
          <cell r="AC47" t="str">
            <v>Total Interest Bearing Liabilities</v>
          </cell>
          <cell r="AD47">
            <v>400151.52213</v>
          </cell>
          <cell r="AE47">
            <v>800787.10412000003</v>
          </cell>
          <cell r="AF47">
            <v>-400635.58198999998</v>
          </cell>
          <cell r="AG47">
            <v>-50.030224004452002</v>
          </cell>
          <cell r="AH47" t="str">
            <v xml:space="preserve">U.S. Dollar                   </v>
          </cell>
        </row>
        <row r="48">
          <cell r="A48" t="str">
            <v>JC........TOTDEP-B</v>
          </cell>
          <cell r="B48" t="str">
            <v>1999T12</v>
          </cell>
          <cell r="C48" t="str">
            <v xml:space="preserve">M10      </v>
          </cell>
          <cell r="D48" t="str">
            <v xml:space="preserve">Monthly Actual vs Plan                            </v>
          </cell>
          <cell r="E48" t="str">
            <v>Run: 01/13/00 10:16:47</v>
          </cell>
          <cell r="F48" t="str">
            <v>999</v>
          </cell>
          <cell r="G48" t="str">
            <v>100</v>
          </cell>
          <cell r="H48" t="str">
            <v xml:space="preserve">Bank Of America Management Reporting              </v>
          </cell>
          <cell r="I48" t="str">
            <v>001</v>
          </cell>
          <cell r="J48" t="str">
            <v>JC........</v>
          </cell>
          <cell r="K48" t="str">
            <v xml:space="preserve">Bank Of America Auto Group                        </v>
          </cell>
          <cell r="L48" t="str">
            <v xml:space="preserve"> </v>
          </cell>
          <cell r="M48" t="str">
            <v xml:space="preserve"> </v>
          </cell>
          <cell r="N48" t="str">
            <v>bamgt</v>
          </cell>
          <cell r="O48" t="str">
            <v>05</v>
          </cell>
          <cell r="P48" t="str">
            <v xml:space="preserve">200000TOTDEP-B                                                          </v>
          </cell>
          <cell r="Q48" t="str">
            <v xml:space="preserve">none     </v>
          </cell>
          <cell r="R48" t="str">
            <v>Final Profit Plan</v>
          </cell>
          <cell r="S48" t="str">
            <v>Final Profit Plan</v>
          </cell>
          <cell r="T48" t="str">
            <v xml:space="preserve"> </v>
          </cell>
          <cell r="U48" t="str">
            <v xml:space="preserve"> </v>
          </cell>
          <cell r="V48">
            <v>759015.06131999998</v>
          </cell>
          <cell r="W48">
            <v>816913</v>
          </cell>
          <cell r="X48">
            <v>-57897.938679999999</v>
          </cell>
          <cell r="Y48">
            <v>-21386.349709999999</v>
          </cell>
          <cell r="Z48" t="str">
            <v xml:space="preserve">     </v>
          </cell>
          <cell r="AA48" t="str">
            <v>TOTDEP-B</v>
          </cell>
          <cell r="AB48" t="str">
            <v>0</v>
          </cell>
          <cell r="AC48" t="str">
            <v>Total Deposits</v>
          </cell>
          <cell r="AD48">
            <v>757745.32272000005</v>
          </cell>
          <cell r="AE48">
            <v>771076.40821999998</v>
          </cell>
          <cell r="AF48">
            <v>-13331.085499999999</v>
          </cell>
          <cell r="AG48">
            <v>-1.7288929291423001</v>
          </cell>
          <cell r="AH48" t="str">
            <v xml:space="preserve">U.S. Dollar                   </v>
          </cell>
        </row>
        <row r="49">
          <cell r="A49" t="str">
            <v>JC........300000</v>
          </cell>
          <cell r="B49" t="str">
            <v>1999T12</v>
          </cell>
          <cell r="C49" t="str">
            <v xml:space="preserve">M10      </v>
          </cell>
          <cell r="D49" t="str">
            <v xml:space="preserve">Monthly Actual vs Plan                            </v>
          </cell>
          <cell r="E49" t="str">
            <v>Run: 01/13/00 10:16:47</v>
          </cell>
          <cell r="F49" t="str">
            <v>999</v>
          </cell>
          <cell r="G49" t="str">
            <v>100</v>
          </cell>
          <cell r="H49" t="str">
            <v xml:space="preserve">Bank Of America Management Reporting              </v>
          </cell>
          <cell r="I49" t="str">
            <v>001</v>
          </cell>
          <cell r="J49" t="str">
            <v>JC........</v>
          </cell>
          <cell r="K49" t="str">
            <v xml:space="preserve">Bank Of America Auto Group                        </v>
          </cell>
          <cell r="L49" t="str">
            <v xml:space="preserve"> </v>
          </cell>
          <cell r="M49" t="str">
            <v xml:space="preserve"> </v>
          </cell>
          <cell r="N49" t="str">
            <v>bamgt</v>
          </cell>
          <cell r="O49" t="str">
            <v>20</v>
          </cell>
          <cell r="P49" t="str">
            <v>300000   999999999999999999999999999999999999999999999999999999999999999</v>
          </cell>
          <cell r="Q49" t="str">
            <v xml:space="preserve">none     </v>
          </cell>
          <cell r="R49" t="str">
            <v>Final Profit Plan</v>
          </cell>
          <cell r="S49" t="str">
            <v>Final Profit Plan</v>
          </cell>
          <cell r="T49" t="str">
            <v xml:space="preserve"> </v>
          </cell>
          <cell r="U49" t="str">
            <v xml:space="preserve"> </v>
          </cell>
          <cell r="V49">
            <v>191768.96071000001</v>
          </cell>
          <cell r="W49">
            <v>214285.62187999999</v>
          </cell>
          <cell r="X49">
            <v>-22516.661169999999</v>
          </cell>
          <cell r="Y49">
            <v>8830.9797799999997</v>
          </cell>
          <cell r="Z49" t="str">
            <v xml:space="preserve">     </v>
          </cell>
          <cell r="AA49" t="str">
            <v>300000</v>
          </cell>
          <cell r="AB49" t="str">
            <v>1</v>
          </cell>
          <cell r="AC49" t="str">
            <v>Interest Income On Assets</v>
          </cell>
          <cell r="AD49">
            <v>2325027.83507</v>
          </cell>
          <cell r="AE49">
            <v>2474609.64904</v>
          </cell>
          <cell r="AF49">
            <v>-149581.81396999999</v>
          </cell>
          <cell r="AG49">
            <v>-6.0446630048512402</v>
          </cell>
          <cell r="AH49" t="str">
            <v xml:space="preserve">U.S. Dollar                   </v>
          </cell>
        </row>
        <row r="50">
          <cell r="A50" t="str">
            <v>JC........400000</v>
          </cell>
          <cell r="B50" t="str">
            <v>1999T12</v>
          </cell>
          <cell r="C50" t="str">
            <v xml:space="preserve">M10      </v>
          </cell>
          <cell r="D50" t="str">
            <v xml:space="preserve">Monthly Actual vs Plan                            </v>
          </cell>
          <cell r="E50" t="str">
            <v>Run: 01/13/00 10:16:47</v>
          </cell>
          <cell r="F50" t="str">
            <v>999</v>
          </cell>
          <cell r="G50" t="str">
            <v>100</v>
          </cell>
          <cell r="H50" t="str">
            <v xml:space="preserve">Bank Of America Management Reporting              </v>
          </cell>
          <cell r="I50" t="str">
            <v>001</v>
          </cell>
          <cell r="J50" t="str">
            <v>JC........</v>
          </cell>
          <cell r="K50" t="str">
            <v xml:space="preserve">Bank Of America Auto Group                        </v>
          </cell>
          <cell r="L50" t="str">
            <v xml:space="preserve"> </v>
          </cell>
          <cell r="M50" t="str">
            <v xml:space="preserve"> </v>
          </cell>
          <cell r="N50" t="str">
            <v>bamgt</v>
          </cell>
          <cell r="O50" t="str">
            <v>25</v>
          </cell>
          <cell r="P50" t="str">
            <v>400000   999999999999999999999999999999999999999999999999999999999999999</v>
          </cell>
          <cell r="Q50" t="str">
            <v xml:space="preserve">none     </v>
          </cell>
          <cell r="R50" t="str">
            <v>Final Profit Plan</v>
          </cell>
          <cell r="S50" t="str">
            <v>Final Profit Plan</v>
          </cell>
          <cell r="T50" t="str">
            <v xml:space="preserve"> </v>
          </cell>
          <cell r="U50" t="str">
            <v xml:space="preserve"> </v>
          </cell>
          <cell r="V50">
            <v>288.98309999999998</v>
          </cell>
          <cell r="W50">
            <v>3968.7824999999998</v>
          </cell>
          <cell r="X50">
            <v>3679.7993999999999</v>
          </cell>
          <cell r="Y50">
            <v>19089.536510000002</v>
          </cell>
          <cell r="Z50" t="str">
            <v xml:space="preserve">     </v>
          </cell>
          <cell r="AA50" t="str">
            <v>400000</v>
          </cell>
          <cell r="AB50" t="str">
            <v>1</v>
          </cell>
          <cell r="AC50" t="str">
            <v>Interest Expense On Liabilities</v>
          </cell>
          <cell r="AD50">
            <v>221789.96572000001</v>
          </cell>
          <cell r="AE50">
            <v>55597.692430000003</v>
          </cell>
          <cell r="AF50">
            <v>-166192.27329000001</v>
          </cell>
          <cell r="AG50">
            <v>-298.91937241683797</v>
          </cell>
          <cell r="AH50" t="str">
            <v xml:space="preserve">U.S. Dollar                   </v>
          </cell>
        </row>
        <row r="51">
          <cell r="A51" t="str">
            <v>JC........510000</v>
          </cell>
          <cell r="B51" t="str">
            <v>1999T12</v>
          </cell>
          <cell r="C51" t="str">
            <v xml:space="preserve">M10      </v>
          </cell>
          <cell r="D51" t="str">
            <v xml:space="preserve">Monthly Actual vs Plan                            </v>
          </cell>
          <cell r="E51" t="str">
            <v>Run: 01/13/00 10:16:47</v>
          </cell>
          <cell r="F51" t="str">
            <v>999</v>
          </cell>
          <cell r="G51" t="str">
            <v>100</v>
          </cell>
          <cell r="H51" t="str">
            <v xml:space="preserve">Bank Of America Management Reporting              </v>
          </cell>
          <cell r="I51" t="str">
            <v>001</v>
          </cell>
          <cell r="J51" t="str">
            <v>JC........</v>
          </cell>
          <cell r="K51" t="str">
            <v xml:space="preserve">Bank Of America Auto Group                        </v>
          </cell>
          <cell r="L51" t="str">
            <v xml:space="preserve"> </v>
          </cell>
          <cell r="M51" t="str">
            <v xml:space="preserve"> </v>
          </cell>
          <cell r="N51" t="str">
            <v>bamgt</v>
          </cell>
          <cell r="O51" t="str">
            <v>35</v>
          </cell>
          <cell r="P51" t="str">
            <v>500099A  510000   999999999999999999999999999999999999999999999999999999</v>
          </cell>
          <cell r="Q51" t="str">
            <v xml:space="preserve">none     </v>
          </cell>
          <cell r="R51" t="str">
            <v>Final Profit Plan</v>
          </cell>
          <cell r="S51" t="str">
            <v>Final Profit Plan</v>
          </cell>
          <cell r="T51" t="str">
            <v xml:space="preserve"> </v>
          </cell>
          <cell r="U51" t="str">
            <v xml:space="preserve"> </v>
          </cell>
          <cell r="V51">
            <v>590.78043000000002</v>
          </cell>
          <cell r="W51">
            <v>607.14</v>
          </cell>
          <cell r="X51">
            <v>-16.359570000000001</v>
          </cell>
          <cell r="Y51">
            <v>40.234630000000003</v>
          </cell>
          <cell r="Z51" t="str">
            <v xml:space="preserve">     </v>
          </cell>
          <cell r="AA51" t="str">
            <v>510000</v>
          </cell>
          <cell r="AB51" t="str">
            <v>2</v>
          </cell>
          <cell r="AC51" t="str">
            <v>Service Charges On Deposit Accounts</v>
          </cell>
          <cell r="AD51">
            <v>7662.2107800000003</v>
          </cell>
          <cell r="AE51">
            <v>7054.68</v>
          </cell>
          <cell r="AF51">
            <v>607.53078000000005</v>
          </cell>
          <cell r="AG51">
            <v>8.6117411420503807</v>
          </cell>
          <cell r="AH51" t="str">
            <v xml:space="preserve">U.S. Dollar                   </v>
          </cell>
        </row>
        <row r="52">
          <cell r="A52" t="str">
            <v>JC........560200A</v>
          </cell>
          <cell r="B52" t="str">
            <v>1999T12</v>
          </cell>
          <cell r="C52" t="str">
            <v xml:space="preserve">M10      </v>
          </cell>
          <cell r="D52" t="str">
            <v xml:space="preserve">Monthly Actual vs Plan                            </v>
          </cell>
          <cell r="E52" t="str">
            <v>Run: 01/13/00 10:16:47</v>
          </cell>
          <cell r="F52" t="str">
            <v>999</v>
          </cell>
          <cell r="G52" t="str">
            <v>100</v>
          </cell>
          <cell r="H52" t="str">
            <v xml:space="preserve">Bank Of America Management Reporting              </v>
          </cell>
          <cell r="I52" t="str">
            <v>001</v>
          </cell>
          <cell r="J52" t="str">
            <v>JC........</v>
          </cell>
          <cell r="K52" t="str">
            <v xml:space="preserve">Bank Of America Auto Group                        </v>
          </cell>
          <cell r="L52" t="str">
            <v xml:space="preserve"> </v>
          </cell>
          <cell r="M52" t="str">
            <v xml:space="preserve"> </v>
          </cell>
          <cell r="N52" t="str">
            <v>bamgt</v>
          </cell>
          <cell r="O52" t="str">
            <v>35</v>
          </cell>
          <cell r="P52" t="str">
            <v>500099A  557900   560200A  999999999999999999999999999999999999999999999</v>
          </cell>
          <cell r="Q52" t="str">
            <v xml:space="preserve">none     </v>
          </cell>
          <cell r="R52" t="str">
            <v>Final Profit Plan</v>
          </cell>
          <cell r="S52" t="str">
            <v>Final Profit Plan</v>
          </cell>
          <cell r="T52" t="str">
            <v xml:space="preserve"> </v>
          </cell>
          <cell r="U52" t="str">
            <v xml:space="preserve"> </v>
          </cell>
          <cell r="V52">
            <v>-206.42212000000001</v>
          </cell>
          <cell r="W52">
            <v>-249.79</v>
          </cell>
          <cell r="X52">
            <v>43.36788</v>
          </cell>
          <cell r="Y52">
            <v>-184.80898999999999</v>
          </cell>
          <cell r="Z52" t="str">
            <v xml:space="preserve">     </v>
          </cell>
          <cell r="AA52" t="str">
            <v>560200A</v>
          </cell>
          <cell r="AB52" t="str">
            <v>3</v>
          </cell>
          <cell r="AC52" t="str">
            <v>Gains &amp; Losses</v>
          </cell>
          <cell r="AD52">
            <v>67447.891210000002</v>
          </cell>
          <cell r="AE52">
            <v>62080.49</v>
          </cell>
          <cell r="AF52">
            <v>5367.40121</v>
          </cell>
          <cell r="AG52">
            <v>8.6458744285040297</v>
          </cell>
          <cell r="AH52" t="str">
            <v xml:space="preserve">U.S. Dollar                   </v>
          </cell>
        </row>
        <row r="53">
          <cell r="A53" t="str">
            <v>JC........500099A</v>
          </cell>
          <cell r="B53" t="str">
            <v>1999T12</v>
          </cell>
          <cell r="C53" t="str">
            <v xml:space="preserve">M10      </v>
          </cell>
          <cell r="D53" t="str">
            <v xml:space="preserve">Monthly Actual vs Plan                            </v>
          </cell>
          <cell r="E53" t="str">
            <v>Run: 01/13/00 10:16:47</v>
          </cell>
          <cell r="F53" t="str">
            <v>999</v>
          </cell>
          <cell r="G53" t="str">
            <v>100</v>
          </cell>
          <cell r="H53" t="str">
            <v xml:space="preserve">Bank Of America Management Reporting              </v>
          </cell>
          <cell r="I53" t="str">
            <v>001</v>
          </cell>
          <cell r="J53" t="str">
            <v>JC........</v>
          </cell>
          <cell r="K53" t="str">
            <v xml:space="preserve">Bank Of America Auto Group                        </v>
          </cell>
          <cell r="L53" t="str">
            <v xml:space="preserve"> </v>
          </cell>
          <cell r="M53" t="str">
            <v xml:space="preserve"> </v>
          </cell>
          <cell r="N53" t="str">
            <v>bamgt</v>
          </cell>
          <cell r="O53" t="str">
            <v>35</v>
          </cell>
          <cell r="P53" t="str">
            <v>500099A  999999999999999999999999999999999999999999999999999999999999999</v>
          </cell>
          <cell r="Q53" t="str">
            <v xml:space="preserve">none     </v>
          </cell>
          <cell r="R53" t="str">
            <v>Final Profit Plan</v>
          </cell>
          <cell r="S53" t="str">
            <v>Final Profit Plan</v>
          </cell>
          <cell r="T53" t="str">
            <v xml:space="preserve"> </v>
          </cell>
          <cell r="U53" t="str">
            <v xml:space="preserve"> </v>
          </cell>
          <cell r="V53">
            <v>478.95837</v>
          </cell>
          <cell r="W53">
            <v>8176.85</v>
          </cell>
          <cell r="X53">
            <v>-7697.8916300000001</v>
          </cell>
          <cell r="Y53">
            <v>-1286.40798</v>
          </cell>
          <cell r="Z53" t="str">
            <v xml:space="preserve">     </v>
          </cell>
          <cell r="AA53" t="str">
            <v>500099A</v>
          </cell>
          <cell r="AB53" t="str">
            <v>1</v>
          </cell>
          <cell r="AC53" t="str">
            <v>Total Non-Interest Income</v>
          </cell>
          <cell r="AD53">
            <v>173729.07206000001</v>
          </cell>
          <cell r="AE53">
            <v>203632.51</v>
          </cell>
          <cell r="AF53">
            <v>-29903.43794</v>
          </cell>
          <cell r="AG53">
            <v>-14.685001888942001</v>
          </cell>
          <cell r="AH53" t="str">
            <v xml:space="preserve">U.S. Dollar                   </v>
          </cell>
        </row>
        <row r="54">
          <cell r="A54" t="str">
            <v>JC........599999C</v>
          </cell>
          <cell r="B54" t="str">
            <v>1999T12</v>
          </cell>
          <cell r="C54" t="str">
            <v xml:space="preserve">M10      </v>
          </cell>
          <cell r="D54" t="str">
            <v xml:space="preserve">Monthly Actual vs Plan                            </v>
          </cell>
          <cell r="E54" t="str">
            <v>Run: 01/13/00 10:16:47</v>
          </cell>
          <cell r="F54" t="str">
            <v>999</v>
          </cell>
          <cell r="G54" t="str">
            <v>100</v>
          </cell>
          <cell r="H54" t="str">
            <v xml:space="preserve">Bank Of America Management Reporting              </v>
          </cell>
          <cell r="I54" t="str">
            <v>001</v>
          </cell>
          <cell r="J54" t="str">
            <v>JC........</v>
          </cell>
          <cell r="K54" t="str">
            <v xml:space="preserve">Bank Of America Auto Group                        </v>
          </cell>
          <cell r="L54" t="str">
            <v xml:space="preserve"> </v>
          </cell>
          <cell r="M54" t="str">
            <v xml:space="preserve"> </v>
          </cell>
          <cell r="N54" t="str">
            <v>bamgt</v>
          </cell>
          <cell r="O54" t="str">
            <v>30</v>
          </cell>
          <cell r="P54" t="str">
            <v>599999B  599999C  999999999999999999999999999999999999999999999999999999</v>
          </cell>
          <cell r="Q54" t="str">
            <v xml:space="preserve">none     </v>
          </cell>
          <cell r="R54" t="str">
            <v>Final Profit Plan</v>
          </cell>
          <cell r="S54" t="str">
            <v>Final Profit Plan</v>
          </cell>
          <cell r="T54" t="str">
            <v xml:space="preserve"> </v>
          </cell>
          <cell r="U54" t="str">
            <v xml:space="preserve"> </v>
          </cell>
          <cell r="V54">
            <v>23096.99684</v>
          </cell>
          <cell r="W54">
            <v>23296.614300000001</v>
          </cell>
          <cell r="X54">
            <v>199.61745999999999</v>
          </cell>
          <cell r="Y54">
            <v>-5137.0418600000003</v>
          </cell>
          <cell r="Z54" t="str">
            <v xml:space="preserve">     </v>
          </cell>
          <cell r="AA54" t="str">
            <v>599999C</v>
          </cell>
          <cell r="AB54" t="str">
            <v>2</v>
          </cell>
          <cell r="AC54" t="str">
            <v>Provision For Credit Losses - Direct</v>
          </cell>
          <cell r="AD54">
            <v>192250.97849000001</v>
          </cell>
          <cell r="AE54">
            <v>248825.34614000001</v>
          </cell>
          <cell r="AF54">
            <v>56574.36765</v>
          </cell>
          <cell r="AG54">
            <v>22.736577494066399</v>
          </cell>
          <cell r="AH54" t="str">
            <v xml:space="preserve">U.S. Dollar                   </v>
          </cell>
        </row>
        <row r="55">
          <cell r="A55" t="str">
            <v>JC........600250</v>
          </cell>
          <cell r="B55" t="str">
            <v>1999T12</v>
          </cell>
          <cell r="C55" t="str">
            <v xml:space="preserve">M10      </v>
          </cell>
          <cell r="D55" t="str">
            <v xml:space="preserve">Monthly Actual vs Plan                            </v>
          </cell>
          <cell r="E55" t="str">
            <v>Run: 01/13/00 10:16:47</v>
          </cell>
          <cell r="F55" t="str">
            <v>999</v>
          </cell>
          <cell r="G55" t="str">
            <v>100</v>
          </cell>
          <cell r="H55" t="str">
            <v xml:space="preserve">Bank Of America Management Reporting              </v>
          </cell>
          <cell r="I55" t="str">
            <v>001</v>
          </cell>
          <cell r="J55" t="str">
            <v>JC........</v>
          </cell>
          <cell r="K55" t="str">
            <v xml:space="preserve">Bank Of America Auto Group                        </v>
          </cell>
          <cell r="L55" t="str">
            <v xml:space="preserve"> </v>
          </cell>
          <cell r="M55" t="str">
            <v xml:space="preserve"> </v>
          </cell>
          <cell r="N55" t="str">
            <v>bamgt</v>
          </cell>
          <cell r="O55" t="str">
            <v>40</v>
          </cell>
          <cell r="P55" t="str">
            <v>600000A  600250   999999999999999999999999999999999999999999999999999999</v>
          </cell>
          <cell r="Q55" t="str">
            <v xml:space="preserve">none     </v>
          </cell>
          <cell r="R55" t="str">
            <v>Final Profit Plan</v>
          </cell>
          <cell r="S55" t="str">
            <v>Final Profit Plan</v>
          </cell>
          <cell r="T55" t="str">
            <v xml:space="preserve"> </v>
          </cell>
          <cell r="U55" t="str">
            <v xml:space="preserve"> </v>
          </cell>
          <cell r="V55">
            <v>5453.5271599999996</v>
          </cell>
          <cell r="W55">
            <v>2247.9468000000002</v>
          </cell>
          <cell r="X55">
            <v>-3205.5803599999999</v>
          </cell>
          <cell r="Y55">
            <v>-523.66630999999995</v>
          </cell>
          <cell r="Z55" t="str">
            <v xml:space="preserve">     </v>
          </cell>
          <cell r="AA55" t="str">
            <v>600250</v>
          </cell>
          <cell r="AB55" t="str">
            <v>2</v>
          </cell>
          <cell r="AC55" t="str">
            <v>Personnel</v>
          </cell>
          <cell r="AD55">
            <v>51217.998760000002</v>
          </cell>
          <cell r="AE55">
            <v>37616.000099999997</v>
          </cell>
          <cell r="AF55">
            <v>-13601.998659999999</v>
          </cell>
          <cell r="AG55">
            <v>-36.160140960867302</v>
          </cell>
          <cell r="AH55" t="str">
            <v xml:space="preserve">U.S. Dollar                   </v>
          </cell>
        </row>
        <row r="56">
          <cell r="A56" t="str">
            <v>JC........610000</v>
          </cell>
          <cell r="B56" t="str">
            <v>1999T12</v>
          </cell>
          <cell r="C56" t="str">
            <v xml:space="preserve">M10      </v>
          </cell>
          <cell r="D56" t="str">
            <v xml:space="preserve">Monthly Actual vs Plan                            </v>
          </cell>
          <cell r="E56" t="str">
            <v>Run: 01/13/00 10:16:47</v>
          </cell>
          <cell r="F56" t="str">
            <v>999</v>
          </cell>
          <cell r="G56" t="str">
            <v>100</v>
          </cell>
          <cell r="H56" t="str">
            <v xml:space="preserve">Bank Of America Management Reporting              </v>
          </cell>
          <cell r="I56" t="str">
            <v>001</v>
          </cell>
          <cell r="J56" t="str">
            <v>JC........</v>
          </cell>
          <cell r="K56" t="str">
            <v xml:space="preserve">Bank Of America Auto Group                        </v>
          </cell>
          <cell r="L56" t="str">
            <v xml:space="preserve"> </v>
          </cell>
          <cell r="M56" t="str">
            <v xml:space="preserve"> </v>
          </cell>
          <cell r="N56" t="str">
            <v>bamgt</v>
          </cell>
          <cell r="O56" t="str">
            <v>40</v>
          </cell>
          <cell r="P56" t="str">
            <v>600000A  610000   999999999999999999999999999999999999999999999999999999</v>
          </cell>
          <cell r="Q56" t="str">
            <v xml:space="preserve">none     </v>
          </cell>
          <cell r="R56" t="str">
            <v>Final Profit Plan</v>
          </cell>
          <cell r="S56" t="str">
            <v>Final Profit Plan</v>
          </cell>
          <cell r="T56" t="str">
            <v xml:space="preserve"> </v>
          </cell>
          <cell r="U56" t="str">
            <v xml:space="preserve"> </v>
          </cell>
          <cell r="V56">
            <v>840.37064999999996</v>
          </cell>
          <cell r="W56">
            <v>1089.01</v>
          </cell>
          <cell r="X56">
            <v>248.63935000000001</v>
          </cell>
          <cell r="Y56">
            <v>-26.168410000000002</v>
          </cell>
          <cell r="Z56" t="str">
            <v xml:space="preserve">     </v>
          </cell>
          <cell r="AA56" t="str">
            <v>610000</v>
          </cell>
          <cell r="AB56" t="str">
            <v>2</v>
          </cell>
          <cell r="AC56" t="str">
            <v>Net Occupancy</v>
          </cell>
          <cell r="AD56">
            <v>9892.3204600000008</v>
          </cell>
          <cell r="AE56">
            <v>13040.55</v>
          </cell>
          <cell r="AF56">
            <v>3148.2295399999998</v>
          </cell>
          <cell r="AG56">
            <v>24.1418463178317</v>
          </cell>
          <cell r="AH56" t="str">
            <v xml:space="preserve">U.S. Dollar                   </v>
          </cell>
        </row>
        <row r="57">
          <cell r="A57" t="str">
            <v>JC........620000</v>
          </cell>
          <cell r="B57" t="str">
            <v>1999T12</v>
          </cell>
          <cell r="C57" t="str">
            <v xml:space="preserve">M10      </v>
          </cell>
          <cell r="D57" t="str">
            <v xml:space="preserve">Monthly Actual vs Plan                            </v>
          </cell>
          <cell r="E57" t="str">
            <v>Run: 01/13/00 10:16:47</v>
          </cell>
          <cell r="F57" t="str">
            <v>999</v>
          </cell>
          <cell r="G57" t="str">
            <v>100</v>
          </cell>
          <cell r="H57" t="str">
            <v xml:space="preserve">Bank Of America Management Reporting              </v>
          </cell>
          <cell r="I57" t="str">
            <v>001</v>
          </cell>
          <cell r="J57" t="str">
            <v>JC........</v>
          </cell>
          <cell r="K57" t="str">
            <v xml:space="preserve">Bank Of America Auto Group                        </v>
          </cell>
          <cell r="L57" t="str">
            <v xml:space="preserve"> </v>
          </cell>
          <cell r="M57" t="str">
            <v xml:space="preserve"> </v>
          </cell>
          <cell r="N57" t="str">
            <v>bamgt</v>
          </cell>
          <cell r="O57" t="str">
            <v>40</v>
          </cell>
          <cell r="P57" t="str">
            <v>600000A  620000   999999999999999999999999999999999999999999999999999999</v>
          </cell>
          <cell r="Q57" t="str">
            <v xml:space="preserve">none     </v>
          </cell>
          <cell r="R57" t="str">
            <v>Final Profit Plan</v>
          </cell>
          <cell r="S57" t="str">
            <v>Final Profit Plan</v>
          </cell>
          <cell r="T57" t="str">
            <v xml:space="preserve"> </v>
          </cell>
          <cell r="U57" t="str">
            <v xml:space="preserve"> </v>
          </cell>
          <cell r="V57">
            <v>493.20512000000002</v>
          </cell>
          <cell r="W57">
            <v>233.36</v>
          </cell>
          <cell r="X57">
            <v>-259.84512000000001</v>
          </cell>
          <cell r="Y57">
            <v>46.090589999999999</v>
          </cell>
          <cell r="Z57" t="str">
            <v xml:space="preserve">     </v>
          </cell>
          <cell r="AA57" t="str">
            <v>620000</v>
          </cell>
          <cell r="AB57" t="str">
            <v>2</v>
          </cell>
          <cell r="AC57" t="str">
            <v>Furniture &amp; Equipment</v>
          </cell>
          <cell r="AD57">
            <v>6637.3733199999997</v>
          </cell>
          <cell r="AE57">
            <v>5031.4799999999996</v>
          </cell>
          <cell r="AF57">
            <v>-1605.8933199999999</v>
          </cell>
          <cell r="AG57">
            <v>-31.916917487498701</v>
          </cell>
          <cell r="AH57" t="str">
            <v xml:space="preserve">U.S. Dollar                   </v>
          </cell>
        </row>
        <row r="58">
          <cell r="A58" t="str">
            <v>JC........660000A</v>
          </cell>
          <cell r="B58" t="str">
            <v>1999T12</v>
          </cell>
          <cell r="C58" t="str">
            <v xml:space="preserve">M10      </v>
          </cell>
          <cell r="D58" t="str">
            <v xml:space="preserve">Monthly Actual vs Plan                            </v>
          </cell>
          <cell r="E58" t="str">
            <v>Run: 01/13/00 10:16:47</v>
          </cell>
          <cell r="F58" t="str">
            <v>999</v>
          </cell>
          <cell r="G58" t="str">
            <v>100</v>
          </cell>
          <cell r="H58" t="str">
            <v xml:space="preserve">Bank Of America Management Reporting              </v>
          </cell>
          <cell r="I58" t="str">
            <v>001</v>
          </cell>
          <cell r="J58" t="str">
            <v>JC........</v>
          </cell>
          <cell r="K58" t="str">
            <v xml:space="preserve">Bank Of America Auto Group                        </v>
          </cell>
          <cell r="L58" t="str">
            <v xml:space="preserve"> </v>
          </cell>
          <cell r="M58" t="str">
            <v xml:space="preserve"> </v>
          </cell>
          <cell r="N58" t="str">
            <v>bamgt</v>
          </cell>
          <cell r="O58" t="str">
            <v>40</v>
          </cell>
          <cell r="P58" t="str">
            <v>600000A  660000A  999999999999999999999999999999999999999999999999999999</v>
          </cell>
          <cell r="Q58" t="str">
            <v xml:space="preserve">none     </v>
          </cell>
          <cell r="R58" t="str">
            <v>Final Profit Plan</v>
          </cell>
          <cell r="S58" t="str">
            <v>Final Profit Plan</v>
          </cell>
          <cell r="T58" t="str">
            <v xml:space="preserve"> </v>
          </cell>
          <cell r="U58" t="str">
            <v xml:space="preserve"> </v>
          </cell>
          <cell r="V58">
            <v>672.66021999999998</v>
          </cell>
          <cell r="W58">
            <v>681.46</v>
          </cell>
          <cell r="X58">
            <v>8.7997800000000002</v>
          </cell>
          <cell r="Y58">
            <v>-7.0945999999999998</v>
          </cell>
          <cell r="Z58" t="str">
            <v xml:space="preserve">     </v>
          </cell>
          <cell r="AA58" t="str">
            <v>660000A</v>
          </cell>
          <cell r="AB58" t="str">
            <v>2</v>
          </cell>
          <cell r="AC58" t="str">
            <v>Telecommunications</v>
          </cell>
          <cell r="AD58">
            <v>7458.0912099999996</v>
          </cell>
          <cell r="AE58">
            <v>8423.11</v>
          </cell>
          <cell r="AF58">
            <v>965.01878999999997</v>
          </cell>
          <cell r="AG58">
            <v>11.4567990920218</v>
          </cell>
          <cell r="AH58" t="str">
            <v xml:space="preserve">U.S. Dollar                   </v>
          </cell>
        </row>
        <row r="59">
          <cell r="A59" t="str">
            <v>JC........665499B</v>
          </cell>
          <cell r="B59" t="str">
            <v>1999T12</v>
          </cell>
          <cell r="C59" t="str">
            <v xml:space="preserve">M10      </v>
          </cell>
          <cell r="D59" t="str">
            <v xml:space="preserve">Monthly Actual vs Plan                            </v>
          </cell>
          <cell r="E59" t="str">
            <v>Run: 01/13/00 10:16:47</v>
          </cell>
          <cell r="F59" t="str">
            <v>999</v>
          </cell>
          <cell r="G59" t="str">
            <v>100</v>
          </cell>
          <cell r="H59" t="str">
            <v xml:space="preserve">Bank Of America Management Reporting              </v>
          </cell>
          <cell r="I59" t="str">
            <v>001</v>
          </cell>
          <cell r="J59" t="str">
            <v>JC........</v>
          </cell>
          <cell r="K59" t="str">
            <v xml:space="preserve">Bank Of America Auto Group                        </v>
          </cell>
          <cell r="L59" t="str">
            <v xml:space="preserve"> </v>
          </cell>
          <cell r="M59" t="str">
            <v xml:space="preserve"> </v>
          </cell>
          <cell r="N59" t="str">
            <v>bamgt</v>
          </cell>
          <cell r="O59" t="str">
            <v>40</v>
          </cell>
          <cell r="P59" t="str">
            <v>600000A  665499A  665499B  999999999999999999999999999999999999999999999</v>
          </cell>
          <cell r="Q59" t="str">
            <v xml:space="preserve">none     </v>
          </cell>
          <cell r="R59" t="str">
            <v>Final Profit Plan</v>
          </cell>
          <cell r="S59" t="str">
            <v>Final Profit Plan</v>
          </cell>
          <cell r="T59" t="str">
            <v xml:space="preserve"> </v>
          </cell>
          <cell r="U59" t="str">
            <v xml:space="preserve"> </v>
          </cell>
          <cell r="V59">
            <v>740.03565000000003</v>
          </cell>
          <cell r="W59">
            <v>620</v>
          </cell>
          <cell r="X59">
            <v>-120.03565</v>
          </cell>
          <cell r="Y59">
            <v>106.70062</v>
          </cell>
          <cell r="Z59" t="str">
            <v xml:space="preserve">     </v>
          </cell>
          <cell r="AA59" t="str">
            <v>665499B</v>
          </cell>
          <cell r="AB59" t="str">
            <v>3</v>
          </cell>
          <cell r="AC59" t="str">
            <v>Loan &amp; Collection</v>
          </cell>
          <cell r="AD59">
            <v>7845.5722699999997</v>
          </cell>
          <cell r="AE59">
            <v>7655</v>
          </cell>
          <cell r="AF59">
            <v>-190.57227</v>
          </cell>
          <cell r="AG59">
            <v>-2.4895136512083602</v>
          </cell>
          <cell r="AH59" t="str">
            <v xml:space="preserve">U.S. Dollar                   </v>
          </cell>
        </row>
        <row r="60">
          <cell r="A60" t="str">
            <v>JC........665850A</v>
          </cell>
          <cell r="B60" t="str">
            <v>1999T12</v>
          </cell>
          <cell r="C60" t="str">
            <v xml:space="preserve">M10      </v>
          </cell>
          <cell r="D60" t="str">
            <v xml:space="preserve">Monthly Actual vs Plan                            </v>
          </cell>
          <cell r="E60" t="str">
            <v>Run: 01/13/00 10:16:47</v>
          </cell>
          <cell r="F60" t="str">
            <v>999</v>
          </cell>
          <cell r="G60" t="str">
            <v>100</v>
          </cell>
          <cell r="H60" t="str">
            <v xml:space="preserve">Bank Of America Management Reporting              </v>
          </cell>
          <cell r="I60" t="str">
            <v>001</v>
          </cell>
          <cell r="J60" t="str">
            <v>JC........</v>
          </cell>
          <cell r="K60" t="str">
            <v xml:space="preserve">Bank Of America Auto Group                        </v>
          </cell>
          <cell r="L60" t="str">
            <v xml:space="preserve"> </v>
          </cell>
          <cell r="M60" t="str">
            <v xml:space="preserve"> </v>
          </cell>
          <cell r="N60" t="str">
            <v>bamgt</v>
          </cell>
          <cell r="O60" t="str">
            <v>40</v>
          </cell>
          <cell r="P60" t="str">
            <v>600000A  665499A  665850A  999999999999999999999999999999999999999999999</v>
          </cell>
          <cell r="Q60" t="str">
            <v xml:space="preserve">none     </v>
          </cell>
          <cell r="R60" t="str">
            <v>Final Profit Plan</v>
          </cell>
          <cell r="S60" t="str">
            <v>Final Profit Plan</v>
          </cell>
          <cell r="T60" t="str">
            <v xml:space="preserve"> </v>
          </cell>
          <cell r="U60" t="str">
            <v xml:space="preserve"> </v>
          </cell>
          <cell r="V60">
            <v>71.831699999999998</v>
          </cell>
          <cell r="W60">
            <v>99.81</v>
          </cell>
          <cell r="X60">
            <v>27.978300000000001</v>
          </cell>
          <cell r="Y60">
            <v>32.62097</v>
          </cell>
          <cell r="Z60" t="str">
            <v xml:space="preserve">     </v>
          </cell>
          <cell r="AA60" t="str">
            <v>665850A</v>
          </cell>
          <cell r="AB60" t="str">
            <v>3</v>
          </cell>
          <cell r="AC60" t="str">
            <v>Foreclosed Properties Expense</v>
          </cell>
          <cell r="AD60">
            <v>1416.42147</v>
          </cell>
          <cell r="AE60">
            <v>1197.72</v>
          </cell>
          <cell r="AF60">
            <v>-218.70147</v>
          </cell>
          <cell r="AG60">
            <v>-18.259816150686301</v>
          </cell>
          <cell r="AH60" t="str">
            <v xml:space="preserve">U.S. Dollar                   </v>
          </cell>
        </row>
        <row r="61">
          <cell r="A61" t="str">
            <v>JC........NIEBA-B</v>
          </cell>
          <cell r="B61" t="str">
            <v>1999T12</v>
          </cell>
          <cell r="C61" t="str">
            <v xml:space="preserve">M10      </v>
          </cell>
          <cell r="D61" t="str">
            <v xml:space="preserve">Monthly Actual vs Plan                            </v>
          </cell>
          <cell r="E61" t="str">
            <v>Run: 01/13/00 10:16:47</v>
          </cell>
          <cell r="F61" t="str">
            <v>999</v>
          </cell>
          <cell r="G61" t="str">
            <v>100</v>
          </cell>
          <cell r="H61" t="str">
            <v xml:space="preserve">Bank Of America Management Reporting              </v>
          </cell>
          <cell r="I61" t="str">
            <v>001</v>
          </cell>
          <cell r="J61" t="str">
            <v>JC........</v>
          </cell>
          <cell r="K61" t="str">
            <v xml:space="preserve">Bank Of America Auto Group                        </v>
          </cell>
          <cell r="L61" t="str">
            <v xml:space="preserve"> </v>
          </cell>
          <cell r="M61" t="str">
            <v xml:space="preserve"> </v>
          </cell>
          <cell r="N61" t="str">
            <v>bamgt</v>
          </cell>
          <cell r="O61" t="str">
            <v>40</v>
          </cell>
          <cell r="P61" t="str">
            <v xml:space="preserve">600000A  675000A  999999999999999999999999999NIEBA-B                    </v>
          </cell>
          <cell r="Q61" t="str">
            <v xml:space="preserve">none     </v>
          </cell>
          <cell r="R61" t="str">
            <v>Final Profit Plan</v>
          </cell>
          <cell r="S61" t="str">
            <v>Final Profit Plan</v>
          </cell>
          <cell r="T61" t="str">
            <v xml:space="preserve"> </v>
          </cell>
          <cell r="U61" t="str">
            <v xml:space="preserve"> </v>
          </cell>
          <cell r="V61">
            <v>19120.93172</v>
          </cell>
          <cell r="W61">
            <v>14597.5468</v>
          </cell>
          <cell r="X61">
            <v>-4523.3849200000004</v>
          </cell>
          <cell r="Y61">
            <v>2023.68959</v>
          </cell>
          <cell r="Z61" t="str">
            <v xml:space="preserve">     </v>
          </cell>
          <cell r="AA61" t="str">
            <v>NIEBA-B</v>
          </cell>
          <cell r="AB61" t="str">
            <v>0</v>
          </cell>
          <cell r="AC61" t="str">
            <v>Sub-Tot Non Int Exp Before Cost</v>
          </cell>
          <cell r="AD61">
            <v>215907.902</v>
          </cell>
          <cell r="AE61">
            <v>197855.9301</v>
          </cell>
          <cell r="AF61">
            <v>-18051.9719</v>
          </cell>
          <cell r="AG61">
            <v>-9.1237962343995491</v>
          </cell>
          <cell r="AH61" t="str">
            <v xml:space="preserve">U.S. Dollar                   </v>
          </cell>
        </row>
        <row r="62">
          <cell r="A62" t="str">
            <v>JC........830130A</v>
          </cell>
          <cell r="B62" t="str">
            <v>1999T12</v>
          </cell>
          <cell r="C62" t="str">
            <v xml:space="preserve">M10      </v>
          </cell>
          <cell r="D62" t="str">
            <v xml:space="preserve">Monthly Actual vs Plan                            </v>
          </cell>
          <cell r="E62" t="str">
            <v>Run: 01/13/00 10:16:47</v>
          </cell>
          <cell r="F62" t="str">
            <v>999</v>
          </cell>
          <cell r="G62" t="str">
            <v>100</v>
          </cell>
          <cell r="H62" t="str">
            <v xml:space="preserve">Bank Of America Management Reporting              </v>
          </cell>
          <cell r="I62" t="str">
            <v>001</v>
          </cell>
          <cell r="J62" t="str">
            <v>JC........</v>
          </cell>
          <cell r="K62" t="str">
            <v xml:space="preserve">Bank Of America Auto Group                        </v>
          </cell>
          <cell r="L62" t="str">
            <v xml:space="preserve"> </v>
          </cell>
          <cell r="M62" t="str">
            <v xml:space="preserve"> </v>
          </cell>
          <cell r="N62" t="str">
            <v>bamgt</v>
          </cell>
          <cell r="O62" t="str">
            <v>05</v>
          </cell>
          <cell r="P62" t="str">
            <v>830130A  999999999999999999999999999999999999999999999999999999999999999</v>
          </cell>
          <cell r="Q62" t="str">
            <v xml:space="preserve">none     </v>
          </cell>
          <cell r="R62" t="str">
            <v>Final Profit Plan</v>
          </cell>
          <cell r="S62" t="str">
            <v>Final Profit Plan</v>
          </cell>
          <cell r="T62" t="str">
            <v xml:space="preserve"> </v>
          </cell>
          <cell r="U62" t="str">
            <v xml:space="preserve"> </v>
          </cell>
          <cell r="V62">
            <v>1507.32</v>
          </cell>
          <cell r="W62">
            <v>1533.28</v>
          </cell>
          <cell r="X62">
            <v>-25.96</v>
          </cell>
          <cell r="Y62">
            <v>-37.44</v>
          </cell>
          <cell r="Z62" t="str">
            <v xml:space="preserve">     </v>
          </cell>
          <cell r="AA62" t="str">
            <v>830130A</v>
          </cell>
          <cell r="AB62" t="str">
            <v>1</v>
          </cell>
          <cell r="AC62" t="str">
            <v>Full Time Equivalent Staff</v>
          </cell>
          <cell r="AD62">
            <v>1597.8</v>
          </cell>
          <cell r="AE62">
            <v>1669.96</v>
          </cell>
          <cell r="AF62">
            <v>-72.16</v>
          </cell>
          <cell r="AG62">
            <v>-4.3210615823133498</v>
          </cell>
          <cell r="AH62" t="str">
            <v xml:space="preserve">U.S. Dollar                   </v>
          </cell>
        </row>
        <row r="63">
          <cell r="A63" t="str">
            <v>JG........130100</v>
          </cell>
          <cell r="B63" t="str">
            <v>1999T12</v>
          </cell>
          <cell r="C63" t="str">
            <v xml:space="preserve">M10      </v>
          </cell>
          <cell r="D63" t="str">
            <v xml:space="preserve">Monthly Actual vs Plan                            </v>
          </cell>
          <cell r="E63" t="str">
            <v>Run: 01/13/00 10:16:47</v>
          </cell>
          <cell r="F63" t="str">
            <v>999</v>
          </cell>
          <cell r="G63" t="str">
            <v>100</v>
          </cell>
          <cell r="H63" t="str">
            <v xml:space="preserve">Bank Of America Management Reporting              </v>
          </cell>
          <cell r="I63" t="str">
            <v>001</v>
          </cell>
          <cell r="J63" t="str">
            <v>JG........</v>
          </cell>
          <cell r="K63" t="str">
            <v xml:space="preserve">Manufactured Housing                              </v>
          </cell>
          <cell r="L63" t="str">
            <v xml:space="preserve"> </v>
          </cell>
          <cell r="M63" t="str">
            <v xml:space="preserve"> </v>
          </cell>
          <cell r="N63" t="str">
            <v>bamgt</v>
          </cell>
          <cell r="O63" t="str">
            <v>01</v>
          </cell>
          <cell r="P63" t="str">
            <v>100000   100099A  130100   999999999999999999999999999999999999999999999</v>
          </cell>
          <cell r="Q63" t="str">
            <v xml:space="preserve">none     </v>
          </cell>
          <cell r="R63" t="str">
            <v>Final Profit Plan</v>
          </cell>
          <cell r="S63" t="str">
            <v>Final Profit Plan</v>
          </cell>
          <cell r="T63" t="str">
            <v xml:space="preserve"> </v>
          </cell>
          <cell r="U63" t="str">
            <v xml:space="preserve"> </v>
          </cell>
          <cell r="V63">
            <v>0</v>
          </cell>
          <cell r="W63">
            <v>-0.02</v>
          </cell>
          <cell r="X63">
            <v>0.02</v>
          </cell>
          <cell r="Y63">
            <v>0</v>
          </cell>
          <cell r="Z63" t="str">
            <v xml:space="preserve">     </v>
          </cell>
          <cell r="AA63" t="str">
            <v>130100</v>
          </cell>
          <cell r="AB63" t="str">
            <v>3</v>
          </cell>
          <cell r="AC63" t="str">
            <v>Commercial</v>
          </cell>
          <cell r="AD63">
            <v>4.4900000000000001E-3</v>
          </cell>
          <cell r="AE63">
            <v>-0.02</v>
          </cell>
          <cell r="AF63">
            <v>2.4490000000000001E-2</v>
          </cell>
          <cell r="AG63">
            <v>122.45</v>
          </cell>
          <cell r="AH63" t="str">
            <v xml:space="preserve">U.S. Dollar                   </v>
          </cell>
        </row>
        <row r="64">
          <cell r="A64" t="str">
            <v>JG........136999F</v>
          </cell>
          <cell r="B64" t="str">
            <v>1999T12</v>
          </cell>
          <cell r="C64" t="str">
            <v xml:space="preserve">M10      </v>
          </cell>
          <cell r="D64" t="str">
            <v xml:space="preserve">Monthly Actual vs Plan                            </v>
          </cell>
          <cell r="E64" t="str">
            <v>Run: 01/13/00 10:16:47</v>
          </cell>
          <cell r="F64" t="str">
            <v>999</v>
          </cell>
          <cell r="G64" t="str">
            <v>100</v>
          </cell>
          <cell r="H64" t="str">
            <v xml:space="preserve">Bank Of America Management Reporting              </v>
          </cell>
          <cell r="I64" t="str">
            <v>001</v>
          </cell>
          <cell r="J64" t="str">
            <v>JG........</v>
          </cell>
          <cell r="K64" t="str">
            <v xml:space="preserve">Manufactured Housing                              </v>
          </cell>
          <cell r="L64" t="str">
            <v xml:space="preserve"> </v>
          </cell>
          <cell r="M64" t="str">
            <v xml:space="preserve"> </v>
          </cell>
          <cell r="N64" t="str">
            <v>bamgt</v>
          </cell>
          <cell r="O64" t="str">
            <v>01</v>
          </cell>
          <cell r="P64" t="str">
            <v>100000   100099A  136999F  999999999999999999999999999999999999999999999</v>
          </cell>
          <cell r="Q64" t="str">
            <v xml:space="preserve">none     </v>
          </cell>
          <cell r="R64" t="str">
            <v>Final Profit Plan</v>
          </cell>
          <cell r="S64" t="str">
            <v>Final Profit Plan</v>
          </cell>
          <cell r="T64" t="str">
            <v xml:space="preserve"> </v>
          </cell>
          <cell r="U64" t="str">
            <v xml:space="preserve"> </v>
          </cell>
          <cell r="V64">
            <v>0</v>
          </cell>
          <cell r="W64">
            <v>0</v>
          </cell>
          <cell r="X64">
            <v>0</v>
          </cell>
          <cell r="Y64">
            <v>0</v>
          </cell>
          <cell r="Z64" t="str">
            <v xml:space="preserve">     </v>
          </cell>
          <cell r="AA64" t="str">
            <v>136999F</v>
          </cell>
          <cell r="AB64" t="str">
            <v>3</v>
          </cell>
          <cell r="AC64" t="str">
            <v>Foreign</v>
          </cell>
          <cell r="AD64">
            <v>0</v>
          </cell>
          <cell r="AE64">
            <v>0</v>
          </cell>
          <cell r="AF64">
            <v>0</v>
          </cell>
          <cell r="AG64">
            <v>0</v>
          </cell>
          <cell r="AH64" t="str">
            <v xml:space="preserve">U.S. Dollar                   </v>
          </cell>
        </row>
        <row r="65">
          <cell r="A65" t="str">
            <v>JG........100099A</v>
          </cell>
          <cell r="B65" t="str">
            <v>1999T12</v>
          </cell>
          <cell r="C65" t="str">
            <v xml:space="preserve">M10      </v>
          </cell>
          <cell r="D65" t="str">
            <v xml:space="preserve">Monthly Actual vs Plan                            </v>
          </cell>
          <cell r="E65" t="str">
            <v>Run: 01/13/00 10:16:47</v>
          </cell>
          <cell r="F65" t="str">
            <v>999</v>
          </cell>
          <cell r="G65" t="str">
            <v>100</v>
          </cell>
          <cell r="H65" t="str">
            <v xml:space="preserve">Bank Of America Management Reporting              </v>
          </cell>
          <cell r="I65" t="str">
            <v>001</v>
          </cell>
          <cell r="J65" t="str">
            <v>JG........</v>
          </cell>
          <cell r="K65" t="str">
            <v xml:space="preserve">Manufactured Housing                              </v>
          </cell>
          <cell r="L65" t="str">
            <v xml:space="preserve"> </v>
          </cell>
          <cell r="M65" t="str">
            <v xml:space="preserve"> </v>
          </cell>
          <cell r="N65" t="str">
            <v>bamgt</v>
          </cell>
          <cell r="O65" t="str">
            <v>01</v>
          </cell>
          <cell r="P65" t="str">
            <v>100000   100099A  999999999999999999999999999999999999999999999999999999</v>
          </cell>
          <cell r="Q65" t="str">
            <v xml:space="preserve">none     </v>
          </cell>
          <cell r="R65" t="str">
            <v>Final Profit Plan</v>
          </cell>
          <cell r="S65" t="str">
            <v>Final Profit Plan</v>
          </cell>
          <cell r="T65" t="str">
            <v xml:space="preserve"> </v>
          </cell>
          <cell r="U65" t="str">
            <v xml:space="preserve"> </v>
          </cell>
          <cell r="V65">
            <v>6573940.0696299998</v>
          </cell>
          <cell r="W65">
            <v>6339914.9800000004</v>
          </cell>
          <cell r="X65">
            <v>234025.08963</v>
          </cell>
          <cell r="Y65">
            <v>-85608.116609999997</v>
          </cell>
          <cell r="Z65" t="str">
            <v xml:space="preserve">     </v>
          </cell>
          <cell r="AA65" t="str">
            <v>100099A</v>
          </cell>
          <cell r="AB65" t="str">
            <v>2</v>
          </cell>
          <cell r="AC65" t="str">
            <v>Total Loans &amp; Leases</v>
          </cell>
          <cell r="AD65">
            <v>7108570.1264599999</v>
          </cell>
          <cell r="AE65">
            <v>6887214.5252</v>
          </cell>
          <cell r="AF65">
            <v>221355.60126</v>
          </cell>
          <cell r="AG65">
            <v>3.2140076434394498</v>
          </cell>
          <cell r="AH65" t="str">
            <v xml:space="preserve">U.S. Dollar                   </v>
          </cell>
        </row>
        <row r="66">
          <cell r="A66" t="str">
            <v>JG........EARN-B</v>
          </cell>
          <cell r="B66" t="str">
            <v>1999T12</v>
          </cell>
          <cell r="C66" t="str">
            <v xml:space="preserve">M10      </v>
          </cell>
          <cell r="D66" t="str">
            <v xml:space="preserve">Monthly Actual vs Plan                            </v>
          </cell>
          <cell r="E66" t="str">
            <v>Run: 01/13/00 10:16:47</v>
          </cell>
          <cell r="F66" t="str">
            <v>999</v>
          </cell>
          <cell r="G66" t="str">
            <v>100</v>
          </cell>
          <cell r="H66" t="str">
            <v xml:space="preserve">Bank Of America Management Reporting              </v>
          </cell>
          <cell r="I66" t="str">
            <v>001</v>
          </cell>
          <cell r="J66" t="str">
            <v>JG........</v>
          </cell>
          <cell r="K66" t="str">
            <v xml:space="preserve">Manufactured Housing                              </v>
          </cell>
          <cell r="L66" t="str">
            <v xml:space="preserve"> </v>
          </cell>
          <cell r="M66" t="str">
            <v xml:space="preserve"> </v>
          </cell>
          <cell r="N66" t="str">
            <v>bamgt</v>
          </cell>
          <cell r="O66" t="str">
            <v>01</v>
          </cell>
          <cell r="P66" t="str">
            <v xml:space="preserve">100000   128999C 9999999999EARN-B                                       </v>
          </cell>
          <cell r="Q66" t="str">
            <v xml:space="preserve">none     </v>
          </cell>
          <cell r="R66" t="str">
            <v>Final Profit Plan</v>
          </cell>
          <cell r="S66" t="str">
            <v>Final Profit Plan</v>
          </cell>
          <cell r="T66" t="str">
            <v xml:space="preserve"> </v>
          </cell>
          <cell r="U66" t="str">
            <v xml:space="preserve"> </v>
          </cell>
          <cell r="V66">
            <v>6573940.0696299998</v>
          </cell>
          <cell r="W66">
            <v>6339914.9800000004</v>
          </cell>
          <cell r="X66">
            <v>234025.08963</v>
          </cell>
          <cell r="Y66">
            <v>-85608.116609999997</v>
          </cell>
          <cell r="Z66" t="str">
            <v xml:space="preserve">     </v>
          </cell>
          <cell r="AA66" t="str">
            <v>EARN-B</v>
          </cell>
          <cell r="AB66" t="str">
            <v>0</v>
          </cell>
          <cell r="AC66" t="str">
            <v>Total Earning Assets</v>
          </cell>
          <cell r="AD66">
            <v>7108570.1264599999</v>
          </cell>
          <cell r="AE66">
            <v>6887214.5252</v>
          </cell>
          <cell r="AF66">
            <v>221355.60126</v>
          </cell>
          <cell r="AG66">
            <v>3.2140076434394498</v>
          </cell>
          <cell r="AH66" t="str">
            <v xml:space="preserve">U.S. Dollar                   </v>
          </cell>
        </row>
        <row r="67">
          <cell r="A67" t="str">
            <v>JG........INTLIAB-B</v>
          </cell>
          <cell r="B67" t="str">
            <v>1999T12</v>
          </cell>
          <cell r="C67" t="str">
            <v xml:space="preserve">M10      </v>
          </cell>
          <cell r="D67" t="str">
            <v xml:space="preserve">Monthly Actual vs Plan                            </v>
          </cell>
          <cell r="E67" t="str">
            <v>Run: 01/13/00 10:16:47</v>
          </cell>
          <cell r="F67" t="str">
            <v>999</v>
          </cell>
          <cell r="G67" t="str">
            <v>100</v>
          </cell>
          <cell r="H67" t="str">
            <v xml:space="preserve">Bank Of America Management Reporting              </v>
          </cell>
          <cell r="I67" t="str">
            <v>001</v>
          </cell>
          <cell r="J67" t="str">
            <v>JG........</v>
          </cell>
          <cell r="K67" t="str">
            <v xml:space="preserve">Manufactured Housing                              </v>
          </cell>
          <cell r="L67" t="str">
            <v xml:space="preserve"> </v>
          </cell>
          <cell r="M67" t="str">
            <v xml:space="preserve"> </v>
          </cell>
          <cell r="N67" t="str">
            <v>bamgt</v>
          </cell>
          <cell r="O67" t="str">
            <v>05</v>
          </cell>
          <cell r="P67" t="str">
            <v xml:space="preserve">200000   239999B   9999999999258000INTLIAB-B                            </v>
          </cell>
          <cell r="Q67" t="str">
            <v xml:space="preserve">none     </v>
          </cell>
          <cell r="R67" t="str">
            <v>Final Profit Plan</v>
          </cell>
          <cell r="S67" t="str">
            <v>Final Profit Plan</v>
          </cell>
          <cell r="T67" t="str">
            <v xml:space="preserve"> </v>
          </cell>
          <cell r="U67" t="str">
            <v xml:space="preserve"> </v>
          </cell>
          <cell r="V67">
            <v>2026.9677899999999</v>
          </cell>
          <cell r="W67">
            <v>2768.02</v>
          </cell>
          <cell r="X67">
            <v>-741.05220999999995</v>
          </cell>
          <cell r="Y67">
            <v>15.29693</v>
          </cell>
          <cell r="Z67" t="str">
            <v xml:space="preserve">     </v>
          </cell>
          <cell r="AA67" t="str">
            <v>INTLIAB-B</v>
          </cell>
          <cell r="AB67" t="str">
            <v>0</v>
          </cell>
          <cell r="AC67" t="str">
            <v>Total Interest Bearing Liabilities</v>
          </cell>
          <cell r="AD67">
            <v>2367.4410400000002</v>
          </cell>
          <cell r="AE67">
            <v>2768.4092599999999</v>
          </cell>
          <cell r="AF67">
            <v>-400.96821999999997</v>
          </cell>
          <cell r="AG67">
            <v>-14.483704623932701</v>
          </cell>
          <cell r="AH67" t="str">
            <v xml:space="preserve">U.S. Dollar                   </v>
          </cell>
        </row>
        <row r="68">
          <cell r="A68" t="str">
            <v>JG........TOTDEP-B</v>
          </cell>
          <cell r="B68" t="str">
            <v>1999T12</v>
          </cell>
          <cell r="C68" t="str">
            <v xml:space="preserve">M10      </v>
          </cell>
          <cell r="D68" t="str">
            <v xml:space="preserve">Monthly Actual vs Plan                            </v>
          </cell>
          <cell r="E68" t="str">
            <v>Run: 01/13/00 10:16:47</v>
          </cell>
          <cell r="F68" t="str">
            <v>999</v>
          </cell>
          <cell r="G68" t="str">
            <v>100</v>
          </cell>
          <cell r="H68" t="str">
            <v xml:space="preserve">Bank Of America Management Reporting              </v>
          </cell>
          <cell r="I68" t="str">
            <v>001</v>
          </cell>
          <cell r="J68" t="str">
            <v>JG........</v>
          </cell>
          <cell r="K68" t="str">
            <v xml:space="preserve">Manufactured Housing                              </v>
          </cell>
          <cell r="L68" t="str">
            <v xml:space="preserve"> </v>
          </cell>
          <cell r="M68" t="str">
            <v xml:space="preserve"> </v>
          </cell>
          <cell r="N68" t="str">
            <v>bamgt</v>
          </cell>
          <cell r="O68" t="str">
            <v>05</v>
          </cell>
          <cell r="P68" t="str">
            <v xml:space="preserve">200000TOTDEP-B                                                          </v>
          </cell>
          <cell r="Q68" t="str">
            <v xml:space="preserve">none     </v>
          </cell>
          <cell r="R68" t="str">
            <v>Final Profit Plan</v>
          </cell>
          <cell r="S68" t="str">
            <v>Final Profit Plan</v>
          </cell>
          <cell r="T68" t="str">
            <v xml:space="preserve"> </v>
          </cell>
          <cell r="U68" t="str">
            <v xml:space="preserve"> </v>
          </cell>
          <cell r="V68">
            <v>2325.9748500000001</v>
          </cell>
          <cell r="W68">
            <v>87850.76</v>
          </cell>
          <cell r="X68">
            <v>-85524.785149999996</v>
          </cell>
          <cell r="Y68">
            <v>16.28396</v>
          </cell>
          <cell r="Z68" t="str">
            <v xml:space="preserve">     </v>
          </cell>
          <cell r="AA68" t="str">
            <v>TOTDEP-B</v>
          </cell>
          <cell r="AB68" t="str">
            <v>0</v>
          </cell>
          <cell r="AC68" t="str">
            <v>Total Deposits</v>
          </cell>
          <cell r="AD68">
            <v>2693.45748</v>
          </cell>
          <cell r="AE68">
            <v>87851.149260000006</v>
          </cell>
          <cell r="AF68">
            <v>-85157.691779999994</v>
          </cell>
          <cell r="AG68">
            <v>-96.934066881665302</v>
          </cell>
          <cell r="AH68" t="str">
            <v xml:space="preserve">U.S. Dollar                   </v>
          </cell>
        </row>
        <row r="69">
          <cell r="A69" t="str">
            <v>JG........300000</v>
          </cell>
          <cell r="B69" t="str">
            <v>1999T12</v>
          </cell>
          <cell r="C69" t="str">
            <v xml:space="preserve">M10      </v>
          </cell>
          <cell r="D69" t="str">
            <v xml:space="preserve">Monthly Actual vs Plan                            </v>
          </cell>
          <cell r="E69" t="str">
            <v>Run: 01/13/00 10:16:47</v>
          </cell>
          <cell r="F69" t="str">
            <v>999</v>
          </cell>
          <cell r="G69" t="str">
            <v>100</v>
          </cell>
          <cell r="H69" t="str">
            <v xml:space="preserve">Bank Of America Management Reporting              </v>
          </cell>
          <cell r="I69" t="str">
            <v>001</v>
          </cell>
          <cell r="J69" t="str">
            <v>JG........</v>
          </cell>
          <cell r="K69" t="str">
            <v xml:space="preserve">Manufactured Housing                              </v>
          </cell>
          <cell r="L69" t="str">
            <v xml:space="preserve"> </v>
          </cell>
          <cell r="M69" t="str">
            <v xml:space="preserve"> </v>
          </cell>
          <cell r="N69" t="str">
            <v>bamgt</v>
          </cell>
          <cell r="O69" t="str">
            <v>20</v>
          </cell>
          <cell r="P69" t="str">
            <v>300000   999999999999999999999999999999999999999999999999999999999999999</v>
          </cell>
          <cell r="Q69" t="str">
            <v xml:space="preserve">none     </v>
          </cell>
          <cell r="R69" t="str">
            <v>Final Profit Plan</v>
          </cell>
          <cell r="S69" t="str">
            <v>Final Profit Plan</v>
          </cell>
          <cell r="T69" t="str">
            <v xml:space="preserve"> </v>
          </cell>
          <cell r="U69" t="str">
            <v xml:space="preserve"> </v>
          </cell>
          <cell r="V69">
            <v>46002.768669999998</v>
          </cell>
          <cell r="W69">
            <v>44130.424879999999</v>
          </cell>
          <cell r="X69">
            <v>1872.3437899999999</v>
          </cell>
          <cell r="Y69">
            <v>-69.949839999999995</v>
          </cell>
          <cell r="Z69" t="str">
            <v xml:space="preserve">     </v>
          </cell>
          <cell r="AA69" t="str">
            <v>300000</v>
          </cell>
          <cell r="AB69" t="str">
            <v>1</v>
          </cell>
          <cell r="AC69" t="str">
            <v>Interest Income On Assets</v>
          </cell>
          <cell r="AD69">
            <v>608087.49129000003</v>
          </cell>
          <cell r="AE69">
            <v>568442.71484999999</v>
          </cell>
          <cell r="AF69">
            <v>39644.776440000001</v>
          </cell>
          <cell r="AG69">
            <v>6.9742782173682096</v>
          </cell>
          <cell r="AH69" t="str">
            <v xml:space="preserve">U.S. Dollar                   </v>
          </cell>
        </row>
        <row r="70">
          <cell r="A70" t="str">
            <v>JG........400000</v>
          </cell>
          <cell r="B70" t="str">
            <v>1999T12</v>
          </cell>
          <cell r="C70" t="str">
            <v xml:space="preserve">M10      </v>
          </cell>
          <cell r="D70" t="str">
            <v xml:space="preserve">Monthly Actual vs Plan                            </v>
          </cell>
          <cell r="E70" t="str">
            <v>Run: 01/13/00 10:16:47</v>
          </cell>
          <cell r="F70" t="str">
            <v>999</v>
          </cell>
          <cell r="G70" t="str">
            <v>100</v>
          </cell>
          <cell r="H70" t="str">
            <v xml:space="preserve">Bank Of America Management Reporting              </v>
          </cell>
          <cell r="I70" t="str">
            <v>001</v>
          </cell>
          <cell r="J70" t="str">
            <v>JG........</v>
          </cell>
          <cell r="K70" t="str">
            <v xml:space="preserve">Manufactured Housing                              </v>
          </cell>
          <cell r="L70" t="str">
            <v xml:space="preserve"> </v>
          </cell>
          <cell r="M70" t="str">
            <v xml:space="preserve"> </v>
          </cell>
          <cell r="N70" t="str">
            <v>bamgt</v>
          </cell>
          <cell r="O70" t="str">
            <v>25</v>
          </cell>
          <cell r="P70" t="str">
            <v>400000   999999999999999999999999999999999999999999999999999999999999999</v>
          </cell>
          <cell r="Q70" t="str">
            <v xml:space="preserve">none     </v>
          </cell>
          <cell r="R70" t="str">
            <v>Final Profit Plan</v>
          </cell>
          <cell r="S70" t="str">
            <v>Final Profit Plan</v>
          </cell>
          <cell r="T70" t="str">
            <v xml:space="preserve"> </v>
          </cell>
          <cell r="U70" t="str">
            <v xml:space="preserve"> </v>
          </cell>
          <cell r="V70">
            <v>1422.50504</v>
          </cell>
          <cell r="W70">
            <v>4.2128899999999998</v>
          </cell>
          <cell r="X70">
            <v>-1418.29215</v>
          </cell>
          <cell r="Y70">
            <v>-91.688249999999996</v>
          </cell>
          <cell r="Z70" t="str">
            <v xml:space="preserve">     </v>
          </cell>
          <cell r="AA70" t="str">
            <v>400000</v>
          </cell>
          <cell r="AB70" t="str">
            <v>1</v>
          </cell>
          <cell r="AC70" t="str">
            <v>Interest Expense On Liabilities</v>
          </cell>
          <cell r="AD70">
            <v>17107.550459999999</v>
          </cell>
          <cell r="AE70">
            <v>53.947609999999997</v>
          </cell>
          <cell r="AF70">
            <v>-17053.602849999999</v>
          </cell>
          <cell r="AG70">
            <v>-31611.414944980901</v>
          </cell>
          <cell r="AH70" t="str">
            <v xml:space="preserve">U.S. Dollar                   </v>
          </cell>
        </row>
        <row r="71">
          <cell r="A71" t="str">
            <v>JG........510000</v>
          </cell>
          <cell r="B71" t="str">
            <v>1999T12</v>
          </cell>
          <cell r="C71" t="str">
            <v xml:space="preserve">M10      </v>
          </cell>
          <cell r="D71" t="str">
            <v xml:space="preserve">Monthly Actual vs Plan                            </v>
          </cell>
          <cell r="E71" t="str">
            <v>Run: 01/13/00 10:16:47</v>
          </cell>
          <cell r="F71" t="str">
            <v>999</v>
          </cell>
          <cell r="G71" t="str">
            <v>100</v>
          </cell>
          <cell r="H71" t="str">
            <v xml:space="preserve">Bank Of America Management Reporting              </v>
          </cell>
          <cell r="I71" t="str">
            <v>001</v>
          </cell>
          <cell r="J71" t="str">
            <v>JG........</v>
          </cell>
          <cell r="K71" t="str">
            <v xml:space="preserve">Manufactured Housing                              </v>
          </cell>
          <cell r="L71" t="str">
            <v xml:space="preserve"> </v>
          </cell>
          <cell r="M71" t="str">
            <v xml:space="preserve"> </v>
          </cell>
          <cell r="N71" t="str">
            <v>bamgt</v>
          </cell>
          <cell r="O71" t="str">
            <v>35</v>
          </cell>
          <cell r="P71" t="str">
            <v>500099A  510000   999999999999999999999999999999999999999999999999999999</v>
          </cell>
          <cell r="Q71" t="str">
            <v xml:space="preserve">none     </v>
          </cell>
          <cell r="R71" t="str">
            <v>Final Profit Plan</v>
          </cell>
          <cell r="S71" t="str">
            <v>Final Profit Plan</v>
          </cell>
          <cell r="T71" t="str">
            <v xml:space="preserve"> </v>
          </cell>
          <cell r="U71" t="str">
            <v xml:space="preserve"> </v>
          </cell>
          <cell r="V71">
            <v>1.295E-2</v>
          </cell>
          <cell r="W71">
            <v>0</v>
          </cell>
          <cell r="X71">
            <v>1.295E-2</v>
          </cell>
          <cell r="Y71">
            <v>9.9500000000000005E-3</v>
          </cell>
          <cell r="Z71" t="str">
            <v xml:space="preserve">     </v>
          </cell>
          <cell r="AA71" t="str">
            <v>510000</v>
          </cell>
          <cell r="AB71" t="str">
            <v>2</v>
          </cell>
          <cell r="AC71" t="str">
            <v>Service Charges On Deposit Accounts</v>
          </cell>
          <cell r="AD71">
            <v>-0.2228</v>
          </cell>
          <cell r="AE71">
            <v>0</v>
          </cell>
          <cell r="AF71">
            <v>-0.2228</v>
          </cell>
          <cell r="AG71">
            <v>0</v>
          </cell>
          <cell r="AH71" t="str">
            <v xml:space="preserve">U.S. Dollar                   </v>
          </cell>
        </row>
        <row r="72">
          <cell r="A72" t="str">
            <v>JG........560200A</v>
          </cell>
          <cell r="B72" t="str">
            <v>1999T12</v>
          </cell>
          <cell r="C72" t="str">
            <v xml:space="preserve">M10      </v>
          </cell>
          <cell r="D72" t="str">
            <v xml:space="preserve">Monthly Actual vs Plan                            </v>
          </cell>
          <cell r="E72" t="str">
            <v>Run: 01/13/00 10:16:47</v>
          </cell>
          <cell r="F72" t="str">
            <v>999</v>
          </cell>
          <cell r="G72" t="str">
            <v>100</v>
          </cell>
          <cell r="H72" t="str">
            <v xml:space="preserve">Bank Of America Management Reporting              </v>
          </cell>
          <cell r="I72" t="str">
            <v>001</v>
          </cell>
          <cell r="J72" t="str">
            <v>JG........</v>
          </cell>
          <cell r="K72" t="str">
            <v xml:space="preserve">Manufactured Housing                              </v>
          </cell>
          <cell r="L72" t="str">
            <v xml:space="preserve"> </v>
          </cell>
          <cell r="M72" t="str">
            <v xml:space="preserve"> </v>
          </cell>
          <cell r="N72" t="str">
            <v>bamgt</v>
          </cell>
          <cell r="O72" t="str">
            <v>35</v>
          </cell>
          <cell r="P72" t="str">
            <v>500099A  557900   560200A  999999999999999999999999999999999999999999999</v>
          </cell>
          <cell r="Q72" t="str">
            <v xml:space="preserve">none     </v>
          </cell>
          <cell r="R72" t="str">
            <v>Final Profit Plan</v>
          </cell>
          <cell r="S72" t="str">
            <v>Final Profit Plan</v>
          </cell>
          <cell r="T72" t="str">
            <v xml:space="preserve"> </v>
          </cell>
          <cell r="U72" t="str">
            <v xml:space="preserve"> </v>
          </cell>
          <cell r="V72">
            <v>0</v>
          </cell>
          <cell r="W72">
            <v>0</v>
          </cell>
          <cell r="X72">
            <v>0</v>
          </cell>
          <cell r="Y72">
            <v>0</v>
          </cell>
          <cell r="Z72" t="str">
            <v xml:space="preserve">     </v>
          </cell>
          <cell r="AA72" t="str">
            <v>560200A</v>
          </cell>
          <cell r="AB72" t="str">
            <v>3</v>
          </cell>
          <cell r="AC72" t="str">
            <v>Gains &amp; Losses</v>
          </cell>
          <cell r="AD72">
            <v>7.4079800000000002</v>
          </cell>
          <cell r="AE72">
            <v>0</v>
          </cell>
          <cell r="AF72">
            <v>7.4079800000000002</v>
          </cell>
          <cell r="AG72">
            <v>0</v>
          </cell>
          <cell r="AH72" t="str">
            <v xml:space="preserve">U.S. Dollar                   </v>
          </cell>
        </row>
        <row r="73">
          <cell r="A73" t="str">
            <v>JG........500099A</v>
          </cell>
          <cell r="B73" t="str">
            <v>1999T12</v>
          </cell>
          <cell r="C73" t="str">
            <v xml:space="preserve">M10      </v>
          </cell>
          <cell r="D73" t="str">
            <v xml:space="preserve">Monthly Actual vs Plan                            </v>
          </cell>
          <cell r="E73" t="str">
            <v>Run: 01/13/00 10:16:47</v>
          </cell>
          <cell r="F73" t="str">
            <v>999</v>
          </cell>
          <cell r="G73" t="str">
            <v>100</v>
          </cell>
          <cell r="H73" t="str">
            <v xml:space="preserve">Bank Of America Management Reporting              </v>
          </cell>
          <cell r="I73" t="str">
            <v>001</v>
          </cell>
          <cell r="J73" t="str">
            <v>JG........</v>
          </cell>
          <cell r="K73" t="str">
            <v xml:space="preserve">Manufactured Housing                              </v>
          </cell>
          <cell r="L73" t="str">
            <v xml:space="preserve"> </v>
          </cell>
          <cell r="M73" t="str">
            <v xml:space="preserve"> </v>
          </cell>
          <cell r="N73" t="str">
            <v>bamgt</v>
          </cell>
          <cell r="O73" t="str">
            <v>35</v>
          </cell>
          <cell r="P73" t="str">
            <v>500099A  999999999999999999999999999999999999999999999999999999999999999</v>
          </cell>
          <cell r="Q73" t="str">
            <v xml:space="preserve">none     </v>
          </cell>
          <cell r="R73" t="str">
            <v>Final Profit Plan</v>
          </cell>
          <cell r="S73" t="str">
            <v>Final Profit Plan</v>
          </cell>
          <cell r="T73" t="str">
            <v xml:space="preserve"> </v>
          </cell>
          <cell r="U73" t="str">
            <v xml:space="preserve"> </v>
          </cell>
          <cell r="V73">
            <v>2888.1717100000001</v>
          </cell>
          <cell r="W73">
            <v>116.18</v>
          </cell>
          <cell r="X73">
            <v>2771.9917099999998</v>
          </cell>
          <cell r="Y73">
            <v>2148.6563799999999</v>
          </cell>
          <cell r="Z73" t="str">
            <v xml:space="preserve">     </v>
          </cell>
          <cell r="AA73" t="str">
            <v>500099A</v>
          </cell>
          <cell r="AB73" t="str">
            <v>1</v>
          </cell>
          <cell r="AC73" t="str">
            <v>Total Non-Interest Income</v>
          </cell>
          <cell r="AD73">
            <v>-21016.99526</v>
          </cell>
          <cell r="AE73">
            <v>1952.68</v>
          </cell>
          <cell r="AF73">
            <v>-22969.67526</v>
          </cell>
          <cell r="AG73">
            <v>-1176.3153850093199</v>
          </cell>
          <cell r="AH73" t="str">
            <v xml:space="preserve">U.S. Dollar                   </v>
          </cell>
        </row>
        <row r="74">
          <cell r="A74" t="str">
            <v>JG........599999C</v>
          </cell>
          <cell r="B74" t="str">
            <v>1999T12</v>
          </cell>
          <cell r="C74" t="str">
            <v xml:space="preserve">M10      </v>
          </cell>
          <cell r="D74" t="str">
            <v xml:space="preserve">Monthly Actual vs Plan                            </v>
          </cell>
          <cell r="E74" t="str">
            <v>Run: 01/13/00 10:16:47</v>
          </cell>
          <cell r="F74" t="str">
            <v>999</v>
          </cell>
          <cell r="G74" t="str">
            <v>100</v>
          </cell>
          <cell r="H74" t="str">
            <v xml:space="preserve">Bank Of America Management Reporting              </v>
          </cell>
          <cell r="I74" t="str">
            <v>001</v>
          </cell>
          <cell r="J74" t="str">
            <v>JG........</v>
          </cell>
          <cell r="K74" t="str">
            <v xml:space="preserve">Manufactured Housing                              </v>
          </cell>
          <cell r="L74" t="str">
            <v xml:space="preserve"> </v>
          </cell>
          <cell r="M74" t="str">
            <v xml:space="preserve"> </v>
          </cell>
          <cell r="N74" t="str">
            <v>bamgt</v>
          </cell>
          <cell r="O74" t="str">
            <v>30</v>
          </cell>
          <cell r="P74" t="str">
            <v>599999B  599999C  999999999999999999999999999999999999999999999999999999</v>
          </cell>
          <cell r="Q74" t="str">
            <v xml:space="preserve">none     </v>
          </cell>
          <cell r="R74" t="str">
            <v>Final Profit Plan</v>
          </cell>
          <cell r="S74" t="str">
            <v>Final Profit Plan</v>
          </cell>
          <cell r="T74" t="str">
            <v xml:space="preserve"> </v>
          </cell>
          <cell r="U74" t="str">
            <v xml:space="preserve"> </v>
          </cell>
          <cell r="V74">
            <v>8356.2835899999991</v>
          </cell>
          <cell r="W74">
            <v>7658.6545999999998</v>
          </cell>
          <cell r="X74">
            <v>-697.62899000000004</v>
          </cell>
          <cell r="Y74">
            <v>3891.8212400000002</v>
          </cell>
          <cell r="Z74" t="str">
            <v xml:space="preserve">     </v>
          </cell>
          <cell r="AA74" t="str">
            <v>599999C</v>
          </cell>
          <cell r="AB74" t="str">
            <v>2</v>
          </cell>
          <cell r="AC74" t="str">
            <v>Provision For Credit Losses - Direct</v>
          </cell>
          <cell r="AD74">
            <v>62286.015850000003</v>
          </cell>
          <cell r="AE74">
            <v>79083.048800000004</v>
          </cell>
          <cell r="AF74">
            <v>16797.032950000001</v>
          </cell>
          <cell r="AG74">
            <v>21.2397387365268</v>
          </cell>
          <cell r="AH74" t="str">
            <v xml:space="preserve">U.S. Dollar                   </v>
          </cell>
        </row>
        <row r="75">
          <cell r="A75" t="str">
            <v>JG........600250</v>
          </cell>
          <cell r="B75" t="str">
            <v>1999T12</v>
          </cell>
          <cell r="C75" t="str">
            <v xml:space="preserve">M10      </v>
          </cell>
          <cell r="D75" t="str">
            <v xml:space="preserve">Monthly Actual vs Plan                            </v>
          </cell>
          <cell r="E75" t="str">
            <v>Run: 01/13/00 10:16:47</v>
          </cell>
          <cell r="F75" t="str">
            <v>999</v>
          </cell>
          <cell r="G75" t="str">
            <v>100</v>
          </cell>
          <cell r="H75" t="str">
            <v xml:space="preserve">Bank Of America Management Reporting              </v>
          </cell>
          <cell r="I75" t="str">
            <v>001</v>
          </cell>
          <cell r="J75" t="str">
            <v>JG........</v>
          </cell>
          <cell r="K75" t="str">
            <v xml:space="preserve">Manufactured Housing                              </v>
          </cell>
          <cell r="L75" t="str">
            <v xml:space="preserve"> </v>
          </cell>
          <cell r="M75" t="str">
            <v xml:space="preserve"> </v>
          </cell>
          <cell r="N75" t="str">
            <v>bamgt</v>
          </cell>
          <cell r="O75" t="str">
            <v>40</v>
          </cell>
          <cell r="P75" t="str">
            <v>600000A  600250   999999999999999999999999999999999999999999999999999999</v>
          </cell>
          <cell r="Q75" t="str">
            <v xml:space="preserve">none     </v>
          </cell>
          <cell r="R75" t="str">
            <v>Final Profit Plan</v>
          </cell>
          <cell r="S75" t="str">
            <v>Final Profit Plan</v>
          </cell>
          <cell r="T75" t="str">
            <v xml:space="preserve"> </v>
          </cell>
          <cell r="U75" t="str">
            <v xml:space="preserve"> </v>
          </cell>
          <cell r="V75">
            <v>1958.4604899999999</v>
          </cell>
          <cell r="W75">
            <v>49.98</v>
          </cell>
          <cell r="X75">
            <v>-1908.4804899999999</v>
          </cell>
          <cell r="Y75">
            <v>-1949.4965</v>
          </cell>
          <cell r="Z75" t="str">
            <v xml:space="preserve">     </v>
          </cell>
          <cell r="AA75" t="str">
            <v>600250</v>
          </cell>
          <cell r="AB75" t="str">
            <v>2</v>
          </cell>
          <cell r="AC75" t="str">
            <v>Personnel</v>
          </cell>
          <cell r="AD75">
            <v>1241.7994000000001</v>
          </cell>
          <cell r="AE75">
            <v>598.76</v>
          </cell>
          <cell r="AF75">
            <v>-643.0394</v>
          </cell>
          <cell r="AG75">
            <v>-107.39518337898301</v>
          </cell>
          <cell r="AH75" t="str">
            <v xml:space="preserve">U.S. Dollar                   </v>
          </cell>
        </row>
        <row r="76">
          <cell r="A76" t="str">
            <v>JG........610000</v>
          </cell>
          <cell r="B76" t="str">
            <v>1999T12</v>
          </cell>
          <cell r="C76" t="str">
            <v xml:space="preserve">M10      </v>
          </cell>
          <cell r="D76" t="str">
            <v xml:space="preserve">Monthly Actual vs Plan                            </v>
          </cell>
          <cell r="E76" t="str">
            <v>Run: 01/13/00 10:16:47</v>
          </cell>
          <cell r="F76" t="str">
            <v>999</v>
          </cell>
          <cell r="G76" t="str">
            <v>100</v>
          </cell>
          <cell r="H76" t="str">
            <v xml:space="preserve">Bank Of America Management Reporting              </v>
          </cell>
          <cell r="I76" t="str">
            <v>001</v>
          </cell>
          <cell r="J76" t="str">
            <v>JG........</v>
          </cell>
          <cell r="K76" t="str">
            <v xml:space="preserve">Manufactured Housing                              </v>
          </cell>
          <cell r="L76" t="str">
            <v xml:space="preserve"> </v>
          </cell>
          <cell r="M76" t="str">
            <v xml:space="preserve"> </v>
          </cell>
          <cell r="N76" t="str">
            <v>bamgt</v>
          </cell>
          <cell r="O76" t="str">
            <v>40</v>
          </cell>
          <cell r="P76" t="str">
            <v>600000A  610000   999999999999999999999999999999999999999999999999999999</v>
          </cell>
          <cell r="Q76" t="str">
            <v xml:space="preserve">none     </v>
          </cell>
          <cell r="R76" t="str">
            <v>Final Profit Plan</v>
          </cell>
          <cell r="S76" t="str">
            <v>Final Profit Plan</v>
          </cell>
          <cell r="T76" t="str">
            <v xml:space="preserve"> </v>
          </cell>
          <cell r="U76" t="str">
            <v xml:space="preserve"> </v>
          </cell>
          <cell r="V76">
            <v>-9.0685800000000008</v>
          </cell>
          <cell r="W76">
            <v>0</v>
          </cell>
          <cell r="X76">
            <v>9.0685800000000008</v>
          </cell>
          <cell r="Y76">
            <v>36.38888</v>
          </cell>
          <cell r="Z76" t="str">
            <v xml:space="preserve">     </v>
          </cell>
          <cell r="AA76" t="str">
            <v>610000</v>
          </cell>
          <cell r="AB76" t="str">
            <v>2</v>
          </cell>
          <cell r="AC76" t="str">
            <v>Net Occupancy</v>
          </cell>
          <cell r="AD76">
            <v>45.786050000000003</v>
          </cell>
          <cell r="AE76">
            <v>4</v>
          </cell>
          <cell r="AF76">
            <v>-41.786050000000003</v>
          </cell>
          <cell r="AG76">
            <v>-1044.6512499999999</v>
          </cell>
          <cell r="AH76" t="str">
            <v xml:space="preserve">U.S. Dollar                   </v>
          </cell>
        </row>
        <row r="77">
          <cell r="A77" t="str">
            <v>JG........620000</v>
          </cell>
          <cell r="B77" t="str">
            <v>1999T12</v>
          </cell>
          <cell r="C77" t="str">
            <v xml:space="preserve">M10      </v>
          </cell>
          <cell r="D77" t="str">
            <v xml:space="preserve">Monthly Actual vs Plan                            </v>
          </cell>
          <cell r="E77" t="str">
            <v>Run: 01/13/00 10:16:47</v>
          </cell>
          <cell r="F77" t="str">
            <v>999</v>
          </cell>
          <cell r="G77" t="str">
            <v>100</v>
          </cell>
          <cell r="H77" t="str">
            <v xml:space="preserve">Bank Of America Management Reporting              </v>
          </cell>
          <cell r="I77" t="str">
            <v>001</v>
          </cell>
          <cell r="J77" t="str">
            <v>JG........</v>
          </cell>
          <cell r="K77" t="str">
            <v xml:space="preserve">Manufactured Housing                              </v>
          </cell>
          <cell r="L77" t="str">
            <v xml:space="preserve"> </v>
          </cell>
          <cell r="M77" t="str">
            <v xml:space="preserve"> </v>
          </cell>
          <cell r="N77" t="str">
            <v>bamgt</v>
          </cell>
          <cell r="O77" t="str">
            <v>40</v>
          </cell>
          <cell r="P77" t="str">
            <v>600000A  620000   999999999999999999999999999999999999999999999999999999</v>
          </cell>
          <cell r="Q77" t="str">
            <v xml:space="preserve">none     </v>
          </cell>
          <cell r="R77" t="str">
            <v>Final Profit Plan</v>
          </cell>
          <cell r="S77" t="str">
            <v>Final Profit Plan</v>
          </cell>
          <cell r="T77" t="str">
            <v xml:space="preserve"> </v>
          </cell>
          <cell r="U77" t="str">
            <v xml:space="preserve"> </v>
          </cell>
          <cell r="V77">
            <v>8.4920799999999996</v>
          </cell>
          <cell r="W77">
            <v>3.63</v>
          </cell>
          <cell r="X77">
            <v>-4.8620799999999997</v>
          </cell>
          <cell r="Y77">
            <v>-1.03775</v>
          </cell>
          <cell r="Z77" t="str">
            <v xml:space="preserve">     </v>
          </cell>
          <cell r="AA77" t="str">
            <v>620000</v>
          </cell>
          <cell r="AB77" t="str">
            <v>2</v>
          </cell>
          <cell r="AC77" t="str">
            <v>Furniture &amp; Equipment</v>
          </cell>
          <cell r="AD77">
            <v>140.99790999999999</v>
          </cell>
          <cell r="AE77">
            <v>43.56</v>
          </cell>
          <cell r="AF77">
            <v>-97.437910000000002</v>
          </cell>
          <cell r="AG77">
            <v>-223.68666207529901</v>
          </cell>
          <cell r="AH77" t="str">
            <v xml:space="preserve">U.S. Dollar                   </v>
          </cell>
        </row>
        <row r="78">
          <cell r="A78" t="str">
            <v>JG........660000A</v>
          </cell>
          <cell r="B78" t="str">
            <v>1999T12</v>
          </cell>
          <cell r="C78" t="str">
            <v xml:space="preserve">M10      </v>
          </cell>
          <cell r="D78" t="str">
            <v xml:space="preserve">Monthly Actual vs Plan                            </v>
          </cell>
          <cell r="E78" t="str">
            <v>Run: 01/13/00 10:16:47</v>
          </cell>
          <cell r="F78" t="str">
            <v>999</v>
          </cell>
          <cell r="G78" t="str">
            <v>100</v>
          </cell>
          <cell r="H78" t="str">
            <v xml:space="preserve">Bank Of America Management Reporting              </v>
          </cell>
          <cell r="I78" t="str">
            <v>001</v>
          </cell>
          <cell r="J78" t="str">
            <v>JG........</v>
          </cell>
          <cell r="K78" t="str">
            <v xml:space="preserve">Manufactured Housing                              </v>
          </cell>
          <cell r="L78" t="str">
            <v xml:space="preserve"> </v>
          </cell>
          <cell r="M78" t="str">
            <v xml:space="preserve"> </v>
          </cell>
          <cell r="N78" t="str">
            <v>bamgt</v>
          </cell>
          <cell r="O78" t="str">
            <v>40</v>
          </cell>
          <cell r="P78" t="str">
            <v>600000A  660000A  999999999999999999999999999999999999999999999999999999</v>
          </cell>
          <cell r="Q78" t="str">
            <v xml:space="preserve">none     </v>
          </cell>
          <cell r="R78" t="str">
            <v>Final Profit Plan</v>
          </cell>
          <cell r="S78" t="str">
            <v>Final Profit Plan</v>
          </cell>
          <cell r="T78" t="str">
            <v xml:space="preserve"> </v>
          </cell>
          <cell r="U78" t="str">
            <v xml:space="preserve"> </v>
          </cell>
          <cell r="V78">
            <v>19.884270000000001</v>
          </cell>
          <cell r="W78">
            <v>2</v>
          </cell>
          <cell r="X78">
            <v>-17.884270000000001</v>
          </cell>
          <cell r="Y78">
            <v>-11.489520000000001</v>
          </cell>
          <cell r="Z78" t="str">
            <v xml:space="preserve">     </v>
          </cell>
          <cell r="AA78" t="str">
            <v>660000A</v>
          </cell>
          <cell r="AB78" t="str">
            <v>2</v>
          </cell>
          <cell r="AC78" t="str">
            <v>Telecommunications</v>
          </cell>
          <cell r="AD78">
            <v>254.46324999999999</v>
          </cell>
          <cell r="AE78">
            <v>80</v>
          </cell>
          <cell r="AF78">
            <v>-174.46324999999999</v>
          </cell>
          <cell r="AG78">
            <v>-218.07906249999999</v>
          </cell>
          <cell r="AH78" t="str">
            <v xml:space="preserve">U.S. Dollar                   </v>
          </cell>
        </row>
        <row r="79">
          <cell r="A79" t="str">
            <v>JG........665499B</v>
          </cell>
          <cell r="B79" t="str">
            <v>1999T12</v>
          </cell>
          <cell r="C79" t="str">
            <v xml:space="preserve">M10      </v>
          </cell>
          <cell r="D79" t="str">
            <v xml:space="preserve">Monthly Actual vs Plan                            </v>
          </cell>
          <cell r="E79" t="str">
            <v>Run: 01/13/00 10:16:47</v>
          </cell>
          <cell r="F79" t="str">
            <v>999</v>
          </cell>
          <cell r="G79" t="str">
            <v>100</v>
          </cell>
          <cell r="H79" t="str">
            <v xml:space="preserve">Bank Of America Management Reporting              </v>
          </cell>
          <cell r="I79" t="str">
            <v>001</v>
          </cell>
          <cell r="J79" t="str">
            <v>JG........</v>
          </cell>
          <cell r="K79" t="str">
            <v xml:space="preserve">Manufactured Housing                              </v>
          </cell>
          <cell r="L79" t="str">
            <v xml:space="preserve"> </v>
          </cell>
          <cell r="M79" t="str">
            <v xml:space="preserve"> </v>
          </cell>
          <cell r="N79" t="str">
            <v>bamgt</v>
          </cell>
          <cell r="O79" t="str">
            <v>40</v>
          </cell>
          <cell r="P79" t="str">
            <v>600000A  665499A  665499B  999999999999999999999999999999999999999999999</v>
          </cell>
          <cell r="Q79" t="str">
            <v xml:space="preserve">none     </v>
          </cell>
          <cell r="R79" t="str">
            <v>Final Profit Plan</v>
          </cell>
          <cell r="S79" t="str">
            <v>Final Profit Plan</v>
          </cell>
          <cell r="T79" t="str">
            <v xml:space="preserve"> </v>
          </cell>
          <cell r="U79" t="str">
            <v xml:space="preserve"> </v>
          </cell>
          <cell r="V79">
            <v>9.1230000000000006E-2</v>
          </cell>
          <cell r="W79">
            <v>0</v>
          </cell>
          <cell r="X79">
            <v>-9.1230000000000006E-2</v>
          </cell>
          <cell r="Y79">
            <v>-8.4007199999999997</v>
          </cell>
          <cell r="Z79" t="str">
            <v xml:space="preserve">     </v>
          </cell>
          <cell r="AA79" t="str">
            <v>665499B</v>
          </cell>
          <cell r="AB79" t="str">
            <v>3</v>
          </cell>
          <cell r="AC79" t="str">
            <v>Loan &amp; Collection</v>
          </cell>
          <cell r="AD79">
            <v>165.71950000000001</v>
          </cell>
          <cell r="AE79">
            <v>0</v>
          </cell>
          <cell r="AF79">
            <v>-165.71950000000001</v>
          </cell>
          <cell r="AG79">
            <v>0</v>
          </cell>
          <cell r="AH79" t="str">
            <v xml:space="preserve">U.S. Dollar                   </v>
          </cell>
        </row>
        <row r="80">
          <cell r="A80" t="str">
            <v>JG........665850A</v>
          </cell>
          <cell r="B80" t="str">
            <v>1999T12</v>
          </cell>
          <cell r="C80" t="str">
            <v xml:space="preserve">M10      </v>
          </cell>
          <cell r="D80" t="str">
            <v xml:space="preserve">Monthly Actual vs Plan                            </v>
          </cell>
          <cell r="E80" t="str">
            <v>Run: 01/13/00 10:16:47</v>
          </cell>
          <cell r="F80" t="str">
            <v>999</v>
          </cell>
          <cell r="G80" t="str">
            <v>100</v>
          </cell>
          <cell r="H80" t="str">
            <v xml:space="preserve">Bank Of America Management Reporting              </v>
          </cell>
          <cell r="I80" t="str">
            <v>001</v>
          </cell>
          <cell r="J80" t="str">
            <v>JG........</v>
          </cell>
          <cell r="K80" t="str">
            <v xml:space="preserve">Manufactured Housing                              </v>
          </cell>
          <cell r="L80" t="str">
            <v xml:space="preserve"> </v>
          </cell>
          <cell r="M80" t="str">
            <v xml:space="preserve"> </v>
          </cell>
          <cell r="N80" t="str">
            <v>bamgt</v>
          </cell>
          <cell r="O80" t="str">
            <v>40</v>
          </cell>
          <cell r="P80" t="str">
            <v>600000A  665499A  665850A  999999999999999999999999999999999999999999999</v>
          </cell>
          <cell r="Q80" t="str">
            <v xml:space="preserve">none     </v>
          </cell>
          <cell r="R80" t="str">
            <v>Final Profit Plan</v>
          </cell>
          <cell r="S80" t="str">
            <v>Final Profit Plan</v>
          </cell>
          <cell r="T80" t="str">
            <v xml:space="preserve"> </v>
          </cell>
          <cell r="U80" t="str">
            <v xml:space="preserve"> </v>
          </cell>
          <cell r="V80">
            <v>2858.0073000000002</v>
          </cell>
          <cell r="W80">
            <v>15.9</v>
          </cell>
          <cell r="X80">
            <v>-2842.1073000000001</v>
          </cell>
          <cell r="Y80">
            <v>696.59499000000005</v>
          </cell>
          <cell r="Z80" t="str">
            <v xml:space="preserve">     </v>
          </cell>
          <cell r="AA80" t="str">
            <v>665850A</v>
          </cell>
          <cell r="AB80" t="str">
            <v>3</v>
          </cell>
          <cell r="AC80" t="str">
            <v>Foreclosed Properties Expense</v>
          </cell>
          <cell r="AD80">
            <v>47456.348469999997</v>
          </cell>
          <cell r="AE80">
            <v>190.8</v>
          </cell>
          <cell r="AF80">
            <v>-47265.548470000002</v>
          </cell>
          <cell r="AG80">
            <v>-24772.300036687699</v>
          </cell>
          <cell r="AH80" t="str">
            <v xml:space="preserve">U.S. Dollar                   </v>
          </cell>
        </row>
        <row r="81">
          <cell r="A81" t="str">
            <v>JG........NIEBA-B</v>
          </cell>
          <cell r="B81" t="str">
            <v>1999T12</v>
          </cell>
          <cell r="C81" t="str">
            <v xml:space="preserve">M10      </v>
          </cell>
          <cell r="D81" t="str">
            <v xml:space="preserve">Monthly Actual vs Plan                            </v>
          </cell>
          <cell r="E81" t="str">
            <v>Run: 01/13/00 10:16:47</v>
          </cell>
          <cell r="F81" t="str">
            <v>999</v>
          </cell>
          <cell r="G81" t="str">
            <v>100</v>
          </cell>
          <cell r="H81" t="str">
            <v xml:space="preserve">Bank Of America Management Reporting              </v>
          </cell>
          <cell r="I81" t="str">
            <v>001</v>
          </cell>
          <cell r="J81" t="str">
            <v>JG........</v>
          </cell>
          <cell r="K81" t="str">
            <v xml:space="preserve">Manufactured Housing                              </v>
          </cell>
          <cell r="L81" t="str">
            <v xml:space="preserve"> </v>
          </cell>
          <cell r="M81" t="str">
            <v xml:space="preserve"> </v>
          </cell>
          <cell r="N81" t="str">
            <v>bamgt</v>
          </cell>
          <cell r="O81" t="str">
            <v>40</v>
          </cell>
          <cell r="P81" t="str">
            <v xml:space="preserve">600000A  675000A  999999999999999999999999999NIEBA-B                    </v>
          </cell>
          <cell r="Q81" t="str">
            <v xml:space="preserve">none     </v>
          </cell>
          <cell r="R81" t="str">
            <v>Final Profit Plan</v>
          </cell>
          <cell r="S81" t="str">
            <v>Final Profit Plan</v>
          </cell>
          <cell r="T81" t="str">
            <v xml:space="preserve"> </v>
          </cell>
          <cell r="U81" t="str">
            <v xml:space="preserve"> </v>
          </cell>
          <cell r="V81">
            <v>5030.4979899999998</v>
          </cell>
          <cell r="W81">
            <v>239.51</v>
          </cell>
          <cell r="X81">
            <v>-4790.9879899999996</v>
          </cell>
          <cell r="Y81">
            <v>-982.67244000000005</v>
          </cell>
          <cell r="Z81" t="str">
            <v xml:space="preserve">     </v>
          </cell>
          <cell r="AA81" t="str">
            <v>NIEBA-B</v>
          </cell>
          <cell r="AB81" t="str">
            <v>0</v>
          </cell>
          <cell r="AC81" t="str">
            <v>Sub-Tot Non Int Exp Before Cost</v>
          </cell>
          <cell r="AD81">
            <v>54348.282399999996</v>
          </cell>
          <cell r="AE81">
            <v>3061.12</v>
          </cell>
          <cell r="AF81">
            <v>-51287.162400000001</v>
          </cell>
          <cell r="AG81">
            <v>-1675.4378266778201</v>
          </cell>
          <cell r="AH81" t="str">
            <v xml:space="preserve">U.S. Dollar                   </v>
          </cell>
        </row>
        <row r="82">
          <cell r="A82" t="str">
            <v>JG........830130A</v>
          </cell>
          <cell r="B82" t="str">
            <v>1999T12</v>
          </cell>
          <cell r="C82" t="str">
            <v xml:space="preserve">M10      </v>
          </cell>
          <cell r="D82" t="str">
            <v xml:space="preserve">Monthly Actual vs Plan                            </v>
          </cell>
          <cell r="E82" t="str">
            <v>Run: 01/13/00 10:16:47</v>
          </cell>
          <cell r="F82" t="str">
            <v>999</v>
          </cell>
          <cell r="G82" t="str">
            <v>100</v>
          </cell>
          <cell r="H82" t="str">
            <v xml:space="preserve">Bank Of America Management Reporting              </v>
          </cell>
          <cell r="I82" t="str">
            <v>001</v>
          </cell>
          <cell r="J82" t="str">
            <v>JG........</v>
          </cell>
          <cell r="K82" t="str">
            <v xml:space="preserve">Manufactured Housing                              </v>
          </cell>
          <cell r="L82" t="str">
            <v xml:space="preserve"> </v>
          </cell>
          <cell r="M82" t="str">
            <v xml:space="preserve"> </v>
          </cell>
          <cell r="N82" t="str">
            <v>bamgt</v>
          </cell>
          <cell r="O82" t="str">
            <v>05</v>
          </cell>
          <cell r="P82" t="str">
            <v>830130A  999999999999999999999999999999999999999999999999999999999999999</v>
          </cell>
          <cell r="Q82" t="str">
            <v xml:space="preserve">none     </v>
          </cell>
          <cell r="R82" t="str">
            <v>Final Profit Plan</v>
          </cell>
          <cell r="S82" t="str">
            <v>Final Profit Plan</v>
          </cell>
          <cell r="T82" t="str">
            <v xml:space="preserve"> </v>
          </cell>
          <cell r="U82" t="str">
            <v xml:space="preserve"> </v>
          </cell>
          <cell r="V82">
            <v>6.17</v>
          </cell>
          <cell r="W82">
            <v>4</v>
          </cell>
          <cell r="X82">
            <v>2.17</v>
          </cell>
          <cell r="Y82">
            <v>2.94</v>
          </cell>
          <cell r="Z82" t="str">
            <v xml:space="preserve">     </v>
          </cell>
          <cell r="AA82" t="str">
            <v>830130A</v>
          </cell>
          <cell r="AB82" t="str">
            <v>1</v>
          </cell>
          <cell r="AC82" t="str">
            <v>Full Time Equivalent Staff</v>
          </cell>
          <cell r="AD82">
            <v>44.29</v>
          </cell>
          <cell r="AE82">
            <v>4</v>
          </cell>
          <cell r="AF82">
            <v>40.29</v>
          </cell>
          <cell r="AG82">
            <v>1007.25</v>
          </cell>
          <cell r="AH82" t="str">
            <v xml:space="preserve">U.S. Dollar                   </v>
          </cell>
        </row>
        <row r="83">
          <cell r="A83" t="str">
            <v>JH........130100</v>
          </cell>
          <cell r="B83" t="str">
            <v>1999T12</v>
          </cell>
          <cell r="C83" t="str">
            <v xml:space="preserve">M10      </v>
          </cell>
          <cell r="D83" t="str">
            <v xml:space="preserve">Monthly Actual vs Plan                            </v>
          </cell>
          <cell r="E83" t="str">
            <v>Run: 01/13/00 10:16:47</v>
          </cell>
          <cell r="F83" t="str">
            <v>999</v>
          </cell>
          <cell r="G83" t="str">
            <v>100</v>
          </cell>
          <cell r="H83" t="str">
            <v xml:space="preserve">Bank Of America Management Reporting              </v>
          </cell>
          <cell r="I83" t="str">
            <v>001</v>
          </cell>
          <cell r="J83" t="str">
            <v>JH........</v>
          </cell>
          <cell r="K83" t="str">
            <v xml:space="preserve">Consumer Finance Services Group                   </v>
          </cell>
          <cell r="L83" t="str">
            <v xml:space="preserve"> </v>
          </cell>
          <cell r="M83" t="str">
            <v xml:space="preserve"> </v>
          </cell>
          <cell r="N83" t="str">
            <v>bamgt</v>
          </cell>
          <cell r="O83" t="str">
            <v>01</v>
          </cell>
          <cell r="P83" t="str">
            <v>100000   100099A  130100   999999999999999999999999999999999999999999999</v>
          </cell>
          <cell r="Q83" t="str">
            <v xml:space="preserve">none     </v>
          </cell>
          <cell r="R83" t="str">
            <v>Final Profit Plan</v>
          </cell>
          <cell r="S83" t="str">
            <v>Final Profit Plan</v>
          </cell>
          <cell r="T83" t="str">
            <v xml:space="preserve"> </v>
          </cell>
          <cell r="U83" t="str">
            <v xml:space="preserve"> </v>
          </cell>
          <cell r="V83">
            <v>4.9253400000000003</v>
          </cell>
          <cell r="W83">
            <v>-0.03</v>
          </cell>
          <cell r="X83">
            <v>4.9553399999999996</v>
          </cell>
          <cell r="Y83">
            <v>4.1453800000000003</v>
          </cell>
          <cell r="Z83" t="str">
            <v xml:space="preserve">     </v>
          </cell>
          <cell r="AA83" t="str">
            <v>130100</v>
          </cell>
          <cell r="AB83" t="str">
            <v>3</v>
          </cell>
          <cell r="AC83" t="str">
            <v>Commercial</v>
          </cell>
          <cell r="AD83">
            <v>3.2907600000000001</v>
          </cell>
          <cell r="AE83">
            <v>-0.03</v>
          </cell>
          <cell r="AF83">
            <v>3.3207599999999999</v>
          </cell>
          <cell r="AG83">
            <v>11069.2</v>
          </cell>
          <cell r="AH83" t="str">
            <v xml:space="preserve">U.S. Dollar                   </v>
          </cell>
        </row>
        <row r="84">
          <cell r="A84" t="str">
            <v>JH........100099A</v>
          </cell>
          <cell r="B84" t="str">
            <v>1999T12</v>
          </cell>
          <cell r="C84" t="str">
            <v xml:space="preserve">M10      </v>
          </cell>
          <cell r="D84" t="str">
            <v xml:space="preserve">Monthly Actual vs Plan                            </v>
          </cell>
          <cell r="E84" t="str">
            <v>Run: 01/13/00 10:16:47</v>
          </cell>
          <cell r="F84" t="str">
            <v>999</v>
          </cell>
          <cell r="G84" t="str">
            <v>100</v>
          </cell>
          <cell r="H84" t="str">
            <v xml:space="preserve">Bank Of America Management Reporting              </v>
          </cell>
          <cell r="I84" t="str">
            <v>001</v>
          </cell>
          <cell r="J84" t="str">
            <v>JH........</v>
          </cell>
          <cell r="K84" t="str">
            <v xml:space="preserve">Consumer Finance Services Group                   </v>
          </cell>
          <cell r="L84" t="str">
            <v xml:space="preserve"> </v>
          </cell>
          <cell r="M84" t="str">
            <v xml:space="preserve"> </v>
          </cell>
          <cell r="N84" t="str">
            <v>bamgt</v>
          </cell>
          <cell r="O84" t="str">
            <v>01</v>
          </cell>
          <cell r="P84" t="str">
            <v>100000   100099A  999999999999999999999999999999999999999999999999999999</v>
          </cell>
          <cell r="Q84" t="str">
            <v xml:space="preserve">none     </v>
          </cell>
          <cell r="R84" t="str">
            <v>Final Profit Plan</v>
          </cell>
          <cell r="S84" t="str">
            <v>Final Profit Plan</v>
          </cell>
          <cell r="T84" t="str">
            <v xml:space="preserve"> </v>
          </cell>
          <cell r="U84" t="str">
            <v xml:space="preserve"> </v>
          </cell>
          <cell r="V84">
            <v>94.431420000000003</v>
          </cell>
          <cell r="W84">
            <v>-0.04</v>
          </cell>
          <cell r="X84">
            <v>94.471419999999995</v>
          </cell>
          <cell r="Y84">
            <v>175.15083999999999</v>
          </cell>
          <cell r="Z84" t="str">
            <v xml:space="preserve">     </v>
          </cell>
          <cell r="AA84" t="str">
            <v>100099A</v>
          </cell>
          <cell r="AB84" t="str">
            <v>2</v>
          </cell>
          <cell r="AC84" t="str">
            <v>Total Loans &amp; Leases</v>
          </cell>
          <cell r="AD84">
            <v>-230.73296999999999</v>
          </cell>
          <cell r="AE84">
            <v>-0.04</v>
          </cell>
          <cell r="AF84">
            <v>-230.69297</v>
          </cell>
          <cell r="AG84">
            <v>-576732.42500000005</v>
          </cell>
          <cell r="AH84" t="str">
            <v xml:space="preserve">U.S. Dollar                   </v>
          </cell>
        </row>
        <row r="85">
          <cell r="A85" t="str">
            <v>JH........EARN-B</v>
          </cell>
          <cell r="B85" t="str">
            <v>1999T12</v>
          </cell>
          <cell r="C85" t="str">
            <v xml:space="preserve">M10      </v>
          </cell>
          <cell r="D85" t="str">
            <v xml:space="preserve">Monthly Actual vs Plan                            </v>
          </cell>
          <cell r="E85" t="str">
            <v>Run: 01/13/00 10:16:47</v>
          </cell>
          <cell r="F85" t="str">
            <v>999</v>
          </cell>
          <cell r="G85" t="str">
            <v>100</v>
          </cell>
          <cell r="H85" t="str">
            <v xml:space="preserve">Bank Of America Management Reporting              </v>
          </cell>
          <cell r="I85" t="str">
            <v>001</v>
          </cell>
          <cell r="J85" t="str">
            <v>JH........</v>
          </cell>
          <cell r="K85" t="str">
            <v xml:space="preserve">Consumer Finance Services Group                   </v>
          </cell>
          <cell r="L85" t="str">
            <v xml:space="preserve"> </v>
          </cell>
          <cell r="M85" t="str">
            <v xml:space="preserve"> </v>
          </cell>
          <cell r="N85" t="str">
            <v>bamgt</v>
          </cell>
          <cell r="O85" t="str">
            <v>01</v>
          </cell>
          <cell r="P85" t="str">
            <v xml:space="preserve">100000   128999C 9999999999EARN-B                                       </v>
          </cell>
          <cell r="Q85" t="str">
            <v xml:space="preserve">none     </v>
          </cell>
          <cell r="R85" t="str">
            <v>Final Profit Plan</v>
          </cell>
          <cell r="S85" t="str">
            <v>Final Profit Plan</v>
          </cell>
          <cell r="T85" t="str">
            <v xml:space="preserve"> </v>
          </cell>
          <cell r="U85" t="str">
            <v xml:space="preserve"> </v>
          </cell>
          <cell r="V85">
            <v>94.431420000000003</v>
          </cell>
          <cell r="W85">
            <v>-0.04</v>
          </cell>
          <cell r="X85">
            <v>94.471419999999995</v>
          </cell>
          <cell r="Y85">
            <v>175.15083999999999</v>
          </cell>
          <cell r="Z85" t="str">
            <v xml:space="preserve">     </v>
          </cell>
          <cell r="AA85" t="str">
            <v>EARN-B</v>
          </cell>
          <cell r="AB85" t="str">
            <v>0</v>
          </cell>
          <cell r="AC85" t="str">
            <v>Total Earning Assets</v>
          </cell>
          <cell r="AD85">
            <v>-230.73296999999999</v>
          </cell>
          <cell r="AE85">
            <v>-0.04</v>
          </cell>
          <cell r="AF85">
            <v>-230.69297</v>
          </cell>
          <cell r="AG85">
            <v>-576732.42500000005</v>
          </cell>
          <cell r="AH85" t="str">
            <v xml:space="preserve">U.S. Dollar                   </v>
          </cell>
        </row>
        <row r="86">
          <cell r="A86" t="str">
            <v>JH........INTLIAB-B</v>
          </cell>
          <cell r="B86" t="str">
            <v>1999T12</v>
          </cell>
          <cell r="C86" t="str">
            <v xml:space="preserve">M10      </v>
          </cell>
          <cell r="D86" t="str">
            <v xml:space="preserve">Monthly Actual vs Plan                            </v>
          </cell>
          <cell r="E86" t="str">
            <v>Run: 01/13/00 10:16:47</v>
          </cell>
          <cell r="F86" t="str">
            <v>999</v>
          </cell>
          <cell r="G86" t="str">
            <v>100</v>
          </cell>
          <cell r="H86" t="str">
            <v xml:space="preserve">Bank Of America Management Reporting              </v>
          </cell>
          <cell r="I86" t="str">
            <v>001</v>
          </cell>
          <cell r="J86" t="str">
            <v>JH........</v>
          </cell>
          <cell r="K86" t="str">
            <v xml:space="preserve">Consumer Finance Services Group                   </v>
          </cell>
          <cell r="L86" t="str">
            <v xml:space="preserve"> </v>
          </cell>
          <cell r="M86" t="str">
            <v xml:space="preserve"> </v>
          </cell>
          <cell r="N86" t="str">
            <v>bamgt</v>
          </cell>
          <cell r="O86" t="str">
            <v>05</v>
          </cell>
          <cell r="P86" t="str">
            <v xml:space="preserve">200000   239999B   9999999999258000INTLIAB-B                            </v>
          </cell>
          <cell r="Q86" t="str">
            <v xml:space="preserve">none     </v>
          </cell>
          <cell r="R86" t="str">
            <v>Final Profit Plan</v>
          </cell>
          <cell r="S86" t="str">
            <v>Final Profit Plan</v>
          </cell>
          <cell r="T86" t="str">
            <v xml:space="preserve"> </v>
          </cell>
          <cell r="U86" t="str">
            <v xml:space="preserve"> </v>
          </cell>
          <cell r="V86">
            <v>0</v>
          </cell>
          <cell r="W86">
            <v>0</v>
          </cell>
          <cell r="X86">
            <v>0</v>
          </cell>
          <cell r="Y86">
            <v>0</v>
          </cell>
          <cell r="Z86" t="str">
            <v xml:space="preserve">     </v>
          </cell>
          <cell r="AA86" t="str">
            <v>INTLIAB-B</v>
          </cell>
          <cell r="AB86" t="str">
            <v>0</v>
          </cell>
          <cell r="AC86" t="str">
            <v>Total Interest Bearing Liabilities</v>
          </cell>
          <cell r="AD86">
            <v>-2.3900000000000002E-3</v>
          </cell>
          <cell r="AE86">
            <v>0</v>
          </cell>
          <cell r="AF86">
            <v>-2.3900000000000002E-3</v>
          </cell>
          <cell r="AG86">
            <v>0</v>
          </cell>
          <cell r="AH86" t="str">
            <v xml:space="preserve">U.S. Dollar                   </v>
          </cell>
        </row>
        <row r="87">
          <cell r="A87" t="str">
            <v>JH........TOTDEP-B</v>
          </cell>
          <cell r="B87" t="str">
            <v>1999T12</v>
          </cell>
          <cell r="C87" t="str">
            <v xml:space="preserve">M10      </v>
          </cell>
          <cell r="D87" t="str">
            <v xml:space="preserve">Monthly Actual vs Plan                            </v>
          </cell>
          <cell r="E87" t="str">
            <v>Run: 01/13/00 10:16:47</v>
          </cell>
          <cell r="F87" t="str">
            <v>999</v>
          </cell>
          <cell r="G87" t="str">
            <v>100</v>
          </cell>
          <cell r="H87" t="str">
            <v xml:space="preserve">Bank Of America Management Reporting              </v>
          </cell>
          <cell r="I87" t="str">
            <v>001</v>
          </cell>
          <cell r="J87" t="str">
            <v>JH........</v>
          </cell>
          <cell r="K87" t="str">
            <v xml:space="preserve">Consumer Finance Services Group                   </v>
          </cell>
          <cell r="L87" t="str">
            <v xml:space="preserve"> </v>
          </cell>
          <cell r="M87" t="str">
            <v xml:space="preserve"> </v>
          </cell>
          <cell r="N87" t="str">
            <v>bamgt</v>
          </cell>
          <cell r="O87" t="str">
            <v>05</v>
          </cell>
          <cell r="P87" t="str">
            <v xml:space="preserve">200000TOTDEP-B                                                          </v>
          </cell>
          <cell r="Q87" t="str">
            <v xml:space="preserve">none     </v>
          </cell>
          <cell r="R87" t="str">
            <v>Final Profit Plan</v>
          </cell>
          <cell r="S87" t="str">
            <v>Final Profit Plan</v>
          </cell>
          <cell r="T87" t="str">
            <v xml:space="preserve"> </v>
          </cell>
          <cell r="U87" t="str">
            <v xml:space="preserve"> </v>
          </cell>
          <cell r="V87">
            <v>178.09028000000001</v>
          </cell>
          <cell r="W87">
            <v>-10.4</v>
          </cell>
          <cell r="X87">
            <v>188.49028000000001</v>
          </cell>
          <cell r="Y87">
            <v>-5.81318</v>
          </cell>
          <cell r="Z87" t="str">
            <v xml:space="preserve">     </v>
          </cell>
          <cell r="AA87" t="str">
            <v>TOTDEP-B</v>
          </cell>
          <cell r="AB87" t="str">
            <v>0</v>
          </cell>
          <cell r="AC87" t="str">
            <v>Total Deposits</v>
          </cell>
          <cell r="AD87">
            <v>455.34971999999999</v>
          </cell>
          <cell r="AE87">
            <v>-10.4</v>
          </cell>
          <cell r="AF87">
            <v>465.74972000000002</v>
          </cell>
          <cell r="AG87">
            <v>4478.3626923076999</v>
          </cell>
          <cell r="AH87" t="str">
            <v xml:space="preserve">U.S. Dollar                   </v>
          </cell>
        </row>
        <row r="88">
          <cell r="A88" t="str">
            <v>JH........300000</v>
          </cell>
          <cell r="B88" t="str">
            <v>1999T12</v>
          </cell>
          <cell r="C88" t="str">
            <v xml:space="preserve">M10      </v>
          </cell>
          <cell r="D88" t="str">
            <v xml:space="preserve">Monthly Actual vs Plan                            </v>
          </cell>
          <cell r="E88" t="str">
            <v>Run: 01/13/00 10:16:47</v>
          </cell>
          <cell r="F88" t="str">
            <v>999</v>
          </cell>
          <cell r="G88" t="str">
            <v>100</v>
          </cell>
          <cell r="H88" t="str">
            <v xml:space="preserve">Bank Of America Management Reporting              </v>
          </cell>
          <cell r="I88" t="str">
            <v>001</v>
          </cell>
          <cell r="J88" t="str">
            <v>JH........</v>
          </cell>
          <cell r="K88" t="str">
            <v xml:space="preserve">Consumer Finance Services Group                   </v>
          </cell>
          <cell r="L88" t="str">
            <v xml:space="preserve"> </v>
          </cell>
          <cell r="M88" t="str">
            <v xml:space="preserve"> </v>
          </cell>
          <cell r="N88" t="str">
            <v>bamgt</v>
          </cell>
          <cell r="O88" t="str">
            <v>20</v>
          </cell>
          <cell r="P88" t="str">
            <v>300000   999999999999999999999999999999999999999999999999999999999999999</v>
          </cell>
          <cell r="Q88" t="str">
            <v xml:space="preserve">none     </v>
          </cell>
          <cell r="R88" t="str">
            <v>Final Profit Plan</v>
          </cell>
          <cell r="S88" t="str">
            <v>Final Profit Plan</v>
          </cell>
          <cell r="T88" t="str">
            <v xml:space="preserve"> </v>
          </cell>
          <cell r="U88" t="str">
            <v xml:space="preserve"> </v>
          </cell>
          <cell r="V88">
            <v>103.39827</v>
          </cell>
          <cell r="W88">
            <v>0</v>
          </cell>
          <cell r="X88">
            <v>103.39827</v>
          </cell>
          <cell r="Y88">
            <v>268.40683999999999</v>
          </cell>
          <cell r="Z88" t="str">
            <v xml:space="preserve">     </v>
          </cell>
          <cell r="AA88" t="str">
            <v>300000</v>
          </cell>
          <cell r="AB88" t="str">
            <v>1</v>
          </cell>
          <cell r="AC88" t="str">
            <v>Interest Income On Assets</v>
          </cell>
          <cell r="AD88">
            <v>550.88328999999999</v>
          </cell>
          <cell r="AE88">
            <v>0</v>
          </cell>
          <cell r="AF88">
            <v>550.88328999999999</v>
          </cell>
          <cell r="AG88">
            <v>0</v>
          </cell>
          <cell r="AH88" t="str">
            <v xml:space="preserve">U.S. Dollar                   </v>
          </cell>
        </row>
        <row r="89">
          <cell r="A89" t="str">
            <v>JH........510000</v>
          </cell>
          <cell r="B89" t="str">
            <v>1999T12</v>
          </cell>
          <cell r="C89" t="str">
            <v xml:space="preserve">M10      </v>
          </cell>
          <cell r="D89" t="str">
            <v xml:space="preserve">Monthly Actual vs Plan                            </v>
          </cell>
          <cell r="E89" t="str">
            <v>Run: 01/13/00 10:16:47</v>
          </cell>
          <cell r="F89" t="str">
            <v>999</v>
          </cell>
          <cell r="G89" t="str">
            <v>100</v>
          </cell>
          <cell r="H89" t="str">
            <v xml:space="preserve">Bank Of America Management Reporting              </v>
          </cell>
          <cell r="I89" t="str">
            <v>001</v>
          </cell>
          <cell r="J89" t="str">
            <v>JH........</v>
          </cell>
          <cell r="K89" t="str">
            <v xml:space="preserve">Consumer Finance Services Group                   </v>
          </cell>
          <cell r="L89" t="str">
            <v xml:space="preserve"> </v>
          </cell>
          <cell r="M89" t="str">
            <v xml:space="preserve"> </v>
          </cell>
          <cell r="N89" t="str">
            <v>bamgt</v>
          </cell>
          <cell r="O89" t="str">
            <v>35</v>
          </cell>
          <cell r="P89" t="str">
            <v>500099A  510000   999999999999999999999999999999999999999999999999999999</v>
          </cell>
          <cell r="Q89" t="str">
            <v xml:space="preserve">none     </v>
          </cell>
          <cell r="R89" t="str">
            <v>Final Profit Plan</v>
          </cell>
          <cell r="S89" t="str">
            <v>Final Profit Plan</v>
          </cell>
          <cell r="T89" t="str">
            <v xml:space="preserve"> </v>
          </cell>
          <cell r="U89" t="str">
            <v xml:space="preserve"> </v>
          </cell>
          <cell r="V89">
            <v>-1.96974</v>
          </cell>
          <cell r="W89">
            <v>0</v>
          </cell>
          <cell r="X89">
            <v>-1.96974</v>
          </cell>
          <cell r="Y89">
            <v>8.1549999999999997E-2</v>
          </cell>
          <cell r="Z89" t="str">
            <v xml:space="preserve">     </v>
          </cell>
          <cell r="AA89" t="str">
            <v>510000</v>
          </cell>
          <cell r="AB89" t="str">
            <v>2</v>
          </cell>
          <cell r="AC89" t="str">
            <v>Service Charges On Deposit Accounts</v>
          </cell>
          <cell r="AD89">
            <v>-17.35482</v>
          </cell>
          <cell r="AE89">
            <v>0</v>
          </cell>
          <cell r="AF89">
            <v>-17.35482</v>
          </cell>
          <cell r="AG89">
            <v>0</v>
          </cell>
          <cell r="AH89" t="str">
            <v xml:space="preserve">U.S. Dollar                   </v>
          </cell>
        </row>
        <row r="90">
          <cell r="A90" t="str">
            <v>JH........560200A</v>
          </cell>
          <cell r="B90" t="str">
            <v>1999T12</v>
          </cell>
          <cell r="C90" t="str">
            <v xml:space="preserve">M10      </v>
          </cell>
          <cell r="D90" t="str">
            <v xml:space="preserve">Monthly Actual vs Plan                            </v>
          </cell>
          <cell r="E90" t="str">
            <v>Run: 01/13/00 10:16:47</v>
          </cell>
          <cell r="F90" t="str">
            <v>999</v>
          </cell>
          <cell r="G90" t="str">
            <v>100</v>
          </cell>
          <cell r="H90" t="str">
            <v xml:space="preserve">Bank Of America Management Reporting              </v>
          </cell>
          <cell r="I90" t="str">
            <v>001</v>
          </cell>
          <cell r="J90" t="str">
            <v>JH........</v>
          </cell>
          <cell r="K90" t="str">
            <v xml:space="preserve">Consumer Finance Services Group                   </v>
          </cell>
          <cell r="L90" t="str">
            <v xml:space="preserve"> </v>
          </cell>
          <cell r="M90" t="str">
            <v xml:space="preserve"> </v>
          </cell>
          <cell r="N90" t="str">
            <v>bamgt</v>
          </cell>
          <cell r="O90" t="str">
            <v>35</v>
          </cell>
          <cell r="P90" t="str">
            <v>500099A  557900   560200A  999999999999999999999999999999999999999999999</v>
          </cell>
          <cell r="Q90" t="str">
            <v xml:space="preserve">none     </v>
          </cell>
          <cell r="R90" t="str">
            <v>Final Profit Plan</v>
          </cell>
          <cell r="S90" t="str">
            <v>Final Profit Plan</v>
          </cell>
          <cell r="T90" t="str">
            <v xml:space="preserve"> </v>
          </cell>
          <cell r="U90" t="str">
            <v xml:space="preserve"> </v>
          </cell>
          <cell r="V90">
            <v>0</v>
          </cell>
          <cell r="W90">
            <v>0</v>
          </cell>
          <cell r="X90">
            <v>0</v>
          </cell>
          <cell r="Y90">
            <v>0</v>
          </cell>
          <cell r="Z90" t="str">
            <v xml:space="preserve">     </v>
          </cell>
          <cell r="AA90" t="str">
            <v>560200A</v>
          </cell>
          <cell r="AB90" t="str">
            <v>3</v>
          </cell>
          <cell r="AC90" t="str">
            <v>Gains &amp; Losses</v>
          </cell>
          <cell r="AD90">
            <v>13.966950000000001</v>
          </cell>
          <cell r="AE90">
            <v>0</v>
          </cell>
          <cell r="AF90">
            <v>13.966950000000001</v>
          </cell>
          <cell r="AG90">
            <v>0</v>
          </cell>
          <cell r="AH90" t="str">
            <v xml:space="preserve">U.S. Dollar                   </v>
          </cell>
        </row>
        <row r="91">
          <cell r="A91" t="str">
            <v>JH........500099A</v>
          </cell>
          <cell r="B91" t="str">
            <v>1999T12</v>
          </cell>
          <cell r="C91" t="str">
            <v xml:space="preserve">M10      </v>
          </cell>
          <cell r="D91" t="str">
            <v xml:space="preserve">Monthly Actual vs Plan                            </v>
          </cell>
          <cell r="E91" t="str">
            <v>Run: 01/13/00 10:16:47</v>
          </cell>
          <cell r="F91" t="str">
            <v>999</v>
          </cell>
          <cell r="G91" t="str">
            <v>100</v>
          </cell>
          <cell r="H91" t="str">
            <v xml:space="preserve">Bank Of America Management Reporting              </v>
          </cell>
          <cell r="I91" t="str">
            <v>001</v>
          </cell>
          <cell r="J91" t="str">
            <v>JH........</v>
          </cell>
          <cell r="K91" t="str">
            <v xml:space="preserve">Consumer Finance Services Group                   </v>
          </cell>
          <cell r="L91" t="str">
            <v xml:space="preserve"> </v>
          </cell>
          <cell r="M91" t="str">
            <v xml:space="preserve"> </v>
          </cell>
          <cell r="N91" t="str">
            <v>bamgt</v>
          </cell>
          <cell r="O91" t="str">
            <v>35</v>
          </cell>
          <cell r="P91" t="str">
            <v>500099A  999999999999999999999999999999999999999999999999999999999999999</v>
          </cell>
          <cell r="Q91" t="str">
            <v xml:space="preserve">none     </v>
          </cell>
          <cell r="R91" t="str">
            <v>Final Profit Plan</v>
          </cell>
          <cell r="S91" t="str">
            <v>Final Profit Plan</v>
          </cell>
          <cell r="T91" t="str">
            <v xml:space="preserve"> </v>
          </cell>
          <cell r="U91" t="str">
            <v xml:space="preserve"> </v>
          </cell>
          <cell r="V91">
            <v>295.21758</v>
          </cell>
          <cell r="W91">
            <v>0</v>
          </cell>
          <cell r="X91">
            <v>295.21758</v>
          </cell>
          <cell r="Y91">
            <v>41.430880000000002</v>
          </cell>
          <cell r="Z91" t="str">
            <v xml:space="preserve">     </v>
          </cell>
          <cell r="AA91" t="str">
            <v>500099A</v>
          </cell>
          <cell r="AB91" t="str">
            <v>1</v>
          </cell>
          <cell r="AC91" t="str">
            <v>Total Non-Interest Income</v>
          </cell>
          <cell r="AD91">
            <v>1015.07165</v>
          </cell>
          <cell r="AE91">
            <v>0</v>
          </cell>
          <cell r="AF91">
            <v>1015.07165</v>
          </cell>
          <cell r="AG91">
            <v>0</v>
          </cell>
          <cell r="AH91" t="str">
            <v xml:space="preserve">U.S. Dollar                   </v>
          </cell>
        </row>
        <row r="92">
          <cell r="A92" t="str">
            <v>JH........599999C</v>
          </cell>
          <cell r="B92" t="str">
            <v>1999T12</v>
          </cell>
          <cell r="C92" t="str">
            <v xml:space="preserve">M10      </v>
          </cell>
          <cell r="D92" t="str">
            <v xml:space="preserve">Monthly Actual vs Plan                            </v>
          </cell>
          <cell r="E92" t="str">
            <v>Run: 01/13/00 10:16:47</v>
          </cell>
          <cell r="F92" t="str">
            <v>999</v>
          </cell>
          <cell r="G92" t="str">
            <v>100</v>
          </cell>
          <cell r="H92" t="str">
            <v xml:space="preserve">Bank Of America Management Reporting              </v>
          </cell>
          <cell r="I92" t="str">
            <v>001</v>
          </cell>
          <cell r="J92" t="str">
            <v>JH........</v>
          </cell>
          <cell r="K92" t="str">
            <v xml:space="preserve">Consumer Finance Services Group                   </v>
          </cell>
          <cell r="L92" t="str">
            <v xml:space="preserve"> </v>
          </cell>
          <cell r="M92" t="str">
            <v xml:space="preserve"> </v>
          </cell>
          <cell r="N92" t="str">
            <v>bamgt</v>
          </cell>
          <cell r="O92" t="str">
            <v>30</v>
          </cell>
          <cell r="P92" t="str">
            <v>599999B  599999C  999999999999999999999999999999999999999999999999999999</v>
          </cell>
          <cell r="Q92" t="str">
            <v xml:space="preserve">none     </v>
          </cell>
          <cell r="R92" t="str">
            <v>Final Profit Plan</v>
          </cell>
          <cell r="S92" t="str">
            <v>Final Profit Plan</v>
          </cell>
          <cell r="T92" t="str">
            <v xml:space="preserve"> </v>
          </cell>
          <cell r="U92" t="str">
            <v xml:space="preserve"> </v>
          </cell>
          <cell r="V92">
            <v>-3.5296400000000001</v>
          </cell>
          <cell r="W92">
            <v>0</v>
          </cell>
          <cell r="X92">
            <v>3.5296400000000001</v>
          </cell>
          <cell r="Y92">
            <v>4.4062400000000004</v>
          </cell>
          <cell r="Z92" t="str">
            <v xml:space="preserve">     </v>
          </cell>
          <cell r="AA92" t="str">
            <v>599999C</v>
          </cell>
          <cell r="AB92" t="str">
            <v>2</v>
          </cell>
          <cell r="AC92" t="str">
            <v>Provision For Credit Losses - Direct</v>
          </cell>
          <cell r="AD92">
            <v>-68.010379999999998</v>
          </cell>
          <cell r="AE92">
            <v>0</v>
          </cell>
          <cell r="AF92">
            <v>68.010379999999998</v>
          </cell>
          <cell r="AG92">
            <v>0</v>
          </cell>
          <cell r="AH92" t="str">
            <v xml:space="preserve">U.S. Dollar                   </v>
          </cell>
        </row>
        <row r="93">
          <cell r="A93" t="str">
            <v>JH........600250</v>
          </cell>
          <cell r="B93" t="str">
            <v>1999T12</v>
          </cell>
          <cell r="C93" t="str">
            <v xml:space="preserve">M10      </v>
          </cell>
          <cell r="D93" t="str">
            <v xml:space="preserve">Monthly Actual vs Plan                            </v>
          </cell>
          <cell r="E93" t="str">
            <v>Run: 01/13/00 10:16:47</v>
          </cell>
          <cell r="F93" t="str">
            <v>999</v>
          </cell>
          <cell r="G93" t="str">
            <v>100</v>
          </cell>
          <cell r="H93" t="str">
            <v xml:space="preserve">Bank Of America Management Reporting              </v>
          </cell>
          <cell r="I93" t="str">
            <v>001</v>
          </cell>
          <cell r="J93" t="str">
            <v>JH........</v>
          </cell>
          <cell r="K93" t="str">
            <v xml:space="preserve">Consumer Finance Services Group                   </v>
          </cell>
          <cell r="L93" t="str">
            <v xml:space="preserve"> </v>
          </cell>
          <cell r="M93" t="str">
            <v xml:space="preserve"> </v>
          </cell>
          <cell r="N93" t="str">
            <v>bamgt</v>
          </cell>
          <cell r="O93" t="str">
            <v>40</v>
          </cell>
          <cell r="P93" t="str">
            <v>600000A  600250   999999999999999999999999999999999999999999999999999999</v>
          </cell>
          <cell r="Q93" t="str">
            <v xml:space="preserve">none     </v>
          </cell>
          <cell r="R93" t="str">
            <v>Final Profit Plan</v>
          </cell>
          <cell r="S93" t="str">
            <v>Final Profit Plan</v>
          </cell>
          <cell r="T93" t="str">
            <v xml:space="preserve"> </v>
          </cell>
          <cell r="U93" t="str">
            <v xml:space="preserve"> </v>
          </cell>
          <cell r="V93">
            <v>6926.7859900000003</v>
          </cell>
          <cell r="W93">
            <v>6938.7164000000002</v>
          </cell>
          <cell r="X93">
            <v>11.93041</v>
          </cell>
          <cell r="Y93">
            <v>-461.61049000000003</v>
          </cell>
          <cell r="Z93" t="str">
            <v xml:space="preserve">     </v>
          </cell>
          <cell r="AA93" t="str">
            <v>600250</v>
          </cell>
          <cell r="AB93" t="str">
            <v>2</v>
          </cell>
          <cell r="AC93" t="str">
            <v>Personnel</v>
          </cell>
          <cell r="AD93">
            <v>80428.798349999997</v>
          </cell>
          <cell r="AE93">
            <v>83553.355899999995</v>
          </cell>
          <cell r="AF93">
            <v>3124.55755</v>
          </cell>
          <cell r="AG93">
            <v>3.7395955151575202</v>
          </cell>
          <cell r="AH93" t="str">
            <v xml:space="preserve">U.S. Dollar                   </v>
          </cell>
        </row>
        <row r="94">
          <cell r="A94" t="str">
            <v>JH........610000</v>
          </cell>
          <cell r="B94" t="str">
            <v>1999T12</v>
          </cell>
          <cell r="C94" t="str">
            <v xml:space="preserve">M10      </v>
          </cell>
          <cell r="D94" t="str">
            <v xml:space="preserve">Monthly Actual vs Plan                            </v>
          </cell>
          <cell r="E94" t="str">
            <v>Run: 01/13/00 10:16:47</v>
          </cell>
          <cell r="F94" t="str">
            <v>999</v>
          </cell>
          <cell r="G94" t="str">
            <v>100</v>
          </cell>
          <cell r="H94" t="str">
            <v xml:space="preserve">Bank Of America Management Reporting              </v>
          </cell>
          <cell r="I94" t="str">
            <v>001</v>
          </cell>
          <cell r="J94" t="str">
            <v>JH........</v>
          </cell>
          <cell r="K94" t="str">
            <v xml:space="preserve">Consumer Finance Services Group                   </v>
          </cell>
          <cell r="L94" t="str">
            <v xml:space="preserve"> </v>
          </cell>
          <cell r="M94" t="str">
            <v xml:space="preserve"> </v>
          </cell>
          <cell r="N94" t="str">
            <v>bamgt</v>
          </cell>
          <cell r="O94" t="str">
            <v>40</v>
          </cell>
          <cell r="P94" t="str">
            <v>600000A  610000   999999999999999999999999999999999999999999999999999999</v>
          </cell>
          <cell r="Q94" t="str">
            <v xml:space="preserve">none     </v>
          </cell>
          <cell r="R94" t="str">
            <v>Final Profit Plan</v>
          </cell>
          <cell r="S94" t="str">
            <v>Final Profit Plan</v>
          </cell>
          <cell r="T94" t="str">
            <v xml:space="preserve"> </v>
          </cell>
          <cell r="U94" t="str">
            <v xml:space="preserve"> </v>
          </cell>
          <cell r="V94">
            <v>645.89324999999997</v>
          </cell>
          <cell r="W94">
            <v>677.55</v>
          </cell>
          <cell r="X94">
            <v>31.656749999999999</v>
          </cell>
          <cell r="Y94">
            <v>-23.082049999999999</v>
          </cell>
          <cell r="Z94" t="str">
            <v xml:space="preserve">     </v>
          </cell>
          <cell r="AA94" t="str">
            <v>610000</v>
          </cell>
          <cell r="AB94" t="str">
            <v>2</v>
          </cell>
          <cell r="AC94" t="str">
            <v>Net Occupancy</v>
          </cell>
          <cell r="AD94">
            <v>7534.8406500000001</v>
          </cell>
          <cell r="AE94">
            <v>8390.51</v>
          </cell>
          <cell r="AF94">
            <v>855.66935000000001</v>
          </cell>
          <cell r="AG94">
            <v>10.1980612620687</v>
          </cell>
          <cell r="AH94" t="str">
            <v xml:space="preserve">U.S. Dollar                   </v>
          </cell>
        </row>
        <row r="95">
          <cell r="A95" t="str">
            <v>JH........620000</v>
          </cell>
          <cell r="B95" t="str">
            <v>1999T12</v>
          </cell>
          <cell r="C95" t="str">
            <v xml:space="preserve">M10      </v>
          </cell>
          <cell r="D95" t="str">
            <v xml:space="preserve">Monthly Actual vs Plan                            </v>
          </cell>
          <cell r="E95" t="str">
            <v>Run: 01/13/00 10:16:47</v>
          </cell>
          <cell r="F95" t="str">
            <v>999</v>
          </cell>
          <cell r="G95" t="str">
            <v>100</v>
          </cell>
          <cell r="H95" t="str">
            <v xml:space="preserve">Bank Of America Management Reporting              </v>
          </cell>
          <cell r="I95" t="str">
            <v>001</v>
          </cell>
          <cell r="J95" t="str">
            <v>JH........</v>
          </cell>
          <cell r="K95" t="str">
            <v xml:space="preserve">Consumer Finance Services Group                   </v>
          </cell>
          <cell r="L95" t="str">
            <v xml:space="preserve"> </v>
          </cell>
          <cell r="M95" t="str">
            <v xml:space="preserve"> </v>
          </cell>
          <cell r="N95" t="str">
            <v>bamgt</v>
          </cell>
          <cell r="O95" t="str">
            <v>40</v>
          </cell>
          <cell r="P95" t="str">
            <v>600000A  620000   999999999999999999999999999999999999999999999999999999</v>
          </cell>
          <cell r="Q95" t="str">
            <v xml:space="preserve">none     </v>
          </cell>
          <cell r="R95" t="str">
            <v>Final Profit Plan</v>
          </cell>
          <cell r="S95" t="str">
            <v>Final Profit Plan</v>
          </cell>
          <cell r="T95" t="str">
            <v xml:space="preserve"> </v>
          </cell>
          <cell r="U95" t="str">
            <v xml:space="preserve"> </v>
          </cell>
          <cell r="V95">
            <v>241.92375000000001</v>
          </cell>
          <cell r="W95">
            <v>468.84</v>
          </cell>
          <cell r="X95">
            <v>226.91624999999999</v>
          </cell>
          <cell r="Y95">
            <v>40.941090000000003</v>
          </cell>
          <cell r="Z95" t="str">
            <v xml:space="preserve">     </v>
          </cell>
          <cell r="AA95" t="str">
            <v>620000</v>
          </cell>
          <cell r="AB95" t="str">
            <v>2</v>
          </cell>
          <cell r="AC95" t="str">
            <v>Furniture &amp; Equipment</v>
          </cell>
          <cell r="AD95">
            <v>4421.0723500000004</v>
          </cell>
          <cell r="AE95">
            <v>6413.92</v>
          </cell>
          <cell r="AF95">
            <v>1992.8476499999999</v>
          </cell>
          <cell r="AG95">
            <v>31.070665833063099</v>
          </cell>
          <cell r="AH95" t="str">
            <v xml:space="preserve">U.S. Dollar                   </v>
          </cell>
        </row>
        <row r="96">
          <cell r="A96" t="str">
            <v>JH........660000A</v>
          </cell>
          <cell r="B96" t="str">
            <v>1999T12</v>
          </cell>
          <cell r="C96" t="str">
            <v xml:space="preserve">M10      </v>
          </cell>
          <cell r="D96" t="str">
            <v xml:space="preserve">Monthly Actual vs Plan                            </v>
          </cell>
          <cell r="E96" t="str">
            <v>Run: 01/13/00 10:16:47</v>
          </cell>
          <cell r="F96" t="str">
            <v>999</v>
          </cell>
          <cell r="G96" t="str">
            <v>100</v>
          </cell>
          <cell r="H96" t="str">
            <v xml:space="preserve">Bank Of America Management Reporting              </v>
          </cell>
          <cell r="I96" t="str">
            <v>001</v>
          </cell>
          <cell r="J96" t="str">
            <v>JH........</v>
          </cell>
          <cell r="K96" t="str">
            <v xml:space="preserve">Consumer Finance Services Group                   </v>
          </cell>
          <cell r="L96" t="str">
            <v xml:space="preserve"> </v>
          </cell>
          <cell r="M96" t="str">
            <v xml:space="preserve"> </v>
          </cell>
          <cell r="N96" t="str">
            <v>bamgt</v>
          </cell>
          <cell r="O96" t="str">
            <v>40</v>
          </cell>
          <cell r="P96" t="str">
            <v>600000A  660000A  999999999999999999999999999999999999999999999999999999</v>
          </cell>
          <cell r="Q96" t="str">
            <v xml:space="preserve">none     </v>
          </cell>
          <cell r="R96" t="str">
            <v>Final Profit Plan</v>
          </cell>
          <cell r="S96" t="str">
            <v>Final Profit Plan</v>
          </cell>
          <cell r="T96" t="str">
            <v xml:space="preserve"> </v>
          </cell>
          <cell r="U96" t="str">
            <v xml:space="preserve"> </v>
          </cell>
          <cell r="V96">
            <v>838.75319999999999</v>
          </cell>
          <cell r="W96">
            <v>1077</v>
          </cell>
          <cell r="X96">
            <v>238.24680000000001</v>
          </cell>
          <cell r="Y96">
            <v>24.969740000000002</v>
          </cell>
          <cell r="Z96" t="str">
            <v xml:space="preserve">     </v>
          </cell>
          <cell r="AA96" t="str">
            <v>660000A</v>
          </cell>
          <cell r="AB96" t="str">
            <v>2</v>
          </cell>
          <cell r="AC96" t="str">
            <v>Telecommunications</v>
          </cell>
          <cell r="AD96">
            <v>11116.97213</v>
          </cell>
          <cell r="AE96">
            <v>13518.6</v>
          </cell>
          <cell r="AF96">
            <v>2401.6278699999998</v>
          </cell>
          <cell r="AG96">
            <v>17.765359356738099</v>
          </cell>
          <cell r="AH96" t="str">
            <v xml:space="preserve">U.S. Dollar                   </v>
          </cell>
        </row>
        <row r="97">
          <cell r="A97" t="str">
            <v>JH........665499B</v>
          </cell>
          <cell r="B97" t="str">
            <v>1999T12</v>
          </cell>
          <cell r="C97" t="str">
            <v xml:space="preserve">M10      </v>
          </cell>
          <cell r="D97" t="str">
            <v xml:space="preserve">Monthly Actual vs Plan                            </v>
          </cell>
          <cell r="E97" t="str">
            <v>Run: 01/13/00 10:16:47</v>
          </cell>
          <cell r="F97" t="str">
            <v>999</v>
          </cell>
          <cell r="G97" t="str">
            <v>100</v>
          </cell>
          <cell r="H97" t="str">
            <v xml:space="preserve">Bank Of America Management Reporting              </v>
          </cell>
          <cell r="I97" t="str">
            <v>001</v>
          </cell>
          <cell r="J97" t="str">
            <v>JH........</v>
          </cell>
          <cell r="K97" t="str">
            <v xml:space="preserve">Consumer Finance Services Group                   </v>
          </cell>
          <cell r="L97" t="str">
            <v xml:space="preserve"> </v>
          </cell>
          <cell r="M97" t="str">
            <v xml:space="preserve"> </v>
          </cell>
          <cell r="N97" t="str">
            <v>bamgt</v>
          </cell>
          <cell r="O97" t="str">
            <v>40</v>
          </cell>
          <cell r="P97" t="str">
            <v>600000A  665499A  665499B  999999999999999999999999999999999999999999999</v>
          </cell>
          <cell r="Q97" t="str">
            <v xml:space="preserve">none     </v>
          </cell>
          <cell r="R97" t="str">
            <v>Final Profit Plan</v>
          </cell>
          <cell r="S97" t="str">
            <v>Final Profit Plan</v>
          </cell>
          <cell r="T97" t="str">
            <v xml:space="preserve"> </v>
          </cell>
          <cell r="U97" t="str">
            <v xml:space="preserve"> </v>
          </cell>
          <cell r="V97">
            <v>1007.13983</v>
          </cell>
          <cell r="W97">
            <v>1443.39</v>
          </cell>
          <cell r="X97">
            <v>436.25017000000003</v>
          </cell>
          <cell r="Y97">
            <v>-471.71660000000003</v>
          </cell>
          <cell r="Z97" t="str">
            <v xml:space="preserve">     </v>
          </cell>
          <cell r="AA97" t="str">
            <v>665499B</v>
          </cell>
          <cell r="AB97" t="str">
            <v>3</v>
          </cell>
          <cell r="AC97" t="str">
            <v>Loan &amp; Collection</v>
          </cell>
          <cell r="AD97">
            <v>13258.38255</v>
          </cell>
          <cell r="AE97">
            <v>17292.37</v>
          </cell>
          <cell r="AF97">
            <v>4033.9874500000001</v>
          </cell>
          <cell r="AG97">
            <v>23.3281351833207</v>
          </cell>
          <cell r="AH97" t="str">
            <v xml:space="preserve">U.S. Dollar                   </v>
          </cell>
        </row>
        <row r="98">
          <cell r="A98" t="str">
            <v>JH........665850A</v>
          </cell>
          <cell r="B98" t="str">
            <v>1999T12</v>
          </cell>
          <cell r="C98" t="str">
            <v xml:space="preserve">M10      </v>
          </cell>
          <cell r="D98" t="str">
            <v xml:space="preserve">Monthly Actual vs Plan                            </v>
          </cell>
          <cell r="E98" t="str">
            <v>Run: 01/13/00 10:16:47</v>
          </cell>
          <cell r="F98" t="str">
            <v>999</v>
          </cell>
          <cell r="G98" t="str">
            <v>100</v>
          </cell>
          <cell r="H98" t="str">
            <v xml:space="preserve">Bank Of America Management Reporting              </v>
          </cell>
          <cell r="I98" t="str">
            <v>001</v>
          </cell>
          <cell r="J98" t="str">
            <v>JH........</v>
          </cell>
          <cell r="K98" t="str">
            <v xml:space="preserve">Consumer Finance Services Group                   </v>
          </cell>
          <cell r="L98" t="str">
            <v xml:space="preserve"> </v>
          </cell>
          <cell r="M98" t="str">
            <v xml:space="preserve"> </v>
          </cell>
          <cell r="N98" t="str">
            <v>bamgt</v>
          </cell>
          <cell r="O98" t="str">
            <v>40</v>
          </cell>
          <cell r="P98" t="str">
            <v>600000A  665499A  665850A  999999999999999999999999999999999999999999999</v>
          </cell>
          <cell r="Q98" t="str">
            <v xml:space="preserve">none     </v>
          </cell>
          <cell r="R98" t="str">
            <v>Final Profit Plan</v>
          </cell>
          <cell r="S98" t="str">
            <v>Final Profit Plan</v>
          </cell>
          <cell r="T98" t="str">
            <v xml:space="preserve"> </v>
          </cell>
          <cell r="U98" t="str">
            <v xml:space="preserve"> </v>
          </cell>
          <cell r="V98">
            <v>107.32716000000001</v>
          </cell>
          <cell r="W98">
            <v>281.14999999999998</v>
          </cell>
          <cell r="X98">
            <v>173.82284000000001</v>
          </cell>
          <cell r="Y98">
            <v>-32.311680000000003</v>
          </cell>
          <cell r="Z98" t="str">
            <v xml:space="preserve">     </v>
          </cell>
          <cell r="AA98" t="str">
            <v>665850A</v>
          </cell>
          <cell r="AB98" t="str">
            <v>3</v>
          </cell>
          <cell r="AC98" t="str">
            <v>Foreclosed Properties Expense</v>
          </cell>
          <cell r="AD98">
            <v>1074.7850599999999</v>
          </cell>
          <cell r="AE98">
            <v>3373.8</v>
          </cell>
          <cell r="AF98">
            <v>2299.01494</v>
          </cell>
          <cell r="AG98">
            <v>68.143189874918505</v>
          </cell>
          <cell r="AH98" t="str">
            <v xml:space="preserve">U.S. Dollar                   </v>
          </cell>
        </row>
        <row r="99">
          <cell r="A99" t="str">
            <v>JH........NIEBA-B</v>
          </cell>
          <cell r="B99" t="str">
            <v>1999T12</v>
          </cell>
          <cell r="C99" t="str">
            <v xml:space="preserve">M10      </v>
          </cell>
          <cell r="D99" t="str">
            <v xml:space="preserve">Monthly Actual vs Plan                            </v>
          </cell>
          <cell r="E99" t="str">
            <v>Run: 01/13/00 10:16:47</v>
          </cell>
          <cell r="F99" t="str">
            <v>999</v>
          </cell>
          <cell r="G99" t="str">
            <v>100</v>
          </cell>
          <cell r="H99" t="str">
            <v xml:space="preserve">Bank Of America Management Reporting              </v>
          </cell>
          <cell r="I99" t="str">
            <v>001</v>
          </cell>
          <cell r="J99" t="str">
            <v>JH........</v>
          </cell>
          <cell r="K99" t="str">
            <v xml:space="preserve">Consumer Finance Services Group                   </v>
          </cell>
          <cell r="L99" t="str">
            <v xml:space="preserve"> </v>
          </cell>
          <cell r="M99" t="str">
            <v xml:space="preserve"> </v>
          </cell>
          <cell r="N99" t="str">
            <v>bamgt</v>
          </cell>
          <cell r="O99" t="str">
            <v>40</v>
          </cell>
          <cell r="P99" t="str">
            <v xml:space="preserve">600000A  675000A  999999999999999999999999999NIEBA-B                    </v>
          </cell>
          <cell r="Q99" t="str">
            <v xml:space="preserve">none     </v>
          </cell>
          <cell r="R99" t="str">
            <v>Final Profit Plan</v>
          </cell>
          <cell r="S99" t="str">
            <v>Final Profit Plan</v>
          </cell>
          <cell r="T99" t="str">
            <v xml:space="preserve"> </v>
          </cell>
          <cell r="U99" t="str">
            <v xml:space="preserve"> </v>
          </cell>
          <cell r="V99">
            <v>12231.51146</v>
          </cell>
          <cell r="W99">
            <v>12330.796399999999</v>
          </cell>
          <cell r="X99">
            <v>99.284940000000006</v>
          </cell>
          <cell r="Y99">
            <v>-1573.09476</v>
          </cell>
          <cell r="Z99" t="str">
            <v xml:space="preserve">     </v>
          </cell>
          <cell r="AA99" t="str">
            <v>NIEBA-B</v>
          </cell>
          <cell r="AB99" t="str">
            <v>0</v>
          </cell>
          <cell r="AC99" t="str">
            <v>Sub-Tot Non Int Exp Before Cost</v>
          </cell>
          <cell r="AD99">
            <v>138256.17877</v>
          </cell>
          <cell r="AE99">
            <v>151602.37590000001</v>
          </cell>
          <cell r="AF99">
            <v>13346.19713</v>
          </cell>
          <cell r="AG99">
            <v>8.8034221434652302</v>
          </cell>
          <cell r="AH99" t="str">
            <v xml:space="preserve">U.S. Dollar                   </v>
          </cell>
        </row>
        <row r="100">
          <cell r="A100" t="str">
            <v>JH........830130A</v>
          </cell>
          <cell r="B100" t="str">
            <v>1999T12</v>
          </cell>
          <cell r="C100" t="str">
            <v xml:space="preserve">M10      </v>
          </cell>
          <cell r="D100" t="str">
            <v xml:space="preserve">Monthly Actual vs Plan                            </v>
          </cell>
          <cell r="E100" t="str">
            <v>Run: 01/13/00 10:16:47</v>
          </cell>
          <cell r="F100" t="str">
            <v>999</v>
          </cell>
          <cell r="G100" t="str">
            <v>100</v>
          </cell>
          <cell r="H100" t="str">
            <v xml:space="preserve">Bank Of America Management Reporting              </v>
          </cell>
          <cell r="I100" t="str">
            <v>001</v>
          </cell>
          <cell r="J100" t="str">
            <v>JH........</v>
          </cell>
          <cell r="K100" t="str">
            <v xml:space="preserve">Consumer Finance Services Group                   </v>
          </cell>
          <cell r="L100" t="str">
            <v xml:space="preserve"> </v>
          </cell>
          <cell r="M100" t="str">
            <v xml:space="preserve"> </v>
          </cell>
          <cell r="N100" t="str">
            <v>bamgt</v>
          </cell>
          <cell r="O100" t="str">
            <v>05</v>
          </cell>
          <cell r="P100" t="str">
            <v>830130A  999999999999999999999999999999999999999999999999999999999999999</v>
          </cell>
          <cell r="Q100" t="str">
            <v xml:space="preserve">none     </v>
          </cell>
          <cell r="R100" t="str">
            <v>Final Profit Plan</v>
          </cell>
          <cell r="S100" t="str">
            <v>Final Profit Plan</v>
          </cell>
          <cell r="T100" t="str">
            <v xml:space="preserve"> </v>
          </cell>
          <cell r="U100" t="str">
            <v xml:space="preserve"> </v>
          </cell>
          <cell r="V100">
            <v>2322.56</v>
          </cell>
          <cell r="W100">
            <v>2521</v>
          </cell>
          <cell r="X100">
            <v>-198.44</v>
          </cell>
          <cell r="Y100">
            <v>-18.63</v>
          </cell>
          <cell r="Z100" t="str">
            <v xml:space="preserve">     </v>
          </cell>
          <cell r="AA100" t="str">
            <v>830130A</v>
          </cell>
          <cell r="AB100" t="str">
            <v>1</v>
          </cell>
          <cell r="AC100" t="str">
            <v>Full Time Equivalent Staff</v>
          </cell>
          <cell r="AD100">
            <v>2409.15</v>
          </cell>
          <cell r="AE100">
            <v>2521.83</v>
          </cell>
          <cell r="AF100">
            <v>-112.68</v>
          </cell>
          <cell r="AG100">
            <v>-4.4681838188934204</v>
          </cell>
          <cell r="AH100" t="str">
            <v xml:space="preserve">U.S. Dollar                   </v>
          </cell>
        </row>
        <row r="101">
          <cell r="A101" t="str">
            <v>JN........130100</v>
          </cell>
          <cell r="B101" t="str">
            <v>1999T12</v>
          </cell>
          <cell r="C101" t="str">
            <v xml:space="preserve">M10      </v>
          </cell>
          <cell r="D101" t="str">
            <v xml:space="preserve">Monthly Actual vs Plan                            </v>
          </cell>
          <cell r="E101" t="str">
            <v>Run: 01/13/00 10:16:47</v>
          </cell>
          <cell r="F101" t="str">
            <v>999</v>
          </cell>
          <cell r="G101" t="str">
            <v>100</v>
          </cell>
          <cell r="H101" t="str">
            <v xml:space="preserve">Bank Of America Management Reporting              </v>
          </cell>
          <cell r="I101" t="str">
            <v>001</v>
          </cell>
          <cell r="J101" t="str">
            <v>JN........</v>
          </cell>
          <cell r="K101" t="str">
            <v xml:space="preserve">Cfg Real Estate                                   </v>
          </cell>
          <cell r="L101" t="str">
            <v xml:space="preserve"> </v>
          </cell>
          <cell r="M101" t="str">
            <v xml:space="preserve"> </v>
          </cell>
          <cell r="N101" t="str">
            <v>bamgt</v>
          </cell>
          <cell r="O101" t="str">
            <v>01</v>
          </cell>
          <cell r="P101" t="str">
            <v>100000   100099A  130100   999999999999999999999999999999999999999999999</v>
          </cell>
          <cell r="Q101" t="str">
            <v xml:space="preserve">none     </v>
          </cell>
          <cell r="R101" t="str">
            <v>Final Profit Plan</v>
          </cell>
          <cell r="S101" t="str">
            <v>Final Profit Plan</v>
          </cell>
          <cell r="T101" t="str">
            <v xml:space="preserve"> </v>
          </cell>
          <cell r="U101" t="str">
            <v xml:space="preserve"> </v>
          </cell>
          <cell r="V101">
            <v>0</v>
          </cell>
          <cell r="W101">
            <v>-0.02</v>
          </cell>
          <cell r="X101">
            <v>0.02</v>
          </cell>
          <cell r="Y101">
            <v>0</v>
          </cell>
          <cell r="Z101" t="str">
            <v xml:space="preserve">     </v>
          </cell>
          <cell r="AA101" t="str">
            <v>130100</v>
          </cell>
          <cell r="AB101" t="str">
            <v>3</v>
          </cell>
          <cell r="AC101" t="str">
            <v>Commercial</v>
          </cell>
          <cell r="AD101">
            <v>0</v>
          </cell>
          <cell r="AE101">
            <v>-0.02</v>
          </cell>
          <cell r="AF101">
            <v>0.02</v>
          </cell>
          <cell r="AG101">
            <v>100</v>
          </cell>
          <cell r="AH101" t="str">
            <v xml:space="preserve">U.S. Dollar                   </v>
          </cell>
        </row>
        <row r="102">
          <cell r="A102" t="str">
            <v>JN........100099A</v>
          </cell>
          <cell r="B102" t="str">
            <v>1999T12</v>
          </cell>
          <cell r="C102" t="str">
            <v xml:space="preserve">M10      </v>
          </cell>
          <cell r="D102" t="str">
            <v xml:space="preserve">Monthly Actual vs Plan                            </v>
          </cell>
          <cell r="E102" t="str">
            <v>Run: 01/13/00 10:16:47</v>
          </cell>
          <cell r="F102" t="str">
            <v>999</v>
          </cell>
          <cell r="G102" t="str">
            <v>100</v>
          </cell>
          <cell r="H102" t="str">
            <v xml:space="preserve">Bank Of America Management Reporting              </v>
          </cell>
          <cell r="I102" t="str">
            <v>001</v>
          </cell>
          <cell r="J102" t="str">
            <v>JN........</v>
          </cell>
          <cell r="K102" t="str">
            <v xml:space="preserve">Cfg Real Estate                                   </v>
          </cell>
          <cell r="L102" t="str">
            <v xml:space="preserve"> </v>
          </cell>
          <cell r="M102" t="str">
            <v xml:space="preserve"> </v>
          </cell>
          <cell r="N102" t="str">
            <v>bamgt</v>
          </cell>
          <cell r="O102" t="str">
            <v>01</v>
          </cell>
          <cell r="P102" t="str">
            <v>100000   100099A  999999999999999999999999999999999999999999999999999999</v>
          </cell>
          <cell r="Q102" t="str">
            <v xml:space="preserve">none     </v>
          </cell>
          <cell r="R102" t="str">
            <v>Final Profit Plan</v>
          </cell>
          <cell r="S102" t="str">
            <v>Final Profit Plan</v>
          </cell>
          <cell r="T102" t="str">
            <v xml:space="preserve"> </v>
          </cell>
          <cell r="U102" t="str">
            <v xml:space="preserve"> </v>
          </cell>
          <cell r="V102">
            <v>15593202.88263</v>
          </cell>
          <cell r="W102">
            <v>7413816.9500000002</v>
          </cell>
          <cell r="X102">
            <v>8179385.9326299997</v>
          </cell>
          <cell r="Y102">
            <v>801784.12320999999</v>
          </cell>
          <cell r="Z102" t="str">
            <v xml:space="preserve">     </v>
          </cell>
          <cell r="AA102" t="str">
            <v>100099A</v>
          </cell>
          <cell r="AB102" t="str">
            <v>2</v>
          </cell>
          <cell r="AC102" t="str">
            <v>Total Loans &amp; Leases</v>
          </cell>
          <cell r="AD102">
            <v>11774296.61915</v>
          </cell>
          <cell r="AE102">
            <v>6919272.1280800002</v>
          </cell>
          <cell r="AF102">
            <v>4855024.4910700005</v>
          </cell>
          <cell r="AG102">
            <v>70.166693854505198</v>
          </cell>
          <cell r="AH102" t="str">
            <v xml:space="preserve">U.S. Dollar                   </v>
          </cell>
        </row>
        <row r="103">
          <cell r="A103" t="str">
            <v>JN........EARN-B</v>
          </cell>
          <cell r="B103" t="str">
            <v>1999T12</v>
          </cell>
          <cell r="C103" t="str">
            <v xml:space="preserve">M10      </v>
          </cell>
          <cell r="D103" t="str">
            <v xml:space="preserve">Monthly Actual vs Plan                            </v>
          </cell>
          <cell r="E103" t="str">
            <v>Run: 01/13/00 10:16:47</v>
          </cell>
          <cell r="F103" t="str">
            <v>999</v>
          </cell>
          <cell r="G103" t="str">
            <v>100</v>
          </cell>
          <cell r="H103" t="str">
            <v xml:space="preserve">Bank Of America Management Reporting              </v>
          </cell>
          <cell r="I103" t="str">
            <v>001</v>
          </cell>
          <cell r="J103" t="str">
            <v>JN........</v>
          </cell>
          <cell r="K103" t="str">
            <v xml:space="preserve">Cfg Real Estate                                   </v>
          </cell>
          <cell r="L103" t="str">
            <v xml:space="preserve"> </v>
          </cell>
          <cell r="M103" t="str">
            <v xml:space="preserve"> </v>
          </cell>
          <cell r="N103" t="str">
            <v>bamgt</v>
          </cell>
          <cell r="O103" t="str">
            <v>01</v>
          </cell>
          <cell r="P103" t="str">
            <v xml:space="preserve">100000   128999C 9999999999EARN-B                                       </v>
          </cell>
          <cell r="Q103" t="str">
            <v xml:space="preserve">none     </v>
          </cell>
          <cell r="R103" t="str">
            <v>Final Profit Plan</v>
          </cell>
          <cell r="S103" t="str">
            <v>Final Profit Plan</v>
          </cell>
          <cell r="T103" t="str">
            <v xml:space="preserve"> </v>
          </cell>
          <cell r="U103" t="str">
            <v xml:space="preserve"> </v>
          </cell>
          <cell r="V103">
            <v>15710369.937270001</v>
          </cell>
          <cell r="W103">
            <v>7485123.9500000002</v>
          </cell>
          <cell r="X103">
            <v>8225245.9872700004</v>
          </cell>
          <cell r="Y103">
            <v>806523.55272000004</v>
          </cell>
          <cell r="Z103" t="str">
            <v xml:space="preserve">     </v>
          </cell>
          <cell r="AA103" t="str">
            <v>EARN-B</v>
          </cell>
          <cell r="AB103" t="str">
            <v>0</v>
          </cell>
          <cell r="AC103" t="str">
            <v>Total Earning Assets</v>
          </cell>
          <cell r="AD103">
            <v>11914880.97525</v>
          </cell>
          <cell r="AE103">
            <v>6998420.0349300001</v>
          </cell>
          <cell r="AF103">
            <v>4916460.9403200001</v>
          </cell>
          <cell r="AG103">
            <v>70.251012596862196</v>
          </cell>
          <cell r="AH103" t="str">
            <v xml:space="preserve">U.S. Dollar                   </v>
          </cell>
        </row>
        <row r="104">
          <cell r="A104" t="str">
            <v>JN........TOTDEP-B</v>
          </cell>
          <cell r="B104" t="str">
            <v>1999T12</v>
          </cell>
          <cell r="C104" t="str">
            <v xml:space="preserve">M10      </v>
          </cell>
          <cell r="D104" t="str">
            <v xml:space="preserve">Monthly Actual vs Plan                            </v>
          </cell>
          <cell r="E104" t="str">
            <v>Run: 01/13/00 10:16:47</v>
          </cell>
          <cell r="F104" t="str">
            <v>999</v>
          </cell>
          <cell r="G104" t="str">
            <v>100</v>
          </cell>
          <cell r="H104" t="str">
            <v xml:space="preserve">Bank Of America Management Reporting              </v>
          </cell>
          <cell r="I104" t="str">
            <v>001</v>
          </cell>
          <cell r="J104" t="str">
            <v>JN........</v>
          </cell>
          <cell r="K104" t="str">
            <v xml:space="preserve">Cfg Real Estate                                   </v>
          </cell>
          <cell r="L104" t="str">
            <v xml:space="preserve"> </v>
          </cell>
          <cell r="M104" t="str">
            <v xml:space="preserve"> </v>
          </cell>
          <cell r="N104" t="str">
            <v>bamgt</v>
          </cell>
          <cell r="O104" t="str">
            <v>05</v>
          </cell>
          <cell r="P104" t="str">
            <v xml:space="preserve">200000TOTDEP-B                                                          </v>
          </cell>
          <cell r="Q104" t="str">
            <v xml:space="preserve">none     </v>
          </cell>
          <cell r="R104" t="str">
            <v>Final Profit Plan</v>
          </cell>
          <cell r="S104" t="str">
            <v>Final Profit Plan</v>
          </cell>
          <cell r="T104" t="str">
            <v xml:space="preserve"> </v>
          </cell>
          <cell r="U104" t="str">
            <v xml:space="preserve"> </v>
          </cell>
          <cell r="V104">
            <v>0</v>
          </cell>
          <cell r="W104">
            <v>12</v>
          </cell>
          <cell r="X104">
            <v>-12</v>
          </cell>
          <cell r="Y104">
            <v>0</v>
          </cell>
          <cell r="Z104" t="str">
            <v xml:space="preserve">     </v>
          </cell>
          <cell r="AA104" t="str">
            <v>TOTDEP-B</v>
          </cell>
          <cell r="AB104" t="str">
            <v>0</v>
          </cell>
          <cell r="AC104" t="str">
            <v>Total Deposits</v>
          </cell>
          <cell r="AD104">
            <v>-9.6677300000000006</v>
          </cell>
          <cell r="AE104">
            <v>9.9260300000000008</v>
          </cell>
          <cell r="AF104">
            <v>-19.59376</v>
          </cell>
          <cell r="AG104">
            <v>-197.39775116537001</v>
          </cell>
          <cell r="AH104" t="str">
            <v xml:space="preserve">U.S. Dollar                   </v>
          </cell>
        </row>
        <row r="105">
          <cell r="A105" t="str">
            <v>JN........300000</v>
          </cell>
          <cell r="B105" t="str">
            <v>1999T12</v>
          </cell>
          <cell r="C105" t="str">
            <v xml:space="preserve">M10      </v>
          </cell>
          <cell r="D105" t="str">
            <v xml:space="preserve">Monthly Actual vs Plan                            </v>
          </cell>
          <cell r="E105" t="str">
            <v>Run: 01/13/00 10:16:47</v>
          </cell>
          <cell r="F105" t="str">
            <v>999</v>
          </cell>
          <cell r="G105" t="str">
            <v>100</v>
          </cell>
          <cell r="H105" t="str">
            <v xml:space="preserve">Bank Of America Management Reporting              </v>
          </cell>
          <cell r="I105" t="str">
            <v>001</v>
          </cell>
          <cell r="J105" t="str">
            <v>JN........</v>
          </cell>
          <cell r="K105" t="str">
            <v xml:space="preserve">Cfg Real Estate                                   </v>
          </cell>
          <cell r="L105" t="str">
            <v xml:space="preserve"> </v>
          </cell>
          <cell r="M105" t="str">
            <v xml:space="preserve"> </v>
          </cell>
          <cell r="N105" t="str">
            <v>bamgt</v>
          </cell>
          <cell r="O105" t="str">
            <v>20</v>
          </cell>
          <cell r="P105" t="str">
            <v>300000   999999999999999999999999999999999999999999999999999999999999999</v>
          </cell>
          <cell r="Q105" t="str">
            <v xml:space="preserve">none     </v>
          </cell>
          <cell r="R105" t="str">
            <v>Final Profit Plan</v>
          </cell>
          <cell r="S105" t="str">
            <v>Final Profit Plan</v>
          </cell>
          <cell r="T105" t="str">
            <v xml:space="preserve"> </v>
          </cell>
          <cell r="U105" t="str">
            <v xml:space="preserve"> </v>
          </cell>
          <cell r="V105">
            <v>105342.24791999999</v>
          </cell>
          <cell r="W105">
            <v>56475.1993</v>
          </cell>
          <cell r="X105">
            <v>48867.048620000001</v>
          </cell>
          <cell r="Y105">
            <v>6372.1990400000004</v>
          </cell>
          <cell r="Z105" t="str">
            <v xml:space="preserve">     </v>
          </cell>
          <cell r="AA105" t="str">
            <v>300000</v>
          </cell>
          <cell r="AB105" t="str">
            <v>1</v>
          </cell>
          <cell r="AC105" t="str">
            <v>Interest Income On Assets</v>
          </cell>
          <cell r="AD105">
            <v>1017559.504</v>
          </cell>
          <cell r="AE105">
            <v>655209.98106000002</v>
          </cell>
          <cell r="AF105">
            <v>362349.52294</v>
          </cell>
          <cell r="AG105">
            <v>55.302808781055198</v>
          </cell>
          <cell r="AH105" t="str">
            <v xml:space="preserve">U.S. Dollar                   </v>
          </cell>
        </row>
        <row r="106">
          <cell r="A106" t="str">
            <v>JN........400000</v>
          </cell>
          <cell r="B106" t="str">
            <v>1999T12</v>
          </cell>
          <cell r="C106" t="str">
            <v xml:space="preserve">M10      </v>
          </cell>
          <cell r="D106" t="str">
            <v xml:space="preserve">Monthly Actual vs Plan                            </v>
          </cell>
          <cell r="E106" t="str">
            <v>Run: 01/13/00 10:16:47</v>
          </cell>
          <cell r="F106" t="str">
            <v>999</v>
          </cell>
          <cell r="G106" t="str">
            <v>100</v>
          </cell>
          <cell r="H106" t="str">
            <v xml:space="preserve">Bank Of America Management Reporting              </v>
          </cell>
          <cell r="I106" t="str">
            <v>001</v>
          </cell>
          <cell r="J106" t="str">
            <v>JN........</v>
          </cell>
          <cell r="K106" t="str">
            <v xml:space="preserve">Cfg Real Estate                                   </v>
          </cell>
          <cell r="L106" t="str">
            <v xml:space="preserve"> </v>
          </cell>
          <cell r="M106" t="str">
            <v xml:space="preserve"> </v>
          </cell>
          <cell r="N106" t="str">
            <v>bamgt</v>
          </cell>
          <cell r="O106" t="str">
            <v>25</v>
          </cell>
          <cell r="P106" t="str">
            <v>400000   999999999999999999999999999999999999999999999999999999999999999</v>
          </cell>
          <cell r="Q106" t="str">
            <v xml:space="preserve">none     </v>
          </cell>
          <cell r="R106" t="str">
            <v>Final Profit Plan</v>
          </cell>
          <cell r="S106" t="str">
            <v>Final Profit Plan</v>
          </cell>
          <cell r="T106" t="str">
            <v xml:space="preserve"> </v>
          </cell>
          <cell r="U106" t="str">
            <v xml:space="preserve"> </v>
          </cell>
          <cell r="V106">
            <v>0</v>
          </cell>
          <cell r="W106">
            <v>0</v>
          </cell>
          <cell r="X106">
            <v>0</v>
          </cell>
          <cell r="Y106">
            <v>101.69741</v>
          </cell>
          <cell r="Z106" t="str">
            <v xml:space="preserve">     </v>
          </cell>
          <cell r="AA106" t="str">
            <v>400000</v>
          </cell>
          <cell r="AB106" t="str">
            <v>1</v>
          </cell>
          <cell r="AC106" t="str">
            <v>Interest Expense On Liabilities</v>
          </cell>
          <cell r="AD106">
            <v>-233.28439</v>
          </cell>
          <cell r="AE106">
            <v>0</v>
          </cell>
          <cell r="AF106">
            <v>233.28439</v>
          </cell>
          <cell r="AG106">
            <v>0</v>
          </cell>
          <cell r="AH106" t="str">
            <v xml:space="preserve">U.S. Dollar                   </v>
          </cell>
        </row>
        <row r="107">
          <cell r="A107" t="str">
            <v>JN........510000</v>
          </cell>
          <cell r="B107" t="str">
            <v>1999T12</v>
          </cell>
          <cell r="C107" t="str">
            <v xml:space="preserve">M10      </v>
          </cell>
          <cell r="D107" t="str">
            <v xml:space="preserve">Monthly Actual vs Plan                            </v>
          </cell>
          <cell r="E107" t="str">
            <v>Run: 01/13/00 10:16:47</v>
          </cell>
          <cell r="F107" t="str">
            <v>999</v>
          </cell>
          <cell r="G107" t="str">
            <v>100</v>
          </cell>
          <cell r="H107" t="str">
            <v xml:space="preserve">Bank Of America Management Reporting              </v>
          </cell>
          <cell r="I107" t="str">
            <v>001</v>
          </cell>
          <cell r="J107" t="str">
            <v>JN........</v>
          </cell>
          <cell r="K107" t="str">
            <v xml:space="preserve">Cfg Real Estate                                   </v>
          </cell>
          <cell r="L107" t="str">
            <v xml:space="preserve"> </v>
          </cell>
          <cell r="M107" t="str">
            <v xml:space="preserve"> </v>
          </cell>
          <cell r="N107" t="str">
            <v>bamgt</v>
          </cell>
          <cell r="O107" t="str">
            <v>35</v>
          </cell>
          <cell r="P107" t="str">
            <v>500099A  510000   999999999999999999999999999999999999999999999999999999</v>
          </cell>
          <cell r="Q107" t="str">
            <v xml:space="preserve">none     </v>
          </cell>
          <cell r="R107" t="str">
            <v>Final Profit Plan</v>
          </cell>
          <cell r="S107" t="str">
            <v>Final Profit Plan</v>
          </cell>
          <cell r="T107" t="str">
            <v xml:space="preserve"> </v>
          </cell>
          <cell r="U107" t="str">
            <v xml:space="preserve"> </v>
          </cell>
          <cell r="V107">
            <v>56.683970000000002</v>
          </cell>
          <cell r="W107">
            <v>0</v>
          </cell>
          <cell r="X107">
            <v>56.683970000000002</v>
          </cell>
          <cell r="Y107">
            <v>20.47503</v>
          </cell>
          <cell r="Z107" t="str">
            <v xml:space="preserve">     </v>
          </cell>
          <cell r="AA107" t="str">
            <v>510000</v>
          </cell>
          <cell r="AB107" t="str">
            <v>2</v>
          </cell>
          <cell r="AC107" t="str">
            <v>Service Charges On Deposit Accounts</v>
          </cell>
          <cell r="AD107">
            <v>251.61506</v>
          </cell>
          <cell r="AE107">
            <v>0</v>
          </cell>
          <cell r="AF107">
            <v>251.61506</v>
          </cell>
          <cell r="AG107">
            <v>0</v>
          </cell>
          <cell r="AH107" t="str">
            <v xml:space="preserve">U.S. Dollar                   </v>
          </cell>
        </row>
        <row r="108">
          <cell r="A108" t="str">
            <v>JN........560200A</v>
          </cell>
          <cell r="B108" t="str">
            <v>1999T12</v>
          </cell>
          <cell r="C108" t="str">
            <v xml:space="preserve">M10      </v>
          </cell>
          <cell r="D108" t="str">
            <v xml:space="preserve">Monthly Actual vs Plan                            </v>
          </cell>
          <cell r="E108" t="str">
            <v>Run: 01/13/00 10:16:47</v>
          </cell>
          <cell r="F108" t="str">
            <v>999</v>
          </cell>
          <cell r="G108" t="str">
            <v>100</v>
          </cell>
          <cell r="H108" t="str">
            <v xml:space="preserve">Bank Of America Management Reporting              </v>
          </cell>
          <cell r="I108" t="str">
            <v>001</v>
          </cell>
          <cell r="J108" t="str">
            <v>JN........</v>
          </cell>
          <cell r="K108" t="str">
            <v xml:space="preserve">Cfg Real Estate                                   </v>
          </cell>
          <cell r="L108" t="str">
            <v xml:space="preserve"> </v>
          </cell>
          <cell r="M108" t="str">
            <v xml:space="preserve"> </v>
          </cell>
          <cell r="N108" t="str">
            <v>bamgt</v>
          </cell>
          <cell r="O108" t="str">
            <v>35</v>
          </cell>
          <cell r="P108" t="str">
            <v>500099A  557900   560200A  999999999999999999999999999999999999999999999</v>
          </cell>
          <cell r="Q108" t="str">
            <v xml:space="preserve">none     </v>
          </cell>
          <cell r="R108" t="str">
            <v>Final Profit Plan</v>
          </cell>
          <cell r="S108" t="str">
            <v>Final Profit Plan</v>
          </cell>
          <cell r="T108" t="str">
            <v xml:space="preserve"> </v>
          </cell>
          <cell r="U108" t="str">
            <v xml:space="preserve"> </v>
          </cell>
          <cell r="V108">
            <v>36763.841249999998</v>
          </cell>
          <cell r="W108">
            <v>-585</v>
          </cell>
          <cell r="X108">
            <v>37348.841249999998</v>
          </cell>
          <cell r="Y108">
            <v>30909.037649999998</v>
          </cell>
          <cell r="Z108" t="str">
            <v xml:space="preserve">     </v>
          </cell>
          <cell r="AA108" t="str">
            <v>560200A</v>
          </cell>
          <cell r="AB108" t="str">
            <v>3</v>
          </cell>
          <cell r="AC108" t="str">
            <v>Gains &amp; Losses</v>
          </cell>
          <cell r="AD108">
            <v>-4161.5153399999999</v>
          </cell>
          <cell r="AE108">
            <v>-43620</v>
          </cell>
          <cell r="AF108">
            <v>39458.484660000002</v>
          </cell>
          <cell r="AG108">
            <v>90.459616368638194</v>
          </cell>
          <cell r="AH108" t="str">
            <v xml:space="preserve">U.S. Dollar                   </v>
          </cell>
        </row>
        <row r="109">
          <cell r="A109" t="str">
            <v>JN........500099A</v>
          </cell>
          <cell r="B109" t="str">
            <v>1999T12</v>
          </cell>
          <cell r="C109" t="str">
            <v xml:space="preserve">M10      </v>
          </cell>
          <cell r="D109" t="str">
            <v xml:space="preserve">Monthly Actual vs Plan                            </v>
          </cell>
          <cell r="E109" t="str">
            <v>Run: 01/13/00 10:16:47</v>
          </cell>
          <cell r="F109" t="str">
            <v>999</v>
          </cell>
          <cell r="G109" t="str">
            <v>100</v>
          </cell>
          <cell r="H109" t="str">
            <v xml:space="preserve">Bank Of America Management Reporting              </v>
          </cell>
          <cell r="I109" t="str">
            <v>001</v>
          </cell>
          <cell r="J109" t="str">
            <v>JN........</v>
          </cell>
          <cell r="K109" t="str">
            <v xml:space="preserve">Cfg Real Estate                                   </v>
          </cell>
          <cell r="L109" t="str">
            <v xml:space="preserve"> </v>
          </cell>
          <cell r="M109" t="str">
            <v xml:space="preserve"> </v>
          </cell>
          <cell r="N109" t="str">
            <v>bamgt</v>
          </cell>
          <cell r="O109" t="str">
            <v>35</v>
          </cell>
          <cell r="P109" t="str">
            <v>500099A  999999999999999999999999999999999999999999999999999999999999999</v>
          </cell>
          <cell r="Q109" t="str">
            <v xml:space="preserve">none     </v>
          </cell>
          <cell r="R109" t="str">
            <v>Final Profit Plan</v>
          </cell>
          <cell r="S109" t="str">
            <v>Final Profit Plan</v>
          </cell>
          <cell r="T109" t="str">
            <v xml:space="preserve"> </v>
          </cell>
          <cell r="U109" t="str">
            <v xml:space="preserve"> </v>
          </cell>
          <cell r="V109">
            <v>46354.074209999999</v>
          </cell>
          <cell r="W109">
            <v>9910</v>
          </cell>
          <cell r="X109">
            <v>36444.074209999999</v>
          </cell>
          <cell r="Y109">
            <v>27784.588009999999</v>
          </cell>
          <cell r="Z109" t="str">
            <v xml:space="preserve">     </v>
          </cell>
          <cell r="AA109" t="str">
            <v>500099A</v>
          </cell>
          <cell r="AB109" t="str">
            <v>1</v>
          </cell>
          <cell r="AC109" t="str">
            <v>Total Non-Interest Income</v>
          </cell>
          <cell r="AD109">
            <v>274166.73418999999</v>
          </cell>
          <cell r="AE109">
            <v>267949</v>
          </cell>
          <cell r="AF109">
            <v>6217.7341900000001</v>
          </cell>
          <cell r="AG109">
            <v>2.3204916569944301</v>
          </cell>
          <cell r="AH109" t="str">
            <v xml:space="preserve">U.S. Dollar                   </v>
          </cell>
        </row>
        <row r="110">
          <cell r="A110" t="str">
            <v>JN........599999C</v>
          </cell>
          <cell r="B110" t="str">
            <v>1999T12</v>
          </cell>
          <cell r="C110" t="str">
            <v xml:space="preserve">M10      </v>
          </cell>
          <cell r="D110" t="str">
            <v xml:space="preserve">Monthly Actual vs Plan                            </v>
          </cell>
          <cell r="E110" t="str">
            <v>Run: 01/13/00 10:16:47</v>
          </cell>
          <cell r="F110" t="str">
            <v>999</v>
          </cell>
          <cell r="G110" t="str">
            <v>100</v>
          </cell>
          <cell r="H110" t="str">
            <v xml:space="preserve">Bank Of America Management Reporting              </v>
          </cell>
          <cell r="I110" t="str">
            <v>001</v>
          </cell>
          <cell r="J110" t="str">
            <v>JN........</v>
          </cell>
          <cell r="K110" t="str">
            <v xml:space="preserve">Cfg Real Estate                                   </v>
          </cell>
          <cell r="L110" t="str">
            <v xml:space="preserve"> </v>
          </cell>
          <cell r="M110" t="str">
            <v xml:space="preserve"> </v>
          </cell>
          <cell r="N110" t="str">
            <v>bamgt</v>
          </cell>
          <cell r="O110" t="str">
            <v>30</v>
          </cell>
          <cell r="P110" t="str">
            <v>599999B  599999C  999999999999999999999999999999999999999999999999999999</v>
          </cell>
          <cell r="Q110" t="str">
            <v xml:space="preserve">none     </v>
          </cell>
          <cell r="R110" t="str">
            <v>Final Profit Plan</v>
          </cell>
          <cell r="S110" t="str">
            <v>Final Profit Plan</v>
          </cell>
          <cell r="T110" t="str">
            <v xml:space="preserve"> </v>
          </cell>
          <cell r="U110" t="str">
            <v xml:space="preserve"> </v>
          </cell>
          <cell r="V110">
            <v>64104.275130000002</v>
          </cell>
          <cell r="W110">
            <v>8258.3539999999994</v>
          </cell>
          <cell r="X110">
            <v>-55845.921130000002</v>
          </cell>
          <cell r="Y110">
            <v>-38451.3609</v>
          </cell>
          <cell r="Z110" t="str">
            <v xml:space="preserve">     </v>
          </cell>
          <cell r="AA110" t="str">
            <v>599999C</v>
          </cell>
          <cell r="AB110" t="str">
            <v>2</v>
          </cell>
          <cell r="AC110" t="str">
            <v>Provision For Credit Losses - Direct</v>
          </cell>
          <cell r="AD110">
            <v>222638.12770000001</v>
          </cell>
          <cell r="AE110">
            <v>76784.3</v>
          </cell>
          <cell r="AF110">
            <v>-145853.82769999999</v>
          </cell>
          <cell r="AG110">
            <v>-189.95266962126399</v>
          </cell>
          <cell r="AH110" t="str">
            <v xml:space="preserve">U.S. Dollar                   </v>
          </cell>
        </row>
        <row r="111">
          <cell r="A111" t="str">
            <v>JN........600250</v>
          </cell>
          <cell r="B111" t="str">
            <v>1999T12</v>
          </cell>
          <cell r="C111" t="str">
            <v xml:space="preserve">M10      </v>
          </cell>
          <cell r="D111" t="str">
            <v xml:space="preserve">Monthly Actual vs Plan                            </v>
          </cell>
          <cell r="E111" t="str">
            <v>Run: 01/13/00 10:16:47</v>
          </cell>
          <cell r="F111" t="str">
            <v>999</v>
          </cell>
          <cell r="G111" t="str">
            <v>100</v>
          </cell>
          <cell r="H111" t="str">
            <v xml:space="preserve">Bank Of America Management Reporting              </v>
          </cell>
          <cell r="I111" t="str">
            <v>001</v>
          </cell>
          <cell r="J111" t="str">
            <v>JN........</v>
          </cell>
          <cell r="K111" t="str">
            <v xml:space="preserve">Cfg Real Estate                                   </v>
          </cell>
          <cell r="L111" t="str">
            <v xml:space="preserve"> </v>
          </cell>
          <cell r="M111" t="str">
            <v xml:space="preserve"> </v>
          </cell>
          <cell r="N111" t="str">
            <v>bamgt</v>
          </cell>
          <cell r="O111" t="str">
            <v>40</v>
          </cell>
          <cell r="P111" t="str">
            <v>600000A  600250   999999999999999999999999999999999999999999999999999999</v>
          </cell>
          <cell r="Q111" t="str">
            <v xml:space="preserve">none     </v>
          </cell>
          <cell r="R111" t="str">
            <v>Final Profit Plan</v>
          </cell>
          <cell r="S111" t="str">
            <v>Final Profit Plan</v>
          </cell>
          <cell r="T111" t="str">
            <v xml:space="preserve"> </v>
          </cell>
          <cell r="U111" t="str">
            <v xml:space="preserve"> </v>
          </cell>
          <cell r="V111">
            <v>10769.77312</v>
          </cell>
          <cell r="W111">
            <v>15754.8935</v>
          </cell>
          <cell r="X111">
            <v>4985.1203800000003</v>
          </cell>
          <cell r="Y111">
            <v>-2145.2501299999999</v>
          </cell>
          <cell r="Z111" t="str">
            <v xml:space="preserve">     </v>
          </cell>
          <cell r="AA111" t="str">
            <v>600250</v>
          </cell>
          <cell r="AB111" t="str">
            <v>2</v>
          </cell>
          <cell r="AC111" t="str">
            <v>Personnel</v>
          </cell>
          <cell r="AD111">
            <v>140775.79800000001</v>
          </cell>
          <cell r="AE111">
            <v>128053.0938</v>
          </cell>
          <cell r="AF111">
            <v>-12722.7042</v>
          </cell>
          <cell r="AG111">
            <v>-9.9354914609646094</v>
          </cell>
          <cell r="AH111" t="str">
            <v xml:space="preserve">U.S. Dollar                   </v>
          </cell>
        </row>
        <row r="112">
          <cell r="A112" t="str">
            <v>JN........610000</v>
          </cell>
          <cell r="B112" t="str">
            <v>1999T12</v>
          </cell>
          <cell r="C112" t="str">
            <v xml:space="preserve">M10      </v>
          </cell>
          <cell r="D112" t="str">
            <v xml:space="preserve">Monthly Actual vs Plan                            </v>
          </cell>
          <cell r="E112" t="str">
            <v>Run: 01/13/00 10:16:47</v>
          </cell>
          <cell r="F112" t="str">
            <v>999</v>
          </cell>
          <cell r="G112" t="str">
            <v>100</v>
          </cell>
          <cell r="H112" t="str">
            <v xml:space="preserve">Bank Of America Management Reporting              </v>
          </cell>
          <cell r="I112" t="str">
            <v>001</v>
          </cell>
          <cell r="J112" t="str">
            <v>JN........</v>
          </cell>
          <cell r="K112" t="str">
            <v xml:space="preserve">Cfg Real Estate                                   </v>
          </cell>
          <cell r="L112" t="str">
            <v xml:space="preserve"> </v>
          </cell>
          <cell r="M112" t="str">
            <v xml:space="preserve"> </v>
          </cell>
          <cell r="N112" t="str">
            <v>bamgt</v>
          </cell>
          <cell r="O112" t="str">
            <v>40</v>
          </cell>
          <cell r="P112" t="str">
            <v>600000A  610000   999999999999999999999999999999999999999999999999999999</v>
          </cell>
          <cell r="Q112" t="str">
            <v xml:space="preserve">none     </v>
          </cell>
          <cell r="R112" t="str">
            <v>Final Profit Plan</v>
          </cell>
          <cell r="S112" t="str">
            <v>Final Profit Plan</v>
          </cell>
          <cell r="T112" t="str">
            <v xml:space="preserve"> </v>
          </cell>
          <cell r="U112" t="str">
            <v xml:space="preserve"> </v>
          </cell>
          <cell r="V112">
            <v>1436.1506300000001</v>
          </cell>
          <cell r="W112">
            <v>1309.22</v>
          </cell>
          <cell r="X112">
            <v>-126.93062999999999</v>
          </cell>
          <cell r="Y112">
            <v>95.615269999999995</v>
          </cell>
          <cell r="Z112" t="str">
            <v xml:space="preserve">     </v>
          </cell>
          <cell r="AA112" t="str">
            <v>610000</v>
          </cell>
          <cell r="AB112" t="str">
            <v>2</v>
          </cell>
          <cell r="AC112" t="str">
            <v>Net Occupancy</v>
          </cell>
          <cell r="AD112">
            <v>17721.234990000001</v>
          </cell>
          <cell r="AE112">
            <v>16749.64</v>
          </cell>
          <cell r="AF112">
            <v>-971.59499000000005</v>
          </cell>
          <cell r="AG112">
            <v>-5.8006917760620498</v>
          </cell>
          <cell r="AH112" t="str">
            <v xml:space="preserve">U.S. Dollar                   </v>
          </cell>
        </row>
        <row r="113">
          <cell r="A113" t="str">
            <v>JN........620000</v>
          </cell>
          <cell r="B113" t="str">
            <v>1999T12</v>
          </cell>
          <cell r="C113" t="str">
            <v xml:space="preserve">M10      </v>
          </cell>
          <cell r="D113" t="str">
            <v xml:space="preserve">Monthly Actual vs Plan                            </v>
          </cell>
          <cell r="E113" t="str">
            <v>Run: 01/13/00 10:16:47</v>
          </cell>
          <cell r="F113" t="str">
            <v>999</v>
          </cell>
          <cell r="G113" t="str">
            <v>100</v>
          </cell>
          <cell r="H113" t="str">
            <v xml:space="preserve">Bank Of America Management Reporting              </v>
          </cell>
          <cell r="I113" t="str">
            <v>001</v>
          </cell>
          <cell r="J113" t="str">
            <v>JN........</v>
          </cell>
          <cell r="K113" t="str">
            <v xml:space="preserve">Cfg Real Estate                                   </v>
          </cell>
          <cell r="L113" t="str">
            <v xml:space="preserve"> </v>
          </cell>
          <cell r="M113" t="str">
            <v xml:space="preserve"> </v>
          </cell>
          <cell r="N113" t="str">
            <v>bamgt</v>
          </cell>
          <cell r="O113" t="str">
            <v>40</v>
          </cell>
          <cell r="P113" t="str">
            <v>600000A  620000   999999999999999999999999999999999999999999999999999999</v>
          </cell>
          <cell r="Q113" t="str">
            <v xml:space="preserve">none     </v>
          </cell>
          <cell r="R113" t="str">
            <v>Final Profit Plan</v>
          </cell>
          <cell r="S113" t="str">
            <v>Final Profit Plan</v>
          </cell>
          <cell r="T113" t="str">
            <v xml:space="preserve"> </v>
          </cell>
          <cell r="U113" t="str">
            <v xml:space="preserve"> </v>
          </cell>
          <cell r="V113">
            <v>752.69214999999997</v>
          </cell>
          <cell r="W113">
            <v>930.76</v>
          </cell>
          <cell r="X113">
            <v>178.06784999999999</v>
          </cell>
          <cell r="Y113">
            <v>-102.23277</v>
          </cell>
          <cell r="Z113" t="str">
            <v xml:space="preserve">     </v>
          </cell>
          <cell r="AA113" t="str">
            <v>620000</v>
          </cell>
          <cell r="AB113" t="str">
            <v>2</v>
          </cell>
          <cell r="AC113" t="str">
            <v>Furniture &amp; Equipment</v>
          </cell>
          <cell r="AD113">
            <v>12564.58041</v>
          </cell>
          <cell r="AE113">
            <v>13205.7</v>
          </cell>
          <cell r="AF113">
            <v>641.11959000000002</v>
          </cell>
          <cell r="AG113">
            <v>4.8548701696994501</v>
          </cell>
          <cell r="AH113" t="str">
            <v xml:space="preserve">U.S. Dollar                   </v>
          </cell>
        </row>
        <row r="114">
          <cell r="A114" t="str">
            <v>JN........660000A</v>
          </cell>
          <cell r="B114" t="str">
            <v>1999T12</v>
          </cell>
          <cell r="C114" t="str">
            <v xml:space="preserve">M10      </v>
          </cell>
          <cell r="D114" t="str">
            <v xml:space="preserve">Monthly Actual vs Plan                            </v>
          </cell>
          <cell r="E114" t="str">
            <v>Run: 01/13/00 10:16:47</v>
          </cell>
          <cell r="F114" t="str">
            <v>999</v>
          </cell>
          <cell r="G114" t="str">
            <v>100</v>
          </cell>
          <cell r="H114" t="str">
            <v xml:space="preserve">Bank Of America Management Reporting              </v>
          </cell>
          <cell r="I114" t="str">
            <v>001</v>
          </cell>
          <cell r="J114" t="str">
            <v>JN........</v>
          </cell>
          <cell r="K114" t="str">
            <v xml:space="preserve">Cfg Real Estate                                   </v>
          </cell>
          <cell r="L114" t="str">
            <v xml:space="preserve"> </v>
          </cell>
          <cell r="M114" t="str">
            <v xml:space="preserve"> </v>
          </cell>
          <cell r="N114" t="str">
            <v>bamgt</v>
          </cell>
          <cell r="O114" t="str">
            <v>40</v>
          </cell>
          <cell r="P114" t="str">
            <v>600000A  660000A  999999999999999999999999999999999999999999999999999999</v>
          </cell>
          <cell r="Q114" t="str">
            <v xml:space="preserve">none     </v>
          </cell>
          <cell r="R114" t="str">
            <v>Final Profit Plan</v>
          </cell>
          <cell r="S114" t="str">
            <v>Final Profit Plan</v>
          </cell>
          <cell r="T114" t="str">
            <v xml:space="preserve"> </v>
          </cell>
          <cell r="U114" t="str">
            <v xml:space="preserve"> </v>
          </cell>
          <cell r="V114">
            <v>880.87521000000004</v>
          </cell>
          <cell r="W114">
            <v>482.84</v>
          </cell>
          <cell r="X114">
            <v>-398.03521000000001</v>
          </cell>
          <cell r="Y114">
            <v>-31.795750000000002</v>
          </cell>
          <cell r="Z114" t="str">
            <v xml:space="preserve">     </v>
          </cell>
          <cell r="AA114" t="str">
            <v>660000A</v>
          </cell>
          <cell r="AB114" t="str">
            <v>2</v>
          </cell>
          <cell r="AC114" t="str">
            <v>Telecommunications</v>
          </cell>
          <cell r="AD114">
            <v>8873.3546800000004</v>
          </cell>
          <cell r="AE114">
            <v>5974.08</v>
          </cell>
          <cell r="AF114">
            <v>-2899.27468</v>
          </cell>
          <cell r="AG114">
            <v>-48.530898146660299</v>
          </cell>
          <cell r="AH114" t="str">
            <v xml:space="preserve">U.S. Dollar                   </v>
          </cell>
        </row>
        <row r="115">
          <cell r="A115" t="str">
            <v>JN........665499B</v>
          </cell>
          <cell r="B115" t="str">
            <v>1999T12</v>
          </cell>
          <cell r="C115" t="str">
            <v xml:space="preserve">M10      </v>
          </cell>
          <cell r="D115" t="str">
            <v xml:space="preserve">Monthly Actual vs Plan                            </v>
          </cell>
          <cell r="E115" t="str">
            <v>Run: 01/13/00 10:16:47</v>
          </cell>
          <cell r="F115" t="str">
            <v>999</v>
          </cell>
          <cell r="G115" t="str">
            <v>100</v>
          </cell>
          <cell r="H115" t="str">
            <v xml:space="preserve">Bank Of America Management Reporting              </v>
          </cell>
          <cell r="I115" t="str">
            <v>001</v>
          </cell>
          <cell r="J115" t="str">
            <v>JN........</v>
          </cell>
          <cell r="K115" t="str">
            <v xml:space="preserve">Cfg Real Estate                                   </v>
          </cell>
          <cell r="L115" t="str">
            <v xml:space="preserve"> </v>
          </cell>
          <cell r="M115" t="str">
            <v xml:space="preserve"> </v>
          </cell>
          <cell r="N115" t="str">
            <v>bamgt</v>
          </cell>
          <cell r="O115" t="str">
            <v>40</v>
          </cell>
          <cell r="P115" t="str">
            <v>600000A  665499A  665499B  999999999999999999999999999999999999999999999</v>
          </cell>
          <cell r="Q115" t="str">
            <v xml:space="preserve">none     </v>
          </cell>
          <cell r="R115" t="str">
            <v>Final Profit Plan</v>
          </cell>
          <cell r="S115" t="str">
            <v>Final Profit Plan</v>
          </cell>
          <cell r="T115" t="str">
            <v xml:space="preserve"> </v>
          </cell>
          <cell r="U115" t="str">
            <v xml:space="preserve"> </v>
          </cell>
          <cell r="V115">
            <v>584.08277999999996</v>
          </cell>
          <cell r="W115">
            <v>439.75</v>
          </cell>
          <cell r="X115">
            <v>-144.33278000000001</v>
          </cell>
          <cell r="Y115">
            <v>0.22935</v>
          </cell>
          <cell r="Z115" t="str">
            <v xml:space="preserve">     </v>
          </cell>
          <cell r="AA115" t="str">
            <v>665499B</v>
          </cell>
          <cell r="AB115" t="str">
            <v>3</v>
          </cell>
          <cell r="AC115" t="str">
            <v>Loan &amp; Collection</v>
          </cell>
          <cell r="AD115">
            <v>5497.0924400000004</v>
          </cell>
          <cell r="AE115">
            <v>5163</v>
          </cell>
          <cell r="AF115">
            <v>-334.09244000000001</v>
          </cell>
          <cell r="AG115">
            <v>-6.4708975401898199</v>
          </cell>
          <cell r="AH115" t="str">
            <v xml:space="preserve">U.S. Dollar                   </v>
          </cell>
        </row>
        <row r="116">
          <cell r="A116" t="str">
            <v>JN........665850A</v>
          </cell>
          <cell r="B116" t="str">
            <v>1999T12</v>
          </cell>
          <cell r="C116" t="str">
            <v xml:space="preserve">M10      </v>
          </cell>
          <cell r="D116" t="str">
            <v xml:space="preserve">Monthly Actual vs Plan                            </v>
          </cell>
          <cell r="E116" t="str">
            <v>Run: 01/13/00 10:16:47</v>
          </cell>
          <cell r="F116" t="str">
            <v>999</v>
          </cell>
          <cell r="G116" t="str">
            <v>100</v>
          </cell>
          <cell r="H116" t="str">
            <v xml:space="preserve">Bank Of America Management Reporting              </v>
          </cell>
          <cell r="I116" t="str">
            <v>001</v>
          </cell>
          <cell r="J116" t="str">
            <v>JN........</v>
          </cell>
          <cell r="K116" t="str">
            <v xml:space="preserve">Cfg Real Estate                                   </v>
          </cell>
          <cell r="L116" t="str">
            <v xml:space="preserve"> </v>
          </cell>
          <cell r="M116" t="str">
            <v xml:space="preserve"> </v>
          </cell>
          <cell r="N116" t="str">
            <v>bamgt</v>
          </cell>
          <cell r="O116" t="str">
            <v>40</v>
          </cell>
          <cell r="P116" t="str">
            <v>600000A  665499A  665850A  999999999999999999999999999999999999999999999</v>
          </cell>
          <cell r="Q116" t="str">
            <v xml:space="preserve">none     </v>
          </cell>
          <cell r="R116" t="str">
            <v>Final Profit Plan</v>
          </cell>
          <cell r="S116" t="str">
            <v>Final Profit Plan</v>
          </cell>
          <cell r="T116" t="str">
            <v xml:space="preserve"> </v>
          </cell>
          <cell r="U116" t="str">
            <v xml:space="preserve"> </v>
          </cell>
          <cell r="V116">
            <v>1961.6998900000001</v>
          </cell>
          <cell r="W116">
            <v>729</v>
          </cell>
          <cell r="X116">
            <v>-1232.6998900000001</v>
          </cell>
          <cell r="Y116">
            <v>-526.87687000000005</v>
          </cell>
          <cell r="Z116" t="str">
            <v xml:space="preserve">     </v>
          </cell>
          <cell r="AA116" t="str">
            <v>665850A</v>
          </cell>
          <cell r="AB116" t="str">
            <v>3</v>
          </cell>
          <cell r="AC116" t="str">
            <v>Foreclosed Properties Expense</v>
          </cell>
          <cell r="AD116">
            <v>13287.112800000001</v>
          </cell>
          <cell r="AE116">
            <v>7261</v>
          </cell>
          <cell r="AF116">
            <v>-6026.1127999999999</v>
          </cell>
          <cell r="AG116">
            <v>-82.992877014185396</v>
          </cell>
          <cell r="AH116" t="str">
            <v xml:space="preserve">U.S. Dollar                   </v>
          </cell>
        </row>
        <row r="117">
          <cell r="A117" t="str">
            <v>JN........NIEBA-B</v>
          </cell>
          <cell r="B117" t="str">
            <v>1999T12</v>
          </cell>
          <cell r="C117" t="str">
            <v xml:space="preserve">M10      </v>
          </cell>
          <cell r="D117" t="str">
            <v xml:space="preserve">Monthly Actual vs Plan                            </v>
          </cell>
          <cell r="E117" t="str">
            <v>Run: 01/13/00 10:16:47</v>
          </cell>
          <cell r="F117" t="str">
            <v>999</v>
          </cell>
          <cell r="G117" t="str">
            <v>100</v>
          </cell>
          <cell r="H117" t="str">
            <v xml:space="preserve">Bank Of America Management Reporting              </v>
          </cell>
          <cell r="I117" t="str">
            <v>001</v>
          </cell>
          <cell r="J117" t="str">
            <v>JN........</v>
          </cell>
          <cell r="K117" t="str">
            <v xml:space="preserve">Cfg Real Estate                                   </v>
          </cell>
          <cell r="L117" t="str">
            <v xml:space="preserve"> </v>
          </cell>
          <cell r="M117" t="str">
            <v xml:space="preserve"> </v>
          </cell>
          <cell r="N117" t="str">
            <v>bamgt</v>
          </cell>
          <cell r="O117" t="str">
            <v>40</v>
          </cell>
          <cell r="P117" t="str">
            <v xml:space="preserve">600000A  675000A  999999999999999999999999999NIEBA-B                    </v>
          </cell>
          <cell r="Q117" t="str">
            <v xml:space="preserve">none     </v>
          </cell>
          <cell r="R117" t="str">
            <v>Final Profit Plan</v>
          </cell>
          <cell r="S117" t="str">
            <v>Final Profit Plan</v>
          </cell>
          <cell r="T117" t="str">
            <v xml:space="preserve"> </v>
          </cell>
          <cell r="U117" t="str">
            <v xml:space="preserve"> </v>
          </cell>
          <cell r="V117">
            <v>25330.43391</v>
          </cell>
          <cell r="W117">
            <v>25167.1335</v>
          </cell>
          <cell r="X117">
            <v>-163.30041</v>
          </cell>
          <cell r="Y117">
            <v>-5182.0534299999999</v>
          </cell>
          <cell r="Z117" t="str">
            <v xml:space="preserve">     </v>
          </cell>
          <cell r="AA117" t="str">
            <v>NIEBA-B</v>
          </cell>
          <cell r="AB117" t="str">
            <v>0</v>
          </cell>
          <cell r="AC117" t="str">
            <v>Sub-Tot Non Int Exp Before Cost</v>
          </cell>
          <cell r="AD117">
            <v>276060.35275000002</v>
          </cell>
          <cell r="AE117">
            <v>238662.17379999999</v>
          </cell>
          <cell r="AF117">
            <v>-37398.178950000001</v>
          </cell>
          <cell r="AG117">
            <v>-15.669923035788599</v>
          </cell>
          <cell r="AH117" t="str">
            <v xml:space="preserve">U.S. Dollar                   </v>
          </cell>
        </row>
        <row r="118">
          <cell r="A118" t="str">
            <v>JN........830130A</v>
          </cell>
          <cell r="B118" t="str">
            <v>1999T12</v>
          </cell>
          <cell r="C118" t="str">
            <v xml:space="preserve">M10      </v>
          </cell>
          <cell r="D118" t="str">
            <v xml:space="preserve">Monthly Actual vs Plan                            </v>
          </cell>
          <cell r="E118" t="str">
            <v>Run: 01/13/00 10:16:47</v>
          </cell>
          <cell r="F118" t="str">
            <v>999</v>
          </cell>
          <cell r="G118" t="str">
            <v>100</v>
          </cell>
          <cell r="H118" t="str">
            <v xml:space="preserve">Bank Of America Management Reporting              </v>
          </cell>
          <cell r="I118" t="str">
            <v>001</v>
          </cell>
          <cell r="J118" t="str">
            <v>JN........</v>
          </cell>
          <cell r="K118" t="str">
            <v xml:space="preserve">Cfg Real Estate                                   </v>
          </cell>
          <cell r="L118" t="str">
            <v xml:space="preserve"> </v>
          </cell>
          <cell r="M118" t="str">
            <v xml:space="preserve"> </v>
          </cell>
          <cell r="N118" t="str">
            <v>bamgt</v>
          </cell>
          <cell r="O118" t="str">
            <v>05</v>
          </cell>
          <cell r="P118" t="str">
            <v>830130A  999999999999999999999999999999999999999999999999999999999999999</v>
          </cell>
          <cell r="Q118" t="str">
            <v xml:space="preserve">none     </v>
          </cell>
          <cell r="R118" t="str">
            <v>Final Profit Plan</v>
          </cell>
          <cell r="S118" t="str">
            <v>Final Profit Plan</v>
          </cell>
          <cell r="T118" t="str">
            <v xml:space="preserve"> </v>
          </cell>
          <cell r="U118" t="str">
            <v xml:space="preserve"> </v>
          </cell>
          <cell r="V118">
            <v>2478.81</v>
          </cell>
          <cell r="W118">
            <v>2264</v>
          </cell>
          <cell r="X118">
            <v>214.81</v>
          </cell>
          <cell r="Y118">
            <v>-88.06</v>
          </cell>
          <cell r="Z118" t="str">
            <v xml:space="preserve">     </v>
          </cell>
          <cell r="AA118" t="str">
            <v>830130A</v>
          </cell>
          <cell r="AB118" t="str">
            <v>1</v>
          </cell>
          <cell r="AC118" t="str">
            <v>Full Time Equivalent Staff</v>
          </cell>
          <cell r="AD118">
            <v>2635.05</v>
          </cell>
          <cell r="AE118">
            <v>2297.5</v>
          </cell>
          <cell r="AF118">
            <v>337.55</v>
          </cell>
          <cell r="AG118">
            <v>14.692056583242699</v>
          </cell>
          <cell r="AH118" t="str">
            <v xml:space="preserve">U.S. Dollar                   </v>
          </cell>
        </row>
        <row r="119">
          <cell r="A119" t="str">
            <v>JO........130100</v>
          </cell>
          <cell r="B119" t="str">
            <v>1999T12</v>
          </cell>
          <cell r="C119" t="str">
            <v xml:space="preserve">M10      </v>
          </cell>
          <cell r="D119" t="str">
            <v xml:space="preserve">Monthly Actual vs Plan                            </v>
          </cell>
          <cell r="E119" t="str">
            <v>Run: 01/13/00 10:16:47</v>
          </cell>
          <cell r="F119" t="str">
            <v>999</v>
          </cell>
          <cell r="G119" t="str">
            <v>100</v>
          </cell>
          <cell r="H119" t="str">
            <v xml:space="preserve">Bank Of America Management Reporting              </v>
          </cell>
          <cell r="I119" t="str">
            <v>001</v>
          </cell>
          <cell r="J119" t="str">
            <v>JO........</v>
          </cell>
          <cell r="K119" t="str">
            <v xml:space="preserve">Specialty Group                                   </v>
          </cell>
          <cell r="L119" t="str">
            <v xml:space="preserve"> </v>
          </cell>
          <cell r="M119" t="str">
            <v xml:space="preserve"> </v>
          </cell>
          <cell r="N119" t="str">
            <v>bamgt</v>
          </cell>
          <cell r="O119" t="str">
            <v>01</v>
          </cell>
          <cell r="P119" t="str">
            <v>100000   100099A  130100   999999999999999999999999999999999999999999999</v>
          </cell>
          <cell r="Q119" t="str">
            <v xml:space="preserve">none     </v>
          </cell>
          <cell r="R119" t="str">
            <v>Final Profit Plan</v>
          </cell>
          <cell r="S119" t="str">
            <v>Final Profit Plan</v>
          </cell>
          <cell r="T119" t="str">
            <v xml:space="preserve"> </v>
          </cell>
          <cell r="U119" t="str">
            <v xml:space="preserve"> </v>
          </cell>
          <cell r="V119">
            <v>1339657.1423800001</v>
          </cell>
          <cell r="W119">
            <v>1503627.99</v>
          </cell>
          <cell r="X119">
            <v>-163970.84761999999</v>
          </cell>
          <cell r="Y119">
            <v>49956.853589999999</v>
          </cell>
          <cell r="Z119" t="str">
            <v xml:space="preserve">     </v>
          </cell>
          <cell r="AA119" t="str">
            <v>130100</v>
          </cell>
          <cell r="AB119" t="str">
            <v>3</v>
          </cell>
          <cell r="AC119" t="str">
            <v>Commercial</v>
          </cell>
          <cell r="AD119">
            <v>1234046.77189</v>
          </cell>
          <cell r="AE119">
            <v>1320525.5269899999</v>
          </cell>
          <cell r="AF119">
            <v>-86478.755099999995</v>
          </cell>
          <cell r="AG119">
            <v>-6.5488135846278803</v>
          </cell>
          <cell r="AH119" t="str">
            <v xml:space="preserve">U.S. Dollar                   </v>
          </cell>
        </row>
        <row r="120">
          <cell r="A120" t="str">
            <v>JO........136999F</v>
          </cell>
          <cell r="B120" t="str">
            <v>1999T12</v>
          </cell>
          <cell r="C120" t="str">
            <v xml:space="preserve">M10      </v>
          </cell>
          <cell r="D120" t="str">
            <v xml:space="preserve">Monthly Actual vs Plan                            </v>
          </cell>
          <cell r="E120" t="str">
            <v>Run: 01/13/00 10:16:47</v>
          </cell>
          <cell r="F120" t="str">
            <v>999</v>
          </cell>
          <cell r="G120" t="str">
            <v>100</v>
          </cell>
          <cell r="H120" t="str">
            <v xml:space="preserve">Bank Of America Management Reporting              </v>
          </cell>
          <cell r="I120" t="str">
            <v>001</v>
          </cell>
          <cell r="J120" t="str">
            <v>JO........</v>
          </cell>
          <cell r="K120" t="str">
            <v xml:space="preserve">Specialty Group                                   </v>
          </cell>
          <cell r="L120" t="str">
            <v xml:space="preserve"> </v>
          </cell>
          <cell r="M120" t="str">
            <v xml:space="preserve"> </v>
          </cell>
          <cell r="N120" t="str">
            <v>bamgt</v>
          </cell>
          <cell r="O120" t="str">
            <v>01</v>
          </cell>
          <cell r="P120" t="str">
            <v>100000   100099A  136999F  999999999999999999999999999999999999999999999</v>
          </cell>
          <cell r="Q120" t="str">
            <v xml:space="preserve">none     </v>
          </cell>
          <cell r="R120" t="str">
            <v>Final Profit Plan</v>
          </cell>
          <cell r="S120" t="str">
            <v>Final Profit Plan</v>
          </cell>
          <cell r="T120" t="str">
            <v xml:space="preserve"> </v>
          </cell>
          <cell r="U120" t="str">
            <v xml:space="preserve"> </v>
          </cell>
          <cell r="V120">
            <v>64789.307000000001</v>
          </cell>
          <cell r="W120">
            <v>49617</v>
          </cell>
          <cell r="X120">
            <v>15172.307000000001</v>
          </cell>
          <cell r="Y120">
            <v>2350.2710000000002</v>
          </cell>
          <cell r="Z120" t="str">
            <v xml:space="preserve">     </v>
          </cell>
          <cell r="AA120" t="str">
            <v>136999F</v>
          </cell>
          <cell r="AB120" t="str">
            <v>3</v>
          </cell>
          <cell r="AC120" t="str">
            <v>Foreign</v>
          </cell>
          <cell r="AD120">
            <v>69617.396380000006</v>
          </cell>
          <cell r="AE120">
            <v>52062.353419999999</v>
          </cell>
          <cell r="AF120">
            <v>17555.042959999999</v>
          </cell>
          <cell r="AG120">
            <v>33.7192650865763</v>
          </cell>
          <cell r="AH120" t="str">
            <v xml:space="preserve">U.S. Dollar                   </v>
          </cell>
        </row>
        <row r="121">
          <cell r="A121" t="str">
            <v>JO........137000</v>
          </cell>
          <cell r="B121" t="str">
            <v>1999T12</v>
          </cell>
          <cell r="C121" t="str">
            <v xml:space="preserve">M10      </v>
          </cell>
          <cell r="D121" t="str">
            <v xml:space="preserve">Monthly Actual vs Plan                            </v>
          </cell>
          <cell r="E121" t="str">
            <v>Run: 01/13/00 10:16:47</v>
          </cell>
          <cell r="F121" t="str">
            <v>999</v>
          </cell>
          <cell r="G121" t="str">
            <v>100</v>
          </cell>
          <cell r="H121" t="str">
            <v xml:space="preserve">Bank Of America Management Reporting              </v>
          </cell>
          <cell r="I121" t="str">
            <v>001</v>
          </cell>
          <cell r="J121" t="str">
            <v>JO........</v>
          </cell>
          <cell r="K121" t="str">
            <v xml:space="preserve">Specialty Group                                   </v>
          </cell>
          <cell r="L121" t="str">
            <v xml:space="preserve"> </v>
          </cell>
          <cell r="M121" t="str">
            <v xml:space="preserve"> </v>
          </cell>
          <cell r="N121" t="str">
            <v>bamgt</v>
          </cell>
          <cell r="O121" t="str">
            <v>01</v>
          </cell>
          <cell r="P121" t="str">
            <v>100000   100099A  137000   999999999999999999999999999999999999999999999</v>
          </cell>
          <cell r="Q121" t="str">
            <v xml:space="preserve">none     </v>
          </cell>
          <cell r="R121" t="str">
            <v>Final Profit Plan</v>
          </cell>
          <cell r="S121" t="str">
            <v>Final Profit Plan</v>
          </cell>
          <cell r="T121" t="str">
            <v xml:space="preserve"> </v>
          </cell>
          <cell r="U121" t="str">
            <v xml:space="preserve"> </v>
          </cell>
          <cell r="V121">
            <v>0</v>
          </cell>
          <cell r="W121">
            <v>1141</v>
          </cell>
          <cell r="X121">
            <v>-1141</v>
          </cell>
          <cell r="Y121">
            <v>0</v>
          </cell>
          <cell r="Z121" t="str">
            <v xml:space="preserve">     </v>
          </cell>
          <cell r="AA121" t="str">
            <v>137000</v>
          </cell>
          <cell r="AB121" t="str">
            <v>3</v>
          </cell>
          <cell r="AC121" t="str">
            <v>Construction / Land Development</v>
          </cell>
          <cell r="AD121">
            <v>206.36417</v>
          </cell>
          <cell r="AE121">
            <v>932.15341999999998</v>
          </cell>
          <cell r="AF121">
            <v>-725.78925000000004</v>
          </cell>
          <cell r="AG121">
            <v>-77.861565964109204</v>
          </cell>
          <cell r="AH121" t="str">
            <v xml:space="preserve">U.S. Dollar                   </v>
          </cell>
        </row>
        <row r="122">
          <cell r="A122" t="str">
            <v>JO........100099A</v>
          </cell>
          <cell r="B122" t="str">
            <v>1999T12</v>
          </cell>
          <cell r="C122" t="str">
            <v xml:space="preserve">M10      </v>
          </cell>
          <cell r="D122" t="str">
            <v xml:space="preserve">Monthly Actual vs Plan                            </v>
          </cell>
          <cell r="E122" t="str">
            <v>Run: 01/13/00 10:16:47</v>
          </cell>
          <cell r="F122" t="str">
            <v>999</v>
          </cell>
          <cell r="G122" t="str">
            <v>100</v>
          </cell>
          <cell r="H122" t="str">
            <v xml:space="preserve">Bank Of America Management Reporting              </v>
          </cell>
          <cell r="I122" t="str">
            <v>001</v>
          </cell>
          <cell r="J122" t="str">
            <v>JO........</v>
          </cell>
          <cell r="K122" t="str">
            <v xml:space="preserve">Specialty Group                                   </v>
          </cell>
          <cell r="L122" t="str">
            <v xml:space="preserve"> </v>
          </cell>
          <cell r="M122" t="str">
            <v xml:space="preserve"> </v>
          </cell>
          <cell r="N122" t="str">
            <v>bamgt</v>
          </cell>
          <cell r="O122" t="str">
            <v>01</v>
          </cell>
          <cell r="P122" t="str">
            <v>100000   100099A  999999999999999999999999999999999999999999999999999999</v>
          </cell>
          <cell r="Q122" t="str">
            <v xml:space="preserve">none     </v>
          </cell>
          <cell r="R122" t="str">
            <v>Final Profit Plan</v>
          </cell>
          <cell r="S122" t="str">
            <v>Final Profit Plan</v>
          </cell>
          <cell r="T122" t="str">
            <v xml:space="preserve"> </v>
          </cell>
          <cell r="U122" t="str">
            <v xml:space="preserve"> </v>
          </cell>
          <cell r="V122">
            <v>5549268.6583000002</v>
          </cell>
          <cell r="W122">
            <v>4996903.9800000004</v>
          </cell>
          <cell r="X122">
            <v>552364.67830000003</v>
          </cell>
          <cell r="Y122">
            <v>225886.58024000001</v>
          </cell>
          <cell r="Z122" t="str">
            <v xml:space="preserve">     </v>
          </cell>
          <cell r="AA122" t="str">
            <v>100099A</v>
          </cell>
          <cell r="AB122" t="str">
            <v>2</v>
          </cell>
          <cell r="AC122" t="str">
            <v>Total Loans &amp; Leases</v>
          </cell>
          <cell r="AD122">
            <v>4680577.6407399997</v>
          </cell>
          <cell r="AE122">
            <v>4274390.06219</v>
          </cell>
          <cell r="AF122">
            <v>406187.57854999998</v>
          </cell>
          <cell r="AG122">
            <v>9.5028196453808995</v>
          </cell>
          <cell r="AH122" t="str">
            <v xml:space="preserve">U.S. Dollar                   </v>
          </cell>
        </row>
        <row r="123">
          <cell r="A123" t="str">
            <v>JO........EARN-B</v>
          </cell>
          <cell r="B123" t="str">
            <v>1999T12</v>
          </cell>
          <cell r="C123" t="str">
            <v xml:space="preserve">M10      </v>
          </cell>
          <cell r="D123" t="str">
            <v xml:space="preserve">Monthly Actual vs Plan                            </v>
          </cell>
          <cell r="E123" t="str">
            <v>Run: 01/13/00 10:16:47</v>
          </cell>
          <cell r="F123" t="str">
            <v>999</v>
          </cell>
          <cell r="G123" t="str">
            <v>100</v>
          </cell>
          <cell r="H123" t="str">
            <v xml:space="preserve">Bank Of America Management Reporting              </v>
          </cell>
          <cell r="I123" t="str">
            <v>001</v>
          </cell>
          <cell r="J123" t="str">
            <v>JO........</v>
          </cell>
          <cell r="K123" t="str">
            <v xml:space="preserve">Specialty Group                                   </v>
          </cell>
          <cell r="L123" t="str">
            <v xml:space="preserve"> </v>
          </cell>
          <cell r="M123" t="str">
            <v xml:space="preserve"> </v>
          </cell>
          <cell r="N123" t="str">
            <v>bamgt</v>
          </cell>
          <cell r="O123" t="str">
            <v>01</v>
          </cell>
          <cell r="P123" t="str">
            <v xml:space="preserve">100000   128999C 9999999999EARN-B                                       </v>
          </cell>
          <cell r="Q123" t="str">
            <v xml:space="preserve">none     </v>
          </cell>
          <cell r="R123" t="str">
            <v>Final Profit Plan</v>
          </cell>
          <cell r="S123" t="str">
            <v>Final Profit Plan</v>
          </cell>
          <cell r="T123" t="str">
            <v xml:space="preserve"> </v>
          </cell>
          <cell r="U123" t="str">
            <v xml:space="preserve"> </v>
          </cell>
          <cell r="V123">
            <v>5549304.8518000003</v>
          </cell>
          <cell r="W123">
            <v>4996903.9800000004</v>
          </cell>
          <cell r="X123">
            <v>552400.87179999996</v>
          </cell>
          <cell r="Y123">
            <v>225937.39287000001</v>
          </cell>
          <cell r="Z123" t="str">
            <v xml:space="preserve">     </v>
          </cell>
          <cell r="AA123" t="str">
            <v>EARN-B</v>
          </cell>
          <cell r="AB123" t="str">
            <v>0</v>
          </cell>
          <cell r="AC123" t="str">
            <v>Total Earning Assets</v>
          </cell>
          <cell r="AD123">
            <v>4680614.9517999999</v>
          </cell>
          <cell r="AE123">
            <v>4274390.06219</v>
          </cell>
          <cell r="AF123">
            <v>406224.88961000001</v>
          </cell>
          <cell r="AG123">
            <v>9.5036925432553794</v>
          </cell>
          <cell r="AH123" t="str">
            <v xml:space="preserve">U.S. Dollar                   </v>
          </cell>
        </row>
        <row r="124">
          <cell r="A124" t="str">
            <v>JO........INTLIAB-B</v>
          </cell>
          <cell r="B124" t="str">
            <v>1999T12</v>
          </cell>
          <cell r="C124" t="str">
            <v xml:space="preserve">M10      </v>
          </cell>
          <cell r="D124" t="str">
            <v xml:space="preserve">Monthly Actual vs Plan                            </v>
          </cell>
          <cell r="E124" t="str">
            <v>Run: 01/13/00 10:16:47</v>
          </cell>
          <cell r="F124" t="str">
            <v>999</v>
          </cell>
          <cell r="G124" t="str">
            <v>100</v>
          </cell>
          <cell r="H124" t="str">
            <v xml:space="preserve">Bank Of America Management Reporting              </v>
          </cell>
          <cell r="I124" t="str">
            <v>001</v>
          </cell>
          <cell r="J124" t="str">
            <v>JO........</v>
          </cell>
          <cell r="K124" t="str">
            <v xml:space="preserve">Specialty Group                                   </v>
          </cell>
          <cell r="L124" t="str">
            <v xml:space="preserve"> </v>
          </cell>
          <cell r="M124" t="str">
            <v xml:space="preserve"> </v>
          </cell>
          <cell r="N124" t="str">
            <v>bamgt</v>
          </cell>
          <cell r="O124" t="str">
            <v>05</v>
          </cell>
          <cell r="P124" t="str">
            <v xml:space="preserve">200000   239999B   9999999999258000INTLIAB-B                            </v>
          </cell>
          <cell r="Q124" t="str">
            <v xml:space="preserve">none     </v>
          </cell>
          <cell r="R124" t="str">
            <v>Final Profit Plan</v>
          </cell>
          <cell r="S124" t="str">
            <v>Final Profit Plan</v>
          </cell>
          <cell r="T124" t="str">
            <v xml:space="preserve"> </v>
          </cell>
          <cell r="U124" t="str">
            <v xml:space="preserve"> </v>
          </cell>
          <cell r="V124">
            <v>2228.3834700000002</v>
          </cell>
          <cell r="W124">
            <v>4439</v>
          </cell>
          <cell r="X124">
            <v>-2210.6165299999998</v>
          </cell>
          <cell r="Y124">
            <v>690.12644</v>
          </cell>
          <cell r="Z124" t="str">
            <v xml:space="preserve">     </v>
          </cell>
          <cell r="AA124" t="str">
            <v>INTLIAB-B</v>
          </cell>
          <cell r="AB124" t="str">
            <v>0</v>
          </cell>
          <cell r="AC124" t="str">
            <v>Total Interest Bearing Liabilities</v>
          </cell>
          <cell r="AD124">
            <v>4955.1647999999996</v>
          </cell>
          <cell r="AE124">
            <v>3997.8547899999999</v>
          </cell>
          <cell r="AF124">
            <v>957.31001000000003</v>
          </cell>
          <cell r="AG124">
            <v>23.945592331031101</v>
          </cell>
          <cell r="AH124" t="str">
            <v xml:space="preserve">U.S. Dollar                   </v>
          </cell>
        </row>
        <row r="125">
          <cell r="A125" t="str">
            <v>JO........TOTDEP-B</v>
          </cell>
          <cell r="B125" t="str">
            <v>1999T12</v>
          </cell>
          <cell r="C125" t="str">
            <v xml:space="preserve">M10      </v>
          </cell>
          <cell r="D125" t="str">
            <v xml:space="preserve">Monthly Actual vs Plan                            </v>
          </cell>
          <cell r="E125" t="str">
            <v>Run: 01/13/00 10:16:47</v>
          </cell>
          <cell r="F125" t="str">
            <v>999</v>
          </cell>
          <cell r="G125" t="str">
            <v>100</v>
          </cell>
          <cell r="H125" t="str">
            <v xml:space="preserve">Bank Of America Management Reporting              </v>
          </cell>
          <cell r="I125" t="str">
            <v>001</v>
          </cell>
          <cell r="J125" t="str">
            <v>JO........</v>
          </cell>
          <cell r="K125" t="str">
            <v xml:space="preserve">Specialty Group                                   </v>
          </cell>
          <cell r="L125" t="str">
            <v xml:space="preserve"> </v>
          </cell>
          <cell r="M125" t="str">
            <v xml:space="preserve"> </v>
          </cell>
          <cell r="N125" t="str">
            <v>bamgt</v>
          </cell>
          <cell r="O125" t="str">
            <v>05</v>
          </cell>
          <cell r="P125" t="str">
            <v xml:space="preserve">200000TOTDEP-B                                                          </v>
          </cell>
          <cell r="Q125" t="str">
            <v xml:space="preserve">none     </v>
          </cell>
          <cell r="R125" t="str">
            <v>Final Profit Plan</v>
          </cell>
          <cell r="S125" t="str">
            <v>Final Profit Plan</v>
          </cell>
          <cell r="T125" t="str">
            <v xml:space="preserve"> </v>
          </cell>
          <cell r="U125" t="str">
            <v xml:space="preserve"> </v>
          </cell>
          <cell r="V125">
            <v>18765.323560000001</v>
          </cell>
          <cell r="W125">
            <v>44913</v>
          </cell>
          <cell r="X125">
            <v>-26147.676439999999</v>
          </cell>
          <cell r="Y125">
            <v>-2061.0258899999999</v>
          </cell>
          <cell r="Z125" t="str">
            <v xml:space="preserve">     </v>
          </cell>
          <cell r="AA125" t="str">
            <v>TOTDEP-B</v>
          </cell>
          <cell r="AB125" t="str">
            <v>0</v>
          </cell>
          <cell r="AC125" t="str">
            <v>Total Deposits</v>
          </cell>
          <cell r="AD125">
            <v>23434.93779</v>
          </cell>
          <cell r="AE125">
            <v>39319.802750000003</v>
          </cell>
          <cell r="AF125">
            <v>-15884.864960000001</v>
          </cell>
          <cell r="AG125">
            <v>-40.399147119322699</v>
          </cell>
          <cell r="AH125" t="str">
            <v xml:space="preserve">U.S. Dollar                   </v>
          </cell>
        </row>
        <row r="126">
          <cell r="A126" t="str">
            <v>JO........300000</v>
          </cell>
          <cell r="B126" t="str">
            <v>1999T12</v>
          </cell>
          <cell r="C126" t="str">
            <v xml:space="preserve">M10      </v>
          </cell>
          <cell r="D126" t="str">
            <v xml:space="preserve">Monthly Actual vs Plan                            </v>
          </cell>
          <cell r="E126" t="str">
            <v>Run: 01/13/00 10:16:47</v>
          </cell>
          <cell r="F126" t="str">
            <v>999</v>
          </cell>
          <cell r="G126" t="str">
            <v>100</v>
          </cell>
          <cell r="H126" t="str">
            <v xml:space="preserve">Bank Of America Management Reporting              </v>
          </cell>
          <cell r="I126" t="str">
            <v>001</v>
          </cell>
          <cell r="J126" t="str">
            <v>JO........</v>
          </cell>
          <cell r="K126" t="str">
            <v xml:space="preserve">Specialty Group                                   </v>
          </cell>
          <cell r="L126" t="str">
            <v xml:space="preserve"> </v>
          </cell>
          <cell r="M126" t="str">
            <v xml:space="preserve"> </v>
          </cell>
          <cell r="N126" t="str">
            <v>bamgt</v>
          </cell>
          <cell r="O126" t="str">
            <v>20</v>
          </cell>
          <cell r="P126" t="str">
            <v>300000   999999999999999999999999999999999999999999999999999999999999999</v>
          </cell>
          <cell r="Q126" t="str">
            <v xml:space="preserve">none     </v>
          </cell>
          <cell r="R126" t="str">
            <v>Final Profit Plan</v>
          </cell>
          <cell r="S126" t="str">
            <v>Final Profit Plan</v>
          </cell>
          <cell r="T126" t="str">
            <v xml:space="preserve"> </v>
          </cell>
          <cell r="U126" t="str">
            <v xml:space="preserve"> </v>
          </cell>
          <cell r="V126">
            <v>39297.823429999997</v>
          </cell>
          <cell r="W126">
            <v>29010.051370000001</v>
          </cell>
          <cell r="X126">
            <v>10287.772059999999</v>
          </cell>
          <cell r="Y126">
            <v>2967.1559200000002</v>
          </cell>
          <cell r="Z126" t="str">
            <v xml:space="preserve">     </v>
          </cell>
          <cell r="AA126" t="str">
            <v>300000</v>
          </cell>
          <cell r="AB126" t="str">
            <v>1</v>
          </cell>
          <cell r="AC126" t="str">
            <v>Interest Income On Assets</v>
          </cell>
          <cell r="AD126">
            <v>387739.10418999998</v>
          </cell>
          <cell r="AE126">
            <v>294451.19160999998</v>
          </cell>
          <cell r="AF126">
            <v>93287.912580000004</v>
          </cell>
          <cell r="AG126">
            <v>31.681961302285899</v>
          </cell>
          <cell r="AH126" t="str">
            <v xml:space="preserve">U.S. Dollar                   </v>
          </cell>
        </row>
        <row r="127">
          <cell r="A127" t="str">
            <v>JO........400000</v>
          </cell>
          <cell r="B127" t="str">
            <v>1999T12</v>
          </cell>
          <cell r="C127" t="str">
            <v xml:space="preserve">M10      </v>
          </cell>
          <cell r="D127" t="str">
            <v xml:space="preserve">Monthly Actual vs Plan                            </v>
          </cell>
          <cell r="E127" t="str">
            <v>Run: 01/13/00 10:16:47</v>
          </cell>
          <cell r="F127" t="str">
            <v>999</v>
          </cell>
          <cell r="G127" t="str">
            <v>100</v>
          </cell>
          <cell r="H127" t="str">
            <v xml:space="preserve">Bank Of America Management Reporting              </v>
          </cell>
          <cell r="I127" t="str">
            <v>001</v>
          </cell>
          <cell r="J127" t="str">
            <v>JO........</v>
          </cell>
          <cell r="K127" t="str">
            <v xml:space="preserve">Specialty Group                                   </v>
          </cell>
          <cell r="L127" t="str">
            <v xml:space="preserve"> </v>
          </cell>
          <cell r="M127" t="str">
            <v xml:space="preserve"> </v>
          </cell>
          <cell r="N127" t="str">
            <v>bamgt</v>
          </cell>
          <cell r="O127" t="str">
            <v>25</v>
          </cell>
          <cell r="P127" t="str">
            <v>400000   999999999999999999999999999999999999999999999999999999999999999</v>
          </cell>
          <cell r="Q127" t="str">
            <v xml:space="preserve">none     </v>
          </cell>
          <cell r="R127" t="str">
            <v>Final Profit Plan</v>
          </cell>
          <cell r="S127" t="str">
            <v>Final Profit Plan</v>
          </cell>
          <cell r="T127" t="str">
            <v xml:space="preserve"> </v>
          </cell>
          <cell r="U127" t="str">
            <v xml:space="preserve"> </v>
          </cell>
          <cell r="V127">
            <v>434.77775000000003</v>
          </cell>
          <cell r="W127">
            <v>14.86707</v>
          </cell>
          <cell r="X127">
            <v>-419.91068000000001</v>
          </cell>
          <cell r="Y127">
            <v>-23.243780000000001</v>
          </cell>
          <cell r="Z127" t="str">
            <v xml:space="preserve">     </v>
          </cell>
          <cell r="AA127" t="str">
            <v>400000</v>
          </cell>
          <cell r="AB127" t="str">
            <v>1</v>
          </cell>
          <cell r="AC127" t="str">
            <v>Interest Expense On Liabilities</v>
          </cell>
          <cell r="AD127">
            <v>5478.9465099999998</v>
          </cell>
          <cell r="AE127">
            <v>166.77296000000001</v>
          </cell>
          <cell r="AF127">
            <v>-5312.1735500000004</v>
          </cell>
          <cell r="AG127">
            <v>-3185.27269048891</v>
          </cell>
          <cell r="AH127" t="str">
            <v xml:space="preserve">U.S. Dollar                   </v>
          </cell>
        </row>
        <row r="128">
          <cell r="A128" t="str">
            <v>JO........510000</v>
          </cell>
          <cell r="B128" t="str">
            <v>1999T12</v>
          </cell>
          <cell r="C128" t="str">
            <v xml:space="preserve">M10      </v>
          </cell>
          <cell r="D128" t="str">
            <v xml:space="preserve">Monthly Actual vs Plan                            </v>
          </cell>
          <cell r="E128" t="str">
            <v>Run: 01/13/00 10:16:47</v>
          </cell>
          <cell r="F128" t="str">
            <v>999</v>
          </cell>
          <cell r="G128" t="str">
            <v>100</v>
          </cell>
          <cell r="H128" t="str">
            <v xml:space="preserve">Bank Of America Management Reporting              </v>
          </cell>
          <cell r="I128" t="str">
            <v>001</v>
          </cell>
          <cell r="J128" t="str">
            <v>JO........</v>
          </cell>
          <cell r="K128" t="str">
            <v xml:space="preserve">Specialty Group                                   </v>
          </cell>
          <cell r="L128" t="str">
            <v xml:space="preserve"> </v>
          </cell>
          <cell r="M128" t="str">
            <v xml:space="preserve"> </v>
          </cell>
          <cell r="N128" t="str">
            <v>bamgt</v>
          </cell>
          <cell r="O128" t="str">
            <v>35</v>
          </cell>
          <cell r="P128" t="str">
            <v>500099A  510000   999999999999999999999999999999999999999999999999999999</v>
          </cell>
          <cell r="Q128" t="str">
            <v xml:space="preserve">none     </v>
          </cell>
          <cell r="R128" t="str">
            <v>Final Profit Plan</v>
          </cell>
          <cell r="S128" t="str">
            <v>Final Profit Plan</v>
          </cell>
          <cell r="T128" t="str">
            <v xml:space="preserve"> </v>
          </cell>
          <cell r="U128" t="str">
            <v xml:space="preserve"> </v>
          </cell>
          <cell r="V128">
            <v>8.3916599999999999</v>
          </cell>
          <cell r="W128">
            <v>50</v>
          </cell>
          <cell r="X128">
            <v>-41.608339999999998</v>
          </cell>
          <cell r="Y128">
            <v>1.1491</v>
          </cell>
          <cell r="Z128" t="str">
            <v xml:space="preserve">     </v>
          </cell>
          <cell r="AA128" t="str">
            <v>510000</v>
          </cell>
          <cell r="AB128" t="str">
            <v>2</v>
          </cell>
          <cell r="AC128" t="str">
            <v>Service Charges On Deposit Accounts</v>
          </cell>
          <cell r="AD128">
            <v>164.85693000000001</v>
          </cell>
          <cell r="AE128">
            <v>533</v>
          </cell>
          <cell r="AF128">
            <v>-368.14307000000002</v>
          </cell>
          <cell r="AG128">
            <v>-69.069994371482196</v>
          </cell>
          <cell r="AH128" t="str">
            <v xml:space="preserve">U.S. Dollar                   </v>
          </cell>
        </row>
        <row r="129">
          <cell r="A129" t="str">
            <v>JO........500099A</v>
          </cell>
          <cell r="B129" t="str">
            <v>1999T12</v>
          </cell>
          <cell r="C129" t="str">
            <v xml:space="preserve">M10      </v>
          </cell>
          <cell r="D129" t="str">
            <v xml:space="preserve">Monthly Actual vs Plan                            </v>
          </cell>
          <cell r="E129" t="str">
            <v>Run: 01/13/00 10:16:47</v>
          </cell>
          <cell r="F129" t="str">
            <v>999</v>
          </cell>
          <cell r="G129" t="str">
            <v>100</v>
          </cell>
          <cell r="H129" t="str">
            <v xml:space="preserve">Bank Of America Management Reporting              </v>
          </cell>
          <cell r="I129" t="str">
            <v>001</v>
          </cell>
          <cell r="J129" t="str">
            <v>JO........</v>
          </cell>
          <cell r="K129" t="str">
            <v xml:space="preserve">Specialty Group                                   </v>
          </cell>
          <cell r="L129" t="str">
            <v xml:space="preserve"> </v>
          </cell>
          <cell r="M129" t="str">
            <v xml:space="preserve"> </v>
          </cell>
          <cell r="N129" t="str">
            <v>bamgt</v>
          </cell>
          <cell r="O129" t="str">
            <v>35</v>
          </cell>
          <cell r="P129" t="str">
            <v>500099A  999999999999999999999999999999999999999999999999999999999999999</v>
          </cell>
          <cell r="Q129" t="str">
            <v xml:space="preserve">none     </v>
          </cell>
          <cell r="R129" t="str">
            <v>Final Profit Plan</v>
          </cell>
          <cell r="S129" t="str">
            <v>Final Profit Plan</v>
          </cell>
          <cell r="T129" t="str">
            <v xml:space="preserve"> </v>
          </cell>
          <cell r="U129" t="str">
            <v xml:space="preserve"> </v>
          </cell>
          <cell r="V129">
            <v>722.39747</v>
          </cell>
          <cell r="W129">
            <v>2226</v>
          </cell>
          <cell r="X129">
            <v>-1503.6025299999999</v>
          </cell>
          <cell r="Y129">
            <v>562.50518999999997</v>
          </cell>
          <cell r="Z129" t="str">
            <v xml:space="preserve">     </v>
          </cell>
          <cell r="AA129" t="str">
            <v>500099A</v>
          </cell>
          <cell r="AB129" t="str">
            <v>1</v>
          </cell>
          <cell r="AC129" t="str">
            <v>Total Non-Interest Income</v>
          </cell>
          <cell r="AD129">
            <v>10143.090319999999</v>
          </cell>
          <cell r="AE129">
            <v>26494</v>
          </cell>
          <cell r="AF129">
            <v>-16350.909680000001</v>
          </cell>
          <cell r="AG129">
            <v>-61.715519287385803</v>
          </cell>
          <cell r="AH129" t="str">
            <v xml:space="preserve">U.S. Dollar                   </v>
          </cell>
        </row>
        <row r="130">
          <cell r="A130" t="str">
            <v>JO........599999C</v>
          </cell>
          <cell r="B130" t="str">
            <v>1999T12</v>
          </cell>
          <cell r="C130" t="str">
            <v xml:space="preserve">M10      </v>
          </cell>
          <cell r="D130" t="str">
            <v xml:space="preserve">Monthly Actual vs Plan                            </v>
          </cell>
          <cell r="E130" t="str">
            <v>Run: 01/13/00 10:16:47</v>
          </cell>
          <cell r="F130" t="str">
            <v>999</v>
          </cell>
          <cell r="G130" t="str">
            <v>100</v>
          </cell>
          <cell r="H130" t="str">
            <v xml:space="preserve">Bank Of America Management Reporting              </v>
          </cell>
          <cell r="I130" t="str">
            <v>001</v>
          </cell>
          <cell r="J130" t="str">
            <v>JO........</v>
          </cell>
          <cell r="K130" t="str">
            <v xml:space="preserve">Specialty Group                                   </v>
          </cell>
          <cell r="L130" t="str">
            <v xml:space="preserve"> </v>
          </cell>
          <cell r="M130" t="str">
            <v xml:space="preserve"> </v>
          </cell>
          <cell r="N130" t="str">
            <v>bamgt</v>
          </cell>
          <cell r="O130" t="str">
            <v>30</v>
          </cell>
          <cell r="P130" t="str">
            <v>599999B  599999C  999999999999999999999999999999999999999999999999999999</v>
          </cell>
          <cell r="Q130" t="str">
            <v xml:space="preserve">none     </v>
          </cell>
          <cell r="R130" t="str">
            <v>Final Profit Plan</v>
          </cell>
          <cell r="S130" t="str">
            <v>Final Profit Plan</v>
          </cell>
          <cell r="T130" t="str">
            <v xml:space="preserve"> </v>
          </cell>
          <cell r="U130" t="str">
            <v xml:space="preserve"> </v>
          </cell>
          <cell r="V130">
            <v>2007.92148</v>
          </cell>
          <cell r="W130">
            <v>1935.6</v>
          </cell>
          <cell r="X130">
            <v>-72.321479999999994</v>
          </cell>
          <cell r="Y130">
            <v>-3111.2521499999998</v>
          </cell>
          <cell r="Z130" t="str">
            <v xml:space="preserve">     </v>
          </cell>
          <cell r="AA130" t="str">
            <v>599999C</v>
          </cell>
          <cell r="AB130" t="str">
            <v>2</v>
          </cell>
          <cell r="AC130" t="str">
            <v>Provision For Credit Losses - Direct</v>
          </cell>
          <cell r="AD130">
            <v>23567.594519999999</v>
          </cell>
          <cell r="AE130">
            <v>23628.3</v>
          </cell>
          <cell r="AF130">
            <v>60.705480000000001</v>
          </cell>
          <cell r="AG130">
            <v>0.256918525666256</v>
          </cell>
          <cell r="AH130" t="str">
            <v xml:space="preserve">U.S. Dollar                   </v>
          </cell>
        </row>
        <row r="131">
          <cell r="A131" t="str">
            <v>JO........600250</v>
          </cell>
          <cell r="B131" t="str">
            <v>1999T12</v>
          </cell>
          <cell r="C131" t="str">
            <v xml:space="preserve">M10      </v>
          </cell>
          <cell r="D131" t="str">
            <v xml:space="preserve">Monthly Actual vs Plan                            </v>
          </cell>
          <cell r="E131" t="str">
            <v>Run: 01/13/00 10:16:47</v>
          </cell>
          <cell r="F131" t="str">
            <v>999</v>
          </cell>
          <cell r="G131" t="str">
            <v>100</v>
          </cell>
          <cell r="H131" t="str">
            <v xml:space="preserve">Bank Of America Management Reporting              </v>
          </cell>
          <cell r="I131" t="str">
            <v>001</v>
          </cell>
          <cell r="J131" t="str">
            <v>JO........</v>
          </cell>
          <cell r="K131" t="str">
            <v xml:space="preserve">Specialty Group                                   </v>
          </cell>
          <cell r="L131" t="str">
            <v xml:space="preserve"> </v>
          </cell>
          <cell r="M131" t="str">
            <v xml:space="preserve"> </v>
          </cell>
          <cell r="N131" t="str">
            <v>bamgt</v>
          </cell>
          <cell r="O131" t="str">
            <v>40</v>
          </cell>
          <cell r="P131" t="str">
            <v>600000A  600250   999999999999999999999999999999999999999999999999999999</v>
          </cell>
          <cell r="Q131" t="str">
            <v xml:space="preserve">none     </v>
          </cell>
          <cell r="R131" t="str">
            <v>Final Profit Plan</v>
          </cell>
          <cell r="S131" t="str">
            <v>Final Profit Plan</v>
          </cell>
          <cell r="T131" t="str">
            <v xml:space="preserve"> </v>
          </cell>
          <cell r="U131" t="str">
            <v xml:space="preserve"> </v>
          </cell>
          <cell r="V131">
            <v>1955.80583</v>
          </cell>
          <cell r="W131">
            <v>2909.18</v>
          </cell>
          <cell r="X131">
            <v>953.37417000000005</v>
          </cell>
          <cell r="Y131">
            <v>447.53214000000003</v>
          </cell>
          <cell r="Z131" t="str">
            <v xml:space="preserve">     </v>
          </cell>
          <cell r="AA131" t="str">
            <v>600250</v>
          </cell>
          <cell r="AB131" t="str">
            <v>2</v>
          </cell>
          <cell r="AC131" t="str">
            <v>Personnel</v>
          </cell>
          <cell r="AD131">
            <v>31312.115590000001</v>
          </cell>
          <cell r="AE131">
            <v>33399.15</v>
          </cell>
          <cell r="AF131">
            <v>2087.0344100000002</v>
          </cell>
          <cell r="AG131">
            <v>6.2487650434217601</v>
          </cell>
          <cell r="AH131" t="str">
            <v xml:space="preserve">U.S. Dollar                   </v>
          </cell>
        </row>
        <row r="132">
          <cell r="A132" t="str">
            <v>JO........610000</v>
          </cell>
          <cell r="B132" t="str">
            <v>1999T12</v>
          </cell>
          <cell r="C132" t="str">
            <v xml:space="preserve">M10      </v>
          </cell>
          <cell r="D132" t="str">
            <v xml:space="preserve">Monthly Actual vs Plan                            </v>
          </cell>
          <cell r="E132" t="str">
            <v>Run: 01/13/00 10:16:47</v>
          </cell>
          <cell r="F132" t="str">
            <v>999</v>
          </cell>
          <cell r="G132" t="str">
            <v>100</v>
          </cell>
          <cell r="H132" t="str">
            <v xml:space="preserve">Bank Of America Management Reporting              </v>
          </cell>
          <cell r="I132" t="str">
            <v>001</v>
          </cell>
          <cell r="J132" t="str">
            <v>JO........</v>
          </cell>
          <cell r="K132" t="str">
            <v xml:space="preserve">Specialty Group                                   </v>
          </cell>
          <cell r="L132" t="str">
            <v xml:space="preserve"> </v>
          </cell>
          <cell r="M132" t="str">
            <v xml:space="preserve"> </v>
          </cell>
          <cell r="N132" t="str">
            <v>bamgt</v>
          </cell>
          <cell r="O132" t="str">
            <v>40</v>
          </cell>
          <cell r="P132" t="str">
            <v>600000A  610000   999999999999999999999999999999999999999999999999999999</v>
          </cell>
          <cell r="Q132" t="str">
            <v xml:space="preserve">none     </v>
          </cell>
          <cell r="R132" t="str">
            <v>Final Profit Plan</v>
          </cell>
          <cell r="S132" t="str">
            <v>Final Profit Plan</v>
          </cell>
          <cell r="T132" t="str">
            <v xml:space="preserve"> </v>
          </cell>
          <cell r="U132" t="str">
            <v xml:space="preserve"> </v>
          </cell>
          <cell r="V132">
            <v>127.60502</v>
          </cell>
          <cell r="W132">
            <v>146.44999999999999</v>
          </cell>
          <cell r="X132">
            <v>18.84498</v>
          </cell>
          <cell r="Y132">
            <v>119.73339</v>
          </cell>
          <cell r="Z132" t="str">
            <v xml:space="preserve">     </v>
          </cell>
          <cell r="AA132" t="str">
            <v>610000</v>
          </cell>
          <cell r="AB132" t="str">
            <v>2</v>
          </cell>
          <cell r="AC132" t="str">
            <v>Net Occupancy</v>
          </cell>
          <cell r="AD132">
            <v>2281.8949699999998</v>
          </cell>
          <cell r="AE132">
            <v>1875.4</v>
          </cell>
          <cell r="AF132">
            <v>-406.49497000000002</v>
          </cell>
          <cell r="AG132">
            <v>-21.6751077103551</v>
          </cell>
          <cell r="AH132" t="str">
            <v xml:space="preserve">U.S. Dollar                   </v>
          </cell>
        </row>
        <row r="133">
          <cell r="A133" t="str">
            <v>JO........620000</v>
          </cell>
          <cell r="B133" t="str">
            <v>1999T12</v>
          </cell>
          <cell r="C133" t="str">
            <v xml:space="preserve">M10      </v>
          </cell>
          <cell r="D133" t="str">
            <v xml:space="preserve">Monthly Actual vs Plan                            </v>
          </cell>
          <cell r="E133" t="str">
            <v>Run: 01/13/00 10:16:47</v>
          </cell>
          <cell r="F133" t="str">
            <v>999</v>
          </cell>
          <cell r="G133" t="str">
            <v>100</v>
          </cell>
          <cell r="H133" t="str">
            <v xml:space="preserve">Bank Of America Management Reporting              </v>
          </cell>
          <cell r="I133" t="str">
            <v>001</v>
          </cell>
          <cell r="J133" t="str">
            <v>JO........</v>
          </cell>
          <cell r="K133" t="str">
            <v xml:space="preserve">Specialty Group                                   </v>
          </cell>
          <cell r="L133" t="str">
            <v xml:space="preserve"> </v>
          </cell>
          <cell r="M133" t="str">
            <v xml:space="preserve"> </v>
          </cell>
          <cell r="N133" t="str">
            <v>bamgt</v>
          </cell>
          <cell r="O133" t="str">
            <v>40</v>
          </cell>
          <cell r="P133" t="str">
            <v>600000A  620000   999999999999999999999999999999999999999999999999999999</v>
          </cell>
          <cell r="Q133" t="str">
            <v xml:space="preserve">none     </v>
          </cell>
          <cell r="R133" t="str">
            <v>Final Profit Plan</v>
          </cell>
          <cell r="S133" t="str">
            <v>Final Profit Plan</v>
          </cell>
          <cell r="T133" t="str">
            <v xml:space="preserve"> </v>
          </cell>
          <cell r="U133" t="str">
            <v xml:space="preserve"> </v>
          </cell>
          <cell r="V133">
            <v>237.80924999999999</v>
          </cell>
          <cell r="W133">
            <v>297.26</v>
          </cell>
          <cell r="X133">
            <v>59.450749999999999</v>
          </cell>
          <cell r="Y133">
            <v>-56.852080000000001</v>
          </cell>
          <cell r="Z133" t="str">
            <v xml:space="preserve">     </v>
          </cell>
          <cell r="AA133" t="str">
            <v>620000</v>
          </cell>
          <cell r="AB133" t="str">
            <v>2</v>
          </cell>
          <cell r="AC133" t="str">
            <v>Furniture &amp; Equipment</v>
          </cell>
          <cell r="AD133">
            <v>3941.26629</v>
          </cell>
          <cell r="AE133">
            <v>3729.18</v>
          </cell>
          <cell r="AF133">
            <v>-212.08628999999999</v>
          </cell>
          <cell r="AG133">
            <v>-5.68720978874713</v>
          </cell>
          <cell r="AH133" t="str">
            <v xml:space="preserve">U.S. Dollar                   </v>
          </cell>
        </row>
        <row r="134">
          <cell r="A134" t="str">
            <v>JO........660000A</v>
          </cell>
          <cell r="B134" t="str">
            <v>1999T12</v>
          </cell>
          <cell r="C134" t="str">
            <v xml:space="preserve">M10      </v>
          </cell>
          <cell r="D134" t="str">
            <v xml:space="preserve">Monthly Actual vs Plan                            </v>
          </cell>
          <cell r="E134" t="str">
            <v>Run: 01/13/00 10:16:47</v>
          </cell>
          <cell r="F134" t="str">
            <v>999</v>
          </cell>
          <cell r="G134" t="str">
            <v>100</v>
          </cell>
          <cell r="H134" t="str">
            <v xml:space="preserve">Bank Of America Management Reporting              </v>
          </cell>
          <cell r="I134" t="str">
            <v>001</v>
          </cell>
          <cell r="J134" t="str">
            <v>JO........</v>
          </cell>
          <cell r="K134" t="str">
            <v xml:space="preserve">Specialty Group                                   </v>
          </cell>
          <cell r="L134" t="str">
            <v xml:space="preserve"> </v>
          </cell>
          <cell r="M134" t="str">
            <v xml:space="preserve"> </v>
          </cell>
          <cell r="N134" t="str">
            <v>bamgt</v>
          </cell>
          <cell r="O134" t="str">
            <v>40</v>
          </cell>
          <cell r="P134" t="str">
            <v>600000A  660000A  999999999999999999999999999999999999999999999999999999</v>
          </cell>
          <cell r="Q134" t="str">
            <v xml:space="preserve">none     </v>
          </cell>
          <cell r="R134" t="str">
            <v>Final Profit Plan</v>
          </cell>
          <cell r="S134" t="str">
            <v>Final Profit Plan</v>
          </cell>
          <cell r="T134" t="str">
            <v xml:space="preserve"> </v>
          </cell>
          <cell r="U134" t="str">
            <v xml:space="preserve"> </v>
          </cell>
          <cell r="V134">
            <v>198.61637999999999</v>
          </cell>
          <cell r="W134">
            <v>128</v>
          </cell>
          <cell r="X134">
            <v>-70.616380000000007</v>
          </cell>
          <cell r="Y134">
            <v>-28.05226</v>
          </cell>
          <cell r="Z134" t="str">
            <v xml:space="preserve">     </v>
          </cell>
          <cell r="AA134" t="str">
            <v>660000A</v>
          </cell>
          <cell r="AB134" t="str">
            <v>2</v>
          </cell>
          <cell r="AC134" t="str">
            <v>Telecommunications</v>
          </cell>
          <cell r="AD134">
            <v>1985.5065300000001</v>
          </cell>
          <cell r="AE134">
            <v>1655</v>
          </cell>
          <cell r="AF134">
            <v>-330.50653</v>
          </cell>
          <cell r="AG134">
            <v>-19.970183081571001</v>
          </cell>
          <cell r="AH134" t="str">
            <v xml:space="preserve">U.S. Dollar                   </v>
          </cell>
        </row>
        <row r="135">
          <cell r="A135" t="str">
            <v>JO........665499B</v>
          </cell>
          <cell r="B135" t="str">
            <v>1999T12</v>
          </cell>
          <cell r="C135" t="str">
            <v xml:space="preserve">M10      </v>
          </cell>
          <cell r="D135" t="str">
            <v xml:space="preserve">Monthly Actual vs Plan                            </v>
          </cell>
          <cell r="E135" t="str">
            <v>Run: 01/13/00 10:16:47</v>
          </cell>
          <cell r="F135" t="str">
            <v>999</v>
          </cell>
          <cell r="G135" t="str">
            <v>100</v>
          </cell>
          <cell r="H135" t="str">
            <v xml:space="preserve">Bank Of America Management Reporting              </v>
          </cell>
          <cell r="I135" t="str">
            <v>001</v>
          </cell>
          <cell r="J135" t="str">
            <v>JO........</v>
          </cell>
          <cell r="K135" t="str">
            <v xml:space="preserve">Specialty Group                                   </v>
          </cell>
          <cell r="L135" t="str">
            <v xml:space="preserve"> </v>
          </cell>
          <cell r="M135" t="str">
            <v xml:space="preserve"> </v>
          </cell>
          <cell r="N135" t="str">
            <v>bamgt</v>
          </cell>
          <cell r="O135" t="str">
            <v>40</v>
          </cell>
          <cell r="P135" t="str">
            <v>600000A  665499A  665499B  999999999999999999999999999999999999999999999</v>
          </cell>
          <cell r="Q135" t="str">
            <v xml:space="preserve">none     </v>
          </cell>
          <cell r="R135" t="str">
            <v>Final Profit Plan</v>
          </cell>
          <cell r="S135" t="str">
            <v>Final Profit Plan</v>
          </cell>
          <cell r="T135" t="str">
            <v xml:space="preserve"> </v>
          </cell>
          <cell r="U135" t="str">
            <v xml:space="preserve"> </v>
          </cell>
          <cell r="V135">
            <v>126.14525</v>
          </cell>
          <cell r="W135">
            <v>136</v>
          </cell>
          <cell r="X135">
            <v>9.8547499999999992</v>
          </cell>
          <cell r="Y135">
            <v>-41.396740000000001</v>
          </cell>
          <cell r="Z135" t="str">
            <v xml:space="preserve">     </v>
          </cell>
          <cell r="AA135" t="str">
            <v>665499B</v>
          </cell>
          <cell r="AB135" t="str">
            <v>3</v>
          </cell>
          <cell r="AC135" t="str">
            <v>Loan &amp; Collection</v>
          </cell>
          <cell r="AD135">
            <v>1491.2117800000001</v>
          </cell>
          <cell r="AE135">
            <v>1664</v>
          </cell>
          <cell r="AF135">
            <v>172.78822</v>
          </cell>
          <cell r="AG135">
            <v>10.3839074519231</v>
          </cell>
          <cell r="AH135" t="str">
            <v xml:space="preserve">U.S. Dollar                   </v>
          </cell>
        </row>
        <row r="136">
          <cell r="A136" t="str">
            <v>JO........665850A</v>
          </cell>
          <cell r="B136" t="str">
            <v>1999T12</v>
          </cell>
          <cell r="C136" t="str">
            <v xml:space="preserve">M10      </v>
          </cell>
          <cell r="D136" t="str">
            <v xml:space="preserve">Monthly Actual vs Plan                            </v>
          </cell>
          <cell r="E136" t="str">
            <v>Run: 01/13/00 10:16:47</v>
          </cell>
          <cell r="F136" t="str">
            <v>999</v>
          </cell>
          <cell r="G136" t="str">
            <v>100</v>
          </cell>
          <cell r="H136" t="str">
            <v xml:space="preserve">Bank Of America Management Reporting              </v>
          </cell>
          <cell r="I136" t="str">
            <v>001</v>
          </cell>
          <cell r="J136" t="str">
            <v>JO........</v>
          </cell>
          <cell r="K136" t="str">
            <v xml:space="preserve">Specialty Group                                   </v>
          </cell>
          <cell r="L136" t="str">
            <v xml:space="preserve"> </v>
          </cell>
          <cell r="M136" t="str">
            <v xml:space="preserve"> </v>
          </cell>
          <cell r="N136" t="str">
            <v>bamgt</v>
          </cell>
          <cell r="O136" t="str">
            <v>40</v>
          </cell>
          <cell r="P136" t="str">
            <v>600000A  665499A  665850A  999999999999999999999999999999999999999999999</v>
          </cell>
          <cell r="Q136" t="str">
            <v xml:space="preserve">none     </v>
          </cell>
          <cell r="R136" t="str">
            <v>Final Profit Plan</v>
          </cell>
          <cell r="S136" t="str">
            <v>Final Profit Plan</v>
          </cell>
          <cell r="T136" t="str">
            <v xml:space="preserve"> </v>
          </cell>
          <cell r="U136" t="str">
            <v xml:space="preserve"> </v>
          </cell>
          <cell r="V136">
            <v>0.35</v>
          </cell>
          <cell r="W136">
            <v>125</v>
          </cell>
          <cell r="X136">
            <v>124.65</v>
          </cell>
          <cell r="Y136">
            <v>0.85958000000000001</v>
          </cell>
          <cell r="Z136" t="str">
            <v xml:space="preserve">     </v>
          </cell>
          <cell r="AA136" t="str">
            <v>665850A</v>
          </cell>
          <cell r="AB136" t="str">
            <v>3</v>
          </cell>
          <cell r="AC136" t="str">
            <v>Foreclosed Properties Expense</v>
          </cell>
          <cell r="AD136">
            <v>21.731120000000001</v>
          </cell>
          <cell r="AE136">
            <v>1391</v>
          </cell>
          <cell r="AF136">
            <v>1369.2688800000001</v>
          </cell>
          <cell r="AG136">
            <v>98.437734004313498</v>
          </cell>
          <cell r="AH136" t="str">
            <v xml:space="preserve">U.S. Dollar                   </v>
          </cell>
        </row>
        <row r="137">
          <cell r="A137" t="str">
            <v>JO........NIEBA-B</v>
          </cell>
          <cell r="B137" t="str">
            <v>1999T12</v>
          </cell>
          <cell r="C137" t="str">
            <v xml:space="preserve">M10      </v>
          </cell>
          <cell r="D137" t="str">
            <v xml:space="preserve">Monthly Actual vs Plan                            </v>
          </cell>
          <cell r="E137" t="str">
            <v>Run: 01/13/00 10:16:47</v>
          </cell>
          <cell r="F137" t="str">
            <v>999</v>
          </cell>
          <cell r="G137" t="str">
            <v>100</v>
          </cell>
          <cell r="H137" t="str">
            <v xml:space="preserve">Bank Of America Management Reporting              </v>
          </cell>
          <cell r="I137" t="str">
            <v>001</v>
          </cell>
          <cell r="J137" t="str">
            <v>JO........</v>
          </cell>
          <cell r="K137" t="str">
            <v xml:space="preserve">Specialty Group                                   </v>
          </cell>
          <cell r="L137" t="str">
            <v xml:space="preserve"> </v>
          </cell>
          <cell r="M137" t="str">
            <v xml:space="preserve"> </v>
          </cell>
          <cell r="N137" t="str">
            <v>bamgt</v>
          </cell>
          <cell r="O137" t="str">
            <v>40</v>
          </cell>
          <cell r="P137" t="str">
            <v xml:space="preserve">600000A  675000A  999999999999999999999999999NIEBA-B                    </v>
          </cell>
          <cell r="Q137" t="str">
            <v xml:space="preserve">none     </v>
          </cell>
          <cell r="R137" t="str">
            <v>Final Profit Plan</v>
          </cell>
          <cell r="S137" t="str">
            <v>Final Profit Plan</v>
          </cell>
          <cell r="T137" t="str">
            <v xml:space="preserve"> </v>
          </cell>
          <cell r="U137" t="str">
            <v xml:space="preserve"> </v>
          </cell>
          <cell r="V137">
            <v>4971.5759900000003</v>
          </cell>
          <cell r="W137">
            <v>5012.87</v>
          </cell>
          <cell r="X137">
            <v>41.29401</v>
          </cell>
          <cell r="Y137">
            <v>752.70573000000002</v>
          </cell>
          <cell r="Z137" t="str">
            <v xml:space="preserve">     </v>
          </cell>
          <cell r="AA137" t="str">
            <v>NIEBA-B</v>
          </cell>
          <cell r="AB137" t="str">
            <v>0</v>
          </cell>
          <cell r="AC137" t="str">
            <v>Sub-Tot Non Int Exp Before Cost</v>
          </cell>
          <cell r="AD137">
            <v>66213.824989999994</v>
          </cell>
          <cell r="AE137">
            <v>62338.61</v>
          </cell>
          <cell r="AF137">
            <v>-3875.2149899999999</v>
          </cell>
          <cell r="AG137">
            <v>-6.2163962109517703</v>
          </cell>
          <cell r="AH137" t="str">
            <v xml:space="preserve">U.S. Dollar                   </v>
          </cell>
        </row>
        <row r="138">
          <cell r="A138" t="str">
            <v>JO........830130A</v>
          </cell>
          <cell r="B138" t="str">
            <v>1999T12</v>
          </cell>
          <cell r="C138" t="str">
            <v xml:space="preserve">M10      </v>
          </cell>
          <cell r="D138" t="str">
            <v xml:space="preserve">Monthly Actual vs Plan                            </v>
          </cell>
          <cell r="E138" t="str">
            <v>Run: 01/13/00 10:16:47</v>
          </cell>
          <cell r="F138" t="str">
            <v>999</v>
          </cell>
          <cell r="G138" t="str">
            <v>100</v>
          </cell>
          <cell r="H138" t="str">
            <v xml:space="preserve">Bank Of America Management Reporting              </v>
          </cell>
          <cell r="I138" t="str">
            <v>001</v>
          </cell>
          <cell r="J138" t="str">
            <v>JO........</v>
          </cell>
          <cell r="K138" t="str">
            <v xml:space="preserve">Specialty Group                                   </v>
          </cell>
          <cell r="L138" t="str">
            <v xml:space="preserve"> </v>
          </cell>
          <cell r="M138" t="str">
            <v xml:space="preserve"> </v>
          </cell>
          <cell r="N138" t="str">
            <v>bamgt</v>
          </cell>
          <cell r="O138" t="str">
            <v>05</v>
          </cell>
          <cell r="P138" t="str">
            <v>830130A  999999999999999999999999999999999999999999999999999999999999999</v>
          </cell>
          <cell r="Q138" t="str">
            <v xml:space="preserve">none     </v>
          </cell>
          <cell r="R138" t="str">
            <v>Final Profit Plan</v>
          </cell>
          <cell r="S138" t="str">
            <v>Final Profit Plan</v>
          </cell>
          <cell r="T138" t="str">
            <v xml:space="preserve"> </v>
          </cell>
          <cell r="U138" t="str">
            <v xml:space="preserve"> </v>
          </cell>
          <cell r="V138">
            <v>521.54999999999995</v>
          </cell>
          <cell r="W138">
            <v>601.37</v>
          </cell>
          <cell r="X138">
            <v>-79.819999999999993</v>
          </cell>
          <cell r="Y138">
            <v>-5.79</v>
          </cell>
          <cell r="Z138" t="str">
            <v xml:space="preserve">     </v>
          </cell>
          <cell r="AA138" t="str">
            <v>830130A</v>
          </cell>
          <cell r="AB138" t="str">
            <v>1</v>
          </cell>
          <cell r="AC138" t="str">
            <v>Full Time Equivalent Staff</v>
          </cell>
          <cell r="AD138">
            <v>514.27</v>
          </cell>
          <cell r="AE138">
            <v>579.28</v>
          </cell>
          <cell r="AF138">
            <v>-65.010000000000005</v>
          </cell>
          <cell r="AG138">
            <v>-11.2225521336832</v>
          </cell>
          <cell r="AH138" t="str">
            <v xml:space="preserve">U.S. Dollar                   </v>
          </cell>
        </row>
        <row r="181">
          <cell r="A181" t="str">
            <v>Report 2 of 3</v>
          </cell>
          <cell r="E181" t="str">
            <v>Run: 01/13/00 10:18:05</v>
          </cell>
        </row>
      </sheetData>
      <sheetData sheetId="8" refreshError="1"/>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ck D Main"/>
      <sheetName val="Status Report"/>
      <sheetName val="Controls"/>
      <sheetName val="Temp_S2"/>
      <sheetName val="Temp_OI"/>
      <sheetName val="Temp_DC_SI"/>
      <sheetName val="Temp_DC_MDCI"/>
      <sheetName val="Temp_DC_AMI"/>
      <sheetName val="M6"/>
      <sheetName val="M7"/>
      <sheetName val="XTemp_OI"/>
      <sheetName val="XTemp_S2"/>
      <sheetName val="XTemp_DC_SI"/>
      <sheetName val="XTemp_DC_AMI"/>
      <sheetName val="XTemp_DC_MDCI"/>
      <sheetName val="M8"/>
      <sheetName val="D Schedule"/>
      <sheetName val="Construction Status in %"/>
      <sheetName val="Procurement Schedule"/>
      <sheetName val="Budget Summary"/>
      <sheetName val="Rev-GMCP-Blk-D"/>
      <sheetName val="GMCP TRACKER (US $)"/>
      <sheetName val="GMCP TRACKER (Rs)"/>
      <sheetName val="CHANGE ORDER LOG"/>
      <sheetName val="DCIPL"/>
      <sheetName val="DSSIPL"/>
      <sheetName val="DAERS"/>
      <sheetName val="CEP"/>
      <sheetName val="CEP Details"/>
      <sheetName val="Summary"/>
      <sheetName val="Special forms"/>
      <sheetName val="Account Code Summary"/>
      <sheetName val="Vendor Quote"/>
      <sheetName val="Lookup Tables"/>
      <sheetName val="reference"/>
      <sheetName val="Insig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 Comments"/>
      <sheetName val="Overview Global2"/>
      <sheetName val="Data Sheet"/>
      <sheetName val="Global Overview"/>
      <sheetName val="Overview India"/>
      <sheetName val="Overview Manila"/>
      <sheetName val="Overview China"/>
      <sheetName val="Overview London"/>
      <sheetName val="Overview Global"/>
      <sheetName val="India Overall"/>
      <sheetName val="India B2 Phase1"/>
      <sheetName val="China Detail"/>
      <sheetName val="Actuals by Project Number"/>
      <sheetName val="Approved MTD Proj #'s"/>
      <sheetName val="Approved FY03 Proj #'s (2)"/>
      <sheetName val="Capital Numbers"/>
      <sheetName val="DCN WAN Detail"/>
      <sheetName val="High Level Plan"/>
      <sheetName val="IndiaOverviewApril"/>
      <sheetName val="IndiaOverviewMay"/>
      <sheetName val="Overview (2)"/>
      <sheetName val="GMCP TRACKER (Rs)"/>
      <sheetName val="Approved MTD Proj __s"/>
      <sheetName val="Portfolio Summary"/>
      <sheetName val="Current Bill MB ref"/>
      <sheetName val="Basement Budget"/>
      <sheetName val="Project Budget Workshee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GMU</v>
          </cell>
          <cell r="C1" t="str">
            <v>LMU</v>
          </cell>
          <cell r="D1" t="str">
            <v>Proj No.</v>
          </cell>
          <cell r="E1" t="str">
            <v>Total</v>
          </cell>
        </row>
        <row r="2">
          <cell r="A2" t="str">
            <v>086168M03</v>
          </cell>
          <cell r="B2" t="str">
            <v>0613</v>
          </cell>
          <cell r="C2" t="str">
            <v>086</v>
          </cell>
          <cell r="D2" t="str">
            <v xml:space="preserve">168M03   </v>
          </cell>
          <cell r="E2">
            <v>106769.25</v>
          </cell>
        </row>
        <row r="3">
          <cell r="A3" t="str">
            <v>086168R03</v>
          </cell>
          <cell r="B3" t="str">
            <v>0613</v>
          </cell>
          <cell r="C3" t="str">
            <v>086</v>
          </cell>
          <cell r="D3" t="str">
            <v xml:space="preserve">168R03   </v>
          </cell>
          <cell r="E3">
            <v>9500.81</v>
          </cell>
        </row>
        <row r="4">
          <cell r="A4" t="str">
            <v>086176M03</v>
          </cell>
          <cell r="B4" t="str">
            <v>0613</v>
          </cell>
          <cell r="C4" t="str">
            <v>086</v>
          </cell>
          <cell r="D4" t="str">
            <v>176M03</v>
          </cell>
          <cell r="E4">
            <v>11097.47</v>
          </cell>
        </row>
        <row r="5">
          <cell r="A5" t="str">
            <v>086176R03</v>
          </cell>
          <cell r="B5" t="str">
            <v>0613</v>
          </cell>
          <cell r="C5" t="str">
            <v>086</v>
          </cell>
          <cell r="D5" t="str">
            <v xml:space="preserve">176R03   </v>
          </cell>
          <cell r="E5">
            <v>901.59</v>
          </cell>
        </row>
        <row r="6">
          <cell r="A6" t="str">
            <v>086178M03</v>
          </cell>
          <cell r="B6" t="str">
            <v>0613</v>
          </cell>
          <cell r="C6" t="str">
            <v>086</v>
          </cell>
          <cell r="D6" t="str">
            <v xml:space="preserve">178M03   </v>
          </cell>
          <cell r="E6">
            <v>30765.35</v>
          </cell>
        </row>
        <row r="7">
          <cell r="A7" t="str">
            <v>086178R03</v>
          </cell>
          <cell r="B7" t="str">
            <v>0613</v>
          </cell>
          <cell r="C7" t="str">
            <v>086</v>
          </cell>
          <cell r="D7" t="str">
            <v xml:space="preserve">178R03   </v>
          </cell>
          <cell r="E7">
            <v>15563.95</v>
          </cell>
        </row>
        <row r="8">
          <cell r="A8" t="str">
            <v>086180C03</v>
          </cell>
          <cell r="B8" t="str">
            <v>0613</v>
          </cell>
          <cell r="C8" t="str">
            <v>086</v>
          </cell>
          <cell r="D8" t="str">
            <v xml:space="preserve">180C03   </v>
          </cell>
          <cell r="E8">
            <v>36504.06</v>
          </cell>
        </row>
        <row r="9">
          <cell r="A9" t="str">
            <v>086180M03</v>
          </cell>
          <cell r="B9" t="str">
            <v>0613</v>
          </cell>
          <cell r="C9" t="str">
            <v>086</v>
          </cell>
          <cell r="D9" t="str">
            <v xml:space="preserve">180M03   </v>
          </cell>
          <cell r="E9">
            <v>5662.6</v>
          </cell>
        </row>
        <row r="10">
          <cell r="A10" t="str">
            <v>086182M03</v>
          </cell>
          <cell r="B10" t="str">
            <v>0613</v>
          </cell>
          <cell r="C10" t="str">
            <v>086</v>
          </cell>
          <cell r="D10" t="str">
            <v xml:space="preserve">182M03   </v>
          </cell>
          <cell r="E10">
            <v>12955.01</v>
          </cell>
        </row>
        <row r="11">
          <cell r="A11" t="str">
            <v>086641E03</v>
          </cell>
          <cell r="B11" t="str">
            <v>0613</v>
          </cell>
          <cell r="C11" t="str">
            <v>086</v>
          </cell>
          <cell r="D11" t="str">
            <v xml:space="preserve">641E03   </v>
          </cell>
          <cell r="E11">
            <v>367.63</v>
          </cell>
        </row>
        <row r="12">
          <cell r="A12" t="str">
            <v>0XL171L03</v>
          </cell>
          <cell r="B12" t="str">
            <v>0799</v>
          </cell>
          <cell r="C12" t="str">
            <v>0XL</v>
          </cell>
          <cell r="D12" t="str">
            <v xml:space="preserve">171L03   </v>
          </cell>
          <cell r="E12">
            <v>4200.9399999999996</v>
          </cell>
        </row>
        <row r="13">
          <cell r="A13" t="str">
            <v>0XB168B03</v>
          </cell>
          <cell r="B13" t="str">
            <v>09EQ</v>
          </cell>
          <cell r="C13" t="str">
            <v>0XB</v>
          </cell>
          <cell r="D13" t="str">
            <v xml:space="preserve">168B03   </v>
          </cell>
          <cell r="E13">
            <v>-73836.62</v>
          </cell>
        </row>
        <row r="14">
          <cell r="A14" t="str">
            <v>0XB176B03</v>
          </cell>
          <cell r="B14" t="str">
            <v>09EQ</v>
          </cell>
          <cell r="C14" t="str">
            <v>0XB</v>
          </cell>
          <cell r="D14" t="str">
            <v xml:space="preserve">176B03   </v>
          </cell>
          <cell r="E14">
            <v>450444.7</v>
          </cell>
        </row>
        <row r="15">
          <cell r="A15" t="str">
            <v>0XB178B03</v>
          </cell>
          <cell r="B15" t="str">
            <v>09EQ</v>
          </cell>
          <cell r="C15" t="str">
            <v>0XB</v>
          </cell>
          <cell r="D15" t="str">
            <v xml:space="preserve">178B03   </v>
          </cell>
          <cell r="E15">
            <v>50573.78</v>
          </cell>
        </row>
        <row r="16">
          <cell r="A16" t="str">
            <v>0XB180B03</v>
          </cell>
          <cell r="B16" t="str">
            <v>09EQ</v>
          </cell>
          <cell r="C16" t="str">
            <v>0XB</v>
          </cell>
          <cell r="D16" t="str">
            <v xml:space="preserve">180B03   </v>
          </cell>
          <cell r="E16">
            <v>-19746.28</v>
          </cell>
        </row>
        <row r="17">
          <cell r="A17" t="str">
            <v>0XB182B03</v>
          </cell>
          <cell r="B17" t="str">
            <v>09EQ</v>
          </cell>
          <cell r="C17" t="str">
            <v>0XB</v>
          </cell>
          <cell r="D17" t="str">
            <v xml:space="preserve">182B03   </v>
          </cell>
          <cell r="E17">
            <v>11948.39</v>
          </cell>
        </row>
        <row r="18">
          <cell r="A18" t="str">
            <v>0XB186B03</v>
          </cell>
          <cell r="B18" t="str">
            <v>09EQ</v>
          </cell>
          <cell r="C18" t="str">
            <v>0XB</v>
          </cell>
          <cell r="D18" t="str">
            <v xml:space="preserve">186B03   </v>
          </cell>
          <cell r="E18">
            <v>18155.04</v>
          </cell>
        </row>
        <row r="19">
          <cell r="A19" t="str">
            <v>0XF168S03</v>
          </cell>
          <cell r="B19" t="str">
            <v>09EQ</v>
          </cell>
          <cell r="C19" t="str">
            <v>0XF</v>
          </cell>
          <cell r="D19" t="str">
            <v xml:space="preserve">168S03   </v>
          </cell>
          <cell r="E19">
            <v>135754.37</v>
          </cell>
        </row>
        <row r="20">
          <cell r="A20" t="str">
            <v>0XF171S03</v>
          </cell>
          <cell r="B20" t="str">
            <v>09EQ</v>
          </cell>
          <cell r="C20" t="str">
            <v>0XF</v>
          </cell>
          <cell r="D20" t="str">
            <v xml:space="preserve">171S03   </v>
          </cell>
          <cell r="E20">
            <v>117090.25</v>
          </cell>
        </row>
        <row r="21">
          <cell r="A21" t="str">
            <v>0XF176I03</v>
          </cell>
          <cell r="B21" t="str">
            <v>09EQ</v>
          </cell>
          <cell r="C21" t="str">
            <v>0XF</v>
          </cell>
          <cell r="D21" t="str">
            <v xml:space="preserve">176I03   </v>
          </cell>
          <cell r="E21">
            <v>10643.16</v>
          </cell>
        </row>
        <row r="22">
          <cell r="A22" t="str">
            <v>0XF176S03</v>
          </cell>
          <cell r="B22" t="str">
            <v>09EQ</v>
          </cell>
          <cell r="C22" t="str">
            <v>0XF</v>
          </cell>
          <cell r="D22" t="str">
            <v xml:space="preserve">176S03   </v>
          </cell>
          <cell r="E22">
            <v>178067.83</v>
          </cell>
        </row>
        <row r="23">
          <cell r="A23" t="str">
            <v>0XF180I03</v>
          </cell>
          <cell r="B23" t="str">
            <v>09EQ</v>
          </cell>
          <cell r="C23" t="str">
            <v>0XF</v>
          </cell>
          <cell r="D23" t="str">
            <v xml:space="preserve">180I03   </v>
          </cell>
          <cell r="E23">
            <v>188266.79</v>
          </cell>
        </row>
        <row r="24">
          <cell r="A24" t="str">
            <v>0XF180S03</v>
          </cell>
          <cell r="B24" t="str">
            <v>09EQ</v>
          </cell>
          <cell r="C24" t="str">
            <v>0XF</v>
          </cell>
          <cell r="D24" t="str">
            <v xml:space="preserve">180S03   </v>
          </cell>
          <cell r="E24">
            <v>727330.41</v>
          </cell>
        </row>
        <row r="25">
          <cell r="A25" t="str">
            <v>0XF180Z03</v>
          </cell>
          <cell r="B25" t="str">
            <v>09EQ</v>
          </cell>
          <cell r="C25" t="str">
            <v>0XF</v>
          </cell>
          <cell r="D25" t="str">
            <v xml:space="preserve">180Z03   </v>
          </cell>
          <cell r="E25">
            <v>66874.539999999994</v>
          </cell>
        </row>
        <row r="26">
          <cell r="A26" t="str">
            <v>0XF182I03</v>
          </cell>
          <cell r="B26" t="str">
            <v>09EQ</v>
          </cell>
          <cell r="C26" t="str">
            <v>0XF</v>
          </cell>
          <cell r="D26" t="str">
            <v xml:space="preserve">182I03   </v>
          </cell>
          <cell r="E26">
            <v>225798.45</v>
          </cell>
        </row>
        <row r="27">
          <cell r="A27" t="str">
            <v>0XF182Z03</v>
          </cell>
          <cell r="B27" t="str">
            <v>09EQ</v>
          </cell>
          <cell r="C27" t="str">
            <v>0XF</v>
          </cell>
          <cell r="D27" t="str">
            <v xml:space="preserve">182Z03   </v>
          </cell>
          <cell r="E27">
            <v>244498.32</v>
          </cell>
        </row>
        <row r="28">
          <cell r="A28" t="str">
            <v>0XF186I03</v>
          </cell>
          <cell r="B28" t="str">
            <v>09EQ</v>
          </cell>
          <cell r="C28" t="str">
            <v>0XF</v>
          </cell>
          <cell r="D28" t="str">
            <v xml:space="preserve">186I03   </v>
          </cell>
          <cell r="E28">
            <v>17087.669999999998</v>
          </cell>
        </row>
        <row r="29">
          <cell r="A29" t="str">
            <v>0XF186S03</v>
          </cell>
          <cell r="B29" t="str">
            <v>09EQ</v>
          </cell>
          <cell r="C29" t="str">
            <v>0XF</v>
          </cell>
          <cell r="D29" t="str">
            <v xml:space="preserve">186S03   </v>
          </cell>
          <cell r="E29">
            <v>16997.87</v>
          </cell>
        </row>
        <row r="30">
          <cell r="A30" t="str">
            <v>0XL176R03</v>
          </cell>
          <cell r="B30" t="str">
            <v>09EQ</v>
          </cell>
          <cell r="C30" t="str">
            <v>0XL</v>
          </cell>
          <cell r="D30" t="str">
            <v xml:space="preserve">176R03   </v>
          </cell>
          <cell r="E30">
            <v>1931.65</v>
          </cell>
        </row>
        <row r="31">
          <cell r="A31" t="str">
            <v>0XL180C03</v>
          </cell>
          <cell r="B31" t="str">
            <v>09EQ</v>
          </cell>
          <cell r="C31" t="str">
            <v>0XL</v>
          </cell>
          <cell r="D31" t="str">
            <v xml:space="preserve">180C03   </v>
          </cell>
          <cell r="E31">
            <v>106770.32</v>
          </cell>
        </row>
        <row r="32">
          <cell r="A32" t="str">
            <v>0XL180M03</v>
          </cell>
          <cell r="B32" t="str">
            <v>09EQ</v>
          </cell>
          <cell r="C32" t="str">
            <v>0XL</v>
          </cell>
          <cell r="D32" t="str">
            <v xml:space="preserve">180M03   </v>
          </cell>
          <cell r="E32">
            <v>13898.99</v>
          </cell>
        </row>
        <row r="33">
          <cell r="A33" t="str">
            <v>0XL180MR3</v>
          </cell>
          <cell r="B33" t="str">
            <v>09EQ</v>
          </cell>
          <cell r="C33" t="str">
            <v>0XL</v>
          </cell>
          <cell r="D33" t="str">
            <v xml:space="preserve">180MR3   </v>
          </cell>
          <cell r="E33">
            <v>2379.9899999999998</v>
          </cell>
        </row>
        <row r="34">
          <cell r="A34" t="str">
            <v>0XL180R03</v>
          </cell>
          <cell r="B34" t="str">
            <v>09EQ</v>
          </cell>
          <cell r="C34" t="str">
            <v>0XL</v>
          </cell>
          <cell r="D34" t="str">
            <v xml:space="preserve">180R03   </v>
          </cell>
          <cell r="E34">
            <v>6156.13</v>
          </cell>
        </row>
        <row r="35">
          <cell r="A35" t="str">
            <v>0XL182MR3</v>
          </cell>
          <cell r="B35" t="str">
            <v>09EQ</v>
          </cell>
          <cell r="C35" t="str">
            <v>0XL</v>
          </cell>
          <cell r="D35" t="str">
            <v xml:space="preserve">182MR3   </v>
          </cell>
          <cell r="E35">
            <v>81499.44</v>
          </cell>
        </row>
        <row r="36">
          <cell r="A36" t="str">
            <v>0XL182R03</v>
          </cell>
          <cell r="B36" t="str">
            <v>09EQ</v>
          </cell>
          <cell r="C36" t="str">
            <v>0XL</v>
          </cell>
          <cell r="D36" t="str">
            <v xml:space="preserve">182R03   </v>
          </cell>
          <cell r="E36">
            <v>20825.13</v>
          </cell>
        </row>
        <row r="37">
          <cell r="A37" t="str">
            <v>0TS170168</v>
          </cell>
          <cell r="B37" t="str">
            <v>09HG</v>
          </cell>
          <cell r="C37" t="str">
            <v>0TS</v>
          </cell>
          <cell r="D37" t="str">
            <v xml:space="preserve">170168   </v>
          </cell>
          <cell r="E37">
            <v>-162582.28</v>
          </cell>
        </row>
        <row r="38">
          <cell r="A38" t="str">
            <v>0TS170171</v>
          </cell>
          <cell r="B38" t="str">
            <v>09HG</v>
          </cell>
          <cell r="C38" t="str">
            <v>0TS</v>
          </cell>
          <cell r="D38" t="str">
            <v xml:space="preserve">170171   </v>
          </cell>
          <cell r="E38">
            <v>-32742.880000000001</v>
          </cell>
        </row>
        <row r="39">
          <cell r="A39" t="str">
            <v>0TS170176</v>
          </cell>
          <cell r="B39" t="str">
            <v>09HG</v>
          </cell>
          <cell r="C39" t="str">
            <v>0TS</v>
          </cell>
          <cell r="D39" t="str">
            <v xml:space="preserve">170176   </v>
          </cell>
          <cell r="E39">
            <v>-72073.88</v>
          </cell>
        </row>
        <row r="40">
          <cell r="A40" t="str">
            <v>0TS170178</v>
          </cell>
          <cell r="B40" t="str">
            <v>09HG</v>
          </cell>
          <cell r="C40" t="str">
            <v>0TS</v>
          </cell>
          <cell r="D40" t="str">
            <v xml:space="preserve">170178   </v>
          </cell>
          <cell r="E40">
            <v>-9998.43</v>
          </cell>
        </row>
        <row r="41">
          <cell r="A41" t="str">
            <v>0TS170180</v>
          </cell>
          <cell r="B41" t="str">
            <v>09HG</v>
          </cell>
          <cell r="C41" t="str">
            <v>0TS</v>
          </cell>
          <cell r="D41" t="str">
            <v xml:space="preserve">170180   </v>
          </cell>
          <cell r="E41">
            <v>-198901.77</v>
          </cell>
        </row>
        <row r="42">
          <cell r="A42" t="str">
            <v>0TS170182</v>
          </cell>
          <cell r="B42" t="str">
            <v>09HG</v>
          </cell>
          <cell r="C42" t="str">
            <v>0TS</v>
          </cell>
          <cell r="D42" t="str">
            <v xml:space="preserve">170182   </v>
          </cell>
          <cell r="E42">
            <v>-13991.35</v>
          </cell>
        </row>
        <row r="43">
          <cell r="A43" t="str">
            <v>0TS170186</v>
          </cell>
          <cell r="B43" t="str">
            <v>09HG</v>
          </cell>
          <cell r="C43" t="str">
            <v>0TS</v>
          </cell>
          <cell r="D43" t="str">
            <v xml:space="preserve">170186   </v>
          </cell>
          <cell r="E43">
            <v>6360.0000000000118</v>
          </cell>
        </row>
        <row r="44">
          <cell r="A44" t="str">
            <v>0TS176D03</v>
          </cell>
          <cell r="B44" t="str">
            <v>09HG</v>
          </cell>
          <cell r="C44" t="str">
            <v>0TS</v>
          </cell>
          <cell r="D44" t="str">
            <v xml:space="preserve">176D03   </v>
          </cell>
          <cell r="E44">
            <v>40760.720000000001</v>
          </cell>
        </row>
        <row r="45">
          <cell r="A45" t="str">
            <v>0TS178D03</v>
          </cell>
          <cell r="B45" t="str">
            <v>09HG</v>
          </cell>
          <cell r="C45" t="str">
            <v>0TS</v>
          </cell>
          <cell r="D45" t="str">
            <v xml:space="preserve">178D03   </v>
          </cell>
          <cell r="E45">
            <v>108.73</v>
          </cell>
        </row>
        <row r="46">
          <cell r="A46" t="str">
            <v>0TS180D03</v>
          </cell>
          <cell r="B46" t="str">
            <v>09HG</v>
          </cell>
          <cell r="C46" t="str">
            <v>0TS</v>
          </cell>
          <cell r="D46" t="str">
            <v xml:space="preserve">180D03   </v>
          </cell>
          <cell r="E46">
            <v>91861.89</v>
          </cell>
        </row>
        <row r="47">
          <cell r="A47" t="str">
            <v>0TS182D03</v>
          </cell>
          <cell r="B47" t="str">
            <v>09HG</v>
          </cell>
          <cell r="C47" t="str">
            <v>0TS</v>
          </cell>
          <cell r="D47" t="str">
            <v xml:space="preserve">182D03   </v>
          </cell>
          <cell r="E47">
            <v>28320.58</v>
          </cell>
        </row>
      </sheetData>
      <sheetData sheetId="14"/>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2)"/>
      <sheetName val="Sheet3 _2_"/>
      <sheetName val="DEPRE"/>
      <sheetName val="Global Assm."/>
      <sheetName val="QoQ Forecast"/>
      <sheetName val="BBEuros"/>
      <sheetName val="Income Statements"/>
      <sheetName val="Analysis"/>
      <sheetName val="Sheet2"/>
      <sheetName val="van khuon"/>
      <sheetName val="Names"/>
      <sheetName val="Introduction"/>
      <sheetName val="IDC macro"/>
      <sheetName val="SALE"/>
      <sheetName val="sheet6"/>
      <sheetName val="InvoiceList"/>
      <sheetName val="Income &amp; Occupancy Customer"/>
      <sheetName val="Summary"/>
      <sheetName val="노무비"/>
      <sheetName val="Set"/>
      <sheetName val="Sheet3_(2)"/>
      <sheetName val="Sheet3__2_"/>
      <sheetName val="Aladdin Macro1"/>
      <sheetName val="BalSht"/>
      <sheetName val="Acc_10.5"/>
      <sheetName val="ABP inputs"/>
      <sheetName val="Synergy Sales Budget"/>
      <sheetName val="Project Budget Worksheet"/>
      <sheetName val="Calculation (2)"/>
      <sheetName val="JCF"/>
      <sheetName val="Multiple output"/>
      <sheetName val="유통망계획"/>
      <sheetName val="Builtup Area"/>
      <sheetName val="Headings"/>
      <sheetName val="RCC,Ret. Wall"/>
      <sheetName val="BOQ T4B"/>
      <sheetName val="F1a-Pile"/>
      <sheetName val="CV"/>
      <sheetName val="ES(Kor)"/>
      <sheetName val="INDIGINEOUS ITEMS "/>
      <sheetName val="fco"/>
      <sheetName val="Formulas"/>
      <sheetName val="SCH-E-1"/>
      <sheetName val="Inputs"/>
      <sheetName val="BIPR"/>
      <sheetName val="BPCA"/>
      <sheetName val="BBRS"/>
      <sheetName val="KPM DT"/>
      <sheetName val="IMPORT T12"/>
      <sheetName val="Assumptions"/>
      <sheetName val="EBITDA"/>
      <sheetName val="Income_Statements"/>
      <sheetName val="QoQ_Forecast"/>
      <sheetName val="Portfolio Summary"/>
      <sheetName val="Depreciation"/>
      <sheetName val="compu"/>
      <sheetName val="Current Bill MB ref"/>
      <sheetName val="Meas.-Hotel Part"/>
      <sheetName val="Approved MTD Proj #'s"/>
      <sheetName val="PLAN_FEB97"/>
      <sheetName val="Fin Sum"/>
      <sheetName val="Company"/>
      <sheetName val="Summary Excise"/>
      <sheetName val="BS"/>
      <sheetName val="Other BS Sch 5-9"/>
      <sheetName val="Excess Calc"/>
      <sheetName val="Grouping Master"/>
      <sheetName val="CapitalOutlay"/>
      <sheetName val="Assum"/>
      <sheetName val="Material "/>
      <sheetName val="Labour &amp; Plant"/>
      <sheetName val="Lead"/>
      <sheetName val="Main-Material"/>
      <sheetName val="Sheet1"/>
      <sheetName val="GBW"/>
      <sheetName val="Design"/>
      <sheetName val="BOQ"/>
      <sheetName val=" B3"/>
      <sheetName val=" B1"/>
      <sheetName val="beam-reinft-IIInd floor"/>
      <sheetName val="Acc_10_5"/>
      <sheetName val="Aladdin_Macro1"/>
      <sheetName val="TB_FOR_MIS"/>
      <sheetName val="Area"/>
      <sheetName val="TB FOR MIS"/>
      <sheetName val="INPUT SHEET"/>
      <sheetName val="TIll_Q_sal"/>
      <sheetName val="tiller"/>
      <sheetName val="MN T.B."/>
      <sheetName val="CFForecast detail"/>
      <sheetName val="Site Dev BOQ"/>
      <sheetName val="Break up Sheet"/>
      <sheetName val="Load Details-220kV"/>
      <sheetName val="Block A - BOQ"/>
      <sheetName val="strand"/>
      <sheetName val="Rollup Summary"/>
      <sheetName val="Vind-BtB"/>
      <sheetName val="ABP_inputs"/>
      <sheetName val="Synergy_Sales_Budget"/>
      <sheetName val="Project_Budget_Worksheet"/>
      <sheetName val="Income_&amp;_Occupancy_Customer"/>
      <sheetName val="RCC,Ret__Wall"/>
      <sheetName val="Calculation_(2)"/>
      <sheetName val="Multiple_output"/>
      <sheetName val="Builtup_Area"/>
      <sheetName val="BOQ_T4B"/>
      <sheetName val="INDIGINEOUS_ITEMS_"/>
      <sheetName val="Material_"/>
      <sheetName val="Labour_&amp;_Plant"/>
      <sheetName val="Approved_MTD_Proj_#'s"/>
      <sheetName val="_B3"/>
      <sheetName val="_B1"/>
      <sheetName val="beam-reinft-IIInd_floor"/>
      <sheetName val="Global_Assm_"/>
      <sheetName val="MN_T_B_"/>
      <sheetName val="CFForecast_detail"/>
      <sheetName val="Site_Dev_BOQ"/>
      <sheetName val="Break_up_Sheet"/>
      <sheetName val="Load_Details-220kV"/>
      <sheetName val="Block_A_-_BOQ"/>
      <sheetName val="Sheet3_(2)1"/>
      <sheetName val="ABP_inputs1"/>
      <sheetName val="Synergy_Sales_Budget1"/>
      <sheetName val="Project_Budget_Worksheet1"/>
      <sheetName val="QoQ_Forecast1"/>
      <sheetName val="Income_Statements1"/>
      <sheetName val="Sheet3__2_1"/>
      <sheetName val="Income_&amp;_Occupancy_Customer1"/>
      <sheetName val="RCC,Ret__Wall1"/>
      <sheetName val="Calculation_(2)1"/>
      <sheetName val="Multiple_output1"/>
      <sheetName val="Builtup_Area1"/>
      <sheetName val="BOQ_T4B1"/>
      <sheetName val="INDIGINEOUS_ITEMS_1"/>
      <sheetName val="Material_1"/>
      <sheetName val="Labour_&amp;_Plant1"/>
      <sheetName val="Approved_MTD_Proj_#'s1"/>
      <sheetName val="_B31"/>
      <sheetName val="_B11"/>
      <sheetName val="beam-reinft-IIInd_floor1"/>
      <sheetName val="Aladdin_Macro11"/>
      <sheetName val="Acc_10_51"/>
      <sheetName val="Global_Assm_1"/>
      <sheetName val="MN_T_B_1"/>
      <sheetName val="CFForecast_detail1"/>
      <sheetName val="Site_Dev_BOQ1"/>
      <sheetName val="Break_up_Sheet1"/>
      <sheetName val="Load_Details-220kV1"/>
      <sheetName val="Block_A_-_BOQ1"/>
      <sheetName val="Sheet3_(2)2"/>
      <sheetName val="ABP_inputs2"/>
      <sheetName val="Synergy_Sales_Budget2"/>
      <sheetName val="Project_Budget_Worksheet2"/>
      <sheetName val="QoQ_Forecast2"/>
      <sheetName val="Income_Statements2"/>
      <sheetName val="Sheet3__2_2"/>
      <sheetName val="Income_&amp;_Occupancy_Customer2"/>
      <sheetName val="RCC,Ret__Wall2"/>
      <sheetName val="Calculation_(2)2"/>
      <sheetName val="Multiple_output2"/>
      <sheetName val="Builtup_Area2"/>
      <sheetName val="BOQ_T4B2"/>
      <sheetName val="INDIGINEOUS_ITEMS_2"/>
      <sheetName val="Material_2"/>
      <sheetName val="Labour_&amp;_Plant2"/>
      <sheetName val="Approved_MTD_Proj_#'s2"/>
      <sheetName val="_B32"/>
      <sheetName val="_B12"/>
      <sheetName val="beam-reinft-IIInd_floor2"/>
      <sheetName val="Aladdin_Macro12"/>
      <sheetName val="Acc_10_52"/>
      <sheetName val="Global_Assm_2"/>
      <sheetName val="MN_T_B_2"/>
      <sheetName val="CFForecast_detail2"/>
      <sheetName val="Site_Dev_BOQ2"/>
      <sheetName val="Break_up_Sheet2"/>
      <sheetName val="Load_Details-220kV2"/>
      <sheetName val="Block_A_-_BOQ2"/>
      <sheetName val="Occ"/>
      <sheetName val="Demand"/>
      <sheetName val="Ref"/>
      <sheetName val="download"/>
      <sheetName val="170810-lease tax"/>
      <sheetName val="new_data"/>
      <sheetName val="earnmodl"/>
      <sheetName val="Dom Cell (IS)"/>
      <sheetName val="March Analysts"/>
      <sheetName val="Input"/>
      <sheetName val="Main Sheet (MTD)"/>
      <sheetName val="Consl Daily Report"/>
      <sheetName val="Preside"/>
      <sheetName val="balance sheet"/>
      <sheetName val="AOR"/>
      <sheetName val="Sheet3_(2)3"/>
      <sheetName val="ABP_inputs3"/>
      <sheetName val="Synergy_Sales_Budget3"/>
      <sheetName val="Project_Budget_Worksheet3"/>
      <sheetName val="QoQ_Forecast3"/>
      <sheetName val="Income_Statements3"/>
      <sheetName val="Sheet3__2_3"/>
      <sheetName val="Income_&amp;_Occupancy_Customer3"/>
      <sheetName val="RCC,Ret__Wall3"/>
      <sheetName val="Calculation_(2)3"/>
      <sheetName val="Multiple_output3"/>
      <sheetName val="Builtup_Area3"/>
      <sheetName val="BOQ_T4B3"/>
      <sheetName val="INDIGINEOUS_ITEMS_3"/>
      <sheetName val="Material_3"/>
      <sheetName val="Labour_&amp;_Plant3"/>
      <sheetName val="Approved_MTD_Proj_#'s3"/>
      <sheetName val="_B33"/>
      <sheetName val="_B13"/>
      <sheetName val="beam-reinft-IIInd_floor3"/>
      <sheetName val="Aladdin_Macro13"/>
      <sheetName val="Acc_10_53"/>
      <sheetName val="Global_Assm_3"/>
      <sheetName val="MN_T_B_3"/>
      <sheetName val="CFForecast_detail3"/>
      <sheetName val="Site_Dev_BOQ3"/>
      <sheetName val="Break_up_Sheet3"/>
      <sheetName val="Load_Details-220kV3"/>
      <sheetName val="Block_A_-_BOQ3"/>
      <sheetName val="Sheet3_(2)4"/>
      <sheetName val="ABP_inputs4"/>
      <sheetName val="Synergy_Sales_Budget4"/>
      <sheetName val="Project_Budget_Worksheet4"/>
      <sheetName val="QoQ_Forecast4"/>
      <sheetName val="Income_Statements4"/>
      <sheetName val="Sheet3__2_4"/>
      <sheetName val="Income_&amp;_Occupancy_Customer4"/>
      <sheetName val="RCC,Ret__Wall4"/>
      <sheetName val="Calculation_(2)4"/>
      <sheetName val="Multiple_output4"/>
      <sheetName val="Builtup_Area4"/>
      <sheetName val="BOQ_T4B4"/>
      <sheetName val="INDIGINEOUS_ITEMS_4"/>
      <sheetName val="Material_4"/>
      <sheetName val="Labour_&amp;_Plant4"/>
      <sheetName val="Approved_MTD_Proj_#'s4"/>
      <sheetName val="_B34"/>
      <sheetName val="_B14"/>
      <sheetName val="beam-reinft-IIInd_floor4"/>
      <sheetName val="Aladdin_Macro14"/>
      <sheetName val="Acc_10_54"/>
      <sheetName val="Global_Assm_4"/>
      <sheetName val="MN_T_B_4"/>
      <sheetName val="CFForecast_detail4"/>
      <sheetName val="Site_Dev_BOQ4"/>
      <sheetName val="Break_up_Sheet4"/>
      <sheetName val="Load_Details-220kV4"/>
      <sheetName val="Block_A_-_BOQ4"/>
      <sheetName val="CABLE DATA"/>
      <sheetName val="1st flr"/>
      <sheetName val="Civil Boq"/>
      <sheetName val="final abstract"/>
      <sheetName val="Rate analysis"/>
      <sheetName val="02"/>
      <sheetName val="03"/>
      <sheetName val="04"/>
      <sheetName val="01"/>
      <sheetName val="q-details"/>
      <sheetName val=" Acc. Sched."/>
      <sheetName val="sept-plan"/>
      <sheetName val="EDS  Bestshore Migration"/>
      <sheetName val="Hot"/>
      <sheetName val="Mico"/>
      <sheetName val="OpRes"/>
      <sheetName val="master"/>
      <sheetName val="MASTER_RATE ANALYSIS"/>
      <sheetName val="Valuation - block 2"/>
      <sheetName val="LISTS"/>
      <sheetName val="02022005"/>
      <sheetName val="16022005"/>
      <sheetName val="05012005"/>
      <sheetName val="19012005"/>
      <sheetName val="02032005"/>
      <sheetName val="16032005"/>
      <sheetName val="30032005"/>
      <sheetName val="International"/>
      <sheetName val="Internet"/>
      <sheetName val="classes"/>
      <sheetName val="IT Block"/>
      <sheetName val="Location CODE"/>
      <sheetName val="Location TYPE"/>
      <sheetName val="sub class"/>
      <sheetName val=" sub Loc "/>
      <sheetName val="F"/>
      <sheetName val="EXHIBIT&quot; T&quot;"/>
      <sheetName val="Turnover"/>
      <sheetName val="LBO"/>
      <sheetName val="Master Price List"/>
      <sheetName val="reference"/>
      <sheetName val="Factor_Sheet"/>
      <sheetName val="RNT"/>
      <sheetName val="Combi"/>
      <sheetName val="NewCo"/>
      <sheetName val="P &amp; L"/>
      <sheetName val="Commercial Research"/>
      <sheetName val="Pay_Sep06"/>
      <sheetName val="Rates"/>
      <sheetName val="Main workings"/>
      <sheetName val="Index"/>
      <sheetName val="Balance Sheet "/>
      <sheetName val="PLGroupings"/>
      <sheetName val="Results"/>
      <sheetName val="van_khuon"/>
      <sheetName val="IDC_macro"/>
      <sheetName val="Portfolio_Summary"/>
      <sheetName val="Current_Bill_MB_ref"/>
      <sheetName val="Meas_-Hotel_Part"/>
      <sheetName val="Fin_Sum"/>
      <sheetName val="M-2 Adjusted"/>
      <sheetName val="Portfolio_Summary1"/>
      <sheetName val="Current_Bill_MB_ref1"/>
      <sheetName val="Meas_-Hotel_Part1"/>
      <sheetName val="03 (2)"/>
      <sheetName val="WIng F(Typical)"/>
      <sheetName val="Intaccrual"/>
      <sheetName val="SBU"/>
      <sheetName val="Operating Statistics"/>
      <sheetName val="Base Assumptions"/>
      <sheetName val="Code"/>
      <sheetName val="Summ"/>
      <sheetName val="Fossil_DCF"/>
      <sheetName val="SOPMA DD"/>
      <sheetName val="RES-PLANNING"/>
      <sheetName val="Cost_any"/>
      <sheetName val="10. &amp; 11. Rate Code &amp; BQ"/>
      <sheetName val="FlashMgtMo"/>
      <sheetName val="FlashMgtYTD"/>
      <sheetName val="FITZ MORT 94"/>
      <sheetName val="QoQ In Lakhs"/>
      <sheetName val="GENERAL2"/>
      <sheetName val="YTD"/>
      <sheetName val="vb 9&amp;10"/>
      <sheetName val="Goldberg Portfolio Combined"/>
      <sheetName val="TB"/>
      <sheetName val="Legal Risk Analysis"/>
      <sheetName val="ras"/>
      <sheetName val="IMPORT_T12"/>
      <sheetName val="KPM_DT"/>
      <sheetName val="Task"/>
      <sheetName val="OpTrack"/>
      <sheetName val="CARO"/>
      <sheetName val="Params"/>
      <sheetName val="CashFlow"/>
      <sheetName val="Training Deposits coding"/>
      <sheetName val="DET0900"/>
      <sheetName val="Macro1"/>
      <sheetName val="Licences"/>
      <sheetName val=""/>
      <sheetName val="Menu"/>
      <sheetName val="MIS - kINR"/>
      <sheetName val="GenAssump"/>
      <sheetName val="269T(final)"/>
      <sheetName val="9. Package split - Cost "/>
      <sheetName val="Variables_x"/>
      <sheetName val="Control"/>
      <sheetName val="Open Items-311208"/>
      <sheetName val="LBO Financials"/>
      <sheetName val="97-98"/>
      <sheetName val="SODA02"/>
      <sheetName val="Theatre mgmt cont"/>
      <sheetName val="#REF"/>
      <sheetName val="Data"/>
      <sheetName val="Architectural Summary"/>
      <sheetName val="Variables"/>
      <sheetName val="Publicbuilding"/>
      <sheetName val="Non-Factory"/>
      <sheetName val="IO LIST"/>
      <sheetName val="Fill this out first..."/>
      <sheetName val="extra work elec bill "/>
      <sheetName val="Sensitivity"/>
      <sheetName val="Beam at Ground flr lvl(Steel)"/>
      <sheetName val="AREAS"/>
      <sheetName val="sumary"/>
      <sheetName val="Sheet3"/>
      <sheetName val="Base"/>
      <sheetName val="AOP13"/>
      <sheetName val="CAP"/>
      <sheetName val="ANN.K"/>
      <sheetName val="FA Schedule Dec 07"/>
      <sheetName val="NEW-IDs Fun &amp; Group"/>
      <sheetName val="Estimate"/>
      <sheetName val="12-ACTPL"/>
      <sheetName val="Debt"/>
      <sheetName val="Rev Opt - Rollup"/>
      <sheetName val="Sheet3_(2)5"/>
      <sheetName val="Sheet3__2_5"/>
      <sheetName val="van_khuon1"/>
      <sheetName val="Income_&amp;_Occupancy_Customer5"/>
      <sheetName val="Income_Statements5"/>
      <sheetName val="QoQ_Forecast5"/>
      <sheetName val="Aladdin_Macro15"/>
      <sheetName val="Acc_10_55"/>
      <sheetName val="Global_Assm_5"/>
      <sheetName val="ABP_inputs5"/>
      <sheetName val="Synergy_Sales_Budget5"/>
      <sheetName val="Project_Budget_Worksheet5"/>
      <sheetName val="Calculation_(2)5"/>
      <sheetName val="Multiple_output5"/>
      <sheetName val="Builtup_Area5"/>
      <sheetName val="RCC,Ret__Wall5"/>
      <sheetName val="BOQ_T4B5"/>
      <sheetName val="INDIGINEOUS_ITEMS_5"/>
      <sheetName val="IDC_macro1"/>
      <sheetName val="P_&amp;_L"/>
      <sheetName val="Summary_Excise"/>
      <sheetName val="Other_BS_Sch_5-9"/>
      <sheetName val="Excess_Calc"/>
      <sheetName val="Grouping_Master"/>
      <sheetName val="Material_5"/>
      <sheetName val="Labour_&amp;_Plant5"/>
      <sheetName val="_B35"/>
      <sheetName val="_B15"/>
      <sheetName val="beam-reinft-IIInd_floor5"/>
      <sheetName val="Approved_MTD_Proj_#'s5"/>
      <sheetName val="MN_T_B_5"/>
      <sheetName val="CFForecast_detail5"/>
      <sheetName val="Site_Dev_BOQ5"/>
      <sheetName val="Break_up_Sheet5"/>
      <sheetName val="Load_Details-220kV5"/>
      <sheetName val="Block_A_-_BOQ5"/>
      <sheetName val="March_Analysts"/>
      <sheetName val="170810-lease_tax"/>
      <sheetName val="Fin_Sum1"/>
      <sheetName val="Main_workings"/>
      <sheetName val="Balance_Sheet_"/>
      <sheetName val="Main_Sheet_(MTD)"/>
      <sheetName val="Consl_Daily_Report"/>
      <sheetName val="balance_sheet"/>
      <sheetName val="IMPORT_T121"/>
      <sheetName val="KPM_DT1"/>
      <sheetName val="Rollup_Summary"/>
      <sheetName val="CABLE_DATA"/>
      <sheetName val="1st_flr"/>
      <sheetName val="Civil_Boq"/>
      <sheetName val="final_abstract"/>
      <sheetName val="Rate_analysis"/>
      <sheetName val="Dom_Cell_(IS)"/>
      <sheetName val="M-2_Adjusted"/>
      <sheetName val="Master_Price_List"/>
      <sheetName val="EXHIBIT&quot;_T&quot;"/>
      <sheetName val="TB_FOR_MIS1"/>
      <sheetName val="INPUT_SHEET"/>
      <sheetName val="_Acc__Sched_"/>
      <sheetName val="EDS__Bestshore_Migration"/>
      <sheetName val="IT_Block"/>
      <sheetName val="Location_CODE"/>
      <sheetName val="Location_TYPE"/>
      <sheetName val="sub_class"/>
      <sheetName val="_sub_Loc_"/>
      <sheetName val="Training_Deposits_coding"/>
      <sheetName val="Rev_Opt_-_Rollup"/>
      <sheetName val="MASTER_RATE_ANALYSIS"/>
      <sheetName val="Valuation_-_block_2"/>
      <sheetName val="Master list"/>
      <sheetName val="Labour List"/>
      <sheetName val="Material List"/>
      <sheetName val="Labor abs-NMR"/>
      <sheetName val="1st -vpd"/>
      <sheetName val="Leasing Commision"/>
      <sheetName val="Contribution"/>
      <sheetName val="Rx"/>
      <sheetName val="exp"/>
      <sheetName val="Sheet4"/>
      <sheetName val="Cash Flow Working"/>
      <sheetName val="Kontensalden"/>
      <sheetName val="Debtors analysis"/>
      <sheetName val="A1-Continuous"/>
      <sheetName val="pile Fabrication"/>
      <sheetName val="Improvements"/>
      <sheetName val="conc-foot-gradeslab"/>
      <sheetName val="Material List "/>
      <sheetName val="SCHEDULE"/>
      <sheetName val="Database"/>
      <sheetName val="schedule nos"/>
      <sheetName val="Checks"/>
      <sheetName val="A-Mum"/>
      <sheetName val="BKCSTOCKVAL"/>
      <sheetName val="MAHSTOCKVAL"/>
      <sheetName val="SAP downloaded schedule"/>
      <sheetName val="Retail Mall"/>
      <sheetName val="XZLC003_PART1"/>
      <sheetName val="Transaction"/>
      <sheetName val="Scope"/>
      <sheetName val="notes"/>
      <sheetName val="FA(Apr 07)"/>
      <sheetName val="Reco O.S"/>
      <sheetName val="Accounts"/>
      <sheetName val="Trial Balance"/>
      <sheetName val="Notes-pivot1 "/>
      <sheetName val="WT-LIST"/>
      <sheetName val="Material"/>
      <sheetName val="horizontal"/>
      <sheetName val="P.R. TAXES"/>
      <sheetName val="BILLING SUM"/>
      <sheetName val="CASHFLOWS"/>
      <sheetName val="drop-dwn list"/>
      <sheetName val="tngst1"/>
      <sheetName val="Boiler&amp;TG"/>
      <sheetName val="MIS AC wise"/>
      <sheetName val="소상 &quot;1&quot;"/>
      <sheetName val="CrRajWMM"/>
      <sheetName val="Cost summary"/>
      <sheetName val="Service Invoice"/>
      <sheetName val="15-21"/>
      <sheetName val="apr-aug"/>
      <sheetName val="Cover"/>
      <sheetName val="Timeline"/>
      <sheetName val="MIS_-_kINR"/>
      <sheetName val="Related party - P&amp;L"/>
      <sheetName val="A-1"/>
      <sheetName val="Ins Erection"/>
      <sheetName val="Assump"/>
      <sheetName val="A.O.R."/>
      <sheetName val="SEW4"/>
      <sheetName val="MFG"/>
      <sheetName val="ES"/>
      <sheetName val="HBI NCD"/>
      <sheetName val="CUSTOM Jun99"/>
      <sheetName val="Felix Street Summary"/>
      <sheetName val="Newspapers"/>
      <sheetName val="AccDil"/>
      <sheetName val="Overall Summary"/>
      <sheetName val="RA"/>
      <sheetName val="RCC Rates"/>
      <sheetName val="FORM7"/>
      <sheetName val="目录"/>
      <sheetName val="PRECAST lightconc-II"/>
      <sheetName val="Tender Summary"/>
      <sheetName val="Bill 1-BOQ-Civil Works"/>
      <sheetName val="UNP-NCW "/>
      <sheetName val="4.4 External Plaster"/>
      <sheetName val="Night Shift"/>
      <sheetName val="Assumption"/>
      <sheetName val="EVA1"/>
      <sheetName val="ITEM  STUDY (2)"/>
      <sheetName val="EXPENSES"/>
      <sheetName val="TDS Certificate-Format"/>
      <sheetName val="FA"/>
      <sheetName val="RA-markate"/>
      <sheetName val="Basement Budget"/>
      <sheetName val="labour"/>
      <sheetName val="currency"/>
      <sheetName val="Rollup"/>
      <sheetName val="0. Data Validation List"/>
      <sheetName val="Crest"/>
      <sheetName val="Pinnacle"/>
      <sheetName val="Zenith"/>
      <sheetName val="stacking sheet"/>
      <sheetName val="FY2001-02"/>
      <sheetName val="XLR_NoRangeSheet"/>
      <sheetName val="TMasterCurrency"/>
      <sheetName val="TMasterSeg"/>
      <sheetName val="BOM"/>
      <sheetName val="HRD1"/>
      <sheetName val="Taluka wise dealer (2)"/>
      <sheetName val="TH"/>
      <sheetName val="EAST"/>
      <sheetName val="YOEMAGUM"/>
      <sheetName val="Lease Expiry"/>
      <sheetName val="IO"/>
      <sheetName val="Customize Your Invoice"/>
      <sheetName val="?????"/>
      <sheetName val="Budget Summary"/>
      <sheetName val="PERHW"/>
      <sheetName val="Loss 3004"/>
      <sheetName val="Reconciliation of GL &amp; FAR"/>
      <sheetName val="Settings"/>
      <sheetName val="HELP"/>
      <sheetName val="BS-2005"/>
      <sheetName val="MAIN_MENU"/>
      <sheetName val="exec summ"/>
      <sheetName val="Dep"/>
      <sheetName val="cash_flow"/>
      <sheetName val="sales_value"/>
      <sheetName val="colaw_dep"/>
      <sheetName val="freight"/>
      <sheetName val="gm"/>
      <sheetName val="interest"/>
      <sheetName val="jb_cost"/>
      <sheetName val="c_flow_%"/>
      <sheetName val="consum_cost"/>
      <sheetName val="form26"/>
      <sheetName val="F29B"/>
      <sheetName val="Base data Security Procedures"/>
      <sheetName val="register"/>
      <sheetName val="Sheet3_(2)6"/>
      <sheetName val="Sheet3__2_6"/>
      <sheetName val="Income_&amp;_Occupancy_Customer6"/>
      <sheetName val="Income_Statements6"/>
      <sheetName val="QoQ_Forecast6"/>
      <sheetName val="Aladdin_Macro16"/>
      <sheetName val="Acc_10_56"/>
      <sheetName val="Global_Assm_6"/>
      <sheetName val="ABP_inputs6"/>
      <sheetName val="Synergy_Sales_Budget6"/>
      <sheetName val="Project_Budget_Worksheet6"/>
      <sheetName val="Calculation_(2)6"/>
      <sheetName val="Multiple_output6"/>
      <sheetName val="Builtup_Area6"/>
      <sheetName val="RCC,Ret__Wall6"/>
      <sheetName val="BOQ_T4B6"/>
      <sheetName val="INDIGINEOUS_ITEMS_6"/>
      <sheetName val="Portfolio_Summary2"/>
      <sheetName val="Material_6"/>
      <sheetName val="Labour_&amp;_Plant6"/>
      <sheetName val="_B36"/>
      <sheetName val="_B16"/>
      <sheetName val="beam-reinft-IIInd_floor6"/>
      <sheetName val="Current_Bill_MB_ref2"/>
      <sheetName val="Meas_-Hotel_Part2"/>
      <sheetName val="Approved_MTD_Proj_#'s6"/>
      <sheetName val="Main_Sheet_(MTD)1"/>
      <sheetName val="Consl_Daily_Report1"/>
      <sheetName val="MN_T_B_6"/>
      <sheetName val="CFForecast_detail6"/>
      <sheetName val="Site_Dev_BOQ6"/>
      <sheetName val="Break_up_Sheet6"/>
      <sheetName val="Load_Details-220kV6"/>
      <sheetName val="Block_A_-_BOQ6"/>
      <sheetName val="Rollup_Summary1"/>
      <sheetName val="170810-lease_tax1"/>
      <sheetName val="CABLE_DATA1"/>
      <sheetName val="1st_flr1"/>
      <sheetName val="Civil_Boq1"/>
      <sheetName val="final_abstract1"/>
      <sheetName val="Rate_analysis1"/>
      <sheetName val="balance_sheet1"/>
      <sheetName val="Cash_Flow_Working"/>
      <sheetName val="MIS_-_kINR1"/>
      <sheetName val="ANN_K"/>
      <sheetName val="03_(2)"/>
      <sheetName val="ASSETS P&amp;M"/>
      <sheetName val="Assets Land &amp; Mise FA"/>
      <sheetName val="MultipleSecurities"/>
      <sheetName val="I"/>
      <sheetName val="Graph (LGEN)"/>
      <sheetName val="out_prog"/>
      <sheetName val="선적schedule (2)"/>
      <sheetName val="SALES"/>
      <sheetName val="Basework"/>
      <sheetName val="Monthly Inputs"/>
      <sheetName val="2000-1 Monthly Cashflows"/>
      <sheetName val="2002-2 Monthly Cashflows"/>
      <sheetName val="cl 14 Annex 7 "/>
      <sheetName val="Encl 7A"/>
      <sheetName val="wdr bldg"/>
      <sheetName val="Formated Trial Balance"/>
      <sheetName val="CPR"/>
      <sheetName val="MARCH"/>
      <sheetName val="SEP "/>
      <sheetName val="FCIIHyperion"/>
      <sheetName val="USB 1"/>
      <sheetName val="BQ"/>
      <sheetName val="BOQ Distribution"/>
      <sheetName val="wordsdata"/>
      <sheetName val="GM &amp; TA"/>
      <sheetName val="steam outlet"/>
      <sheetName val="crs"/>
      <sheetName val="PIMS"/>
      <sheetName val="SCH 10"/>
      <sheetName val="SAP EMP"/>
      <sheetName val="final 061106"/>
      <sheetName val="SAB P&amp;L"/>
      <sheetName val="cash flow"/>
      <sheetName val="Recon"/>
      <sheetName val="Gen_Ass"/>
      <sheetName val="Op_Ass"/>
      <sheetName val="Staff Costs"/>
      <sheetName val="General_Assumptions"/>
      <sheetName val="Timesheet"/>
      <sheetName val="Loads"/>
      <sheetName val="p&amp;m"/>
      <sheetName val="S &amp; A"/>
      <sheetName val="Schedule v1"/>
      <sheetName val=" "/>
      <sheetName val="Phasing"/>
      <sheetName val="WIng_F(Typical)"/>
      <sheetName val="Legal_Risk_Analysis"/>
      <sheetName val="SOPMA_DD"/>
      <sheetName val="Architectural_Summary"/>
      <sheetName val="IO_LIST"/>
      <sheetName val="Master_list"/>
      <sheetName val="Labour_List"/>
      <sheetName val="Material_List"/>
      <sheetName val="Labor_abs-NMR"/>
      <sheetName val="Beam_at_Ground_flr_lvl(Steel)"/>
      <sheetName val="1st_-vpd"/>
      <sheetName val="Material_List_"/>
      <sheetName val="schedule_nos"/>
      <sheetName val="Debtors_analysis"/>
      <sheetName val="Parameter"/>
      <sheetName val="Fill_this_out_first___"/>
      <sheetName val="extra_work_elec_bill_"/>
      <sheetName val="10__&amp;_11__Rate_Code_&amp;_BQ"/>
      <sheetName val="NEW-IDs_Fun_&amp;_Group"/>
      <sheetName val="Standalone"/>
      <sheetName val="RATE LIST (2)"/>
      <sheetName val="Control Sheet"/>
      <sheetName val="schedules"/>
      <sheetName val="Summary_Local"/>
      <sheetName val="details"/>
      <sheetName val="Hardware"/>
      <sheetName val="Power &amp; Fuel (S)"/>
      <sheetName val="concrete"/>
      <sheetName val="CSCCincSKR"/>
      <sheetName val="Inv_Data"/>
      <sheetName val="Tyre1"/>
      <sheetName val="Auto"/>
      <sheetName val="Sale Charts"/>
      <sheetName val="EXIS-COMBINED"/>
      <sheetName val="HOUSE RENT DEPO."/>
      <sheetName val="Approval"/>
      <sheetName val="Multipliers &amp; KRA"/>
      <sheetName val="Determination of Threshold"/>
      <sheetName val="DYN PP"/>
      <sheetName val="TXN97"/>
      <sheetName val="June Reserve - Far East"/>
      <sheetName val="LBO_Financials"/>
      <sheetName val="QoQ_In_Lakhs"/>
      <sheetName val="Theatre_mgmt_cont"/>
      <sheetName val="Open_Items-311208"/>
      <sheetName val="WC analytics (+data pages)"/>
      <sheetName val="Rs in lacs"/>
      <sheetName val="800CC_FR_HOSE"/>
      <sheetName val="Esteem Rear"/>
      <sheetName val="Misc. Master"/>
      <sheetName val="Expansion"/>
      <sheetName val="Capital Structure"/>
      <sheetName val="GROUPING"/>
      <sheetName val="TBAL9697 -group wise  sdpl"/>
      <sheetName val="Collection"/>
      <sheetName val="dlvoid"/>
      <sheetName val="Quotation"/>
      <sheetName val="RCC_Ret_ Wall"/>
      <sheetName val="Coalmine"/>
      <sheetName val="Trial_Balance"/>
      <sheetName val="MIS_AC_wise"/>
      <sheetName val="Base_Assumptions"/>
      <sheetName val="FITZ_MORT_94"/>
      <sheetName val="vb_9&amp;10"/>
      <sheetName val="Goldberg_Portfolio_Combined"/>
      <sheetName val="Commercial_Research"/>
      <sheetName val="9__Package_split_-_Cost_"/>
      <sheetName val="Operating_Statistics"/>
      <sheetName val="FA_Schedule_Dec_07"/>
      <sheetName val="P_R__TAXES"/>
      <sheetName val="BILLING_SUM"/>
      <sheetName val="Leasing_Commision"/>
      <sheetName val="Service_Invoice"/>
      <sheetName val="Retail_Mall"/>
      <sheetName val="Related_party_-_P&amp;L"/>
      <sheetName val="pile_Fabrication"/>
      <sheetName val="Notes-pivot1_"/>
      <sheetName val="ASSETS_P&amp;M"/>
      <sheetName val="Assets_Land_&amp;_Mise_FA"/>
      <sheetName val="drop-dwn_list"/>
      <sheetName val="소상_&quot;1&quot;"/>
      <sheetName val="Felix_Street_Summary"/>
      <sheetName val="Overall_Summary"/>
      <sheetName val="RCC_Rates"/>
      <sheetName val="Cost_summary"/>
      <sheetName val="PRECAST_lightconc-II"/>
      <sheetName val="Tender_Summary"/>
      <sheetName val="Bill_1-BOQ-Civil_Works"/>
      <sheetName val="UNP-NCW_"/>
      <sheetName val="4_4_External_Plaster"/>
      <sheetName val="HBI_NCD"/>
      <sheetName val="CUSTOM_Jun99"/>
      <sheetName val="A_O_R_"/>
      <sheetName val="Ins_Erection"/>
      <sheetName val="Staff_Costs"/>
      <sheetName val="0__Data_Validation_List"/>
      <sheetName val="stacking_sheet"/>
      <sheetName val="Basement_Budget"/>
      <sheetName val="Night_Shift"/>
      <sheetName val="ITEM__STUDY_(2)"/>
      <sheetName val="TDS_Certificate-Format"/>
      <sheetName val="Audit"/>
      <sheetName val="Sources"/>
      <sheetName val="Earnings"/>
      <sheetName val="Account title"/>
      <sheetName val="Titel"/>
      <sheetName val="PROV_CONSOLIDATED"/>
      <sheetName val="NGS Data Sheet"/>
      <sheetName val="SGS Data Sheet"/>
      <sheetName val="Fin"/>
      <sheetName val="Intro"/>
      <sheetName val="Micro"/>
      <sheetName val="Macro"/>
      <sheetName val="Scaff-Rose"/>
      <sheetName val="Tickmarks"/>
      <sheetName val="Check Register"/>
      <sheetName val="EBITDA Bridge"/>
      <sheetName val="Detailed"/>
      <sheetName val="2003 Budget-PL-case1"/>
      <sheetName val="STATSUM"/>
      <sheetName val="TB9899"/>
      <sheetName val="Lease-rents"/>
      <sheetName val="Key Assumption"/>
      <sheetName val="Master Information"/>
      <sheetName val="Cases"/>
      <sheetName val="Fin. Assumpt. - Sensitivities"/>
      <sheetName val="现金流量分析表"/>
      <sheetName val="边际贡献分析表"/>
      <sheetName val="Temp"/>
      <sheetName val="4 Annex 1 Basic rate"/>
      <sheetName val="oresreqsum"/>
      <sheetName val="Elec Summ"/>
      <sheetName val="ELEC BOQ"/>
      <sheetName val="TRACK BUSWAY"/>
      <sheetName val="BBT"/>
      <sheetName val="LIGHTING"/>
      <sheetName val="LMS"/>
      <sheetName val="Other notes"/>
      <sheetName val="OHT_Abs"/>
      <sheetName val="1"/>
      <sheetName val="Linked Lead"/>
      <sheetName val="hist&amp;proj"/>
      <sheetName val="L"/>
      <sheetName val="STAFFSCHED "/>
      <sheetName val="Basic Rate"/>
      <sheetName val=" COP"/>
      <sheetName val="Main"/>
      <sheetName val="HIDDEN"/>
      <sheetName val="DEP99"/>
      <sheetName val="IGAAP"/>
      <sheetName val="INI"/>
      <sheetName val="Output"/>
      <sheetName val="meeting rectification control"/>
      <sheetName val="Loan Data"/>
      <sheetName val="Challan"/>
      <sheetName val="Standalone seg"/>
      <sheetName val="Redelvery provision changed"/>
      <sheetName val="Sch5TO10"/>
      <sheetName val="macroDat"/>
      <sheetName val="Power_&amp;_Fuel_(S)"/>
      <sheetName val="Budget_Summary"/>
      <sheetName val="MIS"/>
      <sheetName val="ADV-TK-HORT"/>
      <sheetName val="Classification"/>
      <sheetName val="XREF"/>
      <sheetName val="Income"/>
      <sheetName val="EPS"/>
      <sheetName val="currency (2)"/>
      <sheetName val="Companies"/>
      <sheetName val="People"/>
      <sheetName val="NW RTU"/>
      <sheetName val="Clause 9"/>
      <sheetName val="Financials"/>
      <sheetName val="SP Break Up"/>
      <sheetName val="Rates Basic"/>
      <sheetName val="Cash Flow "/>
      <sheetName val="Bal_Gr"/>
      <sheetName val="XWR"/>
      <sheetName val="Mthly CFS (Kha)"/>
      <sheetName val="DUMP "/>
      <sheetName val="Bspl Main"/>
      <sheetName val="Sch_BS"/>
      <sheetName val="Bgt_Lst"/>
      <sheetName val="Cnt_Lst"/>
      <sheetName val="labour rates"/>
      <sheetName val="old_serial no."/>
      <sheetName val="tot_ass_9697"/>
      <sheetName val="Budget_CF - Overall"/>
      <sheetName val="공사비 내역 (가)"/>
      <sheetName val="4K - (6a) Non Manual Breakdown"/>
      <sheetName val="3. Elemental Summary"/>
      <sheetName val="p1-costg"/>
      <sheetName val="costing"/>
      <sheetName val="August TB"/>
      <sheetName val="Trial Balance_Format"/>
      <sheetName val="Jan"/>
      <sheetName val="COSTMAR"/>
      <sheetName val="Jun 2000"/>
      <sheetName val="Sheet2 (2)"/>
      <sheetName val="Total MTH"/>
      <sheetName val="PARAMETERS"/>
      <sheetName val="PetroChina"/>
      <sheetName val="Sheet3_(2)7"/>
      <sheetName val="KPM_DT2"/>
      <sheetName val="EXHIBIT&quot;_T&quot;1"/>
      <sheetName val="Sheet3__2_7"/>
      <sheetName val="Income_&amp;_Occupancy_Customer7"/>
      <sheetName val="Income_Statements7"/>
      <sheetName val="QoQ_Forecast7"/>
      <sheetName val="Aladdin_Macro17"/>
      <sheetName val="Acc_10_57"/>
      <sheetName val="Global_Assm_7"/>
      <sheetName val="van_khuon2"/>
      <sheetName val="Portfolio_Summary3"/>
      <sheetName val="Current_Bill_MB_ref3"/>
      <sheetName val="Meas_-Hotel_Part3"/>
      <sheetName val="Builtup_Area7"/>
      <sheetName val="Project_Budget_Worksheet7"/>
      <sheetName val="IDC_macro2"/>
      <sheetName val="ABP_inputs7"/>
      <sheetName val="Synergy_Sales_Budget7"/>
      <sheetName val="Calculation_(2)7"/>
      <sheetName val="Multiple_output7"/>
      <sheetName val="RCC,Ret__Wall7"/>
      <sheetName val="BOQ_T4B7"/>
      <sheetName val="INDIGINEOUS_ITEMS_7"/>
      <sheetName val="Material_7"/>
      <sheetName val="Labour_&amp;_Plant7"/>
      <sheetName val="_B37"/>
      <sheetName val="_B17"/>
      <sheetName val="beam-reinft-IIInd_floor7"/>
      <sheetName val="Approved_MTD_Proj_#'s7"/>
      <sheetName val="TB_FOR_MIS2"/>
      <sheetName val="INPUT_SHEET1"/>
      <sheetName val="Main_Sheet_(MTD)2"/>
      <sheetName val="Consl_Daily_Report2"/>
      <sheetName val="IMPORT_T122"/>
      <sheetName val="Rollup_Summary2"/>
      <sheetName val="MN_T_B_7"/>
      <sheetName val="CFForecast_detail7"/>
      <sheetName val="Site_Dev_BOQ7"/>
      <sheetName val="Break_up_Sheet7"/>
      <sheetName val="Load_Details-220kV7"/>
      <sheetName val="Block_A_-_BOQ7"/>
      <sheetName val="170810-lease_tax2"/>
      <sheetName val="Master_Price_List1"/>
      <sheetName val="ASSETS_P&amp;M1"/>
      <sheetName val="Assets_Land_&amp;_Mise_FA1"/>
      <sheetName val="03_(2)1"/>
      <sheetName val="IO_LIST1"/>
      <sheetName val="Fill_this_out_first___1"/>
      <sheetName val="Fin_Sum2"/>
      <sheetName val="Material_List_1"/>
      <sheetName val="NEW-IDs_Fun_&amp;_Group1"/>
      <sheetName val="SOPMA_DD1"/>
      <sheetName val="WIng_F(Typical)1"/>
      <sheetName val="Master_list1"/>
      <sheetName val="Labour_List1"/>
      <sheetName val="Material_List1"/>
      <sheetName val="Architectural_Summary1"/>
      <sheetName val="March_Analysts1"/>
      <sheetName val="CABLE_DATA2"/>
      <sheetName val="1st_flr2"/>
      <sheetName val="Civil_Boq2"/>
      <sheetName val="Legal_Risk_Analysis1"/>
      <sheetName val="Labor_abs-NMR1"/>
      <sheetName val="Beam_at_Ground_flr_lvl(Steel)1"/>
      <sheetName val="1st_-vpd1"/>
      <sheetName val="Summary_Excise1"/>
      <sheetName val="Other_BS_Sch_5-91"/>
      <sheetName val="Excess_Calc1"/>
      <sheetName val="Grouping_Master1"/>
      <sheetName val="balance_sheet2"/>
      <sheetName val="P_&amp;_L1"/>
      <sheetName val="M-2_Adjusted1"/>
      <sheetName val="final_abstract2"/>
      <sheetName val="Rate_analysis2"/>
      <sheetName val="_Acc__Sched_1"/>
      <sheetName val="Balance_Sheet_1"/>
      <sheetName val="Dom_Cell_(IS)1"/>
      <sheetName val="Main_workings1"/>
      <sheetName val="Training_Deposits_coding1"/>
      <sheetName val="EDS__Bestshore_Migration1"/>
      <sheetName val="IT_Block1"/>
      <sheetName val="Location_CODE1"/>
      <sheetName val="Location_TYPE1"/>
      <sheetName val="sub_class1"/>
      <sheetName val="_sub_Loc_1"/>
      <sheetName val="Rev_Opt_-_Rollup1"/>
      <sheetName val="Open_Items-3112081"/>
      <sheetName val="MASTER_RATE_ANALYSIS1"/>
      <sheetName val="Valuation_-_block_21"/>
      <sheetName val="Trial_Balance1"/>
      <sheetName val="MIS_AC_wise1"/>
      <sheetName val="Base_Assumptions1"/>
      <sheetName val="10__&amp;_11__Rate_Code_&amp;_BQ1"/>
      <sheetName val="FITZ_MORT_941"/>
      <sheetName val="QoQ_In_Lakhs1"/>
      <sheetName val="vb_9&amp;101"/>
      <sheetName val="Goldberg_Portfolio_Combined1"/>
      <sheetName val="Commercial_Research1"/>
      <sheetName val="MIS_-_kINR2"/>
      <sheetName val="9__Package_split_-_Cost_1"/>
      <sheetName val="Operating_Statistics1"/>
      <sheetName val="FA_Schedule_Dec_071"/>
      <sheetName val="Theatre_mgmt_cont1"/>
      <sheetName val="P_R__TAXES1"/>
      <sheetName val="BILLING_SUM1"/>
      <sheetName val="schedule_nos1"/>
      <sheetName val="Leasing_Commision1"/>
      <sheetName val="Service_Invoice1"/>
      <sheetName val="Cash_Flow_Working1"/>
      <sheetName val="Retail_Mall1"/>
      <sheetName val="Related_party_-_P&amp;L1"/>
      <sheetName val="Debtors_analysis1"/>
      <sheetName val="pile_Fabrication1"/>
      <sheetName val="LBO_Financials1"/>
      <sheetName val="ANN_K1"/>
      <sheetName val="Notes-pivot1_1"/>
      <sheetName val="drop-dwn_list1"/>
      <sheetName val="extra_work_elec_bill_1"/>
      <sheetName val="소상_&quot;1&quot;1"/>
      <sheetName val="Felix_Street_Summary1"/>
      <sheetName val="Overall_Summary1"/>
      <sheetName val="RCC_Rates1"/>
      <sheetName val="Cost_summary1"/>
      <sheetName val="PRECAST_lightconc-II1"/>
      <sheetName val="Tender_Summary1"/>
      <sheetName val="Bill_1-BOQ-Civil_Works1"/>
      <sheetName val="UNP-NCW_1"/>
      <sheetName val="4_4_External_Plaster1"/>
      <sheetName val="HBI_NCD1"/>
      <sheetName val="CUSTOM_Jun991"/>
      <sheetName val="A_O_R_1"/>
      <sheetName val="Ins_Erection1"/>
      <sheetName val="0__Data_Validation_List1"/>
      <sheetName val="stacking_sheet1"/>
      <sheetName val="Basement_Budget1"/>
      <sheetName val="Night_Shift1"/>
      <sheetName val="ITEM__STUDY_(2)1"/>
      <sheetName val="TDS_Certificate-Format1"/>
      <sheetName val="Staff_Costs1"/>
      <sheetName val="Taluka_wise_dealer_(2)"/>
      <sheetName val="FA(Apr_07)"/>
      <sheetName val="Reco_O_S"/>
      <sheetName val="Determination_of_Threshold"/>
      <sheetName val="cl_14_Annex_7_"/>
      <sheetName val="Encl_7A"/>
      <sheetName val="Graph_(LGEN)"/>
      <sheetName val="선적schedule_(2)"/>
      <sheetName val="USB_1"/>
      <sheetName val="BOQ_Distribution"/>
      <sheetName val="GM_&amp;_TA"/>
      <sheetName val="steam_outlet"/>
      <sheetName val="SCH_10"/>
      <sheetName val="SAP_EMP"/>
      <sheetName val="RATE_LIST_(2)"/>
      <sheetName val="Control_Sheet"/>
      <sheetName val="Loss_3004"/>
      <sheetName val="Reconciliation_of_GL_&amp;_FAR"/>
      <sheetName val="exec_summ"/>
      <sheetName val="RCC_Ret__Wall"/>
      <sheetName val="wdr_bldg"/>
      <sheetName val="Formated_Trial_Balance"/>
      <sheetName val="Monthly_Inputs"/>
      <sheetName val="2000-1_Monthly_Cashflows"/>
      <sheetName val="2002-2_Monthly_Cashflows"/>
      <sheetName val="SAP_downloaded_schedule"/>
      <sheetName val="S_&amp;_A"/>
      <sheetName val="_"/>
      <sheetName val="Lease_Expiry"/>
      <sheetName val="Customize_Your_Invoice"/>
      <sheetName val="Base_data_Security_Procedures"/>
      <sheetName val="HOUSE_RENT_DEPO_"/>
      <sheetName val="Key_Assumption"/>
      <sheetName val="Master_Information"/>
      <sheetName val="Sale_Charts"/>
      <sheetName val="DYN_PP"/>
      <sheetName val="June_Reserve_-_Far_East"/>
      <sheetName val="Schedule_v1"/>
      <sheetName val="Multipliers_&amp;_KRA"/>
      <sheetName val="WC_analytics_(+data_pages)"/>
      <sheetName val="final_061106"/>
      <sheetName val="SAB_P&amp;L"/>
      <sheetName val="cash_flow1"/>
      <sheetName val="3-dep"/>
      <sheetName val="sch"/>
      <sheetName val="grid"/>
      <sheetName val="TASKRSRC (2)"/>
      <sheetName val="TARGET"/>
      <sheetName val="BASELINE"/>
      <sheetName val="BHANDUP"/>
      <sheetName val="Names&amp;Cases"/>
      <sheetName val="Maping_Other"/>
      <sheetName val="BASIS -DEC 08"/>
      <sheetName val="NOA Data"/>
      <sheetName val="P&amp;L"/>
      <sheetName val="Molasses-FG"/>
      <sheetName val="grp "/>
      <sheetName val="차수"/>
      <sheetName val="전체현황"/>
      <sheetName val="Feb_Prfl_28"/>
      <sheetName val="DIVBUD99"/>
      <sheetName val="Overheads"/>
      <sheetName val="SCH4"/>
      <sheetName val="FixedAssets"/>
      <sheetName val="Costs"/>
      <sheetName val="FIFO"/>
      <sheetName val="Links"/>
      <sheetName val="GF Columns"/>
      <sheetName val="DB"/>
      <sheetName val="Base Data"/>
      <sheetName val="080 (2)"/>
      <sheetName val="F.01 - June 2005"/>
      <sheetName val="HW SW"/>
      <sheetName val="CRITERIA1"/>
      <sheetName val="PL"/>
      <sheetName val="Annexure-I"/>
      <sheetName val="EMPMAST"/>
      <sheetName val="agrolist"/>
      <sheetName val="MPR_PA_1"/>
      <sheetName val="A"/>
      <sheetName val="Indices"/>
      <sheetName val="pri-com"/>
      <sheetName val="BOQ CIVIL"/>
      <sheetName val="Price Comparison"/>
      <sheetName val="Measurment"/>
      <sheetName val="O2.1"/>
      <sheetName val="COST-MTRS"/>
      <sheetName val="FLASH"/>
      <sheetName val="RELACION REFERENCIAS"/>
      <sheetName val="BM"/>
      <sheetName val="Grp_PL"/>
      <sheetName val="Charts"/>
      <sheetName val="Infinite Studios"/>
      <sheetName val="Neuros &amp; Immunos"/>
      <sheetName val="Nucleos"/>
      <sheetName val="Lookups"/>
      <sheetName val="Factors"/>
      <sheetName val="NOT FULL RESTRAINT"/>
      <sheetName val="UC"/>
      <sheetName val="BEARING &amp; BUCKLING"/>
      <sheetName val="Configurator"/>
      <sheetName val="PriceDB"/>
      <sheetName val="Balance Sheet_US$"/>
      <sheetName val="HONOTES"/>
      <sheetName val="earnings model"/>
      <sheetName val="Misc__Master"/>
      <sheetName val="Capital_Structure"/>
      <sheetName val="TBAL9697_-group_wise__sdpl"/>
      <sheetName val="SEP_"/>
      <sheetName val="Account_title"/>
      <sheetName val="Redelvery_provision_changed"/>
      <sheetName val="GL Master Data"/>
      <sheetName val="Severity"/>
      <sheetName val="Pur"/>
      <sheetName val="HOUSE_RENT_DEPO_1"/>
      <sheetName val="Budget_Summary1"/>
      <sheetName val="Loss_30041"/>
      <sheetName val="Reconciliation_of_GL_&amp;_FAR1"/>
      <sheetName val="exec_summ1"/>
      <sheetName val="Customize_Your_Invoice1"/>
      <sheetName val="Sale_Charts1"/>
      <sheetName val="Trial_Balance_Format"/>
      <sheetName val="NOA_Data"/>
      <sheetName val="COM"/>
      <sheetName val="FSA"/>
      <sheetName val="B"/>
      <sheetName val="FF-2 (1)"/>
      <sheetName val="addl cost"/>
      <sheetName val="FF-1"/>
      <sheetName val="accumdeprn"/>
      <sheetName val="GSTR-3B"/>
      <sheetName val="C120102"/>
      <sheetName val="entitlements"/>
      <sheetName val="Final Summary"/>
      <sheetName val="Figures in"/>
      <sheetName val="NEES"/>
      <sheetName val="Annexure"/>
      <sheetName val="Schedules 3-8"/>
      <sheetName val="nela"/>
      <sheetName val="Périodes"/>
      <sheetName val="Sheet3_(2)8"/>
      <sheetName val="Income_Statements8"/>
      <sheetName val="Sheet3__2_8"/>
      <sheetName val="Global_Assm_8"/>
      <sheetName val="QoQ_Forecast8"/>
      <sheetName val="Income_&amp;_Occupancy_Customer8"/>
      <sheetName val="Aladdin_Macro18"/>
      <sheetName val="Acc_10_58"/>
      <sheetName val="Portfolio_Summary4"/>
      <sheetName val="Multiple_output8"/>
      <sheetName val="ABP_inputs8"/>
      <sheetName val="Synergy_Sales_Budget8"/>
      <sheetName val="Project_Budget_Worksheet8"/>
      <sheetName val="Calculation_(2)8"/>
      <sheetName val="Builtup_Area8"/>
      <sheetName val="RCC,Ret__Wall8"/>
      <sheetName val="BOQ_T4B8"/>
      <sheetName val="INDIGINEOUS_ITEMS_8"/>
      <sheetName val="Material_8"/>
      <sheetName val="Labour_&amp;_Plant8"/>
      <sheetName val="_B38"/>
      <sheetName val="_B18"/>
      <sheetName val="beam-reinft-IIInd_floor8"/>
      <sheetName val="IMPORT_T123"/>
      <sheetName val="Current_Bill_MB_ref4"/>
      <sheetName val="Meas_-Hotel_Part4"/>
      <sheetName val="van_khuon3"/>
      <sheetName val="TB_FOR_MIS3"/>
      <sheetName val="INPUT_SHEET2"/>
      <sheetName val="Approved_MTD_Proj_#'s8"/>
      <sheetName val="MN_T_B_8"/>
      <sheetName val="CFForecast_detail8"/>
      <sheetName val="Site_Dev_BOQ8"/>
      <sheetName val="Break_up_Sheet8"/>
      <sheetName val="Load_Details-220kV8"/>
      <sheetName val="Block_A_-_BOQ8"/>
      <sheetName val="IDC_macro3"/>
      <sheetName val="March_Analysts2"/>
      <sheetName val="Rollup_Summary3"/>
      <sheetName val="170810-lease_tax3"/>
      <sheetName val="CABLE_DATA3"/>
      <sheetName val="1st_flr3"/>
      <sheetName val="Civil_Boq3"/>
      <sheetName val="KPM_DT3"/>
      <sheetName val="EXHIBIT&quot;_T&quot;2"/>
      <sheetName val="final_abstract3"/>
      <sheetName val="Rate_analysis3"/>
      <sheetName val="_Acc__Sched_2"/>
      <sheetName val="Dom_Cell_(IS)2"/>
      <sheetName val="Summary_Excise2"/>
      <sheetName val="Other_BS_Sch_5-92"/>
      <sheetName val="Excess_Calc2"/>
      <sheetName val="Grouping_Master2"/>
      <sheetName val="Fin_Sum3"/>
      <sheetName val="Main_Sheet_(MTD)3"/>
      <sheetName val="Consl_Daily_Report3"/>
      <sheetName val="balance_sheet3"/>
      <sheetName val="EDS__Bestshore_Migration2"/>
      <sheetName val="MASTER_RATE_ANALYSIS2"/>
      <sheetName val="Valuation_-_block_22"/>
      <sheetName val="IT_Block2"/>
      <sheetName val="Location_CODE2"/>
      <sheetName val="Location_TYPE2"/>
      <sheetName val="sub_class2"/>
      <sheetName val="_sub_Loc_2"/>
      <sheetName val="Master_Price_List2"/>
      <sheetName val="P_&amp;_L2"/>
      <sheetName val="M-2_Adjusted2"/>
      <sheetName val="Main_workings2"/>
      <sheetName val="Balance_Sheet_2"/>
      <sheetName val="Trial_Balance2"/>
      <sheetName val="Base_Assumptions2"/>
      <sheetName val="SOPMA_DD2"/>
      <sheetName val="03_(2)2"/>
      <sheetName val="WIng_F(Typical)2"/>
      <sheetName val="10__&amp;_11__Rate_Code_&amp;_BQ2"/>
      <sheetName val="FITZ_MORT_942"/>
      <sheetName val="QoQ_In_Lakhs2"/>
      <sheetName val="vb_9&amp;102"/>
      <sheetName val="Goldberg_Portfolio_Combined2"/>
      <sheetName val="Commercial_Research2"/>
      <sheetName val="MIS_-_kINR3"/>
      <sheetName val="9__Package_split_-_Cost_2"/>
      <sheetName val="Legal_Risk_Analysis2"/>
      <sheetName val="Operating_Statistics2"/>
      <sheetName val="Theatre_mgmt_cont2"/>
      <sheetName val="IO_LIST2"/>
      <sheetName val="Cash_Flow_Working2"/>
      <sheetName val="Training_Deposits_coding2"/>
      <sheetName val="Notes-pivot1_2"/>
      <sheetName val="Leasing_Commision2"/>
      <sheetName val="Master_list2"/>
      <sheetName val="Labour_List2"/>
      <sheetName val="Material_List2"/>
      <sheetName val="Architectural_Summary2"/>
      <sheetName val="Labor_abs-NMR2"/>
      <sheetName val="Beam_at_Ground_flr_lvl(Steel)2"/>
      <sheetName val="1st_-vpd2"/>
      <sheetName val="Material_List_2"/>
      <sheetName val="schedule_nos2"/>
      <sheetName val="Fill_this_out_first___2"/>
      <sheetName val="FA_Schedule_Dec_072"/>
      <sheetName val="P_R__TAXES2"/>
      <sheetName val="BILLING_SUM2"/>
      <sheetName val="extra_work_elec_bill_2"/>
      <sheetName val="NEW-IDs_Fun_&amp;_Group2"/>
      <sheetName val="RCC_Rates2"/>
      <sheetName val="소상_&quot;1&quot;2"/>
      <sheetName val="Cost_summary2"/>
      <sheetName val="Open_Items-3112082"/>
      <sheetName val="PRECAST_lightconc-II2"/>
      <sheetName val="Debtors_analysis2"/>
      <sheetName val="pile_Fabrication2"/>
      <sheetName val="Tender_Summary2"/>
      <sheetName val="Bill_1-BOQ-Civil_Works2"/>
      <sheetName val="UNP-NCW_2"/>
      <sheetName val="4_4_External_Plaster2"/>
      <sheetName val="MIS_AC_wise2"/>
      <sheetName val="A_O_R_2"/>
      <sheetName val="Service_Invoice2"/>
      <sheetName val="LBO_Financials2"/>
      <sheetName val="ANN_K2"/>
      <sheetName val="drop-dwn_list2"/>
      <sheetName val="Rev_Opt_-_Rollup2"/>
      <sheetName val="Night_Shift2"/>
      <sheetName val="Graph_(LGEN)1"/>
      <sheetName val="선적schedule_(2)1"/>
      <sheetName val="USB_11"/>
      <sheetName val="BOQ_Distribution1"/>
      <sheetName val="GM_&amp;_TA1"/>
      <sheetName val="steam_outlet1"/>
      <sheetName val="FA(Apr_07)1"/>
      <sheetName val="Reco_O_S1"/>
      <sheetName val="Retail_Mall2"/>
      <sheetName val="Multipliers_&amp;_KRA1"/>
      <sheetName val="ASSETS_P&amp;M2"/>
      <sheetName val="Assets_Land_&amp;_Mise_FA2"/>
      <sheetName val="cl_14_Annex_7_1"/>
      <sheetName val="Encl_7A1"/>
      <sheetName val="SCH_101"/>
      <sheetName val="SAP_EMP1"/>
      <sheetName val="RATE_LIST_(2)1"/>
      <sheetName val="Control_Sheet1"/>
      <sheetName val="ITEM__STUDY_(2)2"/>
      <sheetName val="Felix_Street_Summary2"/>
      <sheetName val="Ins_Erection2"/>
      <sheetName val="TDS_Certificate-Format2"/>
      <sheetName val="Power_&amp;_Fuel_(S)1"/>
      <sheetName val="Related_party_-_P&amp;L2"/>
      <sheetName val="HBI_NCD2"/>
      <sheetName val="CUSTOM_Jun992"/>
      <sheetName val="Overall_Summary2"/>
      <sheetName val="Basement_Budget2"/>
      <sheetName val="Staff_Costs2"/>
      <sheetName val="NGS_Data_Sheet"/>
      <sheetName val="SGS_Data_Sheet"/>
      <sheetName val="0__Data_Validation_List2"/>
      <sheetName val="stacking_sheet2"/>
      <sheetName val="Determination_of_Threshold1"/>
      <sheetName val="Taluka_wise_dealer_(2)1"/>
      <sheetName val="RCC_Ret__Wall1"/>
      <sheetName val="_1"/>
      <sheetName val="SAP_downloaded_schedule1"/>
      <sheetName val="S_&amp;_A1"/>
      <sheetName val="Schedule_v11"/>
      <sheetName val="Lease_Expiry1"/>
      <sheetName val="wdr_bldg1"/>
      <sheetName val="Formated_Trial_Balance1"/>
      <sheetName val="Monthly_Inputs1"/>
      <sheetName val="2000-1_Monthly_Cashflows1"/>
      <sheetName val="2002-2_Monthly_Cashflows1"/>
      <sheetName val="DYN_PP1"/>
      <sheetName val="June_Reserve_-_Far_East1"/>
      <sheetName val="WC_analytics_(+data_pages)1"/>
      <sheetName val="Base_data_Security_Procedures1"/>
      <sheetName val="Rs_in_lacs"/>
      <sheetName val="Esteem_Rear"/>
      <sheetName val="final_0611061"/>
      <sheetName val="SAB_P&amp;L1"/>
      <sheetName val="cash_flow2"/>
      <sheetName val="Key_Assumption1"/>
      <sheetName val="Master_Information1"/>
      <sheetName val="BS-203"/>
      <sheetName val="Check_Register"/>
      <sheetName val="EBITDA_Bridge"/>
      <sheetName val="2003_Budget-PL-case1"/>
      <sheetName val="meeting_rectification_control"/>
      <sheetName val="Loan_Data"/>
      <sheetName val="Standalone_seg"/>
      <sheetName val="Cash_Flow_"/>
      <sheetName val="Elec_Summ"/>
      <sheetName val="ELEC_BOQ"/>
      <sheetName val="TRACK_BUSWAY"/>
      <sheetName val="STAFFSCHED_"/>
      <sheetName val="Basic_Rate"/>
      <sheetName val="SP_Break_Up"/>
      <sheetName val="4_Annex_1_Basic_rate"/>
      <sheetName val="Fin__Assumpt__-_Sensitivities"/>
      <sheetName val="currency_(2)"/>
      <sheetName val="NW_RTU"/>
      <sheetName val="Clause_9"/>
      <sheetName val="labour_rates"/>
      <sheetName val="old_serial_no_"/>
      <sheetName val="Budget_CF_-_Overall"/>
      <sheetName val="공사비_내역_(가)"/>
      <sheetName val="4K_-_(6a)_Non_Manual_Breakdown"/>
      <sheetName val="3__Elemental_Summary"/>
      <sheetName val="August_TB"/>
      <sheetName val="Other_notes"/>
      <sheetName val="Linked_Lead"/>
      <sheetName val="_COP"/>
      <sheetName val="DUMP_"/>
      <sheetName val="Bspl_Main"/>
      <sheetName val="Jul 96 Worksheet"/>
      <sheetName val="P&amp;L and CFlow"/>
      <sheetName val="INQVAR PY"/>
      <sheetName val="GF_Columns"/>
      <sheetName val="Unmatched"/>
      <sheetName val="Matched"/>
      <sheetName val="인원계획"/>
      <sheetName val="Prov for exp-April'08 - June'08"/>
      <sheetName val="Provision for exp-Upto Mar'08"/>
      <sheetName val="creditors to others"/>
      <sheetName val="other amt&amp;recoveries payable"/>
      <sheetName val="other exp.charges recoverable"/>
      <sheetName val="rental deposits"/>
      <sheetName val="other deposits "/>
      <sheetName val="prepaid expenses"/>
      <sheetName val="sal.adv"/>
      <sheetName val="EAW Final Accounts - 99"/>
      <sheetName val="Supplier"/>
      <sheetName val="7 Jan 02"/>
      <sheetName val="ANNX-C"/>
      <sheetName val="exp-m"/>
      <sheetName val="Roll-up"/>
      <sheetName val="VAR STORE_CONS"/>
      <sheetName val="Flexi"/>
      <sheetName val="Profit and Loss"/>
      <sheetName val="NEWACNO"/>
      <sheetName val="G02"/>
      <sheetName val="PX1DATA"/>
      <sheetName val="PX2DATA"/>
      <sheetName val="B_S"/>
      <sheetName val="HSA"/>
      <sheetName val="WGSRL"/>
      <sheetName val="ADDN0304"/>
      <sheetName val="DCF"/>
      <sheetName val="Proforma"/>
      <sheetName val="Resue Hoist"/>
      <sheetName val="Conversion Table"/>
      <sheetName val="Key Assumptions"/>
      <sheetName val="Deno"/>
      <sheetName val="Consolidated CF"/>
      <sheetName val="Anlysis"/>
      <sheetName val="PFC"/>
      <sheetName val="RSJ"/>
      <sheetName val="cover page"/>
      <sheetName val="Structure Bills Qty"/>
      <sheetName val="beam-reinft"/>
      <sheetName val="Appendix B- 3.Structural Steel"/>
      <sheetName val="Appendix A- 1.Variation"/>
      <sheetName val="Contracts Status"/>
      <sheetName val="Cost Status-1"/>
      <sheetName val="Centaurus Contract Sum "/>
      <sheetName val="Payment Status"/>
      <sheetName val="1. Report"/>
      <sheetName val="CANDY BOQ"/>
      <sheetName val="FitOutConfCentre"/>
      <sheetName val="Misc__Master1"/>
      <sheetName val="Capital_Structure1"/>
      <sheetName val="Redelvery_provision_changed1"/>
      <sheetName val="SEP_1"/>
      <sheetName val="TBAL9697_-group_wise__sdpl1"/>
      <sheetName val="TASKRSRC_(2)"/>
      <sheetName val="Account_title1"/>
      <sheetName val="INQVAR_PY"/>
      <sheetName val="Schedules_3-8"/>
      <sheetName val="Total_MTH"/>
      <sheetName val="Infinite_Studios"/>
      <sheetName val="Neuros_&amp;_Immunos"/>
      <sheetName val="Jun_2000"/>
      <sheetName val="Sheet2_(2)"/>
      <sheetName val="Leg 1-1"/>
      <sheetName val="Door &amp; Window"/>
      <sheetName val="Sheet5"/>
      <sheetName val="Labour productivity"/>
      <sheetName val="Field Values"/>
      <sheetName val="Old"/>
      <sheetName val="Measurements"/>
      <sheetName val="Tables"/>
      <sheetName val="Flooring"/>
      <sheetName val="Ceilings"/>
      <sheetName val="ACAD Finishes"/>
      <sheetName val="Site Details"/>
      <sheetName val="Chair"/>
      <sheetName val="Site Area Statement"/>
      <sheetName val="Doors"/>
      <sheetName val="Form 6"/>
      <sheetName val="COLUMN"/>
      <sheetName val="except wiring"/>
      <sheetName val="loadcal"/>
      <sheetName val="WXY"/>
      <sheetName val="경비공통"/>
      <sheetName val="SUPPLY -Sanitary Fixtures"/>
      <sheetName val="External"/>
      <sheetName val="ITEMS FOR CIVIL TENDER"/>
      <sheetName val="complexall"/>
      <sheetName val="AR Graphs"/>
      <sheetName val="zpctb-dta"/>
      <sheetName val="mkg"/>
      <sheetName val="2.1. Claimed Not Ack as debts"/>
      <sheetName val="2.4. Service Tax Contingent"/>
      <sheetName val="6. Auditor Payment"/>
      <sheetName val="7. Pauling Joint Venture"/>
      <sheetName val="8. Non Provision"/>
      <sheetName val="5. MR"/>
      <sheetName val="CAUSTIC"/>
      <sheetName val="1996-97"/>
      <sheetName val="CapStru"/>
      <sheetName val="MktCap"/>
      <sheetName val="TradingVol"/>
      <sheetName val="exgratia-feb06"/>
      <sheetName val="Reporting VA"/>
      <sheetName val="Standing Data"/>
      <sheetName val="cost sheet-1999-00"/>
      <sheetName val="Local Data"/>
      <sheetName val="Trading Comps"/>
      <sheetName val="nishanth"/>
      <sheetName val="Manufacturing Statistics"/>
      <sheetName val="curlocal"/>
      <sheetName val="Manualformat"/>
      <sheetName val="MenuData"/>
      <sheetName val="1072"/>
      <sheetName val="인사현황(부서)"/>
      <sheetName val="mltc"/>
      <sheetName val="Dollar_Value"/>
      <sheetName val="ECR.ECNOI Slide"/>
      <sheetName val="Column L1 to L2"/>
      <sheetName val="Column L2 to L3"/>
      <sheetName val="BEAM"/>
      <sheetName val="RAMP 3"/>
      <sheetName val="RAMP 1"/>
      <sheetName val="staircase"/>
      <sheetName val="R_Wall"/>
      <sheetName val="Column B1 to L1"/>
      <sheetName val="Slab L1"/>
      <sheetName val="Slab L2"/>
      <sheetName val="Pivot_Weighted_SC_edit"/>
      <sheetName val="LIST OF MAKES"/>
      <sheetName val="lookup"/>
      <sheetName val="BOQ "/>
      <sheetName val="NOV95"/>
      <sheetName val="Acquisition Assumptions"/>
      <sheetName val="REPV2002"/>
      <sheetName val="Detail"/>
      <sheetName val="#REF!"/>
      <sheetName val="PROCTOR"/>
      <sheetName val="Total Debtors Ageing Sheet"/>
      <sheetName val="QTY. PROV.LAB"/>
      <sheetName val="List"/>
      <sheetName val="Power &amp; Fuel(SMS)"/>
      <sheetName val="IncidentsEAP"/>
      <sheetName val="TR-PBT-Final-Detail"/>
      <sheetName val="1612.01AN(7) - Niep Tds Summary"/>
      <sheetName val="CABLERET"/>
      <sheetName val="banilad"/>
      <sheetName val="Mactan"/>
      <sheetName val="Mandaue"/>
      <sheetName val="lineby line consolidation"/>
      <sheetName val="GUT (2)"/>
      <sheetName val="ACE-OUT"/>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4"/>
      <sheetName val="RELACION_REFERENCIAS"/>
      <sheetName val="GL_Master_Data"/>
      <sheetName val="Pivot"/>
      <sheetName val="Feiertage"/>
      <sheetName val="Issue Log"/>
      <sheetName val="Elec_Summ1"/>
      <sheetName val="ELEC_BOQ1"/>
      <sheetName val="TRACK_BUSWAY1"/>
      <sheetName val="STAFFSCHED_1"/>
      <sheetName val="Basic_Rate1"/>
      <sheetName val="SP_Break_Up1"/>
      <sheetName val="4_Annex_1_Basic_rate1"/>
      <sheetName val="Fin__Assumpt__-_Sensitivities1"/>
      <sheetName val="Other_notes1"/>
      <sheetName val="Linked_Lead1"/>
      <sheetName val="_COP1"/>
      <sheetName val="TASKRSRC_(2)1"/>
      <sheetName val="OGExp"/>
      <sheetName val="VC_WKG"/>
      <sheetName val="Budget_Summary2"/>
      <sheetName val="Loss_30042"/>
      <sheetName val="Reconciliation_of_GL_&amp;_FAR2"/>
      <sheetName val="exec_summ2"/>
      <sheetName val="Customize_Your_Invoice2"/>
      <sheetName val="Sale_Charts2"/>
      <sheetName val="Trial_Balance_Format1"/>
      <sheetName val="NOA_Data1"/>
      <sheetName val="BASIS_-DEC_08"/>
      <sheetName val="HOUSE_RENT_DEPO_2"/>
      <sheetName val="grp_"/>
      <sheetName val="Base_Data"/>
      <sheetName val="080_(2)"/>
      <sheetName val="F_01_-_June_2005"/>
      <sheetName val="HW_SW"/>
      <sheetName val="earnings_model"/>
      <sheetName val="Balance_Sheet_US$"/>
      <sheetName val="FF-2_(1)"/>
      <sheetName val="addl_cost"/>
      <sheetName val="Budget heads"/>
      <sheetName val="Last Month Report"/>
      <sheetName val="TENSCH"/>
      <sheetName val="Sheet1 (2)"/>
      <sheetName val="gl"/>
      <sheetName val="Stacking Plan &amp; LEP"/>
      <sheetName val="Stack Expiry"/>
      <sheetName val="인원계획-미화"/>
      <sheetName val="1 LeadSchedule"/>
      <sheetName val="Collateral"/>
      <sheetName val="Category"/>
      <sheetName val="Quantity"/>
      <sheetName val="PVAs"/>
      <sheetName val="RESOIL-DELETE!!!!!"/>
      <sheetName val="Expenditure Analysis"/>
      <sheetName val="RAZ$"/>
      <sheetName val="MERGER"/>
      <sheetName val="Stacking Plan"/>
      <sheetName val="設計時間"/>
      <sheetName val="cflow"/>
      <sheetName val="P&amp;L-BDMC"/>
      <sheetName val="sales &amp; prod"/>
      <sheetName val="inWords"/>
      <sheetName val="Deprec."/>
      <sheetName val="Attributes"/>
      <sheetName val="QFC"/>
      <sheetName val="입찰내역 발주처 양식"/>
      <sheetName val="Mechanical"/>
      <sheetName val="Sheet 1"/>
      <sheetName val="DREV"/>
      <sheetName val="CREV"/>
      <sheetName val="Kristal Court"/>
      <sheetName val="Background"/>
      <sheetName val="staff acco."/>
      <sheetName val="APPENDIX 4.1a"/>
      <sheetName val="s8"/>
      <sheetName val="s7"/>
      <sheetName val="s9"/>
      <sheetName val="beam-reinft-machine rm"/>
      <sheetName val="15"/>
      <sheetName val="Assm"/>
      <sheetName val="Unit&amp;CK"/>
      <sheetName val="Fin Chrgs"/>
      <sheetName val="COA"/>
      <sheetName val="Trial"/>
      <sheetName val="Columns &amp; Walls"/>
      <sheetName val="Calendar"/>
      <sheetName val="Selection "/>
      <sheetName val="재무가정"/>
      <sheetName val="Original"/>
      <sheetName val="Ledger Dump"/>
      <sheetName val="BS-Cem"/>
      <sheetName val="Interface"/>
      <sheetName val="Basic assumptions"/>
      <sheetName val="chem"/>
      <sheetName val="Corrupt SSCI"/>
      <sheetName val="Monthly Ship+Prod"/>
      <sheetName val="Perform"/>
      <sheetName val="VALUE2_5"/>
      <sheetName val="Entity Names"/>
      <sheetName val="Pr.-hist."/>
      <sheetName val="TB Jan-Dec96"/>
      <sheetName val="Managerial Remuneration-Dec96"/>
      <sheetName val="BS&amp;PL_DEC96"/>
      <sheetName val="SILICATE"/>
      <sheetName val="S1BOQ"/>
      <sheetName val="Consignment"/>
      <sheetName val="Sheet3_(2)9"/>
      <sheetName val="Income_Statements9"/>
      <sheetName val="Sheet3__2_9"/>
      <sheetName val="Acc_10_59"/>
      <sheetName val="QoQ_Forecast9"/>
      <sheetName val="Income_&amp;_Occupancy_Customer9"/>
      <sheetName val="Aladdin_Macro19"/>
      <sheetName val="Global_Assm_9"/>
      <sheetName val="ABP_inputs9"/>
      <sheetName val="Synergy_Sales_Budget9"/>
      <sheetName val="Project_Budget_Worksheet9"/>
      <sheetName val="Calculation_(2)9"/>
      <sheetName val="Multiple_output9"/>
      <sheetName val="Builtup_Area9"/>
      <sheetName val="RCC,Ret__Wall9"/>
      <sheetName val="BOQ_T4B9"/>
      <sheetName val="INDIGINEOUS_ITEMS_9"/>
      <sheetName val="Material_9"/>
      <sheetName val="Labour_&amp;_Plant9"/>
      <sheetName val="_B39"/>
      <sheetName val="_B19"/>
      <sheetName val="beam-reinft-IIInd_floor9"/>
      <sheetName val="Portfolio_Summary5"/>
      <sheetName val="IMPORT_T124"/>
      <sheetName val="Approved_MTD_Proj_#'s9"/>
      <sheetName val="TB_FOR_MIS4"/>
      <sheetName val="INPUT_SHEET3"/>
      <sheetName val="Current_Bill_MB_ref5"/>
      <sheetName val="Meas_-Hotel_Part5"/>
      <sheetName val="MN_T_B_9"/>
      <sheetName val="CFForecast_detail9"/>
      <sheetName val="Site_Dev_BOQ9"/>
      <sheetName val="Break_up_Sheet9"/>
      <sheetName val="Load_Details-220kV9"/>
      <sheetName val="Block_A_-_BOQ9"/>
      <sheetName val="Rollup_Summary4"/>
      <sheetName val="170810-lease_tax4"/>
      <sheetName val="van_khuon4"/>
      <sheetName val="IDC_macro4"/>
      <sheetName val="KPM_DT4"/>
      <sheetName val="Summary_Excise3"/>
      <sheetName val="Other_BS_Sch_5-93"/>
      <sheetName val="Excess_Calc3"/>
      <sheetName val="Grouping_Master3"/>
      <sheetName val="Dom_Cell_(IS)3"/>
      <sheetName val="March_Analysts3"/>
      <sheetName val="CABLE_DATA4"/>
      <sheetName val="1st_flr4"/>
      <sheetName val="Civil_Boq4"/>
      <sheetName val="final_abstract4"/>
      <sheetName val="Rate_analysis4"/>
      <sheetName val="_Acc__Sched_3"/>
      <sheetName val="Fin_Sum4"/>
      <sheetName val="Main_Sheet_(MTD)4"/>
      <sheetName val="Consl_Daily_Report4"/>
      <sheetName val="balance_sheet4"/>
      <sheetName val="EDS__Bestshore_Migration3"/>
      <sheetName val="Master_Price_List3"/>
      <sheetName val="EXHIBIT&quot;_T&quot;3"/>
      <sheetName val="IT_Block3"/>
      <sheetName val="Location_CODE3"/>
      <sheetName val="Location_TYPE3"/>
      <sheetName val="sub_class3"/>
      <sheetName val="_sub_Loc_3"/>
      <sheetName val="MASTER_RATE_ANALYSIS3"/>
      <sheetName val="Valuation_-_block_23"/>
      <sheetName val="P_&amp;_L3"/>
      <sheetName val="Leasing_Commision3"/>
      <sheetName val="03_(2)3"/>
      <sheetName val="WIng_F(Typical)3"/>
      <sheetName val="SOPMA_DD3"/>
      <sheetName val="Material_List_3"/>
      <sheetName val="Architectural_Summary3"/>
      <sheetName val="Legal_Risk_Analysis3"/>
      <sheetName val="IO_LIST3"/>
      <sheetName val="Master_list3"/>
      <sheetName val="Labour_List3"/>
      <sheetName val="Material_List3"/>
      <sheetName val="Labor_abs-NMR3"/>
      <sheetName val="Beam_at_Ground_flr_lvl(Steel)3"/>
      <sheetName val="1st_-vpd3"/>
      <sheetName val="schedule_nos3"/>
      <sheetName val="Fill_this_out_first___3"/>
      <sheetName val="NEW-IDs_Fun_&amp;_Group3"/>
      <sheetName val="10__&amp;_11__Rate_Code_&amp;_BQ3"/>
      <sheetName val="QoQ_In_Lakhs3"/>
      <sheetName val="Main_workings3"/>
      <sheetName val="Balance_Sheet_3"/>
      <sheetName val="vb_9&amp;103"/>
      <sheetName val="Base_Assumptions3"/>
      <sheetName val="FITZ_MORT_943"/>
      <sheetName val="Commercial_Research3"/>
      <sheetName val="M-2_Adjusted3"/>
      <sheetName val="9__Package_split_-_Cost_3"/>
      <sheetName val="Goldberg_Portfolio_Combined3"/>
      <sheetName val="Operating_Statistics3"/>
      <sheetName val="MIS_-_kINR4"/>
      <sheetName val="FA_Schedule_Dec_073"/>
      <sheetName val="Theatre_mgmt_cont3"/>
      <sheetName val="P_R__TAXES3"/>
      <sheetName val="BILLING_SUM3"/>
      <sheetName val="Trial_Balance3"/>
      <sheetName val="Service_Invoice3"/>
      <sheetName val="MIS_AC_wise3"/>
      <sheetName val="Cash_Flow_Working3"/>
      <sheetName val="Retail_Mall3"/>
      <sheetName val="Training_Deposits_coding3"/>
      <sheetName val="Rev_Opt_-_Rollup3"/>
      <sheetName val="ANN_K3"/>
      <sheetName val="drop-dwn_list3"/>
      <sheetName val="Open_Items-3112083"/>
      <sheetName val="LBO_Financials3"/>
      <sheetName val="A_O_R_3"/>
      <sheetName val="Debtors_analysis3"/>
      <sheetName val="pile_Fabrication3"/>
      <sheetName val="extra_work_elec_bill_3"/>
      <sheetName val="HBI_NCD3"/>
      <sheetName val="CUSTOM_Jun993"/>
      <sheetName val="Felix_Street_Summary3"/>
      <sheetName val="Overall_Summary3"/>
      <sheetName val="소상_&quot;1&quot;3"/>
      <sheetName val="Related_party_-_P&amp;L3"/>
      <sheetName val="Cost_summary3"/>
      <sheetName val="Total List"/>
      <sheetName val="loaddata"/>
      <sheetName val="REPAIR&amp; MAINT"/>
      <sheetName val="GL Links"/>
      <sheetName val="Internal Data"/>
      <sheetName val="11-hsd"/>
      <sheetName val="13-septic"/>
      <sheetName val="7-ug"/>
      <sheetName val="2-utility"/>
      <sheetName val="18-misc"/>
      <sheetName val="5-pipe"/>
      <sheetName val="Senario Manager"/>
      <sheetName val="OH_SUMMARY"/>
      <sheetName val="OH_MAR"/>
      <sheetName val="OH_AUG"/>
      <sheetName val="OH_SEPT"/>
      <sheetName val="OH_OCT"/>
      <sheetName val="OH_NOV"/>
      <sheetName val="OH_DEC"/>
      <sheetName val="OH_JAN"/>
      <sheetName val="OH_FEB"/>
      <sheetName val="PL- Notes"/>
      <sheetName val="ICD"/>
      <sheetName val="Exim FCL"/>
      <sheetName val="General"/>
      <sheetName val="dBase"/>
      <sheetName val="12a. CFTable"/>
      <sheetName val="s"/>
      <sheetName val="Data sheet"/>
      <sheetName val="ridgewood"/>
      <sheetName val="coa_ramco_168"/>
      <sheetName val="MS of Instal"/>
      <sheetName val="MIR - SUPPLY"/>
      <sheetName val="WIR - INSTALL"/>
      <sheetName val="Angles"/>
      <sheetName val="Allocation"/>
      <sheetName val="Plant &amp;  Machinery"/>
      <sheetName val="Vehicles"/>
      <sheetName val="VCH-SLC"/>
      <sheetName val="PARASITIC"/>
      <sheetName val="detail'02"/>
      <sheetName val="2 BHK"/>
      <sheetName val="Basic Rates"/>
      <sheetName val="RateAnalysis"/>
      <sheetName val="_____"/>
      <sheetName val="NOPAT_VDF"/>
      <sheetName val="Invested capital_VDF"/>
      <sheetName val="Abstract"/>
      <sheetName val="DDETABLE "/>
      <sheetName val="Ignore"/>
      <sheetName val="projections"/>
      <sheetName val="r&amp;m"/>
      <sheetName val="africa"/>
      <sheetName val="row"/>
      <sheetName val="euro"/>
      <sheetName val="group e&amp;p"/>
      <sheetName val="health"/>
      <sheetName val="Physical"/>
      <sheetName val="annexure13_Corporate"/>
      <sheetName val="IFS_Cr"/>
      <sheetName val="cul-invSUBMITTED"/>
      <sheetName val="LookupLists"/>
      <sheetName val="建築面積"/>
      <sheetName val="BPR"/>
      <sheetName val="Q1 Est"/>
      <sheetName val="5-NCA"/>
      <sheetName val="JE"/>
      <sheetName val="Reclass PL 2006"/>
      <sheetName val="Reclass PL 2007"/>
      <sheetName val="Reclass PL 2008"/>
      <sheetName val="Com Act Depreciation1"/>
      <sheetName val="Ann B1"/>
      <sheetName val="Adjusted data"/>
      <sheetName val="JetFuel"/>
      <sheetName val="Block A"/>
      <sheetName val="cs1997"/>
      <sheetName val="Book1"/>
      <sheetName val="Corridor"/>
      <sheetName val="Valuation (F)"/>
      <sheetName val="BFS"/>
      <sheetName val="Flat Info _ODD"/>
      <sheetName val="Door (2)"/>
      <sheetName val="ABB"/>
      <sheetName val="BLOCK_A _MEA_SHEET_"/>
      <sheetName val="Actuals_by_Job"/>
      <sheetName val="Outlook"/>
      <sheetName val="Service Function"/>
      <sheetName val="RA_markate"/>
      <sheetName val="UH BUILD UP PLAN-2"/>
      <sheetName val="April Analysts"/>
      <sheetName val="New May"/>
      <sheetName val="cash budget"/>
      <sheetName val="Basic"/>
      <sheetName val="Product List"/>
      <sheetName val="A-D"/>
      <sheetName val="dealer list"/>
    </sheetNames>
    <sheetDataSet>
      <sheetData sheetId="0" refreshError="1">
        <row r="65">
          <cell r="A65" t="str">
            <v>(II)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65">
          <cell r="A65" t="str">
            <v>(II)</v>
          </cell>
        </row>
      </sheetData>
      <sheetData sheetId="95" refreshError="1"/>
      <sheetData sheetId="96" refreshError="1"/>
      <sheetData sheetId="97">
        <row r="65">
          <cell r="A65" t="str">
            <v>(II)</v>
          </cell>
        </row>
      </sheetData>
      <sheetData sheetId="98">
        <row r="65">
          <cell r="A65" t="str">
            <v>(II)</v>
          </cell>
        </row>
      </sheetData>
      <sheetData sheetId="99">
        <row r="65">
          <cell r="A65" t="str">
            <v>(II)</v>
          </cell>
        </row>
      </sheetData>
      <sheetData sheetId="100">
        <row r="65">
          <cell r="A65" t="str">
            <v>(II)</v>
          </cell>
        </row>
      </sheetData>
      <sheetData sheetId="101">
        <row r="65">
          <cell r="A65" t="str">
            <v>(II)</v>
          </cell>
        </row>
      </sheetData>
      <sheetData sheetId="102">
        <row r="65">
          <cell r="A65" t="str">
            <v>(II)</v>
          </cell>
        </row>
      </sheetData>
      <sheetData sheetId="103">
        <row r="65">
          <cell r="A65" t="str">
            <v>(II)</v>
          </cell>
        </row>
      </sheetData>
      <sheetData sheetId="104">
        <row r="65">
          <cell r="A65" t="str">
            <v>(II)</v>
          </cell>
        </row>
      </sheetData>
      <sheetData sheetId="105">
        <row r="65">
          <cell r="A65" t="str">
            <v>(II)</v>
          </cell>
        </row>
      </sheetData>
      <sheetData sheetId="106">
        <row r="65">
          <cell r="A65" t="str">
            <v>(II)</v>
          </cell>
        </row>
      </sheetData>
      <sheetData sheetId="107">
        <row r="65">
          <cell r="A65" t="str">
            <v>(II)</v>
          </cell>
        </row>
      </sheetData>
      <sheetData sheetId="108">
        <row r="65">
          <cell r="A65" t="str">
            <v>(II)</v>
          </cell>
        </row>
      </sheetData>
      <sheetData sheetId="109">
        <row r="65">
          <cell r="A65" t="str">
            <v>(II)</v>
          </cell>
        </row>
      </sheetData>
      <sheetData sheetId="110">
        <row r="65">
          <cell r="A65" t="str">
            <v>(II)</v>
          </cell>
        </row>
      </sheetData>
      <sheetData sheetId="111">
        <row r="65">
          <cell r="A65" t="str">
            <v>(II)</v>
          </cell>
        </row>
      </sheetData>
      <sheetData sheetId="112">
        <row r="65">
          <cell r="A65" t="str">
            <v>(II)</v>
          </cell>
        </row>
      </sheetData>
      <sheetData sheetId="113">
        <row r="65">
          <cell r="A65" t="str">
            <v>(II)</v>
          </cell>
        </row>
      </sheetData>
      <sheetData sheetId="114">
        <row r="65">
          <cell r="A65" t="str">
            <v>(II)</v>
          </cell>
        </row>
      </sheetData>
      <sheetData sheetId="115">
        <row r="65">
          <cell r="A65" t="str">
            <v>(II)</v>
          </cell>
        </row>
      </sheetData>
      <sheetData sheetId="116">
        <row r="65">
          <cell r="A65" t="str">
            <v>(II)</v>
          </cell>
        </row>
      </sheetData>
      <sheetData sheetId="117">
        <row r="65">
          <cell r="A65" t="str">
            <v>(II)</v>
          </cell>
        </row>
      </sheetData>
      <sheetData sheetId="118">
        <row r="65">
          <cell r="A65" t="str">
            <v>(II)</v>
          </cell>
        </row>
      </sheetData>
      <sheetData sheetId="119">
        <row r="65">
          <cell r="A65" t="str">
            <v>(II)</v>
          </cell>
        </row>
      </sheetData>
      <sheetData sheetId="120">
        <row r="65">
          <cell r="A65" t="str">
            <v>(II)</v>
          </cell>
        </row>
      </sheetData>
      <sheetData sheetId="121">
        <row r="65">
          <cell r="A65" t="str">
            <v>(II)</v>
          </cell>
        </row>
      </sheetData>
      <sheetData sheetId="122">
        <row r="65">
          <cell r="A65" t="str">
            <v>(II)</v>
          </cell>
        </row>
      </sheetData>
      <sheetData sheetId="123">
        <row r="65">
          <cell r="A65" t="str">
            <v>(II)</v>
          </cell>
        </row>
      </sheetData>
      <sheetData sheetId="124">
        <row r="65">
          <cell r="A65" t="str">
            <v>(II)</v>
          </cell>
        </row>
      </sheetData>
      <sheetData sheetId="125">
        <row r="65">
          <cell r="A65" t="str">
            <v>(II)</v>
          </cell>
        </row>
      </sheetData>
      <sheetData sheetId="126">
        <row r="65">
          <cell r="A65" t="str">
            <v>(II)</v>
          </cell>
        </row>
      </sheetData>
      <sheetData sheetId="127">
        <row r="65">
          <cell r="A65" t="str">
            <v>(II)</v>
          </cell>
        </row>
      </sheetData>
      <sheetData sheetId="128">
        <row r="65">
          <cell r="A65" t="str">
            <v>(II)</v>
          </cell>
        </row>
      </sheetData>
      <sheetData sheetId="129">
        <row r="65">
          <cell r="A65" t="str">
            <v>(II)</v>
          </cell>
        </row>
      </sheetData>
      <sheetData sheetId="130">
        <row r="65">
          <cell r="A65" t="str">
            <v>(II)</v>
          </cell>
        </row>
      </sheetData>
      <sheetData sheetId="131">
        <row r="65">
          <cell r="A65" t="str">
            <v>(II)</v>
          </cell>
        </row>
      </sheetData>
      <sheetData sheetId="132">
        <row r="65">
          <cell r="A65" t="str">
            <v>(II)</v>
          </cell>
        </row>
      </sheetData>
      <sheetData sheetId="133">
        <row r="65">
          <cell r="A65" t="str">
            <v>(II)</v>
          </cell>
        </row>
      </sheetData>
      <sheetData sheetId="134">
        <row r="65">
          <cell r="A65" t="str">
            <v>(II)</v>
          </cell>
        </row>
      </sheetData>
      <sheetData sheetId="135">
        <row r="65">
          <cell r="A65" t="str">
            <v>(II)</v>
          </cell>
        </row>
      </sheetData>
      <sheetData sheetId="136">
        <row r="65">
          <cell r="A65" t="str">
            <v>(II)</v>
          </cell>
        </row>
      </sheetData>
      <sheetData sheetId="137">
        <row r="65">
          <cell r="A65" t="str">
            <v>(II)</v>
          </cell>
        </row>
      </sheetData>
      <sheetData sheetId="138">
        <row r="65">
          <cell r="A65" t="str">
            <v>(II)</v>
          </cell>
        </row>
      </sheetData>
      <sheetData sheetId="139">
        <row r="65">
          <cell r="A65" t="str">
            <v>(II)</v>
          </cell>
        </row>
      </sheetData>
      <sheetData sheetId="140">
        <row r="65">
          <cell r="A65" t="str">
            <v>(II)</v>
          </cell>
        </row>
      </sheetData>
      <sheetData sheetId="141">
        <row r="65">
          <cell r="A65" t="str">
            <v>(II)</v>
          </cell>
        </row>
      </sheetData>
      <sheetData sheetId="142">
        <row r="65">
          <cell r="A65" t="str">
            <v>(II)</v>
          </cell>
        </row>
      </sheetData>
      <sheetData sheetId="143">
        <row r="65">
          <cell r="A65" t="str">
            <v>(II)</v>
          </cell>
        </row>
      </sheetData>
      <sheetData sheetId="144">
        <row r="65">
          <cell r="A65" t="str">
            <v>(II)</v>
          </cell>
        </row>
      </sheetData>
      <sheetData sheetId="145">
        <row r="65">
          <cell r="A65" t="str">
            <v>(II)</v>
          </cell>
        </row>
      </sheetData>
      <sheetData sheetId="146">
        <row r="65">
          <cell r="A65" t="str">
            <v>(II)</v>
          </cell>
        </row>
      </sheetData>
      <sheetData sheetId="147">
        <row r="65">
          <cell r="A65" t="str">
            <v>(II)</v>
          </cell>
        </row>
      </sheetData>
      <sheetData sheetId="148">
        <row r="65">
          <cell r="A65" t="str">
            <v>(II)</v>
          </cell>
        </row>
      </sheetData>
      <sheetData sheetId="149">
        <row r="65">
          <cell r="A65" t="str">
            <v>(II)</v>
          </cell>
        </row>
      </sheetData>
      <sheetData sheetId="150">
        <row r="65">
          <cell r="A65" t="str">
            <v>(II)</v>
          </cell>
        </row>
      </sheetData>
      <sheetData sheetId="151">
        <row r="65">
          <cell r="A65" t="str">
            <v>(II)</v>
          </cell>
        </row>
      </sheetData>
      <sheetData sheetId="152">
        <row r="65">
          <cell r="A65" t="str">
            <v>(II)</v>
          </cell>
        </row>
      </sheetData>
      <sheetData sheetId="153">
        <row r="65">
          <cell r="A65" t="str">
            <v>(II)</v>
          </cell>
        </row>
      </sheetData>
      <sheetData sheetId="154">
        <row r="65">
          <cell r="A65" t="str">
            <v>(II)</v>
          </cell>
        </row>
      </sheetData>
      <sheetData sheetId="155">
        <row r="65">
          <cell r="A65" t="str">
            <v>(II)</v>
          </cell>
        </row>
      </sheetData>
      <sheetData sheetId="156">
        <row r="65">
          <cell r="A65" t="str">
            <v>(II)</v>
          </cell>
        </row>
      </sheetData>
      <sheetData sheetId="157">
        <row r="65">
          <cell r="A65" t="str">
            <v>(II)</v>
          </cell>
        </row>
      </sheetData>
      <sheetData sheetId="158">
        <row r="65">
          <cell r="A65" t="str">
            <v>(II)</v>
          </cell>
        </row>
      </sheetData>
      <sheetData sheetId="159">
        <row r="65">
          <cell r="A65" t="str">
            <v>(II)</v>
          </cell>
        </row>
      </sheetData>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ow r="65">
          <cell r="A65" t="str">
            <v>(II)</v>
          </cell>
        </row>
      </sheetData>
      <sheetData sheetId="184">
        <row r="65">
          <cell r="A65" t="str">
            <v>(II)</v>
          </cell>
        </row>
      </sheetData>
      <sheetData sheetId="185">
        <row r="65">
          <cell r="A65" t="str">
            <v>(II)</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ow r="65">
          <cell r="A65" t="str">
            <v>(II)</v>
          </cell>
        </row>
      </sheetData>
      <sheetData sheetId="306">
        <row r="65">
          <cell r="A65" t="str">
            <v>(II)</v>
          </cell>
        </row>
      </sheetData>
      <sheetData sheetId="307">
        <row r="65">
          <cell r="A65" t="str">
            <v>(II)</v>
          </cell>
        </row>
      </sheetData>
      <sheetData sheetId="308">
        <row r="65">
          <cell r="A65" t="str">
            <v>(II)</v>
          </cell>
        </row>
      </sheetData>
      <sheetData sheetId="309">
        <row r="65">
          <cell r="A65" t="str">
            <v>(II)</v>
          </cell>
        </row>
      </sheetData>
      <sheetData sheetId="310">
        <row r="65">
          <cell r="A65" t="str">
            <v>(II)</v>
          </cell>
        </row>
      </sheetData>
      <sheetData sheetId="311" refreshError="1"/>
      <sheetData sheetId="312">
        <row r="65">
          <cell r="A65" t="str">
            <v>(II)</v>
          </cell>
        </row>
      </sheetData>
      <sheetData sheetId="313">
        <row r="65">
          <cell r="A65" t="str">
            <v>(II)</v>
          </cell>
        </row>
      </sheetData>
      <sheetData sheetId="314">
        <row r="65">
          <cell r="A65" t="str">
            <v>(II)</v>
          </cell>
        </row>
      </sheetData>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ow r="65">
          <cell r="A65" t="str">
            <v>(II)</v>
          </cell>
        </row>
      </sheetData>
      <sheetData sheetId="388">
        <row r="65">
          <cell r="A65" t="str">
            <v>(II)</v>
          </cell>
        </row>
      </sheetData>
      <sheetData sheetId="389">
        <row r="65">
          <cell r="A65" t="str">
            <v>(II)</v>
          </cell>
        </row>
      </sheetData>
      <sheetData sheetId="390">
        <row r="65">
          <cell r="A65" t="str">
            <v>(II)</v>
          </cell>
        </row>
      </sheetData>
      <sheetData sheetId="391">
        <row r="65">
          <cell r="A65" t="str">
            <v>(II)</v>
          </cell>
        </row>
      </sheetData>
      <sheetData sheetId="392">
        <row r="65">
          <cell r="A65" t="str">
            <v>(II)</v>
          </cell>
        </row>
      </sheetData>
      <sheetData sheetId="393" refreshError="1"/>
      <sheetData sheetId="394" refreshError="1"/>
      <sheetData sheetId="395" refreshError="1"/>
      <sheetData sheetId="396">
        <row r="65">
          <cell r="A65" t="str">
            <v>(II)</v>
          </cell>
        </row>
      </sheetData>
      <sheetData sheetId="397">
        <row r="65">
          <cell r="A65" t="str">
            <v>(II)</v>
          </cell>
        </row>
      </sheetData>
      <sheetData sheetId="398">
        <row r="65">
          <cell r="A65" t="str">
            <v>(II)</v>
          </cell>
        </row>
      </sheetData>
      <sheetData sheetId="399">
        <row r="65">
          <cell r="A65" t="str">
            <v>(II)</v>
          </cell>
        </row>
      </sheetData>
      <sheetData sheetId="400">
        <row r="65">
          <cell r="A65" t="str">
            <v>(II)</v>
          </cell>
        </row>
      </sheetData>
      <sheetData sheetId="401">
        <row r="65">
          <cell r="A65" t="str">
            <v>(II)</v>
          </cell>
        </row>
      </sheetData>
      <sheetData sheetId="402">
        <row r="65">
          <cell r="A65" t="str">
            <v>(II)</v>
          </cell>
        </row>
      </sheetData>
      <sheetData sheetId="403">
        <row r="65">
          <cell r="A65" t="str">
            <v>(II)</v>
          </cell>
        </row>
      </sheetData>
      <sheetData sheetId="404">
        <row r="65">
          <cell r="A65" t="str">
            <v>(II)</v>
          </cell>
        </row>
      </sheetData>
      <sheetData sheetId="405">
        <row r="65">
          <cell r="A65" t="str">
            <v>(II)</v>
          </cell>
        </row>
      </sheetData>
      <sheetData sheetId="406">
        <row r="65">
          <cell r="A65" t="str">
            <v>(II)</v>
          </cell>
        </row>
      </sheetData>
      <sheetData sheetId="407">
        <row r="65">
          <cell r="A65" t="str">
            <v>(II)</v>
          </cell>
        </row>
      </sheetData>
      <sheetData sheetId="408">
        <row r="65">
          <cell r="A65" t="str">
            <v>(II)</v>
          </cell>
        </row>
      </sheetData>
      <sheetData sheetId="409">
        <row r="65">
          <cell r="A65" t="str">
            <v>(II)</v>
          </cell>
        </row>
      </sheetData>
      <sheetData sheetId="410">
        <row r="65">
          <cell r="A65" t="str">
            <v>(II)</v>
          </cell>
        </row>
      </sheetData>
      <sheetData sheetId="411">
        <row r="65">
          <cell r="A65" t="str">
            <v>(II)</v>
          </cell>
        </row>
      </sheetData>
      <sheetData sheetId="412">
        <row r="65">
          <cell r="A65" t="str">
            <v>(II)</v>
          </cell>
        </row>
      </sheetData>
      <sheetData sheetId="413">
        <row r="65">
          <cell r="A65" t="str">
            <v>(II)</v>
          </cell>
        </row>
      </sheetData>
      <sheetData sheetId="414">
        <row r="65">
          <cell r="A65" t="str">
            <v>(II)</v>
          </cell>
        </row>
      </sheetData>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ow r="65">
          <cell r="A65" t="str">
            <v>(II)</v>
          </cell>
        </row>
      </sheetData>
      <sheetData sheetId="424">
        <row r="65">
          <cell r="A65" t="str">
            <v>(II)</v>
          </cell>
        </row>
      </sheetData>
      <sheetData sheetId="425">
        <row r="65">
          <cell r="A65" t="str">
            <v>(II)</v>
          </cell>
        </row>
      </sheetData>
      <sheetData sheetId="426">
        <row r="65">
          <cell r="A65" t="str">
            <v>(II)</v>
          </cell>
        </row>
      </sheetData>
      <sheetData sheetId="427">
        <row r="65">
          <cell r="A65" t="str">
            <v>(II)</v>
          </cell>
        </row>
      </sheetData>
      <sheetData sheetId="428">
        <row r="65">
          <cell r="A65" t="str">
            <v>(II)</v>
          </cell>
        </row>
      </sheetData>
      <sheetData sheetId="429">
        <row r="65">
          <cell r="A65" t="str">
            <v>(II)</v>
          </cell>
        </row>
      </sheetData>
      <sheetData sheetId="430">
        <row r="65">
          <cell r="A65" t="str">
            <v>(II)</v>
          </cell>
        </row>
      </sheetData>
      <sheetData sheetId="431">
        <row r="65">
          <cell r="A65" t="str">
            <v>(II)</v>
          </cell>
        </row>
      </sheetData>
      <sheetData sheetId="432">
        <row r="65">
          <cell r="A65" t="str">
            <v>(II)</v>
          </cell>
        </row>
      </sheetData>
      <sheetData sheetId="433" refreshError="1"/>
      <sheetData sheetId="434" refreshError="1"/>
      <sheetData sheetId="435" refreshError="1"/>
      <sheetData sheetId="436" refreshError="1"/>
      <sheetData sheetId="437" refreshError="1"/>
      <sheetData sheetId="438" refreshError="1"/>
      <sheetData sheetId="439">
        <row r="65">
          <cell r="A65" t="str">
            <v>(II)</v>
          </cell>
        </row>
      </sheetData>
      <sheetData sheetId="440">
        <row r="65">
          <cell r="A65" t="str">
            <v>(II)</v>
          </cell>
        </row>
      </sheetData>
      <sheetData sheetId="441">
        <row r="65">
          <cell r="A65" t="str">
            <v>(II)</v>
          </cell>
        </row>
      </sheetData>
      <sheetData sheetId="442">
        <row r="65">
          <cell r="A65" t="str">
            <v>(II)</v>
          </cell>
        </row>
      </sheetData>
      <sheetData sheetId="443">
        <row r="65">
          <cell r="A65" t="str">
            <v>(II)</v>
          </cell>
        </row>
      </sheetData>
      <sheetData sheetId="444">
        <row r="65">
          <cell r="A65" t="str">
            <v>(II)</v>
          </cell>
        </row>
      </sheetData>
      <sheetData sheetId="445">
        <row r="65">
          <cell r="A65" t="str">
            <v>(II)</v>
          </cell>
        </row>
      </sheetData>
      <sheetData sheetId="446">
        <row r="65">
          <cell r="A65" t="str">
            <v>(II)</v>
          </cell>
        </row>
      </sheetData>
      <sheetData sheetId="447">
        <row r="65">
          <cell r="A65" t="str">
            <v>(II)</v>
          </cell>
        </row>
      </sheetData>
      <sheetData sheetId="448">
        <row r="65">
          <cell r="A65" t="str">
            <v>(II)</v>
          </cell>
        </row>
      </sheetData>
      <sheetData sheetId="449">
        <row r="65">
          <cell r="A65" t="str">
            <v>(II)</v>
          </cell>
        </row>
      </sheetData>
      <sheetData sheetId="450">
        <row r="65">
          <cell r="A65" t="str">
            <v>(II)</v>
          </cell>
        </row>
      </sheetData>
      <sheetData sheetId="451">
        <row r="65">
          <cell r="A65" t="str">
            <v>(II)</v>
          </cell>
        </row>
      </sheetData>
      <sheetData sheetId="452">
        <row r="65">
          <cell r="A65" t="str">
            <v>(II)</v>
          </cell>
        </row>
      </sheetData>
      <sheetData sheetId="453">
        <row r="65">
          <cell r="A65" t="str">
            <v>(II)</v>
          </cell>
        </row>
      </sheetData>
      <sheetData sheetId="454">
        <row r="65">
          <cell r="A65" t="str">
            <v>(II)</v>
          </cell>
        </row>
      </sheetData>
      <sheetData sheetId="455">
        <row r="65">
          <cell r="A65" t="str">
            <v>(II)</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ow r="65">
          <cell r="A65" t="str">
            <v>(II)</v>
          </cell>
        </row>
      </sheetData>
      <sheetData sheetId="467" refreshError="1"/>
      <sheetData sheetId="468" refreshError="1"/>
      <sheetData sheetId="469" refreshError="1"/>
      <sheetData sheetId="470">
        <row r="65">
          <cell r="A65" t="str">
            <v>(II)</v>
          </cell>
        </row>
      </sheetData>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ow r="65">
          <cell r="A65" t="str">
            <v>(II)</v>
          </cell>
        </row>
      </sheetData>
      <sheetData sheetId="547">
        <row r="65">
          <cell r="A65" t="str">
            <v>(II)</v>
          </cell>
        </row>
      </sheetData>
      <sheetData sheetId="548">
        <row r="65">
          <cell r="A65" t="str">
            <v>(II)</v>
          </cell>
        </row>
      </sheetData>
      <sheetData sheetId="549">
        <row r="65">
          <cell r="A65" t="str">
            <v>(II)</v>
          </cell>
        </row>
      </sheetData>
      <sheetData sheetId="550">
        <row r="65">
          <cell r="A65" t="str">
            <v>(II)</v>
          </cell>
        </row>
      </sheetData>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ow r="65">
          <cell r="A65" t="str">
            <v>(II)</v>
          </cell>
        </row>
      </sheetData>
      <sheetData sheetId="589">
        <row r="65">
          <cell r="A65" t="str">
            <v>(II)</v>
          </cell>
        </row>
      </sheetData>
      <sheetData sheetId="590">
        <row r="65">
          <cell r="A65" t="str">
            <v>(II)</v>
          </cell>
        </row>
      </sheetData>
      <sheetData sheetId="591">
        <row r="65">
          <cell r="A65" t="str">
            <v>(II)</v>
          </cell>
        </row>
      </sheetData>
      <sheetData sheetId="592">
        <row r="65">
          <cell r="A65" t="str">
            <v>(II)</v>
          </cell>
        </row>
      </sheetData>
      <sheetData sheetId="593">
        <row r="65">
          <cell r="A65" t="str">
            <v>(II)</v>
          </cell>
        </row>
      </sheetData>
      <sheetData sheetId="594">
        <row r="65">
          <cell r="A65" t="str">
            <v>(II)</v>
          </cell>
        </row>
      </sheetData>
      <sheetData sheetId="595">
        <row r="65">
          <cell r="A65" t="str">
            <v>(II)</v>
          </cell>
        </row>
      </sheetData>
      <sheetData sheetId="596">
        <row r="65">
          <cell r="A65" t="str">
            <v>(II)</v>
          </cell>
        </row>
      </sheetData>
      <sheetData sheetId="597">
        <row r="65">
          <cell r="A65" t="str">
            <v>(II)</v>
          </cell>
        </row>
      </sheetData>
      <sheetData sheetId="598">
        <row r="65">
          <cell r="A65" t="str">
            <v>(II)</v>
          </cell>
        </row>
      </sheetData>
      <sheetData sheetId="599">
        <row r="65">
          <cell r="A65" t="str">
            <v>(II)</v>
          </cell>
        </row>
      </sheetData>
      <sheetData sheetId="600">
        <row r="65">
          <cell r="A65" t="str">
            <v>(II)</v>
          </cell>
        </row>
      </sheetData>
      <sheetData sheetId="601">
        <row r="65">
          <cell r="A65" t="str">
            <v>(II)</v>
          </cell>
        </row>
      </sheetData>
      <sheetData sheetId="602">
        <row r="65">
          <cell r="A65" t="str">
            <v>(II)</v>
          </cell>
        </row>
      </sheetData>
      <sheetData sheetId="603">
        <row r="65">
          <cell r="A65" t="str">
            <v>(II)</v>
          </cell>
        </row>
      </sheetData>
      <sheetData sheetId="604">
        <row r="65">
          <cell r="A65" t="str">
            <v>(II)</v>
          </cell>
        </row>
      </sheetData>
      <sheetData sheetId="605" refreshError="1"/>
      <sheetData sheetId="606">
        <row r="65">
          <cell r="A65" t="str">
            <v>(II)</v>
          </cell>
        </row>
      </sheetData>
      <sheetData sheetId="607">
        <row r="65">
          <cell r="A65" t="str">
            <v>(II)</v>
          </cell>
        </row>
      </sheetData>
      <sheetData sheetId="608">
        <row r="65">
          <cell r="A65" t="str">
            <v>(II)</v>
          </cell>
        </row>
      </sheetData>
      <sheetData sheetId="609">
        <row r="65">
          <cell r="A65" t="str">
            <v>(II)</v>
          </cell>
        </row>
      </sheetData>
      <sheetData sheetId="610">
        <row r="65">
          <cell r="A65" t="str">
            <v>(II)</v>
          </cell>
        </row>
      </sheetData>
      <sheetData sheetId="611">
        <row r="65">
          <cell r="A65" t="str">
            <v>(II)</v>
          </cell>
        </row>
      </sheetData>
      <sheetData sheetId="612">
        <row r="65">
          <cell r="A65" t="str">
            <v>(II)</v>
          </cell>
        </row>
      </sheetData>
      <sheetData sheetId="613">
        <row r="65">
          <cell r="A65" t="str">
            <v>(II)</v>
          </cell>
        </row>
      </sheetData>
      <sheetData sheetId="614">
        <row r="65">
          <cell r="A65" t="str">
            <v>(II)</v>
          </cell>
        </row>
      </sheetData>
      <sheetData sheetId="615">
        <row r="65">
          <cell r="A65" t="str">
            <v>(II)</v>
          </cell>
        </row>
      </sheetData>
      <sheetData sheetId="616">
        <row r="65">
          <cell r="A65" t="str">
            <v>(II)</v>
          </cell>
        </row>
      </sheetData>
      <sheetData sheetId="617">
        <row r="65">
          <cell r="A65" t="str">
            <v>(II)</v>
          </cell>
        </row>
      </sheetData>
      <sheetData sheetId="618">
        <row r="65">
          <cell r="A65" t="str">
            <v>(II)</v>
          </cell>
        </row>
      </sheetData>
      <sheetData sheetId="619">
        <row r="65">
          <cell r="A65" t="str">
            <v>(II)</v>
          </cell>
        </row>
      </sheetData>
      <sheetData sheetId="620">
        <row r="65">
          <cell r="A65" t="str">
            <v>(II)</v>
          </cell>
        </row>
      </sheetData>
      <sheetData sheetId="621">
        <row r="65">
          <cell r="A65" t="str">
            <v>(II)</v>
          </cell>
        </row>
      </sheetData>
      <sheetData sheetId="622">
        <row r="65">
          <cell r="A65" t="str">
            <v>(II)</v>
          </cell>
        </row>
      </sheetData>
      <sheetData sheetId="623">
        <row r="65">
          <cell r="A65" t="str">
            <v>(II)</v>
          </cell>
        </row>
      </sheetData>
      <sheetData sheetId="624">
        <row r="65">
          <cell r="A65" t="str">
            <v>(II)</v>
          </cell>
        </row>
      </sheetData>
      <sheetData sheetId="625">
        <row r="65">
          <cell r="A65" t="str">
            <v>(II)</v>
          </cell>
        </row>
      </sheetData>
      <sheetData sheetId="626">
        <row r="65">
          <cell r="A65" t="str">
            <v>(II)</v>
          </cell>
        </row>
      </sheetData>
      <sheetData sheetId="627">
        <row r="65">
          <cell r="A65" t="str">
            <v>(II)</v>
          </cell>
        </row>
      </sheetData>
      <sheetData sheetId="628">
        <row r="65">
          <cell r="A65" t="str">
            <v>(II)</v>
          </cell>
        </row>
      </sheetData>
      <sheetData sheetId="629">
        <row r="65">
          <cell r="A65" t="str">
            <v>(II)</v>
          </cell>
        </row>
      </sheetData>
      <sheetData sheetId="630">
        <row r="65">
          <cell r="A65" t="str">
            <v>(II)</v>
          </cell>
        </row>
      </sheetData>
      <sheetData sheetId="631">
        <row r="65">
          <cell r="A65" t="str">
            <v>(II)</v>
          </cell>
        </row>
      </sheetData>
      <sheetData sheetId="632">
        <row r="65">
          <cell r="A65" t="str">
            <v>(II)</v>
          </cell>
        </row>
      </sheetData>
      <sheetData sheetId="633">
        <row r="65">
          <cell r="A65" t="str">
            <v>(II)</v>
          </cell>
        </row>
      </sheetData>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ow r="65">
          <cell r="A65" t="str">
            <v>(II)</v>
          </cell>
        </row>
      </sheetData>
      <sheetData sheetId="680">
        <row r="65">
          <cell r="A65" t="str">
            <v>(II)</v>
          </cell>
        </row>
      </sheetData>
      <sheetData sheetId="681">
        <row r="65">
          <cell r="A65" t="str">
            <v>(II)</v>
          </cell>
        </row>
      </sheetData>
      <sheetData sheetId="682">
        <row r="65">
          <cell r="A65" t="str">
            <v>(II)</v>
          </cell>
        </row>
      </sheetData>
      <sheetData sheetId="683">
        <row r="65">
          <cell r="A65" t="str">
            <v>(II)</v>
          </cell>
        </row>
      </sheetData>
      <sheetData sheetId="684">
        <row r="65">
          <cell r="A65" t="str">
            <v>(II)</v>
          </cell>
        </row>
      </sheetData>
      <sheetData sheetId="685">
        <row r="65">
          <cell r="A65" t="str">
            <v>(II)</v>
          </cell>
        </row>
      </sheetData>
      <sheetData sheetId="686">
        <row r="65">
          <cell r="A65" t="str">
            <v>(II)</v>
          </cell>
        </row>
      </sheetData>
      <sheetData sheetId="687">
        <row r="65">
          <cell r="A65" t="str">
            <v>(II)</v>
          </cell>
        </row>
      </sheetData>
      <sheetData sheetId="688">
        <row r="65">
          <cell r="A65" t="str">
            <v>(II)</v>
          </cell>
        </row>
      </sheetData>
      <sheetData sheetId="689">
        <row r="65">
          <cell r="A65" t="str">
            <v>(II)</v>
          </cell>
        </row>
      </sheetData>
      <sheetData sheetId="690">
        <row r="65">
          <cell r="A65" t="str">
            <v>(II)</v>
          </cell>
        </row>
      </sheetData>
      <sheetData sheetId="691">
        <row r="65">
          <cell r="A65" t="str">
            <v>(II)</v>
          </cell>
        </row>
      </sheetData>
      <sheetData sheetId="692">
        <row r="65">
          <cell r="A65" t="str">
            <v>(II)</v>
          </cell>
        </row>
      </sheetData>
      <sheetData sheetId="693" refreshError="1"/>
      <sheetData sheetId="694">
        <row r="65">
          <cell r="A65" t="str">
            <v>(II)</v>
          </cell>
        </row>
      </sheetData>
      <sheetData sheetId="695">
        <row r="65">
          <cell r="A65" t="str">
            <v>(II)</v>
          </cell>
        </row>
      </sheetData>
      <sheetData sheetId="696">
        <row r="65">
          <cell r="A65" t="str">
            <v>(II)</v>
          </cell>
        </row>
      </sheetData>
      <sheetData sheetId="697">
        <row r="65">
          <cell r="A65" t="str">
            <v>(II)</v>
          </cell>
        </row>
      </sheetData>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ow r="65">
          <cell r="A65" t="str">
            <v>(II)</v>
          </cell>
        </row>
      </sheetData>
      <sheetData sheetId="721">
        <row r="65">
          <cell r="A65" t="str">
            <v>(II)</v>
          </cell>
        </row>
      </sheetData>
      <sheetData sheetId="722">
        <row r="65">
          <cell r="A65" t="str">
            <v>(II)</v>
          </cell>
        </row>
      </sheetData>
      <sheetData sheetId="723">
        <row r="65">
          <cell r="A65" t="str">
            <v>(II)</v>
          </cell>
        </row>
      </sheetData>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ow r="65">
          <cell r="A65" t="str">
            <v>(II)</v>
          </cell>
        </row>
      </sheetData>
      <sheetData sheetId="739">
        <row r="65">
          <cell r="A65" t="str">
            <v>(II)</v>
          </cell>
        </row>
      </sheetData>
      <sheetData sheetId="740">
        <row r="65">
          <cell r="A65" t="str">
            <v>(II)</v>
          </cell>
        </row>
      </sheetData>
      <sheetData sheetId="741">
        <row r="65">
          <cell r="A65" t="str">
            <v>(II)</v>
          </cell>
        </row>
      </sheetData>
      <sheetData sheetId="742">
        <row r="65">
          <cell r="A65" t="str">
            <v>(II)</v>
          </cell>
        </row>
      </sheetData>
      <sheetData sheetId="743">
        <row r="65">
          <cell r="A65" t="str">
            <v>(II)</v>
          </cell>
        </row>
      </sheetData>
      <sheetData sheetId="744">
        <row r="65">
          <cell r="A65" t="str">
            <v>(II)</v>
          </cell>
        </row>
      </sheetData>
      <sheetData sheetId="745">
        <row r="65">
          <cell r="A65" t="str">
            <v>(II)</v>
          </cell>
        </row>
      </sheetData>
      <sheetData sheetId="746">
        <row r="65">
          <cell r="A65" t="str">
            <v>(II)</v>
          </cell>
        </row>
      </sheetData>
      <sheetData sheetId="747">
        <row r="65">
          <cell r="A65" t="str">
            <v>(II)</v>
          </cell>
        </row>
      </sheetData>
      <sheetData sheetId="748">
        <row r="65">
          <cell r="A65" t="str">
            <v>(II)</v>
          </cell>
        </row>
      </sheetData>
      <sheetData sheetId="749">
        <row r="65">
          <cell r="A65" t="str">
            <v>(II)</v>
          </cell>
        </row>
      </sheetData>
      <sheetData sheetId="750">
        <row r="65">
          <cell r="A65" t="str">
            <v>(II)</v>
          </cell>
        </row>
      </sheetData>
      <sheetData sheetId="751">
        <row r="65">
          <cell r="A65" t="str">
            <v>(II)</v>
          </cell>
        </row>
      </sheetData>
      <sheetData sheetId="752">
        <row r="65">
          <cell r="A65" t="str">
            <v>(II)</v>
          </cell>
        </row>
      </sheetData>
      <sheetData sheetId="753">
        <row r="65">
          <cell r="A65" t="str">
            <v>(II)</v>
          </cell>
        </row>
      </sheetData>
      <sheetData sheetId="754">
        <row r="65">
          <cell r="A65" t="str">
            <v>(II)</v>
          </cell>
        </row>
      </sheetData>
      <sheetData sheetId="755">
        <row r="65">
          <cell r="A65" t="str">
            <v>(II)</v>
          </cell>
        </row>
      </sheetData>
      <sheetData sheetId="756">
        <row r="65">
          <cell r="A65" t="str">
            <v>(II)</v>
          </cell>
        </row>
      </sheetData>
      <sheetData sheetId="757">
        <row r="65">
          <cell r="A65" t="str">
            <v>(II)</v>
          </cell>
        </row>
      </sheetData>
      <sheetData sheetId="758">
        <row r="65">
          <cell r="A65" t="str">
            <v>(II)</v>
          </cell>
        </row>
      </sheetData>
      <sheetData sheetId="759">
        <row r="65">
          <cell r="A65" t="str">
            <v>(II)</v>
          </cell>
        </row>
      </sheetData>
      <sheetData sheetId="760">
        <row r="65">
          <cell r="A65" t="str">
            <v>(II)</v>
          </cell>
        </row>
      </sheetData>
      <sheetData sheetId="761">
        <row r="65">
          <cell r="A65" t="str">
            <v>(II)</v>
          </cell>
        </row>
      </sheetData>
      <sheetData sheetId="762">
        <row r="65">
          <cell r="A65" t="str">
            <v>(II)</v>
          </cell>
        </row>
      </sheetData>
      <sheetData sheetId="763">
        <row r="65">
          <cell r="A65" t="str">
            <v>(II)</v>
          </cell>
        </row>
      </sheetData>
      <sheetData sheetId="764">
        <row r="65">
          <cell r="A65" t="str">
            <v>(II)</v>
          </cell>
        </row>
      </sheetData>
      <sheetData sheetId="765">
        <row r="65">
          <cell r="A65" t="str">
            <v>(II)</v>
          </cell>
        </row>
      </sheetData>
      <sheetData sheetId="766">
        <row r="65">
          <cell r="A65" t="str">
            <v>(II)</v>
          </cell>
        </row>
      </sheetData>
      <sheetData sheetId="767">
        <row r="65">
          <cell r="A65" t="str">
            <v>(II)</v>
          </cell>
        </row>
      </sheetData>
      <sheetData sheetId="768">
        <row r="65">
          <cell r="A65" t="str">
            <v>(II)</v>
          </cell>
        </row>
      </sheetData>
      <sheetData sheetId="769">
        <row r="65">
          <cell r="A65" t="str">
            <v>(II)</v>
          </cell>
        </row>
      </sheetData>
      <sheetData sheetId="770">
        <row r="65">
          <cell r="A65" t="str">
            <v>(II)</v>
          </cell>
        </row>
      </sheetData>
      <sheetData sheetId="771">
        <row r="65">
          <cell r="A65" t="str">
            <v>(II)</v>
          </cell>
        </row>
      </sheetData>
      <sheetData sheetId="772">
        <row r="65">
          <cell r="A65" t="str">
            <v>(II)</v>
          </cell>
        </row>
      </sheetData>
      <sheetData sheetId="773">
        <row r="65">
          <cell r="A65" t="str">
            <v>(II)</v>
          </cell>
        </row>
      </sheetData>
      <sheetData sheetId="774">
        <row r="65">
          <cell r="A65" t="str">
            <v>(II)</v>
          </cell>
        </row>
      </sheetData>
      <sheetData sheetId="775">
        <row r="65">
          <cell r="A65" t="str">
            <v>(II)</v>
          </cell>
        </row>
      </sheetData>
      <sheetData sheetId="776">
        <row r="65">
          <cell r="A65" t="str">
            <v>(II)</v>
          </cell>
        </row>
      </sheetData>
      <sheetData sheetId="777">
        <row r="65">
          <cell r="A65" t="str">
            <v>(II)</v>
          </cell>
        </row>
      </sheetData>
      <sheetData sheetId="778">
        <row r="65">
          <cell r="A65" t="str">
            <v>(II)</v>
          </cell>
        </row>
      </sheetData>
      <sheetData sheetId="779">
        <row r="65">
          <cell r="A65" t="str">
            <v>(II)</v>
          </cell>
        </row>
      </sheetData>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ow r="65">
          <cell r="A65" t="str">
            <v>(II)</v>
          </cell>
        </row>
      </sheetData>
      <sheetData sheetId="811">
        <row r="65">
          <cell r="A65" t="str">
            <v>(II)</v>
          </cell>
        </row>
      </sheetData>
      <sheetData sheetId="812">
        <row r="65">
          <cell r="A65" t="str">
            <v>(II)</v>
          </cell>
        </row>
      </sheetData>
      <sheetData sheetId="813">
        <row r="65">
          <cell r="A65" t="str">
            <v>(II)</v>
          </cell>
        </row>
      </sheetData>
      <sheetData sheetId="814">
        <row r="65">
          <cell r="A65" t="str">
            <v>(II)</v>
          </cell>
        </row>
      </sheetData>
      <sheetData sheetId="815">
        <row r="65">
          <cell r="A65" t="str">
            <v>(II)</v>
          </cell>
        </row>
      </sheetData>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65">
          <cell r="A65" t="str">
            <v>(II)</v>
          </cell>
        </row>
      </sheetData>
      <sheetData sheetId="839">
        <row r="65">
          <cell r="A65" t="str">
            <v>(II)</v>
          </cell>
        </row>
      </sheetData>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ow r="65">
          <cell r="A65" t="str">
            <v>(II)</v>
          </cell>
        </row>
      </sheetData>
      <sheetData sheetId="882">
        <row r="65">
          <cell r="A65" t="str">
            <v>(II)</v>
          </cell>
        </row>
      </sheetData>
      <sheetData sheetId="883">
        <row r="65">
          <cell r="A65" t="str">
            <v>(II)</v>
          </cell>
        </row>
      </sheetData>
      <sheetData sheetId="884">
        <row r="65">
          <cell r="A65" t="str">
            <v>(II)</v>
          </cell>
        </row>
      </sheetData>
      <sheetData sheetId="885">
        <row r="65">
          <cell r="A65" t="str">
            <v>(II)</v>
          </cell>
        </row>
      </sheetData>
      <sheetData sheetId="886">
        <row r="65">
          <cell r="A65" t="str">
            <v>(II)</v>
          </cell>
        </row>
      </sheetData>
      <sheetData sheetId="887">
        <row r="65">
          <cell r="A65" t="str">
            <v>(II)</v>
          </cell>
        </row>
      </sheetData>
      <sheetData sheetId="888">
        <row r="65">
          <cell r="A65" t="str">
            <v>(II)</v>
          </cell>
        </row>
      </sheetData>
      <sheetData sheetId="889">
        <row r="65">
          <cell r="A65" t="str">
            <v>(II)</v>
          </cell>
        </row>
      </sheetData>
      <sheetData sheetId="890">
        <row r="65">
          <cell r="A65" t="str">
            <v>(II)</v>
          </cell>
        </row>
      </sheetData>
      <sheetData sheetId="891">
        <row r="65">
          <cell r="A65" t="str">
            <v>(II)</v>
          </cell>
        </row>
      </sheetData>
      <sheetData sheetId="892">
        <row r="65">
          <cell r="A65" t="str">
            <v>(II)</v>
          </cell>
        </row>
      </sheetData>
      <sheetData sheetId="893">
        <row r="65">
          <cell r="A65" t="str">
            <v>(II)</v>
          </cell>
        </row>
      </sheetData>
      <sheetData sheetId="894">
        <row r="65">
          <cell r="A65" t="str">
            <v>(II)</v>
          </cell>
        </row>
      </sheetData>
      <sheetData sheetId="895">
        <row r="65">
          <cell r="A65" t="str">
            <v>(II)</v>
          </cell>
        </row>
      </sheetData>
      <sheetData sheetId="896">
        <row r="65">
          <cell r="A65" t="str">
            <v>(II)</v>
          </cell>
        </row>
      </sheetData>
      <sheetData sheetId="897">
        <row r="65">
          <cell r="A65" t="str">
            <v>(II)</v>
          </cell>
        </row>
      </sheetData>
      <sheetData sheetId="898">
        <row r="65">
          <cell r="A65" t="str">
            <v>(II)</v>
          </cell>
        </row>
      </sheetData>
      <sheetData sheetId="899">
        <row r="65">
          <cell r="A65" t="str">
            <v>(II)</v>
          </cell>
        </row>
      </sheetData>
      <sheetData sheetId="900">
        <row r="65">
          <cell r="A65" t="str">
            <v>(II)</v>
          </cell>
        </row>
      </sheetData>
      <sheetData sheetId="901">
        <row r="65">
          <cell r="A65" t="str">
            <v>(II)</v>
          </cell>
        </row>
      </sheetData>
      <sheetData sheetId="902">
        <row r="65">
          <cell r="A65" t="str">
            <v>(II)</v>
          </cell>
        </row>
      </sheetData>
      <sheetData sheetId="903">
        <row r="65">
          <cell r="A65" t="str">
            <v>(II)</v>
          </cell>
        </row>
      </sheetData>
      <sheetData sheetId="904">
        <row r="65">
          <cell r="A65" t="str">
            <v>(II)</v>
          </cell>
        </row>
      </sheetData>
      <sheetData sheetId="905">
        <row r="65">
          <cell r="A65" t="str">
            <v>(II)</v>
          </cell>
        </row>
      </sheetData>
      <sheetData sheetId="906">
        <row r="65">
          <cell r="A65" t="str">
            <v>(II)</v>
          </cell>
        </row>
      </sheetData>
      <sheetData sheetId="907">
        <row r="65">
          <cell r="A65" t="str">
            <v>(II)</v>
          </cell>
        </row>
      </sheetData>
      <sheetData sheetId="908">
        <row r="65">
          <cell r="A65" t="str">
            <v>(II)</v>
          </cell>
        </row>
      </sheetData>
      <sheetData sheetId="909">
        <row r="65">
          <cell r="A65" t="str">
            <v>(II)</v>
          </cell>
        </row>
      </sheetData>
      <sheetData sheetId="910">
        <row r="65">
          <cell r="A65" t="str">
            <v>(II)</v>
          </cell>
        </row>
      </sheetData>
      <sheetData sheetId="911">
        <row r="65">
          <cell r="A65" t="str">
            <v>(II)</v>
          </cell>
        </row>
      </sheetData>
      <sheetData sheetId="912">
        <row r="65">
          <cell r="A65" t="str">
            <v>(II)</v>
          </cell>
        </row>
      </sheetData>
      <sheetData sheetId="913">
        <row r="65">
          <cell r="A65" t="str">
            <v>(II)</v>
          </cell>
        </row>
      </sheetData>
      <sheetData sheetId="914">
        <row r="65">
          <cell r="A65" t="str">
            <v>(II)</v>
          </cell>
        </row>
      </sheetData>
      <sheetData sheetId="915">
        <row r="65">
          <cell r="A65" t="str">
            <v>(II)</v>
          </cell>
        </row>
      </sheetData>
      <sheetData sheetId="916">
        <row r="65">
          <cell r="A65" t="str">
            <v>(II)</v>
          </cell>
        </row>
      </sheetData>
      <sheetData sheetId="917">
        <row r="65">
          <cell r="A65" t="str">
            <v>(II)</v>
          </cell>
        </row>
      </sheetData>
      <sheetData sheetId="918">
        <row r="65">
          <cell r="A65" t="str">
            <v>(II)</v>
          </cell>
        </row>
      </sheetData>
      <sheetData sheetId="919">
        <row r="65">
          <cell r="A65" t="str">
            <v>(II)</v>
          </cell>
        </row>
      </sheetData>
      <sheetData sheetId="920">
        <row r="65">
          <cell r="A65" t="str">
            <v>(II)</v>
          </cell>
        </row>
      </sheetData>
      <sheetData sheetId="921">
        <row r="65">
          <cell r="A65" t="str">
            <v>(II)</v>
          </cell>
        </row>
      </sheetData>
      <sheetData sheetId="922">
        <row r="65">
          <cell r="A65" t="str">
            <v>(II)</v>
          </cell>
        </row>
      </sheetData>
      <sheetData sheetId="923">
        <row r="65">
          <cell r="A65" t="str">
            <v>(II)</v>
          </cell>
        </row>
      </sheetData>
      <sheetData sheetId="924">
        <row r="65">
          <cell r="A65" t="str">
            <v>(II)</v>
          </cell>
        </row>
      </sheetData>
      <sheetData sheetId="925">
        <row r="65">
          <cell r="A65" t="str">
            <v>(II)</v>
          </cell>
        </row>
      </sheetData>
      <sheetData sheetId="926">
        <row r="65">
          <cell r="A65" t="str">
            <v>(II)</v>
          </cell>
        </row>
      </sheetData>
      <sheetData sheetId="927">
        <row r="65">
          <cell r="A65" t="str">
            <v>(II)</v>
          </cell>
        </row>
      </sheetData>
      <sheetData sheetId="928">
        <row r="65">
          <cell r="A65" t="str">
            <v>(II)</v>
          </cell>
        </row>
      </sheetData>
      <sheetData sheetId="929">
        <row r="65">
          <cell r="A65" t="str">
            <v>(II)</v>
          </cell>
        </row>
      </sheetData>
      <sheetData sheetId="930">
        <row r="65">
          <cell r="A65" t="str">
            <v>(II)</v>
          </cell>
        </row>
      </sheetData>
      <sheetData sheetId="931">
        <row r="65">
          <cell r="A65" t="str">
            <v>(II)</v>
          </cell>
        </row>
      </sheetData>
      <sheetData sheetId="932">
        <row r="65">
          <cell r="A65" t="str">
            <v>(II)</v>
          </cell>
        </row>
      </sheetData>
      <sheetData sheetId="933">
        <row r="65">
          <cell r="A65" t="str">
            <v>(II)</v>
          </cell>
        </row>
      </sheetData>
      <sheetData sheetId="934">
        <row r="65">
          <cell r="A65" t="str">
            <v>(II)</v>
          </cell>
        </row>
      </sheetData>
      <sheetData sheetId="935">
        <row r="65">
          <cell r="A65" t="str">
            <v>(II)</v>
          </cell>
        </row>
      </sheetData>
      <sheetData sheetId="936">
        <row r="65">
          <cell r="A65" t="str">
            <v>(II)</v>
          </cell>
        </row>
      </sheetData>
      <sheetData sheetId="937">
        <row r="65">
          <cell r="A65" t="str">
            <v>(II)</v>
          </cell>
        </row>
      </sheetData>
      <sheetData sheetId="938">
        <row r="65">
          <cell r="A65" t="str">
            <v>(II)</v>
          </cell>
        </row>
      </sheetData>
      <sheetData sheetId="939">
        <row r="65">
          <cell r="A65" t="str">
            <v>(II)</v>
          </cell>
        </row>
      </sheetData>
      <sheetData sheetId="940">
        <row r="65">
          <cell r="A65" t="str">
            <v>(II)</v>
          </cell>
        </row>
      </sheetData>
      <sheetData sheetId="941">
        <row r="65">
          <cell r="A65" t="str">
            <v>(II)</v>
          </cell>
        </row>
      </sheetData>
      <sheetData sheetId="942">
        <row r="65">
          <cell r="A65" t="str">
            <v>(II)</v>
          </cell>
        </row>
      </sheetData>
      <sheetData sheetId="943">
        <row r="65">
          <cell r="A65" t="str">
            <v>(II)</v>
          </cell>
        </row>
      </sheetData>
      <sheetData sheetId="944">
        <row r="65">
          <cell r="A65" t="str">
            <v>(II)</v>
          </cell>
        </row>
      </sheetData>
      <sheetData sheetId="945">
        <row r="65">
          <cell r="A65" t="str">
            <v>(II)</v>
          </cell>
        </row>
      </sheetData>
      <sheetData sheetId="946">
        <row r="65">
          <cell r="A65" t="str">
            <v>(II)</v>
          </cell>
        </row>
      </sheetData>
      <sheetData sheetId="947">
        <row r="65">
          <cell r="A65" t="str">
            <v>(II)</v>
          </cell>
        </row>
      </sheetData>
      <sheetData sheetId="948">
        <row r="65">
          <cell r="A65" t="str">
            <v>(II)</v>
          </cell>
        </row>
      </sheetData>
      <sheetData sheetId="949">
        <row r="65">
          <cell r="A65" t="str">
            <v>(II)</v>
          </cell>
        </row>
      </sheetData>
      <sheetData sheetId="950">
        <row r="65">
          <cell r="A65" t="str">
            <v>(II)</v>
          </cell>
        </row>
      </sheetData>
      <sheetData sheetId="951">
        <row r="65">
          <cell r="A65" t="str">
            <v>(II)</v>
          </cell>
        </row>
      </sheetData>
      <sheetData sheetId="952">
        <row r="65">
          <cell r="A65" t="str">
            <v>(II)</v>
          </cell>
        </row>
      </sheetData>
      <sheetData sheetId="953">
        <row r="65">
          <cell r="A65" t="str">
            <v>(II)</v>
          </cell>
        </row>
      </sheetData>
      <sheetData sheetId="954">
        <row r="65">
          <cell r="A65" t="str">
            <v>(II)</v>
          </cell>
        </row>
      </sheetData>
      <sheetData sheetId="955">
        <row r="65">
          <cell r="A65" t="str">
            <v>(II)</v>
          </cell>
        </row>
      </sheetData>
      <sheetData sheetId="956">
        <row r="65">
          <cell r="A65" t="str">
            <v>(II)</v>
          </cell>
        </row>
      </sheetData>
      <sheetData sheetId="957">
        <row r="65">
          <cell r="A65" t="str">
            <v>(II)</v>
          </cell>
        </row>
      </sheetData>
      <sheetData sheetId="958">
        <row r="65">
          <cell r="A65" t="str">
            <v>(II)</v>
          </cell>
        </row>
      </sheetData>
      <sheetData sheetId="959">
        <row r="65">
          <cell r="A65" t="str">
            <v>(II)</v>
          </cell>
        </row>
      </sheetData>
      <sheetData sheetId="960">
        <row r="65">
          <cell r="A65" t="str">
            <v>(II)</v>
          </cell>
        </row>
      </sheetData>
      <sheetData sheetId="961">
        <row r="65">
          <cell r="A65" t="str">
            <v>(II)</v>
          </cell>
        </row>
      </sheetData>
      <sheetData sheetId="962">
        <row r="65">
          <cell r="A65" t="str">
            <v>(II)</v>
          </cell>
        </row>
      </sheetData>
      <sheetData sheetId="963">
        <row r="65">
          <cell r="A65" t="str">
            <v>(II)</v>
          </cell>
        </row>
      </sheetData>
      <sheetData sheetId="964">
        <row r="65">
          <cell r="A65" t="str">
            <v>(II)</v>
          </cell>
        </row>
      </sheetData>
      <sheetData sheetId="965">
        <row r="65">
          <cell r="A65" t="str">
            <v>(II)</v>
          </cell>
        </row>
      </sheetData>
      <sheetData sheetId="966">
        <row r="65">
          <cell r="A65" t="str">
            <v>(II)</v>
          </cell>
        </row>
      </sheetData>
      <sheetData sheetId="967">
        <row r="65">
          <cell r="A65" t="str">
            <v>(II)</v>
          </cell>
        </row>
      </sheetData>
      <sheetData sheetId="968">
        <row r="65">
          <cell r="A65" t="str">
            <v>(II)</v>
          </cell>
        </row>
      </sheetData>
      <sheetData sheetId="969">
        <row r="65">
          <cell r="A65" t="str">
            <v>(II)</v>
          </cell>
        </row>
      </sheetData>
      <sheetData sheetId="970">
        <row r="65">
          <cell r="A65" t="str">
            <v>(II)</v>
          </cell>
        </row>
      </sheetData>
      <sheetData sheetId="971">
        <row r="65">
          <cell r="A65" t="str">
            <v>(II)</v>
          </cell>
        </row>
      </sheetData>
      <sheetData sheetId="972">
        <row r="65">
          <cell r="A65" t="str">
            <v>(II)</v>
          </cell>
        </row>
      </sheetData>
      <sheetData sheetId="973">
        <row r="65">
          <cell r="A65" t="str">
            <v>(II)</v>
          </cell>
        </row>
      </sheetData>
      <sheetData sheetId="974">
        <row r="65">
          <cell r="A65" t="str">
            <v>(II)</v>
          </cell>
        </row>
      </sheetData>
      <sheetData sheetId="975">
        <row r="65">
          <cell r="A65" t="str">
            <v>(II)</v>
          </cell>
        </row>
      </sheetData>
      <sheetData sheetId="976">
        <row r="65">
          <cell r="A65" t="str">
            <v>(II)</v>
          </cell>
        </row>
      </sheetData>
      <sheetData sheetId="977">
        <row r="65">
          <cell r="A65" t="str">
            <v>(II)</v>
          </cell>
        </row>
      </sheetData>
      <sheetData sheetId="978">
        <row r="65">
          <cell r="A65" t="str">
            <v>(II)</v>
          </cell>
        </row>
      </sheetData>
      <sheetData sheetId="979">
        <row r="65">
          <cell r="A65" t="str">
            <v>(II)</v>
          </cell>
        </row>
      </sheetData>
      <sheetData sheetId="980">
        <row r="65">
          <cell r="A65" t="str">
            <v>(II)</v>
          </cell>
        </row>
      </sheetData>
      <sheetData sheetId="981">
        <row r="65">
          <cell r="A65" t="str">
            <v>(II)</v>
          </cell>
        </row>
      </sheetData>
      <sheetData sheetId="982">
        <row r="65">
          <cell r="A65" t="str">
            <v>(II)</v>
          </cell>
        </row>
      </sheetData>
      <sheetData sheetId="983">
        <row r="65">
          <cell r="A65" t="str">
            <v>(II)</v>
          </cell>
        </row>
      </sheetData>
      <sheetData sheetId="984">
        <row r="65">
          <cell r="A65" t="str">
            <v>(II)</v>
          </cell>
        </row>
      </sheetData>
      <sheetData sheetId="985">
        <row r="65">
          <cell r="A65" t="str">
            <v>(II)</v>
          </cell>
        </row>
      </sheetData>
      <sheetData sheetId="986">
        <row r="65">
          <cell r="A65" t="str">
            <v>(II)</v>
          </cell>
        </row>
      </sheetData>
      <sheetData sheetId="987">
        <row r="65">
          <cell r="A65" t="str">
            <v>(II)</v>
          </cell>
        </row>
      </sheetData>
      <sheetData sheetId="988">
        <row r="65">
          <cell r="A65" t="str">
            <v>(II)</v>
          </cell>
        </row>
      </sheetData>
      <sheetData sheetId="989">
        <row r="65">
          <cell r="A65" t="str">
            <v>(II)</v>
          </cell>
        </row>
      </sheetData>
      <sheetData sheetId="990">
        <row r="65">
          <cell r="A65" t="str">
            <v>(II)</v>
          </cell>
        </row>
      </sheetData>
      <sheetData sheetId="991">
        <row r="65">
          <cell r="A65" t="str">
            <v>(II)</v>
          </cell>
        </row>
      </sheetData>
      <sheetData sheetId="992">
        <row r="65">
          <cell r="A65" t="str">
            <v>(II)</v>
          </cell>
        </row>
      </sheetData>
      <sheetData sheetId="993">
        <row r="65">
          <cell r="A65" t="str">
            <v>(II)</v>
          </cell>
        </row>
      </sheetData>
      <sheetData sheetId="994">
        <row r="65">
          <cell r="A65" t="str">
            <v>(II)</v>
          </cell>
        </row>
      </sheetData>
      <sheetData sheetId="995">
        <row r="65">
          <cell r="A65" t="str">
            <v>(II)</v>
          </cell>
        </row>
      </sheetData>
      <sheetData sheetId="996">
        <row r="65">
          <cell r="A65" t="str">
            <v>(II)</v>
          </cell>
        </row>
      </sheetData>
      <sheetData sheetId="997">
        <row r="65">
          <cell r="A65" t="str">
            <v>(II)</v>
          </cell>
        </row>
      </sheetData>
      <sheetData sheetId="998">
        <row r="65">
          <cell r="A65" t="str">
            <v>(II)</v>
          </cell>
        </row>
      </sheetData>
      <sheetData sheetId="999">
        <row r="65">
          <cell r="A65" t="str">
            <v>(II)</v>
          </cell>
        </row>
      </sheetData>
      <sheetData sheetId="1000">
        <row r="65">
          <cell r="A65" t="str">
            <v>(II)</v>
          </cell>
        </row>
      </sheetData>
      <sheetData sheetId="1001">
        <row r="65">
          <cell r="A65" t="str">
            <v>(II)</v>
          </cell>
        </row>
      </sheetData>
      <sheetData sheetId="1002">
        <row r="65">
          <cell r="A65" t="str">
            <v>(II)</v>
          </cell>
        </row>
      </sheetData>
      <sheetData sheetId="1003">
        <row r="65">
          <cell r="A65" t="str">
            <v>(II)</v>
          </cell>
        </row>
      </sheetData>
      <sheetData sheetId="1004">
        <row r="65">
          <cell r="A65" t="str">
            <v>(II)</v>
          </cell>
        </row>
      </sheetData>
      <sheetData sheetId="1005">
        <row r="65">
          <cell r="A65" t="str">
            <v>(II)</v>
          </cell>
        </row>
      </sheetData>
      <sheetData sheetId="1006">
        <row r="65">
          <cell r="A65" t="str">
            <v>(II)</v>
          </cell>
        </row>
      </sheetData>
      <sheetData sheetId="1007">
        <row r="65">
          <cell r="A65" t="str">
            <v>(II)</v>
          </cell>
        </row>
      </sheetData>
      <sheetData sheetId="1008">
        <row r="65">
          <cell r="A65" t="str">
            <v>(II)</v>
          </cell>
        </row>
      </sheetData>
      <sheetData sheetId="1009">
        <row r="65">
          <cell r="A65" t="str">
            <v>(II)</v>
          </cell>
        </row>
      </sheetData>
      <sheetData sheetId="1010">
        <row r="65">
          <cell r="A65" t="str">
            <v>(II)</v>
          </cell>
        </row>
      </sheetData>
      <sheetData sheetId="1011">
        <row r="65">
          <cell r="A65" t="str">
            <v>(II)</v>
          </cell>
        </row>
      </sheetData>
      <sheetData sheetId="1012">
        <row r="65">
          <cell r="A65" t="str">
            <v>(II)</v>
          </cell>
        </row>
      </sheetData>
      <sheetData sheetId="1013">
        <row r="65">
          <cell r="A65" t="str">
            <v>(II)</v>
          </cell>
        </row>
      </sheetData>
      <sheetData sheetId="1014">
        <row r="65">
          <cell r="A65" t="str">
            <v>(II)</v>
          </cell>
        </row>
      </sheetData>
      <sheetData sheetId="1015">
        <row r="65">
          <cell r="A65" t="str">
            <v>(II)</v>
          </cell>
        </row>
      </sheetData>
      <sheetData sheetId="1016">
        <row r="65">
          <cell r="A65" t="str">
            <v>(II)</v>
          </cell>
        </row>
      </sheetData>
      <sheetData sheetId="1017">
        <row r="65">
          <cell r="A65" t="str">
            <v>(II)</v>
          </cell>
        </row>
      </sheetData>
      <sheetData sheetId="1018">
        <row r="65">
          <cell r="A65" t="str">
            <v>(II)</v>
          </cell>
        </row>
      </sheetData>
      <sheetData sheetId="1019">
        <row r="65">
          <cell r="A65" t="str">
            <v>(II)</v>
          </cell>
        </row>
      </sheetData>
      <sheetData sheetId="1020">
        <row r="65">
          <cell r="A65" t="str">
            <v>(II)</v>
          </cell>
        </row>
      </sheetData>
      <sheetData sheetId="1021">
        <row r="65">
          <cell r="A65" t="str">
            <v>(II)</v>
          </cell>
        </row>
      </sheetData>
      <sheetData sheetId="1022">
        <row r="65">
          <cell r="A65" t="str">
            <v>(II)</v>
          </cell>
        </row>
      </sheetData>
      <sheetData sheetId="1023">
        <row r="65">
          <cell r="A65" t="str">
            <v>(II)</v>
          </cell>
        </row>
      </sheetData>
      <sheetData sheetId="1024">
        <row r="65">
          <cell r="A65" t="str">
            <v>(II)</v>
          </cell>
        </row>
      </sheetData>
      <sheetData sheetId="1025">
        <row r="65">
          <cell r="A65" t="str">
            <v>(II)</v>
          </cell>
        </row>
      </sheetData>
      <sheetData sheetId="1026">
        <row r="65">
          <cell r="A65" t="str">
            <v>(II)</v>
          </cell>
        </row>
      </sheetData>
      <sheetData sheetId="1027">
        <row r="65">
          <cell r="A65" t="str">
            <v>(II)</v>
          </cell>
        </row>
      </sheetData>
      <sheetData sheetId="1028">
        <row r="65">
          <cell r="A65" t="str">
            <v>(II)</v>
          </cell>
        </row>
      </sheetData>
      <sheetData sheetId="1029">
        <row r="65">
          <cell r="A65" t="str">
            <v>(II)</v>
          </cell>
        </row>
      </sheetData>
      <sheetData sheetId="1030">
        <row r="65">
          <cell r="A65" t="str">
            <v>(II)</v>
          </cell>
        </row>
      </sheetData>
      <sheetData sheetId="1031">
        <row r="65">
          <cell r="A65" t="str">
            <v>(II)</v>
          </cell>
        </row>
      </sheetData>
      <sheetData sheetId="1032">
        <row r="65">
          <cell r="A65" t="str">
            <v>(II)</v>
          </cell>
        </row>
      </sheetData>
      <sheetData sheetId="1033">
        <row r="65">
          <cell r="A65" t="str">
            <v>(II)</v>
          </cell>
        </row>
      </sheetData>
      <sheetData sheetId="1034">
        <row r="65">
          <cell r="A65" t="str">
            <v>(II)</v>
          </cell>
        </row>
      </sheetData>
      <sheetData sheetId="1035">
        <row r="65">
          <cell r="A65" t="str">
            <v>(II)</v>
          </cell>
        </row>
      </sheetData>
      <sheetData sheetId="1036">
        <row r="65">
          <cell r="A65" t="str">
            <v>(II)</v>
          </cell>
        </row>
      </sheetData>
      <sheetData sheetId="1037">
        <row r="65">
          <cell r="A65" t="str">
            <v>(II)</v>
          </cell>
        </row>
      </sheetData>
      <sheetData sheetId="1038">
        <row r="65">
          <cell r="A65" t="str">
            <v>(II)</v>
          </cell>
        </row>
      </sheetData>
      <sheetData sheetId="1039">
        <row r="65">
          <cell r="A65" t="str">
            <v>(II)</v>
          </cell>
        </row>
      </sheetData>
      <sheetData sheetId="1040">
        <row r="65">
          <cell r="A65" t="str">
            <v>(II)</v>
          </cell>
        </row>
      </sheetData>
      <sheetData sheetId="1041">
        <row r="65">
          <cell r="A65" t="str">
            <v>(II)</v>
          </cell>
        </row>
      </sheetData>
      <sheetData sheetId="1042">
        <row r="65">
          <cell r="A65" t="str">
            <v>(II)</v>
          </cell>
        </row>
      </sheetData>
      <sheetData sheetId="1043">
        <row r="65">
          <cell r="A65" t="str">
            <v>(II)</v>
          </cell>
        </row>
      </sheetData>
      <sheetData sheetId="1044">
        <row r="65">
          <cell r="A65" t="str">
            <v>(II)</v>
          </cell>
        </row>
      </sheetData>
      <sheetData sheetId="1045">
        <row r="65">
          <cell r="A65" t="str">
            <v>(II)</v>
          </cell>
        </row>
      </sheetData>
      <sheetData sheetId="1046">
        <row r="65">
          <cell r="A65" t="str">
            <v>(II)</v>
          </cell>
        </row>
      </sheetData>
      <sheetData sheetId="1047">
        <row r="65">
          <cell r="A65" t="str">
            <v>(II)</v>
          </cell>
        </row>
      </sheetData>
      <sheetData sheetId="1048">
        <row r="65">
          <cell r="A65" t="str">
            <v>(II)</v>
          </cell>
        </row>
      </sheetData>
      <sheetData sheetId="1049">
        <row r="65">
          <cell r="A65" t="str">
            <v>(II)</v>
          </cell>
        </row>
      </sheetData>
      <sheetData sheetId="1050">
        <row r="65">
          <cell r="A65" t="str">
            <v>(II)</v>
          </cell>
        </row>
      </sheetData>
      <sheetData sheetId="1051">
        <row r="65">
          <cell r="A65" t="str">
            <v>(II)</v>
          </cell>
        </row>
      </sheetData>
      <sheetData sheetId="1052">
        <row r="65">
          <cell r="A65" t="str">
            <v>(II)</v>
          </cell>
        </row>
      </sheetData>
      <sheetData sheetId="1053">
        <row r="65">
          <cell r="A65" t="str">
            <v>(II)</v>
          </cell>
        </row>
      </sheetData>
      <sheetData sheetId="1054">
        <row r="65">
          <cell r="A65" t="str">
            <v>(II)</v>
          </cell>
        </row>
      </sheetData>
      <sheetData sheetId="1055">
        <row r="65">
          <cell r="A65" t="str">
            <v>(II)</v>
          </cell>
        </row>
      </sheetData>
      <sheetData sheetId="1056">
        <row r="65">
          <cell r="A65" t="str">
            <v>(II)</v>
          </cell>
        </row>
      </sheetData>
      <sheetData sheetId="1057">
        <row r="65">
          <cell r="A65" t="str">
            <v>(II)</v>
          </cell>
        </row>
      </sheetData>
      <sheetData sheetId="1058">
        <row r="65">
          <cell r="A65" t="str">
            <v>(II)</v>
          </cell>
        </row>
      </sheetData>
      <sheetData sheetId="1059">
        <row r="65">
          <cell r="A65" t="str">
            <v>(II)</v>
          </cell>
        </row>
      </sheetData>
      <sheetData sheetId="1060">
        <row r="65">
          <cell r="A65" t="str">
            <v>(II)</v>
          </cell>
        </row>
      </sheetData>
      <sheetData sheetId="1061">
        <row r="65">
          <cell r="A65" t="str">
            <v>(II)</v>
          </cell>
        </row>
      </sheetData>
      <sheetData sheetId="1062">
        <row r="65">
          <cell r="A65" t="str">
            <v>(II)</v>
          </cell>
        </row>
      </sheetData>
      <sheetData sheetId="1063">
        <row r="65">
          <cell r="A65" t="str">
            <v>(II)</v>
          </cell>
        </row>
      </sheetData>
      <sheetData sheetId="1064" refreshError="1"/>
      <sheetData sheetId="1065" refreshError="1"/>
      <sheetData sheetId="1066" refreshError="1"/>
      <sheetData sheetId="1067">
        <row r="65">
          <cell r="A65" t="str">
            <v>(II)</v>
          </cell>
        </row>
      </sheetData>
      <sheetData sheetId="1068"/>
      <sheetData sheetId="1069">
        <row r="65">
          <cell r="A65" t="str">
            <v>(II)</v>
          </cell>
        </row>
      </sheetData>
      <sheetData sheetId="1070" refreshError="1"/>
      <sheetData sheetId="1071" refreshError="1"/>
      <sheetData sheetId="1072" refreshError="1"/>
      <sheetData sheetId="1073" refreshError="1"/>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ow r="65">
          <cell r="A65" t="str">
            <v>(II)</v>
          </cell>
        </row>
      </sheetData>
      <sheetData sheetId="1084">
        <row r="65">
          <cell r="A65" t="str">
            <v>(II)</v>
          </cell>
        </row>
      </sheetData>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ow r="65">
          <cell r="A65" t="str">
            <v>(II)</v>
          </cell>
        </row>
      </sheetData>
      <sheetData sheetId="1114">
        <row r="65">
          <cell r="A65" t="str">
            <v>(II)</v>
          </cell>
        </row>
      </sheetData>
      <sheetData sheetId="1115">
        <row r="65">
          <cell r="A65" t="str">
            <v>(II)</v>
          </cell>
        </row>
      </sheetData>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ow r="65">
          <cell r="A65" t="str">
            <v>(II)</v>
          </cell>
        </row>
      </sheetData>
      <sheetData sheetId="1127">
        <row r="65">
          <cell r="A65" t="str">
            <v>(II)</v>
          </cell>
        </row>
      </sheetData>
      <sheetData sheetId="1128">
        <row r="65">
          <cell r="A65" t="str">
            <v>(II)</v>
          </cell>
        </row>
      </sheetData>
      <sheetData sheetId="1129">
        <row r="65">
          <cell r="A65" t="str">
            <v>(II)</v>
          </cell>
        </row>
      </sheetData>
      <sheetData sheetId="1130">
        <row r="65">
          <cell r="A65" t="str">
            <v>(II)</v>
          </cell>
        </row>
      </sheetData>
      <sheetData sheetId="1131">
        <row r="65">
          <cell r="A65" t="str">
            <v>(II)</v>
          </cell>
        </row>
      </sheetData>
      <sheetData sheetId="1132" refreshError="1"/>
      <sheetData sheetId="1133" refreshError="1"/>
      <sheetData sheetId="1134" refreshError="1"/>
      <sheetData sheetId="1135">
        <row r="65">
          <cell r="A65" t="str">
            <v>(II)</v>
          </cell>
        </row>
      </sheetData>
      <sheetData sheetId="1136">
        <row r="65">
          <cell r="A65" t="str">
            <v>(II)</v>
          </cell>
        </row>
      </sheetData>
      <sheetData sheetId="1137">
        <row r="65">
          <cell r="A65" t="str">
            <v>(II)</v>
          </cell>
        </row>
      </sheetData>
      <sheetData sheetId="1138">
        <row r="65">
          <cell r="A65" t="str">
            <v>(II)</v>
          </cell>
        </row>
      </sheetData>
      <sheetData sheetId="1139"/>
      <sheetData sheetId="1140">
        <row r="65">
          <cell r="A65" t="str">
            <v>(II)</v>
          </cell>
        </row>
      </sheetData>
      <sheetData sheetId="1141">
        <row r="65">
          <cell r="A65" t="str">
            <v>(II)</v>
          </cell>
        </row>
      </sheetData>
      <sheetData sheetId="1142">
        <row r="65">
          <cell r="A65" t="str">
            <v>(II)</v>
          </cell>
        </row>
      </sheetData>
      <sheetData sheetId="1143">
        <row r="65">
          <cell r="A65" t="str">
            <v>(II)</v>
          </cell>
        </row>
      </sheetData>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ow r="65">
          <cell r="A65" t="str">
            <v>(II)</v>
          </cell>
        </row>
      </sheetData>
      <sheetData sheetId="1162">
        <row r="65">
          <cell r="A65" t="str">
            <v>(II)</v>
          </cell>
        </row>
      </sheetData>
      <sheetData sheetId="1163">
        <row r="65">
          <cell r="A65" t="str">
            <v>(II)</v>
          </cell>
        </row>
      </sheetData>
      <sheetData sheetId="1164">
        <row r="65">
          <cell r="A65" t="str">
            <v>(II)</v>
          </cell>
        </row>
      </sheetData>
      <sheetData sheetId="1165"/>
      <sheetData sheetId="1166"/>
      <sheetData sheetId="1167">
        <row r="65">
          <cell r="A65" t="str">
            <v>(II)</v>
          </cell>
        </row>
      </sheetData>
      <sheetData sheetId="1168">
        <row r="65">
          <cell r="A65" t="str">
            <v>(II)</v>
          </cell>
        </row>
      </sheetData>
      <sheetData sheetId="1169">
        <row r="65">
          <cell r="A65" t="str">
            <v>(II)</v>
          </cell>
        </row>
      </sheetData>
      <sheetData sheetId="1170">
        <row r="65">
          <cell r="A65" t="str">
            <v>(II)</v>
          </cell>
        </row>
      </sheetData>
      <sheetData sheetId="1171">
        <row r="65">
          <cell r="A65" t="str">
            <v>(II)</v>
          </cell>
        </row>
      </sheetData>
      <sheetData sheetId="1172">
        <row r="65">
          <cell r="A65" t="str">
            <v>(II)</v>
          </cell>
        </row>
      </sheetData>
      <sheetData sheetId="1173"/>
      <sheetData sheetId="1174"/>
      <sheetData sheetId="1175">
        <row r="65">
          <cell r="A65" t="str">
            <v>(II)</v>
          </cell>
        </row>
      </sheetData>
      <sheetData sheetId="1176">
        <row r="65">
          <cell r="A65" t="str">
            <v>(II)</v>
          </cell>
        </row>
      </sheetData>
      <sheetData sheetId="1177">
        <row r="65">
          <cell r="A65" t="str">
            <v>(II)</v>
          </cell>
        </row>
      </sheetData>
      <sheetData sheetId="1178">
        <row r="65">
          <cell r="A65" t="str">
            <v>(II)</v>
          </cell>
        </row>
      </sheetData>
      <sheetData sheetId="1179">
        <row r="65">
          <cell r="A65" t="str">
            <v>(II)</v>
          </cell>
        </row>
      </sheetData>
      <sheetData sheetId="1180">
        <row r="65">
          <cell r="A65" t="str">
            <v>(II)</v>
          </cell>
        </row>
      </sheetData>
      <sheetData sheetId="1181">
        <row r="65">
          <cell r="A65" t="str">
            <v>(II)</v>
          </cell>
        </row>
      </sheetData>
      <sheetData sheetId="1182">
        <row r="65">
          <cell r="A65" t="str">
            <v>(II)</v>
          </cell>
        </row>
      </sheetData>
      <sheetData sheetId="1183">
        <row r="65">
          <cell r="A65" t="str">
            <v>(II)</v>
          </cell>
        </row>
      </sheetData>
      <sheetData sheetId="1184">
        <row r="65">
          <cell r="A65" t="str">
            <v>(II)</v>
          </cell>
        </row>
      </sheetData>
      <sheetData sheetId="1185">
        <row r="65">
          <cell r="A65" t="str">
            <v>(II)</v>
          </cell>
        </row>
      </sheetData>
      <sheetData sheetId="1186">
        <row r="65">
          <cell r="A65" t="str">
            <v>(II)</v>
          </cell>
        </row>
      </sheetData>
      <sheetData sheetId="1187">
        <row r="65">
          <cell r="A65" t="str">
            <v>(II)</v>
          </cell>
        </row>
      </sheetData>
      <sheetData sheetId="1188">
        <row r="65">
          <cell r="A65" t="str">
            <v>(II)</v>
          </cell>
        </row>
      </sheetData>
      <sheetData sheetId="1189">
        <row r="65">
          <cell r="A65" t="str">
            <v>(II)</v>
          </cell>
        </row>
      </sheetData>
      <sheetData sheetId="1190">
        <row r="65">
          <cell r="A65" t="str">
            <v>(II)</v>
          </cell>
        </row>
      </sheetData>
      <sheetData sheetId="1191">
        <row r="65">
          <cell r="A65" t="str">
            <v>(II)</v>
          </cell>
        </row>
      </sheetData>
      <sheetData sheetId="1192">
        <row r="65">
          <cell r="A65" t="str">
            <v>(II)</v>
          </cell>
        </row>
      </sheetData>
      <sheetData sheetId="1193">
        <row r="65">
          <cell r="A65" t="str">
            <v>(II)</v>
          </cell>
        </row>
      </sheetData>
      <sheetData sheetId="1194">
        <row r="65">
          <cell r="A65" t="str">
            <v>(II)</v>
          </cell>
        </row>
      </sheetData>
      <sheetData sheetId="1195">
        <row r="65">
          <cell r="A65" t="str">
            <v>(II)</v>
          </cell>
        </row>
      </sheetData>
      <sheetData sheetId="1196">
        <row r="65">
          <cell r="A65" t="str">
            <v>(II)</v>
          </cell>
        </row>
      </sheetData>
      <sheetData sheetId="1197">
        <row r="65">
          <cell r="A65" t="str">
            <v>(II)</v>
          </cell>
        </row>
      </sheetData>
      <sheetData sheetId="1198">
        <row r="65">
          <cell r="A65" t="str">
            <v>(II)</v>
          </cell>
        </row>
      </sheetData>
      <sheetData sheetId="1199">
        <row r="65">
          <cell r="A65" t="str">
            <v>(II)</v>
          </cell>
        </row>
      </sheetData>
      <sheetData sheetId="1200">
        <row r="65">
          <cell r="A65" t="str">
            <v>(II)</v>
          </cell>
        </row>
      </sheetData>
      <sheetData sheetId="1201">
        <row r="65">
          <cell r="A65" t="str">
            <v>(II)</v>
          </cell>
        </row>
      </sheetData>
      <sheetData sheetId="1202">
        <row r="65">
          <cell r="A65" t="str">
            <v>(II)</v>
          </cell>
        </row>
      </sheetData>
      <sheetData sheetId="1203">
        <row r="65">
          <cell r="A65" t="str">
            <v>(II)</v>
          </cell>
        </row>
      </sheetData>
      <sheetData sheetId="1204">
        <row r="65">
          <cell r="A65" t="str">
            <v>(II)</v>
          </cell>
        </row>
      </sheetData>
      <sheetData sheetId="1205">
        <row r="65">
          <cell r="A65" t="str">
            <v>(II)</v>
          </cell>
        </row>
      </sheetData>
      <sheetData sheetId="1206">
        <row r="65">
          <cell r="A65" t="str">
            <v>(II)</v>
          </cell>
        </row>
      </sheetData>
      <sheetData sheetId="1207">
        <row r="65">
          <cell r="A65" t="str">
            <v>(II)</v>
          </cell>
        </row>
      </sheetData>
      <sheetData sheetId="1208">
        <row r="65">
          <cell r="A65" t="str">
            <v>(II)</v>
          </cell>
        </row>
      </sheetData>
      <sheetData sheetId="1209">
        <row r="65">
          <cell r="A65" t="str">
            <v>(II)</v>
          </cell>
        </row>
      </sheetData>
      <sheetData sheetId="1210">
        <row r="65">
          <cell r="A65" t="str">
            <v>(II)</v>
          </cell>
        </row>
      </sheetData>
      <sheetData sheetId="1211">
        <row r="65">
          <cell r="A65" t="str">
            <v>(II)</v>
          </cell>
        </row>
      </sheetData>
      <sheetData sheetId="1212">
        <row r="65">
          <cell r="A65" t="str">
            <v>(II)</v>
          </cell>
        </row>
      </sheetData>
      <sheetData sheetId="1213">
        <row r="65">
          <cell r="A65" t="str">
            <v>(II)</v>
          </cell>
        </row>
      </sheetData>
      <sheetData sheetId="1214">
        <row r="65">
          <cell r="A65" t="str">
            <v>(II)</v>
          </cell>
        </row>
      </sheetData>
      <sheetData sheetId="1215">
        <row r="65">
          <cell r="A65" t="str">
            <v>(II)</v>
          </cell>
        </row>
      </sheetData>
      <sheetData sheetId="1216">
        <row r="65">
          <cell r="A65" t="str">
            <v>(II)</v>
          </cell>
        </row>
      </sheetData>
      <sheetData sheetId="1217">
        <row r="65">
          <cell r="A65" t="str">
            <v>(II)</v>
          </cell>
        </row>
      </sheetData>
      <sheetData sheetId="1218">
        <row r="65">
          <cell r="A65" t="str">
            <v>(II)</v>
          </cell>
        </row>
      </sheetData>
      <sheetData sheetId="1219">
        <row r="65">
          <cell r="A65" t="str">
            <v>(II)</v>
          </cell>
        </row>
      </sheetData>
      <sheetData sheetId="1220">
        <row r="65">
          <cell r="A65" t="str">
            <v>(II)</v>
          </cell>
        </row>
      </sheetData>
      <sheetData sheetId="1221"/>
      <sheetData sheetId="1222">
        <row r="65">
          <cell r="A65" t="str">
            <v>(II)</v>
          </cell>
        </row>
      </sheetData>
      <sheetData sheetId="1223">
        <row r="65">
          <cell r="A65" t="str">
            <v>(II)</v>
          </cell>
        </row>
      </sheetData>
      <sheetData sheetId="1224">
        <row r="65">
          <cell r="A65" t="str">
            <v>(II)</v>
          </cell>
        </row>
      </sheetData>
      <sheetData sheetId="1225">
        <row r="65">
          <cell r="A65" t="str">
            <v>(II)</v>
          </cell>
        </row>
      </sheetData>
      <sheetData sheetId="1226">
        <row r="65">
          <cell r="A65" t="str">
            <v>(II)</v>
          </cell>
        </row>
      </sheetData>
      <sheetData sheetId="1227">
        <row r="65">
          <cell r="A65" t="str">
            <v>(II)</v>
          </cell>
        </row>
      </sheetData>
      <sheetData sheetId="1228">
        <row r="65">
          <cell r="A65" t="str">
            <v>(II)</v>
          </cell>
        </row>
      </sheetData>
      <sheetData sheetId="1229">
        <row r="65">
          <cell r="A65" t="str">
            <v>(II)</v>
          </cell>
        </row>
      </sheetData>
      <sheetData sheetId="1230">
        <row r="65">
          <cell r="A65" t="str">
            <v>(II)</v>
          </cell>
        </row>
      </sheetData>
      <sheetData sheetId="1231">
        <row r="65">
          <cell r="A65" t="str">
            <v>(II)</v>
          </cell>
        </row>
      </sheetData>
      <sheetData sheetId="1232">
        <row r="65">
          <cell r="A65" t="str">
            <v>(II)</v>
          </cell>
        </row>
      </sheetData>
      <sheetData sheetId="1233">
        <row r="65">
          <cell r="A65" t="str">
            <v>(II)</v>
          </cell>
        </row>
      </sheetData>
      <sheetData sheetId="1234">
        <row r="65">
          <cell r="A65" t="str">
            <v>(II)</v>
          </cell>
        </row>
      </sheetData>
      <sheetData sheetId="1235">
        <row r="65">
          <cell r="A65" t="str">
            <v>(II)</v>
          </cell>
        </row>
      </sheetData>
      <sheetData sheetId="1236">
        <row r="65">
          <cell r="A65" t="str">
            <v>(II)</v>
          </cell>
        </row>
      </sheetData>
      <sheetData sheetId="1237">
        <row r="65">
          <cell r="A65" t="str">
            <v>(II)</v>
          </cell>
        </row>
      </sheetData>
      <sheetData sheetId="1238">
        <row r="65">
          <cell r="A65" t="str">
            <v>(II)</v>
          </cell>
        </row>
      </sheetData>
      <sheetData sheetId="1239">
        <row r="65">
          <cell r="A65" t="str">
            <v>(II)</v>
          </cell>
        </row>
      </sheetData>
      <sheetData sheetId="1240"/>
      <sheetData sheetId="1241">
        <row r="65">
          <cell r="A65" t="str">
            <v>(II)</v>
          </cell>
        </row>
      </sheetData>
      <sheetData sheetId="1242">
        <row r="65">
          <cell r="A65" t="str">
            <v>(II)</v>
          </cell>
        </row>
      </sheetData>
      <sheetData sheetId="1243">
        <row r="65">
          <cell r="A65" t="str">
            <v>(II)</v>
          </cell>
        </row>
      </sheetData>
      <sheetData sheetId="1244">
        <row r="65">
          <cell r="A65" t="str">
            <v>(II)</v>
          </cell>
        </row>
      </sheetData>
      <sheetData sheetId="1245"/>
      <sheetData sheetId="1246">
        <row r="65">
          <cell r="A65" t="str">
            <v>(II)</v>
          </cell>
        </row>
      </sheetData>
      <sheetData sheetId="1247">
        <row r="65">
          <cell r="A65" t="str">
            <v>(II)</v>
          </cell>
        </row>
      </sheetData>
      <sheetData sheetId="1248">
        <row r="65">
          <cell r="A65" t="str">
            <v>(II)</v>
          </cell>
        </row>
      </sheetData>
      <sheetData sheetId="1249">
        <row r="65">
          <cell r="A65" t="str">
            <v>(II)</v>
          </cell>
        </row>
      </sheetData>
      <sheetData sheetId="1250">
        <row r="65">
          <cell r="A65" t="str">
            <v>(II)</v>
          </cell>
        </row>
      </sheetData>
      <sheetData sheetId="1251">
        <row r="65">
          <cell r="A65" t="str">
            <v>(II)</v>
          </cell>
        </row>
      </sheetData>
      <sheetData sheetId="1252">
        <row r="65">
          <cell r="A65" t="str">
            <v>(II)</v>
          </cell>
        </row>
      </sheetData>
      <sheetData sheetId="1253">
        <row r="65">
          <cell r="A65" t="str">
            <v>(II)</v>
          </cell>
        </row>
      </sheetData>
      <sheetData sheetId="1254">
        <row r="65">
          <cell r="A65" t="str">
            <v>(II)</v>
          </cell>
        </row>
      </sheetData>
      <sheetData sheetId="1255">
        <row r="65">
          <cell r="A65" t="str">
            <v>(II)</v>
          </cell>
        </row>
      </sheetData>
      <sheetData sheetId="1256">
        <row r="65">
          <cell r="A65" t="str">
            <v>(II)</v>
          </cell>
        </row>
      </sheetData>
      <sheetData sheetId="1257">
        <row r="65">
          <cell r="A65" t="str">
            <v>(II)</v>
          </cell>
        </row>
      </sheetData>
      <sheetData sheetId="1258">
        <row r="65">
          <cell r="A65" t="str">
            <v>(II)</v>
          </cell>
        </row>
      </sheetData>
      <sheetData sheetId="1259">
        <row r="65">
          <cell r="A65" t="str">
            <v>(II)</v>
          </cell>
        </row>
      </sheetData>
      <sheetData sheetId="1260">
        <row r="65">
          <cell r="A65" t="str">
            <v>(II)</v>
          </cell>
        </row>
      </sheetData>
      <sheetData sheetId="1261">
        <row r="65">
          <cell r="A65" t="str">
            <v>(II)</v>
          </cell>
        </row>
      </sheetData>
      <sheetData sheetId="1262">
        <row r="65">
          <cell r="A65" t="str">
            <v>(II)</v>
          </cell>
        </row>
      </sheetData>
      <sheetData sheetId="1263"/>
      <sheetData sheetId="1264">
        <row r="65">
          <cell r="A65" t="str">
            <v>(II)</v>
          </cell>
        </row>
      </sheetData>
      <sheetData sheetId="1265">
        <row r="65">
          <cell r="A65" t="str">
            <v>(II)</v>
          </cell>
        </row>
      </sheetData>
      <sheetData sheetId="1266">
        <row r="65">
          <cell r="A65" t="str">
            <v>(II)</v>
          </cell>
        </row>
      </sheetData>
      <sheetData sheetId="1267"/>
      <sheetData sheetId="1268"/>
      <sheetData sheetId="1269">
        <row r="65">
          <cell r="A65" t="str">
            <v>(II)</v>
          </cell>
        </row>
      </sheetData>
      <sheetData sheetId="1270">
        <row r="65">
          <cell r="A65" t="str">
            <v>(II)</v>
          </cell>
        </row>
      </sheetData>
      <sheetData sheetId="1271">
        <row r="65">
          <cell r="A65" t="str">
            <v>(II)</v>
          </cell>
        </row>
      </sheetData>
      <sheetData sheetId="1272">
        <row r="65">
          <cell r="A65" t="str">
            <v>(II)</v>
          </cell>
        </row>
      </sheetData>
      <sheetData sheetId="1273">
        <row r="65">
          <cell r="A65" t="str">
            <v>(II)</v>
          </cell>
        </row>
      </sheetData>
      <sheetData sheetId="1274">
        <row r="65">
          <cell r="A65" t="str">
            <v>(II)</v>
          </cell>
        </row>
      </sheetData>
      <sheetData sheetId="1275">
        <row r="65">
          <cell r="A65" t="str">
            <v>(II)</v>
          </cell>
        </row>
      </sheetData>
      <sheetData sheetId="1276">
        <row r="65">
          <cell r="A65" t="str">
            <v>(II)</v>
          </cell>
        </row>
      </sheetData>
      <sheetData sheetId="1277">
        <row r="65">
          <cell r="A65" t="str">
            <v>(II)</v>
          </cell>
        </row>
      </sheetData>
      <sheetData sheetId="1278">
        <row r="65">
          <cell r="A65" t="str">
            <v>(II)</v>
          </cell>
        </row>
      </sheetData>
      <sheetData sheetId="1279">
        <row r="65">
          <cell r="A65" t="str">
            <v>(II)</v>
          </cell>
        </row>
      </sheetData>
      <sheetData sheetId="1280">
        <row r="65">
          <cell r="A65" t="str">
            <v>(II)</v>
          </cell>
        </row>
      </sheetData>
      <sheetData sheetId="1281">
        <row r="65">
          <cell r="A65" t="str">
            <v>(II)</v>
          </cell>
        </row>
      </sheetData>
      <sheetData sheetId="1282">
        <row r="65">
          <cell r="A65" t="str">
            <v>(II)</v>
          </cell>
        </row>
      </sheetData>
      <sheetData sheetId="1283">
        <row r="65">
          <cell r="A65" t="str">
            <v>(II)</v>
          </cell>
        </row>
      </sheetData>
      <sheetData sheetId="1284">
        <row r="65">
          <cell r="A65" t="str">
            <v>(II)</v>
          </cell>
        </row>
      </sheetData>
      <sheetData sheetId="1285"/>
      <sheetData sheetId="1286">
        <row r="65">
          <cell r="A65" t="str">
            <v>(II)</v>
          </cell>
        </row>
      </sheetData>
      <sheetData sheetId="1287"/>
      <sheetData sheetId="1288"/>
      <sheetData sheetId="1289">
        <row r="65">
          <cell r="A65" t="str">
            <v>(II)</v>
          </cell>
        </row>
      </sheetData>
      <sheetData sheetId="1290">
        <row r="65">
          <cell r="A65" t="str">
            <v>(II)</v>
          </cell>
        </row>
      </sheetData>
      <sheetData sheetId="1291">
        <row r="65">
          <cell r="A65" t="str">
            <v>(II)</v>
          </cell>
        </row>
      </sheetData>
      <sheetData sheetId="1292"/>
      <sheetData sheetId="1293">
        <row r="65">
          <cell r="A65" t="str">
            <v>(II)</v>
          </cell>
        </row>
      </sheetData>
      <sheetData sheetId="1294">
        <row r="65">
          <cell r="A65" t="str">
            <v>(II)</v>
          </cell>
        </row>
      </sheetData>
      <sheetData sheetId="1295"/>
      <sheetData sheetId="1296"/>
      <sheetData sheetId="1297"/>
      <sheetData sheetId="1298"/>
      <sheetData sheetId="1299">
        <row r="65">
          <cell r="A65" t="str">
            <v>(II)</v>
          </cell>
        </row>
      </sheetData>
      <sheetData sheetId="1300">
        <row r="65">
          <cell r="A65" t="str">
            <v>(II)</v>
          </cell>
        </row>
      </sheetData>
      <sheetData sheetId="1301">
        <row r="65">
          <cell r="A65" t="str">
            <v>(II)</v>
          </cell>
        </row>
      </sheetData>
      <sheetData sheetId="1302">
        <row r="65">
          <cell r="A65" t="str">
            <v>(II)</v>
          </cell>
        </row>
      </sheetData>
      <sheetData sheetId="1303">
        <row r="65">
          <cell r="A65" t="str">
            <v>(II)</v>
          </cell>
        </row>
      </sheetData>
      <sheetData sheetId="1304"/>
      <sheetData sheetId="1305"/>
      <sheetData sheetId="1306"/>
      <sheetData sheetId="1307"/>
      <sheetData sheetId="1308">
        <row r="65">
          <cell r="A65" t="str">
            <v>(II)</v>
          </cell>
        </row>
      </sheetData>
      <sheetData sheetId="1309"/>
      <sheetData sheetId="1310"/>
      <sheetData sheetId="1311"/>
      <sheetData sheetId="1312">
        <row r="65">
          <cell r="A65" t="str">
            <v>(II)</v>
          </cell>
        </row>
      </sheetData>
      <sheetData sheetId="1313"/>
      <sheetData sheetId="1314"/>
      <sheetData sheetId="1315">
        <row r="65">
          <cell r="A65" t="str">
            <v>(II)</v>
          </cell>
        </row>
      </sheetData>
      <sheetData sheetId="1316">
        <row r="65">
          <cell r="A65" t="str">
            <v>(II)</v>
          </cell>
        </row>
      </sheetData>
      <sheetData sheetId="1317">
        <row r="65">
          <cell r="A65" t="str">
            <v>(II)</v>
          </cell>
        </row>
      </sheetData>
      <sheetData sheetId="1318"/>
      <sheetData sheetId="1319"/>
      <sheetData sheetId="1320">
        <row r="65">
          <cell r="A65" t="str">
            <v>(II)</v>
          </cell>
        </row>
      </sheetData>
      <sheetData sheetId="1321">
        <row r="65">
          <cell r="A65" t="str">
            <v>(II)</v>
          </cell>
        </row>
      </sheetData>
      <sheetData sheetId="1322"/>
      <sheetData sheetId="1323"/>
      <sheetData sheetId="1324"/>
      <sheetData sheetId="1325"/>
      <sheetData sheetId="1326"/>
      <sheetData sheetId="1327"/>
      <sheetData sheetId="1328">
        <row r="65">
          <cell r="A65" t="str">
            <v>(II)</v>
          </cell>
        </row>
      </sheetData>
      <sheetData sheetId="1329">
        <row r="65">
          <cell r="A65" t="str">
            <v>(II)</v>
          </cell>
        </row>
      </sheetData>
      <sheetData sheetId="1330">
        <row r="65">
          <cell r="A65" t="str">
            <v>(II)</v>
          </cell>
        </row>
      </sheetData>
      <sheetData sheetId="1331"/>
      <sheetData sheetId="1332"/>
      <sheetData sheetId="1333"/>
      <sheetData sheetId="1334">
        <row r="65">
          <cell r="A65" t="str">
            <v>(II)</v>
          </cell>
        </row>
      </sheetData>
      <sheetData sheetId="1335">
        <row r="65">
          <cell r="A65" t="str">
            <v>(II)</v>
          </cell>
        </row>
      </sheetData>
      <sheetData sheetId="1336"/>
      <sheetData sheetId="1337"/>
      <sheetData sheetId="1338"/>
      <sheetData sheetId="1339">
        <row r="65">
          <cell r="A65" t="str">
            <v>(II)</v>
          </cell>
        </row>
      </sheetData>
      <sheetData sheetId="1340">
        <row r="65">
          <cell r="A65" t="str">
            <v>(II)</v>
          </cell>
        </row>
      </sheetData>
      <sheetData sheetId="1341">
        <row r="65">
          <cell r="A65" t="str">
            <v>(II)</v>
          </cell>
        </row>
      </sheetData>
      <sheetData sheetId="1342"/>
      <sheetData sheetId="1343" refreshError="1"/>
      <sheetData sheetId="1344"/>
      <sheetData sheetId="1345">
        <row r="65">
          <cell r="A65" t="str">
            <v>(II)</v>
          </cell>
        </row>
      </sheetData>
      <sheetData sheetId="1346"/>
      <sheetData sheetId="1347"/>
      <sheetData sheetId="1348"/>
      <sheetData sheetId="1349"/>
      <sheetData sheetId="1350"/>
      <sheetData sheetId="1351">
        <row r="65">
          <cell r="A65" t="str">
            <v>(II)</v>
          </cell>
        </row>
      </sheetData>
      <sheetData sheetId="1352">
        <row r="65">
          <cell r="A65" t="str">
            <v>(II)</v>
          </cell>
        </row>
      </sheetData>
      <sheetData sheetId="1353"/>
      <sheetData sheetId="1354"/>
      <sheetData sheetId="1355">
        <row r="65">
          <cell r="A65" t="str">
            <v>(II)</v>
          </cell>
        </row>
      </sheetData>
      <sheetData sheetId="1356">
        <row r="65">
          <cell r="A65" t="str">
            <v>(II)</v>
          </cell>
        </row>
      </sheetData>
      <sheetData sheetId="1357">
        <row r="65">
          <cell r="A65" t="str">
            <v>(II)</v>
          </cell>
        </row>
      </sheetData>
      <sheetData sheetId="1358">
        <row r="65">
          <cell r="A65" t="str">
            <v>(II)</v>
          </cell>
        </row>
      </sheetData>
      <sheetData sheetId="1359"/>
      <sheetData sheetId="1360"/>
      <sheetData sheetId="1361"/>
      <sheetData sheetId="1362">
        <row r="65">
          <cell r="A65" t="str">
            <v>(II)</v>
          </cell>
        </row>
      </sheetData>
      <sheetData sheetId="1363"/>
      <sheetData sheetId="1364"/>
      <sheetData sheetId="1365">
        <row r="65">
          <cell r="A65" t="str">
            <v>(II)</v>
          </cell>
        </row>
      </sheetData>
      <sheetData sheetId="1366">
        <row r="65">
          <cell r="A65" t="str">
            <v>(II)</v>
          </cell>
        </row>
      </sheetData>
      <sheetData sheetId="1367"/>
      <sheetData sheetId="1368"/>
      <sheetData sheetId="1369">
        <row r="65">
          <cell r="A65" t="str">
            <v>(II)</v>
          </cell>
        </row>
      </sheetData>
      <sheetData sheetId="1370">
        <row r="65">
          <cell r="A65" t="str">
            <v>(II)</v>
          </cell>
        </row>
      </sheetData>
      <sheetData sheetId="1371">
        <row r="65">
          <cell r="A65" t="str">
            <v>(II)</v>
          </cell>
        </row>
      </sheetData>
      <sheetData sheetId="1372">
        <row r="65">
          <cell r="A65" t="str">
            <v>(II)</v>
          </cell>
        </row>
      </sheetData>
      <sheetData sheetId="1373">
        <row r="65">
          <cell r="A65" t="str">
            <v>(II)</v>
          </cell>
        </row>
      </sheetData>
      <sheetData sheetId="1374" refreshError="1"/>
      <sheetData sheetId="1375" refreshError="1"/>
      <sheetData sheetId="1376" refreshError="1"/>
      <sheetData sheetId="1377"/>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ow r="65">
          <cell r="A65" t="str">
            <v>(II)</v>
          </cell>
        </row>
      </sheetData>
      <sheetData sheetId="1416">
        <row r="65">
          <cell r="A65" t="str">
            <v>(II)</v>
          </cell>
        </row>
      </sheetData>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ow r="65">
          <cell r="A65" t="str">
            <v>(II)</v>
          </cell>
        </row>
      </sheetData>
      <sheetData sheetId="1430">
        <row r="65">
          <cell r="A65" t="str">
            <v>(II)</v>
          </cell>
        </row>
      </sheetData>
      <sheetData sheetId="1431">
        <row r="65">
          <cell r="A65" t="str">
            <v>(II)</v>
          </cell>
        </row>
      </sheetData>
      <sheetData sheetId="1432"/>
      <sheetData sheetId="1433"/>
      <sheetData sheetId="1434">
        <row r="65">
          <cell r="A65" t="str">
            <v>(II)</v>
          </cell>
        </row>
      </sheetData>
      <sheetData sheetId="1435"/>
      <sheetData sheetId="1436"/>
      <sheetData sheetId="1437"/>
      <sheetData sheetId="1438"/>
      <sheetData sheetId="1439"/>
      <sheetData sheetId="1440"/>
      <sheetData sheetId="1441">
        <row r="65">
          <cell r="A65" t="str">
            <v>(II)</v>
          </cell>
        </row>
      </sheetData>
      <sheetData sheetId="1442">
        <row r="65">
          <cell r="A65" t="str">
            <v>(II)</v>
          </cell>
        </row>
      </sheetData>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sheetData sheetId="1569"/>
      <sheetData sheetId="1570" refreshError="1"/>
      <sheetData sheetId="1571" refreshError="1"/>
      <sheetData sheetId="1572" refreshError="1"/>
      <sheetData sheetId="1573">
        <row r="65">
          <cell r="A65" t="str">
            <v>(II)</v>
          </cell>
        </row>
      </sheetData>
      <sheetData sheetId="1574">
        <row r="65">
          <cell r="A65" t="str">
            <v>(II)</v>
          </cell>
        </row>
      </sheetData>
      <sheetData sheetId="1575">
        <row r="65">
          <cell r="A65" t="str">
            <v>(II)</v>
          </cell>
        </row>
      </sheetData>
      <sheetData sheetId="1576">
        <row r="65">
          <cell r="A65" t="str">
            <v>(II)</v>
          </cell>
        </row>
      </sheetData>
      <sheetData sheetId="1577">
        <row r="65">
          <cell r="A65" t="str">
            <v>(II)</v>
          </cell>
        </row>
      </sheetData>
      <sheetData sheetId="1578"/>
      <sheetData sheetId="1579">
        <row r="65">
          <cell r="A65" t="str">
            <v>(II)</v>
          </cell>
        </row>
      </sheetData>
      <sheetData sheetId="1580">
        <row r="65">
          <cell r="A65" t="str">
            <v>(II)</v>
          </cell>
        </row>
      </sheetData>
      <sheetData sheetId="1581"/>
      <sheetData sheetId="1582">
        <row r="65">
          <cell r="A65" t="str">
            <v>(II)</v>
          </cell>
        </row>
      </sheetData>
      <sheetData sheetId="1583">
        <row r="65">
          <cell r="A65" t="str">
            <v>(II)</v>
          </cell>
        </row>
      </sheetData>
      <sheetData sheetId="1584"/>
      <sheetData sheetId="1585" refreshError="1"/>
      <sheetData sheetId="1586" refreshError="1"/>
      <sheetData sheetId="1587" refreshError="1"/>
      <sheetData sheetId="1588" refreshError="1"/>
      <sheetData sheetId="1589" refreshError="1"/>
      <sheetData sheetId="1590" refreshError="1"/>
      <sheetData sheetId="1591" refreshError="1"/>
      <sheetData sheetId="1592"/>
      <sheetData sheetId="1593"/>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TRND"/>
      <sheetName val="Approved MTD Proj #'s"/>
      <sheetName val="GMCP TRACKER (Rs)"/>
      <sheetName val="Lists"/>
    </sheetNames>
    <definedNames>
      <definedName name="NotesExport"/>
      <definedName name="UnhideSheets"/>
    </defined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or by Floor"/>
      <sheetName val="Details"/>
      <sheetName val="av for D"/>
      <sheetName val="Lists"/>
    </sheetNames>
    <sheetDataSet>
      <sheetData sheetId="0"/>
      <sheetData sheetId="1">
        <row r="10">
          <cell r="D10">
            <v>4050</v>
          </cell>
        </row>
        <row r="11">
          <cell r="D11">
            <v>1950</v>
          </cell>
        </row>
      </sheetData>
      <sheetData sheetId="2" refreshError="1"/>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sheetName val="OP (crores)"/>
      <sheetName val="BS"/>
      <sheetName val="BS (crores)"/>
      <sheetName val="Fund Flow"/>
      <sheetName val="Fund Flow (crores)"/>
      <sheetName val="FFR-II"/>
      <sheetName val="MPBF"/>
      <sheetName val="Summary"/>
      <sheetName val="BOB Format"/>
      <sheetName val="Rollup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Sens"/>
      <sheetName val="Chennai_Cal value"/>
      <sheetName val="Chennai"/>
      <sheetName val="Calcutta"/>
      <sheetName val="Lines"/>
      <sheetName val="MTNL"/>
      <sheetName val="Erngs Watch"/>
      <sheetName val="Front pg"/>
      <sheetName val="Sheet2"/>
      <sheetName val="Ch_Cum PV"/>
      <sheetName val="Comparables"/>
      <sheetName val="Tax"/>
      <sheetName val="Sheet1"/>
      <sheetName val="Aladdin_MTNL"/>
      <sheetName val="Control"/>
      <sheetName val="Pulsing"/>
      <sheetName val="VSNL data"/>
      <sheetName val="Alex"/>
      <sheetName val="mast1"/>
      <sheetName val="Brucdata"/>
      <sheetName val="Chart1"/>
      <sheetName val="Ch data"/>
      <sheetName val="Ch_MTNL's mkt sh"/>
      <sheetName val="Ch_Rev brkdwn (Rs mn)"/>
      <sheetName val="Ch_Rev brkdwn (%)"/>
      <sheetName val="Ch EVA"/>
      <sheetName val="Ch EBITDA mrgins"/>
      <sheetName val="Aladdin Macro1"/>
      <sheetName val="Model portfolio"/>
      <sheetName val="Users Authorisations"/>
      <sheetName val="3.Grouping - Profit &amp; Loss(mio)"/>
    </sheetNames>
    <sheetDataSet>
      <sheetData sheetId="0" refreshError="1"/>
      <sheetData sheetId="1" refreshError="1"/>
      <sheetData sheetId="2" refreshError="1"/>
      <sheetData sheetId="3" refreshError="1"/>
      <sheetData sheetId="4" refreshError="1"/>
      <sheetData sheetId="5" refreshError="1"/>
      <sheetData sheetId="6" refreshError="1">
        <row r="1">
          <cell r="A1">
            <v>0</v>
          </cell>
        </row>
        <row r="585">
          <cell r="A585" t="str">
            <v>PROFIT &amp; LOSS STATEMENT calculations</v>
          </cell>
        </row>
        <row r="586">
          <cell r="A586" t="str">
            <v>Year end March 31</v>
          </cell>
          <cell r="B586" t="str">
            <v>FY91</v>
          </cell>
          <cell r="C586" t="str">
            <v>FY92</v>
          </cell>
          <cell r="D586" t="str">
            <v>FY93</v>
          </cell>
          <cell r="E586" t="str">
            <v>FY94</v>
          </cell>
          <cell r="F586" t="str">
            <v>FY95</v>
          </cell>
          <cell r="G586" t="str">
            <v>FY96</v>
          </cell>
          <cell r="H586" t="str">
            <v>FY97</v>
          </cell>
          <cell r="I586" t="str">
            <v>FY98</v>
          </cell>
          <cell r="J586" t="str">
            <v>FY99</v>
          </cell>
          <cell r="K586" t="str">
            <v>FY00</v>
          </cell>
          <cell r="L586" t="str">
            <v>FY01</v>
          </cell>
          <cell r="M586" t="str">
            <v>FY02</v>
          </cell>
          <cell r="N586" t="str">
            <v>FY03F</v>
          </cell>
          <cell r="O586" t="str">
            <v>FY04F</v>
          </cell>
          <cell r="P586" t="str">
            <v>FY05F</v>
          </cell>
          <cell r="Q586" t="str">
            <v>FY06F</v>
          </cell>
          <cell r="R586" t="str">
            <v>FY07F</v>
          </cell>
          <cell r="S586" t="str">
            <v>FY08F</v>
          </cell>
          <cell r="T586" t="str">
            <v>FY09F</v>
          </cell>
          <cell r="U586" t="str">
            <v>FY10F</v>
          </cell>
          <cell r="V586" t="str">
            <v>FY11F</v>
          </cell>
          <cell r="W586" t="str">
            <v>FY12F</v>
          </cell>
        </row>
        <row r="587">
          <cell r="A587" t="str">
            <v>Income statement (Rs m)</v>
          </cell>
        </row>
        <row r="588">
          <cell r="A588" t="str">
            <v>Traffic revenue</v>
          </cell>
          <cell r="B588">
            <v>13100.970000000001</v>
          </cell>
          <cell r="C588">
            <v>15553.16</v>
          </cell>
          <cell r="D588">
            <v>18319.11</v>
          </cell>
          <cell r="E588">
            <v>25076.500000000004</v>
          </cell>
          <cell r="F588">
            <v>29468.81</v>
          </cell>
          <cell r="G588">
            <v>34481.2215</v>
          </cell>
          <cell r="H588">
            <v>40308.503758999999</v>
          </cell>
          <cell r="I588">
            <v>46545.89</v>
          </cell>
          <cell r="J588">
            <v>50324.616999999998</v>
          </cell>
          <cell r="K588">
            <v>51821.97</v>
          </cell>
          <cell r="L588">
            <v>57845.820000000007</v>
          </cell>
          <cell r="M588">
            <v>61437.24</v>
          </cell>
          <cell r="N588">
            <v>64517.456318124292</v>
          </cell>
          <cell r="O588">
            <v>65264.679618093258</v>
          </cell>
          <cell r="P588">
            <v>68277.67286543794</v>
          </cell>
          <cell r="Q588">
            <v>71542.466862507601</v>
          </cell>
          <cell r="R588">
            <v>75187.083003238993</v>
          </cell>
          <cell r="S588">
            <v>79432.886478316927</v>
          </cell>
          <cell r="T588">
            <v>84032.141370262063</v>
          </cell>
          <cell r="U588">
            <v>89214.279551015541</v>
          </cell>
          <cell r="V588">
            <v>94965.031884038835</v>
          </cell>
          <cell r="W588">
            <v>101318.26287538953</v>
          </cell>
          <cell r="Y588">
            <v>7.185882895839657E-2</v>
          </cell>
        </row>
        <row r="589">
          <cell r="A589" t="str">
            <v xml:space="preserve">    % change</v>
          </cell>
          <cell r="C589">
            <v>0.18717621672288376</v>
          </cell>
          <cell r="D589">
            <v>0.17783845855118835</v>
          </cell>
          <cell r="E589">
            <v>0.3688710859861643</v>
          </cell>
          <cell r="F589">
            <v>0.17515642135066684</v>
          </cell>
          <cell r="G589">
            <v>0.17009209058662356</v>
          </cell>
          <cell r="H589">
            <v>0.16899871888239226</v>
          </cell>
          <cell r="I589">
            <v>0.15474119997836261</v>
          </cell>
          <cell r="J589">
            <v>8.118282838721097E-2</v>
          </cell>
          <cell r="K589">
            <v>2.9753887645086356E-2</v>
          </cell>
          <cell r="L589">
            <v>0.11624123899573879</v>
          </cell>
          <cell r="M589">
            <v>6.2086076401025876E-2</v>
          </cell>
          <cell r="N589">
            <v>5.0135981338424285E-2</v>
          </cell>
          <cell r="O589">
            <v>1.158172287953416E-2</v>
          </cell>
          <cell r="P589">
            <v>4.6165755581360331E-2</v>
          </cell>
          <cell r="Q589">
            <v>4.7816421680099391E-2</v>
          </cell>
          <cell r="R589">
            <v>5.0943394889300109E-2</v>
          </cell>
          <cell r="S589">
            <v>5.6469852340129058E-2</v>
          </cell>
          <cell r="T589">
            <v>5.7901142660862652E-2</v>
          </cell>
          <cell r="U589">
            <v>6.166852464130318E-2</v>
          </cell>
          <cell r="V589">
            <v>6.4459998578308669E-2</v>
          </cell>
          <cell r="W589">
            <v>6.6900740886483123E-2</v>
          </cell>
        </row>
        <row r="590">
          <cell r="A590" t="str">
            <v>Employee cost</v>
          </cell>
          <cell r="B590">
            <v>1367.19</v>
          </cell>
          <cell r="C590">
            <v>1677.64</v>
          </cell>
          <cell r="D590">
            <v>1848.76</v>
          </cell>
          <cell r="E590">
            <v>2166.9</v>
          </cell>
          <cell r="F590">
            <v>2495.0149999999999</v>
          </cell>
          <cell r="G590">
            <v>3128.1396</v>
          </cell>
          <cell r="H590">
            <v>4284.2900980000004</v>
          </cell>
          <cell r="I590">
            <v>5167.0200000000004</v>
          </cell>
          <cell r="J590">
            <v>6164.6729999999998</v>
          </cell>
          <cell r="K590">
            <v>10899.08</v>
          </cell>
          <cell r="L590">
            <v>12222.89</v>
          </cell>
          <cell r="M590">
            <v>14004.89</v>
          </cell>
          <cell r="N590">
            <v>16983.4500052</v>
          </cell>
          <cell r="O590">
            <v>19582.597193995807</v>
          </cell>
          <cell r="P590">
            <v>22488.654617584783</v>
          </cell>
          <cell r="Q590">
            <v>25825.970962834363</v>
          </cell>
          <cell r="R590">
            <v>29658.545053718979</v>
          </cell>
          <cell r="S590">
            <v>34059.873139690877</v>
          </cell>
          <cell r="T590">
            <v>38916.81104941079</v>
          </cell>
          <cell r="U590">
            <v>44240.630800970182</v>
          </cell>
          <cell r="V590">
            <v>50036.153435897271</v>
          </cell>
          <cell r="W590">
            <v>56590.889535999799</v>
          </cell>
          <cell r="Y590">
            <v>0.28309818269946607</v>
          </cell>
        </row>
        <row r="591">
          <cell r="A591" t="str">
            <v xml:space="preserve">    % change</v>
          </cell>
          <cell r="C591">
            <v>0.22707158478338785</v>
          </cell>
          <cell r="D591">
            <v>0.10200042917431623</v>
          </cell>
          <cell r="E591">
            <v>0.17208290962591147</v>
          </cell>
          <cell r="F591">
            <v>0.15142138538926567</v>
          </cell>
          <cell r="G591">
            <v>0.25375582912327188</v>
          </cell>
          <cell r="H591">
            <v>0.3695968357678156</v>
          </cell>
          <cell r="I591">
            <v>0.20603877930957046</v>
          </cell>
          <cell r="J591">
            <v>0.19308092478836916</v>
          </cell>
          <cell r="K591">
            <v>0.76798996475563264</v>
          </cell>
          <cell r="L591">
            <v>0.12146071044528524</v>
          </cell>
          <cell r="M591">
            <v>0.14579203445339034</v>
          </cell>
          <cell r="N591">
            <v>0.21268000000000006</v>
          </cell>
          <cell r="O591">
            <v>0.15303999999999993</v>
          </cell>
          <cell r="P591">
            <v>0.14839999999999992</v>
          </cell>
          <cell r="Q591">
            <v>0.14839999999999989</v>
          </cell>
          <cell r="R591">
            <v>0.14839999999999989</v>
          </cell>
          <cell r="S591">
            <v>0.14840000000000006</v>
          </cell>
          <cell r="T591">
            <v>0.14259999999999981</v>
          </cell>
          <cell r="U591">
            <v>0.13679999999999992</v>
          </cell>
          <cell r="V591">
            <v>0.13099999999999989</v>
          </cell>
          <cell r="W591">
            <v>0.1309999999999997</v>
          </cell>
        </row>
        <row r="592">
          <cell r="A592" t="str">
            <v>Interconnect charges</v>
          </cell>
          <cell r="B592">
            <v>3533.95</v>
          </cell>
          <cell r="C592">
            <v>3477.02</v>
          </cell>
          <cell r="D592">
            <v>4101.76</v>
          </cell>
          <cell r="E592">
            <v>5494.4</v>
          </cell>
          <cell r="F592">
            <v>6336.9</v>
          </cell>
          <cell r="G592">
            <v>7613.8</v>
          </cell>
          <cell r="H592">
            <v>8822.5424280000007</v>
          </cell>
          <cell r="I592">
            <v>10239.98</v>
          </cell>
          <cell r="J592">
            <v>10911.893</v>
          </cell>
          <cell r="K592">
            <v>10504.17</v>
          </cell>
          <cell r="L592">
            <v>11316.63</v>
          </cell>
          <cell r="M592">
            <v>7335.09</v>
          </cell>
          <cell r="N592">
            <v>9290.5137098098985</v>
          </cell>
          <cell r="O592">
            <v>9398.1138650054309</v>
          </cell>
          <cell r="P592">
            <v>9831.9848926230643</v>
          </cell>
          <cell r="Q592">
            <v>10302.115228201095</v>
          </cell>
          <cell r="R592">
            <v>10826.939952466417</v>
          </cell>
          <cell r="S592">
            <v>11438.335652877638</v>
          </cell>
          <cell r="T592">
            <v>12100.628357317739</v>
          </cell>
          <cell r="U592">
            <v>12846.85625534624</v>
          </cell>
          <cell r="V592">
            <v>13674.964591301594</v>
          </cell>
          <cell r="W592">
            <v>14589.829854056094</v>
          </cell>
          <cell r="Y592">
            <v>-8.002381602381603E-2</v>
          </cell>
        </row>
        <row r="593">
          <cell r="A593" t="str">
            <v xml:space="preserve">    as a % of revenue</v>
          </cell>
          <cell r="B593">
            <v>26.974720192474294</v>
          </cell>
          <cell r="C593">
            <v>22.355714208559547</v>
          </cell>
          <cell r="D593">
            <v>22.390607403962314</v>
          </cell>
          <cell r="E593">
            <v>21.910553705660675</v>
          </cell>
          <cell r="F593">
            <v>21.503752611659579</v>
          </cell>
          <cell r="G593">
            <v>22.081004293887908</v>
          </cell>
          <cell r="H593">
            <v>21.887546312185112</v>
          </cell>
          <cell r="I593">
            <v>21.999751213265014</v>
          </cell>
          <cell r="J593">
            <v>21.683012510557209</v>
          </cell>
          <cell r="K593">
            <v>20.269723439691699</v>
          </cell>
          <cell r="L593">
            <v>19.563436044298442</v>
          </cell>
          <cell r="M593">
            <v>11.939159376300108</v>
          </cell>
          <cell r="N593">
            <v>14.400000000000002</v>
          </cell>
          <cell r="O593">
            <v>14.400000000000002</v>
          </cell>
          <cell r="P593">
            <v>14.400000000000002</v>
          </cell>
          <cell r="Q593">
            <v>14.400000000000002</v>
          </cell>
          <cell r="R593">
            <v>14.400000000000002</v>
          </cell>
          <cell r="S593">
            <v>14.400000000000002</v>
          </cell>
          <cell r="T593">
            <v>14.400000000000002</v>
          </cell>
          <cell r="U593">
            <v>14.400000000000002</v>
          </cell>
          <cell r="V593">
            <v>14.400000000000002</v>
          </cell>
          <cell r="W593">
            <v>14.400000000000002</v>
          </cell>
        </row>
        <row r="594">
          <cell r="A594" t="str">
            <v>Licence fee</v>
          </cell>
          <cell r="B594">
            <v>0</v>
          </cell>
          <cell r="C594">
            <v>0</v>
          </cell>
          <cell r="D594">
            <v>0</v>
          </cell>
          <cell r="E594">
            <v>1248.5999999999999</v>
          </cell>
          <cell r="F594">
            <v>1479.54</v>
          </cell>
          <cell r="G594">
            <v>1986.8</v>
          </cell>
          <cell r="H594">
            <v>2347.0155</v>
          </cell>
          <cell r="I594">
            <v>2711.0920000000001</v>
          </cell>
          <cell r="J594">
            <v>3066.0659999999998</v>
          </cell>
          <cell r="K594">
            <v>3288.55</v>
          </cell>
          <cell r="L594">
            <v>3615.3</v>
          </cell>
          <cell r="M594">
            <v>6652.42</v>
          </cell>
          <cell r="N594">
            <v>7096.9201949936723</v>
          </cell>
          <cell r="O594">
            <v>7179.1147579902581</v>
          </cell>
          <cell r="P594">
            <v>7510.5440151981738</v>
          </cell>
          <cell r="Q594">
            <v>7869.6713548758362</v>
          </cell>
          <cell r="R594">
            <v>8270.5791303562892</v>
          </cell>
          <cell r="S594">
            <v>8737.6175126148628</v>
          </cell>
          <cell r="T594">
            <v>9243.5355507288277</v>
          </cell>
          <cell r="U594">
            <v>9813.5707506117087</v>
          </cell>
          <cell r="V594">
            <v>10446.153507244271</v>
          </cell>
          <cell r="W594">
            <v>11145.008916292847</v>
          </cell>
          <cell r="X594">
            <v>0</v>
          </cell>
          <cell r="Y594">
            <v>0.25158068208950657</v>
          </cell>
        </row>
        <row r="595">
          <cell r="A595" t="str">
            <v xml:space="preserve">  as a % of revenue</v>
          </cell>
          <cell r="B595">
            <v>0</v>
          </cell>
          <cell r="C595">
            <v>0</v>
          </cell>
          <cell r="D595">
            <v>0</v>
          </cell>
          <cell r="E595">
            <v>4.979163758897772</v>
          </cell>
          <cell r="F595">
            <v>5.0206981551002565</v>
          </cell>
          <cell r="G595">
            <v>5.761976848760999</v>
          </cell>
          <cell r="H595">
            <v>5.822631159996762</v>
          </cell>
          <cell r="I595">
            <v>5.8245572272868777</v>
          </cell>
          <cell r="J595">
            <v>6.0925769191646308</v>
          </cell>
          <cell r="K595">
            <v>6.3458606455910491</v>
          </cell>
          <cell r="L595">
            <v>6.249889793246945</v>
          </cell>
          <cell r="M595">
            <v>10.827992924161308</v>
          </cell>
          <cell r="N595">
            <v>11</v>
          </cell>
          <cell r="O595">
            <v>11</v>
          </cell>
          <cell r="P595">
            <v>11</v>
          </cell>
          <cell r="Q595">
            <v>11</v>
          </cell>
          <cell r="R595">
            <v>11</v>
          </cell>
          <cell r="S595">
            <v>11.000000000000002</v>
          </cell>
          <cell r="T595">
            <v>11.000000000000002</v>
          </cell>
          <cell r="U595">
            <v>10.999999999999998</v>
          </cell>
          <cell r="V595">
            <v>10.999999999999998</v>
          </cell>
          <cell r="W595">
            <v>10.999999999999998</v>
          </cell>
        </row>
        <row r="596">
          <cell r="A596" t="str">
            <v>Operating expenses</v>
          </cell>
          <cell r="B596">
            <v>778.23</v>
          </cell>
          <cell r="C596">
            <v>997.74</v>
          </cell>
          <cell r="D596">
            <v>937.09999999999991</v>
          </cell>
          <cell r="E596">
            <v>1161.345</v>
          </cell>
          <cell r="F596">
            <v>1411.54</v>
          </cell>
          <cell r="G596">
            <v>1596.37</v>
          </cell>
          <cell r="H596">
            <v>1752.787</v>
          </cell>
          <cell r="I596">
            <v>1929.9680000000001</v>
          </cell>
          <cell r="J596">
            <v>2231.3519999999999</v>
          </cell>
          <cell r="K596">
            <v>2244.9500000000003</v>
          </cell>
          <cell r="L596">
            <v>2395.75</v>
          </cell>
          <cell r="M596">
            <v>2534.58</v>
          </cell>
          <cell r="N596">
            <v>2797.8561473746981</v>
          </cell>
          <cell r="O596">
            <v>2996.9885180133233</v>
          </cell>
          <cell r="P596">
            <v>3247.8526354307369</v>
          </cell>
          <cell r="Q596">
            <v>3466.5464291095473</v>
          </cell>
          <cell r="R596">
            <v>3688.1246494248389</v>
          </cell>
          <cell r="S596">
            <v>3888.742541674741</v>
          </cell>
          <cell r="T596">
            <v>4077.0798434898616</v>
          </cell>
          <cell r="U596">
            <v>4270.000473348362</v>
          </cell>
          <cell r="V596">
            <v>4454.9599264630569</v>
          </cell>
          <cell r="W596">
            <v>4629.6940908387105</v>
          </cell>
          <cell r="Y596">
            <v>7.0505674784887784E-2</v>
          </cell>
        </row>
        <row r="597">
          <cell r="A597" t="str">
            <v xml:space="preserve">    % change</v>
          </cell>
          <cell r="C597">
            <v>0.28206314328668902</v>
          </cell>
          <cell r="D597">
            <v>-6.0777356826427827E-2</v>
          </cell>
          <cell r="E597">
            <v>0.23929676662042487</v>
          </cell>
          <cell r="F597">
            <v>0.21543555102058384</v>
          </cell>
          <cell r="G597">
            <v>0.13094209161624887</v>
          </cell>
          <cell r="H597">
            <v>9.7982923758276691E-2</v>
          </cell>
          <cell r="I597">
            <v>0.10108530015341284</v>
          </cell>
          <cell r="J597">
            <v>0.15616010213640835</v>
          </cell>
          <cell r="K597">
            <v>6.0940631509508189E-3</v>
          </cell>
          <cell r="L597">
            <v>6.7172988262544697E-2</v>
          </cell>
          <cell r="M597">
            <v>5.7948450380882782E-2</v>
          </cell>
          <cell r="N597">
            <v>0.10387367823256644</v>
          </cell>
          <cell r="O597">
            <v>7.1173198388157402E-2</v>
          </cell>
          <cell r="P597">
            <v>8.3705398238799106E-2</v>
          </cell>
          <cell r="Q597">
            <v>6.733488807130153E-2</v>
          </cell>
          <cell r="R597">
            <v>6.3919011282998608E-2</v>
          </cell>
          <cell r="S597">
            <v>5.4395637707415428E-2</v>
          </cell>
          <cell r="T597">
            <v>4.8431414473124386E-2</v>
          </cell>
          <cell r="U597">
            <v>4.7318335000613082E-2</v>
          </cell>
          <cell r="V597">
            <v>4.3316026372628762E-2</v>
          </cell>
          <cell r="W597">
            <v>3.9222387464746718E-2</v>
          </cell>
        </row>
        <row r="598">
          <cell r="A598" t="str">
            <v xml:space="preserve">    as a % of gross block</v>
          </cell>
          <cell r="B598">
            <v>3.3617137081097898E-2</v>
          </cell>
          <cell r="C598">
            <v>3.4575739041087579E-2</v>
          </cell>
          <cell r="D598">
            <v>2.6738166271391101E-2</v>
          </cell>
          <cell r="E598">
            <v>2.7634279655926217E-2</v>
          </cell>
          <cell r="F598">
            <v>2.8972436427675642E-2</v>
          </cell>
          <cell r="G598">
            <v>2.6557477957078687E-2</v>
          </cell>
          <cell r="H598">
            <v>2.5117540406856705E-2</v>
          </cell>
          <cell r="I598">
            <v>2.3950794770663059E-2</v>
          </cell>
          <cell r="J598">
            <v>2.494207164759173E-2</v>
          </cell>
          <cell r="K598">
            <v>2.2770153860697112E-2</v>
          </cell>
          <cell r="L598">
            <v>2.2430112516166629E-2</v>
          </cell>
          <cell r="M598">
            <v>2.1603576610879572E-2</v>
          </cell>
          <cell r="N598">
            <v>2.1999999999999999E-2</v>
          </cell>
          <cell r="O598">
            <v>2.1999999999999999E-2</v>
          </cell>
          <cell r="P598">
            <v>2.1999999999999999E-2</v>
          </cell>
          <cell r="Q598">
            <v>2.1999999999999999E-2</v>
          </cell>
          <cell r="R598">
            <v>2.1999999999999999E-2</v>
          </cell>
          <cell r="S598">
            <v>2.1999999999999999E-2</v>
          </cell>
          <cell r="T598">
            <v>2.1999999999999999E-2</v>
          </cell>
          <cell r="U598">
            <v>2.1999999999999999E-2</v>
          </cell>
          <cell r="V598">
            <v>2.1999999999999999E-2</v>
          </cell>
          <cell r="W598">
            <v>2.1999999999999999E-2</v>
          </cell>
        </row>
        <row r="599">
          <cell r="A599" t="str">
            <v>Administration</v>
          </cell>
          <cell r="B599">
            <v>419.76499999999999</v>
          </cell>
          <cell r="C599">
            <v>668.17000000000007</v>
          </cell>
          <cell r="D599">
            <v>817.08</v>
          </cell>
          <cell r="E599">
            <v>942.38999999999987</v>
          </cell>
          <cell r="F599">
            <v>1252.21</v>
          </cell>
          <cell r="G599">
            <v>1646.22</v>
          </cell>
          <cell r="H599">
            <v>1824.627</v>
          </cell>
          <cell r="I599">
            <v>1709.126</v>
          </cell>
          <cell r="J599">
            <v>2106.09</v>
          </cell>
          <cell r="K599">
            <v>2789.0600000000004</v>
          </cell>
          <cell r="L599">
            <v>2782.6400000000003</v>
          </cell>
          <cell r="M599">
            <v>3151.04</v>
          </cell>
          <cell r="N599">
            <v>3308.5920000000001</v>
          </cell>
          <cell r="O599">
            <v>3474.0216</v>
          </cell>
          <cell r="P599">
            <v>3647.7226800000003</v>
          </cell>
          <cell r="Q599">
            <v>3830.1088140000006</v>
          </cell>
          <cell r="R599">
            <v>4021.6142547000009</v>
          </cell>
          <cell r="S599">
            <v>4222.6949674350008</v>
          </cell>
          <cell r="T599">
            <v>4433.8297158067508</v>
          </cell>
          <cell r="U599">
            <v>4655.5212015970883</v>
          </cell>
          <cell r="V599">
            <v>4888.297261676943</v>
          </cell>
          <cell r="W599">
            <v>5132.7121247607902</v>
          </cell>
          <cell r="Y599">
            <v>0.16525227318729785</v>
          </cell>
        </row>
        <row r="600">
          <cell r="A600" t="str">
            <v xml:space="preserve">    % change</v>
          </cell>
          <cell r="C600">
            <v>0.59177158648291328</v>
          </cell>
          <cell r="D600">
            <v>0.22286244518610526</v>
          </cell>
          <cell r="E600">
            <v>0.1533631957703038</v>
          </cell>
          <cell r="F600">
            <v>0.32875985526162227</v>
          </cell>
          <cell r="G600">
            <v>0.31465169580182234</v>
          </cell>
          <cell r="H600">
            <v>0.10837372890622148</v>
          </cell>
          <cell r="I600">
            <v>-6.3301156893984342E-2</v>
          </cell>
          <cell r="J600">
            <v>0.23226140144143859</v>
          </cell>
          <cell r="K600">
            <v>0.32428338769948112</v>
          </cell>
          <cell r="L600">
            <v>-2.3018508027794569E-3</v>
          </cell>
          <cell r="M600">
            <v>0.13239226058706824</v>
          </cell>
          <cell r="N600">
            <v>5.0000000000000044E-2</v>
          </cell>
          <cell r="O600">
            <v>4.9999999999999982E-2</v>
          </cell>
          <cell r="P600">
            <v>5.0000000000000079E-2</v>
          </cell>
          <cell r="Q600">
            <v>5.0000000000000079E-2</v>
          </cell>
          <cell r="R600">
            <v>5.0000000000000051E-2</v>
          </cell>
          <cell r="S600">
            <v>4.9999999999999968E-2</v>
          </cell>
          <cell r="T600">
            <v>4.9999999999999989E-2</v>
          </cell>
          <cell r="U600">
            <v>0.05</v>
          </cell>
          <cell r="V600">
            <v>5.0000000000000058E-2</v>
          </cell>
          <cell r="W600">
            <v>5.000000000000001E-2</v>
          </cell>
        </row>
        <row r="601">
          <cell r="A601" t="str">
            <v>Comm on franchised services</v>
          </cell>
          <cell r="B601">
            <v>0</v>
          </cell>
          <cell r="C601">
            <v>0</v>
          </cell>
          <cell r="D601">
            <v>106.92</v>
          </cell>
          <cell r="E601">
            <v>227.2</v>
          </cell>
          <cell r="F601">
            <v>400.39</v>
          </cell>
          <cell r="G601">
            <v>564.47</v>
          </cell>
          <cell r="H601">
            <v>911.70699999999999</v>
          </cell>
          <cell r="I601">
            <v>1175.3900000000001</v>
          </cell>
          <cell r="J601">
            <v>1473.787</v>
          </cell>
          <cell r="K601">
            <v>1705.6</v>
          </cell>
          <cell r="L601">
            <v>2157.37</v>
          </cell>
          <cell r="M601">
            <v>2600.63</v>
          </cell>
          <cell r="N601">
            <v>2535.0284782266967</v>
          </cell>
          <cell r="O601">
            <v>2282.1489881990201</v>
          </cell>
          <cell r="P601">
            <v>2250.5752703171347</v>
          </cell>
          <cell r="Q601">
            <v>2199.6843953203156</v>
          </cell>
          <cell r="R601">
            <v>2181.1573441517276</v>
          </cell>
          <cell r="S601">
            <v>2150.408559773944</v>
          </cell>
          <cell r="T601">
            <v>2108.7942303916461</v>
          </cell>
          <cell r="U601">
            <v>2052.5437578937554</v>
          </cell>
          <cell r="V601">
            <v>1988.0561596573448</v>
          </cell>
          <cell r="W601">
            <v>1915.251334832222</v>
          </cell>
          <cell r="Y601">
            <v>0.21961889523292233</v>
          </cell>
        </row>
        <row r="602">
          <cell r="A602" t="str">
            <v xml:space="preserve">    as a % of tel revenue</v>
          </cell>
          <cell r="B602">
            <v>0</v>
          </cell>
          <cell r="C602">
            <v>0</v>
          </cell>
          <cell r="D602">
            <v>0.62572385165452227</v>
          </cell>
          <cell r="E602">
            <v>0.95458575095899723</v>
          </cell>
          <cell r="F602">
            <v>1.4167766252910849</v>
          </cell>
          <cell r="G602">
            <v>1.6978475878371888</v>
          </cell>
          <cell r="H602">
            <v>2.3669020483397802</v>
          </cell>
          <cell r="I602">
            <v>2.6598979675821446</v>
          </cell>
          <cell r="J602">
            <v>3.0424432211256831</v>
          </cell>
          <cell r="K602">
            <v>3.4765926212501421</v>
          </cell>
          <cell r="L602">
            <v>4.0329595369303952</v>
          </cell>
          <cell r="M602">
            <v>4.7275044841333393</v>
          </cell>
          <cell r="N602">
            <v>4.618266372614996</v>
          </cell>
          <cell r="O602">
            <v>4.3544574936792273</v>
          </cell>
          <cell r="P602">
            <v>4.3105316745427382</v>
          </cell>
          <cell r="Q602">
            <v>4.2222237397565499</v>
          </cell>
          <cell r="R602">
            <v>4.1692471482138718</v>
          </cell>
          <cell r="S602">
            <v>4.1082173710897205</v>
          </cell>
          <cell r="T602">
            <v>4.056174357447631</v>
          </cell>
          <cell r="U602">
            <v>4.0143685180358339</v>
          </cell>
          <cell r="V602">
            <v>3.9938073222566532</v>
          </cell>
          <cell r="W602">
            <v>4.0059928718534943</v>
          </cell>
        </row>
        <row r="603">
          <cell r="A603" t="str">
            <v>Others</v>
          </cell>
          <cell r="B603">
            <v>109.23899999999999</v>
          </cell>
          <cell r="C603">
            <v>219.76000000000002</v>
          </cell>
          <cell r="D603">
            <v>148.20999999999998</v>
          </cell>
          <cell r="E603">
            <v>74.052999999999997</v>
          </cell>
          <cell r="F603">
            <v>277.69</v>
          </cell>
          <cell r="G603">
            <v>172.50999999999996</v>
          </cell>
          <cell r="H603">
            <v>278.7881999999999</v>
          </cell>
          <cell r="I603">
            <v>1418.473</v>
          </cell>
          <cell r="J603">
            <v>440.75399999999996</v>
          </cell>
          <cell r="K603">
            <v>961.1099999999999</v>
          </cell>
          <cell r="L603">
            <v>1557.7799999999997</v>
          </cell>
          <cell r="M603">
            <v>1397.57</v>
          </cell>
          <cell r="N603">
            <v>1547.7918447718644</v>
          </cell>
          <cell r="O603">
            <v>1559.0001942713989</v>
          </cell>
          <cell r="P603">
            <v>1604.1950929815691</v>
          </cell>
          <cell r="Q603">
            <v>1653.1670029376139</v>
          </cell>
          <cell r="R603">
            <v>1707.8362450485847</v>
          </cell>
          <cell r="S603">
            <v>1771.5232971747539</v>
          </cell>
          <cell r="T603">
            <v>1840.5121205539308</v>
          </cell>
          <cell r="U603">
            <v>1918.244193265233</v>
          </cell>
          <cell r="V603">
            <v>2004.5054782605825</v>
          </cell>
          <cell r="W603">
            <v>2099.8039431308425</v>
          </cell>
          <cell r="Y603">
            <v>-3.7046026291428502E-3</v>
          </cell>
        </row>
        <row r="604">
          <cell r="A604" t="str">
            <v xml:space="preserve">      Bad/doubtful debts/wrongful billing</v>
          </cell>
          <cell r="B604">
            <v>56.62</v>
          </cell>
          <cell r="C604">
            <v>93.2</v>
          </cell>
          <cell r="D604">
            <v>149.91999999999999</v>
          </cell>
          <cell r="E604">
            <v>76.790000000000006</v>
          </cell>
          <cell r="F604">
            <v>252.12</v>
          </cell>
          <cell r="G604">
            <v>342.84</v>
          </cell>
          <cell r="H604">
            <v>516.43769999999995</v>
          </cell>
          <cell r="I604">
            <v>1419.7329999999999</v>
          </cell>
          <cell r="J604">
            <v>425.09999999999997</v>
          </cell>
          <cell r="K604">
            <v>657.77</v>
          </cell>
          <cell r="L604">
            <v>1122.24</v>
          </cell>
          <cell r="M604">
            <v>811.18</v>
          </cell>
          <cell r="N604">
            <v>967.76184477186439</v>
          </cell>
          <cell r="O604">
            <v>978.97019427139878</v>
          </cell>
          <cell r="P604">
            <v>1024.1650929815692</v>
          </cell>
          <cell r="Q604">
            <v>1073.1370029376139</v>
          </cell>
          <cell r="R604">
            <v>1127.8062450485847</v>
          </cell>
          <cell r="S604">
            <v>1191.4932971747539</v>
          </cell>
          <cell r="T604">
            <v>1260.4821205539308</v>
          </cell>
          <cell r="U604">
            <v>1338.214193265233</v>
          </cell>
          <cell r="V604">
            <v>1424.4754782605826</v>
          </cell>
          <cell r="W604">
            <v>1519.7739431308428</v>
          </cell>
        </row>
        <row r="605">
          <cell r="A605" t="str">
            <v xml:space="preserve">          as a % of rev</v>
          </cell>
          <cell r="B605">
            <v>4.3218173921472985E-3</v>
          </cell>
          <cell r="C605">
            <v>5.9923513935431771E-3</v>
          </cell>
          <cell r="D605">
            <v>8.1838036891530193E-3</v>
          </cell>
          <cell r="E605">
            <v>3.0622295774928717E-3</v>
          </cell>
          <cell r="F605">
            <v>8.5554862921169879E-3</v>
          </cell>
          <cell r="G605">
            <v>9.9428032153675294E-3</v>
          </cell>
          <cell r="H605">
            <v>1.2812127760626461E-2</v>
          </cell>
          <cell r="I605">
            <v>3.0501790813324225E-2</v>
          </cell>
          <cell r="J605">
            <v>8.4471581770806121E-3</v>
          </cell>
          <cell r="K605">
            <v>1.2692879101276928E-2</v>
          </cell>
          <cell r="L605">
            <v>1.9400537497782897E-2</v>
          </cell>
          <cell r="M605">
            <v>1.3203392600318633E-2</v>
          </cell>
          <cell r="N605">
            <v>1.4999999999999999E-2</v>
          </cell>
          <cell r="O605">
            <v>1.4999999999999999E-2</v>
          </cell>
          <cell r="P605">
            <v>1.4999999999999999E-2</v>
          </cell>
          <cell r="Q605">
            <v>1.4999999999999999E-2</v>
          </cell>
          <cell r="R605">
            <v>1.4999999999999999E-2</v>
          </cell>
          <cell r="S605">
            <v>1.4999999999999999E-2</v>
          </cell>
          <cell r="T605">
            <v>1.4999999999999999E-2</v>
          </cell>
          <cell r="U605">
            <v>1.4999999999999999E-2</v>
          </cell>
          <cell r="V605">
            <v>1.4999999999999999E-2</v>
          </cell>
          <cell r="W605">
            <v>1.4999999999999999E-2</v>
          </cell>
          <cell r="X605">
            <v>1.34E-2</v>
          </cell>
        </row>
        <row r="606">
          <cell r="A606" t="str">
            <v xml:space="preserve">      Loss on sale of assets</v>
          </cell>
          <cell r="B606">
            <v>9.9000000000000005E-2</v>
          </cell>
          <cell r="C606">
            <v>2.97</v>
          </cell>
          <cell r="D606">
            <v>0.44</v>
          </cell>
          <cell r="E606">
            <v>2.3E-2</v>
          </cell>
          <cell r="F606">
            <v>28.7</v>
          </cell>
          <cell r="G606">
            <v>4.09</v>
          </cell>
          <cell r="H606">
            <v>0.19450000000000001</v>
          </cell>
          <cell r="I606">
            <v>5.0979999999999999</v>
          </cell>
          <cell r="J606">
            <v>17.427</v>
          </cell>
          <cell r="K606">
            <v>56.62</v>
          </cell>
          <cell r="L606">
            <v>3.77</v>
          </cell>
          <cell r="M606">
            <v>15.84</v>
          </cell>
          <cell r="N606">
            <v>0</v>
          </cell>
          <cell r="O606">
            <v>0</v>
          </cell>
          <cell r="P606">
            <v>0</v>
          </cell>
          <cell r="Q606">
            <v>0</v>
          </cell>
          <cell r="R606">
            <v>0</v>
          </cell>
          <cell r="S606">
            <v>0</v>
          </cell>
          <cell r="T606">
            <v>0</v>
          </cell>
          <cell r="U606">
            <v>0</v>
          </cell>
          <cell r="V606">
            <v>0</v>
          </cell>
          <cell r="W606">
            <v>0</v>
          </cell>
        </row>
        <row r="607">
          <cell r="A607" t="str">
            <v xml:space="preserve">      Front end fees on bond issues</v>
          </cell>
          <cell r="B607">
            <v>145.72999999999999</v>
          </cell>
          <cell r="C607">
            <v>308.5</v>
          </cell>
          <cell r="D607">
            <v>282.89999999999998</v>
          </cell>
          <cell r="E607">
            <v>19</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row>
        <row r="608">
          <cell r="A608" t="str">
            <v xml:space="preserve">      Less: DOT's share of bond expenses</v>
          </cell>
          <cell r="B608">
            <v>93.21</v>
          </cell>
          <cell r="C608">
            <v>184.91</v>
          </cell>
          <cell r="D608">
            <v>285.05</v>
          </cell>
          <cell r="E608">
            <v>21.76</v>
          </cell>
          <cell r="F608">
            <v>3.13</v>
          </cell>
          <cell r="G608">
            <v>174.42</v>
          </cell>
          <cell r="H608">
            <v>237.84399999999999</v>
          </cell>
          <cell r="I608">
            <v>6.3579999999999997</v>
          </cell>
          <cell r="J608">
            <v>5.3390000000000004</v>
          </cell>
          <cell r="K608">
            <v>15.69</v>
          </cell>
          <cell r="L608">
            <v>5.63</v>
          </cell>
          <cell r="M608">
            <v>9.48</v>
          </cell>
          <cell r="N608">
            <v>0</v>
          </cell>
          <cell r="O608">
            <v>0</v>
          </cell>
          <cell r="P608">
            <v>0</v>
          </cell>
          <cell r="Q608">
            <v>0</v>
          </cell>
          <cell r="R608">
            <v>0</v>
          </cell>
          <cell r="S608">
            <v>0</v>
          </cell>
          <cell r="T608">
            <v>0</v>
          </cell>
          <cell r="U608">
            <v>0</v>
          </cell>
          <cell r="V608">
            <v>0</v>
          </cell>
          <cell r="W608">
            <v>0</v>
          </cell>
        </row>
        <row r="609">
          <cell r="A609" t="str">
            <v xml:space="preserve">     Others</v>
          </cell>
          <cell r="K609">
            <v>262.41000000000003</v>
          </cell>
          <cell r="L609">
            <v>437.4</v>
          </cell>
          <cell r="M609">
            <v>580.03</v>
          </cell>
          <cell r="N609">
            <v>580.03</v>
          </cell>
          <cell r="O609">
            <v>580.03</v>
          </cell>
          <cell r="P609">
            <v>580.03</v>
          </cell>
          <cell r="Q609">
            <v>580.03</v>
          </cell>
          <cell r="R609">
            <v>580.03</v>
          </cell>
          <cell r="S609">
            <v>580.03</v>
          </cell>
          <cell r="T609">
            <v>580.03</v>
          </cell>
          <cell r="U609">
            <v>580.03</v>
          </cell>
          <cell r="V609">
            <v>580.03</v>
          </cell>
          <cell r="W609">
            <v>580.03</v>
          </cell>
        </row>
        <row r="610">
          <cell r="B610">
            <v>3.6336560520976072E-2</v>
          </cell>
          <cell r="C610">
            <v>5.5303494788473323E-2</v>
          </cell>
          <cell r="D610">
            <v>7.9115944201124652E-2</v>
          </cell>
          <cell r="E610">
            <v>5.095261009194183E-3</v>
          </cell>
          <cell r="F610">
            <v>6.0673436374791259E-4</v>
          </cell>
          <cell r="G610">
            <v>2.7378339837245642E-2</v>
          </cell>
          <cell r="H610">
            <v>3.0253491741123528E-2</v>
          </cell>
        </row>
        <row r="611">
          <cell r="A611" t="str">
            <v>Operating costs</v>
          </cell>
          <cell r="B611">
            <v>6208.3739999999989</v>
          </cell>
          <cell r="C611">
            <v>7040.33</v>
          </cell>
          <cell r="D611">
            <v>7959.8300000000008</v>
          </cell>
          <cell r="E611">
            <v>11314.887999999999</v>
          </cell>
          <cell r="F611">
            <v>13653.284999999998</v>
          </cell>
          <cell r="G611">
            <v>16708.309599999997</v>
          </cell>
          <cell r="H611">
            <v>20221.757225999998</v>
          </cell>
          <cell r="I611">
            <v>24351.048999999999</v>
          </cell>
          <cell r="J611">
            <v>26394.614999999998</v>
          </cell>
          <cell r="K611">
            <v>32392.52</v>
          </cell>
          <cell r="L611">
            <v>36048.359999999993</v>
          </cell>
          <cell r="M611">
            <v>37676.22</v>
          </cell>
          <cell r="N611">
            <v>43560.152380376821</v>
          </cell>
          <cell r="O611">
            <v>46471.98511747524</v>
          </cell>
          <cell r="P611">
            <v>50581.529204135462</v>
          </cell>
          <cell r="Q611">
            <v>55147.264187278764</v>
          </cell>
          <cell r="R611">
            <v>60354.796629866833</v>
          </cell>
          <cell r="S611">
            <v>66269.195671241832</v>
          </cell>
          <cell r="T611">
            <v>72721.190867699552</v>
          </cell>
          <cell r="U611">
            <v>79797.367433032574</v>
          </cell>
          <cell r="V611">
            <v>87493.090360501054</v>
          </cell>
          <cell r="W611">
            <v>96103.189799911299</v>
          </cell>
          <cell r="Y611">
            <v>0.1152889835248474</v>
          </cell>
        </row>
        <row r="612">
          <cell r="A612" t="str">
            <v>% change</v>
          </cell>
          <cell r="C612">
            <v>0.13400545778975315</v>
          </cell>
          <cell r="D612">
            <v>0.13060467336048176</v>
          </cell>
          <cell r="E612">
            <v>0.42149870034912773</v>
          </cell>
          <cell r="F612">
            <v>0.20666550124048944</v>
          </cell>
          <cell r="G612">
            <v>0.22375747668052037</v>
          </cell>
          <cell r="H612">
            <v>0.21028145336737136</v>
          </cell>
          <cell r="I612">
            <v>0.20420044251598424</v>
          </cell>
          <cell r="J612">
            <v>8.392106639841268E-2</v>
          </cell>
          <cell r="K612">
            <v>0.22723972295106409</v>
          </cell>
          <cell r="L612">
            <v>0.11286062337848346</v>
          </cell>
          <cell r="M612">
            <v>4.51576715279145E-2</v>
          </cell>
          <cell r="N612">
            <v>0.15617098478501346</v>
          </cell>
          <cell r="O612">
            <v>6.6846247728236996E-2</v>
          </cell>
          <cell r="P612">
            <v>8.8430569003493664E-2</v>
          </cell>
          <cell r="Q612">
            <v>9.0264866542825173E-2</v>
          </cell>
          <cell r="R612">
            <v>9.4429569976552497E-2</v>
          </cell>
          <cell r="S612">
            <v>9.7993852545735116E-2</v>
          </cell>
          <cell r="T612">
            <v>9.7360396955257222E-2</v>
          </cell>
          <cell r="U612">
            <v>9.7305565006582384E-2</v>
          </cell>
          <cell r="V612">
            <v>9.6440812210087934E-2</v>
          </cell>
          <cell r="W612">
            <v>9.8408907536969181E-2</v>
          </cell>
        </row>
        <row r="613">
          <cell r="A613" t="str">
            <v>EBITDA</v>
          </cell>
          <cell r="B613">
            <v>6892.5960000000023</v>
          </cell>
          <cell r="C613">
            <v>8512.83</v>
          </cell>
          <cell r="D613">
            <v>10359.279999999999</v>
          </cell>
          <cell r="E613">
            <v>13761.612000000005</v>
          </cell>
          <cell r="F613">
            <v>15815.525000000003</v>
          </cell>
          <cell r="G613">
            <v>17772.911900000003</v>
          </cell>
          <cell r="H613">
            <v>20086.746533000001</v>
          </cell>
          <cell r="I613">
            <v>22194.841</v>
          </cell>
          <cell r="J613">
            <v>23930.002</v>
          </cell>
          <cell r="K613">
            <v>19429.45</v>
          </cell>
          <cell r="L613">
            <v>21797.460000000014</v>
          </cell>
          <cell r="M613">
            <v>23761.019999999997</v>
          </cell>
          <cell r="N613">
            <v>20957.303937747471</v>
          </cell>
          <cell r="O613">
            <v>18792.694500618018</v>
          </cell>
          <cell r="P613">
            <v>17696.143661302478</v>
          </cell>
          <cell r="Q613">
            <v>16395.202675228837</v>
          </cell>
          <cell r="R613">
            <v>14832.286373372161</v>
          </cell>
          <cell r="S613">
            <v>13163.690807075094</v>
          </cell>
          <cell r="T613">
            <v>11310.950502562511</v>
          </cell>
          <cell r="U613">
            <v>9416.9121179829672</v>
          </cell>
          <cell r="V613">
            <v>7471.9415235377819</v>
          </cell>
          <cell r="W613">
            <v>5215.0730754782271</v>
          </cell>
          <cell r="Y613">
            <v>1.7192760134750351E-2</v>
          </cell>
        </row>
        <row r="614">
          <cell r="A614" t="str">
            <v>% change</v>
          </cell>
          <cell r="C614">
            <v>0.23506876073978478</v>
          </cell>
          <cell r="D614">
            <v>0.21690201730799252</v>
          </cell>
          <cell r="E614">
            <v>0.32843325018727221</v>
          </cell>
          <cell r="F614">
            <v>0.14924944839310972</v>
          </cell>
          <cell r="G614">
            <v>0.12376363731207141</v>
          </cell>
          <cell r="H614">
            <v>0.13018883152174965</v>
          </cell>
          <cell r="I614">
            <v>0.10494952298704341</v>
          </cell>
          <cell r="J614">
            <v>7.8178573119762396E-2</v>
          </cell>
          <cell r="K614">
            <v>-0.18807152627901991</v>
          </cell>
          <cell r="L614">
            <v>0.1218773562813158</v>
          </cell>
          <cell r="M614">
            <v>9.0082055432145758E-2</v>
          </cell>
          <cell r="N614">
            <v>-0.11799645226730693</v>
          </cell>
          <cell r="O614">
            <v>-0.1032866366570484</v>
          </cell>
          <cell r="P614">
            <v>-5.8349846493778612E-2</v>
          </cell>
          <cell r="Q614">
            <v>-7.3515507727172746E-2</v>
          </cell>
          <cell r="R614">
            <v>-9.5327659731712422E-2</v>
          </cell>
          <cell r="S614">
            <v>-0.1124975289913922</v>
          </cell>
          <cell r="T614">
            <v>-0.1407462642252878</v>
          </cell>
          <cell r="U614">
            <v>-0.16745174370186189</v>
          </cell>
          <cell r="V614">
            <v>-0.20654016625375315</v>
          </cell>
          <cell r="W614">
            <v>-0.30204578568368967</v>
          </cell>
        </row>
        <row r="615">
          <cell r="A615" t="str">
            <v>Margin %</v>
          </cell>
          <cell r="B615">
            <v>52.611340992308222</v>
          </cell>
          <cell r="C615">
            <v>54.733764714051681</v>
          </cell>
          <cell r="D615">
            <v>56.549035406196033</v>
          </cell>
          <cell r="E615">
            <v>54.878519729627349</v>
          </cell>
          <cell r="F615">
            <v>53.668692424295394</v>
          </cell>
          <cell r="G615">
            <v>51.543742149621941</v>
          </cell>
          <cell r="H615">
            <v>49.832528275165942</v>
          </cell>
          <cell r="I615">
            <v>47.68378260679944</v>
          </cell>
          <cell r="J615">
            <v>47.551284891050436</v>
          </cell>
          <cell r="K615">
            <v>37.492688911672019</v>
          </cell>
          <cell r="L615">
            <v>37.681996728544966</v>
          </cell>
          <cell r="M615">
            <v>38.675272522007816</v>
          </cell>
          <cell r="N615">
            <v>32.483152829849139</v>
          </cell>
          <cell r="O615">
            <v>28.794586306998649</v>
          </cell>
          <cell r="P615">
            <v>25.917906862728241</v>
          </cell>
          <cell r="Q615">
            <v>22.916742173201289</v>
          </cell>
          <cell r="R615">
            <v>19.727173579447417</v>
          </cell>
          <cell r="S615">
            <v>16.572091725092267</v>
          </cell>
          <cell r="T615">
            <v>13.460266890884345</v>
          </cell>
          <cell r="U615">
            <v>10.5553866100528</v>
          </cell>
          <cell r="V615">
            <v>7.8680977358715776</v>
          </cell>
          <cell r="W615">
            <v>5.1472191957063078</v>
          </cell>
        </row>
        <row r="616">
          <cell r="A616" t="str">
            <v>Other income - total</v>
          </cell>
          <cell r="B616">
            <v>80.150000000000006</v>
          </cell>
          <cell r="C616">
            <v>176.77</v>
          </cell>
          <cell r="D616">
            <v>257.58999999999997</v>
          </cell>
          <cell r="E616">
            <v>141</v>
          </cell>
          <cell r="F616">
            <v>682.3</v>
          </cell>
          <cell r="G616">
            <v>704.76</v>
          </cell>
          <cell r="H616">
            <v>653.05100000000004</v>
          </cell>
          <cell r="I616">
            <v>1247.825</v>
          </cell>
          <cell r="J616">
            <v>2268.33</v>
          </cell>
          <cell r="K616">
            <v>1747</v>
          </cell>
          <cell r="L616">
            <v>3180.23</v>
          </cell>
          <cell r="M616">
            <v>2483.46</v>
          </cell>
          <cell r="N616">
            <v>2191.722281181912</v>
          </cell>
          <cell r="O616">
            <v>2459.1053037199126</v>
          </cell>
          <cell r="P616">
            <v>2625.2606437557624</v>
          </cell>
          <cell r="Q616">
            <v>2816.6871594902559</v>
          </cell>
          <cell r="R616">
            <v>2977.7033459633185</v>
          </cell>
          <cell r="S616">
            <v>3153.0490155343064</v>
          </cell>
          <cell r="T616">
            <v>3273.9290917330518</v>
          </cell>
          <cell r="U616">
            <v>3314.0693310774564</v>
          </cell>
          <cell r="V616">
            <v>3302.4833239336253</v>
          </cell>
          <cell r="W616">
            <v>3227.7247556816114</v>
          </cell>
          <cell r="Y616">
            <v>0.18775227722729904</v>
          </cell>
        </row>
        <row r="617">
          <cell r="A617" t="str">
            <v xml:space="preserve">          - interest</v>
          </cell>
          <cell r="B617">
            <v>57.800000000000004</v>
          </cell>
          <cell r="C617">
            <v>136.4</v>
          </cell>
          <cell r="D617">
            <v>228.66000000000003</v>
          </cell>
          <cell r="E617">
            <v>94.81</v>
          </cell>
          <cell r="F617">
            <v>332.65999999999997</v>
          </cell>
          <cell r="G617">
            <v>317.27999999999997</v>
          </cell>
          <cell r="H617">
            <v>427.34799999999996</v>
          </cell>
          <cell r="I617">
            <v>626.84999999999991</v>
          </cell>
          <cell r="J617">
            <v>1225.77</v>
          </cell>
          <cell r="K617">
            <v>1117.21</v>
          </cell>
          <cell r="L617">
            <v>1793.04</v>
          </cell>
          <cell r="M617">
            <v>1573.22</v>
          </cell>
          <cell r="N617">
            <v>1441.7222811819117</v>
          </cell>
          <cell r="O617">
            <v>1709.1053037199126</v>
          </cell>
          <cell r="P617">
            <v>1875.2606437557624</v>
          </cell>
          <cell r="Q617">
            <v>2066.6871594902559</v>
          </cell>
          <cell r="R617">
            <v>2227.7033459633185</v>
          </cell>
          <cell r="S617">
            <v>2403.0490155343064</v>
          </cell>
          <cell r="T617">
            <v>2523.9290917330518</v>
          </cell>
          <cell r="U617">
            <v>2564.0693310774564</v>
          </cell>
          <cell r="V617">
            <v>2552.4833239336253</v>
          </cell>
          <cell r="W617">
            <v>2477.7247556816114</v>
          </cell>
        </row>
        <row r="618">
          <cell r="A618" t="str">
            <v xml:space="preserve">          - others</v>
          </cell>
          <cell r="B618">
            <v>22.35</v>
          </cell>
          <cell r="C618">
            <v>40.370000000000005</v>
          </cell>
          <cell r="D618">
            <v>28.92999999999995</v>
          </cell>
          <cell r="E618">
            <v>46.19</v>
          </cell>
          <cell r="F618">
            <v>349.64</v>
          </cell>
          <cell r="G618">
            <v>387.48</v>
          </cell>
          <cell r="H618">
            <v>225.70300000000009</v>
          </cell>
          <cell r="I618">
            <v>620.97500000000014</v>
          </cell>
          <cell r="J618">
            <v>1042.56</v>
          </cell>
          <cell r="K618">
            <v>629.79</v>
          </cell>
          <cell r="L618">
            <v>1387.19</v>
          </cell>
          <cell r="M618">
            <v>910.24</v>
          </cell>
          <cell r="N618">
            <v>750</v>
          </cell>
          <cell r="O618">
            <v>750</v>
          </cell>
          <cell r="P618">
            <v>750</v>
          </cell>
          <cell r="Q618">
            <v>750</v>
          </cell>
          <cell r="R618">
            <v>750</v>
          </cell>
          <cell r="S618">
            <v>750</v>
          </cell>
          <cell r="T618">
            <v>750</v>
          </cell>
          <cell r="U618">
            <v>750</v>
          </cell>
          <cell r="V618">
            <v>750</v>
          </cell>
          <cell r="W618">
            <v>750</v>
          </cell>
        </row>
        <row r="619">
          <cell r="A619" t="str">
            <v>Revenue from 'other telecom ventures'</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row>
        <row r="620">
          <cell r="A620" t="str">
            <v>Preliminary expenses written off</v>
          </cell>
          <cell r="B620">
            <v>0.4</v>
          </cell>
          <cell r="C620">
            <v>0.4</v>
          </cell>
          <cell r="D620">
            <v>0.4</v>
          </cell>
          <cell r="E620">
            <v>0.4</v>
          </cell>
          <cell r="F620">
            <v>0.4</v>
          </cell>
          <cell r="G620">
            <v>0.4</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1</v>
          </cell>
          <cell r="W620">
            <v>2</v>
          </cell>
        </row>
        <row r="621">
          <cell r="A621" t="str">
            <v>Depreciation</v>
          </cell>
          <cell r="B621">
            <v>2482.9899999999998</v>
          </cell>
          <cell r="C621">
            <v>3108.61</v>
          </cell>
          <cell r="D621">
            <v>3790.45</v>
          </cell>
          <cell r="E621">
            <v>3998.2</v>
          </cell>
          <cell r="F621">
            <v>4290.3100000000004</v>
          </cell>
          <cell r="G621">
            <v>4654.3999999999996</v>
          </cell>
          <cell r="H621">
            <v>5150.375</v>
          </cell>
          <cell r="I621">
            <v>5856.1994999999997</v>
          </cell>
          <cell r="J621">
            <v>6570.51</v>
          </cell>
          <cell r="K621">
            <v>7092.81</v>
          </cell>
          <cell r="L621">
            <v>7692.46</v>
          </cell>
          <cell r="M621">
            <v>8164.56</v>
          </cell>
          <cell r="N621">
            <v>8801.9106993404148</v>
          </cell>
          <cell r="O621">
            <v>9482.4730888167633</v>
          </cell>
          <cell r="P621">
            <v>10218.830978363007</v>
          </cell>
          <cell r="Q621">
            <v>10987.198469247736</v>
          </cell>
          <cell r="R621">
            <v>11707.643583056268</v>
          </cell>
          <cell r="S621">
            <v>12398.50994907204</v>
          </cell>
          <cell r="T621">
            <v>13034.982084814805</v>
          </cell>
          <cell r="U621">
            <v>13658.858700280731</v>
          </cell>
          <cell r="V621">
            <v>14277.20792696414</v>
          </cell>
          <cell r="W621">
            <v>14865.797482857437</v>
          </cell>
          <cell r="Y621">
            <v>8.6623843573994774E-2</v>
          </cell>
        </row>
        <row r="622">
          <cell r="A622" t="str">
            <v>EBIT</v>
          </cell>
          <cell r="B622">
            <v>4489.3560000000025</v>
          </cell>
          <cell r="C622">
            <v>5580.59</v>
          </cell>
          <cell r="D622">
            <v>6826.0199999999995</v>
          </cell>
          <cell r="E622">
            <v>9904.0120000000061</v>
          </cell>
          <cell r="F622">
            <v>12207.115000000002</v>
          </cell>
          <cell r="G622">
            <v>13822.8719</v>
          </cell>
          <cell r="H622">
            <v>15589.422533000001</v>
          </cell>
          <cell r="I622">
            <v>17586.466500000002</v>
          </cell>
          <cell r="J622">
            <v>19627.822</v>
          </cell>
          <cell r="K622">
            <v>14083.64</v>
          </cell>
          <cell r="L622">
            <v>17285.230000000014</v>
          </cell>
          <cell r="M622">
            <v>18079.919999999995</v>
          </cell>
          <cell r="N622">
            <v>14347.115519588968</v>
          </cell>
          <cell r="O622">
            <v>11769.326715521167</v>
          </cell>
          <cell r="P622">
            <v>10102.573326695234</v>
          </cell>
          <cell r="Q622">
            <v>8224.6913654713553</v>
          </cell>
          <cell r="R622">
            <v>6102.3461362792095</v>
          </cell>
          <cell r="S622">
            <v>3918.2298735373606</v>
          </cell>
          <cell r="T622">
            <v>1549.8975094807574</v>
          </cell>
          <cell r="U622">
            <v>-927.87725122030679</v>
          </cell>
          <cell r="V622">
            <v>-3503.7830794927322</v>
          </cell>
          <cell r="W622">
            <v>-6424.9996516975989</v>
          </cell>
          <cell r="Y622">
            <v>6.9420533090587266E-3</v>
          </cell>
        </row>
        <row r="623">
          <cell r="A623" t="str">
            <v>% change</v>
          </cell>
          <cell r="C623">
            <v>0.24307138930394401</v>
          </cell>
          <cell r="D623">
            <v>0.22317174348948754</v>
          </cell>
          <cell r="E623">
            <v>0.45092044851905011</v>
          </cell>
          <cell r="F623">
            <v>0.23254242826038518</v>
          </cell>
          <cell r="G623">
            <v>0.13236189713949598</v>
          </cell>
          <cell r="H623">
            <v>0.12779910323845223</v>
          </cell>
          <cell r="I623">
            <v>0.12810249788102279</v>
          </cell>
          <cell r="J623">
            <v>0.11607536397376905</v>
          </cell>
          <cell r="K623">
            <v>-0.28246547171662761</v>
          </cell>
          <cell r="L623">
            <v>0.22732688424299496</v>
          </cell>
          <cell r="M623">
            <v>4.5975089715322159E-2</v>
          </cell>
          <cell r="N623">
            <v>-0.20646133834723979</v>
          </cell>
          <cell r="O623">
            <v>-0.17967296635676999</v>
          </cell>
          <cell r="P623">
            <v>-0.14161841446952528</v>
          </cell>
          <cell r="Q623">
            <v>-0.18588154725506689</v>
          </cell>
          <cell r="R623">
            <v>-0.25804557701728603</v>
          </cell>
          <cell r="S623">
            <v>-0.35791418807874653</v>
          </cell>
          <cell r="T623">
            <v>-0.60443936177702695</v>
          </cell>
          <cell r="U623">
            <v>-1.5986700704688284</v>
          </cell>
          <cell r="V623">
            <v>2.7761277958746136</v>
          </cell>
          <cell r="W623">
            <v>0.83373214206736579</v>
          </cell>
        </row>
        <row r="624">
          <cell r="A624" t="str">
            <v>Interest costs</v>
          </cell>
          <cell r="B624">
            <v>949.45</v>
          </cell>
          <cell r="C624">
            <v>1294.3599999999999</v>
          </cell>
          <cell r="D624">
            <v>1637.67</v>
          </cell>
          <cell r="E624">
            <v>1606.9</v>
          </cell>
          <cell r="F624">
            <v>1686.3</v>
          </cell>
          <cell r="G624">
            <v>1629.05</v>
          </cell>
          <cell r="H624">
            <v>1476.16</v>
          </cell>
          <cell r="I624">
            <v>866.24199999999996</v>
          </cell>
          <cell r="J624">
            <v>729.2</v>
          </cell>
          <cell r="K624">
            <v>84.16</v>
          </cell>
          <cell r="L624">
            <v>83.03</v>
          </cell>
          <cell r="M624">
            <v>56.76</v>
          </cell>
          <cell r="N624">
            <v>210</v>
          </cell>
          <cell r="O624">
            <v>210</v>
          </cell>
          <cell r="P624">
            <v>210</v>
          </cell>
          <cell r="Q624">
            <v>210</v>
          </cell>
          <cell r="R624">
            <v>210</v>
          </cell>
          <cell r="S624">
            <v>210</v>
          </cell>
          <cell r="T624">
            <v>210</v>
          </cell>
          <cell r="U624">
            <v>210</v>
          </cell>
          <cell r="V624">
            <v>210</v>
          </cell>
          <cell r="W624">
            <v>210</v>
          </cell>
          <cell r="Y624">
            <v>-0.49405793674186871</v>
          </cell>
        </row>
        <row r="625">
          <cell r="A625" t="str">
            <v>Profit before tax</v>
          </cell>
          <cell r="B625">
            <v>3539.9060000000027</v>
          </cell>
          <cell r="C625">
            <v>4286.2300000000005</v>
          </cell>
          <cell r="D625">
            <v>5188.3499999999995</v>
          </cell>
          <cell r="E625">
            <v>8297.1120000000064</v>
          </cell>
          <cell r="F625">
            <v>10520.815000000002</v>
          </cell>
          <cell r="G625">
            <v>12193.821900000001</v>
          </cell>
          <cell r="H625">
            <v>14113.262533000001</v>
          </cell>
          <cell r="I625">
            <v>16719.794500000004</v>
          </cell>
          <cell r="J625">
            <v>18898.621999999999</v>
          </cell>
          <cell r="K625">
            <v>13999.48</v>
          </cell>
          <cell r="L625">
            <v>17202.200000000015</v>
          </cell>
          <cell r="M625">
            <v>18023.159999999996</v>
          </cell>
          <cell r="N625">
            <v>14137.115519588968</v>
          </cell>
          <cell r="O625">
            <v>11559.326715521167</v>
          </cell>
          <cell r="P625">
            <v>9892.5733266952338</v>
          </cell>
          <cell r="Q625">
            <v>8014.6913654713553</v>
          </cell>
          <cell r="R625">
            <v>5892.3461362792095</v>
          </cell>
          <cell r="S625">
            <v>3708.2298735373606</v>
          </cell>
          <cell r="T625">
            <v>1339.8975094807574</v>
          </cell>
          <cell r="U625">
            <v>-1137.8772512203068</v>
          </cell>
          <cell r="V625">
            <v>-3713.7830794927322</v>
          </cell>
          <cell r="W625">
            <v>-6634.9996516975989</v>
          </cell>
          <cell r="Y625">
            <v>1.8943259492866682E-2</v>
          </cell>
        </row>
        <row r="626">
          <cell r="A626" t="str">
            <v>% change</v>
          </cell>
          <cell r="C626">
            <v>0.21083158705344074</v>
          </cell>
          <cell r="D626">
            <v>0.21046934018939689</v>
          </cell>
          <cell r="E626">
            <v>0.59918124259157679</v>
          </cell>
          <cell r="F626">
            <v>0.26800927840916144</v>
          </cell>
          <cell r="G626">
            <v>0.15901875472575067</v>
          </cell>
          <cell r="H626">
            <v>0.15741091257040574</v>
          </cell>
          <cell r="I626">
            <v>0.18468670591972214</v>
          </cell>
          <cell r="J626">
            <v>0.13031425117096962</v>
          </cell>
          <cell r="K626">
            <v>-0.25923276310833665</v>
          </cell>
          <cell r="L626">
            <v>0.22877421161357536</v>
          </cell>
          <cell r="M626">
            <v>4.7724128309168501E-2</v>
          </cell>
          <cell r="N626">
            <v>-0.21561393675754026</v>
          </cell>
          <cell r="O626">
            <v>-0.18234192119997261</v>
          </cell>
          <cell r="P626">
            <v>-0.14419121717425953</v>
          </cell>
          <cell r="Q626">
            <v>-0.18982744925998074</v>
          </cell>
          <cell r="R626">
            <v>-0.26480685685983718</v>
          </cell>
          <cell r="S626">
            <v>-0.37067005437685208</v>
          </cell>
          <cell r="T626">
            <v>-0.63866924242142509</v>
          </cell>
          <cell r="U626">
            <v>-1.8492270813021077</v>
          </cell>
          <cell r="V626">
            <v>2.2637818143476522</v>
          </cell>
          <cell r="W626">
            <v>0.78658782962732365</v>
          </cell>
        </row>
        <row r="627">
          <cell r="A627" t="str">
            <v>Other income as % of PBT</v>
          </cell>
          <cell r="B627">
            <v>2.2641844161963607</v>
          </cell>
          <cell r="C627">
            <v>4.1241370621735181</v>
          </cell>
          <cell r="D627">
            <v>4.9647768558404888</v>
          </cell>
          <cell r="E627">
            <v>1.6993864853216385</v>
          </cell>
          <cell r="F627">
            <v>6.4852390237828512</v>
          </cell>
          <cell r="G627">
            <v>5.7796481347656883</v>
          </cell>
          <cell r="H627">
            <v>4.6272149935071294</v>
          </cell>
          <cell r="I627">
            <v>7.4631599090527097</v>
          </cell>
          <cell r="J627">
            <v>12.002621143488664</v>
          </cell>
          <cell r="K627">
            <v>12.479034935583321</v>
          </cell>
          <cell r="L627">
            <v>18.487344641964384</v>
          </cell>
          <cell r="M627">
            <v>13.779270671735702</v>
          </cell>
          <cell r="N627">
            <v>15.503320165595108</v>
          </cell>
          <cell r="O627">
            <v>21.273776269494782</v>
          </cell>
          <cell r="P627">
            <v>26.537692034806188</v>
          </cell>
          <cell r="Q627">
            <v>35.144050232863869</v>
          </cell>
          <cell r="R627">
            <v>50.535105662404689</v>
          </cell>
          <cell r="S627">
            <v>85.028413099065631</v>
          </cell>
          <cell r="T627">
            <v>244.34175513930003</v>
          </cell>
          <cell r="U627">
            <v>-291.25016143202714</v>
          </cell>
          <cell r="V627">
            <v>-88.925046327280739</v>
          </cell>
          <cell r="W627">
            <v>-48.646946874455097</v>
          </cell>
        </row>
        <row r="628">
          <cell r="A628" t="str">
            <v>Tax</v>
          </cell>
          <cell r="B628">
            <v>900</v>
          </cell>
          <cell r="C628">
            <v>2050</v>
          </cell>
          <cell r="D628">
            <v>2730</v>
          </cell>
          <cell r="E628">
            <v>4362.5</v>
          </cell>
          <cell r="F628">
            <v>4674</v>
          </cell>
          <cell r="G628">
            <v>5185</v>
          </cell>
          <cell r="H628">
            <v>5493.2</v>
          </cell>
          <cell r="I628">
            <v>5246.67</v>
          </cell>
          <cell r="J628">
            <v>6016</v>
          </cell>
          <cell r="K628">
            <v>1630</v>
          </cell>
          <cell r="L628">
            <v>1630</v>
          </cell>
          <cell r="M628">
            <v>4937.63</v>
          </cell>
          <cell r="N628">
            <v>4366.0628259040586</v>
          </cell>
          <cell r="O628">
            <v>3607.967016968385</v>
          </cell>
          <cell r="P628">
            <v>3117.4118547026487</v>
          </cell>
          <cell r="Q628">
            <v>2564.9585777323509</v>
          </cell>
          <cell r="R628">
            <v>1937.4329316036719</v>
          </cell>
          <cell r="S628">
            <v>1292.1927559466635</v>
          </cell>
          <cell r="T628">
            <v>1168.7926857486993</v>
          </cell>
          <cell r="U628">
            <v>1183.1227511946518</v>
          </cell>
          <cell r="V628">
            <v>1178.9865466443041</v>
          </cell>
          <cell r="W628">
            <v>1152.2977377783352</v>
          </cell>
          <cell r="Y628">
            <v>-1.5062441950493888E-2</v>
          </cell>
        </row>
        <row r="629">
          <cell r="A629" t="str">
            <v>Effective tax rate (%)</v>
          </cell>
          <cell r="B629">
            <v>25.424403924849965</v>
          </cell>
          <cell r="C629">
            <v>47.82757808143753</v>
          </cell>
          <cell r="D629">
            <v>52.617884298476405</v>
          </cell>
          <cell r="E629">
            <v>52.578535760394665</v>
          </cell>
          <cell r="F629">
            <v>44.42621602984179</v>
          </cell>
          <cell r="G629">
            <v>42.521532974005467</v>
          </cell>
          <cell r="H629">
            <v>38.922254773874258</v>
          </cell>
          <cell r="I629">
            <v>31.379990944266684</v>
          </cell>
          <cell r="J629">
            <v>31.833008777042053</v>
          </cell>
          <cell r="K629">
            <v>11.643289607899723</v>
          </cell>
          <cell r="L629">
            <v>9.4755321993698391</v>
          </cell>
          <cell r="M629">
            <v>27.39602822146616</v>
          </cell>
          <cell r="N629">
            <v>30.883689249438916</v>
          </cell>
          <cell r="O629">
            <v>31.212605247361203</v>
          </cell>
          <cell r="P629">
            <v>31.512648445983952</v>
          </cell>
          <cell r="Q629">
            <v>32.003210863273232</v>
          </cell>
          <cell r="R629">
            <v>32.880501022757066</v>
          </cell>
          <cell r="S629">
            <v>34.846619546646743</v>
          </cell>
          <cell r="T629">
            <v>87.230006584730106</v>
          </cell>
          <cell r="U629">
            <v>-103.97630763123367</v>
          </cell>
          <cell r="V629">
            <v>-31.746241538839222</v>
          </cell>
          <cell r="W629">
            <v>-17.366960034180469</v>
          </cell>
        </row>
        <row r="630">
          <cell r="A630" t="str">
            <v>Network/rural development levy</v>
          </cell>
          <cell r="B630">
            <v>1570.46</v>
          </cell>
          <cell r="C630">
            <v>450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row>
        <row r="631">
          <cell r="A631" t="str">
            <v>Profit after tax</v>
          </cell>
          <cell r="B631">
            <v>1069.4460000000026</v>
          </cell>
          <cell r="C631">
            <v>1786.2300000000005</v>
          </cell>
          <cell r="D631">
            <v>2458.3499999999995</v>
          </cell>
          <cell r="E631">
            <v>3934.6120000000064</v>
          </cell>
          <cell r="F631">
            <v>5846.8150000000023</v>
          </cell>
          <cell r="G631">
            <v>7008.8219000000008</v>
          </cell>
          <cell r="H631">
            <v>8620.0625330000003</v>
          </cell>
          <cell r="I631">
            <v>11473.124500000004</v>
          </cell>
          <cell r="J631">
            <v>12882.621999999999</v>
          </cell>
          <cell r="K631">
            <v>12369.48</v>
          </cell>
          <cell r="L631">
            <v>15572.200000000015</v>
          </cell>
          <cell r="M631">
            <v>13085.529999999995</v>
          </cell>
          <cell r="N631">
            <v>9771.0526936849092</v>
          </cell>
          <cell r="O631">
            <v>7951.359698552782</v>
          </cell>
          <cell r="P631">
            <v>6775.1614719925856</v>
          </cell>
          <cell r="Q631">
            <v>5449.7327877390044</v>
          </cell>
          <cell r="R631">
            <v>3954.9132046755376</v>
          </cell>
          <cell r="S631">
            <v>2416.0371175906971</v>
          </cell>
          <cell r="T631">
            <v>171.10482373205809</v>
          </cell>
          <cell r="U631">
            <v>-2321.0000024149585</v>
          </cell>
          <cell r="V631">
            <v>-4892.7696261370365</v>
          </cell>
          <cell r="W631">
            <v>-7787.2973894759343</v>
          </cell>
          <cell r="Y631">
            <v>3.3421286127762739E-2</v>
          </cell>
        </row>
        <row r="632">
          <cell r="A632" t="str">
            <v>% change</v>
          </cell>
          <cell r="C632">
            <v>0.67023860952305769</v>
          </cell>
          <cell r="D632">
            <v>0.37627853076031581</v>
          </cell>
          <cell r="E632">
            <v>0.60050928468281861</v>
          </cell>
          <cell r="F632">
            <v>0.48599531542118846</v>
          </cell>
          <cell r="G632">
            <v>0.19874186202231447</v>
          </cell>
          <cell r="H632">
            <v>0.22988751262177165</v>
          </cell>
          <cell r="I632">
            <v>0.33097926564658753</v>
          </cell>
          <cell r="J632">
            <v>0.12285210537024982</v>
          </cell>
          <cell r="K632">
            <v>-3.98321087120308E-2</v>
          </cell>
          <cell r="L632">
            <v>0.25892115109123548</v>
          </cell>
          <cell r="M632">
            <v>-0.15968649259578083</v>
          </cell>
          <cell r="N632">
            <v>-0.25329331760464324</v>
          </cell>
          <cell r="O632">
            <v>-0.18623305514545074</v>
          </cell>
          <cell r="P632">
            <v>-0.14792416280378751</v>
          </cell>
          <cell r="Q632">
            <v>-0.19563056758612873</v>
          </cell>
          <cell r="R632">
            <v>-0.27429227106814547</v>
          </cell>
          <cell r="S632">
            <v>-0.38910489496092249</v>
          </cell>
          <cell r="T632">
            <v>-0.92917955502989702</v>
          </cell>
          <cell r="U632">
            <v>-14.564784158566638</v>
          </cell>
          <cell r="V632">
            <v>1.1080437833029722</v>
          </cell>
          <cell r="W632">
            <v>0.59159289819745697</v>
          </cell>
        </row>
        <row r="633">
          <cell r="A633" t="str">
            <v>Margin %</v>
          </cell>
          <cell r="B633">
            <v>8.1631054799759291</v>
          </cell>
          <cell r="C633">
            <v>11.484675782927717</v>
          </cell>
          <cell r="D633">
            <v>13.419592982410169</v>
          </cell>
          <cell r="E633">
            <v>15.6904352680797</v>
          </cell>
          <cell r="F633">
            <v>19.840689189689037</v>
          </cell>
          <cell r="G633">
            <v>20.326489593763377</v>
          </cell>
          <cell r="H633">
            <v>21.38522080734721</v>
          </cell>
          <cell r="I633">
            <v>24.649060314455269</v>
          </cell>
          <cell r="J633">
            <v>25.599046287823711</v>
          </cell>
          <cell r="K633">
            <v>23.869181353005299</v>
          </cell>
          <cell r="L633">
            <v>26.9201819595608</v>
          </cell>
          <cell r="M633">
            <v>21.299019942953159</v>
          </cell>
          <cell r="N633">
            <v>15.14482010187376</v>
          </cell>
          <cell r="O633">
            <v>12.183250948417182</v>
          </cell>
          <cell r="P633">
            <v>9.9229531231170043</v>
          </cell>
          <cell r="Q633">
            <v>7.6174795568797764</v>
          </cell>
          <cell r="R633">
            <v>5.260096610617496</v>
          </cell>
          <cell r="S633">
            <v>3.0416081105779922</v>
          </cell>
          <cell r="T633">
            <v>0.20361830716432269</v>
          </cell>
          <cell r="U633">
            <v>-2.6016014634604963</v>
          </cell>
          <cell r="V633">
            <v>-5.152180259478631</v>
          </cell>
          <cell r="W633">
            <v>-7.6859760209800134</v>
          </cell>
        </row>
        <row r="634">
          <cell r="A634" t="str">
            <v>Prior period adj/write back/others</v>
          </cell>
          <cell r="B634">
            <v>-38.83</v>
          </cell>
          <cell r="C634">
            <v>-73.899999999999991</v>
          </cell>
          <cell r="D634">
            <v>-374.64</v>
          </cell>
          <cell r="E634">
            <v>-493</v>
          </cell>
          <cell r="F634">
            <v>-81.03</v>
          </cell>
          <cell r="G634">
            <v>287.08000000000004</v>
          </cell>
          <cell r="H634">
            <v>708.76099999999997</v>
          </cell>
          <cell r="I634">
            <v>-171.83</v>
          </cell>
          <cell r="J634">
            <v>89.781000000000006</v>
          </cell>
          <cell r="K634">
            <v>-1491.02</v>
          </cell>
          <cell r="L634">
            <v>-170.37</v>
          </cell>
          <cell r="M634">
            <v>-78.760000000000005</v>
          </cell>
          <cell r="N634">
            <v>0</v>
          </cell>
          <cell r="O634">
            <v>0</v>
          </cell>
          <cell r="P634">
            <v>0</v>
          </cell>
          <cell r="Q634">
            <v>0</v>
          </cell>
          <cell r="R634">
            <v>0</v>
          </cell>
          <cell r="S634">
            <v>0</v>
          </cell>
          <cell r="T634">
            <v>0</v>
          </cell>
          <cell r="U634">
            <v>0</v>
          </cell>
          <cell r="V634">
            <v>0</v>
          </cell>
          <cell r="W634">
            <v>0</v>
          </cell>
        </row>
        <row r="635">
          <cell r="A635" t="str">
            <v>Profits for equity shareholders</v>
          </cell>
          <cell r="B635">
            <v>1030.6160000000027</v>
          </cell>
          <cell r="C635">
            <v>1712.3300000000004</v>
          </cell>
          <cell r="D635">
            <v>2083.7099999999996</v>
          </cell>
          <cell r="E635">
            <v>3441.6120000000064</v>
          </cell>
          <cell r="F635">
            <v>5765.7850000000026</v>
          </cell>
          <cell r="G635">
            <v>7295.9019000000008</v>
          </cell>
          <cell r="H635">
            <v>9328.8235330000007</v>
          </cell>
          <cell r="I635">
            <v>11301.294500000004</v>
          </cell>
          <cell r="J635">
            <v>12972.403</v>
          </cell>
          <cell r="K635">
            <v>10878.46</v>
          </cell>
          <cell r="L635">
            <v>15401.830000000014</v>
          </cell>
          <cell r="M635">
            <v>13006.769999999995</v>
          </cell>
          <cell r="N635">
            <v>9771.0526936849092</v>
          </cell>
          <cell r="O635">
            <v>7951.359698552782</v>
          </cell>
          <cell r="P635">
            <v>6775.1614719925856</v>
          </cell>
          <cell r="Q635">
            <v>5449.7327877390044</v>
          </cell>
          <cell r="R635">
            <v>3954.9132046755376</v>
          </cell>
          <cell r="S635">
            <v>2416.0371175906971</v>
          </cell>
          <cell r="T635">
            <v>171.10482373205809</v>
          </cell>
          <cell r="U635">
            <v>-2321.0000024149585</v>
          </cell>
          <cell r="V635">
            <v>-4892.7696261370365</v>
          </cell>
          <cell r="W635">
            <v>-7787.2973894759343</v>
          </cell>
        </row>
        <row r="636">
          <cell r="A636" t="str">
            <v>Net Interest payable/(receiveable)</v>
          </cell>
          <cell r="B636">
            <v>891.65000000000009</v>
          </cell>
          <cell r="C636">
            <v>1157.9599999999998</v>
          </cell>
          <cell r="D636">
            <v>1409.01</v>
          </cell>
          <cell r="E636">
            <v>1512.0900000000001</v>
          </cell>
          <cell r="F636">
            <v>1353.6399999999999</v>
          </cell>
          <cell r="G636">
            <v>1311.77</v>
          </cell>
          <cell r="H636">
            <v>1048.8120000000001</v>
          </cell>
          <cell r="I636">
            <v>239.39200000000005</v>
          </cell>
          <cell r="J636">
            <v>-496.56999999999994</v>
          </cell>
          <cell r="K636">
            <v>-1033.05</v>
          </cell>
          <cell r="L636">
            <v>-1710.01</v>
          </cell>
          <cell r="M636">
            <v>-1516.46</v>
          </cell>
          <cell r="N636">
            <v>-1231.7222811819117</v>
          </cell>
          <cell r="O636">
            <v>-1499.1053037199126</v>
          </cell>
          <cell r="P636">
            <v>-1665.2606437557624</v>
          </cell>
          <cell r="Q636">
            <v>-1856.6871594902559</v>
          </cell>
          <cell r="R636">
            <v>-2017.7033459633185</v>
          </cell>
          <cell r="S636">
            <v>-2193.0490155343064</v>
          </cell>
          <cell r="T636">
            <v>-2313.9290917330518</v>
          </cell>
          <cell r="U636">
            <v>-2354.0693310774564</v>
          </cell>
          <cell r="V636">
            <v>-2342.4833239336253</v>
          </cell>
          <cell r="W636">
            <v>-2267.7247556816114</v>
          </cell>
        </row>
        <row r="638">
          <cell r="A638" t="str">
            <v>P &amp; L "per DEL (wtg avg)" analyses</v>
          </cell>
        </row>
        <row r="639">
          <cell r="B639" t="str">
            <v>FY91</v>
          </cell>
          <cell r="C639" t="str">
            <v>FY92</v>
          </cell>
          <cell r="D639" t="str">
            <v>FY93</v>
          </cell>
          <cell r="E639" t="str">
            <v>FY94</v>
          </cell>
          <cell r="F639" t="str">
            <v>FY95</v>
          </cell>
          <cell r="G639" t="str">
            <v>FY96</v>
          </cell>
          <cell r="H639" t="str">
            <v>FY97</v>
          </cell>
          <cell r="I639" t="str">
            <v>FY98</v>
          </cell>
          <cell r="J639" t="str">
            <v>FY99</v>
          </cell>
          <cell r="K639" t="str">
            <v>FY00</v>
          </cell>
          <cell r="L639" t="str">
            <v>FY01</v>
          </cell>
          <cell r="M639" t="str">
            <v>FY02</v>
          </cell>
          <cell r="N639" t="str">
            <v>FY03F</v>
          </cell>
          <cell r="O639" t="str">
            <v>FY04F</v>
          </cell>
          <cell r="P639" t="str">
            <v>FY05F</v>
          </cell>
          <cell r="Q639" t="str">
            <v>FY06F</v>
          </cell>
          <cell r="R639" t="str">
            <v>FY07F</v>
          </cell>
          <cell r="S639" t="str">
            <v>FY08F</v>
          </cell>
          <cell r="T639" t="str">
            <v>FY09F</v>
          </cell>
          <cell r="U639" t="str">
            <v>FY10F</v>
          </cell>
          <cell r="V639" t="str">
            <v>FY11F</v>
          </cell>
          <cell r="W639" t="str">
            <v>FY12F</v>
          </cell>
        </row>
        <row r="640">
          <cell r="A640" t="str">
            <v>Tel rev (ex-rental, instl)/wtg avg DEL (Rs)</v>
          </cell>
          <cell r="H640">
            <v>11692.473980424686</v>
          </cell>
          <cell r="I640">
            <v>11428.427969080178</v>
          </cell>
          <cell r="J640">
            <v>11191.582301806198</v>
          </cell>
          <cell r="K640">
            <v>9860.1643709323489</v>
          </cell>
          <cell r="L640">
            <v>9509.2932331160446</v>
          </cell>
          <cell r="M640">
            <v>9098.5534370792902</v>
          </cell>
          <cell r="N640">
            <v>8553.6724540535379</v>
          </cell>
          <cell r="O640">
            <v>7426.7727423525066</v>
          </cell>
          <cell r="P640">
            <v>7069.736216340274</v>
          </cell>
          <cell r="Q640">
            <v>6762.1109851537176</v>
          </cell>
          <cell r="R640">
            <v>6652.175324189041</v>
          </cell>
          <cell r="S640">
            <v>6595.0400272349752</v>
          </cell>
          <cell r="T640">
            <v>6587.0253813259096</v>
          </cell>
          <cell r="U640">
            <v>6620.0120328634721</v>
          </cell>
          <cell r="V640">
            <v>6717.6850417738051</v>
          </cell>
          <cell r="W640">
            <v>6890.1270204154416</v>
          </cell>
        </row>
        <row r="641">
          <cell r="A641" t="str">
            <v>% change</v>
          </cell>
          <cell r="I641">
            <v>-2.2582561379787425E-2</v>
          </cell>
          <cell r="J641">
            <v>-2.0724256031955553E-2</v>
          </cell>
          <cell r="K641">
            <v>-0.11896601347058612</v>
          </cell>
          <cell r="L641">
            <v>-3.5584714880683772E-2</v>
          </cell>
          <cell r="M641">
            <v>-4.3193514593319722E-2</v>
          </cell>
          <cell r="N641">
            <v>-5.9886550845016921E-2</v>
          </cell>
          <cell r="O641">
            <v>-0.13174454805865285</v>
          </cell>
          <cell r="P641">
            <v>-4.8074249529161922E-2</v>
          </cell>
          <cell r="Q641">
            <v>-4.3512971597942027E-2</v>
          </cell>
          <cell r="R641">
            <v>-1.6257594885094526E-2</v>
          </cell>
          <cell r="S641">
            <v>-8.5889643867784072E-3</v>
          </cell>
          <cell r="T641">
            <v>-1.2152535657051692E-3</v>
          </cell>
          <cell r="U641">
            <v>5.0078221394256337E-3</v>
          </cell>
          <cell r="V641">
            <v>1.4754204135197737E-2</v>
          </cell>
          <cell r="W641">
            <v>2.5669851677967804E-2</v>
          </cell>
        </row>
        <row r="642">
          <cell r="A642" t="str">
            <v>Tel rev/wtg avg DEL (Rs)</v>
          </cell>
          <cell r="B642">
            <v>10349.182776801408</v>
          </cell>
          <cell r="C642">
            <v>11234.060596136374</v>
          </cell>
          <cell r="D642">
            <v>11831.948402392922</v>
          </cell>
          <cell r="E642">
            <v>14401.527230261427</v>
          </cell>
          <cell r="F642">
            <v>14577.558127748867</v>
          </cell>
          <cell r="G642">
            <v>14407.171168680396</v>
          </cell>
          <cell r="H642">
            <v>14219.309378416949</v>
          </cell>
          <cell r="I642">
            <v>14204.53607412322</v>
          </cell>
          <cell r="J642">
            <v>13965.817972193292</v>
          </cell>
          <cell r="K642">
            <v>13088.332484179833</v>
          </cell>
          <cell r="L642">
            <v>13023.315432406769</v>
          </cell>
          <cell r="M642">
            <v>12572.367562131922</v>
          </cell>
          <cell r="N642">
            <v>12099.023103403115</v>
          </cell>
          <cell r="O642">
            <v>11141.476487125658</v>
          </cell>
          <cell r="P642">
            <v>10713.935757170177</v>
          </cell>
          <cell r="Q642">
            <v>10462.072373029858</v>
          </cell>
          <cell r="R642">
            <v>10422.759466438672</v>
          </cell>
          <cell r="S642">
            <v>10486.744572187212</v>
          </cell>
          <cell r="T642">
            <v>10608.387875561833</v>
          </cell>
          <cell r="U642">
            <v>10772.542335691063</v>
          </cell>
          <cell r="V642">
            <v>10987.760841181162</v>
          </cell>
          <cell r="W642">
            <v>11235.5341699453</v>
          </cell>
        </row>
        <row r="643">
          <cell r="A643" t="str">
            <v>% change</v>
          </cell>
          <cell r="C643">
            <v>8.5502192629015761E-2</v>
          </cell>
          <cell r="D643">
            <v>5.3220988184999929E-2</v>
          </cell>
          <cell r="E643">
            <v>0.21717292372140731</v>
          </cell>
          <cell r="F643">
            <v>1.2223071530743838E-2</v>
          </cell>
          <cell r="G643">
            <v>-1.1688305927186423E-2</v>
          </cell>
          <cell r="H643">
            <v>-1.3039464032456125E-2</v>
          </cell>
          <cell r="I643">
            <v>-1.0389607470073627E-3</v>
          </cell>
          <cell r="J643">
            <v>-1.6805765474087315E-2</v>
          </cell>
          <cell r="K643">
            <v>-6.2830941213796468E-2</v>
          </cell>
          <cell r="L643">
            <v>-4.9675580790487662E-3</v>
          </cell>
          <cell r="M643">
            <v>-3.4626195811300421E-2</v>
          </cell>
          <cell r="N643">
            <v>-3.7649587986476336E-2</v>
          </cell>
          <cell r="O643">
            <v>-7.9142473577732603E-2</v>
          </cell>
          <cell r="P643">
            <v>-3.8373794572875347E-2</v>
          </cell>
          <cell r="Q643">
            <v>-2.3508017020893768E-2</v>
          </cell>
          <cell r="R643">
            <v>-3.757659590706897E-3</v>
          </cell>
          <cell r="S643">
            <v>6.1389794089148518E-3</v>
          </cell>
          <cell r="T643">
            <v>1.1599720250385631E-2</v>
          </cell>
          <cell r="U643">
            <v>1.5474025087957676E-2</v>
          </cell>
          <cell r="V643">
            <v>1.9978432089985558E-2</v>
          </cell>
          <cell r="W643">
            <v>2.2549938276368912E-2</v>
          </cell>
        </row>
        <row r="644">
          <cell r="A644" t="str">
            <v>Tel+VANS rev / wtg avg DEL (Rs)</v>
          </cell>
          <cell r="B644">
            <v>10349.182776801408</v>
          </cell>
          <cell r="C644">
            <v>11234.060596136374</v>
          </cell>
          <cell r="D644">
            <v>11831.948402392922</v>
          </cell>
          <cell r="E644">
            <v>14401.527230261427</v>
          </cell>
          <cell r="F644">
            <v>14577.558127748867</v>
          </cell>
          <cell r="G644">
            <v>14407.171168680396</v>
          </cell>
          <cell r="H644">
            <v>14219.309378416949</v>
          </cell>
          <cell r="I644">
            <v>14249.627120910545</v>
          </cell>
          <cell r="J644">
            <v>14048.945328691892</v>
          </cell>
          <cell r="K644">
            <v>13088.332484179833</v>
          </cell>
          <cell r="L644">
            <v>13074.441228523667</v>
          </cell>
          <cell r="M644">
            <v>12596.821805414504</v>
          </cell>
          <cell r="N644">
            <v>12134.400142277382</v>
          </cell>
          <cell r="O644">
            <v>11189.244357808684</v>
          </cell>
          <cell r="P644">
            <v>10773.877968559555</v>
          </cell>
          <cell r="Q644">
            <v>10532.464852060044</v>
          </cell>
          <cell r="R644">
            <v>10499.579362610779</v>
          </cell>
          <cell r="S644">
            <v>10571.718592371843</v>
          </cell>
          <cell r="T644">
            <v>10699.26072395347</v>
          </cell>
          <cell r="U644">
            <v>10871.064663011835</v>
          </cell>
          <cell r="V644">
            <v>11096.140703956591</v>
          </cell>
          <cell r="W644">
            <v>11356.691127992239</v>
          </cell>
        </row>
        <row r="645">
          <cell r="A645" t="str">
            <v>% change</v>
          </cell>
          <cell r="C645">
            <v>8.5502192629015761E-2</v>
          </cell>
          <cell r="D645">
            <v>5.3220988184999929E-2</v>
          </cell>
          <cell r="E645">
            <v>0.21717292372140731</v>
          </cell>
          <cell r="F645">
            <v>1.2223071530743838E-2</v>
          </cell>
          <cell r="G645">
            <v>-1.1688305927186423E-2</v>
          </cell>
          <cell r="H645">
            <v>-1.3039464032456125E-2</v>
          </cell>
          <cell r="I645">
            <v>2.1321529538990808E-3</v>
          </cell>
          <cell r="J645">
            <v>-1.4083301304366297E-2</v>
          </cell>
          <cell r="K645">
            <v>-6.83761536569025E-2</v>
          </cell>
          <cell r="L645">
            <v>-1.0613464834391241E-3</v>
          </cell>
          <cell r="M645">
            <v>-3.6530771354661914E-2</v>
          </cell>
          <cell r="N645">
            <v>-3.6709391486220655E-2</v>
          </cell>
          <cell r="O645">
            <v>-7.7890606324715367E-2</v>
          </cell>
          <cell r="P645">
            <v>-3.7121933882805595E-2</v>
          </cell>
          <cell r="Q645">
            <v>-2.2407262937635352E-2</v>
          </cell>
          <cell r="R645">
            <v>-3.1222975733769557E-3</v>
          </cell>
          <cell r="S645">
            <v>6.8706780785859848E-3</v>
          </cell>
          <cell r="T645">
            <v>1.2064465249165553E-2</v>
          </cell>
          <cell r="U645">
            <v>1.605755233852104E-2</v>
          </cell>
          <cell r="V645">
            <v>2.0704139651617E-2</v>
          </cell>
          <cell r="W645">
            <v>2.3481175211012083E-2</v>
          </cell>
        </row>
        <row r="646">
          <cell r="A646" t="str">
            <v>Tel+VANS+fixed/cell interconnect / wtg avg DEL (Rs)</v>
          </cell>
          <cell r="B646">
            <v>10349.182776801408</v>
          </cell>
          <cell r="C646">
            <v>11234.060596136374</v>
          </cell>
          <cell r="D646">
            <v>11831.948402392922</v>
          </cell>
          <cell r="E646">
            <v>14401.527230261427</v>
          </cell>
          <cell r="F646">
            <v>14577.558127748867</v>
          </cell>
          <cell r="G646">
            <v>14407.171168680396</v>
          </cell>
          <cell r="H646">
            <v>14366.969591593997</v>
          </cell>
          <cell r="I646">
            <v>14553.002285420229</v>
          </cell>
          <cell r="J646">
            <v>14193.600930801022</v>
          </cell>
          <cell r="K646">
            <v>13617.433260303242</v>
          </cell>
          <cell r="L646">
            <v>13881.374964452923</v>
          </cell>
          <cell r="M646">
            <v>13542.339200086255</v>
          </cell>
          <cell r="N646">
            <v>13577.885969080948</v>
          </cell>
          <cell r="O646">
            <v>13171.085702854081</v>
          </cell>
          <cell r="P646">
            <v>13274.913285290677</v>
          </cell>
          <cell r="Q646">
            <v>13563.88995511519</v>
          </cell>
          <cell r="R646">
            <v>14089.162488182823</v>
          </cell>
          <cell r="S646">
            <v>14911.018483088466</v>
          </cell>
          <cell r="T646">
            <v>15986.606458395034</v>
          </cell>
          <cell r="U646">
            <v>17423.453843862415</v>
          </cell>
          <cell r="V646">
            <v>19295.966246599346</v>
          </cell>
          <cell r="W646">
            <v>21733.478516112355</v>
          </cell>
        </row>
        <row r="647">
          <cell r="A647" t="str">
            <v>% change</v>
          </cell>
          <cell r="C647">
            <v>8.5502192629015761E-2</v>
          </cell>
          <cell r="D647">
            <v>5.3220988184999929E-2</v>
          </cell>
          <cell r="E647">
            <v>0.21717292372140731</v>
          </cell>
          <cell r="F647">
            <v>1.2223071530743838E-2</v>
          </cell>
          <cell r="G647">
            <v>-1.1688305927186423E-2</v>
          </cell>
          <cell r="H647">
            <v>-2.7903865801075494E-3</v>
          </cell>
          <cell r="I647">
            <v>1.2948638377788296E-2</v>
          </cell>
          <cell r="J647">
            <v>-2.4696028185144291E-2</v>
          </cell>
          <cell r="K647">
            <v>-4.0593481055780513E-2</v>
          </cell>
          <cell r="L647">
            <v>1.938263247590935E-2</v>
          </cell>
          <cell r="M647">
            <v>-2.4423788366416347E-2</v>
          </cell>
          <cell r="N647">
            <v>2.6248618107620786E-3</v>
          </cell>
          <cell r="O647">
            <v>-2.9960501005327093E-2</v>
          </cell>
          <cell r="P647">
            <v>7.8829934584737273E-3</v>
          </cell>
          <cell r="Q647">
            <v>2.1768629565717377E-2</v>
          </cell>
          <cell r="R647">
            <v>3.872580320290369E-2</v>
          </cell>
          <cell r="S647">
            <v>5.8332494610305534E-2</v>
          </cell>
          <cell r="T647">
            <v>7.2133769837818926E-2</v>
          </cell>
          <cell r="U647">
            <v>8.9878198303483647E-2</v>
          </cell>
          <cell r="V647">
            <v>0.10747079307680103</v>
          </cell>
          <cell r="W647">
            <v>0.12632237423936141</v>
          </cell>
        </row>
        <row r="648">
          <cell r="A648" t="str">
            <v>Total rev / wtg avg DEL (Rs)</v>
          </cell>
          <cell r="B648">
            <v>11512.275922671355</v>
          </cell>
          <cell r="C648">
            <v>12303.513066563513</v>
          </cell>
          <cell r="D648">
            <v>12684.822585620654</v>
          </cell>
          <cell r="E648">
            <v>15173.371493920427</v>
          </cell>
          <cell r="F648">
            <v>15200.768373903451</v>
          </cell>
          <cell r="G648">
            <v>14942.35998154805</v>
          </cell>
          <cell r="H648">
            <v>14879.905644754628</v>
          </cell>
          <cell r="I648">
            <v>14962.059552647956</v>
          </cell>
          <cell r="J648">
            <v>14508.904304146428</v>
          </cell>
          <cell r="K648">
            <v>13825.309238494392</v>
          </cell>
          <cell r="L648">
            <v>14082.921902546688</v>
          </cell>
          <cell r="M648">
            <v>14041.132837106459</v>
          </cell>
          <cell r="N648">
            <v>14220.788537290631</v>
          </cell>
          <cell r="O648">
            <v>13874.298069276096</v>
          </cell>
          <cell r="P648">
            <v>14010.868166357994</v>
          </cell>
          <cell r="Q648">
            <v>14366.881193120375</v>
          </cell>
          <cell r="R648">
            <v>14979.475119357263</v>
          </cell>
          <cell r="S648">
            <v>15913.784362838211</v>
          </cell>
          <cell r="T648">
            <v>17146.569008583905</v>
          </cell>
          <cell r="U648">
            <v>18796.517603564738</v>
          </cell>
          <cell r="V648">
            <v>20961.935334129583</v>
          </cell>
          <cell r="W648">
            <v>23810.354337121993</v>
          </cell>
        </row>
        <row r="649">
          <cell r="A649" t="str">
            <v>% change</v>
          </cell>
          <cell r="C649">
            <v>6.8729862731482932E-2</v>
          </cell>
          <cell r="D649">
            <v>3.0991922144042037E-2</v>
          </cell>
          <cell r="E649">
            <v>0.19618318596909348</v>
          </cell>
          <cell r="F649">
            <v>1.8055894824693919E-3</v>
          </cell>
          <cell r="G649">
            <v>-1.6999692778625199E-2</v>
          </cell>
          <cell r="H649">
            <v>-4.1796835888404079E-3</v>
          </cell>
          <cell r="I649">
            <v>5.5211309704969666E-3</v>
          </cell>
          <cell r="J649">
            <v>-3.028695661228863E-2</v>
          </cell>
          <cell r="K649">
            <v>-4.7115554098504528E-2</v>
          </cell>
          <cell r="L649">
            <v>1.8633410624553291E-2</v>
          </cell>
          <cell r="M649">
            <v>-2.9673576072783651E-3</v>
          </cell>
          <cell r="N649">
            <v>1.2794957662489771E-2</v>
          </cell>
          <cell r="O649">
            <v>-2.4365067176545574E-2</v>
          </cell>
          <cell r="P649">
            <v>9.8433878528475099E-3</v>
          </cell>
          <cell r="Q649">
            <v>2.5409776363267529E-2</v>
          </cell>
          <cell r="R649">
            <v>4.2639311761708647E-2</v>
          </cell>
          <cell r="S649">
            <v>6.2372628949700942E-2</v>
          </cell>
          <cell r="T649">
            <v>7.746646665795516E-2</v>
          </cell>
          <cell r="U649">
            <v>9.6226165955115392E-2</v>
          </cell>
          <cell r="V649">
            <v>0.11520313369930692</v>
          </cell>
          <cell r="W649">
            <v>0.13588530627487919</v>
          </cell>
        </row>
        <row r="651">
          <cell r="A651" t="str">
            <v>Employee cost</v>
          </cell>
          <cell r="B651">
            <v>1201.3971880492093</v>
          </cell>
          <cell r="C651">
            <v>1327.1171685361439</v>
          </cell>
          <cell r="D651">
            <v>1280.1491231501989</v>
          </cell>
          <cell r="E651">
            <v>1311.1550132664515</v>
          </cell>
          <cell r="F651">
            <v>1286.9927596131204</v>
          </cell>
          <cell r="G651">
            <v>1355.5722779639848</v>
          </cell>
          <cell r="H651">
            <v>1581.5479729575086</v>
          </cell>
          <cell r="I651">
            <v>1660.9256144790238</v>
          </cell>
          <cell r="J651">
            <v>1777.3140851395901</v>
          </cell>
          <cell r="K651">
            <v>2907.7078971542273</v>
          </cell>
          <cell r="L651">
            <v>2975.738009996554</v>
          </cell>
          <cell r="M651">
            <v>3200.7381981850726</v>
          </cell>
          <cell r="N651">
            <v>3743.4527791472965</v>
          </cell>
          <cell r="O651">
            <v>4162.9682705857622</v>
          </cell>
          <cell r="P651">
            <v>4614.7673443222202</v>
          </cell>
          <cell r="Q651">
            <v>5186.2714942873135</v>
          </cell>
          <cell r="R651">
            <v>5908.8532226922689</v>
          </cell>
          <cell r="S651">
            <v>6823.6406934377665</v>
          </cell>
          <cell r="T651">
            <v>7940.8875624451048</v>
          </cell>
          <cell r="U651">
            <v>9321.0391859716419</v>
          </cell>
          <cell r="V651">
            <v>11044.640241606128</v>
          </cell>
          <cell r="W651">
            <v>13299.173257266568</v>
          </cell>
        </row>
        <row r="652">
          <cell r="A652" t="str">
            <v xml:space="preserve">    % change</v>
          </cell>
          <cell r="C652">
            <v>0.10464481000748371</v>
          </cell>
          <cell r="D652">
            <v>-3.5391031402112305E-2</v>
          </cell>
          <cell r="E652">
            <v>2.4220529901979759E-2</v>
          </cell>
          <cell r="F652">
            <v>-1.8428220468864498E-2</v>
          </cell>
          <cell r="G652">
            <v>5.3286638824199706E-2</v>
          </cell>
          <cell r="H652">
            <v>0.16670132509122282</v>
          </cell>
          <cell r="I652">
            <v>5.0189841142205927E-2</v>
          </cell>
          <cell r="J652">
            <v>7.0074463086098771E-2</v>
          </cell>
          <cell r="K652">
            <v>0.6360124085360277</v>
          </cell>
          <cell r="L652">
            <v>2.3396474215620966E-2</v>
          </cell>
          <cell r="M652">
            <v>7.5611558353814612E-2</v>
          </cell>
          <cell r="N652">
            <v>0.16955919146088294</v>
          </cell>
          <cell r="O652">
            <v>0.11206645740941479</v>
          </cell>
          <cell r="P652">
            <v>0.1085281088805623</v>
          </cell>
          <cell r="Q652">
            <v>0.12384246210553673</v>
          </cell>
          <cell r="R652">
            <v>0.13932585850950541</v>
          </cell>
          <cell r="S652">
            <v>0.15481641466949325</v>
          </cell>
          <cell r="T652">
            <v>0.16373178471747263</v>
          </cell>
          <cell r="U652">
            <v>0.17380319424917912</v>
          </cell>
          <cell r="V652">
            <v>0.18491511742902467</v>
          </cell>
          <cell r="W652">
            <v>0.20412914919287428</v>
          </cell>
        </row>
        <row r="653">
          <cell r="A653" t="str">
            <v>National network charges</v>
          </cell>
          <cell r="B653">
            <v>3105.4042179261864</v>
          </cell>
          <cell r="C653">
            <v>2750.5382187737196</v>
          </cell>
          <cell r="D653">
            <v>2840.2088250354614</v>
          </cell>
          <cell r="E653">
            <v>3324.5697101348424</v>
          </cell>
          <cell r="F653">
            <v>3268.735626195587</v>
          </cell>
          <cell r="G653">
            <v>3299.4231491338132</v>
          </cell>
          <cell r="H653">
            <v>3256.8462392051156</v>
          </cell>
          <cell r="I653">
            <v>3291.6158779631028</v>
          </cell>
          <cell r="J653">
            <v>3145.9675354128435</v>
          </cell>
          <cell r="K653">
            <v>2802.3519473249598</v>
          </cell>
          <cell r="L653">
            <v>2755.1034195732186</v>
          </cell>
          <cell r="M653">
            <v>1676.393227660149</v>
          </cell>
          <cell r="N653">
            <v>2047.793549369851</v>
          </cell>
          <cell r="O653">
            <v>1997.8989219757582</v>
          </cell>
          <cell r="P653">
            <v>2017.5650159555514</v>
          </cell>
          <cell r="Q653">
            <v>2068.8308918093339</v>
          </cell>
          <cell r="R653">
            <v>2157.044417187446</v>
          </cell>
          <cell r="S653">
            <v>2291.5849482487024</v>
          </cell>
          <cell r="T653">
            <v>2469.1059372360828</v>
          </cell>
          <cell r="U653">
            <v>2706.6985349133224</v>
          </cell>
          <cell r="V653">
            <v>3018.5186881146601</v>
          </cell>
          <cell r="W653">
            <v>3428.6910245455674</v>
          </cell>
        </row>
        <row r="654">
          <cell r="A654" t="str">
            <v xml:space="preserve">    % change</v>
          </cell>
          <cell r="C654">
            <v>-0.11427369007357413</v>
          </cell>
          <cell r="D654">
            <v>3.2601112629411011E-2</v>
          </cell>
          <cell r="E654">
            <v>0.17053706784864087</v>
          </cell>
          <cell r="F654">
            <v>-1.6794379064769438E-2</v>
          </cell>
          <cell r="G654">
            <v>9.3881936159954105E-3</v>
          </cell>
          <cell r="H654">
            <v>-1.2904349640595614E-2</v>
          </cell>
          <cell r="I654">
            <v>1.0675861310073254E-2</v>
          </cell>
          <cell r="J654">
            <v>-4.424828046472673E-2</v>
          </cell>
          <cell r="K654">
            <v>-0.10922413668289532</v>
          </cell>
          <cell r="L654">
            <v>-1.686031185227943E-2</v>
          </cell>
          <cell r="M654">
            <v>-0.39153165149792013</v>
          </cell>
          <cell r="N654">
            <v>0.22154725727930158</v>
          </cell>
          <cell r="O654">
            <v>-2.4365067176545407E-2</v>
          </cell>
          <cell r="P654">
            <v>9.8433878528474406E-3</v>
          </cell>
          <cell r="Q654">
            <v>2.5409776363267467E-2</v>
          </cell>
          <cell r="R654">
            <v>4.2639311761708765E-2</v>
          </cell>
          <cell r="S654">
            <v>6.2372628949700859E-2</v>
          </cell>
          <cell r="T654">
            <v>7.7466466657955424E-2</v>
          </cell>
          <cell r="U654">
            <v>9.6226165955115128E-2</v>
          </cell>
          <cell r="V654">
            <v>0.1152031336993069</v>
          </cell>
          <cell r="W654">
            <v>0.13588530627487927</v>
          </cell>
        </row>
        <row r="655">
          <cell r="A655" t="str">
            <v>Licence fee</v>
          </cell>
          <cell r="B655">
            <v>0</v>
          </cell>
          <cell r="C655">
            <v>0</v>
          </cell>
          <cell r="D655">
            <v>0</v>
          </cell>
          <cell r="E655">
            <v>755.50701442821128</v>
          </cell>
          <cell r="F655">
            <v>763.18469730963386</v>
          </cell>
          <cell r="G655">
            <v>860.97532279532697</v>
          </cell>
          <cell r="H655">
            <v>866.40202264959999</v>
          </cell>
          <cell r="I655">
            <v>871.4737210247232</v>
          </cell>
          <cell r="J655">
            <v>883.96615485810889</v>
          </cell>
          <cell r="K655">
            <v>877.33485809687932</v>
          </cell>
          <cell r="L655">
            <v>880.16709857820388</v>
          </cell>
          <cell r="M655">
            <v>1520.3728700739771</v>
          </cell>
          <cell r="N655">
            <v>1564.2867391019695</v>
          </cell>
          <cell r="O655">
            <v>1526.1727876203706</v>
          </cell>
          <cell r="P655">
            <v>1541.1954982993796</v>
          </cell>
          <cell r="Q655">
            <v>1580.3569312432412</v>
          </cell>
          <cell r="R655">
            <v>1647.7422631292989</v>
          </cell>
          <cell r="S655">
            <v>1750.5162799122033</v>
          </cell>
          <cell r="T655">
            <v>1886.1225909442298</v>
          </cell>
          <cell r="U655">
            <v>2067.6169363921208</v>
          </cell>
          <cell r="V655">
            <v>2305.8128867542537</v>
          </cell>
          <cell r="W655">
            <v>2619.1389770834194</v>
          </cell>
        </row>
        <row r="656">
          <cell r="A656" t="str">
            <v xml:space="preserve">    % change</v>
          </cell>
          <cell r="F656">
            <v>1.0162291990410299E-2</v>
          </cell>
          <cell r="G656">
            <v>0.12813494011400262</v>
          </cell>
          <cell r="H656">
            <v>6.3029679371693348E-3</v>
          </cell>
          <cell r="I656">
            <v>5.8537471549444664E-3</v>
          </cell>
          <cell r="J656">
            <v>1.4334837106386278E-2</v>
          </cell>
          <cell r="K656">
            <v>-7.5017541393245235E-3</v>
          </cell>
          <cell r="L656">
            <v>3.2282320201755255E-3</v>
          </cell>
          <cell r="M656">
            <v>0.72736844234457609</v>
          </cell>
          <cell r="N656">
            <v>2.8883617888982416E-2</v>
          </cell>
          <cell r="O656">
            <v>-2.4365067176545518E-2</v>
          </cell>
          <cell r="P656">
            <v>9.8433878528476626E-3</v>
          </cell>
          <cell r="Q656">
            <v>2.5409776363267467E-2</v>
          </cell>
          <cell r="R656">
            <v>4.2639311761708543E-2</v>
          </cell>
          <cell r="S656">
            <v>6.2372628949701081E-2</v>
          </cell>
          <cell r="T656">
            <v>7.7466466657955202E-2</v>
          </cell>
          <cell r="U656">
            <v>9.6226165955114906E-2</v>
          </cell>
          <cell r="V656">
            <v>0.1152031336993069</v>
          </cell>
          <cell r="W656">
            <v>0.13588530627487949</v>
          </cell>
        </row>
        <row r="657">
          <cell r="A657" t="str">
            <v>Operating expenses</v>
          </cell>
          <cell r="B657">
            <v>683.85764499121274</v>
          </cell>
          <cell r="C657">
            <v>789.27414924253844</v>
          </cell>
          <cell r="D657">
            <v>648.88235536470449</v>
          </cell>
          <cell r="E657">
            <v>702.71047066404867</v>
          </cell>
          <cell r="F657">
            <v>728.10855241523757</v>
          </cell>
          <cell r="G657">
            <v>691.78335818943833</v>
          </cell>
          <cell r="H657">
            <v>647.04225518490375</v>
          </cell>
          <cell r="I657">
            <v>620.38337113555826</v>
          </cell>
          <cell r="J657">
            <v>643.3128470081698</v>
          </cell>
          <cell r="K657">
            <v>598.91833473250801</v>
          </cell>
          <cell r="L657">
            <v>583.26012403361597</v>
          </cell>
          <cell r="M657">
            <v>579.2638872819366</v>
          </cell>
          <cell r="N657">
            <v>616.6969824939772</v>
          </cell>
          <cell r="O657">
            <v>637.11508663542713</v>
          </cell>
          <cell r="P657">
            <v>666.47314105828457</v>
          </cell>
          <cell r="Q657">
            <v>696.13843192136903</v>
          </cell>
          <cell r="R657">
            <v>734.78274746697707</v>
          </cell>
          <cell r="S657">
            <v>779.08046647278854</v>
          </cell>
          <cell r="T657">
            <v>831.91895089138995</v>
          </cell>
          <cell r="U657">
            <v>899.64453525207693</v>
          </cell>
          <cell r="V657">
            <v>983.35755848203758</v>
          </cell>
          <cell r="W657">
            <v>1088.0038173465946</v>
          </cell>
        </row>
        <row r="658">
          <cell r="A658" t="str">
            <v xml:space="preserve">    % change</v>
          </cell>
          <cell r="C658">
            <v>0.15414977813500985</v>
          </cell>
          <cell r="D658">
            <v>-0.17787456235905752</v>
          </cell>
          <cell r="E658">
            <v>8.2955122533868275E-2</v>
          </cell>
          <cell r="F658">
            <v>3.6143024490852049E-2</v>
          </cell>
          <cell r="G658">
            <v>-4.9889805723753011E-2</v>
          </cell>
          <cell r="H658">
            <v>-6.4675020690917906E-2</v>
          </cell>
          <cell r="I658">
            <v>-4.1201148511896268E-2</v>
          </cell>
          <cell r="J658">
            <v>3.6960171628457994E-2</v>
          </cell>
          <cell r="K658">
            <v>-6.900921143130534E-2</v>
          </cell>
          <cell r="L658">
            <v>-2.614414986291147E-2</v>
          </cell>
          <cell r="M658">
            <v>-6.8515514553657564E-3</v>
          </cell>
          <cell r="N658">
            <v>6.4621834769791775E-2</v>
          </cell>
          <cell r="O658">
            <v>3.3108811492602586E-2</v>
          </cell>
          <cell r="P658">
            <v>4.6079672320892273E-2</v>
          </cell>
          <cell r="Q658">
            <v>4.4510857280728899E-2</v>
          </cell>
          <cell r="R658">
            <v>5.5512400657076633E-2</v>
          </cell>
          <cell r="S658">
            <v>6.0286825130992039E-2</v>
          </cell>
          <cell r="T658">
            <v>6.7821600839028218E-2</v>
          </cell>
          <cell r="U658">
            <v>8.1408873169820151E-2</v>
          </cell>
          <cell r="V658">
            <v>9.3051221843418963E-2</v>
          </cell>
          <cell r="W658">
            <v>0.10641730259956961</v>
          </cell>
        </row>
        <row r="659">
          <cell r="A659" t="str">
            <v>Administration</v>
          </cell>
          <cell r="B659">
            <v>368.86203866432339</v>
          </cell>
          <cell r="C659">
            <v>528.56386262892829</v>
          </cell>
          <cell r="D659">
            <v>565.77611239077248</v>
          </cell>
          <cell r="E659">
            <v>570.22445565193175</v>
          </cell>
          <cell r="F659">
            <v>645.92204997370573</v>
          </cell>
          <cell r="G659">
            <v>713.38574385550794</v>
          </cell>
          <cell r="H659">
            <v>673.56202947150189</v>
          </cell>
          <cell r="I659">
            <v>549.39426434813026</v>
          </cell>
          <cell r="J659">
            <v>607.19902281461486</v>
          </cell>
          <cell r="K659">
            <v>744.0785632949727</v>
          </cell>
          <cell r="L659">
            <v>677.45088241298185</v>
          </cell>
          <cell r="M659">
            <v>720.15232479577435</v>
          </cell>
          <cell r="N659">
            <v>729.2721981500988</v>
          </cell>
          <cell r="O659">
            <v>738.52520934066035</v>
          </cell>
          <cell r="P659">
            <v>748.52817080683997</v>
          </cell>
          <cell r="Q659">
            <v>769.14762239346794</v>
          </cell>
          <cell r="R659">
            <v>801.22367116351631</v>
          </cell>
          <cell r="S659">
            <v>845.98533581108484</v>
          </cell>
          <cell r="T659">
            <v>904.71295809789649</v>
          </cell>
          <cell r="U659">
            <v>980.86972915080173</v>
          </cell>
          <cell r="V659">
            <v>1079.0094949728232</v>
          </cell>
          <cell r="W659">
            <v>1206.2158482849618</v>
          </cell>
        </row>
        <row r="660">
          <cell r="A660" t="str">
            <v xml:space="preserve">    % change</v>
          </cell>
          <cell r="C660">
            <v>0.43295814484704631</v>
          </cell>
          <cell r="D660">
            <v>7.0402561341899039E-2</v>
          </cell>
          <cell r="E660">
            <v>7.86237376187926E-3</v>
          </cell>
          <cell r="F660">
            <v>0.13275052231007822</v>
          </cell>
          <cell r="G660">
            <v>0.10444556566004914</v>
          </cell>
          <cell r="H660">
            <v>-5.582353548134833E-2</v>
          </cell>
          <cell r="I660">
            <v>-0.18434495961834074</v>
          </cell>
          <cell r="J660">
            <v>0.10521543856136062</v>
          </cell>
          <cell r="K660">
            <v>0.22542780099655868</v>
          </cell>
          <cell r="L660">
            <v>-8.9543879058880838E-2</v>
          </cell>
          <cell r="M660">
            <v>6.3032528986745273E-2</v>
          </cell>
          <cell r="N660">
            <v>1.2663811585848395E-2</v>
          </cell>
          <cell r="O660">
            <v>1.2688007597208673E-2</v>
          </cell>
          <cell r="P660">
            <v>1.354450916456873E-2</v>
          </cell>
          <cell r="Q660">
            <v>2.7546660754801389E-2</v>
          </cell>
          <cell r="R660">
            <v>4.1703371155504154E-2</v>
          </cell>
          <cell r="S660">
            <v>5.586662783260854E-2</v>
          </cell>
          <cell r="T660">
            <v>6.9419196528397009E-2</v>
          </cell>
          <cell r="U660">
            <v>8.4177827200596411E-2</v>
          </cell>
          <cell r="V660">
            <v>0.10005382254684014</v>
          </cell>
          <cell r="W660">
            <v>0.1178917830703079</v>
          </cell>
        </row>
        <row r="661">
          <cell r="A661" t="str">
            <v>Comm on franchised services</v>
          </cell>
          <cell r="B661">
            <v>0</v>
          </cell>
          <cell r="C661">
            <v>0</v>
          </cell>
          <cell r="D661">
            <v>74.035323269228698</v>
          </cell>
          <cell r="E661">
            <v>137.47492686055551</v>
          </cell>
          <cell r="F661">
            <v>206.53143609216667</v>
          </cell>
          <cell r="G661">
            <v>244.61180816301501</v>
          </cell>
          <cell r="H661">
            <v>336.55712493752122</v>
          </cell>
          <cell r="I661">
            <v>377.82616634007604</v>
          </cell>
          <cell r="J661">
            <v>424.90208216974713</v>
          </cell>
          <cell r="K661">
            <v>455.02800138968149</v>
          </cell>
          <cell r="L661">
            <v>525.22504175577672</v>
          </cell>
          <cell r="M661">
            <v>594.3592402615119</v>
          </cell>
          <cell r="N661">
            <v>558.76511539938531</v>
          </cell>
          <cell r="O661">
            <v>485.15085780015232</v>
          </cell>
          <cell r="P661">
            <v>461.82759440298082</v>
          </cell>
          <cell r="Q661">
            <v>441.73210340457803</v>
          </cell>
          <cell r="R661">
            <v>434.55060181968571</v>
          </cell>
          <cell r="S661">
            <v>430.81826217640338</v>
          </cell>
          <cell r="T661">
            <v>430.29470874712263</v>
          </cell>
          <cell r="U661">
            <v>432.44954811606414</v>
          </cell>
          <cell r="V661">
            <v>438.82999702714255</v>
          </cell>
          <cell r="W661">
            <v>450.09469796267234</v>
          </cell>
        </row>
        <row r="662">
          <cell r="A662" t="str">
            <v xml:space="preserve">    % change</v>
          </cell>
          <cell r="E662">
            <v>0.85688291466803412</v>
          </cell>
          <cell r="F662">
            <v>0.5023207562907599</v>
          </cell>
          <cell r="G662">
            <v>0.18438051267824718</v>
          </cell>
          <cell r="H662">
            <v>0.37588257682651083</v>
          </cell>
          <cell r="I662">
            <v>0.12262120853990544</v>
          </cell>
          <cell r="J662">
            <v>0.12459675910137658</v>
          </cell>
          <cell r="K662">
            <v>7.0900851005712751E-2</v>
          </cell>
          <cell r="L662">
            <v>0.15426971560367586</v>
          </cell>
          <cell r="M662">
            <v>0.13162776526158426</v>
          </cell>
          <cell r="N662">
            <v>-5.9886550845016817E-2</v>
          </cell>
          <cell r="O662">
            <v>-0.13174454805865277</v>
          </cell>
          <cell r="P662">
            <v>-4.807424952916195E-2</v>
          </cell>
          <cell r="Q662">
            <v>-4.3512971597941985E-2</v>
          </cell>
          <cell r="R662">
            <v>-1.6257594885094484E-2</v>
          </cell>
          <cell r="S662">
            <v>-8.5889643867782528E-3</v>
          </cell>
          <cell r="T662">
            <v>-1.2152535657050656E-3</v>
          </cell>
          <cell r="U662">
            <v>5.0078221394256328E-3</v>
          </cell>
          <cell r="V662">
            <v>1.475420413519779E-2</v>
          </cell>
          <cell r="W662">
            <v>2.566985167796787E-2</v>
          </cell>
        </row>
        <row r="663">
          <cell r="A663" t="str">
            <v>Others</v>
          </cell>
          <cell r="B663">
            <v>95.992091388400709</v>
          </cell>
          <cell r="C663">
            <v>173.84377396670502</v>
          </cell>
          <cell r="D663">
            <v>102.62603125451164</v>
          </cell>
          <cell r="E663">
            <v>44.808233973612317</v>
          </cell>
          <cell r="F663">
            <v>143.23962758418983</v>
          </cell>
          <cell r="G663">
            <v>74.756821489541892</v>
          </cell>
          <cell r="H663">
            <v>102.91481260811491</v>
          </cell>
          <cell r="I663">
            <v>455.96458677282146</v>
          </cell>
          <cell r="J663">
            <v>127.0721565088067</v>
          </cell>
          <cell r="K663">
            <v>256.40945263580954</v>
          </cell>
          <cell r="L663">
            <v>379.25115559515228</v>
          </cell>
          <cell r="M663">
            <v>319.40669891998522</v>
          </cell>
          <cell r="N663">
            <v>341.16069945027192</v>
          </cell>
          <cell r="O663">
            <v>331.42020327001279</v>
          </cell>
          <cell r="P663">
            <v>329.18763949643301</v>
          </cell>
          <cell r="Q663">
            <v>331.98259670353087</v>
          </cell>
          <cell r="R663">
            <v>340.25113781232523</v>
          </cell>
          <cell r="S663">
            <v>354.91143523632064</v>
          </cell>
          <cell r="T663">
            <v>375.55234903702251</v>
          </cell>
          <cell r="U663">
            <v>404.15403148581896</v>
          </cell>
          <cell r="V663">
            <v>442.46090775302537</v>
          </cell>
          <cell r="W663">
            <v>493.4655856261798</v>
          </cell>
        </row>
        <row r="664">
          <cell r="A664" t="str">
            <v xml:space="preserve">    % change</v>
          </cell>
          <cell r="C664">
            <v>0.81102183994828114</v>
          </cell>
          <cell r="D664">
            <v>-0.40966519011393054</v>
          </cell>
          <cell r="E664">
            <v>-0.56338334995642292</v>
          </cell>
          <cell r="F664">
            <v>2.1967255765657718</v>
          </cell>
          <cell r="G664">
            <v>-0.4780995821452888</v>
          </cell>
          <cell r="H664">
            <v>0.37666116024625507</v>
          </cell>
          <cell r="I664">
            <v>3.430504950818599</v>
          </cell>
          <cell r="J664">
            <v>-0.72131134698818444</v>
          </cell>
          <cell r="K664">
            <v>1.0178256171959998</v>
          </cell>
          <cell r="L664">
            <v>0.47908414333624671</v>
          </cell>
          <cell r="M664">
            <v>-0.15779637264718205</v>
          </cell>
          <cell r="N664">
            <v>6.8107527499716936E-2</v>
          </cell>
          <cell r="O664">
            <v>-2.8551049977193821E-2</v>
          </cell>
          <cell r="P664">
            <v>-6.7363538841380688E-3</v>
          </cell>
          <cell r="Q664">
            <v>8.4904682671966825E-3</v>
          </cell>
          <cell r="R664">
            <v>2.4906549894175178E-2</v>
          </cell>
          <cell r="S664">
            <v>4.3086696251054768E-2</v>
          </cell>
          <cell r="T664">
            <v>5.8157928292611683E-2</v>
          </cell>
          <cell r="U664">
            <v>7.6158976297540981E-2</v>
          </cell>
          <cell r="V664">
            <v>9.4782863173172416E-2</v>
          </cell>
          <cell r="W664">
            <v>0.11527499261386587</v>
          </cell>
        </row>
        <row r="665">
          <cell r="A665" t="str">
            <v>Operating costs</v>
          </cell>
          <cell r="B665">
            <v>5455.5131810193316</v>
          </cell>
          <cell r="C665">
            <v>5569.3371731480347</v>
          </cell>
          <cell r="D665">
            <v>5511.6777704648784</v>
          </cell>
          <cell r="E665">
            <v>6846.4498249796534</v>
          </cell>
          <cell r="F665">
            <v>7042.7147491836404</v>
          </cell>
          <cell r="G665">
            <v>7240.5084815906266</v>
          </cell>
          <cell r="H665">
            <v>7464.8724570142649</v>
          </cell>
          <cell r="I665">
            <v>7827.583602063436</v>
          </cell>
          <cell r="J665">
            <v>7609.7338839118802</v>
          </cell>
          <cell r="K665">
            <v>8641.8290546290373</v>
          </cell>
          <cell r="L665">
            <v>8776.1957319455014</v>
          </cell>
          <cell r="M665">
            <v>8610.6864471784065</v>
          </cell>
          <cell r="N665">
            <v>9601.4280631128477</v>
          </cell>
          <cell r="O665">
            <v>9879.2513372281446</v>
          </cell>
          <cell r="P665">
            <v>10379.54440434169</v>
          </cell>
          <cell r="Q665">
            <v>11074.460071762833</v>
          </cell>
          <cell r="R665">
            <v>12024.448061271518</v>
          </cell>
          <cell r="S665">
            <v>13276.537421295272</v>
          </cell>
          <cell r="T665">
            <v>14838.59505739885</v>
          </cell>
          <cell r="U665">
            <v>16812.472501281849</v>
          </cell>
          <cell r="V665">
            <v>19312.629774710069</v>
          </cell>
          <cell r="W665">
            <v>22584.783208115961</v>
          </cell>
        </row>
        <row r="666">
          <cell r="A666" t="str">
            <v xml:space="preserve">    % change</v>
          </cell>
          <cell r="C666">
            <v>2.0864030266614764E-2</v>
          </cell>
          <cell r="D666">
            <v>-1.0353009862853146E-2</v>
          </cell>
          <cell r="E666">
            <v>0.2421716417580404</v>
          </cell>
          <cell r="F666">
            <v>2.8666670934752725E-2</v>
          </cell>
          <cell r="G666">
            <v>2.8084870600490142E-2</v>
          </cell>
          <cell r="H666">
            <v>3.0987323058055294E-2</v>
          </cell>
          <cell r="I666">
            <v>4.8589061251589793E-2</v>
          </cell>
          <cell r="J666">
            <v>-2.78310305231525E-2</v>
          </cell>
          <cell r="K666">
            <v>0.13562828693644091</v>
          </cell>
          <cell r="L666">
            <v>1.5548407225723704E-2</v>
          </cell>
          <cell r="M666">
            <v>-1.8858887133138769E-2</v>
          </cell>
          <cell r="N666">
            <v>0.11505953933081514</v>
          </cell>
          <cell r="O666">
            <v>2.8935620023301523E-2</v>
          </cell>
          <cell r="P666">
            <v>5.0640787447959967E-2</v>
          </cell>
          <cell r="Q666">
            <v>6.6950498051770335E-2</v>
          </cell>
          <cell r="R666">
            <v>8.5781878606517648E-2</v>
          </cell>
          <cell r="S666">
            <v>0.10412863473180933</v>
          </cell>
          <cell r="T666">
            <v>0.11765549906092776</v>
          </cell>
          <cell r="U666">
            <v>0.13302320308948512</v>
          </cell>
          <cell r="V666">
            <v>0.14870848254101809</v>
          </cell>
          <cell r="W666">
            <v>0.16943075446362998</v>
          </cell>
        </row>
        <row r="667">
          <cell r="A667" t="str">
            <v>EBITDA</v>
          </cell>
          <cell r="B667">
            <v>6056.7627416520236</v>
          </cell>
          <cell r="C667">
            <v>6734.1758934154777</v>
          </cell>
          <cell r="D667">
            <v>7173.1448151557743</v>
          </cell>
          <cell r="E667">
            <v>8326.9216689407731</v>
          </cell>
          <cell r="F667">
            <v>8158.0536247198115</v>
          </cell>
          <cell r="G667">
            <v>7701.8514999574236</v>
          </cell>
          <cell r="H667">
            <v>7415.0331877403632</v>
          </cell>
          <cell r="I667">
            <v>7134.4759505845204</v>
          </cell>
          <cell r="J667">
            <v>6899.1704202345472</v>
          </cell>
          <cell r="K667">
            <v>5183.4801838653548</v>
          </cell>
          <cell r="L667">
            <v>5306.7261706011859</v>
          </cell>
          <cell r="M667">
            <v>5430.4463899280518</v>
          </cell>
          <cell r="N667">
            <v>4619.3604741777826</v>
          </cell>
          <cell r="O667">
            <v>3995.0467320479524</v>
          </cell>
          <cell r="P667">
            <v>3631.323762016305</v>
          </cell>
          <cell r="Q667">
            <v>3292.4211213575413</v>
          </cell>
          <cell r="R667">
            <v>2955.027058085745</v>
          </cell>
          <cell r="S667">
            <v>2637.2469415429382</v>
          </cell>
          <cell r="T667">
            <v>2307.9739511850557</v>
          </cell>
          <cell r="U667">
            <v>1984.0451022828895</v>
          </cell>
          <cell r="V667">
            <v>1649.3055594195139</v>
          </cell>
          <cell r="W667">
            <v>1225.5711290060326</v>
          </cell>
        </row>
        <row r="668">
          <cell r="A668" t="str">
            <v xml:space="preserve">    % change</v>
          </cell>
          <cell r="C668">
            <v>0.11184409570890419</v>
          </cell>
          <cell r="D668">
            <v>6.5185247413794167E-2</v>
          </cell>
          <cell r="E668">
            <v>0.16084672532293531</v>
          </cell>
          <cell r="F668">
            <v>-2.0279768554907318E-2</v>
          </cell>
          <cell r="G668">
            <v>-5.5920461638060859E-2</v>
          </cell>
          <cell r="H668">
            <v>-3.724017688716097E-2</v>
          </cell>
          <cell r="I668">
            <v>-3.7836275314276691E-2</v>
          </cell>
          <cell r="J668">
            <v>-3.2981473619053236E-2</v>
          </cell>
          <cell r="K668">
            <v>-0.2486806575088002</v>
          </cell>
          <cell r="L668">
            <v>2.3776687160772747E-2</v>
          </cell>
          <cell r="M668">
            <v>2.3313850262759894E-2</v>
          </cell>
          <cell r="N668">
            <v>-0.14935897668644793</v>
          </cell>
          <cell r="O668">
            <v>-0.1351515530385089</v>
          </cell>
          <cell r="P668">
            <v>-9.104348319980593E-2</v>
          </cell>
          <cell r="Q668">
            <v>-9.3327574975189398E-2</v>
          </cell>
          <cell r="R668">
            <v>-0.10247597462036717</v>
          </cell>
          <cell r="S668">
            <v>-0.10753881785050845</v>
          </cell>
          <cell r="T668">
            <v>-0.12485481930836528</v>
          </cell>
          <cell r="U668">
            <v>-0.14035203852098987</v>
          </cell>
          <cell r="V668">
            <v>-0.16871569223815341</v>
          </cell>
          <cell r="W668">
            <v>-0.25691687510143235</v>
          </cell>
        </row>
        <row r="669">
          <cell r="A669" t="str">
            <v>Other income - total</v>
          </cell>
          <cell r="B669">
            <v>70.430579964850622</v>
          </cell>
          <cell r="C669">
            <v>139.83602076854044</v>
          </cell>
          <cell r="D669">
            <v>178.36474860569228</v>
          </cell>
          <cell r="E669">
            <v>85.316745983003202</v>
          </cell>
          <cell r="F669">
            <v>351.94784796244994</v>
          </cell>
          <cell r="G669">
            <v>305.40616493518957</v>
          </cell>
          <cell r="H669">
            <v>241.07412468871379</v>
          </cell>
          <cell r="I669">
            <v>401.11021534410315</v>
          </cell>
          <cell r="J669">
            <v>653.97383750033237</v>
          </cell>
          <cell r="K669">
            <v>466.07288838401365</v>
          </cell>
          <cell r="L669">
            <v>774.24662183258954</v>
          </cell>
          <cell r="M669">
            <v>567.58070114543568</v>
          </cell>
          <cell r="N669">
            <v>483.09435727707796</v>
          </cell>
          <cell r="O669">
            <v>522.76913281727343</v>
          </cell>
          <cell r="P669">
            <v>538.71462277984574</v>
          </cell>
          <cell r="Q669">
            <v>565.63620955865122</v>
          </cell>
          <cell r="R669">
            <v>593.2459593061069</v>
          </cell>
          <cell r="S669">
            <v>631.6897741386905</v>
          </cell>
          <cell r="T669">
            <v>668.03785057984101</v>
          </cell>
          <cell r="U669">
            <v>698.23982029031959</v>
          </cell>
          <cell r="V669">
            <v>728.9677105870918</v>
          </cell>
          <cell r="W669">
            <v>758.53323926408882</v>
          </cell>
        </row>
        <row r="670">
          <cell r="A670" t="str">
            <v xml:space="preserve">    % change</v>
          </cell>
          <cell r="C670">
            <v>0.98544468664502816</v>
          </cell>
          <cell r="D670">
            <v>0.27552791923996045</v>
          </cell>
          <cell r="E670">
            <v>-0.52167260263062754</v>
          </cell>
          <cell r="F670">
            <v>3.1251907103039889</v>
          </cell>
          <cell r="G670">
            <v>-0.13224028303257596</v>
          </cell>
          <cell r="H670">
            <v>-0.21064420968754094</v>
          </cell>
          <cell r="I670">
            <v>0.66384598870590295</v>
          </cell>
          <cell r="J670">
            <v>0.63040933011218225</v>
          </cell>
          <cell r="K670">
            <v>-0.28732181372045063</v>
          </cell>
          <cell r="L670">
            <v>0.66121360226956782</v>
          </cell>
          <cell r="M670">
            <v>-0.26692518231205142</v>
          </cell>
          <cell r="N670">
            <v>-0.14885344709193893</v>
          </cell>
          <cell r="O670">
            <v>8.2126348491874612E-2</v>
          </cell>
          <cell r="P670">
            <v>3.0501972977325487E-2</v>
          </cell>
          <cell r="Q670">
            <v>4.9973744243076546E-2</v>
          </cell>
          <cell r="R670">
            <v>4.8811849879622615E-2</v>
          </cell>
          <cell r="S670">
            <v>6.4802489135449948E-2</v>
          </cell>
          <cell r="T670">
            <v>5.7541023979232664E-2</v>
          </cell>
          <cell r="U670">
            <v>4.5209967794884731E-2</v>
          </cell>
          <cell r="V670">
            <v>4.4007645229966919E-2</v>
          </cell>
          <cell r="W670">
            <v>4.0558077192727415E-2</v>
          </cell>
        </row>
        <row r="671">
          <cell r="A671" t="str">
            <v>Depreciation</v>
          </cell>
          <cell r="B671">
            <v>2181.8892794376097</v>
          </cell>
          <cell r="C671">
            <v>2459.1030860513233</v>
          </cell>
          <cell r="D671">
            <v>2624.6463812742977</v>
          </cell>
          <cell r="E671">
            <v>2419.2440694272582</v>
          </cell>
          <cell r="F671">
            <v>2213.0519882629033</v>
          </cell>
          <cell r="G671">
            <v>2016.9737982779191</v>
          </cell>
          <cell r="H671">
            <v>1901.2636761043691</v>
          </cell>
          <cell r="I671">
            <v>1882.4606355402632</v>
          </cell>
          <cell r="J671">
            <v>1894.3194504478226</v>
          </cell>
          <cell r="K671">
            <v>1892.2532589919954</v>
          </cell>
          <cell r="L671">
            <v>1872.7768647495061</v>
          </cell>
          <cell r="M671">
            <v>1865.9638928527049</v>
          </cell>
          <cell r="N671">
            <v>1940.0968036037257</v>
          </cell>
          <cell r="O671">
            <v>2015.8324355224443</v>
          </cell>
          <cell r="P671">
            <v>2096.9474740931596</v>
          </cell>
          <cell r="Q671">
            <v>2206.4066557319084</v>
          </cell>
          <cell r="R671">
            <v>2332.5064459694372</v>
          </cell>
          <cell r="S671">
            <v>2483.9486829412431</v>
          </cell>
          <cell r="T671">
            <v>2659.7587089697527</v>
          </cell>
          <cell r="U671">
            <v>2877.7789754791293</v>
          </cell>
          <cell r="V671">
            <v>3151.4537865094471</v>
          </cell>
          <cell r="W671">
            <v>3493.5449496016736</v>
          </cell>
        </row>
        <row r="672">
          <cell r="A672" t="str">
            <v xml:space="preserve">    % change</v>
          </cell>
          <cell r="C672">
            <v>0.12705218785673966</v>
          </cell>
          <cell r="D672">
            <v>6.7318566741662478E-2</v>
          </cell>
          <cell r="E672">
            <v>-7.8259042175164995E-2</v>
          </cell>
          <cell r="F672">
            <v>-8.5229962437469053E-2</v>
          </cell>
          <cell r="G672">
            <v>-8.8600806047440583E-2</v>
          </cell>
          <cell r="H672">
            <v>-5.7368183102994519E-2</v>
          </cell>
          <cell r="I672">
            <v>-9.8897595322668952E-3</v>
          </cell>
          <cell r="J672">
            <v>6.2996350009496549E-3</v>
          </cell>
          <cell r="K672">
            <v>-1.0907302120235496E-3</v>
          </cell>
          <cell r="L672">
            <v>-1.0292699536881389E-2</v>
          </cell>
          <cell r="M672">
            <v>-3.6378983663450937E-3</v>
          </cell>
          <cell r="N672">
            <v>3.9729016748381696E-2</v>
          </cell>
          <cell r="O672">
            <v>3.9037037625153426E-2</v>
          </cell>
          <cell r="P672">
            <v>4.0238978766949263E-2</v>
          </cell>
          <cell r="Q672">
            <v>5.2199295877015217E-2</v>
          </cell>
          <cell r="R672">
            <v>5.7151654211131442E-2</v>
          </cell>
          <cell r="S672">
            <v>6.4926824632573821E-2</v>
          </cell>
          <cell r="T672">
            <v>7.0778445318094407E-2</v>
          </cell>
          <cell r="U672">
            <v>8.196994177484096E-2</v>
          </cell>
          <cell r="V672">
            <v>9.509931560492868E-2</v>
          </cell>
          <cell r="W672">
            <v>0.10855027116584415</v>
          </cell>
        </row>
        <row r="673">
          <cell r="A673" t="str">
            <v>EBIT</v>
          </cell>
          <cell r="B673">
            <v>3944.9525483304069</v>
          </cell>
          <cell r="C673">
            <v>4414.5924033529955</v>
          </cell>
          <cell r="D673">
            <v>4726.5862078396976</v>
          </cell>
          <cell r="E673">
            <v>5992.7523121745826</v>
          </cell>
          <cell r="F673">
            <v>6296.7431541552733</v>
          </cell>
          <cell r="G673">
            <v>5990.1105275120572</v>
          </cell>
          <cell r="H673">
            <v>5754.8436363247074</v>
          </cell>
          <cell r="I673">
            <v>5653.1255303883609</v>
          </cell>
          <cell r="J673">
            <v>5658.8248072870574</v>
          </cell>
          <cell r="K673">
            <v>3757.2998132573725</v>
          </cell>
          <cell r="L673">
            <v>4208.195927684269</v>
          </cell>
          <cell r="M673">
            <v>4132.0631982207815</v>
          </cell>
          <cell r="N673">
            <v>3162.3580278511354</v>
          </cell>
          <cell r="O673">
            <v>2501.9834293427816</v>
          </cell>
          <cell r="P673">
            <v>2073.0909107029911</v>
          </cell>
          <cell r="Q673">
            <v>1651.6506751842842</v>
          </cell>
          <cell r="R673">
            <v>1215.7665714224142</v>
          </cell>
          <cell r="S673">
            <v>784.98803274038573</v>
          </cell>
          <cell r="T673">
            <v>316.25309279514386</v>
          </cell>
          <cell r="U673">
            <v>-195.49405290591986</v>
          </cell>
          <cell r="V673">
            <v>-773.40124970240174</v>
          </cell>
          <cell r="W673">
            <v>-1509.9105924363894</v>
          </cell>
        </row>
        <row r="674">
          <cell r="A674" t="str">
            <v xml:space="preserve">    % change</v>
          </cell>
          <cell r="C674">
            <v>0.11904829000322215</v>
          </cell>
          <cell r="D674">
            <v>7.0673298003624208E-2</v>
          </cell>
          <cell r="E674">
            <v>0.26788173295872042</v>
          </cell>
          <cell r="F674">
            <v>5.0726415200427644E-2</v>
          </cell>
          <cell r="G674">
            <v>-4.8697019893667814E-2</v>
          </cell>
          <cell r="H674">
            <v>-3.9275884828299801E-2</v>
          </cell>
          <cell r="I674">
            <v>-1.7675216281168749E-2</v>
          </cell>
          <cell r="J674">
            <v>1.008163867591394E-3</v>
          </cell>
          <cell r="K674">
            <v>-0.33602824946639587</v>
          </cell>
          <cell r="L674">
            <v>0.12000535939025703</v>
          </cell>
          <cell r="M674">
            <v>-1.8091536319076007E-2</v>
          </cell>
          <cell r="N674">
            <v>-0.23467820404760265</v>
          </cell>
          <cell r="O674">
            <v>-0.20882347687781799</v>
          </cell>
          <cell r="P674">
            <v>-0.17142100687391504</v>
          </cell>
          <cell r="Q674">
            <v>-0.20329076421245573</v>
          </cell>
          <cell r="R674">
            <v>-0.26390816793825722</v>
          </cell>
          <cell r="S674">
            <v>-0.35432668475004148</v>
          </cell>
          <cell r="T674">
            <v>-0.59712367627936014</v>
          </cell>
          <cell r="U674">
            <v>-1.6181569678199261</v>
          </cell>
          <cell r="V674">
            <v>2.9561369678830878</v>
          </cell>
          <cell r="W674">
            <v>0.95229913711335512</v>
          </cell>
        </row>
        <row r="675">
          <cell r="A675" t="str">
            <v>Interest</v>
          </cell>
          <cell r="B675">
            <v>834.31458699472773</v>
          </cell>
          <cell r="C675">
            <v>1023.9189446284322</v>
          </cell>
          <cell r="D675">
            <v>1133.9826773131106</v>
          </cell>
          <cell r="E675">
            <v>972.30836255381462</v>
          </cell>
          <cell r="F675">
            <v>869.83681081500708</v>
          </cell>
          <cell r="G675">
            <v>705.94516287483759</v>
          </cell>
          <cell r="H675">
            <v>544.92525070858437</v>
          </cell>
          <cell r="I675">
            <v>278.45131742039672</v>
          </cell>
          <cell r="J675">
            <v>210.2329565386176</v>
          </cell>
          <cell r="K675">
            <v>22.452601194275093</v>
          </cell>
          <cell r="L675">
            <v>20.214165959933688</v>
          </cell>
          <cell r="M675">
            <v>12.97217615625576</v>
          </cell>
          <cell r="N675">
            <v>46.287714414929596</v>
          </cell>
          <cell r="O675">
            <v>44.642869797222531</v>
          </cell>
          <cell r="P675">
            <v>43.092891006022526</v>
          </cell>
          <cell r="Q675">
            <v>42.171386910008621</v>
          </cell>
          <cell r="R675">
            <v>41.838167533770552</v>
          </cell>
          <cell r="S675">
            <v>42.071928446264799</v>
          </cell>
          <cell r="T675">
            <v>42.85002658609973</v>
          </cell>
          <cell r="U675">
            <v>44.24480830438609</v>
          </cell>
          <cell r="V675">
            <v>46.35397190770675</v>
          </cell>
          <cell r="W675">
            <v>49.351166007902158</v>
          </cell>
        </row>
        <row r="676">
          <cell r="A676" t="str">
            <v xml:space="preserve">    % change</v>
          </cell>
          <cell r="C676">
            <v>0.22725763229991647</v>
          </cell>
          <cell r="D676">
            <v>0.10749262259682002</v>
          </cell>
          <cell r="E676">
            <v>-0.14257212036287137</v>
          </cell>
          <cell r="F676">
            <v>-0.10538997265194872</v>
          </cell>
          <cell r="G676">
            <v>-0.1884165465319968</v>
          </cell>
          <cell r="H676">
            <v>-0.22809124650777113</v>
          </cell>
          <cell r="I676">
            <v>-0.48901006687005744</v>
          </cell>
          <cell r="J676">
            <v>-0.24499205647062994</v>
          </cell>
          <cell r="K676">
            <v>-0.89320132502559946</v>
          </cell>
          <cell r="L676">
            <v>-9.969603142963035E-2</v>
          </cell>
          <cell r="M676">
            <v>-0.35826310212512402</v>
          </cell>
          <cell r="N676">
            <v>2.5682304847986206</v>
          </cell>
          <cell r="O676">
            <v>-3.5535230859801037E-2</v>
          </cell>
          <cell r="P676">
            <v>-3.4719515081363284E-2</v>
          </cell>
          <cell r="Q676">
            <v>-2.1384132614475027E-2</v>
          </cell>
          <cell r="R676">
            <v>-7.9015512804722077E-3</v>
          </cell>
          <cell r="S676">
            <v>5.5872646024843764E-3</v>
          </cell>
          <cell r="T676">
            <v>1.8494472884187818E-2</v>
          </cell>
          <cell r="U676">
            <v>3.2550311619615524E-2</v>
          </cell>
          <cell r="V676">
            <v>4.7670307187466676E-2</v>
          </cell>
          <cell r="W676">
            <v>6.465884101934094E-2</v>
          </cell>
        </row>
        <row r="677">
          <cell r="A677" t="str">
            <v>Profit before tax</v>
          </cell>
          <cell r="B677">
            <v>3110.6379613356794</v>
          </cell>
          <cell r="C677">
            <v>3390.6734587245633</v>
          </cell>
          <cell r="D677">
            <v>3592.6035305265873</v>
          </cell>
          <cell r="E677">
            <v>5020.4439496207679</v>
          </cell>
          <cell r="F677">
            <v>5426.9063433402662</v>
          </cell>
          <cell r="G677">
            <v>5284.1653646372197</v>
          </cell>
          <cell r="H677">
            <v>5209.9183856161235</v>
          </cell>
          <cell r="I677">
            <v>5374.5359905468731</v>
          </cell>
          <cell r="J677">
            <v>5448.5918507484394</v>
          </cell>
          <cell r="K677">
            <v>3734.8472120630972</v>
          </cell>
          <cell r="L677">
            <v>4187.9817617243361</v>
          </cell>
          <cell r="M677">
            <v>4119.0910220645264</v>
          </cell>
          <cell r="N677">
            <v>3116.0703134362057</v>
          </cell>
          <cell r="O677">
            <v>2457.3405595455588</v>
          </cell>
          <cell r="P677">
            <v>2029.9980196969684</v>
          </cell>
          <cell r="Q677">
            <v>1609.4792882742754</v>
          </cell>
          <cell r="R677">
            <v>1173.9284038886435</v>
          </cell>
          <cell r="S677">
            <v>742.91610429412094</v>
          </cell>
          <cell r="T677">
            <v>273.40306620904414</v>
          </cell>
          <cell r="U677">
            <v>-239.73886121030594</v>
          </cell>
          <cell r="V677">
            <v>-819.75522161010849</v>
          </cell>
          <cell r="W677">
            <v>-1559.2617584442914</v>
          </cell>
        </row>
        <row r="678">
          <cell r="A678" t="str">
            <v xml:space="preserve">    % change</v>
          </cell>
          <cell r="C678">
            <v>9.0025101239566752E-2</v>
          </cell>
          <cell r="D678">
            <v>5.9554561729451283E-2</v>
          </cell>
          <cell r="E678">
            <v>0.39743890662070758</v>
          </cell>
          <cell r="F678">
            <v>8.0961444405768468E-2</v>
          </cell>
          <cell r="G678">
            <v>-2.6302458467560186E-2</v>
          </cell>
          <cell r="H678">
            <v>-1.4050843207514485E-2</v>
          </cell>
          <cell r="I678">
            <v>3.1596964241366265E-2</v>
          </cell>
          <cell r="J678">
            <v>1.3779023962593451E-2</v>
          </cell>
          <cell r="K678">
            <v>-0.31452982451785882</v>
          </cell>
          <cell r="L678">
            <v>0.12132612766532191</v>
          </cell>
          <cell r="M678">
            <v>-1.6449627428999358E-2</v>
          </cell>
          <cell r="N678">
            <v>-0.24350535184959266</v>
          </cell>
          <cell r="O678">
            <v>-0.21139758979451306</v>
          </cell>
          <cell r="P678">
            <v>-0.17390448311634088</v>
          </cell>
          <cell r="Q678">
            <v>-0.20715228652561279</v>
          </cell>
          <cell r="R678">
            <v>-0.27061602318141076</v>
          </cell>
          <cell r="S678">
            <v>-0.36715382144838837</v>
          </cell>
          <cell r="T678">
            <v>-0.63198662052316523</v>
          </cell>
          <cell r="U678">
            <v>-1.8768696874343078</v>
          </cell>
          <cell r="V678">
            <v>2.4193672960304724</v>
          </cell>
          <cell r="W678">
            <v>0.90210652807028602</v>
          </cell>
        </row>
        <row r="679">
          <cell r="A679" t="str">
            <v>Tax</v>
          </cell>
          <cell r="B679">
            <v>790.86115992970133</v>
          </cell>
          <cell r="C679">
            <v>1621.676995958069</v>
          </cell>
          <cell r="D679">
            <v>1890.3519689954578</v>
          </cell>
          <cell r="E679">
            <v>2639.6759173819255</v>
          </cell>
          <cell r="F679">
            <v>2410.969135829534</v>
          </cell>
          <cell r="G679">
            <v>2246.9081179251912</v>
          </cell>
          <cell r="H679">
            <v>2027.8177075604242</v>
          </cell>
          <cell r="I679">
            <v>1686.5289071299626</v>
          </cell>
          <cell r="J679">
            <v>1734.4507220739486</v>
          </cell>
          <cell r="K679">
            <v>434.85907731307509</v>
          </cell>
          <cell r="L679">
            <v>396.83356033592571</v>
          </cell>
          <cell r="M679">
            <v>1128.4673388726767</v>
          </cell>
          <cell r="N679">
            <v>962.35747239565501</v>
          </cell>
          <cell r="O679">
            <v>767.00000843425221</v>
          </cell>
          <cell r="P679">
            <v>639.70613940754174</v>
          </cell>
          <cell r="Q679">
            <v>515.08505042712568</v>
          </cell>
          <cell r="R679">
            <v>385.99354084704117</v>
          </cell>
          <cell r="S679">
            <v>258.88114841414159</v>
          </cell>
          <cell r="T679">
            <v>238.48951265700319</v>
          </cell>
          <cell r="U679">
            <v>249.27161584364404</v>
          </cell>
          <cell r="V679">
            <v>260.24147267959177</v>
          </cell>
          <cell r="W679">
            <v>270.79636641727967</v>
          </cell>
        </row>
        <row r="680">
          <cell r="A680" t="str">
            <v xml:space="preserve">    % change</v>
          </cell>
          <cell r="C680">
            <v>1.050520468222536</v>
          </cell>
          <cell r="D680">
            <v>0.16567724257484362</v>
          </cell>
          <cell r="E680">
            <v>0.39639387832344375</v>
          </cell>
          <cell r="F680">
            <v>-8.6641992695537628E-2</v>
          </cell>
          <cell r="G680">
            <v>-6.8047747051683038E-2</v>
          </cell>
          <cell r="H680">
            <v>-9.7507507590954057E-2</v>
          </cell>
          <cell r="I680">
            <v>-0.1683034915604178</v>
          </cell>
          <cell r="J680">
            <v>2.8414464016235819E-2</v>
          </cell>
          <cell r="K680">
            <v>-0.74928138817740664</v>
          </cell>
          <cell r="L680">
            <v>-8.7443309708752026E-2</v>
          </cell>
          <cell r="M680">
            <v>1.8436791936584491</v>
          </cell>
          <cell r="N680">
            <v>-0.14719953405382835</v>
          </cell>
          <cell r="O680">
            <v>-0.20299885392388295</v>
          </cell>
          <cell r="P680">
            <v>-0.16596332154750193</v>
          </cell>
          <cell r="Q680">
            <v>-0.19480989989533759</v>
          </cell>
          <cell r="R680">
            <v>-0.25062173610559557</v>
          </cell>
          <cell r="S680">
            <v>-0.32931222671228788</v>
          </cell>
          <cell r="T680">
            <v>-7.8768330108444862E-2</v>
          </cell>
          <cell r="U680">
            <v>4.5209967794884731E-2</v>
          </cell>
          <cell r="V680">
            <v>4.4007645229967141E-2</v>
          </cell>
          <cell r="W680">
            <v>4.0558077192727193E-2</v>
          </cell>
        </row>
        <row r="681">
          <cell r="A681" t="str">
            <v>Network/rural development levy</v>
          </cell>
          <cell r="B681">
            <v>1380.0175746924431</v>
          </cell>
          <cell r="C681">
            <v>355.97787716152737</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row>
        <row r="682">
          <cell r="A682" t="str">
            <v>Profit after tax</v>
          </cell>
          <cell r="B682">
            <v>939.75922671353487</v>
          </cell>
          <cell r="C682">
            <v>1413.018585604967</v>
          </cell>
          <cell r="D682">
            <v>1702.2515615311293</v>
          </cell>
          <cell r="E682">
            <v>2380.7680322388424</v>
          </cell>
          <cell r="F682">
            <v>3015.9372075107322</v>
          </cell>
          <cell r="G682">
            <v>3037.2572467120281</v>
          </cell>
          <cell r="H682">
            <v>3182.1006780556986</v>
          </cell>
          <cell r="I682">
            <v>3688.007083416911</v>
          </cell>
          <cell r="J682">
            <v>3714.1411286744906</v>
          </cell>
          <cell r="K682">
            <v>3299.9881347500223</v>
          </cell>
          <cell r="L682">
            <v>3791.1482013884101</v>
          </cell>
          <cell r="M682">
            <v>2990.6236831918495</v>
          </cell>
          <cell r="N682">
            <v>2153.7128410405508</v>
          </cell>
          <cell r="O682">
            <v>1690.3405511113067</v>
          </cell>
          <cell r="P682">
            <v>1390.2918802894267</v>
          </cell>
          <cell r="Q682">
            <v>1094.3942378471497</v>
          </cell>
          <cell r="R682">
            <v>787.9348630416024</v>
          </cell>
          <cell r="S682">
            <v>484.03495587997929</v>
          </cell>
          <cell r="T682">
            <v>34.913553552040938</v>
          </cell>
          <cell r="U682">
            <v>-489.01047705395001</v>
          </cell>
          <cell r="V682">
            <v>-1079.9966942897004</v>
          </cell>
          <cell r="W682">
            <v>-1830.0581248615713</v>
          </cell>
        </row>
        <row r="683">
          <cell r="A683" t="str">
            <v xml:space="preserve">    % change</v>
          </cell>
          <cell r="C683">
            <v>0.50359639516015631</v>
          </cell>
          <cell r="D683">
            <v>0.20469155811020734</v>
          </cell>
          <cell r="E683">
            <v>0.39859941153316125</v>
          </cell>
          <cell r="F683">
            <v>0.26679171035179983</v>
          </cell>
          <cell r="G683">
            <v>7.0691256927370993E-3</v>
          </cell>
          <cell r="H683">
            <v>4.7688891515682563E-2</v>
          </cell>
          <cell r="I683">
            <v>0.15898504055827911</v>
          </cell>
          <cell r="J683">
            <v>7.0862242578360046E-3</v>
          </cell>
          <cell r="K683">
            <v>-0.11150706975754365</v>
          </cell>
          <cell r="L683">
            <v>0.14883691897746587</v>
          </cell>
          <cell r="M683">
            <v>-0.21115621855758349</v>
          </cell>
          <cell r="N683">
            <v>-0.27984491892275654</v>
          </cell>
          <cell r="O683">
            <v>-0.21515045139693234</v>
          </cell>
          <cell r="P683">
            <v>-0.17750782268378662</v>
          </cell>
          <cell r="Q683">
            <v>-0.21283131019989698</v>
          </cell>
          <cell r="R683">
            <v>-0.28002648790293561</v>
          </cell>
          <cell r="S683">
            <v>-0.38569166236470664</v>
          </cell>
          <cell r="T683">
            <v>-0.9278697682307514</v>
          </cell>
          <cell r="U683">
            <v>-15.006322109980809</v>
          </cell>
          <cell r="V683">
            <v>1.2085348780176544</v>
          </cell>
          <cell r="W683">
            <v>0.69450345036951844</v>
          </cell>
        </row>
        <row r="685">
          <cell r="A685" t="str">
            <v>CAPEX calculations</v>
          </cell>
        </row>
        <row r="686">
          <cell r="A686" t="str">
            <v>Cost per line (Rs)</v>
          </cell>
          <cell r="C686" t="str">
            <v>FY92</v>
          </cell>
          <cell r="D686" t="str">
            <v>FY93</v>
          </cell>
          <cell r="E686" t="str">
            <v>FY94</v>
          </cell>
          <cell r="F686" t="str">
            <v>FY95</v>
          </cell>
          <cell r="G686" t="str">
            <v>FY96</v>
          </cell>
          <cell r="H686" t="str">
            <v>FY97</v>
          </cell>
          <cell r="I686" t="str">
            <v>FY98</v>
          </cell>
          <cell r="J686" t="str">
            <v>FY99</v>
          </cell>
          <cell r="K686" t="str">
            <v>FY00</v>
          </cell>
          <cell r="L686" t="str">
            <v>FY01</v>
          </cell>
          <cell r="M686" t="str">
            <v>FY02</v>
          </cell>
          <cell r="N686" t="str">
            <v>FY03F</v>
          </cell>
          <cell r="O686" t="str">
            <v>FY04F</v>
          </cell>
          <cell r="P686" t="str">
            <v>FY05F</v>
          </cell>
          <cell r="Q686" t="str">
            <v>FY06F</v>
          </cell>
          <cell r="R686" t="str">
            <v>FY07F</v>
          </cell>
          <cell r="S686" t="str">
            <v>FY08F</v>
          </cell>
          <cell r="T686" t="str">
            <v>FY09F</v>
          </cell>
          <cell r="U686" t="str">
            <v>FY10F</v>
          </cell>
          <cell r="V686" t="str">
            <v>FY11F</v>
          </cell>
          <cell r="W686" t="str">
            <v>FY12F</v>
          </cell>
        </row>
        <row r="687">
          <cell r="A687" t="str">
            <v>Basic cap cost/new line capacity (eoy)</v>
          </cell>
          <cell r="C687">
            <v>30031.811629024527</v>
          </cell>
          <cell r="D687">
            <v>43580.681114551015</v>
          </cell>
          <cell r="E687">
            <v>22274.20497803808</v>
          </cell>
          <cell r="F687">
            <v>21091.414376321336</v>
          </cell>
          <cell r="G687">
            <v>18862.531160115068</v>
          </cell>
          <cell r="H687">
            <v>21088.50210819695</v>
          </cell>
          <cell r="I687">
            <v>20000</v>
          </cell>
          <cell r="J687">
            <v>17000</v>
          </cell>
          <cell r="K687">
            <v>15300</v>
          </cell>
          <cell r="L687">
            <v>13770</v>
          </cell>
          <cell r="M687">
            <v>12393</v>
          </cell>
          <cell r="N687">
            <v>11153.7</v>
          </cell>
          <cell r="O687">
            <v>10038.330000000002</v>
          </cell>
          <cell r="P687">
            <v>9134.8803000000025</v>
          </cell>
          <cell r="Q687">
            <v>8404.0898760000018</v>
          </cell>
          <cell r="R687">
            <v>7815.8035846800012</v>
          </cell>
          <cell r="S687">
            <v>7346.8553695992005</v>
          </cell>
          <cell r="T687">
            <v>6979.5126011192397</v>
          </cell>
          <cell r="U687">
            <v>6630.5369710632776</v>
          </cell>
          <cell r="V687">
            <v>6299.0101225101134</v>
          </cell>
          <cell r="W687">
            <v>5984.0596163846076</v>
          </cell>
        </row>
        <row r="688">
          <cell r="A688" t="str">
            <v>% change</v>
          </cell>
          <cell r="D688">
            <v>0.45115058834586108</v>
          </cell>
          <cell r="E688">
            <v>-0.48889727263576388</v>
          </cell>
          <cell r="F688">
            <v>-5.3101361098317645E-2</v>
          </cell>
          <cell r="G688">
            <v>-0.10567727590182685</v>
          </cell>
          <cell r="H688">
            <v>0.11801019328671591</v>
          </cell>
          <cell r="I688">
            <v>-5.1615904373495392E-2</v>
          </cell>
          <cell r="J688">
            <v>-0.15000000000000002</v>
          </cell>
          <cell r="K688">
            <v>-0.1</v>
          </cell>
          <cell r="L688">
            <v>-0.1</v>
          </cell>
          <cell r="M688">
            <v>-0.1</v>
          </cell>
          <cell r="N688">
            <v>-0.1</v>
          </cell>
          <cell r="O688">
            <v>-0.1</v>
          </cell>
          <cell r="P688">
            <v>-9.0000000000000011E-2</v>
          </cell>
          <cell r="Q688">
            <v>-8.0000000000000016E-2</v>
          </cell>
          <cell r="R688">
            <v>-7.0000000000000021E-2</v>
          </cell>
          <cell r="S688">
            <v>-6.0000000000000019E-2</v>
          </cell>
          <cell r="T688">
            <v>-5.0000000000000017E-2</v>
          </cell>
          <cell r="U688">
            <v>-5.0000000000000017E-2</v>
          </cell>
          <cell r="V688">
            <v>-5.0000000000000017E-2</v>
          </cell>
          <cell r="W688">
            <v>-5.0000000000000017E-2</v>
          </cell>
        </row>
        <row r="689">
          <cell r="A689" t="str">
            <v>Maintenance/new line post FY02</v>
          </cell>
          <cell r="C689">
            <v>0</v>
          </cell>
          <cell r="D689">
            <v>0</v>
          </cell>
          <cell r="E689">
            <v>0</v>
          </cell>
          <cell r="F689">
            <v>0</v>
          </cell>
          <cell r="G689">
            <v>0</v>
          </cell>
          <cell r="H689">
            <v>0</v>
          </cell>
          <cell r="I689">
            <v>0</v>
          </cell>
          <cell r="J689">
            <v>0</v>
          </cell>
          <cell r="K689">
            <v>0</v>
          </cell>
          <cell r="L689">
            <v>0</v>
          </cell>
          <cell r="M689">
            <v>0</v>
          </cell>
          <cell r="N689">
            <v>-46988.3811379978</v>
          </cell>
          <cell r="O689">
            <v>34447.42537177859</v>
          </cell>
          <cell r="P689">
            <v>51974.488611558721</v>
          </cell>
          <cell r="Q689">
            <v>108909.58452688082</v>
          </cell>
          <cell r="R689">
            <v>-473052.95350281667</v>
          </cell>
          <cell r="S689">
            <v>-73469.442190818081</v>
          </cell>
          <cell r="T689">
            <v>-36869.499118175227</v>
          </cell>
          <cell r="U689">
            <v>-23532.034744974681</v>
          </cell>
          <cell r="V689">
            <v>-16042.370809916356</v>
          </cell>
          <cell r="W689">
            <v>-11774.888619833047</v>
          </cell>
        </row>
        <row r="690">
          <cell r="A690" t="str">
            <v>Others (VANS equipment, others)/new line</v>
          </cell>
          <cell r="C690">
            <v>0</v>
          </cell>
          <cell r="D690">
            <v>0</v>
          </cell>
          <cell r="E690">
            <v>0</v>
          </cell>
          <cell r="F690">
            <v>0</v>
          </cell>
          <cell r="G690">
            <v>0</v>
          </cell>
          <cell r="H690">
            <v>0</v>
          </cell>
          <cell r="I690">
            <v>9730.3052794406449</v>
          </cell>
          <cell r="J690">
            <v>4817.0949064038396</v>
          </cell>
          <cell r="K690">
            <v>4817.3849789118904</v>
          </cell>
          <cell r="L690">
            <v>4156.1032376044259</v>
          </cell>
          <cell r="M690">
            <v>3777.0769201714847</v>
          </cell>
          <cell r="N690">
            <v>-12296.903220943479</v>
          </cell>
          <cell r="O690">
            <v>10153.09640012562</v>
          </cell>
          <cell r="P690">
            <v>16001.893908442562</v>
          </cell>
          <cell r="Q690">
            <v>36254.975249825977</v>
          </cell>
          <cell r="R690">
            <v>-175776.57796029974</v>
          </cell>
          <cell r="S690">
            <v>-30569.483047783462</v>
          </cell>
          <cell r="T690">
            <v>-17211.664169841355</v>
          </cell>
          <cell r="U690">
            <v>-12493.540074804028</v>
          </cell>
          <cell r="V690">
            <v>-10114.4983025737</v>
          </cell>
          <cell r="W690">
            <v>-8698.9295237429633</v>
          </cell>
        </row>
        <row r="691">
          <cell r="A691" t="str">
            <v>Total capex/new line capacity (eoy) (Rs)</v>
          </cell>
          <cell r="C691">
            <v>30031.811629024527</v>
          </cell>
          <cell r="D691">
            <v>43580.681114551015</v>
          </cell>
          <cell r="E691">
            <v>22274.20497803808</v>
          </cell>
          <cell r="F691">
            <v>21091.414376321336</v>
          </cell>
          <cell r="G691">
            <v>18862.531160115068</v>
          </cell>
          <cell r="H691">
            <v>21088.50210819695</v>
          </cell>
          <cell r="I691">
            <v>34501.854498033528</v>
          </cell>
          <cell r="J691">
            <v>23542.000250488902</v>
          </cell>
          <cell r="K691">
            <v>21011.747193271054</v>
          </cell>
          <cell r="L691">
            <v>20102.115456547952</v>
          </cell>
          <cell r="M691">
            <v>19519.442503446633</v>
          </cell>
          <cell r="N691">
            <v>-48131.584358941283</v>
          </cell>
          <cell r="O691">
            <v>54638.851771904207</v>
          </cell>
          <cell r="P691">
            <v>67976.38252000128</v>
          </cell>
          <cell r="Q691">
            <v>153568.64965270681</v>
          </cell>
          <cell r="R691">
            <v>-641013.72787843645</v>
          </cell>
          <cell r="S691">
            <v>-96692.069869002327</v>
          </cell>
          <cell r="T691">
            <v>-54081.163288016593</v>
          </cell>
          <cell r="U691">
            <v>-36025.574819778711</v>
          </cell>
          <cell r="V691">
            <v>-26156.869112490058</v>
          </cell>
          <cell r="W691">
            <v>-20473.818143576009</v>
          </cell>
        </row>
        <row r="692">
          <cell r="N692">
            <v>1.1988575261345946</v>
          </cell>
        </row>
        <row r="693">
          <cell r="A693" t="str">
            <v>Capex (Rs m)</v>
          </cell>
        </row>
        <row r="694">
          <cell r="A694" t="str">
            <v>Normal (line addition)</v>
          </cell>
          <cell r="C694">
            <v>6249.6200000000026</v>
          </cell>
          <cell r="D694">
            <v>7038.279999999997</v>
          </cell>
          <cell r="E694">
            <v>7606.6410000000024</v>
          </cell>
          <cell r="F694">
            <v>9976.2389999999978</v>
          </cell>
          <cell r="G694">
            <v>9836.8100000000013</v>
          </cell>
          <cell r="H694">
            <v>8852.7422999999944</v>
          </cell>
          <cell r="I694">
            <v>7142.2817000000032</v>
          </cell>
          <cell r="J694">
            <v>7774.3559999999998</v>
          </cell>
          <cell r="K694">
            <v>6723.3000000000029</v>
          </cell>
          <cell r="L694">
            <v>7673.5399999999954</v>
          </cell>
          <cell r="M694">
            <v>8335.7400000000125</v>
          </cell>
          <cell r="N694">
            <v>-1904.7698090448898</v>
          </cell>
          <cell r="O694">
            <v>2180.0755924789746</v>
          </cell>
          <cell r="P694">
            <v>0</v>
          </cell>
          <cell r="Q694">
            <v>563.52121050689505</v>
          </cell>
          <cell r="R694">
            <v>-113.49823880974004</v>
          </cell>
          <cell r="S694">
            <v>-644.13839368579988</v>
          </cell>
          <cell r="T694">
            <v>0</v>
          </cell>
          <cell r="U694">
            <v>0</v>
          </cell>
          <cell r="V694">
            <v>0</v>
          </cell>
          <cell r="W694">
            <v>0</v>
          </cell>
          <cell r="X694">
            <v>0</v>
          </cell>
        </row>
        <row r="695">
          <cell r="A695" t="str">
            <v>Maintenance capex post FY02</v>
          </cell>
          <cell r="N695">
            <v>8024.4268509600015</v>
          </cell>
          <cell r="O695">
            <v>7481.123979462267</v>
          </cell>
          <cell r="P695">
            <v>7519.9807876756022</v>
          </cell>
          <cell r="Q695">
            <v>7302.7373355033451</v>
          </cell>
          <cell r="R695">
            <v>6869.5018374766096</v>
          </cell>
          <cell r="S695">
            <v>6441.4618359864389</v>
          </cell>
          <cell r="T695">
            <v>6028.3639374293925</v>
          </cell>
          <cell r="U695">
            <v>5565.6815649093078</v>
          </cell>
          <cell r="V695">
            <v>4921.051295699107</v>
          </cell>
          <cell r="W695">
            <v>4409.750131070412</v>
          </cell>
        </row>
        <row r="696">
          <cell r="A696" t="str">
            <v>Others (VANS equipment, others)</v>
          </cell>
          <cell r="C696">
            <v>0</v>
          </cell>
          <cell r="D696">
            <v>0</v>
          </cell>
          <cell r="E696">
            <v>0</v>
          </cell>
          <cell r="F696">
            <v>0</v>
          </cell>
          <cell r="G696">
            <v>0</v>
          </cell>
          <cell r="H696">
            <v>0</v>
          </cell>
          <cell r="I696">
            <v>2805.5</v>
          </cell>
          <cell r="J696">
            <v>2000</v>
          </cell>
          <cell r="K696">
            <v>2000</v>
          </cell>
          <cell r="L696">
            <v>2000</v>
          </cell>
          <cell r="M696">
            <v>2000</v>
          </cell>
          <cell r="N696">
            <v>2100</v>
          </cell>
          <cell r="O696">
            <v>2205</v>
          </cell>
          <cell r="P696">
            <v>2315.25</v>
          </cell>
          <cell r="Q696">
            <v>2431.0125000000003</v>
          </cell>
          <cell r="R696">
            <v>2552.5631250000006</v>
          </cell>
          <cell r="S696">
            <v>2680.1912812500009</v>
          </cell>
          <cell r="T696">
            <v>2814.2008453125009</v>
          </cell>
          <cell r="U696">
            <v>2954.9108875781262</v>
          </cell>
          <cell r="V696">
            <v>3102.6564319570325</v>
          </cell>
          <cell r="W696">
            <v>3257.7892535548845</v>
          </cell>
          <cell r="X696">
            <v>0</v>
          </cell>
        </row>
        <row r="697">
          <cell r="A697" t="str">
            <v>Total</v>
          </cell>
          <cell r="C697">
            <v>6249.6200000000026</v>
          </cell>
          <cell r="D697">
            <v>7038.279999999997</v>
          </cell>
          <cell r="E697">
            <v>7606.6410000000024</v>
          </cell>
          <cell r="F697">
            <v>9976.2389999999978</v>
          </cell>
          <cell r="G697">
            <v>9836.8100000000013</v>
          </cell>
          <cell r="H697">
            <v>8852.7422999999944</v>
          </cell>
          <cell r="I697">
            <v>9947.7817000000032</v>
          </cell>
          <cell r="J697">
            <v>9774.3559999999998</v>
          </cell>
          <cell r="K697">
            <v>8723.3000000000029</v>
          </cell>
          <cell r="L697">
            <v>9673.5399999999954</v>
          </cell>
          <cell r="M697">
            <v>10335.740000000013</v>
          </cell>
          <cell r="N697">
            <v>8219.6570419151121</v>
          </cell>
          <cell r="O697">
            <v>11866.199571941241</v>
          </cell>
          <cell r="P697">
            <v>9835.2307876756022</v>
          </cell>
          <cell r="Q697">
            <v>10297.271046010241</v>
          </cell>
          <cell r="R697">
            <v>9308.5667236668705</v>
          </cell>
          <cell r="S697">
            <v>8477.5147235506392</v>
          </cell>
          <cell r="T697">
            <v>8842.5647827418943</v>
          </cell>
          <cell r="U697">
            <v>8520.5924524874335</v>
          </cell>
          <cell r="V697">
            <v>8023.7077276561395</v>
          </cell>
          <cell r="W697">
            <v>7667.5393846252964</v>
          </cell>
        </row>
        <row r="698">
          <cell r="A698" t="str">
            <v>% chge</v>
          </cell>
          <cell r="D698">
            <v>0.12619327255097024</v>
          </cell>
          <cell r="E698">
            <v>8.0752825974528708E-2</v>
          </cell>
          <cell r="F698">
            <v>0.31151700205123323</v>
          </cell>
          <cell r="G698">
            <v>-1.3976108631719497E-2</v>
          </cell>
          <cell r="H698">
            <v>-0.10003931152477341</v>
          </cell>
          <cell r="I698">
            <v>0.12369493687848676</v>
          </cell>
          <cell r="J698">
            <v>-1.7433605323285639E-2</v>
          </cell>
          <cell r="K698">
            <v>-0.10753199494677679</v>
          </cell>
          <cell r="L698">
            <v>0.10893125308082863</v>
          </cell>
          <cell r="M698">
            <v>6.8454774570634758E-2</v>
          </cell>
          <cell r="N698">
            <v>-0.20473453841572042</v>
          </cell>
          <cell r="O698">
            <v>0.44363682224587242</v>
          </cell>
          <cell r="P698">
            <v>-0.17115579187358843</v>
          </cell>
          <cell r="Q698">
            <v>4.6978079956559338E-2</v>
          </cell>
          <cell r="R698">
            <v>-9.6016150097015363E-2</v>
          </cell>
          <cell r="S698">
            <v>-8.927819123896874E-2</v>
          </cell>
          <cell r="T698">
            <v>4.3060976134567053E-2</v>
          </cell>
          <cell r="U698">
            <v>-3.6411645056065312E-2</v>
          </cell>
          <cell r="V698">
            <v>-5.8315748300605263E-2</v>
          </cell>
          <cell r="W698">
            <v>-4.4389496118259708E-2</v>
          </cell>
        </row>
        <row r="699">
          <cell r="A699" t="str">
            <v>Others/total (%)</v>
          </cell>
          <cell r="I699">
            <v>0.28202267446218682</v>
          </cell>
          <cell r="J699">
            <v>0.20461706121610468</v>
          </cell>
          <cell r="K699">
            <v>0.22927103275136695</v>
          </cell>
          <cell r="L699">
            <v>0.20674954566787349</v>
          </cell>
          <cell r="M699">
            <v>0.19350331954944663</v>
          </cell>
          <cell r="N699">
            <v>0.25548511200544172</v>
          </cell>
          <cell r="O699">
            <v>0.18582192104824635</v>
          </cell>
          <cell r="P699">
            <v>0.23540372869553902</v>
          </cell>
          <cell r="Q699">
            <v>0.23608318059588373</v>
          </cell>
          <cell r="R699">
            <v>0.27421655779832921</v>
          </cell>
          <cell r="S699">
            <v>0.31615294914255904</v>
          </cell>
          <cell r="T699">
            <v>0.31825617504154446</v>
          </cell>
          <cell r="U699">
            <v>0.34679641164101133</v>
          </cell>
          <cell r="V699">
            <v>0.38668612283356074</v>
          </cell>
          <cell r="W699">
            <v>0.42488066772598504</v>
          </cell>
        </row>
        <row r="700">
          <cell r="A700" t="str">
            <v>Cumulative capex on VANS</v>
          </cell>
          <cell r="H700">
            <v>0</v>
          </cell>
          <cell r="I700">
            <v>2805.5</v>
          </cell>
          <cell r="J700">
            <v>4805.5</v>
          </cell>
          <cell r="K700">
            <v>6805.5</v>
          </cell>
          <cell r="L700">
            <v>8805.5</v>
          </cell>
          <cell r="M700">
            <v>10805.5</v>
          </cell>
          <cell r="N700">
            <v>12905.5</v>
          </cell>
          <cell r="O700">
            <v>15110.5</v>
          </cell>
          <cell r="P700">
            <v>17425.75</v>
          </cell>
          <cell r="Q700">
            <v>19856.762500000001</v>
          </cell>
          <cell r="R700">
            <v>22409.325625000001</v>
          </cell>
          <cell r="S700">
            <v>25089.516906250003</v>
          </cell>
          <cell r="T700">
            <v>27903.717751562504</v>
          </cell>
          <cell r="U700">
            <v>30858.628639140632</v>
          </cell>
          <cell r="V700">
            <v>33961.285071097664</v>
          </cell>
          <cell r="W700">
            <v>37219.074324652545</v>
          </cell>
        </row>
        <row r="702">
          <cell r="A702" t="str">
            <v>GROSS BLOCK/CWIP calculations</v>
          </cell>
          <cell r="C702" t="str">
            <v>FY92</v>
          </cell>
          <cell r="D702" t="str">
            <v>FY93</v>
          </cell>
          <cell r="E702" t="str">
            <v>FY94</v>
          </cell>
          <cell r="F702" t="str">
            <v>FY95</v>
          </cell>
          <cell r="G702" t="str">
            <v>FY96</v>
          </cell>
          <cell r="H702" t="str">
            <v>FY97</v>
          </cell>
          <cell r="I702" t="str">
            <v>FY98</v>
          </cell>
          <cell r="J702" t="str">
            <v>FY99</v>
          </cell>
          <cell r="K702" t="str">
            <v>FY00</v>
          </cell>
          <cell r="L702" t="str">
            <v>FY01</v>
          </cell>
          <cell r="M702" t="str">
            <v>FY02</v>
          </cell>
          <cell r="N702" t="str">
            <v>FY03F</v>
          </cell>
          <cell r="O702" t="str">
            <v>FY04F</v>
          </cell>
          <cell r="P702" t="str">
            <v>FY05F</v>
          </cell>
          <cell r="Q702" t="str">
            <v>FY06F</v>
          </cell>
          <cell r="R702" t="str">
            <v>FY07F</v>
          </cell>
          <cell r="S702" t="str">
            <v>FY08F</v>
          </cell>
          <cell r="T702" t="str">
            <v>FY09F</v>
          </cell>
          <cell r="U702" t="str">
            <v>FY10F</v>
          </cell>
          <cell r="V702" t="str">
            <v>FY11F</v>
          </cell>
          <cell r="W702" t="str">
            <v>FY12F</v>
          </cell>
        </row>
        <row r="703">
          <cell r="A703" t="str">
            <v>Addition to gross block</v>
          </cell>
          <cell r="C703">
            <v>5706.8500000000022</v>
          </cell>
          <cell r="D703">
            <v>6190.6299999999974</v>
          </cell>
          <cell r="E703">
            <v>6978.2410000000018</v>
          </cell>
          <cell r="F703">
            <v>6694.5789999999979</v>
          </cell>
          <cell r="G703">
            <v>11389.900000000001</v>
          </cell>
          <cell r="H703">
            <v>9673.3852999999945</v>
          </cell>
          <cell r="I703">
            <v>10797.155700000003</v>
          </cell>
          <cell r="J703">
            <v>8880.8329999999987</v>
          </cell>
          <cell r="K703">
            <v>9130.4060000000027</v>
          </cell>
          <cell r="L703">
            <v>8217.7599999999948</v>
          </cell>
          <cell r="M703">
            <v>10512.700000000012</v>
          </cell>
          <cell r="N703">
            <v>9853.0394261226502</v>
          </cell>
          <cell r="O703">
            <v>9051.4713926647764</v>
          </cell>
          <cell r="P703">
            <v>11402.914428064241</v>
          </cell>
          <cell r="Q703">
            <v>9940.6269854004859</v>
          </cell>
          <cell r="R703">
            <v>10071.737287058706</v>
          </cell>
          <cell r="S703">
            <v>9118.9951022683017</v>
          </cell>
          <cell r="T703">
            <v>8560.7864461418249</v>
          </cell>
          <cell r="U703">
            <v>8769.1195390227567</v>
          </cell>
          <cell r="V703">
            <v>8407.2478688497358</v>
          </cell>
          <cell r="W703">
            <v>7942.4620170751459</v>
          </cell>
        </row>
        <row r="704">
          <cell r="A704" t="str">
            <v>CWIP at year end</v>
          </cell>
          <cell r="C704">
            <v>4678.21</v>
          </cell>
          <cell r="D704">
            <v>5525.86</v>
          </cell>
          <cell r="E704">
            <v>6154.26</v>
          </cell>
          <cell r="F704">
            <v>9435.92</v>
          </cell>
          <cell r="G704">
            <v>7882.83</v>
          </cell>
          <cell r="H704">
            <v>7062.1869999999999</v>
          </cell>
          <cell r="I704">
            <v>6212.8130000000001</v>
          </cell>
          <cell r="J704">
            <v>7106.3360000000002</v>
          </cell>
          <cell r="K704">
            <v>6699.23</v>
          </cell>
          <cell r="L704">
            <v>8155.01</v>
          </cell>
          <cell r="M704">
            <v>7978.05</v>
          </cell>
          <cell r="N704">
            <v>6344.6676157924621</v>
          </cell>
          <cell r="O704">
            <v>9159.3957950689273</v>
          </cell>
          <cell r="P704">
            <v>7591.7121546802891</v>
          </cell>
          <cell r="Q704">
            <v>7948.3562152900431</v>
          </cell>
          <cell r="R704">
            <v>7185.1856518982086</v>
          </cell>
          <cell r="S704">
            <v>6543.7052731805461</v>
          </cell>
          <cell r="T704">
            <v>6825.4836097806146</v>
          </cell>
          <cell r="U704">
            <v>6576.9565232452915</v>
          </cell>
          <cell r="V704">
            <v>6193.4163820516951</v>
          </cell>
          <cell r="W704">
            <v>5918.4937496018456</v>
          </cell>
        </row>
        <row r="705">
          <cell r="A705" t="str">
            <v>Change in CWIP</v>
          </cell>
          <cell r="C705">
            <v>542.77000000000044</v>
          </cell>
          <cell r="D705">
            <v>847.64999999999964</v>
          </cell>
          <cell r="E705">
            <v>628.40000000000055</v>
          </cell>
          <cell r="F705">
            <v>3281.66</v>
          </cell>
          <cell r="G705">
            <v>-1553.0900000000001</v>
          </cell>
          <cell r="H705">
            <v>-820.64300000000003</v>
          </cell>
          <cell r="I705">
            <v>-849.3739999999998</v>
          </cell>
          <cell r="J705">
            <v>893.52300000000014</v>
          </cell>
          <cell r="K705">
            <v>-407.10600000000068</v>
          </cell>
          <cell r="L705">
            <v>1455.7800000000007</v>
          </cell>
          <cell r="M705">
            <v>-176.96000000000004</v>
          </cell>
        </row>
        <row r="707">
          <cell r="A707" t="str">
            <v>CWIP/gross block</v>
          </cell>
          <cell r="C707">
            <v>0.16211895698218606</v>
          </cell>
          <cell r="D707">
            <v>0.157668726360505</v>
          </cell>
          <cell r="E707">
            <v>0.1464410161625361</v>
          </cell>
          <cell r="F707">
            <v>0.19367612135443071</v>
          </cell>
          <cell r="G707">
            <v>0.13114007652636833</v>
          </cell>
          <cell r="H707">
            <v>0.10120155348783287</v>
          </cell>
          <cell r="I707">
            <v>7.7100661312263966E-2</v>
          </cell>
          <cell r="J707">
            <v>7.9434684291792804E-2</v>
          </cell>
          <cell r="K707">
            <v>6.7949173856076031E-2</v>
          </cell>
          <cell r="L707">
            <v>7.6350951422504032E-2</v>
          </cell>
          <cell r="M707">
            <v>6.8001173520041897E-2</v>
          </cell>
          <cell r="N707">
            <v>4.9889158053536192E-2</v>
          </cell>
          <cell r="O707">
            <v>6.723639622920323E-2</v>
          </cell>
          <cell r="P707">
            <v>5.1424028781655647E-2</v>
          </cell>
          <cell r="Q707">
            <v>5.0443240935128121E-2</v>
          </cell>
          <cell r="R707">
            <v>4.2860287915272105E-2</v>
          </cell>
          <cell r="S707">
            <v>3.7020068689858028E-2</v>
          </cell>
          <cell r="T707">
            <v>3.6830438740351079E-2</v>
          </cell>
          <cell r="U707">
            <v>3.3885954911366541E-2</v>
          </cell>
          <cell r="V707">
            <v>3.0585047375120803E-2</v>
          </cell>
          <cell r="W707">
            <v>2.8124290706138741E-2</v>
          </cell>
        </row>
        <row r="708">
          <cell r="A708" t="str">
            <v>CWIP/Capex</v>
          </cell>
          <cell r="C708">
            <v>0.74855911239403328</v>
          </cell>
          <cell r="D708">
            <v>0.78511511335155781</v>
          </cell>
          <cell r="E708">
            <v>0.80906407966407223</v>
          </cell>
          <cell r="F708">
            <v>0.94583940901977215</v>
          </cell>
          <cell r="G708">
            <v>0.80136040037369827</v>
          </cell>
          <cell r="H708">
            <v>0.79774004039403745</v>
          </cell>
          <cell r="I708">
            <v>0.62454255505023781</v>
          </cell>
          <cell r="J708">
            <v>0.72703879416710426</v>
          </cell>
          <cell r="K708">
            <v>0.76796969036946994</v>
          </cell>
          <cell r="L708">
            <v>0.84302230620848251</v>
          </cell>
          <cell r="M708">
            <v>0.77188957926573143</v>
          </cell>
          <cell r="N708">
            <v>0.77188957926573143</v>
          </cell>
          <cell r="O708">
            <v>0.77188957926573143</v>
          </cell>
          <cell r="P708">
            <v>0.77188957926573143</v>
          </cell>
          <cell r="Q708">
            <v>0.77188957926573143</v>
          </cell>
          <cell r="R708">
            <v>0.77188957926573143</v>
          </cell>
          <cell r="S708">
            <v>0.77188957926573143</v>
          </cell>
          <cell r="T708">
            <v>0.77188957926573143</v>
          </cell>
          <cell r="U708">
            <v>0.77188957926573143</v>
          </cell>
          <cell r="V708">
            <v>0.77188957926573143</v>
          </cell>
          <cell r="W708">
            <v>0.77188957926573143</v>
          </cell>
        </row>
        <row r="711">
          <cell r="A711" t="str">
            <v>BALANCE SHEET ANALYSES</v>
          </cell>
        </row>
        <row r="712">
          <cell r="A712" t="str">
            <v>As at March 31, Rs m</v>
          </cell>
          <cell r="B712" t="str">
            <v>FY91</v>
          </cell>
          <cell r="C712" t="str">
            <v>FY92</v>
          </cell>
          <cell r="D712" t="str">
            <v>FY93</v>
          </cell>
          <cell r="E712" t="str">
            <v>FY94</v>
          </cell>
          <cell r="F712" t="str">
            <v>FY95</v>
          </cell>
          <cell r="G712" t="str">
            <v>FY96</v>
          </cell>
          <cell r="H712" t="str">
            <v>FY97</v>
          </cell>
          <cell r="I712" t="str">
            <v>FY98</v>
          </cell>
          <cell r="J712" t="str">
            <v>FY99</v>
          </cell>
          <cell r="K712" t="str">
            <v>FY00</v>
          </cell>
          <cell r="L712" t="str">
            <v>FY01</v>
          </cell>
          <cell r="M712" t="str">
            <v>FY02</v>
          </cell>
          <cell r="N712" t="str">
            <v>FY03F</v>
          </cell>
          <cell r="O712" t="str">
            <v>FY04F</v>
          </cell>
          <cell r="P712" t="str">
            <v>FY05F</v>
          </cell>
          <cell r="Q712" t="str">
            <v>FY06F</v>
          </cell>
          <cell r="R712" t="str">
            <v>FY07F</v>
          </cell>
          <cell r="S712" t="str">
            <v>FY08F</v>
          </cell>
          <cell r="T712" t="str">
            <v>FY09F</v>
          </cell>
          <cell r="U712" t="str">
            <v>FY10F</v>
          </cell>
          <cell r="V712" t="str">
            <v>FY11F</v>
          </cell>
          <cell r="W712" t="str">
            <v>FY12F</v>
          </cell>
        </row>
        <row r="713">
          <cell r="A713" t="str">
            <v xml:space="preserve">Assets employed </v>
          </cell>
        </row>
        <row r="714">
          <cell r="A714" t="str">
            <v>Fixed assets</v>
          </cell>
          <cell r="G714">
            <v>9836.8100000000049</v>
          </cell>
          <cell r="H714">
            <v>8852.7422999999981</v>
          </cell>
          <cell r="I714">
            <v>9947.7816999999923</v>
          </cell>
          <cell r="J714">
            <v>9774.3559999999998</v>
          </cell>
          <cell r="K714">
            <v>8723.3000000000029</v>
          </cell>
          <cell r="L714">
            <v>9673.5399999999936</v>
          </cell>
          <cell r="M714">
            <v>10335.74000000002</v>
          </cell>
          <cell r="N714">
            <v>8219.6570419151103</v>
          </cell>
          <cell r="O714">
            <v>11866.199571941252</v>
          </cell>
          <cell r="P714">
            <v>9835.2307876755949</v>
          </cell>
          <cell r="Q714">
            <v>10297.271046010253</v>
          </cell>
          <cell r="R714">
            <v>9308.5667236668523</v>
          </cell>
          <cell r="S714">
            <v>8477.5147235506447</v>
          </cell>
          <cell r="T714">
            <v>8842.564782741887</v>
          </cell>
          <cell r="U714">
            <v>8520.5924524874426</v>
          </cell>
          <cell r="V714">
            <v>8023.7077276561467</v>
          </cell>
          <cell r="W714">
            <v>7667.5393846253282</v>
          </cell>
        </row>
        <row r="715">
          <cell r="A715" t="str">
            <v>Gross block</v>
          </cell>
          <cell r="B715">
            <v>23149.8</v>
          </cell>
          <cell r="C715">
            <v>28856.65</v>
          </cell>
          <cell r="D715">
            <v>35047.279999999999</v>
          </cell>
          <cell r="E715">
            <v>42025.521000000001</v>
          </cell>
          <cell r="F715">
            <v>48720.1</v>
          </cell>
          <cell r="G715">
            <v>60110</v>
          </cell>
          <cell r="H715">
            <v>69783.385299999994</v>
          </cell>
          <cell r="I715">
            <v>80580.540999999997</v>
          </cell>
          <cell r="J715">
            <v>89461.373999999996</v>
          </cell>
          <cell r="K715">
            <v>98591.78</v>
          </cell>
          <cell r="L715">
            <v>106809.54</v>
          </cell>
          <cell r="M715">
            <v>117322.24000000001</v>
          </cell>
          <cell r="N715">
            <v>127175.27942612265</v>
          </cell>
          <cell r="O715">
            <v>136226.75081878743</v>
          </cell>
          <cell r="P715">
            <v>147629.66524685168</v>
          </cell>
          <cell r="Q715">
            <v>157570.29223225216</v>
          </cell>
          <cell r="R715">
            <v>167642.02951931086</v>
          </cell>
          <cell r="S715">
            <v>176761.02462157916</v>
          </cell>
          <cell r="T715">
            <v>185321.81106772099</v>
          </cell>
          <cell r="U715">
            <v>194090.93060674376</v>
          </cell>
          <cell r="V715">
            <v>202498.17847559351</v>
          </cell>
          <cell r="W715">
            <v>210440.64049266867</v>
          </cell>
        </row>
        <row r="716">
          <cell r="A716" t="str">
            <v>Acc.Depreciation</v>
          </cell>
          <cell r="B716">
            <v>-8267</v>
          </cell>
          <cell r="C716">
            <v>-11369.97</v>
          </cell>
          <cell r="D716">
            <v>-15188.21</v>
          </cell>
          <cell r="E716">
            <v>-19226.929</v>
          </cell>
          <cell r="F716">
            <v>-23164.34</v>
          </cell>
          <cell r="G716">
            <v>-27445.7</v>
          </cell>
          <cell r="H716">
            <v>-31611.11</v>
          </cell>
          <cell r="I716">
            <v>-37100.044999999998</v>
          </cell>
          <cell r="J716">
            <v>-42996.777000000002</v>
          </cell>
          <cell r="K716">
            <v>-49273.99</v>
          </cell>
          <cell r="L716">
            <v>-56530.67</v>
          </cell>
          <cell r="M716">
            <v>-64204.26</v>
          </cell>
          <cell r="N716">
            <v>-73006.170699340422</v>
          </cell>
          <cell r="O716">
            <v>-82488.643788157191</v>
          </cell>
          <cell r="P716">
            <v>-92707.474766520201</v>
          </cell>
          <cell r="Q716">
            <v>-103694.67323576794</v>
          </cell>
          <cell r="R716">
            <v>-115402.31681882421</v>
          </cell>
          <cell r="S716">
            <v>-127800.82676789626</v>
          </cell>
          <cell r="T716">
            <v>-140835.80885271105</v>
          </cell>
          <cell r="U716">
            <v>-154494.66755299177</v>
          </cell>
          <cell r="V716">
            <v>-168771.87547995592</v>
          </cell>
          <cell r="W716">
            <v>-183637.67296281335</v>
          </cell>
        </row>
        <row r="717">
          <cell r="A717" t="str">
            <v>Net block</v>
          </cell>
          <cell r="B717">
            <v>14882.8</v>
          </cell>
          <cell r="C717">
            <v>17486.68</v>
          </cell>
          <cell r="D717">
            <v>19859.07</v>
          </cell>
          <cell r="E717">
            <v>22798.592000000001</v>
          </cell>
          <cell r="F717">
            <v>25555.759999999998</v>
          </cell>
          <cell r="G717">
            <v>32664.3</v>
          </cell>
          <cell r="H717">
            <v>38172.275299999994</v>
          </cell>
          <cell r="I717">
            <v>43480.495999999999</v>
          </cell>
          <cell r="J717">
            <v>46464.596999999994</v>
          </cell>
          <cell r="K717">
            <v>49317.79</v>
          </cell>
          <cell r="L717">
            <v>50278.869999999995</v>
          </cell>
          <cell r="M717">
            <v>53117.98</v>
          </cell>
          <cell r="N717">
            <v>54169.108726782229</v>
          </cell>
          <cell r="O717">
            <v>53738.107030630243</v>
          </cell>
          <cell r="P717">
            <v>54922.190480331483</v>
          </cell>
          <cell r="Q717">
            <v>53875.61899648422</v>
          </cell>
          <cell r="R717">
            <v>52239.712700486649</v>
          </cell>
          <cell r="S717">
            <v>48960.197853682897</v>
          </cell>
          <cell r="T717">
            <v>44486.002215009939</v>
          </cell>
          <cell r="U717">
            <v>39596.263053751987</v>
          </cell>
          <cell r="V717">
            <v>33726.302995637583</v>
          </cell>
          <cell r="W717">
            <v>26802.967529855319</v>
          </cell>
          <cell r="Y717">
            <v>5.1324451736840082E-2</v>
          </cell>
        </row>
        <row r="718">
          <cell r="A718" t="str">
            <v>CWIP</v>
          </cell>
          <cell r="B718">
            <v>4135.4399999999996</v>
          </cell>
          <cell r="C718">
            <v>4678.21</v>
          </cell>
          <cell r="D718">
            <v>5525.86</v>
          </cell>
          <cell r="E718">
            <v>6154.26</v>
          </cell>
          <cell r="F718">
            <v>9435.92</v>
          </cell>
          <cell r="G718">
            <v>7882.83</v>
          </cell>
          <cell r="H718">
            <v>7062.1869999999999</v>
          </cell>
          <cell r="I718">
            <v>6212.8130000000001</v>
          </cell>
          <cell r="J718">
            <v>7106.3360000000002</v>
          </cell>
          <cell r="K718">
            <v>6699.23</v>
          </cell>
          <cell r="L718">
            <v>8155.01</v>
          </cell>
          <cell r="M718">
            <v>7978.05</v>
          </cell>
          <cell r="N718">
            <v>6344.6676157924621</v>
          </cell>
          <cell r="O718">
            <v>9159.3957950689273</v>
          </cell>
          <cell r="P718">
            <v>7591.7121546802891</v>
          </cell>
          <cell r="Q718">
            <v>7948.3562152900431</v>
          </cell>
          <cell r="R718">
            <v>7185.1856518982086</v>
          </cell>
          <cell r="S718">
            <v>6543.7052731805461</v>
          </cell>
          <cell r="T718">
            <v>6825.4836097806146</v>
          </cell>
          <cell r="U718">
            <v>6576.9565232452915</v>
          </cell>
          <cell r="V718">
            <v>6193.4163820516951</v>
          </cell>
          <cell r="W718">
            <v>5918.4937496018456</v>
          </cell>
        </row>
        <row r="719">
          <cell r="A719" t="str">
            <v>Investments - total</v>
          </cell>
          <cell r="B719">
            <v>873.76</v>
          </cell>
          <cell r="C719">
            <v>2000</v>
          </cell>
          <cell r="D719">
            <v>1500</v>
          </cell>
          <cell r="E719">
            <v>0</v>
          </cell>
          <cell r="F719">
            <v>0</v>
          </cell>
          <cell r="G719">
            <v>0</v>
          </cell>
          <cell r="H719">
            <v>0</v>
          </cell>
          <cell r="I719">
            <v>0</v>
          </cell>
          <cell r="J719">
            <v>0</v>
          </cell>
          <cell r="K719">
            <v>0</v>
          </cell>
          <cell r="L719">
            <v>0.02</v>
          </cell>
          <cell r="M719">
            <v>1026.77</v>
          </cell>
          <cell r="N719">
            <v>31749.15124727647</v>
          </cell>
          <cell r="O719">
            <v>33668.600901520032</v>
          </cell>
          <cell r="P719">
            <v>38395.364848710458</v>
          </cell>
          <cell r="Q719">
            <v>41325.661530899757</v>
          </cell>
          <cell r="R719">
            <v>44836.012307632976</v>
          </cell>
          <cell r="S719">
            <v>48339.488313739275</v>
          </cell>
          <cell r="T719">
            <v>49671.215355582783</v>
          </cell>
          <cell r="U719">
            <v>49945.097887515476</v>
          </cell>
          <cell r="V719">
            <v>49207.77506982952</v>
          </cell>
          <cell r="W719">
            <v>46954.755157434927</v>
          </cell>
          <cell r="Y719" t="e">
            <v>#DIV/0!</v>
          </cell>
        </row>
        <row r="720">
          <cell r="A720" t="str">
            <v>Other telecom ventures</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row>
        <row r="721">
          <cell r="A721" t="str">
            <v>Investments</v>
          </cell>
          <cell r="B721">
            <v>873.76</v>
          </cell>
          <cell r="C721">
            <v>2000</v>
          </cell>
          <cell r="D721">
            <v>1500</v>
          </cell>
          <cell r="E721">
            <v>0</v>
          </cell>
          <cell r="F721">
            <v>0</v>
          </cell>
          <cell r="G721">
            <v>0</v>
          </cell>
          <cell r="H721">
            <v>0</v>
          </cell>
          <cell r="I721">
            <v>0</v>
          </cell>
          <cell r="J721">
            <v>0</v>
          </cell>
          <cell r="K721">
            <v>0</v>
          </cell>
          <cell r="L721">
            <v>0.02</v>
          </cell>
          <cell r="M721">
            <v>1026.77</v>
          </cell>
          <cell r="N721">
            <v>1026.77</v>
          </cell>
          <cell r="O721">
            <v>1026.77</v>
          </cell>
          <cell r="P721">
            <v>1026.77</v>
          </cell>
          <cell r="Q721">
            <v>1026.77</v>
          </cell>
          <cell r="R721">
            <v>1026.77</v>
          </cell>
          <cell r="S721">
            <v>1026.77</v>
          </cell>
          <cell r="T721">
            <v>1026.77</v>
          </cell>
          <cell r="U721">
            <v>1026.77</v>
          </cell>
          <cell r="V721">
            <v>1026.77</v>
          </cell>
          <cell r="W721">
            <v>1026.77</v>
          </cell>
        </row>
        <row r="722">
          <cell r="A722" t="str">
            <v>Investments - mktable securities</v>
          </cell>
          <cell r="I722">
            <v>0</v>
          </cell>
          <cell r="J722">
            <v>0</v>
          </cell>
          <cell r="K722">
            <v>0</v>
          </cell>
          <cell r="L722">
            <v>0</v>
          </cell>
          <cell r="M722">
            <v>0</v>
          </cell>
          <cell r="N722">
            <v>30722.381247276469</v>
          </cell>
          <cell r="O722">
            <v>32641.830901520036</v>
          </cell>
          <cell r="P722">
            <v>37368.594848710462</v>
          </cell>
          <cell r="Q722">
            <v>40298.89153089976</v>
          </cell>
          <cell r="R722">
            <v>43809.24230763298</v>
          </cell>
          <cell r="S722">
            <v>47312.718313739279</v>
          </cell>
          <cell r="T722">
            <v>48644.445355582786</v>
          </cell>
          <cell r="U722">
            <v>48918.327887515479</v>
          </cell>
          <cell r="V722">
            <v>48181.005069829524</v>
          </cell>
          <cell r="W722">
            <v>45927.98515743493</v>
          </cell>
          <cell r="Y722" t="e">
            <v>#DIV/0!</v>
          </cell>
        </row>
        <row r="723">
          <cell r="A723" t="str">
            <v>Current assets (ex-DoT)</v>
          </cell>
          <cell r="B723">
            <v>11379.877</v>
          </cell>
          <cell r="C723">
            <v>15570.105500000001</v>
          </cell>
          <cell r="D723">
            <v>23583.980000000003</v>
          </cell>
          <cell r="E723">
            <v>26277.423000000003</v>
          </cell>
          <cell r="F723">
            <v>21266.334000000003</v>
          </cell>
          <cell r="G723">
            <v>23716.576000000001</v>
          </cell>
          <cell r="H723">
            <v>31396.725999999999</v>
          </cell>
          <cell r="I723">
            <v>40887.910900000003</v>
          </cell>
          <cell r="J723">
            <v>45252.714959999998</v>
          </cell>
          <cell r="K723">
            <v>64779.64</v>
          </cell>
          <cell r="L723">
            <v>81631.5</v>
          </cell>
          <cell r="M723">
            <v>104569.23000000001</v>
          </cell>
          <cell r="N723">
            <v>84028.70279418517</v>
          </cell>
          <cell r="O723">
            <v>86548.984165514878</v>
          </cell>
          <cell r="P723">
            <v>88080.55187818181</v>
          </cell>
          <cell r="Q723">
            <v>90410.445840877743</v>
          </cell>
          <cell r="R723">
            <v>92504.326024078939</v>
          </cell>
          <cell r="S723">
            <v>94846.69372655655</v>
          </cell>
          <cell r="T723">
            <v>97669.956404118406</v>
          </cell>
          <cell r="U723">
            <v>100517.98623191996</v>
          </cell>
          <cell r="V723">
            <v>103530.45974058953</v>
          </cell>
          <cell r="W723">
            <v>106804.31998889103</v>
          </cell>
          <cell r="Y723">
            <v>0.26459729097209195</v>
          </cell>
        </row>
        <row r="724">
          <cell r="A724" t="str">
            <v>Inventories</v>
          </cell>
          <cell r="B724">
            <v>2300.91</v>
          </cell>
          <cell r="C724">
            <v>1450.59</v>
          </cell>
          <cell r="D724">
            <v>2216.8000000000002</v>
          </cell>
          <cell r="E724">
            <v>1992.33</v>
          </cell>
          <cell r="F724">
            <v>2821.51</v>
          </cell>
          <cell r="G724">
            <v>2312.1</v>
          </cell>
          <cell r="H724">
            <v>2529.2669999999998</v>
          </cell>
          <cell r="I724">
            <v>2558.1849999999999</v>
          </cell>
          <cell r="J724">
            <v>2273.9499999999998</v>
          </cell>
          <cell r="K724">
            <v>2650.82</v>
          </cell>
          <cell r="L724">
            <v>2863.28</v>
          </cell>
          <cell r="M724">
            <v>2772.74</v>
          </cell>
          <cell r="N724">
            <v>2219.3074013170803</v>
          </cell>
          <cell r="O724">
            <v>3203.8738844241352</v>
          </cell>
          <cell r="P724">
            <v>2655.5123126724129</v>
          </cell>
          <cell r="Q724">
            <v>2780.2631824227651</v>
          </cell>
          <cell r="R724">
            <v>2513.3130153900552</v>
          </cell>
          <cell r="S724">
            <v>2288.9289753586727</v>
          </cell>
          <cell r="T724">
            <v>2387.4924913403115</v>
          </cell>
          <cell r="U724">
            <v>2300.5599621716074</v>
          </cell>
          <cell r="V724">
            <v>2166.4010864671577</v>
          </cell>
          <cell r="W724">
            <v>2070.2356338488303</v>
          </cell>
        </row>
        <row r="725">
          <cell r="A725" t="str">
            <v>Trade debtors</v>
          </cell>
          <cell r="B725">
            <v>1780.33</v>
          </cell>
          <cell r="C725">
            <v>2618.29</v>
          </cell>
          <cell r="D725">
            <v>3311.75</v>
          </cell>
          <cell r="E725">
            <v>4087.91</v>
          </cell>
          <cell r="F725">
            <v>4639.8</v>
          </cell>
          <cell r="G725">
            <v>5409.4</v>
          </cell>
          <cell r="H725">
            <v>6388.08</v>
          </cell>
          <cell r="I725">
            <v>6105.6949999999997</v>
          </cell>
          <cell r="J725">
            <v>6549.277</v>
          </cell>
          <cell r="K725">
            <v>6502.23</v>
          </cell>
          <cell r="L725">
            <v>6073.55</v>
          </cell>
          <cell r="M725">
            <v>7064.38</v>
          </cell>
          <cell r="N725">
            <v>7418.5596238475373</v>
          </cell>
          <cell r="O725">
            <v>7504.4793255762397</v>
          </cell>
          <cell r="P725">
            <v>7850.9292838861638</v>
          </cell>
          <cell r="Q725">
            <v>8226.3326291051071</v>
          </cell>
          <cell r="R725">
            <v>8645.4099407203412</v>
          </cell>
          <cell r="S725">
            <v>9133.6149634927042</v>
          </cell>
          <cell r="T725">
            <v>9662.4617065032835</v>
          </cell>
          <cell r="U725">
            <v>10258.331464346431</v>
          </cell>
          <cell r="V725">
            <v>10919.583495954021</v>
          </cell>
          <cell r="W725">
            <v>11650.111722005158</v>
          </cell>
        </row>
        <row r="726">
          <cell r="A726" t="str">
            <v>Other current assets</v>
          </cell>
          <cell r="B726">
            <v>1773.43</v>
          </cell>
          <cell r="C726">
            <v>2489.9720000000002</v>
          </cell>
          <cell r="D726">
            <v>2511.585</v>
          </cell>
          <cell r="E726">
            <v>3234.3900000000003</v>
          </cell>
          <cell r="F726">
            <v>3715.828</v>
          </cell>
          <cell r="G726">
            <v>4132.24</v>
          </cell>
          <cell r="H726">
            <v>4310.0020000000004</v>
          </cell>
          <cell r="I726">
            <v>5392.2779</v>
          </cell>
          <cell r="J726">
            <v>5884.37896</v>
          </cell>
          <cell r="K726">
            <v>6433.26</v>
          </cell>
          <cell r="L726">
            <v>7161.4600000000009</v>
          </cell>
          <cell r="M726">
            <v>6043.08</v>
          </cell>
          <cell r="N726">
            <v>6335.0032690205499</v>
          </cell>
          <cell r="O726">
            <v>6405.8203305144953</v>
          </cell>
          <cell r="P726">
            <v>6691.3726253732257</v>
          </cell>
          <cell r="Q726">
            <v>7000.7889902873676</v>
          </cell>
          <cell r="R726">
            <v>7346.2024769528953</v>
          </cell>
          <cell r="S726">
            <v>7748.5926671387342</v>
          </cell>
          <cell r="T726">
            <v>8184.4807296800609</v>
          </cell>
          <cell r="U726">
            <v>8675.6107549774333</v>
          </cell>
          <cell r="V726">
            <v>9220.6304052226496</v>
          </cell>
          <cell r="W726">
            <v>9822.7491424440523</v>
          </cell>
        </row>
        <row r="727">
          <cell r="A727" t="str">
            <v>Cash, bank</v>
          </cell>
          <cell r="B727">
            <v>1054.8399999999999</v>
          </cell>
          <cell r="C727">
            <v>3477.4</v>
          </cell>
          <cell r="D727">
            <v>1475.47</v>
          </cell>
          <cell r="E727">
            <v>2789.7</v>
          </cell>
          <cell r="F727">
            <v>2763.9</v>
          </cell>
          <cell r="G727">
            <v>3061.8</v>
          </cell>
          <cell r="H727">
            <v>3721.2170000000001</v>
          </cell>
          <cell r="I727">
            <v>13284.94</v>
          </cell>
          <cell r="J727">
            <v>13564.21</v>
          </cell>
          <cell r="K727">
            <v>18350.810000000001</v>
          </cell>
          <cell r="L727">
            <v>24828.34</v>
          </cell>
          <cell r="M727">
            <v>24446.51</v>
          </cell>
          <cell r="N727">
            <v>2500</v>
          </cell>
          <cell r="O727">
            <v>2500</v>
          </cell>
          <cell r="P727">
            <v>2500</v>
          </cell>
          <cell r="Q727">
            <v>2500</v>
          </cell>
          <cell r="R727">
            <v>2500</v>
          </cell>
          <cell r="S727">
            <v>2500</v>
          </cell>
          <cell r="T727">
            <v>2500</v>
          </cell>
          <cell r="U727">
            <v>2500</v>
          </cell>
          <cell r="V727">
            <v>2500</v>
          </cell>
          <cell r="W727">
            <v>2500</v>
          </cell>
          <cell r="X727">
            <v>2500</v>
          </cell>
        </row>
        <row r="728">
          <cell r="A728" t="str">
            <v>Loans to DOT</v>
          </cell>
          <cell r="B728">
            <v>-17220</v>
          </cell>
          <cell r="C728">
            <v>-23240</v>
          </cell>
          <cell r="D728">
            <v>-35670</v>
          </cell>
          <cell r="E728">
            <v>-46756.3</v>
          </cell>
          <cell r="F728">
            <v>-56486.26</v>
          </cell>
          <cell r="G728">
            <v>-59328.86</v>
          </cell>
          <cell r="H728">
            <v>-70332.824999999997</v>
          </cell>
          <cell r="I728">
            <v>-62722.824999999997</v>
          </cell>
          <cell r="J728">
            <v>-37959.699999999997</v>
          </cell>
          <cell r="K728">
            <v>-30710</v>
          </cell>
          <cell r="L728">
            <v>-28810</v>
          </cell>
          <cell r="M728">
            <v>-27190</v>
          </cell>
          <cell r="N728">
            <v>-27190</v>
          </cell>
          <cell r="O728">
            <v>-27190</v>
          </cell>
          <cell r="P728">
            <v>-27190</v>
          </cell>
          <cell r="Q728">
            <v>-27190</v>
          </cell>
          <cell r="R728">
            <v>-27190</v>
          </cell>
          <cell r="S728">
            <v>-27190</v>
          </cell>
          <cell r="T728">
            <v>-27190</v>
          </cell>
          <cell r="U728">
            <v>-27190</v>
          </cell>
          <cell r="V728">
            <v>-27190</v>
          </cell>
          <cell r="W728">
            <v>-27190</v>
          </cell>
        </row>
        <row r="729">
          <cell r="A729" t="str">
            <v>Other loans &amp; advances</v>
          </cell>
          <cell r="B729">
            <v>4470.3670000000002</v>
          </cell>
          <cell r="C729">
            <v>5533.8535000000002</v>
          </cell>
          <cell r="D729">
            <v>14068.375000000002</v>
          </cell>
          <cell r="E729">
            <v>14173.093000000001</v>
          </cell>
          <cell r="F729">
            <v>7325.2960000000003</v>
          </cell>
          <cell r="G729">
            <v>8801.0360000000001</v>
          </cell>
          <cell r="H729">
            <v>14448.16</v>
          </cell>
          <cell r="I729">
            <v>13546.813</v>
          </cell>
          <cell r="J729">
            <v>16980.899000000001</v>
          </cell>
          <cell r="K729">
            <v>30842.52</v>
          </cell>
          <cell r="L729">
            <v>40704.869999999995</v>
          </cell>
          <cell r="M729">
            <v>64242.520000000004</v>
          </cell>
          <cell r="N729">
            <v>65555.832500000004</v>
          </cell>
          <cell r="O729">
            <v>66934.810625000013</v>
          </cell>
          <cell r="P729">
            <v>68382.737656250014</v>
          </cell>
          <cell r="Q729">
            <v>69903.061039062508</v>
          </cell>
          <cell r="R729">
            <v>71499.400591015641</v>
          </cell>
          <cell r="S729">
            <v>73175.557120566431</v>
          </cell>
          <cell r="T729">
            <v>74935.521476594746</v>
          </cell>
          <cell r="U729">
            <v>76783.484050424478</v>
          </cell>
          <cell r="V729">
            <v>78723.844752945704</v>
          </cell>
          <cell r="W729">
            <v>80761.223490592994</v>
          </cell>
        </row>
        <row r="730">
          <cell r="A730" t="str">
            <v>Current liabilities</v>
          </cell>
          <cell r="B730">
            <v>11074.18</v>
          </cell>
          <cell r="C730">
            <v>12667.119999999999</v>
          </cell>
          <cell r="D730">
            <v>23997.390000000003</v>
          </cell>
          <cell r="E730">
            <v>28221.07</v>
          </cell>
          <cell r="F730">
            <v>24566.904999999999</v>
          </cell>
          <cell r="G730">
            <v>26742.654999999999</v>
          </cell>
          <cell r="H730">
            <v>35547.481000000007</v>
          </cell>
          <cell r="I730">
            <v>36193.076000000008</v>
          </cell>
          <cell r="J730">
            <v>35913.404000000002</v>
          </cell>
          <cell r="K730">
            <v>49400.909999999996</v>
          </cell>
          <cell r="L730">
            <v>56583.909999999996</v>
          </cell>
          <cell r="M730">
            <v>78295.62</v>
          </cell>
          <cell r="N730">
            <v>79566.93086377265</v>
          </cell>
          <cell r="O730">
            <v>80426.868598555811</v>
          </cell>
          <cell r="P730">
            <v>81220.228963731322</v>
          </cell>
          <cell r="Q730">
            <v>81703.192594574793</v>
          </cell>
          <cell r="R730">
            <v>81942.161791613151</v>
          </cell>
          <cell r="S730">
            <v>82054.982436482635</v>
          </cell>
          <cell r="T730">
            <v>81889.226236016053</v>
          </cell>
          <cell r="U730">
            <v>81613.622349768251</v>
          </cell>
          <cell r="V730">
            <v>81304.850061046644</v>
          </cell>
          <cell r="W730">
            <v>80967.90534082838</v>
          </cell>
          <cell r="Y730">
            <v>0.2127687372362812</v>
          </cell>
        </row>
        <row r="731">
          <cell r="A731" t="str">
            <v>Trade creditors</v>
          </cell>
          <cell r="B731">
            <v>1614.86</v>
          </cell>
          <cell r="C731">
            <v>1467.7</v>
          </cell>
          <cell r="D731">
            <v>2509.0100000000002</v>
          </cell>
          <cell r="E731">
            <v>2037.1</v>
          </cell>
          <cell r="F731">
            <v>3313.67</v>
          </cell>
          <cell r="G731">
            <v>3100.71</v>
          </cell>
          <cell r="H731">
            <v>4028.1280000000002</v>
          </cell>
          <cell r="I731">
            <v>4021.1880000000001</v>
          </cell>
          <cell r="J731">
            <v>4295.6109999999999</v>
          </cell>
          <cell r="K731">
            <v>5989.59</v>
          </cell>
          <cell r="L731">
            <v>5187.49</v>
          </cell>
          <cell r="M731">
            <v>4766.46</v>
          </cell>
          <cell r="N731">
            <v>5510.8427521383755</v>
          </cell>
          <cell r="O731">
            <v>5879.2219119391766</v>
          </cell>
          <cell r="P731">
            <v>6399.1248509097659</v>
          </cell>
          <cell r="Q731">
            <v>6976.7410015680107</v>
          </cell>
          <cell r="R731">
            <v>7635.5516541838615</v>
          </cell>
          <cell r="S731">
            <v>8383.7887770892976</v>
          </cell>
          <cell r="T731">
            <v>9200.0377804157433</v>
          </cell>
          <cell r="U731">
            <v>10095.252654721</v>
          </cell>
          <cell r="V731">
            <v>11068.847020208341</v>
          </cell>
          <cell r="W731">
            <v>12158.120163160882</v>
          </cell>
        </row>
        <row r="732">
          <cell r="A732" t="str">
            <v>Other creditors</v>
          </cell>
          <cell r="B732">
            <v>6982.6800000000012</v>
          </cell>
          <cell r="C732">
            <v>8227.1999999999989</v>
          </cell>
          <cell r="D732">
            <v>17600.04</v>
          </cell>
          <cell r="E732">
            <v>20425.84</v>
          </cell>
          <cell r="F732">
            <v>15057.495000000001</v>
          </cell>
          <cell r="G732">
            <v>16142.365000000002</v>
          </cell>
          <cell r="H732">
            <v>18157.984</v>
          </cell>
          <cell r="I732">
            <v>19171.082000000002</v>
          </cell>
          <cell r="J732">
            <v>17904.289000000001</v>
          </cell>
          <cell r="K732">
            <v>25899.42</v>
          </cell>
          <cell r="L732">
            <v>29039.279999999999</v>
          </cell>
          <cell r="M732">
            <v>32476.46</v>
          </cell>
          <cell r="N732">
            <v>33395.624938213048</v>
          </cell>
          <cell r="O732">
            <v>34342.106761978437</v>
          </cell>
          <cell r="P732">
            <v>34909.613744823415</v>
          </cell>
          <cell r="Q732">
            <v>35146.318396072034</v>
          </cell>
          <cell r="R732">
            <v>35100.18183626041</v>
          </cell>
          <cell r="S732">
            <v>34849.484379995658</v>
          </cell>
          <cell r="T732">
            <v>34428.712249667304</v>
          </cell>
          <cell r="U732">
            <v>33880.919695650991</v>
          </cell>
          <cell r="V732">
            <v>33241.495447372567</v>
          </cell>
          <cell r="W732">
            <v>32538.909525036477</v>
          </cell>
        </row>
        <row r="733">
          <cell r="A733" t="str">
            <v>Provision for dividend</v>
          </cell>
          <cell r="B733">
            <v>360</v>
          </cell>
          <cell r="C733">
            <v>360</v>
          </cell>
          <cell r="D733">
            <v>480</v>
          </cell>
          <cell r="E733">
            <v>600</v>
          </cell>
          <cell r="F733">
            <v>600</v>
          </cell>
          <cell r="G733">
            <v>1200</v>
          </cell>
          <cell r="H733">
            <v>1200</v>
          </cell>
          <cell r="I733">
            <v>1827.0409999999999</v>
          </cell>
          <cell r="J733">
            <v>1890</v>
          </cell>
          <cell r="K733">
            <v>1890</v>
          </cell>
          <cell r="L733">
            <v>2835</v>
          </cell>
          <cell r="M733">
            <v>2835</v>
          </cell>
          <cell r="N733">
            <v>2442.7631734212273</v>
          </cell>
          <cell r="O733">
            <v>1987.8399246381955</v>
          </cell>
          <cell r="P733">
            <v>1693.7903679981464</v>
          </cell>
          <cell r="Q733">
            <v>1362.4331969347511</v>
          </cell>
          <cell r="R733">
            <v>988.7283011688844</v>
          </cell>
          <cell r="S733">
            <v>604.00927939767428</v>
          </cell>
          <cell r="T733">
            <v>42.776205933014523</v>
          </cell>
          <cell r="U733">
            <v>-580.25000060373964</v>
          </cell>
          <cell r="V733">
            <v>-1223.1924065342591</v>
          </cell>
          <cell r="W733">
            <v>-1946.8243473689836</v>
          </cell>
        </row>
        <row r="734">
          <cell r="A734" t="str">
            <v>Provision for tax</v>
          </cell>
          <cell r="B734">
            <v>1664.8</v>
          </cell>
          <cell r="C734">
            <v>2050</v>
          </cell>
          <cell r="D734">
            <v>2730</v>
          </cell>
          <cell r="E734">
            <v>4362.5</v>
          </cell>
          <cell r="F734">
            <v>4674</v>
          </cell>
          <cell r="G734">
            <v>5185</v>
          </cell>
          <cell r="H734">
            <v>10678.2</v>
          </cell>
          <cell r="I734">
            <v>10817.924000000001</v>
          </cell>
          <cell r="J734">
            <v>11372.123</v>
          </cell>
          <cell r="K734">
            <v>13067.640000000001</v>
          </cell>
          <cell r="L734">
            <v>14709.61</v>
          </cell>
          <cell r="M734">
            <v>19422.670000000002</v>
          </cell>
          <cell r="N734">
            <v>19422.670000000002</v>
          </cell>
          <cell r="O734">
            <v>19422.670000000002</v>
          </cell>
          <cell r="P734">
            <v>19422.670000000002</v>
          </cell>
          <cell r="Q734">
            <v>19422.670000000002</v>
          </cell>
          <cell r="R734">
            <v>19422.670000000002</v>
          </cell>
          <cell r="S734">
            <v>19422.670000000002</v>
          </cell>
          <cell r="T734">
            <v>19422.670000000002</v>
          </cell>
          <cell r="U734">
            <v>19422.670000000002</v>
          </cell>
          <cell r="V734">
            <v>19422.670000000002</v>
          </cell>
          <cell r="W734">
            <v>19422.670000000002</v>
          </cell>
          <cell r="X734">
            <v>0</v>
          </cell>
          <cell r="Y734">
            <v>-1.5062441950493888E-2</v>
          </cell>
        </row>
        <row r="735">
          <cell r="A735" t="str">
            <v>Other provisions</v>
          </cell>
          <cell r="B735">
            <v>451.83999999999992</v>
          </cell>
          <cell r="C735">
            <v>562.2199999999998</v>
          </cell>
          <cell r="D735">
            <v>678.34000000000015</v>
          </cell>
          <cell r="E735">
            <v>795.63000000000011</v>
          </cell>
          <cell r="F735">
            <v>921.73999999999978</v>
          </cell>
          <cell r="G735">
            <v>1114.58</v>
          </cell>
          <cell r="H735">
            <v>1483.1689999999999</v>
          </cell>
          <cell r="I735">
            <v>355.84100000000035</v>
          </cell>
          <cell r="J735">
            <v>451.38100000000122</v>
          </cell>
          <cell r="K735">
            <v>2554.2600000000002</v>
          </cell>
          <cell r="L735">
            <v>4812.5299999999988</v>
          </cell>
          <cell r="M735">
            <v>18795.029999999995</v>
          </cell>
          <cell r="N735">
            <v>18795.029999999995</v>
          </cell>
          <cell r="O735">
            <v>18795.029999999995</v>
          </cell>
          <cell r="P735">
            <v>18795.029999999995</v>
          </cell>
          <cell r="Q735">
            <v>18795.029999999995</v>
          </cell>
          <cell r="R735">
            <v>18795.029999999995</v>
          </cell>
          <cell r="S735">
            <v>18795.029999999995</v>
          </cell>
          <cell r="T735">
            <v>18795.029999999995</v>
          </cell>
          <cell r="U735">
            <v>18795.029999999995</v>
          </cell>
          <cell r="V735">
            <v>18795.029999999995</v>
          </cell>
          <cell r="W735">
            <v>18795.029999999995</v>
          </cell>
        </row>
        <row r="737">
          <cell r="A737" t="str">
            <v>Trading capital employed</v>
          </cell>
          <cell r="B737">
            <v>19323.936999999998</v>
          </cell>
          <cell r="C737">
            <v>25067.875500000006</v>
          </cell>
          <cell r="D737">
            <v>24971.52</v>
          </cell>
          <cell r="E737">
            <v>27009.205000000002</v>
          </cell>
          <cell r="F737">
            <v>31691.109000000004</v>
          </cell>
          <cell r="G737">
            <v>37521.050999999999</v>
          </cell>
          <cell r="H737">
            <v>41083.707299999987</v>
          </cell>
          <cell r="I737">
            <v>54388.143899999988</v>
          </cell>
          <cell r="J737">
            <v>62910.24396</v>
          </cell>
          <cell r="K737">
            <v>71395.75</v>
          </cell>
          <cell r="L737">
            <v>83481.47</v>
          </cell>
          <cell r="M737">
            <v>87369.640000000014</v>
          </cell>
          <cell r="N737">
            <v>64975.548272987202</v>
          </cell>
          <cell r="O737">
            <v>69019.618392658231</v>
          </cell>
          <cell r="P737">
            <v>69374.225549462251</v>
          </cell>
          <cell r="Q737">
            <v>70531.22845807721</v>
          </cell>
          <cell r="R737">
            <v>69987.062584850646</v>
          </cell>
          <cell r="S737">
            <v>68295.614416937358</v>
          </cell>
          <cell r="T737">
            <v>67092.215992892889</v>
          </cell>
          <cell r="U737">
            <v>65077.583459148984</v>
          </cell>
          <cell r="V737">
            <v>62145.329057232171</v>
          </cell>
          <cell r="W737">
            <v>58557.87592751981</v>
          </cell>
        </row>
        <row r="738">
          <cell r="A738" t="str">
            <v>Total capital employed</v>
          </cell>
          <cell r="B738">
            <v>20197.696999999996</v>
          </cell>
          <cell r="C738">
            <v>27067.875500000006</v>
          </cell>
          <cell r="D738">
            <v>26471.52</v>
          </cell>
          <cell r="E738">
            <v>27009.205000000002</v>
          </cell>
          <cell r="F738">
            <v>31691.109000000004</v>
          </cell>
          <cell r="G738">
            <v>37521.050999999999</v>
          </cell>
          <cell r="H738">
            <v>41083.707299999987</v>
          </cell>
          <cell r="I738">
            <v>54388.143899999988</v>
          </cell>
          <cell r="J738">
            <v>62910.24396</v>
          </cell>
          <cell r="K738">
            <v>71395.75</v>
          </cell>
          <cell r="L738">
            <v>83481.489999999991</v>
          </cell>
          <cell r="M738">
            <v>88396.410000000033</v>
          </cell>
          <cell r="N738">
            <v>96724.69952026369</v>
          </cell>
          <cell r="O738">
            <v>102688.21929417829</v>
          </cell>
          <cell r="P738">
            <v>107769.59039817273</v>
          </cell>
          <cell r="Q738">
            <v>111856.88998897697</v>
          </cell>
          <cell r="R738">
            <v>114823.07489248362</v>
          </cell>
          <cell r="S738">
            <v>116635.10273067663</v>
          </cell>
          <cell r="T738">
            <v>116763.43134847569</v>
          </cell>
          <cell r="U738">
            <v>115022.68134666445</v>
          </cell>
          <cell r="V738">
            <v>111353.10412706168</v>
          </cell>
          <cell r="W738">
            <v>105512.63108495474</v>
          </cell>
          <cell r="Y738">
            <v>0.12910049399482482</v>
          </cell>
        </row>
        <row r="739">
          <cell r="A739" t="str">
            <v>diff</v>
          </cell>
          <cell r="B739">
            <v>1.0000000002037268E-3</v>
          </cell>
          <cell r="C739">
            <v>-2.4499999988620402E-2</v>
          </cell>
          <cell r="D739">
            <v>3.9999999997235136E-2</v>
          </cell>
          <cell r="E739">
            <v>5.0000000046566129E-3</v>
          </cell>
          <cell r="F739">
            <v>2.899999999863212E-2</v>
          </cell>
          <cell r="G739">
            <v>-3.9000000004307367E-2</v>
          </cell>
          <cell r="H739">
            <v>-7.0000001869630069E-4</v>
          </cell>
          <cell r="I739">
            <v>-2.100000019709114E-3</v>
          </cell>
          <cell r="J739">
            <v>-2.039999992121011E-3</v>
          </cell>
          <cell r="K739">
            <v>0</v>
          </cell>
          <cell r="L739">
            <v>0</v>
          </cell>
          <cell r="M739">
            <v>0</v>
          </cell>
          <cell r="N739">
            <v>0</v>
          </cell>
          <cell r="O739">
            <v>0</v>
          </cell>
          <cell r="P739">
            <v>0</v>
          </cell>
          <cell r="Q739">
            <v>0</v>
          </cell>
          <cell r="R739">
            <v>0</v>
          </cell>
          <cell r="S739">
            <v>0</v>
          </cell>
          <cell r="T739">
            <v>0</v>
          </cell>
          <cell r="U739">
            <v>0</v>
          </cell>
          <cell r="V739">
            <v>0</v>
          </cell>
          <cell r="W739">
            <v>0</v>
          </cell>
        </row>
        <row r="740">
          <cell r="A740" t="str">
            <v>Net wc (ex-cash)</v>
          </cell>
          <cell r="B740">
            <v>-749.14300000000003</v>
          </cell>
          <cell r="C740">
            <v>-574.41449999999713</v>
          </cell>
          <cell r="D740">
            <v>-1888.880000000001</v>
          </cell>
          <cell r="E740">
            <v>-4733.3469999999979</v>
          </cell>
          <cell r="F740">
            <v>-6064.4709999999977</v>
          </cell>
          <cell r="G740">
            <v>-6087.8789999999972</v>
          </cell>
          <cell r="H740">
            <v>-7871.9720000000088</v>
          </cell>
          <cell r="I740">
            <v>-8590.105100000008</v>
          </cell>
          <cell r="J740">
            <v>-4224.8990400000039</v>
          </cell>
          <cell r="K740">
            <v>-2972.0799999999945</v>
          </cell>
          <cell r="L740">
            <v>219.25000000000728</v>
          </cell>
          <cell r="M740">
            <v>1827.1000000000204</v>
          </cell>
          <cell r="N740">
            <v>1961.7719304125203</v>
          </cell>
          <cell r="O740">
            <v>3622.1155669590662</v>
          </cell>
          <cell r="P740">
            <v>4360.3229144504876</v>
          </cell>
          <cell r="Q740">
            <v>6207.2532463029493</v>
          </cell>
          <cell r="R740">
            <v>8062.1642324657878</v>
          </cell>
          <cell r="S740">
            <v>10291.711290073916</v>
          </cell>
          <cell r="T740">
            <v>13280.730168102353</v>
          </cell>
          <cell r="U740">
            <v>16404.363882151709</v>
          </cell>
          <cell r="V740">
            <v>19725.609679542889</v>
          </cell>
          <cell r="W740">
            <v>23336.414648062651</v>
          </cell>
        </row>
        <row r="741">
          <cell r="L741" t="str">
            <v>Net cash</v>
          </cell>
          <cell r="M741">
            <v>526.84285714285659</v>
          </cell>
          <cell r="N741">
            <v>687.83398027487522</v>
          </cell>
        </row>
        <row r="742">
          <cell r="A742" t="str">
            <v xml:space="preserve">Financed by </v>
          </cell>
          <cell r="B742" t="str">
            <v>FY91</v>
          </cell>
          <cell r="C742" t="str">
            <v>FY92</v>
          </cell>
          <cell r="D742" t="str">
            <v>FY93</v>
          </cell>
          <cell r="E742" t="str">
            <v>FY94</v>
          </cell>
          <cell r="F742" t="str">
            <v>FY95</v>
          </cell>
          <cell r="G742" t="str">
            <v>FY96</v>
          </cell>
          <cell r="H742" t="str">
            <v>FY97</v>
          </cell>
          <cell r="I742" t="str">
            <v>FY98</v>
          </cell>
          <cell r="J742" t="str">
            <v>FY99</v>
          </cell>
          <cell r="K742" t="str">
            <v>FY00</v>
          </cell>
          <cell r="L742" t="str">
            <v>FY01</v>
          </cell>
          <cell r="M742" t="str">
            <v>FY02</v>
          </cell>
          <cell r="N742" t="str">
            <v>FY03F</v>
          </cell>
          <cell r="O742" t="str">
            <v>FY04F</v>
          </cell>
          <cell r="P742" t="str">
            <v>FY05F</v>
          </cell>
          <cell r="Q742" t="str">
            <v>FY06F</v>
          </cell>
          <cell r="R742" t="str">
            <v>FY07F</v>
          </cell>
          <cell r="S742" t="str">
            <v>FY08F</v>
          </cell>
          <cell r="T742" t="str">
            <v>FY09F</v>
          </cell>
          <cell r="U742" t="str">
            <v>FY10F</v>
          </cell>
          <cell r="V742" t="str">
            <v>FY11F</v>
          </cell>
          <cell r="W742" t="str">
            <v>FY12F</v>
          </cell>
        </row>
        <row r="743">
          <cell r="A743" t="str">
            <v>Share capital</v>
          </cell>
          <cell r="B743">
            <v>6000</v>
          </cell>
          <cell r="C743">
            <v>6000</v>
          </cell>
          <cell r="D743">
            <v>6000</v>
          </cell>
          <cell r="E743">
            <v>6000</v>
          </cell>
          <cell r="F743">
            <v>6000</v>
          </cell>
          <cell r="G743">
            <v>6000</v>
          </cell>
          <cell r="H743">
            <v>6000</v>
          </cell>
          <cell r="I743">
            <v>6300</v>
          </cell>
          <cell r="J743">
            <v>6300</v>
          </cell>
          <cell r="K743">
            <v>6300</v>
          </cell>
          <cell r="L743">
            <v>6300</v>
          </cell>
          <cell r="M743">
            <v>6300</v>
          </cell>
          <cell r="N743">
            <v>6300</v>
          </cell>
          <cell r="O743">
            <v>6300</v>
          </cell>
          <cell r="P743">
            <v>6300</v>
          </cell>
          <cell r="Q743">
            <v>6300</v>
          </cell>
          <cell r="R743">
            <v>6300</v>
          </cell>
          <cell r="S743">
            <v>6300</v>
          </cell>
          <cell r="T743">
            <v>6300</v>
          </cell>
          <cell r="U743">
            <v>6300</v>
          </cell>
          <cell r="V743">
            <v>6300</v>
          </cell>
          <cell r="W743">
            <v>6300</v>
          </cell>
        </row>
        <row r="744">
          <cell r="A744" t="str">
            <v>Share premium (GDR)</v>
          </cell>
          <cell r="I744">
            <v>6649.8869999999997</v>
          </cell>
          <cell r="J744">
            <v>6649.8869999999997</v>
          </cell>
          <cell r="K744">
            <v>6649.8869999999997</v>
          </cell>
          <cell r="L744">
            <v>6649.8869999999997</v>
          </cell>
          <cell r="M744">
            <v>6649.8869999999997</v>
          </cell>
          <cell r="N744">
            <v>6649.8869999999997</v>
          </cell>
          <cell r="O744">
            <v>6649.8869999999997</v>
          </cell>
          <cell r="P744">
            <v>6649.8869999999997</v>
          </cell>
          <cell r="Q744">
            <v>6649.8869999999997</v>
          </cell>
          <cell r="R744">
            <v>6649.8869999999997</v>
          </cell>
          <cell r="S744">
            <v>6649.8869999999997</v>
          </cell>
          <cell r="T744">
            <v>6649.8869999999997</v>
          </cell>
          <cell r="U744">
            <v>6649.8869999999997</v>
          </cell>
          <cell r="V744">
            <v>6649.8869999999997</v>
          </cell>
          <cell r="W744">
            <v>6649.8869999999997</v>
          </cell>
        </row>
        <row r="745">
          <cell r="A745" t="str">
            <v>Other reserves</v>
          </cell>
          <cell r="B745">
            <v>4309.28</v>
          </cell>
          <cell r="C745">
            <v>5661.63</v>
          </cell>
          <cell r="D745">
            <v>7265.35</v>
          </cell>
          <cell r="E745">
            <v>10106.9</v>
          </cell>
          <cell r="F745">
            <v>15272.7</v>
          </cell>
          <cell r="G745">
            <v>21368.6</v>
          </cell>
          <cell r="H745">
            <v>29376.455999999998</v>
          </cell>
          <cell r="I745">
            <v>38668.006999999998</v>
          </cell>
          <cell r="J745">
            <v>49542.670999999995</v>
          </cell>
          <cell r="K745">
            <v>58253.932999999997</v>
          </cell>
          <cell r="L745">
            <v>70531.603000000003</v>
          </cell>
          <cell r="M745">
            <v>76446.523000000001</v>
          </cell>
          <cell r="N745">
            <v>83774.812520263673</v>
          </cell>
          <cell r="O745">
            <v>89738.332294178268</v>
          </cell>
          <cell r="P745">
            <v>94819.703398172715</v>
          </cell>
          <cell r="Q745">
            <v>98907.002988976965</v>
          </cell>
          <cell r="R745">
            <v>101873.18789248362</v>
          </cell>
          <cell r="S745">
            <v>103685.21573067663</v>
          </cell>
          <cell r="T745">
            <v>103813.54434847568</v>
          </cell>
          <cell r="U745">
            <v>102072.79434666446</v>
          </cell>
          <cell r="V745">
            <v>98403.217127061696</v>
          </cell>
          <cell r="W745">
            <v>92562.744084954742</v>
          </cell>
        </row>
        <row r="746">
          <cell r="A746" t="str">
            <v>Intangible assets</v>
          </cell>
          <cell r="B746">
            <v>2.004</v>
          </cell>
          <cell r="C746">
            <v>1.6</v>
          </cell>
          <cell r="D746">
            <v>1.2</v>
          </cell>
          <cell r="E746">
            <v>0.8</v>
          </cell>
          <cell r="F746">
            <v>0.4</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row>
        <row r="747">
          <cell r="A747" t="str">
            <v>Shareholders' funds</v>
          </cell>
          <cell r="B747">
            <v>10307.275999999998</v>
          </cell>
          <cell r="C747">
            <v>11660.03</v>
          </cell>
          <cell r="D747">
            <v>13264.15</v>
          </cell>
          <cell r="E747">
            <v>16106.1</v>
          </cell>
          <cell r="F747">
            <v>21272.3</v>
          </cell>
          <cell r="G747">
            <v>27368.6</v>
          </cell>
          <cell r="H747">
            <v>35376.455999999998</v>
          </cell>
          <cell r="I747">
            <v>51617.894</v>
          </cell>
          <cell r="J747">
            <v>62492.55799999999</v>
          </cell>
          <cell r="K747">
            <v>71203.819999999992</v>
          </cell>
          <cell r="L747">
            <v>83481.490000000005</v>
          </cell>
          <cell r="M747">
            <v>89396.41</v>
          </cell>
          <cell r="N747">
            <v>96724.699520263675</v>
          </cell>
          <cell r="O747">
            <v>102688.21929417827</v>
          </cell>
          <cell r="P747">
            <v>107769.59039817272</v>
          </cell>
          <cell r="Q747">
            <v>111856.88998897697</v>
          </cell>
          <cell r="R747">
            <v>114823.07489248362</v>
          </cell>
          <cell r="S747">
            <v>116635.10273067663</v>
          </cell>
          <cell r="T747">
            <v>116763.43134847569</v>
          </cell>
          <cell r="U747">
            <v>115022.68134666447</v>
          </cell>
          <cell r="V747">
            <v>111353.1041270617</v>
          </cell>
          <cell r="W747">
            <v>105512.63108495474</v>
          </cell>
          <cell r="Y747">
            <v>0.14717572722639094</v>
          </cell>
        </row>
        <row r="749">
          <cell r="A749" t="str">
            <v>Secured loans</v>
          </cell>
          <cell r="B749">
            <v>23681.75</v>
          </cell>
          <cell r="C749">
            <v>35897.24</v>
          </cell>
          <cell r="D749">
            <v>43887.9</v>
          </cell>
          <cell r="E749">
            <v>55431.46</v>
          </cell>
          <cell r="F749">
            <v>26324.1</v>
          </cell>
          <cell r="G749">
            <v>26314.55</v>
          </cell>
          <cell r="H749">
            <v>18009.092000000001</v>
          </cell>
          <cell r="I749">
            <v>12582.9</v>
          </cell>
          <cell r="J749">
            <v>2554.7539999999999</v>
          </cell>
          <cell r="K749">
            <v>0</v>
          </cell>
          <cell r="L749">
            <v>0</v>
          </cell>
          <cell r="M749">
            <v>0</v>
          </cell>
          <cell r="N749">
            <v>1000</v>
          </cell>
          <cell r="O749">
            <v>1000</v>
          </cell>
          <cell r="P749">
            <v>1000</v>
          </cell>
          <cell r="Q749">
            <v>1000</v>
          </cell>
          <cell r="R749">
            <v>1000</v>
          </cell>
          <cell r="S749">
            <v>1000</v>
          </cell>
          <cell r="T749">
            <v>1000</v>
          </cell>
          <cell r="U749">
            <v>1000</v>
          </cell>
          <cell r="V749">
            <v>1000</v>
          </cell>
          <cell r="W749">
            <v>1000</v>
          </cell>
        </row>
        <row r="750">
          <cell r="A750" t="str">
            <v>Unsecured loans</v>
          </cell>
          <cell r="B750">
            <v>3428.67</v>
          </cell>
          <cell r="C750">
            <v>2750.63</v>
          </cell>
          <cell r="D750">
            <v>4989.4299999999994</v>
          </cell>
          <cell r="E750">
            <v>2227.94</v>
          </cell>
          <cell r="F750">
            <v>40580.94</v>
          </cell>
          <cell r="G750">
            <v>43166.8</v>
          </cell>
          <cell r="H750">
            <v>58030.985000000001</v>
          </cell>
          <cell r="I750">
            <v>52910.177000000003</v>
          </cell>
          <cell r="J750">
            <v>35822.633999999998</v>
          </cell>
          <cell r="K750">
            <v>30901.93</v>
          </cell>
          <cell r="L750">
            <v>28810</v>
          </cell>
          <cell r="M750">
            <v>26190</v>
          </cell>
          <cell r="N750">
            <v>26190</v>
          </cell>
          <cell r="O750">
            <v>26190</v>
          </cell>
          <cell r="P750">
            <v>26190</v>
          </cell>
          <cell r="Q750">
            <v>26190</v>
          </cell>
          <cell r="R750">
            <v>26190</v>
          </cell>
          <cell r="S750">
            <v>26190</v>
          </cell>
          <cell r="T750">
            <v>26190</v>
          </cell>
          <cell r="U750">
            <v>26190</v>
          </cell>
          <cell r="V750">
            <v>26190</v>
          </cell>
          <cell r="W750">
            <v>26190</v>
          </cell>
        </row>
        <row r="751">
          <cell r="A751" t="str">
            <v>Loans for DOT/BSNL</v>
          </cell>
          <cell r="B751">
            <v>-17220</v>
          </cell>
          <cell r="C751">
            <v>-23240</v>
          </cell>
          <cell r="D751">
            <v>-35670</v>
          </cell>
          <cell r="E751">
            <v>-46756.3</v>
          </cell>
          <cell r="F751">
            <v>-56486.26</v>
          </cell>
          <cell r="G751">
            <v>-59328.86</v>
          </cell>
          <cell r="H751">
            <v>-70332.824999999997</v>
          </cell>
          <cell r="I751">
            <v>-62722.824999999997</v>
          </cell>
          <cell r="J751">
            <v>-37959.699999999997</v>
          </cell>
          <cell r="K751">
            <v>-30710</v>
          </cell>
          <cell r="L751">
            <v>-28810</v>
          </cell>
          <cell r="M751">
            <v>-27190</v>
          </cell>
          <cell r="N751">
            <v>-27190</v>
          </cell>
          <cell r="O751">
            <v>-27190</v>
          </cell>
          <cell r="P751">
            <v>-27190</v>
          </cell>
          <cell r="Q751">
            <v>-27190</v>
          </cell>
          <cell r="R751">
            <v>-27190</v>
          </cell>
          <cell r="S751">
            <v>-27190</v>
          </cell>
          <cell r="T751">
            <v>-27190</v>
          </cell>
          <cell r="U751">
            <v>-27190</v>
          </cell>
          <cell r="V751">
            <v>-27190</v>
          </cell>
          <cell r="W751">
            <v>-27190</v>
          </cell>
        </row>
        <row r="752">
          <cell r="A752" t="str">
            <v>MTNL's debt</v>
          </cell>
          <cell r="B752">
            <v>9890.4199999999983</v>
          </cell>
          <cell r="C752">
            <v>15407.869999999995</v>
          </cell>
          <cell r="D752">
            <v>13207.330000000002</v>
          </cell>
          <cell r="E752">
            <v>10903.099999999999</v>
          </cell>
          <cell r="F752">
            <v>10418.780000000006</v>
          </cell>
          <cell r="G752">
            <v>10152.490000000005</v>
          </cell>
          <cell r="H752">
            <v>5707.2520000000077</v>
          </cell>
          <cell r="I752">
            <v>2770.2520000000077</v>
          </cell>
          <cell r="J752">
            <v>417.68800000000192</v>
          </cell>
          <cell r="K752">
            <v>191.93000000000757</v>
          </cell>
          <cell r="L752">
            <v>0</v>
          </cell>
          <cell r="M752">
            <v>-999.9999999999709</v>
          </cell>
          <cell r="N752">
            <v>0</v>
          </cell>
          <cell r="O752">
            <v>0</v>
          </cell>
          <cell r="P752">
            <v>0</v>
          </cell>
          <cell r="Q752">
            <v>0</v>
          </cell>
          <cell r="R752">
            <v>0</v>
          </cell>
          <cell r="S752">
            <v>0</v>
          </cell>
          <cell r="T752">
            <v>0</v>
          </cell>
          <cell r="U752">
            <v>0</v>
          </cell>
          <cell r="V752">
            <v>0</v>
          </cell>
          <cell r="W752">
            <v>0</v>
          </cell>
        </row>
        <row r="753">
          <cell r="A753" t="str">
            <v>Total sources of funds</v>
          </cell>
          <cell r="B753">
            <v>20197.695999999996</v>
          </cell>
          <cell r="C753">
            <v>27067.899999999994</v>
          </cell>
          <cell r="D753">
            <v>26471.480000000003</v>
          </cell>
          <cell r="E753">
            <v>27009.199999999997</v>
          </cell>
          <cell r="F753">
            <v>31691.080000000005</v>
          </cell>
          <cell r="G753">
            <v>37521.090000000004</v>
          </cell>
          <cell r="H753">
            <v>41083.708000000006</v>
          </cell>
          <cell r="I753">
            <v>54388.146000000008</v>
          </cell>
          <cell r="J753">
            <v>62910.245999999992</v>
          </cell>
          <cell r="K753">
            <v>71395.75</v>
          </cell>
          <cell r="L753">
            <v>83481.490000000005</v>
          </cell>
          <cell r="M753">
            <v>88396.410000000033</v>
          </cell>
          <cell r="N753">
            <v>96724.699520263675</v>
          </cell>
          <cell r="O753">
            <v>102688.21929417827</v>
          </cell>
          <cell r="P753">
            <v>107769.59039817272</v>
          </cell>
          <cell r="Q753">
            <v>111856.88998897697</v>
          </cell>
          <cell r="R753">
            <v>114823.07489248362</v>
          </cell>
          <cell r="S753">
            <v>116635.10273067663</v>
          </cell>
          <cell r="T753">
            <v>116763.43134847569</v>
          </cell>
          <cell r="U753">
            <v>115022.68134666447</v>
          </cell>
          <cell r="V753">
            <v>111353.1041270617</v>
          </cell>
          <cell r="W753">
            <v>105512.63108495474</v>
          </cell>
          <cell r="Y753">
            <v>0.12910048309579958</v>
          </cell>
        </row>
        <row r="754">
          <cell r="A754" t="str">
            <v>diff</v>
          </cell>
          <cell r="B754">
            <v>-1.0000000002037268E-3</v>
          </cell>
          <cell r="C754">
            <v>2.4499999988620402E-2</v>
          </cell>
          <cell r="D754">
            <v>-3.9999999997235136E-2</v>
          </cell>
          <cell r="E754">
            <v>-5.0000000046566129E-3</v>
          </cell>
          <cell r="F754">
            <v>-2.899999999863212E-2</v>
          </cell>
          <cell r="G754">
            <v>3.9000000004307367E-2</v>
          </cell>
          <cell r="H754">
            <v>7.0000001869630069E-4</v>
          </cell>
          <cell r="I754">
            <v>2.100000019709114E-3</v>
          </cell>
          <cell r="J754">
            <v>2.039999992121011E-3</v>
          </cell>
          <cell r="K754">
            <v>0</v>
          </cell>
          <cell r="L754">
            <v>0</v>
          </cell>
          <cell r="M754">
            <v>0</v>
          </cell>
          <cell r="N754">
            <v>0</v>
          </cell>
          <cell r="O754">
            <v>0</v>
          </cell>
          <cell r="P754">
            <v>0</v>
          </cell>
          <cell r="Q754">
            <v>0</v>
          </cell>
          <cell r="R754">
            <v>0</v>
          </cell>
          <cell r="S754">
            <v>0</v>
          </cell>
          <cell r="T754">
            <v>0</v>
          </cell>
          <cell r="U754">
            <v>0</v>
          </cell>
          <cell r="V754">
            <v>0</v>
          </cell>
          <cell r="W754">
            <v>0</v>
          </cell>
        </row>
        <row r="756">
          <cell r="A756" t="str">
            <v>Total debt calculation</v>
          </cell>
        </row>
        <row r="757">
          <cell r="A757" t="str">
            <v>Secured loans (notional)</v>
          </cell>
          <cell r="I757">
            <v>12582.9</v>
          </cell>
          <cell r="J757">
            <v>2554.7539999999999</v>
          </cell>
          <cell r="K757">
            <v>2554.7519600000078</v>
          </cell>
          <cell r="L757">
            <v>0</v>
          </cell>
          <cell r="M757">
            <v>0</v>
          </cell>
          <cell r="N757">
            <v>0</v>
          </cell>
          <cell r="O757">
            <v>0</v>
          </cell>
          <cell r="P757">
            <v>0</v>
          </cell>
          <cell r="Q757">
            <v>0</v>
          </cell>
          <cell r="R757">
            <v>0</v>
          </cell>
          <cell r="S757">
            <v>0</v>
          </cell>
          <cell r="T757">
            <v>0</v>
          </cell>
          <cell r="U757">
            <v>0</v>
          </cell>
          <cell r="V757">
            <v>0</v>
          </cell>
          <cell r="W757">
            <v>0</v>
          </cell>
        </row>
        <row r="758">
          <cell r="A758" t="str">
            <v>Unsecured loans</v>
          </cell>
          <cell r="I758">
            <v>52910.177000000003</v>
          </cell>
          <cell r="J758">
            <v>35822.633999999998</v>
          </cell>
          <cell r="K758">
            <v>30901.93</v>
          </cell>
          <cell r="L758">
            <v>28810</v>
          </cell>
          <cell r="M758">
            <v>26190</v>
          </cell>
          <cell r="N758">
            <v>26190</v>
          </cell>
          <cell r="O758">
            <v>26190</v>
          </cell>
          <cell r="P758">
            <v>26190</v>
          </cell>
          <cell r="Q758">
            <v>26190</v>
          </cell>
          <cell r="R758">
            <v>26190</v>
          </cell>
          <cell r="S758">
            <v>26190</v>
          </cell>
          <cell r="T758">
            <v>26190</v>
          </cell>
          <cell r="U758">
            <v>26190</v>
          </cell>
          <cell r="V758">
            <v>26190</v>
          </cell>
          <cell r="W758">
            <v>26190</v>
          </cell>
        </row>
        <row r="759">
          <cell r="A759" t="str">
            <v>Total loans</v>
          </cell>
          <cell r="I759">
            <v>65493.077000000005</v>
          </cell>
          <cell r="J759">
            <v>38377.387999999999</v>
          </cell>
          <cell r="K759">
            <v>33456.681960000009</v>
          </cell>
          <cell r="L759">
            <v>28810</v>
          </cell>
          <cell r="M759">
            <v>26190</v>
          </cell>
          <cell r="N759">
            <v>26190</v>
          </cell>
          <cell r="O759">
            <v>26190</v>
          </cell>
          <cell r="P759">
            <v>26190</v>
          </cell>
          <cell r="Q759">
            <v>26190</v>
          </cell>
          <cell r="R759">
            <v>26190</v>
          </cell>
          <cell r="S759">
            <v>26190</v>
          </cell>
          <cell r="T759">
            <v>26190</v>
          </cell>
          <cell r="U759">
            <v>26190</v>
          </cell>
          <cell r="V759">
            <v>26190</v>
          </cell>
          <cell r="W759">
            <v>26190</v>
          </cell>
        </row>
        <row r="760">
          <cell r="A760" t="str">
            <v>Total less DoT</v>
          </cell>
          <cell r="I760">
            <v>2770.2520000000077</v>
          </cell>
          <cell r="J760">
            <v>417.68800000000192</v>
          </cell>
          <cell r="K760">
            <v>2746.681960000009</v>
          </cell>
          <cell r="L760">
            <v>0</v>
          </cell>
          <cell r="M760">
            <v>-1000</v>
          </cell>
          <cell r="N760">
            <v>-1000</v>
          </cell>
          <cell r="O760">
            <v>-1000</v>
          </cell>
          <cell r="P760">
            <v>-1000</v>
          </cell>
          <cell r="Q760">
            <v>-1000</v>
          </cell>
          <cell r="R760">
            <v>-1000</v>
          </cell>
          <cell r="S760">
            <v>-1000</v>
          </cell>
          <cell r="T760">
            <v>-1000</v>
          </cell>
          <cell r="U760">
            <v>-1000</v>
          </cell>
          <cell r="V760">
            <v>-1000</v>
          </cell>
          <cell r="W760">
            <v>-1000</v>
          </cell>
        </row>
        <row r="761">
          <cell r="A761" t="str">
            <v>Bal fig</v>
          </cell>
          <cell r="I761">
            <v>-2.100000019709114E-3</v>
          </cell>
          <cell r="J761">
            <v>-2.039999992121011E-3</v>
          </cell>
          <cell r="K761">
            <v>-2554.7519600000014</v>
          </cell>
          <cell r="L761">
            <v>0</v>
          </cell>
          <cell r="M761">
            <v>2.9103830456733704E-11</v>
          </cell>
          <cell r="N761">
            <v>1000</v>
          </cell>
          <cell r="O761">
            <v>1000</v>
          </cell>
          <cell r="P761">
            <v>1000</v>
          </cell>
          <cell r="Q761">
            <v>1000</v>
          </cell>
          <cell r="R761">
            <v>1000</v>
          </cell>
          <cell r="S761">
            <v>1000</v>
          </cell>
          <cell r="T761">
            <v>1000</v>
          </cell>
          <cell r="U761">
            <v>1000</v>
          </cell>
          <cell r="V761">
            <v>1000</v>
          </cell>
          <cell r="W761">
            <v>1000</v>
          </cell>
        </row>
        <row r="762">
          <cell r="A762" t="str">
            <v>Total debt</v>
          </cell>
          <cell r="I762">
            <v>2770.249899999988</v>
          </cell>
          <cell r="J762">
            <v>417.6859600000098</v>
          </cell>
          <cell r="K762">
            <v>191.93000000000757</v>
          </cell>
          <cell r="L762">
            <v>0</v>
          </cell>
          <cell r="M762">
            <v>-999.9999999999709</v>
          </cell>
          <cell r="N762">
            <v>0</v>
          </cell>
          <cell r="O762">
            <v>0</v>
          </cell>
          <cell r="P762">
            <v>0</v>
          </cell>
          <cell r="Q762">
            <v>0</v>
          </cell>
          <cell r="R762">
            <v>0</v>
          </cell>
          <cell r="S762">
            <v>0</v>
          </cell>
          <cell r="T762">
            <v>0</v>
          </cell>
          <cell r="U762">
            <v>0</v>
          </cell>
          <cell r="V762">
            <v>0</v>
          </cell>
          <cell r="W762">
            <v>0</v>
          </cell>
        </row>
        <row r="763">
          <cell r="A763" t="str">
            <v>Secured loans (fig used)</v>
          </cell>
          <cell r="I763">
            <v>12582.89789999998</v>
          </cell>
          <cell r="J763">
            <v>2554.7519600000078</v>
          </cell>
          <cell r="K763">
            <v>6.3664629124104977E-12</v>
          </cell>
          <cell r="L763">
            <v>0</v>
          </cell>
          <cell r="M763">
            <v>2.9103830456733704E-11</v>
          </cell>
          <cell r="N763">
            <v>1000</v>
          </cell>
          <cell r="O763">
            <v>1000</v>
          </cell>
          <cell r="P763">
            <v>1000</v>
          </cell>
          <cell r="Q763">
            <v>1000</v>
          </cell>
          <cell r="R763">
            <v>1000</v>
          </cell>
          <cell r="S763">
            <v>1000</v>
          </cell>
          <cell r="T763">
            <v>1000</v>
          </cell>
          <cell r="U763">
            <v>1000</v>
          </cell>
          <cell r="V763">
            <v>1000</v>
          </cell>
          <cell r="W763">
            <v>1000</v>
          </cell>
        </row>
        <row r="765">
          <cell r="A765" t="str">
            <v>Other CA calculations</v>
          </cell>
          <cell r="B765" t="str">
            <v>FY91</v>
          </cell>
          <cell r="C765" t="str">
            <v>FY92</v>
          </cell>
          <cell r="D765" t="str">
            <v>FY93</v>
          </cell>
          <cell r="E765" t="str">
            <v>FY94</v>
          </cell>
          <cell r="F765" t="str">
            <v>FY95</v>
          </cell>
          <cell r="G765" t="str">
            <v>FY96</v>
          </cell>
          <cell r="H765" t="str">
            <v>FY97</v>
          </cell>
          <cell r="I765" t="str">
            <v>FY98</v>
          </cell>
          <cell r="J765" t="str">
            <v>FY99</v>
          </cell>
          <cell r="K765" t="str">
            <v>FY00</v>
          </cell>
          <cell r="L765" t="str">
            <v>FY01</v>
          </cell>
          <cell r="M765" t="str">
            <v>FY02</v>
          </cell>
          <cell r="N765" t="str">
            <v>FY03F</v>
          </cell>
          <cell r="O765" t="str">
            <v>FY04F</v>
          </cell>
          <cell r="P765" t="str">
            <v>FY05F</v>
          </cell>
          <cell r="Q765" t="str">
            <v>FY06F</v>
          </cell>
          <cell r="R765" t="str">
            <v>FY07F</v>
          </cell>
          <cell r="S765" t="str">
            <v>FY08F</v>
          </cell>
          <cell r="T765" t="str">
            <v>FY09F</v>
          </cell>
          <cell r="U765" t="str">
            <v>FY10F</v>
          </cell>
          <cell r="V765" t="str">
            <v>FY11F</v>
          </cell>
          <cell r="W765" t="str">
            <v>FY12F</v>
          </cell>
        </row>
        <row r="766">
          <cell r="A766" t="str">
            <v>Int accrued on bank deps</v>
          </cell>
          <cell r="B766">
            <v>3.44</v>
          </cell>
          <cell r="C766">
            <v>0.92200000000000004</v>
          </cell>
          <cell r="D766">
            <v>1.65</v>
          </cell>
          <cell r="E766">
            <v>1.01</v>
          </cell>
          <cell r="F766">
            <v>0.48399999999999999</v>
          </cell>
          <cell r="G766">
            <v>1.3740000000000001</v>
          </cell>
          <cell r="H766">
            <v>8.4830000000000005</v>
          </cell>
          <cell r="I766">
            <v>143.38999999999999</v>
          </cell>
          <cell r="J766">
            <v>242.47296</v>
          </cell>
          <cell r="K766">
            <v>229.92</v>
          </cell>
          <cell r="L766">
            <v>291.76</v>
          </cell>
          <cell r="M766">
            <v>220.45</v>
          </cell>
          <cell r="N766">
            <v>220.45</v>
          </cell>
          <cell r="O766">
            <v>220.45</v>
          </cell>
          <cell r="P766">
            <v>220.45</v>
          </cell>
          <cell r="Q766">
            <v>220.45</v>
          </cell>
          <cell r="R766">
            <v>220.45</v>
          </cell>
          <cell r="S766">
            <v>220.45</v>
          </cell>
          <cell r="T766">
            <v>220.45</v>
          </cell>
          <cell r="U766">
            <v>220.45</v>
          </cell>
          <cell r="V766">
            <v>220.45</v>
          </cell>
          <cell r="W766">
            <v>220.45</v>
          </cell>
        </row>
        <row r="767">
          <cell r="A767" t="str">
            <v>Income accrued from services</v>
          </cell>
          <cell r="B767">
            <v>1769.99</v>
          </cell>
          <cell r="C767">
            <v>2489.0500000000002</v>
          </cell>
          <cell r="D767">
            <v>2509.9349999999999</v>
          </cell>
          <cell r="E767">
            <v>3233.38</v>
          </cell>
          <cell r="F767">
            <v>3715.3440000000001</v>
          </cell>
          <cell r="G767">
            <v>4130.866</v>
          </cell>
          <cell r="H767">
            <v>4301.5190000000002</v>
          </cell>
          <cell r="I767">
            <v>5248.8878999999997</v>
          </cell>
          <cell r="J767">
            <v>5641.9059999999999</v>
          </cell>
          <cell r="K767">
            <v>6203.34</v>
          </cell>
          <cell r="L767">
            <v>6869.7000000000007</v>
          </cell>
          <cell r="M767">
            <v>5822.63</v>
          </cell>
          <cell r="N767">
            <v>6114.55326902055</v>
          </cell>
          <cell r="O767">
            <v>6185.3703305144954</v>
          </cell>
          <cell r="P767">
            <v>6470.9226253732259</v>
          </cell>
          <cell r="Q767">
            <v>6780.3389902873678</v>
          </cell>
          <cell r="R767">
            <v>7125.7524769528954</v>
          </cell>
          <cell r="S767">
            <v>7528.1426671387344</v>
          </cell>
          <cell r="T767">
            <v>7964.0307296800611</v>
          </cell>
          <cell r="U767">
            <v>8455.1607549774326</v>
          </cell>
          <cell r="V767">
            <v>9000.1804052226489</v>
          </cell>
          <cell r="W767">
            <v>9602.2991424440515</v>
          </cell>
        </row>
        <row r="768">
          <cell r="A768" t="str">
            <v xml:space="preserve">    as a % of total rev</v>
          </cell>
          <cell r="B768">
            <v>0.13510373659354993</v>
          </cell>
          <cell r="C768">
            <v>0.16003500253324729</v>
          </cell>
          <cell r="D768">
            <v>0.1370118417324859</v>
          </cell>
          <cell r="E768">
            <v>0.12894064163659202</v>
          </cell>
          <cell r="F768">
            <v>0.12607716429675986</v>
          </cell>
          <cell r="G768">
            <v>0.11980045428495044</v>
          </cell>
          <cell r="H768">
            <v>0.10671492610388858</v>
          </cell>
          <cell r="I768">
            <v>0.11276802097886623</v>
          </cell>
          <cell r="J768">
            <v>0.11211026206120953</v>
          </cell>
          <cell r="K768">
            <v>0.11970482789442392</v>
          </cell>
          <cell r="L768">
            <v>0.11875879709199386</v>
          </cell>
          <cell r="M768">
            <v>9.4773625898559255E-2</v>
          </cell>
          <cell r="N768">
            <v>9.4773625898559255E-2</v>
          </cell>
          <cell r="O768">
            <v>9.4773625898559255E-2</v>
          </cell>
          <cell r="P768">
            <v>9.4773625898559255E-2</v>
          </cell>
          <cell r="Q768">
            <v>9.4773625898559255E-2</v>
          </cell>
          <cell r="R768">
            <v>9.4773625898559255E-2</v>
          </cell>
          <cell r="S768">
            <v>9.4773625898559255E-2</v>
          </cell>
          <cell r="T768">
            <v>9.4773625898559255E-2</v>
          </cell>
          <cell r="U768">
            <v>9.4773625898559255E-2</v>
          </cell>
          <cell r="V768">
            <v>9.4773625898559255E-2</v>
          </cell>
          <cell r="W768">
            <v>9.4773625898559255E-2</v>
          </cell>
        </row>
        <row r="769">
          <cell r="A769" t="str">
            <v>Total</v>
          </cell>
          <cell r="B769">
            <v>1773.43</v>
          </cell>
          <cell r="C769">
            <v>2489.9720000000002</v>
          </cell>
          <cell r="D769">
            <v>2511.585</v>
          </cell>
          <cell r="E769">
            <v>3234.3900000000003</v>
          </cell>
          <cell r="F769">
            <v>3715.828</v>
          </cell>
          <cell r="G769">
            <v>4132.24</v>
          </cell>
          <cell r="H769">
            <v>4310.0020000000004</v>
          </cell>
          <cell r="I769">
            <v>5392.2779</v>
          </cell>
          <cell r="J769">
            <v>5884.37896</v>
          </cell>
          <cell r="K769">
            <v>6433.26</v>
          </cell>
          <cell r="L769">
            <v>7161.4600000000009</v>
          </cell>
          <cell r="M769">
            <v>6043.08</v>
          </cell>
          <cell r="N769">
            <v>6335.0032690205499</v>
          </cell>
          <cell r="O769">
            <v>6405.8203305144953</v>
          </cell>
          <cell r="P769">
            <v>6691.3726253732257</v>
          </cell>
          <cell r="Q769">
            <v>7000.7889902873676</v>
          </cell>
          <cell r="R769">
            <v>7346.2024769528953</v>
          </cell>
          <cell r="S769">
            <v>7748.5926671387342</v>
          </cell>
          <cell r="T769">
            <v>8184.4807296800609</v>
          </cell>
          <cell r="U769">
            <v>8675.6107549774333</v>
          </cell>
          <cell r="V769">
            <v>9220.6304052226496</v>
          </cell>
          <cell r="W769">
            <v>9822.7491424440523</v>
          </cell>
        </row>
        <row r="771">
          <cell r="A771" t="str">
            <v>Loans &amp; Advances calculations</v>
          </cell>
        </row>
        <row r="772">
          <cell r="A772" t="str">
            <v>Loans to DOT</v>
          </cell>
          <cell r="B772">
            <v>-17220</v>
          </cell>
          <cell r="C772">
            <v>-23240</v>
          </cell>
          <cell r="D772">
            <v>-35670</v>
          </cell>
          <cell r="E772">
            <v>-46756.3</v>
          </cell>
          <cell r="F772">
            <v>-56486.26</v>
          </cell>
          <cell r="G772">
            <v>-59328.86</v>
          </cell>
          <cell r="H772">
            <v>-70332.824999999997</v>
          </cell>
          <cell r="I772">
            <v>-62722.824999999997</v>
          </cell>
          <cell r="J772">
            <v>-37959.699999999997</v>
          </cell>
          <cell r="K772">
            <v>-30710</v>
          </cell>
          <cell r="L772">
            <v>-28810</v>
          </cell>
          <cell r="M772">
            <v>-27190</v>
          </cell>
          <cell r="N772">
            <v>-27190</v>
          </cell>
          <cell r="O772">
            <v>-27190</v>
          </cell>
          <cell r="P772">
            <v>-27190</v>
          </cell>
          <cell r="Q772">
            <v>-27190</v>
          </cell>
          <cell r="R772">
            <v>-27190</v>
          </cell>
          <cell r="S772">
            <v>-27190</v>
          </cell>
          <cell r="T772">
            <v>-27190</v>
          </cell>
          <cell r="U772">
            <v>-27190</v>
          </cell>
          <cell r="V772">
            <v>-27190</v>
          </cell>
          <cell r="W772">
            <v>-27190</v>
          </cell>
        </row>
        <row r="773">
          <cell r="A773" t="str">
            <v>Advance Tax</v>
          </cell>
          <cell r="B773">
            <v>2063.39</v>
          </cell>
          <cell r="C773">
            <v>2071.8690000000001</v>
          </cell>
          <cell r="D773">
            <v>2805.05</v>
          </cell>
          <cell r="E773">
            <v>3997.64</v>
          </cell>
          <cell r="F773">
            <v>3902.57</v>
          </cell>
          <cell r="G773">
            <v>5544.2250000000004</v>
          </cell>
          <cell r="H773">
            <v>10520.672</v>
          </cell>
          <cell r="I773">
            <v>10450.017</v>
          </cell>
          <cell r="J773">
            <v>12439.753000000001</v>
          </cell>
          <cell r="K773">
            <v>21310.94</v>
          </cell>
          <cell r="L773">
            <v>29243.95</v>
          </cell>
          <cell r="M773">
            <v>37976.269999999997</v>
          </cell>
          <cell r="N773">
            <v>37976.269999999997</v>
          </cell>
          <cell r="O773">
            <v>37976.269999999997</v>
          </cell>
          <cell r="P773">
            <v>37976.269999999997</v>
          </cell>
          <cell r="Q773">
            <v>37976.269999999997</v>
          </cell>
          <cell r="R773">
            <v>37976.269999999997</v>
          </cell>
          <cell r="S773">
            <v>37976.269999999997</v>
          </cell>
          <cell r="T773">
            <v>37976.269999999997</v>
          </cell>
          <cell r="U773">
            <v>37976.269999999997</v>
          </cell>
          <cell r="V773">
            <v>37976.269999999997</v>
          </cell>
          <cell r="W773">
            <v>37976.269999999997</v>
          </cell>
          <cell r="X773">
            <v>0</v>
          </cell>
          <cell r="Y773">
            <v>0</v>
          </cell>
        </row>
        <row r="774">
          <cell r="A774" t="str">
            <v xml:space="preserve">  as a % of current yr's tax</v>
          </cell>
          <cell r="C774">
            <v>4.1360975609757407E-3</v>
          </cell>
          <cell r="D774">
            <v>0.26856446886446889</v>
          </cell>
          <cell r="E774">
            <v>0.2733730659025787</v>
          </cell>
          <cell r="F774">
            <v>-2.0340179717586587E-2</v>
          </cell>
          <cell r="G774">
            <v>0.31661620057859213</v>
          </cell>
          <cell r="H774">
            <v>0.9059286026359864</v>
          </cell>
          <cell r="I774">
            <v>-1.3466636933521767E-2</v>
          </cell>
          <cell r="J774">
            <v>0.33074069148936186</v>
          </cell>
          <cell r="K774">
            <v>5.4424460122699374</v>
          </cell>
          <cell r="L774">
            <v>4.8668773006134982</v>
          </cell>
          <cell r="M774">
            <v>1.7685245755554782</v>
          </cell>
          <cell r="N774">
            <v>2</v>
          </cell>
          <cell r="O774">
            <v>2</v>
          </cell>
          <cell r="P774">
            <v>2</v>
          </cell>
          <cell r="Q774">
            <v>2</v>
          </cell>
          <cell r="R774">
            <v>2</v>
          </cell>
          <cell r="S774">
            <v>2</v>
          </cell>
          <cell r="T774">
            <v>2</v>
          </cell>
          <cell r="U774">
            <v>2</v>
          </cell>
          <cell r="V774">
            <v>2</v>
          </cell>
          <cell r="W774">
            <v>2</v>
          </cell>
          <cell r="Y774">
            <v>0</v>
          </cell>
        </row>
        <row r="775">
          <cell r="A775" t="str">
            <v>Amt recoverable from DoT/BSNL</v>
          </cell>
          <cell r="B775">
            <v>1040.5350000000001</v>
          </cell>
          <cell r="C775">
            <v>1833.9960000000001</v>
          </cell>
          <cell r="D775">
            <v>9842.8700000000008</v>
          </cell>
          <cell r="E775">
            <v>8759.4240000000009</v>
          </cell>
          <cell r="F775">
            <v>1490.875</v>
          </cell>
          <cell r="G775">
            <v>1475.356</v>
          </cell>
          <cell r="H775">
            <v>1658.7339999999999</v>
          </cell>
          <cell r="I775">
            <v>1495.6759999999999</v>
          </cell>
          <cell r="J775">
            <v>3128.28</v>
          </cell>
          <cell r="K775">
            <v>5862.64</v>
          </cell>
          <cell r="L775">
            <v>8130.37</v>
          </cell>
          <cell r="M775">
            <v>23445.75</v>
          </cell>
          <cell r="N775">
            <v>24618.037500000002</v>
          </cell>
          <cell r="O775">
            <v>25848.939375000002</v>
          </cell>
          <cell r="P775">
            <v>27141.386343750004</v>
          </cell>
          <cell r="Q775">
            <v>28498.455660937507</v>
          </cell>
          <cell r="R775">
            <v>29923.378443984384</v>
          </cell>
          <cell r="S775">
            <v>31419.547366183604</v>
          </cell>
          <cell r="T775">
            <v>32990.524734492785</v>
          </cell>
          <cell r="U775">
            <v>34640.050971217424</v>
          </cell>
          <cell r="V775">
            <v>36372.053519778296</v>
          </cell>
          <cell r="W775">
            <v>38190.656195767209</v>
          </cell>
        </row>
        <row r="776">
          <cell r="A776" t="str">
            <v>Others</v>
          </cell>
          <cell r="B776">
            <v>1366.442</v>
          </cell>
          <cell r="C776">
            <v>1627.9884999999999</v>
          </cell>
          <cell r="D776">
            <v>1420.4550000000002</v>
          </cell>
          <cell r="E776">
            <v>1416.029</v>
          </cell>
          <cell r="F776">
            <v>1931.8510000000001</v>
          </cell>
          <cell r="G776">
            <v>1781.4549999999999</v>
          </cell>
          <cell r="H776">
            <v>2268.7539999999995</v>
          </cell>
          <cell r="I776">
            <v>1601.1200000000001</v>
          </cell>
          <cell r="J776">
            <v>1412.866</v>
          </cell>
          <cell r="K776">
            <v>3668.9400000000023</v>
          </cell>
          <cell r="L776">
            <v>3330.5499999999993</v>
          </cell>
          <cell r="M776">
            <v>2820.5000000000073</v>
          </cell>
          <cell r="N776">
            <v>2961.5250000000078</v>
          </cell>
          <cell r="O776">
            <v>3109.6012500000083</v>
          </cell>
          <cell r="P776">
            <v>3265.0813125000091</v>
          </cell>
          <cell r="Q776">
            <v>3428.3353781250098</v>
          </cell>
          <cell r="R776">
            <v>3599.7521470312604</v>
          </cell>
          <cell r="S776">
            <v>3779.7397543828238</v>
          </cell>
          <cell r="T776">
            <v>3968.7267421019651</v>
          </cell>
          <cell r="U776">
            <v>4167.1630792070637</v>
          </cell>
          <cell r="V776">
            <v>4375.5212331674174</v>
          </cell>
          <cell r="W776">
            <v>4594.2972948257884</v>
          </cell>
        </row>
        <row r="777">
          <cell r="A777" t="str">
            <v>Total (ex loans to DoT)</v>
          </cell>
          <cell r="B777">
            <v>4470.3670000000002</v>
          </cell>
          <cell r="C777">
            <v>5533.8535000000002</v>
          </cell>
          <cell r="D777">
            <v>14068.375000000002</v>
          </cell>
          <cell r="E777">
            <v>14173.093000000001</v>
          </cell>
          <cell r="F777">
            <v>7325.2960000000003</v>
          </cell>
          <cell r="G777">
            <v>8801.0360000000001</v>
          </cell>
          <cell r="H777">
            <v>14448.16</v>
          </cell>
          <cell r="I777">
            <v>13546.813</v>
          </cell>
          <cell r="J777">
            <v>16980.899000000001</v>
          </cell>
          <cell r="K777">
            <v>30842.52</v>
          </cell>
          <cell r="L777">
            <v>40704.869999999995</v>
          </cell>
          <cell r="M777">
            <v>64242.520000000004</v>
          </cell>
          <cell r="N777">
            <v>65555.832500000004</v>
          </cell>
          <cell r="O777">
            <v>66934.810625000013</v>
          </cell>
          <cell r="P777">
            <v>68382.737656250014</v>
          </cell>
          <cell r="Q777">
            <v>69903.061039062508</v>
          </cell>
          <cell r="R777">
            <v>71499.400591015641</v>
          </cell>
          <cell r="S777">
            <v>73175.557120566431</v>
          </cell>
          <cell r="T777">
            <v>74935.521476594746</v>
          </cell>
          <cell r="U777">
            <v>76783.484050424478</v>
          </cell>
          <cell r="V777">
            <v>78723.844752945704</v>
          </cell>
          <cell r="W777">
            <v>80761.223490592994</v>
          </cell>
        </row>
        <row r="779">
          <cell r="A779" t="str">
            <v>Other creditors</v>
          </cell>
        </row>
        <row r="780">
          <cell r="A780" t="str">
            <v>Deposits from customers</v>
          </cell>
          <cell r="B780">
            <v>3656.06</v>
          </cell>
          <cell r="C780">
            <v>4399.1099999999997</v>
          </cell>
          <cell r="D780">
            <v>5323.48</v>
          </cell>
          <cell r="E780">
            <v>6216.2</v>
          </cell>
          <cell r="F780">
            <v>7713.74</v>
          </cell>
          <cell r="G780">
            <v>8724.69</v>
          </cell>
          <cell r="H780">
            <v>9685.7829999999994</v>
          </cell>
          <cell r="I780">
            <v>10497.195</v>
          </cell>
          <cell r="J780">
            <v>10925.018</v>
          </cell>
          <cell r="K780">
            <v>12224.37</v>
          </cell>
          <cell r="L780">
            <v>12911.57</v>
          </cell>
          <cell r="M780">
            <v>14060.32</v>
          </cell>
          <cell r="N780">
            <v>14979.484938213045</v>
          </cell>
          <cell r="O780">
            <v>15925.966761978438</v>
          </cell>
          <cell r="P780">
            <v>16493.473744823412</v>
          </cell>
          <cell r="Q780">
            <v>16730.178396072031</v>
          </cell>
          <cell r="R780">
            <v>16684.041836260407</v>
          </cell>
          <cell r="S780">
            <v>16433.344379995659</v>
          </cell>
          <cell r="T780">
            <v>16012.572249667306</v>
          </cell>
          <cell r="U780">
            <v>15464.77969565099</v>
          </cell>
          <cell r="V780">
            <v>14825.355447372567</v>
          </cell>
          <cell r="W780">
            <v>14122.76952503648</v>
          </cell>
        </row>
        <row r="781">
          <cell r="A781" t="str">
            <v>New dep/new DELS (Rs)</v>
          </cell>
          <cell r="C781">
            <v>4210.0581322877833</v>
          </cell>
          <cell r="D781">
            <v>4846.5862021958155</v>
          </cell>
          <cell r="E781">
            <v>3410.1917640767078</v>
          </cell>
          <cell r="F781">
            <v>4176.5627876103708</v>
          </cell>
          <cell r="G781">
            <v>2525.9225945081589</v>
          </cell>
          <cell r="H781">
            <v>2375.7910297229405</v>
          </cell>
          <cell r="I781">
            <v>2057.2491988154638</v>
          </cell>
          <cell r="J781">
            <v>1730.8646170900549</v>
          </cell>
          <cell r="K781">
            <v>3440.0692593014287</v>
          </cell>
          <cell r="L781">
            <v>2263.7581283806448</v>
          </cell>
          <cell r="M781">
            <v>7121.1604624492411</v>
          </cell>
          <cell r="N781">
            <v>5696.9283699593934</v>
          </cell>
          <cell r="O781">
            <v>5127.2355329634538</v>
          </cell>
          <cell r="P781">
            <v>4614.5119796671088</v>
          </cell>
          <cell r="Q781">
            <v>4153.0607817003984</v>
          </cell>
          <cell r="R781">
            <v>3737.7547035303587</v>
          </cell>
          <cell r="S781">
            <v>3363.9792331773228</v>
          </cell>
          <cell r="T781">
            <v>3027.5813098595904</v>
          </cell>
          <cell r="U781">
            <v>2724.8231788736316</v>
          </cell>
          <cell r="V781">
            <v>2452.3408609862686</v>
          </cell>
          <cell r="W781">
            <v>2207.1067748876417</v>
          </cell>
        </row>
        <row r="782">
          <cell r="A782" t="str">
            <v>Claims payable to DoT/BSNL</v>
          </cell>
          <cell r="B782">
            <v>968.2</v>
          </cell>
          <cell r="C782">
            <v>479.2</v>
          </cell>
          <cell r="D782">
            <v>8717.5</v>
          </cell>
          <cell r="E782">
            <v>9840.1</v>
          </cell>
          <cell r="F782">
            <v>1678.8</v>
          </cell>
          <cell r="G782">
            <v>895.2</v>
          </cell>
          <cell r="H782">
            <v>794.4</v>
          </cell>
          <cell r="I782">
            <v>1333.18</v>
          </cell>
          <cell r="J782">
            <v>428.97800000000001</v>
          </cell>
          <cell r="K782">
            <v>4862.3900000000003</v>
          </cell>
          <cell r="L782">
            <v>6446.43</v>
          </cell>
          <cell r="M782">
            <v>4421.74</v>
          </cell>
          <cell r="N782">
            <v>4421.74</v>
          </cell>
          <cell r="O782">
            <v>4421.74</v>
          </cell>
          <cell r="P782">
            <v>4421.74</v>
          </cell>
          <cell r="Q782">
            <v>4421.74</v>
          </cell>
          <cell r="R782">
            <v>4421.74</v>
          </cell>
          <cell r="S782">
            <v>4421.74</v>
          </cell>
          <cell r="T782">
            <v>4421.74</v>
          </cell>
          <cell r="U782">
            <v>4421.74</v>
          </cell>
          <cell r="V782">
            <v>4421.74</v>
          </cell>
          <cell r="W782">
            <v>4421.74</v>
          </cell>
        </row>
        <row r="783">
          <cell r="A783" t="str">
            <v>Others</v>
          </cell>
          <cell r="B783">
            <v>2358.420000000001</v>
          </cell>
          <cell r="C783">
            <v>3348.8899999999994</v>
          </cell>
          <cell r="D783">
            <v>3559.0600000000013</v>
          </cell>
          <cell r="E783">
            <v>4369.5399999999991</v>
          </cell>
          <cell r="F783">
            <v>5664.9550000000008</v>
          </cell>
          <cell r="G783">
            <v>6522.4750000000013</v>
          </cell>
          <cell r="H783">
            <v>7677.8010000000013</v>
          </cell>
          <cell r="I783">
            <v>7340.7070000000022</v>
          </cell>
          <cell r="J783">
            <v>6550.2930000000006</v>
          </cell>
          <cell r="K783">
            <v>8812.6599999999962</v>
          </cell>
          <cell r="L783">
            <v>9681.2799999999988</v>
          </cell>
          <cell r="M783">
            <v>13994.4</v>
          </cell>
          <cell r="N783">
            <v>13994.4</v>
          </cell>
          <cell r="O783">
            <v>13994.4</v>
          </cell>
          <cell r="P783">
            <v>13994.4</v>
          </cell>
          <cell r="Q783">
            <v>13994.4</v>
          </cell>
          <cell r="R783">
            <v>13994.4</v>
          </cell>
          <cell r="S783">
            <v>13994.4</v>
          </cell>
          <cell r="T783">
            <v>13994.4</v>
          </cell>
          <cell r="U783">
            <v>13994.4</v>
          </cell>
          <cell r="V783">
            <v>13994.4</v>
          </cell>
          <cell r="W783">
            <v>13994.4</v>
          </cell>
        </row>
        <row r="784">
          <cell r="A784" t="str">
            <v>Total</v>
          </cell>
          <cell r="B784">
            <v>6982.6800000000012</v>
          </cell>
          <cell r="C784">
            <v>8227.1999999999989</v>
          </cell>
          <cell r="D784">
            <v>17600.04</v>
          </cell>
          <cell r="E784">
            <v>20425.84</v>
          </cell>
          <cell r="F784">
            <v>15057.495000000001</v>
          </cell>
          <cell r="G784">
            <v>16142.365000000002</v>
          </cell>
          <cell r="H784">
            <v>18157.984</v>
          </cell>
          <cell r="I784">
            <v>19171.082000000002</v>
          </cell>
          <cell r="J784">
            <v>17904.289000000001</v>
          </cell>
          <cell r="K784">
            <v>25899.42</v>
          </cell>
          <cell r="L784">
            <v>29039.279999999999</v>
          </cell>
          <cell r="M784">
            <v>32476.46</v>
          </cell>
          <cell r="N784">
            <v>33395.624938213048</v>
          </cell>
          <cell r="O784">
            <v>34342.106761978437</v>
          </cell>
          <cell r="P784">
            <v>34909.613744823415</v>
          </cell>
          <cell r="Q784">
            <v>35146.318396072034</v>
          </cell>
          <cell r="R784">
            <v>35100.18183626041</v>
          </cell>
          <cell r="S784">
            <v>34849.484379995658</v>
          </cell>
          <cell r="T784">
            <v>34428.712249667304</v>
          </cell>
          <cell r="U784">
            <v>33880.919695650991</v>
          </cell>
          <cell r="V784">
            <v>33241.495447372567</v>
          </cell>
          <cell r="W784">
            <v>32538.909525036477</v>
          </cell>
        </row>
        <row r="786">
          <cell r="A786" t="str">
            <v>Ratio analysis</v>
          </cell>
          <cell r="B786" t="str">
            <v>FY91</v>
          </cell>
          <cell r="C786" t="str">
            <v>FY92</v>
          </cell>
          <cell r="D786" t="str">
            <v>FY93</v>
          </cell>
          <cell r="E786" t="str">
            <v>FY94</v>
          </cell>
          <cell r="F786" t="str">
            <v>FY95</v>
          </cell>
          <cell r="G786" t="str">
            <v>FY96</v>
          </cell>
          <cell r="H786" t="str">
            <v>FY97</v>
          </cell>
          <cell r="I786" t="str">
            <v>FY98</v>
          </cell>
          <cell r="J786" t="str">
            <v>FY99</v>
          </cell>
          <cell r="K786" t="str">
            <v>FY00</v>
          </cell>
          <cell r="L786" t="str">
            <v>FY01</v>
          </cell>
          <cell r="M786" t="str">
            <v>FY02</v>
          </cell>
          <cell r="N786" t="str">
            <v>FY03F</v>
          </cell>
          <cell r="O786" t="str">
            <v>FY04F</v>
          </cell>
          <cell r="P786" t="str">
            <v>FY05F</v>
          </cell>
          <cell r="Q786" t="str">
            <v>FY06F</v>
          </cell>
          <cell r="R786" t="str">
            <v>FY07F</v>
          </cell>
          <cell r="S786" t="str">
            <v>FY08F</v>
          </cell>
          <cell r="T786" t="str">
            <v>FY09F</v>
          </cell>
          <cell r="U786" t="str">
            <v>FY10F</v>
          </cell>
          <cell r="V786" t="str">
            <v>FY11F</v>
          </cell>
          <cell r="W786" t="str">
            <v>FY12F</v>
          </cell>
        </row>
        <row r="787">
          <cell r="A787" t="str">
            <v>Current ratio (x)</v>
          </cell>
          <cell r="B787">
            <v>1.0276044817765289</v>
          </cell>
          <cell r="C787">
            <v>1.229174863741719</v>
          </cell>
          <cell r="D787">
            <v>0.98277270986553122</v>
          </cell>
          <cell r="E787">
            <v>0.93112780628091008</v>
          </cell>
          <cell r="F787">
            <v>0.86564970231292881</v>
          </cell>
          <cell r="G787">
            <v>0.8868444812229751</v>
          </cell>
          <cell r="H787">
            <v>0.88323349831736297</v>
          </cell>
          <cell r="I787">
            <v>1.129716382768903</v>
          </cell>
          <cell r="J787">
            <v>1.2600508422983239</v>
          </cell>
          <cell r="K787">
            <v>1.3113045893284152</v>
          </cell>
          <cell r="L787">
            <v>1.4426627640260279</v>
          </cell>
          <cell r="M787">
            <v>1.3355693460247204</v>
          </cell>
          <cell r="N787">
            <v>1.056075707357012</v>
          </cell>
          <cell r="O787">
            <v>1.0761202776340468</v>
          </cell>
          <cell r="P787">
            <v>1.0844656928696168</v>
          </cell>
          <cell r="Q787">
            <v>1.1065717626177698</v>
          </cell>
          <cell r="R787">
            <v>1.1288977981728916</v>
          </cell>
          <cell r="S787">
            <v>1.1558919508632612</v>
          </cell>
          <cell r="T787">
            <v>1.1927082583809023</v>
          </cell>
          <cell r="U787">
            <v>1.2316324571544446</v>
          </cell>
          <cell r="V787">
            <v>1.2733614250915548</v>
          </cell>
          <cell r="W787">
            <v>1.3190945170102424</v>
          </cell>
        </row>
        <row r="788">
          <cell r="A788" t="str">
            <v>Current ratio (for cash/bk cal)</v>
          </cell>
          <cell r="K788">
            <v>0.88323349831736297</v>
          </cell>
          <cell r="L788">
            <v>0.88323349831736297</v>
          </cell>
          <cell r="M788">
            <v>0.88323349831736297</v>
          </cell>
          <cell r="N788">
            <v>0.88323349831736297</v>
          </cell>
          <cell r="O788">
            <v>0.88323349831736297</v>
          </cell>
          <cell r="P788">
            <v>0.88323349831736297</v>
          </cell>
          <cell r="Q788">
            <v>0.88323349831736297</v>
          </cell>
          <cell r="R788">
            <v>0.88323349831736297</v>
          </cell>
          <cell r="S788">
            <v>0.88323349831736297</v>
          </cell>
          <cell r="T788">
            <v>0.88323349831736297</v>
          </cell>
          <cell r="U788">
            <v>0.88323349831736297</v>
          </cell>
          <cell r="V788">
            <v>0.88323349831736297</v>
          </cell>
          <cell r="W788">
            <v>0.88323349831736297</v>
          </cell>
        </row>
        <row r="789">
          <cell r="A789" t="str">
            <v>Net working capital (ex-cash/bk/DoT)</v>
          </cell>
          <cell r="B789">
            <v>-821.47800000000052</v>
          </cell>
          <cell r="C789">
            <v>-1929.2104999999988</v>
          </cell>
          <cell r="D789">
            <v>-3014.25</v>
          </cell>
          <cell r="E789">
            <v>-3652.6709999999994</v>
          </cell>
          <cell r="F789">
            <v>-5876.5460000000003</v>
          </cell>
          <cell r="G789">
            <v>-6668.0350000000017</v>
          </cell>
          <cell r="H789">
            <v>-8736.3059999999987</v>
          </cell>
          <cell r="I789">
            <v>-8752.6011000000035</v>
          </cell>
          <cell r="J789">
            <v>-6924.2010400000036</v>
          </cell>
          <cell r="K789">
            <v>-3972.3299999999945</v>
          </cell>
          <cell r="L789">
            <v>-1464.6900000000023</v>
          </cell>
          <cell r="M789">
            <v>-17196.909999999996</v>
          </cell>
          <cell r="N789">
            <v>-18234.525569587488</v>
          </cell>
          <cell r="O789">
            <v>-17805.083808040923</v>
          </cell>
          <cell r="P789">
            <v>-18359.323429299511</v>
          </cell>
          <cell r="Q789">
            <v>-17869.462414634549</v>
          </cell>
          <cell r="R789">
            <v>-17439.474211518609</v>
          </cell>
          <cell r="S789">
            <v>-16706.096076109687</v>
          </cell>
          <cell r="T789">
            <v>-15288.054566390452</v>
          </cell>
          <cell r="U789">
            <v>-13813.947089065721</v>
          </cell>
          <cell r="V789">
            <v>-12224.703840235408</v>
          </cell>
          <cell r="W789">
            <v>-10432.501547704556</v>
          </cell>
        </row>
        <row r="790">
          <cell r="A790" t="str">
            <v>Chge in WC (ex-cash/bk/DoT)</v>
          </cell>
          <cell r="C790">
            <v>-1107.7324999999983</v>
          </cell>
          <cell r="D790">
            <v>-1085.0395000000012</v>
          </cell>
          <cell r="E790">
            <v>-638.42099999999937</v>
          </cell>
          <cell r="F790">
            <v>-2223.8750000000009</v>
          </cell>
          <cell r="G790">
            <v>-791.4890000000014</v>
          </cell>
          <cell r="H790">
            <v>-2068.270999999997</v>
          </cell>
          <cell r="I790">
            <v>-16.295100000004823</v>
          </cell>
          <cell r="J790">
            <v>1828.4000599999999</v>
          </cell>
          <cell r="K790">
            <v>2951.8710400000091</v>
          </cell>
          <cell r="L790">
            <v>2507.6399999999921</v>
          </cell>
          <cell r="M790">
            <v>-15732.219999999994</v>
          </cell>
          <cell r="N790">
            <v>-1037.6155695874913</v>
          </cell>
          <cell r="O790">
            <v>429.44176154656452</v>
          </cell>
          <cell r="P790">
            <v>-554.23962125858816</v>
          </cell>
          <cell r="Q790">
            <v>489.86101466496257</v>
          </cell>
          <cell r="R790">
            <v>429.98820311593954</v>
          </cell>
          <cell r="S790">
            <v>733.37813540892239</v>
          </cell>
          <cell r="T790">
            <v>1418.0415097192345</v>
          </cell>
          <cell r="U790">
            <v>1474.107477324731</v>
          </cell>
          <cell r="V790">
            <v>1589.243248830313</v>
          </cell>
          <cell r="W790">
            <v>1792.202292530852</v>
          </cell>
        </row>
        <row r="791">
          <cell r="A791" t="str">
            <v>Chge in WC used for Alladin</v>
          </cell>
          <cell r="H791">
            <v>2068.270999999997</v>
          </cell>
          <cell r="I791">
            <v>16.295100000004823</v>
          </cell>
          <cell r="J791">
            <v>-1828.4000599999999</v>
          </cell>
          <cell r="K791">
            <v>-2951.8710400000091</v>
          </cell>
          <cell r="L791">
            <v>-2507.6399999999921</v>
          </cell>
          <cell r="M791">
            <v>15732.219999999994</v>
          </cell>
          <cell r="N791">
            <v>1037.6155695874913</v>
          </cell>
          <cell r="O791">
            <v>-429.44176154656452</v>
          </cell>
          <cell r="P791">
            <v>554.23962125858816</v>
          </cell>
          <cell r="Q791">
            <v>-489.86101466496257</v>
          </cell>
          <cell r="R791">
            <v>-429.98820311593954</v>
          </cell>
          <cell r="S791">
            <v>-733.37813540892239</v>
          </cell>
          <cell r="T791">
            <v>-1418.0415097192345</v>
          </cell>
          <cell r="U791">
            <v>-1474.107477324731</v>
          </cell>
          <cell r="V791">
            <v>-1589.243248830313</v>
          </cell>
          <cell r="W791">
            <v>-1792.202292530852</v>
          </cell>
        </row>
        <row r="792">
          <cell r="A792" t="str">
            <v>Working cap/rev</v>
          </cell>
          <cell r="B792">
            <v>-6.2703601336389636E-2</v>
          </cell>
          <cell r="C792">
            <v>-0.12403977712567728</v>
          </cell>
          <cell r="D792">
            <v>-0.16454129048845714</v>
          </cell>
          <cell r="E792">
            <v>-0.14566111698203493</v>
          </cell>
          <cell r="F792">
            <v>-0.19941578910040819</v>
          </cell>
          <cell r="G792">
            <v>-0.19338163527646496</v>
          </cell>
          <cell r="H792">
            <v>-0.216736052824818</v>
          </cell>
          <cell r="I792">
            <v>-0.18804240503296862</v>
          </cell>
          <cell r="J792">
            <v>-0.13759073496773963</v>
          </cell>
          <cell r="K792">
            <v>-7.6653396233296311E-2</v>
          </cell>
          <cell r="L792">
            <v>-2.5320584961886654E-2</v>
          </cell>
          <cell r="M792">
            <v>-0.27991019778883292</v>
          </cell>
          <cell r="N792">
            <v>-0.28262933181488481</v>
          </cell>
          <cell r="O792">
            <v>-0.27281347142482315</v>
          </cell>
          <cell r="P792">
            <v>-0.26889205004807615</v>
          </cell>
          <cell r="Q792">
            <v>-0.24977419983261973</v>
          </cell>
          <cell r="R792">
            <v>-0.23194774308197769</v>
          </cell>
          <cell r="S792">
            <v>-0.21031712199795244</v>
          </cell>
          <cell r="T792">
            <v>-0.18193103635224875</v>
          </cell>
          <cell r="U792">
            <v>-0.15484009015806119</v>
          </cell>
          <cell r="V792">
            <v>-0.1287284761317504</v>
          </cell>
          <cell r="W792">
            <v>-0.10296763141838902</v>
          </cell>
        </row>
        <row r="793">
          <cell r="A793" t="str">
            <v>Acid ratio (x)</v>
          </cell>
          <cell r="B793">
            <v>0.81983198756025277</v>
          </cell>
          <cell r="C793">
            <v>1.1146586990570866</v>
          </cell>
          <cell r="D793">
            <v>0.89039599723136564</v>
          </cell>
          <cell r="E793">
            <v>0.86053055394426936</v>
          </cell>
          <cell r="F793">
            <v>0.75079966320543845</v>
          </cell>
          <cell r="G793">
            <v>0.80038709694306731</v>
          </cell>
          <cell r="H793">
            <v>0.81208170559258452</v>
          </cell>
          <cell r="I793">
            <v>1.0590347695233198</v>
          </cell>
          <cell r="J793">
            <v>1.1967332575881695</v>
          </cell>
          <cell r="K793">
            <v>1.2576452539032177</v>
          </cell>
          <cell r="L793">
            <v>1.3920603931400288</v>
          </cell>
          <cell r="M793">
            <v>1.3001556153460438</v>
          </cell>
          <cell r="N793">
            <v>1.0281833734787984</v>
          </cell>
          <cell r="O793">
            <v>1.0362844125773578</v>
          </cell>
          <cell r="P793">
            <v>1.0517704844645996</v>
          </cell>
          <cell r="Q793">
            <v>1.072542943251813</v>
          </cell>
          <cell r="R793">
            <v>1.0982260052833941</v>
          </cell>
          <cell r="S793">
            <v>1.1279968870000705</v>
          </cell>
          <cell r="T793">
            <v>1.1635531106150752</v>
          </cell>
          <cell r="U793">
            <v>1.2034440261556072</v>
          </cell>
          <cell r="V793">
            <v>1.2467160148258627</v>
          </cell>
          <cell r="W793">
            <v>1.2935259213409542</v>
          </cell>
        </row>
        <row r="794">
          <cell r="A794" t="str">
            <v>Inventories/capex</v>
          </cell>
          <cell r="C794">
            <v>0.2321085121975415</v>
          </cell>
          <cell r="D794">
            <v>0.31496331490079976</v>
          </cell>
          <cell r="E794">
            <v>0.26191981454100427</v>
          </cell>
          <cell r="F794">
            <v>0.28282301576776586</v>
          </cell>
          <cell r="G794">
            <v>0.23504571095710902</v>
          </cell>
          <cell r="H794">
            <v>0.28570435174646408</v>
          </cell>
          <cell r="I794">
            <v>0.25716135286724268</v>
          </cell>
          <cell r="J794">
            <v>0.23264448317618058</v>
          </cell>
          <cell r="K794">
            <v>0.3038781195189893</v>
          </cell>
          <cell r="L794">
            <v>0.29599091955995444</v>
          </cell>
          <cell r="M794">
            <v>0.26826719712376629</v>
          </cell>
          <cell r="N794">
            <v>0.27</v>
          </cell>
          <cell r="O794">
            <v>0.27</v>
          </cell>
          <cell r="P794">
            <v>0.27</v>
          </cell>
          <cell r="Q794">
            <v>0.27</v>
          </cell>
          <cell r="R794">
            <v>0.27</v>
          </cell>
          <cell r="S794">
            <v>0.27</v>
          </cell>
          <cell r="T794">
            <v>0.27</v>
          </cell>
          <cell r="U794">
            <v>0.27</v>
          </cell>
          <cell r="V794">
            <v>0.27</v>
          </cell>
          <cell r="W794">
            <v>0.27</v>
          </cell>
        </row>
        <row r="795">
          <cell r="A795" t="str">
            <v>Trade debtors/sales</v>
          </cell>
          <cell r="B795">
            <v>0.13589299112966444</v>
          </cell>
          <cell r="C795">
            <v>0.16834456792060262</v>
          </cell>
          <cell r="D795">
            <v>0.18078116240363204</v>
          </cell>
          <cell r="E795">
            <v>0.16301756624728328</v>
          </cell>
          <cell r="F795">
            <v>0.15744782364812152</v>
          </cell>
          <cell r="G795">
            <v>0.15687959314318373</v>
          </cell>
          <cell r="H795">
            <v>0.1584797103408653</v>
          </cell>
          <cell r="I795">
            <v>0.13117581380439819</v>
          </cell>
          <cell r="J795">
            <v>0.13014062282878378</v>
          </cell>
          <cell r="K795">
            <v>0.12547245888182174</v>
          </cell>
          <cell r="L795">
            <v>0.10499548627714153</v>
          </cell>
          <cell r="M795">
            <v>0.11498530858482575</v>
          </cell>
          <cell r="N795">
            <v>0.11498530858482575</v>
          </cell>
          <cell r="O795">
            <v>0.11498530858482574</v>
          </cell>
          <cell r="P795">
            <v>0.11498530858482572</v>
          </cell>
          <cell r="Q795">
            <v>0.11498530858482575</v>
          </cell>
          <cell r="R795">
            <v>0.11498530858482572</v>
          </cell>
          <cell r="S795">
            <v>0.11498530858482575</v>
          </cell>
          <cell r="T795">
            <v>0.11498530858482572</v>
          </cell>
          <cell r="U795">
            <v>0.11498530858482574</v>
          </cell>
          <cell r="V795">
            <v>0.11498530858482574</v>
          </cell>
          <cell r="W795">
            <v>0.11498530858482574</v>
          </cell>
        </row>
        <row r="796">
          <cell r="A796" t="str">
            <v>Trade debtors - days sales</v>
          </cell>
          <cell r="B796">
            <v>49.600941762327516</v>
          </cell>
          <cell r="C796">
            <v>61.445767291019955</v>
          </cell>
          <cell r="D796">
            <v>65.985124277325696</v>
          </cell>
          <cell r="E796">
            <v>59.5014116802584</v>
          </cell>
          <cell r="F796">
            <v>57.468455631564353</v>
          </cell>
          <cell r="G796">
            <v>57.261051497262066</v>
          </cell>
          <cell r="H796">
            <v>57.845094274415835</v>
          </cell>
          <cell r="I796">
            <v>47.87917203860534</v>
          </cell>
          <cell r="J796">
            <v>47.501327332506087</v>
          </cell>
          <cell r="K796">
            <v>45.797447491864929</v>
          </cell>
          <cell r="L796">
            <v>38.323352491156662</v>
          </cell>
          <cell r="M796">
            <v>41.969637633461396</v>
          </cell>
          <cell r="N796">
            <v>41.969637633461396</v>
          </cell>
          <cell r="O796">
            <v>41.969637633461396</v>
          </cell>
          <cell r="P796">
            <v>41.969637633461396</v>
          </cell>
          <cell r="Q796">
            <v>41.969637633461396</v>
          </cell>
          <cell r="R796">
            <v>41.969637633461396</v>
          </cell>
          <cell r="S796">
            <v>41.969637633461396</v>
          </cell>
          <cell r="T796">
            <v>41.969637633461396</v>
          </cell>
          <cell r="U796">
            <v>41.969637633461396</v>
          </cell>
          <cell r="V796">
            <v>41.969637633461396</v>
          </cell>
          <cell r="W796">
            <v>41.969637633461396</v>
          </cell>
        </row>
        <row r="797">
          <cell r="A797" t="str">
            <v>Trade creditors/op. exp</v>
          </cell>
          <cell r="B797">
            <v>0.26010997404473379</v>
          </cell>
          <cell r="C797">
            <v>0.20847034158910166</v>
          </cell>
          <cell r="D797">
            <v>0.31520899315688905</v>
          </cell>
          <cell r="E797">
            <v>0.18003713337683944</v>
          </cell>
          <cell r="F797">
            <v>0.2427012986252027</v>
          </cell>
          <cell r="G797">
            <v>0.18557891697194792</v>
          </cell>
          <cell r="H797">
            <v>0.19919772327307242</v>
          </cell>
          <cell r="I797">
            <v>0.16513407697549293</v>
          </cell>
          <cell r="J797">
            <v>0.16274573430982039</v>
          </cell>
          <cell r="K797">
            <v>0.18490657719745177</v>
          </cell>
          <cell r="L797">
            <v>0.14390363389624383</v>
          </cell>
          <cell r="M797">
            <v>0.12651109904337537</v>
          </cell>
          <cell r="N797">
            <v>0.12651109904337537</v>
          </cell>
          <cell r="O797">
            <v>0.12651109904337537</v>
          </cell>
          <cell r="P797">
            <v>0.12651109904337537</v>
          </cell>
          <cell r="Q797">
            <v>0.12651109904337535</v>
          </cell>
          <cell r="R797">
            <v>0.12651109904337537</v>
          </cell>
          <cell r="S797">
            <v>0.12651109904337537</v>
          </cell>
          <cell r="T797">
            <v>0.12651109904337537</v>
          </cell>
          <cell r="U797">
            <v>0.12651109904337537</v>
          </cell>
          <cell r="V797">
            <v>0.12651109904337537</v>
          </cell>
          <cell r="W797">
            <v>0.1265110990433754</v>
          </cell>
        </row>
        <row r="798">
          <cell r="A798" t="str">
            <v>Trade creditors - days exp.</v>
          </cell>
          <cell r="B798">
            <v>94.940140526327838</v>
          </cell>
          <cell r="C798">
            <v>76.091674680022109</v>
          </cell>
          <cell r="D798">
            <v>115.05128250226448</v>
          </cell>
          <cell r="E798">
            <v>65.71355368254639</v>
          </cell>
          <cell r="F798">
            <v>88.58597399819898</v>
          </cell>
          <cell r="G798">
            <v>67.736304694760989</v>
          </cell>
          <cell r="H798">
            <v>72.707168994671434</v>
          </cell>
          <cell r="I798">
            <v>60.27393809605492</v>
          </cell>
          <cell r="J798">
            <v>59.402193023084443</v>
          </cell>
          <cell r="K798">
            <v>67.490900677069902</v>
          </cell>
          <cell r="L798">
            <v>52.524826372128999</v>
          </cell>
          <cell r="M798">
            <v>46.176551150832012</v>
          </cell>
          <cell r="N798">
            <v>46.176551150832012</v>
          </cell>
          <cell r="O798">
            <v>46.176551150832012</v>
          </cell>
          <cell r="P798">
            <v>46.176551150832012</v>
          </cell>
          <cell r="Q798">
            <v>46.176551150832012</v>
          </cell>
          <cell r="R798">
            <v>46.176551150832012</v>
          </cell>
          <cell r="S798">
            <v>46.176551150832012</v>
          </cell>
          <cell r="T798">
            <v>46.176551150832012</v>
          </cell>
          <cell r="U798">
            <v>46.176551150832012</v>
          </cell>
          <cell r="V798">
            <v>46.176551150832012</v>
          </cell>
          <cell r="W798">
            <v>46.176551150832012</v>
          </cell>
        </row>
        <row r="799">
          <cell r="A799" t="str">
            <v xml:space="preserve">Depr/avg gross block </v>
          </cell>
          <cell r="C799">
            <v>0.11954709463922264</v>
          </cell>
          <cell r="D799">
            <v>0.11862963670622448</v>
          </cell>
          <cell r="E799">
            <v>0.10375125720421137</v>
          </cell>
          <cell r="F799">
            <v>9.455684919496006E-2</v>
          </cell>
          <cell r="G799">
            <v>8.553515985007823E-2</v>
          </cell>
          <cell r="H799">
            <v>7.9301574719986917E-2</v>
          </cell>
          <cell r="I799">
            <v>7.789367628397717E-2</v>
          </cell>
          <cell r="J799">
            <v>7.7281063319005805E-2</v>
          </cell>
          <cell r="K799">
            <v>7.5434097744513248E-2</v>
          </cell>
          <cell r="L799">
            <v>7.4901758177600808E-2</v>
          </cell>
          <cell r="M799">
            <v>7.2854996288344298E-2</v>
          </cell>
          <cell r="N799">
            <v>7.1999999999999995E-2</v>
          </cell>
          <cell r="O799">
            <v>7.1999999999999995E-2</v>
          </cell>
          <cell r="P799">
            <v>7.1999999999999995E-2</v>
          </cell>
          <cell r="Q799">
            <v>7.1999999999999995E-2</v>
          </cell>
          <cell r="R799">
            <v>7.1999999999999995E-2</v>
          </cell>
          <cell r="S799">
            <v>7.1999999999999995E-2</v>
          </cell>
          <cell r="T799">
            <v>7.1999999999999995E-2</v>
          </cell>
          <cell r="U799">
            <v>7.1999999999999995E-2</v>
          </cell>
          <cell r="V799">
            <v>7.1999999999999995E-2</v>
          </cell>
          <cell r="W799">
            <v>7.1999999999999995E-2</v>
          </cell>
        </row>
        <row r="800">
          <cell r="A800" t="str">
            <v>Avg cost of loans %</v>
          </cell>
          <cell r="C800">
            <v>0.10232786484778222</v>
          </cell>
          <cell r="D800">
            <v>0.11446154491319301</v>
          </cell>
          <cell r="E800">
            <v>0.13329500967008884</v>
          </cell>
          <cell r="F800">
            <v>0.15817554549598811</v>
          </cell>
          <cell r="G800">
            <v>0.1583810819652845</v>
          </cell>
          <cell r="H800">
            <v>0.18615183021262249</v>
          </cell>
          <cell r="I800">
            <v>0.20436251047478088</v>
          </cell>
          <cell r="J800">
            <v>0.45747410553523454</v>
          </cell>
          <cell r="K800">
            <v>0.18</v>
          </cell>
          <cell r="L800">
            <v>0.15</v>
          </cell>
          <cell r="M800">
            <v>0.14000000000000001</v>
          </cell>
          <cell r="N800">
            <v>0.12</v>
          </cell>
          <cell r="O800">
            <v>0.12</v>
          </cell>
          <cell r="P800">
            <v>0.12</v>
          </cell>
          <cell r="Q800">
            <v>0.12</v>
          </cell>
          <cell r="R800">
            <v>0.12</v>
          </cell>
          <cell r="S800">
            <v>0.12</v>
          </cell>
          <cell r="T800">
            <v>0.12</v>
          </cell>
          <cell r="U800">
            <v>0.12</v>
          </cell>
          <cell r="V800">
            <v>0.12</v>
          </cell>
          <cell r="W800">
            <v>0.12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Inputs"/>
      <sheetName val="Operations"/>
      <sheetName val="Setup Variables"/>
      <sheetName val="Details"/>
      <sheetName val="OpTrack"/>
      <sheetName val="P&amp;L_summary_sub_Fund"/>
      <sheetName val="TAX INCOME"/>
      <sheetName val="Payroll_Statement"/>
      <sheetName val="BS Schdl-3-Fixed Assets"/>
      <sheetName val="Challan"/>
      <sheetName val="FIELD - NOV 08"/>
      <sheetName val="Setup_Variables"/>
      <sheetName val="liste"/>
      <sheetName val="lov-COAct"/>
      <sheetName val="lov-cspl"/>
      <sheetName val="BS - Sch"/>
      <sheetName val="Schedules"/>
      <sheetName val="cashflow"/>
      <sheetName val="GPOLbudgetf2002wrkng"/>
      <sheetName val="FORM-16"/>
      <sheetName val="Directors"/>
      <sheetName val="Comp"/>
      <sheetName val="Rates NDS Technologies France "/>
      <sheetName val="assump and output"/>
      <sheetName val="Development Strategy"/>
      <sheetName val="Occ"/>
      <sheetName val="Demand"/>
      <sheetName val="Accrued (ckrg)"/>
      <sheetName val="PS data"/>
      <sheetName val="Index"/>
      <sheetName val="P-L (TOT)"/>
      <sheetName val="Day"/>
      <sheetName val="Rates"/>
      <sheetName val="List"/>
      <sheetName val="Codes"/>
      <sheetName val="Input"/>
      <sheetName val="Transactions"/>
      <sheetName val="Assumptions"/>
      <sheetName val="FTE salaries"/>
      <sheetName val="Anlage 1"/>
      <sheetName val="Interest"/>
      <sheetName val="Sheet5"/>
      <sheetName val="Dep"/>
      <sheetName val="Setup_Variables1"/>
      <sheetName val="CRITERIA1"/>
      <sheetName val="Masters"/>
      <sheetName val="12A"/>
      <sheetName val="12B"/>
      <sheetName val="2A"/>
      <sheetName val="2B"/>
      <sheetName val="2C"/>
      <sheetName val="2D"/>
      <sheetName val="2E"/>
      <sheetName val="2F"/>
      <sheetName val="2G"/>
      <sheetName val="2H"/>
      <sheetName val="3A"/>
      <sheetName val="3B"/>
      <sheetName val="7A"/>
      <sheetName val="7B"/>
      <sheetName val="8A"/>
      <sheetName val="8B"/>
      <sheetName val="9A"/>
      <sheetName val="9B"/>
      <sheetName val="9C"/>
      <sheetName val="9D"/>
      <sheetName val="9E"/>
      <sheetName val="9F"/>
      <sheetName val="9G"/>
      <sheetName val="9H"/>
      <sheetName val="9I"/>
      <sheetName val="9J"/>
      <sheetName val="9K"/>
      <sheetName val="gen"/>
      <sheetName val="Staff Acco."/>
      <sheetName val="STAFFSCHED "/>
      <sheetName val="GENERAL"/>
      <sheetName val="FBT"/>
      <sheetName val="Configuration"/>
      <sheetName val="Instructions"/>
      <sheetName val="Civil Works"/>
      <sheetName val="Consumption peak of peak"/>
      <sheetName val="B"/>
      <sheetName val="PopCache_Sheet1"/>
      <sheetName val="BS Schedules"/>
      <sheetName val="Stock"/>
      <sheetName val="Target Assumptions"/>
      <sheetName val="conbs"/>
      <sheetName val="BS Print 2019"/>
      <sheetName val="P&amp;L Print 2019"/>
      <sheetName val="Share of JV and Associate-March"/>
      <sheetName val="Share of JV and Associate-June"/>
      <sheetName val="Mar.19"/>
      <sheetName val="June 2019"/>
      <sheetName val="June 19 Control"/>
      <sheetName val="June 19 ICE-JE"/>
      <sheetName val="Mar.19 Control"/>
      <sheetName val="Note 5-7"/>
      <sheetName val="Note 8-11"/>
      <sheetName val="Note 12-17"/>
      <sheetName val="Note 18-19"/>
      <sheetName val="Note 20-31"/>
      <sheetName val="Mar.19 ICE-JE"/>
      <sheetName val="FG-June,2019"/>
      <sheetName val="FL-June,19"/>
      <sheetName val="Borrowings-Final"/>
      <sheetName val="Loans-Final"/>
      <sheetName val="Investments"/>
      <sheetName val="Debtors"/>
      <sheetName val="PARTY"/>
      <sheetName val="prg"/>
      <sheetName val="BalSheet"/>
      <sheetName val="Trial"/>
      <sheetName val="Budd Lanner Split"/>
      <sheetName val="Sch 24 TDS"/>
      <sheetName val="SCH-A"/>
      <sheetName val="Balance Sheet"/>
      <sheetName val=""/>
      <sheetName val="Pacakges split"/>
      <sheetName val="sch to BS"/>
      <sheetName val="CASTING"/>
      <sheetName val="General Info"/>
      <sheetName val="Marshal"/>
      <sheetName val="BS-after AJE"/>
      <sheetName val="Data"/>
      <sheetName val=".3 Rollfwd"/>
      <sheetName val="MAT"/>
      <sheetName val="Dropdown"/>
      <sheetName val="Power &amp; Fuel (S)"/>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17">
          <cell r="B17" t="str">
            <v>Third party liability  ( for GPOL only )</v>
          </cell>
        </row>
        <row r="21">
          <cell r="B21" t="str">
            <v>Calculations:</v>
          </cell>
        </row>
        <row r="22">
          <cell r="B22" t="str">
            <v>Calculations:</v>
          </cell>
        </row>
        <row r="23">
          <cell r="B23" t="str">
            <v xml:space="preserve">Transportation for team </v>
          </cell>
          <cell r="C23" t="str">
            <v>RS</v>
          </cell>
          <cell r="E23" t="str">
            <v>Calculated for 10 team members (2nd class A/C - train)</v>
          </cell>
          <cell r="G23">
            <v>120000</v>
          </cell>
        </row>
        <row r="24">
          <cell r="B24" t="str">
            <v>Desks/chairs</v>
          </cell>
          <cell r="C24">
            <v>120000</v>
          </cell>
          <cell r="D24" t="str">
            <v>Water Cess</v>
          </cell>
          <cell r="E24" t="str">
            <v>Xerox Paper</v>
          </cell>
          <cell r="F24">
            <v>8100</v>
          </cell>
          <cell r="G24">
            <v>100000</v>
          </cell>
        </row>
        <row r="25">
          <cell r="B25" t="str">
            <v>Soft furnishing</v>
          </cell>
          <cell r="C25">
            <v>80000</v>
          </cell>
          <cell r="E25" t="str">
            <v>CD's</v>
          </cell>
          <cell r="F25">
            <v>243000</v>
          </cell>
          <cell r="G25">
            <v>280000</v>
          </cell>
        </row>
        <row r="26">
          <cell r="B26" t="str">
            <v xml:space="preserve">      goods</v>
          </cell>
          <cell r="C26">
            <v>250000</v>
          </cell>
          <cell r="D26" t="str">
            <v>Toward 4" dia 300mtr pipe and clamps</v>
          </cell>
          <cell r="E26" t="str">
            <v>Diskettes</v>
          </cell>
          <cell r="F26">
            <v>2430000</v>
          </cell>
          <cell r="G26">
            <v>40000</v>
          </cell>
        </row>
        <row r="27">
          <cell r="B27" t="str">
            <v>Labor Licenses</v>
          </cell>
          <cell r="C27">
            <v>15000</v>
          </cell>
          <cell r="E27" t="str">
            <v xml:space="preserve">Co2+H2 (Lab) </v>
          </cell>
          <cell r="G27">
            <v>20000</v>
          </cell>
        </row>
        <row r="28">
          <cell r="B28" t="str">
            <v>Total</v>
          </cell>
          <cell r="C28">
            <v>200000</v>
          </cell>
          <cell r="E28" t="str">
            <v>Spring folders</v>
          </cell>
          <cell r="G28">
            <v>630000</v>
          </cell>
        </row>
        <row r="29">
          <cell r="B29" t="str">
            <v>B arge License</v>
          </cell>
          <cell r="C29">
            <v>0</v>
          </cell>
          <cell r="E29" t="str">
            <v>Ring Binders</v>
          </cell>
          <cell r="G29">
            <v>200000</v>
          </cell>
        </row>
        <row r="30">
          <cell r="B30" t="str">
            <v>Contract Buy-out Fees</v>
          </cell>
          <cell r="C30">
            <v>50000</v>
          </cell>
          <cell r="D30" t="str">
            <v>Rs 500/hr*20hrs per month *10months</v>
          </cell>
          <cell r="E30" t="str">
            <v>Staplers/staples</v>
          </cell>
          <cell r="G30">
            <v>973000</v>
          </cell>
        </row>
        <row r="31">
          <cell r="B31" t="str">
            <v>April</v>
          </cell>
          <cell r="C31">
            <v>225000</v>
          </cell>
          <cell r="E31" t="str">
            <v>Binder clips / paper clips</v>
          </cell>
          <cell r="G31">
            <v>200000</v>
          </cell>
        </row>
        <row r="32">
          <cell r="B32" t="str">
            <v>May</v>
          </cell>
          <cell r="C32">
            <v>250000</v>
          </cell>
          <cell r="E32" t="str">
            <v>Scissors</v>
          </cell>
          <cell r="G32">
            <v>950000</v>
          </cell>
        </row>
        <row r="33">
          <cell r="B33" t="str">
            <v>June</v>
          </cell>
          <cell r="C33">
            <v>80000</v>
          </cell>
          <cell r="E33" t="str">
            <v>Pens/Pencils/Markers/etc.</v>
          </cell>
          <cell r="G33">
            <v>780000</v>
          </cell>
        </row>
        <row r="34">
          <cell r="B34" t="str">
            <v>July</v>
          </cell>
          <cell r="C34">
            <v>2539000</v>
          </cell>
          <cell r="E34" t="str">
            <v>Hole Punch</v>
          </cell>
          <cell r="G34">
            <v>925000</v>
          </cell>
        </row>
        <row r="35">
          <cell r="B35" t="str">
            <v>August</v>
          </cell>
          <cell r="C35">
            <v>200000</v>
          </cell>
          <cell r="G35">
            <v>2539000</v>
          </cell>
        </row>
        <row r="36">
          <cell r="B36" t="str">
            <v>September</v>
          </cell>
        </row>
        <row r="37">
          <cell r="B37" t="str">
            <v>October</v>
          </cell>
          <cell r="C37">
            <v>431666.66666666669</v>
          </cell>
          <cell r="D37" t="str">
            <v>Oxygen monthly all others in Dec</v>
          </cell>
          <cell r="E37" t="str">
            <v xml:space="preserve">Water Cess monthly Rest in Feb </v>
          </cell>
        </row>
        <row r="38">
          <cell r="B38" t="str">
            <v>November</v>
          </cell>
          <cell r="C38">
            <v>243000</v>
          </cell>
        </row>
        <row r="39">
          <cell r="B39" t="str">
            <v>December</v>
          </cell>
          <cell r="C39">
            <v>100000</v>
          </cell>
          <cell r="E39" t="str">
            <v>Boiler Operataor's licenece for 2001-2 will be provided by TBP</v>
          </cell>
        </row>
        <row r="40">
          <cell r="B40" t="str">
            <v>January</v>
          </cell>
          <cell r="C40">
            <v>650000</v>
          </cell>
          <cell r="E40" t="str">
            <v>Land cess to be paid and provided in budget of TBP</v>
          </cell>
        </row>
        <row r="41">
          <cell r="B41" t="str">
            <v>February</v>
          </cell>
          <cell r="C41">
            <v>243000</v>
          </cell>
          <cell r="G41">
            <v>650000</v>
          </cell>
        </row>
        <row r="42">
          <cell r="B42" t="str">
            <v>March</v>
          </cell>
          <cell r="C42">
            <v>20000</v>
          </cell>
        </row>
        <row r="43">
          <cell r="B43" t="str">
            <v>Total</v>
          </cell>
          <cell r="C43">
            <v>200000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3">
          <cell r="B23" t="str">
            <v>Plant Security</v>
          </cell>
          <cell r="C23" t="str">
            <v>RS</v>
          </cell>
          <cell r="E23" t="str">
            <v>10 months *Rs 3 lac /month based on quote from existing security</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B25" t="str">
            <v>Other Charges</v>
          </cell>
          <cell r="C25">
            <v>30000</v>
          </cell>
          <cell r="E25" t="str">
            <v>1 Catrid*7 months*2 printers=14Catrdige</v>
          </cell>
          <cell r="F25" t="str">
            <v>Rs 300/piece*100</v>
          </cell>
          <cell r="G25">
            <v>1350000</v>
          </cell>
        </row>
        <row r="26">
          <cell r="B26" t="str">
            <v>Replacement Utensils</v>
          </cell>
          <cell r="C26">
            <v>5000</v>
          </cell>
          <cell r="F26" t="str">
            <v>Rs 1425/piece*50</v>
          </cell>
        </row>
        <row r="27">
          <cell r="B27" t="str">
            <v>Replacement Glassware</v>
          </cell>
          <cell r="C27">
            <v>10000</v>
          </cell>
        </row>
        <row r="28">
          <cell r="B28" t="str">
            <v>Digital Camera / Software</v>
          </cell>
          <cell r="C28">
            <v>200000</v>
          </cell>
          <cell r="E28" t="str">
            <v xml:space="preserve">TBP TO PROVIDE CAMERA </v>
          </cell>
        </row>
        <row r="29">
          <cell r="B29" t="str">
            <v>Leased  Line Fees</v>
          </cell>
          <cell r="C29">
            <v>400000</v>
          </cell>
          <cell r="E29" t="str">
            <v>64 KBP Leased Line</v>
          </cell>
        </row>
        <row r="30">
          <cell r="B30" t="str">
            <v>EPBX mtnce</v>
          </cell>
          <cell r="C30">
            <v>80000</v>
          </cell>
          <cell r="G30">
            <v>800000</v>
          </cell>
        </row>
        <row r="31">
          <cell r="B31" t="str">
            <v>Computer Hardware AMC</v>
          </cell>
          <cell r="C31">
            <v>200000</v>
          </cell>
          <cell r="G31">
            <v>30000</v>
          </cell>
        </row>
        <row r="32">
          <cell r="B32" t="str">
            <v>Total</v>
          </cell>
          <cell r="C32">
            <v>780000</v>
          </cell>
        </row>
        <row r="33">
          <cell r="B33" t="str">
            <v>Total</v>
          </cell>
          <cell r="C33">
            <v>751250</v>
          </cell>
          <cell r="G33">
            <v>780000</v>
          </cell>
        </row>
        <row r="34">
          <cell r="B34" t="str">
            <v>June</v>
          </cell>
          <cell r="G34">
            <v>751250</v>
          </cell>
        </row>
        <row r="35">
          <cell r="B35" t="str">
            <v>April</v>
          </cell>
          <cell r="C35">
            <v>200000</v>
          </cell>
        </row>
        <row r="36">
          <cell r="B36" t="str">
            <v>May</v>
          </cell>
        </row>
        <row r="37">
          <cell r="B37" t="str">
            <v>June</v>
          </cell>
          <cell r="C37">
            <v>431666.66666666669</v>
          </cell>
          <cell r="D37" t="str">
            <v>Oxygen monthly all others in Dec</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row r="48">
          <cell r="C48">
            <v>751250</v>
          </cell>
        </row>
      </sheetData>
      <sheetData sheetId="6" refreshError="1">
        <row r="1">
          <cell r="B1" t="str">
            <v>Tanir Bavi Power Facility</v>
          </cell>
        </row>
        <row r="2">
          <cell r="B2" t="str">
            <v>Period 01-06-01 to 31-03-02 (10 months)</v>
          </cell>
        </row>
        <row r="4">
          <cell r="D4" t="str">
            <v>Category:</v>
          </cell>
          <cell r="E4" t="str">
            <v>Computer Software</v>
          </cell>
        </row>
        <row r="6">
          <cell r="B6" t="str">
            <v>Responsible Team Member Name:</v>
          </cell>
          <cell r="D6" t="str">
            <v>Krishnaiah</v>
          </cell>
        </row>
        <row r="8">
          <cell r="B8" t="str">
            <v>Category Includes:</v>
          </cell>
        </row>
        <row r="10">
          <cell r="B10" t="str">
            <v xml:space="preserve">AMC/Additional Software upgrades </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based on vendor quotes.</v>
          </cell>
        </row>
        <row r="22">
          <cell r="B22" t="str">
            <v>Calculations:</v>
          </cell>
        </row>
        <row r="24">
          <cell r="B24" t="str">
            <v>Business Trips</v>
          </cell>
          <cell r="C24">
            <v>1332000</v>
          </cell>
          <cell r="D24" t="str">
            <v>PM :</v>
          </cell>
          <cell r="E24" t="str">
            <v>24trips@8000 tkt*exp10000</v>
          </cell>
          <cell r="F24" t="str">
            <v>Lab chemicals</v>
          </cell>
          <cell r="G24">
            <v>432000</v>
          </cell>
        </row>
        <row r="25">
          <cell r="B25" t="str">
            <v>AMC for software / Add'l software</v>
          </cell>
          <cell r="C25">
            <v>400000</v>
          </cell>
          <cell r="D25" t="str">
            <v>Others  :</v>
          </cell>
          <cell r="E25" t="str">
            <v xml:space="preserve">AMC-Maveric + Maars Rs 1.50 lacs each + addl. Software Rs 1 lac </v>
          </cell>
          <cell r="F25" t="str">
            <v>Lab consumables</v>
          </cell>
          <cell r="G25">
            <v>900000</v>
          </cell>
        </row>
        <row r="26">
          <cell r="B26" t="str">
            <v xml:space="preserve">Satyam VPN </v>
          </cell>
          <cell r="C26">
            <v>400000</v>
          </cell>
          <cell r="E26" t="str">
            <v>This is being studied and provisional amount is taken</v>
          </cell>
          <cell r="F26" t="str">
            <v>Rs 600 per pair</v>
          </cell>
          <cell r="G26">
            <v>72000</v>
          </cell>
        </row>
        <row r="27">
          <cell r="B27" t="str">
            <v>DG set*</v>
          </cell>
          <cell r="C27">
            <v>60000</v>
          </cell>
          <cell r="G27">
            <v>1332000</v>
          </cell>
        </row>
        <row r="28">
          <cell r="B28" t="str">
            <v>*Fuel will be drawn from Main Hsd system .Since it will be difficult to measure at DG Set this is omiited</v>
          </cell>
        </row>
        <row r="29">
          <cell r="B29" t="str">
            <v>Total</v>
          </cell>
          <cell r="C29">
            <v>825000</v>
          </cell>
        </row>
        <row r="30">
          <cell r="B30" t="str">
            <v>Total</v>
          </cell>
          <cell r="C30">
            <v>50000</v>
          </cell>
          <cell r="G30">
            <v>825000</v>
          </cell>
        </row>
        <row r="31">
          <cell r="G31">
            <v>50000</v>
          </cell>
        </row>
        <row r="32">
          <cell r="B32" t="str">
            <v>Total</v>
          </cell>
          <cell r="C32">
            <v>1332000</v>
          </cell>
        </row>
        <row r="33">
          <cell r="B33" t="str">
            <v>Total</v>
          </cell>
          <cell r="C33">
            <v>800000</v>
          </cell>
          <cell r="G33">
            <v>1332000</v>
          </cell>
        </row>
        <row r="34">
          <cell r="B34" t="str">
            <v>June</v>
          </cell>
          <cell r="G34">
            <v>800000</v>
          </cell>
        </row>
        <row r="35">
          <cell r="B35" t="str">
            <v>April</v>
          </cell>
        </row>
        <row r="36">
          <cell r="B36" t="str">
            <v>May</v>
          </cell>
        </row>
        <row r="37">
          <cell r="B37" t="str">
            <v>June</v>
          </cell>
        </row>
        <row r="38">
          <cell r="B38" t="str">
            <v>June</v>
          </cell>
          <cell r="C38">
            <v>400000</v>
          </cell>
        </row>
        <row r="39">
          <cell r="B39" t="str">
            <v>July</v>
          </cell>
          <cell r="C39">
            <v>100000</v>
          </cell>
        </row>
        <row r="40">
          <cell r="B40" t="str">
            <v>August</v>
          </cell>
          <cell r="C40">
            <v>133200</v>
          </cell>
        </row>
        <row r="41">
          <cell r="B41" t="str">
            <v>September</v>
          </cell>
          <cell r="C41">
            <v>133200</v>
          </cell>
        </row>
        <row r="42">
          <cell r="B42" t="str">
            <v>October</v>
          </cell>
          <cell r="C42">
            <v>133200</v>
          </cell>
        </row>
        <row r="43">
          <cell r="B43" t="str">
            <v>November</v>
          </cell>
          <cell r="C43">
            <v>133200</v>
          </cell>
        </row>
        <row r="44">
          <cell r="B44" t="str">
            <v>December</v>
          </cell>
          <cell r="C44">
            <v>133200</v>
          </cell>
        </row>
        <row r="45">
          <cell r="B45" t="str">
            <v>January</v>
          </cell>
          <cell r="C45">
            <v>133200</v>
          </cell>
        </row>
        <row r="46">
          <cell r="B46" t="str">
            <v>February</v>
          </cell>
          <cell r="C46">
            <v>300000</v>
          </cell>
        </row>
        <row r="47">
          <cell r="B47" t="str">
            <v>March</v>
          </cell>
          <cell r="C47">
            <v>133200</v>
          </cell>
        </row>
        <row r="48">
          <cell r="B48" t="str">
            <v>Total</v>
          </cell>
          <cell r="C48">
            <v>800000</v>
          </cell>
        </row>
        <row r="49">
          <cell r="B49" t="str">
            <v>Total</v>
          </cell>
          <cell r="C49">
            <v>1332000</v>
          </cell>
        </row>
      </sheetData>
      <sheetData sheetId="7" refreshError="1">
        <row r="1">
          <cell r="B1" t="str">
            <v>Tanir Bavi Power Facility</v>
          </cell>
        </row>
        <row r="2">
          <cell r="B2" t="str">
            <v>Period 01-06-01 to 31-03-02 (10 months)</v>
          </cell>
        </row>
        <row r="4">
          <cell r="D4" t="str">
            <v>Category:</v>
          </cell>
          <cell r="E4" t="str">
            <v>Postage\Shipping</v>
          </cell>
        </row>
        <row r="6">
          <cell r="B6" t="str">
            <v>Responsible Team Member Name:</v>
          </cell>
          <cell r="D6" t="str">
            <v>Arun</v>
          </cell>
        </row>
        <row r="8">
          <cell r="B8" t="str">
            <v>Category Includes:</v>
          </cell>
        </row>
        <row r="10">
          <cell r="B10" t="str">
            <v>Postage, courier and parcel services for general business and administrative activities. Does not include cost of freight or delivery of parts and materials; these are charged to the same category as the material being shipped.</v>
          </cell>
        </row>
        <row r="14">
          <cell r="B14" t="str">
            <v>Budget Estimate Basis:</v>
          </cell>
        </row>
        <row r="16">
          <cell r="B16" t="str">
            <v xml:space="preserve">Estimate based on TBP's Current Charges </v>
          </cell>
        </row>
        <row r="17">
          <cell r="B17" t="str">
            <v xml:space="preserve">It is also assumed  balance 50% will be met by  chiller units </v>
          </cell>
        </row>
        <row r="22">
          <cell r="B22" t="str">
            <v>Calculations:</v>
          </cell>
          <cell r="G22" t="str">
            <v>$ comp</v>
          </cell>
        </row>
        <row r="23">
          <cell r="B23" t="str">
            <v>PQS Support Training</v>
          </cell>
          <cell r="C23">
            <v>960000</v>
          </cell>
          <cell r="G23" t="str">
            <v xml:space="preserve">US $ comp </v>
          </cell>
        </row>
        <row r="24">
          <cell r="B24" t="str">
            <v xml:space="preserve">DHL / Fed-Ex &amp; Local </v>
          </cell>
          <cell r="C24">
            <v>771875</v>
          </cell>
          <cell r="D24" t="str">
            <v>spares for condensate pump  etc</v>
          </cell>
          <cell r="E24" t="str">
            <v>Training internal*</v>
          </cell>
          <cell r="F24" t="str">
            <v>8 trips /PM *12000tkt*10mths</v>
          </cell>
          <cell r="G24">
            <v>960000</v>
          </cell>
        </row>
        <row r="25">
          <cell r="B25" t="str">
            <v xml:space="preserve">       (inside India)</v>
          </cell>
          <cell r="C25">
            <v>60000</v>
          </cell>
          <cell r="D25" t="str">
            <v>Asper contract recd</v>
          </cell>
          <cell r="E25" t="str">
            <v xml:space="preserve">5 packt@40Rs*300days </v>
          </cell>
          <cell r="F25" t="str">
            <v>Rs 8000 Per Trip *6trips*10mths*</v>
          </cell>
          <cell r="G25">
            <v>60000</v>
          </cell>
        </row>
        <row r="26">
          <cell r="B26" t="str">
            <v>International</v>
          </cell>
          <cell r="C26">
            <v>50000</v>
          </cell>
          <cell r="D26" t="str">
            <v>6 people *100rs *300 days +Seeds+Manure</v>
          </cell>
          <cell r="E26" t="str">
            <v>Rs 5000*10months</v>
          </cell>
          <cell r="F26">
            <v>842400</v>
          </cell>
          <cell r="G26">
            <v>50000</v>
          </cell>
        </row>
        <row r="27">
          <cell r="B27" t="str">
            <v>Gas, hyd oil for entire plant</v>
          </cell>
          <cell r="C27">
            <v>100000</v>
          </cell>
          <cell r="E27" t="str">
            <v>Overseas</v>
          </cell>
          <cell r="F27" t="str">
            <v xml:space="preserve">US $ 16250 @Rs 47.50 </v>
          </cell>
          <cell r="G27">
            <v>771875</v>
          </cell>
        </row>
        <row r="28">
          <cell r="B28" t="str">
            <v>Filters</v>
          </cell>
          <cell r="C28">
            <v>350000</v>
          </cell>
          <cell r="F28" t="str">
            <v>($ 3250 for 5 persons)</v>
          </cell>
        </row>
        <row r="29">
          <cell r="B29" t="str">
            <v>Gasket, o ring, oil seal</v>
          </cell>
          <cell r="C29">
            <v>450000</v>
          </cell>
          <cell r="G29">
            <v>5210</v>
          </cell>
        </row>
        <row r="30">
          <cell r="B30" t="str">
            <v>Total</v>
          </cell>
          <cell r="C30">
            <v>700000</v>
          </cell>
          <cell r="G30">
            <v>5207</v>
          </cell>
        </row>
        <row r="31">
          <cell r="B31" t="str">
            <v>total</v>
          </cell>
          <cell r="C31">
            <v>2931875</v>
          </cell>
          <cell r="D31" t="str">
            <v>est @Rs 5000/mont for 10 months</v>
          </cell>
          <cell r="G31">
            <v>700000</v>
          </cell>
        </row>
        <row r="32">
          <cell r="B32" t="str">
            <v>Total</v>
          </cell>
          <cell r="C32">
            <v>110000</v>
          </cell>
          <cell r="G32">
            <v>2931875</v>
          </cell>
        </row>
        <row r="33">
          <cell r="B33" t="str">
            <v>Cons for chilled water system</v>
          </cell>
          <cell r="C33">
            <v>20000</v>
          </cell>
          <cell r="G33">
            <v>110000</v>
          </cell>
        </row>
        <row r="34">
          <cell r="B34" t="str">
            <v>Misc system</v>
          </cell>
          <cell r="C34" t="str">
            <v>*</v>
          </cell>
        </row>
        <row r="35">
          <cell r="B35" t="str">
            <v>Plant Low Voltage</v>
          </cell>
          <cell r="C35" t="str">
            <v xml:space="preserve">1st Phase </v>
          </cell>
          <cell r="D35" t="str">
            <v>* 2batch*3 days =6 days *40000</v>
          </cell>
          <cell r="F35">
            <v>240000</v>
          </cell>
        </row>
        <row r="36">
          <cell r="B36" t="str">
            <v>Fire Protection System</v>
          </cell>
          <cell r="C36" t="str">
            <v xml:space="preserve">2nd Phase </v>
          </cell>
          <cell r="D36" t="str">
            <v>2days*2batch</v>
          </cell>
          <cell r="F36">
            <v>160000</v>
          </cell>
          <cell r="G36">
            <v>2810000</v>
          </cell>
        </row>
        <row r="37">
          <cell r="B37" t="str">
            <v>CW system  treatment</v>
          </cell>
          <cell r="C37" t="str">
            <v>3rd Phase</v>
          </cell>
          <cell r="D37" t="str">
            <v>2days *2batch</v>
          </cell>
          <cell r="F37">
            <v>160000</v>
          </cell>
        </row>
        <row r="38">
          <cell r="B38" t="str">
            <v>CC / SC Cooling Water System</v>
          </cell>
          <cell r="C38" t="str">
            <v xml:space="preserve">Course Cost </v>
          </cell>
          <cell r="F38">
            <v>560000</v>
          </cell>
          <cell r="G38">
            <v>1590</v>
          </cell>
        </row>
        <row r="39">
          <cell r="B39" t="str">
            <v>Total</v>
          </cell>
          <cell r="C39">
            <v>2000000</v>
          </cell>
          <cell r="D39" t="str">
            <v>Professional fees</v>
          </cell>
          <cell r="F39">
            <v>300000</v>
          </cell>
          <cell r="G39">
            <v>10417</v>
          </cell>
        </row>
        <row r="40">
          <cell r="B40" t="str">
            <v>OTSG Spares</v>
          </cell>
          <cell r="C40">
            <v>400000</v>
          </cell>
          <cell r="D40" t="str">
            <v>Matl/travel</v>
          </cell>
          <cell r="F40">
            <v>100000</v>
          </cell>
          <cell r="G40">
            <v>2000000</v>
          </cell>
        </row>
        <row r="41">
          <cell r="B41" t="str">
            <v>Black Start DG set</v>
          </cell>
          <cell r="C41">
            <v>200000</v>
          </cell>
          <cell r="D41" t="str">
            <v>Total Training</v>
          </cell>
          <cell r="F41">
            <v>960000</v>
          </cell>
          <cell r="G41">
            <v>5500</v>
          </cell>
        </row>
        <row r="42">
          <cell r="B42" t="str">
            <v>April</v>
          </cell>
          <cell r="C42">
            <v>400000</v>
          </cell>
          <cell r="G42">
            <v>10300</v>
          </cell>
        </row>
        <row r="43">
          <cell r="B43" t="str">
            <v>May</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8" refreshError="1">
        <row r="1">
          <cell r="B1" t="str">
            <v>Tanir Bavi Power Facility</v>
          </cell>
        </row>
        <row r="2">
          <cell r="B2" t="str">
            <v>Period 01-06-01 to 31-03-02 (10 months)</v>
          </cell>
        </row>
        <row r="4">
          <cell r="D4" t="str">
            <v>Category:</v>
          </cell>
          <cell r="E4" t="str">
            <v>Office Supplies</v>
          </cell>
        </row>
        <row r="6">
          <cell r="B6" t="str">
            <v>Responsible Team Member Name:</v>
          </cell>
          <cell r="D6" t="str">
            <v>Arun</v>
          </cell>
        </row>
        <row r="8">
          <cell r="B8" t="str">
            <v>Category Includes:</v>
          </cell>
        </row>
        <row r="10">
          <cell r="B10" t="str">
            <v>Office Supplies</v>
          </cell>
        </row>
        <row r="14">
          <cell r="B14" t="str">
            <v>Budget Estimate Basis:</v>
          </cell>
        </row>
        <row r="16">
          <cell r="B16" t="str">
            <v>Estimate based on Current Charges for supplies</v>
          </cell>
        </row>
        <row r="17">
          <cell r="B17" t="str">
            <v>Third party liability  ( for GPOL only )</v>
          </cell>
        </row>
        <row r="21">
          <cell r="B21" t="str">
            <v>Calculations:</v>
          </cell>
        </row>
        <row r="22">
          <cell r="B22" t="str">
            <v>Calculations:</v>
          </cell>
        </row>
        <row r="23">
          <cell r="B23" t="str">
            <v xml:space="preserve">Transportation for team </v>
          </cell>
          <cell r="E23" t="str">
            <v>Calculated for 10 team members (2nd class A/C - train)</v>
          </cell>
          <cell r="G23">
            <v>120000</v>
          </cell>
        </row>
        <row r="24">
          <cell r="B24" t="str">
            <v>Computer stationery</v>
          </cell>
          <cell r="C24">
            <v>400000</v>
          </cell>
          <cell r="D24" t="str">
            <v>Water Cess</v>
          </cell>
          <cell r="E24" t="str">
            <v>Xerox Paper</v>
          </cell>
          <cell r="F24">
            <v>8100</v>
          </cell>
          <cell r="G24">
            <v>100000</v>
          </cell>
        </row>
        <row r="25">
          <cell r="B25" t="str">
            <v>Soft furnishing</v>
          </cell>
          <cell r="C25">
            <v>80000</v>
          </cell>
          <cell r="E25" t="str">
            <v>CD's</v>
          </cell>
          <cell r="F25">
            <v>243000</v>
          </cell>
          <cell r="G25">
            <v>280000</v>
          </cell>
        </row>
        <row r="26">
          <cell r="B26" t="str">
            <v xml:space="preserve">      goods</v>
          </cell>
          <cell r="C26">
            <v>250000</v>
          </cell>
          <cell r="D26" t="str">
            <v>Toward 4" dia 300mtr pipe and clamps</v>
          </cell>
          <cell r="E26" t="str">
            <v>Diskettes</v>
          </cell>
          <cell r="F26">
            <v>2430000</v>
          </cell>
          <cell r="G26">
            <v>40000</v>
          </cell>
        </row>
        <row r="27">
          <cell r="B27" t="str">
            <v>Labor Licenses</v>
          </cell>
          <cell r="C27">
            <v>15000</v>
          </cell>
          <cell r="E27" t="str">
            <v xml:space="preserve">Co2+H2 (Lab) </v>
          </cell>
          <cell r="G27">
            <v>20000</v>
          </cell>
        </row>
        <row r="28">
          <cell r="B28" t="str">
            <v>Other stationery</v>
          </cell>
          <cell r="C28">
            <v>250000</v>
          </cell>
          <cell r="E28" t="str">
            <v>Spring folders</v>
          </cell>
          <cell r="G28">
            <v>630000</v>
          </cell>
        </row>
        <row r="29">
          <cell r="B29" t="str">
            <v>B arge License</v>
          </cell>
          <cell r="C29">
            <v>0</v>
          </cell>
          <cell r="E29" t="str">
            <v>Ring Binders</v>
          </cell>
          <cell r="G29">
            <v>200000</v>
          </cell>
        </row>
        <row r="30">
          <cell r="B30" t="str">
            <v>Contract Buy-out Fees</v>
          </cell>
          <cell r="C30">
            <v>50000</v>
          </cell>
          <cell r="D30" t="str">
            <v>Rs 500/hr*20hrs per month *10months</v>
          </cell>
          <cell r="E30" t="str">
            <v>Staplers/staples</v>
          </cell>
          <cell r="G30">
            <v>973000</v>
          </cell>
        </row>
        <row r="31">
          <cell r="B31" t="str">
            <v>April</v>
          </cell>
          <cell r="C31">
            <v>225000</v>
          </cell>
          <cell r="E31" t="str">
            <v>Binder clips / paper clips</v>
          </cell>
          <cell r="G31">
            <v>200000</v>
          </cell>
        </row>
        <row r="32">
          <cell r="B32" t="str">
            <v>May</v>
          </cell>
          <cell r="C32">
            <v>250000</v>
          </cell>
          <cell r="E32" t="str">
            <v>Scissors</v>
          </cell>
          <cell r="G32">
            <v>950000</v>
          </cell>
        </row>
        <row r="33">
          <cell r="B33" t="str">
            <v>June</v>
          </cell>
          <cell r="C33">
            <v>80000</v>
          </cell>
          <cell r="E33" t="str">
            <v>Pens/Pencils/Markers/etc.</v>
          </cell>
        </row>
        <row r="34">
          <cell r="B34" t="str">
            <v>July</v>
          </cell>
          <cell r="C34">
            <v>2539000</v>
          </cell>
          <cell r="E34" t="str">
            <v>Hole Punch</v>
          </cell>
          <cell r="G34">
            <v>925000</v>
          </cell>
        </row>
        <row r="35">
          <cell r="B35" t="str">
            <v>August</v>
          </cell>
          <cell r="G35">
            <v>2539000</v>
          </cell>
        </row>
        <row r="36">
          <cell r="B36" t="str">
            <v>September</v>
          </cell>
        </row>
        <row r="37">
          <cell r="B37" t="str">
            <v>October</v>
          </cell>
          <cell r="E37" t="str">
            <v xml:space="preserve">Water Cess monthly Rest in Feb </v>
          </cell>
        </row>
        <row r="38">
          <cell r="B38" t="str">
            <v>November</v>
          </cell>
          <cell r="C38">
            <v>243000</v>
          </cell>
        </row>
        <row r="39">
          <cell r="B39" t="str">
            <v>December</v>
          </cell>
          <cell r="C39">
            <v>100000</v>
          </cell>
          <cell r="E39" t="str">
            <v>Boiler Operataor's licenece for 2001-2 will be provided by TBP</v>
          </cell>
        </row>
        <row r="40">
          <cell r="B40" t="str">
            <v>Total</v>
          </cell>
          <cell r="C40">
            <v>650000</v>
          </cell>
          <cell r="E40" t="str">
            <v>Land cess to be paid and provided in budget of TBP</v>
          </cell>
        </row>
        <row r="41">
          <cell r="B41" t="str">
            <v>February</v>
          </cell>
          <cell r="C41">
            <v>243000</v>
          </cell>
          <cell r="G41">
            <v>650000</v>
          </cell>
        </row>
        <row r="42">
          <cell r="B42" t="str">
            <v>March</v>
          </cell>
          <cell r="C42">
            <v>20000</v>
          </cell>
        </row>
        <row r="43">
          <cell r="B43" t="str">
            <v>Total</v>
          </cell>
          <cell r="C43">
            <v>200000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9" refreshError="1">
        <row r="1">
          <cell r="B1" t="str">
            <v>Tanir Bavi Power Facility</v>
          </cell>
        </row>
        <row r="2">
          <cell r="B2" t="str">
            <v>Period 01-06-01 to 31-03-02 (10 months)</v>
          </cell>
        </row>
        <row r="4">
          <cell r="D4" t="str">
            <v>Category:</v>
          </cell>
          <cell r="E4" t="str">
            <v>Bank Service Charges</v>
          </cell>
        </row>
        <row r="6">
          <cell r="B6" t="str">
            <v>Responsible Team Member Name:</v>
          </cell>
          <cell r="D6" t="str">
            <v>Arun</v>
          </cell>
        </row>
        <row r="8">
          <cell r="B8" t="str">
            <v>Category Includes:</v>
          </cell>
        </row>
        <row r="10">
          <cell r="B10" t="str">
            <v>LC and Bank Charges</v>
          </cell>
        </row>
        <row r="14">
          <cell r="B14" t="str">
            <v>Budget Estimate Basis:</v>
          </cell>
        </row>
        <row r="16">
          <cell r="B16" t="str">
            <v>Estimate based on discussions held with bank rep. for new and additional checking accounts.</v>
          </cell>
        </row>
        <row r="22">
          <cell r="B22" t="str">
            <v>Calculations:</v>
          </cell>
        </row>
        <row r="23">
          <cell r="B23" t="str">
            <v>Plant Security</v>
          </cell>
          <cell r="C23" t="str">
            <v>RS</v>
          </cell>
          <cell r="E23" t="str">
            <v>10 months *Rs 3 lac /month based on quote from existing security</v>
          </cell>
        </row>
        <row r="24">
          <cell r="B24" t="str">
            <v>GE Agreementservice charge</v>
          </cell>
          <cell r="C24">
            <v>0</v>
          </cell>
          <cell r="D24" t="str">
            <v>Ge agrrement  LC charges to be included in TBP budget</v>
          </cell>
          <cell r="E24" t="str">
            <v>3 cartrid*3 months =9 cartridge for 2 printers</v>
          </cell>
          <cell r="F24" t="str">
            <v>Say 25 Catridges @ 4000</v>
          </cell>
          <cell r="G24">
            <v>100000</v>
          </cell>
        </row>
        <row r="25">
          <cell r="B25" t="str">
            <v>Other Charges</v>
          </cell>
          <cell r="C25">
            <v>30000</v>
          </cell>
          <cell r="E25" t="str">
            <v>1 Catrid*7 months*2 printers=14Catrdige</v>
          </cell>
          <cell r="F25" t="str">
            <v>Rs 300/piece*100</v>
          </cell>
          <cell r="G25">
            <v>1350000</v>
          </cell>
        </row>
        <row r="26">
          <cell r="B26" t="str">
            <v>Replacement Utensils</v>
          </cell>
          <cell r="C26">
            <v>5000</v>
          </cell>
          <cell r="F26" t="str">
            <v>Rs 1425/piece*50</v>
          </cell>
        </row>
        <row r="27">
          <cell r="B27" t="str">
            <v>Replacement Glassware</v>
          </cell>
          <cell r="C27">
            <v>10000</v>
          </cell>
        </row>
        <row r="28">
          <cell r="B28" t="str">
            <v>Digital Camera / Software</v>
          </cell>
          <cell r="C28">
            <v>200000</v>
          </cell>
          <cell r="E28" t="str">
            <v xml:space="preserve">TBP TO PROVIDE CAMERA </v>
          </cell>
        </row>
        <row r="29">
          <cell r="B29" t="str">
            <v>Leased  Line Fees</v>
          </cell>
          <cell r="C29">
            <v>400000</v>
          </cell>
          <cell r="E29" t="str">
            <v>64 KBP Leased Line</v>
          </cell>
        </row>
        <row r="30">
          <cell r="B30" t="str">
            <v>Total</v>
          </cell>
          <cell r="C30">
            <v>30000</v>
          </cell>
          <cell r="G30">
            <v>800000</v>
          </cell>
        </row>
        <row r="31">
          <cell r="B31" t="str">
            <v>Computer Hardware AMC</v>
          </cell>
          <cell r="C31">
            <v>200000</v>
          </cell>
          <cell r="G31">
            <v>30000</v>
          </cell>
        </row>
        <row r="32">
          <cell r="B32" t="str">
            <v>Total</v>
          </cell>
          <cell r="C32">
            <v>780000</v>
          </cell>
        </row>
        <row r="33">
          <cell r="B33" t="str">
            <v>Total</v>
          </cell>
          <cell r="C33">
            <v>751250</v>
          </cell>
          <cell r="G33">
            <v>780000</v>
          </cell>
        </row>
        <row r="34">
          <cell r="B34" t="str">
            <v>June</v>
          </cell>
          <cell r="G34">
            <v>751250</v>
          </cell>
        </row>
        <row r="35">
          <cell r="B35" t="str">
            <v>April</v>
          </cell>
          <cell r="C35">
            <v>200000</v>
          </cell>
        </row>
        <row r="36">
          <cell r="B36" t="str">
            <v>May</v>
          </cell>
        </row>
        <row r="37">
          <cell r="B37" t="str">
            <v>June</v>
          </cell>
          <cell r="C37">
            <v>431666.66666666669</v>
          </cell>
          <cell r="D37" t="str">
            <v>Oxygen monthly all others in Dec</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row r="48">
          <cell r="C48">
            <v>751250</v>
          </cell>
        </row>
      </sheetData>
      <sheetData sheetId="10" refreshError="1">
        <row r="1">
          <cell r="B1" t="str">
            <v>Tanir Bavi Power Facility</v>
          </cell>
        </row>
        <row r="2">
          <cell r="B2" t="str">
            <v>Period 01-06-01 to 31-03-02 (10 months)</v>
          </cell>
        </row>
        <row r="4">
          <cell r="D4" t="str">
            <v>Category:</v>
          </cell>
          <cell r="E4" t="str">
            <v>Travel</v>
          </cell>
        </row>
        <row r="6">
          <cell r="B6" t="str">
            <v>Responsible Team Member Name:</v>
          </cell>
          <cell r="D6" t="str">
            <v>Mohan Rao</v>
          </cell>
        </row>
        <row r="8">
          <cell r="B8" t="str">
            <v>Category Includes:</v>
          </cell>
        </row>
        <row r="10">
          <cell r="B10" t="str">
            <v>Ordinary business travel expenses for team members to attend meetings, conventions, tour other plants, etc.</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is based on current airfare and living Expenses</v>
          </cell>
        </row>
        <row r="22">
          <cell r="B22" t="str">
            <v>Calculations:</v>
          </cell>
        </row>
        <row r="24">
          <cell r="B24" t="str">
            <v>Business Trips</v>
          </cell>
          <cell r="C24">
            <v>1332000</v>
          </cell>
          <cell r="D24" t="str">
            <v>PM :</v>
          </cell>
          <cell r="E24" t="str">
            <v>24trips@8000 tkt*exp10000</v>
          </cell>
          <cell r="F24" t="str">
            <v>Lab chemicals</v>
          </cell>
          <cell r="G24">
            <v>432000</v>
          </cell>
        </row>
        <row r="25">
          <cell r="B25" t="str">
            <v>AMC for software / Add'l software</v>
          </cell>
          <cell r="C25">
            <v>400000</v>
          </cell>
          <cell r="D25" t="str">
            <v>Others  :</v>
          </cell>
          <cell r="E25" t="str">
            <v>6trips@10000tkt*exp 5000*10months</v>
          </cell>
          <cell r="F25" t="str">
            <v>Lab consumables</v>
          </cell>
          <cell r="G25">
            <v>900000</v>
          </cell>
        </row>
        <row r="26">
          <cell r="B26" t="str">
            <v xml:space="preserve">Satyam VPN </v>
          </cell>
          <cell r="C26">
            <v>400000</v>
          </cell>
          <cell r="E26" t="str">
            <v>This is being studied and provisional amount is taken</v>
          </cell>
          <cell r="F26" t="str">
            <v>Rs 600 per pair</v>
          </cell>
          <cell r="G26">
            <v>72000</v>
          </cell>
        </row>
        <row r="27">
          <cell r="B27" t="str">
            <v>DG set*</v>
          </cell>
          <cell r="C27">
            <v>60000</v>
          </cell>
          <cell r="G27">
            <v>1332000</v>
          </cell>
        </row>
        <row r="28">
          <cell r="B28" t="str">
            <v>*Fuel will be drawn from Main Hsd system .Since it will be difficult to measure at DG Set this is omiited</v>
          </cell>
        </row>
        <row r="29">
          <cell r="B29" t="str">
            <v>Total</v>
          </cell>
          <cell r="C29">
            <v>825000</v>
          </cell>
        </row>
        <row r="30">
          <cell r="B30" t="str">
            <v>Total</v>
          </cell>
          <cell r="C30">
            <v>50000</v>
          </cell>
          <cell r="G30">
            <v>825000</v>
          </cell>
        </row>
        <row r="31">
          <cell r="G31">
            <v>50000</v>
          </cell>
        </row>
        <row r="32">
          <cell r="B32" t="str">
            <v>Total</v>
          </cell>
          <cell r="C32">
            <v>1332000</v>
          </cell>
        </row>
        <row r="33">
          <cell r="B33" t="str">
            <v>Total</v>
          </cell>
          <cell r="C33">
            <v>800000</v>
          </cell>
          <cell r="G33">
            <v>1332000</v>
          </cell>
        </row>
        <row r="34">
          <cell r="B34" t="str">
            <v>June</v>
          </cell>
          <cell r="G34">
            <v>800000</v>
          </cell>
        </row>
        <row r="35">
          <cell r="B35" t="str">
            <v>April</v>
          </cell>
        </row>
        <row r="36">
          <cell r="B36" t="str">
            <v>May</v>
          </cell>
        </row>
        <row r="37">
          <cell r="B37" t="str">
            <v>June</v>
          </cell>
        </row>
        <row r="38">
          <cell r="B38" t="str">
            <v>June</v>
          </cell>
          <cell r="C38">
            <v>400000</v>
          </cell>
        </row>
        <row r="39">
          <cell r="B39" t="str">
            <v>June</v>
          </cell>
          <cell r="C39">
            <v>133200</v>
          </cell>
        </row>
        <row r="40">
          <cell r="B40" t="str">
            <v>July</v>
          </cell>
          <cell r="C40">
            <v>133200</v>
          </cell>
        </row>
        <row r="41">
          <cell r="B41" t="str">
            <v>August</v>
          </cell>
          <cell r="C41">
            <v>133200</v>
          </cell>
        </row>
        <row r="42">
          <cell r="B42" t="str">
            <v>September</v>
          </cell>
          <cell r="C42">
            <v>133200</v>
          </cell>
        </row>
        <row r="43">
          <cell r="B43" t="str">
            <v>October</v>
          </cell>
          <cell r="C43">
            <v>133200</v>
          </cell>
        </row>
        <row r="44">
          <cell r="B44" t="str">
            <v>November</v>
          </cell>
          <cell r="C44">
            <v>133200</v>
          </cell>
        </row>
        <row r="45">
          <cell r="B45" t="str">
            <v>December</v>
          </cell>
          <cell r="C45">
            <v>133200</v>
          </cell>
        </row>
        <row r="46">
          <cell r="B46" t="str">
            <v>January</v>
          </cell>
          <cell r="C46">
            <v>133200</v>
          </cell>
        </row>
        <row r="47">
          <cell r="B47" t="str">
            <v>February</v>
          </cell>
          <cell r="C47">
            <v>133200</v>
          </cell>
        </row>
        <row r="48">
          <cell r="B48" t="str">
            <v>March</v>
          </cell>
          <cell r="C48">
            <v>133200</v>
          </cell>
        </row>
        <row r="49">
          <cell r="B49" t="str">
            <v>Total</v>
          </cell>
          <cell r="C49">
            <v>1332000</v>
          </cell>
        </row>
      </sheetData>
      <sheetData sheetId="11" refreshError="1">
        <row r="1">
          <cell r="B1" t="str">
            <v>Tanir Bavi Power Facility</v>
          </cell>
        </row>
        <row r="2">
          <cell r="B2" t="str">
            <v>Period 01-06-01 to 31-03-02 (10 months)</v>
          </cell>
        </row>
        <row r="4">
          <cell r="D4" t="str">
            <v>Category:</v>
          </cell>
          <cell r="E4" t="str">
            <v>Training</v>
          </cell>
        </row>
        <row r="6">
          <cell r="B6" t="str">
            <v>Responsible Team Member Name:</v>
          </cell>
          <cell r="D6" t="str">
            <v>GB NAYAK</v>
          </cell>
        </row>
        <row r="8">
          <cell r="B8" t="str">
            <v>Category Includes:</v>
          </cell>
        </row>
        <row r="10">
          <cell r="B10" t="str">
            <v>Course Fees and travel expenses for Team Member training courses, Cost of in-plant  training courses .</v>
          </cell>
        </row>
        <row r="14">
          <cell r="B14" t="str">
            <v>Budget Estimate Basis:</v>
          </cell>
        </row>
        <row r="16">
          <cell r="B16" t="str">
            <v>Estimate is based on current Airtravel costs, living expenses and estimated course fees</v>
          </cell>
        </row>
        <row r="17">
          <cell r="B17" t="str">
            <v xml:space="preserve">It is also assumed  balance 50% will be met by  chiller units </v>
          </cell>
        </row>
        <row r="22">
          <cell r="B22" t="str">
            <v>Calculations:</v>
          </cell>
          <cell r="G22" t="str">
            <v>$ comp</v>
          </cell>
        </row>
        <row r="23">
          <cell r="B23" t="str">
            <v>PQS Support Training</v>
          </cell>
          <cell r="C23">
            <v>960000</v>
          </cell>
          <cell r="G23" t="str">
            <v xml:space="preserve">US $ comp </v>
          </cell>
        </row>
        <row r="24">
          <cell r="B24" t="str">
            <v>Overseas</v>
          </cell>
          <cell r="C24">
            <v>771875</v>
          </cell>
          <cell r="D24" t="str">
            <v>spares for condensate pump  etc</v>
          </cell>
          <cell r="E24" t="str">
            <v>Training internal*</v>
          </cell>
          <cell r="F24" t="str">
            <v>8 trips /PM *12000tkt*10mths</v>
          </cell>
          <cell r="G24">
            <v>960000</v>
          </cell>
        </row>
        <row r="25">
          <cell r="B25" t="str">
            <v xml:space="preserve">Team Building </v>
          </cell>
          <cell r="C25">
            <v>1000000</v>
          </cell>
          <cell r="D25" t="str">
            <v>Asper contract recd</v>
          </cell>
          <cell r="E25" t="str">
            <v xml:space="preserve">5 packt@40Rs*300days </v>
          </cell>
          <cell r="F25" t="str">
            <v>Rs 8000 Per Trip *6trips*10mths*</v>
          </cell>
          <cell r="G25">
            <v>60000</v>
          </cell>
        </row>
        <row r="26">
          <cell r="B26" t="str">
            <v>Hoffincons Training</v>
          </cell>
          <cell r="C26">
            <v>200000</v>
          </cell>
          <cell r="D26" t="str">
            <v>6 people *100rs *300 days +Seeds+Manure</v>
          </cell>
          <cell r="E26" t="str">
            <v>Rs 5000*10months</v>
          </cell>
          <cell r="F26">
            <v>842400</v>
          </cell>
          <cell r="G26">
            <v>50000</v>
          </cell>
        </row>
        <row r="27">
          <cell r="B27" t="str">
            <v>Gas, hyd oil for entire plant</v>
          </cell>
          <cell r="C27">
            <v>100000</v>
          </cell>
          <cell r="E27" t="str">
            <v>Overseas</v>
          </cell>
          <cell r="F27" t="str">
            <v xml:space="preserve">US $ 16250 @Rs 47.50 </v>
          </cell>
          <cell r="G27">
            <v>771875</v>
          </cell>
        </row>
        <row r="28">
          <cell r="B28" t="str">
            <v>Filters</v>
          </cell>
          <cell r="C28">
            <v>350000</v>
          </cell>
          <cell r="F28" t="str">
            <v>($ 3250 for 5 persons)</v>
          </cell>
        </row>
        <row r="29">
          <cell r="B29" t="str">
            <v>Gasket, o ring, oil seal</v>
          </cell>
          <cell r="C29">
            <v>450000</v>
          </cell>
          <cell r="G29">
            <v>5210</v>
          </cell>
        </row>
        <row r="30">
          <cell r="B30" t="str">
            <v>Total</v>
          </cell>
          <cell r="C30">
            <v>700000</v>
          </cell>
          <cell r="G30">
            <v>5207</v>
          </cell>
        </row>
        <row r="31">
          <cell r="B31" t="str">
            <v>Total</v>
          </cell>
          <cell r="C31">
            <v>2931875</v>
          </cell>
          <cell r="D31" t="str">
            <v>est @Rs 5000/mont for 10 months</v>
          </cell>
          <cell r="G31">
            <v>700000</v>
          </cell>
        </row>
        <row r="32">
          <cell r="B32" t="str">
            <v>Total</v>
          </cell>
          <cell r="C32">
            <v>110000</v>
          </cell>
          <cell r="G32">
            <v>2931875</v>
          </cell>
        </row>
        <row r="33">
          <cell r="B33" t="str">
            <v>Cons for chilled water system</v>
          </cell>
          <cell r="C33">
            <v>20000</v>
          </cell>
          <cell r="G33">
            <v>110000</v>
          </cell>
        </row>
        <row r="34">
          <cell r="B34" t="str">
            <v>Misc system</v>
          </cell>
          <cell r="C34" t="str">
            <v>*</v>
          </cell>
        </row>
        <row r="35">
          <cell r="B35" t="str">
            <v>Plant Low Voltage</v>
          </cell>
          <cell r="C35" t="str">
            <v xml:space="preserve">1st Phase </v>
          </cell>
          <cell r="D35" t="str">
            <v>* 2batch*3 days =6 days *40000</v>
          </cell>
          <cell r="F35">
            <v>240000</v>
          </cell>
        </row>
        <row r="36">
          <cell r="B36" t="str">
            <v>Fire Protection System</v>
          </cell>
          <cell r="C36" t="str">
            <v xml:space="preserve">2nd Phase </v>
          </cell>
          <cell r="D36" t="str">
            <v>2days*2batch</v>
          </cell>
          <cell r="F36">
            <v>160000</v>
          </cell>
          <cell r="G36">
            <v>2810000</v>
          </cell>
        </row>
        <row r="37">
          <cell r="B37" t="str">
            <v>CW system  treatment</v>
          </cell>
          <cell r="C37" t="str">
            <v>3rd Phase</v>
          </cell>
          <cell r="D37" t="str">
            <v>2days *2batch</v>
          </cell>
          <cell r="F37">
            <v>160000</v>
          </cell>
        </row>
        <row r="38">
          <cell r="B38" t="str">
            <v>CC / SC Cooling Water System</v>
          </cell>
          <cell r="C38" t="str">
            <v xml:space="preserve">Course Cost </v>
          </cell>
          <cell r="F38">
            <v>560000</v>
          </cell>
          <cell r="G38">
            <v>1590</v>
          </cell>
        </row>
        <row r="39">
          <cell r="B39" t="str">
            <v>Total</v>
          </cell>
          <cell r="C39">
            <v>2000000</v>
          </cell>
          <cell r="D39" t="str">
            <v>Professional fees</v>
          </cell>
          <cell r="F39">
            <v>300000</v>
          </cell>
          <cell r="G39">
            <v>10417</v>
          </cell>
        </row>
        <row r="40">
          <cell r="B40" t="str">
            <v>OTSG Spares</v>
          </cell>
          <cell r="C40">
            <v>400000</v>
          </cell>
          <cell r="D40" t="str">
            <v>Matl/travel</v>
          </cell>
          <cell r="F40">
            <v>100000</v>
          </cell>
          <cell r="G40">
            <v>2000000</v>
          </cell>
        </row>
        <row r="41">
          <cell r="B41" t="str">
            <v>Black Start DG set</v>
          </cell>
          <cell r="C41">
            <v>200000</v>
          </cell>
          <cell r="D41" t="str">
            <v>Total Training</v>
          </cell>
          <cell r="F41">
            <v>960000</v>
          </cell>
          <cell r="G41">
            <v>5500</v>
          </cell>
        </row>
        <row r="42">
          <cell r="B42" t="str">
            <v>April</v>
          </cell>
          <cell r="C42">
            <v>400000</v>
          </cell>
          <cell r="G42">
            <v>10300</v>
          </cell>
        </row>
        <row r="43">
          <cell r="B43" t="str">
            <v>May</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12" refreshError="1">
        <row r="1">
          <cell r="B1" t="str">
            <v>Tanir Bavi Power Facility</v>
          </cell>
        </row>
        <row r="2">
          <cell r="B2" t="str">
            <v>Period 01-06-01 to 31-03-02 (10 months)</v>
          </cell>
        </row>
        <row r="4">
          <cell r="D4" t="str">
            <v>Category:</v>
          </cell>
          <cell r="E4" t="str">
            <v>Recruitment &amp; Relocation</v>
          </cell>
        </row>
        <row r="6">
          <cell r="B6" t="str">
            <v>Responsible Team Member Name:</v>
          </cell>
          <cell r="D6" t="str">
            <v>John</v>
          </cell>
        </row>
        <row r="8">
          <cell r="B8" t="str">
            <v>Category Includes:</v>
          </cell>
        </row>
        <row r="10">
          <cell r="B10" t="str">
            <v xml:space="preserve">Recruitment expenses &amp; relocation allowances for balance &amp; replacement team members </v>
          </cell>
        </row>
        <row r="14">
          <cell r="B14" t="str">
            <v>Budget Estimate Basis:</v>
          </cell>
        </row>
        <row r="16">
          <cell r="B16" t="str">
            <v>Based on recruitment of balance &amp; replacement team members( 8 - Balance &amp; 2 - Replacement )</v>
          </cell>
        </row>
        <row r="17">
          <cell r="B17" t="str">
            <v>Third party liability  ( for GPOL only )</v>
          </cell>
        </row>
        <row r="21">
          <cell r="B21" t="str">
            <v>Calculations:</v>
          </cell>
        </row>
        <row r="22">
          <cell r="B22" t="str">
            <v>Calculations:</v>
          </cell>
        </row>
        <row r="23">
          <cell r="B23" t="str">
            <v xml:space="preserve">Transportation for team </v>
          </cell>
          <cell r="E23" t="str">
            <v>Calculated for 10 team members (2nd class A/C - train)</v>
          </cell>
          <cell r="G23">
            <v>120000</v>
          </cell>
        </row>
        <row r="24">
          <cell r="B24" t="str">
            <v xml:space="preserve">      member &amp; family</v>
          </cell>
          <cell r="C24">
            <v>100000</v>
          </cell>
          <cell r="D24" t="str">
            <v>Water Cess</v>
          </cell>
          <cell r="E24" t="str">
            <v>Xerox Paper</v>
          </cell>
          <cell r="F24">
            <v>8100</v>
          </cell>
          <cell r="G24">
            <v>100000</v>
          </cell>
        </row>
        <row r="25">
          <cell r="B25" t="str">
            <v xml:space="preserve">Transfer of household </v>
          </cell>
          <cell r="C25">
            <v>27000</v>
          </cell>
          <cell r="E25" t="str">
            <v>Max. Rs. 25,000 each team member</v>
          </cell>
          <cell r="F25">
            <v>243000</v>
          </cell>
          <cell r="G25">
            <v>280000</v>
          </cell>
        </row>
        <row r="26">
          <cell r="B26" t="str">
            <v xml:space="preserve">      goods</v>
          </cell>
          <cell r="C26">
            <v>250000</v>
          </cell>
          <cell r="D26" t="str">
            <v>Toward 4" dia 300mtr pipe and clamps</v>
          </cell>
          <cell r="E26" t="str">
            <v>Diskettes</v>
          </cell>
          <cell r="F26">
            <v>2430000</v>
          </cell>
          <cell r="G26">
            <v>40000</v>
          </cell>
        </row>
        <row r="27">
          <cell r="B27" t="str">
            <v>Labor Licenses</v>
          </cell>
          <cell r="C27">
            <v>15000</v>
          </cell>
          <cell r="E27" t="str">
            <v xml:space="preserve">Co2+H2 (Lab) </v>
          </cell>
          <cell r="G27">
            <v>20000</v>
          </cell>
        </row>
        <row r="28">
          <cell r="B28" t="str">
            <v>Brokerage Fee Reimbursement</v>
          </cell>
          <cell r="C28">
            <v>50000</v>
          </cell>
          <cell r="E28" t="str">
            <v>estimate Rs. 5000 each</v>
          </cell>
          <cell r="G28">
            <v>630000</v>
          </cell>
        </row>
        <row r="29">
          <cell r="B29" t="str">
            <v>B arge License</v>
          </cell>
          <cell r="C29">
            <v>0</v>
          </cell>
          <cell r="E29" t="str">
            <v>Ring Binders</v>
          </cell>
          <cell r="G29">
            <v>200000</v>
          </cell>
        </row>
        <row r="30">
          <cell r="B30" t="str">
            <v>Contract Buy-out Fees</v>
          </cell>
          <cell r="C30">
            <v>50000</v>
          </cell>
          <cell r="D30" t="str">
            <v>Rs 500/hr*20hrs per month *10months</v>
          </cell>
          <cell r="E30" t="str">
            <v>estimate Rs,  5000 each ( Average )</v>
          </cell>
          <cell r="G30">
            <v>973000</v>
          </cell>
        </row>
        <row r="31">
          <cell r="B31" t="str">
            <v>School Admission Fees</v>
          </cell>
          <cell r="C31">
            <v>225000</v>
          </cell>
          <cell r="E31" t="str">
            <v>estimate 15 children @ Rs. 15000 each</v>
          </cell>
          <cell r="G31">
            <v>200000</v>
          </cell>
        </row>
        <row r="32">
          <cell r="B32" t="str">
            <v xml:space="preserve">Recruitment </v>
          </cell>
          <cell r="C32">
            <v>250000</v>
          </cell>
          <cell r="E32" t="str">
            <v>For interview /travel , head hunter etc.,</v>
          </cell>
          <cell r="G32">
            <v>950000</v>
          </cell>
        </row>
        <row r="33">
          <cell r="B33" t="str">
            <v>Total</v>
          </cell>
          <cell r="C33">
            <v>925000</v>
          </cell>
          <cell r="E33" t="str">
            <v>Pens/Pencils/Markers/etc.</v>
          </cell>
        </row>
        <row r="34">
          <cell r="B34" t="str">
            <v>Total</v>
          </cell>
          <cell r="C34">
            <v>2539000</v>
          </cell>
          <cell r="E34" t="str">
            <v>Hole Punch</v>
          </cell>
          <cell r="G34">
            <v>925000</v>
          </cell>
        </row>
        <row r="35">
          <cell r="B35" t="str">
            <v>August</v>
          </cell>
          <cell r="G35">
            <v>2539000</v>
          </cell>
        </row>
        <row r="36">
          <cell r="B36" t="str">
            <v>In addition TBP will be required to bear housing rental advance fo 10 team members @ Rs 50000 /person =Rs. 500,000</v>
          </cell>
        </row>
        <row r="37">
          <cell r="B37" t="str">
            <v>May</v>
          </cell>
          <cell r="E37" t="str">
            <v xml:space="preserve">Water Cess monthly Rest in Feb </v>
          </cell>
        </row>
        <row r="38">
          <cell r="B38" t="str">
            <v>June</v>
          </cell>
          <cell r="C38">
            <v>243000</v>
          </cell>
        </row>
        <row r="39">
          <cell r="B39" t="str">
            <v>July</v>
          </cell>
          <cell r="C39">
            <v>243000</v>
          </cell>
          <cell r="E39" t="str">
            <v>Boiler Operataor's licenece for 2001-2 will be provided by TBP</v>
          </cell>
        </row>
        <row r="40">
          <cell r="B40" t="str">
            <v>Total</v>
          </cell>
          <cell r="C40">
            <v>650000</v>
          </cell>
          <cell r="E40" t="str">
            <v>Land cess to be paid and provided in budget of TBP</v>
          </cell>
        </row>
        <row r="41">
          <cell r="B41" t="str">
            <v>September</v>
          </cell>
          <cell r="C41">
            <v>243000</v>
          </cell>
          <cell r="G41">
            <v>650000</v>
          </cell>
        </row>
        <row r="42">
          <cell r="B42" t="str">
            <v>October</v>
          </cell>
          <cell r="C42">
            <v>243000</v>
          </cell>
        </row>
        <row r="43">
          <cell r="B43" t="str">
            <v>November</v>
          </cell>
          <cell r="C43">
            <v>243000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13" refreshError="1">
        <row r="1">
          <cell r="B1" t="str">
            <v>Tanir Bavi Power Facility</v>
          </cell>
        </row>
        <row r="2">
          <cell r="B2" t="str">
            <v>Period 01-06-01 to 31-03-02 (10 months)</v>
          </cell>
        </row>
        <row r="4">
          <cell r="D4" t="str">
            <v>Category:</v>
          </cell>
          <cell r="E4" t="str">
            <v>Canteen</v>
          </cell>
        </row>
        <row r="6">
          <cell r="B6" t="str">
            <v>Responsible Team Member Name:</v>
          </cell>
          <cell r="D6" t="str">
            <v>Mohan Rao</v>
          </cell>
        </row>
        <row r="8">
          <cell r="B8" t="str">
            <v>Category Includes:</v>
          </cell>
        </row>
        <row r="10">
          <cell r="B10" t="str">
            <v>Lunch meals/tea/coffee/soft drinks and snacks for staff. Also includes any replacement kitchen equiptment</v>
          </cell>
        </row>
        <row r="14">
          <cell r="B14" t="str">
            <v>Budget Estimate Basis:</v>
          </cell>
        </row>
        <row r="16">
          <cell r="B16" t="str">
            <v>Estimate based on current TBP contract with local vendor.</v>
          </cell>
        </row>
        <row r="22">
          <cell r="B22" t="str">
            <v>Calculations:</v>
          </cell>
        </row>
        <row r="23">
          <cell r="B23" t="str">
            <v>Plant Security</v>
          </cell>
          <cell r="C23" t="str">
            <v>RS</v>
          </cell>
          <cell r="E23" t="str">
            <v>10 months *Rs 3 lac /month based on quote from existing security</v>
          </cell>
        </row>
        <row r="24">
          <cell r="B24" t="str">
            <v>Coffee/Tea Service &amp;</v>
          </cell>
          <cell r="C24">
            <v>0</v>
          </cell>
          <cell r="D24" t="str">
            <v>Ge agrrement  LC charges to be included in TBP budget</v>
          </cell>
          <cell r="E24" t="str">
            <v>3 cartrid*3 months =9 cartridge for 2 printers</v>
          </cell>
          <cell r="F24" t="str">
            <v>Say 25 Catridges @ 4000</v>
          </cell>
          <cell r="G24">
            <v>100000</v>
          </cell>
        </row>
        <row r="25">
          <cell r="B25" t="str">
            <v>Lunch Meals</v>
          </cell>
          <cell r="C25">
            <v>1350000</v>
          </cell>
          <cell r="E25" t="str">
            <v>Rs75/Day*60 person*30 days*10</v>
          </cell>
          <cell r="F25" t="str">
            <v>Rs 300/piece*100</v>
          </cell>
          <cell r="G25">
            <v>1350000</v>
          </cell>
        </row>
        <row r="26">
          <cell r="B26" t="str">
            <v>Replacement Utensils</v>
          </cell>
          <cell r="C26">
            <v>5000</v>
          </cell>
          <cell r="F26" t="str">
            <v>Rs 1425/piece*50</v>
          </cell>
        </row>
        <row r="27">
          <cell r="B27" t="str">
            <v>Replacement Glassware</v>
          </cell>
          <cell r="C27">
            <v>10000</v>
          </cell>
        </row>
        <row r="28">
          <cell r="B28" t="str">
            <v>Digital Camera / Software</v>
          </cell>
          <cell r="C28">
            <v>200000</v>
          </cell>
          <cell r="E28" t="str">
            <v xml:space="preserve">TBP TO PROVIDE CAMERA </v>
          </cell>
        </row>
        <row r="29">
          <cell r="B29" t="str">
            <v>Leased  Line Fees</v>
          </cell>
          <cell r="C29">
            <v>400000</v>
          </cell>
          <cell r="E29" t="str">
            <v>64 KBP Leased Line</v>
          </cell>
        </row>
        <row r="30">
          <cell r="B30" t="str">
            <v>Total</v>
          </cell>
          <cell r="C30">
            <v>30000</v>
          </cell>
          <cell r="G30">
            <v>800000</v>
          </cell>
        </row>
        <row r="31">
          <cell r="B31" t="str">
            <v>Computer Hardware AMC</v>
          </cell>
          <cell r="C31">
            <v>200000</v>
          </cell>
          <cell r="G31">
            <v>30000</v>
          </cell>
        </row>
        <row r="32">
          <cell r="B32" t="str">
            <v>Total</v>
          </cell>
          <cell r="C32">
            <v>1365000</v>
          </cell>
        </row>
        <row r="33">
          <cell r="B33" t="str">
            <v>Total</v>
          </cell>
          <cell r="C33">
            <v>751250</v>
          </cell>
          <cell r="G33">
            <v>1365000</v>
          </cell>
        </row>
        <row r="34">
          <cell r="B34" t="str">
            <v>June</v>
          </cell>
          <cell r="G34">
            <v>751250</v>
          </cell>
        </row>
        <row r="35">
          <cell r="B35" t="str">
            <v>April</v>
          </cell>
          <cell r="C35">
            <v>200000</v>
          </cell>
        </row>
        <row r="36">
          <cell r="B36" t="str">
            <v>May</v>
          </cell>
        </row>
        <row r="37">
          <cell r="B37" t="str">
            <v>June</v>
          </cell>
          <cell r="C37">
            <v>431666.66666666669</v>
          </cell>
          <cell r="D37" t="str">
            <v>Oxygen monthly all others in Dec</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row r="48">
          <cell r="C48">
            <v>751250</v>
          </cell>
        </row>
      </sheetData>
      <sheetData sheetId="14" refreshError="1">
        <row r="1">
          <cell r="B1" t="str">
            <v>Tanir Bavi Power Facility</v>
          </cell>
        </row>
        <row r="2">
          <cell r="B2" t="str">
            <v>Period 01-06-01 to 31-03-02 (10 months)</v>
          </cell>
        </row>
        <row r="4">
          <cell r="D4" t="str">
            <v>Category:</v>
          </cell>
          <cell r="E4" t="str">
            <v>Uniforms</v>
          </cell>
        </row>
        <row r="6">
          <cell r="B6" t="str">
            <v>Responsible Team Member Name:</v>
          </cell>
          <cell r="D6" t="str">
            <v>Jollymoan</v>
          </cell>
        </row>
        <row r="8">
          <cell r="B8" t="str">
            <v>Category Includes:</v>
          </cell>
        </row>
        <row r="10">
          <cell r="B10" t="str">
            <v>Uniforms for staff.</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based on cost of material and tailoring of 3 uniforms and 2 coverall for all team members</v>
          </cell>
        </row>
        <row r="22">
          <cell r="B22" t="str">
            <v>Calculations:</v>
          </cell>
        </row>
        <row r="24">
          <cell r="B24" t="str">
            <v>Uniforms:</v>
          </cell>
          <cell r="C24">
            <v>240240</v>
          </cell>
          <cell r="D24" t="str">
            <v>Shirt</v>
          </cell>
          <cell r="E24" t="str">
            <v>3 pair*2.51mtr*Rs 280*40 persons</v>
          </cell>
          <cell r="F24" t="str">
            <v>Lab chemicals</v>
          </cell>
          <cell r="G24">
            <v>84000</v>
          </cell>
        </row>
        <row r="25">
          <cell r="B25" t="str">
            <v>Coveralls</v>
          </cell>
          <cell r="C25">
            <v>47000</v>
          </cell>
          <cell r="D25" t="str">
            <v>Pant</v>
          </cell>
          <cell r="E25" t="str">
            <v>3*1.3mtr*Rs. 540*40 persons</v>
          </cell>
          <cell r="F25" t="str">
            <v>Lab consumables</v>
          </cell>
          <cell r="G25">
            <v>84240</v>
          </cell>
        </row>
        <row r="26">
          <cell r="B26" t="str">
            <v>Rain coat</v>
          </cell>
          <cell r="C26">
            <v>50000</v>
          </cell>
          <cell r="E26" t="str">
            <v>Stitching</v>
          </cell>
          <cell r="F26" t="str">
            <v>Rs 600 per pair</v>
          </cell>
          <cell r="G26">
            <v>72000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825000</v>
          </cell>
        </row>
        <row r="30">
          <cell r="B30" t="str">
            <v>Total</v>
          </cell>
          <cell r="C30">
            <v>50000</v>
          </cell>
          <cell r="G30">
            <v>825000</v>
          </cell>
        </row>
        <row r="31">
          <cell r="G31">
            <v>50000</v>
          </cell>
        </row>
        <row r="32">
          <cell r="B32" t="str">
            <v>Total</v>
          </cell>
          <cell r="C32">
            <v>337240</v>
          </cell>
        </row>
        <row r="33">
          <cell r="B33" t="str">
            <v>Total</v>
          </cell>
          <cell r="C33">
            <v>800000</v>
          </cell>
          <cell r="G33">
            <v>337240</v>
          </cell>
        </row>
        <row r="34">
          <cell r="B34" t="str">
            <v>June</v>
          </cell>
          <cell r="G34">
            <v>800000</v>
          </cell>
        </row>
        <row r="35">
          <cell r="B35" t="str">
            <v>April</v>
          </cell>
        </row>
        <row r="36">
          <cell r="B36" t="str">
            <v>May</v>
          </cell>
        </row>
        <row r="37">
          <cell r="B37" t="str">
            <v>June</v>
          </cell>
        </row>
        <row r="38">
          <cell r="B38" t="str">
            <v>July</v>
          </cell>
          <cell r="C38">
            <v>400000</v>
          </cell>
        </row>
        <row r="39">
          <cell r="B39" t="str">
            <v>August</v>
          </cell>
          <cell r="C39">
            <v>133200</v>
          </cell>
        </row>
        <row r="40">
          <cell r="B40" t="str">
            <v>September</v>
          </cell>
          <cell r="C40">
            <v>337240</v>
          </cell>
        </row>
        <row r="41">
          <cell r="B41" t="str">
            <v>October</v>
          </cell>
          <cell r="C41">
            <v>133200</v>
          </cell>
        </row>
        <row r="42">
          <cell r="B42" t="str">
            <v>November</v>
          </cell>
          <cell r="C42">
            <v>133200</v>
          </cell>
        </row>
        <row r="43">
          <cell r="B43" t="str">
            <v>December</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15" refreshError="1">
        <row r="1">
          <cell r="B1" t="str">
            <v>Tanir Bavi Power Facility</v>
          </cell>
        </row>
        <row r="2">
          <cell r="B2" t="str">
            <v>Period 01-06-01 to 31-03-02 (10 months)</v>
          </cell>
        </row>
        <row r="4">
          <cell r="D4" t="str">
            <v>Category:</v>
          </cell>
          <cell r="E4" t="str">
            <v>Professional Services</v>
          </cell>
        </row>
        <row r="6">
          <cell r="B6" t="str">
            <v>Responsible Team Member Name:</v>
          </cell>
          <cell r="D6" t="str">
            <v>Mohan Rao</v>
          </cell>
        </row>
        <row r="8">
          <cell r="B8" t="str">
            <v>Category Includes:</v>
          </cell>
        </row>
        <row r="10">
          <cell r="B10" t="str">
            <v>Support for Audit, Environmental Reporting or Other Specialised Services</v>
          </cell>
        </row>
        <row r="14">
          <cell r="B14" t="str">
            <v>Budget Estimate Basis:</v>
          </cell>
        </row>
        <row r="16">
          <cell r="B16" t="str">
            <v xml:space="preserve">To Support, Audit, Statutory and process issues </v>
          </cell>
        </row>
        <row r="17">
          <cell r="B17" t="str">
            <v xml:space="preserve">It is also assumed  balance 50% will be met by  chiller units </v>
          </cell>
        </row>
        <row r="22">
          <cell r="B22" t="str">
            <v>Calculations:</v>
          </cell>
          <cell r="G22" t="str">
            <v>$ comp</v>
          </cell>
        </row>
        <row r="23">
          <cell r="B23" t="str">
            <v>PQS Support Training</v>
          </cell>
          <cell r="C23">
            <v>960000</v>
          </cell>
          <cell r="G23" t="str">
            <v xml:space="preserve">US $ comp </v>
          </cell>
        </row>
        <row r="24">
          <cell r="B24" t="str">
            <v>Professional. Services</v>
          </cell>
          <cell r="C24">
            <v>700000</v>
          </cell>
          <cell r="D24" t="str">
            <v>spares for condensate pump  etc</v>
          </cell>
          <cell r="E24" t="str">
            <v>Legal</v>
          </cell>
          <cell r="F24" t="str">
            <v>8 trips /PM *12000tkt*10mths</v>
          </cell>
          <cell r="G24">
            <v>100000</v>
          </cell>
        </row>
        <row r="25">
          <cell r="B25" t="str">
            <v xml:space="preserve">Team Building </v>
          </cell>
          <cell r="C25">
            <v>1000000</v>
          </cell>
          <cell r="D25" t="str">
            <v>Asper contract recd</v>
          </cell>
          <cell r="E25" t="str">
            <v>Audit Services</v>
          </cell>
          <cell r="F25" t="str">
            <v>Rs 8000 Per Trip *6trips*10mths*</v>
          </cell>
          <cell r="G25">
            <v>100000</v>
          </cell>
        </row>
        <row r="26">
          <cell r="B26" t="str">
            <v>Hoffincons Training</v>
          </cell>
          <cell r="C26">
            <v>200000</v>
          </cell>
          <cell r="D26" t="str">
            <v>6 people *100rs *300 days +Seeds+Manure</v>
          </cell>
          <cell r="E26" t="str">
            <v>Consulting Services Marine,environement,tech etc.,</v>
          </cell>
          <cell r="F26">
            <v>842400</v>
          </cell>
          <cell r="G26">
            <v>300000</v>
          </cell>
        </row>
        <row r="27">
          <cell r="B27" t="str">
            <v>Gas, hyd oil for entire plant</v>
          </cell>
          <cell r="C27">
            <v>100000</v>
          </cell>
          <cell r="E27" t="str">
            <v xml:space="preserve">intl.Audit </v>
          </cell>
          <cell r="F27" t="str">
            <v xml:space="preserve">US $ 16250 @Rs 47.50 </v>
          </cell>
          <cell r="G27">
            <v>200000</v>
          </cell>
        </row>
        <row r="28">
          <cell r="B28" t="str">
            <v>Filters</v>
          </cell>
          <cell r="C28">
            <v>350000</v>
          </cell>
          <cell r="F28" t="str">
            <v>($ 3250 for 5 persons)</v>
          </cell>
        </row>
        <row r="29">
          <cell r="B29" t="str">
            <v>Gasket, o ring, oil seal</v>
          </cell>
          <cell r="C29">
            <v>450000</v>
          </cell>
          <cell r="G29">
            <v>5210</v>
          </cell>
        </row>
        <row r="30">
          <cell r="B30" t="str">
            <v>Total</v>
          </cell>
          <cell r="C30">
            <v>700000</v>
          </cell>
          <cell r="G30">
            <v>5207</v>
          </cell>
        </row>
        <row r="31">
          <cell r="B31" t="str">
            <v>Total</v>
          </cell>
          <cell r="C31">
            <v>2931875</v>
          </cell>
          <cell r="D31" t="str">
            <v>est @Rs 5000/mont for 10 months</v>
          </cell>
          <cell r="G31">
            <v>700000</v>
          </cell>
        </row>
        <row r="32">
          <cell r="B32" t="str">
            <v>Total</v>
          </cell>
          <cell r="C32">
            <v>110000</v>
          </cell>
          <cell r="G32">
            <v>2931875</v>
          </cell>
        </row>
        <row r="33">
          <cell r="B33" t="str">
            <v>Cons for chilled water system</v>
          </cell>
          <cell r="C33">
            <v>20000</v>
          </cell>
          <cell r="G33">
            <v>110000</v>
          </cell>
        </row>
        <row r="34">
          <cell r="B34" t="str">
            <v>Misc system</v>
          </cell>
          <cell r="C34" t="str">
            <v>*</v>
          </cell>
        </row>
        <row r="35">
          <cell r="B35" t="str">
            <v>Plant Low Voltage</v>
          </cell>
          <cell r="C35" t="str">
            <v xml:space="preserve">1st Phase </v>
          </cell>
          <cell r="D35" t="str">
            <v>* 2batch*3 days =6 days *40000</v>
          </cell>
          <cell r="F35">
            <v>240000</v>
          </cell>
        </row>
        <row r="36">
          <cell r="B36" t="str">
            <v>Fire Protection System</v>
          </cell>
          <cell r="C36" t="str">
            <v xml:space="preserve">2nd Phase </v>
          </cell>
          <cell r="D36" t="str">
            <v>2days*2batch</v>
          </cell>
          <cell r="F36">
            <v>160000</v>
          </cell>
          <cell r="G36">
            <v>2810000</v>
          </cell>
        </row>
        <row r="37">
          <cell r="B37" t="str">
            <v>CW system  treatment</v>
          </cell>
          <cell r="C37" t="str">
            <v>3rd Phase</v>
          </cell>
          <cell r="D37" t="str">
            <v>2days *2batch</v>
          </cell>
          <cell r="F37">
            <v>160000</v>
          </cell>
        </row>
        <row r="38">
          <cell r="B38" t="str">
            <v>CC / SC Cooling Water System</v>
          </cell>
          <cell r="C38" t="str">
            <v xml:space="preserve">Course Cost </v>
          </cell>
          <cell r="F38">
            <v>560000</v>
          </cell>
          <cell r="G38">
            <v>1590</v>
          </cell>
        </row>
        <row r="39">
          <cell r="B39" t="str">
            <v>Total</v>
          </cell>
          <cell r="C39">
            <v>2000000</v>
          </cell>
          <cell r="D39" t="str">
            <v>Professional fees</v>
          </cell>
          <cell r="F39">
            <v>300000</v>
          </cell>
          <cell r="G39">
            <v>10417</v>
          </cell>
        </row>
        <row r="40">
          <cell r="B40" t="str">
            <v>OTSG Spares</v>
          </cell>
          <cell r="C40">
            <v>400000</v>
          </cell>
          <cell r="D40" t="str">
            <v>Matl/travel</v>
          </cell>
          <cell r="F40">
            <v>100000</v>
          </cell>
          <cell r="G40">
            <v>2000000</v>
          </cell>
        </row>
        <row r="41">
          <cell r="B41" t="str">
            <v>Black Start DG set</v>
          </cell>
          <cell r="C41">
            <v>200000</v>
          </cell>
          <cell r="D41" t="str">
            <v>Total Training</v>
          </cell>
          <cell r="F41">
            <v>960000</v>
          </cell>
          <cell r="G41">
            <v>5500</v>
          </cell>
        </row>
        <row r="42">
          <cell r="B42" t="str">
            <v>April</v>
          </cell>
          <cell r="C42">
            <v>400000</v>
          </cell>
          <cell r="G42">
            <v>10300</v>
          </cell>
        </row>
        <row r="43">
          <cell r="B43" t="str">
            <v>May</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16" refreshError="1">
        <row r="1">
          <cell r="B1" t="str">
            <v>Tanir Bavi Power Facility</v>
          </cell>
        </row>
        <row r="2">
          <cell r="B2" t="str">
            <v>Period 01-06-01 to 31-03-02 (10 months)</v>
          </cell>
        </row>
        <row r="4">
          <cell r="D4" t="str">
            <v>Category:</v>
          </cell>
          <cell r="E4" t="str">
            <v>Permits / Licenses</v>
          </cell>
        </row>
        <row r="6">
          <cell r="B6" t="str">
            <v>Responsible Team Member Name:</v>
          </cell>
          <cell r="D6" t="str">
            <v>Premdas</v>
          </cell>
        </row>
        <row r="8">
          <cell r="B8" t="str">
            <v>Category Includes:</v>
          </cell>
        </row>
        <row r="10">
          <cell r="B10" t="str">
            <v>All permits and licenses required to operate the plant.</v>
          </cell>
        </row>
        <row r="14">
          <cell r="B14" t="str">
            <v>Budget Estimate Basis:</v>
          </cell>
        </row>
        <row r="16">
          <cell r="B16" t="str">
            <v>Dues and Licenses required to operate the facility.</v>
          </cell>
        </row>
        <row r="17">
          <cell r="B17" t="str">
            <v>Third party liability  ( for GPOL only )</v>
          </cell>
        </row>
        <row r="21">
          <cell r="B21" t="str">
            <v>Calculations:</v>
          </cell>
        </row>
        <row r="22">
          <cell r="B22" t="str">
            <v>Calculations:</v>
          </cell>
        </row>
        <row r="23">
          <cell r="B23" t="str">
            <v xml:space="preserve">Transportation for team </v>
          </cell>
          <cell r="E23" t="str">
            <v>Calculated for 10 team members (2nd class A/C - train)</v>
          </cell>
          <cell r="G23">
            <v>120000</v>
          </cell>
        </row>
        <row r="24">
          <cell r="B24" t="str">
            <v>Air Permits</v>
          </cell>
          <cell r="C24">
            <v>27000</v>
          </cell>
          <cell r="D24" t="str">
            <v>Water Cess</v>
          </cell>
          <cell r="E24" t="str">
            <v>paise 1.5 *22500cu.mtr/hour*24 hours</v>
          </cell>
          <cell r="F24">
            <v>8100</v>
          </cell>
          <cell r="G24">
            <v>100000</v>
          </cell>
        </row>
        <row r="25">
          <cell r="B25" t="str">
            <v>Water Permits</v>
          </cell>
          <cell r="C25">
            <v>27000</v>
          </cell>
          <cell r="E25" t="str">
            <v>Per month</v>
          </cell>
          <cell r="F25">
            <v>243000</v>
          </cell>
          <cell r="G25">
            <v>280000</v>
          </cell>
        </row>
        <row r="26">
          <cell r="B26" t="str">
            <v>Boiler Operator's Licenses</v>
          </cell>
          <cell r="C26">
            <v>0</v>
          </cell>
          <cell r="D26" t="str">
            <v>Toward 4" dia 300mtr pipe and clamps</v>
          </cell>
          <cell r="E26" t="str">
            <v xml:space="preserve">For 10 months </v>
          </cell>
          <cell r="F26">
            <v>2430000</v>
          </cell>
          <cell r="G26">
            <v>40000</v>
          </cell>
        </row>
        <row r="27">
          <cell r="B27" t="str">
            <v>Labor Licenses</v>
          </cell>
          <cell r="C27">
            <v>15000</v>
          </cell>
          <cell r="E27" t="str">
            <v xml:space="preserve">Co2+H2 (Lab) </v>
          </cell>
          <cell r="G27">
            <v>20000</v>
          </cell>
        </row>
        <row r="28">
          <cell r="B28" t="str">
            <v>Land Cess</v>
          </cell>
          <cell r="C28">
            <v>50000</v>
          </cell>
          <cell r="E28" t="str">
            <v>estimate Rs. 5000 each</v>
          </cell>
          <cell r="G28">
            <v>630000</v>
          </cell>
        </row>
        <row r="29">
          <cell r="B29" t="str">
            <v>B arge License</v>
          </cell>
          <cell r="C29">
            <v>0</v>
          </cell>
          <cell r="E29" t="str">
            <v>Discount of 25% for payment on time not</v>
          </cell>
          <cell r="G29">
            <v>200000</v>
          </cell>
        </row>
        <row r="30">
          <cell r="B30" t="str">
            <v>Pressure Vessel Testing</v>
          </cell>
          <cell r="C30">
            <v>20000</v>
          </cell>
          <cell r="D30" t="str">
            <v>Rs 500/hr*20hrs per month *10months</v>
          </cell>
          <cell r="E30" t="str">
            <v>considered</v>
          </cell>
          <cell r="G30">
            <v>973000</v>
          </cell>
        </row>
        <row r="31">
          <cell r="B31" t="str">
            <v>Weights &amp; Measures</v>
          </cell>
          <cell r="C31">
            <v>20000</v>
          </cell>
          <cell r="E31" t="str">
            <v>estimate 15 children @ Rs. 15000 each</v>
          </cell>
          <cell r="G31">
            <v>200000</v>
          </cell>
        </row>
        <row r="32">
          <cell r="B32" t="str">
            <v>Water Cess</v>
          </cell>
          <cell r="C32">
            <v>2430000</v>
          </cell>
          <cell r="E32" t="str">
            <v>For interview /travel , head hunter etc.,</v>
          </cell>
          <cell r="G32">
            <v>950000</v>
          </cell>
        </row>
        <row r="33">
          <cell r="B33" t="str">
            <v>Total</v>
          </cell>
          <cell r="C33">
            <v>925000</v>
          </cell>
          <cell r="E33" t="str">
            <v>Pens/Pencils/Markers/etc.</v>
          </cell>
        </row>
        <row r="34">
          <cell r="B34" t="str">
            <v>Total</v>
          </cell>
          <cell r="C34">
            <v>2539000</v>
          </cell>
          <cell r="E34" t="str">
            <v>Hole Punch</v>
          </cell>
          <cell r="G34">
            <v>925000</v>
          </cell>
        </row>
        <row r="35">
          <cell r="B35" t="str">
            <v>July</v>
          </cell>
          <cell r="G35">
            <v>2539000</v>
          </cell>
        </row>
        <row r="36">
          <cell r="B36" t="str">
            <v>April</v>
          </cell>
        </row>
        <row r="37">
          <cell r="B37" t="str">
            <v>May</v>
          </cell>
          <cell r="E37" t="str">
            <v xml:space="preserve">Water Cess monthly Rest in Feb </v>
          </cell>
        </row>
        <row r="38">
          <cell r="B38" t="str">
            <v>June</v>
          </cell>
          <cell r="C38">
            <v>243000</v>
          </cell>
        </row>
        <row r="39">
          <cell r="B39" t="str">
            <v>July</v>
          </cell>
          <cell r="C39">
            <v>243000</v>
          </cell>
          <cell r="E39" t="str">
            <v>Boiler Operataor's licenece for 2001-2 will be provided by TBP</v>
          </cell>
        </row>
        <row r="40">
          <cell r="B40" t="str">
            <v>August</v>
          </cell>
          <cell r="C40">
            <v>243000</v>
          </cell>
          <cell r="E40" t="str">
            <v>Land cess to be paid and provided in budget of TBP</v>
          </cell>
        </row>
        <row r="41">
          <cell r="B41" t="str">
            <v>September</v>
          </cell>
          <cell r="C41">
            <v>243000</v>
          </cell>
          <cell r="G41">
            <v>650000</v>
          </cell>
        </row>
        <row r="42">
          <cell r="B42" t="str">
            <v>October</v>
          </cell>
          <cell r="C42">
            <v>243000</v>
          </cell>
        </row>
        <row r="43">
          <cell r="B43" t="str">
            <v>November</v>
          </cell>
          <cell r="C43">
            <v>243000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17" refreshError="1">
        <row r="1">
          <cell r="B1" t="str">
            <v>Tanir Bavi Power Facility</v>
          </cell>
        </row>
        <row r="2">
          <cell r="B2" t="str">
            <v>Period 01-06-01 to 31-03-02 (10 months)</v>
          </cell>
        </row>
        <row r="4">
          <cell r="D4" t="str">
            <v>Category:</v>
          </cell>
          <cell r="E4" t="str">
            <v>Awards</v>
          </cell>
        </row>
        <row r="6">
          <cell r="B6" t="str">
            <v>Responsible Team Member Name:</v>
          </cell>
          <cell r="D6" t="str">
            <v>John</v>
          </cell>
        </row>
        <row r="8">
          <cell r="B8" t="str">
            <v>Category Includes:</v>
          </cell>
        </row>
        <row r="10">
          <cell r="B10" t="str">
            <v>Awards and Recognition for outstanding performance and safety.</v>
          </cell>
        </row>
        <row r="14">
          <cell r="B14" t="str">
            <v>Budget Estimate Basis:</v>
          </cell>
        </row>
        <row r="16">
          <cell r="B16" t="str">
            <v>Estimate based on current TBP contract with local vendor.</v>
          </cell>
        </row>
        <row r="22">
          <cell r="B22" t="str">
            <v>Calculations:</v>
          </cell>
        </row>
        <row r="23">
          <cell r="B23" t="str">
            <v>Plant Security</v>
          </cell>
          <cell r="C23" t="str">
            <v>RS</v>
          </cell>
          <cell r="E23" t="str">
            <v>10 months *Rs 3 lac /month based on quote from existing security</v>
          </cell>
        </row>
        <row r="24">
          <cell r="B24" t="str">
            <v>Performance &amp; Safety</v>
          </cell>
          <cell r="C24">
            <v>50000</v>
          </cell>
          <cell r="D24" t="str">
            <v>Ge agrrement  LC charges to be included in TBP budget</v>
          </cell>
          <cell r="E24" t="str">
            <v>3 cartrid*3 months =9 cartridge for 2 printers</v>
          </cell>
          <cell r="F24" t="str">
            <v>Rs 500/piece*50</v>
          </cell>
          <cell r="G24">
            <v>100000</v>
          </cell>
        </row>
        <row r="25">
          <cell r="B25" t="str">
            <v>Lunch Meals</v>
          </cell>
          <cell r="C25">
            <v>1350000</v>
          </cell>
          <cell r="E25" t="str">
            <v>Rs75/Day*60 person*30 days*10</v>
          </cell>
          <cell r="F25" t="str">
            <v>Rs 300/piece*100</v>
          </cell>
          <cell r="G25">
            <v>1350000</v>
          </cell>
        </row>
        <row r="26">
          <cell r="B26" t="str">
            <v>Replacement Utensils</v>
          </cell>
          <cell r="C26">
            <v>5000</v>
          </cell>
          <cell r="F26" t="str">
            <v>Rs 1425/piece*50</v>
          </cell>
        </row>
        <row r="27">
          <cell r="B27" t="str">
            <v>Replacement Glassware</v>
          </cell>
          <cell r="C27">
            <v>10000</v>
          </cell>
        </row>
        <row r="28">
          <cell r="B28" t="str">
            <v>Oxygen apparatus</v>
          </cell>
          <cell r="C28">
            <v>200000</v>
          </cell>
          <cell r="E28" t="str">
            <v>1 refiil/month/apparatus (8)@rs 2500 /refill</v>
          </cell>
        </row>
        <row r="29">
          <cell r="B29" t="str">
            <v>Filter Replacements</v>
          </cell>
          <cell r="C29">
            <v>25000</v>
          </cell>
          <cell r="E29" t="str">
            <v>64 KBP Leased Line</v>
          </cell>
        </row>
        <row r="30">
          <cell r="B30" t="str">
            <v>Total</v>
          </cell>
          <cell r="C30">
            <v>50000</v>
          </cell>
          <cell r="G30">
            <v>800000</v>
          </cell>
        </row>
        <row r="31">
          <cell r="B31" t="str">
            <v>Dispenser chem+absorbent etc</v>
          </cell>
          <cell r="C31">
            <v>300000</v>
          </cell>
          <cell r="G31">
            <v>50000</v>
          </cell>
        </row>
        <row r="32">
          <cell r="B32" t="str">
            <v>Total</v>
          </cell>
          <cell r="C32">
            <v>1365000</v>
          </cell>
        </row>
        <row r="33">
          <cell r="B33" t="str">
            <v>Total</v>
          </cell>
          <cell r="C33">
            <v>751250</v>
          </cell>
          <cell r="G33">
            <v>1365000</v>
          </cell>
        </row>
        <row r="34">
          <cell r="B34" t="str">
            <v>June</v>
          </cell>
          <cell r="G34">
            <v>751250</v>
          </cell>
        </row>
        <row r="35">
          <cell r="B35" t="str">
            <v>July</v>
          </cell>
          <cell r="C35">
            <v>200000</v>
          </cell>
        </row>
        <row r="36">
          <cell r="B36" t="str">
            <v>April</v>
          </cell>
        </row>
        <row r="37">
          <cell r="B37" t="str">
            <v>May</v>
          </cell>
          <cell r="C37">
            <v>431666.66666666669</v>
          </cell>
          <cell r="D37" t="str">
            <v>Oxygen monthly all others in Dec</v>
          </cell>
        </row>
        <row r="38">
          <cell r="B38" t="str">
            <v>June</v>
          </cell>
          <cell r="C38">
            <v>50000</v>
          </cell>
        </row>
        <row r="39">
          <cell r="B39" t="str">
            <v>July</v>
          </cell>
          <cell r="C39">
            <v>50000</v>
          </cell>
        </row>
        <row r="40">
          <cell r="B40" t="str">
            <v>August</v>
          </cell>
          <cell r="C40">
            <v>50000</v>
          </cell>
        </row>
        <row r="41">
          <cell r="B41" t="str">
            <v>September</v>
          </cell>
          <cell r="C41">
            <v>50000</v>
          </cell>
        </row>
        <row r="42">
          <cell r="B42" t="str">
            <v>October</v>
          </cell>
          <cell r="C42">
            <v>50000</v>
          </cell>
        </row>
        <row r="43">
          <cell r="B43" t="str">
            <v>November</v>
          </cell>
          <cell r="C43">
            <v>50000</v>
          </cell>
        </row>
        <row r="44">
          <cell r="B44" t="str">
            <v>December</v>
          </cell>
          <cell r="C44">
            <v>301250</v>
          </cell>
        </row>
        <row r="45">
          <cell r="B45" t="str">
            <v>January</v>
          </cell>
          <cell r="C45">
            <v>50000</v>
          </cell>
        </row>
        <row r="46">
          <cell r="B46" t="str">
            <v>February</v>
          </cell>
          <cell r="C46">
            <v>50000</v>
          </cell>
        </row>
        <row r="47">
          <cell r="B47" t="str">
            <v>March</v>
          </cell>
          <cell r="C47">
            <v>50000</v>
          </cell>
        </row>
        <row r="48">
          <cell r="C48">
            <v>751250</v>
          </cell>
        </row>
      </sheetData>
      <sheetData sheetId="18" refreshError="1">
        <row r="1">
          <cell r="B1" t="str">
            <v>Tanir Bavi Power Facility</v>
          </cell>
        </row>
        <row r="2">
          <cell r="B2" t="str">
            <v>Period 01-06-01 to 31-03-02 (10 months)</v>
          </cell>
        </row>
        <row r="4">
          <cell r="D4" t="str">
            <v>Category:</v>
          </cell>
          <cell r="E4" t="str">
            <v>Public Affairs</v>
          </cell>
        </row>
        <row r="6">
          <cell r="B6" t="str">
            <v>Responsible Team Member Name:</v>
          </cell>
          <cell r="D6" t="str">
            <v>John</v>
          </cell>
        </row>
        <row r="8">
          <cell r="B8" t="str">
            <v>Category Includes:</v>
          </cell>
        </row>
        <row r="10">
          <cell r="B10" t="str">
            <v xml:space="preserve">Costs Incurred for visitors from community </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 xml:space="preserve">Amount to be spent on visitors from Community </v>
          </cell>
        </row>
        <row r="22">
          <cell r="B22" t="str">
            <v>Calculations:</v>
          </cell>
        </row>
        <row r="24">
          <cell r="B24" t="str">
            <v>Visitor Costs</v>
          </cell>
          <cell r="C24">
            <v>50000</v>
          </cell>
          <cell r="D24" t="str">
            <v>Shirt</v>
          </cell>
          <cell r="E24" t="str">
            <v>3 pair*2.51mtr*Rs 280*40 persons</v>
          </cell>
          <cell r="F24" t="str">
            <v>Lab chemicals</v>
          </cell>
          <cell r="G24">
            <v>84000</v>
          </cell>
        </row>
        <row r="25">
          <cell r="B25" t="str">
            <v>Coveralls</v>
          </cell>
          <cell r="C25">
            <v>47000</v>
          </cell>
          <cell r="D25" t="str">
            <v>Pant</v>
          </cell>
          <cell r="E25" t="str">
            <v>3*1.3mtr*Rs. 540*40 persons</v>
          </cell>
          <cell r="F25" t="str">
            <v>Lab consumables</v>
          </cell>
          <cell r="G25">
            <v>84240</v>
          </cell>
        </row>
        <row r="26">
          <cell r="B26" t="str">
            <v>Rain coat</v>
          </cell>
          <cell r="C26">
            <v>50000</v>
          </cell>
          <cell r="E26" t="str">
            <v>Stitching</v>
          </cell>
          <cell r="F26" t="str">
            <v>Rs 600 per pair</v>
          </cell>
          <cell r="G26">
            <v>72000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825000</v>
          </cell>
        </row>
        <row r="30">
          <cell r="B30" t="str">
            <v>Total</v>
          </cell>
          <cell r="C30">
            <v>50000</v>
          </cell>
          <cell r="G30">
            <v>825000</v>
          </cell>
        </row>
        <row r="31">
          <cell r="G31">
            <v>50000</v>
          </cell>
        </row>
        <row r="32">
          <cell r="B32" t="str">
            <v>Total</v>
          </cell>
          <cell r="C32">
            <v>337240</v>
          </cell>
        </row>
        <row r="33">
          <cell r="B33" t="str">
            <v>May</v>
          </cell>
          <cell r="C33">
            <v>800000</v>
          </cell>
          <cell r="G33">
            <v>337240</v>
          </cell>
        </row>
        <row r="34">
          <cell r="B34" t="str">
            <v>June</v>
          </cell>
          <cell r="G34">
            <v>800000</v>
          </cell>
        </row>
        <row r="35">
          <cell r="B35" t="str">
            <v>April</v>
          </cell>
        </row>
        <row r="36">
          <cell r="B36" t="str">
            <v>May</v>
          </cell>
        </row>
        <row r="37">
          <cell r="B37" t="str">
            <v>June</v>
          </cell>
        </row>
        <row r="38">
          <cell r="B38" t="str">
            <v>July</v>
          </cell>
          <cell r="C38">
            <v>400000</v>
          </cell>
        </row>
        <row r="39">
          <cell r="B39" t="str">
            <v>August</v>
          </cell>
          <cell r="C39">
            <v>133200</v>
          </cell>
        </row>
        <row r="40">
          <cell r="B40" t="str">
            <v>September</v>
          </cell>
          <cell r="C40">
            <v>337240</v>
          </cell>
        </row>
        <row r="41">
          <cell r="B41" t="str">
            <v>October</v>
          </cell>
          <cell r="C41">
            <v>133200</v>
          </cell>
        </row>
        <row r="42">
          <cell r="B42" t="str">
            <v>November</v>
          </cell>
          <cell r="C42">
            <v>133200</v>
          </cell>
        </row>
        <row r="43">
          <cell r="B43" t="str">
            <v>December</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19" refreshError="1">
        <row r="1">
          <cell r="B1" t="str">
            <v>Tanir Bavi Power Facility</v>
          </cell>
        </row>
        <row r="2">
          <cell r="B2" t="str">
            <v>Period 01-06-01 to 31-03-02 (10 months)</v>
          </cell>
        </row>
        <row r="4">
          <cell r="D4" t="str">
            <v>Category:</v>
          </cell>
          <cell r="E4" t="str">
            <v>G&amp;A Owner Management Support</v>
          </cell>
        </row>
        <row r="6">
          <cell r="B6" t="str">
            <v>Responsible Team Member Name:</v>
          </cell>
          <cell r="D6" t="str">
            <v>Mohan Rao</v>
          </cell>
        </row>
        <row r="8">
          <cell r="B8" t="str">
            <v>Category Includes:</v>
          </cell>
        </row>
        <row r="10">
          <cell r="B10" t="str">
            <v>GMR / PSEG Management Services Provided</v>
          </cell>
        </row>
        <row r="14">
          <cell r="B14" t="str">
            <v>Budget Estimate Basis:</v>
          </cell>
        </row>
        <row r="16">
          <cell r="B16" t="str">
            <v>Estimates of travel and assoc. expenses to site by GMR/PSEG management.</v>
          </cell>
        </row>
        <row r="17">
          <cell r="B17" t="str">
            <v xml:space="preserve">It is also assumed  balance 50% will be met by  chiller units </v>
          </cell>
        </row>
        <row r="22">
          <cell r="B22" t="str">
            <v>Calculations:</v>
          </cell>
          <cell r="G22" t="str">
            <v>$ comp</v>
          </cell>
        </row>
        <row r="23">
          <cell r="B23" t="str">
            <v>PQS Support Training</v>
          </cell>
          <cell r="C23">
            <v>960000</v>
          </cell>
          <cell r="G23" t="str">
            <v xml:space="preserve">US $ comp </v>
          </cell>
        </row>
        <row r="24">
          <cell r="B24" t="str">
            <v>Owner support</v>
          </cell>
          <cell r="C24">
            <v>1940000</v>
          </cell>
          <cell r="D24" t="str">
            <v>spares for condensate pump  etc</v>
          </cell>
          <cell r="E24" t="str">
            <v>Legal</v>
          </cell>
          <cell r="F24" t="str">
            <v>8 trips /PM *12000tkt*10mths</v>
          </cell>
          <cell r="G24">
            <v>960000</v>
          </cell>
        </row>
        <row r="25">
          <cell r="B25" t="str">
            <v xml:space="preserve">Mech item, welding rod, nut, </v>
          </cell>
          <cell r="C25">
            <v>1000000</v>
          </cell>
          <cell r="D25" t="str">
            <v>Asper contract recd</v>
          </cell>
          <cell r="E25" t="str">
            <v>Expenses</v>
          </cell>
          <cell r="F25" t="str">
            <v>Rs 8000 Per Trip *6trips*10mths*</v>
          </cell>
          <cell r="G25">
            <v>480000</v>
          </cell>
        </row>
        <row r="26">
          <cell r="B26" t="str">
            <v>bolt, washers, caps, etc.</v>
          </cell>
          <cell r="C26">
            <v>550000</v>
          </cell>
          <cell r="D26" t="str">
            <v>6 people *100rs *300 days +Seeds+Manure</v>
          </cell>
          <cell r="E26" t="str">
            <v xml:space="preserve">Comp for director services </v>
          </cell>
          <cell r="F26">
            <v>842400</v>
          </cell>
          <cell r="G26">
            <v>500000</v>
          </cell>
        </row>
        <row r="27">
          <cell r="B27" t="str">
            <v>Gas, hyd oil for entire plant</v>
          </cell>
          <cell r="C27">
            <v>100000</v>
          </cell>
          <cell r="E27" t="str">
            <v xml:space="preserve">intl.Audit </v>
          </cell>
          <cell r="F27" t="str">
            <v xml:space="preserve">US $ 16250 @Rs 47.50 </v>
          </cell>
          <cell r="G27">
            <v>200000</v>
          </cell>
        </row>
        <row r="28">
          <cell r="B28" t="str">
            <v>Filters</v>
          </cell>
          <cell r="C28">
            <v>350000</v>
          </cell>
          <cell r="F28" t="str">
            <v>*exp is made to 6 to match the usage of TBP guest house</v>
          </cell>
        </row>
        <row r="29">
          <cell r="B29" t="str">
            <v>Gasket, o ring, oil seal</v>
          </cell>
          <cell r="C29">
            <v>450000</v>
          </cell>
          <cell r="G29">
            <v>5210</v>
          </cell>
        </row>
        <row r="30">
          <cell r="B30" t="str">
            <v>Total</v>
          </cell>
          <cell r="C30">
            <v>1940000</v>
          </cell>
          <cell r="G30">
            <v>5207</v>
          </cell>
        </row>
        <row r="31">
          <cell r="B31" t="str">
            <v>Fibre liner and related pack</v>
          </cell>
          <cell r="C31">
            <v>0</v>
          </cell>
          <cell r="D31" t="str">
            <v>est @Rs 5000/mont for 10 months</v>
          </cell>
          <cell r="G31">
            <v>1940000</v>
          </cell>
        </row>
        <row r="32">
          <cell r="B32" t="str">
            <v>Consumable for STO</v>
          </cell>
          <cell r="C32">
            <v>20000</v>
          </cell>
          <cell r="G32">
            <v>2931875</v>
          </cell>
        </row>
        <row r="33">
          <cell r="B33" t="str">
            <v>Cons for chilled water system</v>
          </cell>
          <cell r="C33">
            <v>20000</v>
          </cell>
          <cell r="G33">
            <v>7000</v>
          </cell>
        </row>
        <row r="34">
          <cell r="B34" t="str">
            <v>Misc system</v>
          </cell>
          <cell r="C34">
            <v>35000</v>
          </cell>
        </row>
        <row r="35">
          <cell r="B35" t="str">
            <v>Plant Low Voltage</v>
          </cell>
          <cell r="C35" t="str">
            <v xml:space="preserve">1st Phase </v>
          </cell>
          <cell r="D35" t="str">
            <v>* 2batch*3 days =6 days *40000</v>
          </cell>
          <cell r="F35">
            <v>240000</v>
          </cell>
        </row>
        <row r="36">
          <cell r="B36" t="str">
            <v>Fire Protection System</v>
          </cell>
          <cell r="C36" t="str">
            <v xml:space="preserve">2nd Phase </v>
          </cell>
          <cell r="D36" t="str">
            <v>2days*2batch</v>
          </cell>
          <cell r="F36">
            <v>160000</v>
          </cell>
          <cell r="G36">
            <v>2810000</v>
          </cell>
        </row>
        <row r="37">
          <cell r="B37" t="str">
            <v>CW system  treatment</v>
          </cell>
          <cell r="C37" t="str">
            <v>3rd Phase</v>
          </cell>
          <cell r="D37" t="str">
            <v>2days *2batch</v>
          </cell>
          <cell r="F37">
            <v>160000</v>
          </cell>
        </row>
        <row r="38">
          <cell r="B38" t="str">
            <v>CC / SC Cooling Water System</v>
          </cell>
          <cell r="C38" t="str">
            <v xml:space="preserve">Course Cost </v>
          </cell>
          <cell r="F38">
            <v>560000</v>
          </cell>
          <cell r="G38">
            <v>1590</v>
          </cell>
        </row>
        <row r="39">
          <cell r="B39" t="str">
            <v>Total</v>
          </cell>
          <cell r="C39">
            <v>2000000</v>
          </cell>
          <cell r="D39" t="str">
            <v>Professional fees</v>
          </cell>
          <cell r="F39">
            <v>300000</v>
          </cell>
          <cell r="G39">
            <v>10417</v>
          </cell>
        </row>
        <row r="40">
          <cell r="B40" t="str">
            <v>OTSG Spares</v>
          </cell>
          <cell r="C40">
            <v>400000</v>
          </cell>
          <cell r="D40" t="str">
            <v>Matl/travel</v>
          </cell>
          <cell r="F40">
            <v>100000</v>
          </cell>
          <cell r="G40">
            <v>2000000</v>
          </cell>
        </row>
        <row r="41">
          <cell r="B41" t="str">
            <v>Black Start DG set</v>
          </cell>
          <cell r="C41">
            <v>200000</v>
          </cell>
          <cell r="D41" t="str">
            <v>Total Training</v>
          </cell>
          <cell r="F41">
            <v>960000</v>
          </cell>
          <cell r="G41">
            <v>5500</v>
          </cell>
        </row>
        <row r="42">
          <cell r="B42" t="str">
            <v>April</v>
          </cell>
          <cell r="C42">
            <v>400000</v>
          </cell>
          <cell r="G42">
            <v>10300</v>
          </cell>
        </row>
        <row r="43">
          <cell r="B43" t="str">
            <v>May</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20" refreshError="1">
        <row r="1">
          <cell r="B1" t="str">
            <v>Tanir Bavi Power Facility</v>
          </cell>
        </row>
        <row r="2">
          <cell r="B2" t="str">
            <v>Period 01-06-01 to 31-03-02 (10 months)</v>
          </cell>
        </row>
        <row r="4">
          <cell r="D4" t="str">
            <v>Category:</v>
          </cell>
          <cell r="E4" t="str">
            <v>Business Insurance</v>
          </cell>
        </row>
        <row r="6">
          <cell r="B6" t="str">
            <v>Responsible Team Member Name:</v>
          </cell>
          <cell r="D6" t="str">
            <v>Mohan Rao</v>
          </cell>
        </row>
        <row r="8">
          <cell r="B8" t="str">
            <v>Category Includes:</v>
          </cell>
        </row>
        <row r="10">
          <cell r="B10" t="str">
            <v>Business Interruption - Property Damage - Comprehensive General Liability - Other Risks &amp; Perils  - Automobile Comprehensive and General Liability.</v>
          </cell>
        </row>
        <row r="14">
          <cell r="B14" t="str">
            <v>Budget Estimate Basis:</v>
          </cell>
        </row>
        <row r="16">
          <cell r="B16" t="str">
            <v>Estimated policy costs</v>
          </cell>
        </row>
        <row r="17">
          <cell r="B17" t="str">
            <v>Third party liability  ( for GPOL only )</v>
          </cell>
        </row>
        <row r="21">
          <cell r="B21" t="str">
            <v>Calculations:</v>
          </cell>
        </row>
        <row r="22">
          <cell r="B22" t="str">
            <v>Calculations:</v>
          </cell>
        </row>
        <row r="23">
          <cell r="B23" t="str">
            <v>Comprehensive Auto. Liab.</v>
          </cell>
          <cell r="E23" t="str">
            <v>Calculated for 10 team members (2nd class A/C - train)</v>
          </cell>
          <cell r="G23">
            <v>120000</v>
          </cell>
        </row>
        <row r="24">
          <cell r="B24" t="str">
            <v>Worker's Comp.</v>
          </cell>
          <cell r="C24">
            <v>27000</v>
          </cell>
          <cell r="D24" t="str">
            <v>Water Cess</v>
          </cell>
          <cell r="E24" t="str">
            <v>paise 1.5 *22500cu.mtr/hour*24 hours</v>
          </cell>
          <cell r="F24">
            <v>8100</v>
          </cell>
          <cell r="G24">
            <v>100000</v>
          </cell>
        </row>
        <row r="25">
          <cell r="B25" t="str">
            <v>Excess/Umbrella Liab.</v>
          </cell>
          <cell r="C25">
            <v>27000</v>
          </cell>
          <cell r="E25" t="str">
            <v>Per month</v>
          </cell>
          <cell r="F25">
            <v>243000</v>
          </cell>
          <cell r="G25">
            <v>280000</v>
          </cell>
        </row>
        <row r="26">
          <cell r="B26" t="str">
            <v>Boiler Operator's Licenses</v>
          </cell>
          <cell r="C26">
            <v>0</v>
          </cell>
          <cell r="D26" t="str">
            <v>Toward 4" dia 300mtr pipe and clamps</v>
          </cell>
          <cell r="E26" t="str">
            <v xml:space="preserve">For 10 months </v>
          </cell>
          <cell r="F26">
            <v>2430000</v>
          </cell>
          <cell r="G26">
            <v>40000</v>
          </cell>
        </row>
        <row r="27">
          <cell r="B27" t="str">
            <v>Labor Licenses</v>
          </cell>
          <cell r="C27">
            <v>15000</v>
          </cell>
          <cell r="E27" t="str">
            <v xml:space="preserve">Co2+H2 (Lab) </v>
          </cell>
          <cell r="G27">
            <v>20000</v>
          </cell>
        </row>
        <row r="28">
          <cell r="B28" t="str">
            <v>Land Cess</v>
          </cell>
          <cell r="C28">
            <v>50000</v>
          </cell>
          <cell r="E28" t="str">
            <v>estimate Rs. 5000 each</v>
          </cell>
          <cell r="G28">
            <v>630000</v>
          </cell>
        </row>
        <row r="29">
          <cell r="B29" t="str">
            <v>B arge License</v>
          </cell>
          <cell r="C29">
            <v>0</v>
          </cell>
          <cell r="E29" t="str">
            <v>Discount of 25% for payment on time not</v>
          </cell>
          <cell r="G29">
            <v>200000</v>
          </cell>
        </row>
        <row r="30">
          <cell r="B30" t="str">
            <v>Total</v>
          </cell>
          <cell r="C30">
            <v>200000</v>
          </cell>
          <cell r="D30" t="str">
            <v>Rs 500/hr*20hrs per month *10months</v>
          </cell>
          <cell r="E30" t="str">
            <v>considered</v>
          </cell>
          <cell r="G30">
            <v>973000</v>
          </cell>
        </row>
        <row r="31">
          <cell r="B31" t="str">
            <v>Weights &amp; Measures</v>
          </cell>
          <cell r="C31">
            <v>20000</v>
          </cell>
          <cell r="E31" t="str">
            <v>estimate 15 children @ Rs. 15000 each</v>
          </cell>
          <cell r="G31">
            <v>200000</v>
          </cell>
        </row>
        <row r="32">
          <cell r="B32" t="str">
            <v>Water Cess</v>
          </cell>
          <cell r="C32">
            <v>2430000</v>
          </cell>
          <cell r="E32" t="str">
            <v>For interview /travel , head hunter etc.,</v>
          </cell>
          <cell r="G32">
            <v>950000</v>
          </cell>
        </row>
        <row r="33">
          <cell r="B33" t="str">
            <v>Total</v>
          </cell>
          <cell r="C33">
            <v>925000</v>
          </cell>
          <cell r="E33" t="str">
            <v>Pens/Pencils/Markers/etc.</v>
          </cell>
        </row>
        <row r="34">
          <cell r="B34" t="str">
            <v>June</v>
          </cell>
          <cell r="C34">
            <v>2539000</v>
          </cell>
          <cell r="E34" t="str">
            <v>Hole Punch</v>
          </cell>
          <cell r="G34">
            <v>925000</v>
          </cell>
        </row>
        <row r="35">
          <cell r="B35" t="str">
            <v>July</v>
          </cell>
          <cell r="G35">
            <v>2539000</v>
          </cell>
        </row>
        <row r="36">
          <cell r="B36" t="str">
            <v>August</v>
          </cell>
        </row>
        <row r="37">
          <cell r="B37" t="str">
            <v>September</v>
          </cell>
          <cell r="E37" t="str">
            <v xml:space="preserve">Water Cess monthly Rest in Feb </v>
          </cell>
        </row>
        <row r="38">
          <cell r="B38" t="str">
            <v>October</v>
          </cell>
          <cell r="C38">
            <v>243000</v>
          </cell>
        </row>
        <row r="39">
          <cell r="B39" t="str">
            <v>November</v>
          </cell>
          <cell r="C39">
            <v>243000</v>
          </cell>
          <cell r="E39" t="str">
            <v>Boiler Operataor's licenece for 2001-2 will be provided by TBP</v>
          </cell>
        </row>
        <row r="40">
          <cell r="B40" t="str">
            <v>December</v>
          </cell>
          <cell r="C40">
            <v>243000</v>
          </cell>
          <cell r="E40" t="str">
            <v>Land cess to be paid and provided in budget of TBP</v>
          </cell>
        </row>
        <row r="41">
          <cell r="B41" t="str">
            <v>January</v>
          </cell>
          <cell r="C41">
            <v>243000</v>
          </cell>
          <cell r="G41">
            <v>650000</v>
          </cell>
        </row>
        <row r="42">
          <cell r="B42" t="str">
            <v>February</v>
          </cell>
          <cell r="C42">
            <v>243000</v>
          </cell>
        </row>
        <row r="43">
          <cell r="B43" t="str">
            <v>March</v>
          </cell>
          <cell r="C43">
            <v>243000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21" refreshError="1">
        <row r="1">
          <cell r="B1" t="str">
            <v>Tanir Bavi Power Facility</v>
          </cell>
        </row>
        <row r="2">
          <cell r="B2" t="str">
            <v>Period 01-06-01 to 31-03-02 (10 months)</v>
          </cell>
        </row>
        <row r="4">
          <cell r="D4" t="str">
            <v>Category:</v>
          </cell>
          <cell r="E4" t="str">
            <v>Safety Supplies</v>
          </cell>
        </row>
        <row r="6">
          <cell r="B6" t="str">
            <v>Responsible Team Member Name:</v>
          </cell>
          <cell r="D6" t="str">
            <v>Premdas</v>
          </cell>
        </row>
        <row r="8">
          <cell r="B8" t="str">
            <v>Category Includes:</v>
          </cell>
        </row>
        <row r="10">
          <cell r="B10" t="str">
            <v>Tags, safety harnesses,  self-contained breathing apparatus, emergency  supplies, personal safety supplies such as hard hats, safety glasses, etc.</v>
          </cell>
        </row>
        <row r="14">
          <cell r="B14" t="str">
            <v>Budget Estimate Basis:</v>
          </cell>
        </row>
        <row r="16">
          <cell r="B16" t="str">
            <v>Based on expectred replacements and number of Staff Members</v>
          </cell>
        </row>
        <row r="22">
          <cell r="B22" t="str">
            <v>Calculations:</v>
          </cell>
        </row>
        <row r="23">
          <cell r="B23" t="str">
            <v>Plant Security</v>
          </cell>
          <cell r="C23" t="str">
            <v>RS</v>
          </cell>
          <cell r="E23" t="str">
            <v>10 months *Rs 3 lac /month based on quote from existing security</v>
          </cell>
        </row>
        <row r="24">
          <cell r="B24" t="str">
            <v>Hard Hats</v>
          </cell>
          <cell r="C24">
            <v>25000</v>
          </cell>
          <cell r="D24" t="str">
            <v>Ge agrrement  LC charges to be included in TBP budget</v>
          </cell>
          <cell r="E24" t="str">
            <v>1 ton/day@4000/ton 300 days</v>
          </cell>
          <cell r="F24" t="str">
            <v>Rs 500/piece*50</v>
          </cell>
          <cell r="G24">
            <v>1200000</v>
          </cell>
        </row>
        <row r="25">
          <cell r="B25" t="str">
            <v>Safety Glasses</v>
          </cell>
          <cell r="C25">
            <v>30000</v>
          </cell>
          <cell r="E25" t="str">
            <v>Rs75/Day*60 person*30 days*10</v>
          </cell>
          <cell r="F25" t="str">
            <v>Rs 300/piece*100</v>
          </cell>
          <cell r="G25">
            <v>1350000</v>
          </cell>
        </row>
        <row r="26">
          <cell r="B26" t="str">
            <v>Safety Shoes</v>
          </cell>
          <cell r="C26">
            <v>71250</v>
          </cell>
          <cell r="F26" t="str">
            <v>Rs 1425/piece*50</v>
          </cell>
        </row>
        <row r="27">
          <cell r="B27" t="str">
            <v>Safety Harnesses</v>
          </cell>
          <cell r="C27">
            <v>10000</v>
          </cell>
        </row>
        <row r="28">
          <cell r="B28" t="str">
            <v>Oxygen apparatus</v>
          </cell>
          <cell r="C28">
            <v>200000</v>
          </cell>
          <cell r="E28" t="str">
            <v>1 refiil/month/apparatus (8)@rs 2500 /refill</v>
          </cell>
        </row>
        <row r="29">
          <cell r="B29" t="str">
            <v>Filter Replacements</v>
          </cell>
          <cell r="C29">
            <v>25000</v>
          </cell>
          <cell r="E29" t="str">
            <v>64 KBP Leased Line</v>
          </cell>
        </row>
        <row r="30">
          <cell r="B30" t="str">
            <v>Tags</v>
          </cell>
          <cell r="C30">
            <v>90000</v>
          </cell>
          <cell r="G30">
            <v>800000</v>
          </cell>
        </row>
        <row r="31">
          <cell r="B31" t="str">
            <v>Dispenser chem+absorbent etc</v>
          </cell>
          <cell r="C31">
            <v>300000</v>
          </cell>
          <cell r="G31">
            <v>50000</v>
          </cell>
        </row>
        <row r="32">
          <cell r="B32" t="str">
            <v>April</v>
          </cell>
          <cell r="C32">
            <v>1365000</v>
          </cell>
        </row>
        <row r="33">
          <cell r="B33" t="str">
            <v>Total</v>
          </cell>
          <cell r="C33">
            <v>751250</v>
          </cell>
          <cell r="G33">
            <v>1365000</v>
          </cell>
        </row>
        <row r="34">
          <cell r="B34" t="str">
            <v>June</v>
          </cell>
          <cell r="G34">
            <v>751250</v>
          </cell>
        </row>
        <row r="35">
          <cell r="B35" t="str">
            <v>July</v>
          </cell>
          <cell r="C35">
            <v>200000</v>
          </cell>
        </row>
        <row r="36">
          <cell r="B36" t="str">
            <v>April</v>
          </cell>
        </row>
        <row r="37">
          <cell r="B37" t="str">
            <v>May</v>
          </cell>
          <cell r="C37">
            <v>431666.66666666669</v>
          </cell>
          <cell r="D37" t="str">
            <v>Oxygen monthly all others in Dec</v>
          </cell>
        </row>
        <row r="38">
          <cell r="B38" t="str">
            <v>June</v>
          </cell>
          <cell r="C38">
            <v>50000</v>
          </cell>
        </row>
        <row r="39">
          <cell r="B39" t="str">
            <v>July</v>
          </cell>
          <cell r="C39">
            <v>50000</v>
          </cell>
        </row>
        <row r="40">
          <cell r="B40" t="str">
            <v>August</v>
          </cell>
          <cell r="C40">
            <v>50000</v>
          </cell>
        </row>
        <row r="41">
          <cell r="B41" t="str">
            <v>September</v>
          </cell>
          <cell r="C41">
            <v>50000</v>
          </cell>
        </row>
        <row r="42">
          <cell r="B42" t="str">
            <v>October</v>
          </cell>
          <cell r="C42">
            <v>50000</v>
          </cell>
        </row>
        <row r="43">
          <cell r="B43" t="str">
            <v>November</v>
          </cell>
          <cell r="C43">
            <v>50000</v>
          </cell>
        </row>
        <row r="44">
          <cell r="B44" t="str">
            <v>December</v>
          </cell>
          <cell r="C44">
            <v>301250</v>
          </cell>
        </row>
        <row r="45">
          <cell r="B45" t="str">
            <v>January</v>
          </cell>
          <cell r="C45">
            <v>50000</v>
          </cell>
        </row>
        <row r="46">
          <cell r="B46" t="str">
            <v>February</v>
          </cell>
          <cell r="C46">
            <v>50000</v>
          </cell>
        </row>
        <row r="47">
          <cell r="B47" t="str">
            <v>March</v>
          </cell>
          <cell r="C47">
            <v>50000</v>
          </cell>
        </row>
        <row r="48">
          <cell r="C48">
            <v>751250</v>
          </cell>
        </row>
      </sheetData>
      <sheetData sheetId="22" refreshError="1">
        <row r="1">
          <cell r="B1" t="str">
            <v>Tanir Bavi Power Facility</v>
          </cell>
        </row>
        <row r="2">
          <cell r="B2" t="str">
            <v>Period 01-06-01 to 31-03-02 (10 months)</v>
          </cell>
        </row>
        <row r="4">
          <cell r="D4" t="str">
            <v>Category:</v>
          </cell>
          <cell r="E4" t="str">
            <v>Laboratory Supplies</v>
          </cell>
        </row>
        <row r="6">
          <cell r="B6" t="str">
            <v>Responsible Team Member Name:</v>
          </cell>
          <cell r="D6" t="str">
            <v>Premdas</v>
          </cell>
        </row>
        <row r="8">
          <cell r="B8" t="str">
            <v>Category Includes:</v>
          </cell>
        </row>
        <row r="10">
          <cell r="B10" t="str">
            <v>Glassware, instruments, and other supplies used for chemical analysis of plant water, fuel, oil and flue gases.</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is based on chlorine, chromium, pH, conductivity, silica, and zinc testing and consumables.</v>
          </cell>
        </row>
        <row r="22">
          <cell r="B22" t="str">
            <v>Calculations:</v>
          </cell>
        </row>
        <row r="24">
          <cell r="B24" t="str">
            <v>Lab Supplies</v>
          </cell>
          <cell r="C24">
            <v>825000</v>
          </cell>
          <cell r="D24" t="str">
            <v>Shirt</v>
          </cell>
          <cell r="E24" t="str">
            <v>Includes:</v>
          </cell>
          <cell r="F24" t="str">
            <v>Lab chemicals</v>
          </cell>
          <cell r="G24">
            <v>500000</v>
          </cell>
        </row>
        <row r="25">
          <cell r="B25" t="str">
            <v>Coveralls</v>
          </cell>
          <cell r="C25">
            <v>47000</v>
          </cell>
          <cell r="D25" t="str">
            <v>Pant</v>
          </cell>
          <cell r="E25" t="str">
            <v>3*1.3mtr*Rs. 540*40 persons</v>
          </cell>
          <cell r="F25" t="str">
            <v>Lab consumables</v>
          </cell>
          <cell r="G25">
            <v>175000</v>
          </cell>
        </row>
        <row r="26">
          <cell r="B26" t="str">
            <v>Rain coat</v>
          </cell>
          <cell r="C26">
            <v>50000</v>
          </cell>
          <cell r="E26" t="str">
            <v>Stitching</v>
          </cell>
          <cell r="F26" t="str">
            <v xml:space="preserve">Lab additional items </v>
          </cell>
          <cell r="G26">
            <v>150000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825000</v>
          </cell>
        </row>
        <row r="30">
          <cell r="B30" t="str">
            <v>Total</v>
          </cell>
          <cell r="C30">
            <v>50000</v>
          </cell>
          <cell r="G30">
            <v>825000</v>
          </cell>
        </row>
        <row r="31">
          <cell r="G31">
            <v>50000</v>
          </cell>
        </row>
        <row r="32">
          <cell r="B32" t="str">
            <v>April</v>
          </cell>
          <cell r="C32">
            <v>337240</v>
          </cell>
        </row>
        <row r="33">
          <cell r="B33" t="str">
            <v>May</v>
          </cell>
          <cell r="C33">
            <v>800000</v>
          </cell>
          <cell r="G33">
            <v>337240</v>
          </cell>
        </row>
        <row r="34">
          <cell r="B34" t="str">
            <v>June</v>
          </cell>
          <cell r="G34">
            <v>800000</v>
          </cell>
        </row>
        <row r="35">
          <cell r="B35" t="str">
            <v>July</v>
          </cell>
        </row>
        <row r="36">
          <cell r="B36" t="str">
            <v>August</v>
          </cell>
        </row>
        <row r="37">
          <cell r="B37" t="str">
            <v>September</v>
          </cell>
        </row>
        <row r="38">
          <cell r="B38" t="str">
            <v>October</v>
          </cell>
          <cell r="C38">
            <v>400000</v>
          </cell>
        </row>
        <row r="39">
          <cell r="B39" t="str">
            <v>November</v>
          </cell>
          <cell r="C39">
            <v>133200</v>
          </cell>
        </row>
        <row r="40">
          <cell r="B40" t="str">
            <v>December</v>
          </cell>
          <cell r="C40">
            <v>50000</v>
          </cell>
        </row>
        <row r="41">
          <cell r="B41" t="str">
            <v>January</v>
          </cell>
          <cell r="C41">
            <v>133200</v>
          </cell>
        </row>
        <row r="42">
          <cell r="B42" t="str">
            <v>February</v>
          </cell>
          <cell r="C42">
            <v>133200</v>
          </cell>
        </row>
        <row r="43">
          <cell r="B43" t="str">
            <v>March</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23" refreshError="1">
        <row r="1">
          <cell r="B1" t="str">
            <v>Tanir Bavi Power Facility</v>
          </cell>
        </row>
        <row r="2">
          <cell r="B2" t="str">
            <v>Period 01-06-01 to 31-03-02 (10 months)</v>
          </cell>
        </row>
        <row r="4">
          <cell r="D4" t="str">
            <v>Category:</v>
          </cell>
          <cell r="E4" t="str">
            <v>Plant Consumables</v>
          </cell>
        </row>
        <row r="6">
          <cell r="B6" t="str">
            <v>Responsible Team Member Name:</v>
          </cell>
          <cell r="D6" t="str">
            <v>Sundarajan</v>
          </cell>
        </row>
        <row r="8">
          <cell r="B8" t="str">
            <v>Category Includes:</v>
          </cell>
        </row>
        <row r="10">
          <cell r="B10" t="str">
            <v xml:space="preserve">Charts, logs, touch up paint, computer disks,  shovels, gloves and other misc. consumable items used in normal operations. Materials consumed in the course of plant maintenance that cannot be charged as replacement parts. </v>
          </cell>
        </row>
        <row r="14">
          <cell r="B14" t="str">
            <v>Budget Estimate Basis:</v>
          </cell>
        </row>
        <row r="16">
          <cell r="B16" t="str">
            <v>Based on the equipment preventive and predictive maintenance programs and general operations support.</v>
          </cell>
        </row>
        <row r="17">
          <cell r="B17" t="str">
            <v xml:space="preserve">It is also assumed  balance 50% will be met by  chiller units </v>
          </cell>
        </row>
        <row r="22">
          <cell r="B22" t="str">
            <v>Calculations:</v>
          </cell>
          <cell r="G22" t="str">
            <v>$ comp</v>
          </cell>
        </row>
        <row r="23">
          <cell r="B23" t="str">
            <v>Fuel Fowarding</v>
          </cell>
          <cell r="C23">
            <v>300000</v>
          </cell>
          <cell r="G23" t="str">
            <v xml:space="preserve">US $ comp </v>
          </cell>
        </row>
        <row r="24">
          <cell r="B24" t="str">
            <v>Electrical consumables</v>
          </cell>
          <cell r="C24">
            <v>375000</v>
          </cell>
          <cell r="D24" t="str">
            <v>spares for condensate pump  etc</v>
          </cell>
          <cell r="E24" t="str">
            <v>Legal</v>
          </cell>
          <cell r="F24" t="str">
            <v>8 trips /PM *12000tkt*10mths</v>
          </cell>
          <cell r="G24" t="str">
            <v>(included in Total )</v>
          </cell>
        </row>
        <row r="25">
          <cell r="B25" t="str">
            <v xml:space="preserve">Mech item, welding rod, nut, </v>
          </cell>
          <cell r="C25">
            <v>500000</v>
          </cell>
          <cell r="D25" t="str">
            <v>Asper contract recd</v>
          </cell>
          <cell r="E25" t="str">
            <v>Expenses</v>
          </cell>
          <cell r="F25" t="str">
            <v>Rs 8000 Per Trip *6trips*10mths*</v>
          </cell>
          <cell r="G25">
            <v>480000</v>
          </cell>
        </row>
        <row r="26">
          <cell r="B26" t="str">
            <v>bolt, washers, caps, etc.</v>
          </cell>
          <cell r="C26">
            <v>550000</v>
          </cell>
          <cell r="D26" t="str">
            <v>6 people *100rs *300 days +Seeds+Manure</v>
          </cell>
          <cell r="E26" t="str">
            <v xml:space="preserve">Comp for director services </v>
          </cell>
          <cell r="F26">
            <v>842400</v>
          </cell>
          <cell r="G26">
            <v>500000</v>
          </cell>
        </row>
        <row r="27">
          <cell r="B27" t="str">
            <v>Gas, hyd oil for entire plant</v>
          </cell>
          <cell r="C27">
            <v>100000</v>
          </cell>
          <cell r="E27" t="str">
            <v xml:space="preserve">intl.Audit </v>
          </cell>
          <cell r="F27" t="str">
            <v xml:space="preserve">US $ 16250 @Rs 47.50 </v>
          </cell>
          <cell r="G27">
            <v>200000</v>
          </cell>
        </row>
        <row r="28">
          <cell r="B28" t="str">
            <v>Filters</v>
          </cell>
          <cell r="C28">
            <v>350000</v>
          </cell>
          <cell r="F28" t="str">
            <v>*exp is made to 6 to match the usage of TBP guest house</v>
          </cell>
        </row>
        <row r="29">
          <cell r="B29" t="str">
            <v>Gasket, o ring, oil seal</v>
          </cell>
          <cell r="C29">
            <v>450000</v>
          </cell>
          <cell r="G29">
            <v>5210</v>
          </cell>
        </row>
        <row r="30">
          <cell r="B30" t="str">
            <v xml:space="preserve">Bearings </v>
          </cell>
          <cell r="C30">
            <v>100000</v>
          </cell>
          <cell r="G30">
            <v>5207</v>
          </cell>
        </row>
        <row r="31">
          <cell r="B31" t="str">
            <v>Fibre liner and related pack</v>
          </cell>
          <cell r="C31">
            <v>0</v>
          </cell>
          <cell r="D31" t="str">
            <v>est @Rs 5000/mont for 10 months</v>
          </cell>
          <cell r="G31">
            <v>1940000</v>
          </cell>
        </row>
        <row r="32">
          <cell r="B32" t="str">
            <v>Consumable for STO</v>
          </cell>
          <cell r="C32">
            <v>20000</v>
          </cell>
          <cell r="G32">
            <v>1193400</v>
          </cell>
        </row>
        <row r="33">
          <cell r="B33" t="str">
            <v>Cons for chilled water system</v>
          </cell>
          <cell r="C33">
            <v>20000</v>
          </cell>
          <cell r="G33">
            <v>7000</v>
          </cell>
        </row>
        <row r="34">
          <cell r="B34" t="str">
            <v>Misc system</v>
          </cell>
          <cell r="C34">
            <v>35000</v>
          </cell>
        </row>
        <row r="35">
          <cell r="B35" t="str">
            <v>Plant Low Voltage</v>
          </cell>
          <cell r="C35">
            <v>150000</v>
          </cell>
          <cell r="D35" t="str">
            <v>* 2batch*3 days =6 days *40000</v>
          </cell>
          <cell r="F35">
            <v>240000</v>
          </cell>
        </row>
        <row r="36">
          <cell r="B36" t="str">
            <v>Fire Protection System</v>
          </cell>
          <cell r="C36">
            <v>500000</v>
          </cell>
          <cell r="D36" t="str">
            <v>2days*2batch</v>
          </cell>
          <cell r="F36">
            <v>160000</v>
          </cell>
          <cell r="G36">
            <v>2810000</v>
          </cell>
        </row>
        <row r="37">
          <cell r="B37" t="str">
            <v>CW system  treatment</v>
          </cell>
          <cell r="C37">
            <v>450000</v>
          </cell>
          <cell r="D37" t="str">
            <v>2days *2batch</v>
          </cell>
          <cell r="F37">
            <v>160000</v>
          </cell>
        </row>
        <row r="38">
          <cell r="B38" t="str">
            <v>CC / SC Cooling Water System</v>
          </cell>
          <cell r="C38">
            <v>100000</v>
          </cell>
          <cell r="F38">
            <v>560000</v>
          </cell>
          <cell r="G38">
            <v>1590</v>
          </cell>
        </row>
        <row r="39">
          <cell r="B39" t="str">
            <v>Total</v>
          </cell>
          <cell r="C39">
            <v>2000000</v>
          </cell>
          <cell r="D39" t="str">
            <v>Professional fees</v>
          </cell>
          <cell r="F39">
            <v>300000</v>
          </cell>
          <cell r="G39">
            <v>10417</v>
          </cell>
        </row>
        <row r="40">
          <cell r="B40" t="str">
            <v>OTSG Spares</v>
          </cell>
          <cell r="C40">
            <v>400000</v>
          </cell>
          <cell r="D40" t="str">
            <v>Matl/travel</v>
          </cell>
          <cell r="F40">
            <v>100000</v>
          </cell>
          <cell r="G40">
            <v>2000000</v>
          </cell>
        </row>
        <row r="41">
          <cell r="B41" t="str">
            <v>Black Start DG set</v>
          </cell>
          <cell r="C41">
            <v>200000</v>
          </cell>
          <cell r="D41" t="str">
            <v>Total Training</v>
          </cell>
          <cell r="F41">
            <v>960000</v>
          </cell>
          <cell r="G41">
            <v>5500</v>
          </cell>
        </row>
        <row r="42">
          <cell r="B42" t="str">
            <v>Debris Filter &amp; Ball Cleaning</v>
          </cell>
          <cell r="C42">
            <v>400000</v>
          </cell>
          <cell r="G42">
            <v>10300</v>
          </cell>
        </row>
        <row r="43">
          <cell r="B43" t="str">
            <v>Total</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24" refreshError="1">
        <row r="1">
          <cell r="B1" t="str">
            <v>Tanir Bavi Power Facility</v>
          </cell>
        </row>
        <row r="2">
          <cell r="B2" t="str">
            <v>Period 01-06-01 to 31-03-02 (10 months)</v>
          </cell>
        </row>
        <row r="4">
          <cell r="D4" t="str">
            <v>Category:</v>
          </cell>
          <cell r="E4" t="str">
            <v>Lubricants</v>
          </cell>
        </row>
        <row r="6">
          <cell r="B6" t="str">
            <v>Responsible Team Member Name:</v>
          </cell>
          <cell r="D6" t="str">
            <v>Ravi</v>
          </cell>
        </row>
        <row r="8">
          <cell r="B8" t="str">
            <v>Category Includes:</v>
          </cell>
        </row>
        <row r="10">
          <cell r="B10" t="str">
            <v>Greases, oils and other lubricants for the plant machinery.</v>
          </cell>
        </row>
        <row r="14">
          <cell r="B14" t="str">
            <v>Budget Estimate Basis:</v>
          </cell>
        </row>
        <row r="16">
          <cell r="B16" t="str">
            <v>Based on the equipment preventive and predictive maintenance programs.</v>
          </cell>
        </row>
        <row r="17">
          <cell r="B17" t="str">
            <v>Third party liability  ( for GPOL only )</v>
          </cell>
        </row>
        <row r="21">
          <cell r="B21" t="str">
            <v>Calculations:</v>
          </cell>
        </row>
        <row r="22">
          <cell r="B22" t="str">
            <v>Calculations:</v>
          </cell>
        </row>
        <row r="23">
          <cell r="B23" t="str">
            <v>Comprehensive Auto. Liab.</v>
          </cell>
          <cell r="E23" t="str">
            <v>Calculated for 10 team members (2nd class A/C - train)</v>
          </cell>
          <cell r="G23">
            <v>120000</v>
          </cell>
        </row>
        <row r="24">
          <cell r="B24" t="str">
            <v>Lubs oils</v>
          </cell>
          <cell r="C24">
            <v>2500000</v>
          </cell>
          <cell r="D24" t="str">
            <v>Water Cess</v>
          </cell>
          <cell r="E24" t="str">
            <v>Rs5000/hr*8hrs per month *10 months</v>
          </cell>
          <cell r="F24">
            <v>8100</v>
          </cell>
          <cell r="G24">
            <v>100000</v>
          </cell>
        </row>
        <row r="25">
          <cell r="B25" t="str">
            <v>Excess/Umbrella Liab.</v>
          </cell>
          <cell r="C25">
            <v>10000</v>
          </cell>
          <cell r="E25" t="str">
            <v>Per month</v>
          </cell>
          <cell r="F25">
            <v>243000</v>
          </cell>
          <cell r="G25">
            <v>280000</v>
          </cell>
        </row>
        <row r="26">
          <cell r="B26" t="str">
            <v>Scaffolding</v>
          </cell>
          <cell r="C26">
            <v>150000</v>
          </cell>
          <cell r="D26" t="str">
            <v>Toward 4" dia 300mtr pipe and clamps</v>
          </cell>
          <cell r="E26" t="str">
            <v xml:space="preserve">For 10 months </v>
          </cell>
          <cell r="F26">
            <v>2430000</v>
          </cell>
          <cell r="G26">
            <v>40000</v>
          </cell>
        </row>
        <row r="27">
          <cell r="B27" t="str">
            <v>General Machines</v>
          </cell>
          <cell r="C27">
            <v>100000</v>
          </cell>
          <cell r="E27" t="str">
            <v xml:space="preserve">Co2+H2 (Lab) </v>
          </cell>
          <cell r="G27">
            <v>20000</v>
          </cell>
        </row>
        <row r="28">
          <cell r="B28" t="str">
            <v>High Pressure Pump</v>
          </cell>
          <cell r="C28">
            <v>70000</v>
          </cell>
          <cell r="E28" t="str">
            <v>estimate Rs. 5000 each</v>
          </cell>
          <cell r="G28">
            <v>630000</v>
          </cell>
        </row>
        <row r="29">
          <cell r="B29" t="str">
            <v>Boat</v>
          </cell>
          <cell r="C29">
            <v>120000</v>
          </cell>
          <cell r="E29" t="str">
            <v>Discount of 25% for payment on time not</v>
          </cell>
          <cell r="G29">
            <v>200000</v>
          </cell>
        </row>
        <row r="30">
          <cell r="B30" t="str">
            <v>Total</v>
          </cell>
          <cell r="C30">
            <v>2500000</v>
          </cell>
          <cell r="D30" t="str">
            <v>Rs 500/hr*20hrs per month *10months</v>
          </cell>
          <cell r="E30" t="str">
            <v>considered</v>
          </cell>
          <cell r="G30">
            <v>973000</v>
          </cell>
        </row>
        <row r="31">
          <cell r="B31" t="str">
            <v>Total</v>
          </cell>
          <cell r="C31">
            <v>950000</v>
          </cell>
          <cell r="E31" t="str">
            <v>estimate 15 children @ Rs. 15000 each</v>
          </cell>
          <cell r="G31">
            <v>2500000</v>
          </cell>
        </row>
        <row r="32">
          <cell r="B32" t="str">
            <v>Water Cess</v>
          </cell>
          <cell r="C32">
            <v>2430000</v>
          </cell>
          <cell r="E32" t="str">
            <v>For interview /travel , head hunter etc.,</v>
          </cell>
          <cell r="G32">
            <v>950000</v>
          </cell>
        </row>
        <row r="33">
          <cell r="B33" t="str">
            <v>April</v>
          </cell>
          <cell r="C33">
            <v>925000</v>
          </cell>
          <cell r="E33" t="str">
            <v>Pens/Pencils/Markers/etc.</v>
          </cell>
        </row>
        <row r="34">
          <cell r="B34" t="str">
            <v>June</v>
          </cell>
          <cell r="C34">
            <v>2539000</v>
          </cell>
          <cell r="E34" t="str">
            <v>Hole Punch</v>
          </cell>
          <cell r="G34">
            <v>925000</v>
          </cell>
        </row>
        <row r="35">
          <cell r="B35" t="str">
            <v>July</v>
          </cell>
          <cell r="G35">
            <v>2539000</v>
          </cell>
        </row>
        <row r="36">
          <cell r="B36" t="str">
            <v>August</v>
          </cell>
        </row>
        <row r="37">
          <cell r="B37" t="str">
            <v>September</v>
          </cell>
          <cell r="E37" t="str">
            <v xml:space="preserve">Water Cess monthly Rest in Feb </v>
          </cell>
        </row>
        <row r="38">
          <cell r="B38" t="str">
            <v>October</v>
          </cell>
          <cell r="C38">
            <v>0</v>
          </cell>
        </row>
        <row r="39">
          <cell r="B39" t="str">
            <v>November</v>
          </cell>
          <cell r="C39">
            <v>243000</v>
          </cell>
          <cell r="E39" t="str">
            <v>Boiler Operataor's licenece for 2001-2 will be provided by TBP</v>
          </cell>
        </row>
        <row r="40">
          <cell r="B40" t="str">
            <v>December</v>
          </cell>
          <cell r="C40">
            <v>243000</v>
          </cell>
          <cell r="E40" t="str">
            <v>Land cess to be paid and provided in budget of TBP</v>
          </cell>
        </row>
        <row r="41">
          <cell r="B41" t="str">
            <v>January</v>
          </cell>
          <cell r="C41">
            <v>0</v>
          </cell>
          <cell r="G41">
            <v>650000</v>
          </cell>
        </row>
        <row r="42">
          <cell r="B42" t="str">
            <v>February</v>
          </cell>
          <cell r="C42">
            <v>0</v>
          </cell>
        </row>
        <row r="43">
          <cell r="B43" t="str">
            <v>March</v>
          </cell>
          <cell r="C43">
            <v>243000</v>
          </cell>
        </row>
        <row r="44">
          <cell r="B44" t="str">
            <v>March</v>
          </cell>
          <cell r="C44">
            <v>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25" refreshError="1">
        <row r="1">
          <cell r="B1" t="str">
            <v>Tanir Bavi Power Facility</v>
          </cell>
        </row>
        <row r="2">
          <cell r="B2" t="str">
            <v>Period 01-06-01 to 31-03-02 (10 months)</v>
          </cell>
        </row>
        <row r="4">
          <cell r="D4" t="str">
            <v>Category:</v>
          </cell>
          <cell r="E4" t="str">
            <v>Tools Purchase</v>
          </cell>
        </row>
        <row r="6">
          <cell r="B6" t="str">
            <v>Responsible Team Member Name:</v>
          </cell>
          <cell r="D6" t="str">
            <v>Sundarrajan</v>
          </cell>
        </row>
        <row r="8">
          <cell r="B8" t="str">
            <v>Category Includes:</v>
          </cell>
        </row>
        <row r="10">
          <cell r="B10" t="str">
            <v>Hand and power tools used in plant maintenance. Includes personal tools of Team Members.</v>
          </cell>
        </row>
        <row r="14">
          <cell r="B14" t="str">
            <v>Budget Estimate Basis:</v>
          </cell>
        </row>
        <row r="16">
          <cell r="B16" t="str">
            <v>Estimate based on replacing / supplementing the tooling provided as part of the project</v>
          </cell>
        </row>
        <row r="22">
          <cell r="B22" t="str">
            <v>Calculations:</v>
          </cell>
        </row>
        <row r="23">
          <cell r="B23" t="str">
            <v>Plant Security</v>
          </cell>
          <cell r="C23" t="str">
            <v>RS</v>
          </cell>
          <cell r="E23" t="str">
            <v>10 months *Rs 3 lac /month based on quote from existing security</v>
          </cell>
        </row>
        <row r="24">
          <cell r="B24" t="str">
            <v>Replacement hand/powertools</v>
          </cell>
          <cell r="C24">
            <v>150000</v>
          </cell>
          <cell r="D24" t="str">
            <v>Ge agrrement  LC charges to be included in TBP budget</v>
          </cell>
          <cell r="E24" t="str">
            <v>1 ton/day@4000/ton 300 days</v>
          </cell>
          <cell r="F24" t="str">
            <v>Rs 500/piece*50</v>
          </cell>
          <cell r="G24">
            <v>1200000</v>
          </cell>
        </row>
        <row r="25">
          <cell r="B25" t="str">
            <v>Additional hand/power tooling</v>
          </cell>
          <cell r="C25">
            <v>450000</v>
          </cell>
          <cell r="E25" t="str">
            <v>Rs75/Day*60 person*30 days*10</v>
          </cell>
          <cell r="F25" t="str">
            <v>Rs 300/piece*100</v>
          </cell>
          <cell r="G25">
            <v>1350000</v>
          </cell>
        </row>
        <row r="26">
          <cell r="B26" t="str">
            <v>Repairs / accessories / add l.</v>
          </cell>
          <cell r="C26">
            <v>71250</v>
          </cell>
          <cell r="F26" t="str">
            <v>Rs 1425/piece*50</v>
          </cell>
        </row>
        <row r="27">
          <cell r="B27" t="str">
            <v>Machine tools</v>
          </cell>
          <cell r="C27">
            <v>200000</v>
          </cell>
        </row>
        <row r="28">
          <cell r="B28" t="str">
            <v>Oxygen apparatus</v>
          </cell>
          <cell r="C28">
            <v>200000</v>
          </cell>
          <cell r="E28" t="str">
            <v>1 refiil/month/apparatus (8)@rs 2500 /refill</v>
          </cell>
        </row>
        <row r="29">
          <cell r="B29" t="str">
            <v>Total</v>
          </cell>
          <cell r="C29">
            <v>800000</v>
          </cell>
          <cell r="E29" t="str">
            <v>64 KBP Leased Line</v>
          </cell>
        </row>
        <row r="30">
          <cell r="B30" t="str">
            <v>Tags</v>
          </cell>
          <cell r="C30">
            <v>90000</v>
          </cell>
          <cell r="G30">
            <v>800000</v>
          </cell>
        </row>
        <row r="31">
          <cell r="B31" t="str">
            <v>Dispenser chem+absorbent etc</v>
          </cell>
          <cell r="C31">
            <v>300000</v>
          </cell>
          <cell r="G31">
            <v>116220</v>
          </cell>
        </row>
        <row r="32">
          <cell r="B32" t="str">
            <v>April</v>
          </cell>
          <cell r="C32">
            <v>1365000</v>
          </cell>
        </row>
        <row r="33">
          <cell r="B33" t="str">
            <v>May</v>
          </cell>
          <cell r="C33">
            <v>751250</v>
          </cell>
          <cell r="G33">
            <v>1365000</v>
          </cell>
        </row>
        <row r="34">
          <cell r="B34" t="str">
            <v>June</v>
          </cell>
          <cell r="G34">
            <v>751250</v>
          </cell>
        </row>
        <row r="35">
          <cell r="B35" t="str">
            <v>July</v>
          </cell>
          <cell r="C35">
            <v>200000</v>
          </cell>
        </row>
        <row r="36">
          <cell r="B36" t="str">
            <v>August</v>
          </cell>
        </row>
        <row r="37">
          <cell r="B37" t="str">
            <v>September</v>
          </cell>
          <cell r="C37">
            <v>431666.66666666669</v>
          </cell>
          <cell r="D37" t="str">
            <v>Oxygen monthly all others in Dec</v>
          </cell>
        </row>
        <row r="38">
          <cell r="B38" t="str">
            <v>October</v>
          </cell>
          <cell r="C38">
            <v>200000</v>
          </cell>
        </row>
        <row r="39">
          <cell r="B39" t="str">
            <v>November</v>
          </cell>
          <cell r="C39">
            <v>50000</v>
          </cell>
        </row>
        <row r="40">
          <cell r="B40" t="str">
            <v>December</v>
          </cell>
          <cell r="C40">
            <v>200000</v>
          </cell>
        </row>
        <row r="41">
          <cell r="B41" t="str">
            <v>January</v>
          </cell>
          <cell r="C41">
            <v>50000</v>
          </cell>
        </row>
        <row r="42">
          <cell r="B42" t="str">
            <v>February</v>
          </cell>
          <cell r="C42">
            <v>50000</v>
          </cell>
        </row>
        <row r="43">
          <cell r="B43" t="str">
            <v>March</v>
          </cell>
          <cell r="C43">
            <v>200000</v>
          </cell>
        </row>
        <row r="44">
          <cell r="B44" t="str">
            <v>December</v>
          </cell>
          <cell r="C44">
            <v>800000</v>
          </cell>
        </row>
        <row r="45">
          <cell r="B45" t="str">
            <v>January</v>
          </cell>
          <cell r="C45">
            <v>50000</v>
          </cell>
        </row>
        <row r="46">
          <cell r="B46" t="str">
            <v>February</v>
          </cell>
          <cell r="C46">
            <v>50000</v>
          </cell>
        </row>
        <row r="47">
          <cell r="B47" t="str">
            <v>March</v>
          </cell>
          <cell r="C47">
            <v>50000</v>
          </cell>
        </row>
        <row r="48">
          <cell r="C48">
            <v>751250</v>
          </cell>
        </row>
      </sheetData>
      <sheetData sheetId="26" refreshError="1">
        <row r="1">
          <cell r="B1" t="str">
            <v>Tanir Bavi Power Facility</v>
          </cell>
        </row>
        <row r="2">
          <cell r="B2" t="str">
            <v>Period 01-06-01 to 31-03-02 (10 months)</v>
          </cell>
        </row>
        <row r="4">
          <cell r="D4" t="str">
            <v>Category:</v>
          </cell>
          <cell r="E4" t="str">
            <v>Warehouse Storage Equipment</v>
          </cell>
        </row>
        <row r="6">
          <cell r="B6" t="str">
            <v>Responsible Team Member Name:</v>
          </cell>
          <cell r="D6" t="str">
            <v>Jollymoan</v>
          </cell>
        </row>
        <row r="8">
          <cell r="B8" t="str">
            <v>Category Includes:</v>
          </cell>
        </row>
        <row r="10">
          <cell r="B10" t="str">
            <v>Repairs or additions to shelving, racks, and drawers.</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based on optimizing the warehouse plan for current operations and maintenance.</v>
          </cell>
        </row>
        <row r="22">
          <cell r="B22" t="str">
            <v>Calculations:</v>
          </cell>
        </row>
        <row r="24">
          <cell r="B24" t="str">
            <v>Bins</v>
          </cell>
          <cell r="C24">
            <v>50000</v>
          </cell>
          <cell r="D24" t="str">
            <v>4.5ltr/hr*2hr/day*300 days*Rs. 20 / ltr.</v>
          </cell>
          <cell r="E24" t="str">
            <v>Includes:</v>
          </cell>
          <cell r="F24" t="str">
            <v>Lab chemicals</v>
          </cell>
          <cell r="G24">
            <v>500000</v>
          </cell>
        </row>
        <row r="25">
          <cell r="B25" t="str">
            <v>Truck - Battery Operated</v>
          </cell>
          <cell r="C25" t="str">
            <v>NA</v>
          </cell>
          <cell r="D25" t="str">
            <v>Pant</v>
          </cell>
          <cell r="E25" t="str">
            <v>3*1.3mtr*Rs. 540*40 persons</v>
          </cell>
          <cell r="F25" t="str">
            <v>Lab consumables</v>
          </cell>
          <cell r="G25">
            <v>175000</v>
          </cell>
        </row>
        <row r="26">
          <cell r="B26" t="str">
            <v xml:space="preserve">Disel fire pumps </v>
          </cell>
          <cell r="C26">
            <v>93600</v>
          </cell>
          <cell r="E26" t="str">
            <v>Stitching</v>
          </cell>
          <cell r="F26" t="str">
            <v xml:space="preserve">Lab additional items </v>
          </cell>
          <cell r="G26">
            <v>150000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50000</v>
          </cell>
        </row>
        <row r="30">
          <cell r="B30" t="str">
            <v>Total</v>
          </cell>
          <cell r="C30">
            <v>147600</v>
          </cell>
          <cell r="G30">
            <v>50000</v>
          </cell>
        </row>
        <row r="31">
          <cell r="G31">
            <v>147600</v>
          </cell>
        </row>
        <row r="32">
          <cell r="B32" t="str">
            <v>April</v>
          </cell>
          <cell r="C32">
            <v>337240</v>
          </cell>
        </row>
        <row r="33">
          <cell r="B33" t="str">
            <v>May</v>
          </cell>
          <cell r="C33">
            <v>800000</v>
          </cell>
          <cell r="G33">
            <v>337240</v>
          </cell>
        </row>
        <row r="34">
          <cell r="B34" t="str">
            <v>June</v>
          </cell>
          <cell r="G34">
            <v>800000</v>
          </cell>
        </row>
        <row r="35">
          <cell r="B35" t="str">
            <v>July</v>
          </cell>
        </row>
        <row r="36">
          <cell r="B36" t="str">
            <v>August</v>
          </cell>
        </row>
        <row r="37">
          <cell r="B37" t="str">
            <v>September</v>
          </cell>
        </row>
        <row r="38">
          <cell r="B38" t="str">
            <v>October</v>
          </cell>
          <cell r="C38">
            <v>400000</v>
          </cell>
        </row>
        <row r="39">
          <cell r="B39" t="str">
            <v>November</v>
          </cell>
          <cell r="C39">
            <v>133200</v>
          </cell>
        </row>
        <row r="40">
          <cell r="B40" t="str">
            <v>December</v>
          </cell>
          <cell r="C40">
            <v>50000</v>
          </cell>
        </row>
        <row r="41">
          <cell r="B41" t="str">
            <v>January</v>
          </cell>
          <cell r="C41">
            <v>133200</v>
          </cell>
        </row>
        <row r="42">
          <cell r="B42" t="str">
            <v>February</v>
          </cell>
          <cell r="C42">
            <v>133200</v>
          </cell>
        </row>
        <row r="43">
          <cell r="B43" t="str">
            <v>March</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27" refreshError="1">
        <row r="1">
          <cell r="B1" t="str">
            <v>Tanir Bavi Power Facility</v>
          </cell>
        </row>
        <row r="2">
          <cell r="B2" t="str">
            <v>Period 01-06-01 to 31-03-02 (10 months)</v>
          </cell>
        </row>
        <row r="4">
          <cell r="D4" t="str">
            <v>Category:</v>
          </cell>
          <cell r="E4" t="str">
            <v>Replacement Parts</v>
          </cell>
        </row>
        <row r="6">
          <cell r="B6" t="str">
            <v>Responsible Team Member Name:</v>
          </cell>
          <cell r="D6" t="str">
            <v>Team</v>
          </cell>
        </row>
        <row r="8">
          <cell r="B8" t="str">
            <v>Category Includes:</v>
          </cell>
        </row>
        <row r="10">
          <cell r="B10" t="str">
            <v xml:space="preserve">Replacement of spare parts from warehouse and parts purchased to repair permanent plant equipment. Parts are charged to this account in connection with specific work orders. </v>
          </cell>
        </row>
        <row r="14">
          <cell r="B14" t="str">
            <v>Budget Estimate Basis:</v>
          </cell>
        </row>
        <row r="16">
          <cell r="B16" t="str">
            <v>Based on the equipment preventive and predictive maintenance programs.</v>
          </cell>
        </row>
        <row r="17">
          <cell r="B17" t="str">
            <v xml:space="preserve">It is also assumed  balance 50% will be met by  chiller units </v>
          </cell>
        </row>
        <row r="22">
          <cell r="B22" t="str">
            <v>Calculations:</v>
          </cell>
          <cell r="G22" t="str">
            <v>$ comp</v>
          </cell>
        </row>
        <row r="23">
          <cell r="B23" t="str">
            <v>Fuel Fowarding</v>
          </cell>
          <cell r="C23">
            <v>300000</v>
          </cell>
          <cell r="G23" t="str">
            <v>( incl in Total )</v>
          </cell>
        </row>
        <row r="24">
          <cell r="B24" t="str">
            <v xml:space="preserve">Steam Turbine other than LTSA </v>
          </cell>
          <cell r="C24">
            <v>900000</v>
          </cell>
          <cell r="D24" t="str">
            <v>spares for condensate pump  etc</v>
          </cell>
          <cell r="E24" t="str">
            <v>Rs50/bottle*8bot*300</v>
          </cell>
          <cell r="F24" t="str">
            <v>8 trips /PM *12000tkt*10mths</v>
          </cell>
          <cell r="G24" t="str">
            <v>(included in Total )</v>
          </cell>
        </row>
        <row r="25">
          <cell r="B25" t="str">
            <v>CPU</v>
          </cell>
          <cell r="C25">
            <v>500000</v>
          </cell>
          <cell r="D25" t="str">
            <v>Asper contract recd</v>
          </cell>
          <cell r="E25" t="str">
            <v xml:space="preserve">kg175*2timesaday * 300 Days </v>
          </cell>
          <cell r="F25">
            <v>315000</v>
          </cell>
          <cell r="G25">
            <v>10650</v>
          </cell>
        </row>
        <row r="26">
          <cell r="B26" t="str">
            <v>EDI</v>
          </cell>
          <cell r="C26">
            <v>350000</v>
          </cell>
          <cell r="D26" t="str">
            <v>6 people *100rs *300 days +Seeds+Manure</v>
          </cell>
          <cell r="E26" t="str">
            <v>Kg78*2*300 Days</v>
          </cell>
          <cell r="F26">
            <v>842400</v>
          </cell>
          <cell r="G26">
            <v>7500</v>
          </cell>
        </row>
        <row r="27">
          <cell r="B27" t="str">
            <v>DWS</v>
          </cell>
          <cell r="C27">
            <v>54750</v>
          </cell>
          <cell r="E27" t="str">
            <v xml:space="preserve">intl.Audit </v>
          </cell>
          <cell r="F27" t="str">
            <v xml:space="preserve">US $ 16250 @Rs 47.50 </v>
          </cell>
          <cell r="G27">
            <v>200000</v>
          </cell>
        </row>
        <row r="28">
          <cell r="B28" t="str">
            <v>Inst Air</v>
          </cell>
          <cell r="C28">
            <v>500000</v>
          </cell>
          <cell r="F28" t="str">
            <v>*exp is made to 6 to match the usage of TBP guest house</v>
          </cell>
        </row>
        <row r="29">
          <cell r="B29" t="str">
            <v>Relay &amp; Protection Panel</v>
          </cell>
          <cell r="C29">
            <v>500000</v>
          </cell>
          <cell r="G29">
            <v>5210</v>
          </cell>
        </row>
        <row r="30">
          <cell r="B30" t="str">
            <v>Feed water system</v>
          </cell>
          <cell r="C30">
            <v>600000</v>
          </cell>
          <cell r="G30">
            <v>4000</v>
          </cell>
        </row>
        <row r="31">
          <cell r="B31" t="str">
            <v>Max DCS</v>
          </cell>
          <cell r="C31">
            <v>500000</v>
          </cell>
          <cell r="D31" t="str">
            <v>est @Rs 5000/mont for 10 months</v>
          </cell>
          <cell r="G31">
            <v>11000</v>
          </cell>
        </row>
        <row r="32">
          <cell r="B32" t="str">
            <v>220 KV, HV,MV &amp; PLCC</v>
          </cell>
          <cell r="C32">
            <v>300000</v>
          </cell>
          <cell r="G32">
            <v>1193400</v>
          </cell>
        </row>
        <row r="33">
          <cell r="B33" t="str">
            <v>Chilled Water System</v>
          </cell>
          <cell r="C33">
            <v>400000</v>
          </cell>
          <cell r="G33">
            <v>7000</v>
          </cell>
        </row>
        <row r="34">
          <cell r="B34" t="str">
            <v>DWS PLC</v>
          </cell>
          <cell r="C34">
            <v>200000</v>
          </cell>
        </row>
        <row r="35">
          <cell r="B35" t="str">
            <v>Plant Low Voltage</v>
          </cell>
          <cell r="C35">
            <v>150000</v>
          </cell>
          <cell r="D35" t="str">
            <v>* 2batch*3 days =6 days *40000</v>
          </cell>
          <cell r="F35">
            <v>240000</v>
          </cell>
        </row>
        <row r="36">
          <cell r="B36" t="str">
            <v>Fire Protection System</v>
          </cell>
          <cell r="C36">
            <v>500000</v>
          </cell>
          <cell r="D36" t="str">
            <v>2days*2batch</v>
          </cell>
          <cell r="F36">
            <v>160000</v>
          </cell>
          <cell r="G36">
            <v>2810000</v>
          </cell>
        </row>
        <row r="37">
          <cell r="B37" t="str">
            <v>CW system  treatment</v>
          </cell>
          <cell r="C37">
            <v>450000</v>
          </cell>
          <cell r="D37" t="str">
            <v>2days *2batch</v>
          </cell>
          <cell r="F37">
            <v>160000</v>
          </cell>
        </row>
        <row r="38">
          <cell r="B38" t="str">
            <v>CC / SC Cooling Water System</v>
          </cell>
          <cell r="C38">
            <v>100000</v>
          </cell>
          <cell r="F38">
            <v>560000</v>
          </cell>
          <cell r="G38">
            <v>1590</v>
          </cell>
        </row>
        <row r="39">
          <cell r="B39" t="str">
            <v>Stack Monitoring System</v>
          </cell>
          <cell r="C39">
            <v>200000</v>
          </cell>
          <cell r="D39" t="str">
            <v>Professional fees</v>
          </cell>
          <cell r="F39">
            <v>300000</v>
          </cell>
          <cell r="G39">
            <v>10417</v>
          </cell>
        </row>
        <row r="40">
          <cell r="B40" t="str">
            <v>OTSG Spares</v>
          </cell>
          <cell r="C40">
            <v>400000</v>
          </cell>
          <cell r="D40" t="str">
            <v>Matl/travel</v>
          </cell>
          <cell r="F40">
            <v>100000</v>
          </cell>
          <cell r="G40">
            <v>6000</v>
          </cell>
        </row>
        <row r="41">
          <cell r="B41" t="str">
            <v>Black Start DG set</v>
          </cell>
          <cell r="C41">
            <v>200000</v>
          </cell>
          <cell r="D41" t="str">
            <v>Total Training</v>
          </cell>
          <cell r="F41">
            <v>960000</v>
          </cell>
          <cell r="G41">
            <v>5500</v>
          </cell>
        </row>
        <row r="42">
          <cell r="B42" t="str">
            <v>Debris Filter &amp; Ball Cleaning</v>
          </cell>
          <cell r="C42">
            <v>400000</v>
          </cell>
          <cell r="G42">
            <v>10300</v>
          </cell>
        </row>
        <row r="43">
          <cell r="B43" t="str">
            <v>Total</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28" refreshError="1">
        <row r="1">
          <cell r="B1" t="str">
            <v>Tanir Bavi Power Facility</v>
          </cell>
        </row>
        <row r="2">
          <cell r="B2" t="str">
            <v>Period 01-06-01 to 31-03-02 (10 months)</v>
          </cell>
        </row>
        <row r="4">
          <cell r="D4" t="str">
            <v>Category:</v>
          </cell>
          <cell r="E4" t="str">
            <v>Equipment Rental</v>
          </cell>
        </row>
        <row r="6">
          <cell r="B6" t="str">
            <v>Responsible Team Member Name:</v>
          </cell>
          <cell r="D6" t="str">
            <v>Team</v>
          </cell>
        </row>
        <row r="8">
          <cell r="B8" t="str">
            <v>Category Includes:</v>
          </cell>
        </row>
        <row r="10">
          <cell r="B10" t="str">
            <v xml:space="preserve">Cranes, Trucks, Scaffoldings,  welding machines, portable air compressors, high pressure pump and other similar equipment used in routine work at the plant and Boat required for CW intake / discharge inspection . </v>
          </cell>
        </row>
        <row r="14">
          <cell r="B14" t="str">
            <v>Budget Estimate Basis:</v>
          </cell>
        </row>
        <row r="16">
          <cell r="B16" t="str">
            <v>Based on the equipment preventive and predictive maintenance programs.</v>
          </cell>
        </row>
        <row r="17">
          <cell r="B17" t="str">
            <v>Third party liability  ( for GPOL only )</v>
          </cell>
        </row>
        <row r="21">
          <cell r="B21" t="str">
            <v>Calculations:</v>
          </cell>
        </row>
        <row r="22">
          <cell r="B22" t="str">
            <v>Calculations:</v>
          </cell>
        </row>
        <row r="23">
          <cell r="B23" t="str">
            <v>Comprehensive Auto. Liab.</v>
          </cell>
          <cell r="E23" t="str">
            <v>argon'@10cu.m/day@rs40/cu.m</v>
          </cell>
          <cell r="G23">
            <v>120000</v>
          </cell>
        </row>
        <row r="24">
          <cell r="B24" t="str">
            <v>Crane higher cap</v>
          </cell>
          <cell r="C24">
            <v>400000</v>
          </cell>
          <cell r="D24" t="str">
            <v>Water Cess</v>
          </cell>
          <cell r="E24" t="str">
            <v>Rs5000/hr*8hrs per month *10 months</v>
          </cell>
          <cell r="F24">
            <v>8100</v>
          </cell>
          <cell r="G24">
            <v>100000</v>
          </cell>
        </row>
        <row r="25">
          <cell r="B25" t="str">
            <v>Trucks</v>
          </cell>
          <cell r="C25">
            <v>10000</v>
          </cell>
          <cell r="E25" t="str">
            <v>5 wash / gt*50ltr per wash *280ltr /GT * 4 GT</v>
          </cell>
          <cell r="F25">
            <v>243000</v>
          </cell>
          <cell r="G25">
            <v>280000</v>
          </cell>
        </row>
        <row r="26">
          <cell r="B26" t="str">
            <v>Scaffolding</v>
          </cell>
          <cell r="C26">
            <v>150000</v>
          </cell>
          <cell r="D26" t="str">
            <v>Toward 4" dia 300mtr pipe and clamps</v>
          </cell>
          <cell r="E26" t="str">
            <v xml:space="preserve">LPG 10 cyl/year </v>
          </cell>
          <cell r="F26">
            <v>2430000</v>
          </cell>
          <cell r="G26">
            <v>40000</v>
          </cell>
        </row>
        <row r="27">
          <cell r="B27" t="str">
            <v>General Machines</v>
          </cell>
          <cell r="C27">
            <v>100000</v>
          </cell>
          <cell r="E27" t="str">
            <v xml:space="preserve">Co2+H2 (Lab) </v>
          </cell>
          <cell r="G27">
            <v>20000</v>
          </cell>
        </row>
        <row r="28">
          <cell r="B28" t="str">
            <v>High Pressure Pump</v>
          </cell>
          <cell r="C28">
            <v>70000</v>
          </cell>
          <cell r="E28" t="str">
            <v>Chillier Refrigerant Rs700/Kg@1*900kgs</v>
          </cell>
          <cell r="G28">
            <v>630000</v>
          </cell>
        </row>
        <row r="29">
          <cell r="B29" t="str">
            <v>Boat</v>
          </cell>
          <cell r="C29">
            <v>120000</v>
          </cell>
          <cell r="E29" t="str">
            <v>Discount of 25% for payment on time not</v>
          </cell>
          <cell r="G29">
            <v>200000</v>
          </cell>
        </row>
        <row r="30">
          <cell r="B30" t="str">
            <v>Crane lower Cap</v>
          </cell>
          <cell r="C30">
            <v>100000</v>
          </cell>
          <cell r="D30" t="str">
            <v>Rs 500/hr*20hrs per month *10months</v>
          </cell>
          <cell r="E30" t="str">
            <v>considered</v>
          </cell>
          <cell r="G30">
            <v>973000</v>
          </cell>
        </row>
        <row r="31">
          <cell r="B31" t="str">
            <v>Total</v>
          </cell>
          <cell r="C31">
            <v>950000</v>
          </cell>
          <cell r="E31" t="str">
            <v>estimate 15 children @ Rs. 15000 each</v>
          </cell>
          <cell r="G31">
            <v>2500000</v>
          </cell>
        </row>
        <row r="32">
          <cell r="B32" t="str">
            <v>Water Cess</v>
          </cell>
          <cell r="C32">
            <v>2430000</v>
          </cell>
          <cell r="E32" t="str">
            <v>For interview /travel , head hunter etc.,</v>
          </cell>
          <cell r="G32">
            <v>950000</v>
          </cell>
        </row>
        <row r="33">
          <cell r="B33" t="str">
            <v>April</v>
          </cell>
          <cell r="C33">
            <v>925000</v>
          </cell>
          <cell r="E33" t="str">
            <v>Pens/Pencils/Markers/etc.</v>
          </cell>
        </row>
        <row r="34">
          <cell r="B34" t="str">
            <v>May</v>
          </cell>
          <cell r="C34">
            <v>2539000</v>
          </cell>
          <cell r="E34" t="str">
            <v>Hole Punch</v>
          </cell>
          <cell r="G34">
            <v>925000</v>
          </cell>
        </row>
        <row r="35">
          <cell r="B35" t="str">
            <v>June</v>
          </cell>
          <cell r="G35">
            <v>2539000</v>
          </cell>
        </row>
        <row r="36">
          <cell r="B36" t="str">
            <v>July</v>
          </cell>
        </row>
        <row r="37">
          <cell r="B37" t="str">
            <v>August</v>
          </cell>
          <cell r="E37" t="str">
            <v xml:space="preserve">Water Cess monthly Rest in Feb </v>
          </cell>
        </row>
        <row r="38">
          <cell r="B38" t="str">
            <v>September</v>
          </cell>
          <cell r="C38">
            <v>0</v>
          </cell>
        </row>
        <row r="39">
          <cell r="B39" t="str">
            <v>October</v>
          </cell>
          <cell r="C39">
            <v>243000</v>
          </cell>
          <cell r="E39" t="str">
            <v>Boiler Operataor's licenece for 2001-2 will be provided by TBP</v>
          </cell>
        </row>
        <row r="40">
          <cell r="B40" t="str">
            <v>November</v>
          </cell>
          <cell r="C40">
            <v>243000</v>
          </cell>
          <cell r="E40" t="str">
            <v>Land cess to be paid and provided in budget of TBP</v>
          </cell>
        </row>
        <row r="41">
          <cell r="B41" t="str">
            <v>December</v>
          </cell>
          <cell r="C41">
            <v>0</v>
          </cell>
          <cell r="G41">
            <v>650000</v>
          </cell>
        </row>
        <row r="42">
          <cell r="B42" t="str">
            <v>January</v>
          </cell>
          <cell r="C42">
            <v>0</v>
          </cell>
        </row>
        <row r="43">
          <cell r="B43" t="str">
            <v>February</v>
          </cell>
          <cell r="C43">
            <v>243000</v>
          </cell>
        </row>
        <row r="44">
          <cell r="B44" t="str">
            <v>March</v>
          </cell>
          <cell r="C44">
            <v>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29" refreshError="1">
        <row r="1">
          <cell r="B1" t="str">
            <v>Tanir Bavi Power Facility</v>
          </cell>
        </row>
        <row r="2">
          <cell r="B2" t="str">
            <v>Period 01-06-01 to 31-03-02 (10 months)</v>
          </cell>
        </row>
        <row r="4">
          <cell r="D4" t="str">
            <v>Category:</v>
          </cell>
          <cell r="E4" t="str">
            <v>Mobile Equipment Maintenance</v>
          </cell>
        </row>
        <row r="6">
          <cell r="B6" t="str">
            <v>Responsible Team Member Name:</v>
          </cell>
          <cell r="D6" t="str">
            <v>Jollymoan</v>
          </cell>
        </row>
        <row r="8">
          <cell r="B8" t="str">
            <v>Category Includes:</v>
          </cell>
        </row>
        <row r="10">
          <cell r="B10" t="str">
            <v>Repairs and general maintenance to plant vehicles and mobile equipment.</v>
          </cell>
        </row>
        <row r="14">
          <cell r="B14" t="str">
            <v>Budget Estimate Basis:</v>
          </cell>
        </row>
        <row r="16">
          <cell r="B16" t="str">
            <v>Estimate based on anticipated usage.</v>
          </cell>
        </row>
        <row r="22">
          <cell r="B22" t="str">
            <v>Calculations:</v>
          </cell>
        </row>
        <row r="23">
          <cell r="B23" t="str">
            <v>Plant Security</v>
          </cell>
          <cell r="C23">
            <v>3000000</v>
          </cell>
          <cell r="E23" t="str">
            <v>10 months *Rs 3 lac /month based on quote from existing security</v>
          </cell>
        </row>
        <row r="24">
          <cell r="B24" t="str">
            <v>Forklift</v>
          </cell>
          <cell r="C24">
            <v>42220</v>
          </cell>
          <cell r="D24" t="str">
            <v>Ge agrrement  LC charges to be included in TBP budget</v>
          </cell>
          <cell r="E24" t="str">
            <v>1 ton/day@4000/ton 300 days</v>
          </cell>
          <cell r="F24" t="str">
            <v>Rs 500/piece*50</v>
          </cell>
          <cell r="G24">
            <v>1200000</v>
          </cell>
        </row>
        <row r="25">
          <cell r="B25" t="str">
            <v>Truck-battery operated</v>
          </cell>
          <cell r="C25">
            <v>39000</v>
          </cell>
          <cell r="E25" t="str">
            <v>Rs75/Day*60 person*30 days*10</v>
          </cell>
          <cell r="F25" t="str">
            <v>Rs 300/piece*100</v>
          </cell>
          <cell r="G25">
            <v>1350000</v>
          </cell>
        </row>
        <row r="26">
          <cell r="B26" t="str">
            <v>Fire engine</v>
          </cell>
          <cell r="C26">
            <v>35000</v>
          </cell>
          <cell r="F26" t="str">
            <v>Rs 1425/piece*50</v>
          </cell>
        </row>
        <row r="27">
          <cell r="B27" t="str">
            <v>Machine tools</v>
          </cell>
          <cell r="C27">
            <v>200000</v>
          </cell>
        </row>
        <row r="28">
          <cell r="B28" t="str">
            <v>Oxygen apparatus</v>
          </cell>
          <cell r="C28">
            <v>200000</v>
          </cell>
          <cell r="E28" t="str">
            <v>1 refiil/month/apparatus (8)@rs 2500 /refill</v>
          </cell>
        </row>
        <row r="29">
          <cell r="B29" t="str">
            <v>Total</v>
          </cell>
          <cell r="C29">
            <v>800000</v>
          </cell>
          <cell r="E29" t="str">
            <v>64 KBP Leased Line</v>
          </cell>
        </row>
        <row r="30">
          <cell r="B30" t="str">
            <v>Total</v>
          </cell>
          <cell r="C30">
            <v>116220</v>
          </cell>
          <cell r="G30">
            <v>800000</v>
          </cell>
        </row>
        <row r="31">
          <cell r="B31" t="str">
            <v>Dispenser chem+absorbent etc</v>
          </cell>
          <cell r="C31">
            <v>300000</v>
          </cell>
          <cell r="G31">
            <v>116220</v>
          </cell>
        </row>
        <row r="32">
          <cell r="B32" t="str">
            <v>April</v>
          </cell>
          <cell r="C32">
            <v>1365000</v>
          </cell>
        </row>
        <row r="33">
          <cell r="B33" t="str">
            <v>May</v>
          </cell>
          <cell r="C33">
            <v>751250</v>
          </cell>
          <cell r="G33">
            <v>1365000</v>
          </cell>
        </row>
        <row r="34">
          <cell r="B34" t="str">
            <v>June</v>
          </cell>
          <cell r="G34">
            <v>751250</v>
          </cell>
        </row>
        <row r="35">
          <cell r="B35" t="str">
            <v>July</v>
          </cell>
          <cell r="C35">
            <v>200000</v>
          </cell>
        </row>
        <row r="36">
          <cell r="B36" t="str">
            <v>August</v>
          </cell>
        </row>
        <row r="37">
          <cell r="B37" t="str">
            <v>September</v>
          </cell>
          <cell r="C37">
            <v>431666.66666666669</v>
          </cell>
          <cell r="D37" t="str">
            <v>Oxygen monthly all others in Dec</v>
          </cell>
        </row>
        <row r="38">
          <cell r="B38" t="str">
            <v>October</v>
          </cell>
          <cell r="C38">
            <v>200000</v>
          </cell>
        </row>
        <row r="39">
          <cell r="B39" t="str">
            <v>November</v>
          </cell>
          <cell r="C39">
            <v>50000</v>
          </cell>
        </row>
        <row r="40">
          <cell r="B40" t="str">
            <v>December</v>
          </cell>
          <cell r="C40">
            <v>200000</v>
          </cell>
        </row>
        <row r="41">
          <cell r="B41" t="str">
            <v>January</v>
          </cell>
          <cell r="C41">
            <v>50000</v>
          </cell>
        </row>
        <row r="42">
          <cell r="B42" t="str">
            <v>February</v>
          </cell>
          <cell r="C42">
            <v>50000</v>
          </cell>
        </row>
        <row r="43">
          <cell r="B43" t="str">
            <v>March</v>
          </cell>
          <cell r="C43">
            <v>200000</v>
          </cell>
        </row>
        <row r="44">
          <cell r="B44" t="str">
            <v>December</v>
          </cell>
          <cell r="C44">
            <v>800000</v>
          </cell>
        </row>
        <row r="45">
          <cell r="B45" t="str">
            <v>January</v>
          </cell>
          <cell r="C45">
            <v>50000</v>
          </cell>
        </row>
        <row r="46">
          <cell r="B46" t="str">
            <v>February</v>
          </cell>
          <cell r="C46">
            <v>50000</v>
          </cell>
        </row>
        <row r="47">
          <cell r="B47" t="str">
            <v>March</v>
          </cell>
          <cell r="C47">
            <v>50000</v>
          </cell>
        </row>
        <row r="48">
          <cell r="C48">
            <v>751250</v>
          </cell>
        </row>
      </sheetData>
      <sheetData sheetId="30" refreshError="1">
        <row r="1">
          <cell r="B1" t="str">
            <v>Tanir Bavi Power Facility</v>
          </cell>
        </row>
        <row r="2">
          <cell r="B2" t="str">
            <v>Period 01-06-01 to 31-03-02 (10 months)</v>
          </cell>
        </row>
        <row r="4">
          <cell r="D4" t="str">
            <v>Category:</v>
          </cell>
          <cell r="E4" t="str">
            <v>Mobile Equipment Fuel</v>
          </cell>
        </row>
        <row r="6">
          <cell r="B6" t="str">
            <v>Responsible Team Member Name:</v>
          </cell>
          <cell r="D6" t="str">
            <v>Jollymoan</v>
          </cell>
        </row>
        <row r="8">
          <cell r="B8" t="str">
            <v>Category Includes:</v>
          </cell>
        </row>
        <row r="10">
          <cell r="B10" t="str">
            <v>Fuel for plant mobile equipment and vehicles.</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Estimate based on anticipated usage.</v>
          </cell>
        </row>
        <row r="22">
          <cell r="B22" t="str">
            <v>Calculations:</v>
          </cell>
        </row>
        <row r="24">
          <cell r="B24" t="str">
            <v>Forklift</v>
          </cell>
          <cell r="C24">
            <v>54000</v>
          </cell>
          <cell r="D24" t="str">
            <v>4.5ltr/hr*2hr/day*300 days*Rs. 20 / ltr.</v>
          </cell>
          <cell r="E24" t="str">
            <v>Includes:</v>
          </cell>
          <cell r="F24" t="str">
            <v>Lab chemicals</v>
          </cell>
          <cell r="G24">
            <v>500000</v>
          </cell>
        </row>
        <row r="25">
          <cell r="B25" t="str">
            <v>Truck - Battery Operated</v>
          </cell>
          <cell r="C25" t="str">
            <v>NA</v>
          </cell>
          <cell r="D25" t="str">
            <v>Pant</v>
          </cell>
          <cell r="E25" t="str">
            <v>3*1.3mtr*Rs. 540*40 persons</v>
          </cell>
          <cell r="F25" t="str">
            <v>Lab consumables</v>
          </cell>
          <cell r="G25">
            <v>175000</v>
          </cell>
        </row>
        <row r="26">
          <cell r="B26" t="str">
            <v xml:space="preserve">Disel fire pumps </v>
          </cell>
          <cell r="C26">
            <v>93600</v>
          </cell>
          <cell r="E26" t="str">
            <v>Stitching</v>
          </cell>
          <cell r="F26" t="str">
            <v xml:space="preserve">Lab additional items </v>
          </cell>
          <cell r="G26">
            <v>150000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50000</v>
          </cell>
        </row>
        <row r="30">
          <cell r="B30" t="str">
            <v>Total</v>
          </cell>
          <cell r="C30">
            <v>147600</v>
          </cell>
          <cell r="G30">
            <v>50000</v>
          </cell>
        </row>
        <row r="31">
          <cell r="G31">
            <v>147600</v>
          </cell>
        </row>
        <row r="32">
          <cell r="B32" t="str">
            <v>April</v>
          </cell>
          <cell r="C32">
            <v>337240</v>
          </cell>
        </row>
        <row r="33">
          <cell r="B33" t="str">
            <v>May</v>
          </cell>
          <cell r="C33">
            <v>800000</v>
          </cell>
          <cell r="G33">
            <v>337240</v>
          </cell>
        </row>
        <row r="34">
          <cell r="B34" t="str">
            <v>June</v>
          </cell>
          <cell r="G34">
            <v>800000</v>
          </cell>
        </row>
        <row r="35">
          <cell r="B35" t="str">
            <v>July</v>
          </cell>
        </row>
        <row r="36">
          <cell r="B36" t="str">
            <v>August</v>
          </cell>
        </row>
        <row r="37">
          <cell r="B37" t="str">
            <v>September</v>
          </cell>
        </row>
        <row r="38">
          <cell r="B38" t="str">
            <v>October</v>
          </cell>
          <cell r="C38">
            <v>400000</v>
          </cell>
        </row>
        <row r="39">
          <cell r="B39" t="str">
            <v>November</v>
          </cell>
          <cell r="C39">
            <v>133200</v>
          </cell>
        </row>
        <row r="40">
          <cell r="B40" t="str">
            <v>December</v>
          </cell>
          <cell r="C40">
            <v>50000</v>
          </cell>
        </row>
        <row r="41">
          <cell r="B41" t="str">
            <v>January</v>
          </cell>
          <cell r="C41">
            <v>133200</v>
          </cell>
        </row>
        <row r="42">
          <cell r="B42" t="str">
            <v>February</v>
          </cell>
          <cell r="C42">
            <v>133200</v>
          </cell>
        </row>
        <row r="43">
          <cell r="B43" t="str">
            <v>March</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31" refreshError="1">
        <row r="1">
          <cell r="B1" t="str">
            <v>Tanir Bavi Power Facility</v>
          </cell>
        </row>
        <row r="2">
          <cell r="B2" t="str">
            <v>Period 01-06-01 to 31-03-02 (10 months)</v>
          </cell>
        </row>
        <row r="4">
          <cell r="D4" t="str">
            <v>Category:</v>
          </cell>
          <cell r="E4" t="str">
            <v>Plant Regen Chemicals</v>
          </cell>
        </row>
        <row r="6">
          <cell r="B6" t="str">
            <v>Responsible Team Member Name:</v>
          </cell>
          <cell r="D6" t="str">
            <v>Premdas/Mohan</v>
          </cell>
        </row>
        <row r="8">
          <cell r="B8" t="str">
            <v>Category Includes:</v>
          </cell>
        </row>
        <row r="10">
          <cell r="B10" t="str">
            <v>Acid and caustic (BULK)</v>
          </cell>
        </row>
        <row r="14">
          <cell r="B14" t="str">
            <v>Budget Estimate Basis:</v>
          </cell>
        </row>
        <row r="16">
          <cell r="B16" t="str">
            <v>Demin and Neutralization</v>
          </cell>
        </row>
        <row r="17">
          <cell r="B17" t="str">
            <v xml:space="preserve">It is also assumed  balance 50% will be met by  chiller units </v>
          </cell>
        </row>
        <row r="22">
          <cell r="B22" t="str">
            <v>Calculations:</v>
          </cell>
          <cell r="G22" t="str">
            <v>$ comp</v>
          </cell>
        </row>
        <row r="23">
          <cell r="B23" t="str">
            <v>Calculations:</v>
          </cell>
          <cell r="C23">
            <v>300000</v>
          </cell>
          <cell r="G23" t="str">
            <v>( incl in Total )</v>
          </cell>
        </row>
        <row r="24">
          <cell r="B24" t="str">
            <v xml:space="preserve">Steam Turbine other than LTSA </v>
          </cell>
          <cell r="C24">
            <v>900000</v>
          </cell>
          <cell r="D24" t="str">
            <v>spares for condensate pump  etc</v>
          </cell>
          <cell r="E24" t="str">
            <v>Rs50/bottle*8bot*300</v>
          </cell>
          <cell r="F24" t="str">
            <v>8 trips /PM *12000tkt*10mths</v>
          </cell>
          <cell r="G24">
            <v>120000</v>
          </cell>
        </row>
        <row r="25">
          <cell r="B25" t="str">
            <v>Acid</v>
          </cell>
          <cell r="C25">
            <v>315000</v>
          </cell>
          <cell r="D25" t="str">
            <v>Asper contract recd</v>
          </cell>
          <cell r="E25" t="str">
            <v xml:space="preserve">kg175*2timesaday * 300 Days </v>
          </cell>
          <cell r="F25">
            <v>315000</v>
          </cell>
          <cell r="G25" t="str">
            <v>@ 3000/tonne</v>
          </cell>
        </row>
        <row r="26">
          <cell r="B26" t="str">
            <v>Caustic</v>
          </cell>
          <cell r="C26">
            <v>842400</v>
          </cell>
          <cell r="D26" t="str">
            <v>6 people *100rs *300 days +Seeds+Manure</v>
          </cell>
          <cell r="E26" t="str">
            <v>Kg78*2*300 Days</v>
          </cell>
          <cell r="F26">
            <v>842400</v>
          </cell>
          <cell r="G26" t="str">
            <v xml:space="preserve">@ 18000/tonne </v>
          </cell>
        </row>
        <row r="27">
          <cell r="B27" t="str">
            <v>Soda Ash</v>
          </cell>
          <cell r="C27">
            <v>36000</v>
          </cell>
          <cell r="E27" t="str">
            <v xml:space="preserve">intl.Audit </v>
          </cell>
          <cell r="F27" t="str">
            <v xml:space="preserve">US $ 16250 @Rs 47.50 </v>
          </cell>
          <cell r="G27">
            <v>200000</v>
          </cell>
        </row>
        <row r="28">
          <cell r="B28" t="str">
            <v>Inst Air</v>
          </cell>
          <cell r="C28">
            <v>500000</v>
          </cell>
          <cell r="F28" t="str">
            <v>*exp is made to 6 to match the usage of TBP guest house</v>
          </cell>
        </row>
        <row r="29">
          <cell r="B29" t="str">
            <v>Relay &amp; Protection Panel</v>
          </cell>
          <cell r="C29">
            <v>500000</v>
          </cell>
          <cell r="G29">
            <v>5210</v>
          </cell>
        </row>
        <row r="30">
          <cell r="B30" t="str">
            <v>Feed water system</v>
          </cell>
          <cell r="C30">
            <v>600000</v>
          </cell>
          <cell r="G30">
            <v>4000</v>
          </cell>
        </row>
        <row r="31">
          <cell r="B31" t="str">
            <v>Total</v>
          </cell>
          <cell r="C31">
            <v>1193400</v>
          </cell>
          <cell r="D31" t="str">
            <v>est @Rs 5000/mont for 10 months</v>
          </cell>
          <cell r="G31">
            <v>11000</v>
          </cell>
        </row>
        <row r="32">
          <cell r="B32" t="str">
            <v>220 KV, HV,MV &amp; PLCC</v>
          </cell>
          <cell r="C32">
            <v>300000</v>
          </cell>
          <cell r="G32">
            <v>1193400</v>
          </cell>
        </row>
        <row r="33">
          <cell r="B33" t="str">
            <v>Chilled Water System</v>
          </cell>
          <cell r="C33">
            <v>400000</v>
          </cell>
          <cell r="G33">
            <v>7000</v>
          </cell>
        </row>
        <row r="34">
          <cell r="B34" t="str">
            <v>DWS PLC</v>
          </cell>
          <cell r="C34">
            <v>200000</v>
          </cell>
        </row>
        <row r="35">
          <cell r="B35" t="str">
            <v>Plant Low Voltage</v>
          </cell>
          <cell r="C35">
            <v>150000</v>
          </cell>
          <cell r="D35" t="str">
            <v>* 2batch*3 days =6 days *40000</v>
          </cell>
          <cell r="F35">
            <v>240000</v>
          </cell>
        </row>
        <row r="36">
          <cell r="B36" t="str">
            <v>Fire Protection System</v>
          </cell>
          <cell r="C36">
            <v>500000</v>
          </cell>
          <cell r="D36" t="str">
            <v>2days*2batch</v>
          </cell>
          <cell r="F36">
            <v>160000</v>
          </cell>
          <cell r="G36">
            <v>2810000</v>
          </cell>
        </row>
        <row r="37">
          <cell r="B37" t="str">
            <v>CW system  treatment</v>
          </cell>
          <cell r="C37">
            <v>450000</v>
          </cell>
          <cell r="D37" t="str">
            <v>2days *2batch</v>
          </cell>
          <cell r="F37">
            <v>160000</v>
          </cell>
        </row>
        <row r="38">
          <cell r="B38" t="str">
            <v>CC / SC Cooling Water System</v>
          </cell>
          <cell r="C38">
            <v>100000</v>
          </cell>
          <cell r="F38">
            <v>560000</v>
          </cell>
          <cell r="G38">
            <v>1590</v>
          </cell>
        </row>
        <row r="39">
          <cell r="B39" t="str">
            <v>Stack Monitoring System</v>
          </cell>
          <cell r="C39">
            <v>200000</v>
          </cell>
          <cell r="D39" t="str">
            <v>Professional fees</v>
          </cell>
          <cell r="F39">
            <v>300000</v>
          </cell>
          <cell r="G39">
            <v>10417</v>
          </cell>
        </row>
        <row r="40">
          <cell r="B40" t="str">
            <v>OTSG Spares</v>
          </cell>
          <cell r="C40">
            <v>400000</v>
          </cell>
          <cell r="D40" t="str">
            <v>Matl/travel</v>
          </cell>
          <cell r="F40">
            <v>100000</v>
          </cell>
          <cell r="G40">
            <v>6000</v>
          </cell>
        </row>
        <row r="41">
          <cell r="B41" t="str">
            <v>Black Start DG set</v>
          </cell>
          <cell r="C41">
            <v>200000</v>
          </cell>
          <cell r="D41" t="str">
            <v>Total Training</v>
          </cell>
          <cell r="F41">
            <v>960000</v>
          </cell>
          <cell r="G41">
            <v>5500</v>
          </cell>
        </row>
        <row r="42">
          <cell r="B42" t="str">
            <v>Debris Filter &amp; Ball Cleaning</v>
          </cell>
          <cell r="C42">
            <v>400000</v>
          </cell>
          <cell r="G42">
            <v>10300</v>
          </cell>
        </row>
        <row r="43">
          <cell r="B43" t="str">
            <v>Total</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32" refreshError="1">
        <row r="1">
          <cell r="B1" t="str">
            <v>Tanir Bavi Power Facility</v>
          </cell>
        </row>
        <row r="2">
          <cell r="B2" t="str">
            <v>Period 01-06-01 to 31-03-02 (10 months)</v>
          </cell>
        </row>
        <row r="4">
          <cell r="D4" t="str">
            <v>Category:</v>
          </cell>
          <cell r="E4" t="str">
            <v>Plant Chemicals</v>
          </cell>
        </row>
        <row r="6">
          <cell r="B6" t="str">
            <v>Responsible Team Member Name:</v>
          </cell>
          <cell r="D6" t="str">
            <v>Premdas/Sys sponsors</v>
          </cell>
        </row>
        <row r="8">
          <cell r="B8" t="str">
            <v>Category Includes:</v>
          </cell>
        </row>
        <row r="10">
          <cell r="B10" t="str">
            <v>Plant treatment chemicals,additives,waterwash chemicals</v>
          </cell>
        </row>
        <row r="14">
          <cell r="B14" t="str">
            <v>Budget Estimate Basis:</v>
          </cell>
        </row>
        <row r="16">
          <cell r="B16" t="str">
            <v>Estimate based on costs for amine, wash chemicals, biocides as supplied by vendor.</v>
          </cell>
        </row>
        <row r="17">
          <cell r="B17" t="str">
            <v>Third party liability  ( for GPOL only )</v>
          </cell>
        </row>
        <row r="21">
          <cell r="B21" t="str">
            <v>Calculations:</v>
          </cell>
        </row>
        <row r="22">
          <cell r="B22" t="str">
            <v>Calculations:</v>
          </cell>
        </row>
        <row r="23">
          <cell r="B23" t="str">
            <v>Comprehensive Auto. Liab.</v>
          </cell>
          <cell r="E23" t="str">
            <v>argon'@10cu.m/day@rs40/cu.m</v>
          </cell>
          <cell r="G23">
            <v>120000</v>
          </cell>
        </row>
        <row r="24">
          <cell r="B24" t="str">
            <v>Amine</v>
          </cell>
          <cell r="C24">
            <v>100000</v>
          </cell>
          <cell r="D24" t="str">
            <v>Water Cess</v>
          </cell>
          <cell r="E24" t="str">
            <v>20ltrcan@Rs100/ltr*50 cans</v>
          </cell>
          <cell r="F24">
            <v>8100</v>
          </cell>
          <cell r="G24">
            <v>100000</v>
          </cell>
        </row>
        <row r="25">
          <cell r="B25" t="str">
            <v>Water Wash Chemicals</v>
          </cell>
          <cell r="C25">
            <v>280000</v>
          </cell>
          <cell r="E25" t="str">
            <v>5 wash / gt*50ltr per wash *280ltr /GT * 4 GT</v>
          </cell>
          <cell r="F25">
            <v>243000</v>
          </cell>
          <cell r="G25">
            <v>280000</v>
          </cell>
        </row>
        <row r="26">
          <cell r="B26" t="str">
            <v>Additives for ACW</v>
          </cell>
          <cell r="C26">
            <v>100000</v>
          </cell>
          <cell r="D26" t="str">
            <v>Toward 4" dia 300mtr pipe and clamps</v>
          </cell>
          <cell r="E26" t="str">
            <v xml:space="preserve">LPG 10 cyl/year </v>
          </cell>
          <cell r="F26">
            <v>2430000</v>
          </cell>
          <cell r="G26">
            <v>40000</v>
          </cell>
        </row>
        <row r="27">
          <cell r="B27" t="str">
            <v>General Machines</v>
          </cell>
          <cell r="C27">
            <v>100000</v>
          </cell>
          <cell r="E27" t="str">
            <v xml:space="preserve">Co2+H2 (Lab) </v>
          </cell>
          <cell r="G27">
            <v>20000</v>
          </cell>
        </row>
        <row r="28">
          <cell r="B28" t="str">
            <v>High Pressure Pump</v>
          </cell>
          <cell r="C28">
            <v>70000</v>
          </cell>
          <cell r="E28" t="str">
            <v>Chillier Refrigerant Rs700/Kg@1*900kgs</v>
          </cell>
          <cell r="G28">
            <v>630000</v>
          </cell>
        </row>
        <row r="29">
          <cell r="B29" t="str">
            <v>Boat</v>
          </cell>
          <cell r="C29">
            <v>120000</v>
          </cell>
          <cell r="E29" t="str">
            <v>Discount of 25% for payment on time not</v>
          </cell>
          <cell r="G29">
            <v>200000</v>
          </cell>
        </row>
        <row r="30">
          <cell r="B30" t="str">
            <v>Total</v>
          </cell>
          <cell r="C30">
            <v>480000</v>
          </cell>
          <cell r="D30" t="str">
            <v>Rs 500/hr*20hrs per month *10months</v>
          </cell>
          <cell r="E30" t="str">
            <v>considered</v>
          </cell>
          <cell r="G30">
            <v>973000</v>
          </cell>
        </row>
        <row r="31">
          <cell r="B31" t="str">
            <v>Total</v>
          </cell>
          <cell r="C31">
            <v>950000</v>
          </cell>
          <cell r="E31" t="str">
            <v>estimate 15 children @ Rs. 15000 each</v>
          </cell>
          <cell r="G31">
            <v>480000</v>
          </cell>
        </row>
        <row r="32">
          <cell r="B32" t="str">
            <v>April</v>
          </cell>
          <cell r="C32">
            <v>2430000</v>
          </cell>
          <cell r="E32" t="str">
            <v>For interview /travel , head hunter etc.,</v>
          </cell>
          <cell r="G32">
            <v>950000</v>
          </cell>
        </row>
        <row r="33">
          <cell r="B33" t="str">
            <v>April</v>
          </cell>
          <cell r="C33">
            <v>925000</v>
          </cell>
          <cell r="E33" t="str">
            <v>Pens/Pencils/Markers/etc.</v>
          </cell>
        </row>
        <row r="34">
          <cell r="B34" t="str">
            <v>May</v>
          </cell>
          <cell r="C34">
            <v>2539000</v>
          </cell>
          <cell r="E34" t="str">
            <v>Hole Punch</v>
          </cell>
          <cell r="G34">
            <v>925000</v>
          </cell>
        </row>
        <row r="35">
          <cell r="B35" t="str">
            <v>June</v>
          </cell>
          <cell r="G35">
            <v>2539000</v>
          </cell>
        </row>
        <row r="36">
          <cell r="B36" t="str">
            <v>July</v>
          </cell>
        </row>
        <row r="37">
          <cell r="B37" t="str">
            <v>August</v>
          </cell>
          <cell r="E37" t="str">
            <v xml:space="preserve">Water Cess monthly Rest in Feb </v>
          </cell>
        </row>
        <row r="38">
          <cell r="B38" t="str">
            <v>September</v>
          </cell>
          <cell r="C38">
            <v>0</v>
          </cell>
        </row>
        <row r="39">
          <cell r="B39" t="str">
            <v>October</v>
          </cell>
          <cell r="C39">
            <v>243000</v>
          </cell>
          <cell r="E39" t="str">
            <v>Boiler Operataor's licenece for 2001-2 will be provided by TBP</v>
          </cell>
        </row>
        <row r="40">
          <cell r="B40" t="str">
            <v>November</v>
          </cell>
          <cell r="C40">
            <v>400000</v>
          </cell>
          <cell r="E40" t="str">
            <v>Land cess to be paid and provided in budget of TBP</v>
          </cell>
        </row>
        <row r="41">
          <cell r="B41" t="str">
            <v>December</v>
          </cell>
          <cell r="C41">
            <v>0</v>
          </cell>
          <cell r="G41">
            <v>650000</v>
          </cell>
        </row>
        <row r="42">
          <cell r="B42" t="str">
            <v>January</v>
          </cell>
          <cell r="C42">
            <v>0</v>
          </cell>
        </row>
        <row r="43">
          <cell r="B43" t="str">
            <v>February</v>
          </cell>
          <cell r="C43">
            <v>243000</v>
          </cell>
        </row>
        <row r="44">
          <cell r="B44" t="str">
            <v>March</v>
          </cell>
          <cell r="C44">
            <v>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33" refreshError="1">
        <row r="1">
          <cell r="B1" t="str">
            <v>Tanir Bavi Power Facility</v>
          </cell>
        </row>
        <row r="2">
          <cell r="B2" t="str">
            <v>Period 01-06-01 to 31-03-02 (10 months)</v>
          </cell>
        </row>
        <row r="4">
          <cell r="D4" t="str">
            <v>Category:</v>
          </cell>
          <cell r="E4" t="str">
            <v>CCW Chemicals</v>
          </cell>
        </row>
        <row r="6">
          <cell r="B6" t="str">
            <v>Responsible Team Member Name:</v>
          </cell>
          <cell r="D6" t="str">
            <v>Premdas</v>
          </cell>
        </row>
        <row r="8">
          <cell r="B8" t="str">
            <v>Category Includes:</v>
          </cell>
        </row>
        <row r="10">
          <cell r="B10" t="str">
            <v>Chlorine for CCW system</v>
          </cell>
        </row>
        <row r="14">
          <cell r="B14" t="str">
            <v>Budget Estimate Basis:</v>
          </cell>
        </row>
        <row r="16">
          <cell r="B16" t="str">
            <v>Based on Vendor Supplied Estimate</v>
          </cell>
        </row>
        <row r="22">
          <cell r="B22" t="str">
            <v>Calculations:</v>
          </cell>
        </row>
        <row r="23">
          <cell r="B23" t="str">
            <v>Plant Security</v>
          </cell>
          <cell r="C23">
            <v>3000000</v>
          </cell>
          <cell r="E23" t="str">
            <v>10 months *Rs 3 lac /month based on quote from existing security</v>
          </cell>
        </row>
        <row r="24">
          <cell r="B24" t="str">
            <v>Chlorine</v>
          </cell>
          <cell r="C24">
            <v>1200000</v>
          </cell>
          <cell r="D24" t="str">
            <v>Ge agrrement  LC charges to be included in TBP budget</v>
          </cell>
          <cell r="E24" t="str">
            <v>1 ton/day@4000/ton 300 days</v>
          </cell>
          <cell r="F24" t="str">
            <v>Rs 500/piece*50</v>
          </cell>
          <cell r="G24">
            <v>1200000</v>
          </cell>
        </row>
        <row r="25">
          <cell r="B25" t="str">
            <v>Truck-battery operated</v>
          </cell>
          <cell r="C25">
            <v>0</v>
          </cell>
          <cell r="E25" t="str">
            <v>Rs75/Day*60 person*30 days*10</v>
          </cell>
          <cell r="F25" t="str">
            <v>Rs 300/piece*100</v>
          </cell>
          <cell r="G25">
            <v>1350000</v>
          </cell>
        </row>
        <row r="26">
          <cell r="B26" t="str">
            <v>Fire engine</v>
          </cell>
          <cell r="C26">
            <v>35000</v>
          </cell>
          <cell r="F26" t="str">
            <v>Rs 1425/piece*50</v>
          </cell>
        </row>
        <row r="27">
          <cell r="B27" t="str">
            <v>Machine tools</v>
          </cell>
          <cell r="C27">
            <v>200000</v>
          </cell>
        </row>
        <row r="28">
          <cell r="B28" t="str">
            <v>General Labor un skilled</v>
          </cell>
          <cell r="C28">
            <v>150000</v>
          </cell>
          <cell r="E28" t="str">
            <v>1 refiil/month/apparatus (8)@rs 2500 /refill</v>
          </cell>
        </row>
        <row r="29">
          <cell r="B29" t="str">
            <v>Total</v>
          </cell>
          <cell r="C29">
            <v>800000</v>
          </cell>
          <cell r="E29" t="str">
            <v>64 KBP Leased Line</v>
          </cell>
        </row>
        <row r="30">
          <cell r="B30" t="str">
            <v>Total</v>
          </cell>
          <cell r="C30">
            <v>1200000</v>
          </cell>
          <cell r="G30">
            <v>800000</v>
          </cell>
        </row>
        <row r="31">
          <cell r="B31" t="str">
            <v>Dispenser chem+absorbent etc</v>
          </cell>
          <cell r="C31">
            <v>300000</v>
          </cell>
          <cell r="G31">
            <v>1200000</v>
          </cell>
        </row>
        <row r="32">
          <cell r="B32" t="str">
            <v>April</v>
          </cell>
          <cell r="C32">
            <v>1365000</v>
          </cell>
        </row>
        <row r="33">
          <cell r="B33" t="str">
            <v>April</v>
          </cell>
          <cell r="C33">
            <v>751250</v>
          </cell>
          <cell r="G33">
            <v>1365000</v>
          </cell>
        </row>
        <row r="34">
          <cell r="B34" t="str">
            <v>May</v>
          </cell>
          <cell r="G34">
            <v>751250</v>
          </cell>
        </row>
        <row r="35">
          <cell r="B35" t="str">
            <v>June</v>
          </cell>
          <cell r="C35">
            <v>200000</v>
          </cell>
        </row>
        <row r="36">
          <cell r="B36" t="str">
            <v>July</v>
          </cell>
        </row>
        <row r="37">
          <cell r="B37" t="str">
            <v>August</v>
          </cell>
          <cell r="C37">
            <v>431666.66666666669</v>
          </cell>
          <cell r="D37" t="str">
            <v>Oxygen monthly all others in Dec</v>
          </cell>
        </row>
        <row r="38">
          <cell r="B38" t="str">
            <v>September</v>
          </cell>
          <cell r="C38">
            <v>23333.333333333332</v>
          </cell>
        </row>
        <row r="39">
          <cell r="B39" t="str">
            <v>October</v>
          </cell>
          <cell r="C39">
            <v>50000</v>
          </cell>
        </row>
        <row r="40">
          <cell r="B40" t="str">
            <v>November</v>
          </cell>
          <cell r="C40">
            <v>200000</v>
          </cell>
        </row>
        <row r="41">
          <cell r="B41" t="str">
            <v>December</v>
          </cell>
          <cell r="C41">
            <v>23333.333333333332</v>
          </cell>
        </row>
        <row r="42">
          <cell r="B42" t="str">
            <v>January</v>
          </cell>
          <cell r="C42">
            <v>50000</v>
          </cell>
        </row>
        <row r="43">
          <cell r="B43" t="str">
            <v>February</v>
          </cell>
          <cell r="C43">
            <v>200000</v>
          </cell>
        </row>
        <row r="44">
          <cell r="B44" t="str">
            <v>March</v>
          </cell>
          <cell r="C44">
            <v>23333.333333333332</v>
          </cell>
        </row>
        <row r="45">
          <cell r="B45" t="str">
            <v>January</v>
          </cell>
          <cell r="C45">
            <v>50000</v>
          </cell>
        </row>
        <row r="46">
          <cell r="B46" t="str">
            <v>February</v>
          </cell>
          <cell r="C46">
            <v>50000</v>
          </cell>
        </row>
        <row r="47">
          <cell r="B47" t="str">
            <v>March</v>
          </cell>
          <cell r="C47">
            <v>50000</v>
          </cell>
        </row>
        <row r="48">
          <cell r="C48">
            <v>751250</v>
          </cell>
        </row>
      </sheetData>
      <sheetData sheetId="34" refreshError="1">
        <row r="1">
          <cell r="B1" t="str">
            <v>Tanir Bavi Power Facility</v>
          </cell>
        </row>
        <row r="2">
          <cell r="B2" t="str">
            <v>Period 01-06-01 to 31-03-02 (10 months)</v>
          </cell>
        </row>
        <row r="4">
          <cell r="D4" t="str">
            <v>Category:</v>
          </cell>
          <cell r="E4" t="str">
            <v>Laboratory Services</v>
          </cell>
        </row>
        <row r="6">
          <cell r="B6" t="str">
            <v>Responsible Team Member Name:</v>
          </cell>
          <cell r="D6" t="str">
            <v>Premdas</v>
          </cell>
        </row>
        <row r="8">
          <cell r="B8" t="str">
            <v>Category Includes:</v>
          </cell>
        </row>
        <row r="10">
          <cell r="B10" t="str">
            <v>This is to cover off-site and on-site testing in laboratories</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Based on estimates from Lab</v>
          </cell>
        </row>
        <row r="22">
          <cell r="B22" t="str">
            <v>Calculations:</v>
          </cell>
        </row>
        <row r="24">
          <cell r="B24" t="str">
            <v>Fuel Testing</v>
          </cell>
          <cell r="C24">
            <v>40000</v>
          </cell>
          <cell r="D24" t="str">
            <v>4.5ltr/hr*2hr/day*300 days*Rs. 20 / ltr.</v>
          </cell>
          <cell r="E24" t="str">
            <v>Includes:</v>
          </cell>
          <cell r="F24" t="str">
            <v>Lab chemicals</v>
          </cell>
          <cell r="G24">
            <v>500000</v>
          </cell>
        </row>
        <row r="25">
          <cell r="B25" t="str">
            <v>Water Testing</v>
          </cell>
          <cell r="C25">
            <v>50000</v>
          </cell>
          <cell r="D25" t="str">
            <v>Pant</v>
          </cell>
          <cell r="E25" t="str">
            <v>3*1.3mtr*Rs. 540*40 persons</v>
          </cell>
          <cell r="F25" t="str">
            <v>Lab consumables</v>
          </cell>
          <cell r="G25">
            <v>175000</v>
          </cell>
        </row>
        <row r="26">
          <cell r="B26" t="str">
            <v xml:space="preserve">Disel fire pumps </v>
          </cell>
          <cell r="C26">
            <v>93600</v>
          </cell>
          <cell r="E26" t="str">
            <v>Stitching</v>
          </cell>
          <cell r="F26" t="str">
            <v xml:space="preserve">Lab additional items </v>
          </cell>
          <cell r="G26">
            <v>150000</v>
          </cell>
        </row>
        <row r="27">
          <cell r="B27" t="str">
            <v>DG set*</v>
          </cell>
          <cell r="C27">
            <v>60000</v>
          </cell>
          <cell r="G27">
            <v>240240</v>
          </cell>
        </row>
        <row r="28">
          <cell r="B28" t="str">
            <v>*Fuel will be drawn from Main Hsd system .Since it will be difficult to measure at DG Set this is omiited</v>
          </cell>
        </row>
        <row r="29">
          <cell r="B29" t="str">
            <v>Total</v>
          </cell>
          <cell r="C29">
            <v>50000</v>
          </cell>
        </row>
        <row r="30">
          <cell r="B30" t="str">
            <v>Total</v>
          </cell>
          <cell r="C30">
            <v>90000</v>
          </cell>
          <cell r="G30">
            <v>50000</v>
          </cell>
        </row>
        <row r="31">
          <cell r="G31">
            <v>90000</v>
          </cell>
        </row>
        <row r="32">
          <cell r="B32" t="str">
            <v>April</v>
          </cell>
          <cell r="C32">
            <v>337240</v>
          </cell>
        </row>
        <row r="33">
          <cell r="B33" t="str">
            <v>May</v>
          </cell>
          <cell r="C33">
            <v>800000</v>
          </cell>
          <cell r="G33">
            <v>337240</v>
          </cell>
        </row>
        <row r="34">
          <cell r="B34" t="str">
            <v>June</v>
          </cell>
          <cell r="G34">
            <v>800000</v>
          </cell>
        </row>
        <row r="35">
          <cell r="B35" t="str">
            <v>July</v>
          </cell>
        </row>
        <row r="36">
          <cell r="B36" t="str">
            <v>August</v>
          </cell>
        </row>
        <row r="37">
          <cell r="B37" t="str">
            <v>September</v>
          </cell>
        </row>
        <row r="38">
          <cell r="B38" t="str">
            <v>October</v>
          </cell>
          <cell r="C38">
            <v>400000</v>
          </cell>
        </row>
        <row r="39">
          <cell r="B39" t="str">
            <v>November</v>
          </cell>
          <cell r="C39">
            <v>133200</v>
          </cell>
        </row>
        <row r="40">
          <cell r="B40" t="str">
            <v>December</v>
          </cell>
          <cell r="C40">
            <v>50000</v>
          </cell>
        </row>
        <row r="41">
          <cell r="B41" t="str">
            <v>January</v>
          </cell>
          <cell r="C41">
            <v>133200</v>
          </cell>
        </row>
        <row r="42">
          <cell r="B42" t="str">
            <v>February</v>
          </cell>
          <cell r="C42">
            <v>133200</v>
          </cell>
        </row>
        <row r="43">
          <cell r="B43" t="str">
            <v>March</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35" refreshError="1">
        <row r="1">
          <cell r="B1" t="str">
            <v>Tanir Bavi Power Facility</v>
          </cell>
        </row>
        <row r="2">
          <cell r="B2" t="str">
            <v>Period 01-06-01 to 31-03-02 (10 months)</v>
          </cell>
        </row>
        <row r="4">
          <cell r="D4" t="str">
            <v>Category:</v>
          </cell>
          <cell r="E4" t="str">
            <v>Water Supply</v>
          </cell>
        </row>
        <row r="6">
          <cell r="B6" t="str">
            <v>Responsible Team Member Name:</v>
          </cell>
          <cell r="D6" t="str">
            <v>Arun/Mohan</v>
          </cell>
        </row>
        <row r="8">
          <cell r="B8" t="str">
            <v>Category Includes:</v>
          </cell>
        </row>
        <row r="10">
          <cell r="B10" t="str">
            <v>Includes costs for drinking water &amp; Town water supplies</v>
          </cell>
        </row>
        <row r="14">
          <cell r="B14" t="str">
            <v>Budget Estimate Basis:</v>
          </cell>
        </row>
        <row r="16">
          <cell r="B16" t="str">
            <v>Based on estimated usage of bottled water &amp; 50% plant requirement  met by town water</v>
          </cell>
        </row>
        <row r="17">
          <cell r="B17" t="str">
            <v xml:space="preserve">It is also assumed  balance 50% will be met by  chiller units </v>
          </cell>
        </row>
        <row r="22">
          <cell r="B22" t="str">
            <v>Calculations:</v>
          </cell>
          <cell r="G22" t="str">
            <v>$ comp</v>
          </cell>
        </row>
        <row r="23">
          <cell r="B23" t="str">
            <v>Calculations:</v>
          </cell>
          <cell r="C23">
            <v>300000</v>
          </cell>
          <cell r="G23" t="str">
            <v>( incl in Total )</v>
          </cell>
        </row>
        <row r="24">
          <cell r="B24" t="str">
            <v>Bottled Water</v>
          </cell>
          <cell r="C24">
            <v>120000</v>
          </cell>
          <cell r="D24" t="str">
            <v>spares for condensate pump  etc</v>
          </cell>
          <cell r="E24" t="str">
            <v>Rs50/bottle*8bot*300</v>
          </cell>
          <cell r="F24" t="str">
            <v>8 trips /PM *12000tkt*10mths</v>
          </cell>
          <cell r="G24">
            <v>120000</v>
          </cell>
        </row>
        <row r="25">
          <cell r="B25" t="str">
            <v>Town Water</v>
          </cell>
          <cell r="C25">
            <v>1818000</v>
          </cell>
          <cell r="D25" t="str">
            <v>Asper contract recd</v>
          </cell>
          <cell r="E25" t="str">
            <v>25cu.mtr/hr*24hr*Rs10.1/kl</v>
          </cell>
          <cell r="F25">
            <v>315000</v>
          </cell>
          <cell r="G25">
            <v>1818000</v>
          </cell>
        </row>
        <row r="26">
          <cell r="B26" t="str">
            <v>Caustic</v>
          </cell>
          <cell r="C26">
            <v>842400</v>
          </cell>
          <cell r="D26" t="str">
            <v>6 people *100rs *300 days +Seeds+Manure</v>
          </cell>
          <cell r="E26" t="str">
            <v>Kg78*2*300 Days</v>
          </cell>
          <cell r="F26">
            <v>842400</v>
          </cell>
          <cell r="G26" t="str">
            <v xml:space="preserve">@ 18000/tonne </v>
          </cell>
        </row>
        <row r="27">
          <cell r="B27" t="str">
            <v>Soda Ash</v>
          </cell>
          <cell r="C27">
            <v>36000</v>
          </cell>
          <cell r="E27" t="str">
            <v xml:space="preserve">intl.Audit </v>
          </cell>
          <cell r="F27" t="str">
            <v xml:space="preserve">US $ 16250 @Rs 47.50 </v>
          </cell>
          <cell r="G27">
            <v>200000</v>
          </cell>
        </row>
        <row r="28">
          <cell r="B28" t="str">
            <v>A/C Maintenance</v>
          </cell>
          <cell r="C28">
            <v>150000</v>
          </cell>
          <cell r="F28" t="str">
            <v>*exp is made to 6 to match the usage of TBP guest house</v>
          </cell>
        </row>
        <row r="29">
          <cell r="B29" t="str">
            <v>Pest Control</v>
          </cell>
          <cell r="C29">
            <v>80000</v>
          </cell>
          <cell r="G29">
            <v>5210</v>
          </cell>
        </row>
        <row r="30">
          <cell r="B30" t="str">
            <v>Total</v>
          </cell>
          <cell r="C30">
            <v>1938000</v>
          </cell>
          <cell r="G30">
            <v>4000</v>
          </cell>
        </row>
        <row r="31">
          <cell r="B31" t="str">
            <v>Total</v>
          </cell>
          <cell r="C31">
            <v>1193400</v>
          </cell>
          <cell r="D31" t="str">
            <v>est @Rs 5000/mont for 10 months</v>
          </cell>
          <cell r="G31">
            <v>1938000</v>
          </cell>
        </row>
        <row r="32">
          <cell r="B32" t="str">
            <v>Teleohone/cell/walkie talkie mtnce</v>
          </cell>
          <cell r="C32">
            <v>60000</v>
          </cell>
          <cell r="G32">
            <v>1193400</v>
          </cell>
        </row>
        <row r="33">
          <cell r="B33" t="str">
            <v>Minor mdfn to building+reapir</v>
          </cell>
          <cell r="C33">
            <v>200000</v>
          </cell>
          <cell r="G33">
            <v>7000</v>
          </cell>
        </row>
        <row r="34">
          <cell r="B34" t="str">
            <v>DWS PLC</v>
          </cell>
          <cell r="C34">
            <v>200000</v>
          </cell>
        </row>
        <row r="35">
          <cell r="B35" t="str">
            <v>Total</v>
          </cell>
          <cell r="C35">
            <v>2810000</v>
          </cell>
          <cell r="D35" t="str">
            <v>* 2batch*3 days =6 days *40000</v>
          </cell>
          <cell r="F35">
            <v>240000</v>
          </cell>
        </row>
        <row r="36">
          <cell r="B36" t="str">
            <v>Fire Protection System</v>
          </cell>
          <cell r="C36">
            <v>500000</v>
          </cell>
          <cell r="D36" t="str">
            <v>2days*2batch</v>
          </cell>
          <cell r="F36">
            <v>160000</v>
          </cell>
          <cell r="G36">
            <v>2810000</v>
          </cell>
        </row>
        <row r="37">
          <cell r="B37" t="str">
            <v>CW system  treatment</v>
          </cell>
          <cell r="C37">
            <v>450000</v>
          </cell>
          <cell r="D37" t="str">
            <v>2days *2batch</v>
          </cell>
          <cell r="F37">
            <v>160000</v>
          </cell>
        </row>
        <row r="38">
          <cell r="B38" t="str">
            <v>CC / SC Cooling Water System</v>
          </cell>
          <cell r="C38">
            <v>100000</v>
          </cell>
          <cell r="F38">
            <v>560000</v>
          </cell>
          <cell r="G38">
            <v>1590</v>
          </cell>
        </row>
        <row r="39">
          <cell r="B39" t="str">
            <v>Stack Monitoring System</v>
          </cell>
          <cell r="C39">
            <v>200000</v>
          </cell>
          <cell r="D39" t="str">
            <v>Professional fees</v>
          </cell>
          <cell r="F39">
            <v>300000</v>
          </cell>
          <cell r="G39">
            <v>10417</v>
          </cell>
        </row>
        <row r="40">
          <cell r="B40" t="str">
            <v>OTSG Spares</v>
          </cell>
          <cell r="C40">
            <v>400000</v>
          </cell>
          <cell r="D40" t="str">
            <v>Matl/travel</v>
          </cell>
          <cell r="F40">
            <v>100000</v>
          </cell>
          <cell r="G40">
            <v>6000</v>
          </cell>
        </row>
        <row r="41">
          <cell r="B41" t="str">
            <v>Black Start DG set</v>
          </cell>
          <cell r="C41">
            <v>200000</v>
          </cell>
          <cell r="D41" t="str">
            <v>Total Training</v>
          </cell>
          <cell r="F41">
            <v>960000</v>
          </cell>
          <cell r="G41">
            <v>5500</v>
          </cell>
        </row>
        <row r="42">
          <cell r="B42" t="str">
            <v>Debris Filter &amp; Ball Cleaning</v>
          </cell>
          <cell r="C42">
            <v>400000</v>
          </cell>
          <cell r="G42">
            <v>10300</v>
          </cell>
        </row>
        <row r="43">
          <cell r="B43" t="str">
            <v>Total</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36" refreshError="1">
        <row r="1">
          <cell r="B1" t="str">
            <v>Tanir Bavi Power Facility</v>
          </cell>
        </row>
        <row r="2">
          <cell r="B2" t="str">
            <v>Period 01-06-01 to 31-03-02 (10 months)</v>
          </cell>
        </row>
        <row r="4">
          <cell r="D4" t="str">
            <v>Category:</v>
          </cell>
          <cell r="E4" t="str">
            <v>Bottled Gases</v>
          </cell>
        </row>
        <row r="6">
          <cell r="B6" t="str">
            <v>Responsible Team Member Name:</v>
          </cell>
          <cell r="D6" t="str">
            <v>Navraj Singh</v>
          </cell>
        </row>
        <row r="8">
          <cell r="B8" t="str">
            <v>Category Includes:</v>
          </cell>
        </row>
        <row r="10">
          <cell r="B10" t="str">
            <v>Cal gas for CEMS, Argon, ChillerGases</v>
          </cell>
        </row>
        <row r="14">
          <cell r="B14" t="str">
            <v>Budget Estimate Basis:</v>
          </cell>
        </row>
        <row r="16">
          <cell r="B16" t="str">
            <v>For various systems and analysers based on experience</v>
          </cell>
        </row>
        <row r="17">
          <cell r="B17" t="str">
            <v>Third party liability  ( for GPOL only )</v>
          </cell>
        </row>
        <row r="21">
          <cell r="B21" t="str">
            <v>Calculations:</v>
          </cell>
        </row>
        <row r="22">
          <cell r="B22" t="str">
            <v>Calculations:</v>
          </cell>
        </row>
        <row r="23">
          <cell r="B23" t="str">
            <v>Comprehensive Auto. Liab.</v>
          </cell>
          <cell r="E23" t="str">
            <v>argon'@10cu.m/day@rs40/cu.m</v>
          </cell>
          <cell r="G23">
            <v>120000</v>
          </cell>
        </row>
        <row r="24">
          <cell r="B24" t="str">
            <v>Argon</v>
          </cell>
          <cell r="C24">
            <v>120000</v>
          </cell>
          <cell r="D24" t="str">
            <v>Water Cess</v>
          </cell>
          <cell r="E24" t="str">
            <v>Helium</v>
          </cell>
          <cell r="F24">
            <v>8100</v>
          </cell>
          <cell r="G24">
            <v>150000</v>
          </cell>
        </row>
        <row r="25">
          <cell r="B25" t="str">
            <v>Cem Gas</v>
          </cell>
          <cell r="C25">
            <v>150000</v>
          </cell>
          <cell r="E25" t="str">
            <v xml:space="preserve">Nitrogen @3cu.m/day </v>
          </cell>
          <cell r="F25">
            <v>243000</v>
          </cell>
          <cell r="G25">
            <v>13000</v>
          </cell>
        </row>
        <row r="26">
          <cell r="B26" t="str">
            <v>Chiller Refrigerant</v>
          </cell>
          <cell r="C26">
            <v>630000</v>
          </cell>
          <cell r="D26" t="str">
            <v>Toward 4" dia 300mtr pipe and clamps</v>
          </cell>
          <cell r="E26" t="str">
            <v xml:space="preserve">LPG 10 cyl/year </v>
          </cell>
          <cell r="F26">
            <v>2430000</v>
          </cell>
          <cell r="G26">
            <v>40000</v>
          </cell>
        </row>
        <row r="27">
          <cell r="B27" t="str">
            <v>Others</v>
          </cell>
          <cell r="C27">
            <v>73000</v>
          </cell>
          <cell r="E27" t="str">
            <v xml:space="preserve">Co2+H2 (Lab) </v>
          </cell>
          <cell r="G27">
            <v>20000</v>
          </cell>
        </row>
        <row r="28">
          <cell r="B28" t="str">
            <v>High Pressure Pump</v>
          </cell>
          <cell r="C28">
            <v>70000</v>
          </cell>
          <cell r="E28" t="str">
            <v>Chillier Refrigerant Rs700/Kg@1*900kgs</v>
          </cell>
          <cell r="G28">
            <v>630000</v>
          </cell>
        </row>
        <row r="29">
          <cell r="B29" t="str">
            <v>Total</v>
          </cell>
          <cell r="C29">
            <v>973000</v>
          </cell>
          <cell r="E29" t="str">
            <v>Discount of 25% for payment on time not</v>
          </cell>
          <cell r="G29">
            <v>200000</v>
          </cell>
        </row>
        <row r="30">
          <cell r="B30" t="str">
            <v>Total</v>
          </cell>
          <cell r="C30">
            <v>480000</v>
          </cell>
          <cell r="D30" t="str">
            <v>Rs 500/hr*20hrs per month *10months</v>
          </cell>
          <cell r="E30" t="str">
            <v>considered</v>
          </cell>
          <cell r="G30">
            <v>973000</v>
          </cell>
        </row>
        <row r="31">
          <cell r="B31" t="str">
            <v>Total</v>
          </cell>
          <cell r="C31">
            <v>950000</v>
          </cell>
          <cell r="E31" t="str">
            <v>estimate 15 children @ Rs. 15000 each</v>
          </cell>
          <cell r="G31">
            <v>480000</v>
          </cell>
        </row>
        <row r="32">
          <cell r="B32" t="str">
            <v>April</v>
          </cell>
          <cell r="C32">
            <v>2430000</v>
          </cell>
          <cell r="E32" t="str">
            <v>For interview /travel , head hunter etc.,</v>
          </cell>
          <cell r="G32">
            <v>950000</v>
          </cell>
        </row>
        <row r="33">
          <cell r="B33" t="str">
            <v>May</v>
          </cell>
          <cell r="C33">
            <v>925000</v>
          </cell>
          <cell r="E33" t="str">
            <v>Pens/Pencils/Markers/etc.</v>
          </cell>
        </row>
        <row r="34">
          <cell r="B34" t="str">
            <v>June</v>
          </cell>
          <cell r="C34">
            <v>2539000</v>
          </cell>
          <cell r="E34" t="str">
            <v>Hole Punch</v>
          </cell>
          <cell r="G34">
            <v>925000</v>
          </cell>
        </row>
        <row r="35">
          <cell r="B35" t="str">
            <v>July</v>
          </cell>
          <cell r="G35">
            <v>2539000</v>
          </cell>
        </row>
        <row r="36">
          <cell r="B36" t="str">
            <v>August</v>
          </cell>
        </row>
        <row r="37">
          <cell r="B37" t="str">
            <v>September</v>
          </cell>
          <cell r="E37" t="str">
            <v xml:space="preserve">Water Cess monthly Rest in Feb </v>
          </cell>
        </row>
        <row r="38">
          <cell r="B38" t="str">
            <v>October</v>
          </cell>
          <cell r="C38">
            <v>0</v>
          </cell>
        </row>
        <row r="39">
          <cell r="B39" t="str">
            <v>November</v>
          </cell>
          <cell r="C39">
            <v>243000</v>
          </cell>
          <cell r="E39" t="str">
            <v>Boiler Operataor's licenece for 2001-2 will be provided by TBP</v>
          </cell>
        </row>
        <row r="40">
          <cell r="B40" t="str">
            <v>December</v>
          </cell>
          <cell r="C40">
            <v>400000</v>
          </cell>
          <cell r="E40" t="str">
            <v>Land cess to be paid and provided in budget of TBP</v>
          </cell>
        </row>
        <row r="41">
          <cell r="B41" t="str">
            <v>January</v>
          </cell>
          <cell r="C41">
            <v>0</v>
          </cell>
          <cell r="G41">
            <v>650000</v>
          </cell>
        </row>
        <row r="42">
          <cell r="B42" t="str">
            <v>February</v>
          </cell>
          <cell r="C42">
            <v>0</v>
          </cell>
        </row>
        <row r="43">
          <cell r="B43" t="str">
            <v>March</v>
          </cell>
          <cell r="C43">
            <v>243000</v>
          </cell>
        </row>
        <row r="44">
          <cell r="B44" t="str">
            <v>March</v>
          </cell>
          <cell r="C44">
            <v>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37" refreshError="1">
        <row r="1">
          <cell r="B1" t="str">
            <v>Tanir Bavi Power Facility</v>
          </cell>
        </row>
        <row r="2">
          <cell r="B2" t="str">
            <v>Period 01-06-01 to 31-03-02 (10 months)</v>
          </cell>
        </row>
        <row r="4">
          <cell r="D4" t="str">
            <v>Category:</v>
          </cell>
          <cell r="E4" t="str">
            <v>Emissions\Environmental Testing</v>
          </cell>
        </row>
        <row r="6">
          <cell r="B6" t="str">
            <v>Responsible Team Member Name:</v>
          </cell>
          <cell r="D6" t="str">
            <v>Premdas</v>
          </cell>
        </row>
        <row r="8">
          <cell r="B8" t="str">
            <v>Category Includes:</v>
          </cell>
        </row>
        <row r="10">
          <cell r="B10" t="str">
            <v>On and off site verification of plant air and water emissions compliance by independent testing contractor. Required by the Permit in accordance with the approved Monitoring Plan for CEMS systems.  Also includes associated fees.</v>
          </cell>
        </row>
        <row r="14">
          <cell r="B14" t="str">
            <v>Budget Estimate Basis:</v>
          </cell>
        </row>
        <row r="16">
          <cell r="B16" t="str">
            <v>Based on meeting the requirements in the air permit for annual recertification in accordance with the monitoring plan.</v>
          </cell>
        </row>
        <row r="22">
          <cell r="B22" t="str">
            <v>Calculations:</v>
          </cell>
        </row>
        <row r="23">
          <cell r="B23" t="str">
            <v>Plant Security</v>
          </cell>
          <cell r="C23">
            <v>3000000</v>
          </cell>
          <cell r="E23" t="str">
            <v>10 months *Rs 3 lac /month based on quote from existing security</v>
          </cell>
        </row>
        <row r="24">
          <cell r="B24" t="str">
            <v>Fees</v>
          </cell>
          <cell r="C24">
            <v>70000</v>
          </cell>
          <cell r="D24" t="str">
            <v>Ge agrrement  LC charges to be included in TBP budget</v>
          </cell>
          <cell r="E24" t="str">
            <v>1 ton/day@4000/ton 300 days</v>
          </cell>
          <cell r="F24" t="str">
            <v>Rs 500/piece*50</v>
          </cell>
          <cell r="G24">
            <v>1200000</v>
          </cell>
        </row>
        <row r="25">
          <cell r="B25" t="str">
            <v>Vibration analysis</v>
          </cell>
          <cell r="C25">
            <v>0</v>
          </cell>
          <cell r="E25" t="str">
            <v>Rs75/Day*60 person*30 days*10</v>
          </cell>
          <cell r="F25" t="str">
            <v>Rs 300/piece*100</v>
          </cell>
          <cell r="G25">
            <v>1350000</v>
          </cell>
        </row>
        <row r="26">
          <cell r="B26" t="str">
            <v>Fire engine</v>
          </cell>
          <cell r="C26">
            <v>35000</v>
          </cell>
          <cell r="F26" t="str">
            <v>Rs 1425/piece*50</v>
          </cell>
        </row>
        <row r="27">
          <cell r="B27" t="str">
            <v>Fire Fighting Staff contract</v>
          </cell>
          <cell r="C27">
            <v>0</v>
          </cell>
        </row>
        <row r="28">
          <cell r="B28" t="str">
            <v>General Labor un skilled</v>
          </cell>
          <cell r="C28">
            <v>150000</v>
          </cell>
          <cell r="E28" t="str">
            <v>1 refiil/month/apparatus (8)@rs 2500 /refill</v>
          </cell>
        </row>
        <row r="29">
          <cell r="B29" t="str">
            <v>Total</v>
          </cell>
          <cell r="C29">
            <v>800000</v>
          </cell>
          <cell r="E29" t="str">
            <v>64 KBP Leased Line</v>
          </cell>
        </row>
        <row r="30">
          <cell r="B30" t="str">
            <v>Total</v>
          </cell>
          <cell r="C30">
            <v>70000</v>
          </cell>
          <cell r="G30">
            <v>800000</v>
          </cell>
        </row>
        <row r="31">
          <cell r="B31" t="str">
            <v>Dispenser chem+absorbent etc</v>
          </cell>
          <cell r="C31">
            <v>300000</v>
          </cell>
          <cell r="G31">
            <v>70000</v>
          </cell>
        </row>
        <row r="32">
          <cell r="B32" t="str">
            <v>April</v>
          </cell>
          <cell r="C32">
            <v>1365000</v>
          </cell>
        </row>
        <row r="33">
          <cell r="B33" t="str">
            <v>April</v>
          </cell>
          <cell r="C33">
            <v>751250</v>
          </cell>
          <cell r="G33">
            <v>1365000</v>
          </cell>
        </row>
        <row r="34">
          <cell r="B34" t="str">
            <v>May</v>
          </cell>
          <cell r="G34">
            <v>751250</v>
          </cell>
        </row>
        <row r="35">
          <cell r="B35" t="str">
            <v>June</v>
          </cell>
          <cell r="C35">
            <v>200000</v>
          </cell>
        </row>
        <row r="36">
          <cell r="B36" t="str">
            <v>July</v>
          </cell>
        </row>
        <row r="37">
          <cell r="B37" t="str">
            <v>August</v>
          </cell>
          <cell r="C37">
            <v>431666.66666666669</v>
          </cell>
          <cell r="D37" t="str">
            <v>Oxygen monthly all others in Dec</v>
          </cell>
        </row>
        <row r="38">
          <cell r="B38" t="str">
            <v>September</v>
          </cell>
          <cell r="C38">
            <v>23333.333333333332</v>
          </cell>
        </row>
        <row r="39">
          <cell r="B39" t="str">
            <v>October</v>
          </cell>
          <cell r="C39">
            <v>50000</v>
          </cell>
        </row>
        <row r="40">
          <cell r="B40" t="str">
            <v>November</v>
          </cell>
          <cell r="C40">
            <v>200000</v>
          </cell>
        </row>
        <row r="41">
          <cell r="B41" t="str">
            <v>December</v>
          </cell>
          <cell r="C41">
            <v>23333.333333333332</v>
          </cell>
        </row>
        <row r="42">
          <cell r="B42" t="str">
            <v>January</v>
          </cell>
          <cell r="C42">
            <v>50000</v>
          </cell>
        </row>
        <row r="43">
          <cell r="B43" t="str">
            <v>February</v>
          </cell>
          <cell r="C43">
            <v>200000</v>
          </cell>
        </row>
        <row r="44">
          <cell r="B44" t="str">
            <v>March</v>
          </cell>
          <cell r="C44">
            <v>23333.333333333332</v>
          </cell>
        </row>
        <row r="45">
          <cell r="B45" t="str">
            <v>January</v>
          </cell>
          <cell r="C45">
            <v>50000</v>
          </cell>
        </row>
        <row r="46">
          <cell r="B46" t="str">
            <v>February</v>
          </cell>
          <cell r="C46">
            <v>50000</v>
          </cell>
        </row>
        <row r="47">
          <cell r="B47" t="str">
            <v>March</v>
          </cell>
          <cell r="C47">
            <v>50000</v>
          </cell>
        </row>
        <row r="48">
          <cell r="C48">
            <v>751250</v>
          </cell>
        </row>
      </sheetData>
      <sheetData sheetId="38" refreshError="1">
        <row r="1">
          <cell r="B1" t="str">
            <v>Tanir Bavi Power Facility</v>
          </cell>
        </row>
        <row r="2">
          <cell r="B2" t="str">
            <v>Period 01-06-01 to 31-03-02 (10 months)</v>
          </cell>
        </row>
        <row r="4">
          <cell r="D4" t="str">
            <v>Category:</v>
          </cell>
          <cell r="E4" t="str">
            <v>Plant Wastes</v>
          </cell>
        </row>
        <row r="6">
          <cell r="B6" t="str">
            <v>Responsible Team Member Name:</v>
          </cell>
          <cell r="D6" t="str">
            <v>Saxena</v>
          </cell>
        </row>
        <row r="8">
          <cell r="B8" t="str">
            <v>Category Includes:</v>
          </cell>
        </row>
        <row r="10">
          <cell r="B10" t="str">
            <v>This is to cover disposal of oil and filters and any other hazardous waste that may be generated at the site.</v>
          </cell>
        </row>
        <row r="11">
          <cell r="B11" t="str">
            <v>and also the frequency is expected to be higher with monsoon</v>
          </cell>
          <cell r="C11" t="str">
            <v xml:space="preserve">Naptha testing,pollution control sample from different part of the plant </v>
          </cell>
        </row>
        <row r="14">
          <cell r="B14" t="str">
            <v>Budget Estimate Basis:</v>
          </cell>
        </row>
        <row r="16">
          <cell r="B16" t="str">
            <v xml:space="preserve">Based on estimate for waste generated from transformer sump, CW intake &amp; Projected Mtnce waste </v>
          </cell>
        </row>
        <row r="22">
          <cell r="B22" t="str">
            <v>Calculations:</v>
          </cell>
        </row>
        <row r="24">
          <cell r="B24" t="str">
            <v>Oily waste</v>
          </cell>
          <cell r="C24">
            <v>200000</v>
          </cell>
          <cell r="D24" t="str">
            <v>4.5ltr/hr*2hr/day*300 days*Rs. 20 / ltr.</v>
          </cell>
          <cell r="E24" t="str">
            <v>Includes:</v>
          </cell>
          <cell r="F24" t="str">
            <v>Lab chemicals</v>
          </cell>
          <cell r="G24">
            <v>500000</v>
          </cell>
        </row>
        <row r="25">
          <cell r="B25" t="str">
            <v xml:space="preserve">CW intake waste </v>
          </cell>
          <cell r="C25">
            <v>120000</v>
          </cell>
          <cell r="D25" t="str">
            <v>Pant</v>
          </cell>
          <cell r="E25" t="str">
            <v>3*1.3mtr*Rs. 540*40 persons</v>
          </cell>
          <cell r="F25" t="str">
            <v>Lab consumables</v>
          </cell>
          <cell r="G25">
            <v>175000</v>
          </cell>
        </row>
        <row r="26">
          <cell r="B26" t="str">
            <v xml:space="preserve">Disel fire pumps </v>
          </cell>
          <cell r="C26">
            <v>93600</v>
          </cell>
          <cell r="E26" t="str">
            <v>Stitching</v>
          </cell>
          <cell r="F26" t="str">
            <v xml:space="preserve">Lab additional items </v>
          </cell>
          <cell r="G26">
            <v>150000</v>
          </cell>
        </row>
        <row r="27">
          <cell r="B27" t="str">
            <v>Sewage</v>
          </cell>
          <cell r="C27">
            <v>60000</v>
          </cell>
          <cell r="G27">
            <v>240240</v>
          </cell>
        </row>
        <row r="28">
          <cell r="B28" t="str">
            <v>*Fuel will be drawn from Main Hsd system .Since it will be difficult to measure at DG Set this is omiited</v>
          </cell>
        </row>
        <row r="29">
          <cell r="B29" t="str">
            <v>Total</v>
          </cell>
          <cell r="C29">
            <v>50000</v>
          </cell>
        </row>
        <row r="30">
          <cell r="B30" t="str">
            <v>Total</v>
          </cell>
          <cell r="C30">
            <v>380000</v>
          </cell>
          <cell r="G30">
            <v>50000</v>
          </cell>
        </row>
        <row r="31">
          <cell r="G31">
            <v>380000</v>
          </cell>
        </row>
        <row r="32">
          <cell r="B32" t="str">
            <v>April</v>
          </cell>
          <cell r="C32">
            <v>337240</v>
          </cell>
        </row>
        <row r="33">
          <cell r="B33" t="str">
            <v>May</v>
          </cell>
          <cell r="C33">
            <v>800000</v>
          </cell>
          <cell r="G33">
            <v>337240</v>
          </cell>
        </row>
        <row r="34">
          <cell r="B34" t="str">
            <v>June</v>
          </cell>
          <cell r="G34">
            <v>800000</v>
          </cell>
        </row>
        <row r="35">
          <cell r="B35" t="str">
            <v>July</v>
          </cell>
        </row>
        <row r="36">
          <cell r="B36" t="str">
            <v>August</v>
          </cell>
        </row>
        <row r="37">
          <cell r="B37" t="str">
            <v>September</v>
          </cell>
        </row>
        <row r="38">
          <cell r="B38" t="str">
            <v>October</v>
          </cell>
          <cell r="C38">
            <v>400000</v>
          </cell>
        </row>
        <row r="39">
          <cell r="B39" t="str">
            <v>November</v>
          </cell>
          <cell r="C39">
            <v>133200</v>
          </cell>
        </row>
        <row r="40">
          <cell r="B40" t="str">
            <v>December</v>
          </cell>
          <cell r="C40">
            <v>50000</v>
          </cell>
        </row>
        <row r="41">
          <cell r="B41" t="str">
            <v>January</v>
          </cell>
          <cell r="C41">
            <v>133200</v>
          </cell>
        </row>
        <row r="42">
          <cell r="B42" t="str">
            <v>February</v>
          </cell>
          <cell r="C42">
            <v>133200</v>
          </cell>
        </row>
        <row r="43">
          <cell r="B43" t="str">
            <v>March</v>
          </cell>
          <cell r="C43">
            <v>133200</v>
          </cell>
        </row>
        <row r="44">
          <cell r="B44" t="str">
            <v>January</v>
          </cell>
          <cell r="C44">
            <v>133200</v>
          </cell>
        </row>
        <row r="45">
          <cell r="B45" t="str">
            <v>February</v>
          </cell>
          <cell r="C45">
            <v>133200</v>
          </cell>
        </row>
        <row r="46">
          <cell r="B46" t="str">
            <v>March</v>
          </cell>
          <cell r="C46">
            <v>133200</v>
          </cell>
        </row>
        <row r="47">
          <cell r="B47" t="str">
            <v>February</v>
          </cell>
          <cell r="C47">
            <v>133200</v>
          </cell>
        </row>
        <row r="48">
          <cell r="B48" t="str">
            <v>March</v>
          </cell>
          <cell r="C48">
            <v>133200</v>
          </cell>
        </row>
        <row r="49">
          <cell r="B49" t="str">
            <v>Total</v>
          </cell>
          <cell r="C49">
            <v>1332000</v>
          </cell>
        </row>
      </sheetData>
      <sheetData sheetId="39" refreshError="1">
        <row r="1">
          <cell r="B1" t="str">
            <v>Tanir Bavi Power Facility</v>
          </cell>
        </row>
        <row r="2">
          <cell r="B2" t="str">
            <v>Period 01-06-01 to 31-03-02 (10 months)</v>
          </cell>
        </row>
        <row r="4">
          <cell r="D4" t="str">
            <v>Category:</v>
          </cell>
          <cell r="E4" t="str">
            <v>Buildings and Grounds</v>
          </cell>
        </row>
        <row r="6">
          <cell r="B6" t="str">
            <v>Responsible Team Member Name:</v>
          </cell>
          <cell r="D6" t="str">
            <v>Venkatramana</v>
          </cell>
        </row>
        <row r="8">
          <cell r="B8" t="str">
            <v>Category Includes:</v>
          </cell>
        </row>
        <row r="10">
          <cell r="B10" t="str">
            <v>General Repairs,painting &amp; cleaning of O&amp;M building ,landscapping ,janitorial services office AC,lawn mowing etc.,</v>
          </cell>
        </row>
        <row r="14">
          <cell r="B14" t="str">
            <v>Budget Estimate Basis:</v>
          </cell>
        </row>
        <row r="16">
          <cell r="B16" t="str">
            <v>Based on current contracts and expected normal maintenance.</v>
          </cell>
        </row>
        <row r="17">
          <cell r="B17" t="str">
            <v xml:space="preserve">It is also assumed  balance 50% will be met by  chiller units </v>
          </cell>
        </row>
        <row r="22">
          <cell r="B22" t="str">
            <v>Calculations:</v>
          </cell>
          <cell r="G22" t="str">
            <v>$ comp</v>
          </cell>
        </row>
        <row r="23">
          <cell r="B23" t="str">
            <v>Calculations:</v>
          </cell>
          <cell r="C23">
            <v>300000</v>
          </cell>
          <cell r="G23" t="str">
            <v>( incl in Total )</v>
          </cell>
        </row>
        <row r="24">
          <cell r="B24" t="str">
            <v>Housekeeping Svcs &amp;</v>
          </cell>
          <cell r="C24">
            <v>120000</v>
          </cell>
          <cell r="D24" t="str">
            <v>spares for condensate pump  etc</v>
          </cell>
          <cell r="E24" t="str">
            <v>Rs50/bottle*8bot*300</v>
          </cell>
          <cell r="F24" t="str">
            <v>8 trips /PM *12000tkt*10mths</v>
          </cell>
          <cell r="G24">
            <v>120000</v>
          </cell>
        </row>
        <row r="25">
          <cell r="B25" t="str">
            <v xml:space="preserve">      Supplies</v>
          </cell>
          <cell r="C25">
            <v>900000</v>
          </cell>
          <cell r="D25" t="str">
            <v>Asper contract recd</v>
          </cell>
          <cell r="E25" t="str">
            <v>25cu.mtr/hr*24hr*Rs10.1/kl</v>
          </cell>
          <cell r="F25">
            <v>315000</v>
          </cell>
          <cell r="G25">
            <v>1818000</v>
          </cell>
        </row>
        <row r="26">
          <cell r="B26" t="str">
            <v>Gardening Svcs.</v>
          </cell>
          <cell r="C26">
            <v>1020000</v>
          </cell>
          <cell r="D26" t="str">
            <v>6 people *100rs *300 days +Seeds+Manure</v>
          </cell>
          <cell r="E26" t="str">
            <v>Kg78*2*300 Days</v>
          </cell>
          <cell r="F26">
            <v>842400</v>
          </cell>
          <cell r="G26" t="str">
            <v xml:space="preserve">@ 18000/tonne </v>
          </cell>
        </row>
        <row r="27">
          <cell r="B27" t="str">
            <v>Painting</v>
          </cell>
          <cell r="C27">
            <v>250000</v>
          </cell>
          <cell r="E27" t="str">
            <v xml:space="preserve">intl.Audit </v>
          </cell>
          <cell r="F27" t="str">
            <v xml:space="preserve">US $ 16250 @Rs 47.50 </v>
          </cell>
          <cell r="G27">
            <v>200000</v>
          </cell>
        </row>
        <row r="28">
          <cell r="B28" t="str">
            <v>A/C Maintenance</v>
          </cell>
          <cell r="C28">
            <v>150000</v>
          </cell>
          <cell r="F28" t="str">
            <v>*exp is made to 6 to match the usage of TBP guest house</v>
          </cell>
        </row>
        <row r="29">
          <cell r="B29" t="str">
            <v>Pest Control</v>
          </cell>
          <cell r="C29">
            <v>80000</v>
          </cell>
          <cell r="G29">
            <v>5210</v>
          </cell>
        </row>
        <row r="30">
          <cell r="B30" t="str">
            <v xml:space="preserve">Repair to road </v>
          </cell>
          <cell r="C30">
            <v>100000</v>
          </cell>
          <cell r="G30">
            <v>4000</v>
          </cell>
        </row>
        <row r="31">
          <cell r="B31" t="str">
            <v xml:space="preserve">Other services </v>
          </cell>
          <cell r="C31">
            <v>50000</v>
          </cell>
          <cell r="D31" t="str">
            <v>est @Rs 5000/mont for 10 months</v>
          </cell>
          <cell r="G31">
            <v>1938000</v>
          </cell>
        </row>
        <row r="32">
          <cell r="B32" t="str">
            <v>Teleohone/cell/walkie talkie mtnce</v>
          </cell>
          <cell r="C32">
            <v>60000</v>
          </cell>
          <cell r="G32">
            <v>1193400</v>
          </cell>
        </row>
        <row r="33">
          <cell r="B33" t="str">
            <v>Minor mdfn to building+reapir</v>
          </cell>
          <cell r="C33">
            <v>200000</v>
          </cell>
          <cell r="G33">
            <v>7000</v>
          </cell>
        </row>
        <row r="34">
          <cell r="B34" t="str">
            <v>DWS PLC</v>
          </cell>
          <cell r="C34">
            <v>200000</v>
          </cell>
        </row>
        <row r="35">
          <cell r="B35" t="str">
            <v>Total</v>
          </cell>
          <cell r="C35">
            <v>2810000</v>
          </cell>
          <cell r="D35" t="str">
            <v>* 2batch*3 days =6 days *40000</v>
          </cell>
          <cell r="F35">
            <v>240000</v>
          </cell>
        </row>
        <row r="36">
          <cell r="B36" t="str">
            <v>Fire Protection System</v>
          </cell>
          <cell r="C36">
            <v>500000</v>
          </cell>
          <cell r="D36" t="str">
            <v>2days*2batch</v>
          </cell>
          <cell r="F36">
            <v>160000</v>
          </cell>
          <cell r="G36">
            <v>2810000</v>
          </cell>
        </row>
        <row r="37">
          <cell r="B37" t="str">
            <v>CW system  treatment</v>
          </cell>
          <cell r="C37">
            <v>450000</v>
          </cell>
          <cell r="D37" t="str">
            <v>2days *2batch</v>
          </cell>
          <cell r="F37">
            <v>160000</v>
          </cell>
        </row>
        <row r="38">
          <cell r="B38" t="str">
            <v>CC / SC Cooling Water System</v>
          </cell>
          <cell r="C38">
            <v>100000</v>
          </cell>
          <cell r="F38">
            <v>560000</v>
          </cell>
          <cell r="G38">
            <v>1590</v>
          </cell>
        </row>
        <row r="39">
          <cell r="B39" t="str">
            <v>Stack Monitoring System</v>
          </cell>
          <cell r="C39">
            <v>200000</v>
          </cell>
          <cell r="D39" t="str">
            <v>Professional fees</v>
          </cell>
          <cell r="F39">
            <v>300000</v>
          </cell>
          <cell r="G39">
            <v>10417</v>
          </cell>
        </row>
        <row r="40">
          <cell r="B40" t="str">
            <v>OTSG Spares</v>
          </cell>
          <cell r="C40">
            <v>400000</v>
          </cell>
          <cell r="D40" t="str">
            <v>Matl/travel</v>
          </cell>
          <cell r="F40">
            <v>100000</v>
          </cell>
          <cell r="G40">
            <v>6000</v>
          </cell>
        </row>
        <row r="41">
          <cell r="B41" t="str">
            <v>Black Start DG set</v>
          </cell>
          <cell r="C41">
            <v>200000</v>
          </cell>
          <cell r="D41" t="str">
            <v>Total Training</v>
          </cell>
          <cell r="F41">
            <v>960000</v>
          </cell>
          <cell r="G41">
            <v>5500</v>
          </cell>
        </row>
        <row r="42">
          <cell r="B42" t="str">
            <v>Debris Filter &amp; Ball Cleaning</v>
          </cell>
          <cell r="C42">
            <v>400000</v>
          </cell>
          <cell r="G42">
            <v>10300</v>
          </cell>
        </row>
        <row r="43">
          <cell r="B43" t="str">
            <v>Total</v>
          </cell>
          <cell r="C43">
            <v>7504750</v>
          </cell>
          <cell r="G43">
            <v>63540</v>
          </cell>
        </row>
        <row r="44">
          <cell r="B44" t="str">
            <v>June</v>
          </cell>
          <cell r="C44">
            <v>200000</v>
          </cell>
          <cell r="G44">
            <v>7504750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40" refreshError="1">
        <row r="1">
          <cell r="B1" t="str">
            <v>Tanir Bavi Power Facility</v>
          </cell>
        </row>
        <row r="2">
          <cell r="B2" t="str">
            <v>Period 01-06-01 to 31-03-02 (10 months)</v>
          </cell>
        </row>
        <row r="4">
          <cell r="D4" t="str">
            <v>Category:</v>
          </cell>
          <cell r="E4" t="str">
            <v>Fire Detection &amp; Suppression System</v>
          </cell>
        </row>
        <row r="6">
          <cell r="B6" t="str">
            <v>Responsible Team Member Name:</v>
          </cell>
          <cell r="D6" t="str">
            <v>Ram Prasad</v>
          </cell>
        </row>
        <row r="8">
          <cell r="B8" t="str">
            <v>Category Includes:</v>
          </cell>
        </row>
        <row r="10">
          <cell r="B10" t="str">
            <v>This includes outside contracted services to inspect, repair, and recharge the fire extinguishers and CO2 systems.</v>
          </cell>
        </row>
        <row r="14">
          <cell r="B14" t="str">
            <v>Budget Estimate Basis:</v>
          </cell>
        </row>
        <row r="16">
          <cell r="B16" t="str">
            <v>Estimate based on projections and quotes from vendors for annual tests and filling.</v>
          </cell>
        </row>
        <row r="17">
          <cell r="B17" t="str">
            <v>Third party liability  ( for GPOL only )</v>
          </cell>
        </row>
        <row r="21">
          <cell r="B21" t="str">
            <v>Calculations:</v>
          </cell>
        </row>
        <row r="22">
          <cell r="B22" t="str">
            <v>Calculations:</v>
          </cell>
        </row>
        <row r="23">
          <cell r="B23" t="str">
            <v>Comprehensive Auto. Liab.</v>
          </cell>
          <cell r="E23" t="str">
            <v>argon'@10cu.m/day@rs40/cu.m</v>
          </cell>
          <cell r="G23">
            <v>120000</v>
          </cell>
        </row>
        <row r="24">
          <cell r="B24" t="str">
            <v>Recharging of Extinguishers</v>
          </cell>
          <cell r="C24">
            <v>150000</v>
          </cell>
          <cell r="D24" t="str">
            <v>Water Cess</v>
          </cell>
          <cell r="E24" t="str">
            <v>Helium</v>
          </cell>
          <cell r="F24">
            <v>8100</v>
          </cell>
          <cell r="G24">
            <v>150000</v>
          </cell>
        </row>
        <row r="25">
          <cell r="B25" t="str">
            <v>Recharging of CO2 sys</v>
          </cell>
          <cell r="C25">
            <v>150000</v>
          </cell>
          <cell r="E25" t="str">
            <v xml:space="preserve">Nitrogen @3cu.m/day </v>
          </cell>
          <cell r="F25">
            <v>243000</v>
          </cell>
          <cell r="G25">
            <v>13000</v>
          </cell>
        </row>
        <row r="26">
          <cell r="B26" t="str">
            <v>System repairs</v>
          </cell>
          <cell r="C26">
            <v>100000</v>
          </cell>
          <cell r="D26" t="str">
            <v>Toward 4" dia 300mtr pipe and clamps</v>
          </cell>
          <cell r="E26" t="str">
            <v xml:space="preserve">LPG 10 cyl/year </v>
          </cell>
          <cell r="F26">
            <v>2430000</v>
          </cell>
          <cell r="G26">
            <v>40000</v>
          </cell>
        </row>
        <row r="27">
          <cell r="B27" t="str">
            <v>Others</v>
          </cell>
          <cell r="C27">
            <v>73000</v>
          </cell>
          <cell r="E27" t="str">
            <v xml:space="preserve">Co2+H2 (Lab) </v>
          </cell>
          <cell r="G27">
            <v>20000</v>
          </cell>
        </row>
        <row r="28">
          <cell r="B28" t="str">
            <v>High Pressure Pump</v>
          </cell>
          <cell r="C28">
            <v>70000</v>
          </cell>
          <cell r="E28" t="str">
            <v>Chillier Refrigerant Rs700/Kg@1*900kgs</v>
          </cell>
          <cell r="G28">
            <v>630000</v>
          </cell>
        </row>
        <row r="29">
          <cell r="B29" t="str">
            <v>Total</v>
          </cell>
          <cell r="C29">
            <v>400000</v>
          </cell>
          <cell r="E29" t="str">
            <v>Discount of 25% for payment on time not</v>
          </cell>
          <cell r="G29">
            <v>200000</v>
          </cell>
        </row>
        <row r="30">
          <cell r="B30" t="str">
            <v>Total</v>
          </cell>
          <cell r="C30">
            <v>480000</v>
          </cell>
          <cell r="D30" t="str">
            <v>Rs 500/hr*20hrs per month *10months</v>
          </cell>
          <cell r="E30" t="str">
            <v>considered</v>
          </cell>
          <cell r="G30">
            <v>400000</v>
          </cell>
        </row>
        <row r="31">
          <cell r="B31" t="str">
            <v>Total</v>
          </cell>
          <cell r="C31">
            <v>950000</v>
          </cell>
          <cell r="E31" t="str">
            <v>estimate 15 children @ Rs. 15000 each</v>
          </cell>
          <cell r="G31">
            <v>480000</v>
          </cell>
        </row>
        <row r="32">
          <cell r="B32" t="str">
            <v>April</v>
          </cell>
          <cell r="C32">
            <v>2430000</v>
          </cell>
          <cell r="E32" t="str">
            <v>For interview /travel , head hunter etc.,</v>
          </cell>
          <cell r="G32">
            <v>950000</v>
          </cell>
        </row>
        <row r="33">
          <cell r="B33" t="str">
            <v>May</v>
          </cell>
          <cell r="C33">
            <v>925000</v>
          </cell>
          <cell r="E33" t="str">
            <v>Pens/Pencils/Markers/etc.</v>
          </cell>
        </row>
        <row r="34">
          <cell r="B34" t="str">
            <v>June</v>
          </cell>
          <cell r="C34">
            <v>2539000</v>
          </cell>
          <cell r="E34" t="str">
            <v>Hole Punch</v>
          </cell>
          <cell r="G34">
            <v>925000</v>
          </cell>
        </row>
        <row r="35">
          <cell r="B35" t="str">
            <v>July</v>
          </cell>
          <cell r="G35">
            <v>2539000</v>
          </cell>
        </row>
        <row r="36">
          <cell r="B36" t="str">
            <v>August</v>
          </cell>
        </row>
        <row r="37">
          <cell r="B37" t="str">
            <v>September</v>
          </cell>
          <cell r="E37" t="str">
            <v xml:space="preserve">Water Cess monthly Rest in Feb </v>
          </cell>
        </row>
        <row r="38">
          <cell r="B38" t="str">
            <v>October</v>
          </cell>
          <cell r="C38">
            <v>0</v>
          </cell>
        </row>
        <row r="39">
          <cell r="B39" t="str">
            <v>November</v>
          </cell>
          <cell r="C39">
            <v>243000</v>
          </cell>
          <cell r="E39" t="str">
            <v>Boiler Operataor's licenece for 2001-2 will be provided by TBP</v>
          </cell>
        </row>
        <row r="40">
          <cell r="B40" t="str">
            <v>December</v>
          </cell>
          <cell r="C40">
            <v>400000</v>
          </cell>
          <cell r="E40" t="str">
            <v>Land cess to be paid and provided in budget of TBP</v>
          </cell>
        </row>
        <row r="41">
          <cell r="B41" t="str">
            <v>January</v>
          </cell>
          <cell r="C41">
            <v>0</v>
          </cell>
          <cell r="G41">
            <v>650000</v>
          </cell>
        </row>
        <row r="42">
          <cell r="B42" t="str">
            <v>February</v>
          </cell>
          <cell r="C42">
            <v>0</v>
          </cell>
        </row>
        <row r="43">
          <cell r="B43" t="str">
            <v>March</v>
          </cell>
          <cell r="C43">
            <v>243000</v>
          </cell>
        </row>
        <row r="44">
          <cell r="B44" t="str">
            <v>March</v>
          </cell>
          <cell r="C44">
            <v>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41" refreshError="1">
        <row r="1">
          <cell r="B1" t="str">
            <v>Tanir Bavi Power Facility</v>
          </cell>
        </row>
        <row r="2">
          <cell r="B2" t="str">
            <v>Period 01-06-01 to 31-03-02 (10 months)</v>
          </cell>
        </row>
        <row r="4">
          <cell r="D4" t="str">
            <v>Category:</v>
          </cell>
          <cell r="E4" t="str">
            <v>Routine Service/Maintenance Contractors</v>
          </cell>
        </row>
        <row r="6">
          <cell r="B6" t="str">
            <v>Responsible Team Member Name:</v>
          </cell>
          <cell r="D6" t="str">
            <v>Sudararajan / Ravi</v>
          </cell>
        </row>
        <row r="8">
          <cell r="B8" t="str">
            <v>Category Includes:</v>
          </cell>
        </row>
        <row r="10">
          <cell r="B10" t="str">
            <v>Sevices,performed predominantly  at the plant site, for repairs and maintenance and support service by outside agencies</v>
          </cell>
        </row>
        <row r="14">
          <cell r="B14" t="str">
            <v>Budget Estimate Basis:</v>
          </cell>
        </row>
        <row r="16">
          <cell r="B16" t="str">
            <v>Based on quotes or projections for services.</v>
          </cell>
        </row>
        <row r="22">
          <cell r="B22" t="str">
            <v>Calculations:</v>
          </cell>
        </row>
        <row r="23">
          <cell r="B23" t="str">
            <v>Plant Security</v>
          </cell>
          <cell r="C23">
            <v>3000000</v>
          </cell>
          <cell r="E23" t="str">
            <v>10 months *Rs 3 lac /month based on quote from existing security</v>
          </cell>
        </row>
        <row r="24">
          <cell r="B24" t="str">
            <v>Routine Maint. Support Skilled</v>
          </cell>
          <cell r="C24">
            <v>300000</v>
          </cell>
          <cell r="D24" t="str">
            <v>Ge agrrement  LC charges to be included in TBP budget</v>
          </cell>
          <cell r="E24" t="str">
            <v>1 ton/day@4000/ton 300 days</v>
          </cell>
          <cell r="F24" t="str">
            <v>Rs 500/piece*50</v>
          </cell>
          <cell r="G24">
            <v>1200000</v>
          </cell>
        </row>
        <row r="25">
          <cell r="B25" t="str">
            <v>Vibration analysis</v>
          </cell>
          <cell r="C25">
            <v>150000</v>
          </cell>
          <cell r="E25" t="str">
            <v>Rs75/Day*60 person*30 days*10</v>
          </cell>
          <cell r="F25" t="str">
            <v>Rs 300/piece*100</v>
          </cell>
          <cell r="G25">
            <v>1350000</v>
          </cell>
        </row>
        <row r="26">
          <cell r="B26" t="str">
            <v>Fire engine</v>
          </cell>
          <cell r="C26">
            <v>35000</v>
          </cell>
          <cell r="F26" t="str">
            <v>Rs 1425/piece*50</v>
          </cell>
        </row>
        <row r="27">
          <cell r="B27" t="str">
            <v>Fire Fighting Staff contract</v>
          </cell>
          <cell r="C27">
            <v>0</v>
          </cell>
        </row>
        <row r="28">
          <cell r="B28" t="str">
            <v>General Labor un skilled</v>
          </cell>
          <cell r="C28">
            <v>150000</v>
          </cell>
          <cell r="E28" t="str">
            <v>1 refiil/month/apparatus (8)@rs 2500 /refill</v>
          </cell>
        </row>
        <row r="29">
          <cell r="B29" t="str">
            <v>Total</v>
          </cell>
          <cell r="C29">
            <v>800000</v>
          </cell>
          <cell r="E29" t="str">
            <v>64 KBP Leased Line</v>
          </cell>
        </row>
        <row r="30">
          <cell r="B30" t="str">
            <v>Total</v>
          </cell>
          <cell r="C30">
            <v>3600000</v>
          </cell>
          <cell r="G30">
            <v>800000</v>
          </cell>
        </row>
        <row r="31">
          <cell r="B31" t="str">
            <v>Dispenser chem+absorbent etc</v>
          </cell>
          <cell r="C31">
            <v>300000</v>
          </cell>
          <cell r="G31">
            <v>3600000</v>
          </cell>
        </row>
        <row r="32">
          <cell r="B32" t="str">
            <v>April</v>
          </cell>
          <cell r="C32">
            <v>1365000</v>
          </cell>
        </row>
        <row r="33">
          <cell r="B33" t="str">
            <v>April</v>
          </cell>
          <cell r="C33">
            <v>751250</v>
          </cell>
          <cell r="G33">
            <v>1365000</v>
          </cell>
        </row>
        <row r="34">
          <cell r="B34" t="str">
            <v>May</v>
          </cell>
          <cell r="G34">
            <v>751250</v>
          </cell>
        </row>
        <row r="35">
          <cell r="B35" t="str">
            <v>June</v>
          </cell>
          <cell r="C35">
            <v>200000</v>
          </cell>
        </row>
        <row r="36">
          <cell r="B36" t="str">
            <v>July</v>
          </cell>
        </row>
        <row r="37">
          <cell r="B37" t="str">
            <v>August</v>
          </cell>
          <cell r="C37">
            <v>431666.66666666669</v>
          </cell>
          <cell r="D37" t="str">
            <v>Oxygen monthly all others in Dec</v>
          </cell>
        </row>
        <row r="38">
          <cell r="B38" t="str">
            <v>September</v>
          </cell>
          <cell r="C38">
            <v>23333.333333333332</v>
          </cell>
        </row>
        <row r="39">
          <cell r="B39" t="str">
            <v>October</v>
          </cell>
          <cell r="C39">
            <v>50000</v>
          </cell>
        </row>
        <row r="40">
          <cell r="B40" t="str">
            <v>November</v>
          </cell>
          <cell r="C40">
            <v>200000</v>
          </cell>
        </row>
        <row r="41">
          <cell r="B41" t="str">
            <v>December</v>
          </cell>
          <cell r="C41">
            <v>23333.333333333332</v>
          </cell>
        </row>
        <row r="42">
          <cell r="B42" t="str">
            <v>January</v>
          </cell>
          <cell r="C42">
            <v>50000</v>
          </cell>
        </row>
        <row r="43">
          <cell r="B43" t="str">
            <v>February</v>
          </cell>
          <cell r="C43">
            <v>200000</v>
          </cell>
        </row>
        <row r="44">
          <cell r="B44" t="str">
            <v>March</v>
          </cell>
          <cell r="C44">
            <v>23333.333333333332</v>
          </cell>
        </row>
        <row r="45">
          <cell r="B45" t="str">
            <v>January</v>
          </cell>
          <cell r="C45">
            <v>50000</v>
          </cell>
        </row>
        <row r="46">
          <cell r="B46" t="str">
            <v>February</v>
          </cell>
          <cell r="C46">
            <v>50000</v>
          </cell>
        </row>
        <row r="47">
          <cell r="B47" t="str">
            <v>March</v>
          </cell>
          <cell r="C47">
            <v>50000</v>
          </cell>
        </row>
        <row r="48">
          <cell r="C48">
            <v>751250</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row r="1">
          <cell r="A1" t="str">
            <v>GMR Airports Limited</v>
          </cell>
        </row>
      </sheetData>
      <sheetData sheetId="135"/>
      <sheetData sheetId="136"/>
      <sheetData sheetId="137">
        <row r="1">
          <cell r="A1" t="str">
            <v>GMR Airports Limited</v>
          </cell>
        </row>
      </sheetData>
      <sheetData sheetId="138"/>
      <sheetData sheetId="139"/>
      <sheetData sheetId="140">
        <row r="1">
          <cell r="A1" t="str">
            <v>GMR Airports Limited</v>
          </cell>
        </row>
      </sheetData>
      <sheetData sheetId="141"/>
      <sheetData sheetId="142"/>
      <sheetData sheetId="143">
        <row r="1">
          <cell r="A1" t="str">
            <v>GMR Airports Limited</v>
          </cell>
        </row>
      </sheetData>
      <sheetData sheetId="144"/>
      <sheetData sheetId="145"/>
      <sheetData sheetId="146">
        <row r="1">
          <cell r="A1" t="str">
            <v>GMR Airports Limited</v>
          </cell>
        </row>
      </sheetData>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blank"/>
      <sheetName val="Contents"/>
      <sheetName val="Total Services"/>
      <sheetName val="Process Numbers"/>
      <sheetName val="by-line"/>
      <sheetName val="blank (2)"/>
      <sheetName val="Total Expense"/>
      <sheetName val="personnel"/>
      <sheetName val="Occupancy"/>
      <sheetName val="F&amp;E"/>
      <sheetName val="ProfFees"/>
      <sheetName val="DirDP"/>
      <sheetName val="Prog. Charges"/>
      <sheetName val="Project Chgs"/>
      <sheetName val="Telecom"/>
      <sheetName val="Supplies"/>
      <sheetName val="Postage"/>
      <sheetName val="All Oth Gen Op"/>
      <sheetName val="Travel"/>
      <sheetName val="Proj. Prog"/>
      <sheetName val="Internal Proj"/>
      <sheetName val="Proj Var YTD"/>
      <sheetName val="blank (3)"/>
      <sheetName val="Programming"/>
      <sheetName val="graphs"/>
      <sheetName val="MTM-Process"/>
      <sheetName val="YTD-Process"/>
      <sheetName val="MTM_F"/>
      <sheetName val="niebefall"/>
      <sheetName val="YTD_F"/>
      <sheetName val="U"/>
      <sheetName val="3"/>
      <sheetName val="MONTHEND"/>
      <sheetName val="Details"/>
      <sheetName val="Lists"/>
    </sheetNames>
    <definedNames>
      <definedName name="print1"/>
    </defined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row r="1">
          <cell r="A1" t="str">
            <v>acct</v>
          </cell>
          <cell r="B1" t="str">
            <v>acct_descr</v>
          </cell>
          <cell r="C1" t="str">
            <v>col_1_jan</v>
          </cell>
          <cell r="D1" t="str">
            <v>col_1_feb</v>
          </cell>
          <cell r="E1" t="str">
            <v>col_1_mar</v>
          </cell>
          <cell r="F1" t="str">
            <v>col_1_apr</v>
          </cell>
          <cell r="G1" t="str">
            <v>col_1_may</v>
          </cell>
          <cell r="H1" t="str">
            <v>col_1_jun</v>
          </cell>
          <cell r="I1" t="str">
            <v>col_1_jul</v>
          </cell>
          <cell r="J1" t="str">
            <v>col_1_aug</v>
          </cell>
          <cell r="K1" t="str">
            <v>col_1_sep</v>
          </cell>
          <cell r="L1" t="str">
            <v>col_1_oct</v>
          </cell>
          <cell r="M1" t="str">
            <v>col_1_nov</v>
          </cell>
          <cell r="N1" t="str">
            <v>col_1_dec</v>
          </cell>
          <cell r="O1" t="str">
            <v>col_2_jan</v>
          </cell>
          <cell r="P1" t="str">
            <v>col_2_feb</v>
          </cell>
          <cell r="Q1" t="str">
            <v>col_2_mar</v>
          </cell>
          <cell r="R1" t="str">
            <v>col_2_apr</v>
          </cell>
          <cell r="S1" t="str">
            <v>col_2_may</v>
          </cell>
          <cell r="T1" t="str">
            <v>col_2_jun</v>
          </cell>
          <cell r="U1" t="str">
            <v>col_2_jul</v>
          </cell>
          <cell r="V1" t="str">
            <v>col_2_aug</v>
          </cell>
          <cell r="W1" t="str">
            <v>col_2_sep</v>
          </cell>
          <cell r="X1" t="str">
            <v>col_2_oct</v>
          </cell>
          <cell r="Y1" t="str">
            <v>col_2_nov</v>
          </cell>
          <cell r="Z1" t="str">
            <v>col_2_dec</v>
          </cell>
          <cell r="AA1" t="str">
            <v>col_3_jan</v>
          </cell>
          <cell r="AB1" t="str">
            <v>col_3_feb</v>
          </cell>
          <cell r="AC1" t="str">
            <v>col_3_mar</v>
          </cell>
          <cell r="AD1" t="str">
            <v>col_3_apr</v>
          </cell>
          <cell r="AE1" t="str">
            <v>col_3_may</v>
          </cell>
          <cell r="AF1" t="str">
            <v>col_3_jun</v>
          </cell>
          <cell r="AG1" t="str">
            <v>col_3_jul</v>
          </cell>
          <cell r="AH1" t="str">
            <v>col_3_aug</v>
          </cell>
          <cell r="AI1" t="str">
            <v>col_3_sep</v>
          </cell>
          <cell r="AJ1" t="str">
            <v>col_3_oct</v>
          </cell>
          <cell r="AK1" t="str">
            <v>col_3_nov</v>
          </cell>
          <cell r="AL1" t="str">
            <v>col_3_dec</v>
          </cell>
          <cell r="AM1" t="str">
            <v>col_4_jan</v>
          </cell>
          <cell r="AN1" t="str">
            <v>col_4_feb</v>
          </cell>
          <cell r="AO1" t="str">
            <v>col_4_mar</v>
          </cell>
          <cell r="AP1" t="str">
            <v>col_4_apr</v>
          </cell>
          <cell r="AQ1" t="str">
            <v>col_4_may</v>
          </cell>
          <cell r="AR1" t="str">
            <v>col_4_jun</v>
          </cell>
          <cell r="AS1" t="str">
            <v>col_4_jul</v>
          </cell>
          <cell r="AT1" t="str">
            <v>col_4_aug</v>
          </cell>
          <cell r="AU1" t="str">
            <v>col_4_sep</v>
          </cell>
          <cell r="AV1" t="str">
            <v>col_4_oct</v>
          </cell>
          <cell r="AW1" t="str">
            <v>col_4_nov</v>
          </cell>
          <cell r="AX1" t="str">
            <v>col_4_dec</v>
          </cell>
        </row>
        <row r="2">
          <cell r="A2" t="str">
            <v>600250</v>
          </cell>
          <cell r="B2" t="str">
            <v xml:space="preserve">Personnel                               </v>
          </cell>
          <cell r="C2">
            <v>45271560.789999999</v>
          </cell>
          <cell r="D2">
            <v>45507483.350000001</v>
          </cell>
          <cell r="E2">
            <v>45682216.490000002</v>
          </cell>
          <cell r="F2">
            <v>45763212.770000003</v>
          </cell>
          <cell r="G2">
            <v>44557009.899999999</v>
          </cell>
          <cell r="H2">
            <v>45195464.509999998</v>
          </cell>
          <cell r="I2">
            <v>44688070.079999998</v>
          </cell>
          <cell r="J2">
            <v>0</v>
          </cell>
          <cell r="K2">
            <v>0</v>
          </cell>
          <cell r="L2">
            <v>0</v>
          </cell>
          <cell r="M2">
            <v>0</v>
          </cell>
          <cell r="N2">
            <v>0</v>
          </cell>
          <cell r="O2">
            <v>45271560.789999999</v>
          </cell>
          <cell r="P2">
            <v>90779044.140000001</v>
          </cell>
          <cell r="Q2">
            <v>136461260.63</v>
          </cell>
          <cell r="R2">
            <v>182224473.40000001</v>
          </cell>
          <cell r="S2">
            <v>226781483.30000001</v>
          </cell>
          <cell r="T2">
            <v>271976947.81</v>
          </cell>
          <cell r="U2">
            <v>316665017.88999999</v>
          </cell>
          <cell r="V2">
            <v>0</v>
          </cell>
          <cell r="W2">
            <v>0</v>
          </cell>
          <cell r="X2">
            <v>0</v>
          </cell>
          <cell r="Y2">
            <v>0</v>
          </cell>
          <cell r="Z2">
            <v>0</v>
          </cell>
          <cell r="AA2">
            <v>45503909</v>
          </cell>
          <cell r="AB2">
            <v>45616822</v>
          </cell>
          <cell r="AC2">
            <v>46085626</v>
          </cell>
          <cell r="AD2">
            <v>45728262</v>
          </cell>
          <cell r="AE2">
            <v>45929129</v>
          </cell>
          <cell r="AF2">
            <v>45867310</v>
          </cell>
          <cell r="AG2">
            <v>46072741</v>
          </cell>
          <cell r="AH2">
            <v>45955660</v>
          </cell>
          <cell r="AI2">
            <v>45821081</v>
          </cell>
          <cell r="AJ2">
            <v>46108148</v>
          </cell>
          <cell r="AK2">
            <v>45983539</v>
          </cell>
          <cell r="AL2">
            <v>45925404</v>
          </cell>
          <cell r="AM2">
            <v>45503909</v>
          </cell>
          <cell r="AN2">
            <v>91120731</v>
          </cell>
          <cell r="AO2">
            <v>137206357</v>
          </cell>
          <cell r="AP2">
            <v>182934619</v>
          </cell>
          <cell r="AQ2">
            <v>228863748</v>
          </cell>
          <cell r="AR2">
            <v>274731058</v>
          </cell>
          <cell r="AS2">
            <v>320803799</v>
          </cell>
          <cell r="AT2">
            <v>366759459</v>
          </cell>
          <cell r="AU2">
            <v>412580540</v>
          </cell>
          <cell r="AV2">
            <v>458688688</v>
          </cell>
          <cell r="AW2">
            <v>504672227</v>
          </cell>
          <cell r="AX2">
            <v>550597631</v>
          </cell>
        </row>
        <row r="3">
          <cell r="A3" t="str">
            <v>601000A</v>
          </cell>
          <cell r="B3" t="str">
            <v xml:space="preserve">Overtime Salaries                       </v>
          </cell>
          <cell r="C3">
            <v>1394952.68</v>
          </cell>
          <cell r="D3">
            <v>1502190.79</v>
          </cell>
          <cell r="E3">
            <v>1307257.5900000001</v>
          </cell>
          <cell r="F3">
            <v>1284304.5</v>
          </cell>
          <cell r="G3">
            <v>1075067.3</v>
          </cell>
          <cell r="H3">
            <v>1331840.04</v>
          </cell>
          <cell r="I3">
            <v>1123705.94</v>
          </cell>
          <cell r="J3">
            <v>0</v>
          </cell>
          <cell r="K3">
            <v>0</v>
          </cell>
          <cell r="L3">
            <v>0</v>
          </cell>
          <cell r="M3">
            <v>0</v>
          </cell>
          <cell r="N3">
            <v>0</v>
          </cell>
          <cell r="O3">
            <v>1394952.68</v>
          </cell>
          <cell r="P3">
            <v>2897143.47</v>
          </cell>
          <cell r="Q3">
            <v>4204401.0599999996</v>
          </cell>
          <cell r="R3">
            <v>5488705.5599999996</v>
          </cell>
          <cell r="S3">
            <v>6563772.8600000003</v>
          </cell>
          <cell r="T3">
            <v>7895612.9000000004</v>
          </cell>
          <cell r="U3">
            <v>9019318.8399999999</v>
          </cell>
          <cell r="V3">
            <v>0</v>
          </cell>
          <cell r="W3">
            <v>0</v>
          </cell>
          <cell r="X3">
            <v>0</v>
          </cell>
          <cell r="Y3">
            <v>0</v>
          </cell>
          <cell r="Z3">
            <v>0</v>
          </cell>
          <cell r="AA3">
            <v>1221615</v>
          </cell>
          <cell r="AB3">
            <v>1153767</v>
          </cell>
          <cell r="AC3">
            <v>1080175</v>
          </cell>
          <cell r="AD3">
            <v>660000</v>
          </cell>
          <cell r="AE3">
            <v>607000</v>
          </cell>
          <cell r="AF3">
            <v>594000</v>
          </cell>
          <cell r="AG3">
            <v>614000</v>
          </cell>
          <cell r="AH3">
            <v>602000</v>
          </cell>
          <cell r="AI3">
            <v>599000</v>
          </cell>
          <cell r="AJ3">
            <v>632000</v>
          </cell>
          <cell r="AK3">
            <v>657000</v>
          </cell>
          <cell r="AL3">
            <v>687000</v>
          </cell>
          <cell r="AM3">
            <v>1221615</v>
          </cell>
          <cell r="AN3">
            <v>2375382</v>
          </cell>
          <cell r="AO3">
            <v>3455557</v>
          </cell>
          <cell r="AP3">
            <v>4115557</v>
          </cell>
          <cell r="AQ3">
            <v>4722557</v>
          </cell>
          <cell r="AR3">
            <v>5316557</v>
          </cell>
          <cell r="AS3">
            <v>5930557</v>
          </cell>
          <cell r="AT3">
            <v>6532557</v>
          </cell>
          <cell r="AU3">
            <v>7131557</v>
          </cell>
          <cell r="AV3">
            <v>7763557</v>
          </cell>
          <cell r="AW3">
            <v>8420557</v>
          </cell>
          <cell r="AX3">
            <v>9107557</v>
          </cell>
        </row>
        <row r="4">
          <cell r="A4" t="str">
            <v>602000A</v>
          </cell>
          <cell r="B4" t="str">
            <v xml:space="preserve">Contract Temporary                      </v>
          </cell>
          <cell r="C4">
            <v>1636555.74</v>
          </cell>
          <cell r="D4">
            <v>1550153.87</v>
          </cell>
          <cell r="E4">
            <v>1797013.79</v>
          </cell>
          <cell r="F4">
            <v>1934680.15</v>
          </cell>
          <cell r="G4">
            <v>1535332.8</v>
          </cell>
          <cell r="H4">
            <v>1157973.69</v>
          </cell>
          <cell r="I4">
            <v>1099017.21</v>
          </cell>
          <cell r="J4">
            <v>0</v>
          </cell>
          <cell r="K4">
            <v>0</v>
          </cell>
          <cell r="L4">
            <v>0</v>
          </cell>
          <cell r="M4">
            <v>0</v>
          </cell>
          <cell r="N4">
            <v>0</v>
          </cell>
          <cell r="O4">
            <v>1636555.74</v>
          </cell>
          <cell r="P4">
            <v>3186709.61</v>
          </cell>
          <cell r="Q4">
            <v>4983723.4000000004</v>
          </cell>
          <cell r="R4">
            <v>6918403.5499999998</v>
          </cell>
          <cell r="S4">
            <v>8453736.3499999996</v>
          </cell>
          <cell r="T4">
            <v>9611710.0399999991</v>
          </cell>
          <cell r="U4">
            <v>10710727.25</v>
          </cell>
          <cell r="V4">
            <v>0</v>
          </cell>
          <cell r="W4">
            <v>0</v>
          </cell>
          <cell r="X4">
            <v>0</v>
          </cell>
          <cell r="Y4">
            <v>0</v>
          </cell>
          <cell r="Z4">
            <v>0</v>
          </cell>
          <cell r="AA4">
            <v>1164615</v>
          </cell>
          <cell r="AB4">
            <v>936401</v>
          </cell>
          <cell r="AC4">
            <v>1295247</v>
          </cell>
          <cell r="AD4">
            <v>553000</v>
          </cell>
          <cell r="AE4">
            <v>514000</v>
          </cell>
          <cell r="AF4">
            <v>452000</v>
          </cell>
          <cell r="AG4">
            <v>482000</v>
          </cell>
          <cell r="AH4">
            <v>449000</v>
          </cell>
          <cell r="AI4">
            <v>487000</v>
          </cell>
          <cell r="AJ4">
            <v>494000</v>
          </cell>
          <cell r="AK4">
            <v>429000</v>
          </cell>
          <cell r="AL4">
            <v>437000</v>
          </cell>
          <cell r="AM4">
            <v>1164615</v>
          </cell>
          <cell r="AN4">
            <v>2101016</v>
          </cell>
          <cell r="AO4">
            <v>3396263</v>
          </cell>
          <cell r="AP4">
            <v>3949263</v>
          </cell>
          <cell r="AQ4">
            <v>4463263</v>
          </cell>
          <cell r="AR4">
            <v>4915263</v>
          </cell>
          <cell r="AS4">
            <v>5397263</v>
          </cell>
          <cell r="AT4">
            <v>5846263</v>
          </cell>
          <cell r="AU4">
            <v>6333263</v>
          </cell>
          <cell r="AV4">
            <v>6827263</v>
          </cell>
          <cell r="AW4">
            <v>7256263</v>
          </cell>
          <cell r="AX4">
            <v>7693263</v>
          </cell>
        </row>
        <row r="5">
          <cell r="A5" t="str">
            <v>610000</v>
          </cell>
          <cell r="B5" t="str">
            <v xml:space="preserve">Net Occupancy                           </v>
          </cell>
          <cell r="C5">
            <v>7232224.1500000004</v>
          </cell>
          <cell r="D5">
            <v>7243799.7000000002</v>
          </cell>
          <cell r="E5">
            <v>7820056.9299999997</v>
          </cell>
          <cell r="F5">
            <v>7764599.8399999999</v>
          </cell>
          <cell r="G5">
            <v>7608310.4500000002</v>
          </cell>
          <cell r="H5">
            <v>7645521.9900000002</v>
          </cell>
          <cell r="I5">
            <v>7680231.4299999997</v>
          </cell>
          <cell r="J5">
            <v>0</v>
          </cell>
          <cell r="K5">
            <v>0</v>
          </cell>
          <cell r="L5">
            <v>0</v>
          </cell>
          <cell r="M5">
            <v>0</v>
          </cell>
          <cell r="N5">
            <v>0</v>
          </cell>
          <cell r="O5">
            <v>7232224.1500000004</v>
          </cell>
          <cell r="P5">
            <v>14476023.85</v>
          </cell>
          <cell r="Q5">
            <v>22296080.780000001</v>
          </cell>
          <cell r="R5">
            <v>30060680.620000001</v>
          </cell>
          <cell r="S5">
            <v>37668991.07</v>
          </cell>
          <cell r="T5">
            <v>45314513.060000002</v>
          </cell>
          <cell r="U5">
            <v>52994744.490000002</v>
          </cell>
          <cell r="V5">
            <v>0</v>
          </cell>
          <cell r="W5">
            <v>0</v>
          </cell>
          <cell r="X5">
            <v>0</v>
          </cell>
          <cell r="Y5">
            <v>0</v>
          </cell>
          <cell r="Z5">
            <v>0</v>
          </cell>
          <cell r="AA5">
            <v>7886270</v>
          </cell>
          <cell r="AB5">
            <v>7531902</v>
          </cell>
          <cell r="AC5">
            <v>7913420</v>
          </cell>
          <cell r="AD5">
            <v>7639726</v>
          </cell>
          <cell r="AE5">
            <v>7659212</v>
          </cell>
          <cell r="AF5">
            <v>7615789</v>
          </cell>
          <cell r="AG5">
            <v>7424092</v>
          </cell>
          <cell r="AH5">
            <v>7425977</v>
          </cell>
          <cell r="AI5">
            <v>7423544</v>
          </cell>
          <cell r="AJ5">
            <v>7420512</v>
          </cell>
          <cell r="AK5">
            <v>7413501</v>
          </cell>
          <cell r="AL5">
            <v>7422439</v>
          </cell>
          <cell r="AM5">
            <v>7886270</v>
          </cell>
          <cell r="AN5">
            <v>15418172</v>
          </cell>
          <cell r="AO5">
            <v>23331592</v>
          </cell>
          <cell r="AP5">
            <v>30971318</v>
          </cell>
          <cell r="AQ5">
            <v>38630530</v>
          </cell>
          <cell r="AR5">
            <v>46246319</v>
          </cell>
          <cell r="AS5">
            <v>53670411</v>
          </cell>
          <cell r="AT5">
            <v>61096388</v>
          </cell>
          <cell r="AU5">
            <v>68519932</v>
          </cell>
          <cell r="AV5">
            <v>75940444</v>
          </cell>
          <cell r="AW5">
            <v>83353945</v>
          </cell>
          <cell r="AX5">
            <v>90776384</v>
          </cell>
        </row>
        <row r="6">
          <cell r="A6" t="str">
            <v>620000</v>
          </cell>
          <cell r="B6" t="str">
            <v xml:space="preserve">Furniture &amp; Equipment                   </v>
          </cell>
          <cell r="C6">
            <v>24862899.109999999</v>
          </cell>
          <cell r="D6">
            <v>27754557.550000001</v>
          </cell>
          <cell r="E6">
            <v>25712291.48</v>
          </cell>
          <cell r="F6">
            <v>23106136.829999998</v>
          </cell>
          <cell r="G6">
            <v>22695531.890000001</v>
          </cell>
          <cell r="H6">
            <v>23280653.59</v>
          </cell>
          <cell r="I6">
            <v>27733513.25</v>
          </cell>
          <cell r="J6">
            <v>0</v>
          </cell>
          <cell r="K6">
            <v>0</v>
          </cell>
          <cell r="L6">
            <v>0</v>
          </cell>
          <cell r="M6">
            <v>0</v>
          </cell>
          <cell r="N6">
            <v>0</v>
          </cell>
          <cell r="O6">
            <v>24862899.109999999</v>
          </cell>
          <cell r="P6">
            <v>52617456.659999996</v>
          </cell>
          <cell r="Q6">
            <v>78329748.140000001</v>
          </cell>
          <cell r="R6">
            <v>101435884.97</v>
          </cell>
          <cell r="S6">
            <v>124131416.86</v>
          </cell>
          <cell r="T6">
            <v>147412070.44999999</v>
          </cell>
          <cell r="U6">
            <v>175145583.69999999</v>
          </cell>
          <cell r="V6">
            <v>0</v>
          </cell>
          <cell r="W6">
            <v>0</v>
          </cell>
          <cell r="X6">
            <v>0</v>
          </cell>
          <cell r="Y6">
            <v>0</v>
          </cell>
          <cell r="Z6">
            <v>0</v>
          </cell>
          <cell r="AA6">
            <v>26237842</v>
          </cell>
          <cell r="AB6">
            <v>27324558</v>
          </cell>
          <cell r="AC6">
            <v>26189581</v>
          </cell>
          <cell r="AD6">
            <v>25276285</v>
          </cell>
          <cell r="AE6">
            <v>25425252</v>
          </cell>
          <cell r="AF6">
            <v>26348959</v>
          </cell>
          <cell r="AG6">
            <v>29287873</v>
          </cell>
          <cell r="AH6">
            <v>28140829</v>
          </cell>
          <cell r="AI6">
            <v>27983894</v>
          </cell>
          <cell r="AJ6">
            <v>28144949</v>
          </cell>
          <cell r="AK6">
            <v>27576630</v>
          </cell>
          <cell r="AL6">
            <v>28337562</v>
          </cell>
          <cell r="AM6">
            <v>26237842</v>
          </cell>
          <cell r="AN6">
            <v>53562400</v>
          </cell>
          <cell r="AO6">
            <v>79751981</v>
          </cell>
          <cell r="AP6">
            <v>105028266</v>
          </cell>
          <cell r="AQ6">
            <v>130453518</v>
          </cell>
          <cell r="AR6">
            <v>156802477</v>
          </cell>
          <cell r="AS6">
            <v>186090350</v>
          </cell>
          <cell r="AT6">
            <v>214231179</v>
          </cell>
          <cell r="AU6">
            <v>242215073</v>
          </cell>
          <cell r="AV6">
            <v>270360022</v>
          </cell>
          <cell r="AW6">
            <v>297936652</v>
          </cell>
          <cell r="AX6">
            <v>326274214</v>
          </cell>
        </row>
        <row r="7">
          <cell r="A7" t="str">
            <v>623000</v>
          </cell>
          <cell r="B7" t="str">
            <v xml:space="preserve">Marketing &amp; Promotional                 </v>
          </cell>
          <cell r="C7">
            <v>104917.22</v>
          </cell>
          <cell r="D7">
            <v>104446.06</v>
          </cell>
          <cell r="E7">
            <v>140686.89000000001</v>
          </cell>
          <cell r="F7">
            <v>123349.51</v>
          </cell>
          <cell r="G7">
            <v>322946.2</v>
          </cell>
          <cell r="H7">
            <v>256754.79</v>
          </cell>
          <cell r="I7">
            <v>134318.56</v>
          </cell>
          <cell r="J7">
            <v>0</v>
          </cell>
          <cell r="K7">
            <v>0</v>
          </cell>
          <cell r="L7">
            <v>0</v>
          </cell>
          <cell r="M7">
            <v>0</v>
          </cell>
          <cell r="N7">
            <v>0</v>
          </cell>
          <cell r="O7">
            <v>104917.22</v>
          </cell>
          <cell r="P7">
            <v>209363.28</v>
          </cell>
          <cell r="Q7">
            <v>350050.17</v>
          </cell>
          <cell r="R7">
            <v>473399.68</v>
          </cell>
          <cell r="S7">
            <v>796345.88</v>
          </cell>
          <cell r="T7">
            <v>1053100.67</v>
          </cell>
          <cell r="U7">
            <v>1187419.23</v>
          </cell>
          <cell r="V7">
            <v>0</v>
          </cell>
          <cell r="W7">
            <v>0</v>
          </cell>
          <cell r="X7">
            <v>0</v>
          </cell>
          <cell r="Y7">
            <v>0</v>
          </cell>
          <cell r="Z7">
            <v>0</v>
          </cell>
          <cell r="AA7">
            <v>147690</v>
          </cell>
          <cell r="AB7">
            <v>96247</v>
          </cell>
          <cell r="AC7">
            <v>132235</v>
          </cell>
          <cell r="AD7">
            <v>112059</v>
          </cell>
          <cell r="AE7">
            <v>152756</v>
          </cell>
          <cell r="AF7">
            <v>129468</v>
          </cell>
          <cell r="AG7">
            <v>114838</v>
          </cell>
          <cell r="AH7">
            <v>113144</v>
          </cell>
          <cell r="AI7">
            <v>121151</v>
          </cell>
          <cell r="AJ7">
            <v>123385</v>
          </cell>
          <cell r="AK7">
            <v>90886</v>
          </cell>
          <cell r="AL7">
            <v>122742</v>
          </cell>
          <cell r="AM7">
            <v>147690</v>
          </cell>
          <cell r="AN7">
            <v>243937</v>
          </cell>
          <cell r="AO7">
            <v>376172</v>
          </cell>
          <cell r="AP7">
            <v>488231</v>
          </cell>
          <cell r="AQ7">
            <v>640987</v>
          </cell>
          <cell r="AR7">
            <v>770455</v>
          </cell>
          <cell r="AS7">
            <v>885293</v>
          </cell>
          <cell r="AT7">
            <v>998437</v>
          </cell>
          <cell r="AU7">
            <v>1119588</v>
          </cell>
          <cell r="AV7">
            <v>1242973</v>
          </cell>
          <cell r="AW7">
            <v>1333859</v>
          </cell>
          <cell r="AX7">
            <v>1456601</v>
          </cell>
        </row>
        <row r="8">
          <cell r="A8" t="str">
            <v>630000</v>
          </cell>
          <cell r="B8" t="str">
            <v xml:space="preserve">Professional Fees                       </v>
          </cell>
          <cell r="C8">
            <v>1462670.28</v>
          </cell>
          <cell r="D8">
            <v>487044.75</v>
          </cell>
          <cell r="E8">
            <v>1856194.1</v>
          </cell>
          <cell r="F8">
            <v>1623580.77</v>
          </cell>
          <cell r="G8">
            <v>1496644.61</v>
          </cell>
          <cell r="H8">
            <v>2002631.93</v>
          </cell>
          <cell r="I8">
            <v>1018162.32</v>
          </cell>
          <cell r="J8">
            <v>0</v>
          </cell>
          <cell r="K8">
            <v>0</v>
          </cell>
          <cell r="L8">
            <v>0</v>
          </cell>
          <cell r="M8">
            <v>0</v>
          </cell>
          <cell r="N8">
            <v>0</v>
          </cell>
          <cell r="O8">
            <v>1462670.28</v>
          </cell>
          <cell r="P8">
            <v>1949715.03</v>
          </cell>
          <cell r="Q8">
            <v>3805909.13</v>
          </cell>
          <cell r="R8">
            <v>5429489.9000000004</v>
          </cell>
          <cell r="S8">
            <v>6926134.5099999998</v>
          </cell>
          <cell r="T8">
            <v>8928766.4399999995</v>
          </cell>
          <cell r="U8">
            <v>9946928.7599999998</v>
          </cell>
          <cell r="V8">
            <v>0</v>
          </cell>
          <cell r="W8">
            <v>0</v>
          </cell>
          <cell r="X8">
            <v>0</v>
          </cell>
          <cell r="Y8">
            <v>0</v>
          </cell>
          <cell r="Z8">
            <v>0</v>
          </cell>
          <cell r="AA8">
            <v>1678494</v>
          </cell>
          <cell r="AB8">
            <v>1601846</v>
          </cell>
          <cell r="AC8">
            <v>2114568</v>
          </cell>
          <cell r="AD8">
            <v>1471859</v>
          </cell>
          <cell r="AE8">
            <v>1501510</v>
          </cell>
          <cell r="AF8">
            <v>1778632</v>
          </cell>
          <cell r="AG8">
            <v>1803949</v>
          </cell>
          <cell r="AH8">
            <v>1352881</v>
          </cell>
          <cell r="AI8">
            <v>1547383</v>
          </cell>
          <cell r="AJ8">
            <v>1286674</v>
          </cell>
          <cell r="AK8">
            <v>1255926</v>
          </cell>
          <cell r="AL8">
            <v>1472713</v>
          </cell>
          <cell r="AM8">
            <v>1678494</v>
          </cell>
          <cell r="AN8">
            <v>3280340</v>
          </cell>
          <cell r="AO8">
            <v>5394908</v>
          </cell>
          <cell r="AP8">
            <v>6866767</v>
          </cell>
          <cell r="AQ8">
            <v>8368277</v>
          </cell>
          <cell r="AR8">
            <v>10146909</v>
          </cell>
          <cell r="AS8">
            <v>11950858</v>
          </cell>
          <cell r="AT8">
            <v>13303739</v>
          </cell>
          <cell r="AU8">
            <v>14851122</v>
          </cell>
          <cell r="AV8">
            <v>16137796</v>
          </cell>
          <cell r="AW8">
            <v>17393722</v>
          </cell>
          <cell r="AX8">
            <v>18866435</v>
          </cell>
        </row>
        <row r="9">
          <cell r="A9" t="str">
            <v>650200</v>
          </cell>
          <cell r="B9" t="str">
            <v xml:space="preserve">Credit Card Expense                     </v>
          </cell>
          <cell r="C9">
            <v>-488.06</v>
          </cell>
          <cell r="D9">
            <v>-90217.14</v>
          </cell>
          <cell r="E9">
            <v>-10806.26</v>
          </cell>
          <cell r="F9">
            <v>5607.43</v>
          </cell>
          <cell r="G9">
            <v>19450.02</v>
          </cell>
          <cell r="H9">
            <v>1356.25</v>
          </cell>
          <cell r="I9">
            <v>223554.47</v>
          </cell>
          <cell r="J9">
            <v>0</v>
          </cell>
          <cell r="K9">
            <v>0</v>
          </cell>
          <cell r="L9">
            <v>0</v>
          </cell>
          <cell r="M9">
            <v>0</v>
          </cell>
          <cell r="N9">
            <v>0</v>
          </cell>
          <cell r="O9">
            <v>-488.06</v>
          </cell>
          <cell r="P9">
            <v>-90705.2</v>
          </cell>
          <cell r="Q9">
            <v>-101511.46</v>
          </cell>
          <cell r="R9">
            <v>-95904.03</v>
          </cell>
          <cell r="S9">
            <v>-76454.009999999995</v>
          </cell>
          <cell r="T9">
            <v>-75097.759999999995</v>
          </cell>
          <cell r="U9">
            <v>148456.71</v>
          </cell>
          <cell r="V9">
            <v>0</v>
          </cell>
          <cell r="W9">
            <v>0</v>
          </cell>
          <cell r="X9">
            <v>0</v>
          </cell>
          <cell r="Y9">
            <v>0</v>
          </cell>
          <cell r="Z9">
            <v>0</v>
          </cell>
          <cell r="AA9">
            <v>15301</v>
          </cell>
          <cell r="AB9">
            <v>15301</v>
          </cell>
          <cell r="AC9">
            <v>15301</v>
          </cell>
          <cell r="AD9">
            <v>15301</v>
          </cell>
          <cell r="AE9">
            <v>15301</v>
          </cell>
          <cell r="AF9">
            <v>15301</v>
          </cell>
          <cell r="AG9">
            <v>15301</v>
          </cell>
          <cell r="AH9">
            <v>15301</v>
          </cell>
          <cell r="AI9">
            <v>15301</v>
          </cell>
          <cell r="AJ9">
            <v>15301</v>
          </cell>
          <cell r="AK9">
            <v>15301</v>
          </cell>
          <cell r="AL9">
            <v>15349</v>
          </cell>
          <cell r="AM9">
            <v>15301</v>
          </cell>
          <cell r="AN9">
            <v>30602</v>
          </cell>
          <cell r="AO9">
            <v>45903</v>
          </cell>
          <cell r="AP9">
            <v>61204</v>
          </cell>
          <cell r="AQ9">
            <v>76505</v>
          </cell>
          <cell r="AR9">
            <v>91806</v>
          </cell>
          <cell r="AS9">
            <v>107107</v>
          </cell>
          <cell r="AT9">
            <v>122408</v>
          </cell>
          <cell r="AU9">
            <v>137709</v>
          </cell>
          <cell r="AV9">
            <v>153010</v>
          </cell>
          <cell r="AW9">
            <v>168311</v>
          </cell>
          <cell r="AX9">
            <v>183660</v>
          </cell>
        </row>
        <row r="10">
          <cell r="A10" t="str">
            <v>651500A</v>
          </cell>
          <cell r="B10" t="str">
            <v xml:space="preserve">Direct Processing Expense               </v>
          </cell>
          <cell r="C10">
            <v>13270759.869999999</v>
          </cell>
          <cell r="D10">
            <v>14157675.630000001</v>
          </cell>
          <cell r="E10">
            <v>14262096.609999999</v>
          </cell>
          <cell r="F10">
            <v>14879517.08</v>
          </cell>
          <cell r="G10">
            <v>11054757.68</v>
          </cell>
          <cell r="H10">
            <v>14248123.27</v>
          </cell>
          <cell r="I10">
            <v>13866345.18</v>
          </cell>
          <cell r="J10">
            <v>0</v>
          </cell>
          <cell r="K10">
            <v>0</v>
          </cell>
          <cell r="L10">
            <v>0</v>
          </cell>
          <cell r="M10">
            <v>0</v>
          </cell>
          <cell r="N10">
            <v>0</v>
          </cell>
          <cell r="O10">
            <v>13270759.869999999</v>
          </cell>
          <cell r="P10">
            <v>27428435.5</v>
          </cell>
          <cell r="Q10">
            <v>41690532.109999999</v>
          </cell>
          <cell r="R10">
            <v>56570049.189999998</v>
          </cell>
          <cell r="S10">
            <v>67624806.870000005</v>
          </cell>
          <cell r="T10">
            <v>81872930.140000001</v>
          </cell>
          <cell r="U10">
            <v>95739275.319999993</v>
          </cell>
          <cell r="V10">
            <v>0</v>
          </cell>
          <cell r="W10">
            <v>0</v>
          </cell>
          <cell r="X10">
            <v>0</v>
          </cell>
          <cell r="Y10">
            <v>0</v>
          </cell>
          <cell r="Z10">
            <v>0</v>
          </cell>
          <cell r="AA10">
            <v>13996075</v>
          </cell>
          <cell r="AB10">
            <v>14654459</v>
          </cell>
          <cell r="AC10">
            <v>13985179</v>
          </cell>
          <cell r="AD10">
            <v>14401774</v>
          </cell>
          <cell r="AE10">
            <v>13880295</v>
          </cell>
          <cell r="AF10">
            <v>14294825</v>
          </cell>
          <cell r="AG10">
            <v>14659164</v>
          </cell>
          <cell r="AH10">
            <v>14668154</v>
          </cell>
          <cell r="AI10">
            <v>14941933</v>
          </cell>
          <cell r="AJ10">
            <v>13253740</v>
          </cell>
          <cell r="AK10">
            <v>13952061</v>
          </cell>
          <cell r="AL10">
            <v>13538737</v>
          </cell>
          <cell r="AM10">
            <v>13996075</v>
          </cell>
          <cell r="AN10">
            <v>28650534</v>
          </cell>
          <cell r="AO10">
            <v>42635713</v>
          </cell>
          <cell r="AP10">
            <v>57037487</v>
          </cell>
          <cell r="AQ10">
            <v>70917782</v>
          </cell>
          <cell r="AR10">
            <v>85212607</v>
          </cell>
          <cell r="AS10">
            <v>99871771</v>
          </cell>
          <cell r="AT10">
            <v>114539925</v>
          </cell>
          <cell r="AU10">
            <v>129481858</v>
          </cell>
          <cell r="AV10">
            <v>142735598</v>
          </cell>
          <cell r="AW10">
            <v>156687659</v>
          </cell>
          <cell r="AX10">
            <v>170226396</v>
          </cell>
        </row>
        <row r="11">
          <cell r="A11" t="str">
            <v>653499A</v>
          </cell>
          <cell r="B11" t="str">
            <v xml:space="preserve">Programming Svc Chargeouts I/C          </v>
          </cell>
          <cell r="C11">
            <v>6737073</v>
          </cell>
          <cell r="D11">
            <v>5725412</v>
          </cell>
          <cell r="E11">
            <v>5046072</v>
          </cell>
          <cell r="F11">
            <v>4859633</v>
          </cell>
          <cell r="G11">
            <v>5316717.01</v>
          </cell>
          <cell r="H11">
            <v>8303319</v>
          </cell>
          <cell r="I11">
            <v>7960657</v>
          </cell>
          <cell r="J11">
            <v>0</v>
          </cell>
          <cell r="K11">
            <v>0</v>
          </cell>
          <cell r="L11">
            <v>0</v>
          </cell>
          <cell r="M11">
            <v>0</v>
          </cell>
          <cell r="N11">
            <v>0</v>
          </cell>
          <cell r="O11">
            <v>6737073</v>
          </cell>
          <cell r="P11">
            <v>12462485</v>
          </cell>
          <cell r="Q11">
            <v>17508557</v>
          </cell>
          <cell r="R11">
            <v>22368190</v>
          </cell>
          <cell r="S11">
            <v>27684907.010000002</v>
          </cell>
          <cell r="T11">
            <v>35988226.009999998</v>
          </cell>
          <cell r="U11">
            <v>43948883.009999998</v>
          </cell>
          <cell r="V11">
            <v>0</v>
          </cell>
          <cell r="W11">
            <v>0</v>
          </cell>
          <cell r="X11">
            <v>0</v>
          </cell>
          <cell r="Y11">
            <v>0</v>
          </cell>
          <cell r="Z11">
            <v>0</v>
          </cell>
          <cell r="AA11">
            <v>6209858</v>
          </cell>
          <cell r="AB11">
            <v>5696661</v>
          </cell>
          <cell r="AC11">
            <v>5328661</v>
          </cell>
          <cell r="AD11">
            <v>5624661</v>
          </cell>
          <cell r="AE11">
            <v>5436661</v>
          </cell>
          <cell r="AF11">
            <v>8728349</v>
          </cell>
          <cell r="AG11">
            <v>9047547</v>
          </cell>
          <cell r="AH11">
            <v>8884370</v>
          </cell>
          <cell r="AI11">
            <v>8921684</v>
          </cell>
          <cell r="AJ11">
            <v>8796346</v>
          </cell>
          <cell r="AK11">
            <v>9272391</v>
          </cell>
          <cell r="AL11">
            <v>10968152</v>
          </cell>
          <cell r="AM11">
            <v>6209858</v>
          </cell>
          <cell r="AN11">
            <v>11906519</v>
          </cell>
          <cell r="AO11">
            <v>17235180</v>
          </cell>
          <cell r="AP11">
            <v>22859841</v>
          </cell>
          <cell r="AQ11">
            <v>28296502</v>
          </cell>
          <cell r="AR11">
            <v>37024851</v>
          </cell>
          <cell r="AS11">
            <v>46072398</v>
          </cell>
          <cell r="AT11">
            <v>54956768</v>
          </cell>
          <cell r="AU11">
            <v>63878452</v>
          </cell>
          <cell r="AV11">
            <v>72674798</v>
          </cell>
          <cell r="AW11">
            <v>81947189</v>
          </cell>
          <cell r="AX11">
            <v>92915341</v>
          </cell>
        </row>
        <row r="12">
          <cell r="A12" t="str">
            <v>653499P</v>
          </cell>
          <cell r="B12" t="str">
            <v xml:space="preserve">Project Svc Chargeouts I/C              </v>
          </cell>
          <cell r="C12">
            <v>5875635</v>
          </cell>
          <cell r="D12">
            <v>2182989</v>
          </cell>
          <cell r="E12">
            <v>6527282</v>
          </cell>
          <cell r="F12">
            <v>4611971</v>
          </cell>
          <cell r="G12">
            <v>4896544</v>
          </cell>
          <cell r="H12">
            <v>5348199</v>
          </cell>
          <cell r="I12">
            <v>6938894</v>
          </cell>
          <cell r="J12">
            <v>0</v>
          </cell>
          <cell r="K12">
            <v>0</v>
          </cell>
          <cell r="L12">
            <v>0</v>
          </cell>
          <cell r="M12">
            <v>0</v>
          </cell>
          <cell r="N12">
            <v>0</v>
          </cell>
          <cell r="O12">
            <v>5875635</v>
          </cell>
          <cell r="P12">
            <v>8058624</v>
          </cell>
          <cell r="Q12">
            <v>14585906</v>
          </cell>
          <cell r="R12">
            <v>19197877</v>
          </cell>
          <cell r="S12">
            <v>24094421</v>
          </cell>
          <cell r="T12">
            <v>29442620</v>
          </cell>
          <cell r="U12">
            <v>36381514</v>
          </cell>
          <cell r="V12">
            <v>0</v>
          </cell>
          <cell r="W12">
            <v>0</v>
          </cell>
          <cell r="X12">
            <v>0</v>
          </cell>
          <cell r="Y12">
            <v>0</v>
          </cell>
          <cell r="Z12">
            <v>0</v>
          </cell>
          <cell r="AA12">
            <v>6807538</v>
          </cell>
          <cell r="AB12">
            <v>6732870</v>
          </cell>
          <cell r="AC12">
            <v>7026489</v>
          </cell>
          <cell r="AD12">
            <v>7284392</v>
          </cell>
          <cell r="AE12">
            <v>7247375</v>
          </cell>
          <cell r="AF12">
            <v>7626230</v>
          </cell>
          <cell r="AG12">
            <v>7479042</v>
          </cell>
          <cell r="AH12">
            <v>7701031</v>
          </cell>
          <cell r="AI12">
            <v>7837377</v>
          </cell>
          <cell r="AJ12">
            <v>7721086</v>
          </cell>
          <cell r="AK12">
            <v>7309153</v>
          </cell>
          <cell r="AL12">
            <v>7246107</v>
          </cell>
          <cell r="AM12">
            <v>6807538</v>
          </cell>
          <cell r="AN12">
            <v>13540408</v>
          </cell>
          <cell r="AO12">
            <v>20566897</v>
          </cell>
          <cell r="AP12">
            <v>27851289</v>
          </cell>
          <cell r="AQ12">
            <v>35098664</v>
          </cell>
          <cell r="AR12">
            <v>42724894</v>
          </cell>
          <cell r="AS12">
            <v>50203936</v>
          </cell>
          <cell r="AT12">
            <v>57904967</v>
          </cell>
          <cell r="AU12">
            <v>65742344</v>
          </cell>
          <cell r="AV12">
            <v>73463430</v>
          </cell>
          <cell r="AW12">
            <v>80772583</v>
          </cell>
          <cell r="AX12">
            <v>88018690</v>
          </cell>
        </row>
        <row r="13">
          <cell r="A13" t="str">
            <v>660025A</v>
          </cell>
          <cell r="B13" t="str">
            <v xml:space="preserve">Telecommunications - Direct             </v>
          </cell>
          <cell r="C13">
            <v>14969763.539999999</v>
          </cell>
          <cell r="D13">
            <v>15297236.9</v>
          </cell>
          <cell r="E13">
            <v>15596737.67</v>
          </cell>
          <cell r="F13">
            <v>15278332.09</v>
          </cell>
          <cell r="G13">
            <v>12321959.949999999</v>
          </cell>
          <cell r="H13">
            <v>17749149.690000001</v>
          </cell>
          <cell r="I13">
            <v>17168683.600000001</v>
          </cell>
          <cell r="J13">
            <v>0</v>
          </cell>
          <cell r="K13">
            <v>0</v>
          </cell>
          <cell r="L13">
            <v>0</v>
          </cell>
          <cell r="M13">
            <v>0</v>
          </cell>
          <cell r="N13">
            <v>0</v>
          </cell>
          <cell r="O13">
            <v>14969763.539999999</v>
          </cell>
          <cell r="P13">
            <v>30267000.440000001</v>
          </cell>
          <cell r="Q13">
            <v>45863738.109999999</v>
          </cell>
          <cell r="R13">
            <v>61142070.200000003</v>
          </cell>
          <cell r="S13">
            <v>73464030.150000006</v>
          </cell>
          <cell r="T13">
            <v>91213179.840000004</v>
          </cell>
          <cell r="U13">
            <v>108381863.44</v>
          </cell>
          <cell r="V13">
            <v>0</v>
          </cell>
          <cell r="W13">
            <v>0</v>
          </cell>
          <cell r="X13">
            <v>0</v>
          </cell>
          <cell r="Y13">
            <v>0</v>
          </cell>
          <cell r="Z13">
            <v>0</v>
          </cell>
          <cell r="AA13">
            <v>14303892</v>
          </cell>
          <cell r="AB13">
            <v>14566172</v>
          </cell>
          <cell r="AC13">
            <v>14601980</v>
          </cell>
          <cell r="AD13">
            <v>14720025</v>
          </cell>
          <cell r="AE13">
            <v>15251976</v>
          </cell>
          <cell r="AF13">
            <v>15433976</v>
          </cell>
          <cell r="AG13">
            <v>15575896</v>
          </cell>
          <cell r="AH13">
            <v>15671976</v>
          </cell>
          <cell r="AI13">
            <v>15771976</v>
          </cell>
          <cell r="AJ13">
            <v>15868896</v>
          </cell>
          <cell r="AK13">
            <v>15935976</v>
          </cell>
          <cell r="AL13">
            <v>16085299</v>
          </cell>
          <cell r="AM13">
            <v>14303892</v>
          </cell>
          <cell r="AN13">
            <v>28870064</v>
          </cell>
          <cell r="AO13">
            <v>43472044</v>
          </cell>
          <cell r="AP13">
            <v>58192069</v>
          </cell>
          <cell r="AQ13">
            <v>73444045</v>
          </cell>
          <cell r="AR13">
            <v>88878021</v>
          </cell>
          <cell r="AS13">
            <v>104453917</v>
          </cell>
          <cell r="AT13">
            <v>120125893</v>
          </cell>
          <cell r="AU13">
            <v>135897869</v>
          </cell>
          <cell r="AV13">
            <v>151766765</v>
          </cell>
          <cell r="AW13">
            <v>167702741</v>
          </cell>
          <cell r="AX13">
            <v>183788040</v>
          </cell>
        </row>
        <row r="14">
          <cell r="A14" t="str">
            <v>660705A</v>
          </cell>
          <cell r="B14" t="str">
            <v xml:space="preserve">Telecomm Chargeouts I/C                 </v>
          </cell>
          <cell r="C14">
            <v>2988118.41</v>
          </cell>
          <cell r="D14">
            <v>3206288.2</v>
          </cell>
          <cell r="E14">
            <v>3378646.12</v>
          </cell>
          <cell r="F14">
            <v>3676652.53</v>
          </cell>
          <cell r="G14">
            <v>2698715.85</v>
          </cell>
          <cell r="H14">
            <v>4754059.45</v>
          </cell>
          <cell r="I14">
            <v>10789735</v>
          </cell>
          <cell r="J14">
            <v>0</v>
          </cell>
          <cell r="K14">
            <v>0</v>
          </cell>
          <cell r="L14">
            <v>0</v>
          </cell>
          <cell r="M14">
            <v>0</v>
          </cell>
          <cell r="N14">
            <v>0</v>
          </cell>
          <cell r="O14">
            <v>2988118.41</v>
          </cell>
          <cell r="P14">
            <v>6194406.6100000003</v>
          </cell>
          <cell r="Q14">
            <v>9573052.7300000004</v>
          </cell>
          <cell r="R14">
            <v>13249705.26</v>
          </cell>
          <cell r="S14">
            <v>15948421.109999999</v>
          </cell>
          <cell r="T14">
            <v>20702480.559999999</v>
          </cell>
          <cell r="U14">
            <v>31492215.559999999</v>
          </cell>
          <cell r="V14">
            <v>0</v>
          </cell>
          <cell r="W14">
            <v>0</v>
          </cell>
          <cell r="X14">
            <v>0</v>
          </cell>
          <cell r="Y14">
            <v>0</v>
          </cell>
          <cell r="Z14">
            <v>0</v>
          </cell>
          <cell r="AA14">
            <v>4665545</v>
          </cell>
          <cell r="AB14">
            <v>4494417</v>
          </cell>
          <cell r="AC14">
            <v>4539916</v>
          </cell>
          <cell r="AD14">
            <v>4586073</v>
          </cell>
          <cell r="AE14">
            <v>4497013</v>
          </cell>
          <cell r="AF14">
            <v>5110331</v>
          </cell>
          <cell r="AG14">
            <v>5138106</v>
          </cell>
          <cell r="AH14">
            <v>5141691</v>
          </cell>
          <cell r="AI14">
            <v>5142929</v>
          </cell>
          <cell r="AJ14">
            <v>5175490</v>
          </cell>
          <cell r="AK14">
            <v>5180178</v>
          </cell>
          <cell r="AL14">
            <v>5235707</v>
          </cell>
          <cell r="AM14">
            <v>4665545</v>
          </cell>
          <cell r="AN14">
            <v>9159962</v>
          </cell>
          <cell r="AO14">
            <v>13699878</v>
          </cell>
          <cell r="AP14">
            <v>18285951</v>
          </cell>
          <cell r="AQ14">
            <v>22782964</v>
          </cell>
          <cell r="AR14">
            <v>27893295</v>
          </cell>
          <cell r="AS14">
            <v>33031401</v>
          </cell>
          <cell r="AT14">
            <v>38173092</v>
          </cell>
          <cell r="AU14">
            <v>43316021</v>
          </cell>
          <cell r="AV14">
            <v>48491511</v>
          </cell>
          <cell r="AW14">
            <v>53671689</v>
          </cell>
          <cell r="AX14">
            <v>58907396</v>
          </cell>
        </row>
        <row r="15">
          <cell r="A15" t="str">
            <v>663000A</v>
          </cell>
          <cell r="B15" t="str">
            <v xml:space="preserve">Supplies                                </v>
          </cell>
          <cell r="C15">
            <v>3147228.73</v>
          </cell>
          <cell r="D15">
            <v>3097601.62</v>
          </cell>
          <cell r="E15">
            <v>3279340.34</v>
          </cell>
          <cell r="F15">
            <v>3165796.97</v>
          </cell>
          <cell r="G15">
            <v>2996797.06</v>
          </cell>
          <cell r="H15">
            <v>2902270.99</v>
          </cell>
          <cell r="I15">
            <v>3032093</v>
          </cell>
          <cell r="J15">
            <v>0</v>
          </cell>
          <cell r="K15">
            <v>0</v>
          </cell>
          <cell r="L15">
            <v>0</v>
          </cell>
          <cell r="M15">
            <v>0</v>
          </cell>
          <cell r="N15">
            <v>0</v>
          </cell>
          <cell r="O15">
            <v>3147228.73</v>
          </cell>
          <cell r="P15">
            <v>6244830.3499999996</v>
          </cell>
          <cell r="Q15">
            <v>9524170.6899999995</v>
          </cell>
          <cell r="R15">
            <v>12689967.66</v>
          </cell>
          <cell r="S15">
            <v>15686764.720000001</v>
          </cell>
          <cell r="T15">
            <v>18589035.710000001</v>
          </cell>
          <cell r="U15">
            <v>21621128.710000001</v>
          </cell>
          <cell r="V15">
            <v>0</v>
          </cell>
          <cell r="W15">
            <v>0</v>
          </cell>
          <cell r="X15">
            <v>0</v>
          </cell>
          <cell r="Y15">
            <v>0</v>
          </cell>
          <cell r="Z15">
            <v>0</v>
          </cell>
          <cell r="AA15">
            <v>3356549</v>
          </cell>
          <cell r="AB15">
            <v>3238400</v>
          </cell>
          <cell r="AC15">
            <v>3350521</v>
          </cell>
          <cell r="AD15">
            <v>3246907</v>
          </cell>
          <cell r="AE15">
            <v>3198646</v>
          </cell>
          <cell r="AF15">
            <v>3287529</v>
          </cell>
          <cell r="AG15">
            <v>3419022</v>
          </cell>
          <cell r="AH15">
            <v>3253172</v>
          </cell>
          <cell r="AI15">
            <v>3303050</v>
          </cell>
          <cell r="AJ15">
            <v>3322320</v>
          </cell>
          <cell r="AK15">
            <v>3288641</v>
          </cell>
          <cell r="AL15">
            <v>3356295</v>
          </cell>
          <cell r="AM15">
            <v>3356549</v>
          </cell>
          <cell r="AN15">
            <v>6594949</v>
          </cell>
          <cell r="AO15">
            <v>9945470</v>
          </cell>
          <cell r="AP15">
            <v>13192377</v>
          </cell>
          <cell r="AQ15">
            <v>16391023</v>
          </cell>
          <cell r="AR15">
            <v>19678552</v>
          </cell>
          <cell r="AS15">
            <v>23097574</v>
          </cell>
          <cell r="AT15">
            <v>26350746</v>
          </cell>
          <cell r="AU15">
            <v>29653796</v>
          </cell>
          <cell r="AV15">
            <v>32976116</v>
          </cell>
          <cell r="AW15">
            <v>36264757</v>
          </cell>
          <cell r="AX15">
            <v>39621052</v>
          </cell>
        </row>
        <row r="16">
          <cell r="A16" t="str">
            <v>664500A</v>
          </cell>
          <cell r="B16" t="str">
            <v xml:space="preserve">Postage                                 </v>
          </cell>
          <cell r="C16">
            <v>3172947.93</v>
          </cell>
          <cell r="D16">
            <v>3045295.09</v>
          </cell>
          <cell r="E16">
            <v>2984842.76</v>
          </cell>
          <cell r="F16">
            <v>3208231.85</v>
          </cell>
          <cell r="G16">
            <v>3172329.48</v>
          </cell>
          <cell r="H16">
            <v>3343424.84</v>
          </cell>
          <cell r="I16">
            <v>2713652.67</v>
          </cell>
          <cell r="J16">
            <v>0</v>
          </cell>
          <cell r="K16">
            <v>0</v>
          </cell>
          <cell r="L16">
            <v>0</v>
          </cell>
          <cell r="M16">
            <v>0</v>
          </cell>
          <cell r="N16">
            <v>0</v>
          </cell>
          <cell r="O16">
            <v>3172947.93</v>
          </cell>
          <cell r="P16">
            <v>6218243.0199999996</v>
          </cell>
          <cell r="Q16">
            <v>9203085.7799999993</v>
          </cell>
          <cell r="R16">
            <v>12411317.630000001</v>
          </cell>
          <cell r="S16">
            <v>15583647.109999999</v>
          </cell>
          <cell r="T16">
            <v>18927071.949999999</v>
          </cell>
          <cell r="U16">
            <v>21640724.620000001</v>
          </cell>
          <cell r="V16">
            <v>0</v>
          </cell>
          <cell r="W16">
            <v>0</v>
          </cell>
          <cell r="X16">
            <v>0</v>
          </cell>
          <cell r="Y16">
            <v>0</v>
          </cell>
          <cell r="Z16">
            <v>0</v>
          </cell>
          <cell r="AA16">
            <v>3509423</v>
          </cell>
          <cell r="AB16">
            <v>3149736</v>
          </cell>
          <cell r="AC16">
            <v>3273218</v>
          </cell>
          <cell r="AD16">
            <v>3353077</v>
          </cell>
          <cell r="AE16">
            <v>3335204</v>
          </cell>
          <cell r="AF16">
            <v>3401094</v>
          </cell>
          <cell r="AG16">
            <v>3453832</v>
          </cell>
          <cell r="AH16">
            <v>3370628</v>
          </cell>
          <cell r="AI16">
            <v>3442704</v>
          </cell>
          <cell r="AJ16">
            <v>3309712</v>
          </cell>
          <cell r="AK16">
            <v>3298433</v>
          </cell>
          <cell r="AL16">
            <v>3373912</v>
          </cell>
          <cell r="AM16">
            <v>3509423</v>
          </cell>
          <cell r="AN16">
            <v>6659159</v>
          </cell>
          <cell r="AO16">
            <v>9932377</v>
          </cell>
          <cell r="AP16">
            <v>13285454</v>
          </cell>
          <cell r="AQ16">
            <v>16620658</v>
          </cell>
          <cell r="AR16">
            <v>20021752</v>
          </cell>
          <cell r="AS16">
            <v>23475584</v>
          </cell>
          <cell r="AT16">
            <v>26846212</v>
          </cell>
          <cell r="AU16">
            <v>30288916</v>
          </cell>
          <cell r="AV16">
            <v>33598628</v>
          </cell>
          <cell r="AW16">
            <v>36897061</v>
          </cell>
          <cell r="AX16">
            <v>40270973</v>
          </cell>
        </row>
        <row r="17">
          <cell r="A17" t="str">
            <v>665499A</v>
          </cell>
          <cell r="B17" t="str">
            <v xml:space="preserve">All Other General Operating             </v>
          </cell>
          <cell r="C17">
            <v>2239051</v>
          </cell>
          <cell r="D17">
            <v>1273139.02</v>
          </cell>
          <cell r="E17">
            <v>1494692.78</v>
          </cell>
          <cell r="F17">
            <v>1859630.53</v>
          </cell>
          <cell r="G17">
            <v>-678507.96</v>
          </cell>
          <cell r="H17">
            <v>1835021.18</v>
          </cell>
          <cell r="I17">
            <v>1861677.41</v>
          </cell>
          <cell r="J17">
            <v>0</v>
          </cell>
          <cell r="K17">
            <v>0</v>
          </cell>
          <cell r="L17">
            <v>0</v>
          </cell>
          <cell r="M17">
            <v>0</v>
          </cell>
          <cell r="N17">
            <v>0</v>
          </cell>
          <cell r="O17">
            <v>2239051</v>
          </cell>
          <cell r="P17">
            <v>3512190.02</v>
          </cell>
          <cell r="Q17">
            <v>5006882.8</v>
          </cell>
          <cell r="R17">
            <v>6866513.3300000001</v>
          </cell>
          <cell r="S17">
            <v>6188005.3700000001</v>
          </cell>
          <cell r="T17">
            <v>8023026.5499999998</v>
          </cell>
          <cell r="U17">
            <v>9884703.9600000009</v>
          </cell>
          <cell r="V17">
            <v>0</v>
          </cell>
          <cell r="W17">
            <v>0</v>
          </cell>
          <cell r="X17">
            <v>0</v>
          </cell>
          <cell r="Y17">
            <v>0</v>
          </cell>
          <cell r="Z17">
            <v>0</v>
          </cell>
          <cell r="AA17">
            <v>1888314</v>
          </cell>
          <cell r="AB17">
            <v>1449749</v>
          </cell>
          <cell r="AC17">
            <v>504369</v>
          </cell>
          <cell r="AD17">
            <v>1596301</v>
          </cell>
          <cell r="AE17">
            <v>1339521</v>
          </cell>
          <cell r="AF17">
            <v>-4670862</v>
          </cell>
          <cell r="AG17">
            <v>2162820</v>
          </cell>
          <cell r="AH17">
            <v>2727653</v>
          </cell>
          <cell r="AI17">
            <v>480488</v>
          </cell>
          <cell r="AJ17">
            <v>1764951</v>
          </cell>
          <cell r="AK17">
            <v>1662369</v>
          </cell>
          <cell r="AL17">
            <v>566551</v>
          </cell>
          <cell r="AM17">
            <v>1888314</v>
          </cell>
          <cell r="AN17">
            <v>3338063</v>
          </cell>
          <cell r="AO17">
            <v>3842432</v>
          </cell>
          <cell r="AP17">
            <v>5438733</v>
          </cell>
          <cell r="AQ17">
            <v>6778254</v>
          </cell>
          <cell r="AR17">
            <v>2107392</v>
          </cell>
          <cell r="AS17">
            <v>4270212</v>
          </cell>
          <cell r="AT17">
            <v>6997865</v>
          </cell>
          <cell r="AU17">
            <v>7478353</v>
          </cell>
          <cell r="AV17">
            <v>9243304</v>
          </cell>
          <cell r="AW17">
            <v>10905673</v>
          </cell>
          <cell r="AX17">
            <v>11472224</v>
          </cell>
        </row>
        <row r="18">
          <cell r="A18" t="str">
            <v>670000</v>
          </cell>
          <cell r="B18" t="str">
            <v xml:space="preserve">General Administrative                  </v>
          </cell>
          <cell r="C18">
            <v>864508.36</v>
          </cell>
          <cell r="D18">
            <v>1265281.1499999999</v>
          </cell>
          <cell r="E18">
            <v>1579147.45</v>
          </cell>
          <cell r="F18">
            <v>1499790.79</v>
          </cell>
          <cell r="G18">
            <v>1264762.25</v>
          </cell>
          <cell r="H18">
            <v>1560368.84</v>
          </cell>
          <cell r="I18">
            <v>1542458.06</v>
          </cell>
          <cell r="J18">
            <v>0</v>
          </cell>
          <cell r="K18">
            <v>0</v>
          </cell>
          <cell r="L18">
            <v>0</v>
          </cell>
          <cell r="M18">
            <v>0</v>
          </cell>
          <cell r="N18">
            <v>0</v>
          </cell>
          <cell r="O18">
            <v>864508.36</v>
          </cell>
          <cell r="P18">
            <v>2129789.5099999998</v>
          </cell>
          <cell r="Q18">
            <v>3708936.96</v>
          </cell>
          <cell r="R18">
            <v>5208727.75</v>
          </cell>
          <cell r="S18">
            <v>6473490</v>
          </cell>
          <cell r="T18">
            <v>8033858.8399999999</v>
          </cell>
          <cell r="U18">
            <v>9576316.9000000004</v>
          </cell>
          <cell r="V18">
            <v>0</v>
          </cell>
          <cell r="W18">
            <v>0</v>
          </cell>
          <cell r="X18">
            <v>0</v>
          </cell>
          <cell r="Y18">
            <v>0</v>
          </cell>
          <cell r="Z18">
            <v>0</v>
          </cell>
          <cell r="AA18">
            <v>1504613</v>
          </cell>
          <cell r="AB18">
            <v>1449563</v>
          </cell>
          <cell r="AC18">
            <v>1576599</v>
          </cell>
          <cell r="AD18">
            <v>1487289</v>
          </cell>
          <cell r="AE18">
            <v>1416454</v>
          </cell>
          <cell r="AF18">
            <v>1506581</v>
          </cell>
          <cell r="AG18">
            <v>1443860</v>
          </cell>
          <cell r="AH18">
            <v>1451153</v>
          </cell>
          <cell r="AI18">
            <v>1452161</v>
          </cell>
          <cell r="AJ18">
            <v>1461259</v>
          </cell>
          <cell r="AK18">
            <v>1378553</v>
          </cell>
          <cell r="AL18">
            <v>1392506</v>
          </cell>
          <cell r="AM18">
            <v>1504613</v>
          </cell>
          <cell r="AN18">
            <v>2954176</v>
          </cell>
          <cell r="AO18">
            <v>4530775</v>
          </cell>
          <cell r="AP18">
            <v>6018064</v>
          </cell>
          <cell r="AQ18">
            <v>7434518</v>
          </cell>
          <cell r="AR18">
            <v>8941099</v>
          </cell>
          <cell r="AS18">
            <v>10384959</v>
          </cell>
          <cell r="AT18">
            <v>11836112</v>
          </cell>
          <cell r="AU18">
            <v>13288273</v>
          </cell>
          <cell r="AV18">
            <v>14749532</v>
          </cell>
          <cell r="AW18">
            <v>16128085</v>
          </cell>
          <cell r="AX18">
            <v>17520591</v>
          </cell>
        </row>
        <row r="19">
          <cell r="A19" t="str">
            <v>670200A</v>
          </cell>
          <cell r="B19" t="str">
            <v xml:space="preserve">Travel                                  </v>
          </cell>
          <cell r="C19">
            <v>547754.30000000005</v>
          </cell>
          <cell r="D19">
            <v>995348.55</v>
          </cell>
          <cell r="E19">
            <v>1286172.6100000001</v>
          </cell>
          <cell r="F19">
            <v>1164619.68</v>
          </cell>
          <cell r="G19">
            <v>974845.33</v>
          </cell>
          <cell r="H19">
            <v>1305979.57</v>
          </cell>
          <cell r="I19">
            <v>1030838.47</v>
          </cell>
          <cell r="J19">
            <v>0</v>
          </cell>
          <cell r="K19">
            <v>0</v>
          </cell>
          <cell r="L19">
            <v>0</v>
          </cell>
          <cell r="M19">
            <v>0</v>
          </cell>
          <cell r="N19">
            <v>0</v>
          </cell>
          <cell r="O19">
            <v>547754.30000000005</v>
          </cell>
          <cell r="P19">
            <v>1543102.85</v>
          </cell>
          <cell r="Q19">
            <v>2829275.46</v>
          </cell>
          <cell r="R19">
            <v>3993895.14</v>
          </cell>
          <cell r="S19">
            <v>4968740.47</v>
          </cell>
          <cell r="T19">
            <v>6274720.04</v>
          </cell>
          <cell r="U19">
            <v>7305558.5099999998</v>
          </cell>
          <cell r="V19">
            <v>0</v>
          </cell>
          <cell r="W19">
            <v>0</v>
          </cell>
          <cell r="X19">
            <v>0</v>
          </cell>
          <cell r="Y19">
            <v>0</v>
          </cell>
          <cell r="Z19">
            <v>0</v>
          </cell>
          <cell r="AA19">
            <v>1105509</v>
          </cell>
          <cell r="AB19">
            <v>1088865</v>
          </cell>
          <cell r="AC19">
            <v>1162752</v>
          </cell>
          <cell r="AD19">
            <v>1097029</v>
          </cell>
          <cell r="AE19">
            <v>1067958</v>
          </cell>
          <cell r="AF19">
            <v>1108941</v>
          </cell>
          <cell r="AG19">
            <v>1053672</v>
          </cell>
          <cell r="AH19">
            <v>1066659</v>
          </cell>
          <cell r="AI19">
            <v>1073397</v>
          </cell>
          <cell r="AJ19">
            <v>1055535</v>
          </cell>
          <cell r="AK19">
            <v>1017193</v>
          </cell>
          <cell r="AL19">
            <v>955519</v>
          </cell>
          <cell r="AM19">
            <v>1105509</v>
          </cell>
          <cell r="AN19">
            <v>2194374</v>
          </cell>
          <cell r="AO19">
            <v>3357126</v>
          </cell>
          <cell r="AP19">
            <v>4454155</v>
          </cell>
          <cell r="AQ19">
            <v>5522113</v>
          </cell>
          <cell r="AR19">
            <v>6631054</v>
          </cell>
          <cell r="AS19">
            <v>7684726</v>
          </cell>
          <cell r="AT19">
            <v>8751385</v>
          </cell>
          <cell r="AU19">
            <v>9824782</v>
          </cell>
          <cell r="AV19">
            <v>10880317</v>
          </cell>
          <cell r="AW19">
            <v>11897510</v>
          </cell>
          <cell r="AX19">
            <v>12853029</v>
          </cell>
        </row>
        <row r="20">
          <cell r="A20" t="str">
            <v>700000A</v>
          </cell>
          <cell r="B20" t="str">
            <v xml:space="preserve">Total Recoveries                        </v>
          </cell>
          <cell r="C20">
            <v>-20429492.809999999</v>
          </cell>
          <cell r="D20">
            <v>-21553811.609999999</v>
          </cell>
          <cell r="E20">
            <v>-22670155.170000002</v>
          </cell>
          <cell r="F20">
            <v>-22458115</v>
          </cell>
          <cell r="G20">
            <v>-22295667</v>
          </cell>
          <cell r="H20">
            <v>-25231637</v>
          </cell>
          <cell r="I20">
            <v>-31990798.870000001</v>
          </cell>
          <cell r="J20">
            <v>0</v>
          </cell>
          <cell r="K20">
            <v>0</v>
          </cell>
          <cell r="L20">
            <v>0</v>
          </cell>
          <cell r="M20">
            <v>0</v>
          </cell>
          <cell r="N20">
            <v>0</v>
          </cell>
          <cell r="O20">
            <v>-20429492.809999999</v>
          </cell>
          <cell r="P20">
            <v>-41983304.420000002</v>
          </cell>
          <cell r="Q20">
            <v>-64653459.590000004</v>
          </cell>
          <cell r="R20">
            <v>-87111574.590000004</v>
          </cell>
          <cell r="S20">
            <v>-109407241.59</v>
          </cell>
          <cell r="T20">
            <v>-134638878.59</v>
          </cell>
          <cell r="U20">
            <v>-166629677.46000001</v>
          </cell>
          <cell r="V20">
            <v>0</v>
          </cell>
          <cell r="W20">
            <v>0</v>
          </cell>
          <cell r="X20">
            <v>0</v>
          </cell>
          <cell r="Y20">
            <v>0</v>
          </cell>
          <cell r="Z20">
            <v>0</v>
          </cell>
          <cell r="AA20">
            <v>-22556291</v>
          </cell>
          <cell r="AB20">
            <v>-23505194</v>
          </cell>
          <cell r="AC20">
            <v>-22876487</v>
          </cell>
          <cell r="AD20">
            <v>-23165420</v>
          </cell>
          <cell r="AE20">
            <v>-23371057</v>
          </cell>
          <cell r="AF20">
            <v>-25945899</v>
          </cell>
          <cell r="AG20">
            <v>-26223456</v>
          </cell>
          <cell r="AH20">
            <v>-27365072</v>
          </cell>
          <cell r="AI20">
            <v>-26779713</v>
          </cell>
          <cell r="AJ20">
            <v>-25976939</v>
          </cell>
          <cell r="AK20">
            <v>-26020293</v>
          </cell>
          <cell r="AL20">
            <v>-26191039</v>
          </cell>
          <cell r="AM20">
            <v>-22556291</v>
          </cell>
          <cell r="AN20">
            <v>-46061485</v>
          </cell>
          <cell r="AO20">
            <v>-68937972</v>
          </cell>
          <cell r="AP20">
            <v>-92103392</v>
          </cell>
          <cell r="AQ20">
            <v>-115474449</v>
          </cell>
          <cell r="AR20">
            <v>-141420348</v>
          </cell>
          <cell r="AS20">
            <v>-167643804</v>
          </cell>
          <cell r="AT20">
            <v>-195008876</v>
          </cell>
          <cell r="AU20">
            <v>-221788589</v>
          </cell>
          <cell r="AV20">
            <v>-247765528</v>
          </cell>
          <cell r="AW20">
            <v>-273785821</v>
          </cell>
          <cell r="AX20">
            <v>-299976860</v>
          </cell>
        </row>
        <row r="21">
          <cell r="A21" t="str">
            <v>700010A</v>
          </cell>
          <cell r="B21" t="str">
            <v xml:space="preserve">Telecomm Recoveries                     </v>
          </cell>
          <cell r="C21">
            <v>-18358666.809999999</v>
          </cell>
          <cell r="D21">
            <v>-19325849.609999999</v>
          </cell>
          <cell r="E21">
            <v>-20219891.170000002</v>
          </cell>
          <cell r="F21">
            <v>-20122841</v>
          </cell>
          <cell r="G21">
            <v>-20190124</v>
          </cell>
          <cell r="H21">
            <v>-22852430</v>
          </cell>
          <cell r="I21">
            <v>-30054318.870000001</v>
          </cell>
          <cell r="J21">
            <v>0</v>
          </cell>
          <cell r="K21">
            <v>0</v>
          </cell>
          <cell r="L21">
            <v>0</v>
          </cell>
          <cell r="M21">
            <v>0</v>
          </cell>
          <cell r="N21">
            <v>0</v>
          </cell>
          <cell r="O21">
            <v>-18358666.809999999</v>
          </cell>
          <cell r="P21">
            <v>-37684516.420000002</v>
          </cell>
          <cell r="Q21">
            <v>-57904407.590000004</v>
          </cell>
          <cell r="R21">
            <v>-78027248.590000004</v>
          </cell>
          <cell r="S21">
            <v>-98217372.590000004</v>
          </cell>
          <cell r="T21">
            <v>-121069802.59</v>
          </cell>
          <cell r="U21">
            <v>-151124121.46000001</v>
          </cell>
          <cell r="V21">
            <v>0</v>
          </cell>
          <cell r="W21">
            <v>0</v>
          </cell>
          <cell r="X21">
            <v>0</v>
          </cell>
          <cell r="Y21">
            <v>0</v>
          </cell>
          <cell r="Z21">
            <v>0</v>
          </cell>
          <cell r="AA21">
            <v>-20422197</v>
          </cell>
          <cell r="AB21">
            <v>-21356114</v>
          </cell>
          <cell r="AC21">
            <v>-20992418</v>
          </cell>
          <cell r="AD21">
            <v>-21116340</v>
          </cell>
          <cell r="AE21">
            <v>-21332963</v>
          </cell>
          <cell r="AF21">
            <v>-23603844</v>
          </cell>
          <cell r="AG21">
            <v>-23814364</v>
          </cell>
          <cell r="AH21">
            <v>-25158994</v>
          </cell>
          <cell r="AI21">
            <v>-24444646</v>
          </cell>
          <cell r="AJ21">
            <v>-24045861</v>
          </cell>
          <cell r="AK21">
            <v>-24199201</v>
          </cell>
          <cell r="AL21">
            <v>-24433016</v>
          </cell>
          <cell r="AM21">
            <v>-20422197</v>
          </cell>
          <cell r="AN21">
            <v>-41778311</v>
          </cell>
          <cell r="AO21">
            <v>-62770729</v>
          </cell>
          <cell r="AP21">
            <v>-83887069</v>
          </cell>
          <cell r="AQ21">
            <v>-105220032</v>
          </cell>
          <cell r="AR21">
            <v>-128823876</v>
          </cell>
          <cell r="AS21">
            <v>-152638240</v>
          </cell>
          <cell r="AT21">
            <v>-177797234</v>
          </cell>
          <cell r="AU21">
            <v>-202241880</v>
          </cell>
          <cell r="AV21">
            <v>-226287741</v>
          </cell>
          <cell r="AW21">
            <v>-250486942</v>
          </cell>
          <cell r="AX21">
            <v>-274919958</v>
          </cell>
        </row>
        <row r="22">
          <cell r="A22" t="str">
            <v>700012A</v>
          </cell>
          <cell r="B22" t="str">
            <v xml:space="preserve">Programming Services Recoveries         </v>
          </cell>
          <cell r="C22">
            <v>0</v>
          </cell>
          <cell r="D22">
            <v>-26613</v>
          </cell>
          <cell r="E22">
            <v>-271950</v>
          </cell>
          <cell r="F22">
            <v>-406301</v>
          </cell>
          <cell r="G22">
            <v>-36878</v>
          </cell>
          <cell r="H22">
            <v>-31515</v>
          </cell>
          <cell r="I22">
            <v>59167</v>
          </cell>
          <cell r="J22">
            <v>0</v>
          </cell>
          <cell r="K22">
            <v>0</v>
          </cell>
          <cell r="L22">
            <v>0</v>
          </cell>
          <cell r="M22">
            <v>0</v>
          </cell>
          <cell r="N22">
            <v>0</v>
          </cell>
          <cell r="O22">
            <v>0</v>
          </cell>
          <cell r="P22">
            <v>-26613</v>
          </cell>
          <cell r="Q22">
            <v>-298563</v>
          </cell>
          <cell r="R22">
            <v>-704864</v>
          </cell>
          <cell r="S22">
            <v>-741742</v>
          </cell>
          <cell r="T22">
            <v>-773257</v>
          </cell>
          <cell r="U22">
            <v>-714090</v>
          </cell>
          <cell r="V22">
            <v>0</v>
          </cell>
          <cell r="W22">
            <v>0</v>
          </cell>
          <cell r="X22">
            <v>0</v>
          </cell>
          <cell r="Y22">
            <v>0</v>
          </cell>
          <cell r="Z22">
            <v>0</v>
          </cell>
          <cell r="AA22">
            <v>-107570</v>
          </cell>
          <cell r="AB22">
            <v>-120570</v>
          </cell>
          <cell r="AC22">
            <v>-120570</v>
          </cell>
          <cell r="AD22">
            <v>-107570</v>
          </cell>
          <cell r="AE22">
            <v>-99570</v>
          </cell>
          <cell r="AF22">
            <v>-399570</v>
          </cell>
          <cell r="AG22">
            <v>-470570</v>
          </cell>
          <cell r="AH22">
            <v>-266570</v>
          </cell>
          <cell r="AI22">
            <v>-397570</v>
          </cell>
          <cell r="AJ22">
            <v>-324570</v>
          </cell>
          <cell r="AK22">
            <v>-215570</v>
          </cell>
          <cell r="AL22">
            <v>-152570</v>
          </cell>
          <cell r="AM22">
            <v>-107570</v>
          </cell>
          <cell r="AN22">
            <v>-228140</v>
          </cell>
          <cell r="AO22">
            <v>-348710</v>
          </cell>
          <cell r="AP22">
            <v>-456280</v>
          </cell>
          <cell r="AQ22">
            <v>-555850</v>
          </cell>
          <cell r="AR22">
            <v>-955420</v>
          </cell>
          <cell r="AS22">
            <v>-1425990</v>
          </cell>
          <cell r="AT22">
            <v>-1692560</v>
          </cell>
          <cell r="AU22">
            <v>-2090130</v>
          </cell>
          <cell r="AV22">
            <v>-2414700</v>
          </cell>
          <cell r="AW22">
            <v>-2630270</v>
          </cell>
          <cell r="AX22">
            <v>-2782840</v>
          </cell>
        </row>
        <row r="23">
          <cell r="A23" t="str">
            <v>700012G</v>
          </cell>
          <cell r="B23" t="str">
            <v xml:space="preserve">Project Services Recoveries             </v>
          </cell>
          <cell r="C23">
            <v>-86354</v>
          </cell>
          <cell r="D23">
            <v>-151962</v>
          </cell>
          <cell r="E23">
            <v>-246113</v>
          </cell>
          <cell r="F23">
            <v>61858</v>
          </cell>
          <cell r="G23">
            <v>-90583</v>
          </cell>
          <cell r="H23">
            <v>-376563</v>
          </cell>
          <cell r="I23">
            <v>-1987</v>
          </cell>
          <cell r="J23">
            <v>0</v>
          </cell>
          <cell r="K23">
            <v>0</v>
          </cell>
          <cell r="L23">
            <v>0</v>
          </cell>
          <cell r="M23">
            <v>0</v>
          </cell>
          <cell r="N23">
            <v>0</v>
          </cell>
          <cell r="O23">
            <v>-86354</v>
          </cell>
          <cell r="P23">
            <v>-238316</v>
          </cell>
          <cell r="Q23">
            <v>-484429</v>
          </cell>
          <cell r="R23">
            <v>-422571</v>
          </cell>
          <cell r="S23">
            <v>-513154</v>
          </cell>
          <cell r="T23">
            <v>-889717</v>
          </cell>
          <cell r="U23">
            <v>-891704</v>
          </cell>
          <cell r="V23">
            <v>0</v>
          </cell>
          <cell r="W23">
            <v>0</v>
          </cell>
          <cell r="X23">
            <v>0</v>
          </cell>
          <cell r="Y23">
            <v>0</v>
          </cell>
          <cell r="Z23">
            <v>0</v>
          </cell>
          <cell r="AA23">
            <v>-5832</v>
          </cell>
          <cell r="AB23">
            <v>-7818</v>
          </cell>
          <cell r="AC23">
            <v>257193</v>
          </cell>
          <cell r="AD23">
            <v>79182</v>
          </cell>
          <cell r="AE23">
            <v>82168</v>
          </cell>
          <cell r="AF23">
            <v>78207</v>
          </cell>
          <cell r="AG23">
            <v>82170</v>
          </cell>
          <cell r="AH23">
            <v>81184</v>
          </cell>
          <cell r="AI23">
            <v>83195</v>
          </cell>
          <cell r="AJ23">
            <v>81184</v>
          </cell>
          <cell r="AK23">
            <v>82170</v>
          </cell>
          <cell r="AL23">
            <v>81239</v>
          </cell>
          <cell r="AM23">
            <v>-5832</v>
          </cell>
          <cell r="AN23">
            <v>-13650</v>
          </cell>
          <cell r="AO23">
            <v>243543</v>
          </cell>
          <cell r="AP23">
            <v>322725</v>
          </cell>
          <cell r="AQ23">
            <v>404893</v>
          </cell>
          <cell r="AR23">
            <v>483100</v>
          </cell>
          <cell r="AS23">
            <v>565270</v>
          </cell>
          <cell r="AT23">
            <v>646454</v>
          </cell>
          <cell r="AU23">
            <v>729649</v>
          </cell>
          <cell r="AV23">
            <v>810833</v>
          </cell>
          <cell r="AW23">
            <v>893003</v>
          </cell>
          <cell r="AX23">
            <v>974242</v>
          </cell>
        </row>
        <row r="24">
          <cell r="A24" t="str">
            <v>700400A</v>
          </cell>
          <cell r="B24" t="str">
            <v xml:space="preserve">Intercompany Expense                    </v>
          </cell>
          <cell r="C24">
            <v>644924.19999999995</v>
          </cell>
          <cell r="D24">
            <v>913555.29</v>
          </cell>
          <cell r="E24">
            <v>768329.64</v>
          </cell>
          <cell r="F24">
            <v>825889.41</v>
          </cell>
          <cell r="G24">
            <v>733725.78</v>
          </cell>
          <cell r="H24">
            <v>144510.96</v>
          </cell>
          <cell r="I24">
            <v>51470.09</v>
          </cell>
          <cell r="J24">
            <v>0</v>
          </cell>
          <cell r="K24">
            <v>0</v>
          </cell>
          <cell r="L24">
            <v>0</v>
          </cell>
          <cell r="M24">
            <v>0</v>
          </cell>
          <cell r="N24">
            <v>0</v>
          </cell>
          <cell r="O24">
            <v>644924.19999999995</v>
          </cell>
          <cell r="P24">
            <v>1558479.49</v>
          </cell>
          <cell r="Q24">
            <v>2326809.13</v>
          </cell>
          <cell r="R24">
            <v>3152698.54</v>
          </cell>
          <cell r="S24">
            <v>3886424.32</v>
          </cell>
          <cell r="T24">
            <v>4030935.28</v>
          </cell>
          <cell r="U24">
            <v>4082405.37</v>
          </cell>
          <cell r="V24">
            <v>0</v>
          </cell>
          <cell r="W24">
            <v>0</v>
          </cell>
          <cell r="X24">
            <v>0</v>
          </cell>
          <cell r="Y24">
            <v>0</v>
          </cell>
          <cell r="Z24">
            <v>0</v>
          </cell>
          <cell r="AA24">
            <v>557610</v>
          </cell>
          <cell r="AB24">
            <v>491269</v>
          </cell>
          <cell r="AC24">
            <v>408369</v>
          </cell>
          <cell r="AD24">
            <v>411843</v>
          </cell>
          <cell r="AE24">
            <v>397448</v>
          </cell>
          <cell r="AF24">
            <v>401584</v>
          </cell>
          <cell r="AG24">
            <v>0</v>
          </cell>
          <cell r="AH24">
            <v>0</v>
          </cell>
          <cell r="AI24">
            <v>0</v>
          </cell>
          <cell r="AJ24">
            <v>0</v>
          </cell>
          <cell r="AK24">
            <v>0</v>
          </cell>
          <cell r="AL24">
            <v>0</v>
          </cell>
          <cell r="AM24">
            <v>557610</v>
          </cell>
          <cell r="AN24">
            <v>1048879</v>
          </cell>
          <cell r="AO24">
            <v>1457248</v>
          </cell>
          <cell r="AP24">
            <v>1869091</v>
          </cell>
          <cell r="AQ24">
            <v>2266539</v>
          </cell>
          <cell r="AR24">
            <v>2668123</v>
          </cell>
          <cell r="AS24">
            <v>2668123</v>
          </cell>
          <cell r="AT24">
            <v>2668123</v>
          </cell>
          <cell r="AU24">
            <v>2668123</v>
          </cell>
          <cell r="AV24">
            <v>2668123</v>
          </cell>
          <cell r="AW24">
            <v>2668123</v>
          </cell>
          <cell r="AX24">
            <v>2668123</v>
          </cell>
        </row>
        <row r="25">
          <cell r="A25" t="str">
            <v>830125</v>
          </cell>
          <cell r="B25" t="str">
            <v xml:space="preserve">Full Time Equivalent Staff              </v>
          </cell>
          <cell r="C25">
            <v>12477.3</v>
          </cell>
          <cell r="D25">
            <v>12528.9</v>
          </cell>
          <cell r="E25">
            <v>12525.1</v>
          </cell>
          <cell r="F25">
            <v>16091</v>
          </cell>
          <cell r="G25">
            <v>15992.1</v>
          </cell>
          <cell r="H25">
            <v>15966.9</v>
          </cell>
          <cell r="I25">
            <v>15991.9</v>
          </cell>
          <cell r="J25">
            <v>0</v>
          </cell>
          <cell r="K25">
            <v>0</v>
          </cell>
          <cell r="L25">
            <v>0</v>
          </cell>
          <cell r="M25">
            <v>0</v>
          </cell>
          <cell r="N25">
            <v>0</v>
          </cell>
          <cell r="O25">
            <v>12477.3</v>
          </cell>
          <cell r="P25">
            <v>12501.91</v>
          </cell>
          <cell r="Q25">
            <v>12509.79</v>
          </cell>
          <cell r="R25">
            <v>13405.86</v>
          </cell>
          <cell r="S25">
            <v>13936.35</v>
          </cell>
          <cell r="T25">
            <v>14272.99</v>
          </cell>
          <cell r="U25">
            <v>14523.91</v>
          </cell>
          <cell r="V25">
            <v>0</v>
          </cell>
          <cell r="W25">
            <v>0</v>
          </cell>
          <cell r="X25">
            <v>0</v>
          </cell>
          <cell r="Y25">
            <v>0</v>
          </cell>
          <cell r="Z25">
            <v>0</v>
          </cell>
          <cell r="AA25">
            <v>16550</v>
          </cell>
          <cell r="AB25">
            <v>16659</v>
          </cell>
          <cell r="AC25">
            <v>16707</v>
          </cell>
          <cell r="AD25">
            <v>16813</v>
          </cell>
          <cell r="AE25">
            <v>16914</v>
          </cell>
          <cell r="AF25">
            <v>16880</v>
          </cell>
          <cell r="AG25">
            <v>16905</v>
          </cell>
          <cell r="AH25">
            <v>16863</v>
          </cell>
          <cell r="AI25">
            <v>16737</v>
          </cell>
          <cell r="AJ25">
            <v>16719</v>
          </cell>
          <cell r="AK25">
            <v>16788</v>
          </cell>
          <cell r="AL25">
            <v>16690</v>
          </cell>
          <cell r="AM25">
            <v>16550</v>
          </cell>
          <cell r="AN25">
            <v>16601</v>
          </cell>
          <cell r="AO25">
            <v>16634</v>
          </cell>
          <cell r="AP25">
            <v>16696</v>
          </cell>
          <cell r="AQ25">
            <v>16726</v>
          </cell>
          <cell r="AR25">
            <v>16768</v>
          </cell>
          <cell r="AS25">
            <v>16775</v>
          </cell>
          <cell r="AT25">
            <v>16801</v>
          </cell>
          <cell r="AU25">
            <v>16792</v>
          </cell>
          <cell r="AV25">
            <v>16778</v>
          </cell>
          <cell r="AW25">
            <v>16776</v>
          </cell>
          <cell r="AX25">
            <v>16773</v>
          </cell>
        </row>
        <row r="26">
          <cell r="A26" t="str">
            <v>DIREXP-SC</v>
          </cell>
          <cell r="B26" t="str">
            <v xml:space="preserve">Total Direct Expense                    </v>
          </cell>
          <cell r="C26">
            <v>132222682.34999999</v>
          </cell>
          <cell r="D26">
            <v>131914522.88</v>
          </cell>
          <cell r="E26">
            <v>133721773.67</v>
          </cell>
          <cell r="F26">
            <v>131426042.98999999</v>
          </cell>
          <cell r="G26">
            <v>119743968.39</v>
          </cell>
          <cell r="H26">
            <v>138452503.61000001</v>
          </cell>
          <cell r="I26">
            <v>147352046.03</v>
          </cell>
          <cell r="J26">
            <v>0</v>
          </cell>
          <cell r="K26">
            <v>0</v>
          </cell>
          <cell r="L26">
            <v>0</v>
          </cell>
          <cell r="M26">
            <v>0</v>
          </cell>
          <cell r="N26">
            <v>0</v>
          </cell>
          <cell r="O26">
            <v>132222682.34999999</v>
          </cell>
          <cell r="P26">
            <v>264137205.22999999</v>
          </cell>
          <cell r="Q26">
            <v>397858978.89999998</v>
          </cell>
          <cell r="R26">
            <v>529285021.88999999</v>
          </cell>
          <cell r="S26">
            <v>649028990.27999997</v>
          </cell>
          <cell r="T26">
            <v>787481493.88999999</v>
          </cell>
          <cell r="U26">
            <v>934833539.91999996</v>
          </cell>
          <cell r="V26">
            <v>0</v>
          </cell>
          <cell r="W26">
            <v>0</v>
          </cell>
          <cell r="X26">
            <v>0</v>
          </cell>
          <cell r="Y26">
            <v>0</v>
          </cell>
          <cell r="Z26">
            <v>0</v>
          </cell>
          <cell r="AA26">
            <v>137716615</v>
          </cell>
          <cell r="AB26">
            <v>137624021</v>
          </cell>
          <cell r="AC26">
            <v>136642964</v>
          </cell>
          <cell r="AD26">
            <v>136549452</v>
          </cell>
          <cell r="AE26">
            <v>136291762</v>
          </cell>
          <cell r="AF26">
            <v>136478958</v>
          </cell>
          <cell r="AG26">
            <v>147103768</v>
          </cell>
          <cell r="AH26">
            <v>145879315</v>
          </cell>
          <cell r="AI26">
            <v>144212347</v>
          </cell>
          <cell r="AJ26">
            <v>143778197</v>
          </cell>
          <cell r="AK26">
            <v>143618955</v>
          </cell>
          <cell r="AL26">
            <v>145064885</v>
          </cell>
          <cell r="AM26">
            <v>137716615</v>
          </cell>
          <cell r="AN26">
            <v>275340636</v>
          </cell>
          <cell r="AO26">
            <v>411983600</v>
          </cell>
          <cell r="AP26">
            <v>548533052</v>
          </cell>
          <cell r="AQ26">
            <v>684824814</v>
          </cell>
          <cell r="AR26">
            <v>821303772</v>
          </cell>
          <cell r="AS26">
            <v>968407540</v>
          </cell>
          <cell r="AT26">
            <v>1114286855</v>
          </cell>
          <cell r="AU26">
            <v>1258499202</v>
          </cell>
          <cell r="AV26">
            <v>1402277399</v>
          </cell>
          <cell r="AW26">
            <v>1545896354</v>
          </cell>
          <cell r="AX26">
            <v>1690961239</v>
          </cell>
        </row>
        <row r="27">
          <cell r="A27" t="str">
            <v>NIEBEFALL</v>
          </cell>
          <cell r="B27" t="str">
            <v xml:space="preserve">Total Non-Interest Exp Bef Cost Alloc   </v>
          </cell>
          <cell r="C27">
            <v>112438113.73999999</v>
          </cell>
          <cell r="D27">
            <v>111274266.56</v>
          </cell>
          <cell r="E27">
            <v>111819948.14</v>
          </cell>
          <cell r="F27">
            <v>109793817.40000001</v>
          </cell>
          <cell r="G27">
            <v>98182027.170000002</v>
          </cell>
          <cell r="H27">
            <v>113365377.56999999</v>
          </cell>
          <cell r="I27">
            <v>115412717.25</v>
          </cell>
          <cell r="J27">
            <v>0</v>
          </cell>
          <cell r="K27">
            <v>0</v>
          </cell>
          <cell r="L27">
            <v>0</v>
          </cell>
          <cell r="M27">
            <v>0</v>
          </cell>
          <cell r="N27">
            <v>0</v>
          </cell>
          <cell r="O27">
            <v>112438113.73999999</v>
          </cell>
          <cell r="P27">
            <v>223712380.30000001</v>
          </cell>
          <cell r="Q27">
            <v>335532328.44</v>
          </cell>
          <cell r="R27">
            <v>445326145.83999997</v>
          </cell>
          <cell r="S27">
            <v>543508173.00999999</v>
          </cell>
          <cell r="T27">
            <v>656873550.58000004</v>
          </cell>
          <cell r="U27">
            <v>772286267.83000004</v>
          </cell>
          <cell r="V27">
            <v>0</v>
          </cell>
          <cell r="W27">
            <v>0</v>
          </cell>
          <cell r="X27">
            <v>0</v>
          </cell>
          <cell r="Y27">
            <v>0</v>
          </cell>
          <cell r="Z27">
            <v>0</v>
          </cell>
          <cell r="AA27">
            <v>115717934</v>
          </cell>
          <cell r="AB27">
            <v>114610096</v>
          </cell>
          <cell r="AC27">
            <v>114174846</v>
          </cell>
          <cell r="AD27">
            <v>113795875</v>
          </cell>
          <cell r="AE27">
            <v>113318153</v>
          </cell>
          <cell r="AF27">
            <v>110934643</v>
          </cell>
          <cell r="AG27">
            <v>120880312</v>
          </cell>
          <cell r="AH27">
            <v>118514243</v>
          </cell>
          <cell r="AI27">
            <v>117432634</v>
          </cell>
          <cell r="AJ27">
            <v>117801258</v>
          </cell>
          <cell r="AK27">
            <v>117598662</v>
          </cell>
          <cell r="AL27">
            <v>118873846</v>
          </cell>
          <cell r="AM27">
            <v>115717934</v>
          </cell>
          <cell r="AN27">
            <v>230328030</v>
          </cell>
          <cell r="AO27">
            <v>344502876</v>
          </cell>
          <cell r="AP27">
            <v>458298751</v>
          </cell>
          <cell r="AQ27">
            <v>571616904</v>
          </cell>
          <cell r="AR27">
            <v>682551547</v>
          </cell>
          <cell r="AS27">
            <v>803431859</v>
          </cell>
          <cell r="AT27">
            <v>921946102</v>
          </cell>
          <cell r="AU27">
            <v>1039378736</v>
          </cell>
          <cell r="AV27">
            <v>1157179994</v>
          </cell>
          <cell r="AW27">
            <v>1274778656</v>
          </cell>
          <cell r="AX27">
            <v>1393652502</v>
          </cell>
        </row>
        <row r="28">
          <cell r="A28" t="str">
            <v>TOTSAL</v>
          </cell>
          <cell r="B28" t="str">
            <v xml:space="preserve">Salaries &amp; Wages                        </v>
          </cell>
          <cell r="C28">
            <v>35222521.520000003</v>
          </cell>
          <cell r="D28">
            <v>35661957.219999999</v>
          </cell>
          <cell r="E28">
            <v>35608989.799999997</v>
          </cell>
          <cell r="F28">
            <v>35709028.280000001</v>
          </cell>
          <cell r="G28">
            <v>35440525.890000001</v>
          </cell>
          <cell r="H28">
            <v>35873198.439999998</v>
          </cell>
          <cell r="I28">
            <v>35833026.859999999</v>
          </cell>
          <cell r="J28">
            <v>0</v>
          </cell>
          <cell r="K28">
            <v>0</v>
          </cell>
          <cell r="L28">
            <v>0</v>
          </cell>
          <cell r="M28">
            <v>0</v>
          </cell>
          <cell r="N28">
            <v>0</v>
          </cell>
          <cell r="O28">
            <v>35222521.520000003</v>
          </cell>
          <cell r="P28">
            <v>70884478.739999995</v>
          </cell>
          <cell r="Q28">
            <v>106493468.54000001</v>
          </cell>
          <cell r="R28">
            <v>142202496.81999999</v>
          </cell>
          <cell r="S28">
            <v>177643022.71000001</v>
          </cell>
          <cell r="T28">
            <v>213516221.15000001</v>
          </cell>
          <cell r="U28">
            <v>249349248.00999999</v>
          </cell>
          <cell r="V28">
            <v>0</v>
          </cell>
          <cell r="W28">
            <v>0</v>
          </cell>
          <cell r="X28">
            <v>0</v>
          </cell>
          <cell r="Y28">
            <v>0</v>
          </cell>
          <cell r="Z28">
            <v>0</v>
          </cell>
          <cell r="AA28">
            <v>35974001</v>
          </cell>
          <cell r="AB28">
            <v>36311449</v>
          </cell>
          <cell r="AC28">
            <v>36464969</v>
          </cell>
          <cell r="AD28">
            <v>37424638</v>
          </cell>
          <cell r="AE28">
            <v>37766683</v>
          </cell>
          <cell r="AF28">
            <v>37770607</v>
          </cell>
          <cell r="AG28">
            <v>37897495</v>
          </cell>
          <cell r="AH28">
            <v>37874820</v>
          </cell>
          <cell r="AI28">
            <v>37675086</v>
          </cell>
          <cell r="AJ28">
            <v>37810509</v>
          </cell>
          <cell r="AK28">
            <v>37859854</v>
          </cell>
          <cell r="AL28">
            <v>37633108</v>
          </cell>
          <cell r="AM28">
            <v>35974001</v>
          </cell>
          <cell r="AN28">
            <v>72285450</v>
          </cell>
          <cell r="AO28">
            <v>108750419</v>
          </cell>
          <cell r="AP28">
            <v>146175057</v>
          </cell>
          <cell r="AQ28">
            <v>183941740</v>
          </cell>
          <cell r="AR28">
            <v>221712347</v>
          </cell>
          <cell r="AS28">
            <v>259609842</v>
          </cell>
          <cell r="AT28">
            <v>297484662</v>
          </cell>
          <cell r="AU28">
            <v>335159748</v>
          </cell>
          <cell r="AV28">
            <v>372970257</v>
          </cell>
          <cell r="AW28">
            <v>410830111</v>
          </cell>
          <cell r="AX28">
            <v>448463219</v>
          </cell>
        </row>
      </sheetData>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Ratios"/>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JISCO"/>
      <sheetName val="Summary-JVSL"/>
      <sheetName val="FX"/>
      <sheetName val="P&amp;L-marginal"/>
      <sheetName val="P&amp;L-ind"/>
      <sheetName val="Cashflow-format"/>
      <sheetName val="P&amp;Lmerged"/>
      <sheetName val="Ratio-S&amp;P"/>
      <sheetName val="Ratio-Moody's"/>
      <sheetName val="Cashflow"/>
      <sheetName val="Cashflow-JVSL"/>
      <sheetName val="Cashflow-JISCO"/>
      <sheetName val="Balancesheet"/>
      <sheetName val="Assumptions"/>
      <sheetName val="Sensitivity"/>
      <sheetName val="Prices"/>
      <sheetName val="Sheet1"/>
      <sheetName val="Benchmarks"/>
      <sheetName val="credit memo"/>
      <sheetName val="Sheet2"/>
      <sheetName val="COP"/>
      <sheetName val="expansion"/>
      <sheetName val="wcap"/>
      <sheetName val="Loans"/>
      <sheetName val="FX Loan-details"/>
      <sheetName val="Merged-op-bs"/>
      <sheetName val="Depreciation"/>
      <sheetName val="Tax-WDV"/>
      <sheetName val="PP assumptions"/>
      <sheetName val="PP Sales volume"/>
      <sheetName val="PP exchange rates"/>
      <sheetName val="PP other costs"/>
      <sheetName val="PP selling prices"/>
      <sheetName val="PP raw material"/>
      <sheetName val="PP Inc stmt"/>
      <sheetName val="PP BS"/>
      <sheetName val="PP CF"/>
      <sheetName val="DCFValuation"/>
      <sheetName val="DCF"/>
      <sheetName val="WACC"/>
      <sheetName val="Invoice"/>
      <sheetName val="CSD1"/>
      <sheetName val="CSD2"/>
      <sheetName val="CSD3"/>
      <sheetName val="FRMT"/>
      <sheetName val="FINAL-INVOICE"/>
      <sheetName val="COMPS"/>
      <sheetName val="Plan"/>
      <sheetName val="Data"/>
      <sheetName val="CRITERIA2"/>
      <sheetName val="CRITERIA3"/>
      <sheetName val="CRITERIA4"/>
      <sheetName val="CRITERIA5"/>
      <sheetName val="CRITERIA6"/>
      <sheetName val="Summary_JISCO"/>
      <sheetName val="credit_memo"/>
      <sheetName val="FX_Loan-details"/>
      <sheetName val="PP_assumptions"/>
      <sheetName val="PP_Sales_volume"/>
      <sheetName val="PP_exchange_rates"/>
      <sheetName val="PP_other_costs"/>
      <sheetName val="PP_selling_prices"/>
      <sheetName val="PP_raw_material"/>
      <sheetName val="PP_Inc_stmt"/>
      <sheetName val="PP_BS"/>
      <sheetName val="PP_CF"/>
      <sheetName val="Summary_JISCO1"/>
      <sheetName val="credit_memo1"/>
      <sheetName val="FX_Loan-details1"/>
      <sheetName val="PP_assumptions1"/>
      <sheetName val="PP_Sales_volume1"/>
      <sheetName val="PP_exchange_rates1"/>
      <sheetName val="PP_other_costs1"/>
      <sheetName val="PP_selling_prices1"/>
      <sheetName val="PP_raw_material1"/>
      <sheetName val="PP_Inc_stmt1"/>
      <sheetName val="PP_BS1"/>
      <sheetName val="PP_CF1"/>
    </sheetNames>
    <sheetDataSet>
      <sheetData sheetId="0">
        <row r="7">
          <cell r="C7" t="str">
            <v>Step 1: Enter valuation date:</v>
          </cell>
        </row>
      </sheetData>
      <sheetData sheetId="1">
        <row r="7">
          <cell r="C7" t="str">
            <v>Step 1: Enter valuation date:</v>
          </cell>
        </row>
      </sheetData>
      <sheetData sheetId="2">
        <row r="7">
          <cell r="C7" t="str">
            <v>Step 1: Enter valuation date:</v>
          </cell>
        </row>
      </sheetData>
      <sheetData sheetId="3">
        <row r="7">
          <cell r="C7" t="str">
            <v>Step 1: Enter valuation date:</v>
          </cell>
        </row>
      </sheetData>
      <sheetData sheetId="4">
        <row r="7">
          <cell r="C7" t="str">
            <v>Step 1: Enter valuation date:</v>
          </cell>
        </row>
      </sheetData>
      <sheetData sheetId="5">
        <row r="7">
          <cell r="C7" t="str">
            <v>Step 1: Enter valuation date:</v>
          </cell>
        </row>
      </sheetData>
      <sheetData sheetId="6">
        <row r="7">
          <cell r="C7" t="str">
            <v>Step 1: Enter valuation date:</v>
          </cell>
        </row>
      </sheetData>
      <sheetData sheetId="7">
        <row r="7">
          <cell r="C7" t="str">
            <v>Step 1: Enter valuation date:</v>
          </cell>
        </row>
      </sheetData>
      <sheetData sheetId="8">
        <row r="7">
          <cell r="C7" t="str">
            <v>Step 1: Enter valuation date:</v>
          </cell>
        </row>
      </sheetData>
      <sheetData sheetId="9">
        <row r="7">
          <cell r="C7" t="str">
            <v>Step 1: Enter valuation date:</v>
          </cell>
        </row>
      </sheetData>
      <sheetData sheetId="10">
        <row r="7">
          <cell r="C7" t="str">
            <v>Step 1: Enter valuation date:</v>
          </cell>
        </row>
      </sheetData>
      <sheetData sheetId="11">
        <row r="7">
          <cell r="C7" t="str">
            <v>Step 1: Enter valuation date:</v>
          </cell>
        </row>
      </sheetData>
      <sheetData sheetId="12">
        <row r="7">
          <cell r="C7" t="str">
            <v>Step 1: Enter valuation date:</v>
          </cell>
        </row>
      </sheetData>
      <sheetData sheetId="13">
        <row r="7">
          <cell r="C7" t="str">
            <v>Step 1: Enter valuation date:</v>
          </cell>
        </row>
      </sheetData>
      <sheetData sheetId="14">
        <row r="7">
          <cell r="C7" t="str">
            <v>Step 1: Enter valuation date:</v>
          </cell>
        </row>
      </sheetData>
      <sheetData sheetId="15">
        <row r="7">
          <cell r="C7" t="str">
            <v>Step 1: Enter valuation date:</v>
          </cell>
        </row>
      </sheetData>
      <sheetData sheetId="16">
        <row r="7">
          <cell r="C7" t="str">
            <v>Step 1: Enter valuation date:</v>
          </cell>
        </row>
      </sheetData>
      <sheetData sheetId="17">
        <row r="7">
          <cell r="C7" t="str">
            <v>Step 1: Enter valuation date:</v>
          </cell>
        </row>
      </sheetData>
      <sheetData sheetId="18">
        <row r="7">
          <cell r="C7" t="str">
            <v>Step 1: Enter valuation date:</v>
          </cell>
        </row>
      </sheetData>
      <sheetData sheetId="19">
        <row r="7">
          <cell r="C7" t="str">
            <v>Step 1: Enter valuation date:</v>
          </cell>
        </row>
      </sheetData>
      <sheetData sheetId="20">
        <row r="7">
          <cell r="C7" t="str">
            <v>Step 1: Enter valuation date:</v>
          </cell>
        </row>
      </sheetData>
      <sheetData sheetId="21">
        <row r="7">
          <cell r="C7" t="str">
            <v>Step 1: Enter valuation date:</v>
          </cell>
        </row>
      </sheetData>
      <sheetData sheetId="22">
        <row r="7">
          <cell r="C7" t="str">
            <v>Step 1: Enter valuation date:</v>
          </cell>
        </row>
      </sheetData>
      <sheetData sheetId="23">
        <row r="7">
          <cell r="C7" t="str">
            <v>Step 1: Enter valuation date:</v>
          </cell>
        </row>
      </sheetData>
      <sheetData sheetId="24">
        <row r="7">
          <cell r="C7" t="str">
            <v>Step 1: Enter valuation date:</v>
          </cell>
        </row>
      </sheetData>
      <sheetData sheetId="25">
        <row r="7">
          <cell r="C7" t="str">
            <v>Step 1: Enter valuation date:</v>
          </cell>
        </row>
      </sheetData>
      <sheetData sheetId="26">
        <row r="7">
          <cell r="C7" t="str">
            <v>Step 1: Enter valuation date:</v>
          </cell>
        </row>
      </sheetData>
      <sheetData sheetId="27">
        <row r="7">
          <cell r="C7" t="str">
            <v>Step 1: Enter valuation date:</v>
          </cell>
        </row>
      </sheetData>
      <sheetData sheetId="28">
        <row r="7">
          <cell r="C7" t="str">
            <v>Step 1: Enter valuation date:</v>
          </cell>
        </row>
      </sheetData>
      <sheetData sheetId="29">
        <row r="7">
          <cell r="C7" t="str">
            <v>Step 1: Enter valuation date:</v>
          </cell>
        </row>
      </sheetData>
      <sheetData sheetId="30">
        <row r="7">
          <cell r="C7" t="str">
            <v>Step 1: Enter valuation date:</v>
          </cell>
        </row>
      </sheetData>
      <sheetData sheetId="31">
        <row r="7">
          <cell r="C7" t="str">
            <v>Step 1: Enter valuation date:</v>
          </cell>
        </row>
      </sheetData>
      <sheetData sheetId="32">
        <row r="7">
          <cell r="C7" t="str">
            <v>Step 1: Enter valuation date:</v>
          </cell>
        </row>
      </sheetData>
      <sheetData sheetId="33">
        <row r="7">
          <cell r="C7" t="str">
            <v>Step 1: Enter valuation date:</v>
          </cell>
        </row>
      </sheetData>
      <sheetData sheetId="34">
        <row r="7">
          <cell r="C7" t="str">
            <v>Step 1: Enter valuation date:</v>
          </cell>
        </row>
      </sheetData>
      <sheetData sheetId="35">
        <row r="7">
          <cell r="C7" t="str">
            <v>Step 1: Enter valuation date:</v>
          </cell>
        </row>
      </sheetData>
      <sheetData sheetId="36">
        <row r="7">
          <cell r="C7" t="str">
            <v>Step 1: Enter valuation date:</v>
          </cell>
        </row>
      </sheetData>
      <sheetData sheetId="37" refreshError="1">
        <row r="7">
          <cell r="C7" t="str">
            <v>Step 1: Enter valuation date:</v>
          </cell>
        </row>
        <row r="35">
          <cell r="X35" t="str">
            <v/>
          </cell>
        </row>
        <row r="36">
          <cell r="C36" t="str">
            <v>Valuation as of</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ow r="7">
          <cell r="C7" t="str">
            <v>Step 1: Enter valuation date:</v>
          </cell>
        </row>
      </sheetData>
      <sheetData sheetId="68">
        <row r="7">
          <cell r="C7" t="str">
            <v>Step 1: Enter valuation date:</v>
          </cell>
        </row>
      </sheetData>
      <sheetData sheetId="69">
        <row r="7">
          <cell r="C7" t="str">
            <v>Step 1: Enter valuation date:</v>
          </cell>
        </row>
      </sheetData>
      <sheetData sheetId="70">
        <row r="7">
          <cell r="C7" t="str">
            <v>Step 1: Enter valuation date:</v>
          </cell>
        </row>
      </sheetData>
      <sheetData sheetId="71">
        <row r="7">
          <cell r="C7" t="str">
            <v>Step 1: Enter valuation date:</v>
          </cell>
        </row>
      </sheetData>
      <sheetData sheetId="72">
        <row r="7">
          <cell r="C7" t="str">
            <v>Step 1: Enter valuation date:</v>
          </cell>
        </row>
      </sheetData>
      <sheetData sheetId="73">
        <row r="7">
          <cell r="C7" t="str">
            <v>Step 1: Enter valuation date:</v>
          </cell>
        </row>
      </sheetData>
      <sheetData sheetId="74">
        <row r="7">
          <cell r="C7" t="str">
            <v>Step 1: Enter valuation date:</v>
          </cell>
        </row>
      </sheetData>
      <sheetData sheetId="75">
        <row r="7">
          <cell r="C7" t="str">
            <v>Step 1: Enter valuation date:</v>
          </cell>
        </row>
      </sheetData>
      <sheetData sheetId="76">
        <row r="7">
          <cell r="C7" t="str">
            <v>Step 1: Enter valuation date:</v>
          </cell>
        </row>
      </sheetData>
      <sheetData sheetId="77">
        <row r="7">
          <cell r="C7" t="str">
            <v>Step 1: Enter valuation date:</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ing Summary"/>
      <sheetName val="Staffing Detail"/>
      <sheetName val="Field Values"/>
      <sheetName val="2002-05 GEDM Staffing v2- MN Up"/>
      <sheetName val="3"/>
      <sheetName val="MM"/>
      <sheetName val="Rollup Summary"/>
      <sheetName val="Approved MTD Proj #'s"/>
    </sheetNames>
    <sheetDataSet>
      <sheetData sheetId="0"/>
      <sheetData sheetId="1"/>
      <sheetData sheetId="2" refreshError="1">
        <row r="4">
          <cell r="C4" t="str">
            <v>Urgent</v>
          </cell>
        </row>
        <row r="5">
          <cell r="C5" t="str">
            <v>High</v>
          </cell>
        </row>
        <row r="6">
          <cell r="C6" t="str">
            <v>Medium</v>
          </cell>
        </row>
        <row r="7">
          <cell r="C7" t="str">
            <v>Low</v>
          </cell>
        </row>
      </sheetData>
      <sheetData sheetId="3" refreshError="1"/>
      <sheetData sheetId="4" refreshError="1"/>
      <sheetData sheetId="5" refreshError="1"/>
      <sheetData sheetId="6" refreshError="1"/>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acle"/>
      <sheetName val="sales reco"/>
      <sheetName val="Sales Value &amp; Volume"/>
      <sheetName val="Data"/>
      <sheetName val="Civil Status-Mail copy"/>
    </sheetNames>
    <sheetDataSet>
      <sheetData sheetId="0" refreshError="1"/>
      <sheetData sheetId="1" refreshError="1"/>
      <sheetData sheetId="2" refreshError="1"/>
      <sheetData sheetId="3"/>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keholders"/>
      <sheetName val="Field Values"/>
      <sheetName val="CABLE DATA"/>
      <sheetName val="3"/>
      <sheetName val="Lookup Tables"/>
    </sheetNames>
    <sheetDataSet>
      <sheetData sheetId="0" refreshError="1"/>
      <sheetData sheetId="1" refreshError="1"/>
      <sheetData sheetId="2" refreshError="1"/>
      <sheetData sheetId="3" refreshError="1"/>
      <sheetData sheetId="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Tables"/>
      <sheetName val="Stakeholders"/>
      <sheetName val="Field Values"/>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d &amp; co Fdr Tds01-02"/>
      <sheetName val="mdd &amp; co Fdr  Feb02)"/>
      <sheetName val="Company ICD"/>
      <sheetName val="mdd &amp; co Fdr jan.02 "/>
      <sheetName val="TDS sCH"/>
      <sheetName val="mdd &amp; co Fdr Tds00-01"/>
      <sheetName val="money doubling"/>
      <sheetName val="Price Testing - Used - 1"/>
      <sheetName val="Macro1"/>
      <sheetName val="COLUMN"/>
      <sheetName val="DET0900"/>
      <sheetName val="Rates"/>
      <sheetName val="Reclass BS 11"/>
      <sheetName val="Reclass PL 11"/>
      <sheetName val="Year_End"/>
      <sheetName val="Debtors Detail Test"/>
      <sheetName val="Lead"/>
    </sheetNames>
    <sheetDataSet>
      <sheetData sheetId="0"/>
      <sheetData sheetId="1"/>
      <sheetData sheetId="2"/>
      <sheetData sheetId="3" refreshError="1">
        <row r="33">
          <cell r="C33">
            <v>2500000</v>
          </cell>
          <cell r="J33">
            <v>834392.70785440668</v>
          </cell>
        </row>
        <row r="35">
          <cell r="A35" t="str">
            <v>P &amp; S Bank,Ghaziabad Br.</v>
          </cell>
        </row>
        <row r="36">
          <cell r="A36">
            <v>1</v>
          </cell>
          <cell r="B36">
            <v>569215</v>
          </cell>
          <cell r="C36">
            <v>500000</v>
          </cell>
          <cell r="D36">
            <v>10</v>
          </cell>
          <cell r="E36">
            <v>36779</v>
          </cell>
          <cell r="F36">
            <v>37965</v>
          </cell>
          <cell r="G36">
            <v>509</v>
          </cell>
          <cell r="H36">
            <v>5.5780821917808217</v>
          </cell>
          <cell r="J36">
            <v>73837.078681478277</v>
          </cell>
        </row>
        <row r="37">
          <cell r="A37">
            <v>2</v>
          </cell>
          <cell r="B37">
            <v>317416</v>
          </cell>
          <cell r="C37">
            <v>500000</v>
          </cell>
          <cell r="D37">
            <v>10</v>
          </cell>
          <cell r="E37">
            <v>36912</v>
          </cell>
          <cell r="F37">
            <v>38098</v>
          </cell>
          <cell r="G37">
            <v>376</v>
          </cell>
          <cell r="H37">
            <v>4.1205479452054794</v>
          </cell>
          <cell r="J37">
            <v>53551.721647092956</v>
          </cell>
        </row>
        <row r="38">
          <cell r="C38">
            <v>1000000</v>
          </cell>
          <cell r="J38">
            <v>127388.80032857123</v>
          </cell>
        </row>
        <row r="40">
          <cell r="C40">
            <v>948720099</v>
          </cell>
          <cell r="D40" t="str">
            <v>current FDR</v>
          </cell>
          <cell r="E40">
            <v>544720099</v>
          </cell>
          <cell r="I40">
            <v>12678383.458619684</v>
          </cell>
          <cell r="J40">
            <v>202842985.45861968</v>
          </cell>
        </row>
        <row r="42">
          <cell r="F42">
            <v>4140027.458619684</v>
          </cell>
          <cell r="G42" t="str">
            <v>Int. Acc For The Month</v>
          </cell>
        </row>
        <row r="43">
          <cell r="A43" t="str">
            <v>MOTHER DAIRYFRUIT &amp; VEGETABLE LIMITED</v>
          </cell>
        </row>
        <row r="45">
          <cell r="A45" t="str">
            <v>STAEMENT OF  FIXED DEPOSITS WITH State Bank of India</v>
          </cell>
        </row>
        <row r="47">
          <cell r="J47">
            <v>37287</v>
          </cell>
        </row>
        <row r="48">
          <cell r="A48" t="str">
            <v>SN.</v>
          </cell>
          <cell r="B48" t="str">
            <v>FDRN.</v>
          </cell>
          <cell r="C48" t="str">
            <v>AMT.OF FDR</v>
          </cell>
          <cell r="D48" t="str">
            <v>INT.RT.</v>
          </cell>
          <cell r="E48" t="str">
            <v>Issue Dt</v>
          </cell>
          <cell r="F48" t="str">
            <v>Maturity Dt</v>
          </cell>
          <cell r="G48" t="str">
            <v>DAYS</v>
          </cell>
          <cell r="H48" t="str">
            <v>QTR.</v>
          </cell>
          <cell r="I48" t="str">
            <v>Maturity Day</v>
          </cell>
          <cell r="J48" t="str">
            <v>INT.ACC.RS.</v>
          </cell>
        </row>
        <row r="49">
          <cell r="A49">
            <v>1</v>
          </cell>
          <cell r="B49" t="str">
            <v>Under B/G</v>
          </cell>
          <cell r="C49">
            <v>15000</v>
          </cell>
          <cell r="D49">
            <v>9.5</v>
          </cell>
          <cell r="E49">
            <v>36731</v>
          </cell>
          <cell r="F49">
            <v>37735</v>
          </cell>
          <cell r="G49">
            <v>557</v>
          </cell>
          <cell r="H49">
            <v>6.1041095890410961</v>
          </cell>
          <cell r="J49">
            <v>2310.7558815618613</v>
          </cell>
        </row>
        <row r="50">
          <cell r="A50">
            <v>2</v>
          </cell>
          <cell r="B50" t="str">
            <v>Under B/G</v>
          </cell>
          <cell r="C50">
            <v>30000</v>
          </cell>
          <cell r="D50">
            <v>10</v>
          </cell>
          <cell r="E50">
            <v>36949</v>
          </cell>
          <cell r="F50">
            <v>38134</v>
          </cell>
          <cell r="G50">
            <v>339</v>
          </cell>
          <cell r="H50">
            <v>3.7150684931506848</v>
          </cell>
          <cell r="J50">
            <v>2882.2213992476609</v>
          </cell>
        </row>
        <row r="51">
          <cell r="A51">
            <v>3</v>
          </cell>
          <cell r="B51" t="str">
            <v>Under B/G</v>
          </cell>
          <cell r="C51">
            <v>15000</v>
          </cell>
          <cell r="D51">
            <v>10</v>
          </cell>
          <cell r="E51">
            <v>36949</v>
          </cell>
          <cell r="F51">
            <v>38134</v>
          </cell>
          <cell r="G51">
            <v>339</v>
          </cell>
          <cell r="H51">
            <v>3.7150684931506848</v>
          </cell>
          <cell r="J51">
            <v>1441.1106996238304</v>
          </cell>
        </row>
        <row r="52">
          <cell r="A52">
            <v>4</v>
          </cell>
          <cell r="B52" t="str">
            <v>Under B/G</v>
          </cell>
          <cell r="C52">
            <v>15000</v>
          </cell>
          <cell r="D52">
            <v>9.5</v>
          </cell>
          <cell r="E52">
            <v>36622</v>
          </cell>
          <cell r="F52">
            <v>38448</v>
          </cell>
          <cell r="G52">
            <v>666</v>
          </cell>
          <cell r="H52">
            <v>7.2986301369863016</v>
          </cell>
          <cell r="J52">
            <v>2802.9869133477841</v>
          </cell>
        </row>
        <row r="53">
          <cell r="A53">
            <v>5</v>
          </cell>
          <cell r="B53" t="str">
            <v>Under B/G</v>
          </cell>
          <cell r="C53">
            <v>2000000</v>
          </cell>
          <cell r="D53">
            <v>9.5</v>
          </cell>
          <cell r="E53">
            <v>36634</v>
          </cell>
          <cell r="F53">
            <v>38490</v>
          </cell>
          <cell r="G53">
            <v>654</v>
          </cell>
          <cell r="H53">
            <v>7.1671232876712327</v>
          </cell>
          <cell r="J53">
            <v>366415.70872788364</v>
          </cell>
        </row>
        <row r="54">
          <cell r="A54">
            <v>6</v>
          </cell>
          <cell r="B54">
            <v>201072</v>
          </cell>
          <cell r="C54">
            <v>10000000</v>
          </cell>
          <cell r="D54">
            <v>10.75</v>
          </cell>
          <cell r="E54">
            <v>36878</v>
          </cell>
          <cell r="F54">
            <v>37973</v>
          </cell>
          <cell r="G54">
            <v>410</v>
          </cell>
          <cell r="H54">
            <v>4.493150684931507</v>
          </cell>
          <cell r="J54">
            <v>1265493.620353153</v>
          </cell>
        </row>
        <row r="55">
          <cell r="A55">
            <v>7</v>
          </cell>
          <cell r="B55">
            <v>201201</v>
          </cell>
          <cell r="C55">
            <v>250000000</v>
          </cell>
          <cell r="D55">
            <v>10.75</v>
          </cell>
          <cell r="E55">
            <v>36930</v>
          </cell>
          <cell r="F55">
            <v>38025</v>
          </cell>
          <cell r="G55">
            <v>358</v>
          </cell>
          <cell r="H55">
            <v>3.9232876712328766</v>
          </cell>
          <cell r="J55">
            <v>27412988.772712409</v>
          </cell>
        </row>
        <row r="56">
          <cell r="A56">
            <v>8</v>
          </cell>
          <cell r="B56">
            <v>201240</v>
          </cell>
          <cell r="C56">
            <v>150000000</v>
          </cell>
          <cell r="D56">
            <v>10.75</v>
          </cell>
          <cell r="E56">
            <v>36942</v>
          </cell>
          <cell r="F56">
            <v>38037</v>
          </cell>
          <cell r="G56">
            <v>346</v>
          </cell>
          <cell r="H56">
            <v>3.7917808219178082</v>
          </cell>
          <cell r="J56">
            <v>15868302.831289113</v>
          </cell>
        </row>
        <row r="57">
          <cell r="A57">
            <v>9</v>
          </cell>
          <cell r="B57">
            <v>201476</v>
          </cell>
          <cell r="C57">
            <v>100000000</v>
          </cell>
          <cell r="D57">
            <v>9.5</v>
          </cell>
          <cell r="E57">
            <v>37070</v>
          </cell>
          <cell r="F57">
            <v>38166</v>
          </cell>
          <cell r="G57">
            <v>218</v>
          </cell>
          <cell r="H57">
            <v>2.3890410958904109</v>
          </cell>
          <cell r="J57">
            <v>5767851.2187951058</v>
          </cell>
        </row>
        <row r="58">
          <cell r="B58" t="str">
            <v>TOTAL</v>
          </cell>
          <cell r="C58">
            <v>512075000</v>
          </cell>
          <cell r="J58">
            <v>50690489.226771444</v>
          </cell>
        </row>
        <row r="60">
          <cell r="A60" t="str">
            <v>STAEMENT OF  FIXED DEPOSITS WITH PNB,Mumbai</v>
          </cell>
        </row>
        <row r="63">
          <cell r="A63">
            <v>1</v>
          </cell>
          <cell r="B63">
            <v>450879</v>
          </cell>
          <cell r="C63">
            <v>30000000</v>
          </cell>
          <cell r="D63">
            <v>9.5</v>
          </cell>
          <cell r="E63">
            <v>36975</v>
          </cell>
          <cell r="F63">
            <v>38071</v>
          </cell>
          <cell r="G63">
            <v>313</v>
          </cell>
          <cell r="H63">
            <v>3.43013698630137</v>
          </cell>
          <cell r="J63">
            <v>2515301.0072933994</v>
          </cell>
        </row>
        <row r="67">
          <cell r="A67" t="str">
            <v>STAEMENT OF  FIXED DEPOSITS WITH ICICI Bank, C.P. N.Delhi</v>
          </cell>
        </row>
        <row r="70">
          <cell r="A70">
            <v>1</v>
          </cell>
          <cell r="B70">
            <v>50680617</v>
          </cell>
          <cell r="C70">
            <v>150000000</v>
          </cell>
          <cell r="D70">
            <v>7.9</v>
          </cell>
          <cell r="E70">
            <v>37243</v>
          </cell>
          <cell r="F70">
            <v>37291</v>
          </cell>
          <cell r="G70">
            <v>45</v>
          </cell>
          <cell r="H70">
            <v>0.49315068493150682</v>
          </cell>
          <cell r="J70">
            <v>1453718.2577444017</v>
          </cell>
        </row>
        <row r="71">
          <cell r="A71">
            <v>2</v>
          </cell>
          <cell r="C71">
            <v>100000000</v>
          </cell>
          <cell r="D71">
            <v>8</v>
          </cell>
          <cell r="E71">
            <v>37257</v>
          </cell>
          <cell r="F71">
            <v>37305</v>
          </cell>
          <cell r="G71">
            <v>31</v>
          </cell>
          <cell r="H71">
            <v>0.33972602739726027</v>
          </cell>
          <cell r="J71">
            <v>675014.81472331285</v>
          </cell>
        </row>
        <row r="72">
          <cell r="B72" t="str">
            <v>TOTAL</v>
          </cell>
          <cell r="C72">
            <v>250000000</v>
          </cell>
          <cell r="J72">
            <v>2128733.0724677145</v>
          </cell>
        </row>
        <row r="74">
          <cell r="B74" t="str">
            <v>Grand total</v>
          </cell>
          <cell r="C74">
            <v>792075000</v>
          </cell>
          <cell r="I74">
            <v>17412911.306532562</v>
          </cell>
          <cell r="J74">
            <v>55334523.306532562</v>
          </cell>
        </row>
        <row r="75">
          <cell r="F75">
            <v>6872655.3065325618</v>
          </cell>
          <cell r="G75" t="str">
            <v>Int. Acc For The Month</v>
          </cell>
        </row>
        <row r="77">
          <cell r="B77" t="str">
            <v>Grand total</v>
          </cell>
          <cell r="D77" t="str">
            <v>Overall avg YTM 9.75% P.A.</v>
          </cell>
        </row>
        <row r="78">
          <cell r="B78" t="str">
            <v>Co &amp; MDD (current)</v>
          </cell>
          <cell r="C78">
            <v>133.6795099</v>
          </cell>
        </row>
        <row r="121">
          <cell r="A121" t="str">
            <v>STAEMENT OF  FIXED DEPOSITS WITH State Bank of India</v>
          </cell>
        </row>
        <row r="124">
          <cell r="A124" t="str">
            <v>MOTHER DAIRY DELHI</v>
          </cell>
        </row>
        <row r="127">
          <cell r="J127">
            <v>37134</v>
          </cell>
        </row>
        <row r="128">
          <cell r="A128" t="str">
            <v>SN.</v>
          </cell>
          <cell r="B128" t="str">
            <v>FDRN.</v>
          </cell>
          <cell r="C128" t="str">
            <v>AMT.OF FDR</v>
          </cell>
          <cell r="D128" t="str">
            <v>INT.RT.</v>
          </cell>
          <cell r="E128" t="str">
            <v>Issue Dt</v>
          </cell>
          <cell r="F128" t="str">
            <v>Maturity Dt</v>
          </cell>
          <cell r="G128" t="str">
            <v>DAYS</v>
          </cell>
          <cell r="H128" t="str">
            <v>QTR.</v>
          </cell>
          <cell r="I128" t="str">
            <v>Maturity Day</v>
          </cell>
          <cell r="J128" t="str">
            <v>INT.ACC.RS.</v>
          </cell>
        </row>
        <row r="129">
          <cell r="A129" t="str">
            <v>SBI,Mother Dairy Br.</v>
          </cell>
        </row>
        <row r="130">
          <cell r="A130">
            <v>1</v>
          </cell>
          <cell r="C130">
            <v>100000000</v>
          </cell>
          <cell r="D130">
            <v>12.5</v>
          </cell>
          <cell r="E130">
            <v>36057</v>
          </cell>
          <cell r="F130">
            <v>37153</v>
          </cell>
          <cell r="G130">
            <v>1097</v>
          </cell>
          <cell r="H130">
            <v>12.021917808219179</v>
          </cell>
          <cell r="I130" t="str">
            <v>Wednesday</v>
          </cell>
          <cell r="J130">
            <v>44763957.590823114</v>
          </cell>
        </row>
        <row r="131">
          <cell r="A131">
            <v>2</v>
          </cell>
          <cell r="C131">
            <v>100000000</v>
          </cell>
          <cell r="D131">
            <v>12.5</v>
          </cell>
          <cell r="E131">
            <v>36078</v>
          </cell>
          <cell r="F131">
            <v>37174</v>
          </cell>
          <cell r="G131">
            <v>1097</v>
          </cell>
          <cell r="H131">
            <v>12.021917808219179</v>
          </cell>
          <cell r="I131" t="str">
            <v>Wednesday</v>
          </cell>
          <cell r="J131">
            <v>44763957.590823114</v>
          </cell>
        </row>
        <row r="132">
          <cell r="A132">
            <v>3</v>
          </cell>
          <cell r="C132">
            <v>144000000</v>
          </cell>
          <cell r="D132">
            <v>9.5</v>
          </cell>
          <cell r="E132">
            <v>37108</v>
          </cell>
          <cell r="F132">
            <v>38204</v>
          </cell>
          <cell r="G132">
            <v>180</v>
          </cell>
          <cell r="H132">
            <v>1.9726027397260273</v>
          </cell>
          <cell r="I132" t="str">
            <v>Monday</v>
          </cell>
          <cell r="J132">
            <v>6824202.0425110459</v>
          </cell>
        </row>
        <row r="133">
          <cell r="A133">
            <v>4</v>
          </cell>
          <cell r="C133">
            <v>100000000</v>
          </cell>
          <cell r="D133">
            <v>12.5</v>
          </cell>
          <cell r="E133">
            <v>36035</v>
          </cell>
          <cell r="F133">
            <v>37223</v>
          </cell>
          <cell r="G133">
            <v>1189</v>
          </cell>
          <cell r="H133">
            <v>13.03013698630137</v>
          </cell>
          <cell r="I133" t="str">
            <v>Wednesday</v>
          </cell>
          <cell r="J133">
            <v>49325593.581976354</v>
          </cell>
        </row>
        <row r="136">
          <cell r="B136" t="str">
            <v>Total</v>
          </cell>
          <cell r="C136">
            <v>444000000</v>
          </cell>
          <cell r="J136">
            <v>145677710.80613363</v>
          </cell>
        </row>
        <row r="139">
          <cell r="A139" t="str">
            <v>MOTHER DAIRY FRUIT&amp; VEGETABLE LIMITED</v>
          </cell>
        </row>
        <row r="142">
          <cell r="A142" t="str">
            <v>SN.</v>
          </cell>
          <cell r="B142" t="str">
            <v>FDRN.</v>
          </cell>
          <cell r="C142" t="str">
            <v>AMT.OF FDR</v>
          </cell>
          <cell r="D142" t="str">
            <v>INT.RT.</v>
          </cell>
          <cell r="E142" t="str">
            <v>Issue Dt</v>
          </cell>
          <cell r="F142" t="str">
            <v>Maturity Dt</v>
          </cell>
          <cell r="G142" t="str">
            <v>DAYS</v>
          </cell>
          <cell r="H142" t="str">
            <v>QTR.</v>
          </cell>
          <cell r="I142" t="str">
            <v>Maturity Day</v>
          </cell>
          <cell r="J142" t="str">
            <v>INT.ACC.RS.</v>
          </cell>
        </row>
        <row r="143">
          <cell r="A143">
            <v>1</v>
          </cell>
          <cell r="C143">
            <v>15000</v>
          </cell>
          <cell r="D143">
            <v>9.5</v>
          </cell>
          <cell r="E143">
            <v>36731</v>
          </cell>
          <cell r="F143">
            <v>37735</v>
          </cell>
          <cell r="G143">
            <v>557</v>
          </cell>
          <cell r="H143">
            <v>6.1041095890410961</v>
          </cell>
          <cell r="J143">
            <v>2310.7558815618613</v>
          </cell>
        </row>
        <row r="144">
          <cell r="A144">
            <v>2</v>
          </cell>
          <cell r="C144">
            <v>15000</v>
          </cell>
          <cell r="D144">
            <v>9.5</v>
          </cell>
          <cell r="E144">
            <v>36622</v>
          </cell>
          <cell r="F144">
            <v>38448</v>
          </cell>
          <cell r="G144">
            <v>666</v>
          </cell>
          <cell r="H144">
            <v>7.2986301369863016</v>
          </cell>
          <cell r="J144">
            <v>2802.9869133477841</v>
          </cell>
        </row>
        <row r="145">
          <cell r="A145">
            <v>3</v>
          </cell>
          <cell r="C145">
            <v>2000000</v>
          </cell>
          <cell r="D145">
            <v>9.5</v>
          </cell>
          <cell r="E145">
            <v>36634</v>
          </cell>
          <cell r="F145">
            <v>38490</v>
          </cell>
          <cell r="G145">
            <v>654</v>
          </cell>
          <cell r="H145">
            <v>7.1671232876712327</v>
          </cell>
          <cell r="J145">
            <v>366415.70872788364</v>
          </cell>
        </row>
        <row r="146">
          <cell r="A146">
            <v>4</v>
          </cell>
          <cell r="C146">
            <v>10000000</v>
          </cell>
          <cell r="D146">
            <v>10.75</v>
          </cell>
          <cell r="E146">
            <v>36878</v>
          </cell>
          <cell r="F146">
            <v>37973</v>
          </cell>
          <cell r="G146">
            <v>410</v>
          </cell>
          <cell r="H146">
            <v>4.493150684931507</v>
          </cell>
          <cell r="J146">
            <v>1265493.620353153</v>
          </cell>
        </row>
        <row r="147">
          <cell r="A147">
            <v>5</v>
          </cell>
          <cell r="C147">
            <v>250000000</v>
          </cell>
          <cell r="D147">
            <v>10.75</v>
          </cell>
          <cell r="E147">
            <v>36930</v>
          </cell>
          <cell r="F147">
            <v>38025</v>
          </cell>
          <cell r="G147">
            <v>358</v>
          </cell>
          <cell r="H147">
            <v>3.9232876712328766</v>
          </cell>
          <cell r="J147">
            <v>27412988.772712409</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CF"/>
      <sheetName val="Control"/>
      <sheetName val="405"/>
      <sheetName val="427"/>
      <sheetName val="403"/>
      <sheetName val="trial (2)"/>
      <sheetName val="P&amp;L"/>
      <sheetName val="LINK GAP"/>
      <sheetName val="SCH4"/>
      <sheetName val="References"/>
      <sheetName val="Charts"/>
      <sheetName val="PL Groupings"/>
      <sheetName val="BS Groupings"/>
      <sheetName val="URD-s"/>
      <sheetName val="Holidays"/>
      <sheetName val="Other notes"/>
      <sheetName val="grootboekrek"/>
      <sheetName val="BS-203"/>
      <sheetName val="ConsolSkol31122002-ECBDL"/>
      <sheetName val="Model"/>
      <sheetName val="Overview"/>
      <sheetName val="Setup"/>
      <sheetName val="Current assets"/>
      <sheetName val="Current liabilities"/>
      <sheetName val="Deferred tax"/>
      <sheetName val="Dividends"/>
      <sheetName val="Employment of capital"/>
      <sheetName val="EVA"/>
      <sheetName val="Country"/>
      <sheetName val="Income"/>
      <sheetName val="Long Term Borrowings"/>
      <sheetName val="Minorities"/>
      <sheetName val="FA LB"/>
      <sheetName val="Taxation"/>
      <sheetName val="Working capital"/>
      <sheetName val="PL grp"/>
      <sheetName val="kpmg format"/>
      <sheetName val="cash flow"/>
      <sheetName val="#REF"/>
      <sheetName val="Ann -1"/>
      <sheetName val="Co.26 Unfinished P&amp;E"/>
      <sheetName val="Lookups"/>
      <sheetName val="gen ledger data"/>
      <sheetName val="Original format"/>
      <sheetName val="E755 Annex"/>
      <sheetName val="Details"/>
      <sheetName val="S.4.3_SAP Dump"/>
      <sheetName val="Data"/>
      <sheetName val="curlocal"/>
      <sheetName val="Groupings BS"/>
      <sheetName val="DEC PIVOT"/>
      <sheetName val="Op Plan Sales"/>
      <sheetName val="Basic Details"/>
      <sheetName val="Currency"/>
      <sheetName val="DropDown"/>
      <sheetName val="Non-Statistical Sampling"/>
      <sheetName val="E1 Invoice"/>
      <sheetName val="Budd Lanner Split"/>
      <sheetName val="HIGHLIGHTS"/>
      <sheetName val="STOCK VALUEMay03"/>
      <sheetName val="DataFF"/>
      <sheetName val="capex"/>
      <sheetName val="DataInput1"/>
      <sheetName val="AP Example"/>
      <sheetName val="F1"/>
      <sheetName val="F2"/>
      <sheetName val="F3_A$"/>
      <sheetName val="Frontend"/>
      <sheetName val="K1-per"/>
      <sheetName val="K1-med(RM)"/>
      <sheetName val="K1-ppd"/>
      <sheetName val="S2 Chart"/>
      <sheetName val="S3a(A$)"/>
      <sheetName val="S5 Chart"/>
      <sheetName val="S6"/>
      <sheetName val="S7"/>
      <sheetName val="S8"/>
      <sheetName val="S9_A$"/>
      <sheetName val="S"/>
      <sheetName val="S2_A$"/>
      <sheetName val="exp-m"/>
      <sheetName val="pcQueryData"/>
      <sheetName val="Schedules"/>
      <sheetName val="BS-P&amp;L"/>
      <sheetName val="Cntmrs-Recruit"/>
      <sheetName val="Apr 08 to Mar 09"/>
      <sheetName val="Expense Budget_NOV"/>
      <sheetName val="Adm97"/>
      <sheetName val="130-UNIDADES"/>
      <sheetName val="CSCCincSKR"/>
      <sheetName val="Proforma"/>
      <sheetName val="WGE P&amp;E"/>
      <sheetName val="Sheet1"/>
      <sheetName val="Income Statement"/>
      <sheetName val="Accrual Nov'05"/>
      <sheetName val="Query SS 1_805"/>
      <sheetName val="Financials"/>
      <sheetName val="Summary"/>
      <sheetName val="Opening"/>
      <sheetName val="DepRate"/>
      <sheetName val="CRITERIA1"/>
      <sheetName val="Assum"/>
      <sheetName val="Debt"/>
      <sheetName val="Sum"/>
      <sheetName val="Cover"/>
      <sheetName val="MoCF"/>
      <sheetName val="Cochin Invoice File"/>
      <sheetName val="STPI November 08"/>
      <sheetName val="BS - L+OE"/>
      <sheetName val="Annexure 3A"/>
      <sheetName val="CWIP"/>
      <sheetName val="FORM-16"/>
      <sheetName val="Purchase Order"/>
      <sheetName val="TPM"/>
      <sheetName val="BALANCE_SHEET"/>
      <sheetName val="P_&amp;_L"/>
      <sheetName val="SHARE_CAPITAL"/>
      <sheetName val="R_&amp;_s"/>
      <sheetName val="Res_&amp;_surplus"/>
      <sheetName val="SEC_LOAN_"/>
      <sheetName val="UN-SEC_LOAN"/>
      <sheetName val="Fixed_Assets"/>
      <sheetName val="OTHER_INC_"/>
      <sheetName val="FinishedTraded_Goods"/>
      <sheetName val="Int_&amp;_Fin_chgs"/>
      <sheetName val="gen_ledger_data"/>
      <sheetName val="Original_format"/>
      <sheetName val="Basic_Details"/>
      <sheetName val="BS_Groupings"/>
      <sheetName val="PL_Groupings"/>
      <sheetName val="S_4_3_SAP_Dump"/>
      <sheetName val="E755_Annex"/>
      <sheetName val="Current_assets"/>
      <sheetName val="Current_liabilities"/>
      <sheetName val="Deferred_tax"/>
      <sheetName val="Employment_of_capital"/>
      <sheetName val="Long_Term_Borrowings"/>
      <sheetName val="FA_LB"/>
      <sheetName val="Working_capital"/>
      <sheetName val="Non-Statistical_Sampling"/>
      <sheetName val="E1_Invoice"/>
      <sheetName val="Groupings_BS"/>
      <sheetName val="DEC_PIVOT"/>
      <sheetName val="Op_Plan_Sales"/>
      <sheetName val="Budd_Lanner_Split"/>
      <sheetName val="STOCK_VALUEMay03"/>
      <sheetName val="WGE_P&amp;E"/>
      <sheetName val="Apr_08_to_Mar_09"/>
      <sheetName val="Expense_Budget_NOV"/>
      <sheetName val="PL_grp"/>
      <sheetName val="kpmg_format"/>
      <sheetName val="cash_flow"/>
      <sheetName val="trial_(2)"/>
      <sheetName val="LINK_GAP"/>
      <sheetName val="Query_SS_1_805"/>
      <sheetName val="Accrual_Nov'05"/>
      <sheetName val="Brand &amp; CC list"/>
      <sheetName val="Market list"/>
      <sheetName val="DCF Analysis"/>
      <sheetName val="Con0304"/>
      <sheetName val="Dep"/>
      <sheetName val="BALANCE_SHEET1"/>
      <sheetName val="P_&amp;_L1"/>
      <sheetName val="SHARE_CAPITAL1"/>
      <sheetName val="R_&amp;_s1"/>
      <sheetName val="Res_&amp;_surplus1"/>
      <sheetName val="SEC_LOAN_1"/>
      <sheetName val="UN-SEC_LOAN1"/>
      <sheetName val="Fixed_Assets1"/>
      <sheetName val="OTHER_INC_1"/>
      <sheetName val="FinishedTraded_Goods1"/>
      <sheetName val="Int_&amp;_Fin_chgs1"/>
      <sheetName val="gen_ledger_data1"/>
      <sheetName val="S_4_3_SAP_Dump1"/>
      <sheetName val="Groupings_BS1"/>
      <sheetName val="DEC_PIVOT1"/>
      <sheetName val="Op_Plan_Sales1"/>
      <sheetName val="E1_Invoice1"/>
      <sheetName val="E755_Annex1"/>
      <sheetName val="Current_assets1"/>
      <sheetName val="Current_liabilities1"/>
      <sheetName val="Deferred_tax1"/>
      <sheetName val="Employment_of_capital1"/>
      <sheetName val="Long_Term_Borrowings1"/>
      <sheetName val="FA_LB1"/>
      <sheetName val="Working_capital1"/>
      <sheetName val="Basic_Details1"/>
      <sheetName val="BS_Groupings1"/>
      <sheetName val="PL_Groupings1"/>
      <sheetName val="Original_format1"/>
      <sheetName val="Non-Statistical_Sampling1"/>
      <sheetName val="BALANCE_SHEET2"/>
      <sheetName val="P_&amp;_L2"/>
      <sheetName val="SHARE_CAPITAL2"/>
      <sheetName val="R_&amp;_s2"/>
      <sheetName val="Res_&amp;_surplus2"/>
      <sheetName val="SEC_LOAN_2"/>
      <sheetName val="UN-SEC_LOAN2"/>
      <sheetName val="Fixed_Assets2"/>
      <sheetName val="OTHER_INC_2"/>
      <sheetName val="FinishedTraded_Goods2"/>
      <sheetName val="Int_&amp;_Fin_chgs2"/>
      <sheetName val="gen_ledger_data2"/>
      <sheetName val="S_4_3_SAP_Dump2"/>
      <sheetName val="Groupings_BS2"/>
      <sheetName val="DEC_PIVOT2"/>
      <sheetName val="Op_Plan_Sales2"/>
      <sheetName val="E1_Invoice2"/>
      <sheetName val="E755_Annex2"/>
      <sheetName val="Current_assets2"/>
      <sheetName val="Current_liabilities2"/>
      <sheetName val="Deferred_tax2"/>
      <sheetName val="Employment_of_capital2"/>
      <sheetName val="Long_Term_Borrowings2"/>
      <sheetName val="FA_LB2"/>
      <sheetName val="Working_capital2"/>
      <sheetName val="Basic_Details2"/>
      <sheetName val="BS_Groupings2"/>
      <sheetName val="PL_Groupings2"/>
      <sheetName val="Original_format2"/>
      <sheetName val="Non-Statistical_Sampling2"/>
      <sheetName val="DCF"/>
      <sheetName val="Cochin_Invoice_File"/>
      <sheetName val="STPI_November_08"/>
      <sheetName val="BS_-_L+OE"/>
      <sheetName val="Annexure_3A"/>
      <sheetName val="DCF_Analysis"/>
      <sheetName val="Input schedule"/>
      <sheetName val="200B"/>
      <sheetName val="DEC07 GL DL"/>
      <sheetName val="Simulator Detail"/>
      <sheetName val="lead schs"/>
      <sheetName val="trial_(2)1"/>
      <sheetName val="LINK_GAP1"/>
      <sheetName val="trial_(2)2"/>
      <sheetName val="LINK_GAP2"/>
      <sheetName val="Annexure to HD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S RCP Sep"/>
      <sheetName val="US RCP June"/>
      <sheetName val="US RCP MAY"/>
      <sheetName val="US RCP Jul"/>
      <sheetName val="Scope Definitions"/>
      <sheetName val="US RCP Aug"/>
      <sheetName val="SAP Sep"/>
      <sheetName val="SAP Oct"/>
      <sheetName val="Sheet2"/>
      <sheetName val="Sheet1"/>
      <sheetName val="List"/>
      <sheetName val="data for chart"/>
      <sheetName val="GMCP TRACKER (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Assumptions"/>
      <sheetName val="Assumption Inputs"/>
      <sheetName val="Cost graph"/>
      <sheetName val="Presentation"/>
      <sheetName val="Calendar year Summary Plan"/>
      <sheetName val="ISC IC Costs"/>
      <sheetName val="Summary year Plan"/>
      <sheetName val="Facility Costs"/>
      <sheetName val="Business Practises Personnel"/>
      <sheetName val="Graph Data"/>
      <sheetName val="Detail Plan"/>
      <sheetName val="Business Practises Recruitment"/>
      <sheetName val="People Costs"/>
      <sheetName val="GSS Costs"/>
      <sheetName val="Technology Costs"/>
      <sheetName val="Interest &amp; Depreciation"/>
      <sheetName val="US RCP Sep"/>
      <sheetName val="暂估材料"/>
      <sheetName val="Summary_Bank"/>
      <sheetName val="Project Dash Board"/>
      <sheetName val="Field Values"/>
      <sheetName val="India F&amp;S Template"/>
      <sheetName val="analysis-superstructure"/>
      <sheetName val="RA-markate"/>
      <sheetName val="Material "/>
      <sheetName val="BP_Assumptions"/>
      <sheetName val="Assumption_Inputs"/>
      <sheetName val="Cost_graph"/>
      <sheetName val="Calendar_year_Summary_Plan"/>
      <sheetName val="ISC_IC_Costs"/>
      <sheetName val="Summary_year_Plan"/>
      <sheetName val="Facility_Costs"/>
      <sheetName val="Business_Practises_Personnel"/>
      <sheetName val="Graph_Data"/>
      <sheetName val="Detail_Plan"/>
      <sheetName val="Business_Practises_Recruitment"/>
      <sheetName val="People_Costs"/>
      <sheetName val="GSS_Costs"/>
      <sheetName val="Technology_Costs"/>
      <sheetName val="Interest_&amp;_Depreciation"/>
      <sheetName val="Project_Dash_Board"/>
      <sheetName val="GMCP TRACKER (Rs)"/>
      <sheetName val="Quo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현금흐름표"/>
      <sheetName val="업체명"/>
      <sheetName val="피벗"/>
      <sheetName val="95WBS"/>
      <sheetName val="IND9899"/>
      <sheetName val="#REF"/>
      <sheetName val="885"/>
      <sheetName val="All"/>
      <sheetName val="공통"/>
      <sheetName val="INSTRUCTIONS"/>
      <sheetName val="YOEMAGUM"/>
      <sheetName val="Emission Norms"/>
      <sheetName val="CVBUH2MONTHLY"/>
      <sheetName val="Purchases-CT1"/>
      <sheetName val="Purchases-ST1  "/>
      <sheetName val="F-4"/>
      <sheetName val="Projected Expense - Local"/>
      <sheetName val="Wins"/>
      <sheetName val="MAR A"/>
      <sheetName val="5"/>
      <sheetName val="Region Data"/>
      <sheetName val="VGIPURip1200h"/>
      <sheetName val="BRAKE"/>
      <sheetName val="(공)설비팀"/>
      <sheetName val="(BS,CF)-BACK"/>
      <sheetName val="MISforgeforging"/>
      <sheetName val="SAFETY"/>
      <sheetName val="Instruction"/>
      <sheetName val="Ageing Analysis "/>
      <sheetName val="Summary "/>
      <sheetName val="1"/>
      <sheetName val="Presentation"/>
      <sheetName val="Emission_Norms"/>
      <sheetName val="Purchases-ST1__"/>
      <sheetName val="Projected_Expense_-_Local"/>
      <sheetName val="MAR_A"/>
      <sheetName val="Region_Data"/>
      <sheetName val="Ageing_Analysis_"/>
      <sheetName val="Summary_"/>
      <sheetName val="검기갑지"/>
      <sheetName val="validation_rules"/>
      <sheetName val="validation rules"/>
      <sheetName val="Sheet2"/>
      <sheetName val="Beta"/>
      <sheetName val="Emission_Norms2"/>
      <sheetName val="MAR_A2"/>
      <sheetName val="Purchases-ST1__2"/>
      <sheetName val="Projected_Expense_-_Local2"/>
      <sheetName val="Emission_Norms1"/>
      <sheetName val="MAR_A1"/>
      <sheetName val="Purchases-ST1__1"/>
      <sheetName val="Projected_Expense_-_Local1"/>
      <sheetName val="업무분장 "/>
      <sheetName val="PTP-Normal"/>
      <sheetName val="Emission_Norms3"/>
      <sheetName val="Purchases-ST1__3"/>
      <sheetName val="Projected_Expense_-_Local3"/>
      <sheetName val="MAR_A3"/>
      <sheetName val="업무분장_"/>
      <sheetName val="Rates"/>
      <sheetName val="WTB2006"/>
      <sheetName val="현금"/>
      <sheetName val="BSLA"/>
      <sheetName val="Schedules"/>
      <sheetName val="Mar03Atp"/>
      <sheetName val="Data lists"/>
      <sheetName val="Drop down list"/>
      <sheetName val="SELECTION"/>
      <sheetName val="HBI NCD"/>
      <sheetName val="Data"/>
      <sheetName val="Insp_Dtl"/>
      <sheetName val="RTP Transactions"/>
      <sheetName val="PlantControl"/>
      <sheetName val="#REF!"/>
      <sheetName val="Staff"/>
      <sheetName val="CSM with CKD"/>
      <sheetName val="Financing Scenarios"/>
      <sheetName val="Catalogos"/>
      <sheetName val="Investment_4x4economy"/>
      <sheetName val="일삼현금흐름표"/>
      <sheetName val="Grund"/>
      <sheetName val="W-현원가"/>
      <sheetName val="Sch1 - Summary P&amp;L"/>
      <sheetName val="Setup &amp; Validation"/>
      <sheetName val="일삼현금흐름표.xls"/>
      <sheetName val="Gears comm"/>
      <sheetName val="KTP_Apr10"/>
      <sheetName val="Sheet1 _2_"/>
      <sheetName val="TOTAL LIST"/>
      <sheetName val="Daten"/>
      <sheetName val="Union Bank of India"/>
      <sheetName val="Canara Bank"/>
      <sheetName val="Balancesheet"/>
      <sheetName val="mdd &amp; co Fdr jan.02 "/>
      <sheetName val="General Assumptions"/>
      <sheetName val="OCT"/>
      <sheetName val="temp"/>
      <sheetName val="LDP 50"/>
      <sheetName val="Scheduled"/>
      <sheetName val="INV FG 07_Ageing"/>
      <sheetName val="10월판관"/>
      <sheetName val="울산시산표"/>
      <sheetName val="p5. 유무형자산"/>
      <sheetName val="Æo°¡±aAØ"/>
      <sheetName val="IKSoKH"/>
      <sheetName val="98 IKSoKH"/>
      <sheetName val="2-1.제품군별계획대비실적(B.A)"/>
      <sheetName val="Full Sheet"/>
      <sheetName val="Import Pay &amp; PDC"/>
      <sheetName val="Inventory"/>
      <sheetName val="Projected_Expense_-_Local4"/>
      <sheetName val="Emission_Norms4"/>
      <sheetName val="Purchases-ST1__4"/>
      <sheetName val="MAR_A4"/>
      <sheetName val="Region_Data1"/>
      <sheetName val="Ageing_Analysis_1"/>
      <sheetName val="Summary_1"/>
      <sheetName val="validation_rules1"/>
      <sheetName val="업무분장_1"/>
      <sheetName val="Projected_Expense_-_Local5"/>
      <sheetName val="Emission_Norms5"/>
      <sheetName val="Purchases-ST1__5"/>
      <sheetName val="MAR_A5"/>
      <sheetName val="Region_Data2"/>
      <sheetName val="Ageing_Analysis_2"/>
      <sheetName val="Summary_2"/>
      <sheetName val="validation_rules2"/>
      <sheetName val="업무분장_2"/>
      <sheetName val="Projected_Expense_-_Local6"/>
      <sheetName val="Emission_Norms6"/>
      <sheetName val="Purchases-ST1__6"/>
      <sheetName val="MAR_A6"/>
      <sheetName val="Region_Data3"/>
      <sheetName val="Ageing_Analysis_3"/>
      <sheetName val="Summary_3"/>
      <sheetName val="validation_rules3"/>
      <sheetName val="업무분장_3"/>
      <sheetName val="Esteem Rear"/>
      <sheetName val="SC - Lead"/>
      <sheetName val="Listing"/>
      <sheetName val="Sheet14"/>
      <sheetName val="Ledger"/>
      <sheetName val="TRIAL BALANCE"/>
      <sheetName val=""/>
      <sheetName val="Gratuity and LE walk 2012"/>
      <sheetName val="Assumptions"/>
      <sheetName val="주요계정명세서부표"/>
      <sheetName val=".4 국고보조금"/>
      <sheetName val="수입"/>
      <sheetName val="Input"/>
      <sheetName val="Sheet1"/>
      <sheetName val="Substantive Area"/>
      <sheetName val="Company"/>
      <sheetName val="Update Macro"/>
      <sheetName val="080 (2)"/>
      <sheetName val="ANUAL PLAN"/>
      <sheetName val="sch_list (2)"/>
      <sheetName val="Basement Budget"/>
      <sheetName val="Determination of Threshold"/>
      <sheetName val="Interest Income"/>
      <sheetName val="Interest expense"/>
      <sheetName val="Index"/>
      <sheetName val="資材規格リスト(単価確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97CAPREN"/>
      <sheetName val="table"/>
      <sheetName val="ELEC45-01"/>
      <sheetName val="Core"/>
      <sheetName val="会社セグメントマスタ加工シート"/>
      <sheetName val="Debt Info"/>
      <sheetName val="A"/>
      <sheetName val="Job header"/>
      <sheetName val="2005 DATA"/>
      <sheetName val="OUTLK%"/>
      <sheetName val="RANGES"/>
      <sheetName val="Old IAC Canada"/>
      <sheetName val="Template Data"/>
      <sheetName val="TrialBalance Q3-2002"/>
      <sheetName val="CONTABLE"/>
      <sheetName val="Capital_Expenditure_1999-2001"/>
      <sheetName val="Capital_by_division"/>
      <sheetName val="DEPRECIATION_1998-NEW_ASSETS"/>
      <sheetName val="DEPRECIATION_1999"/>
      <sheetName val="Summery_Depreciation_1998-2001"/>
      <sheetName val="Stock_Aging"/>
      <sheetName val="cost_allocation"/>
      <sheetName val="PF_PL_OP"/>
      <sheetName val="Capital_Expenditure_1999-20011"/>
      <sheetName val="Capital_by_division1"/>
      <sheetName val="DEPRECIATION_1998-NEW_ASSETS1"/>
      <sheetName val="DEPRECIATION_19991"/>
      <sheetName val="Summery_Depreciation_1998-20011"/>
      <sheetName val="Stock_Aging1"/>
      <sheetName val="cost_allocation1"/>
      <sheetName val="PF_PL_OP1"/>
      <sheetName val="เงินกู้_MGC"/>
      <sheetName val="10Segment_report"/>
      <sheetName val="7Long_term_liabilities"/>
      <sheetName val="1Cash_for_Interest"/>
      <sheetName val="3Detail_of_cash_flow"/>
      <sheetName val="เครื่องตกแต่ง-PJ_(BF)"/>
      <sheetName val="0_0ControlSheet"/>
      <sheetName val="Debt_Info"/>
      <sheetName val="Job_header"/>
      <sheetName val="2005_DATA"/>
      <sheetName val="Old_IAC_Canada"/>
      <sheetName val="Template_Data"/>
      <sheetName val="TrialBalance_Q3-2002"/>
      <sheetName val="Capital_Expenditure_1999-20012"/>
      <sheetName val="Capital_by_division2"/>
      <sheetName val="DEPRECIATION_1998-NEW_ASSETS2"/>
      <sheetName val="DEPRECIATION_19992"/>
      <sheetName val="Summery_Depreciation_1998-20012"/>
      <sheetName val="Stock_Aging2"/>
      <sheetName val="cost_allocation2"/>
      <sheetName val="PF_PL_OP2"/>
      <sheetName val="เงินกู้_MGC1"/>
      <sheetName val="10Segment_report1"/>
      <sheetName val="7Long_term_liabilities1"/>
      <sheetName val="1Cash_for_Interest1"/>
      <sheetName val="3Detail_of_cash_flow1"/>
      <sheetName val="เครื่องตกแต่ง-PJ_(BF)1"/>
      <sheetName val="0_0ControlSheet1"/>
      <sheetName val="Debt_Info1"/>
      <sheetName val="Job_header1"/>
      <sheetName val="2005_DATA1"/>
      <sheetName val="Old_IAC_Canada1"/>
      <sheetName val="Template_Data1"/>
      <sheetName val="TrialBalance_Q3-20021"/>
      <sheetName val="Capital_Expenditure_1999-20013"/>
      <sheetName val="Capital_by_division3"/>
      <sheetName val="DEPRECIATION_1998-NEW_ASSETS3"/>
      <sheetName val="DEPRECIATION_19993"/>
      <sheetName val="Summery_Depreciation_1998-20013"/>
      <sheetName val="Stock_Aging3"/>
      <sheetName val="cost_allocation3"/>
      <sheetName val="PF_PL_OP3"/>
      <sheetName val="เงินกู้_MGC2"/>
      <sheetName val="10Segment_report2"/>
      <sheetName val="7Long_term_liabilities2"/>
      <sheetName val="1Cash_for_Interest2"/>
      <sheetName val="3Detail_of_cash_flow2"/>
      <sheetName val="เครื่องตกแต่ง-PJ_(BF)2"/>
      <sheetName val="0_0ControlSheet2"/>
      <sheetName val="Debt_Info2"/>
      <sheetName val="Job_header2"/>
      <sheetName val="2005_DATA2"/>
      <sheetName val="Old_IAC_Canada2"/>
      <sheetName val="Template_Data2"/>
      <sheetName val="TrialBalance_Q3-20022"/>
      <sheetName val="SALES"/>
      <sheetName val="Income-tax"/>
      <sheetName val="Sheet1"/>
      <sheetName val="Delhi"/>
      <sheetName val="EXPENSES"/>
      <sheetName val="15th April RWFC"/>
      <sheetName val="ORIGINAL"/>
      <sheetName val="Form 16"/>
      <sheetName val="INDORAMA Group June 02"/>
      <sheetName val="Comp"/>
      <sheetName val="RMMBSTD200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co of Additions"/>
      <sheetName val="Additions"/>
      <sheetName val="RECO SALE  SchD (2)"/>
      <sheetName val="Deletions"/>
      <sheetName val="TrialBal"/>
      <sheetName val="Sept 06"/>
      <sheetName val="Schedule"/>
      <sheetName val="O Equip."/>
      <sheetName val="DPE"/>
      <sheetName val="F &amp; F PY"/>
      <sheetName val="deb"/>
      <sheetName val="Form 3CD"/>
      <sheetName val="Annexure - I"/>
      <sheetName val="A"/>
      <sheetName val="B"/>
      <sheetName val="C"/>
      <sheetName val="D"/>
      <sheetName val="E"/>
      <sheetName val="E-1"/>
      <sheetName val="E-2"/>
      <sheetName val="F"/>
      <sheetName val="G"/>
      <sheetName val="H"/>
      <sheetName val="I"/>
      <sheetName val="J"/>
      <sheetName val="Company"/>
      <sheetName val="ORIGINAL"/>
      <sheetName val="TOC"/>
      <sheetName val="Instructions"/>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Section"/>
      <sheetName val="FA Schedule Dec 07"/>
      <sheetName val="xSeries255"/>
      <sheetName val="Input"/>
      <sheetName val="GL"/>
      <sheetName val="ecc_res"/>
      <sheetName val="Worksheet in   FA IT March-2006"/>
      <sheetName val="Sheet1"/>
      <sheetName val="XL4Poppy"/>
      <sheetName val="OCT"/>
      <sheetName val="Assumptions"/>
      <sheetName val="Civil Boq"/>
      <sheetName val="factor"/>
      <sheetName val="현금흐름표"/>
      <sheetName val="DET0900"/>
      <sheetName val="Schedule 2005-2006"/>
      <sheetName val="Rent Logic test"/>
      <sheetName val="Amenities Logic Test"/>
      <sheetName val="blockwise"/>
      <sheetName val="ANNE1"/>
      <sheetName val="ANNE2"/>
      <sheetName val="x-rate"/>
      <sheetName val="Balancesheet"/>
      <sheetName val="PRECAST lightconc-II"/>
      <sheetName val="業種小分類"/>
      <sheetName val="業種大分類"/>
      <sheetName val="その他"/>
      <sheetName val="全体"/>
      <sheetName val="Future Weighted Income"/>
      <sheetName val="Names Links"/>
      <sheetName val="BANKINT"/>
      <sheetName val="COMPLEXALL"/>
      <sheetName val="SCH 10"/>
      <sheetName val="Sheet8"/>
      <sheetName val="Gratuity and LE walk 2012"/>
      <sheetName val="XLR_NoRangeSheet"/>
      <sheetName val="Control"/>
      <sheetName val="Determination of Threshold"/>
      <sheetName val="Ref"/>
      <sheetName val="Links"/>
      <sheetName val="Lists"/>
      <sheetName val="Workings"/>
      <sheetName val="COMPUTATION"/>
      <sheetName val="Cost-Dist"/>
      <sheetName val="JE"/>
      <sheetName val="Xrate"/>
      <sheetName val="worksheet"/>
      <sheetName val="#REF!"/>
      <sheetName val="Min_98"/>
      <sheetName val="Sub group code &amp; Name"/>
      <sheetName val="Inventory Count Sheet "/>
      <sheetName val="Config"/>
      <sheetName val="Daily Revenue"/>
      <sheetName val="ASSETMST"/>
      <sheetName val="B S-31-3-2006"/>
      <sheetName val="2.3.1"/>
      <sheetName val="2.6&amp;2.6.1"/>
      <sheetName val="2.13&amp;2.14"/>
      <sheetName val="RBI-Annexure 1"/>
      <sheetName val="2.3.6_2.3.7"/>
      <sheetName val="2.7 &amp; 2.7.1"/>
      <sheetName val="2.8_2.9_2.10"/>
      <sheetName val="Params"/>
      <sheetName val="CF"/>
      <sheetName val="FOREX"/>
      <sheetName val="Salden"/>
      <sheetName val="P&amp;L-BDMC"/>
      <sheetName val="BGBVBPBASIA3"/>
      <sheetName val="#REF"/>
    </sheetNames>
    <sheetDataSet>
      <sheetData sheetId="0" refreshError="1">
        <row r="31">
          <cell r="E31">
            <v>315000</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
      <sheetName val="Tickmarks"/>
      <sheetName val="Scope"/>
      <sheetName val="XREF"/>
      <sheetName val="QTY. PROV.LAB"/>
      <sheetName val="PGW-ACCOUNTS"/>
      <sheetName val="XL4Poppy"/>
      <sheetName val="Additions"/>
      <sheetName val="Summary"/>
      <sheetName val="BL12C00054- CN"/>
      <sheetName val="BL12C00054 - LVR MCX"/>
      <sheetName val="MCX"/>
      <sheetName val="KO00C00084-CN"/>
      <sheetName val="KO00C00084-LVR NCDX"/>
      <sheetName val=".1 Computation"/>
      <sheetName val=".2 Business Inc"/>
      <sheetName val="xSeries255"/>
      <sheetName val="3.Summary"/>
      <sheetName val="TAB 1"/>
      <sheetName val="2.Control Sheet"/>
      <sheetName val="Summary-TDS"/>
      <sheetName val="Int on STDeposit"/>
      <sheetName val="SCH4 to 6"/>
      <sheetName val="PL"/>
      <sheetName val="Sch - 13"/>
      <sheetName val="Sch 10 to 12"/>
      <sheetName val="B S"/>
      <sheetName val="SCH 7 to 9"/>
      <sheetName val="SC1,2"/>
      <sheetName val="Lead Sheet"/>
      <sheetName val="Company"/>
      <sheetName val="5.Crs. TB"/>
      <sheetName val="Current tax"/>
      <sheetName val="Seide Customer wise "/>
      <sheetName val="Filati Customer wise"/>
      <sheetName val="Consl LS"/>
      <sheetName val="Reco"/>
      <sheetName val="Seide LS"/>
      <sheetName val="Filati LS"/>
      <sheetName val="Goa-Reco"/>
      <sheetName val="Daman-PF Reco"/>
      <sheetName val="Pet-Reco"/>
      <sheetName val="Goa &amp; Pet-PF Reco"/>
      <sheetName val="Goa-Payroll ARP"/>
      <sheetName val="Data"/>
      <sheetName val="Gratuity and LE walk 2012"/>
      <sheetName val="Mapping table"/>
      <sheetName val="Lead"/>
      <sheetName val="Cash flow details"/>
      <sheetName val="Détails plans d'actions"/>
      <sheetName val="Invest"/>
      <sheetName val="PNL"/>
      <sheetName val="factor"/>
      <sheetName val="A"/>
      <sheetName val="Prepaid expenses"/>
      <sheetName val="Intro"/>
      <sheetName val="현금흐름표"/>
      <sheetName val="WDV Workings"/>
      <sheetName val="Expense asumptions"/>
      <sheetName val="Opinion"/>
      <sheetName val="List of Vendors"/>
      <sheetName val="XLR_NoRangeSheet"/>
      <sheetName val="Xrat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Detailed dep sch"/>
      <sheetName val="XREF"/>
      <sheetName val="Tickmarks"/>
      <sheetName val="Global Assmptions"/>
      <sheetName val="Monthly Variance Sheet"/>
      <sheetName val="Inter unit set off"/>
      <sheetName val="factor"/>
      <sheetName val="Ref"/>
      <sheetName val="Balance sheet DCCDL Nov 06"/>
      <sheetName val="Trial Balance"/>
      <sheetName val="Sheet1"/>
      <sheetName val="V_Assum"/>
      <sheetName val="Deferredtax"/>
      <sheetName val="Names Links"/>
      <sheetName val="XLR_NoRangeSheet"/>
      <sheetName val="Interest on secured Loans"/>
      <sheetName val="TL SBI"/>
      <sheetName val="DDB Summary wrking"/>
      <sheetName val="LOC 100cr ILFS"/>
      <sheetName val="Final FA_Schedule"/>
      <sheetName val="xSeries255"/>
      <sheetName val="FORM-16"/>
      <sheetName val="Exhibit -3 FA"/>
      <sheetName val="NSR_E"/>
      <sheetName val="TOT_COST"/>
      <sheetName val="mdd &amp; co Fdr jan.02 "/>
      <sheetName val="Net Entry"/>
      <sheetName val="Computer &amp; Software"/>
      <sheetName val="Furniture &amp; Fixture"/>
      <sheetName val="Leasehold Improvements"/>
      <sheetName val="Office Equipments"/>
      <sheetName val="Summary"/>
      <sheetName val="Additions"/>
      <sheetName val="GL Codes"/>
      <sheetName val="GM &amp; TA"/>
      <sheetName val="PL"/>
      <sheetName val="input"/>
      <sheetName val="ADD05-06APR-SEP"/>
      <sheetName val="FA Register_Detailed "/>
      <sheetName val="Ex VI"/>
      <sheetName val="Inventory Count Sheet "/>
      <sheetName val="F. assets Breakup"/>
      <sheetName val="RPT 11-VOLUME BY BRANDS"/>
      <sheetName val="Lead"/>
      <sheetName val="AN-2K"/>
      <sheetName val="worksheet"/>
      <sheetName val="BS, PL, Sch 5 to 9"/>
      <sheetName val="tables"/>
      <sheetName val="CURRENCY"/>
      <sheetName val="Worksheet in 5641A Fixed Assets"/>
      <sheetName val="NW RTU"/>
      <sheetName val="Edit(01)"/>
      <sheetName val="Controls"/>
      <sheetName val="hdnSheet"/>
      <sheetName val="ridgewood"/>
      <sheetName val="Assumption Sheet"/>
      <sheetName val="Results PL"/>
      <sheetName val="WDV Workings"/>
      <sheetName val="Power &amp; Fuel (S)"/>
      <sheetName val="Order Intake"/>
      <sheetName val="NOA Quaterly Data"/>
      <sheetName val="BSNL services"/>
      <sheetName val="Leashold Exb2"/>
      <sheetName val="Exhibit 4 Working"/>
      <sheetName val="Office Equpiment Exb2"/>
      <sheetName val=" Computer  Exb 2"/>
      <sheetName val="Deletion - Exhibit 2-Office Eq"/>
      <sheetName val="Assumptions"/>
      <sheetName val="Professional"/>
      <sheetName val="rent"/>
      <sheetName val="Links"/>
      <sheetName val="대외공문"/>
      <sheetName val="LampCord-2003"/>
      <sheetName val="BST"/>
      <sheetName val="3359867127"/>
      <sheetName val="Option Modification"/>
      <sheetName val="wordsdata"/>
      <sheetName val="PRECAST lightconc-II"/>
      <sheetName val="RateAnalysis"/>
      <sheetName val="TL CDR IL&amp;FS"/>
      <sheetName val="TL JKB"/>
      <sheetName val="TL LIC"/>
      <sheetName val="TL SBH"/>
      <sheetName val="NCD IL&amp;FS"/>
      <sheetName val="TL BOB"/>
      <sheetName val="TL CBI"/>
      <sheetName val="TL IDBI"/>
      <sheetName val="TL IL&amp;FS"/>
      <sheetName val="MarketData"/>
      <sheetName val="Definitions"/>
      <sheetName val="Sensitivity"/>
      <sheetName val="Civil Boq"/>
      <sheetName val="Monthly variance"/>
      <sheetName val="STIPEND"/>
      <sheetName val="DJ1"/>
      <sheetName val="Words"/>
      <sheetName val="Analytical 31 March 2007"/>
      <sheetName val="Company"/>
      <sheetName val="Sheet2"/>
      <sheetName val="９５期投審ベース投資"/>
      <sheetName val="2002"/>
      <sheetName val="Page1"/>
      <sheetName val="M+MC"/>
      <sheetName val="Int on STDeposit"/>
      <sheetName val="Ageing Down payment vendor"/>
      <sheetName val="YR 2004 - Firm "/>
      <sheetName val="ASSETMST"/>
      <sheetName val="Commerica"/>
      <sheetName val="Adjustments"/>
      <sheetName val="CABLE DATA"/>
      <sheetName val="Break up Sheet"/>
      <sheetName val="Labor abs-NMR"/>
      <sheetName val="Do not delete - Lists"/>
      <sheetName val="Intro"/>
      <sheetName val="P&amp;L BV"/>
      <sheetName val="TELES"/>
      <sheetName val="2A"/>
      <sheetName val="2000-01"/>
      <sheetName val="Intaccrual"/>
      <sheetName val="暂估材料"/>
      <sheetName val="Summary_Bank"/>
      <sheetName val="final abstract"/>
      <sheetName val="SBU"/>
      <sheetName val="hidnSheetNew"/>
      <sheetName val="Main-Material"/>
      <sheetName val="FIRC"/>
      <sheetName val="IO LIST"/>
      <sheetName val="CF"/>
      <sheetName val="TOC"/>
      <sheetName val="FA Schedule"/>
      <sheetName val="Analytical"/>
      <sheetName val="Rate analysis 1"/>
      <sheetName val="Instructions"/>
      <sheetName val="PopCache"/>
      <sheetName val="Trial Balance for Schedules"/>
      <sheetName val="est"/>
      <sheetName val="MB.Prod"/>
      <sheetName val="MASTER - MARCH"/>
      <sheetName val="MainSheet"/>
      <sheetName val="Balance sheet"/>
      <sheetName val="Micro"/>
      <sheetName val="Macro"/>
      <sheetName val="Scaff-Rose"/>
      <sheetName val="XCharge"/>
      <sheetName val="Manpower Payment schedule"/>
      <sheetName val="2. Equity"/>
      <sheetName val="4. Corporate"/>
      <sheetName val="5. Panna"/>
      <sheetName val="6. Mahua Kothi"/>
      <sheetName val="7. Pench"/>
      <sheetName val="8. Kanha"/>
      <sheetName val="1. FA Schedule"/>
      <sheetName val="5"/>
      <sheetName val="Quadband"/>
      <sheetName val="XL4Poppy"/>
      <sheetName val="Assumption"/>
      <sheetName val="決算出日"/>
      <sheetName val="BS"/>
      <sheetName val="Cashflow working"/>
      <sheetName val="enums"/>
      <sheetName val="data"/>
      <sheetName val="Trial"/>
      <sheetName val="Input Form"/>
      <sheetName val="mecon-summary"/>
      <sheetName val="FA TB 28-2-2006"/>
      <sheetName val="PnL"/>
      <sheetName val="QTY. PROV.LAB"/>
      <sheetName val="Look up Category"/>
      <sheetName val="Schedules 1-15 (BIW)"/>
      <sheetName val="Schedules 16-22 (BIW)"/>
      <sheetName val="Quote Sheet"/>
      <sheetName val="Final Bill of Material"/>
      <sheetName val="3. Elemental Summary"/>
      <sheetName val="3"/>
      <sheetName val="Material "/>
      <sheetName val="Budget_CF - Overall"/>
      <sheetName val="Cash Flow Working"/>
      <sheetName val="Summary_CFA"/>
      <sheetName val="b. Sensitivity Analysis"/>
      <sheetName val="Summary year Plan"/>
      <sheetName val="SBI(Siliguri)"/>
      <sheetName val="Performance Report"/>
      <sheetName val="YTD"/>
      <sheetName val="Factor_sheet"/>
      <sheetName val="#REF"/>
      <sheetName val="98ordbkg"/>
      <sheetName val="U-4_Investments &amp; FD"/>
      <sheetName val="기계내역서"/>
      <sheetName val="analysis"/>
      <sheetName val="510003 total"/>
      <sheetName val="1 - A (Narrative)"/>
      <sheetName val="RA-markate"/>
      <sheetName val="Staff Forecast spread"/>
      <sheetName val="CFS"/>
      <sheetName val="FA Sch"/>
      <sheetName val="S tax cenvat"/>
      <sheetName val="Down payment vendor"/>
      <sheetName val="Provident Fund Payment "/>
      <sheetName val="Table 5"/>
      <sheetName val="IS Mo"/>
      <sheetName val="SALES"/>
      <sheetName val="List"/>
      <sheetName val="Arch"/>
      <sheetName val="BFS"/>
      <sheetName val="9"/>
      <sheetName val="Calc"/>
      <sheetName val="Abstract"/>
      <sheetName val="GRSummary"/>
      <sheetName val="w_dn_idd"/>
      <sheetName val="Labor bill - Shuttering"/>
      <sheetName val="w't table"/>
      <sheetName val="Database"/>
      <sheetName val="schedule nos"/>
      <sheetName val="analysis-superstructure"/>
      <sheetName val="Unit Rate"/>
      <sheetName val="Set"/>
      <sheetName val="BLOCK-A (MEA.SHEET)"/>
      <sheetName val="pt-cw"/>
      <sheetName val="Material Rate"/>
      <sheetName val="BOQ"/>
      <sheetName val="Detail"/>
      <sheetName val="Name Lists"/>
      <sheetName val="CASHFLOWS"/>
      <sheetName val="Data (adj."/>
      <sheetName val="Sheet3"/>
      <sheetName val="two way-1"/>
      <sheetName val="ICO_budzet_97"/>
      <sheetName val="SCHEDULE"/>
      <sheetName val="Base Data - Permanent Material"/>
      <sheetName val="Option"/>
      <sheetName val="Names"/>
      <sheetName val="Register"/>
      <sheetName val="SOF Alternative Offer"/>
      <sheetName val="PROJECT BRIEF(EX.NEW)"/>
      <sheetName val="Data sheet"/>
      <sheetName val="rates"/>
      <sheetName val="Contents"/>
      <sheetName val="VENDOR LIST"/>
      <sheetName val="WORD"/>
      <sheetName val="Details"/>
      <sheetName val="Project Data"/>
      <sheetName val="Trial Bal "/>
      <sheetName val="Base width"/>
      <sheetName val="CCNs"/>
      <sheetName val="URA"/>
      <sheetName val="Notes"/>
      <sheetName val="BQ"/>
      <sheetName val="cover page"/>
      <sheetName val="T&amp;M"/>
      <sheetName val="Pile Schedule_R2"/>
      <sheetName val="Superstruc"/>
      <sheetName val="Project Brief"/>
      <sheetName val="FF-6"/>
      <sheetName val="rc01"/>
      <sheetName val="Basis"/>
      <sheetName val="FIN-QTY"/>
      <sheetName val="UAE_Holidays"/>
      <sheetName val="Currencies"/>
      <sheetName val="COMPLEXALL"/>
      <sheetName val="A.O.R."/>
      <sheetName val="Materials Cost(PCC)"/>
      <sheetName val="Support"/>
      <sheetName val="FA Final Schedule"/>
      <sheetName val="FA register-copy"/>
      <sheetName val="Retirals"/>
      <sheetName val="Reco-updated"/>
      <sheetName val="Fixed asset register"/>
      <sheetName val="Add. vehicle"/>
      <sheetName val="Add-Pl. &amp; Mach"/>
      <sheetName val="Add-Off Eqp"/>
      <sheetName val="ADD-Comp"/>
      <sheetName val="ADD-Furn."/>
      <sheetName val="FNDWRR (2)"/>
      <sheetName val="changes"/>
      <sheetName val="Fact.Equip."/>
      <sheetName val="ORIGINAL"/>
      <sheetName val="TB 2003"/>
      <sheetName val="Leadsheet"/>
      <sheetName val="Lists"/>
      <sheetName val="19 to 23"/>
      <sheetName val="12 to 18"/>
      <sheetName val="4 to 10"/>
      <sheetName val="26 to 29"/>
      <sheetName val="31to32"/>
      <sheetName val="30"/>
      <sheetName val="24to26"/>
      <sheetName val="Sub Lead"/>
      <sheetName val="Lead Sheet"/>
      <sheetName val="Target Master"/>
      <sheetName val="finalised"/>
      <sheetName val="Borrowing"/>
      <sheetName val="Share Application Money"/>
      <sheetName val="Tdep(old)"/>
      <sheetName val="Fixed Assets Schedule"/>
      <sheetName val="Monthly Break Up"/>
      <sheetName val="3558"/>
      <sheetName val="Weekly Rates"/>
      <sheetName val=""/>
      <sheetName val="Mapping table"/>
      <sheetName val="M00100"/>
      <sheetName val="1.Civil"/>
      <sheetName val="Reference"/>
      <sheetName val="Staff"/>
      <sheetName val="Ward areas"/>
      <sheetName val="THK"/>
      <sheetName val="Wag&amp;Sal"/>
      <sheetName val="Unit cost- Drain-Protection-2"/>
      <sheetName val="SEW4"/>
      <sheetName val="1"/>
      <sheetName val="Ins &amp; Bonds"/>
      <sheetName val="GS"/>
      <sheetName val="Detailed_dep_sch"/>
      <sheetName val="GM_&amp;_TA"/>
      <sheetName val="PRECAST_lightconc-II"/>
      <sheetName val="Inter_unit_set_off"/>
      <sheetName val="Civil_Boq"/>
      <sheetName val="Balance_sheet_DCCDL_Nov_06"/>
      <sheetName val="Trial_Balance"/>
      <sheetName val="Global_Assmptions"/>
      <sheetName val="Labor_abs-NMR"/>
      <sheetName val="CABLE_DATA"/>
      <sheetName val="Balance_Sheet"/>
      <sheetName val="Data_sheet"/>
      <sheetName val="PROJECT_BRIEF(EX_NEW)"/>
      <sheetName val="Break_up_Sheet"/>
      <sheetName val="w't_table"/>
      <sheetName val="LHE"/>
      <sheetName val="Parameters"/>
      <sheetName val="102 apr mar"/>
      <sheetName val="REV (Attra-QTC)"/>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XREF"/>
      <sheetName val="Consolidated"/>
      <sheetName val="WDV Workings"/>
      <sheetName val="Breakup Value Working"/>
      <sheetName val="Inventory Count Sheet "/>
      <sheetName val="현금흐름표"/>
      <sheetName val="Base file"/>
      <sheetName val="lookup"/>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Control Sheet"/>
      <sheetName val="TAB 1"/>
      <sheetName val="TAB 2"/>
      <sheetName val="TAB 3"/>
      <sheetName val="TAB 4"/>
      <sheetName val="TAB 5"/>
      <sheetName val="TAB 6"/>
      <sheetName val="TAB 7"/>
      <sheetName val="TAB 8"/>
      <sheetName val="TAB 9"/>
      <sheetName val="TAB 10"/>
      <sheetName val="TAB 11"/>
      <sheetName val="TAB 12"/>
      <sheetName val="TAB 13"/>
      <sheetName val="TAB 14"/>
      <sheetName val="TAB 15"/>
      <sheetName val="TAB 16"/>
      <sheetName val="TAB 17"/>
      <sheetName val="TAB 18"/>
      <sheetName val="19. Decentralised Sites"/>
      <sheetName val="Tickmarks"/>
      <sheetName val="TAB 19"/>
      <sheetName val="TAB 20"/>
      <sheetName val="TAB 21"/>
      <sheetName val="TAB 22"/>
      <sheetName val="TAB 23"/>
      <sheetName val="Decentralised Sites"/>
      <sheetName val="XREF"/>
      <sheetName val="20. Listing"/>
      <sheetName val="P &amp; l"/>
      <sheetName val="Inventory Count Sheet "/>
      <sheetName val="wip FG"/>
      <sheetName val="pa-mtly"/>
      <sheetName val="Links"/>
      <sheetName val="Lead"/>
      <sheetName val="Commerica"/>
      <sheetName val="Power &amp; Fuel (S)"/>
      <sheetName val="FA Schedule"/>
      <sheetName val="Analytical"/>
      <sheetName val="Additions"/>
      <sheetName val="SCH4 to 6"/>
      <sheetName val="PL"/>
      <sheetName val="Sch - 13"/>
      <sheetName val="Sch 10 to 12"/>
      <sheetName val="B S"/>
      <sheetName val="SCH 7 to 9"/>
      <sheetName val="SC1,2"/>
      <sheetName val="Company"/>
      <sheetName val="TopSheet"/>
      <sheetName val="Resignation"/>
      <sheetName val="Int on STDeposit"/>
      <sheetName val="GL"/>
      <sheetName val="ecc_res"/>
      <sheetName val="Seide Customer wise "/>
      <sheetName val="Filati Customer wise"/>
      <sheetName val="Consl LS"/>
      <sheetName val="Seide LS"/>
      <sheetName val="Filati LS"/>
      <sheetName val="gratuity expense"/>
      <sheetName val="PF ARP"/>
      <sheetName val="ESIC ARP"/>
      <sheetName val="leave salary- expense"/>
      <sheetName val="Lead Sheet"/>
      <sheetName val="SCH 10"/>
      <sheetName val="Sheet1"/>
      <sheetName val="Cash Flow Statement in millions"/>
      <sheetName val="Monthly Variance Sheet"/>
      <sheetName val="WS 8C"/>
      <sheetName val="WS 8B"/>
      <sheetName val="xSeries255"/>
      <sheetName val="Cash Flow Statement"/>
      <sheetName val="Instructions"/>
      <sheetName val="Balance Sheet"/>
      <sheetName val="P&amp;L"/>
      <sheetName val="Schedule"/>
      <sheetName val="Top Sheet"/>
      <sheetName val="Adjustments"/>
      <sheetName val="encl to 21(ii)(B)"/>
      <sheetName val="WDV Workings"/>
      <sheetName val="Option Modification"/>
      <sheetName val="Price Testing - Used - 1"/>
      <sheetName val="Title"/>
      <sheetName val="Summary"/>
      <sheetName val="factor"/>
      <sheetName val="MASTER"/>
      <sheetName val="Adv towards Equity"/>
      <sheetName val="1__Instructions"/>
      <sheetName val="2_Control_Sheet"/>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TAB_18"/>
      <sheetName val="19__Decentralised_Sites"/>
      <sheetName val="TAB_19"/>
      <sheetName val="TAB_20"/>
      <sheetName val="TAB_21"/>
      <sheetName val="TAB_22"/>
      <sheetName val="TAB_23"/>
      <sheetName val="Decentralised_Sites"/>
      <sheetName val="20__Listing"/>
      <sheetName val="P_&amp;_l"/>
      <sheetName val="Inventory_Count_Sheet_"/>
      <sheetName val="wip_FG"/>
      <sheetName val="Power_&amp;_Fuel_(S)"/>
      <sheetName val="FA_Schedule"/>
      <sheetName val="Cash_Flow_Statement_in_millions"/>
      <sheetName val="Service Tax payable"/>
      <sheetName val="PT II"/>
      <sheetName val="P.F."/>
      <sheetName val="Consolidated"/>
      <sheetName val="Data"/>
      <sheetName val="Assmp_Ahmd"/>
      <sheetName val="Assmp_Bang"/>
      <sheetName val="Assmp_Baroda"/>
      <sheetName val="Assmp_Chennai"/>
      <sheetName val="Assmp_Gurgaon"/>
      <sheetName val="Assmp_Hybd"/>
      <sheetName val="Assmp_Mumbai"/>
      <sheetName val="Assmp_NCR"/>
      <sheetName val="Assmp_Pune"/>
      <sheetName val="Assmp_Surat"/>
      <sheetName val="Assmp_Vizag"/>
      <sheetName val="Leasehold mprovements"/>
      <sheetName val="Final Accounts"/>
      <sheetName val="PlantControl"/>
      <sheetName val="Tax Provision"/>
      <sheetName val="Cash Flow Statement in mln"/>
      <sheetName val="Trial Balance - MARCH 2006"/>
      <sheetName val="Tax Details"/>
      <sheetName val="FA Register_Detailed "/>
      <sheetName val="INTER"/>
      <sheetName val="5.Crs. TB"/>
      <sheetName val="DCF"/>
      <sheetName val="CF"/>
      <sheetName val="Modality"/>
      <sheetName val="worksheet"/>
      <sheetName val="Ann VII"/>
      <sheetName val="Ann VIII"/>
      <sheetName val="Assumptions"/>
      <sheetName val="1612.01AL - INT AM&amp;NIEP"/>
      <sheetName val="Rate Reco"/>
      <sheetName val="Final Schedule"/>
      <sheetName val="Rel party"/>
      <sheetName val="Provision for Tax"/>
      <sheetName val="ADVANCE EQUITY"/>
      <sheetName val="Balance_Sheet"/>
      <sheetName val="lead_sheet"/>
      <sheetName val="Top_Sheet"/>
      <sheetName val="SCH4_to_6"/>
      <sheetName val="Sch_-_13"/>
      <sheetName val="Sch_10_to_12"/>
      <sheetName val="B_S"/>
      <sheetName val="SCH_7_to_9"/>
      <sheetName val="Int_on_STDeposit"/>
      <sheetName val="PT_II"/>
      <sheetName val="P_F_"/>
      <sheetName val="Seide_Customer_wise_"/>
      <sheetName val="Filati_Customer_wise"/>
      <sheetName val="Consl_LS"/>
      <sheetName val="Seide_LS"/>
      <sheetName val="Filati_LS"/>
      <sheetName val="gratuity_expense"/>
      <sheetName val="PF_ARP"/>
      <sheetName val="ESIC_ARP"/>
      <sheetName val="leave_salary-_expense"/>
      <sheetName val="SCH_10"/>
      <sheetName val="Monthly_Variance_Sheet"/>
      <sheetName val="5-F-PAR"/>
      <sheetName val=".7 Others"/>
      <sheetName val="Page 2"/>
      <sheetName val="SCHD_WR"/>
      <sheetName val="DJ1"/>
      <sheetName val="2.1. Claimed Not Ack as debts"/>
      <sheetName val="2.2. Unitech Contingent"/>
      <sheetName val="2.4. Service Tax Contingent"/>
      <sheetName val="6. Auditor Payment"/>
      <sheetName val="7. Pauling Joint Venture"/>
      <sheetName val="8. Non Provision"/>
      <sheetName val="5. MR"/>
      <sheetName val="31. EPS"/>
      <sheetName val="13. Finance Lease"/>
      <sheetName val="18. Earnings"/>
      <sheetName val="data.exp"/>
      <sheetName val="SIEVE"/>
      <sheetName val="BS"/>
      <sheetName val="P L "/>
      <sheetName val="AS21SchE - 9M0708"/>
      <sheetName val="tables"/>
      <sheetName val="ASSETMST"/>
      <sheetName val="List"/>
      <sheetName val="workingnotesof80hhc"/>
      <sheetName val="Cash flow details"/>
      <sheetName val="9-13"/>
      <sheetName val="14-15"/>
      <sheetName val="5-8"/>
      <sheetName val="Intelenet"/>
      <sheetName val="Leadsheet"/>
      <sheetName val="Martyn A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Testing of Crs."/>
      <sheetName val="3. Breakup"/>
      <sheetName val="4.CMA"/>
      <sheetName val="5.Crs. TB"/>
      <sheetName val="6. Confirmation"/>
      <sheetName val="7.Dr balance"/>
      <sheetName val="8. TB-Control chart"/>
      <sheetName val="9. Artist TB"/>
      <sheetName val="10. cameramen TB"/>
      <sheetName val="11. contract emp TB"/>
      <sheetName val="12. control accounts TB"/>
      <sheetName val="13. directors TB"/>
      <sheetName val="14. employee TB"/>
      <sheetName val="15. loc hire TB"/>
      <sheetName val="16. rent TB"/>
      <sheetName val="17. technicians TB"/>
      <sheetName val="18. telecasting fess TB"/>
      <sheetName val="19. Purchases TB"/>
      <sheetName val="20. Films TB"/>
      <sheetName val="XREF"/>
      <sheetName val="Tickmarks"/>
      <sheetName val="2.1. Claimed Not Ack as debts"/>
      <sheetName val="2.2. Unitech Contingent"/>
      <sheetName val="2.4. Service Tax Contingent"/>
      <sheetName val="6. Auditor Payment"/>
      <sheetName val="7. Pauling Joint Venture"/>
      <sheetName val="8. Non Provision"/>
      <sheetName val="5. MR"/>
      <sheetName val="31. EPS"/>
      <sheetName val="13. Finance Lease"/>
      <sheetName val="18. Earnings"/>
      <sheetName val="Inventory Count Sheet "/>
      <sheetName val="HBI NCD"/>
      <sheetName val="6120 Creditors Analysis workboo"/>
      <sheetName val="1__Instructions"/>
      <sheetName val="2_Testing_of_Crs_"/>
      <sheetName val="3__Breakup"/>
      <sheetName val="4_CMA"/>
      <sheetName val="5_Crs__TB"/>
      <sheetName val="6__Confirmation"/>
      <sheetName val="7_Dr_balance"/>
      <sheetName val="8__TB-Control_chart"/>
      <sheetName val="9__Artist_TB"/>
      <sheetName val="10__cameramen_TB"/>
      <sheetName val="11__contract_emp_TB"/>
      <sheetName val="12__control_accounts_TB"/>
      <sheetName val="13__directors_TB"/>
      <sheetName val="14__employee_TB"/>
      <sheetName val="15__loc_hire_TB"/>
      <sheetName val="16__rent_TB"/>
      <sheetName val="17__technicians_TB"/>
      <sheetName val="18__telecasting_fess_TB"/>
      <sheetName val="19__Purchases_TB"/>
      <sheetName val="20__Films_TB"/>
      <sheetName val="2_1__Claimed_Not_Ack_as_debts"/>
      <sheetName val="2_2__Unitech_Contingent"/>
      <sheetName val="2_4__Service_Tax_Contingent"/>
      <sheetName val="6__Auditor_Payment"/>
      <sheetName val="7__Pauling_Joint_Venture"/>
      <sheetName val="8__Non_Provision"/>
      <sheetName val="5__MR"/>
      <sheetName val="31__EPS"/>
      <sheetName val="13__Finance_Lease"/>
      <sheetName val="18__Earnings"/>
      <sheetName val="Inventory_Count_Sheet_"/>
      <sheetName val="6120_Creditors_Analysis_workboo"/>
      <sheetName val="HBI_NCD"/>
      <sheetName val="1__Instructions1"/>
      <sheetName val="2_Testing_of_Crs_1"/>
      <sheetName val="3__Breakup1"/>
      <sheetName val="4_CMA1"/>
      <sheetName val="5_Crs__TB1"/>
      <sheetName val="6__Confirmation1"/>
      <sheetName val="7_Dr_balance1"/>
      <sheetName val="8__TB-Control_chart1"/>
      <sheetName val="9__Artist_TB1"/>
      <sheetName val="10__cameramen_TB1"/>
      <sheetName val="11__contract_emp_TB1"/>
      <sheetName val="12__control_accounts_TB1"/>
      <sheetName val="13__directors_TB1"/>
      <sheetName val="14__employee_TB1"/>
      <sheetName val="15__loc_hire_TB1"/>
      <sheetName val="16__rent_TB1"/>
      <sheetName val="17__technicians_TB1"/>
      <sheetName val="18__telecasting_fess_TB1"/>
      <sheetName val="19__Purchases_TB1"/>
      <sheetName val="20__Films_TB1"/>
      <sheetName val="2_1__Claimed_Not_Ack_as_debts1"/>
      <sheetName val="2_2__Unitech_Contingent1"/>
      <sheetName val="2_4__Service_Tax_Contingent1"/>
      <sheetName val="6__Auditor_Payment1"/>
      <sheetName val="7__Pauling_Joint_Venture1"/>
      <sheetName val="8__Non_Provision1"/>
      <sheetName val="5__MR1"/>
      <sheetName val="31__EPS1"/>
      <sheetName val="13__Finance_Lease1"/>
      <sheetName val="18__Earnings1"/>
      <sheetName val="Inventory_Count_Sheet_1"/>
      <sheetName val="6120_Creditors_Analysis_workbo1"/>
      <sheetName val="HBI_NCD1"/>
      <sheetName val="1__Instructions2"/>
      <sheetName val="2_Testing_of_Crs_2"/>
      <sheetName val="3__Breakup2"/>
      <sheetName val="4_CMA2"/>
      <sheetName val="5_Crs__TB2"/>
      <sheetName val="6__Confirmation2"/>
      <sheetName val="7_Dr_balance2"/>
      <sheetName val="8__TB-Control_chart2"/>
      <sheetName val="9__Artist_TB2"/>
      <sheetName val="10__cameramen_TB2"/>
      <sheetName val="11__contract_emp_TB2"/>
      <sheetName val="12__control_accounts_TB2"/>
      <sheetName val="13__directors_TB2"/>
      <sheetName val="14__employee_TB2"/>
      <sheetName val="15__loc_hire_TB2"/>
      <sheetName val="16__rent_TB2"/>
      <sheetName val="17__technicians_TB2"/>
      <sheetName val="18__telecasting_fess_TB2"/>
      <sheetName val="19__Purchases_TB2"/>
      <sheetName val="20__Films_TB2"/>
      <sheetName val="2_1__Claimed_Not_Ack_as_debts2"/>
      <sheetName val="2_2__Unitech_Contingent2"/>
      <sheetName val="2_4__Service_Tax_Contingent2"/>
      <sheetName val="6__Auditor_Payment2"/>
      <sheetName val="7__Pauling_Joint_Venture2"/>
      <sheetName val="8__Non_Provision2"/>
      <sheetName val="5__MR2"/>
      <sheetName val="31__EPS2"/>
      <sheetName val="13__Finance_Lease2"/>
      <sheetName val="18__Earnings2"/>
      <sheetName val="Inventory_Count_Sheet_2"/>
      <sheetName val="6120_Creditors_Analysis_workbo2"/>
      <sheetName val="HBI_NCD2"/>
      <sheetName val="Proforma"/>
      <sheetName val="TAB 1"/>
      <sheetName val="2.Control Sheet"/>
      <sheetName val="dfrdtxtn"/>
      <sheetName val="SCH4 to 6"/>
      <sheetName val="PL"/>
      <sheetName val="Sch - 13"/>
      <sheetName val="Sch 10 to 12"/>
      <sheetName val="B S"/>
      <sheetName val="SCH 7 to 9"/>
      <sheetName val="SC1,2"/>
      <sheetName val="Sept 06"/>
      <sheetName val="3.Summary"/>
      <sheetName val="Current tax"/>
      <sheetName val="Deprn IT"/>
      <sheetName val="FCCB "/>
      <sheetName val="Breakup Value Working"/>
      <sheetName val="Lead"/>
      <sheetName val="DET0900"/>
      <sheetName val="Summary"/>
      <sheetName val="3. Summary Salary _Varience"/>
      <sheetName val="Fixed asset register"/>
      <sheetName val="DAVANGERE"/>
      <sheetName val="Cash flow details"/>
      <sheetName val="REFNCOMPARE"/>
      <sheetName val="Fruit - Year 2006"/>
      <sheetName val="Analytical"/>
      <sheetName val="Additions"/>
      <sheetName val="FA Schedule"/>
      <sheetName val="Accounts _22.05"/>
      <sheetName val="1__Instructions3"/>
      <sheetName val="2_Testing_of_Crs_3"/>
      <sheetName val="3__Breakup3"/>
      <sheetName val="4_CMA3"/>
      <sheetName val="5_Crs__TB3"/>
      <sheetName val="6__Confirmation3"/>
      <sheetName val="7_Dr_balance3"/>
      <sheetName val="8__TB-Control_chart3"/>
      <sheetName val="9__Artist_TB3"/>
      <sheetName val="10__cameramen_TB3"/>
      <sheetName val="11__contract_emp_TB3"/>
      <sheetName val="12__control_accounts_TB3"/>
      <sheetName val="13__directors_TB3"/>
      <sheetName val="14__employee_TB3"/>
      <sheetName val="15__loc_hire_TB3"/>
      <sheetName val="16__rent_TB3"/>
      <sheetName val="17__technicians_TB3"/>
      <sheetName val="18__telecasting_fess_TB3"/>
      <sheetName val="19__Purchases_TB3"/>
      <sheetName val="20__Films_TB3"/>
      <sheetName val="2_1__Claimed_Not_Ack_as_debts3"/>
      <sheetName val="2_2__Unitech_Contingent3"/>
      <sheetName val="2_4__Service_Tax_Contingent3"/>
      <sheetName val="6__Auditor_Payment3"/>
      <sheetName val="7__Pauling_Joint_Venture3"/>
      <sheetName val="8__Non_Provision3"/>
      <sheetName val="5__MR3"/>
      <sheetName val="31__EPS3"/>
      <sheetName val="13__Finance_Lease3"/>
      <sheetName val="18__Earnings3"/>
      <sheetName val="Inventory_Count_Sheet_3"/>
      <sheetName val="HBI_NCD3"/>
      <sheetName val="6120_Creditors_Analysis_workbo3"/>
      <sheetName val="TAB_1"/>
      <sheetName val="2_Control_Sheet"/>
      <sheetName val="Cash_flow_details"/>
      <sheetName val="Breakup_Value_Working"/>
      <sheetName val="Int on STDeposit"/>
      <sheetName val="FA Register_Detailed "/>
      <sheetName val="Consolidated"/>
      <sheetName val="ANNE1"/>
      <sheetName val="ANNE2"/>
      <sheetName val="SCH VIII"/>
      <sheetName val="Assumptions"/>
      <sheetName val="subsidary tranction"/>
      <sheetName val="Links"/>
      <sheetName val="12.Consolidated- TB-Mar'12"/>
      <sheetName val="31.12.04"/>
      <sheetName val="Material "/>
      <sheetName val="Parameter_sheet"/>
      <sheetName val="Schedule-Fixed assets "/>
      <sheetName val="P&amp;L"/>
      <sheetName val="Schedule"/>
      <sheetName val="Fixed Deposit"/>
      <sheetName val="SCH4_to_6"/>
      <sheetName val="Sch_-_13"/>
      <sheetName val="Sch_10_to_12"/>
      <sheetName val="B_S"/>
      <sheetName val="SCH_7_to_9"/>
      <sheetName val="Sept_06"/>
      <sheetName val="Current_tax"/>
      <sheetName val="Deprn_IT"/>
      <sheetName val="3_Summary"/>
      <sheetName val="Sheet1"/>
      <sheetName val="Cash Flow Statement in mln"/>
      <sheetName val="Top Sheet"/>
      <sheetName val="Commerica"/>
      <sheetName val="Trial Balance - MARCH 2006"/>
      <sheetName val="Reclass BS 11"/>
      <sheetName val="Reclass PL 11"/>
      <sheetName val="INDIVID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_SUM"/>
      <sheetName val="TERMLOANS "/>
      <sheetName val="UN_SECU.LOANS"/>
      <sheetName val="cur lia &amp; prov"/>
      <sheetName val="1611A.01 Overall Position (PBC)"/>
      <sheetName val="1611A.01a DHS op bal.-DUE"/>
      <sheetName val="1611A.01b DHS op bal - not due"/>
      <sheetName val="1611A.02 IDBI-FCL"/>
      <sheetName val="1611A.02a IDBI -FCL RATES comp "/>
      <sheetName val="1611A.03 IDBI_RTL"/>
      <sheetName val="1611A.03a IDBIRTL - Recomp DHS"/>
      <sheetName val="Summary ICICI - DHS"/>
      <sheetName val="icici fcl- dhs - "/>
      <sheetName val="1611A.04 ICICI-FCL"/>
      <sheetName val="icici con rtl - dhs"/>
      <sheetName val="1611A.05 ICICI conv.rtl"/>
      <sheetName val="icicifitl 30.09.04"/>
      <sheetName val="icici rtl - dhs"/>
      <sheetName val="ICICI_RTL"/>
      <sheetName val="icici stl - dhs"/>
      <sheetName val="icici- stl(niep)"/>
      <sheetName val="icici fitl"/>
      <sheetName val="IFCI_RTL"/>
      <sheetName val="IFCI-FCL"/>
      <sheetName val="IFCI_FITL"/>
      <sheetName val="lic"/>
      <sheetName val="oic rtl"/>
      <sheetName val="nic rtl "/>
      <sheetName val="nia rtl "/>
      <sheetName val="UII RTL"/>
      <sheetName val="gic rtl"/>
      <sheetName val="BANKS"/>
      <sheetName val="coffee-break"/>
      <sheetName val="libor"/>
      <sheetName val="oic rtl "/>
      <sheetName val="icici -fitl"/>
      <sheetName val="TOTAL INTT"/>
      <sheetName val="prov"/>
      <sheetName val="fitl -ifci dtl"/>
      <sheetName val="gic rtl paid 31_12_01"/>
      <sheetName val="gic rtl 31_12_01"/>
      <sheetName val="oic rtl apr'00"/>
      <sheetName val="oic rtl Mar'02 "/>
      <sheetName val="UII PAID 31.3.00"/>
      <sheetName val="repaid"/>
      <sheetName val="Sheet4"/>
      <sheetName val="edc reco"/>
      <sheetName val="Edc-reco"/>
      <sheetName val="Sheet1"/>
      <sheetName val="Sheet2"/>
      <sheetName val="Sheet3"/>
      <sheetName val="total- intt"/>
      <sheetName val="Intt accrued &amp; due "/>
      <sheetName val="intt accrued - not due"/>
      <sheetName val="total- intt (InstwISE)"/>
      <sheetName val="ICICI-FCL old"/>
      <sheetName val="conv.rtl (old)"/>
      <sheetName val="conv.rtl (22.10)"/>
      <sheetName val="NIEP-FCL"/>
      <sheetName val="aNALATICAL"/>
      <sheetName val="icici-reco"/>
      <sheetName val="icicifitl dhs (2)"/>
      <sheetName val="XREF"/>
      <sheetName val="Tickmarks"/>
      <sheetName val="TERMLOANS_"/>
      <sheetName val="UN_SECU_LOANS"/>
      <sheetName val="cur_lia_&amp;_prov"/>
      <sheetName val="1611A_01_Overall_Position_(PBC)"/>
      <sheetName val="1611A_01a_DHS_op_bal_-DUE"/>
      <sheetName val="1611A_01b_DHS_op_bal_-_not_due"/>
      <sheetName val="1611A_02_IDBI-FCL"/>
      <sheetName val="1611A_02a_IDBI_-FCL_RATES_comp_"/>
      <sheetName val="1611A_03_IDBI_RTL"/>
      <sheetName val="1611A_03a_IDBIRTL_-_Recomp_DHS"/>
      <sheetName val="Summary_ICICI_-_DHS"/>
      <sheetName val="icici_fcl-_dhs_-_"/>
      <sheetName val="1611A_04_ICICI-FCL"/>
      <sheetName val="icici_con_rtl_-_dhs"/>
      <sheetName val="1611A_05_ICICI_conv_rtl"/>
      <sheetName val="icicifitl_30_09_04"/>
      <sheetName val="icici_rtl_-_dhs"/>
      <sheetName val="icici_stl_-_dhs"/>
      <sheetName val="icici-_stl(niep)"/>
      <sheetName val="icici_fitl"/>
      <sheetName val="oic_rtl"/>
      <sheetName val="nic_rtl_"/>
      <sheetName val="nia_rtl_"/>
      <sheetName val="UII_RTL"/>
      <sheetName val="gic_rtl"/>
      <sheetName val="oic_rtl_"/>
      <sheetName val="icici_-fitl"/>
      <sheetName val="TOTAL_INTT"/>
      <sheetName val="fitl_-ifci_dtl"/>
      <sheetName val="gic_rtl_paid_31_12_01"/>
      <sheetName val="gic_rtl_31_12_01"/>
      <sheetName val="oic_rtl_apr'00"/>
      <sheetName val="oic_rtl_Mar'02_"/>
      <sheetName val="UII_PAID_31_3_00"/>
      <sheetName val="edc_reco"/>
      <sheetName val="total-_intt"/>
      <sheetName val="Intt_accrued_&amp;_due_"/>
      <sheetName val="intt_accrued_-_not_due"/>
      <sheetName val="total-_intt_(InstwISE)"/>
      <sheetName val="ICICI-FCL_old"/>
      <sheetName val="conv_rtl_(old)"/>
      <sheetName val="conv_rtl_(22_10)"/>
      <sheetName val="icicifitl_dhs_(2)"/>
      <sheetName val="SCH IV"/>
      <sheetName val="SCH VIII"/>
      <sheetName val="TERMLOANS_1"/>
      <sheetName val="UN_SECU_LOANS1"/>
      <sheetName val="cur_lia_&amp;_prov1"/>
      <sheetName val="1611A_01_Overall_Position_(PBC1"/>
      <sheetName val="1611A_01a_DHS_op_bal_-DUE1"/>
      <sheetName val="1611A_01b_DHS_op_bal_-_not_due1"/>
      <sheetName val="1611A_02_IDBI-FCL1"/>
      <sheetName val="1611A_02a_IDBI_-FCL_RATES_comp1"/>
      <sheetName val="1611A_03_IDBI_RTL1"/>
      <sheetName val="1611A_03a_IDBIRTL_-_Recomp_DHS1"/>
      <sheetName val="Summary_ICICI_-_DHS1"/>
      <sheetName val="icici_fcl-_dhs_-_1"/>
      <sheetName val="1611A_04_ICICI-FCL1"/>
      <sheetName val="icici_con_rtl_-_dhs1"/>
      <sheetName val="1611A_05_ICICI_conv_rtl1"/>
      <sheetName val="icicifitl_30_09_041"/>
      <sheetName val="icici_rtl_-_dhs1"/>
      <sheetName val="icici_stl_-_dhs1"/>
      <sheetName val="icici-_stl(niep)1"/>
      <sheetName val="icici_fitl1"/>
      <sheetName val="oic_rtl1"/>
      <sheetName val="nic_rtl_1"/>
      <sheetName val="nia_rtl_1"/>
      <sheetName val="UII_RTL1"/>
      <sheetName val="gic_rtl1"/>
      <sheetName val="oic_rtl_1"/>
      <sheetName val="icici_-fitl1"/>
      <sheetName val="TOTAL_INTT1"/>
      <sheetName val="fitl_-ifci_dtl1"/>
      <sheetName val="gic_rtl_paid_31_12_011"/>
      <sheetName val="gic_rtl_31_12_011"/>
      <sheetName val="oic_rtl_apr'001"/>
      <sheetName val="oic_rtl_Mar'02_1"/>
      <sheetName val="UII_PAID_31_3_001"/>
      <sheetName val="edc_reco1"/>
      <sheetName val="total-_intt1"/>
      <sheetName val="Intt_accrued_&amp;_due_1"/>
      <sheetName val="intt_accrued_-_not_due1"/>
      <sheetName val="total-_intt_(InstwISE)1"/>
      <sheetName val="ICICI-FCL_old1"/>
      <sheetName val="conv_rtl_(old)1"/>
      <sheetName val="conv_rtl_(22_10)1"/>
      <sheetName val="icicifitl_dhs_(2)1"/>
      <sheetName val="SCH_IV"/>
      <sheetName val="SCH_VIII"/>
      <sheetName val="TERMLOANS_2"/>
      <sheetName val="UN_SECU_LOANS2"/>
      <sheetName val="cur_lia_&amp;_prov2"/>
      <sheetName val="1611A_01_Overall_Position_(PBC2"/>
      <sheetName val="1611A_01a_DHS_op_bal_-DUE2"/>
      <sheetName val="1611A_01b_DHS_op_bal_-_not_due2"/>
      <sheetName val="1611A_02_IDBI-FCL2"/>
      <sheetName val="1611A_02a_IDBI_-FCL_RATES_comp2"/>
      <sheetName val="1611A_03_IDBI_RTL2"/>
      <sheetName val="1611A_03a_IDBIRTL_-_Recomp_DHS2"/>
      <sheetName val="Summary_ICICI_-_DHS2"/>
      <sheetName val="icici_fcl-_dhs_-_2"/>
      <sheetName val="1611A_04_ICICI-FCL2"/>
      <sheetName val="icici_con_rtl_-_dhs2"/>
      <sheetName val="1611A_05_ICICI_conv_rtl2"/>
      <sheetName val="icicifitl_30_09_042"/>
      <sheetName val="icici_rtl_-_dhs2"/>
      <sheetName val="icici_stl_-_dhs2"/>
      <sheetName val="icici-_stl(niep)2"/>
      <sheetName val="icici_fitl2"/>
      <sheetName val="oic_rtl2"/>
      <sheetName val="nic_rtl_2"/>
      <sheetName val="nia_rtl_2"/>
      <sheetName val="UII_RTL2"/>
      <sheetName val="gic_rtl2"/>
      <sheetName val="oic_rtl_2"/>
      <sheetName val="icici_-fitl2"/>
      <sheetName val="TOTAL_INTT2"/>
      <sheetName val="fitl_-ifci_dtl2"/>
      <sheetName val="gic_rtl_paid_31_12_012"/>
      <sheetName val="gic_rtl_31_12_012"/>
      <sheetName val="oic_rtl_apr'002"/>
      <sheetName val="oic_rtl_Mar'02_2"/>
      <sheetName val="UII_PAID_31_3_002"/>
      <sheetName val="edc_reco2"/>
      <sheetName val="total-_intt2"/>
      <sheetName val="Intt_accrued_&amp;_due_2"/>
      <sheetName val="intt_accrued_-_not_due2"/>
      <sheetName val="total-_intt_(InstwISE)2"/>
      <sheetName val="ICICI-FCL_old2"/>
      <sheetName val="conv_rtl_(old)2"/>
      <sheetName val="conv_rtl_(22_10)2"/>
      <sheetName val="icicifitl_dhs_(2)2"/>
      <sheetName val="SCH_IV1"/>
      <sheetName val="SCH_VIII1"/>
      <sheetName val="1612.01AL - INT AM&amp;NIEP"/>
      <sheetName val="Commerica"/>
      <sheetName val="Adjustments"/>
      <sheetName val="PGW"/>
      <sheetName val="1611A INTEREST ACCRUED ON LOANS"/>
      <sheetName val="TAB 1"/>
      <sheetName val="5.Crs. TB"/>
      <sheetName val="TERMLOANS_3"/>
      <sheetName val="UN_SECU_LOANS3"/>
      <sheetName val="cur_lia_&amp;_prov3"/>
      <sheetName val="1611A_01_Overall_Position_(PBC3"/>
      <sheetName val="1611A_01a_DHS_op_bal_-DUE3"/>
      <sheetName val="1611A_01b_DHS_op_bal_-_not_due3"/>
      <sheetName val="1611A_02_IDBI-FCL3"/>
      <sheetName val="1611A_02a_IDBI_-FCL_RATES_comp3"/>
      <sheetName val="1611A_03_IDBI_RTL3"/>
      <sheetName val="1611A_03a_IDBIRTL_-_Recomp_DHS3"/>
      <sheetName val="Summary_ICICI_-_DHS3"/>
      <sheetName val="icici_fcl-_dhs_-_3"/>
      <sheetName val="1611A_04_ICICI-FCL3"/>
      <sheetName val="icici_con_rtl_-_dhs3"/>
      <sheetName val="1611A_05_ICICI_conv_rtl3"/>
      <sheetName val="icicifitl_30_09_043"/>
      <sheetName val="icici_rtl_-_dhs3"/>
      <sheetName val="icici_stl_-_dhs3"/>
      <sheetName val="icici-_stl(niep)3"/>
      <sheetName val="icici_fitl3"/>
      <sheetName val="oic_rtl3"/>
      <sheetName val="nic_rtl_3"/>
      <sheetName val="nia_rtl_3"/>
      <sheetName val="UII_RTL3"/>
      <sheetName val="gic_rtl3"/>
      <sheetName val="oic_rtl_3"/>
      <sheetName val="icici_-fitl3"/>
      <sheetName val="TOTAL_INTT3"/>
      <sheetName val="fitl_-ifci_dtl3"/>
      <sheetName val="gic_rtl_paid_31_12_013"/>
      <sheetName val="gic_rtl_31_12_013"/>
      <sheetName val="oic_rtl_apr'003"/>
      <sheetName val="oic_rtl_Mar'02_3"/>
      <sheetName val="UII_PAID_31_3_003"/>
      <sheetName val="edc_reco3"/>
      <sheetName val="total-_intt3"/>
      <sheetName val="Intt_accrued_&amp;_due_3"/>
      <sheetName val="intt_accrued_-_not_due3"/>
      <sheetName val="total-_intt_(InstwISE)3"/>
      <sheetName val="ICICI-FCL_old3"/>
      <sheetName val="conv_rtl_(old)3"/>
      <sheetName val="conv_rtl_(22_10)3"/>
      <sheetName val="icicifitl_dhs_(2)3"/>
      <sheetName val="SCH_IV2"/>
      <sheetName val="SCH_VIII2"/>
      <sheetName val="1612_01AL_-_INT_AM&amp;NIEP"/>
      <sheetName val="1611A_INTEREST_ACCRUED_ON_LOANS"/>
      <sheetName val="Sheet3 (2)"/>
      <sheetName val="TERMLOANS_4"/>
      <sheetName val="UN_SECU_LOANS4"/>
      <sheetName val="cur_lia_&amp;_prov4"/>
      <sheetName val="1611A_01_Overall_Position_(PBC4"/>
      <sheetName val="1611A_01a_DHS_op_bal_-DUE4"/>
      <sheetName val="1611A_01b_DHS_op_bal_-_not_due4"/>
      <sheetName val="1611A_02_IDBI-FCL4"/>
      <sheetName val="1611A_02a_IDBI_-FCL_RATES_comp4"/>
      <sheetName val="1611A_03_IDBI_RTL4"/>
      <sheetName val="1611A_03a_IDBIRTL_-_Recomp_DHS4"/>
      <sheetName val="Summary_ICICI_-_DHS4"/>
      <sheetName val="icici_fcl-_dhs_-_4"/>
      <sheetName val="1611A_04_ICICI-FCL4"/>
      <sheetName val="icici_con_rtl_-_dhs4"/>
      <sheetName val="1611A_05_ICICI_conv_rtl4"/>
      <sheetName val="icicifitl_30_09_044"/>
      <sheetName val="icici_rtl_-_dhs4"/>
      <sheetName val="icici_stl_-_dhs4"/>
      <sheetName val="icici-_stl(niep)4"/>
      <sheetName val="icici_fitl4"/>
      <sheetName val="oic_rtl4"/>
      <sheetName val="nic_rtl_4"/>
      <sheetName val="nia_rtl_4"/>
      <sheetName val="UII_RTL4"/>
      <sheetName val="gic_rtl4"/>
      <sheetName val="oic_rtl_4"/>
      <sheetName val="icici_-fitl4"/>
      <sheetName val="TOTAL_INTT4"/>
      <sheetName val="fitl_-ifci_dtl4"/>
      <sheetName val="gic_rtl_paid_31_12_014"/>
      <sheetName val="gic_rtl_31_12_014"/>
      <sheetName val="oic_rtl_apr'004"/>
      <sheetName val="oic_rtl_Mar'02_4"/>
      <sheetName val="UII_PAID_31_3_004"/>
      <sheetName val="edc_reco4"/>
      <sheetName val="total-_intt4"/>
      <sheetName val="Intt_accrued_&amp;_due_4"/>
      <sheetName val="intt_accrued_-_not_due4"/>
      <sheetName val="total-_intt_(InstwISE)4"/>
      <sheetName val="ICICI-FCL_old4"/>
      <sheetName val="conv_rtl_(old)4"/>
      <sheetName val="conv_rtl_(22_10)4"/>
      <sheetName val="icicifitl_dhs_(2)4"/>
      <sheetName val="SCH_IV3"/>
      <sheetName val="SCH_VIII3"/>
      <sheetName val="1612_01AL_-_INT_AM&amp;NIEP1"/>
      <sheetName val="1611A_INTEREST_ACCRUED_ON_LOAN1"/>
      <sheetName val="TAB_1"/>
      <sheetName val="5_Crs__TB"/>
      <sheetName val="TERMLOANS_5"/>
      <sheetName val="UN_SECU_LOANS5"/>
      <sheetName val="cur_lia_&amp;_prov5"/>
      <sheetName val="1611A_01_Overall_Position_(PBC5"/>
      <sheetName val="1611A_01a_DHS_op_bal_-DUE5"/>
      <sheetName val="1611A_01b_DHS_op_bal_-_not_due5"/>
      <sheetName val="1611A_02_IDBI-FCL5"/>
      <sheetName val="1611A_02a_IDBI_-FCL_RATES_comp5"/>
      <sheetName val="1611A_03_IDBI_RTL5"/>
      <sheetName val="1611A_03a_IDBIRTL_-_Recomp_DHS5"/>
      <sheetName val="Summary_ICICI_-_DHS5"/>
      <sheetName val="icici_fcl-_dhs_-_5"/>
      <sheetName val="1611A_04_ICICI-FCL5"/>
      <sheetName val="icici_con_rtl_-_dhs5"/>
      <sheetName val="1611A_05_ICICI_conv_rtl5"/>
      <sheetName val="icicifitl_30_09_045"/>
      <sheetName val="icici_rtl_-_dhs5"/>
      <sheetName val="icici_stl_-_dhs5"/>
      <sheetName val="icici-_stl(niep)5"/>
      <sheetName val="icici_fitl5"/>
      <sheetName val="oic_rtl5"/>
      <sheetName val="nic_rtl_5"/>
      <sheetName val="nia_rtl_5"/>
      <sheetName val="UII_RTL5"/>
      <sheetName val="gic_rtl5"/>
      <sheetName val="oic_rtl_5"/>
      <sheetName val="icici_-fitl5"/>
      <sheetName val="TOTAL_INTT5"/>
      <sheetName val="fitl_-ifci_dtl5"/>
      <sheetName val="gic_rtl_paid_31_12_015"/>
      <sheetName val="gic_rtl_31_12_015"/>
      <sheetName val="oic_rtl_apr'005"/>
      <sheetName val="oic_rtl_Mar'02_5"/>
      <sheetName val="UII_PAID_31_3_005"/>
      <sheetName val="edc_reco5"/>
      <sheetName val="total-_intt5"/>
      <sheetName val="Intt_accrued_&amp;_due_5"/>
      <sheetName val="intt_accrued_-_not_due5"/>
      <sheetName val="total-_intt_(InstwISE)5"/>
      <sheetName val="ICICI-FCL_old5"/>
      <sheetName val="conv_rtl_(old)5"/>
      <sheetName val="conv_rtl_(22_10)5"/>
      <sheetName val="icicifitl_dhs_(2)5"/>
      <sheetName val="SCH_IV4"/>
      <sheetName val="SCH_VIII4"/>
      <sheetName val="1612_01AL_-_INT_AM&amp;NIEP2"/>
      <sheetName val="1611A_INTEREST_ACCRUED_ON_LOAN2"/>
      <sheetName val="TAB_11"/>
      <sheetName val="5_Crs__TB1"/>
      <sheetName val="TERMLOANS_6"/>
      <sheetName val="UN_SECU_LOANS6"/>
      <sheetName val="cur_lia_&amp;_prov6"/>
      <sheetName val="1611A_01_Overall_Position_(PBC6"/>
      <sheetName val="1611A_01a_DHS_op_bal_-DUE6"/>
      <sheetName val="1611A_01b_DHS_op_bal_-_not_due6"/>
      <sheetName val="1611A_02_IDBI-FCL6"/>
      <sheetName val="1611A_02a_IDBI_-FCL_RATES_comp6"/>
      <sheetName val="1611A_03_IDBI_RTL6"/>
      <sheetName val="1611A_03a_IDBIRTL_-_Recomp_DHS6"/>
      <sheetName val="Summary_ICICI_-_DHS6"/>
      <sheetName val="icici_fcl-_dhs_-_6"/>
      <sheetName val="1611A_04_ICICI-FCL6"/>
      <sheetName val="icici_con_rtl_-_dhs6"/>
      <sheetName val="1611A_05_ICICI_conv_rtl6"/>
      <sheetName val="icicifitl_30_09_046"/>
      <sheetName val="icici_rtl_-_dhs6"/>
      <sheetName val="icici_stl_-_dhs6"/>
      <sheetName val="icici-_stl(niep)6"/>
      <sheetName val="icici_fitl6"/>
      <sheetName val="oic_rtl6"/>
      <sheetName val="nic_rtl_6"/>
      <sheetName val="nia_rtl_6"/>
      <sheetName val="UII_RTL6"/>
      <sheetName val="gic_rtl6"/>
      <sheetName val="oic_rtl_6"/>
      <sheetName val="icici_-fitl6"/>
      <sheetName val="TOTAL_INTT6"/>
      <sheetName val="fitl_-ifci_dtl6"/>
      <sheetName val="gic_rtl_paid_31_12_016"/>
      <sheetName val="gic_rtl_31_12_016"/>
      <sheetName val="oic_rtl_apr'006"/>
      <sheetName val="oic_rtl_Mar'02_6"/>
      <sheetName val="UII_PAID_31_3_006"/>
      <sheetName val="edc_reco6"/>
      <sheetName val="total-_intt6"/>
      <sheetName val="Intt_accrued_&amp;_due_6"/>
      <sheetName val="intt_accrued_-_not_due6"/>
      <sheetName val="total-_intt_(InstwISE)6"/>
      <sheetName val="ICICI-FCL_old6"/>
      <sheetName val="conv_rtl_(old)6"/>
      <sheetName val="conv_rtl_(22_10)6"/>
      <sheetName val="icicifitl_dhs_(2)6"/>
      <sheetName val="SCH_IV5"/>
      <sheetName val="SCH_VIII5"/>
      <sheetName val="1612_01AL_-_INT_AM&amp;NIEP3"/>
      <sheetName val="1611A_INTEREST_ACCRUED_ON_LOAN3"/>
      <sheetName val="TAB_12"/>
      <sheetName val="5_Crs__TB2"/>
      <sheetName val="Sheet3_(2)"/>
      <sheetName val="2.Control Sheet"/>
      <sheetName val="GL Bal."/>
      <sheetName val="Cash flow details"/>
      <sheetName val="Sept 06"/>
      <sheetName val="3.Summary"/>
      <sheetName val="Current tax"/>
      <sheetName val="Deprn IT"/>
      <sheetName val="Inventory Count Sheet "/>
      <sheetName val="1. Procedure"/>
      <sheetName val="Oustanding Balances"/>
      <sheetName val="TERMLOANS_7"/>
      <sheetName val="UN_SECU_LOANS7"/>
      <sheetName val="cur_lia_&amp;_prov7"/>
      <sheetName val="1611A_01_Overall_Position_(PBC7"/>
      <sheetName val="1611A_01a_DHS_op_bal_-DUE7"/>
      <sheetName val="1611A_01b_DHS_op_bal_-_not_due7"/>
      <sheetName val="1611A_02_IDBI-FCL7"/>
      <sheetName val="1611A_02a_IDBI_-FCL_RATES_comp7"/>
      <sheetName val="1611A_03_IDBI_RTL7"/>
      <sheetName val="1611A_03a_IDBIRTL_-_Recomp_DHS7"/>
      <sheetName val="Summary_ICICI_-_DHS7"/>
      <sheetName val="icici_fcl-_dhs_-_7"/>
      <sheetName val="1611A_04_ICICI-FCL7"/>
      <sheetName val="icici_con_rtl_-_dhs7"/>
      <sheetName val="1611A_05_ICICI_conv_rtl7"/>
      <sheetName val="icicifitl_30_09_047"/>
      <sheetName val="icici_rtl_-_dhs7"/>
      <sheetName val="icici_stl_-_dhs7"/>
      <sheetName val="icici-_stl(niep)7"/>
      <sheetName val="icici_fitl7"/>
      <sheetName val="oic_rtl7"/>
      <sheetName val="nic_rtl_7"/>
      <sheetName val="nia_rtl_7"/>
      <sheetName val="UII_RTL7"/>
      <sheetName val="gic_rtl7"/>
      <sheetName val="oic_rtl_7"/>
      <sheetName val="icici_-fitl7"/>
      <sheetName val="TOTAL_INTT7"/>
      <sheetName val="fitl_-ifci_dtl7"/>
      <sheetName val="gic_rtl_paid_31_12_017"/>
      <sheetName val="gic_rtl_31_12_017"/>
      <sheetName val="oic_rtl_apr'007"/>
      <sheetName val="oic_rtl_Mar'02_7"/>
      <sheetName val="UII_PAID_31_3_007"/>
      <sheetName val="edc_reco7"/>
      <sheetName val="total-_intt7"/>
      <sheetName val="Intt_accrued_&amp;_due_7"/>
      <sheetName val="intt_accrued_-_not_due7"/>
      <sheetName val="total-_intt_(InstwISE)7"/>
      <sheetName val="ICICI-FCL_old7"/>
      <sheetName val="conv_rtl_(old)7"/>
      <sheetName val="conv_rtl_(22_10)7"/>
      <sheetName val="icicifitl_dhs_(2)7"/>
      <sheetName val="SCH_IV6"/>
      <sheetName val="SCH_VIII6"/>
      <sheetName val="1612_01AL_-_INT_AM&amp;NIEP4"/>
      <sheetName val="1611A_INTEREST_ACCRUED_ON_LOAN4"/>
      <sheetName val="5_Crs__TB3"/>
      <sheetName val="TAB_13"/>
      <sheetName val="Sheet3_(2)1"/>
      <sheetName val="2_Control_Sheet"/>
      <sheetName val="Oustanding_Balances"/>
      <sheetName val="Instruction Sheet"/>
      <sheetName val="Spese Viaggio"/>
      <sheetName val="Data"/>
      <sheetName val="Sales"/>
      <sheetName val="LS"/>
      <sheetName val="HBI NCD"/>
      <sheetName val="Clause 9"/>
      <sheetName val="Consolidated"/>
      <sheetName val="Trial Balance - MARCH 2006"/>
      <sheetName val="Users Authorisations"/>
      <sheetName val="Invoices for February 2003"/>
      <sheetName val="Breakup Value Working"/>
      <sheetName val="1611A_INTEREST_A윦낺䭥ﺚ抺拺抪抺️扬ꑝ읅ⱑ膺伍"/>
      <sheetName val="FA Register_Detailed "/>
      <sheetName val="Fixed asset register"/>
      <sheetName val="230002"/>
      <sheetName val="Summary 30-09-09"/>
      <sheetName val="#REF"/>
      <sheetName val="BS Schedule"/>
      <sheetName val="MASTER SCHEDULE F"/>
      <sheetName val="PL6-Revenue Bridge"/>
      <sheetName val="po-log - curr. rate"/>
      <sheetName val="encl to 21(ii)(B)"/>
      <sheetName val="Fixed_asset_register"/>
      <sheetName val="Cash Flow Statement in millions"/>
      <sheetName val="FA Schedule"/>
      <sheetName val="Analytical"/>
      <sheetName val="Additions"/>
      <sheetName val="Inventory_Count_Sheet_"/>
      <sheetName val="Ins Erection"/>
      <sheetName val="Expense &amp; Accr Exp-PY-Delete"/>
      <sheetName val="Insurance (exp)"/>
      <sheetName val="Sept_06"/>
      <sheetName val="Current_tax"/>
      <sheetName val="Deprn_IT"/>
      <sheetName val="3_Summary"/>
      <sheetName val="GL_Bal_"/>
      <sheetName val="Cash_flow_details"/>
      <sheetName val="1__Procedure"/>
      <sheetName val="Cons P&amp;L"/>
      <sheetName val="MASTER"/>
      <sheetName val="3.Grouping - Profit &amp; Loss(mio)"/>
      <sheetName val="PyrllDeduc"/>
      <sheetName val="deferred taxes"/>
      <sheetName val="IEDCL CM"/>
      <sheetName val="IEDCL L"/>
      <sheetName val="Loan-IEDCL"/>
      <sheetName val="Schedule"/>
      <sheetName val="GL 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sheetData sheetId="493" refreshError="1"/>
      <sheetData sheetId="494" refreshError="1"/>
      <sheetData sheetId="495" refreshError="1"/>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Instructions"/>
      <sheetName val="2. Testing"/>
      <sheetName val="3. CMA"/>
      <sheetName val="4. TB"/>
      <sheetName val="5. Ageing "/>
      <sheetName val="6. Dful"/>
      <sheetName val="7. Confirmation"/>
      <sheetName val="XREF"/>
      <sheetName val="Tickmarks"/>
      <sheetName val="Service Center"/>
      <sheetName val="dfrdtxtn"/>
      <sheetName val="TAB 1"/>
      <sheetName val="2.Control Sheet"/>
      <sheetName val="PGW"/>
      <sheetName val="HBI NCD"/>
      <sheetName val="Sheet3 (2)"/>
      <sheetName val="5.Crs. TB"/>
      <sheetName val="BS India"/>
      <sheetName val="BS India Schedule"/>
      <sheetName val="Summary-TDS"/>
      <sheetName val="Accrued Income"/>
      <sheetName val="Fixed asset register"/>
      <sheetName val="IMCL Vendor 31-08-09"/>
      <sheetName val="oracleTB"/>
      <sheetName val="Tax Comp"/>
      <sheetName val="Stock"/>
      <sheetName val="Recons"/>
      <sheetName val="Deferred tax"/>
      <sheetName val="Sept 06"/>
      <sheetName val="OpTrack"/>
      <sheetName val="Params"/>
      <sheetName val="230002"/>
      <sheetName val="1__Instructions"/>
      <sheetName val="2__Testing"/>
      <sheetName val="3__CMA"/>
      <sheetName val="4__TB"/>
      <sheetName val="5__Ageing_"/>
      <sheetName val="6__Dful"/>
      <sheetName val="7__Confirmation"/>
      <sheetName val="Service_Center"/>
      <sheetName val="TAB_1"/>
      <sheetName val="2_Control_Sheet"/>
      <sheetName val="HBI_NCD"/>
      <sheetName val="Sheet3_(2)"/>
      <sheetName val="5_Crs__TB"/>
      <sheetName val="BS_India"/>
      <sheetName val="BS_India_Schedule"/>
    </sheetNames>
    <sheetDataSet>
      <sheetData sheetId="0" refreshError="1"/>
      <sheetData sheetId="1" refreshError="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COC"/>
      <sheetName val="Lead OPEX"/>
      <sheetName val="TAB A CMA"/>
      <sheetName val="TAB B TOD"/>
      <sheetName val="TAB C Subcontractor"/>
      <sheetName val="TAB D TOD Credit Entries"/>
      <sheetName val="TAB E Deduction of WTDS"/>
      <sheetName val="XREF"/>
      <sheetName val="Sheet1"/>
      <sheetName val="Tickmarks"/>
      <sheetName val="HBI NCD"/>
      <sheetName val="PL"/>
      <sheetName val="BS"/>
      <sheetName val="Sch 6 Intangible"/>
      <sheetName val="SCH IV"/>
      <sheetName val="SCH VIII"/>
      <sheetName val="PGW"/>
      <sheetName val="Power &amp; Fuel(new)"/>
      <sheetName val="RA-markate"/>
      <sheetName val="Current tax"/>
      <sheetName val="Lead"/>
      <sheetName val="ORIGINAL"/>
      <sheetName val="Template4444"/>
      <sheetName val="FORM-16"/>
      <sheetName val="Labour"/>
      <sheetName val="BudgetVsActualFY2014"/>
      <sheetName val="Inventory Count Sheet "/>
      <sheetName val="BS Schedule"/>
      <sheetName val="PrintSetup"/>
      <sheetName val="Grouping TB"/>
      <sheetName val="Challan"/>
      <sheetName val="KEY INPUTS"/>
      <sheetName val="Front Sheet"/>
      <sheetName val="ann"/>
      <sheetName val="Accrued Income"/>
      <sheetName val="Investments"/>
      <sheetName val="YOEMAGUM"/>
      <sheetName val="3.Grouping - Profit &amp; Loss(mio)"/>
      <sheetName val="Cash Flow - CY Workings"/>
      <sheetName val="Page 5"/>
      <sheetName val="PL Groupings"/>
      <sheetName val="Database"/>
      <sheetName val="Conditions"/>
      <sheetName val="End Cuts-LDO"/>
      <sheetName val="5.Crs. TB"/>
      <sheetName val="DS_ca1"/>
      <sheetName val="Lists"/>
      <sheetName val="PL6-Revenue Bridge"/>
      <sheetName val="230002"/>
      <sheetName val="entitlements"/>
      <sheetName val="Schedules"/>
      <sheetName val="Lead_COC"/>
      <sheetName val="Worksheet in 8440VA Operating E"/>
      <sheetName val="Lead_OPEX"/>
      <sheetName val="TAB_A_CMA"/>
      <sheetName val="TAB_B_TOD"/>
      <sheetName val="TAB_C_Subcontractor"/>
      <sheetName val="TAB_D_TOD_Credit_Entries"/>
      <sheetName val="TAB_E_Deduction_of_WTDS"/>
      <sheetName val="HBI_NCD"/>
      <sheetName val="Sch_6_Intangible"/>
      <sheetName val="SCH_IV"/>
      <sheetName val="SCH_VIII"/>
      <sheetName val="Power_&amp;_Fuel(new)"/>
      <sheetName val="BS_Schedule"/>
      <sheetName val="Current_tax"/>
      <sheetName val="Inventory_Count_Sheet_"/>
      <sheetName val="Data"/>
      <sheetName val="Rate Ana"/>
      <sheetName val="Sheet3"/>
      <sheetName val="9899 runrate"/>
      <sheetName val="TB-New"/>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chedule"/>
      <sheetName val="Analytical"/>
      <sheetName val="Additions"/>
      <sheetName val="DepreciationPolicy"/>
      <sheetName val="FAR"/>
      <sheetName val="Tickmarks"/>
      <sheetName val="Deletions"/>
      <sheetName val="Entry"/>
      <sheetName val="XREF"/>
      <sheetName val="230002"/>
      <sheetName val="Breakup Value Working"/>
      <sheetName val="SITEL"/>
      <sheetName val="TAB 1"/>
      <sheetName val="2.Control Sheet"/>
      <sheetName val="GENERAL"/>
      <sheetName val="tps"/>
      <sheetName val="fcl"/>
      <sheetName val="prg"/>
      <sheetName val="110409"/>
    </sheetNames>
    <sheetDataSet>
      <sheetData sheetId="0"/>
      <sheetData sheetId="1"/>
      <sheetData sheetId="2"/>
      <sheetData sheetId="3"/>
      <sheetData sheetId="4"/>
      <sheetData sheetId="5"/>
      <sheetData sheetId="6"/>
      <sheetData sheetId="7">
        <row r="2">
          <cell r="E2" t="str">
            <v>!</v>
          </cell>
        </row>
      </sheetData>
      <sheetData sheetId="8">
        <row r="5">
          <cell r="A5" t="str">
            <v>{b}</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person displayName="Kunal Bhandari" id="{11A6F598-2DAC-4CB6-AEE1-BCC94C1349B7}" userId="Kunal Bhandari" providerId="None"/>
  <person displayName="Arpit Shah" id="{0AE16297-D425-4E17-A172-B823D5CF72E9}" userId="S::Arpit.Shah@esr.com::f2b19a63-5c72-49c8-93cc-528df6646935" providerId="AD"/>
  <person displayName="Kunal Bhandari" id="{D8E2C60E-6D4F-4BF5-9F3E-DCE7CF53A629}" userId="S::KBhandari@in.esr.com::9d6a8e7a-e4d0-41e9-957b-e62fe739fedc"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26" dT="2020-11-05T15:26:02.25" personId="{11A6F598-2DAC-4CB6-AEE1-BCC94C1349B7}" id="{B4525665-F041-479B-9924-A191B486AB44}">
    <text>Assumed till LRD tenor, renewals will happen as and when original tenors end at then prevailing rentals, without break for the purpose of service of LRD servicing</text>
  </threadedComment>
  <threadedComment ref="B50" dT="2023-10-04T10:25:13.03" personId="{0AE16297-D425-4E17-A172-B823D5CF72E9}" id="{DCDB38A0-FD32-4EE6-8265-4E6F4736DB25}">
    <text>Considered 5% escalation over the project numbers.</text>
  </threadedComment>
</ThreadedComments>
</file>

<file path=xl/threadedComments/threadedComment2.xml><?xml version="1.0" encoding="utf-8"?>
<ThreadedComments xmlns="http://schemas.microsoft.com/office/spreadsheetml/2018/threadedcomments" xmlns:x="http://schemas.openxmlformats.org/spreadsheetml/2006/main">
  <threadedComment ref="A42" dT="2020-10-12T13:25:27.26" personId="{11A6F598-2DAC-4CB6-AEE1-BCC94C1349B7}" id="{10C7E7CA-3B41-448C-B19C-D750F1FB81AC}">
    <text>Manually enter in whichever month there closing cash balance falls below zero</text>
  </threadedComment>
  <threadedComment ref="C42" dT="2021-04-06T11:40:15.70" personId="{D8E2C60E-6D4F-4BF5-9F3E-DCE7CF53A629}" id="{982B59E3-2CCF-49FA-8A81-BCC05EE89838}">
    <text>Actualised</text>
  </threadedComment>
</ThreadedComments>
</file>

<file path=xl/threadedComments/threadedComment3.xml><?xml version="1.0" encoding="utf-8"?>
<ThreadedComments xmlns="http://schemas.microsoft.com/office/spreadsheetml/2018/threadedcomments" xmlns:x="http://schemas.openxmlformats.org/spreadsheetml/2006/main">
  <threadedComment ref="C42" dT="2020-12-29T06:17:03.01" personId="{11A6F598-2DAC-4CB6-AEE1-BCC94C1349B7}" id="{DAC43BD2-8C45-4F60-83A7-08C1477390A4}">
    <text>Blended Rate 10% for buildings and 15% for Machinery</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D344-E185-46AD-9AF1-406B7AC14FA6}">
  <dimension ref="A1:W54"/>
  <sheetViews>
    <sheetView showGridLines="0" zoomScale="90" zoomScaleNormal="90" workbookViewId="0">
      <selection activeCell="F27" sqref="F27"/>
    </sheetView>
  </sheetViews>
  <sheetFormatPr defaultRowHeight="13.8" x14ac:dyDescent="0.3"/>
  <cols>
    <col min="1" max="1" width="12.109375" style="1" customWidth="1"/>
    <col min="2" max="2" width="31.88671875" style="1" bestFit="1" customWidth="1"/>
    <col min="3" max="3" width="12.44140625" style="45" bestFit="1" customWidth="1"/>
    <col min="4" max="5" width="11.5546875" style="1" bestFit="1" customWidth="1"/>
    <col min="6" max="6" width="11.33203125" style="1" bestFit="1" customWidth="1"/>
    <col min="7" max="7" width="14.77734375" style="1" bestFit="1" customWidth="1"/>
    <col min="8" max="8" width="11.44140625" style="1" customWidth="1"/>
    <col min="9" max="9" width="12.5546875" style="1" bestFit="1" customWidth="1"/>
    <col min="10" max="10" width="11.109375" style="1" bestFit="1" customWidth="1"/>
    <col min="11" max="11" width="12.88671875" style="1" customWidth="1"/>
    <col min="12" max="12" width="16.21875" style="1" bestFit="1" customWidth="1"/>
    <col min="13" max="13" width="15.21875" style="1" bestFit="1" customWidth="1"/>
    <col min="14" max="14" width="8" style="1" bestFit="1" customWidth="1"/>
    <col min="15" max="15" width="9" style="1" customWidth="1"/>
    <col min="16" max="16" width="7.44140625" style="1" bestFit="1" customWidth="1"/>
    <col min="17" max="17" width="2.33203125" style="1" customWidth="1"/>
    <col min="18" max="18" width="13.109375" style="1" customWidth="1"/>
    <col min="19" max="19" width="12.6640625" style="1" customWidth="1"/>
    <col min="20" max="20" width="11.21875" style="1" customWidth="1"/>
    <col min="21" max="21" width="7.33203125" style="1" bestFit="1" customWidth="1"/>
    <col min="22" max="22" width="8.44140625" style="1" bestFit="1" customWidth="1"/>
    <col min="23" max="23" width="7.77734375" style="1" bestFit="1" customWidth="1"/>
    <col min="24" max="24" width="7" style="1" bestFit="1" customWidth="1"/>
    <col min="25" max="27" width="4" style="1" bestFit="1" customWidth="1"/>
    <col min="28" max="28" width="5" style="1" bestFit="1" customWidth="1"/>
    <col min="29" max="29" width="4" style="1" bestFit="1" customWidth="1"/>
    <col min="30" max="30" width="5.44140625" style="1" bestFit="1" customWidth="1"/>
    <col min="31" max="16384" width="8.88671875" style="1"/>
  </cols>
  <sheetData>
    <row r="1" spans="2:16" ht="14.4" thickBot="1" x14ac:dyDescent="0.35">
      <c r="B1" s="25"/>
      <c r="C1" s="26"/>
      <c r="D1" s="25"/>
      <c r="E1" s="23"/>
      <c r="F1" s="25"/>
      <c r="G1" s="195"/>
      <c r="H1" s="196"/>
      <c r="I1" s="197"/>
      <c r="J1" s="195"/>
      <c r="K1" s="198"/>
      <c r="L1" s="198"/>
      <c r="M1" s="195"/>
      <c r="N1" s="196"/>
      <c r="O1" s="195"/>
      <c r="P1" s="196"/>
    </row>
    <row r="2" spans="2:16" x14ac:dyDescent="0.3">
      <c r="B2" s="199" t="s">
        <v>239</v>
      </c>
      <c r="C2" s="200"/>
      <c r="D2" s="201"/>
      <c r="E2" s="202"/>
      <c r="F2" s="25"/>
      <c r="G2" s="25"/>
      <c r="H2" s="25"/>
      <c r="I2" s="25"/>
      <c r="J2" s="25"/>
      <c r="K2" s="25"/>
      <c r="L2" s="25"/>
      <c r="M2" s="42"/>
      <c r="N2" s="25"/>
      <c r="O2" s="25"/>
      <c r="P2" s="25"/>
    </row>
    <row r="3" spans="2:16" x14ac:dyDescent="0.3">
      <c r="B3" s="203" t="s">
        <v>240</v>
      </c>
      <c r="C3" s="204" t="s">
        <v>157</v>
      </c>
      <c r="D3" s="205" t="s">
        <v>241</v>
      </c>
      <c r="E3" s="206" t="s">
        <v>242</v>
      </c>
      <c r="F3" s="25"/>
      <c r="G3" s="25"/>
      <c r="H3" s="25"/>
      <c r="I3" s="25"/>
      <c r="J3" s="25"/>
      <c r="K3" s="25"/>
      <c r="L3" s="25"/>
      <c r="M3" s="42"/>
      <c r="N3" s="25"/>
      <c r="O3" s="25"/>
      <c r="P3" s="25"/>
    </row>
    <row r="4" spans="2:16" ht="15" customHeight="1" x14ac:dyDescent="0.3">
      <c r="B4" s="207" t="s">
        <v>198</v>
      </c>
      <c r="C4" s="208">
        <f>-'Monthly Cashflow'!B16</f>
        <v>47.58</v>
      </c>
      <c r="D4" s="209">
        <f>C4</f>
        <v>47.58</v>
      </c>
      <c r="E4" s="210">
        <f>C4-D4</f>
        <v>0</v>
      </c>
      <c r="F4" s="610">
        <f ca="1">C4/$C$16</f>
        <v>8.6267846682702598E-2</v>
      </c>
      <c r="G4" s="211"/>
      <c r="H4" s="30"/>
      <c r="I4" s="30"/>
      <c r="J4" s="25"/>
      <c r="K4" s="25"/>
      <c r="L4" s="25"/>
      <c r="M4" s="42"/>
      <c r="N4" s="25"/>
      <c r="O4" s="25"/>
      <c r="P4" s="25"/>
    </row>
    <row r="5" spans="2:16" x14ac:dyDescent="0.3">
      <c r="B5" s="207" t="s">
        <v>20</v>
      </c>
      <c r="C5" s="208">
        <f>ABS('Monthly Cashflow'!B19)</f>
        <v>5.0220524267570994</v>
      </c>
      <c r="D5" s="209">
        <f>0</f>
        <v>0</v>
      </c>
      <c r="E5" s="210">
        <f>C5-D5</f>
        <v>5.0220524267570994</v>
      </c>
      <c r="F5" s="610">
        <f ca="1">C5/$C$16</f>
        <v>9.1055411682214385E-3</v>
      </c>
      <c r="G5" s="212"/>
      <c r="H5" s="30"/>
      <c r="I5" s="30"/>
      <c r="J5" s="25"/>
      <c r="K5" s="25"/>
      <c r="L5" s="25"/>
      <c r="M5" s="42"/>
      <c r="N5" s="25"/>
      <c r="O5" s="25"/>
      <c r="P5" s="25"/>
    </row>
    <row r="6" spans="2:16" x14ac:dyDescent="0.3">
      <c r="B6" s="207" t="s">
        <v>17</v>
      </c>
      <c r="C6" s="208">
        <f>ABS('Monthly Cashflow'!B17)</f>
        <v>254.45065628902654</v>
      </c>
      <c r="D6" s="209">
        <f>0</f>
        <v>0</v>
      </c>
      <c r="E6" s="210">
        <f>C6-D6</f>
        <v>254.45065628902654</v>
      </c>
      <c r="F6" s="610">
        <f ca="1">C6/$C$16</f>
        <v>0.46134741918988648</v>
      </c>
      <c r="G6" s="212"/>
      <c r="H6" s="30"/>
      <c r="I6" s="30"/>
      <c r="J6" s="213"/>
      <c r="K6" s="639"/>
      <c r="L6" s="213"/>
      <c r="M6" s="213"/>
      <c r="N6" s="213"/>
      <c r="O6" s="25"/>
      <c r="P6" s="25"/>
    </row>
    <row r="7" spans="2:16" x14ac:dyDescent="0.3">
      <c r="B7" s="207" t="s">
        <v>243</v>
      </c>
      <c r="C7" s="208">
        <f>(-'Monthly Cashflow'!B18-'Monthly Cashflow'!B22)</f>
        <v>86.546703487780647</v>
      </c>
      <c r="D7" s="209">
        <f>0</f>
        <v>0</v>
      </c>
      <c r="E7" s="210">
        <f>C7-D7</f>
        <v>86.546703487780647</v>
      </c>
      <c r="F7" s="610">
        <f ca="1">C7/$C$16</f>
        <v>0.15691882613234939</v>
      </c>
      <c r="G7" s="212"/>
      <c r="H7" s="30"/>
      <c r="I7" s="30"/>
      <c r="J7" s="25"/>
      <c r="K7" s="25"/>
      <c r="L7" s="25"/>
      <c r="M7" s="25"/>
      <c r="N7" s="25"/>
      <c r="O7" s="25"/>
      <c r="P7" s="25"/>
    </row>
    <row r="8" spans="2:16" x14ac:dyDescent="0.3">
      <c r="B8" s="214" t="s">
        <v>244</v>
      </c>
      <c r="C8" s="215">
        <f>SUM(C4:C7)</f>
        <v>393.59941220356427</v>
      </c>
      <c r="D8" s="215">
        <f>SUM(D4:D7)</f>
        <v>47.58</v>
      </c>
      <c r="E8" s="216">
        <f>SUM(E4:E7)</f>
        <v>346.01941220356429</v>
      </c>
      <c r="F8" s="611">
        <f ca="1">C8/$C$16</f>
        <v>0.71363963317315993</v>
      </c>
      <c r="G8" s="212"/>
      <c r="H8" s="30"/>
      <c r="I8" s="30"/>
      <c r="J8" s="218"/>
      <c r="K8" s="25"/>
      <c r="L8" s="25"/>
      <c r="M8" s="25"/>
      <c r="N8" s="25"/>
      <c r="O8" s="25"/>
      <c r="P8" s="25"/>
    </row>
    <row r="9" spans="2:16" x14ac:dyDescent="0.3">
      <c r="B9" s="217" t="s">
        <v>207</v>
      </c>
      <c r="C9" s="209"/>
      <c r="D9" s="209"/>
      <c r="E9" s="210"/>
      <c r="F9" s="612"/>
      <c r="G9" s="212"/>
      <c r="H9" s="30"/>
      <c r="I9" s="30"/>
      <c r="J9" s="25"/>
      <c r="K9" s="25"/>
      <c r="L9" s="25"/>
      <c r="M9" s="25"/>
      <c r="N9" s="25"/>
      <c r="O9" s="25"/>
      <c r="P9" s="25"/>
    </row>
    <row r="10" spans="2:16" x14ac:dyDescent="0.3">
      <c r="B10" s="207" t="s">
        <v>594</v>
      </c>
      <c r="C10" s="208">
        <f ca="1">-'Monthly Cashflow'!B20+-'Monthly Cashflow'!B31+-'Monthly Cashflow'!B25+-'Monthly Cashflow'!B26</f>
        <v>26.977268260711945</v>
      </c>
      <c r="D10" s="209">
        <f>0</f>
        <v>0</v>
      </c>
      <c r="E10" s="210">
        <f t="shared" ref="E10:E13" ca="1" si="0">C10-D10</f>
        <v>26.977268260711945</v>
      </c>
      <c r="F10" s="610">
        <f t="shared" ref="F10:F16" ca="1" si="1">C10/$C$16</f>
        <v>4.8912796179765392E-2</v>
      </c>
      <c r="G10" s="212"/>
      <c r="H10" s="30"/>
      <c r="I10" s="30"/>
      <c r="J10" s="218"/>
      <c r="K10" s="25"/>
      <c r="L10" s="25"/>
      <c r="M10" s="25"/>
      <c r="N10" s="25"/>
      <c r="O10" s="25"/>
      <c r="P10" s="25"/>
    </row>
    <row r="11" spans="2:16" x14ac:dyDescent="0.3">
      <c r="B11" s="207" t="s">
        <v>245</v>
      </c>
      <c r="C11" s="208">
        <f ca="1">-MIN('CF_Debt Schedule'!D34:BZ34)</f>
        <v>7.1625106833256815</v>
      </c>
      <c r="D11" s="209">
        <f>0</f>
        <v>0</v>
      </c>
      <c r="E11" s="210">
        <f t="shared" ca="1" si="0"/>
        <v>7.1625106833256815</v>
      </c>
      <c r="F11" s="610">
        <f t="shared" ca="1" si="1"/>
        <v>1.29864307165271E-2</v>
      </c>
      <c r="G11" s="29"/>
      <c r="H11" s="30"/>
      <c r="I11" s="30"/>
      <c r="J11" s="25"/>
      <c r="K11" s="25"/>
      <c r="L11" s="25"/>
      <c r="M11" s="25"/>
      <c r="N11" s="25"/>
      <c r="O11" s="25"/>
      <c r="P11" s="25"/>
    </row>
    <row r="12" spans="2:16" x14ac:dyDescent="0.3">
      <c r="B12" s="207" t="s">
        <v>434</v>
      </c>
      <c r="C12" s="208">
        <f ca="1">-'Monthly Cashflow'!B32</f>
        <v>71.477443382360889</v>
      </c>
      <c r="D12" s="209">
        <f>0</f>
        <v>0</v>
      </c>
      <c r="E12" s="210">
        <f t="shared" ca="1" si="0"/>
        <v>71.477443382360889</v>
      </c>
      <c r="F12" s="610">
        <f t="shared" ca="1" si="1"/>
        <v>0.12959657685962728</v>
      </c>
      <c r="G12" s="25"/>
      <c r="H12" s="30"/>
      <c r="I12" s="30"/>
      <c r="J12" s="25"/>
      <c r="K12" s="218"/>
      <c r="L12" s="25"/>
      <c r="M12" s="25"/>
      <c r="N12" s="25"/>
      <c r="O12" s="25"/>
      <c r="P12" s="25"/>
    </row>
    <row r="13" spans="2:16" x14ac:dyDescent="0.3">
      <c r="B13" s="207" t="s">
        <v>400</v>
      </c>
      <c r="C13" s="208">
        <f>-'Monthly Cashflow'!B21</f>
        <v>34.09973597768068</v>
      </c>
      <c r="D13" s="209">
        <f>0</f>
        <v>0</v>
      </c>
      <c r="E13" s="210">
        <f t="shared" si="0"/>
        <v>34.09973597768068</v>
      </c>
      <c r="F13" s="610">
        <f t="shared" ca="1" si="1"/>
        <v>6.1826624532223519E-2</v>
      </c>
      <c r="G13" s="25"/>
      <c r="H13" s="30"/>
      <c r="I13" s="30"/>
      <c r="J13" s="25"/>
      <c r="K13" s="218"/>
      <c r="L13" s="25"/>
      <c r="M13" s="25"/>
      <c r="N13" s="25"/>
      <c r="O13" s="25"/>
      <c r="P13" s="25"/>
    </row>
    <row r="14" spans="2:16" x14ac:dyDescent="0.3">
      <c r="B14" s="207" t="s">
        <v>265</v>
      </c>
      <c r="C14" s="208">
        <f>(-'Monthly Cashflow'!B23)</f>
        <v>18.221680221750354</v>
      </c>
      <c r="D14" s="209">
        <f>0</f>
        <v>0</v>
      </c>
      <c r="E14" s="210">
        <f>C14-D14</f>
        <v>18.221680221750354</v>
      </c>
      <c r="F14" s="610">
        <f t="shared" ca="1" si="1"/>
        <v>3.3037938538696805E-2</v>
      </c>
      <c r="G14" s="25"/>
      <c r="H14" s="30"/>
      <c r="I14" s="30"/>
      <c r="J14" s="218"/>
      <c r="K14" s="25"/>
      <c r="L14" s="30"/>
      <c r="M14" s="25"/>
      <c r="N14" s="25"/>
      <c r="O14" s="25"/>
      <c r="P14" s="25"/>
    </row>
    <row r="15" spans="2:16" x14ac:dyDescent="0.3">
      <c r="B15" s="214" t="s">
        <v>246</v>
      </c>
      <c r="C15" s="215">
        <f ca="1">SUM(C10:C14)</f>
        <v>157.93863852582953</v>
      </c>
      <c r="D15" s="215">
        <f>SUM(D10:D14)</f>
        <v>0</v>
      </c>
      <c r="E15" s="216">
        <f ca="1">SUM(E10:E14)</f>
        <v>157.93863852582953</v>
      </c>
      <c r="F15" s="610">
        <f t="shared" ca="1" si="1"/>
        <v>0.28636036682684007</v>
      </c>
      <c r="G15" s="25"/>
      <c r="H15" s="30"/>
      <c r="I15" s="30"/>
      <c r="J15" s="25"/>
      <c r="K15" s="25"/>
      <c r="L15" s="218"/>
      <c r="M15" s="218"/>
      <c r="N15" s="25"/>
      <c r="O15" s="25"/>
      <c r="P15" s="25"/>
    </row>
    <row r="16" spans="2:16" ht="14.4" thickBot="1" x14ac:dyDescent="0.35">
      <c r="B16" s="220" t="s">
        <v>247</v>
      </c>
      <c r="C16" s="221">
        <f ca="1">C15+C8</f>
        <v>551.53805072939383</v>
      </c>
      <c r="D16" s="222">
        <f>D15+D8</f>
        <v>47.58</v>
      </c>
      <c r="E16" s="223">
        <f ca="1">E15+E8</f>
        <v>503.95805072939379</v>
      </c>
      <c r="F16" s="610">
        <f t="shared" ca="1" si="1"/>
        <v>1</v>
      </c>
      <c r="G16" s="25"/>
      <c r="H16" s="30"/>
      <c r="I16" s="30"/>
      <c r="J16" s="25"/>
      <c r="K16" s="25"/>
      <c r="L16" s="25"/>
      <c r="M16" s="25"/>
      <c r="N16" s="25"/>
      <c r="O16" s="25"/>
      <c r="P16" s="25"/>
    </row>
    <row r="17" spans="1:21" ht="14.4" thickTop="1" x14ac:dyDescent="0.3">
      <c r="A17" s="219"/>
      <c r="B17" s="207"/>
      <c r="C17" s="224"/>
      <c r="D17" s="25"/>
      <c r="E17" s="225"/>
      <c r="F17" s="611"/>
      <c r="G17" s="25"/>
      <c r="H17" s="30"/>
      <c r="I17" s="30"/>
      <c r="J17" s="25"/>
      <c r="K17" s="25"/>
      <c r="L17" s="25"/>
      <c r="M17" s="25"/>
      <c r="N17" s="25"/>
      <c r="O17" s="25"/>
      <c r="P17" s="25"/>
    </row>
    <row r="18" spans="1:21" x14ac:dyDescent="0.3">
      <c r="B18" s="226" t="s">
        <v>248</v>
      </c>
      <c r="C18" s="577" t="s">
        <v>249</v>
      </c>
      <c r="D18" s="578" t="s">
        <v>250</v>
      </c>
      <c r="E18" s="227" t="s">
        <v>251</v>
      </c>
      <c r="F18" s="613"/>
      <c r="G18" s="25"/>
      <c r="H18" s="30"/>
      <c r="I18" s="25"/>
      <c r="J18" s="25"/>
      <c r="K18" s="25"/>
      <c r="L18" s="25"/>
      <c r="M18" s="25"/>
      <c r="N18" s="25"/>
      <c r="O18" s="25"/>
      <c r="P18" s="25"/>
    </row>
    <row r="19" spans="1:21" x14ac:dyDescent="0.3">
      <c r="B19" s="207" t="s">
        <v>254</v>
      </c>
      <c r="C19" s="208">
        <f ca="1">'Monthly Cashflow'!B109</f>
        <v>251.53760326025505</v>
      </c>
      <c r="D19" s="208">
        <f>D4</f>
        <v>47.58</v>
      </c>
      <c r="E19" s="210">
        <f ca="1">C19-D19</f>
        <v>203.95760326025504</v>
      </c>
      <c r="F19" s="613"/>
      <c r="G19" s="25"/>
      <c r="H19" s="30"/>
      <c r="I19" s="25"/>
      <c r="J19" s="25"/>
      <c r="K19" s="25"/>
      <c r="L19" s="25"/>
      <c r="M19" s="25"/>
      <c r="N19" s="25"/>
      <c r="O19" s="25"/>
      <c r="P19" s="25"/>
    </row>
    <row r="20" spans="1:21" x14ac:dyDescent="0.3">
      <c r="B20" s="207"/>
      <c r="C20" s="209"/>
      <c r="D20" s="209">
        <f>0</f>
        <v>0</v>
      </c>
      <c r="E20" s="210">
        <f>C20-D20</f>
        <v>0</v>
      </c>
      <c r="F20" s="644">
        <f ca="1">E19/C19</f>
        <v>0.810843391273109</v>
      </c>
      <c r="H20" s="158">
        <f ca="1">D19/C19</f>
        <v>0.18915660872689097</v>
      </c>
      <c r="I20" s="158"/>
      <c r="J20" s="25"/>
      <c r="K20" s="25"/>
      <c r="L20" s="25"/>
      <c r="M20" s="25"/>
      <c r="N20" s="25"/>
      <c r="O20" s="25"/>
      <c r="P20" s="25"/>
    </row>
    <row r="21" spans="1:21" x14ac:dyDescent="0.3">
      <c r="B21" s="228" t="s">
        <v>67</v>
      </c>
      <c r="C21" s="209">
        <f ca="1">SUM(C19:C20)</f>
        <v>251.53760326025505</v>
      </c>
      <c r="D21" s="209">
        <f>SUM(D19:D20)</f>
        <v>47.58</v>
      </c>
      <c r="E21" s="210">
        <f ca="1">SUM(E19:E20)</f>
        <v>203.95760326025504</v>
      </c>
      <c r="F21" s="613"/>
      <c r="G21" s="25"/>
      <c r="H21" s="30"/>
      <c r="I21" s="26"/>
      <c r="J21" s="26"/>
      <c r="K21" s="25"/>
      <c r="L21" s="25"/>
      <c r="M21" s="25"/>
      <c r="N21" s="25"/>
      <c r="O21" s="25"/>
      <c r="P21" s="25"/>
    </row>
    <row r="22" spans="1:21" x14ac:dyDescent="0.3">
      <c r="B22" s="228" t="s">
        <v>194</v>
      </c>
      <c r="C22" s="209">
        <f ca="1">'Monthly Cashflow'!B110</f>
        <v>300.00044746913852</v>
      </c>
      <c r="D22" s="209">
        <f>0</f>
        <v>0</v>
      </c>
      <c r="E22" s="210">
        <f ca="1">C22-D22</f>
        <v>300.00044746913852</v>
      </c>
      <c r="F22" s="610">
        <f ca="1">C21/$C$23</f>
        <v>0.4560657291506971</v>
      </c>
      <c r="G22" s="158"/>
      <c r="H22" s="30"/>
      <c r="I22" s="26"/>
      <c r="J22" s="26"/>
      <c r="K22" s="30"/>
      <c r="L22" s="25"/>
      <c r="M22" s="25"/>
      <c r="N22" s="25"/>
      <c r="O22" s="25"/>
      <c r="P22" s="25"/>
    </row>
    <row r="23" spans="1:21" ht="14.4" thickBot="1" x14ac:dyDescent="0.35">
      <c r="B23" s="230" t="s">
        <v>252</v>
      </c>
      <c r="C23" s="231">
        <f ca="1">C21+C22</f>
        <v>551.5380507293936</v>
      </c>
      <c r="D23" s="231">
        <f>SUM(D21:D22)</f>
        <v>47.58</v>
      </c>
      <c r="E23" s="232">
        <f ca="1">SUM(E21:E22)</f>
        <v>503.95805072939356</v>
      </c>
      <c r="F23" s="610">
        <f ca="1">C22/$C$23</f>
        <v>0.5439342708493029</v>
      </c>
      <c r="G23" s="229"/>
      <c r="H23" s="30"/>
      <c r="I23" s="26"/>
      <c r="J23" s="40"/>
      <c r="K23" s="25"/>
      <c r="L23" s="25"/>
      <c r="M23" s="25"/>
      <c r="N23" s="25"/>
      <c r="O23" s="25"/>
      <c r="P23" s="25"/>
    </row>
    <row r="24" spans="1:21" x14ac:dyDescent="0.3">
      <c r="F24" s="611">
        <f ca="1">E23/C23</f>
        <v>0.91373215331729729</v>
      </c>
      <c r="G24" s="30"/>
      <c r="H24" s="30"/>
      <c r="I24" s="26"/>
      <c r="J24" s="218"/>
      <c r="K24" s="218"/>
      <c r="L24" s="25"/>
      <c r="M24" s="25"/>
      <c r="N24" s="25"/>
      <c r="O24" s="25"/>
      <c r="P24" s="25"/>
    </row>
    <row r="25" spans="1:21" x14ac:dyDescent="0.3">
      <c r="B25" s="25"/>
      <c r="C25" s="233"/>
      <c r="D25" s="43"/>
      <c r="E25" s="26"/>
      <c r="F25" s="25"/>
      <c r="G25" s="30"/>
      <c r="H25" s="25"/>
      <c r="I25" s="26"/>
      <c r="J25" s="25"/>
      <c r="K25" s="25"/>
      <c r="L25" s="25"/>
      <c r="M25" s="25"/>
      <c r="N25" s="25"/>
      <c r="O25" s="25"/>
      <c r="P25" s="25"/>
    </row>
    <row r="26" spans="1:21" x14ac:dyDescent="0.3">
      <c r="B26" s="25"/>
      <c r="D26" s="43"/>
      <c r="E26" s="23"/>
      <c r="F26" s="25"/>
      <c r="G26" s="25"/>
      <c r="H26" s="25"/>
      <c r="I26" s="26"/>
      <c r="J26" s="25"/>
      <c r="K26" s="25"/>
      <c r="L26" s="25"/>
      <c r="M26" s="25"/>
      <c r="N26" s="25"/>
      <c r="O26" s="25"/>
      <c r="P26" s="25"/>
    </row>
    <row r="27" spans="1:21" x14ac:dyDescent="0.3">
      <c r="B27" s="25"/>
      <c r="C27" s="33">
        <f ca="1">C16-C23</f>
        <v>0</v>
      </c>
      <c r="D27" s="25"/>
      <c r="E27" s="23"/>
      <c r="F27" s="25"/>
      <c r="G27" s="25"/>
      <c r="H27" s="25"/>
      <c r="I27" s="26"/>
      <c r="J27" s="25"/>
      <c r="K27" s="25"/>
      <c r="L27" s="25"/>
      <c r="M27" s="25"/>
      <c r="N27" s="25"/>
      <c r="O27" s="25"/>
      <c r="P27" s="25"/>
    </row>
    <row r="28" spans="1:21" x14ac:dyDescent="0.3">
      <c r="B28" s="25"/>
      <c r="C28" s="26"/>
      <c r="D28" s="25"/>
      <c r="E28" s="23"/>
      <c r="F28" s="25"/>
      <c r="G28" s="25"/>
      <c r="H28" s="25"/>
      <c r="I28" s="30"/>
      <c r="J28" s="25"/>
      <c r="K28" s="25"/>
      <c r="L28" s="25"/>
      <c r="M28" s="25"/>
      <c r="N28" s="25"/>
      <c r="O28" s="25"/>
      <c r="P28" s="25"/>
    </row>
    <row r="29" spans="1:21" x14ac:dyDescent="0.3">
      <c r="B29" s="25"/>
      <c r="C29" s="218"/>
      <c r="D29" s="25"/>
      <c r="E29" s="23"/>
      <c r="F29" s="25"/>
      <c r="G29" s="25"/>
      <c r="H29" s="25"/>
      <c r="I29" s="25"/>
      <c r="J29" s="25"/>
      <c r="K29" s="25"/>
      <c r="L29" s="25"/>
      <c r="M29" s="25"/>
      <c r="N29" s="25"/>
      <c r="O29" s="25"/>
      <c r="P29" s="25"/>
    </row>
    <row r="30" spans="1:21" x14ac:dyDescent="0.3">
      <c r="B30" s="25"/>
      <c r="C30" s="26"/>
      <c r="D30" s="25"/>
      <c r="E30" s="23"/>
      <c r="F30" s="25"/>
      <c r="G30" s="25"/>
      <c r="H30" s="25"/>
      <c r="I30" s="25"/>
      <c r="J30" s="25"/>
      <c r="K30" s="25"/>
      <c r="L30" s="25"/>
      <c r="M30" s="25"/>
      <c r="N30" s="25"/>
      <c r="O30" s="25"/>
      <c r="P30" s="25"/>
    </row>
    <row r="31" spans="1:21" x14ac:dyDescent="0.3">
      <c r="C31" s="1"/>
      <c r="D31" s="234" t="s">
        <v>402</v>
      </c>
      <c r="E31" s="235"/>
      <c r="F31" s="235"/>
      <c r="G31" s="235"/>
      <c r="H31" s="235"/>
      <c r="I31" s="235"/>
      <c r="J31" s="235"/>
    </row>
    <row r="32" spans="1:21" ht="27.6" x14ac:dyDescent="0.3">
      <c r="B32" s="236" t="s">
        <v>208</v>
      </c>
      <c r="C32" s="237" t="s">
        <v>371</v>
      </c>
      <c r="D32" s="237" t="s">
        <v>173</v>
      </c>
      <c r="E32" s="237" t="s">
        <v>58</v>
      </c>
      <c r="F32" s="237" t="s">
        <v>34</v>
      </c>
      <c r="G32" s="237" t="s">
        <v>408</v>
      </c>
      <c r="H32" s="237" t="s">
        <v>20</v>
      </c>
      <c r="I32" s="237" t="s">
        <v>506</v>
      </c>
      <c r="J32" s="237" t="s">
        <v>505</v>
      </c>
      <c r="K32" s="237" t="s">
        <v>507</v>
      </c>
      <c r="L32" s="237" t="s">
        <v>21</v>
      </c>
      <c r="M32" s="237" t="s">
        <v>409</v>
      </c>
      <c r="N32" s="238" t="s">
        <v>67</v>
      </c>
      <c r="R32" s="239" t="s">
        <v>425</v>
      </c>
      <c r="S32" s="240" t="s">
        <v>69</v>
      </c>
      <c r="T32" s="240" t="s">
        <v>413</v>
      </c>
      <c r="U32" s="241" t="s">
        <v>404</v>
      </c>
    </row>
    <row r="33" spans="1:23" x14ac:dyDescent="0.3">
      <c r="B33" s="169" t="s">
        <v>230</v>
      </c>
      <c r="C33" s="242">
        <f>'Assumption Sheet'!E12</f>
        <v>243028.41058999998</v>
      </c>
      <c r="D33" s="243">
        <f ca="1">'Cost &amp; Means'!$C$12*C33/$C$38</f>
        <v>12.244697955477136</v>
      </c>
      <c r="E33" s="52">
        <f ca="1">'Cost &amp; Means'!$C$11*C33/$C$38</f>
        <v>1.2269993968732842</v>
      </c>
      <c r="F33" s="52">
        <f>'Cost &amp; Means'!$C$4*C33/$C$38</f>
        <v>8.1508613228516253</v>
      </c>
      <c r="G33" s="52">
        <f>'Cost Phasing'!J111</f>
        <v>58.415766939875937</v>
      </c>
      <c r="H33" s="52">
        <f>'Cost Phasing'!J84</f>
        <v>0.8603205734885998</v>
      </c>
      <c r="I33" s="52">
        <f ca="1">+'Cost Phasing'!J52+('CF_Debt Schedule'!$B$21*C33/$C$38)-'Monthly Cashflow'!$B$26*C33/$C$38-'Monthly Cashflow'!$B$25*C33/$C$38</f>
        <v>4.6214370000510652</v>
      </c>
      <c r="J33" s="52">
        <f>+'Cost Phasing'!J93</f>
        <v>3.1215298141411361</v>
      </c>
      <c r="K33" s="52">
        <f>'Cost Phasing'!J102</f>
        <v>5.8415766939875935</v>
      </c>
      <c r="L33" s="244">
        <f ca="1">SUM(D33:K33)</f>
        <v>94.483189696746365</v>
      </c>
      <c r="M33" s="52">
        <f ca="1">L33*$F$23</f>
        <v>51.392644895216101</v>
      </c>
      <c r="N33" s="244">
        <f ca="1">L33-M33</f>
        <v>43.090544801530264</v>
      </c>
      <c r="R33" s="243">
        <f>_xlfn.XLOOKUP(B33,'LRD_Phase-wise'!$K$3:$K$7,'LRD_Phase-wise'!$L$3:$L$7)</f>
        <v>65.605787965713773</v>
      </c>
      <c r="S33" s="245">
        <f ca="1">'LRD_Phase-wise'!C16</f>
        <v>53</v>
      </c>
      <c r="T33" s="52">
        <f ca="1">S33-M33</f>
        <v>1.607355104783899</v>
      </c>
      <c r="U33" s="246">
        <f ca="1">'LRD_Phase-wise'!C64</f>
        <v>3.5226045897418126</v>
      </c>
      <c r="W33" s="53"/>
    </row>
    <row r="34" spans="1:23" x14ac:dyDescent="0.3">
      <c r="B34" s="169" t="s">
        <v>231</v>
      </c>
      <c r="C34" s="242">
        <f>'Assumption Sheet'!E13</f>
        <v>470733.22550099995</v>
      </c>
      <c r="D34" s="243">
        <f ca="1">'Cost &amp; Means'!$C$12*C34/$C$38</f>
        <v>23.717334734132628</v>
      </c>
      <c r="E34" s="52">
        <f ca="1">'Cost &amp; Means'!$C$11*C34/$C$38</f>
        <v>2.3766331778894862</v>
      </c>
      <c r="F34" s="52">
        <f>'Cost &amp; Means'!$C$4*C34/$C$38</f>
        <v>15.78778889185218</v>
      </c>
      <c r="G34" s="52">
        <f>'Cost Phasing'!J112</f>
        <v>113.14826248077334</v>
      </c>
      <c r="H34" s="52">
        <f>'Cost Phasing'!J85</f>
        <v>1.66639561827354</v>
      </c>
      <c r="I34" s="52">
        <f ca="1">+'Cost Phasing'!J53+('CF_Debt Schedule'!$B$21*C34/$C$38)-'Monthly Cashflow'!$B$26*C34/$C$38-'Monthly Cashflow'!$B$25*C34/$C$38</f>
        <v>8.9514799533203977</v>
      </c>
      <c r="J34" s="52">
        <f>+'Cost Phasing'!J94</f>
        <v>6.0462387683024916</v>
      </c>
      <c r="K34" s="52">
        <f>'Cost Phasing'!J103</f>
        <v>11.314826248077337</v>
      </c>
      <c r="L34" s="244">
        <f ca="1">SUM(D34:K34)</f>
        <v>183.00895987262138</v>
      </c>
      <c r="M34" s="52">
        <f t="shared" ref="M34:M37" ca="1" si="2">L34*$F$23</f>
        <v>99.544845147203645</v>
      </c>
      <c r="N34" s="244">
        <f t="shared" ref="N34:N37" ca="1" si="3">L34-M34</f>
        <v>83.46411472541773</v>
      </c>
      <c r="R34" s="243">
        <f>_xlfn.XLOOKUP(B34,'LRD_Phase-wise'!$K$3:$K$7,'LRD_Phase-wise'!$L$3:$L$7)</f>
        <v>127.06742946780426</v>
      </c>
      <c r="S34" s="245">
        <f ca="1">'LRD_Phase-wise'!C77</f>
        <v>107</v>
      </c>
      <c r="T34" s="52">
        <f ca="1">S34-M34</f>
        <v>7.4551548527963547</v>
      </c>
      <c r="U34" s="246">
        <f ca="1">'LRD_Phase-wise'!C128</f>
        <v>5.1433393874032403</v>
      </c>
      <c r="W34" s="53"/>
    </row>
    <row r="35" spans="1:23" x14ac:dyDescent="0.3">
      <c r="B35" s="169" t="s">
        <v>232</v>
      </c>
      <c r="C35" s="242">
        <f>'Assumption Sheet'!E14</f>
        <v>196225.03588799998</v>
      </c>
      <c r="D35" s="243">
        <f ca="1">'Cost &amp; Means'!$C$12*C35/$C$38</f>
        <v>9.8865654839207799</v>
      </c>
      <c r="E35" s="52">
        <f ca="1">'Cost &amp; Means'!$C$11*C35/$C$38</f>
        <v>0.99069898906676024</v>
      </c>
      <c r="F35" s="52">
        <f>'Cost &amp; Means'!$C$4*C35/$C$38</f>
        <v>6.5811361384119698</v>
      </c>
      <c r="G35" s="52">
        <f>'Cost Phasing'!J113</f>
        <v>47.165826976255005</v>
      </c>
      <c r="H35" s="52">
        <f>'Cost Phasing'!J86</f>
        <v>0.69463662704352025</v>
      </c>
      <c r="I35" s="52">
        <f ca="1">+'Cost Phasing'!J54+('CF_Debt Schedule'!$B$21*C35/$C$38)-'Monthly Cashflow'!$B$26*C35/$C$38-'Monthly Cashflow'!$B$25*C35/$C$38</f>
        <v>3.7314223427113418</v>
      </c>
      <c r="J35" s="52">
        <f>+'Cost Phasing'!J95</f>
        <v>2.5203732284562381</v>
      </c>
      <c r="K35" s="52">
        <f>'Cost Phasing'!J104</f>
        <v>4.7165826976255003</v>
      </c>
      <c r="L35" s="244">
        <f ca="1">SUM(D35:K35)</f>
        <v>76.287242483491113</v>
      </c>
      <c r="M35" s="52">
        <f t="shared" ca="1" si="2"/>
        <v>41.495245615361704</v>
      </c>
      <c r="N35" s="244">
        <f t="shared" ca="1" si="3"/>
        <v>34.791996868129409</v>
      </c>
      <c r="R35" s="243">
        <f>_xlfn.XLOOKUP(B35,'LRD_Phase-wise'!$K$3:$K$7,'LRD_Phase-wise'!$L$3:$L$7)</f>
        <v>52.956649848649214</v>
      </c>
      <c r="S35" s="245">
        <f>'LRD_Phase-wise'!C141</f>
        <v>43</v>
      </c>
      <c r="T35" s="52">
        <f ca="1">S35-M35</f>
        <v>1.5047543846382965</v>
      </c>
      <c r="U35" s="246">
        <f>'LRD_Phase-wise'!C192</f>
        <v>2.2073829636532851</v>
      </c>
      <c r="W35" s="53"/>
    </row>
    <row r="36" spans="1:23" x14ac:dyDescent="0.3">
      <c r="B36" s="169" t="s">
        <v>234</v>
      </c>
      <c r="C36" s="242">
        <f>'Assumption Sheet'!E15</f>
        <v>420964.181071</v>
      </c>
      <c r="D36" s="243">
        <f ca="1">'Cost &amp; Means'!$C$12*C36/$C$38</f>
        <v>21.209780514037067</v>
      </c>
      <c r="E36" s="52">
        <f ca="1">'Cost &amp; Means'!$C$11*C36/$C$38</f>
        <v>2.125359726566169</v>
      </c>
      <c r="F36" s="52">
        <f>'Cost &amp; Means'!$C$4*C36/$C$38</f>
        <v>14.118598946796173</v>
      </c>
      <c r="G36" s="52">
        <f>'Cost Phasing'!J114</f>
        <v>101.18547634731199</v>
      </c>
      <c r="H36" s="52">
        <f>'Cost Phasing'!J87</f>
        <v>1.4902132009913405</v>
      </c>
      <c r="I36" s="52">
        <f ca="1">+'Cost Phasing'!J55+('CF_Debt Schedule'!$B$21*C36/$C$38)-'Monthly Cashflow'!$B$26*C36/$C$38-'Monthly Cashflow'!$B$25*C36/$C$38</f>
        <v>8.0050700137268933</v>
      </c>
      <c r="J36" s="52">
        <f>+'Cost Phasing'!J96</f>
        <v>5.4069902309302433</v>
      </c>
      <c r="K36" s="52">
        <f>'Cost Phasing'!J105</f>
        <v>10.118547634731197</v>
      </c>
      <c r="L36" s="244">
        <f ca="1">SUM(D36:K36)</f>
        <v>163.66003661509109</v>
      </c>
      <c r="M36" s="52">
        <f t="shared" ca="1" si="2"/>
        <v>89.020302683399791</v>
      </c>
      <c r="N36" s="244">
        <f t="shared" ca="1" si="3"/>
        <v>74.639733931691296</v>
      </c>
      <c r="R36" s="243">
        <f>_xlfn.XLOOKUP(B36,'LRD_Phase-wise'!$K$3:$K$7,'LRD_Phase-wise'!$L$3:$L$7)</f>
        <v>113.61054093861193</v>
      </c>
      <c r="S36" s="245">
        <f ca="1">'LRD_Phase-wise'!C205</f>
        <v>95</v>
      </c>
      <c r="T36" s="52">
        <f ca="1">S36-M36</f>
        <v>5.979697316600209</v>
      </c>
      <c r="U36" s="246">
        <f ca="1">'LRD_Phase-wise'!C256</f>
        <v>4.8876485770637901</v>
      </c>
      <c r="W36" s="53"/>
    </row>
    <row r="37" spans="1:23" x14ac:dyDescent="0.3">
      <c r="B37" s="169" t="s">
        <v>259</v>
      </c>
      <c r="C37" s="242">
        <f>'Assumption Sheet'!E16</f>
        <v>87708.024565</v>
      </c>
      <c r="D37" s="243">
        <f ca="1">'Cost &amp; Means'!$C$12*C37/$C$38</f>
        <v>4.4190646947932786</v>
      </c>
      <c r="E37" s="52">
        <f ca="1">'Cost &amp; Means'!$C$11*C37/$C$38</f>
        <v>0.44281939292998196</v>
      </c>
      <c r="F37" s="52">
        <f>'Cost &amp; Means'!$C$4*C37/$C$38</f>
        <v>2.9416147000880515</v>
      </c>
      <c r="G37" s="52">
        <f>'Cost Phasing'!J115</f>
        <v>21.082027032590794</v>
      </c>
      <c r="H37" s="52">
        <f>'Cost Phasing'!J88</f>
        <v>0.31048640696009994</v>
      </c>
      <c r="I37" s="52">
        <f ca="1">+'Cost Phasing'!J56+('CF_Debt Schedule'!$B$21*C37/$C$38)-'Monthly Cashflow'!$B$26*C37/$C$38-'Monthly Cashflow'!$B$25*C37/$C$38</f>
        <v>1.6678589509022506</v>
      </c>
      <c r="J37" s="52">
        <f>+'Cost Phasing'!J97</f>
        <v>1.1265481799202293</v>
      </c>
      <c r="K37" s="52">
        <f>'Cost Phasing'!J106</f>
        <v>2.1082027032590789</v>
      </c>
      <c r="L37" s="244">
        <f ca="1">SUM(D37:K37)</f>
        <v>34.098622061443763</v>
      </c>
      <c r="M37" s="52">
        <f t="shared" ca="1" si="2"/>
        <v>18.547409127957366</v>
      </c>
      <c r="N37" s="244">
        <f t="shared" ca="1" si="3"/>
        <v>15.551212933486397</v>
      </c>
      <c r="R37" s="243">
        <f>_xlfn.XLOOKUP(B37,'LRD_Phase-wise'!$K$3:$K$7,'LRD_Phase-wise'!$L$3:$L$7)</f>
        <v>23.666046084802559</v>
      </c>
      <c r="S37" s="245">
        <f ca="1">'LRD_Phase-wise'!C270</f>
        <v>19.5</v>
      </c>
      <c r="T37" s="52">
        <f ca="1">S37-M37</f>
        <v>0.95259087204263437</v>
      </c>
      <c r="U37" s="246">
        <f ca="1">'LRD_Phase-wise'!C321/10</f>
        <v>2.1830915862694863E-2</v>
      </c>
      <c r="W37" s="53"/>
    </row>
    <row r="38" spans="1:23" x14ac:dyDescent="0.3">
      <c r="B38" s="163" t="s">
        <v>137</v>
      </c>
      <c r="C38" s="247">
        <f t="shared" ref="C38:E38" si="4">SUM(C33:C37)</f>
        <v>1418658.8776149999</v>
      </c>
      <c r="D38" s="248">
        <f t="shared" ca="1" si="4"/>
        <v>71.477443382360889</v>
      </c>
      <c r="E38" s="190">
        <f t="shared" ca="1" si="4"/>
        <v>7.1625106833256815</v>
      </c>
      <c r="F38" s="190">
        <f t="shared" ref="F38:N38" si="5">SUM(F33:F37)</f>
        <v>47.58</v>
      </c>
      <c r="G38" s="190">
        <f t="shared" si="5"/>
        <v>340.99735977680706</v>
      </c>
      <c r="H38" s="190">
        <f t="shared" si="5"/>
        <v>5.0220524267571012</v>
      </c>
      <c r="I38" s="190">
        <f t="shared" ca="1" si="5"/>
        <v>26.977268260711948</v>
      </c>
      <c r="J38" s="190">
        <f t="shared" si="5"/>
        <v>18.221680221750336</v>
      </c>
      <c r="K38" s="190">
        <f t="shared" si="5"/>
        <v>34.099735977680709</v>
      </c>
      <c r="L38" s="249">
        <f t="shared" ca="1" si="5"/>
        <v>551.5380507293936</v>
      </c>
      <c r="M38" s="190">
        <f t="shared" ca="1" si="5"/>
        <v>300.00044746913863</v>
      </c>
      <c r="N38" s="249">
        <f t="shared" ca="1" si="5"/>
        <v>251.53760326025511</v>
      </c>
      <c r="R38" s="250">
        <f>SUM(R33:R37)</f>
        <v>382.90645430558175</v>
      </c>
      <c r="S38" s="248">
        <f ca="1">SUM(S33:S37)</f>
        <v>317.5</v>
      </c>
      <c r="T38" s="190">
        <f ca="1">SUM(T33:T37)</f>
        <v>17.499552530861394</v>
      </c>
      <c r="U38" s="249">
        <f ca="1">SUM(U33:U37)</f>
        <v>15.782806433724824</v>
      </c>
      <c r="W38" s="53"/>
    </row>
    <row r="39" spans="1:23" x14ac:dyDescent="0.3">
      <c r="B39" s="25"/>
      <c r="C39" s="26"/>
      <c r="D39" s="25"/>
      <c r="E39" s="23"/>
      <c r="F39" s="25"/>
      <c r="G39" s="25"/>
      <c r="H39" s="25"/>
      <c r="I39" s="25"/>
      <c r="J39" s="25"/>
      <c r="K39" s="25"/>
      <c r="L39" s="25"/>
      <c r="M39" s="25"/>
      <c r="N39" s="25"/>
      <c r="O39" s="25"/>
      <c r="P39" s="25"/>
    </row>
    <row r="40" spans="1:23" x14ac:dyDescent="0.3">
      <c r="B40" s="25"/>
      <c r="C40" s="26"/>
      <c r="D40" s="25"/>
      <c r="E40" s="23"/>
      <c r="F40" s="25"/>
      <c r="G40" s="25"/>
      <c r="H40" s="25"/>
      <c r="I40" s="25"/>
      <c r="J40" s="25"/>
      <c r="K40" s="25"/>
      <c r="L40" s="25"/>
      <c r="M40" s="25"/>
      <c r="N40" s="25"/>
      <c r="O40" s="25"/>
      <c r="P40" s="25"/>
    </row>
    <row r="41" spans="1:23" x14ac:dyDescent="0.3">
      <c r="B41" s="25"/>
      <c r="C41" s="26"/>
      <c r="D41" s="25"/>
      <c r="E41" s="23"/>
      <c r="F41" s="25"/>
      <c r="G41" s="25"/>
      <c r="H41" s="25"/>
      <c r="I41" s="25"/>
      <c r="J41" s="25"/>
      <c r="K41" s="25"/>
      <c r="L41" s="25"/>
      <c r="M41" s="25"/>
      <c r="N41" s="25"/>
      <c r="O41" s="25"/>
      <c r="P41" s="25"/>
    </row>
    <row r="42" spans="1:23" x14ac:dyDescent="0.3">
      <c r="A42" s="45"/>
      <c r="B42" s="25"/>
      <c r="C42" s="218"/>
      <c r="D42" s="30"/>
      <c r="E42" s="23"/>
      <c r="F42" s="25"/>
      <c r="G42" s="25"/>
      <c r="H42" s="25"/>
      <c r="I42" s="25"/>
      <c r="J42" s="25"/>
      <c r="K42" s="25"/>
      <c r="L42" s="25"/>
      <c r="M42" s="25"/>
      <c r="N42" s="25"/>
      <c r="O42" s="25"/>
      <c r="P42" s="25"/>
    </row>
    <row r="43" spans="1:23" x14ac:dyDescent="0.3">
      <c r="B43" s="25"/>
      <c r="C43" s="218"/>
      <c r="D43" s="30"/>
      <c r="E43" s="23"/>
      <c r="F43" s="25"/>
      <c r="G43" s="30"/>
      <c r="H43" s="25"/>
      <c r="I43" s="25"/>
      <c r="J43" s="25"/>
      <c r="K43" s="25"/>
      <c r="L43" s="25"/>
      <c r="M43" s="25"/>
      <c r="N43" s="25"/>
      <c r="O43" s="25"/>
      <c r="P43" s="25"/>
    </row>
    <row r="44" spans="1:23" x14ac:dyDescent="0.3">
      <c r="B44" s="25"/>
      <c r="C44" s="218"/>
      <c r="D44" s="30"/>
      <c r="E44" s="23"/>
      <c r="F44" s="25"/>
      <c r="G44" s="25"/>
      <c r="H44" s="25"/>
      <c r="I44" s="25"/>
      <c r="J44" s="25"/>
      <c r="K44" s="25"/>
      <c r="L44" s="25"/>
      <c r="M44" s="25"/>
      <c r="N44" s="25"/>
      <c r="O44" s="25"/>
      <c r="P44" s="25"/>
    </row>
    <row r="45" spans="1:23" x14ac:dyDescent="0.3">
      <c r="B45" s="25"/>
      <c r="C45" s="218"/>
      <c r="D45" s="30"/>
      <c r="E45" s="23"/>
      <c r="F45" s="25"/>
      <c r="G45" s="25"/>
      <c r="H45" s="25"/>
      <c r="I45" s="25"/>
      <c r="J45" s="25"/>
      <c r="K45" s="25"/>
      <c r="L45" s="25"/>
      <c r="M45" s="25"/>
      <c r="N45" s="25"/>
      <c r="O45" s="25"/>
      <c r="P45" s="25"/>
    </row>
    <row r="46" spans="1:23" x14ac:dyDescent="0.3">
      <c r="B46" s="25"/>
      <c r="C46" s="218"/>
      <c r="D46" s="30"/>
      <c r="E46" s="23"/>
      <c r="F46" s="25"/>
      <c r="G46" s="25"/>
      <c r="H46" s="25"/>
      <c r="I46" s="25"/>
      <c r="J46" s="25"/>
      <c r="K46" s="25"/>
      <c r="L46" s="25"/>
      <c r="M46" s="25"/>
      <c r="N46" s="25"/>
      <c r="O46" s="25"/>
      <c r="P46" s="25"/>
    </row>
    <row r="47" spans="1:23" x14ac:dyDescent="0.3">
      <c r="B47" s="25"/>
      <c r="C47" s="218"/>
      <c r="D47" s="30"/>
      <c r="E47" s="23"/>
      <c r="F47" s="25"/>
      <c r="G47" s="25"/>
      <c r="H47" s="25"/>
      <c r="I47" s="25"/>
      <c r="J47" s="25"/>
      <c r="K47" s="25"/>
      <c r="L47" s="25"/>
      <c r="M47" s="25"/>
      <c r="N47" s="25"/>
      <c r="O47" s="25"/>
      <c r="P47" s="25"/>
    </row>
    <row r="48" spans="1:23" x14ac:dyDescent="0.3">
      <c r="B48" s="25"/>
      <c r="C48" s="26"/>
      <c r="D48" s="30"/>
      <c r="E48" s="23"/>
      <c r="F48" s="25"/>
      <c r="G48" s="25"/>
      <c r="H48" s="25"/>
      <c r="I48" s="25"/>
      <c r="J48" s="25"/>
      <c r="K48" s="25"/>
      <c r="L48" s="25"/>
      <c r="M48" s="25"/>
      <c r="N48" s="25"/>
      <c r="O48" s="25"/>
      <c r="P48" s="25"/>
    </row>
    <row r="49" spans="2:16" x14ac:dyDescent="0.3">
      <c r="B49" s="25"/>
      <c r="C49" s="26"/>
      <c r="D49" s="25"/>
      <c r="E49" s="23"/>
      <c r="F49" s="25"/>
      <c r="G49" s="25"/>
      <c r="H49" s="25"/>
      <c r="I49" s="25"/>
      <c r="J49" s="25"/>
      <c r="K49" s="25"/>
      <c r="L49" s="25"/>
      <c r="M49" s="25"/>
      <c r="N49" s="25"/>
      <c r="O49" s="25"/>
      <c r="P49" s="25"/>
    </row>
    <row r="50" spans="2:16" x14ac:dyDescent="0.3">
      <c r="B50" s="25"/>
      <c r="C50" s="26"/>
      <c r="D50" s="25"/>
      <c r="E50" s="23"/>
      <c r="F50" s="25"/>
      <c r="G50" s="25"/>
      <c r="H50" s="25"/>
      <c r="I50" s="25"/>
      <c r="J50" s="25"/>
      <c r="K50" s="25"/>
      <c r="L50" s="25"/>
      <c r="M50" s="25"/>
      <c r="N50" s="25"/>
      <c r="O50" s="25"/>
      <c r="P50" s="25"/>
    </row>
    <row r="51" spans="2:16" x14ac:dyDescent="0.3">
      <c r="B51" s="25"/>
      <c r="C51" s="26"/>
      <c r="D51" s="25"/>
      <c r="E51" s="23"/>
      <c r="F51" s="25"/>
      <c r="G51" s="25"/>
      <c r="H51" s="25"/>
      <c r="I51" s="25"/>
      <c r="J51" s="25"/>
      <c r="K51" s="25"/>
      <c r="L51" s="25"/>
      <c r="M51" s="25"/>
      <c r="N51" s="25"/>
      <c r="O51" s="25"/>
      <c r="P51" s="25"/>
    </row>
    <row r="52" spans="2:16" x14ac:dyDescent="0.3">
      <c r="B52" s="25"/>
      <c r="C52" s="26"/>
      <c r="D52" s="25"/>
      <c r="E52" s="23"/>
      <c r="F52" s="25"/>
      <c r="G52" s="25"/>
      <c r="H52" s="25"/>
      <c r="I52" s="25"/>
      <c r="J52" s="25"/>
      <c r="K52" s="25"/>
      <c r="L52" s="25"/>
      <c r="M52" s="25"/>
      <c r="N52" s="25"/>
      <c r="O52" s="25"/>
      <c r="P52" s="25"/>
    </row>
    <row r="53" spans="2:16" x14ac:dyDescent="0.3">
      <c r="B53" s="25"/>
      <c r="C53" s="26"/>
      <c r="D53" s="25"/>
      <c r="E53" s="23"/>
      <c r="F53" s="25"/>
      <c r="G53" s="25"/>
      <c r="H53" s="25"/>
      <c r="I53" s="25"/>
      <c r="J53" s="25"/>
      <c r="K53" s="25"/>
      <c r="L53" s="25"/>
      <c r="M53" s="25"/>
      <c r="N53" s="25"/>
      <c r="O53" s="25"/>
      <c r="P53" s="25"/>
    </row>
    <row r="54" spans="2:16" x14ac:dyDescent="0.3">
      <c r="B54" s="25"/>
      <c r="C54" s="26"/>
      <c r="D54" s="25"/>
      <c r="E54" s="23"/>
      <c r="F54" s="25"/>
      <c r="G54" s="25"/>
      <c r="H54" s="25"/>
      <c r="I54" s="25"/>
      <c r="J54" s="25"/>
      <c r="K54" s="25"/>
      <c r="L54" s="25"/>
      <c r="M54" s="25"/>
      <c r="N54" s="25"/>
      <c r="O54" s="25"/>
      <c r="P54" s="25"/>
    </row>
  </sheetData>
  <phoneticPr fontId="25" type="noConversion"/>
  <pageMargins left="0.7" right="0.7" top="0.75" bottom="0.75" header="0.3" footer="0.3"/>
  <pageSetup paperSize="9" orientation="portrait" r:id="rId1"/>
  <ignoredErrors>
    <ignoredError sqref="D21:E21 D22:E2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3A8FB-EC3E-47CF-A740-AE744F7AD6FE}">
  <dimension ref="C3:AA74"/>
  <sheetViews>
    <sheetView showGridLines="0" zoomScale="90" zoomScaleNormal="90" workbookViewId="0">
      <pane xSplit="2" ySplit="4" topLeftCell="C49" activePane="bottomRight" state="frozen"/>
      <selection pane="topRight" activeCell="C1" sqref="C1"/>
      <selection pane="bottomLeft" activeCell="A5" sqref="A5"/>
      <selection pane="bottomRight" activeCell="J59" sqref="J59"/>
    </sheetView>
  </sheetViews>
  <sheetFormatPr defaultRowHeight="13.8" x14ac:dyDescent="0.3"/>
  <cols>
    <col min="1" max="2" width="8.88671875" style="1"/>
    <col min="3" max="3" width="44.44140625" style="1" bestFit="1" customWidth="1"/>
    <col min="4" max="10" width="9.33203125" style="1" bestFit="1" customWidth="1"/>
    <col min="11" max="11" width="9.44140625" style="1" bestFit="1" customWidth="1"/>
    <col min="12" max="12" width="9.33203125" style="1" bestFit="1" customWidth="1"/>
    <col min="13" max="13" width="9.33203125" style="39" bestFit="1" customWidth="1"/>
    <col min="14" max="25" width="9.33203125" style="1" customWidth="1"/>
    <col min="26" max="16384" width="8.88671875" style="1"/>
  </cols>
  <sheetData>
    <row r="3" spans="3:25" x14ac:dyDescent="0.3">
      <c r="C3" s="39" t="s">
        <v>364</v>
      </c>
      <c r="D3" s="443">
        <f>'Assumption Sheet'!B13</f>
        <v>47118</v>
      </c>
    </row>
    <row r="4" spans="3:25" x14ac:dyDescent="0.3">
      <c r="C4" s="444" t="s">
        <v>208</v>
      </c>
      <c r="D4" s="445">
        <v>45382</v>
      </c>
      <c r="E4" s="445">
        <f>EOMONTH(D4,12)</f>
        <v>45747</v>
      </c>
      <c r="F4" s="445">
        <f t="shared" ref="F4:M4" si="0">EOMONTH(E4,12)</f>
        <v>46112</v>
      </c>
      <c r="G4" s="445">
        <f t="shared" si="0"/>
        <v>46477</v>
      </c>
      <c r="H4" s="445">
        <f t="shared" si="0"/>
        <v>46843</v>
      </c>
      <c r="I4" s="445">
        <f t="shared" si="0"/>
        <v>47208</v>
      </c>
      <c r="J4" s="445">
        <f t="shared" si="0"/>
        <v>47573</v>
      </c>
      <c r="K4" s="445">
        <f t="shared" si="0"/>
        <v>47938</v>
      </c>
      <c r="L4" s="445">
        <f t="shared" si="0"/>
        <v>48304</v>
      </c>
      <c r="M4" s="446">
        <f t="shared" si="0"/>
        <v>48669</v>
      </c>
      <c r="N4" s="581">
        <f t="shared" ref="N4" si="1">EOMONTH(M4,12)</f>
        <v>49034</v>
      </c>
      <c r="O4" s="425">
        <f t="shared" ref="O4" si="2">EOMONTH(N4,12)</f>
        <v>49399</v>
      </c>
      <c r="P4" s="425">
        <f t="shared" ref="P4" si="3">EOMONTH(O4,12)</f>
        <v>49765</v>
      </c>
      <c r="Q4" s="425">
        <f t="shared" ref="Q4" si="4">EOMONTH(P4,12)</f>
        <v>50130</v>
      </c>
      <c r="R4" s="425">
        <f t="shared" ref="R4" si="5">EOMONTH(Q4,12)</f>
        <v>50495</v>
      </c>
      <c r="S4" s="425">
        <f t="shared" ref="S4" si="6">EOMONTH(R4,12)</f>
        <v>50860</v>
      </c>
      <c r="T4" s="425">
        <f t="shared" ref="T4" si="7">EOMONTH(S4,12)</f>
        <v>51226</v>
      </c>
      <c r="U4" s="425">
        <f t="shared" ref="U4" si="8">EOMONTH(T4,12)</f>
        <v>51591</v>
      </c>
      <c r="V4" s="425">
        <f t="shared" ref="V4" si="9">EOMONTH(U4,12)</f>
        <v>51956</v>
      </c>
      <c r="W4" s="425">
        <f t="shared" ref="W4" si="10">EOMONTH(V4,12)</f>
        <v>52321</v>
      </c>
      <c r="X4" s="425">
        <f t="shared" ref="X4" si="11">EOMONTH(W4,12)</f>
        <v>52687</v>
      </c>
      <c r="Y4" s="426">
        <f t="shared" ref="Y4" si="12">EOMONTH(X4,12)</f>
        <v>53052</v>
      </c>
    </row>
    <row r="5" spans="3:25" x14ac:dyDescent="0.3">
      <c r="C5" s="169"/>
      <c r="D5" s="58"/>
      <c r="E5" s="58"/>
      <c r="F5" s="58"/>
      <c r="G5" s="58"/>
      <c r="H5" s="58"/>
      <c r="I5" s="58"/>
      <c r="J5" s="58"/>
      <c r="K5" s="58"/>
      <c r="L5" s="58"/>
      <c r="M5" s="447"/>
      <c r="N5" s="582"/>
      <c r="O5" s="58"/>
      <c r="P5" s="58"/>
      <c r="Q5" s="58"/>
      <c r="R5" s="58"/>
      <c r="S5" s="58"/>
      <c r="T5" s="58"/>
      <c r="U5" s="58"/>
      <c r="V5" s="58"/>
      <c r="W5" s="58"/>
      <c r="X5" s="58"/>
      <c r="Y5" s="447"/>
    </row>
    <row r="6" spans="3:25" x14ac:dyDescent="0.3">
      <c r="C6" s="169" t="s">
        <v>29</v>
      </c>
      <c r="M6" s="377"/>
      <c r="N6" s="169"/>
      <c r="Y6" s="377"/>
    </row>
    <row r="7" spans="3:25" x14ac:dyDescent="0.3">
      <c r="C7" s="448" t="s">
        <v>359</v>
      </c>
      <c r="D7" s="258">
        <f>SUMIFS('Monthly Cashflow'!10:10,'Monthly Cashflow'!$2:$2,D$4)</f>
        <v>0</v>
      </c>
      <c r="E7" s="258">
        <f>SUMIFS('Monthly Cashflow'!10:10,'Monthly Cashflow'!$2:$2,E$4)</f>
        <v>0</v>
      </c>
      <c r="F7" s="258">
        <f>SUMIFS('Monthly Cashflow'!10:10,'Monthly Cashflow'!$2:$2,F$4)</f>
        <v>1.5693559613849248</v>
      </c>
      <c r="G7" s="258">
        <f>SUMIFS('Monthly Cashflow'!10:10,'Monthly Cashflow'!$2:$2,G$4)</f>
        <v>9.3956514472816526</v>
      </c>
      <c r="H7" s="258">
        <f>SUMIFS('Monthly Cashflow'!10:10,'Monthly Cashflow'!$2:$2,H$4)</f>
        <v>21.518959769157377</v>
      </c>
      <c r="I7" s="258">
        <f>SUMIFS('Monthly Cashflow'!10:10,'Monthly Cashflow'!$2:$2,I$4)</f>
        <v>33.284282693906718</v>
      </c>
      <c r="J7" s="258">
        <f>SUMIFS('Monthly Cashflow'!10:10,'Monthly Cashflow'!$2:$2,J$4)</f>
        <v>39.932371302381981</v>
      </c>
      <c r="K7" s="258">
        <f>SUMIFS('Monthly Cashflow'!10:10,'Monthly Cashflow'!$2:$2,K$4)</f>
        <v>41.928989867501102</v>
      </c>
      <c r="L7" s="258">
        <f>SUMIFS('Monthly Cashflow'!10:10,'Monthly Cashflow'!$2:$2,L$4)</f>
        <v>44.025439360876149</v>
      </c>
      <c r="M7" s="246">
        <f>SUMIFS('Monthly Cashflow'!10:10,'Monthly Cashflow'!$2:$2,M$4)</f>
        <v>46.226711328919961</v>
      </c>
      <c r="N7" s="243">
        <f>SUMIFS('Monthly Cashflow'!10:10,'Monthly Cashflow'!$2:$2,N$4)</f>
        <v>48.538046895365959</v>
      </c>
      <c r="O7" s="258">
        <f>SUMIFS('Monthly Cashflow'!10:10,'Monthly Cashflow'!$2:$2,O$4)</f>
        <v>50.964949240134246</v>
      </c>
      <c r="P7" s="258">
        <f>SUMIFS('Monthly Cashflow'!10:10,'Monthly Cashflow'!$2:$2,P$4)</f>
        <v>53.513196702140959</v>
      </c>
      <c r="Q7" s="258">
        <f>SUMIFS('Monthly Cashflow'!10:10,'Monthly Cashflow'!$2:$2,Q$4)</f>
        <v>56.188856537248014</v>
      </c>
      <c r="R7" s="258">
        <f>SUMIFS('Monthly Cashflow'!10:10,'Monthly Cashflow'!$2:$2,R$4)</f>
        <v>58.998299364110409</v>
      </c>
      <c r="S7" s="258">
        <f>SUMIFS('Monthly Cashflow'!10:10,'Monthly Cashflow'!$2:$2,S$4)</f>
        <v>61.948214332315956</v>
      </c>
      <c r="T7" s="258">
        <f>SUMIFS('Monthly Cashflow'!10:10,'Monthly Cashflow'!$2:$2,T$4)</f>
        <v>65.04562504893174</v>
      </c>
      <c r="U7" s="258">
        <f>SUMIFS('Monthly Cashflow'!10:10,'Monthly Cashflow'!$2:$2,U$4)</f>
        <v>68.297906301378347</v>
      </c>
      <c r="V7" s="258">
        <f>SUMIFS('Monthly Cashflow'!10:10,'Monthly Cashflow'!$2:$2,V$4)</f>
        <v>71.712801616447251</v>
      </c>
      <c r="W7" s="258">
        <f>SUMIFS('Monthly Cashflow'!10:10,'Monthly Cashflow'!$2:$2,W$4)</f>
        <v>75.298441697269638</v>
      </c>
      <c r="X7" s="258">
        <f>SUMIFS('Monthly Cashflow'!10:10,'Monthly Cashflow'!$2:$2,X$4)</f>
        <v>79.063363782133123</v>
      </c>
      <c r="Y7" s="246">
        <f>SUMIFS('Monthly Cashflow'!10:10,'Monthly Cashflow'!$2:$2,Y$4)</f>
        <v>83.016531971239772</v>
      </c>
    </row>
    <row r="8" spans="3:25" x14ac:dyDescent="0.3">
      <c r="C8" s="448" t="s">
        <v>23</v>
      </c>
      <c r="D8" s="258">
        <f>SUMIFS('Monthly Cashflow'!11:11,'Monthly Cashflow'!$2:$2,D$4)</f>
        <v>0</v>
      </c>
      <c r="E8" s="258">
        <f>SUMIFS('Monthly Cashflow'!11:11,'Monthly Cashflow'!$2:$2,E$4)</f>
        <v>0</v>
      </c>
      <c r="F8" s="258">
        <f>SUMIFS('Monthly Cashflow'!11:11,'Monthly Cashflow'!$2:$2,F$4)</f>
        <v>7.6553949335849997E-2</v>
      </c>
      <c r="G8" s="258">
        <f>SUMIFS('Monthly Cashflow'!11:11,'Monthly Cashflow'!$2:$2,G$4)</f>
        <v>0.45832446084300749</v>
      </c>
      <c r="H8" s="258">
        <f>SUMIFS('Monthly Cashflow'!11:11,'Monthly Cashflow'!$2:$2,H$4)</f>
        <v>1.0497053545930428</v>
      </c>
      <c r="I8" s="258">
        <f>SUMIFS('Monthly Cashflow'!11:11,'Monthly Cashflow'!$2:$2,I$4)</f>
        <v>1.6236235460442303</v>
      </c>
      <c r="J8" s="258">
        <f>SUMIFS('Monthly Cashflow'!11:11,'Monthly Cashflow'!$2:$2,J$4)</f>
        <v>1.9479205513357065</v>
      </c>
      <c r="K8" s="258">
        <f>SUMIFS('Monthly Cashflow'!11:11,'Monthly Cashflow'!$2:$2,K$4)</f>
        <v>2.0453165789024923</v>
      </c>
      <c r="L8" s="258">
        <f>SUMIFS('Monthly Cashflow'!11:11,'Monthly Cashflow'!$2:$2,L$4)</f>
        <v>2.1475824078476169</v>
      </c>
      <c r="M8" s="246">
        <f>SUMIFS('Monthly Cashflow'!11:11,'Monthly Cashflow'!$2:$2,M$4)</f>
        <v>2.2549615282399982</v>
      </c>
      <c r="N8" s="243">
        <f>SUMIFS('Monthly Cashflow'!11:11,'Monthly Cashflow'!$2:$2,N$4)</f>
        <v>2.3677096046519974</v>
      </c>
      <c r="O8" s="258">
        <f>SUMIFS('Monthly Cashflow'!11:11,'Monthly Cashflow'!$2:$2,O$4)</f>
        <v>2.4860950848845977</v>
      </c>
      <c r="P8" s="258">
        <f>SUMIFS('Monthly Cashflow'!11:11,'Monthly Cashflow'!$2:$2,P$4)</f>
        <v>2.6103998391288274</v>
      </c>
      <c r="Q8" s="258">
        <f>SUMIFS('Monthly Cashflow'!11:11,'Monthly Cashflow'!$2:$2,Q$4)</f>
        <v>2.7409198310852689</v>
      </c>
      <c r="R8" s="258">
        <f>SUMIFS('Monthly Cashflow'!11:11,'Monthly Cashflow'!$2:$2,R$4)</f>
        <v>2.877965822639533</v>
      </c>
      <c r="S8" s="258">
        <f>SUMIFS('Monthly Cashflow'!11:11,'Monthly Cashflow'!$2:$2,S$4)</f>
        <v>3.0218641137715108</v>
      </c>
      <c r="T8" s="258">
        <f>SUMIFS('Monthly Cashflow'!11:11,'Monthly Cashflow'!$2:$2,T$4)</f>
        <v>3.1729573194600853</v>
      </c>
      <c r="U8" s="258">
        <f>SUMIFS('Monthly Cashflow'!11:11,'Monthly Cashflow'!$2:$2,U$4)</f>
        <v>3.3316051854330899</v>
      </c>
      <c r="V8" s="258">
        <f>SUMIFS('Monthly Cashflow'!11:11,'Monthly Cashflow'!$2:$2,V$4)</f>
        <v>3.4981854447047462</v>
      </c>
      <c r="W8" s="258">
        <f>SUMIFS('Monthly Cashflow'!11:11,'Monthly Cashflow'!$2:$2,W$4)</f>
        <v>3.6730947169399819</v>
      </c>
      <c r="X8" s="258">
        <f>SUMIFS('Monthly Cashflow'!11:11,'Monthly Cashflow'!$2:$2,X$4)</f>
        <v>3.856749452786981</v>
      </c>
      <c r="Y8" s="246">
        <f>SUMIFS('Monthly Cashflow'!11:11,'Monthly Cashflow'!$2:$2,Y$4)</f>
        <v>4.0495869254263308</v>
      </c>
    </row>
    <row r="9" spans="3:25" x14ac:dyDescent="0.3">
      <c r="C9" s="449" t="s">
        <v>360</v>
      </c>
      <c r="D9" s="450">
        <f>SUM(D7:D8)</f>
        <v>0</v>
      </c>
      <c r="E9" s="450">
        <f t="shared" ref="E9:L9" si="13">SUM(E7:E8)</f>
        <v>0</v>
      </c>
      <c r="F9" s="450">
        <f t="shared" si="13"/>
        <v>1.6459099107207749</v>
      </c>
      <c r="G9" s="450">
        <f t="shared" si="13"/>
        <v>9.8539759081246601</v>
      </c>
      <c r="H9" s="450">
        <f t="shared" si="13"/>
        <v>22.568665123750421</v>
      </c>
      <c r="I9" s="450">
        <f t="shared" si="13"/>
        <v>34.907906239950947</v>
      </c>
      <c r="J9" s="450">
        <f t="shared" si="13"/>
        <v>41.880291853717686</v>
      </c>
      <c r="K9" s="450">
        <f t="shared" si="13"/>
        <v>43.974306446403595</v>
      </c>
      <c r="L9" s="450">
        <f t="shared" si="13"/>
        <v>46.173021768723764</v>
      </c>
      <c r="M9" s="451">
        <f t="shared" ref="M9:Y9" si="14">SUM(M7:M8)</f>
        <v>48.481672857159957</v>
      </c>
      <c r="N9" s="583">
        <f t="shared" si="14"/>
        <v>50.905756500017958</v>
      </c>
      <c r="O9" s="580">
        <f t="shared" si="14"/>
        <v>53.451044325018842</v>
      </c>
      <c r="P9" s="580">
        <f t="shared" si="14"/>
        <v>56.123596541269784</v>
      </c>
      <c r="Q9" s="580">
        <f t="shared" si="14"/>
        <v>58.929776368333286</v>
      </c>
      <c r="R9" s="580">
        <f t="shared" si="14"/>
        <v>61.87626518674994</v>
      </c>
      <c r="S9" s="580">
        <f t="shared" si="14"/>
        <v>64.97007844608747</v>
      </c>
      <c r="T9" s="580">
        <f t="shared" si="14"/>
        <v>68.218582368391822</v>
      </c>
      <c r="U9" s="580">
        <f t="shared" si="14"/>
        <v>71.629511486811438</v>
      </c>
      <c r="V9" s="580">
        <f t="shared" si="14"/>
        <v>75.210987061151997</v>
      </c>
      <c r="W9" s="580">
        <f t="shared" si="14"/>
        <v>78.971536414209623</v>
      </c>
      <c r="X9" s="580">
        <f t="shared" si="14"/>
        <v>82.920113234920109</v>
      </c>
      <c r="Y9" s="584">
        <f t="shared" si="14"/>
        <v>87.066118896666097</v>
      </c>
    </row>
    <row r="10" spans="3:25" x14ac:dyDescent="0.3">
      <c r="C10" s="290"/>
      <c r="D10" s="259"/>
      <c r="E10" s="259"/>
      <c r="F10" s="259"/>
      <c r="G10" s="259"/>
      <c r="H10" s="259"/>
      <c r="I10" s="259"/>
      <c r="J10" s="259"/>
      <c r="K10" s="259"/>
      <c r="L10" s="259"/>
      <c r="M10" s="452"/>
      <c r="N10" s="585"/>
      <c r="O10" s="259"/>
      <c r="P10" s="259"/>
      <c r="Q10" s="259"/>
      <c r="R10" s="259"/>
      <c r="S10" s="259"/>
      <c r="T10" s="259"/>
      <c r="U10" s="259"/>
      <c r="V10" s="259"/>
      <c r="W10" s="259"/>
      <c r="X10" s="259"/>
      <c r="Y10" s="452"/>
    </row>
    <row r="11" spans="3:25" x14ac:dyDescent="0.3">
      <c r="C11" s="169" t="s">
        <v>361</v>
      </c>
      <c r="D11" s="258"/>
      <c r="E11" s="258"/>
      <c r="F11" s="258"/>
      <c r="G11" s="258"/>
      <c r="H11" s="258"/>
      <c r="I11" s="258"/>
      <c r="J11" s="258"/>
      <c r="K11" s="258"/>
      <c r="L11" s="258"/>
      <c r="M11" s="246"/>
      <c r="N11" s="243"/>
      <c r="O11" s="258"/>
      <c r="P11" s="258"/>
      <c r="Q11" s="258"/>
      <c r="R11" s="258"/>
      <c r="S11" s="258"/>
      <c r="T11" s="258"/>
      <c r="U11" s="258"/>
      <c r="V11" s="258"/>
      <c r="W11" s="258"/>
      <c r="X11" s="258"/>
      <c r="Y11" s="246"/>
    </row>
    <row r="12" spans="3:25" x14ac:dyDescent="0.3">
      <c r="C12" s="448" t="s">
        <v>362</v>
      </c>
      <c r="D12" s="258">
        <f>-SUMIFS('Monthly Cashflow'!14:14,'Monthly Cashflow'!2:2,D4)</f>
        <v>0</v>
      </c>
      <c r="E12" s="258">
        <f>-SUMIFS('Monthly Cashflow'!14:14,'Monthly Cashflow'!2:2,E4)</f>
        <v>0</v>
      </c>
      <c r="F12" s="258">
        <f>-SUMIFS('Monthly Cashflow'!14:14,'Monthly Cashflow'!2:2,F4)</f>
        <v>0.16459099107207747</v>
      </c>
      <c r="G12" s="258">
        <f>-SUMIFS('Monthly Cashflow'!14:14,'Monthly Cashflow'!2:2,G4)</f>
        <v>0.98539759081246614</v>
      </c>
      <c r="H12" s="258">
        <f>-SUMIFS('Monthly Cashflow'!14:14,'Monthly Cashflow'!2:2,H4)</f>
        <v>2.2568665123750424</v>
      </c>
      <c r="I12" s="258">
        <f>-SUMIFS('Monthly Cashflow'!14:14,'Monthly Cashflow'!2:2,I4)</f>
        <v>3.4907906239950948</v>
      </c>
      <c r="J12" s="258">
        <f>-SUMIFS('Monthly Cashflow'!14:14,'Monthly Cashflow'!2:2,J4)</f>
        <v>4.1880291853717706</v>
      </c>
      <c r="K12" s="258">
        <f>-SUMIFS('Monthly Cashflow'!14:14,'Monthly Cashflow'!2:2,K4)</f>
        <v>4.3974306446403579</v>
      </c>
      <c r="L12" s="258">
        <f>-SUMIFS('Monthly Cashflow'!14:14,'Monthly Cashflow'!2:2,L4)</f>
        <v>4.6173021768723777</v>
      </c>
      <c r="M12" s="246">
        <f>-SUMIFS('Monthly Cashflow'!14:14,'Monthly Cashflow'!2:2,M4)</f>
        <v>4.8481672857159959</v>
      </c>
      <c r="N12" s="243">
        <f>-SUMIFS('Monthly Cashflow'!14:14,'Monthly Cashflow'!2:2,N4)</f>
        <v>5.0905756500017976</v>
      </c>
      <c r="O12" s="258">
        <f>-SUMIFS('Monthly Cashflow'!14:14,'Monthly Cashflow'!2:2,O4)</f>
        <v>5.3451044325018851</v>
      </c>
      <c r="P12" s="258">
        <f>-SUMIFS('Monthly Cashflow'!14:14,'Monthly Cashflow'!2:2,P4)</f>
        <v>5.6123596541269789</v>
      </c>
      <c r="Q12" s="258">
        <f>-SUMIFS('Monthly Cashflow'!14:14,'Monthly Cashflow'!2:2,Q4)</f>
        <v>5.8929776368333302</v>
      </c>
      <c r="R12" s="258">
        <f>-SUMIFS('Monthly Cashflow'!14:14,'Monthly Cashflow'!2:2,R4)</f>
        <v>6.1876265186749944</v>
      </c>
      <c r="S12" s="258">
        <f>-SUMIFS('Monthly Cashflow'!14:14,'Monthly Cashflow'!2:2,S4)</f>
        <v>6.4970078446087474</v>
      </c>
      <c r="T12" s="258">
        <f>-SUMIFS('Monthly Cashflow'!14:14,'Monthly Cashflow'!2:2,T4)</f>
        <v>6.8218582368391845</v>
      </c>
      <c r="U12" s="258">
        <f>-SUMIFS('Monthly Cashflow'!14:14,'Monthly Cashflow'!2:2,U4)</f>
        <v>7.1629511486811444</v>
      </c>
      <c r="V12" s="258">
        <f>-SUMIFS('Monthly Cashflow'!14:14,'Monthly Cashflow'!2:2,V4)</f>
        <v>7.5210987061152013</v>
      </c>
      <c r="W12" s="258">
        <f>-SUMIFS('Monthly Cashflow'!14:14,'Monthly Cashflow'!2:2,W4)</f>
        <v>7.8971536414209629</v>
      </c>
      <c r="X12" s="258">
        <f>-SUMIFS('Monthly Cashflow'!14:14,'Monthly Cashflow'!2:2,X4)</f>
        <v>8.2920113234920123</v>
      </c>
      <c r="Y12" s="246">
        <f>-SUMIFS('Monthly Cashflow'!14:14,'Monthly Cashflow'!2:2,Y4)</f>
        <v>8.7066118896666111</v>
      </c>
    </row>
    <row r="13" spans="3:25" x14ac:dyDescent="0.3">
      <c r="C13" s="448" t="s">
        <v>44</v>
      </c>
      <c r="D13" s="258">
        <f>-SUMIFS('Monthly Cashflow'!26:26,'Monthly Cashflow'!$2:$2,D$4)</f>
        <v>0</v>
      </c>
      <c r="E13" s="258">
        <f>-SUMIFS('Monthly Cashflow'!26:26,'Monthly Cashflow'!$2:$2,E$4)</f>
        <v>0</v>
      </c>
      <c r="F13" s="258">
        <f>-SUMIFS('Monthly Cashflow'!26:26,'Monthly Cashflow'!$2:$2,F$4)</f>
        <v>1.0462373075899498</v>
      </c>
      <c r="G13" s="258">
        <f>-SUMIFS('Monthly Cashflow'!26:26,'Monthly Cashflow'!$2:$2,G$4)</f>
        <v>2.0265065357818051</v>
      </c>
      <c r="H13" s="258">
        <f>-SUMIFS('Monthly Cashflow'!26:26,'Monthly Cashflow'!$2:$2,H$4)</f>
        <v>0.84474877949784011</v>
      </c>
      <c r="I13" s="258">
        <f>-SUMIFS('Monthly Cashflow'!26:26,'Monthly Cashflow'!$2:$2,I$4)</f>
        <v>1.8122507995106552</v>
      </c>
      <c r="J13" s="258">
        <f>-SUMIFS('Monthly Cashflow'!26:26,'Monthly Cashflow'!$2:$2,J$4)</f>
        <v>0.37758304575232499</v>
      </c>
      <c r="K13" s="258">
        <f>-SUMIFS('Monthly Cashflow'!26:26,'Monthly Cashflow'!$2:$2,K$4)</f>
        <v>0</v>
      </c>
      <c r="L13" s="258">
        <f>-SUMIFS('Monthly Cashflow'!26:26,'Monthly Cashflow'!$2:$2,L$4)</f>
        <v>0</v>
      </c>
      <c r="M13" s="246">
        <f>-SUMIFS('Monthly Cashflow'!26:26,'Monthly Cashflow'!$2:$2,M$4)</f>
        <v>0</v>
      </c>
      <c r="N13" s="243">
        <f>-SUMIFS('Monthly Cashflow'!26:26,'Monthly Cashflow'!$2:$2,N$4)</f>
        <v>0</v>
      </c>
      <c r="O13" s="258">
        <f>-SUMIFS('Monthly Cashflow'!26:26,'Monthly Cashflow'!$2:$2,O$4)</f>
        <v>0</v>
      </c>
      <c r="P13" s="258">
        <f>-SUMIFS('Monthly Cashflow'!26:26,'Monthly Cashflow'!$2:$2,P$4)</f>
        <v>0</v>
      </c>
      <c r="Q13" s="258">
        <f>-SUMIFS('Monthly Cashflow'!26:26,'Monthly Cashflow'!$2:$2,Q$4)</f>
        <v>0</v>
      </c>
      <c r="R13" s="258">
        <f>-SUMIFS('Monthly Cashflow'!26:26,'Monthly Cashflow'!$2:$2,R$4)</f>
        <v>0</v>
      </c>
      <c r="S13" s="258">
        <f>-SUMIFS('Monthly Cashflow'!26:26,'Monthly Cashflow'!$2:$2,S$4)</f>
        <v>0</v>
      </c>
      <c r="T13" s="258">
        <f>-SUMIFS('Monthly Cashflow'!26:26,'Monthly Cashflow'!$2:$2,T$4)</f>
        <v>0</v>
      </c>
      <c r="U13" s="258">
        <f>-SUMIFS('Monthly Cashflow'!26:26,'Monthly Cashflow'!$2:$2,U$4)</f>
        <v>0</v>
      </c>
      <c r="V13" s="258">
        <f>-SUMIFS('Monthly Cashflow'!26:26,'Monthly Cashflow'!$2:$2,V$4)</f>
        <v>0</v>
      </c>
      <c r="W13" s="258">
        <f>-SUMIFS('Monthly Cashflow'!26:26,'Monthly Cashflow'!$2:$2,W$4)</f>
        <v>0</v>
      </c>
      <c r="X13" s="258">
        <f>-SUMIFS('Monthly Cashflow'!26:26,'Monthly Cashflow'!$2:$2,X$4)</f>
        <v>0</v>
      </c>
      <c r="Y13" s="246">
        <f>-SUMIFS('Monthly Cashflow'!26:26,'Monthly Cashflow'!$2:$2,Y$4)</f>
        <v>0</v>
      </c>
    </row>
    <row r="14" spans="3:25" x14ac:dyDescent="0.3">
      <c r="C14" s="449" t="s">
        <v>365</v>
      </c>
      <c r="D14" s="450">
        <f t="shared" ref="D14:M14" si="15">SUM(D12:D13)</f>
        <v>0</v>
      </c>
      <c r="E14" s="450">
        <f t="shared" si="15"/>
        <v>0</v>
      </c>
      <c r="F14" s="450">
        <f t="shared" si="15"/>
        <v>1.2108282986620273</v>
      </c>
      <c r="G14" s="450">
        <f t="shared" si="15"/>
        <v>3.0119041265942714</v>
      </c>
      <c r="H14" s="450">
        <f t="shared" si="15"/>
        <v>3.1016152918728825</v>
      </c>
      <c r="I14" s="450">
        <f t="shared" si="15"/>
        <v>5.3030414235057499</v>
      </c>
      <c r="J14" s="450">
        <f t="shared" si="15"/>
        <v>4.5656122311240956</v>
      </c>
      <c r="K14" s="450">
        <f t="shared" si="15"/>
        <v>4.3974306446403579</v>
      </c>
      <c r="L14" s="450">
        <f t="shared" si="15"/>
        <v>4.6173021768723777</v>
      </c>
      <c r="M14" s="451">
        <f t="shared" si="15"/>
        <v>4.8481672857159959</v>
      </c>
      <c r="N14" s="583">
        <f t="shared" ref="N14:Y14" si="16">SUM(N12:N13)</f>
        <v>5.0905756500017976</v>
      </c>
      <c r="O14" s="580">
        <f t="shared" si="16"/>
        <v>5.3451044325018851</v>
      </c>
      <c r="P14" s="580">
        <f t="shared" si="16"/>
        <v>5.6123596541269789</v>
      </c>
      <c r="Q14" s="580">
        <f t="shared" si="16"/>
        <v>5.8929776368333302</v>
      </c>
      <c r="R14" s="580">
        <f t="shared" si="16"/>
        <v>6.1876265186749944</v>
      </c>
      <c r="S14" s="580">
        <f t="shared" si="16"/>
        <v>6.4970078446087474</v>
      </c>
      <c r="T14" s="580">
        <f t="shared" si="16"/>
        <v>6.8218582368391845</v>
      </c>
      <c r="U14" s="580">
        <f t="shared" si="16"/>
        <v>7.1629511486811444</v>
      </c>
      <c r="V14" s="580">
        <f t="shared" si="16"/>
        <v>7.5210987061152013</v>
      </c>
      <c r="W14" s="580">
        <f t="shared" si="16"/>
        <v>7.8971536414209629</v>
      </c>
      <c r="X14" s="580">
        <f t="shared" si="16"/>
        <v>8.2920113234920123</v>
      </c>
      <c r="Y14" s="584">
        <f t="shared" si="16"/>
        <v>8.7066118896666111</v>
      </c>
    </row>
    <row r="15" spans="3:25" x14ac:dyDescent="0.3">
      <c r="C15" s="453" t="s">
        <v>189</v>
      </c>
      <c r="D15" s="441">
        <f t="shared" ref="D15:M15" si="17">D9-D14</f>
        <v>0</v>
      </c>
      <c r="E15" s="441">
        <f t="shared" si="17"/>
        <v>0</v>
      </c>
      <c r="F15" s="441">
        <f t="shared" si="17"/>
        <v>0.43508161205874751</v>
      </c>
      <c r="G15" s="441">
        <f t="shared" si="17"/>
        <v>6.8420717815303886</v>
      </c>
      <c r="H15" s="441">
        <f t="shared" si="17"/>
        <v>19.467049831877539</v>
      </c>
      <c r="I15" s="441">
        <f t="shared" si="17"/>
        <v>29.604864816445197</v>
      </c>
      <c r="J15" s="441">
        <f t="shared" si="17"/>
        <v>37.314679622593587</v>
      </c>
      <c r="K15" s="441">
        <f t="shared" si="17"/>
        <v>39.576875801763236</v>
      </c>
      <c r="L15" s="441">
        <f t="shared" si="17"/>
        <v>41.555719591851386</v>
      </c>
      <c r="M15" s="442">
        <f t="shared" si="17"/>
        <v>43.633505571443962</v>
      </c>
      <c r="N15" s="440">
        <f t="shared" ref="N15:Y15" si="18">N9-N14</f>
        <v>45.815180850016162</v>
      </c>
      <c r="O15" s="441">
        <f t="shared" si="18"/>
        <v>48.105939892516957</v>
      </c>
      <c r="P15" s="441">
        <f t="shared" si="18"/>
        <v>50.511236887142807</v>
      </c>
      <c r="Q15" s="441">
        <f t="shared" si="18"/>
        <v>53.036798731499957</v>
      </c>
      <c r="R15" s="441">
        <f t="shared" si="18"/>
        <v>55.688638668074944</v>
      </c>
      <c r="S15" s="441">
        <f t="shared" si="18"/>
        <v>58.473070601478724</v>
      </c>
      <c r="T15" s="441">
        <f t="shared" si="18"/>
        <v>61.396724131552638</v>
      </c>
      <c r="U15" s="441">
        <f t="shared" si="18"/>
        <v>64.466560338130293</v>
      </c>
      <c r="V15" s="441">
        <f t="shared" si="18"/>
        <v>67.6898883550368</v>
      </c>
      <c r="W15" s="441">
        <f t="shared" si="18"/>
        <v>71.074382772788667</v>
      </c>
      <c r="X15" s="441">
        <f t="shared" si="18"/>
        <v>74.628101911428104</v>
      </c>
      <c r="Y15" s="442">
        <f t="shared" si="18"/>
        <v>78.359507006999479</v>
      </c>
    </row>
    <row r="16" spans="3:25" x14ac:dyDescent="0.3">
      <c r="C16" s="454" t="s">
        <v>366</v>
      </c>
      <c r="D16" s="455">
        <f t="shared" ref="D16:M16" si="19">IFERROR(D15/D9,0)</f>
        <v>0</v>
      </c>
      <c r="E16" s="455">
        <f t="shared" si="19"/>
        <v>0</v>
      </c>
      <c r="F16" s="455">
        <f t="shared" si="19"/>
        <v>0.26434108527131783</v>
      </c>
      <c r="G16" s="455">
        <f t="shared" si="19"/>
        <v>0.69434630704638323</v>
      </c>
      <c r="H16" s="455">
        <f t="shared" si="19"/>
        <v>0.86256983854092206</v>
      </c>
      <c r="I16" s="455">
        <f t="shared" si="19"/>
        <v>0.84808480385350082</v>
      </c>
      <c r="J16" s="455">
        <f t="shared" si="19"/>
        <v>0.89098423079115163</v>
      </c>
      <c r="K16" s="455">
        <f t="shared" si="19"/>
        <v>0.9</v>
      </c>
      <c r="L16" s="455">
        <f t="shared" si="19"/>
        <v>0.89999999999999991</v>
      </c>
      <c r="M16" s="456">
        <f t="shared" si="19"/>
        <v>0.9</v>
      </c>
      <c r="N16" s="586">
        <f t="shared" ref="N16:Y16" si="20">IFERROR(N15/N9,0)</f>
        <v>0.9</v>
      </c>
      <c r="O16" s="455">
        <f t="shared" si="20"/>
        <v>0.9</v>
      </c>
      <c r="P16" s="455">
        <f t="shared" si="20"/>
        <v>0.9</v>
      </c>
      <c r="Q16" s="455">
        <f t="shared" si="20"/>
        <v>0.9</v>
      </c>
      <c r="R16" s="455">
        <f t="shared" si="20"/>
        <v>0.89999999999999991</v>
      </c>
      <c r="S16" s="455">
        <f t="shared" si="20"/>
        <v>0.9</v>
      </c>
      <c r="T16" s="455">
        <f t="shared" si="20"/>
        <v>0.9</v>
      </c>
      <c r="U16" s="455">
        <f t="shared" si="20"/>
        <v>0.9</v>
      </c>
      <c r="V16" s="455">
        <f t="shared" si="20"/>
        <v>0.9</v>
      </c>
      <c r="W16" s="455">
        <f t="shared" si="20"/>
        <v>0.9</v>
      </c>
      <c r="X16" s="455">
        <f t="shared" si="20"/>
        <v>0.9</v>
      </c>
      <c r="Y16" s="456">
        <f t="shared" si="20"/>
        <v>0.89999999999999991</v>
      </c>
    </row>
    <row r="17" spans="3:27" x14ac:dyDescent="0.3">
      <c r="C17" s="169"/>
      <c r="D17" s="46"/>
      <c r="E17" s="46"/>
      <c r="F17" s="46"/>
      <c r="G17" s="46"/>
      <c r="H17" s="46"/>
      <c r="I17" s="46"/>
      <c r="J17" s="46"/>
      <c r="K17" s="46"/>
      <c r="L17" s="46"/>
      <c r="M17" s="457"/>
      <c r="N17" s="587"/>
      <c r="O17" s="46"/>
      <c r="P17" s="46"/>
      <c r="Q17" s="46"/>
      <c r="R17" s="46"/>
      <c r="S17" s="46"/>
      <c r="T17" s="46"/>
      <c r="U17" s="46"/>
      <c r="V17" s="46"/>
      <c r="W17" s="46"/>
      <c r="X17" s="46"/>
      <c r="Y17" s="457"/>
    </row>
    <row r="18" spans="3:27" x14ac:dyDescent="0.3">
      <c r="C18" s="169" t="s">
        <v>184</v>
      </c>
      <c r="D18" s="258">
        <f ca="1">SUMIFS('Dep &amp; Tax Schedule'!35:35,'Dep &amp; Tax Schedule'!1:1,D4)</f>
        <v>0</v>
      </c>
      <c r="E18" s="258">
        <f ca="1">SUMIFS('Dep &amp; Tax Schedule'!35:35,'Dep &amp; Tax Schedule'!1:1,E4)</f>
        <v>0</v>
      </c>
      <c r="F18" s="258">
        <f ca="1">SUMIFS('Dep &amp; Tax Schedule'!35:35,'Dep &amp; Tax Schedule'!1:1,F4)</f>
        <v>2.8013217034234712</v>
      </c>
      <c r="G18" s="258">
        <f ca="1">SUMIFS('Dep &amp; Tax Schedule'!35:35,'Dep &amp; Tax Schedule'!1:1,G4)</f>
        <v>5.5143279686521716</v>
      </c>
      <c r="H18" s="258">
        <f ca="1">SUMIFS('Dep &amp; Tax Schedule'!35:35,'Dep &amp; Tax Schedule'!1:1,H4)</f>
        <v>9.3582502664007396</v>
      </c>
      <c r="I18" s="258">
        <f ca="1">SUMIFS('Dep &amp; Tax Schedule'!35:35,'Dep &amp; Tax Schedule'!1:1,I4)</f>
        <v>12.915335514970698</v>
      </c>
      <c r="J18" s="258">
        <f ca="1">SUMIFS('Dep &amp; Tax Schedule'!35:35,'Dep &amp; Tax Schedule'!1:1,J4)</f>
        <v>15.846997879294797</v>
      </c>
      <c r="K18" s="258">
        <f ca="1">SUMIFS('Dep &amp; Tax Schedule'!35:35,'Dep &amp; Tax Schedule'!1:1,K4)</f>
        <v>16.352491027568803</v>
      </c>
      <c r="L18" s="258">
        <f ca="1">SUMIFS('Dep &amp; Tax Schedule'!35:35,'Dep &amp; Tax Schedule'!1:1,L4)</f>
        <v>16.352491027568803</v>
      </c>
      <c r="M18" s="246">
        <f ca="1">SUMIFS('Dep &amp; Tax Schedule'!35:35,'Dep &amp; Tax Schedule'!1:1,M4)</f>
        <v>16.352491027568803</v>
      </c>
      <c r="N18" s="243">
        <f ca="1">SUMIFS('Dep &amp; Tax Schedule'!35:35,'Dep &amp; Tax Schedule'!1:1,N4)</f>
        <v>16.352491027568803</v>
      </c>
      <c r="O18" s="258">
        <f ca="1">SUMIFS('Dep &amp; Tax Schedule'!35:35,'Dep &amp; Tax Schedule'!1:1,O4)</f>
        <v>16.352491027568803</v>
      </c>
      <c r="P18" s="258">
        <f ca="1">SUMIFS('Dep &amp; Tax Schedule'!35:35,'Dep &amp; Tax Schedule'!1:1,P4)</f>
        <v>16.352491027568803</v>
      </c>
      <c r="Q18" s="258">
        <f ca="1">SUMIFS('Dep &amp; Tax Schedule'!35:35,'Dep &amp; Tax Schedule'!1:1,Q4)</f>
        <v>16.352491027568803</v>
      </c>
      <c r="R18" s="258">
        <f ca="1">SUMIFS('Dep &amp; Tax Schedule'!35:35,'Dep &amp; Tax Schedule'!1:1,R4)</f>
        <v>16.352491027568803</v>
      </c>
      <c r="S18" s="258">
        <f ca="1">SUMIFS('Dep &amp; Tax Schedule'!35:35,'Dep &amp; Tax Schedule'!1:1,S4)</f>
        <v>16.352491027568803</v>
      </c>
      <c r="T18" s="258">
        <f ca="1">SUMIFS('Dep &amp; Tax Schedule'!35:35,'Dep &amp; Tax Schedule'!1:1,T4)</f>
        <v>16.352491027568803</v>
      </c>
      <c r="U18" s="258">
        <f ca="1">SUMIFS('Dep &amp; Tax Schedule'!35:35,'Dep &amp; Tax Schedule'!1:1,U4)</f>
        <v>16.352491027568803</v>
      </c>
      <c r="V18" s="258">
        <f ca="1">SUMIFS('Dep &amp; Tax Schedule'!35:35,'Dep &amp; Tax Schedule'!1:1,V4)</f>
        <v>16.352491027568803</v>
      </c>
      <c r="W18" s="258">
        <f ca="1">SUMIFS('Dep &amp; Tax Schedule'!35:35,'Dep &amp; Tax Schedule'!1:1,W4)</f>
        <v>16.352491027568803</v>
      </c>
      <c r="X18" s="258">
        <f ca="1">SUMIFS('Dep &amp; Tax Schedule'!35:35,'Dep &amp; Tax Schedule'!1:1,X4)</f>
        <v>16.352491027568803</v>
      </c>
      <c r="Y18" s="246">
        <f ca="1">SUMIFS('Dep &amp; Tax Schedule'!35:35,'Dep &amp; Tax Schedule'!1:1,Y4)</f>
        <v>16.352491027568803</v>
      </c>
    </row>
    <row r="19" spans="3:27" x14ac:dyDescent="0.3">
      <c r="C19" s="169" t="s">
        <v>158</v>
      </c>
      <c r="D19" s="258">
        <f>SUMIFS('CF_Debt Schedule'!82:82,'CF_Debt Schedule'!74:74,D4)</f>
        <v>0</v>
      </c>
      <c r="E19" s="258">
        <f>SUMIFS('CF_Debt Schedule'!82:82,'CF_Debt Schedule'!74:74,E4)</f>
        <v>0</v>
      </c>
      <c r="F19" s="258">
        <f>SUMIFS('CF_Debt Schedule'!82:82,'CF_Debt Schedule'!74:74,F4)</f>
        <v>0</v>
      </c>
      <c r="G19" s="258">
        <f>SUMIFS('CF_Debt Schedule'!82:82,'CF_Debt Schedule'!74:74,G4)</f>
        <v>0</v>
      </c>
      <c r="H19" s="258">
        <f>SUMIFS('CF_Debt Schedule'!82:82,'CF_Debt Schedule'!74:74,H4)</f>
        <v>0</v>
      </c>
      <c r="I19" s="258">
        <f ca="1">SUMIFS('CF_Debt Schedule'!82:82,'CF_Debt Schedule'!74:74,I4)</f>
        <v>7.1625106833256815</v>
      </c>
      <c r="J19" s="258">
        <f ca="1">SUMIFS('CF_Debt Schedule'!82:82,'CF_Debt Schedule'!74:74,J4)</f>
        <v>7.1625106833256815</v>
      </c>
      <c r="K19" s="258">
        <f>SUMIFS('CF_Debt Schedule'!82:82,'CF_Debt Schedule'!74:74,K4)</f>
        <v>0</v>
      </c>
      <c r="L19" s="258">
        <f>SUMIFS('CF_Debt Schedule'!82:82,'CF_Debt Schedule'!74:74,L4)</f>
        <v>0</v>
      </c>
      <c r="M19" s="246">
        <f>SUMIFS('CF_Debt Schedule'!82:82,'CF_Debt Schedule'!74:74,M4)</f>
        <v>0</v>
      </c>
      <c r="N19" s="243">
        <f>SUMIFS('CF_Debt Schedule'!82:82,'CF_Debt Schedule'!74:74,N4)</f>
        <v>0</v>
      </c>
      <c r="O19" s="258">
        <f>SUMIFS('CF_Debt Schedule'!82:82,'CF_Debt Schedule'!74:74,O4)</f>
        <v>0</v>
      </c>
      <c r="P19" s="258">
        <f>SUMIFS('CF_Debt Schedule'!82:82,'CF_Debt Schedule'!74:74,P4)</f>
        <v>0</v>
      </c>
      <c r="Q19" s="258">
        <f>SUMIFS('CF_Debt Schedule'!82:82,'CF_Debt Schedule'!74:74,Q4)</f>
        <v>0</v>
      </c>
      <c r="R19" s="258">
        <f>SUMIFS('CF_Debt Schedule'!82:82,'CF_Debt Schedule'!74:74,R4)</f>
        <v>0</v>
      </c>
      <c r="S19" s="258">
        <f>SUMIFS('CF_Debt Schedule'!82:82,'CF_Debt Schedule'!74:74,S4)</f>
        <v>0</v>
      </c>
      <c r="T19" s="258">
        <f>SUMIFS('CF_Debt Schedule'!82:82,'CF_Debt Schedule'!74:74,T4)</f>
        <v>0</v>
      </c>
      <c r="U19" s="258">
        <f>SUMIFS('CF_Debt Schedule'!82:82,'CF_Debt Schedule'!74:74,U4)</f>
        <v>0</v>
      </c>
      <c r="V19" s="258">
        <f>SUMIFS('CF_Debt Schedule'!82:82,'CF_Debt Schedule'!74:74,V4)</f>
        <v>0</v>
      </c>
      <c r="W19" s="258">
        <f>SUMIFS('CF_Debt Schedule'!82:82,'CF_Debt Schedule'!74:74,W4)</f>
        <v>0</v>
      </c>
      <c r="X19" s="258">
        <f>SUMIFS('CF_Debt Schedule'!82:82,'CF_Debt Schedule'!74:74,X4)</f>
        <v>0</v>
      </c>
      <c r="Y19" s="246">
        <f>SUMIFS('CF_Debt Schedule'!82:82,'CF_Debt Schedule'!74:74,Y4)</f>
        <v>0</v>
      </c>
    </row>
    <row r="20" spans="3:27" x14ac:dyDescent="0.3">
      <c r="C20" s="169" t="s">
        <v>397</v>
      </c>
      <c r="D20" s="258">
        <f>SUMIFS('CF Statement'!34:34,'CF Statement'!5:5,D4)</f>
        <v>0</v>
      </c>
      <c r="E20" s="258">
        <f>SUMIFS('CF Statement'!34:34,'CF Statement'!5:5,E4)</f>
        <v>0</v>
      </c>
      <c r="F20" s="258">
        <f>SUMIFS('CF Statement'!34:34,'CF Statement'!5:5,F4)</f>
        <v>0</v>
      </c>
      <c r="G20" s="258">
        <f>SUMIFS('CF Statement'!34:34,'CF Statement'!5:5,G4)</f>
        <v>0</v>
      </c>
      <c r="H20" s="258">
        <f>SUMIFS('CF Statement'!34:34,'CF Statement'!5:5,H4)</f>
        <v>0</v>
      </c>
      <c r="I20" s="258">
        <f>SUMIFS('CF Statement'!34:34,'CF Statement'!5:5,I4)</f>
        <v>0</v>
      </c>
      <c r="J20" s="258">
        <f ca="1">'LRD - Combined'!C7</f>
        <v>1.200001789876554</v>
      </c>
      <c r="K20" s="258">
        <f>SUMIFS('CF Statement'!34:34,'CF Statement'!5:5,K4)</f>
        <v>0</v>
      </c>
      <c r="L20" s="258">
        <f>SUMIFS('CF Statement'!34:34,'CF Statement'!5:5,L4)</f>
        <v>0</v>
      </c>
      <c r="M20" s="246">
        <f>SUMIFS('CF Statement'!34:34,'CF Statement'!5:5,M4)</f>
        <v>0</v>
      </c>
      <c r="N20" s="243">
        <f>SUMIFS('CF Statement'!34:34,'CF Statement'!5:5,N4)</f>
        <v>0</v>
      </c>
      <c r="O20" s="258">
        <f>SUMIFS('CF Statement'!34:34,'CF Statement'!5:5,O4)</f>
        <v>0</v>
      </c>
      <c r="P20" s="258">
        <f>SUMIFS('CF Statement'!34:34,'CF Statement'!5:5,P4)</f>
        <v>0</v>
      </c>
      <c r="Q20" s="258">
        <f>SUMIFS('CF Statement'!34:34,'CF Statement'!5:5,Q4)</f>
        <v>0</v>
      </c>
      <c r="R20" s="258">
        <f>SUMIFS('CF Statement'!34:34,'CF Statement'!5:5,R4)</f>
        <v>0</v>
      </c>
      <c r="S20" s="258">
        <f>SUMIFS('CF Statement'!34:34,'CF Statement'!5:5,S4)</f>
        <v>0</v>
      </c>
      <c r="T20" s="258">
        <f>SUMIFS('CF Statement'!34:34,'CF Statement'!5:5,T4)</f>
        <v>0</v>
      </c>
      <c r="U20" s="258">
        <f>SUMIFS('CF Statement'!34:34,'CF Statement'!5:5,U4)</f>
        <v>0</v>
      </c>
      <c r="V20" s="258">
        <f>SUMIFS('CF Statement'!34:34,'CF Statement'!5:5,V4)</f>
        <v>0</v>
      </c>
      <c r="W20" s="258">
        <f>SUMIFS('CF Statement'!34:34,'CF Statement'!5:5,W4)</f>
        <v>0</v>
      </c>
      <c r="X20" s="258">
        <f>SUMIFS('CF Statement'!34:34,'CF Statement'!5:5,X4)</f>
        <v>0</v>
      </c>
      <c r="Y20" s="246">
        <f>SUMIFS('CF Statement'!34:34,'CF Statement'!5:5,Y4)</f>
        <v>0</v>
      </c>
    </row>
    <row r="21" spans="3:27" x14ac:dyDescent="0.3">
      <c r="C21" s="169" t="s">
        <v>367</v>
      </c>
      <c r="D21" s="258">
        <f>SUMIFS('LRD - Combined'!51:51,'LRD - Combined'!46:46,D4)</f>
        <v>0</v>
      </c>
      <c r="E21" s="258">
        <f>SUMIFS('LRD - Combined'!51:51,'LRD - Combined'!46:46,E4)</f>
        <v>0</v>
      </c>
      <c r="F21" s="258">
        <f ca="1">SUMIFS('LRD - Combined'!51:51,'LRD - Combined'!46:46,F4)</f>
        <v>0</v>
      </c>
      <c r="G21" s="258">
        <f ca="1">SUMIFS('LRD - Combined'!51:51,'LRD - Combined'!46:46,G4)</f>
        <v>0</v>
      </c>
      <c r="H21" s="258">
        <f ca="1">SUMIFS('LRD - Combined'!51:51,'LRD - Combined'!46:46,H4)</f>
        <v>0</v>
      </c>
      <c r="I21" s="258">
        <f ca="1">SUMIFS('LRD - Combined'!51:51,'LRD - Combined'!46:46,I4)</f>
        <v>0</v>
      </c>
      <c r="J21" s="258">
        <f ca="1">SUMIFS('LRD - Combined'!51:51,'LRD - Combined'!46:46,J4)</f>
        <v>19.077215954842188</v>
      </c>
      <c r="K21" s="258">
        <f ca="1">SUMIFS('LRD - Combined'!51:51,'LRD - Combined'!46:46,K4)</f>
        <v>25.149412511897214</v>
      </c>
      <c r="L21" s="258">
        <f ca="1">SUMIFS('LRD - Combined'!51:51,'LRD - Combined'!46:46,L4)</f>
        <v>24.607536703656091</v>
      </c>
      <c r="M21" s="246">
        <f ca="1">SUMIFS('LRD - Combined'!51:51,'LRD - Combined'!46:46,M4)</f>
        <v>23.87441061015338</v>
      </c>
      <c r="N21" s="243">
        <f ca="1">SUMIFS('LRD - Combined'!51:51,'LRD - Combined'!46:46,N4)</f>
        <v>22.918159183845503</v>
      </c>
      <c r="O21" s="258">
        <f ca="1">SUMIFS('LRD - Combined'!51:51,'LRD - Combined'!46:46,O4)</f>
        <v>21.706907377188855</v>
      </c>
      <c r="P21" s="258">
        <f ca="1">SUMIFS('LRD - Combined'!51:51,'LRD - Combined'!46:46,P4)</f>
        <v>20.240655190183439</v>
      </c>
      <c r="Q21" s="258">
        <f ca="1">SUMIFS('LRD - Combined'!51:51,'LRD - Combined'!46:46,Q4)</f>
        <v>18.487527575285661</v>
      </c>
      <c r="R21" s="258">
        <f ca="1">SUMIFS('LRD - Combined'!51:51,'LRD - Combined'!46:46,R4)</f>
        <v>16.383774437408327</v>
      </c>
      <c r="S21" s="258">
        <f ca="1">SUMIFS('LRD - Combined'!51:51,'LRD - Combined'!46:46,S4)</f>
        <v>14.088771014269419</v>
      </c>
      <c r="T21" s="258">
        <f ca="1">SUMIFS('LRD - Combined'!51:51,'LRD - Combined'!46:46,T4)</f>
        <v>11.793767591130509</v>
      </c>
      <c r="U21" s="258">
        <f ca="1">SUMIFS('LRD - Combined'!51:51,'LRD - Combined'!46:46,U4)</f>
        <v>9.4987641679915988</v>
      </c>
      <c r="V21" s="258">
        <f ca="1">SUMIFS('LRD - Combined'!51:51,'LRD - Combined'!46:46,V4)</f>
        <v>7.0762605546783055</v>
      </c>
      <c r="W21" s="258">
        <f ca="1">SUMIFS('LRD - Combined'!51:51,'LRD - Combined'!46:46,W4)</f>
        <v>4.526256751190628</v>
      </c>
      <c r="X21" s="258">
        <f ca="1">SUMIFS('LRD - Combined'!51:51,'LRD - Combined'!46:46,X4)</f>
        <v>1.9762529477029496</v>
      </c>
      <c r="Y21" s="246">
        <f ca="1">SUMIFS('LRD - Combined'!51:51,'LRD - Combined'!46:46,Y4)</f>
        <v>8.7656380744888171E-2</v>
      </c>
    </row>
    <row r="22" spans="3:27" x14ac:dyDescent="0.3">
      <c r="C22" s="169" t="s">
        <v>456</v>
      </c>
      <c r="D22" s="258">
        <f>SUMIFS('Quasi Equity_Schedule'!12:12,'Quasi Equity_Schedule'!3:3,D4)</f>
        <v>0</v>
      </c>
      <c r="E22" s="258">
        <f>SUMIFS('Quasi Equity_Schedule'!12:12,'Quasi Equity_Schedule'!3:3,E4)</f>
        <v>0</v>
      </c>
      <c r="F22" s="258">
        <f>SUMIFS('Quasi Equity_Schedule'!12:12,'Quasi Equity_Schedule'!3:3,F4)</f>
        <v>0</v>
      </c>
      <c r="G22" s="258">
        <f>SUMIFS('Quasi Equity_Schedule'!12:12,'Quasi Equity_Schedule'!3:3,G4)</f>
        <v>0</v>
      </c>
      <c r="H22" s="258">
        <f>SUMIFS('Quasi Equity_Schedule'!12:12,'Quasi Equity_Schedule'!3:3,H4)</f>
        <v>0</v>
      </c>
      <c r="I22" s="258">
        <f ca="1">SUMIFS('Quasi Equity_Schedule'!12:12,'Quasi Equity_Schedule'!3:3,I4)</f>
        <v>8.7796960699606839</v>
      </c>
      <c r="J22" s="258">
        <f ca="1">SUMIFS('Quasi Equity_Schedule'!12:12,'Quasi Equity_Schedule'!3:3,J4)</f>
        <v>35.215264456435712</v>
      </c>
      <c r="K22" s="258">
        <f ca="1">SUMIFS('Quasi Equity_Schedule'!12:12,'Quasi Equity_Schedule'!3:3,K4)</f>
        <v>35.215264456435712</v>
      </c>
      <c r="L22" s="258">
        <f ca="1">SUMIFS('Quasi Equity_Schedule'!12:12,'Quasi Equity_Schedule'!3:3,L4)</f>
        <v>35.311744633028688</v>
      </c>
      <c r="M22" s="246">
        <f ca="1">SUMIFS('Quasi Equity_Schedule'!12:12,'Quasi Equity_Schedule'!3:3,M4)</f>
        <v>35.215264456435712</v>
      </c>
      <c r="N22" s="243">
        <f ca="1">M22</f>
        <v>35.215264456435712</v>
      </c>
      <c r="O22" s="258">
        <f t="shared" ref="O22:Y22" ca="1" si="21">N22</f>
        <v>35.215264456435712</v>
      </c>
      <c r="P22" s="258">
        <f t="shared" ca="1" si="21"/>
        <v>35.215264456435712</v>
      </c>
      <c r="Q22" s="258">
        <f t="shared" ca="1" si="21"/>
        <v>35.215264456435712</v>
      </c>
      <c r="R22" s="258">
        <f t="shared" ca="1" si="21"/>
        <v>35.215264456435712</v>
      </c>
      <c r="S22" s="258">
        <f t="shared" ca="1" si="21"/>
        <v>35.215264456435712</v>
      </c>
      <c r="T22" s="258">
        <f t="shared" ca="1" si="21"/>
        <v>35.215264456435712</v>
      </c>
      <c r="U22" s="258">
        <f t="shared" ca="1" si="21"/>
        <v>35.215264456435712</v>
      </c>
      <c r="V22" s="258">
        <f t="shared" ca="1" si="21"/>
        <v>35.215264456435712</v>
      </c>
      <c r="W22" s="258">
        <f t="shared" ca="1" si="21"/>
        <v>35.215264456435712</v>
      </c>
      <c r="X22" s="258">
        <f t="shared" ca="1" si="21"/>
        <v>35.215264456435712</v>
      </c>
      <c r="Y22" s="246">
        <f t="shared" ca="1" si="21"/>
        <v>35.215264456435712</v>
      </c>
    </row>
    <row r="23" spans="3:27" x14ac:dyDescent="0.3">
      <c r="C23" s="432" t="s">
        <v>392</v>
      </c>
      <c r="D23" s="441">
        <f ca="1">D15-SUM(D18:D22)</f>
        <v>0</v>
      </c>
      <c r="E23" s="441">
        <f t="shared" ref="E23:M23" ca="1" si="22">E15-SUM(E18:E22)</f>
        <v>0</v>
      </c>
      <c r="F23" s="441">
        <f t="shared" ca="1" si="22"/>
        <v>-2.3662400913647237</v>
      </c>
      <c r="G23" s="441">
        <f t="shared" ca="1" si="22"/>
        <v>1.3277438128782171</v>
      </c>
      <c r="H23" s="441">
        <f t="shared" ca="1" si="22"/>
        <v>10.108799565476799</v>
      </c>
      <c r="I23" s="441">
        <f t="shared" ca="1" si="22"/>
        <v>0.7473225481881336</v>
      </c>
      <c r="J23" s="441">
        <f t="shared" ca="1" si="22"/>
        <v>-41.18731114118134</v>
      </c>
      <c r="K23" s="441">
        <f t="shared" ca="1" si="22"/>
        <v>-37.140292194138482</v>
      </c>
      <c r="L23" s="441">
        <f t="shared" ca="1" si="22"/>
        <v>-34.716052772402207</v>
      </c>
      <c r="M23" s="442">
        <f t="shared" ca="1" si="22"/>
        <v>-31.808660522713936</v>
      </c>
      <c r="N23" s="440">
        <f t="shared" ref="N23:Y23" ca="1" si="23">N15-SUM(N18:N22)</f>
        <v>-28.670733817833849</v>
      </c>
      <c r="O23" s="441">
        <f t="shared" ca="1" si="23"/>
        <v>-25.16872296867642</v>
      </c>
      <c r="P23" s="441">
        <f t="shared" ca="1" si="23"/>
        <v>-21.297173787045146</v>
      </c>
      <c r="Q23" s="441">
        <f t="shared" ca="1" si="23"/>
        <v>-17.018484327790219</v>
      </c>
      <c r="R23" s="441">
        <f t="shared" ca="1" si="23"/>
        <v>-12.262891253337898</v>
      </c>
      <c r="S23" s="441">
        <f t="shared" ca="1" si="23"/>
        <v>-7.1834558967952091</v>
      </c>
      <c r="T23" s="441">
        <f t="shared" ca="1" si="23"/>
        <v>-1.9647989435823874</v>
      </c>
      <c r="U23" s="441">
        <f t="shared" ca="1" si="23"/>
        <v>3.4000406861341759</v>
      </c>
      <c r="V23" s="441">
        <f t="shared" ca="1" si="23"/>
        <v>9.0458723163539787</v>
      </c>
      <c r="W23" s="441">
        <f t="shared" ca="1" si="23"/>
        <v>14.980370537593522</v>
      </c>
      <c r="X23" s="441">
        <f t="shared" ca="1" si="23"/>
        <v>21.084093479720636</v>
      </c>
      <c r="Y23" s="442">
        <f t="shared" ca="1" si="23"/>
        <v>26.704095142250075</v>
      </c>
      <c r="AA23" s="52"/>
    </row>
    <row r="24" spans="3:27" x14ac:dyDescent="0.3">
      <c r="C24" s="169"/>
      <c r="D24" s="46"/>
      <c r="E24" s="46"/>
      <c r="F24" s="46"/>
      <c r="G24" s="46"/>
      <c r="H24" s="46"/>
      <c r="I24" s="46"/>
      <c r="J24" s="46"/>
      <c r="K24" s="46"/>
      <c r="L24" s="46"/>
      <c r="M24" s="457"/>
      <c r="N24" s="587"/>
      <c r="O24" s="46"/>
      <c r="P24" s="46"/>
      <c r="Q24" s="46"/>
      <c r="R24" s="46"/>
      <c r="S24" s="46"/>
      <c r="T24" s="46"/>
      <c r="U24" s="46"/>
      <c r="V24" s="46"/>
      <c r="W24" s="46"/>
      <c r="X24" s="46"/>
      <c r="Y24" s="457"/>
    </row>
    <row r="25" spans="3:27" x14ac:dyDescent="0.3">
      <c r="C25" s="169" t="s">
        <v>452</v>
      </c>
      <c r="D25" s="258">
        <f ca="1">SUMIFS('Dep &amp; Tax Schedule'!61:61,'Dep &amp; Tax Schedule'!55:55,D4)</f>
        <v>0</v>
      </c>
      <c r="E25" s="258">
        <f ca="1">SUMIFS('Dep &amp; Tax Schedule'!61:61,'Dep &amp; Tax Schedule'!55:55,E4)</f>
        <v>0</v>
      </c>
      <c r="F25" s="258">
        <f ca="1">SUMIFS('Dep &amp; Tax Schedule'!61:61,'Dep &amp; Tax Schedule'!55:55,F4)</f>
        <v>0</v>
      </c>
      <c r="G25" s="258">
        <f ca="1">SUMIFS('Dep &amp; Tax Schedule'!61:61,'Dep &amp; Tax Schedule'!55:55,G4)</f>
        <v>0</v>
      </c>
      <c r="H25" s="258">
        <f ca="1">SUMIFS('Dep &amp; Tax Schedule'!61:61,'Dep &amp; Tax Schedule'!55:55,H4)</f>
        <v>0</v>
      </c>
      <c r="I25" s="258">
        <f ca="1">SUMIFS('Dep &amp; Tax Schedule'!61:61,'Dep &amp; Tax Schedule'!55:55,I4)</f>
        <v>0</v>
      </c>
      <c r="J25" s="258">
        <f ca="1">SUMIFS('Dep &amp; Tax Schedule'!61:61,'Dep &amp; Tax Schedule'!55:55,J4)</f>
        <v>0</v>
      </c>
      <c r="K25" s="258">
        <f ca="1">SUMIFS('Dep &amp; Tax Schedule'!61:61,'Dep &amp; Tax Schedule'!55:55,K4)</f>
        <v>0</v>
      </c>
      <c r="L25" s="258">
        <f ca="1">SUMIFS('Dep &amp; Tax Schedule'!61:61,'Dep &amp; Tax Schedule'!55:55,L4)</f>
        <v>0</v>
      </c>
      <c r="M25" s="246">
        <f ca="1">SUMIFS('Dep &amp; Tax Schedule'!61:61,'Dep &amp; Tax Schedule'!55:55,M4)</f>
        <v>0</v>
      </c>
      <c r="N25" s="243">
        <f ca="1">SUMIFS('Dep &amp; Tax Schedule'!61:61,'Dep &amp; Tax Schedule'!55:55,N4)</f>
        <v>0</v>
      </c>
      <c r="O25" s="258">
        <f ca="1">SUMIFS('Dep &amp; Tax Schedule'!61:61,'Dep &amp; Tax Schedule'!55:55,O4)</f>
        <v>0</v>
      </c>
      <c r="P25" s="258">
        <f ca="1">SUMIFS('Dep &amp; Tax Schedule'!61:61,'Dep &amp; Tax Schedule'!55:55,P4)</f>
        <v>0</v>
      </c>
      <c r="Q25" s="258">
        <f ca="1">SUMIFS('Dep &amp; Tax Schedule'!61:61,'Dep &amp; Tax Schedule'!55:55,Q4)</f>
        <v>0</v>
      </c>
      <c r="R25" s="258">
        <f ca="1">SUMIFS('Dep &amp; Tax Schedule'!61:61,'Dep &amp; Tax Schedule'!55:55,R4)</f>
        <v>0</v>
      </c>
      <c r="S25" s="258">
        <f ca="1">SUMIFS('Dep &amp; Tax Schedule'!61:61,'Dep &amp; Tax Schedule'!55:55,S4)</f>
        <v>0</v>
      </c>
      <c r="T25" s="258">
        <f ca="1">SUMIFS('Dep &amp; Tax Schedule'!61:61,'Dep &amp; Tax Schedule'!55:55,T4)</f>
        <v>0</v>
      </c>
      <c r="U25" s="258">
        <f ca="1">SUMIFS('Dep &amp; Tax Schedule'!61:61,'Dep &amp; Tax Schedule'!55:55,U4)</f>
        <v>0</v>
      </c>
      <c r="V25" s="258">
        <f ca="1">SUMIFS('Dep &amp; Tax Schedule'!61:61,'Dep &amp; Tax Schedule'!55:55,V4)</f>
        <v>0</v>
      </c>
      <c r="W25" s="258">
        <f ca="1">SUMIFS('Dep &amp; Tax Schedule'!61:61,'Dep &amp; Tax Schedule'!55:55,W4)</f>
        <v>0</v>
      </c>
      <c r="X25" s="258">
        <f ca="1">SUMIFS('Dep &amp; Tax Schedule'!61:61,'Dep &amp; Tax Schedule'!55:55,X4)</f>
        <v>0</v>
      </c>
      <c r="Y25" s="246">
        <f ca="1">SUMIFS('Dep &amp; Tax Schedule'!61:61,'Dep &amp; Tax Schedule'!55:55,Y4)</f>
        <v>0</v>
      </c>
    </row>
    <row r="26" spans="3:27" x14ac:dyDescent="0.3">
      <c r="C26" s="449" t="s">
        <v>393</v>
      </c>
      <c r="D26" s="450">
        <f ca="1">D23-D25</f>
        <v>0</v>
      </c>
      <c r="E26" s="450">
        <f t="shared" ref="E26:L26" ca="1" si="24">E23-E25</f>
        <v>0</v>
      </c>
      <c r="F26" s="450">
        <f t="shared" ca="1" si="24"/>
        <v>-2.3662400913647237</v>
      </c>
      <c r="G26" s="450">
        <f t="shared" ca="1" si="24"/>
        <v>1.3277438128782171</v>
      </c>
      <c r="H26" s="450">
        <f t="shared" ca="1" si="24"/>
        <v>10.108799565476799</v>
      </c>
      <c r="I26" s="450">
        <f t="shared" ca="1" si="24"/>
        <v>0.7473225481881336</v>
      </c>
      <c r="J26" s="450">
        <f t="shared" ca="1" si="24"/>
        <v>-41.18731114118134</v>
      </c>
      <c r="K26" s="450">
        <f t="shared" ca="1" si="24"/>
        <v>-37.140292194138482</v>
      </c>
      <c r="L26" s="450">
        <f t="shared" ca="1" si="24"/>
        <v>-34.716052772402207</v>
      </c>
      <c r="M26" s="451">
        <f t="shared" ref="M26:Y26" ca="1" si="25">M23-M25</f>
        <v>-31.808660522713936</v>
      </c>
      <c r="N26" s="583">
        <f t="shared" ca="1" si="25"/>
        <v>-28.670733817833849</v>
      </c>
      <c r="O26" s="580">
        <f t="shared" ca="1" si="25"/>
        <v>-25.16872296867642</v>
      </c>
      <c r="P26" s="580">
        <f t="shared" ca="1" si="25"/>
        <v>-21.297173787045146</v>
      </c>
      <c r="Q26" s="580">
        <f t="shared" ca="1" si="25"/>
        <v>-17.018484327790219</v>
      </c>
      <c r="R26" s="580">
        <f t="shared" ca="1" si="25"/>
        <v>-12.262891253337898</v>
      </c>
      <c r="S26" s="580">
        <f t="shared" ca="1" si="25"/>
        <v>-7.1834558967952091</v>
      </c>
      <c r="T26" s="580">
        <f t="shared" ca="1" si="25"/>
        <v>-1.9647989435823874</v>
      </c>
      <c r="U26" s="580">
        <f t="shared" ca="1" si="25"/>
        <v>3.4000406861341759</v>
      </c>
      <c r="V26" s="580">
        <f t="shared" ca="1" si="25"/>
        <v>9.0458723163539787</v>
      </c>
      <c r="W26" s="580">
        <f t="shared" ca="1" si="25"/>
        <v>14.980370537593522</v>
      </c>
      <c r="X26" s="580">
        <f t="shared" ca="1" si="25"/>
        <v>21.084093479720636</v>
      </c>
      <c r="Y26" s="584">
        <f t="shared" ca="1" si="25"/>
        <v>26.704095142250075</v>
      </c>
    </row>
    <row r="27" spans="3:27" x14ac:dyDescent="0.3">
      <c r="C27" s="169"/>
      <c r="D27" s="46"/>
      <c r="E27" s="46"/>
      <c r="F27" s="46"/>
      <c r="G27" s="46"/>
      <c r="H27" s="46"/>
      <c r="I27" s="46"/>
      <c r="J27" s="46"/>
      <c r="K27" s="46"/>
      <c r="L27" s="46"/>
      <c r="M27" s="457"/>
      <c r="N27" s="587"/>
      <c r="O27" s="46"/>
      <c r="P27" s="46"/>
      <c r="Q27" s="46"/>
      <c r="R27" s="46"/>
      <c r="S27" s="46"/>
      <c r="T27" s="46"/>
      <c r="U27" s="46"/>
      <c r="V27" s="46"/>
      <c r="W27" s="46"/>
      <c r="X27" s="46"/>
      <c r="Y27" s="457"/>
    </row>
    <row r="28" spans="3:27" x14ac:dyDescent="0.3">
      <c r="C28" s="169"/>
      <c r="D28" s="258"/>
      <c r="E28" s="258"/>
      <c r="F28" s="258"/>
      <c r="G28" s="258"/>
      <c r="H28" s="258"/>
      <c r="I28" s="258"/>
      <c r="J28" s="258"/>
      <c r="K28" s="258"/>
      <c r="L28" s="258"/>
      <c r="M28" s="246"/>
      <c r="N28" s="243"/>
      <c r="O28" s="258"/>
      <c r="P28" s="258"/>
      <c r="Q28" s="258"/>
      <c r="R28" s="258"/>
      <c r="S28" s="258"/>
      <c r="T28" s="258"/>
      <c r="U28" s="258"/>
      <c r="V28" s="258"/>
      <c r="W28" s="258"/>
      <c r="X28" s="258"/>
      <c r="Y28" s="246"/>
    </row>
    <row r="29" spans="3:27" x14ac:dyDescent="0.3">
      <c r="C29" s="449" t="s">
        <v>427</v>
      </c>
      <c r="D29" s="458"/>
      <c r="E29" s="458"/>
      <c r="F29" s="458"/>
      <c r="G29" s="458"/>
      <c r="H29" s="458"/>
      <c r="I29" s="458"/>
      <c r="J29" s="458"/>
      <c r="K29" s="458"/>
      <c r="L29" s="458"/>
      <c r="M29" s="459"/>
      <c r="N29" s="597"/>
      <c r="O29" s="458"/>
      <c r="P29" s="458"/>
      <c r="Q29" s="458"/>
      <c r="R29" s="458"/>
      <c r="S29" s="458"/>
      <c r="T29" s="458"/>
      <c r="U29" s="458"/>
      <c r="V29" s="458"/>
      <c r="W29" s="458"/>
      <c r="X29" s="458"/>
      <c r="Y29" s="459"/>
    </row>
    <row r="30" spans="3:27" x14ac:dyDescent="0.3">
      <c r="C30" s="169" t="s">
        <v>416</v>
      </c>
      <c r="D30" s="258">
        <f t="shared" ref="D30:E30" ca="1" si="26">D26</f>
        <v>0</v>
      </c>
      <c r="E30" s="258">
        <f t="shared" ca="1" si="26"/>
        <v>0</v>
      </c>
      <c r="F30" s="258">
        <f ca="1">F26</f>
        <v>-2.3662400913647237</v>
      </c>
      <c r="G30" s="258">
        <f t="shared" ref="G30:L30" ca="1" si="27">G26</f>
        <v>1.3277438128782171</v>
      </c>
      <c r="H30" s="258">
        <f t="shared" ca="1" si="27"/>
        <v>10.108799565476799</v>
      </c>
      <c r="I30" s="258">
        <f t="shared" ca="1" si="27"/>
        <v>0.7473225481881336</v>
      </c>
      <c r="J30" s="258">
        <f t="shared" ca="1" si="27"/>
        <v>-41.18731114118134</v>
      </c>
      <c r="K30" s="258">
        <f t="shared" ca="1" si="27"/>
        <v>-37.140292194138482</v>
      </c>
      <c r="L30" s="258">
        <f t="shared" ca="1" si="27"/>
        <v>-34.716052772402207</v>
      </c>
      <c r="M30" s="246">
        <f t="shared" ref="M30:Y30" ca="1" si="28">M26</f>
        <v>-31.808660522713936</v>
      </c>
      <c r="N30" s="243">
        <f t="shared" ca="1" si="28"/>
        <v>-28.670733817833849</v>
      </c>
      <c r="O30" s="258">
        <f t="shared" ca="1" si="28"/>
        <v>-25.16872296867642</v>
      </c>
      <c r="P30" s="258">
        <f t="shared" ca="1" si="28"/>
        <v>-21.297173787045146</v>
      </c>
      <c r="Q30" s="258">
        <f t="shared" ca="1" si="28"/>
        <v>-17.018484327790219</v>
      </c>
      <c r="R30" s="258">
        <f t="shared" ca="1" si="28"/>
        <v>-12.262891253337898</v>
      </c>
      <c r="S30" s="258">
        <f t="shared" ca="1" si="28"/>
        <v>-7.1834558967952091</v>
      </c>
      <c r="T30" s="258">
        <f t="shared" ca="1" si="28"/>
        <v>-1.9647989435823874</v>
      </c>
      <c r="U30" s="258">
        <f t="shared" ca="1" si="28"/>
        <v>3.4000406861341759</v>
      </c>
      <c r="V30" s="258">
        <f t="shared" ca="1" si="28"/>
        <v>9.0458723163539787</v>
      </c>
      <c r="W30" s="258">
        <f t="shared" ca="1" si="28"/>
        <v>14.980370537593522</v>
      </c>
      <c r="X30" s="258">
        <f t="shared" ca="1" si="28"/>
        <v>21.084093479720636</v>
      </c>
      <c r="Y30" s="246">
        <f t="shared" ca="1" si="28"/>
        <v>26.704095142250075</v>
      </c>
    </row>
    <row r="31" spans="3:27" x14ac:dyDescent="0.3">
      <c r="C31" s="169" t="s">
        <v>417</v>
      </c>
      <c r="D31" s="258">
        <f t="shared" ref="D31:E31" ca="1" si="29">D18+D25</f>
        <v>0</v>
      </c>
      <c r="E31" s="258">
        <f t="shared" ca="1" si="29"/>
        <v>0</v>
      </c>
      <c r="F31" s="258">
        <f ca="1">F18+F25</f>
        <v>2.8013217034234712</v>
      </c>
      <c r="G31" s="258">
        <f t="shared" ref="G31:L31" ca="1" si="30">G18+G25</f>
        <v>5.5143279686521716</v>
      </c>
      <c r="H31" s="258">
        <f t="shared" ca="1" si="30"/>
        <v>9.3582502664007396</v>
      </c>
      <c r="I31" s="258">
        <f t="shared" ca="1" si="30"/>
        <v>12.915335514970698</v>
      </c>
      <c r="J31" s="258">
        <f t="shared" ca="1" si="30"/>
        <v>15.846997879294797</v>
      </c>
      <c r="K31" s="258">
        <f t="shared" ca="1" si="30"/>
        <v>16.352491027568803</v>
      </c>
      <c r="L31" s="258">
        <f t="shared" ca="1" si="30"/>
        <v>16.352491027568803</v>
      </c>
      <c r="M31" s="246">
        <f t="shared" ref="M31:Y31" ca="1" si="31">M18+M25</f>
        <v>16.352491027568803</v>
      </c>
      <c r="N31" s="243">
        <f t="shared" ca="1" si="31"/>
        <v>16.352491027568803</v>
      </c>
      <c r="O31" s="258">
        <f t="shared" ca="1" si="31"/>
        <v>16.352491027568803</v>
      </c>
      <c r="P31" s="258">
        <f t="shared" ca="1" si="31"/>
        <v>16.352491027568803</v>
      </c>
      <c r="Q31" s="258">
        <f t="shared" ca="1" si="31"/>
        <v>16.352491027568803</v>
      </c>
      <c r="R31" s="258">
        <f t="shared" ca="1" si="31"/>
        <v>16.352491027568803</v>
      </c>
      <c r="S31" s="258">
        <f t="shared" ca="1" si="31"/>
        <v>16.352491027568803</v>
      </c>
      <c r="T31" s="258">
        <f t="shared" ca="1" si="31"/>
        <v>16.352491027568803</v>
      </c>
      <c r="U31" s="258">
        <f t="shared" ca="1" si="31"/>
        <v>16.352491027568803</v>
      </c>
      <c r="V31" s="258">
        <f t="shared" ca="1" si="31"/>
        <v>16.352491027568803</v>
      </c>
      <c r="W31" s="258">
        <f t="shared" ca="1" si="31"/>
        <v>16.352491027568803</v>
      </c>
      <c r="X31" s="258">
        <f t="shared" ca="1" si="31"/>
        <v>16.352491027568803</v>
      </c>
      <c r="Y31" s="246">
        <f t="shared" ca="1" si="31"/>
        <v>16.352491027568803</v>
      </c>
    </row>
    <row r="32" spans="3:27" x14ac:dyDescent="0.3">
      <c r="C32" s="169" t="s">
        <v>459</v>
      </c>
      <c r="D32" s="258">
        <f t="shared" ref="D32:E32" si="32">D19+D21</f>
        <v>0</v>
      </c>
      <c r="E32" s="258">
        <f t="shared" si="32"/>
        <v>0</v>
      </c>
      <c r="F32" s="258">
        <f ca="1">F19+F21</f>
        <v>0</v>
      </c>
      <c r="G32" s="258">
        <f t="shared" ref="G32:L32" ca="1" si="33">G19+G21</f>
        <v>0</v>
      </c>
      <c r="H32" s="258">
        <f t="shared" ca="1" si="33"/>
        <v>0</v>
      </c>
      <c r="I32" s="258">
        <f t="shared" ca="1" si="33"/>
        <v>7.1625106833256815</v>
      </c>
      <c r="J32" s="258">
        <f t="shared" ca="1" si="33"/>
        <v>26.23972663816787</v>
      </c>
      <c r="K32" s="258">
        <f t="shared" ca="1" si="33"/>
        <v>25.149412511897214</v>
      </c>
      <c r="L32" s="258">
        <f t="shared" ca="1" si="33"/>
        <v>24.607536703656091</v>
      </c>
      <c r="M32" s="246">
        <f t="shared" ref="M32:Y32" ca="1" si="34">M19+M21</f>
        <v>23.87441061015338</v>
      </c>
      <c r="N32" s="243">
        <f t="shared" ca="1" si="34"/>
        <v>22.918159183845503</v>
      </c>
      <c r="O32" s="258">
        <f t="shared" ca="1" si="34"/>
        <v>21.706907377188855</v>
      </c>
      <c r="P32" s="258">
        <f t="shared" ca="1" si="34"/>
        <v>20.240655190183439</v>
      </c>
      <c r="Q32" s="258">
        <f t="shared" ca="1" si="34"/>
        <v>18.487527575285661</v>
      </c>
      <c r="R32" s="258">
        <f t="shared" ca="1" si="34"/>
        <v>16.383774437408327</v>
      </c>
      <c r="S32" s="258">
        <f t="shared" ca="1" si="34"/>
        <v>14.088771014269419</v>
      </c>
      <c r="T32" s="258">
        <f t="shared" ca="1" si="34"/>
        <v>11.793767591130509</v>
      </c>
      <c r="U32" s="258">
        <f t="shared" ca="1" si="34"/>
        <v>9.4987641679915988</v>
      </c>
      <c r="V32" s="258">
        <f t="shared" ca="1" si="34"/>
        <v>7.0762605546783055</v>
      </c>
      <c r="W32" s="258">
        <f t="shared" ca="1" si="34"/>
        <v>4.526256751190628</v>
      </c>
      <c r="X32" s="258">
        <f t="shared" ca="1" si="34"/>
        <v>1.9762529477029496</v>
      </c>
      <c r="Y32" s="246">
        <f t="shared" ca="1" si="34"/>
        <v>8.7656380744888171E-2</v>
      </c>
    </row>
    <row r="33" spans="3:25" x14ac:dyDescent="0.3">
      <c r="C33" s="169" t="s">
        <v>460</v>
      </c>
      <c r="D33" s="258">
        <f>D22</f>
        <v>0</v>
      </c>
      <c r="E33" s="258">
        <f t="shared" ref="E33:M33" si="35">E22</f>
        <v>0</v>
      </c>
      <c r="F33" s="258">
        <f t="shared" si="35"/>
        <v>0</v>
      </c>
      <c r="G33" s="258">
        <f t="shared" si="35"/>
        <v>0</v>
      </c>
      <c r="H33" s="258">
        <f t="shared" si="35"/>
        <v>0</v>
      </c>
      <c r="I33" s="258">
        <f t="shared" ca="1" si="35"/>
        <v>8.7796960699606839</v>
      </c>
      <c r="J33" s="258">
        <f t="shared" ca="1" si="35"/>
        <v>35.215264456435712</v>
      </c>
      <c r="K33" s="258">
        <f t="shared" ca="1" si="35"/>
        <v>35.215264456435712</v>
      </c>
      <c r="L33" s="258">
        <f t="shared" ca="1" si="35"/>
        <v>35.311744633028688</v>
      </c>
      <c r="M33" s="246">
        <f t="shared" ca="1" si="35"/>
        <v>35.215264456435712</v>
      </c>
      <c r="N33" s="243">
        <f t="shared" ref="N33:Y33" ca="1" si="36">N22</f>
        <v>35.215264456435712</v>
      </c>
      <c r="O33" s="258">
        <f t="shared" ca="1" si="36"/>
        <v>35.215264456435712</v>
      </c>
      <c r="P33" s="258">
        <f t="shared" ca="1" si="36"/>
        <v>35.215264456435712</v>
      </c>
      <c r="Q33" s="258">
        <f t="shared" ca="1" si="36"/>
        <v>35.215264456435712</v>
      </c>
      <c r="R33" s="258">
        <f t="shared" ca="1" si="36"/>
        <v>35.215264456435712</v>
      </c>
      <c r="S33" s="258">
        <f t="shared" ca="1" si="36"/>
        <v>35.215264456435712</v>
      </c>
      <c r="T33" s="258">
        <f t="shared" ca="1" si="36"/>
        <v>35.215264456435712</v>
      </c>
      <c r="U33" s="258">
        <f t="shared" ca="1" si="36"/>
        <v>35.215264456435712</v>
      </c>
      <c r="V33" s="258">
        <f t="shared" ca="1" si="36"/>
        <v>35.215264456435712</v>
      </c>
      <c r="W33" s="258">
        <f t="shared" ca="1" si="36"/>
        <v>35.215264456435712</v>
      </c>
      <c r="X33" s="258">
        <f t="shared" ca="1" si="36"/>
        <v>35.215264456435712</v>
      </c>
      <c r="Y33" s="246">
        <f t="shared" ca="1" si="36"/>
        <v>35.215264456435712</v>
      </c>
    </row>
    <row r="34" spans="3:25" x14ac:dyDescent="0.3">
      <c r="C34" s="163" t="s">
        <v>21</v>
      </c>
      <c r="D34" s="460">
        <f ca="1">SUM(D30:D33)</f>
        <v>0</v>
      </c>
      <c r="E34" s="460">
        <f t="shared" ref="E34:M34" ca="1" si="37">SUM(E30:E33)</f>
        <v>0</v>
      </c>
      <c r="F34" s="460">
        <f t="shared" ca="1" si="37"/>
        <v>0.43508161205874751</v>
      </c>
      <c r="G34" s="460">
        <f t="shared" ca="1" si="37"/>
        <v>6.8420717815303886</v>
      </c>
      <c r="H34" s="460">
        <f t="shared" ca="1" si="37"/>
        <v>19.467049831877539</v>
      </c>
      <c r="I34" s="460">
        <f t="shared" ca="1" si="37"/>
        <v>29.6048648164452</v>
      </c>
      <c r="J34" s="460">
        <f t="shared" ca="1" si="37"/>
        <v>36.114677832717035</v>
      </c>
      <c r="K34" s="460">
        <f t="shared" ca="1" si="37"/>
        <v>39.576875801763251</v>
      </c>
      <c r="L34" s="460">
        <f t="shared" ca="1" si="37"/>
        <v>41.555719591851371</v>
      </c>
      <c r="M34" s="461">
        <f t="shared" ca="1" si="37"/>
        <v>43.633505571443962</v>
      </c>
      <c r="N34" s="588">
        <f t="shared" ref="N34:Y34" ca="1" si="38">SUM(N30:N33)</f>
        <v>45.815180850016169</v>
      </c>
      <c r="O34" s="460">
        <f t="shared" ca="1" si="38"/>
        <v>48.10593989251695</v>
      </c>
      <c r="P34" s="460">
        <f t="shared" ca="1" si="38"/>
        <v>50.511236887142807</v>
      </c>
      <c r="Q34" s="460">
        <f t="shared" ca="1" si="38"/>
        <v>53.036798731499957</v>
      </c>
      <c r="R34" s="460">
        <f t="shared" ca="1" si="38"/>
        <v>55.688638668074944</v>
      </c>
      <c r="S34" s="460">
        <f t="shared" ca="1" si="38"/>
        <v>58.473070601478724</v>
      </c>
      <c r="T34" s="460">
        <f t="shared" ca="1" si="38"/>
        <v>61.396724131552638</v>
      </c>
      <c r="U34" s="460">
        <f t="shared" ca="1" si="38"/>
        <v>64.466560338130293</v>
      </c>
      <c r="V34" s="460">
        <f t="shared" ca="1" si="38"/>
        <v>67.6898883550368</v>
      </c>
      <c r="W34" s="460">
        <f t="shared" ca="1" si="38"/>
        <v>71.074382772788667</v>
      </c>
      <c r="X34" s="460">
        <f t="shared" ca="1" si="38"/>
        <v>74.628101911428104</v>
      </c>
      <c r="Y34" s="461">
        <f t="shared" ca="1" si="38"/>
        <v>78.359507006999479</v>
      </c>
    </row>
    <row r="35" spans="3:25" x14ac:dyDescent="0.3">
      <c r="C35" s="169" t="s">
        <v>418</v>
      </c>
      <c r="D35" s="258"/>
      <c r="E35" s="258"/>
      <c r="F35" s="258">
        <f>F19</f>
        <v>0</v>
      </c>
      <c r="G35" s="258">
        <f t="shared" ref="G35:L35" si="39">G19</f>
        <v>0</v>
      </c>
      <c r="H35" s="258">
        <f t="shared" si="39"/>
        <v>0</v>
      </c>
      <c r="I35" s="258">
        <f t="shared" ca="1" si="39"/>
        <v>7.1625106833256815</v>
      </c>
      <c r="J35" s="258">
        <f t="shared" ca="1" si="39"/>
        <v>7.1625106833256815</v>
      </c>
      <c r="K35" s="258">
        <f t="shared" si="39"/>
        <v>0</v>
      </c>
      <c r="L35" s="258">
        <f t="shared" si="39"/>
        <v>0</v>
      </c>
      <c r="M35" s="246">
        <f t="shared" ref="M35:Y35" si="40">M19</f>
        <v>0</v>
      </c>
      <c r="N35" s="243">
        <f t="shared" si="40"/>
        <v>0</v>
      </c>
      <c r="O35" s="258">
        <f t="shared" si="40"/>
        <v>0</v>
      </c>
      <c r="P35" s="258">
        <f t="shared" si="40"/>
        <v>0</v>
      </c>
      <c r="Q35" s="258">
        <f t="shared" si="40"/>
        <v>0</v>
      </c>
      <c r="R35" s="258">
        <f t="shared" si="40"/>
        <v>0</v>
      </c>
      <c r="S35" s="258">
        <f t="shared" si="40"/>
        <v>0</v>
      </c>
      <c r="T35" s="258">
        <f t="shared" si="40"/>
        <v>0</v>
      </c>
      <c r="U35" s="258">
        <f t="shared" si="40"/>
        <v>0</v>
      </c>
      <c r="V35" s="258">
        <f t="shared" si="40"/>
        <v>0</v>
      </c>
      <c r="W35" s="258">
        <f t="shared" si="40"/>
        <v>0</v>
      </c>
      <c r="X35" s="258">
        <f t="shared" si="40"/>
        <v>0</v>
      </c>
      <c r="Y35" s="246">
        <f t="shared" si="40"/>
        <v>0</v>
      </c>
    </row>
    <row r="36" spans="3:25" x14ac:dyDescent="0.3">
      <c r="C36" s="169" t="s">
        <v>419</v>
      </c>
      <c r="D36" s="258"/>
      <c r="E36" s="258"/>
      <c r="F36" s="258">
        <f ca="1">F21</f>
        <v>0</v>
      </c>
      <c r="G36" s="258">
        <f t="shared" ref="G36:L36" ca="1" si="41">G21</f>
        <v>0</v>
      </c>
      <c r="H36" s="258">
        <f t="shared" ca="1" si="41"/>
        <v>0</v>
      </c>
      <c r="I36" s="258">
        <f t="shared" ca="1" si="41"/>
        <v>0</v>
      </c>
      <c r="J36" s="258">
        <f t="shared" ca="1" si="41"/>
        <v>19.077215954842188</v>
      </c>
      <c r="K36" s="258">
        <f t="shared" ca="1" si="41"/>
        <v>25.149412511897214</v>
      </c>
      <c r="L36" s="258">
        <f t="shared" ca="1" si="41"/>
        <v>24.607536703656091</v>
      </c>
      <c r="M36" s="246">
        <f t="shared" ref="M36:Y36" ca="1" si="42">M21</f>
        <v>23.87441061015338</v>
      </c>
      <c r="N36" s="243">
        <f t="shared" ca="1" si="42"/>
        <v>22.918159183845503</v>
      </c>
      <c r="O36" s="258">
        <f t="shared" ca="1" si="42"/>
        <v>21.706907377188855</v>
      </c>
      <c r="P36" s="258">
        <f t="shared" ca="1" si="42"/>
        <v>20.240655190183439</v>
      </c>
      <c r="Q36" s="258">
        <f t="shared" ca="1" si="42"/>
        <v>18.487527575285661</v>
      </c>
      <c r="R36" s="258">
        <f t="shared" ca="1" si="42"/>
        <v>16.383774437408327</v>
      </c>
      <c r="S36" s="258">
        <f t="shared" ca="1" si="42"/>
        <v>14.088771014269419</v>
      </c>
      <c r="T36" s="258">
        <f t="shared" ca="1" si="42"/>
        <v>11.793767591130509</v>
      </c>
      <c r="U36" s="258">
        <f t="shared" ca="1" si="42"/>
        <v>9.4987641679915988</v>
      </c>
      <c r="V36" s="258">
        <f t="shared" ca="1" si="42"/>
        <v>7.0762605546783055</v>
      </c>
      <c r="W36" s="258">
        <f t="shared" ca="1" si="42"/>
        <v>4.526256751190628</v>
      </c>
      <c r="X36" s="258">
        <f t="shared" ca="1" si="42"/>
        <v>1.9762529477029496</v>
      </c>
      <c r="Y36" s="246">
        <f t="shared" ca="1" si="42"/>
        <v>8.7656380744888171E-2</v>
      </c>
    </row>
    <row r="37" spans="3:25" x14ac:dyDescent="0.3">
      <c r="C37" s="169" t="s">
        <v>420</v>
      </c>
      <c r="D37" s="258"/>
      <c r="E37" s="258"/>
      <c r="F37" s="258">
        <f ca="1">'LRD - Combined'!C49</f>
        <v>0</v>
      </c>
      <c r="G37" s="258">
        <f ca="1">'LRD - Combined'!D49</f>
        <v>0</v>
      </c>
      <c r="H37" s="258">
        <f ca="1">'LRD - Combined'!E49</f>
        <v>0</v>
      </c>
      <c r="I37" s="258">
        <f ca="1">'LRD - Combined'!F49</f>
        <v>0</v>
      </c>
      <c r="J37" s="258">
        <f ca="1">'LRD - Combined'!G49</f>
        <v>1.5000022373456927</v>
      </c>
      <c r="K37" s="258">
        <f ca="1">'LRD - Combined'!H49</f>
        <v>5.2500078307099249</v>
      </c>
      <c r="L37" s="258">
        <f ca="1">'LRD - Combined'!I49</f>
        <v>7.5000111867284636</v>
      </c>
      <c r="M37" s="246">
        <f ca="1">'LRD - Combined'!J49</f>
        <v>9.7500145427470031</v>
      </c>
      <c r="N37" s="243">
        <f ca="1">'LRD - Combined'!K49</f>
        <v>12.750019017438389</v>
      </c>
      <c r="O37" s="258">
        <f ca="1">'LRD - Combined'!L49</f>
        <v>15.750023492129772</v>
      </c>
      <c r="P37" s="258">
        <f ca="1">'LRD - Combined'!M49</f>
        <v>18.750027966821158</v>
      </c>
      <c r="Q37" s="258">
        <f ca="1">'LRD - Combined'!N49</f>
        <v>22.50003356018539</v>
      </c>
      <c r="R37" s="258">
        <f ca="1">'LRD - Combined'!O49</f>
        <v>27.000040272222467</v>
      </c>
      <c r="S37" s="258">
        <f ca="1">'LRD - Combined'!P49</f>
        <v>27.000040272222467</v>
      </c>
      <c r="T37" s="258">
        <f ca="1">'LRD - Combined'!Q49</f>
        <v>27.000040272222467</v>
      </c>
      <c r="U37" s="258">
        <f ca="1">'LRD - Combined'!R49</f>
        <v>27.000040272222467</v>
      </c>
      <c r="V37" s="258">
        <f ca="1">'LRD - Combined'!S49</f>
        <v>30.000044746913854</v>
      </c>
      <c r="W37" s="258">
        <f ca="1">'LRD - Combined'!T49</f>
        <v>30.000044746913854</v>
      </c>
      <c r="X37" s="258">
        <f ca="1">'LRD - Combined'!U49</f>
        <v>30.000044746913854</v>
      </c>
      <c r="Y37" s="246">
        <f ca="1">'LRD - Combined'!V49</f>
        <v>8.2500123054013663</v>
      </c>
    </row>
    <row r="38" spans="3:25" x14ac:dyDescent="0.3">
      <c r="C38" s="163" t="s">
        <v>137</v>
      </c>
      <c r="D38" s="460"/>
      <c r="E38" s="460"/>
      <c r="F38" s="460">
        <f ca="1">SUM(F35:F37)</f>
        <v>0</v>
      </c>
      <c r="G38" s="460">
        <f t="shared" ref="G38:L38" ca="1" si="43">SUM(G35:G37)</f>
        <v>0</v>
      </c>
      <c r="H38" s="460">
        <f t="shared" ca="1" si="43"/>
        <v>0</v>
      </c>
      <c r="I38" s="460">
        <f t="shared" ca="1" si="43"/>
        <v>7.1625106833256815</v>
      </c>
      <c r="J38" s="460">
        <f t="shared" ca="1" si="43"/>
        <v>27.739728875513563</v>
      </c>
      <c r="K38" s="460">
        <f t="shared" ca="1" si="43"/>
        <v>30.39942034260714</v>
      </c>
      <c r="L38" s="460">
        <f t="shared" ca="1" si="43"/>
        <v>32.107547890384552</v>
      </c>
      <c r="M38" s="461">
        <f t="shared" ref="M38:Y38" ca="1" si="44">SUM(M35:M37)</f>
        <v>33.624425152900386</v>
      </c>
      <c r="N38" s="588">
        <f t="shared" ca="1" si="44"/>
        <v>35.668178201283894</v>
      </c>
      <c r="O38" s="460">
        <f t="shared" ca="1" si="44"/>
        <v>37.456930869318626</v>
      </c>
      <c r="P38" s="460">
        <f t="shared" ca="1" si="44"/>
        <v>38.990683157004597</v>
      </c>
      <c r="Q38" s="460">
        <f t="shared" ca="1" si="44"/>
        <v>40.987561135471054</v>
      </c>
      <c r="R38" s="460">
        <f t="shared" ca="1" si="44"/>
        <v>43.383814709630798</v>
      </c>
      <c r="S38" s="460">
        <f t="shared" ca="1" si="44"/>
        <v>41.08881128649189</v>
      </c>
      <c r="T38" s="460">
        <f t="shared" ca="1" si="44"/>
        <v>38.793807863352974</v>
      </c>
      <c r="U38" s="460">
        <f t="shared" ca="1" si="44"/>
        <v>36.498804440214066</v>
      </c>
      <c r="V38" s="460">
        <f t="shared" ca="1" si="44"/>
        <v>37.076305301592157</v>
      </c>
      <c r="W38" s="460">
        <f t="shared" ca="1" si="44"/>
        <v>34.52630149810448</v>
      </c>
      <c r="X38" s="460">
        <f t="shared" ca="1" si="44"/>
        <v>31.976297694616804</v>
      </c>
      <c r="Y38" s="461">
        <f t="shared" ca="1" si="44"/>
        <v>8.3376686861462552</v>
      </c>
    </row>
    <row r="39" spans="3:25" x14ac:dyDescent="0.3">
      <c r="C39" s="169"/>
      <c r="D39" s="258"/>
      <c r="E39" s="258"/>
      <c r="F39" s="258"/>
      <c r="G39" s="258"/>
      <c r="H39" s="258"/>
      <c r="I39" s="258"/>
      <c r="J39" s="258"/>
      <c r="K39" s="258"/>
      <c r="L39" s="258"/>
      <c r="M39" s="246"/>
      <c r="N39" s="243"/>
      <c r="O39" s="258"/>
      <c r="P39" s="258"/>
      <c r="Q39" s="258"/>
      <c r="R39" s="258"/>
      <c r="S39" s="258"/>
      <c r="T39" s="258"/>
      <c r="U39" s="258"/>
      <c r="V39" s="258"/>
      <c r="W39" s="258"/>
      <c r="X39" s="258"/>
      <c r="Y39" s="246"/>
    </row>
    <row r="40" spans="3:25" x14ac:dyDescent="0.3">
      <c r="C40" s="463" t="s">
        <v>190</v>
      </c>
      <c r="D40" s="464"/>
      <c r="E40" s="464"/>
      <c r="F40" s="464">
        <f ca="1">IFERROR(F34/F38,0)</f>
        <v>0</v>
      </c>
      <c r="G40" s="464">
        <f t="shared" ref="G40:L40" ca="1" si="45">IFERROR(G34/G38,0)</f>
        <v>0</v>
      </c>
      <c r="H40" s="464">
        <f t="shared" ca="1" si="45"/>
        <v>0</v>
      </c>
      <c r="I40" s="464">
        <f t="shared" ca="1" si="45"/>
        <v>4.133308294445591</v>
      </c>
      <c r="J40" s="464">
        <f t="shared" ca="1" si="45"/>
        <v>1.3019117091874757</v>
      </c>
      <c r="K40" s="464">
        <f t="shared" ca="1" si="45"/>
        <v>1.3018957386596348</v>
      </c>
      <c r="L40" s="464">
        <f t="shared" ca="1" si="45"/>
        <v>1.2942663741785252</v>
      </c>
      <c r="M40" s="465">
        <f t="shared" ref="M40:Y40" ca="1" si="46">IFERROR(M34/M38,0)</f>
        <v>1.2976729081026448</v>
      </c>
      <c r="N40" s="589">
        <f t="shared" ca="1" si="46"/>
        <v>1.2844833451114426</v>
      </c>
      <c r="O40" s="464">
        <f t="shared" ca="1" si="46"/>
        <v>1.2843000954977077</v>
      </c>
      <c r="P40" s="464">
        <f t="shared" ca="1" si="46"/>
        <v>1.2954693992856745</v>
      </c>
      <c r="Q40" s="464">
        <f t="shared" ca="1" si="46"/>
        <v>1.2939730313839379</v>
      </c>
      <c r="R40" s="464">
        <f t="shared" ca="1" si="46"/>
        <v>1.2836270632446849</v>
      </c>
      <c r="S40" s="464">
        <f t="shared" ca="1" si="46"/>
        <v>1.4230898575715667</v>
      </c>
      <c r="T40" s="464">
        <f t="shared" ca="1" si="46"/>
        <v>1.5826423729224006</v>
      </c>
      <c r="U40" s="464">
        <f t="shared" ca="1" si="46"/>
        <v>1.7662649866717715</v>
      </c>
      <c r="V40" s="464">
        <f t="shared" ca="1" si="46"/>
        <v>1.825691308894525</v>
      </c>
      <c r="W40" s="464">
        <f t="shared" ca="1" si="46"/>
        <v>2.0585576702066017</v>
      </c>
      <c r="X40" s="464">
        <f t="shared" ca="1" si="46"/>
        <v>2.3338568656117968</v>
      </c>
      <c r="Y40" s="465">
        <f t="shared" ca="1" si="46"/>
        <v>9.3982514725249828</v>
      </c>
    </row>
    <row r="41" spans="3:25" x14ac:dyDescent="0.3">
      <c r="J41" s="52"/>
    </row>
    <row r="44" spans="3:25" x14ac:dyDescent="0.3">
      <c r="C44" s="39" t="s">
        <v>443</v>
      </c>
    </row>
    <row r="45" spans="3:25" x14ac:dyDescent="0.3">
      <c r="C45" s="444" t="s">
        <v>444</v>
      </c>
      <c r="D45" s="445">
        <f t="shared" ref="D45:M45" si="47">D4</f>
        <v>45382</v>
      </c>
      <c r="E45" s="445">
        <f t="shared" si="47"/>
        <v>45747</v>
      </c>
      <c r="F45" s="445">
        <f t="shared" si="47"/>
        <v>46112</v>
      </c>
      <c r="G45" s="445">
        <f t="shared" si="47"/>
        <v>46477</v>
      </c>
      <c r="H45" s="445">
        <f t="shared" si="47"/>
        <v>46843</v>
      </c>
      <c r="I45" s="445">
        <f t="shared" si="47"/>
        <v>47208</v>
      </c>
      <c r="J45" s="445">
        <f t="shared" si="47"/>
        <v>47573</v>
      </c>
      <c r="K45" s="445">
        <f t="shared" si="47"/>
        <v>47938</v>
      </c>
      <c r="L45" s="445">
        <f t="shared" si="47"/>
        <v>48304</v>
      </c>
      <c r="M45" s="446">
        <f t="shared" si="47"/>
        <v>48669</v>
      </c>
      <c r="N45" s="425">
        <f t="shared" ref="N45:Y45" si="48">N4</f>
        <v>49034</v>
      </c>
      <c r="O45" s="425">
        <f t="shared" si="48"/>
        <v>49399</v>
      </c>
      <c r="P45" s="425">
        <f t="shared" si="48"/>
        <v>49765</v>
      </c>
      <c r="Q45" s="425">
        <f t="shared" si="48"/>
        <v>50130</v>
      </c>
      <c r="R45" s="425">
        <f t="shared" si="48"/>
        <v>50495</v>
      </c>
      <c r="S45" s="425">
        <f t="shared" si="48"/>
        <v>50860</v>
      </c>
      <c r="T45" s="425">
        <f t="shared" si="48"/>
        <v>51226</v>
      </c>
      <c r="U45" s="425">
        <f t="shared" si="48"/>
        <v>51591</v>
      </c>
      <c r="V45" s="425">
        <f t="shared" si="48"/>
        <v>51956</v>
      </c>
      <c r="W45" s="425">
        <f t="shared" si="48"/>
        <v>52321</v>
      </c>
      <c r="X45" s="425">
        <f t="shared" si="48"/>
        <v>52687</v>
      </c>
      <c r="Y45" s="426">
        <f t="shared" si="48"/>
        <v>53052</v>
      </c>
    </row>
    <row r="46" spans="3:25" x14ac:dyDescent="0.3">
      <c r="C46" s="169" t="s">
        <v>439</v>
      </c>
      <c r="D46" s="455">
        <f t="shared" ref="D46:M46" ca="1" si="49">IFERROR(D26/D9,0)</f>
        <v>0</v>
      </c>
      <c r="E46" s="455">
        <f t="shared" ca="1" si="49"/>
        <v>0</v>
      </c>
      <c r="F46" s="455">
        <f t="shared" ca="1" si="49"/>
        <v>-1.4376486075890405</v>
      </c>
      <c r="G46" s="455">
        <f t="shared" ca="1" si="49"/>
        <v>0.13474193820420086</v>
      </c>
      <c r="H46" s="455">
        <f t="shared" ca="1" si="49"/>
        <v>0.44791304714068692</v>
      </c>
      <c r="I46" s="455">
        <f t="shared" ca="1" si="49"/>
        <v>2.140840367368833E-2</v>
      </c>
      <c r="J46" s="455">
        <f t="shared" ca="1" si="49"/>
        <v>-0.98345329791499936</v>
      </c>
      <c r="K46" s="455">
        <f t="shared" ca="1" si="49"/>
        <v>-0.84459074390190803</v>
      </c>
      <c r="L46" s="455">
        <f t="shared" ca="1" si="49"/>
        <v>-0.75186876324212837</v>
      </c>
      <c r="M46" s="456">
        <f t="shared" ca="1" si="49"/>
        <v>-0.65609659585037017</v>
      </c>
      <c r="N46" s="455">
        <f t="shared" ref="N46:Y46" ca="1" si="50">IFERROR(N26/N9,0)</f>
        <v>-0.5632120174429337</v>
      </c>
      <c r="O46" s="455">
        <f t="shared" ca="1" si="50"/>
        <v>-0.47087429790208402</v>
      </c>
      <c r="P46" s="455">
        <f t="shared" ca="1" si="50"/>
        <v>-0.37946915556961031</v>
      </c>
      <c r="Q46" s="455">
        <f t="shared" ca="1" si="50"/>
        <v>-0.28879261684989749</v>
      </c>
      <c r="R46" s="455">
        <f t="shared" ca="1" si="50"/>
        <v>-0.19818408910633231</v>
      </c>
      <c r="S46" s="455">
        <f t="shared" ca="1" si="50"/>
        <v>-0.11056560294530167</v>
      </c>
      <c r="T46" s="455">
        <f t="shared" ca="1" si="50"/>
        <v>-2.8801521159911275E-2</v>
      </c>
      <c r="U46" s="455">
        <f t="shared" ca="1" si="50"/>
        <v>4.7467037196815137E-2</v>
      </c>
      <c r="V46" s="455">
        <f t="shared" ca="1" si="50"/>
        <v>0.12027328279841651</v>
      </c>
      <c r="W46" s="455">
        <f t="shared" ca="1" si="50"/>
        <v>0.1896932897318945</v>
      </c>
      <c r="X46" s="455">
        <f t="shared" ca="1" si="50"/>
        <v>0.25426995522772033</v>
      </c>
      <c r="Y46" s="456">
        <f t="shared" ca="1" si="50"/>
        <v>0.30671052621449307</v>
      </c>
    </row>
    <row r="47" spans="3:25" x14ac:dyDescent="0.3">
      <c r="C47" s="169" t="s">
        <v>441</v>
      </c>
      <c r="D47" s="466">
        <f t="shared" ref="D47" si="51">IFERROR(D15/SUM(D19,D21),0)</f>
        <v>0</v>
      </c>
      <c r="E47" s="466">
        <f t="shared" ref="E47:L47" si="52">IFERROR(E15/SUM(E19,E21),0)</f>
        <v>0</v>
      </c>
      <c r="F47" s="466">
        <f t="shared" ca="1" si="52"/>
        <v>0</v>
      </c>
      <c r="G47" s="466">
        <f t="shared" ca="1" si="52"/>
        <v>0</v>
      </c>
      <c r="H47" s="466">
        <f t="shared" ca="1" si="52"/>
        <v>0</v>
      </c>
      <c r="I47" s="466">
        <f t="shared" ca="1" si="52"/>
        <v>4.133308294445591</v>
      </c>
      <c r="J47" s="466">
        <f t="shared" ca="1" si="52"/>
        <v>1.422068154030091</v>
      </c>
      <c r="K47" s="466">
        <f t="shared" ca="1" si="52"/>
        <v>1.5736699926107995</v>
      </c>
      <c r="L47" s="466">
        <f t="shared" ca="1" si="52"/>
        <v>1.6887395147388808</v>
      </c>
      <c r="M47" s="467">
        <f t="shared" ref="M47:Y47" ca="1" si="53">IFERROR(M15/SUM(M19,M21),0)</f>
        <v>1.827626502866939</v>
      </c>
      <c r="N47" s="466">
        <f t="shared" ca="1" si="53"/>
        <v>1.9990776956602281</v>
      </c>
      <c r="O47" s="466">
        <f t="shared" ca="1" si="53"/>
        <v>2.2161581590876489</v>
      </c>
      <c r="P47" s="466">
        <f t="shared" ca="1" si="53"/>
        <v>2.4955336876466512</v>
      </c>
      <c r="Q47" s="466">
        <f t="shared" ca="1" si="53"/>
        <v>2.8687880797213881</v>
      </c>
      <c r="R47" s="466">
        <f t="shared" ca="1" si="53"/>
        <v>3.3990115574909043</v>
      </c>
      <c r="S47" s="466">
        <f t="shared" ca="1" si="53"/>
        <v>4.1503315329815429</v>
      </c>
      <c r="T47" s="466">
        <f t="shared" ca="1" si="53"/>
        <v>5.2058617958290094</v>
      </c>
      <c r="U47" s="466">
        <f t="shared" ca="1" si="53"/>
        <v>6.7868366029515803</v>
      </c>
      <c r="V47" s="466">
        <f t="shared" ca="1" si="53"/>
        <v>9.5657710498358064</v>
      </c>
      <c r="W47" s="466">
        <f t="shared" ca="1" si="53"/>
        <v>15.702684730399488</v>
      </c>
      <c r="X47" s="466">
        <f t="shared" ca="1" si="53"/>
        <v>37.762424085525232</v>
      </c>
      <c r="Y47" s="467">
        <f t="shared" ca="1" si="53"/>
        <v>893.93956653371345</v>
      </c>
    </row>
    <row r="48" spans="3:25" x14ac:dyDescent="0.3">
      <c r="C48" s="169" t="s">
        <v>437</v>
      </c>
      <c r="D48" s="52">
        <f ca="1">'P&amp;L Statement'!D61</f>
        <v>0</v>
      </c>
      <c r="E48" s="52">
        <f ca="1">'P&amp;L Statement'!E61</f>
        <v>1.2325985367286443</v>
      </c>
      <c r="F48" s="52">
        <f ca="1">'P&amp;L Statement'!F61</f>
        <v>1.4289232884784355</v>
      </c>
      <c r="G48" s="52">
        <f ca="1">'P&amp;L Statement'!G61</f>
        <v>1.4897025592665603</v>
      </c>
      <c r="H48" s="52">
        <f ca="1">'P&amp;L Statement'!H61</f>
        <v>1.4930483824350733</v>
      </c>
      <c r="I48" s="52">
        <f ca="1">'P&amp;L Statement'!I61</f>
        <v>1.5857228653475701</v>
      </c>
      <c r="J48" s="52">
        <f ca="1">'P&amp;L Statement'!J61</f>
        <v>2.0406468766465946</v>
      </c>
      <c r="K48" s="52">
        <f ca="1">'P&amp;L Statement'!K61</f>
        <v>2.6184584362416774</v>
      </c>
      <c r="L48" s="52">
        <f ca="1">'P&amp;L Statement'!L61</f>
        <v>3.4188968127603072</v>
      </c>
      <c r="M48" s="244">
        <f ca="1">'P&amp;L Statement'!M61</f>
        <v>4.570934776045509</v>
      </c>
      <c r="N48" s="52">
        <f ca="1">'P&amp;L Statement'!N61</f>
        <v>6.3187827978779447</v>
      </c>
      <c r="O48" s="52">
        <f ca="1">'P&amp;L Statement'!O61</f>
        <v>9.1673479267974844</v>
      </c>
      <c r="P48" s="52">
        <f ca="1">'P&amp;L Statement'!P61</f>
        <v>14.285135380078994</v>
      </c>
      <c r="Q48" s="52">
        <f ca="1">'P&amp;L Statement'!Q61</f>
        <v>24.792310939333767</v>
      </c>
      <c r="R48" s="52">
        <f ca="1">'P&amp;L Statement'!R61</f>
        <v>50.629551968311965</v>
      </c>
      <c r="S48" s="52">
        <f ca="1">'P&amp;L Statement'!S61</f>
        <v>126.50716909105361</v>
      </c>
      <c r="T48" s="52">
        <f ca="1">'P&amp;L Statement'!T61</f>
        <v>213.94566119630679</v>
      </c>
      <c r="U48" s="52">
        <f ca="1">'P&amp;L Statement'!U61</f>
        <v>100.44658142546714</v>
      </c>
      <c r="V48" s="52">
        <f ca="1">'P&amp;L Statement'!V61</f>
        <v>41.716989743989032</v>
      </c>
      <c r="W48" s="52">
        <f ca="1">'P&amp;L Statement'!W61</f>
        <v>21.306553659205107</v>
      </c>
      <c r="X48" s="52">
        <f ca="1">'P&amp;L Statement'!X61</f>
        <v>12.67604258001999</v>
      </c>
      <c r="Y48" s="244">
        <f ca="1">'P&amp;L Statement'!Y61</f>
        <v>8.6897020073616815</v>
      </c>
    </row>
    <row r="49" spans="3:25" x14ac:dyDescent="0.3">
      <c r="C49" s="169" t="s">
        <v>438</v>
      </c>
      <c r="D49" s="455">
        <f ca="1">IFERROR(D15/AVERAGE('Balance sheet'!C30:D30),0)</f>
        <v>0</v>
      </c>
      <c r="E49" s="455">
        <f ca="1">IFERROR(E15/AVERAGE('Balance sheet'!D30:E30),0)</f>
        <v>0</v>
      </c>
      <c r="F49" s="455">
        <f ca="1">IFERROR(F15/AVERAGE('Balance sheet'!E30:F30),0)</f>
        <v>2.3848489623122166E-3</v>
      </c>
      <c r="G49" s="455">
        <f ca="1">IFERROR(G15/AVERAGE('Balance sheet'!F30:G30),0)</f>
        <v>2.0202295025333324E-2</v>
      </c>
      <c r="H49" s="455">
        <f ca="1">IFERROR(H15/AVERAGE('Balance sheet'!G30:H30),0)</f>
        <v>3.838630737179928E-2</v>
      </c>
      <c r="I49" s="455">
        <f ca="1">IFERROR(I15/AVERAGE('Balance sheet'!H30:I30),0)</f>
        <v>4.6746646179626546E-2</v>
      </c>
      <c r="J49" s="455">
        <f ca="1">IFERROR(J15/AVERAGE('Balance sheet'!I30:J30),0)</f>
        <v>5.5476403621534921E-2</v>
      </c>
      <c r="K49" s="455">
        <f ca="1">IFERROR(K15/AVERAGE('Balance sheet'!J30:K30),0)</f>
        <v>5.9436753029075751E-2</v>
      </c>
      <c r="L49" s="455">
        <f ca="1">IFERROR(L15/AVERAGE('Balance sheet'!K30:L30),0)</f>
        <v>6.3075438301137113E-2</v>
      </c>
      <c r="M49" s="456">
        <f ca="1">IFERROR(M15/AVERAGE('Balance sheet'!L30:M30),0)</f>
        <v>6.6901844551067111E-2</v>
      </c>
      <c r="N49" s="455">
        <f ca="1">IFERROR(N15/AVERAGE('Balance sheet'!M30:N30),0)</f>
        <v>7.0929305832711259E-2</v>
      </c>
      <c r="O49" s="455">
        <f ca="1">IFERROR(O15/AVERAGE('Balance sheet'!N30:O30),0)</f>
        <v>7.5168714338421497E-2</v>
      </c>
      <c r="P49" s="455">
        <f ca="1">IFERROR(P15/AVERAGE('Balance sheet'!O30:P30),0)</f>
        <v>7.9582202697471807E-2</v>
      </c>
      <c r="Q49" s="455">
        <f ca="1">IFERROR(Q15/AVERAGE('Balance sheet'!P30:Q30),0)</f>
        <v>8.4167012714226316E-2</v>
      </c>
      <c r="R49" s="455">
        <f ca="1">IFERROR(R15/AVERAGE('Balance sheet'!Q30:R30),0)</f>
        <v>8.8964868366235295E-2</v>
      </c>
      <c r="S49" s="455">
        <f ca="1">IFERROR(S15/AVERAGE('Balance sheet'!R30:S30),0)</f>
        <v>9.363868837440005E-2</v>
      </c>
      <c r="T49" s="455">
        <f ca="1">IFERROR(T15/AVERAGE('Balance sheet'!S30:T30),0)</f>
        <v>9.7750653692421516E-2</v>
      </c>
      <c r="U49" s="455">
        <f ca="1">IFERROR(U15/AVERAGE('Balance sheet'!T30:U30),0)</f>
        <v>0.10119892336706637</v>
      </c>
      <c r="V49" s="455">
        <f ca="1">IFERROR(V15/AVERAGE('Balance sheet'!U30:V30),0)</f>
        <v>0.10414368877937348</v>
      </c>
      <c r="W49" s="455">
        <f ca="1">IFERROR(W15/AVERAGE('Balance sheet'!V30:W30),0)</f>
        <v>0.10652720824362524</v>
      </c>
      <c r="X49" s="455">
        <f ca="1">IFERROR(X15/AVERAGE('Balance sheet'!W30:X30),0)</f>
        <v>0.10808741584845648</v>
      </c>
      <c r="Y49" s="456">
        <f ca="1">IFERROR(Y15/AVERAGE('Balance sheet'!X30:Y30),0)</f>
        <v>0.10727912385118861</v>
      </c>
    </row>
    <row r="50" spans="3:25" x14ac:dyDescent="0.3">
      <c r="C50" s="169" t="s">
        <v>582</v>
      </c>
      <c r="D50" s="455">
        <f>IFERROR(D15/AVERAGE('Balance sheet'!C5:D5),0)</f>
        <v>0</v>
      </c>
      <c r="E50" s="455">
        <f ca="1">IFERROR(E15/AVERAGE('Balance sheet'!D5:E5),0)</f>
        <v>0</v>
      </c>
      <c r="F50" s="455">
        <f ca="1">IFERROR(F15/AVERAGE('Balance sheet'!E5:F5),0)</f>
        <v>5.5564872217662552E-3</v>
      </c>
      <c r="G50" s="455">
        <f ca="1">IFERROR(G15/AVERAGE('Balance sheet'!F5:G5),0)</f>
        <v>4.9220068167672555E-2</v>
      </c>
      <c r="H50" s="455">
        <f ca="1">IFERROR(H15/AVERAGE('Balance sheet'!G5:H5),0)</f>
        <v>9.757040957159932E-2</v>
      </c>
      <c r="I50" s="455">
        <f ca="1">IFERROR(I15/AVERAGE('Balance sheet'!H5:I5),0)</f>
        <v>0.12349432114506531</v>
      </c>
      <c r="J50" s="455">
        <f ca="1">IFERROR(J15/AVERAGE('Balance sheet'!I5:J5),0)</f>
        <v>0.14834632730433431</v>
      </c>
      <c r="K50" s="455">
        <f ca="1">IFERROR(K15/AVERAGE('Balance sheet'!J5:K5),0)</f>
        <v>0.15733979845874083</v>
      </c>
      <c r="L50" s="455">
        <f ca="1">IFERROR(L15/AVERAGE('Balance sheet'!K5:L5),0)</f>
        <v>0.16520678838167779</v>
      </c>
      <c r="M50" s="456">
        <f ca="1">IFERROR(M15/AVERAGE('Balance sheet'!L5:M5),0)</f>
        <v>0.17346712780076173</v>
      </c>
      <c r="N50" s="455">
        <f ca="1">IFERROR(N15/AVERAGE('Balance sheet'!M5:N5),0)</f>
        <v>0.18214048419079981</v>
      </c>
      <c r="O50" s="455">
        <f ca="1">IFERROR(O15/AVERAGE('Balance sheet'!N5:O5),0)</f>
        <v>0.19124750840033974</v>
      </c>
      <c r="P50" s="455">
        <f ca="1">IFERROR(P15/AVERAGE('Balance sheet'!O5:P5),0)</f>
        <v>0.20080988382035675</v>
      </c>
      <c r="Q50" s="455">
        <f ca="1">IFERROR(Q15/AVERAGE('Balance sheet'!P5:Q5),0)</f>
        <v>0.21085037801137463</v>
      </c>
      <c r="R50" s="455">
        <f ca="1">IFERROR(R15/AVERAGE('Balance sheet'!Q5:R5),0)</f>
        <v>0.2213928969119433</v>
      </c>
      <c r="S50" s="455">
        <f ca="1">IFERROR(S15/AVERAGE('Balance sheet'!R5:S5),0)</f>
        <v>0.23246254175754061</v>
      </c>
      <c r="T50" s="455">
        <f ca="1">IFERROR(T15/AVERAGE('Balance sheet'!S5:T5),0)</f>
        <v>0.24408566884541755</v>
      </c>
      <c r="U50" s="455">
        <f ca="1">IFERROR(U15/AVERAGE('Balance sheet'!T5:U5),0)</f>
        <v>0.25628995228768853</v>
      </c>
      <c r="V50" s="455">
        <f ca="1">IFERROR(V15/AVERAGE('Balance sheet'!U5:V5),0)</f>
        <v>0.26910444990207294</v>
      </c>
      <c r="W50" s="455">
        <f ca="1">IFERROR(W15/AVERAGE('Balance sheet'!V5:W5),0)</f>
        <v>0.28255967239717666</v>
      </c>
      <c r="X50" s="455">
        <f ca="1">IFERROR(X15/AVERAGE('Balance sheet'!W5:X5),0)</f>
        <v>0.29668765601703551</v>
      </c>
      <c r="Y50" s="456">
        <f ca="1">IFERROR(Y15/AVERAGE('Balance sheet'!X5:Y5),0)</f>
        <v>0.3115220388178872</v>
      </c>
    </row>
    <row r="51" spans="3:25" x14ac:dyDescent="0.3">
      <c r="C51" s="169" t="s">
        <v>591</v>
      </c>
      <c r="D51" s="466">
        <f>IFERROR(D15/SUM(D19:D21),0)</f>
        <v>0</v>
      </c>
      <c r="E51" s="466">
        <f t="shared" ref="E51:M51" si="54">IFERROR(E15/SUM(E19:E21),0)</f>
        <v>0</v>
      </c>
      <c r="F51" s="466">
        <f t="shared" ca="1" si="54"/>
        <v>0</v>
      </c>
      <c r="G51" s="466">
        <f t="shared" ca="1" si="54"/>
        <v>0</v>
      </c>
      <c r="H51" s="466">
        <f t="shared" ca="1" si="54"/>
        <v>0</v>
      </c>
      <c r="I51" s="466">
        <f t="shared" ca="1" si="54"/>
        <v>4.133308294445591</v>
      </c>
      <c r="J51" s="466">
        <f t="shared" ca="1" si="54"/>
        <v>1.3598778763588852</v>
      </c>
      <c r="K51" s="466">
        <f t="shared" ca="1" si="54"/>
        <v>1.5736699926107995</v>
      </c>
      <c r="L51" s="466">
        <f t="shared" ca="1" si="54"/>
        <v>1.6887395147388808</v>
      </c>
      <c r="M51" s="467">
        <f t="shared" ca="1" si="54"/>
        <v>1.827626502866939</v>
      </c>
      <c r="N51" s="455"/>
      <c r="O51" s="455"/>
      <c r="P51" s="455"/>
      <c r="Q51" s="455"/>
      <c r="R51" s="455"/>
      <c r="S51" s="455"/>
      <c r="T51" s="455"/>
      <c r="U51" s="455"/>
      <c r="V51" s="455"/>
      <c r="W51" s="455"/>
      <c r="X51" s="455"/>
      <c r="Y51" s="456"/>
    </row>
    <row r="52" spans="3:25" x14ac:dyDescent="0.3">
      <c r="C52" s="169" t="s">
        <v>583</v>
      </c>
      <c r="D52" s="466">
        <f ca="1">IFERROR(('Balance sheet'!D24+'Balance sheet'!D25+'Balance sheet'!D26-'Balance sheet'!D12+'Balance sheet'!D15)/('Balance sheet'!D11+'Balance sheet'!D14),0)</f>
        <v>0</v>
      </c>
      <c r="E52" s="466">
        <f ca="1">IFERROR(('Balance sheet'!E24+'Balance sheet'!E25+'Balance sheet'!E26-'Balance sheet'!E12+'Balance sheet'!E15)/('Balance sheet'!E11+'Balance sheet'!E14),0)</f>
        <v>1.978134854941608</v>
      </c>
      <c r="F52" s="466">
        <f ca="1">IFERROR(('Balance sheet'!F24+'Balance sheet'!F25+'Balance sheet'!F26-'Balance sheet'!F12+'Balance sheet'!F15)/('Balance sheet'!F11+'Balance sheet'!F14),0)</f>
        <v>1.9079507650961862</v>
      </c>
      <c r="G52" s="466">
        <f ca="1">IFERROR(('Balance sheet'!G24+'Balance sheet'!G25+'Balance sheet'!G26-'Balance sheet'!G12+'Balance sheet'!G15)/('Balance sheet'!G11+'Balance sheet'!G14),0)</f>
        <v>1.931105550538009</v>
      </c>
      <c r="H52" s="466">
        <f ca="1">IFERROR(('Balance sheet'!H24+'Balance sheet'!H25+'Balance sheet'!H26-'Balance sheet'!H12+'Balance sheet'!H15)/('Balance sheet'!H11+'Balance sheet'!H14),0)</f>
        <v>1.9686825963810779</v>
      </c>
      <c r="I52" s="466">
        <f ca="1">IFERROR(('Balance sheet'!I24+'Balance sheet'!I25+'Balance sheet'!I26-'Balance sheet'!I12+'Balance sheet'!I15)/('Balance sheet'!I11+'Balance sheet'!I14),0)</f>
        <v>1.9884108678876131</v>
      </c>
      <c r="J52" s="466">
        <f ca="1">IFERROR(('Balance sheet'!J24+'Balance sheet'!J25+'Balance sheet'!J26-'Balance sheet'!J12+'Balance sheet'!J15)/('Balance sheet'!J11+'Balance sheet'!J14),0)</f>
        <v>1.96290213106788</v>
      </c>
      <c r="K52" s="466">
        <f ca="1">IFERROR(('Balance sheet'!K24+'Balance sheet'!K25+'Balance sheet'!K26-'Balance sheet'!K12+'Balance sheet'!K15)/('Balance sheet'!K11+'Balance sheet'!K14),0)</f>
        <v>1.949953348634069</v>
      </c>
      <c r="L52" s="466">
        <f ca="1">IFERROR(('Balance sheet'!L24+'Balance sheet'!L25+'Balance sheet'!L26-'Balance sheet'!L12+'Balance sheet'!L15)/('Balance sheet'!L11+'Balance sheet'!L14),0)</f>
        <v>1.9517807623801191</v>
      </c>
      <c r="M52" s="467">
        <f ca="1">IFERROR(('Balance sheet'!M24+'Balance sheet'!M25+'Balance sheet'!M26-'Balance sheet'!M12+'Balance sheet'!M15)/('Balance sheet'!M11+'Balance sheet'!M14),0)</f>
        <v>1.9723510370047008</v>
      </c>
      <c r="N52" s="466">
        <f ca="1">IFERROR(('Balance sheet'!N24+'Balance sheet'!N25)/('Balance sheet'!N11+'Balance sheet'!N14),0)</f>
        <v>1.6212686137997732</v>
      </c>
      <c r="O52" s="466">
        <f ca="1">IFERROR(('Balance sheet'!O24+'Balance sheet'!O25)/('Balance sheet'!O11+'Balance sheet'!O14),0)</f>
        <v>1.6583696805897723</v>
      </c>
      <c r="P52" s="466">
        <f ca="1">IFERROR(('Balance sheet'!P24+'Balance sheet'!P25)/('Balance sheet'!P11+'Balance sheet'!P14),0)</f>
        <v>1.7228154286738671</v>
      </c>
      <c r="Q52" s="466">
        <f ca="1">IFERROR(('Balance sheet'!Q24+'Balance sheet'!Q25)/('Balance sheet'!Q11+'Balance sheet'!Q14),0)</f>
        <v>1.8314742432597597</v>
      </c>
      <c r="R52" s="466">
        <f ca="1">IFERROR(('Balance sheet'!R24+'Balance sheet'!R25)/('Balance sheet'!R11+'Balance sheet'!R14),0)</f>
        <v>2.0161176905746379</v>
      </c>
      <c r="S52" s="466">
        <f ca="1">IFERROR(('Balance sheet'!S24+'Balance sheet'!S25)/('Balance sheet'!S11+'Balance sheet'!S14),0)</f>
        <v>2.2662504394002116</v>
      </c>
      <c r="T52" s="466">
        <f ca="1">IFERROR(('Balance sheet'!T24+'Balance sheet'!T25)/('Balance sheet'!T11+'Balance sheet'!T14),0)</f>
        <v>2.6242248523901042</v>
      </c>
      <c r="U52" s="466">
        <f ca="1">IFERROR(('Balance sheet'!U24+'Balance sheet'!U25)/('Balance sheet'!U11+'Balance sheet'!U14),0)</f>
        <v>3.1789485610690984</v>
      </c>
      <c r="V52" s="466">
        <f ca="1">IFERROR(('Balance sheet'!V24+'Balance sheet'!V25)/('Balance sheet'!V11+'Balance sheet'!V14),0)</f>
        <v>4.3366920071533679</v>
      </c>
      <c r="W52" s="466">
        <f ca="1">IFERROR(('Balance sheet'!W24+'Balance sheet'!W25)/('Balance sheet'!W11+'Balance sheet'!W14),0)</f>
        <v>7.3105036039580584</v>
      </c>
      <c r="X52" s="466">
        <f ca="1">IFERROR(('Balance sheet'!X24+'Balance sheet'!X25)/('Balance sheet'!X11+'Balance sheet'!X14),0)</f>
        <v>31.912035904796888</v>
      </c>
      <c r="Y52" s="467"/>
    </row>
    <row r="53" spans="3:25" x14ac:dyDescent="0.3">
      <c r="C53" s="169" t="s">
        <v>436</v>
      </c>
      <c r="D53" s="258">
        <f>IFERROR(('Balance sheet'!C19-SUM('Balance sheet'!C5:C9))/D15,0)</f>
        <v>0</v>
      </c>
      <c r="E53" s="258">
        <f ca="1">IFERROR(('Balance sheet'!D19-SUM('Balance sheet'!D5:D9))/E15,0)</f>
        <v>0</v>
      </c>
      <c r="F53" s="258">
        <f ca="1">IFERROR(('Balance sheet'!E19-SUM('Balance sheet'!E5:E9))/F15,0)</f>
        <v>26.572206422942568</v>
      </c>
      <c r="G53" s="258">
        <f ca="1">IFERROR(('Balance sheet'!F19-SUM('Balance sheet'!F5:F9))/G15,0)</f>
        <v>6.2072345420095223</v>
      </c>
      <c r="H53" s="258">
        <f ca="1">IFERROR(('Balance sheet'!G19-SUM('Balance sheet'!G5:G9))/H15,0)</f>
        <v>4.2251439569443079</v>
      </c>
      <c r="I53" s="258">
        <f ca="1">IFERROR(('Balance sheet'!H19-SUM('Balance sheet'!H5:H9))/I15,0)</f>
        <v>4.2532113415172716</v>
      </c>
      <c r="J53" s="258">
        <f ca="1">IFERROR(('Balance sheet'!I19-SUM('Balance sheet'!I5:I9))/J15,0)</f>
        <v>4.3655569642327245</v>
      </c>
      <c r="K53" s="258">
        <f ca="1">IFERROR(('Balance sheet'!J19-SUM('Balance sheet'!J5:J9))/K15,0)</f>
        <v>4.996538176519314</v>
      </c>
      <c r="L53" s="258">
        <f ca="1">IFERROR(('Balance sheet'!K19-SUM('Balance sheet'!K5:K9))/L15,0)</f>
        <v>5.4796940039332398</v>
      </c>
      <c r="M53" s="246">
        <f ca="1">IFERROR(('Balance sheet'!L19-SUM('Balance sheet'!L5:L9))/M15,0)</f>
        <v>5.8561501666308464</v>
      </c>
      <c r="N53" s="258">
        <f ca="1">IFERROR(('Balance sheet'!M19-SUM('Balance sheet'!M5:M9))/N15,0)</f>
        <v>6.1331114626930248</v>
      </c>
      <c r="O53" s="258">
        <f ca="1">IFERROR(('Balance sheet'!N19-SUM('Balance sheet'!N5:N9))/O15,0)</f>
        <v>6.3080537861560169</v>
      </c>
      <c r="P53" s="258">
        <f ca="1">IFERROR(('Balance sheet'!O19-SUM('Balance sheet'!O5:O9))/P15,0)</f>
        <v>6.3930348401760817</v>
      </c>
      <c r="Q53" s="258">
        <f ca="1">IFERROR(('Balance sheet'!P19-SUM('Balance sheet'!P5:P9))/Q15,0)</f>
        <v>6.3990538993058808</v>
      </c>
      <c r="R53" s="258">
        <f ca="1">IFERROR(('Balance sheet'!Q19-SUM('Balance sheet'!Q5:Q9))/R15,0)</f>
        <v>6.3226642461922422</v>
      </c>
      <c r="S53" s="258">
        <f ca="1">IFERROR(('Balance sheet'!R19-SUM('Balance sheet'!R5:R9))/S15,0)</f>
        <v>6.1620808536922889</v>
      </c>
      <c r="T53" s="258">
        <f ca="1">IFERROR(('Balance sheet'!S19-SUM('Balance sheet'!S5:S9))/T15,0)</f>
        <v>6.0024540104866855</v>
      </c>
      <c r="U53" s="258">
        <f ca="1">IFERROR(('Balance sheet'!T19-SUM('Balance sheet'!T5:T9))/U15,0)</f>
        <v>5.8440567513194956</v>
      </c>
      <c r="V53" s="258">
        <f ca="1">IFERROR(('Balance sheet'!U19-SUM('Balance sheet'!U5:U9))/V15,0)</f>
        <v>5.6871339385798274</v>
      </c>
      <c r="W53" s="258">
        <f ca="1">IFERROR(('Balance sheet'!V19-SUM('Balance sheet'!V5:V9))/W15,0)</f>
        <v>5.4896949625218987</v>
      </c>
      <c r="X53" s="258">
        <f ca="1">IFERROR(('Balance sheet'!W19-SUM('Balance sheet'!W5:W9))/X15,0)</f>
        <v>5.2981637031439117</v>
      </c>
      <c r="Y53" s="246">
        <f ca="1">IFERROR(('Balance sheet'!X19-SUM('Balance sheet'!X5:X9))/Y15,0)</f>
        <v>5.1124252281907614</v>
      </c>
    </row>
    <row r="54" spans="3:25" x14ac:dyDescent="0.3">
      <c r="C54" s="169" t="s">
        <v>479</v>
      </c>
      <c r="D54" s="258">
        <f>IFERROR(SUM('Balance sheet'!D11,'Balance sheet'!D14)/SUM('Balance sheet'!D5),0)</f>
        <v>0</v>
      </c>
      <c r="E54" s="258">
        <f ca="1">IFERROR(SUM('Balance sheet'!E11,'Balance sheet'!E14)/SUM('Balance sheet'!E5),0)</f>
        <v>1.128638187205163</v>
      </c>
      <c r="F54" s="258">
        <f ca="1">IFERROR(SUM('Balance sheet'!F11,'Balance sheet'!F14)/SUM('Balance sheet'!F5),0)</f>
        <v>1.2222222222222225</v>
      </c>
      <c r="G54" s="258">
        <f ca="1">IFERROR(SUM('Balance sheet'!G11,'Balance sheet'!G14)/SUM('Balance sheet'!G5),0)</f>
        <v>1.2222222222222219</v>
      </c>
      <c r="H54" s="258">
        <f ca="1">IFERROR(SUM('Balance sheet'!H11,'Balance sheet'!H14)/SUM('Balance sheet'!H5),0)</f>
        <v>1.2222222222222217</v>
      </c>
      <c r="I54" s="258">
        <f ca="1">IFERROR(SUM('Balance sheet'!I11,'Balance sheet'!I14)/SUM('Balance sheet'!I5),0)</f>
        <v>1.1926663989031534</v>
      </c>
      <c r="J54" s="258">
        <f ca="1">IFERROR(SUM('Balance sheet'!J11,'Balance sheet'!J14)/SUM('Balance sheet'!J5),0)</f>
        <v>1.1867030669086376</v>
      </c>
      <c r="K54" s="258">
        <f ca="1">IFERROR(SUM('Balance sheet'!K11,'Balance sheet'!K14)/SUM('Balance sheet'!K5),0)</f>
        <v>1.1658314049278324</v>
      </c>
      <c r="L54" s="258">
        <f ca="1">IFERROR(SUM('Balance sheet'!L11,'Balance sheet'!L14)/SUM('Balance sheet'!L5),0)</f>
        <v>1.1360147449552538</v>
      </c>
      <c r="M54" s="246">
        <f ca="1">IFERROR(SUM('Balance sheet'!M11,'Balance sheet'!M14)/SUM('Balance sheet'!M5),0)</f>
        <v>1.0972530869909012</v>
      </c>
      <c r="N54" s="258">
        <f ca="1">IFERROR(SUM('Balance sheet'!N11,'Balance sheet'!N14)/SUM('Balance sheet'!N5),0)</f>
        <v>1.0465647650375172</v>
      </c>
      <c r="O54" s="258">
        <f ca="1">IFERROR(SUM('Balance sheet'!O11,'Balance sheet'!O14)/SUM('Balance sheet'!O5),0)</f>
        <v>0.98394977909510162</v>
      </c>
      <c r="P54" s="258">
        <f ca="1">IFERROR(SUM('Balance sheet'!P11,'Balance sheet'!P14)/SUM('Balance sheet'!P5),0)</f>
        <v>0.90940812916365454</v>
      </c>
      <c r="Q54" s="258">
        <f ca="1">IFERROR(SUM('Balance sheet'!Q11,'Balance sheet'!Q14)/SUM('Balance sheet'!Q5),0)</f>
        <v>0.81995814924591803</v>
      </c>
      <c r="R54" s="258">
        <f ca="1">IFERROR(SUM('Balance sheet'!R11,'Balance sheet'!R14)/SUM('Balance sheet'!R5),0)</f>
        <v>0.71261817334463418</v>
      </c>
      <c r="S54" s="258">
        <f ca="1">IFERROR(SUM('Balance sheet'!S11,'Balance sheet'!S14)/SUM('Balance sheet'!S5),0)</f>
        <v>0.60527819744335043</v>
      </c>
      <c r="T54" s="258">
        <f ca="1">IFERROR(SUM('Balance sheet'!T11,'Balance sheet'!T14)/SUM('Balance sheet'!T5),0)</f>
        <v>0.49793822154206663</v>
      </c>
      <c r="U54" s="258">
        <f ca="1">IFERROR(SUM('Balance sheet'!U11,'Balance sheet'!U14)/SUM('Balance sheet'!U5),0)</f>
        <v>0.39059824564078283</v>
      </c>
      <c r="V54" s="258">
        <f ca="1">IFERROR(SUM('Balance sheet'!V11,'Balance sheet'!V14)/SUM('Balance sheet'!V5),0)</f>
        <v>0.27133160575046744</v>
      </c>
      <c r="W54" s="258">
        <f ca="1">IFERROR(SUM('Balance sheet'!W11,'Balance sheet'!W14)/SUM('Balance sheet'!W5),0)</f>
        <v>0.15206496586015206</v>
      </c>
      <c r="X54" s="258">
        <f ca="1">IFERROR(SUM('Balance sheet'!X11,'Balance sheet'!X14)/SUM('Balance sheet'!X5),0)</f>
        <v>3.2798325969836693E-2</v>
      </c>
      <c r="Y54" s="246">
        <f ca="1">IFERROR(SUM('Balance sheet'!Y11,'Balance sheet'!Y14)/SUM('Balance sheet'!Y5),0)</f>
        <v>-2.5423175457485739E-16</v>
      </c>
    </row>
    <row r="55" spans="3:25" x14ac:dyDescent="0.3">
      <c r="C55" s="169" t="s">
        <v>440</v>
      </c>
      <c r="D55" s="52">
        <f t="shared" ref="D55" si="55">D40</f>
        <v>0</v>
      </c>
      <c r="E55" s="52">
        <f t="shared" ref="E55:L55" si="56">E40</f>
        <v>0</v>
      </c>
      <c r="F55" s="52">
        <f t="shared" ca="1" si="56"/>
        <v>0</v>
      </c>
      <c r="G55" s="52">
        <f t="shared" ca="1" si="56"/>
        <v>0</v>
      </c>
      <c r="H55" s="52">
        <f t="shared" ca="1" si="56"/>
        <v>0</v>
      </c>
      <c r="I55" s="52">
        <f t="shared" ca="1" si="56"/>
        <v>4.133308294445591</v>
      </c>
      <c r="J55" s="52">
        <f t="shared" ca="1" si="56"/>
        <v>1.3019117091874757</v>
      </c>
      <c r="K55" s="52">
        <f t="shared" ca="1" si="56"/>
        <v>1.3018957386596348</v>
      </c>
      <c r="L55" s="52">
        <f t="shared" ca="1" si="56"/>
        <v>1.2942663741785252</v>
      </c>
      <c r="M55" s="244">
        <f t="shared" ref="M55:Y55" ca="1" si="57">M40</f>
        <v>1.2976729081026448</v>
      </c>
      <c r="N55" s="52">
        <f t="shared" ca="1" si="57"/>
        <v>1.2844833451114426</v>
      </c>
      <c r="O55" s="52">
        <f t="shared" ca="1" si="57"/>
        <v>1.2843000954977077</v>
      </c>
      <c r="P55" s="52">
        <f t="shared" ca="1" si="57"/>
        <v>1.2954693992856745</v>
      </c>
      <c r="Q55" s="52">
        <f t="shared" ca="1" si="57"/>
        <v>1.2939730313839379</v>
      </c>
      <c r="R55" s="52">
        <f t="shared" ca="1" si="57"/>
        <v>1.2836270632446849</v>
      </c>
      <c r="S55" s="52">
        <f t="shared" ca="1" si="57"/>
        <v>1.4230898575715667</v>
      </c>
      <c r="T55" s="52">
        <f t="shared" ca="1" si="57"/>
        <v>1.5826423729224006</v>
      </c>
      <c r="U55" s="52">
        <f t="shared" ca="1" si="57"/>
        <v>1.7662649866717715</v>
      </c>
      <c r="V55" s="52">
        <f t="shared" ca="1" si="57"/>
        <v>1.825691308894525</v>
      </c>
      <c r="W55" s="52">
        <f t="shared" ca="1" si="57"/>
        <v>2.0585576702066017</v>
      </c>
      <c r="X55" s="52">
        <f t="shared" ca="1" si="57"/>
        <v>2.3338568656117968</v>
      </c>
      <c r="Y55" s="244">
        <f t="shared" ca="1" si="57"/>
        <v>9.3982514725249828</v>
      </c>
    </row>
    <row r="56" spans="3:25" x14ac:dyDescent="0.3">
      <c r="C56" s="437" t="s">
        <v>442</v>
      </c>
      <c r="D56" s="468"/>
      <c r="E56" s="468"/>
      <c r="F56" s="468"/>
      <c r="G56" s="468"/>
      <c r="H56" s="468"/>
      <c r="I56" s="468"/>
      <c r="J56" s="468">
        <f ca="1">IFERROR('CF Statement'!J15/SUM('Balance sheet'!I12,'Balance sheet'!I15),0)</f>
        <v>0</v>
      </c>
      <c r="K56" s="468">
        <f ca="1">IFERROR('CF Statement'!K15/SUM('Balance sheet'!J12,'Balance sheet'!J15),0)</f>
        <v>7.5384412896030906</v>
      </c>
      <c r="L56" s="468">
        <f ca="1">IFERROR('CF Statement'!L15/SUM('Balance sheet'!K12,'Balance sheet'!K15),0)</f>
        <v>5.5407543478582664</v>
      </c>
      <c r="M56" s="469">
        <f ca="1">IFERROR('CF Statement'!M15/SUM('Balance sheet'!L12,'Balance sheet'!L15),0)</f>
        <v>4.4752246655778327</v>
      </c>
      <c r="N56" s="468">
        <f ca="1">IFERROR('CF Statement'!N15/SUM('Balance sheet'!M12,'Balance sheet'!M15),0)</f>
        <v>3.5933421579492606</v>
      </c>
      <c r="O56" s="468">
        <f ca="1">IFERROR('CF Statement'!O15/SUM('Balance sheet'!N12,'Balance sheet'!N15),0)</f>
        <v>3.0543408342568701</v>
      </c>
      <c r="P56" s="468">
        <f ca="1">IFERROR('CF Statement'!P15/SUM('Balance sheet'!O12,'Balance sheet'!O15),0)</f>
        <v>2.6939286158145599</v>
      </c>
      <c r="Q56" s="468">
        <f ca="1">IFERROR('CF Statement'!Q15/SUM('Balance sheet'!P12,'Balance sheet'!P15),0)</f>
        <v>2.3571875388377403</v>
      </c>
      <c r="R56" s="468">
        <f ca="1">IFERROR('CF Statement'!R15/SUM('Balance sheet'!Q12,'Balance sheet'!Q15),0)</f>
        <v>2.0625390964830221</v>
      </c>
      <c r="S56" s="468">
        <f ca="1">IFERROR('CF Statement'!S15/SUM('Balance sheet'!R12,'Balance sheet'!R15),0)</f>
        <v>2.1656660513071748</v>
      </c>
      <c r="T56" s="468">
        <f ca="1">IFERROR('CF Statement'!T15/SUM('Balance sheet'!S12,'Balance sheet'!S15),0)</f>
        <v>2.2739493538725326</v>
      </c>
      <c r="U56" s="468">
        <f ca="1">IFERROR('CF Statement'!U15/SUM('Balance sheet'!T12,'Balance sheet'!T15),0)</f>
        <v>2.3876468215661601</v>
      </c>
      <c r="V56" s="468">
        <f ca="1">IFERROR('CF Statement'!V15/SUM('Balance sheet'!U12,'Balance sheet'!U15),0)</f>
        <v>2.2563262463800209</v>
      </c>
      <c r="W56" s="468">
        <f ca="1">IFERROR('CF Statement'!W15/SUM('Balance sheet'!V12,'Balance sheet'!V15),0)</f>
        <v>2.3691425586990227</v>
      </c>
      <c r="X56" s="468">
        <f ca="1">IFERROR('CF Statement'!X15/SUM('Balance sheet'!W12,'Balance sheet'!W15),0)</f>
        <v>2.487599686633974</v>
      </c>
      <c r="Y56" s="469">
        <f ca="1">IFERROR('CF Statement'!Y15/SUM('Balance sheet'!X12,'Balance sheet'!X15),0)</f>
        <v>9.4981078944205599</v>
      </c>
    </row>
    <row r="58" spans="3:25" x14ac:dyDescent="0.3">
      <c r="C58" s="39" t="s">
        <v>445</v>
      </c>
    </row>
    <row r="59" spans="3:25" x14ac:dyDescent="0.3">
      <c r="C59" s="470" t="s">
        <v>421</v>
      </c>
      <c r="D59" s="160">
        <f>'Balance sheet'!D11+'Balance sheet'!D14+'Balance sheet'!D17+'Balance sheet'!D18</f>
        <v>0</v>
      </c>
      <c r="E59" s="160">
        <f ca="1">'Balance sheet'!E11+'Balance sheet'!E14+'Balance sheet'!E17+'Balance sheet'!E18</f>
        <v>61.265081574533156</v>
      </c>
      <c r="F59" s="160">
        <f ca="1">'Balance sheet'!F11+'Balance sheet'!F14+'Balance sheet'!F17+'Balance sheet'!F18</f>
        <v>149.36945914425422</v>
      </c>
      <c r="G59" s="160">
        <f ca="1">'Balance sheet'!G11+'Balance sheet'!G14+'Balance sheet'!G17+'Balance sheet'!G18</f>
        <v>253.37157106392226</v>
      </c>
      <c r="H59" s="160">
        <f ca="1">'Balance sheet'!H11+'Balance sheet'!H14+'Balance sheet'!H17+'Balance sheet'!H18</f>
        <v>353.83119922730225</v>
      </c>
      <c r="I59" s="160">
        <f ca="1">'Balance sheet'!I11+'Balance sheet'!I14+'Balance sheet'!I17+'Balance sheet'!I18</f>
        <v>414.4369627547814</v>
      </c>
      <c r="J59" s="160">
        <f ca="1">'Balance sheet'!J11+'Balance sheet'!J14+'Balance sheet'!J17+'Balance sheet'!J18</f>
        <v>449.28497411112835</v>
      </c>
      <c r="K59" s="160">
        <f ca="1">'Balance sheet'!K11+'Balance sheet'!K14+'Balance sheet'!K17+'Balance sheet'!K18</f>
        <v>479.25023073685418</v>
      </c>
      <c r="L59" s="160">
        <f ca="1">'Balance sheet'!L11+'Balance sheet'!L14+'Balance sheet'!L17+'Balance sheet'!L18</f>
        <v>507.06196418315437</v>
      </c>
      <c r="M59" s="579">
        <f ca="1">'Balance sheet'!M11+'Balance sheet'!M14+'Balance sheet'!M17+'Balance sheet'!M18</f>
        <v>532.52721409684307</v>
      </c>
      <c r="N59" s="595">
        <f ca="1">'Balance sheet'!N11+'Balance sheet'!N14+'Balance sheet'!N17+'Balance sheet'!N18</f>
        <v>554.99245953584045</v>
      </c>
      <c r="O59" s="160">
        <f ca="1">'Balance sheet'!O11+'Balance sheet'!O14+'Balance sheet'!O17+'Balance sheet'!O18</f>
        <v>574.45770050014642</v>
      </c>
      <c r="P59" s="160">
        <f ca="1">'Balance sheet'!P11+'Balance sheet'!P14+'Balance sheet'!P17+'Balance sheet'!P18</f>
        <v>590.92293698976096</v>
      </c>
      <c r="Q59" s="160">
        <f ca="1">'Balance sheet'!Q11+'Balance sheet'!Q14+'Balance sheet'!Q17+'Balance sheet'!Q18</f>
        <v>603.63816788601127</v>
      </c>
      <c r="R59" s="160">
        <f ca="1">'Balance sheet'!R11+'Balance sheet'!R14+'Balance sheet'!R17+'Balance sheet'!R18</f>
        <v>611.85339207022446</v>
      </c>
      <c r="S59" s="160">
        <f ca="1">'Balance sheet'!S11+'Balance sheet'!S14+'Balance sheet'!S17+'Balance sheet'!S18</f>
        <v>620.06861625443776</v>
      </c>
      <c r="T59" s="160">
        <f ca="1">'Balance sheet'!T11+'Balance sheet'!T14+'Balance sheet'!T17+'Balance sheet'!T18</f>
        <v>628.28384043865094</v>
      </c>
      <c r="U59" s="160">
        <f ca="1">'Balance sheet'!U11+'Balance sheet'!U14+'Balance sheet'!U17+'Balance sheet'!U18</f>
        <v>636.49906462286424</v>
      </c>
      <c r="V59" s="160">
        <f ca="1">'Balance sheet'!V11+'Balance sheet'!V14+'Balance sheet'!V17+'Balance sheet'!V18</f>
        <v>641.71428433238611</v>
      </c>
      <c r="W59" s="160">
        <f ca="1">'Balance sheet'!W11+'Balance sheet'!W14+'Balance sheet'!W17+'Balance sheet'!W18</f>
        <v>646.9295040419081</v>
      </c>
      <c r="X59" s="160">
        <f ca="1">'Balance sheet'!X11+'Balance sheet'!X14+'Balance sheet'!X17+'Balance sheet'!X18</f>
        <v>652.14472375142998</v>
      </c>
      <c r="Y59" s="579">
        <f ca="1">'Balance sheet'!Y11+'Balance sheet'!Y14+'Balance sheet'!Y17+'Balance sheet'!Y18</f>
        <v>679.10997590246438</v>
      </c>
    </row>
    <row r="60" spans="3:25" x14ac:dyDescent="0.3">
      <c r="C60" s="169" t="s">
        <v>422</v>
      </c>
      <c r="D60" s="52">
        <f ca="1">'Balance sheet'!D5+'Balance sheet'!D9</f>
        <v>47.580999999999996</v>
      </c>
      <c r="E60" s="52">
        <f ca="1">'Balance sheet'!E5+'Balance sheet'!E9</f>
        <v>49.704003168081499</v>
      </c>
      <c r="F60" s="52">
        <f ca="1">'Balance sheet'!F5+'Balance sheet'!F9</f>
        <v>104.53287475166545</v>
      </c>
      <c r="G60" s="52">
        <f ca="1">'Balance sheet'!G5+'Balance sheet'!G9</f>
        <v>170.08198682874462</v>
      </c>
      <c r="H60" s="52">
        <f ca="1">'Balance sheet'!H5+'Balance sheet'!H9</f>
        <v>236.98575571290226</v>
      </c>
      <c r="I60" s="52">
        <f ca="1">'Balance sheet'!I5+'Balance sheet'!I9</f>
        <v>261.35522909543346</v>
      </c>
      <c r="J60" s="52">
        <f ca="1">'Balance sheet'!J5+'Balance sheet'!J9</f>
        <v>220.16791795425215</v>
      </c>
      <c r="K60" s="52">
        <f ca="1">'Balance sheet'!K5+'Balance sheet'!K9</f>
        <v>183.02762576011366</v>
      </c>
      <c r="L60" s="52">
        <f ca="1">'Balance sheet'!L5+'Balance sheet'!L9</f>
        <v>148.31157298771146</v>
      </c>
      <c r="M60" s="244">
        <f ca="1">'Balance sheet'!M5+'Balance sheet'!M9</f>
        <v>116.50291246499754</v>
      </c>
      <c r="N60" s="245">
        <f ca="1">'Balance sheet'!N5+'Balance sheet'!N9</f>
        <v>87.832178647163687</v>
      </c>
      <c r="O60" s="52">
        <f ca="1">'Balance sheet'!O5+'Balance sheet'!O9</f>
        <v>62.663455678487281</v>
      </c>
      <c r="P60" s="52">
        <f ca="1">'Balance sheet'!P5+'Balance sheet'!P9</f>
        <v>41.366281891442128</v>
      </c>
      <c r="Q60" s="52">
        <f ca="1">'Balance sheet'!Q5+'Balance sheet'!Q9</f>
        <v>24.347797563651909</v>
      </c>
      <c r="R60" s="52">
        <f ca="1">'Balance sheet'!R5+'Balance sheet'!R9</f>
        <v>12.084906310314011</v>
      </c>
      <c r="S60" s="52">
        <f ca="1">'Balance sheet'!S5+'Balance sheet'!S9</f>
        <v>4.901450413518802</v>
      </c>
      <c r="T60" s="52">
        <f ca="1">'Balance sheet'!T5+'Balance sheet'!T9</f>
        <v>2.9366514699364075</v>
      </c>
      <c r="U60" s="52">
        <f ca="1">'Balance sheet'!U5+'Balance sheet'!U9</f>
        <v>6.3366921560705975</v>
      </c>
      <c r="V60" s="52">
        <f ca="1">'Balance sheet'!V5+'Balance sheet'!V9</f>
        <v>15.382564472424576</v>
      </c>
      <c r="W60" s="52">
        <f ca="1">'Balance sheet'!W5+'Balance sheet'!W9</f>
        <v>30.362935010018106</v>
      </c>
      <c r="X60" s="52">
        <f ca="1">'Balance sheet'!X5+'Balance sheet'!X9</f>
        <v>51.447028489738756</v>
      </c>
      <c r="Y60" s="244">
        <f ca="1">'Balance sheet'!Y5+'Balance sheet'!Y9</f>
        <v>78.151123631988838</v>
      </c>
    </row>
    <row r="61" spans="3:25" x14ac:dyDescent="0.3">
      <c r="C61" s="290" t="s">
        <v>423</v>
      </c>
      <c r="D61" s="259">
        <f t="shared" ref="D61" ca="1" si="58">D59/D60</f>
        <v>0</v>
      </c>
      <c r="E61" s="259">
        <f t="shared" ref="E61:L61" ca="1" si="59">E59/E60</f>
        <v>1.2325985367286443</v>
      </c>
      <c r="F61" s="259">
        <f t="shared" ca="1" si="59"/>
        <v>1.4289232884784355</v>
      </c>
      <c r="G61" s="259">
        <f t="shared" ca="1" si="59"/>
        <v>1.4897025592665603</v>
      </c>
      <c r="H61" s="259">
        <f t="shared" ca="1" si="59"/>
        <v>1.4930483824350738</v>
      </c>
      <c r="I61" s="259">
        <f t="shared" ca="1" si="59"/>
        <v>1.5857228653475703</v>
      </c>
      <c r="J61" s="259">
        <f t="shared" ca="1" si="59"/>
        <v>2.0406468766465946</v>
      </c>
      <c r="K61" s="259">
        <f t="shared" ca="1" si="59"/>
        <v>2.6184584362416774</v>
      </c>
      <c r="L61" s="259">
        <f t="shared" ca="1" si="59"/>
        <v>3.4188968127603072</v>
      </c>
      <c r="M61" s="452">
        <f t="shared" ref="M61:Y61" ca="1" si="60">M59/M60</f>
        <v>4.570934776045509</v>
      </c>
      <c r="N61" s="585">
        <f t="shared" ca="1" si="60"/>
        <v>6.3187827978779447</v>
      </c>
      <c r="O61" s="259">
        <f t="shared" ca="1" si="60"/>
        <v>9.1673479267974844</v>
      </c>
      <c r="P61" s="259">
        <f t="shared" ca="1" si="60"/>
        <v>14.285135380078994</v>
      </c>
      <c r="Q61" s="259">
        <f t="shared" ca="1" si="60"/>
        <v>24.792310939333767</v>
      </c>
      <c r="R61" s="259">
        <f t="shared" ca="1" si="60"/>
        <v>50.629551968311965</v>
      </c>
      <c r="S61" s="259">
        <f t="shared" ca="1" si="60"/>
        <v>126.50716909105361</v>
      </c>
      <c r="T61" s="259">
        <f t="shared" ca="1" si="60"/>
        <v>213.94566119630679</v>
      </c>
      <c r="U61" s="259">
        <f t="shared" ca="1" si="60"/>
        <v>100.44658142546714</v>
      </c>
      <c r="V61" s="259">
        <f t="shared" ca="1" si="60"/>
        <v>41.716989743989032</v>
      </c>
      <c r="W61" s="259">
        <f t="shared" ca="1" si="60"/>
        <v>21.306553659205107</v>
      </c>
      <c r="X61" s="259">
        <f t="shared" ca="1" si="60"/>
        <v>12.67604258001999</v>
      </c>
      <c r="Y61" s="452">
        <f t="shared" ca="1" si="60"/>
        <v>8.6897020073616815</v>
      </c>
    </row>
    <row r="62" spans="3:25" x14ac:dyDescent="0.3">
      <c r="C62" s="169" t="s">
        <v>493</v>
      </c>
      <c r="D62" s="258">
        <f ca="1">'Balance sheet'!D19-'Balance sheet'!D5-'Balance sheet'!D9-'Balance sheet'!D18</f>
        <v>0</v>
      </c>
      <c r="E62" s="258">
        <f ca="1">'Balance sheet'!E19-'Balance sheet'!E5-'Balance sheet'!E9-'Balance sheet'!E18</f>
        <v>56.097836032463178</v>
      </c>
      <c r="F62" s="258">
        <f ca="1">'Balance sheet'!F19-'Balance sheet'!F5-'Balance sheet'!F9-'Balance sheet'!F18</f>
        <v>133.79318561980676</v>
      </c>
      <c r="G62" s="258">
        <f ca="1">'Balance sheet'!G19-'Balance sheet'!G5-'Balance sheet'!G9-'Balance sheet'!G18</f>
        <v>218.3654886611755</v>
      </c>
      <c r="H62" s="258">
        <f ca="1">'Balance sheet'!H19-'Balance sheet'!H5-'Balance sheet'!H9-'Balance sheet'!H18</f>
        <v>290.31580861139003</v>
      </c>
      <c r="I62" s="258">
        <f ca="1">'Balance sheet'!I19-'Balance sheet'!I5-'Balance sheet'!I9-'Balance sheet'!I18</f>
        <v>317.18967773627924</v>
      </c>
      <c r="J62" s="258">
        <f ca="1">'Balance sheet'!J19-'Balance sheet'!J5-'Balance sheet'!J9-'Balance sheet'!J18</f>
        <v>316.82242463619059</v>
      </c>
      <c r="K62" s="258">
        <f ca="1">'Balance sheet'!K19-'Balance sheet'!K5-'Balance sheet'!K9-'Balance sheet'!K18</f>
        <v>311.57241680548066</v>
      </c>
      <c r="L62" s="258">
        <f ca="1">'Balance sheet'!L19-'Balance sheet'!L5-'Balance sheet'!L9-'Balance sheet'!L18</f>
        <v>304.07240561875233</v>
      </c>
      <c r="M62" s="246">
        <f ca="1">'Balance sheet'!M19-'Balance sheet'!M5-'Balance sheet'!M9-'Balance sheet'!M18</f>
        <v>294.32239107600526</v>
      </c>
      <c r="N62" s="243">
        <f ca="1">'Balance sheet'!N19-'Balance sheet'!N5-'Balance sheet'!N9-'Balance sheet'!N18</f>
        <v>281.57237205856677</v>
      </c>
      <c r="O62" s="258">
        <f ca="1">'Balance sheet'!O19-'Balance sheet'!O5-'Balance sheet'!O9-'Balance sheet'!O18</f>
        <v>265.82234856643692</v>
      </c>
      <c r="P62" s="258">
        <f ca="1">'Balance sheet'!P19-'Balance sheet'!P5-'Balance sheet'!P9-'Balance sheet'!P18</f>
        <v>247.07232059961586</v>
      </c>
      <c r="Q62" s="258">
        <f ca="1">'Balance sheet'!Q19-'Balance sheet'!Q5-'Balance sheet'!Q9-'Balance sheet'!Q18</f>
        <v>224.57228703943036</v>
      </c>
      <c r="R62" s="258">
        <f ca="1">'Balance sheet'!R19-'Balance sheet'!R5-'Balance sheet'!R9-'Balance sheet'!R18</f>
        <v>197.57224676720796</v>
      </c>
      <c r="S62" s="258">
        <f ca="1">'Balance sheet'!S19-'Balance sheet'!S5-'Balance sheet'!S9-'Balance sheet'!S18</f>
        <v>170.57220649498555</v>
      </c>
      <c r="T62" s="258">
        <f ca="1">'Balance sheet'!T19-'Balance sheet'!T5-'Balance sheet'!T9-'Balance sheet'!T18</f>
        <v>143.57216622276303</v>
      </c>
      <c r="U62" s="258">
        <f ca="1">'Balance sheet'!U19-'Balance sheet'!U5-'Balance sheet'!U9-'Balance sheet'!U18</f>
        <v>116.57212595054057</v>
      </c>
      <c r="V62" s="258">
        <f ca="1">'Balance sheet'!V19-'Balance sheet'!V5-'Balance sheet'!V9-'Balance sheet'!V18</f>
        <v>86.572081203626681</v>
      </c>
      <c r="W62" s="258">
        <f ca="1">'Balance sheet'!W19-'Balance sheet'!W5-'Balance sheet'!W9-'Balance sheet'!W18</f>
        <v>56.572036456712908</v>
      </c>
      <c r="X62" s="258">
        <f ca="1">'Balance sheet'!X19-'Balance sheet'!X5-'Balance sheet'!X9-'Balance sheet'!X18</f>
        <v>26.571991709798908</v>
      </c>
      <c r="Y62" s="246">
        <f ca="1">'Balance sheet'!Y19-'Balance sheet'!Y5-'Balance sheet'!Y9-'Balance sheet'!Y18</f>
        <v>18.321979404397666</v>
      </c>
    </row>
    <row r="63" spans="3:25" x14ac:dyDescent="0.3">
      <c r="C63" s="169" t="s">
        <v>534</v>
      </c>
      <c r="D63" s="258">
        <f ca="1">D60+D22</f>
        <v>47.580999999999996</v>
      </c>
      <c r="E63" s="258">
        <f t="shared" ref="E63:Y63" ca="1" si="61">E60+E22</f>
        <v>49.704003168081499</v>
      </c>
      <c r="F63" s="258">
        <f t="shared" ca="1" si="61"/>
        <v>104.53287475166545</v>
      </c>
      <c r="G63" s="258">
        <f t="shared" ca="1" si="61"/>
        <v>170.08198682874462</v>
      </c>
      <c r="H63" s="258">
        <f t="shared" ca="1" si="61"/>
        <v>236.98575571290226</v>
      </c>
      <c r="I63" s="258">
        <f t="shared" ca="1" si="61"/>
        <v>270.13492516539412</v>
      </c>
      <c r="J63" s="258">
        <f t="shared" ca="1" si="61"/>
        <v>255.38318241068785</v>
      </c>
      <c r="K63" s="258">
        <f t="shared" ca="1" si="61"/>
        <v>218.24289021654937</v>
      </c>
      <c r="L63" s="258">
        <f t="shared" ca="1" si="61"/>
        <v>183.62331762074015</v>
      </c>
      <c r="M63" s="246">
        <f t="shared" ca="1" si="61"/>
        <v>151.71817692143324</v>
      </c>
      <c r="N63" s="243">
        <f t="shared" ca="1" si="61"/>
        <v>123.04744310359939</v>
      </c>
      <c r="O63" s="258">
        <f t="shared" ca="1" si="61"/>
        <v>97.878720134922986</v>
      </c>
      <c r="P63" s="258">
        <f t="shared" ca="1" si="61"/>
        <v>76.581546347877833</v>
      </c>
      <c r="Q63" s="258">
        <f t="shared" ca="1" si="61"/>
        <v>59.563062020087621</v>
      </c>
      <c r="R63" s="258">
        <f t="shared" ca="1" si="61"/>
        <v>47.300170766749723</v>
      </c>
      <c r="S63" s="258">
        <f t="shared" ca="1" si="61"/>
        <v>40.116714869954514</v>
      </c>
      <c r="T63" s="258">
        <f t="shared" ca="1" si="61"/>
        <v>38.151915926372119</v>
      </c>
      <c r="U63" s="258">
        <f t="shared" ca="1" si="61"/>
        <v>41.551956612506309</v>
      </c>
      <c r="V63" s="258">
        <f t="shared" ca="1" si="61"/>
        <v>50.597828928860288</v>
      </c>
      <c r="W63" s="258">
        <f t="shared" ca="1" si="61"/>
        <v>65.57819946645381</v>
      </c>
      <c r="X63" s="258">
        <f t="shared" ca="1" si="61"/>
        <v>86.66229294617446</v>
      </c>
      <c r="Y63" s="246">
        <f t="shared" ca="1" si="61"/>
        <v>113.36638808842454</v>
      </c>
    </row>
    <row r="64" spans="3:25" x14ac:dyDescent="0.3">
      <c r="C64" s="290" t="s">
        <v>494</v>
      </c>
      <c r="D64" s="259">
        <f ca="1">D62/D63</f>
        <v>0</v>
      </c>
      <c r="E64" s="259">
        <f t="shared" ref="E64:M64" ca="1" si="62">E62/E63</f>
        <v>1.128638187205163</v>
      </c>
      <c r="F64" s="259">
        <f t="shared" ca="1" si="62"/>
        <v>1.2799149161223573</v>
      </c>
      <c r="G64" s="259">
        <f t="shared" ca="1" si="62"/>
        <v>1.2838836888767504</v>
      </c>
      <c r="H64" s="259">
        <f t="shared" ca="1" si="62"/>
        <v>1.2250348453984499</v>
      </c>
      <c r="I64" s="259">
        <f t="shared" ca="1" si="62"/>
        <v>1.1741898147456318</v>
      </c>
      <c r="J64" s="259">
        <f t="shared" ca="1" si="62"/>
        <v>1.2405766959497779</v>
      </c>
      <c r="K64" s="259">
        <f t="shared" ca="1" si="62"/>
        <v>1.4276406278175935</v>
      </c>
      <c r="L64" s="259">
        <f t="shared" ca="1" si="62"/>
        <v>1.6559574762002205</v>
      </c>
      <c r="M64" s="452">
        <f t="shared" ca="1" si="62"/>
        <v>1.9399283398219263</v>
      </c>
      <c r="N64" s="585">
        <f ca="1">N62/N63</f>
        <v>2.288323633198114</v>
      </c>
      <c r="O64" s="259">
        <f t="shared" ref="O64:X64" ca="1" si="63">O62/O63</f>
        <v>2.7158339238601452</v>
      </c>
      <c r="P64" s="259">
        <f t="shared" ca="1" si="63"/>
        <v>3.2262644511938943</v>
      </c>
      <c r="Q64" s="259">
        <f t="shared" ca="1" si="63"/>
        <v>3.7703281097888057</v>
      </c>
      <c r="R64" s="259">
        <f t="shared" ca="1" si="63"/>
        <v>4.1769880227598239</v>
      </c>
      <c r="S64" s="259">
        <f t="shared" ca="1" si="63"/>
        <v>4.2518986673740802</v>
      </c>
      <c r="T64" s="259">
        <f t="shared" ca="1" si="63"/>
        <v>3.7631705443007712</v>
      </c>
      <c r="U64" s="259">
        <f t="shared" ca="1" si="63"/>
        <v>2.8054545550679237</v>
      </c>
      <c r="V64" s="259">
        <f t="shared" ca="1" si="63"/>
        <v>1.7109841081392168</v>
      </c>
      <c r="W64" s="259">
        <f t="shared" ca="1" si="63"/>
        <v>0.86266528994368075</v>
      </c>
      <c r="X64" s="259">
        <f t="shared" ca="1" si="63"/>
        <v>0.30661537799724092</v>
      </c>
      <c r="Y64" s="452">
        <f ca="1">Y62/Y63</f>
        <v>0.16161738689343019</v>
      </c>
    </row>
    <row r="65" spans="3:25" x14ac:dyDescent="0.3">
      <c r="C65" s="169"/>
      <c r="D65" s="46"/>
      <c r="E65" s="46"/>
      <c r="F65" s="46"/>
      <c r="G65" s="46"/>
      <c r="H65" s="46"/>
      <c r="I65" s="46"/>
      <c r="J65" s="46"/>
      <c r="K65" s="46"/>
      <c r="L65" s="46"/>
      <c r="M65" s="457"/>
      <c r="N65" s="587"/>
      <c r="O65" s="46"/>
      <c r="P65" s="46"/>
      <c r="Q65" s="46"/>
      <c r="R65" s="46"/>
      <c r="S65" s="46"/>
      <c r="T65" s="46"/>
      <c r="U65" s="46"/>
      <c r="V65" s="46"/>
      <c r="W65" s="46"/>
      <c r="X65" s="46"/>
      <c r="Y65" s="457"/>
    </row>
    <row r="66" spans="3:25" x14ac:dyDescent="0.3">
      <c r="C66" s="169" t="s">
        <v>495</v>
      </c>
      <c r="D66" s="258">
        <f>'Balance sheet'!D12+'Balance sheet'!D15</f>
        <v>0</v>
      </c>
      <c r="E66" s="258">
        <f ca="1">'Balance sheet'!E12+'Balance sheet'!E15</f>
        <v>0</v>
      </c>
      <c r="F66" s="258">
        <f ca="1">'Balance sheet'!F12+'Balance sheet'!F15</f>
        <v>0</v>
      </c>
      <c r="G66" s="258">
        <f ca="1">'Balance sheet'!G12+'Balance sheet'!G15</f>
        <v>0</v>
      </c>
      <c r="H66" s="258">
        <f ca="1">'Balance sheet'!H12+'Balance sheet'!H15</f>
        <v>0</v>
      </c>
      <c r="I66" s="258">
        <f ca="1">'Balance sheet'!I12+'Balance sheet'!I15</f>
        <v>0</v>
      </c>
      <c r="J66" s="258">
        <f ca="1">'Balance sheet'!J12+'Balance sheet'!J15</f>
        <v>5.2500078307099249</v>
      </c>
      <c r="K66" s="258">
        <f ca="1">'Balance sheet'!K12+'Balance sheet'!K15</f>
        <v>7.5000111867284636</v>
      </c>
      <c r="L66" s="258">
        <f ca="1">'Balance sheet'!L12+'Balance sheet'!L15</f>
        <v>9.7500145427470031</v>
      </c>
      <c r="M66" s="246">
        <f ca="1">'Balance sheet'!M12+'Balance sheet'!M15</f>
        <v>12.750019017438389</v>
      </c>
      <c r="N66" s="243">
        <f ca="1">'Balance sheet'!N12+'Balance sheet'!N15</f>
        <v>15.750023492129772</v>
      </c>
      <c r="O66" s="258">
        <f ca="1">'Balance sheet'!O12+'Balance sheet'!O15</f>
        <v>18.750027966821158</v>
      </c>
      <c r="P66" s="258">
        <f ca="1">'Balance sheet'!P12+'Balance sheet'!P15</f>
        <v>22.50003356018539</v>
      </c>
      <c r="Q66" s="258">
        <f ca="1">'Balance sheet'!Q12+'Balance sheet'!Q15</f>
        <v>27.000040272222467</v>
      </c>
      <c r="R66" s="258">
        <f ca="1">'Balance sheet'!R12+'Balance sheet'!R15</f>
        <v>27.000040272222467</v>
      </c>
      <c r="S66" s="258">
        <f ca="1">'Balance sheet'!S12+'Balance sheet'!S15</f>
        <v>27.000040272222467</v>
      </c>
      <c r="T66" s="258">
        <f ca="1">'Balance sheet'!T12+'Balance sheet'!T15</f>
        <v>27.000040272222467</v>
      </c>
      <c r="U66" s="258">
        <f ca="1">'Balance sheet'!U12+'Balance sheet'!U15</f>
        <v>30.000044746913854</v>
      </c>
      <c r="V66" s="258">
        <f ca="1">'Balance sheet'!V12+'Balance sheet'!V15</f>
        <v>30.000044746913854</v>
      </c>
      <c r="W66" s="258">
        <f ca="1">'Balance sheet'!W12+'Balance sheet'!W15</f>
        <v>30.000044746913854</v>
      </c>
      <c r="X66" s="258">
        <f ca="1">'Balance sheet'!X12+'Balance sheet'!X15</f>
        <v>8.2500123054013663</v>
      </c>
      <c r="Y66" s="246">
        <f>'Balance sheet'!Y12+'Balance sheet'!Y15</f>
        <v>0</v>
      </c>
    </row>
    <row r="67" spans="3:25" x14ac:dyDescent="0.3">
      <c r="C67" s="437" t="s">
        <v>496</v>
      </c>
      <c r="D67" s="474">
        <f>'Balance sheet'!D13+'Balance sheet'!D16</f>
        <v>0</v>
      </c>
      <c r="E67" s="474">
        <f ca="1">'Balance sheet'!E13+'Balance sheet'!E16</f>
        <v>56.097836032463178</v>
      </c>
      <c r="F67" s="474">
        <f ca="1">'Balance sheet'!F13+'Balance sheet'!F16</f>
        <v>130.65447369703691</v>
      </c>
      <c r="G67" s="474">
        <f ca="1">'Balance sheet'!G13+'Balance sheet'!G16</f>
        <v>209.14725713106023</v>
      </c>
      <c r="H67" s="474">
        <f ca="1">'Balance sheet'!H13+'Balance sheet'!H16</f>
        <v>278.5633307427812</v>
      </c>
      <c r="I67" s="474">
        <f ca="1">'Balance sheet'!I13+'Balance sheet'!I16</f>
        <v>300.00044746913852</v>
      </c>
      <c r="J67" s="474">
        <f ca="1">'Balance sheet'!J13+'Balance sheet'!J16</f>
        <v>293.25043740108288</v>
      </c>
      <c r="K67" s="474">
        <f ca="1">'Balance sheet'!K13+'Balance sheet'!K16</f>
        <v>285.75042621435443</v>
      </c>
      <c r="L67" s="474">
        <f ca="1">'Balance sheet'!L13+'Balance sheet'!L16</f>
        <v>276.00041167160742</v>
      </c>
      <c r="M67" s="475">
        <f ca="1">'Balance sheet'!M13+'Balance sheet'!M16</f>
        <v>263.25039265416905</v>
      </c>
      <c r="N67" s="596">
        <f ca="1">'Balance sheet'!N13+'Balance sheet'!N16</f>
        <v>247.50036916203928</v>
      </c>
      <c r="O67" s="474">
        <f ca="1">'Balance sheet'!O13+'Balance sheet'!O16</f>
        <v>228.75034119521811</v>
      </c>
      <c r="P67" s="474">
        <f ca="1">'Balance sheet'!P13+'Balance sheet'!P16</f>
        <v>206.25030763503273</v>
      </c>
      <c r="Q67" s="474">
        <f ca="1">'Balance sheet'!Q13+'Balance sheet'!Q16</f>
        <v>179.25026736281026</v>
      </c>
      <c r="R67" s="474">
        <f ca="1">'Balance sheet'!R13+'Balance sheet'!R16</f>
        <v>152.2502270905878</v>
      </c>
      <c r="S67" s="474">
        <f ca="1">'Balance sheet'!S13+'Balance sheet'!S16</f>
        <v>125.25018681836534</v>
      </c>
      <c r="T67" s="474">
        <f ca="1">'Balance sheet'!T13+'Balance sheet'!T16</f>
        <v>98.250146546142872</v>
      </c>
      <c r="U67" s="474">
        <f ca="1">'Balance sheet'!U13+'Balance sheet'!U16</f>
        <v>68.250101799229014</v>
      </c>
      <c r="V67" s="474">
        <f ca="1">'Balance sheet'!V13+'Balance sheet'!V16</f>
        <v>38.250057052315157</v>
      </c>
      <c r="W67" s="474">
        <f ca="1">'Balance sheet'!W13+'Balance sheet'!W16</f>
        <v>8.2500123054013024</v>
      </c>
      <c r="X67" s="474">
        <f ca="1">'Balance sheet'!X13+'Balance sheet'!X16</f>
        <v>-6.3948846218409017E-14</v>
      </c>
      <c r="Y67" s="475">
        <f ca="1">'Balance sheet'!Y13+'Balance sheet'!Y16</f>
        <v>-6.3948846218409017E-14</v>
      </c>
    </row>
    <row r="71" spans="3:25" x14ac:dyDescent="0.3">
      <c r="C71" s="1" t="s">
        <v>189</v>
      </c>
      <c r="J71" s="33">
        <f ca="1">J23+SUM(J18:J21)</f>
        <v>2.0994151661578826</v>
      </c>
    </row>
    <row r="72" spans="3:25" x14ac:dyDescent="0.3">
      <c r="C72" s="1" t="s">
        <v>606</v>
      </c>
      <c r="J72" s="52">
        <f ca="1">J23+SUM(J18:J22)</f>
        <v>37.314679622593587</v>
      </c>
    </row>
    <row r="73" spans="3:25" x14ac:dyDescent="0.3">
      <c r="J73" s="33">
        <f ca="1">J59/J72</f>
        <v>12.040434988462067</v>
      </c>
    </row>
    <row r="74" spans="3:25" x14ac:dyDescent="0.3">
      <c r="J74" s="33">
        <f ca="1">J59/J71</f>
        <v>214.00482446421495</v>
      </c>
    </row>
  </sheetData>
  <pageMargins left="0.7" right="0.7" top="0.75" bottom="0.75" header="0.3" footer="0.3"/>
  <ignoredErrors>
    <ignoredError sqref="J2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B5B25-B44C-4A09-B1A0-47585ACC07D1}">
  <dimension ref="C2:AC48"/>
  <sheetViews>
    <sheetView showGridLines="0" topLeftCell="B2" zoomScale="90" zoomScaleNormal="90" workbookViewId="0">
      <selection activeCell="I13" sqref="I13"/>
    </sheetView>
  </sheetViews>
  <sheetFormatPr defaultRowHeight="13.8" x14ac:dyDescent="0.3"/>
  <cols>
    <col min="1" max="2" width="8.88671875" style="1"/>
    <col min="3" max="3" width="30.44140625" style="1" bestFit="1" customWidth="1"/>
    <col min="4" max="13" width="9.33203125" style="1" bestFit="1" customWidth="1"/>
    <col min="14" max="25" width="9.33203125" style="1" hidden="1" customWidth="1"/>
    <col min="26" max="16384" width="8.88671875" style="1"/>
  </cols>
  <sheetData>
    <row r="2" spans="3:25" x14ac:dyDescent="0.3">
      <c r="C2" s="39" t="s">
        <v>192</v>
      </c>
    </row>
    <row r="4" spans="3:25" x14ac:dyDescent="0.3">
      <c r="C4" s="444" t="s">
        <v>208</v>
      </c>
      <c r="D4" s="445">
        <f>'P&amp;L Statement'!D4</f>
        <v>45382</v>
      </c>
      <c r="E4" s="445">
        <f>'P&amp;L Statement'!E4</f>
        <v>45747</v>
      </c>
      <c r="F4" s="445">
        <f>'P&amp;L Statement'!F4</f>
        <v>46112</v>
      </c>
      <c r="G4" s="445">
        <f>'P&amp;L Statement'!G4</f>
        <v>46477</v>
      </c>
      <c r="H4" s="445">
        <f>'P&amp;L Statement'!H4</f>
        <v>46843</v>
      </c>
      <c r="I4" s="445">
        <f>'P&amp;L Statement'!I4</f>
        <v>47208</v>
      </c>
      <c r="J4" s="445">
        <f>'P&amp;L Statement'!J4</f>
        <v>47573</v>
      </c>
      <c r="K4" s="445">
        <f>'P&amp;L Statement'!K4</f>
        <v>47938</v>
      </c>
      <c r="L4" s="445">
        <f>'P&amp;L Statement'!L4</f>
        <v>48304</v>
      </c>
      <c r="M4" s="446">
        <f>'P&amp;L Statement'!M4</f>
        <v>48669</v>
      </c>
      <c r="N4" s="425">
        <f>'P&amp;L Statement'!N4</f>
        <v>49034</v>
      </c>
      <c r="O4" s="425">
        <f>'P&amp;L Statement'!O4</f>
        <v>49399</v>
      </c>
      <c r="P4" s="425">
        <f>'P&amp;L Statement'!P4</f>
        <v>49765</v>
      </c>
      <c r="Q4" s="425">
        <f>'P&amp;L Statement'!Q4</f>
        <v>50130</v>
      </c>
      <c r="R4" s="425">
        <f>'P&amp;L Statement'!R4</f>
        <v>50495</v>
      </c>
      <c r="S4" s="425">
        <f>'P&amp;L Statement'!S4</f>
        <v>50860</v>
      </c>
      <c r="T4" s="425">
        <f>'P&amp;L Statement'!T4</f>
        <v>51226</v>
      </c>
      <c r="U4" s="425">
        <f>'P&amp;L Statement'!U4</f>
        <v>51591</v>
      </c>
      <c r="V4" s="425">
        <f>'P&amp;L Statement'!V4</f>
        <v>51956</v>
      </c>
      <c r="W4" s="425">
        <f>'P&amp;L Statement'!W4</f>
        <v>52321</v>
      </c>
      <c r="X4" s="425">
        <f>'P&amp;L Statement'!X4</f>
        <v>52687</v>
      </c>
      <c r="Y4" s="426">
        <f>'P&amp;L Statement'!Y4</f>
        <v>53052</v>
      </c>
    </row>
    <row r="5" spans="3:25" x14ac:dyDescent="0.3">
      <c r="C5" s="169" t="s">
        <v>193</v>
      </c>
      <c r="D5" s="258">
        <f>D7+D6</f>
        <v>47.580999999999996</v>
      </c>
      <c r="E5" s="258">
        <f ca="1">'CF Statement'!E27</f>
        <v>49.704003168081499</v>
      </c>
      <c r="F5" s="258">
        <f ca="1">E5+'CF Statement'!F27</f>
        <v>106.89911484303018</v>
      </c>
      <c r="G5" s="258">
        <f ca="1">F5+'CF Statement'!G27</f>
        <v>171.12048310723114</v>
      </c>
      <c r="H5" s="258">
        <f ca="1">G5+'CF Statement'!H27</f>
        <v>227.91545242591198</v>
      </c>
      <c r="I5" s="258">
        <f ca="1">H5+'CF Statement'!I27</f>
        <v>251.53760326025505</v>
      </c>
      <c r="J5" s="258">
        <f ca="1">I5+'CF Statement'!J27</f>
        <v>251.53760326025505</v>
      </c>
      <c r="K5" s="258">
        <f ca="1">J5+'CF Statement'!K27</f>
        <v>251.53760326025505</v>
      </c>
      <c r="L5" s="258">
        <f ca="1">K5+'CF Statement'!L27</f>
        <v>251.53760326025505</v>
      </c>
      <c r="M5" s="246">
        <f ca="1">L5+'CF Statement'!M27</f>
        <v>251.53760326025505</v>
      </c>
      <c r="N5" s="258">
        <f ca="1">M5+'CF Statement'!N27</f>
        <v>251.53760326025505</v>
      </c>
      <c r="O5" s="258">
        <f ca="1">N5+'CF Statement'!O27</f>
        <v>251.53760326025505</v>
      </c>
      <c r="P5" s="258">
        <f ca="1">O5+'CF Statement'!P27</f>
        <v>251.53760326025505</v>
      </c>
      <c r="Q5" s="258">
        <f ca="1">P5+'CF Statement'!Q27</f>
        <v>251.53760326025505</v>
      </c>
      <c r="R5" s="258">
        <f ca="1">Q5+'CF Statement'!R27</f>
        <v>251.53760326025505</v>
      </c>
      <c r="S5" s="258">
        <f ca="1">R5+'CF Statement'!S27</f>
        <v>251.53760326025505</v>
      </c>
      <c r="T5" s="258">
        <f ca="1">S5+'CF Statement'!T27</f>
        <v>251.53760326025505</v>
      </c>
      <c r="U5" s="258">
        <f ca="1">T5+'CF Statement'!U27</f>
        <v>251.53760326025505</v>
      </c>
      <c r="V5" s="258">
        <f ca="1">U5+'CF Statement'!V27</f>
        <v>251.53760326025505</v>
      </c>
      <c r="W5" s="258">
        <f ca="1">V5+'CF Statement'!W27</f>
        <v>251.53760326025505</v>
      </c>
      <c r="X5" s="258">
        <f ca="1">W5+'CF Statement'!X27</f>
        <v>251.53760326025505</v>
      </c>
      <c r="Y5" s="246">
        <f ca="1">X5+'CF Statement'!Y27</f>
        <v>251.53760326025505</v>
      </c>
    </row>
    <row r="6" spans="3:25" x14ac:dyDescent="0.3">
      <c r="C6" s="169" t="s">
        <v>491</v>
      </c>
      <c r="D6" s="477">
        <f>10000/10^7</f>
        <v>1E-3</v>
      </c>
      <c r="E6" s="282">
        <f>D6</f>
        <v>1E-3</v>
      </c>
      <c r="F6" s="282">
        <f>E6</f>
        <v>1E-3</v>
      </c>
      <c r="G6" s="282">
        <f t="shared" ref="G6:M6" si="0">F6</f>
        <v>1E-3</v>
      </c>
      <c r="H6" s="282">
        <f t="shared" si="0"/>
        <v>1E-3</v>
      </c>
      <c r="I6" s="282">
        <f t="shared" si="0"/>
        <v>1E-3</v>
      </c>
      <c r="J6" s="282">
        <f t="shared" si="0"/>
        <v>1E-3</v>
      </c>
      <c r="K6" s="282">
        <f t="shared" si="0"/>
        <v>1E-3</v>
      </c>
      <c r="L6" s="282">
        <f t="shared" si="0"/>
        <v>1E-3</v>
      </c>
      <c r="M6" s="478">
        <f t="shared" si="0"/>
        <v>1E-3</v>
      </c>
      <c r="N6" s="282">
        <f t="shared" ref="N6" si="1">M6</f>
        <v>1E-3</v>
      </c>
      <c r="O6" s="282">
        <f t="shared" ref="O6" si="2">N6</f>
        <v>1E-3</v>
      </c>
      <c r="P6" s="282">
        <f t="shared" ref="P6" si="3">O6</f>
        <v>1E-3</v>
      </c>
      <c r="Q6" s="282">
        <f t="shared" ref="Q6" si="4">P6</f>
        <v>1E-3</v>
      </c>
      <c r="R6" s="282">
        <f t="shared" ref="R6" si="5">Q6</f>
        <v>1E-3</v>
      </c>
      <c r="S6" s="282">
        <f t="shared" ref="S6" si="6">R6</f>
        <v>1E-3</v>
      </c>
      <c r="T6" s="282">
        <f t="shared" ref="T6" si="7">S6</f>
        <v>1E-3</v>
      </c>
      <c r="U6" s="282">
        <f t="shared" ref="U6" si="8">T6</f>
        <v>1E-3</v>
      </c>
      <c r="V6" s="282">
        <f t="shared" ref="V6" si="9">U6</f>
        <v>1E-3</v>
      </c>
      <c r="W6" s="282">
        <f t="shared" ref="W6" si="10">V6</f>
        <v>1E-3</v>
      </c>
      <c r="X6" s="282">
        <f t="shared" ref="X6" si="11">W6</f>
        <v>1E-3</v>
      </c>
      <c r="Y6" s="478">
        <f t="shared" ref="Y6" si="12">X6</f>
        <v>1E-3</v>
      </c>
    </row>
    <row r="7" spans="3:25" x14ac:dyDescent="0.3">
      <c r="C7" s="169" t="s">
        <v>492</v>
      </c>
      <c r="D7" s="258">
        <f>-'Monthly Cashflow'!B16</f>
        <v>47.58</v>
      </c>
      <c r="E7" s="258">
        <f ca="1">E5-E6</f>
        <v>49.703003168081501</v>
      </c>
      <c r="F7" s="258">
        <f t="shared" ref="F7:M7" ca="1" si="13">F5-F6</f>
        <v>106.89811484303017</v>
      </c>
      <c r="G7" s="258">
        <f t="shared" ca="1" si="13"/>
        <v>171.11948310723113</v>
      </c>
      <c r="H7" s="258">
        <f t="shared" ca="1" si="13"/>
        <v>227.91445242591197</v>
      </c>
      <c r="I7" s="258">
        <f t="shared" ca="1" si="13"/>
        <v>251.53660326025505</v>
      </c>
      <c r="J7" s="258">
        <f t="shared" ca="1" si="13"/>
        <v>251.53660326025505</v>
      </c>
      <c r="K7" s="258">
        <f t="shared" ca="1" si="13"/>
        <v>251.53660326025505</v>
      </c>
      <c r="L7" s="258">
        <f t="shared" ca="1" si="13"/>
        <v>251.53660326025505</v>
      </c>
      <c r="M7" s="246">
        <f t="shared" ca="1" si="13"/>
        <v>251.53660326025505</v>
      </c>
      <c r="N7" s="258">
        <f t="shared" ref="N7:Y7" ca="1" si="14">N5-N6</f>
        <v>251.53660326025505</v>
      </c>
      <c r="O7" s="258">
        <f t="shared" ca="1" si="14"/>
        <v>251.53660326025505</v>
      </c>
      <c r="P7" s="258">
        <f t="shared" ca="1" si="14"/>
        <v>251.53660326025505</v>
      </c>
      <c r="Q7" s="258">
        <f t="shared" ca="1" si="14"/>
        <v>251.53660326025505</v>
      </c>
      <c r="R7" s="258">
        <f t="shared" ca="1" si="14"/>
        <v>251.53660326025505</v>
      </c>
      <c r="S7" s="258">
        <f t="shared" ca="1" si="14"/>
        <v>251.53660326025505</v>
      </c>
      <c r="T7" s="258">
        <f t="shared" ca="1" si="14"/>
        <v>251.53660326025505</v>
      </c>
      <c r="U7" s="258">
        <f t="shared" ca="1" si="14"/>
        <v>251.53660326025505</v>
      </c>
      <c r="V7" s="258">
        <f t="shared" ca="1" si="14"/>
        <v>251.53660326025505</v>
      </c>
      <c r="W7" s="258">
        <f t="shared" ca="1" si="14"/>
        <v>251.53660326025505</v>
      </c>
      <c r="X7" s="258">
        <f t="shared" ca="1" si="14"/>
        <v>251.53660326025505</v>
      </c>
      <c r="Y7" s="246">
        <f t="shared" ca="1" si="14"/>
        <v>251.53660326025505</v>
      </c>
    </row>
    <row r="8" spans="3:25" x14ac:dyDescent="0.3">
      <c r="C8" s="169"/>
      <c r="D8" s="242"/>
      <c r="E8" s="258"/>
      <c r="F8" s="258"/>
      <c r="G8" s="258"/>
      <c r="H8" s="258"/>
      <c r="I8" s="258"/>
      <c r="J8" s="258"/>
      <c r="K8" s="258"/>
      <c r="L8" s="258"/>
      <c r="M8" s="246"/>
      <c r="N8" s="258"/>
      <c r="O8" s="258"/>
      <c r="P8" s="258"/>
      <c r="Q8" s="258"/>
      <c r="R8" s="258"/>
      <c r="S8" s="258"/>
      <c r="T8" s="258"/>
      <c r="U8" s="258"/>
      <c r="V8" s="258"/>
      <c r="W8" s="258"/>
      <c r="X8" s="258"/>
      <c r="Y8" s="246"/>
    </row>
    <row r="9" spans="3:25" x14ac:dyDescent="0.3">
      <c r="C9" s="169" t="s">
        <v>200</v>
      </c>
      <c r="D9" s="242">
        <f ca="1">'P&amp;L Statement'!D26</f>
        <v>0</v>
      </c>
      <c r="E9" s="258">
        <f ca="1">D9+'P&amp;L Statement'!E26</f>
        <v>0</v>
      </c>
      <c r="F9" s="258">
        <f ca="1">E9+'P&amp;L Statement'!F26</f>
        <v>-2.3662400913647237</v>
      </c>
      <c r="G9" s="258">
        <f ca="1">F9+'P&amp;L Statement'!G26</f>
        <v>-1.0384962784865066</v>
      </c>
      <c r="H9" s="258">
        <f ca="1">G9+'P&amp;L Statement'!H26</f>
        <v>9.070303286990292</v>
      </c>
      <c r="I9" s="258">
        <f ca="1">H9+'P&amp;L Statement'!I26</f>
        <v>9.8176258351784256</v>
      </c>
      <c r="J9" s="258">
        <f ca="1">I9+'P&amp;L Statement'!J26</f>
        <v>-31.369685306002914</v>
      </c>
      <c r="K9" s="258">
        <f ca="1">J9+'P&amp;L Statement'!K26</f>
        <v>-68.509977500141389</v>
      </c>
      <c r="L9" s="258">
        <f ca="1">K9+'P&amp;L Statement'!L26</f>
        <v>-103.2260302725436</v>
      </c>
      <c r="M9" s="246">
        <f ca="1">L9+'P&amp;L Statement'!M26</f>
        <v>-135.03469079525752</v>
      </c>
      <c r="N9" s="258">
        <f ca="1">M9+'P&amp;L Statement'!N26</f>
        <v>-163.70542461309137</v>
      </c>
      <c r="O9" s="258">
        <f ca="1">N9+'P&amp;L Statement'!O26</f>
        <v>-188.87414758176777</v>
      </c>
      <c r="P9" s="258">
        <f ca="1">O9+'P&amp;L Statement'!P26</f>
        <v>-210.17132136881293</v>
      </c>
      <c r="Q9" s="258">
        <f ca="1">P9+'P&amp;L Statement'!Q26</f>
        <v>-227.18980569660314</v>
      </c>
      <c r="R9" s="258">
        <f ca="1">Q9+'P&amp;L Statement'!R26</f>
        <v>-239.45269694994104</v>
      </c>
      <c r="S9" s="258">
        <f ca="1">R9+'P&amp;L Statement'!S26</f>
        <v>-246.63615284673625</v>
      </c>
      <c r="T9" s="258">
        <f ca="1">S9+'P&amp;L Statement'!T26</f>
        <v>-248.60095179031865</v>
      </c>
      <c r="U9" s="258">
        <f ca="1">T9+'P&amp;L Statement'!U26</f>
        <v>-245.20091110418446</v>
      </c>
      <c r="V9" s="258">
        <f ca="1">U9+'P&amp;L Statement'!V26</f>
        <v>-236.15503878783048</v>
      </c>
      <c r="W9" s="258">
        <f ca="1">V9+'P&amp;L Statement'!W26</f>
        <v>-221.17466825023695</v>
      </c>
      <c r="X9" s="258">
        <f ca="1">W9+'P&amp;L Statement'!X26</f>
        <v>-200.0905747705163</v>
      </c>
      <c r="Y9" s="246">
        <f ca="1">X9+'P&amp;L Statement'!Y26</f>
        <v>-173.38647962826622</v>
      </c>
    </row>
    <row r="10" spans="3:25" x14ac:dyDescent="0.3">
      <c r="C10" s="479" t="s">
        <v>194</v>
      </c>
      <c r="D10" s="242"/>
      <c r="E10" s="258"/>
      <c r="F10" s="258"/>
      <c r="G10" s="258"/>
      <c r="H10" s="258"/>
      <c r="I10" s="258"/>
      <c r="J10" s="258"/>
      <c r="K10" s="258"/>
      <c r="L10" s="258"/>
      <c r="M10" s="246"/>
      <c r="N10" s="258"/>
      <c r="O10" s="258"/>
      <c r="P10" s="258"/>
      <c r="Q10" s="258"/>
      <c r="R10" s="258"/>
      <c r="S10" s="258"/>
      <c r="T10" s="258"/>
      <c r="U10" s="258"/>
      <c r="V10" s="258"/>
      <c r="W10" s="258"/>
      <c r="X10" s="258"/>
      <c r="Y10" s="246"/>
    </row>
    <row r="11" spans="3:25" x14ac:dyDescent="0.3">
      <c r="C11" s="480" t="s">
        <v>195</v>
      </c>
      <c r="D11" s="269">
        <f>SUMIFS('CF_Debt Schedule'!28:28,'CF_Debt Schedule'!16:16,D4)</f>
        <v>0</v>
      </c>
      <c r="E11" s="259">
        <f ca="1">SUMIFS('CF_Debt Schedule'!28:28,'CF_Debt Schedule'!16:16,E4)</f>
        <v>56.097836032463178</v>
      </c>
      <c r="F11" s="259">
        <f ca="1">SUMIFS('CF_Debt Schedule'!28:28,'CF_Debt Schedule'!16:16,F4)</f>
        <v>130.65447369703691</v>
      </c>
      <c r="G11" s="259">
        <f ca="1">SUMIFS('CF_Debt Schedule'!28:28,'CF_Debt Schedule'!16:16,G4)</f>
        <v>209.14725713106023</v>
      </c>
      <c r="H11" s="259">
        <f ca="1">SUMIFS('CF_Debt Schedule'!28:28,'CF_Debt Schedule'!16:16,H4)</f>
        <v>278.5633307427812</v>
      </c>
      <c r="I11" s="259">
        <f ca="1">SUMIFS('CF_Debt Schedule'!28:28,'CF_Debt Schedule'!16:16,I4)</f>
        <v>300.00044746913852</v>
      </c>
      <c r="J11" s="259">
        <f ca="1">SUMIFS('CF_Debt Schedule'!28:28,'CF_Debt Schedule'!16:16,J4)</f>
        <v>0</v>
      </c>
      <c r="K11" s="259">
        <f ca="1">SUMIFS('CF_Debt Schedule'!28:28,'CF_Debt Schedule'!16:16,K4)</f>
        <v>0</v>
      </c>
      <c r="L11" s="259">
        <f ca="1">SUMIFS('CF_Debt Schedule'!28:28,'CF_Debt Schedule'!16:16,L4)</f>
        <v>0</v>
      </c>
      <c r="M11" s="452">
        <f ca="1">SUMIFS('CF_Debt Schedule'!28:28,'CF_Debt Schedule'!16:16,M4)</f>
        <v>0</v>
      </c>
      <c r="N11" s="259">
        <f ca="1">SUMIFS('CF_Debt Schedule'!28:28,'CF_Debt Schedule'!16:16,N4)</f>
        <v>0</v>
      </c>
      <c r="O11" s="259">
        <f ca="1">SUMIFS('CF_Debt Schedule'!28:28,'CF_Debt Schedule'!16:16,O4)</f>
        <v>0</v>
      </c>
      <c r="P11" s="259">
        <f>SUMIFS('CF_Debt Schedule'!28:28,'CF_Debt Schedule'!16:16,P4)</f>
        <v>0</v>
      </c>
      <c r="Q11" s="259">
        <f>SUMIFS('CF_Debt Schedule'!28:28,'CF_Debt Schedule'!16:16,Q4)</f>
        <v>0</v>
      </c>
      <c r="R11" s="259">
        <f>SUMIFS('CF_Debt Schedule'!28:28,'CF_Debt Schedule'!16:16,R4)</f>
        <v>0</v>
      </c>
      <c r="S11" s="259">
        <f>SUMIFS('CF_Debt Schedule'!28:28,'CF_Debt Schedule'!16:16,S4)</f>
        <v>0</v>
      </c>
      <c r="T11" s="259">
        <f>SUMIFS('CF_Debt Schedule'!28:28,'CF_Debt Schedule'!16:16,T4)</f>
        <v>0</v>
      </c>
      <c r="U11" s="259">
        <f>SUMIFS('CF_Debt Schedule'!28:28,'CF_Debt Schedule'!16:16,U4)</f>
        <v>0</v>
      </c>
      <c r="V11" s="259">
        <f>SUMIFS('CF_Debt Schedule'!28:28,'CF_Debt Schedule'!16:16,V4)</f>
        <v>0</v>
      </c>
      <c r="W11" s="259">
        <f>SUMIFS('CF_Debt Schedule'!28:28,'CF_Debt Schedule'!16:16,W4)</f>
        <v>0</v>
      </c>
      <c r="X11" s="259">
        <f>SUMIFS('CF_Debt Schedule'!28:28,'CF_Debt Schedule'!16:16,X4)</f>
        <v>0</v>
      </c>
      <c r="Y11" s="452">
        <f>SUMIFS('CF_Debt Schedule'!28:28,'CF_Debt Schedule'!16:16,Y4)</f>
        <v>0</v>
      </c>
    </row>
    <row r="12" spans="3:25" x14ac:dyDescent="0.3">
      <c r="C12" s="448" t="s">
        <v>405</v>
      </c>
      <c r="D12" s="258">
        <f t="shared" ref="D12" si="15">D11-D13</f>
        <v>0</v>
      </c>
      <c r="E12" s="258">
        <f t="shared" ref="E12:L12" ca="1" si="16">E11-E13</f>
        <v>0</v>
      </c>
      <c r="F12" s="258">
        <f t="shared" ca="1" si="16"/>
        <v>0</v>
      </c>
      <c r="G12" s="258">
        <f t="shared" ca="1" si="16"/>
        <v>0</v>
      </c>
      <c r="H12" s="258">
        <f t="shared" ca="1" si="16"/>
        <v>0</v>
      </c>
      <c r="I12" s="258">
        <f t="shared" ca="1" si="16"/>
        <v>0</v>
      </c>
      <c r="J12" s="258">
        <f t="shared" ca="1" si="16"/>
        <v>0</v>
      </c>
      <c r="K12" s="258">
        <f t="shared" ca="1" si="16"/>
        <v>0</v>
      </c>
      <c r="L12" s="258">
        <f t="shared" ca="1" si="16"/>
        <v>0</v>
      </c>
      <c r="M12" s="246">
        <f t="shared" ref="M12:Y12" ca="1" si="17">M11-M13</f>
        <v>0</v>
      </c>
      <c r="N12" s="258">
        <f t="shared" ca="1" si="17"/>
        <v>0</v>
      </c>
      <c r="O12" s="258">
        <f t="shared" ca="1" si="17"/>
        <v>0</v>
      </c>
      <c r="P12" s="258">
        <f t="shared" si="17"/>
        <v>0</v>
      </c>
      <c r="Q12" s="258">
        <f t="shared" si="17"/>
        <v>0</v>
      </c>
      <c r="R12" s="258">
        <f t="shared" si="17"/>
        <v>0</v>
      </c>
      <c r="S12" s="258">
        <f t="shared" si="17"/>
        <v>0</v>
      </c>
      <c r="T12" s="258">
        <f t="shared" si="17"/>
        <v>0</v>
      </c>
      <c r="U12" s="258">
        <f t="shared" si="17"/>
        <v>0</v>
      </c>
      <c r="V12" s="258">
        <f t="shared" si="17"/>
        <v>0</v>
      </c>
      <c r="W12" s="258">
        <f t="shared" si="17"/>
        <v>0</v>
      </c>
      <c r="X12" s="258">
        <f t="shared" si="17"/>
        <v>0</v>
      </c>
      <c r="Y12" s="246">
        <f t="shared" si="17"/>
        <v>0</v>
      </c>
    </row>
    <row r="13" spans="3:25" x14ac:dyDescent="0.3">
      <c r="C13" s="448" t="s">
        <v>406</v>
      </c>
      <c r="D13" s="258">
        <f t="shared" ref="D13:I13" si="18">D11</f>
        <v>0</v>
      </c>
      <c r="E13" s="258">
        <f t="shared" ca="1" si="18"/>
        <v>56.097836032463178</v>
      </c>
      <c r="F13" s="258">
        <f t="shared" ca="1" si="18"/>
        <v>130.65447369703691</v>
      </c>
      <c r="G13" s="258">
        <f t="shared" ca="1" si="18"/>
        <v>209.14725713106023</v>
      </c>
      <c r="H13" s="258">
        <f t="shared" ca="1" si="18"/>
        <v>278.5633307427812</v>
      </c>
      <c r="I13" s="258">
        <f t="shared" ca="1" si="18"/>
        <v>300.00044746913852</v>
      </c>
      <c r="J13" s="258">
        <f ca="1">J11-J11</f>
        <v>0</v>
      </c>
      <c r="K13" s="258">
        <f ca="1">K11-K11</f>
        <v>0</v>
      </c>
      <c r="L13" s="258">
        <f ca="1">L11-L11</f>
        <v>0</v>
      </c>
      <c r="M13" s="246">
        <f ca="1">M11-M11</f>
        <v>0</v>
      </c>
      <c r="N13" s="258">
        <f t="shared" ref="N13:Y13" ca="1" si="19">N11-N11</f>
        <v>0</v>
      </c>
      <c r="O13" s="258">
        <f t="shared" ca="1" si="19"/>
        <v>0</v>
      </c>
      <c r="P13" s="258">
        <f t="shared" si="19"/>
        <v>0</v>
      </c>
      <c r="Q13" s="258">
        <f t="shared" si="19"/>
        <v>0</v>
      </c>
      <c r="R13" s="258">
        <f t="shared" si="19"/>
        <v>0</v>
      </c>
      <c r="S13" s="258">
        <f t="shared" si="19"/>
        <v>0</v>
      </c>
      <c r="T13" s="258">
        <f t="shared" si="19"/>
        <v>0</v>
      </c>
      <c r="U13" s="258">
        <f t="shared" si="19"/>
        <v>0</v>
      </c>
      <c r="V13" s="258">
        <f t="shared" si="19"/>
        <v>0</v>
      </c>
      <c r="W13" s="258">
        <f t="shared" si="19"/>
        <v>0</v>
      </c>
      <c r="X13" s="258">
        <f t="shared" si="19"/>
        <v>0</v>
      </c>
      <c r="Y13" s="246">
        <f t="shared" si="19"/>
        <v>0</v>
      </c>
    </row>
    <row r="14" spans="3:25" x14ac:dyDescent="0.3">
      <c r="C14" s="480" t="s">
        <v>125</v>
      </c>
      <c r="D14" s="269">
        <f>SUMIFS('LRD - Combined'!50:50,'LRD - Combined'!46:46,D4)</f>
        <v>0</v>
      </c>
      <c r="E14" s="259">
        <f>SUMIFS('LRD - Combined'!50:50,'LRD - Combined'!46:46,E4)</f>
        <v>0</v>
      </c>
      <c r="F14" s="259">
        <f ca="1">SUMIFS('LRD - Combined'!50:50,'LRD - Combined'!46:46,F4)</f>
        <v>0</v>
      </c>
      <c r="G14" s="259">
        <f ca="1">SUMIFS('LRD - Combined'!50:50,'LRD - Combined'!46:46,G4)</f>
        <v>0</v>
      </c>
      <c r="H14" s="259">
        <f ca="1">SUMIFS('LRD - Combined'!50:50,'LRD - Combined'!46:46,H4)</f>
        <v>0</v>
      </c>
      <c r="I14" s="259">
        <f ca="1">SUMIFS('LRD - Combined'!50:50,'LRD - Combined'!46:46,I4)</f>
        <v>0</v>
      </c>
      <c r="J14" s="259">
        <f ca="1">SUMIFS('LRD - Combined'!50:50,'LRD - Combined'!46:46,J4)</f>
        <v>298.50044523179281</v>
      </c>
      <c r="K14" s="259">
        <f ca="1">SUMIFS('LRD - Combined'!50:50,'LRD - Combined'!46:46,K4)</f>
        <v>293.25043740108288</v>
      </c>
      <c r="L14" s="259">
        <f ca="1">SUMIFS('LRD - Combined'!50:50,'LRD - Combined'!46:46,L4)</f>
        <v>285.75042621435443</v>
      </c>
      <c r="M14" s="452">
        <f ca="1">SUMIFS('LRD - Combined'!50:50,'LRD - Combined'!46:46,M4)</f>
        <v>276.00041167160742</v>
      </c>
      <c r="N14" s="259">
        <f ca="1">SUMIFS('LRD - Combined'!50:50,'LRD - Combined'!46:46,N4)</f>
        <v>263.25039265416905</v>
      </c>
      <c r="O14" s="259">
        <f ca="1">SUMIFS('LRD - Combined'!50:50,'LRD - Combined'!46:46,O4)</f>
        <v>247.50036916203928</v>
      </c>
      <c r="P14" s="259">
        <f ca="1">SUMIFS('LRD - Combined'!50:50,'LRD - Combined'!46:46,P4)</f>
        <v>228.75034119521811</v>
      </c>
      <c r="Q14" s="259">
        <f ca="1">SUMIFS('LRD - Combined'!50:50,'LRD - Combined'!46:46,Q4)</f>
        <v>206.25030763503273</v>
      </c>
      <c r="R14" s="259">
        <f ca="1">SUMIFS('LRD - Combined'!50:50,'LRD - Combined'!46:46,R4)</f>
        <v>179.25026736281026</v>
      </c>
      <c r="S14" s="259">
        <f ca="1">SUMIFS('LRD - Combined'!50:50,'LRD - Combined'!46:46,S4)</f>
        <v>152.2502270905878</v>
      </c>
      <c r="T14" s="259">
        <f ca="1">SUMIFS('LRD - Combined'!50:50,'LRD - Combined'!46:46,T4)</f>
        <v>125.25018681836534</v>
      </c>
      <c r="U14" s="259">
        <f ca="1">SUMIFS('LRD - Combined'!50:50,'LRD - Combined'!46:46,U4)</f>
        <v>98.250146546142872</v>
      </c>
      <c r="V14" s="259">
        <f ca="1">SUMIFS('LRD - Combined'!50:50,'LRD - Combined'!46:46,V4)</f>
        <v>68.250101799229014</v>
      </c>
      <c r="W14" s="259">
        <f ca="1">SUMIFS('LRD - Combined'!50:50,'LRD - Combined'!46:46,W4)</f>
        <v>38.250057052315157</v>
      </c>
      <c r="X14" s="259">
        <f ca="1">SUMIFS('LRD - Combined'!50:50,'LRD - Combined'!46:46,X4)</f>
        <v>8.2500123054013024</v>
      </c>
      <c r="Y14" s="452">
        <f ca="1">SUMIFS('LRD - Combined'!50:50,'LRD - Combined'!46:46,Y4)</f>
        <v>-6.3948846218409017E-14</v>
      </c>
    </row>
    <row r="15" spans="3:25" x14ac:dyDescent="0.3">
      <c r="C15" s="448" t="s">
        <v>405</v>
      </c>
      <c r="D15" s="242"/>
      <c r="E15" s="258"/>
      <c r="F15" s="258"/>
      <c r="G15" s="258"/>
      <c r="H15" s="258"/>
      <c r="I15" s="258"/>
      <c r="J15" s="258">
        <f ca="1">'LRD - Combined'!H49</f>
        <v>5.2500078307099249</v>
      </c>
      <c r="K15" s="258">
        <f ca="1">'LRD - Combined'!I49</f>
        <v>7.5000111867284636</v>
      </c>
      <c r="L15" s="258">
        <f ca="1">'LRD - Combined'!J49</f>
        <v>9.7500145427470031</v>
      </c>
      <c r="M15" s="246">
        <f ca="1">'LRD - Combined'!K49</f>
        <v>12.750019017438389</v>
      </c>
      <c r="N15" s="258">
        <f ca="1">'LRD - Combined'!L49</f>
        <v>15.750023492129772</v>
      </c>
      <c r="O15" s="258">
        <f ca="1">'LRD - Combined'!M49</f>
        <v>18.750027966821158</v>
      </c>
      <c r="P15" s="258">
        <f ca="1">'LRD - Combined'!N49</f>
        <v>22.50003356018539</v>
      </c>
      <c r="Q15" s="258">
        <f ca="1">'LRD - Combined'!O49</f>
        <v>27.000040272222467</v>
      </c>
      <c r="R15" s="258">
        <f ca="1">'LRD - Combined'!P49</f>
        <v>27.000040272222467</v>
      </c>
      <c r="S15" s="258">
        <f ca="1">'LRD - Combined'!Q49</f>
        <v>27.000040272222467</v>
      </c>
      <c r="T15" s="258">
        <f ca="1">'LRD - Combined'!R49</f>
        <v>27.000040272222467</v>
      </c>
      <c r="U15" s="258">
        <f ca="1">'LRD - Combined'!S49</f>
        <v>30.000044746913854</v>
      </c>
      <c r="V15" s="258">
        <f ca="1">'LRD - Combined'!T49</f>
        <v>30.000044746913854</v>
      </c>
      <c r="W15" s="258">
        <f ca="1">'LRD - Combined'!U49</f>
        <v>30.000044746913854</v>
      </c>
      <c r="X15" s="258">
        <f ca="1">'LRD - Combined'!V49</f>
        <v>8.2500123054013663</v>
      </c>
      <c r="Y15" s="246">
        <f>'LRD - Combined'!W49</f>
        <v>0</v>
      </c>
    </row>
    <row r="16" spans="3:25" x14ac:dyDescent="0.3">
      <c r="C16" s="448" t="s">
        <v>406</v>
      </c>
      <c r="D16" s="242"/>
      <c r="E16" s="258"/>
      <c r="F16" s="258"/>
      <c r="G16" s="258"/>
      <c r="H16" s="258"/>
      <c r="I16" s="258"/>
      <c r="J16" s="258">
        <f ca="1">J14-J15</f>
        <v>293.25043740108288</v>
      </c>
      <c r="K16" s="258">
        <f ca="1">K14-K15</f>
        <v>285.75042621435443</v>
      </c>
      <c r="L16" s="258">
        <f ca="1">L14-L15</f>
        <v>276.00041167160742</v>
      </c>
      <c r="M16" s="246">
        <f ca="1">M14-M15</f>
        <v>263.25039265416905</v>
      </c>
      <c r="N16" s="258">
        <f t="shared" ref="N16:Y16" ca="1" si="20">N14-N15</f>
        <v>247.50036916203928</v>
      </c>
      <c r="O16" s="258">
        <f t="shared" ca="1" si="20"/>
        <v>228.75034119521811</v>
      </c>
      <c r="P16" s="258">
        <f t="shared" ca="1" si="20"/>
        <v>206.25030763503273</v>
      </c>
      <c r="Q16" s="258">
        <f t="shared" ca="1" si="20"/>
        <v>179.25026736281026</v>
      </c>
      <c r="R16" s="258">
        <f t="shared" ca="1" si="20"/>
        <v>152.2502270905878</v>
      </c>
      <c r="S16" s="258">
        <f t="shared" ca="1" si="20"/>
        <v>125.25018681836534</v>
      </c>
      <c r="T16" s="258">
        <f t="shared" ca="1" si="20"/>
        <v>98.250146546142872</v>
      </c>
      <c r="U16" s="258">
        <f t="shared" ca="1" si="20"/>
        <v>68.250101799229014</v>
      </c>
      <c r="V16" s="258">
        <f t="shared" ca="1" si="20"/>
        <v>38.250057052315157</v>
      </c>
      <c r="W16" s="258">
        <f t="shared" ca="1" si="20"/>
        <v>8.2500123054013024</v>
      </c>
      <c r="X16" s="258">
        <f t="shared" ca="1" si="20"/>
        <v>-6.3948846218409017E-14</v>
      </c>
      <c r="Y16" s="246">
        <f t="shared" ca="1" si="20"/>
        <v>-6.3948846218409017E-14</v>
      </c>
    </row>
    <row r="17" spans="3:29" x14ac:dyDescent="0.3">
      <c r="C17" s="169" t="s">
        <v>196</v>
      </c>
      <c r="D17" s="242">
        <f>'CF Statement'!D22</f>
        <v>0</v>
      </c>
      <c r="E17" s="258">
        <f>D17+'CF Statement'!E22</f>
        <v>0</v>
      </c>
      <c r="F17" s="258">
        <f>E17+'CF Statement'!F22</f>
        <v>3.1387119227698497</v>
      </c>
      <c r="G17" s="258">
        <f>F17+'CF Statement'!G22</f>
        <v>9.2182315301152649</v>
      </c>
      <c r="H17" s="258">
        <f>G17+'CF Statement'!H22</f>
        <v>11.752477868608786</v>
      </c>
      <c r="I17" s="258">
        <f>H17+'CF Statement'!I22</f>
        <v>17.189230267140751</v>
      </c>
      <c r="J17" s="258">
        <f>I17+'CF Statement'!J22</f>
        <v>18.321979404397727</v>
      </c>
      <c r="K17" s="258">
        <f>J17+'CF Statement'!K22</f>
        <v>18.321979404397727</v>
      </c>
      <c r="L17" s="258">
        <f>K17+'CF Statement'!L22</f>
        <v>18.321979404397727</v>
      </c>
      <c r="M17" s="246">
        <f>L17+'CF Statement'!M22</f>
        <v>18.321979404397727</v>
      </c>
      <c r="N17" s="258">
        <f>M17+'CF Statement'!N22</f>
        <v>18.321979404397727</v>
      </c>
      <c r="O17" s="258">
        <f>N17+'CF Statement'!O22</f>
        <v>18.321979404397727</v>
      </c>
      <c r="P17" s="258">
        <f>O17+'CF Statement'!P22</f>
        <v>18.321979404397727</v>
      </c>
      <c r="Q17" s="258">
        <f>P17+'CF Statement'!Q22</f>
        <v>18.321979404397727</v>
      </c>
      <c r="R17" s="258">
        <f>Q17+'CF Statement'!R22</f>
        <v>18.321979404397727</v>
      </c>
      <c r="S17" s="258">
        <f>R17+'CF Statement'!S22</f>
        <v>18.321979404397727</v>
      </c>
      <c r="T17" s="258">
        <f>S17+'CF Statement'!T22</f>
        <v>18.321979404397727</v>
      </c>
      <c r="U17" s="258">
        <f>T17+'CF Statement'!U22</f>
        <v>18.321979404397727</v>
      </c>
      <c r="V17" s="258">
        <f>U17+'CF Statement'!V22</f>
        <v>18.321979404397727</v>
      </c>
      <c r="W17" s="258">
        <f>V17+'CF Statement'!W22</f>
        <v>18.321979404397727</v>
      </c>
      <c r="X17" s="258">
        <f>W17+'CF Statement'!X22</f>
        <v>18.321979404397727</v>
      </c>
      <c r="Y17" s="246">
        <f>X17+'CF Statement'!Y22</f>
        <v>18.321979404397727</v>
      </c>
    </row>
    <row r="18" spans="3:29" x14ac:dyDescent="0.3">
      <c r="C18" s="169" t="s">
        <v>454</v>
      </c>
      <c r="D18" s="242">
        <f>'CF Statement'!D12</f>
        <v>0</v>
      </c>
      <c r="E18" s="258">
        <f ca="1">D18+'CF Statement'!E12</f>
        <v>5.1672455420699812</v>
      </c>
      <c r="F18" s="258">
        <f ca="1">E18+'CF Statement'!F12</f>
        <v>15.576273524447455</v>
      </c>
      <c r="G18" s="258">
        <f ca="1">F18+'CF Statement'!G12</f>
        <v>35.006082402746742</v>
      </c>
      <c r="H18" s="258">
        <f ca="1">G18+'CF Statement'!H12</f>
        <v>63.515390615912253</v>
      </c>
      <c r="I18" s="258">
        <f ca="1">H18+'CF Statement'!I12</f>
        <v>97.247285018502126</v>
      </c>
      <c r="J18" s="258">
        <f ca="1">I18+'CF Statement'!J12</f>
        <v>132.46254947493784</v>
      </c>
      <c r="K18" s="258">
        <f ca="1">J18+'CF Statement'!K12</f>
        <v>167.67781393137355</v>
      </c>
      <c r="L18" s="258">
        <f ca="1">K18+'CF Statement'!L12</f>
        <v>202.98955856440224</v>
      </c>
      <c r="M18" s="246">
        <f ca="1">L18+'CF Statement'!M12</f>
        <v>238.20482302083795</v>
      </c>
      <c r="N18" s="258">
        <f ca="1">M18+'CF Statement'!N12</f>
        <v>273.42008747727368</v>
      </c>
      <c r="O18" s="258">
        <f ca="1">N18+'CF Statement'!O12</f>
        <v>308.63535193370939</v>
      </c>
      <c r="P18" s="258">
        <f ca="1">O18+'CF Statement'!P12</f>
        <v>343.85061639014509</v>
      </c>
      <c r="Q18" s="258">
        <f ca="1">P18+'CF Statement'!Q12</f>
        <v>379.0658808465808</v>
      </c>
      <c r="R18" s="258">
        <f ca="1">Q18+'CF Statement'!R12</f>
        <v>414.2811453030165</v>
      </c>
      <c r="S18" s="258">
        <f ca="1">R18+'CF Statement'!S12</f>
        <v>449.49640975945221</v>
      </c>
      <c r="T18" s="258">
        <f ca="1">S18+'CF Statement'!T12</f>
        <v>484.71167421588791</v>
      </c>
      <c r="U18" s="258">
        <f ca="1">T18+'CF Statement'!U12</f>
        <v>519.92693867232367</v>
      </c>
      <c r="V18" s="258">
        <f ca="1">U18+'CF Statement'!V12</f>
        <v>555.14220312875943</v>
      </c>
      <c r="W18" s="258">
        <f ca="1">V18+'CF Statement'!W12</f>
        <v>590.3574675851952</v>
      </c>
      <c r="X18" s="258">
        <f ca="1">W18+'CF Statement'!X12</f>
        <v>625.57273204163096</v>
      </c>
      <c r="Y18" s="246">
        <f ca="1">X18+'CF Statement'!Y12</f>
        <v>660.78799649806672</v>
      </c>
    </row>
    <row r="19" spans="3:29" x14ac:dyDescent="0.3">
      <c r="C19" s="163" t="s">
        <v>197</v>
      </c>
      <c r="D19" s="460">
        <f>SUM(D5,D11,D14,D17,D18)</f>
        <v>47.580999999999996</v>
      </c>
      <c r="E19" s="460">
        <f t="shared" ref="E19:M19" ca="1" si="21">SUM(E5,E11,E14,E17,E18,E9)</f>
        <v>110.96908474261465</v>
      </c>
      <c r="F19" s="460">
        <f t="shared" ca="1" si="21"/>
        <v>253.9023338959197</v>
      </c>
      <c r="G19" s="460">
        <f t="shared" ca="1" si="21"/>
        <v>423.45355789266688</v>
      </c>
      <c r="H19" s="460">
        <f t="shared" ca="1" si="21"/>
        <v>590.8169549402046</v>
      </c>
      <c r="I19" s="460">
        <f t="shared" ca="1" si="21"/>
        <v>675.79219185021486</v>
      </c>
      <c r="J19" s="460">
        <f t="shared" ca="1" si="21"/>
        <v>669.45289206538064</v>
      </c>
      <c r="K19" s="460">
        <f t="shared" ca="1" si="21"/>
        <v>662.27785649696784</v>
      </c>
      <c r="L19" s="460">
        <f t="shared" ca="1" si="21"/>
        <v>655.37353717086603</v>
      </c>
      <c r="M19" s="461">
        <f t="shared" ca="1" si="21"/>
        <v>649.03012656184069</v>
      </c>
      <c r="N19" s="460">
        <f t="shared" ref="N19:Y19" ca="1" si="22">SUM(N5,N11,N14,N17,N18,N9)</f>
        <v>642.82463818300414</v>
      </c>
      <c r="O19" s="460">
        <f t="shared" ca="1" si="22"/>
        <v>637.12115617863356</v>
      </c>
      <c r="P19" s="460">
        <f t="shared" ca="1" si="22"/>
        <v>632.28921888120317</v>
      </c>
      <c r="Q19" s="460">
        <f t="shared" ca="1" si="22"/>
        <v>627.98596544966313</v>
      </c>
      <c r="R19" s="460">
        <f t="shared" ca="1" si="22"/>
        <v>623.93829838053853</v>
      </c>
      <c r="S19" s="460">
        <f t="shared" ca="1" si="22"/>
        <v>624.97006666795664</v>
      </c>
      <c r="T19" s="460">
        <f t="shared" ca="1" si="22"/>
        <v>631.22049190858741</v>
      </c>
      <c r="U19" s="460">
        <f t="shared" ca="1" si="22"/>
        <v>642.83575677893486</v>
      </c>
      <c r="V19" s="460">
        <f t="shared" ca="1" si="22"/>
        <v>657.09684880481075</v>
      </c>
      <c r="W19" s="460">
        <f t="shared" ca="1" si="22"/>
        <v>677.29243905192629</v>
      </c>
      <c r="X19" s="460">
        <f t="shared" ca="1" si="22"/>
        <v>703.59175224116871</v>
      </c>
      <c r="Y19" s="461">
        <f t="shared" ca="1" si="22"/>
        <v>757.26109953445325</v>
      </c>
      <c r="AB19" s="52"/>
      <c r="AC19" s="52"/>
    </row>
    <row r="20" spans="3:29" x14ac:dyDescent="0.3">
      <c r="C20" s="169"/>
      <c r="E20" s="242"/>
      <c r="F20" s="242"/>
      <c r="G20" s="242"/>
      <c r="H20" s="242"/>
      <c r="I20" s="242"/>
      <c r="J20" s="242"/>
      <c r="K20" s="242"/>
      <c r="L20" s="242"/>
      <c r="M20" s="482"/>
      <c r="N20" s="242"/>
      <c r="O20" s="242"/>
      <c r="P20" s="242"/>
      <c r="Q20" s="242"/>
      <c r="R20" s="242"/>
      <c r="S20" s="242"/>
      <c r="T20" s="242"/>
      <c r="U20" s="242"/>
      <c r="V20" s="242"/>
      <c r="W20" s="242"/>
      <c r="X20" s="242"/>
      <c r="Y20" s="482"/>
    </row>
    <row r="21" spans="3:29" x14ac:dyDescent="0.3">
      <c r="C21" s="169"/>
      <c r="E21" s="242"/>
      <c r="F21" s="242"/>
      <c r="G21" s="242"/>
      <c r="H21" s="242"/>
      <c r="I21" s="242"/>
      <c r="J21" s="242"/>
      <c r="K21" s="242"/>
      <c r="L21" s="242"/>
      <c r="M21" s="482"/>
      <c r="N21" s="242"/>
      <c r="O21" s="242"/>
      <c r="P21" s="242"/>
      <c r="Q21" s="242"/>
      <c r="R21" s="242"/>
      <c r="S21" s="242"/>
      <c r="T21" s="242"/>
      <c r="U21" s="242"/>
      <c r="V21" s="242"/>
      <c r="W21" s="242"/>
      <c r="X21" s="242"/>
      <c r="Y21" s="482"/>
    </row>
    <row r="22" spans="3:29" x14ac:dyDescent="0.3">
      <c r="C22" s="290" t="s">
        <v>395</v>
      </c>
      <c r="E22" s="242"/>
      <c r="F22" s="242"/>
      <c r="G22" s="242"/>
      <c r="H22" s="242"/>
      <c r="I22" s="242"/>
      <c r="J22" s="242"/>
      <c r="K22" s="242"/>
      <c r="L22" s="242"/>
      <c r="M22" s="482"/>
      <c r="N22" s="242"/>
      <c r="O22" s="242"/>
      <c r="P22" s="242"/>
      <c r="Q22" s="242"/>
      <c r="R22" s="242"/>
      <c r="S22" s="242"/>
      <c r="T22" s="242"/>
      <c r="U22" s="242"/>
      <c r="V22" s="242"/>
      <c r="W22" s="242"/>
      <c r="X22" s="242"/>
      <c r="Y22" s="482"/>
    </row>
    <row r="23" spans="3:29" x14ac:dyDescent="0.3">
      <c r="C23" s="169" t="s">
        <v>198</v>
      </c>
      <c r="D23" s="258">
        <f>-'Monthly Cashflow'!C16</f>
        <v>47.58</v>
      </c>
      <c r="E23" s="258">
        <f>'Dep &amp; Tax Schedule'!E5*0</f>
        <v>0</v>
      </c>
      <c r="F23" s="258">
        <f>'Dep &amp; Tax Schedule'!F5*0</f>
        <v>0</v>
      </c>
      <c r="G23" s="258">
        <f>'Dep &amp; Tax Schedule'!G5*0</f>
        <v>0</v>
      </c>
      <c r="H23" s="258">
        <f>'Dep &amp; Tax Schedule'!H5*0</f>
        <v>0</v>
      </c>
      <c r="I23" s="258">
        <f>'Dep &amp; Tax Schedule'!I5*0</f>
        <v>0</v>
      </c>
      <c r="J23" s="258">
        <f>'Dep &amp; Tax Schedule'!J5*0</f>
        <v>0</v>
      </c>
      <c r="K23" s="258">
        <f>'Dep &amp; Tax Schedule'!K5*0</f>
        <v>0</v>
      </c>
      <c r="L23" s="258">
        <f>'Dep &amp; Tax Schedule'!L5*0</f>
        <v>0</v>
      </c>
      <c r="M23" s="246">
        <f>'Dep &amp; Tax Schedule'!M5*0</f>
        <v>0</v>
      </c>
      <c r="N23" s="258">
        <f>'Dep &amp; Tax Schedule'!N5*0</f>
        <v>0</v>
      </c>
      <c r="O23" s="258">
        <f>'Dep &amp; Tax Schedule'!O5*0</f>
        <v>0</v>
      </c>
      <c r="P23" s="258">
        <f>'Dep &amp; Tax Schedule'!P5*0</f>
        <v>0</v>
      </c>
      <c r="Q23" s="258">
        <f>'Dep &amp; Tax Schedule'!Q5*0</f>
        <v>0</v>
      </c>
      <c r="R23" s="258">
        <f>'Dep &amp; Tax Schedule'!R5*0</f>
        <v>0</v>
      </c>
      <c r="S23" s="258">
        <f>'Dep &amp; Tax Schedule'!S5*0</f>
        <v>0</v>
      </c>
      <c r="T23" s="258">
        <f>'Dep &amp; Tax Schedule'!T5*0</f>
        <v>0</v>
      </c>
      <c r="U23" s="258">
        <f>'Dep &amp; Tax Schedule'!U5*0</f>
        <v>0</v>
      </c>
      <c r="V23" s="258">
        <f>'Dep &amp; Tax Schedule'!V5*0</f>
        <v>0</v>
      </c>
      <c r="W23" s="258">
        <f>'Dep &amp; Tax Schedule'!W5*0</f>
        <v>0</v>
      </c>
      <c r="X23" s="258">
        <f>'Dep &amp; Tax Schedule'!X5*0</f>
        <v>0</v>
      </c>
      <c r="Y23" s="246">
        <f>'Dep &amp; Tax Schedule'!Y5*0</f>
        <v>0</v>
      </c>
    </row>
    <row r="24" spans="3:29" x14ac:dyDescent="0.3">
      <c r="C24" s="169" t="s">
        <v>396</v>
      </c>
      <c r="D24" s="258">
        <f ca="1">SUMIFS('Dep &amp; Tax Schedule'!37:37,'Dep &amp; Tax Schedule'!1:1,D4)</f>
        <v>0</v>
      </c>
      <c r="E24" s="258">
        <f ca="1">SUMIFS('Dep &amp; Tax Schedule'!37:37,'Dep &amp; Tax Schedule'!1:1,E4)</f>
        <v>47.58</v>
      </c>
      <c r="F24" s="258">
        <f ca="1">SUMIFS('Dep &amp; Tax Schedule'!37:37,'Dep &amp; Tax Schedule'!1:1,F4)</f>
        <v>128.90245317415824</v>
      </c>
      <c r="G24" s="258">
        <f ca="1">SUMIFS('Dep &amp; Tax Schedule'!37:37,'Dep &amp; Tax Schedule'!1:1,G4)</f>
        <v>286.33144443846101</v>
      </c>
      <c r="H24" s="258">
        <f ca="1">SUMIFS('Dep &amp; Tax Schedule'!37:37,'Dep &amp; Tax Schedule'!1:1,H4)</f>
        <v>344.89607900808835</v>
      </c>
      <c r="I24" s="258">
        <f ca="1">SUMIFS('Dep &amp; Tax Schedule'!37:37,'Dep &amp; Tax Schedule'!1:1,I4)</f>
        <v>477.69661232495497</v>
      </c>
      <c r="J24" s="258">
        <f ca="1">SUMIFS('Dep &amp; Tax Schedule'!37:37,'Dep &amp; Tax Schedule'!1:1,J4)</f>
        <v>492.20956329094582</v>
      </c>
      <c r="K24" s="258">
        <f ca="1">SUMIFS('Dep &amp; Tax Schedule'!37:37,'Dep &amp; Tax Schedule'!1:1,K4)</f>
        <v>475.85707226337706</v>
      </c>
      <c r="L24" s="258">
        <f ca="1">SUMIFS('Dep &amp; Tax Schedule'!37:37,'Dep &amp; Tax Schedule'!1:1,L4)</f>
        <v>459.50458123580825</v>
      </c>
      <c r="M24" s="246">
        <f ca="1">SUMIFS('Dep &amp; Tax Schedule'!37:37,'Dep &amp; Tax Schedule'!1:1,M4)</f>
        <v>443.15209020823943</v>
      </c>
      <c r="N24" s="258">
        <f ca="1">SUMIFS('Dep &amp; Tax Schedule'!37:37,'Dep &amp; Tax Schedule'!1:1,N4)</f>
        <v>426.79959918067061</v>
      </c>
      <c r="O24" s="258">
        <f ca="1">SUMIFS('Dep &amp; Tax Schedule'!37:37,'Dep &amp; Tax Schedule'!1:1,O4)</f>
        <v>410.44710815310179</v>
      </c>
      <c r="P24" s="258">
        <f ca="1">SUMIFS('Dep &amp; Tax Schedule'!37:37,'Dep &amp; Tax Schedule'!1:1,P4)</f>
        <v>394.09461712553303</v>
      </c>
      <c r="Q24" s="258">
        <f ca="1">SUMIFS('Dep &amp; Tax Schedule'!37:37,'Dep &amp; Tax Schedule'!1:1,Q4)</f>
        <v>377.74212609796422</v>
      </c>
      <c r="R24" s="258">
        <f ca="1">SUMIFS('Dep &amp; Tax Schedule'!37:37,'Dep &amp; Tax Schedule'!1:1,R4)</f>
        <v>361.3896350703954</v>
      </c>
      <c r="S24" s="258">
        <f ca="1">SUMIFS('Dep &amp; Tax Schedule'!37:37,'Dep &amp; Tax Schedule'!1:1,S4)</f>
        <v>345.03714404282658</v>
      </c>
      <c r="T24" s="258">
        <f ca="1">SUMIFS('Dep &amp; Tax Schedule'!37:37,'Dep &amp; Tax Schedule'!1:1,T4)</f>
        <v>328.68465301525777</v>
      </c>
      <c r="U24" s="258">
        <f ca="1">SUMIFS('Dep &amp; Tax Schedule'!37:37,'Dep &amp; Tax Schedule'!1:1,U4)</f>
        <v>312.33216198768895</v>
      </c>
      <c r="V24" s="258">
        <f ca="1">SUMIFS('Dep &amp; Tax Schedule'!37:37,'Dep &amp; Tax Schedule'!1:1,V4)</f>
        <v>295.97967096012013</v>
      </c>
      <c r="W24" s="258">
        <f ca="1">SUMIFS('Dep &amp; Tax Schedule'!37:37,'Dep &amp; Tax Schedule'!1:1,W4)</f>
        <v>279.62717993255131</v>
      </c>
      <c r="X24" s="258">
        <f ca="1">SUMIFS('Dep &amp; Tax Schedule'!37:37,'Dep &amp; Tax Schedule'!1:1,X4)</f>
        <v>263.2746889049825</v>
      </c>
      <c r="Y24" s="246">
        <f ca="1">SUMIFS('Dep &amp; Tax Schedule'!37:37,'Dep &amp; Tax Schedule'!1:1,Y4)</f>
        <v>246.92219787741368</v>
      </c>
    </row>
    <row r="25" spans="3:29" x14ac:dyDescent="0.3">
      <c r="C25" s="169" t="s">
        <v>168</v>
      </c>
      <c r="D25" s="258">
        <f ca="1">SUMIFS('Dep &amp; Tax Schedule'!32:32,'Dep &amp; Tax Schedule'!1:1,D4)</f>
        <v>0</v>
      </c>
      <c r="E25" s="258">
        <f ca="1">SUMIFS('Dep &amp; Tax Schedule'!32:32,'Dep &amp; Tax Schedule'!1:1,E4)</f>
        <v>58.221839200544679</v>
      </c>
      <c r="F25" s="258">
        <f ca="1">SUMIFS('Dep &amp; Tax Schedule'!32:32,'Dep &amp; Tax Schedule'!1:1,F4)</f>
        <v>104.80357635489538</v>
      </c>
      <c r="G25" s="258">
        <f ca="1">SUMIFS('Dep &amp; Tax Schedule'!32:32,'Dep &amp; Tax Schedule'!1:1,G4)</f>
        <v>82.547902284382843</v>
      </c>
      <c r="H25" s="258">
        <f ca="1">SUMIFS('Dep &amp; Tax Schedule'!32:32,'Dep &amp; Tax Schedule'!1:1,H4)</f>
        <v>139.99131159925884</v>
      </c>
      <c r="I25" s="258">
        <f ca="1">SUMIFS('Dep &amp; Tax Schedule'!32:32,'Dep &amp; Tax Schedule'!1:1,I4)</f>
        <v>30.359948845285658</v>
      </c>
      <c r="J25" s="258">
        <f ca="1">SUMIFS('Dep &amp; Tax Schedule'!32:32,'Dep &amp; Tax Schedule'!1:1,J4)</f>
        <v>0</v>
      </c>
      <c r="K25" s="258">
        <f ca="1">SUMIFS('Dep &amp; Tax Schedule'!32:32,'Dep &amp; Tax Schedule'!1:1,K4)</f>
        <v>0</v>
      </c>
      <c r="L25" s="258">
        <f ca="1">SUMIFS('Dep &amp; Tax Schedule'!32:32,'Dep &amp; Tax Schedule'!1:1,L4)</f>
        <v>0</v>
      </c>
      <c r="M25" s="246">
        <f ca="1">SUMIFS('Dep &amp; Tax Schedule'!32:32,'Dep &amp; Tax Schedule'!1:1,M4)</f>
        <v>0</v>
      </c>
      <c r="N25" s="258">
        <f ca="1">SUMIFS('Dep &amp; Tax Schedule'!32:32,'Dep &amp; Tax Schedule'!1:1,N4)</f>
        <v>0</v>
      </c>
      <c r="O25" s="258">
        <f ca="1">SUMIFS('Dep &amp; Tax Schedule'!32:32,'Dep &amp; Tax Schedule'!1:1,O4)</f>
        <v>0</v>
      </c>
      <c r="P25" s="258">
        <f ca="1">SUMIFS('Dep &amp; Tax Schedule'!32:32,'Dep &amp; Tax Schedule'!1:1,P4)</f>
        <v>0</v>
      </c>
      <c r="Q25" s="258">
        <f ca="1">SUMIFS('Dep &amp; Tax Schedule'!32:32,'Dep &amp; Tax Schedule'!1:1,Q4)</f>
        <v>0</v>
      </c>
      <c r="R25" s="258">
        <f ca="1">SUMIFS('Dep &amp; Tax Schedule'!32:32,'Dep &amp; Tax Schedule'!1:1,R4)</f>
        <v>0</v>
      </c>
      <c r="S25" s="258">
        <f ca="1">SUMIFS('Dep &amp; Tax Schedule'!32:32,'Dep &amp; Tax Schedule'!1:1,S4)</f>
        <v>0</v>
      </c>
      <c r="T25" s="258">
        <f ca="1">SUMIFS('Dep &amp; Tax Schedule'!32:32,'Dep &amp; Tax Schedule'!1:1,T4)</f>
        <v>0</v>
      </c>
      <c r="U25" s="258">
        <f ca="1">SUMIFS('Dep &amp; Tax Schedule'!32:32,'Dep &amp; Tax Schedule'!1:1,U4)</f>
        <v>0</v>
      </c>
      <c r="V25" s="258">
        <f ca="1">SUMIFS('Dep &amp; Tax Schedule'!32:32,'Dep &amp; Tax Schedule'!1:1,V4)</f>
        <v>0</v>
      </c>
      <c r="W25" s="258">
        <f ca="1">SUMIFS('Dep &amp; Tax Schedule'!32:32,'Dep &amp; Tax Schedule'!1:1,W4)</f>
        <v>0</v>
      </c>
      <c r="X25" s="258">
        <f ca="1">SUMIFS('Dep &amp; Tax Schedule'!32:32,'Dep &amp; Tax Schedule'!1:1,X4)</f>
        <v>0</v>
      </c>
      <c r="Y25" s="246">
        <f ca="1">SUMIFS('Dep &amp; Tax Schedule'!32:32,'Dep &amp; Tax Schedule'!1:1,Y4)</f>
        <v>0</v>
      </c>
    </row>
    <row r="26" spans="3:29" x14ac:dyDescent="0.3">
      <c r="C26" s="169" t="s">
        <v>461</v>
      </c>
      <c r="D26" s="258">
        <f>'CF Statement'!D13</f>
        <v>0</v>
      </c>
      <c r="E26" s="258">
        <f ca="1">D26-'CF Statement'!E13</f>
        <v>5.1672455420699812</v>
      </c>
      <c r="F26" s="258">
        <f ca="1">E26-'CF Statement'!F13</f>
        <v>15.576273524447455</v>
      </c>
      <c r="G26" s="258">
        <f ca="1">F26-'CF Statement'!G13</f>
        <v>35.006082402746742</v>
      </c>
      <c r="H26" s="258">
        <f ca="1">G26-'CF Statement'!H13</f>
        <v>63.515390615912253</v>
      </c>
      <c r="I26" s="258">
        <f ca="1">H26-'CF Statement'!I13</f>
        <v>88.467588948541447</v>
      </c>
      <c r="J26" s="258">
        <f ca="1">I26-'CF Statement'!J13</f>
        <v>88.467588948541447</v>
      </c>
      <c r="K26" s="258">
        <f ca="1">J26-'CF Statement'!K13</f>
        <v>88.467588948541447</v>
      </c>
      <c r="L26" s="258">
        <f ca="1">K26-'CF Statement'!L13</f>
        <v>88.467588948541447</v>
      </c>
      <c r="M26" s="246">
        <f ca="1">L26-'CF Statement'!M13</f>
        <v>88.467588948541447</v>
      </c>
      <c r="N26" s="258">
        <f ca="1">M26-'CF Statement'!N13</f>
        <v>88.467588948541447</v>
      </c>
      <c r="O26" s="258">
        <f ca="1">N26-'CF Statement'!O13</f>
        <v>88.467588948541447</v>
      </c>
      <c r="P26" s="258">
        <f ca="1">O26-'CF Statement'!P13</f>
        <v>88.467588948541447</v>
      </c>
      <c r="Q26" s="258">
        <f ca="1">P26-'CF Statement'!Q13</f>
        <v>88.467588948541447</v>
      </c>
      <c r="R26" s="258">
        <f ca="1">Q26-'CF Statement'!R13</f>
        <v>88.467588948541447</v>
      </c>
      <c r="S26" s="258">
        <f ca="1">R26-'CF Statement'!S13</f>
        <v>88.467588948541447</v>
      </c>
      <c r="T26" s="258">
        <f ca="1">S26-'CF Statement'!T13</f>
        <v>88.467588948541447</v>
      </c>
      <c r="U26" s="258">
        <f ca="1">T26-'CF Statement'!U13</f>
        <v>88.467588948541447</v>
      </c>
      <c r="V26" s="258">
        <f ca="1">U26-'CF Statement'!V13</f>
        <v>88.467588948541447</v>
      </c>
      <c r="W26" s="258">
        <f ca="1">V26-'CF Statement'!W13</f>
        <v>88.467588948541447</v>
      </c>
      <c r="X26" s="258">
        <f ca="1">W26-'CF Statement'!X13</f>
        <v>88.467588948541447</v>
      </c>
      <c r="Y26" s="246">
        <f ca="1">X26-'CF Statement'!Y13</f>
        <v>88.467588948541447</v>
      </c>
    </row>
    <row r="27" spans="3:29" x14ac:dyDescent="0.3">
      <c r="C27" s="169" t="s">
        <v>501</v>
      </c>
      <c r="D27" s="258">
        <f>'CF Statement'!D19</f>
        <v>0</v>
      </c>
      <c r="E27" s="258">
        <f>'CF Statement'!E19</f>
        <v>0</v>
      </c>
      <c r="F27" s="258">
        <f>'CF Statement'!F19</f>
        <v>0</v>
      </c>
      <c r="G27" s="258">
        <f>'CF Statement'!G19</f>
        <v>0</v>
      </c>
      <c r="H27" s="258">
        <f>'CF Statement'!H19</f>
        <v>0</v>
      </c>
      <c r="I27" s="258">
        <f ca="1">'CF Statement'!I19</f>
        <v>7.1625106833256815</v>
      </c>
      <c r="J27" s="258">
        <f ca="1">'CF Statement'!J19</f>
        <v>0</v>
      </c>
      <c r="K27" s="258">
        <f ca="1">'CF Statement'!K19</f>
        <v>0</v>
      </c>
      <c r="L27" s="258"/>
      <c r="M27" s="246"/>
      <c r="N27" s="258"/>
      <c r="O27" s="258"/>
      <c r="P27" s="258"/>
      <c r="Q27" s="258"/>
      <c r="R27" s="258"/>
      <c r="S27" s="258"/>
      <c r="T27" s="258"/>
      <c r="U27" s="258"/>
      <c r="V27" s="258"/>
      <c r="W27" s="258"/>
      <c r="X27" s="258"/>
      <c r="Y27" s="246"/>
    </row>
    <row r="28" spans="3:29" x14ac:dyDescent="0.3">
      <c r="C28" s="169" t="s">
        <v>502</v>
      </c>
      <c r="D28" s="258">
        <f>'CF Statement'!D21</f>
        <v>0</v>
      </c>
      <c r="E28" s="258">
        <f>D28+'CF Statement'!E21</f>
        <v>0</v>
      </c>
      <c r="F28" s="258">
        <f>E28+'CF Statement'!F21</f>
        <v>0</v>
      </c>
      <c r="G28" s="258">
        <f>F28+'CF Statement'!G21</f>
        <v>0</v>
      </c>
      <c r="H28" s="258">
        <f>G28+'CF Statement'!H21</f>
        <v>0</v>
      </c>
      <c r="I28" s="258">
        <f ca="1">H28+'CF Statement'!I21</f>
        <v>5.1443045480469705</v>
      </c>
      <c r="J28" s="258">
        <f ca="1">I28+'CF Statement'!J21</f>
        <v>7.599855085651785</v>
      </c>
      <c r="K28" s="258">
        <f ca="1">J28+'CF Statement'!K21</f>
        <v>8.026886972596138</v>
      </c>
      <c r="L28" s="258">
        <f ca="1">K28+'CF Statement'!L21</f>
        <v>8.4061062882250965</v>
      </c>
      <c r="M28" s="246">
        <f ca="1">L28+'CF Statement'!M21</f>
        <v>8.9170445503209734</v>
      </c>
      <c r="N28" s="258">
        <f ca="1">M28+'CF Statement'!N21</f>
        <v>9.3642327173296565</v>
      </c>
      <c r="O28" s="258">
        <f ca="1">N28+'CF Statement'!O21</f>
        <v>9.7476707892511492</v>
      </c>
      <c r="P28" s="258">
        <f ca="1">O28+'CF Statement'!P21</f>
        <v>10.246890283867764</v>
      </c>
      <c r="Q28" s="258">
        <f ca="1">P28+'CF Statement'!Q21</f>
        <v>10.845953677407699</v>
      </c>
      <c r="R28" s="258">
        <f ca="1">Q28+'CF Statement'!R21</f>
        <v>10.272202821622972</v>
      </c>
      <c r="S28" s="258">
        <f ca="1">R28+'CF Statement'!S21</f>
        <v>9.6984519658382435</v>
      </c>
      <c r="T28" s="258">
        <f ca="1">S28+'CF Statement'!T21</f>
        <v>9.1247011100535165</v>
      </c>
      <c r="U28" s="258">
        <f ca="1">T28+'CF Statement'!U21</f>
        <v>9.2690763253980393</v>
      </c>
      <c r="V28" s="258">
        <f ca="1">U28+'CF Statement'!V21</f>
        <v>8.6315753745261201</v>
      </c>
      <c r="W28" s="258">
        <f ca="1">V28+'CF Statement'!W21</f>
        <v>7.994074423654201</v>
      </c>
      <c r="X28" s="258">
        <f ca="1">W28+'CF Statement'!X21</f>
        <v>2.0844171715365638</v>
      </c>
      <c r="Y28" s="246">
        <f ca="1">X28+'CF Statement'!Y21</f>
        <v>0</v>
      </c>
    </row>
    <row r="29" spans="3:29" x14ac:dyDescent="0.3">
      <c r="C29" s="169" t="s">
        <v>450</v>
      </c>
      <c r="D29" s="258">
        <f ca="1">'CF Statement'!D39</f>
        <v>0</v>
      </c>
      <c r="E29" s="258">
        <f ca="1">'CF Statement'!E39</f>
        <v>0</v>
      </c>
      <c r="F29" s="258">
        <f ca="1">'CF Statement'!F39</f>
        <v>4.6200308424185863</v>
      </c>
      <c r="G29" s="258">
        <f ca="1">'CF Statement'!G39</f>
        <v>19.568128767076175</v>
      </c>
      <c r="H29" s="258">
        <f ca="1">'CF Statement'!H39</f>
        <v>42.414173716945044</v>
      </c>
      <c r="I29" s="258">
        <f ca="1">'CF Statement'!I39</f>
        <v>66.961226500060107</v>
      </c>
      <c r="J29" s="258">
        <f ca="1">'CF Statement'!J39</f>
        <v>81.175884740241372</v>
      </c>
      <c r="K29" s="258">
        <f ca="1">'CF Statement'!K39+J27</f>
        <v>89.926308312453187</v>
      </c>
      <c r="L29" s="258">
        <f ca="1">'CF Statement'!L39+K27</f>
        <v>98.995260698290991</v>
      </c>
      <c r="M29" s="246">
        <f ca="1">'CF Statement'!M39+L27</f>
        <v>108.49340285473875</v>
      </c>
      <c r="N29" s="258">
        <f ca="1">'CF Statement'!N39+M27</f>
        <v>118.19321733646228</v>
      </c>
      <c r="O29" s="258">
        <f ca="1">'CF Statement'!O39+N27</f>
        <v>128.45878828773917</v>
      </c>
      <c r="P29" s="258">
        <f ca="1">'CF Statement'!P39+O27</f>
        <v>139.48012252326072</v>
      </c>
      <c r="Q29" s="258">
        <f ca="1">'CF Statement'!Q39+P27</f>
        <v>150.93029672574974</v>
      </c>
      <c r="R29" s="258">
        <f ca="1">'CF Statement'!R39+Q27</f>
        <v>163.80887153997855</v>
      </c>
      <c r="S29" s="258">
        <f ca="1">'CF Statement'!S39+R27</f>
        <v>181.76688171075017</v>
      </c>
      <c r="T29" s="258">
        <f ca="1">'CF Statement'!T39+S27</f>
        <v>204.94354883473451</v>
      </c>
      <c r="U29" s="258">
        <f ca="1">'CF Statement'!U39+T27</f>
        <v>232.76692951730627</v>
      </c>
      <c r="V29" s="258">
        <f ca="1">'CF Statement'!V39+U27</f>
        <v>264.01801352162278</v>
      </c>
      <c r="W29" s="258">
        <f ca="1">'CF Statement'!W39+V27</f>
        <v>301.20359574717895</v>
      </c>
      <c r="X29" s="258">
        <f ca="1">'CF Statement'!X39+W27</f>
        <v>349.76505721610783</v>
      </c>
      <c r="Y29" s="246">
        <f ca="1">'CF Statement'!Y39+X27</f>
        <v>421.87131270849767</v>
      </c>
    </row>
    <row r="30" spans="3:29" x14ac:dyDescent="0.3">
      <c r="C30" s="163" t="s">
        <v>199</v>
      </c>
      <c r="D30" s="460">
        <f t="shared" ref="D30:L30" ca="1" si="23">SUM(D23:D29)</f>
        <v>47.58</v>
      </c>
      <c r="E30" s="460">
        <f t="shared" ca="1" si="23"/>
        <v>110.96908474261465</v>
      </c>
      <c r="F30" s="460">
        <f t="shared" ca="1" si="23"/>
        <v>253.9023338959197</v>
      </c>
      <c r="G30" s="460">
        <f t="shared" ca="1" si="23"/>
        <v>423.45355789266677</v>
      </c>
      <c r="H30" s="460">
        <f t="shared" ca="1" si="23"/>
        <v>590.81695494020448</v>
      </c>
      <c r="I30" s="460">
        <f t="shared" ca="1" si="23"/>
        <v>675.79219185021475</v>
      </c>
      <c r="J30" s="460">
        <f t="shared" ca="1" si="23"/>
        <v>669.45289206538041</v>
      </c>
      <c r="K30" s="460">
        <f t="shared" ca="1" si="23"/>
        <v>662.27785649696784</v>
      </c>
      <c r="L30" s="460">
        <f t="shared" ca="1" si="23"/>
        <v>655.3735371708658</v>
      </c>
      <c r="M30" s="461">
        <f t="shared" ref="M30:Y30" ca="1" si="24">SUM(M23:M29)</f>
        <v>649.03012656184058</v>
      </c>
      <c r="N30" s="460">
        <f t="shared" ca="1" si="24"/>
        <v>642.82463818300403</v>
      </c>
      <c r="O30" s="460">
        <f t="shared" ca="1" si="24"/>
        <v>637.12115617863356</v>
      </c>
      <c r="P30" s="460">
        <f t="shared" ca="1" si="24"/>
        <v>632.28921888120294</v>
      </c>
      <c r="Q30" s="460">
        <f t="shared" ca="1" si="24"/>
        <v>627.98596544966313</v>
      </c>
      <c r="R30" s="460">
        <f t="shared" ca="1" si="24"/>
        <v>623.9382983805383</v>
      </c>
      <c r="S30" s="460">
        <f t="shared" ca="1" si="24"/>
        <v>624.97006666795642</v>
      </c>
      <c r="T30" s="460">
        <f t="shared" ca="1" si="24"/>
        <v>631.22049190858729</v>
      </c>
      <c r="U30" s="460">
        <f t="shared" ca="1" si="24"/>
        <v>642.83575677893464</v>
      </c>
      <c r="V30" s="460">
        <f t="shared" ca="1" si="24"/>
        <v>657.09684880481041</v>
      </c>
      <c r="W30" s="460">
        <f t="shared" ca="1" si="24"/>
        <v>677.29243905192584</v>
      </c>
      <c r="X30" s="460">
        <f t="shared" ca="1" si="24"/>
        <v>703.59175224116836</v>
      </c>
      <c r="Y30" s="461">
        <f t="shared" ca="1" si="24"/>
        <v>757.2610995344528</v>
      </c>
    </row>
    <row r="31" spans="3:29" x14ac:dyDescent="0.3">
      <c r="C31" s="39"/>
      <c r="D31" s="259"/>
      <c r="E31" s="259"/>
      <c r="F31" s="259"/>
      <c r="G31" s="259"/>
      <c r="H31" s="259"/>
      <c r="I31" s="259"/>
      <c r="J31" s="259"/>
      <c r="K31" s="259"/>
      <c r="L31" s="259"/>
      <c r="M31" s="259"/>
      <c r="N31" s="54"/>
      <c r="O31" s="52"/>
    </row>
    <row r="32" spans="3:29" x14ac:dyDescent="0.3">
      <c r="C32" s="39"/>
      <c r="D32" s="259"/>
      <c r="E32" s="259"/>
      <c r="F32" s="259"/>
      <c r="G32" s="259"/>
      <c r="H32" s="259"/>
      <c r="I32" s="259"/>
      <c r="J32" s="259"/>
      <c r="K32" s="259"/>
      <c r="L32" s="259"/>
      <c r="M32" s="259"/>
      <c r="N32" s="54"/>
      <c r="O32" s="52"/>
    </row>
    <row r="33" spans="3:25" x14ac:dyDescent="0.3">
      <c r="C33" s="483" t="s">
        <v>12</v>
      </c>
      <c r="D33" s="484">
        <f t="shared" ref="D33:L33" ca="1" si="25">D19-D30</f>
        <v>9.9999999999766942E-4</v>
      </c>
      <c r="E33" s="484">
        <f t="shared" ca="1" si="25"/>
        <v>0</v>
      </c>
      <c r="F33" s="484">
        <f t="shared" ca="1" si="25"/>
        <v>0</v>
      </c>
      <c r="G33" s="484">
        <f t="shared" ca="1" si="25"/>
        <v>0</v>
      </c>
      <c r="H33" s="484">
        <f t="shared" ca="1" si="25"/>
        <v>0</v>
      </c>
      <c r="I33" s="484">
        <f t="shared" ca="1" si="25"/>
        <v>0</v>
      </c>
      <c r="J33" s="484">
        <f t="shared" ca="1" si="25"/>
        <v>0</v>
      </c>
      <c r="K33" s="484">
        <f t="shared" ca="1" si="25"/>
        <v>0</v>
      </c>
      <c r="L33" s="484">
        <f t="shared" ca="1" si="25"/>
        <v>0</v>
      </c>
      <c r="M33" s="484">
        <f t="shared" ref="M33:Y33" ca="1" si="26">M19-M30</f>
        <v>0</v>
      </c>
      <c r="N33" s="484">
        <f t="shared" ca="1" si="26"/>
        <v>0</v>
      </c>
      <c r="O33" s="484">
        <f t="shared" ca="1" si="26"/>
        <v>0</v>
      </c>
      <c r="P33" s="484">
        <f t="shared" ca="1" si="26"/>
        <v>0</v>
      </c>
      <c r="Q33" s="484">
        <f t="shared" ca="1" si="26"/>
        <v>0</v>
      </c>
      <c r="R33" s="484">
        <f t="shared" ca="1" si="26"/>
        <v>0</v>
      </c>
      <c r="S33" s="484">
        <f t="shared" ca="1" si="26"/>
        <v>0</v>
      </c>
      <c r="T33" s="484">
        <f t="shared" ca="1" si="26"/>
        <v>0</v>
      </c>
      <c r="U33" s="484">
        <f t="shared" ca="1" si="26"/>
        <v>0</v>
      </c>
      <c r="V33" s="484">
        <f t="shared" ca="1" si="26"/>
        <v>0</v>
      </c>
      <c r="W33" s="484">
        <f t="shared" ca="1" si="26"/>
        <v>0</v>
      </c>
      <c r="X33" s="484">
        <f t="shared" ca="1" si="26"/>
        <v>0</v>
      </c>
      <c r="Y33" s="484">
        <f t="shared" ca="1" si="26"/>
        <v>0</v>
      </c>
    </row>
    <row r="34" spans="3:25" x14ac:dyDescent="0.3">
      <c r="E34" s="46"/>
      <c r="F34" s="46"/>
      <c r="G34" s="46"/>
      <c r="H34" s="46"/>
      <c r="J34" s="46"/>
      <c r="K34" s="46"/>
      <c r="L34" s="46"/>
    </row>
    <row r="35" spans="3:25" x14ac:dyDescent="0.3">
      <c r="E35" s="46"/>
      <c r="F35" s="46"/>
      <c r="G35" s="46"/>
      <c r="H35" s="46"/>
      <c r="I35" s="46"/>
      <c r="J35" s="46"/>
      <c r="K35" s="46"/>
      <c r="L35" s="46"/>
    </row>
    <row r="36" spans="3:25" x14ac:dyDescent="0.3">
      <c r="C36" s="1" t="s">
        <v>593</v>
      </c>
      <c r="D36" s="33">
        <f t="shared" ref="D36:H36" ca="1" si="27">SUM(D24:D26)</f>
        <v>0</v>
      </c>
      <c r="E36" s="33">
        <f t="shared" ca="1" si="27"/>
        <v>110.96908474261465</v>
      </c>
      <c r="F36" s="33">
        <f t="shared" ca="1" si="27"/>
        <v>249.2823030535011</v>
      </c>
      <c r="G36" s="33">
        <f t="shared" ca="1" si="27"/>
        <v>403.88542912559058</v>
      </c>
      <c r="H36" s="33">
        <f t="shared" ca="1" si="27"/>
        <v>548.40278122325947</v>
      </c>
      <c r="I36" s="33">
        <f ca="1">SUM(I24:I26)</f>
        <v>596.52415011878202</v>
      </c>
      <c r="J36" s="33">
        <f t="shared" ref="J36:M36" ca="1" si="28">SUM(J24:J26)</f>
        <v>580.67715223948721</v>
      </c>
      <c r="K36" s="33">
        <f t="shared" ca="1" si="28"/>
        <v>564.32466121191851</v>
      </c>
      <c r="L36" s="33">
        <f t="shared" ca="1" si="28"/>
        <v>547.97217018434969</v>
      </c>
      <c r="M36" s="33">
        <f t="shared" ca="1" si="28"/>
        <v>531.61967915678088</v>
      </c>
    </row>
    <row r="37" spans="3:25" x14ac:dyDescent="0.3">
      <c r="C37" s="1" t="s">
        <v>592</v>
      </c>
      <c r="D37" s="52">
        <f>D12+D15</f>
        <v>0</v>
      </c>
      <c r="E37" s="52">
        <f t="shared" ref="E37:M37" ca="1" si="29">E12+E15</f>
        <v>0</v>
      </c>
      <c r="F37" s="52">
        <f t="shared" ca="1" si="29"/>
        <v>0</v>
      </c>
      <c r="G37" s="52">
        <f t="shared" ca="1" si="29"/>
        <v>0</v>
      </c>
      <c r="H37" s="52">
        <f t="shared" ca="1" si="29"/>
        <v>0</v>
      </c>
      <c r="I37" s="52">
        <f t="shared" ca="1" si="29"/>
        <v>0</v>
      </c>
      <c r="J37" s="52">
        <f t="shared" ca="1" si="29"/>
        <v>5.2500078307099249</v>
      </c>
      <c r="K37" s="52">
        <f t="shared" ca="1" si="29"/>
        <v>7.5000111867284636</v>
      </c>
      <c r="L37" s="52">
        <f t="shared" ca="1" si="29"/>
        <v>9.7500145427470031</v>
      </c>
      <c r="M37" s="52">
        <f t="shared" ca="1" si="29"/>
        <v>12.750019017438389</v>
      </c>
    </row>
    <row r="38" spans="3:25" x14ac:dyDescent="0.3">
      <c r="D38" s="52">
        <f ca="1">D36-D37</f>
        <v>0</v>
      </c>
      <c r="E38" s="52">
        <f t="shared" ref="E38:M38" ca="1" si="30">E36-E37</f>
        <v>110.96908474261465</v>
      </c>
      <c r="F38" s="52">
        <f t="shared" ca="1" si="30"/>
        <v>249.2823030535011</v>
      </c>
      <c r="G38" s="52">
        <f t="shared" ca="1" si="30"/>
        <v>403.88542912559058</v>
      </c>
      <c r="H38" s="52">
        <f t="shared" ca="1" si="30"/>
        <v>548.40278122325947</v>
      </c>
      <c r="I38" s="52">
        <f t="shared" ca="1" si="30"/>
        <v>596.52415011878202</v>
      </c>
      <c r="J38" s="52">
        <f t="shared" ca="1" si="30"/>
        <v>575.42714440877728</v>
      </c>
      <c r="K38" s="52">
        <f t="shared" ca="1" si="30"/>
        <v>556.82465002519007</v>
      </c>
      <c r="L38" s="52">
        <f t="shared" ca="1" si="30"/>
        <v>538.22215564160274</v>
      </c>
      <c r="M38" s="52">
        <f t="shared" ca="1" si="30"/>
        <v>518.8696601393425</v>
      </c>
    </row>
    <row r="39" spans="3:25" x14ac:dyDescent="0.3">
      <c r="C39" s="1" t="s">
        <v>421</v>
      </c>
      <c r="D39" s="52">
        <f ca="1">D19-SUM(D5,D9)</f>
        <v>0</v>
      </c>
      <c r="E39" s="52">
        <f t="shared" ref="E39:M39" ca="1" si="31">E19-SUM(E5,E9)</f>
        <v>61.265081574533156</v>
      </c>
      <c r="F39" s="52">
        <f t="shared" ca="1" si="31"/>
        <v>149.36945914425425</v>
      </c>
      <c r="G39" s="52">
        <f t="shared" ca="1" si="31"/>
        <v>253.37157106392226</v>
      </c>
      <c r="H39" s="52">
        <f t="shared" ca="1" si="31"/>
        <v>353.83119922730236</v>
      </c>
      <c r="I39" s="52">
        <f t="shared" ca="1" si="31"/>
        <v>414.4369627547814</v>
      </c>
      <c r="J39" s="52">
        <f t="shared" ca="1" si="31"/>
        <v>449.28497411112846</v>
      </c>
      <c r="K39" s="52">
        <f t="shared" ca="1" si="31"/>
        <v>479.25023073685418</v>
      </c>
      <c r="L39" s="52">
        <f t="shared" ca="1" si="31"/>
        <v>507.0619641831546</v>
      </c>
      <c r="M39" s="52">
        <f t="shared" ca="1" si="31"/>
        <v>532.52721409684318</v>
      </c>
    </row>
    <row r="40" spans="3:25" x14ac:dyDescent="0.3">
      <c r="E40" s="33">
        <f ca="1">E38/E39</f>
        <v>1.8112941644844329</v>
      </c>
      <c r="F40" s="33">
        <f t="shared" ref="F40:M40" ca="1" si="32">F38/F39</f>
        <v>1.6688974070178266</v>
      </c>
      <c r="G40" s="33">
        <f t="shared" ca="1" si="32"/>
        <v>1.5940439861885518</v>
      </c>
      <c r="H40" s="33">
        <f t="shared" ca="1" si="32"/>
        <v>1.5498994504183439</v>
      </c>
      <c r="I40" s="33">
        <f t="shared" ca="1" si="32"/>
        <v>1.4393603942892998</v>
      </c>
      <c r="J40" s="33">
        <f t="shared" ca="1" si="32"/>
        <v>1.2807620498486738</v>
      </c>
      <c r="K40" s="33">
        <f t="shared" ca="1" si="32"/>
        <v>1.1618662116637151</v>
      </c>
      <c r="L40" s="33">
        <f t="shared" ca="1" si="32"/>
        <v>1.0614524331531063</v>
      </c>
      <c r="M40" s="33">
        <f t="shared" ca="1" si="32"/>
        <v>0.97435332205385283</v>
      </c>
    </row>
    <row r="45" spans="3:25" x14ac:dyDescent="0.3">
      <c r="C45" s="1" t="s">
        <v>602</v>
      </c>
      <c r="D45" s="52">
        <f ca="1">D27+D28+D29</f>
        <v>0</v>
      </c>
      <c r="E45" s="52">
        <f t="shared" ref="E45:M45" ca="1" si="33">E27+E28+E29</f>
        <v>0</v>
      </c>
      <c r="F45" s="52">
        <f t="shared" ca="1" si="33"/>
        <v>4.6200308424185863</v>
      </c>
      <c r="G45" s="52">
        <f t="shared" ca="1" si="33"/>
        <v>19.568128767076175</v>
      </c>
      <c r="H45" s="52">
        <f t="shared" ca="1" si="33"/>
        <v>42.414173716945044</v>
      </c>
      <c r="I45" s="52">
        <f t="shared" ca="1" si="33"/>
        <v>79.26804173143276</v>
      </c>
      <c r="J45" s="52">
        <f t="shared" ca="1" si="33"/>
        <v>88.775739825893154</v>
      </c>
      <c r="K45" s="52">
        <f t="shared" ca="1" si="33"/>
        <v>97.953195285049333</v>
      </c>
      <c r="L45" s="52">
        <f t="shared" ca="1" si="33"/>
        <v>107.40136698651608</v>
      </c>
      <c r="M45" s="52">
        <f t="shared" ca="1" si="33"/>
        <v>117.41044740505973</v>
      </c>
    </row>
    <row r="46" spans="3:25" x14ac:dyDescent="0.3">
      <c r="C46" s="1" t="s">
        <v>603</v>
      </c>
      <c r="D46" s="52">
        <f t="shared" ref="D46:H46" si="34">D15+D12</f>
        <v>0</v>
      </c>
      <c r="E46" s="52">
        <f t="shared" ca="1" si="34"/>
        <v>0</v>
      </c>
      <c r="F46" s="52">
        <f t="shared" ca="1" si="34"/>
        <v>0</v>
      </c>
      <c r="G46" s="52">
        <f t="shared" ca="1" si="34"/>
        <v>0</v>
      </c>
      <c r="H46" s="52">
        <f t="shared" ca="1" si="34"/>
        <v>0</v>
      </c>
      <c r="I46" s="52">
        <f ca="1">I15+I12+I13+I17</f>
        <v>317.18967773627929</v>
      </c>
      <c r="J46" s="52">
        <f ca="1">J15+J12</f>
        <v>5.2500078307099249</v>
      </c>
      <c r="K46" s="52">
        <f t="shared" ref="K46:M46" ca="1" si="35">K15+K12</f>
        <v>7.5000111867284636</v>
      </c>
      <c r="L46" s="52">
        <f t="shared" ca="1" si="35"/>
        <v>9.7500145427470031</v>
      </c>
      <c r="M46" s="52">
        <f t="shared" ca="1" si="35"/>
        <v>12.750019017438389</v>
      </c>
    </row>
    <row r="47" spans="3:25" x14ac:dyDescent="0.3">
      <c r="C47" s="1" t="s">
        <v>604</v>
      </c>
      <c r="D47" s="33">
        <f ca="1">IFERROR(D45/D46,0)</f>
        <v>0</v>
      </c>
      <c r="E47" s="33">
        <f t="shared" ref="E47:M47" ca="1" si="36">IFERROR(E45/E46,0)</f>
        <v>0</v>
      </c>
      <c r="F47" s="33">
        <f t="shared" ca="1" si="36"/>
        <v>0</v>
      </c>
      <c r="G47" s="33">
        <f t="shared" ca="1" si="36"/>
        <v>0</v>
      </c>
      <c r="H47" s="33">
        <f t="shared" ca="1" si="36"/>
        <v>0</v>
      </c>
      <c r="I47" s="33">
        <f t="shared" ca="1" si="36"/>
        <v>0.24990738127783121</v>
      </c>
      <c r="J47" s="33">
        <f t="shared" ca="1" si="36"/>
        <v>16.909639506935473</v>
      </c>
      <c r="K47" s="33">
        <f t="shared" ca="1" si="36"/>
        <v>13.060406557577007</v>
      </c>
      <c r="L47" s="33">
        <f t="shared" ca="1" si="36"/>
        <v>11.015508388796356</v>
      </c>
      <c r="M47" s="33">
        <f t="shared" ca="1" si="36"/>
        <v>9.2086488062861491</v>
      </c>
    </row>
    <row r="48" spans="3:25" x14ac:dyDescent="0.3">
      <c r="C48" s="39" t="s">
        <v>605</v>
      </c>
      <c r="D48" s="54">
        <f ca="1">D45-D46</f>
        <v>0</v>
      </c>
      <c r="E48" s="54">
        <f t="shared" ref="E48:M48" ca="1" si="37">E45-E46</f>
        <v>0</v>
      </c>
      <c r="F48" s="54">
        <f t="shared" ca="1" si="37"/>
        <v>4.6200308424185863</v>
      </c>
      <c r="G48" s="54">
        <f t="shared" ca="1" si="37"/>
        <v>19.568128767076175</v>
      </c>
      <c r="H48" s="54">
        <f t="shared" ca="1" si="37"/>
        <v>42.414173716945044</v>
      </c>
      <c r="I48" s="54">
        <f t="shared" ca="1" si="37"/>
        <v>-237.92163600484653</v>
      </c>
      <c r="J48" s="54">
        <f t="shared" ca="1" si="37"/>
        <v>83.525731995183236</v>
      </c>
      <c r="K48" s="54">
        <f t="shared" ca="1" si="37"/>
        <v>90.453184098320875</v>
      </c>
      <c r="L48" s="54">
        <f t="shared" ca="1" si="37"/>
        <v>97.651352443769071</v>
      </c>
      <c r="M48" s="54">
        <f t="shared" ca="1" si="37"/>
        <v>104.66042838762134</v>
      </c>
    </row>
  </sheetData>
  <pageMargins left="0.7" right="0.7" top="0.75" bottom="0.75" header="0.3" footer="0.3"/>
  <pageSetup orientation="portrait" horizontalDpi="1200" verticalDpi="1200" r:id="rId1"/>
  <ignoredErrors>
    <ignoredError sqref="I46"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KO77"/>
  <sheetViews>
    <sheetView showGridLines="0" zoomScale="90" zoomScaleNormal="90" workbookViewId="0">
      <pane xSplit="3" ySplit="5" topLeftCell="D58" activePane="bottomRight" state="frozen"/>
      <selection pane="topRight" activeCell="D1" sqref="D1"/>
      <selection pane="bottomLeft" activeCell="A4" sqref="A4"/>
      <selection pane="bottomRight" activeCell="A59" sqref="A59"/>
    </sheetView>
  </sheetViews>
  <sheetFormatPr defaultColWidth="8.88671875" defaultRowHeight="13.8" x14ac:dyDescent="0.3"/>
  <cols>
    <col min="1" max="1" width="11.109375" style="1" bestFit="1" customWidth="1"/>
    <col min="2" max="2" width="14" style="1" bestFit="1" customWidth="1"/>
    <col min="3" max="3" width="8.88671875" style="1" bestFit="1" customWidth="1"/>
    <col min="4" max="4" width="8" style="1" bestFit="1" customWidth="1"/>
    <col min="5" max="14" width="9.33203125" style="1" bestFit="1" customWidth="1"/>
    <col min="15" max="15" width="9.6640625" style="1" bestFit="1" customWidth="1"/>
    <col min="16" max="22" width="9.33203125" style="1" bestFit="1" customWidth="1"/>
    <col min="23" max="23" width="9.44140625" style="1" bestFit="1" customWidth="1"/>
    <col min="24" max="26" width="9.33203125" style="1" bestFit="1" customWidth="1"/>
    <col min="27" max="27" width="9.6640625" style="1" bestFit="1" customWidth="1"/>
    <col min="28" max="34" width="9.33203125" style="1" bestFit="1" customWidth="1"/>
    <col min="35" max="35" width="9.44140625" style="1" bestFit="1" customWidth="1"/>
    <col min="36" max="38" width="9.33203125" style="1" bestFit="1" customWidth="1"/>
    <col min="39" max="39" width="9.6640625" style="1" bestFit="1" customWidth="1"/>
    <col min="40" max="43" width="9.33203125" style="1" bestFit="1" customWidth="1"/>
    <col min="44" max="44" width="9.44140625" style="1" bestFit="1" customWidth="1"/>
    <col min="45" max="50" width="9.33203125" style="1" bestFit="1" customWidth="1"/>
    <col min="51" max="51" width="9.6640625" style="1" bestFit="1" customWidth="1"/>
    <col min="52" max="52" width="9.33203125" style="1" bestFit="1" customWidth="1"/>
    <col min="53" max="256" width="9.77734375" style="1" bestFit="1" customWidth="1"/>
    <col min="257" max="257" width="10" style="1" bestFit="1" customWidth="1"/>
    <col min="258" max="268" width="9.77734375" style="1" bestFit="1" customWidth="1"/>
    <col min="269" max="269" width="10" style="1" bestFit="1" customWidth="1"/>
    <col min="270" max="277" width="9.33203125" style="1" bestFit="1" customWidth="1"/>
    <col min="278" max="278" width="10" style="1" bestFit="1" customWidth="1"/>
    <col min="279" max="279" width="9.6640625" style="1" bestFit="1" customWidth="1"/>
    <col min="280" max="286" width="9.33203125" style="1" bestFit="1" customWidth="1"/>
    <col min="287" max="287" width="10" style="1" bestFit="1" customWidth="1"/>
    <col min="288" max="289" width="9.33203125" style="1" bestFit="1" customWidth="1"/>
    <col min="290" max="290" width="8.88671875" style="1" bestFit="1" customWidth="1"/>
    <col min="291" max="291" width="8.109375" style="1" bestFit="1" customWidth="1"/>
    <col min="292" max="292" width="8.88671875" style="1" bestFit="1" customWidth="1"/>
    <col min="293" max="301" width="8.109375" style="1" bestFit="1" customWidth="1"/>
    <col min="302" max="16384" width="8.88671875" style="1"/>
  </cols>
  <sheetData>
    <row r="1" spans="2:301" x14ac:dyDescent="0.3">
      <c r="B1" s="29" t="s">
        <v>102</v>
      </c>
      <c r="C1" s="29"/>
      <c r="D1" s="29"/>
      <c r="E1" s="387">
        <f>MIN('Assumption Sheet'!E27:E37)</f>
        <v>45504</v>
      </c>
      <c r="F1" s="387">
        <f>EOMONTH(E1,1)</f>
        <v>45535</v>
      </c>
      <c r="G1" s="387">
        <f t="shared" ref="G1:BR1" si="0">EOMONTH(F1,1)</f>
        <v>45565</v>
      </c>
      <c r="H1" s="387">
        <f t="shared" si="0"/>
        <v>45596</v>
      </c>
      <c r="I1" s="387">
        <f t="shared" si="0"/>
        <v>45626</v>
      </c>
      <c r="J1" s="387">
        <f t="shared" si="0"/>
        <v>45657</v>
      </c>
      <c r="K1" s="387">
        <f t="shared" si="0"/>
        <v>45688</v>
      </c>
      <c r="L1" s="387">
        <f t="shared" si="0"/>
        <v>45716</v>
      </c>
      <c r="M1" s="387">
        <f t="shared" si="0"/>
        <v>45747</v>
      </c>
      <c r="N1" s="387">
        <f t="shared" si="0"/>
        <v>45777</v>
      </c>
      <c r="O1" s="387">
        <f t="shared" si="0"/>
        <v>45808</v>
      </c>
      <c r="P1" s="387">
        <f t="shared" si="0"/>
        <v>45838</v>
      </c>
      <c r="Q1" s="387">
        <f t="shared" si="0"/>
        <v>45869</v>
      </c>
      <c r="R1" s="387">
        <f t="shared" si="0"/>
        <v>45900</v>
      </c>
      <c r="S1" s="387">
        <f t="shared" si="0"/>
        <v>45930</v>
      </c>
      <c r="T1" s="387">
        <f t="shared" si="0"/>
        <v>45961</v>
      </c>
      <c r="U1" s="387">
        <f t="shared" si="0"/>
        <v>45991</v>
      </c>
      <c r="V1" s="387">
        <f t="shared" si="0"/>
        <v>46022</v>
      </c>
      <c r="W1" s="387">
        <f t="shared" si="0"/>
        <v>46053</v>
      </c>
      <c r="X1" s="387">
        <f t="shared" si="0"/>
        <v>46081</v>
      </c>
      <c r="Y1" s="387">
        <f t="shared" si="0"/>
        <v>46112</v>
      </c>
      <c r="Z1" s="387">
        <f>EOMONTH(Y1,1)</f>
        <v>46142</v>
      </c>
      <c r="AA1" s="387">
        <f t="shared" si="0"/>
        <v>46173</v>
      </c>
      <c r="AB1" s="387">
        <f t="shared" si="0"/>
        <v>46203</v>
      </c>
      <c r="AC1" s="387">
        <f t="shared" si="0"/>
        <v>46234</v>
      </c>
      <c r="AD1" s="387">
        <f t="shared" si="0"/>
        <v>46265</v>
      </c>
      <c r="AE1" s="387">
        <f t="shared" si="0"/>
        <v>46295</v>
      </c>
      <c r="AF1" s="387">
        <f t="shared" si="0"/>
        <v>46326</v>
      </c>
      <c r="AG1" s="387">
        <f t="shared" si="0"/>
        <v>46356</v>
      </c>
      <c r="AH1" s="387">
        <f t="shared" si="0"/>
        <v>46387</v>
      </c>
      <c r="AI1" s="387">
        <f t="shared" si="0"/>
        <v>46418</v>
      </c>
      <c r="AJ1" s="387">
        <f t="shared" si="0"/>
        <v>46446</v>
      </c>
      <c r="AK1" s="387">
        <f t="shared" si="0"/>
        <v>46477</v>
      </c>
      <c r="AL1" s="387">
        <f t="shared" si="0"/>
        <v>46507</v>
      </c>
      <c r="AM1" s="387">
        <f t="shared" si="0"/>
        <v>46538</v>
      </c>
      <c r="AN1" s="387">
        <f t="shared" si="0"/>
        <v>46568</v>
      </c>
      <c r="AO1" s="387">
        <f t="shared" si="0"/>
        <v>46599</v>
      </c>
      <c r="AP1" s="387">
        <f t="shared" si="0"/>
        <v>46630</v>
      </c>
      <c r="AQ1" s="387">
        <f t="shared" si="0"/>
        <v>46660</v>
      </c>
      <c r="AR1" s="387">
        <f t="shared" si="0"/>
        <v>46691</v>
      </c>
      <c r="AS1" s="387">
        <f t="shared" si="0"/>
        <v>46721</v>
      </c>
      <c r="AT1" s="387">
        <f t="shared" si="0"/>
        <v>46752</v>
      </c>
      <c r="AU1" s="387">
        <f t="shared" si="0"/>
        <v>46783</v>
      </c>
      <c r="AV1" s="387">
        <f t="shared" si="0"/>
        <v>46812</v>
      </c>
      <c r="AW1" s="387">
        <f t="shared" si="0"/>
        <v>46843</v>
      </c>
      <c r="AX1" s="387">
        <f t="shared" si="0"/>
        <v>46873</v>
      </c>
      <c r="AY1" s="387">
        <f t="shared" si="0"/>
        <v>46904</v>
      </c>
      <c r="AZ1" s="387">
        <f t="shared" si="0"/>
        <v>46934</v>
      </c>
      <c r="BA1" s="387">
        <f t="shared" si="0"/>
        <v>46965</v>
      </c>
      <c r="BB1" s="387">
        <f t="shared" si="0"/>
        <v>46996</v>
      </c>
      <c r="BC1" s="387">
        <f t="shared" si="0"/>
        <v>47026</v>
      </c>
      <c r="BD1" s="387">
        <f t="shared" si="0"/>
        <v>47057</v>
      </c>
      <c r="BE1" s="387">
        <f t="shared" si="0"/>
        <v>47087</v>
      </c>
      <c r="BF1" s="387">
        <f t="shared" si="0"/>
        <v>47118</v>
      </c>
      <c r="BG1" s="387">
        <f t="shared" si="0"/>
        <v>47149</v>
      </c>
      <c r="BH1" s="387">
        <f t="shared" si="0"/>
        <v>47177</v>
      </c>
      <c r="BI1" s="387">
        <f t="shared" si="0"/>
        <v>47208</v>
      </c>
      <c r="BJ1" s="387">
        <f t="shared" si="0"/>
        <v>47238</v>
      </c>
      <c r="BK1" s="387">
        <f t="shared" si="0"/>
        <v>47269</v>
      </c>
      <c r="BL1" s="387">
        <f t="shared" si="0"/>
        <v>47299</v>
      </c>
      <c r="BM1" s="387">
        <f t="shared" si="0"/>
        <v>47330</v>
      </c>
      <c r="BN1" s="387">
        <f t="shared" si="0"/>
        <v>47361</v>
      </c>
      <c r="BO1" s="387">
        <f t="shared" si="0"/>
        <v>47391</v>
      </c>
      <c r="BP1" s="387">
        <f t="shared" si="0"/>
        <v>47422</v>
      </c>
      <c r="BQ1" s="387">
        <f t="shared" si="0"/>
        <v>47452</v>
      </c>
      <c r="BR1" s="387">
        <f t="shared" si="0"/>
        <v>47483</v>
      </c>
      <c r="BS1" s="387">
        <f t="shared" ref="BS1:CH1" si="1">EOMONTH(BR1,1)</f>
        <v>47514</v>
      </c>
      <c r="BT1" s="387">
        <f t="shared" si="1"/>
        <v>47542</v>
      </c>
      <c r="BU1" s="387">
        <f t="shared" si="1"/>
        <v>47573</v>
      </c>
      <c r="BV1" s="387">
        <f t="shared" si="1"/>
        <v>47603</v>
      </c>
      <c r="BW1" s="387">
        <f t="shared" si="1"/>
        <v>47634</v>
      </c>
      <c r="BX1" s="387">
        <f t="shared" si="1"/>
        <v>47664</v>
      </c>
      <c r="BY1" s="387">
        <f t="shared" si="1"/>
        <v>47695</v>
      </c>
      <c r="BZ1" s="387">
        <f t="shared" si="1"/>
        <v>47726</v>
      </c>
      <c r="CA1" s="387">
        <f t="shared" si="1"/>
        <v>47756</v>
      </c>
      <c r="CB1" s="387">
        <f t="shared" si="1"/>
        <v>47787</v>
      </c>
      <c r="CC1" s="387">
        <f t="shared" si="1"/>
        <v>47817</v>
      </c>
      <c r="CD1" s="387">
        <f t="shared" si="1"/>
        <v>47848</v>
      </c>
      <c r="CE1" s="387">
        <f t="shared" si="1"/>
        <v>47879</v>
      </c>
      <c r="CF1" s="387">
        <f t="shared" si="1"/>
        <v>47907</v>
      </c>
      <c r="CG1" s="387">
        <f t="shared" si="1"/>
        <v>47938</v>
      </c>
      <c r="CH1" s="387">
        <f t="shared" si="1"/>
        <v>47968</v>
      </c>
      <c r="CI1" s="387">
        <f t="shared" ref="CI1:DN1" si="2">EOMONTH(CH1,1)</f>
        <v>47999</v>
      </c>
      <c r="CJ1" s="387">
        <f t="shared" si="2"/>
        <v>48029</v>
      </c>
      <c r="CK1" s="387">
        <f t="shared" si="2"/>
        <v>48060</v>
      </c>
      <c r="CL1" s="387">
        <f t="shared" si="2"/>
        <v>48091</v>
      </c>
      <c r="CM1" s="387">
        <f t="shared" si="2"/>
        <v>48121</v>
      </c>
      <c r="CN1" s="387">
        <f t="shared" si="2"/>
        <v>48152</v>
      </c>
      <c r="CO1" s="387">
        <f t="shared" si="2"/>
        <v>48182</v>
      </c>
      <c r="CP1" s="387">
        <f t="shared" si="2"/>
        <v>48213</v>
      </c>
      <c r="CQ1" s="387">
        <f t="shared" si="2"/>
        <v>48244</v>
      </c>
      <c r="CR1" s="387">
        <f t="shared" si="2"/>
        <v>48273</v>
      </c>
      <c r="CS1" s="387">
        <f t="shared" si="2"/>
        <v>48304</v>
      </c>
      <c r="CT1" s="387">
        <f t="shared" si="2"/>
        <v>48334</v>
      </c>
      <c r="CU1" s="387">
        <f t="shared" si="2"/>
        <v>48365</v>
      </c>
      <c r="CV1" s="387">
        <f t="shared" si="2"/>
        <v>48395</v>
      </c>
      <c r="CW1" s="387">
        <f t="shared" si="2"/>
        <v>48426</v>
      </c>
      <c r="CX1" s="387">
        <f t="shared" si="2"/>
        <v>48457</v>
      </c>
      <c r="CY1" s="387">
        <f t="shared" si="2"/>
        <v>48487</v>
      </c>
      <c r="CZ1" s="387">
        <f t="shared" si="2"/>
        <v>48518</v>
      </c>
      <c r="DA1" s="387">
        <f t="shared" si="2"/>
        <v>48548</v>
      </c>
      <c r="DB1" s="387">
        <f t="shared" si="2"/>
        <v>48579</v>
      </c>
      <c r="DC1" s="387">
        <f t="shared" si="2"/>
        <v>48610</v>
      </c>
      <c r="DD1" s="387">
        <f t="shared" si="2"/>
        <v>48638</v>
      </c>
      <c r="DE1" s="387">
        <f t="shared" si="2"/>
        <v>48669</v>
      </c>
      <c r="DF1" s="387">
        <f t="shared" si="2"/>
        <v>48699</v>
      </c>
      <c r="DG1" s="387">
        <f t="shared" si="2"/>
        <v>48730</v>
      </c>
      <c r="DH1" s="387">
        <f t="shared" si="2"/>
        <v>48760</v>
      </c>
      <c r="DI1" s="387">
        <f t="shared" si="2"/>
        <v>48791</v>
      </c>
      <c r="DJ1" s="387">
        <f t="shared" si="2"/>
        <v>48822</v>
      </c>
      <c r="DK1" s="387">
        <f t="shared" si="2"/>
        <v>48852</v>
      </c>
      <c r="DL1" s="387">
        <f t="shared" si="2"/>
        <v>48883</v>
      </c>
      <c r="DM1" s="387">
        <f t="shared" si="2"/>
        <v>48913</v>
      </c>
      <c r="DN1" s="387">
        <f t="shared" si="2"/>
        <v>48944</v>
      </c>
      <c r="DO1" s="387">
        <f t="shared" ref="DO1:ET1" si="3">EOMONTH(DN1,1)</f>
        <v>48975</v>
      </c>
      <c r="DP1" s="387">
        <f t="shared" si="3"/>
        <v>49003</v>
      </c>
      <c r="DQ1" s="387">
        <f t="shared" si="3"/>
        <v>49034</v>
      </c>
      <c r="DR1" s="387">
        <f t="shared" si="3"/>
        <v>49064</v>
      </c>
      <c r="DS1" s="387">
        <f t="shared" si="3"/>
        <v>49095</v>
      </c>
      <c r="DT1" s="387">
        <f t="shared" si="3"/>
        <v>49125</v>
      </c>
      <c r="DU1" s="387">
        <f t="shared" si="3"/>
        <v>49156</v>
      </c>
      <c r="DV1" s="387">
        <f t="shared" si="3"/>
        <v>49187</v>
      </c>
      <c r="DW1" s="387">
        <f t="shared" si="3"/>
        <v>49217</v>
      </c>
      <c r="DX1" s="387">
        <f t="shared" si="3"/>
        <v>49248</v>
      </c>
      <c r="DY1" s="387">
        <f t="shared" si="3"/>
        <v>49278</v>
      </c>
      <c r="DZ1" s="387">
        <f t="shared" si="3"/>
        <v>49309</v>
      </c>
      <c r="EA1" s="387">
        <f t="shared" si="3"/>
        <v>49340</v>
      </c>
      <c r="EB1" s="387">
        <f t="shared" si="3"/>
        <v>49368</v>
      </c>
      <c r="EC1" s="387">
        <f t="shared" si="3"/>
        <v>49399</v>
      </c>
      <c r="ED1" s="387">
        <f t="shared" si="3"/>
        <v>49429</v>
      </c>
      <c r="EE1" s="387">
        <f t="shared" si="3"/>
        <v>49460</v>
      </c>
      <c r="EF1" s="387">
        <f t="shared" si="3"/>
        <v>49490</v>
      </c>
      <c r="EG1" s="387">
        <f t="shared" si="3"/>
        <v>49521</v>
      </c>
      <c r="EH1" s="387">
        <f t="shared" si="3"/>
        <v>49552</v>
      </c>
      <c r="EI1" s="387">
        <f t="shared" si="3"/>
        <v>49582</v>
      </c>
      <c r="EJ1" s="387">
        <f t="shared" si="3"/>
        <v>49613</v>
      </c>
      <c r="EK1" s="387">
        <f t="shared" si="3"/>
        <v>49643</v>
      </c>
      <c r="EL1" s="387">
        <f t="shared" si="3"/>
        <v>49674</v>
      </c>
      <c r="EM1" s="387">
        <f t="shared" si="3"/>
        <v>49705</v>
      </c>
      <c r="EN1" s="387">
        <f t="shared" si="3"/>
        <v>49734</v>
      </c>
      <c r="EO1" s="387">
        <f t="shared" si="3"/>
        <v>49765</v>
      </c>
      <c r="EP1" s="387">
        <f t="shared" si="3"/>
        <v>49795</v>
      </c>
      <c r="EQ1" s="387">
        <f t="shared" si="3"/>
        <v>49826</v>
      </c>
      <c r="ER1" s="387">
        <f t="shared" si="3"/>
        <v>49856</v>
      </c>
      <c r="ES1" s="387">
        <f t="shared" si="3"/>
        <v>49887</v>
      </c>
      <c r="ET1" s="387">
        <f t="shared" si="3"/>
        <v>49918</v>
      </c>
      <c r="EU1" s="387">
        <f t="shared" ref="EU1:FZ1" si="4">EOMONTH(ET1,1)</f>
        <v>49948</v>
      </c>
      <c r="EV1" s="387">
        <f t="shared" si="4"/>
        <v>49979</v>
      </c>
      <c r="EW1" s="387">
        <f t="shared" si="4"/>
        <v>50009</v>
      </c>
      <c r="EX1" s="387">
        <f t="shared" si="4"/>
        <v>50040</v>
      </c>
      <c r="EY1" s="387">
        <f t="shared" si="4"/>
        <v>50071</v>
      </c>
      <c r="EZ1" s="387">
        <f t="shared" si="4"/>
        <v>50099</v>
      </c>
      <c r="FA1" s="387">
        <f t="shared" si="4"/>
        <v>50130</v>
      </c>
      <c r="FB1" s="387">
        <f t="shared" si="4"/>
        <v>50160</v>
      </c>
      <c r="FC1" s="387">
        <f t="shared" si="4"/>
        <v>50191</v>
      </c>
      <c r="FD1" s="387">
        <f t="shared" si="4"/>
        <v>50221</v>
      </c>
      <c r="FE1" s="387">
        <f t="shared" si="4"/>
        <v>50252</v>
      </c>
      <c r="FF1" s="387">
        <f t="shared" si="4"/>
        <v>50283</v>
      </c>
      <c r="FG1" s="387">
        <f t="shared" si="4"/>
        <v>50313</v>
      </c>
      <c r="FH1" s="387">
        <f t="shared" si="4"/>
        <v>50344</v>
      </c>
      <c r="FI1" s="387">
        <f t="shared" si="4"/>
        <v>50374</v>
      </c>
      <c r="FJ1" s="387">
        <f t="shared" si="4"/>
        <v>50405</v>
      </c>
      <c r="FK1" s="387">
        <f t="shared" si="4"/>
        <v>50436</v>
      </c>
      <c r="FL1" s="387">
        <f t="shared" si="4"/>
        <v>50464</v>
      </c>
      <c r="FM1" s="387">
        <f t="shared" si="4"/>
        <v>50495</v>
      </c>
      <c r="FN1" s="387">
        <f t="shared" si="4"/>
        <v>50525</v>
      </c>
      <c r="FO1" s="387">
        <f t="shared" si="4"/>
        <v>50556</v>
      </c>
      <c r="FP1" s="387">
        <f t="shared" si="4"/>
        <v>50586</v>
      </c>
      <c r="FQ1" s="387">
        <f t="shared" si="4"/>
        <v>50617</v>
      </c>
      <c r="FR1" s="387">
        <f t="shared" si="4"/>
        <v>50648</v>
      </c>
      <c r="FS1" s="387">
        <f t="shared" si="4"/>
        <v>50678</v>
      </c>
      <c r="FT1" s="387">
        <f t="shared" si="4"/>
        <v>50709</v>
      </c>
      <c r="FU1" s="387">
        <f t="shared" si="4"/>
        <v>50739</v>
      </c>
      <c r="FV1" s="387">
        <f t="shared" si="4"/>
        <v>50770</v>
      </c>
      <c r="FW1" s="387">
        <f t="shared" si="4"/>
        <v>50801</v>
      </c>
      <c r="FX1" s="387">
        <f t="shared" si="4"/>
        <v>50829</v>
      </c>
      <c r="FY1" s="387">
        <f t="shared" si="4"/>
        <v>50860</v>
      </c>
      <c r="FZ1" s="387">
        <f t="shared" si="4"/>
        <v>50890</v>
      </c>
      <c r="GA1" s="387">
        <f t="shared" ref="GA1:HF1" si="5">EOMONTH(FZ1,1)</f>
        <v>50921</v>
      </c>
      <c r="GB1" s="387">
        <f t="shared" si="5"/>
        <v>50951</v>
      </c>
      <c r="GC1" s="387">
        <f t="shared" si="5"/>
        <v>50982</v>
      </c>
      <c r="GD1" s="387">
        <f t="shared" si="5"/>
        <v>51013</v>
      </c>
      <c r="GE1" s="387">
        <f t="shared" si="5"/>
        <v>51043</v>
      </c>
      <c r="GF1" s="387">
        <f t="shared" si="5"/>
        <v>51074</v>
      </c>
      <c r="GG1" s="387">
        <f t="shared" si="5"/>
        <v>51104</v>
      </c>
      <c r="GH1" s="387">
        <f t="shared" si="5"/>
        <v>51135</v>
      </c>
      <c r="GI1" s="387">
        <f t="shared" si="5"/>
        <v>51166</v>
      </c>
      <c r="GJ1" s="387">
        <f t="shared" si="5"/>
        <v>51195</v>
      </c>
      <c r="GK1" s="387">
        <f t="shared" si="5"/>
        <v>51226</v>
      </c>
      <c r="GL1" s="387">
        <f t="shared" si="5"/>
        <v>51256</v>
      </c>
      <c r="GM1" s="387">
        <f t="shared" si="5"/>
        <v>51287</v>
      </c>
      <c r="GN1" s="387">
        <f t="shared" si="5"/>
        <v>51317</v>
      </c>
      <c r="GO1" s="387">
        <f t="shared" si="5"/>
        <v>51348</v>
      </c>
      <c r="GP1" s="387">
        <f t="shared" si="5"/>
        <v>51379</v>
      </c>
      <c r="GQ1" s="387">
        <f t="shared" si="5"/>
        <v>51409</v>
      </c>
      <c r="GR1" s="387">
        <f t="shared" si="5"/>
        <v>51440</v>
      </c>
      <c r="GS1" s="387">
        <f t="shared" si="5"/>
        <v>51470</v>
      </c>
      <c r="GT1" s="387">
        <f t="shared" si="5"/>
        <v>51501</v>
      </c>
      <c r="GU1" s="387">
        <f t="shared" si="5"/>
        <v>51532</v>
      </c>
      <c r="GV1" s="387">
        <f t="shared" si="5"/>
        <v>51560</v>
      </c>
      <c r="GW1" s="387">
        <f t="shared" si="5"/>
        <v>51591</v>
      </c>
      <c r="GX1" s="387">
        <f t="shared" si="5"/>
        <v>51621</v>
      </c>
      <c r="GY1" s="387">
        <f t="shared" si="5"/>
        <v>51652</v>
      </c>
      <c r="GZ1" s="387">
        <f t="shared" si="5"/>
        <v>51682</v>
      </c>
      <c r="HA1" s="387">
        <f t="shared" si="5"/>
        <v>51713</v>
      </c>
      <c r="HB1" s="387">
        <f t="shared" si="5"/>
        <v>51744</v>
      </c>
      <c r="HC1" s="387">
        <f t="shared" si="5"/>
        <v>51774</v>
      </c>
      <c r="HD1" s="387">
        <f t="shared" si="5"/>
        <v>51805</v>
      </c>
      <c r="HE1" s="387">
        <f t="shared" si="5"/>
        <v>51835</v>
      </c>
      <c r="HF1" s="387">
        <f t="shared" si="5"/>
        <v>51866</v>
      </c>
      <c r="HG1" s="387">
        <f t="shared" ref="HG1:IP1" si="6">EOMONTH(HF1,1)</f>
        <v>51897</v>
      </c>
      <c r="HH1" s="387">
        <f t="shared" si="6"/>
        <v>51925</v>
      </c>
      <c r="HI1" s="387">
        <f t="shared" si="6"/>
        <v>51956</v>
      </c>
      <c r="HJ1" s="387">
        <f t="shared" si="6"/>
        <v>51986</v>
      </c>
      <c r="HK1" s="387">
        <f t="shared" si="6"/>
        <v>52017</v>
      </c>
      <c r="HL1" s="387">
        <f t="shared" si="6"/>
        <v>52047</v>
      </c>
      <c r="HM1" s="387">
        <f t="shared" si="6"/>
        <v>52078</v>
      </c>
      <c r="HN1" s="387">
        <f t="shared" si="6"/>
        <v>52109</v>
      </c>
      <c r="HO1" s="387">
        <f t="shared" si="6"/>
        <v>52139</v>
      </c>
      <c r="HP1" s="387">
        <f t="shared" si="6"/>
        <v>52170</v>
      </c>
      <c r="HQ1" s="387">
        <f t="shared" si="6"/>
        <v>52200</v>
      </c>
      <c r="HR1" s="387">
        <f t="shared" si="6"/>
        <v>52231</v>
      </c>
      <c r="HS1" s="387">
        <f t="shared" si="6"/>
        <v>52262</v>
      </c>
      <c r="HT1" s="387">
        <f t="shared" si="6"/>
        <v>52290</v>
      </c>
      <c r="HU1" s="387">
        <f t="shared" si="6"/>
        <v>52321</v>
      </c>
      <c r="HV1" s="387">
        <f t="shared" si="6"/>
        <v>52351</v>
      </c>
      <c r="HW1" s="387">
        <f t="shared" si="6"/>
        <v>52382</v>
      </c>
      <c r="HX1" s="387">
        <f t="shared" si="6"/>
        <v>52412</v>
      </c>
      <c r="HY1" s="387">
        <f t="shared" si="6"/>
        <v>52443</v>
      </c>
      <c r="HZ1" s="387">
        <f t="shared" si="6"/>
        <v>52474</v>
      </c>
      <c r="IA1" s="387">
        <f t="shared" si="6"/>
        <v>52504</v>
      </c>
      <c r="IB1" s="387">
        <f t="shared" si="6"/>
        <v>52535</v>
      </c>
      <c r="IC1" s="387">
        <f t="shared" si="6"/>
        <v>52565</v>
      </c>
      <c r="ID1" s="387">
        <f t="shared" si="6"/>
        <v>52596</v>
      </c>
      <c r="IE1" s="387">
        <f t="shared" si="6"/>
        <v>52627</v>
      </c>
      <c r="IF1" s="387">
        <f t="shared" si="6"/>
        <v>52656</v>
      </c>
      <c r="IG1" s="387">
        <f t="shared" si="6"/>
        <v>52687</v>
      </c>
      <c r="IH1" s="387">
        <f t="shared" si="6"/>
        <v>52717</v>
      </c>
      <c r="II1" s="387">
        <f t="shared" si="6"/>
        <v>52748</v>
      </c>
      <c r="IJ1" s="387">
        <f t="shared" si="6"/>
        <v>52778</v>
      </c>
      <c r="IK1" s="387">
        <f t="shared" si="6"/>
        <v>52809</v>
      </c>
      <c r="IL1" s="387">
        <f t="shared" si="6"/>
        <v>52840</v>
      </c>
      <c r="IM1" s="387">
        <f t="shared" si="6"/>
        <v>52870</v>
      </c>
      <c r="IN1" s="387">
        <f t="shared" si="6"/>
        <v>52901</v>
      </c>
      <c r="IO1" s="387">
        <f t="shared" si="6"/>
        <v>52931</v>
      </c>
      <c r="IP1" s="387">
        <f t="shared" si="6"/>
        <v>52962</v>
      </c>
      <c r="IQ1" s="387">
        <f t="shared" ref="IQ1" si="7">EOMONTH(IP1,1)</f>
        <v>52993</v>
      </c>
      <c r="IR1" s="387">
        <f t="shared" ref="IR1" si="8">EOMONTH(IQ1,1)</f>
        <v>53021</v>
      </c>
      <c r="IS1" s="387">
        <f t="shared" ref="IS1" si="9">EOMONTH(IR1,1)</f>
        <v>53052</v>
      </c>
      <c r="IT1" s="387">
        <f t="shared" ref="IT1" si="10">EOMONTH(IS1,1)</f>
        <v>53082</v>
      </c>
      <c r="IU1" s="387">
        <f t="shared" ref="IU1" si="11">EOMONTH(IT1,1)</f>
        <v>53113</v>
      </c>
      <c r="IV1" s="387">
        <f t="shared" ref="IV1" si="12">EOMONTH(IU1,1)</f>
        <v>53143</v>
      </c>
      <c r="IW1" s="387">
        <f t="shared" ref="IW1" si="13">EOMONTH(IV1,1)</f>
        <v>53174</v>
      </c>
      <c r="IX1" s="387">
        <f t="shared" ref="IX1" si="14">EOMONTH(IW1,1)</f>
        <v>53205</v>
      </c>
      <c r="IY1" s="387">
        <f t="shared" ref="IY1" si="15">EOMONTH(IX1,1)</f>
        <v>53235</v>
      </c>
      <c r="IZ1" s="387">
        <f t="shared" ref="IZ1" si="16">EOMONTH(IY1,1)</f>
        <v>53266</v>
      </c>
      <c r="JA1" s="387">
        <f t="shared" ref="JA1" si="17">EOMONTH(IZ1,1)</f>
        <v>53296</v>
      </c>
      <c r="JB1" s="387">
        <f t="shared" ref="JB1" si="18">EOMONTH(JA1,1)</f>
        <v>53327</v>
      </c>
      <c r="JC1" s="387">
        <f t="shared" ref="JC1" si="19">EOMONTH(JB1,1)</f>
        <v>53358</v>
      </c>
      <c r="JD1" s="387">
        <f t="shared" ref="JD1" si="20">EOMONTH(JC1,1)</f>
        <v>53386</v>
      </c>
      <c r="JE1" s="387">
        <f t="shared" ref="JE1" si="21">EOMONTH(JD1,1)</f>
        <v>53417</v>
      </c>
      <c r="JF1" s="387">
        <f t="shared" ref="JF1" si="22">EOMONTH(JE1,1)</f>
        <v>53447</v>
      </c>
      <c r="JG1" s="387">
        <f t="shared" ref="JG1" si="23">EOMONTH(JF1,1)</f>
        <v>53478</v>
      </c>
      <c r="JH1" s="387">
        <f t="shared" ref="JH1" si="24">EOMONTH(JG1,1)</f>
        <v>53508</v>
      </c>
      <c r="JI1" s="387">
        <f t="shared" ref="JI1" si="25">EOMONTH(JH1,1)</f>
        <v>53539</v>
      </c>
      <c r="JJ1" s="387">
        <f t="shared" ref="JJ1" si="26">EOMONTH(JI1,1)</f>
        <v>53570</v>
      </c>
      <c r="JK1" s="387">
        <f t="shared" ref="JK1" si="27">EOMONTH(JJ1,1)</f>
        <v>53600</v>
      </c>
      <c r="JL1" s="387">
        <f t="shared" ref="JL1" si="28">EOMONTH(JK1,1)</f>
        <v>53631</v>
      </c>
      <c r="JM1" s="387">
        <f t="shared" ref="JM1" si="29">EOMONTH(JL1,1)</f>
        <v>53661</v>
      </c>
      <c r="JN1" s="387">
        <f t="shared" ref="JN1" si="30">EOMONTH(JM1,1)</f>
        <v>53692</v>
      </c>
      <c r="JO1" s="387">
        <f t="shared" ref="JO1" si="31">EOMONTH(JN1,1)</f>
        <v>53723</v>
      </c>
      <c r="JP1" s="387">
        <f t="shared" ref="JP1" si="32">EOMONTH(JO1,1)</f>
        <v>53751</v>
      </c>
      <c r="JQ1" s="387">
        <f t="shared" ref="JQ1" si="33">EOMONTH(JP1,1)</f>
        <v>53782</v>
      </c>
      <c r="JR1" s="387">
        <f t="shared" ref="JR1" si="34">EOMONTH(JQ1,1)</f>
        <v>53812</v>
      </c>
      <c r="JS1" s="387">
        <f t="shared" ref="JS1" si="35">EOMONTH(JR1,1)</f>
        <v>53843</v>
      </c>
      <c r="JT1" s="387">
        <f t="shared" ref="JT1" si="36">EOMONTH(JS1,1)</f>
        <v>53873</v>
      </c>
      <c r="JU1" s="387">
        <f t="shared" ref="JU1" si="37">EOMONTH(JT1,1)</f>
        <v>53904</v>
      </c>
      <c r="JV1" s="387">
        <f t="shared" ref="JV1" si="38">EOMONTH(JU1,1)</f>
        <v>53935</v>
      </c>
      <c r="JW1" s="387">
        <f t="shared" ref="JW1" si="39">EOMONTH(JV1,1)</f>
        <v>53965</v>
      </c>
      <c r="JX1" s="387">
        <f t="shared" ref="JX1" si="40">EOMONTH(JW1,1)</f>
        <v>53996</v>
      </c>
      <c r="JY1" s="387">
        <f t="shared" ref="JY1" si="41">EOMONTH(JX1,1)</f>
        <v>54026</v>
      </c>
      <c r="JZ1" s="387">
        <f t="shared" ref="JZ1" si="42">EOMONTH(JY1,1)</f>
        <v>54057</v>
      </c>
      <c r="KA1" s="387">
        <f t="shared" ref="KA1" si="43">EOMONTH(JZ1,1)</f>
        <v>54088</v>
      </c>
      <c r="KB1" s="387">
        <f t="shared" ref="KB1" si="44">EOMONTH(KA1,1)</f>
        <v>54117</v>
      </c>
      <c r="KC1" s="387">
        <f t="shared" ref="KC1" si="45">EOMONTH(KB1,1)</f>
        <v>54148</v>
      </c>
      <c r="KD1" s="32"/>
      <c r="KE1" s="32"/>
      <c r="KF1" s="32"/>
      <c r="KG1" s="32"/>
      <c r="KH1" s="32"/>
      <c r="KI1" s="32"/>
      <c r="KJ1" s="32"/>
      <c r="KK1" s="32"/>
      <c r="KL1" s="32"/>
      <c r="KM1" s="32"/>
      <c r="KN1" s="32"/>
      <c r="KO1" s="32"/>
    </row>
    <row r="2" spans="2:301" x14ac:dyDescent="0.3">
      <c r="B2" s="29" t="s">
        <v>27</v>
      </c>
      <c r="C2" s="29"/>
      <c r="D2" s="29"/>
      <c r="E2" s="387">
        <f>G1</f>
        <v>45565</v>
      </c>
      <c r="F2" s="387">
        <f>G1</f>
        <v>45565</v>
      </c>
      <c r="G2" s="387">
        <f>G1</f>
        <v>45565</v>
      </c>
      <c r="H2" s="387">
        <f>EOMONTH(E2,3)</f>
        <v>45657</v>
      </c>
      <c r="I2" s="387">
        <f t="shared" ref="I2:BT2" si="46">EOMONTH(F2,3)</f>
        <v>45657</v>
      </c>
      <c r="J2" s="387">
        <f t="shared" si="46"/>
        <v>45657</v>
      </c>
      <c r="K2" s="387">
        <f t="shared" si="46"/>
        <v>45747</v>
      </c>
      <c r="L2" s="387">
        <f t="shared" si="46"/>
        <v>45747</v>
      </c>
      <c r="M2" s="387">
        <f t="shared" si="46"/>
        <v>45747</v>
      </c>
      <c r="N2" s="387">
        <f t="shared" si="46"/>
        <v>45838</v>
      </c>
      <c r="O2" s="387">
        <f t="shared" si="46"/>
        <v>45838</v>
      </c>
      <c r="P2" s="387">
        <f t="shared" si="46"/>
        <v>45838</v>
      </c>
      <c r="Q2" s="387">
        <f t="shared" si="46"/>
        <v>45930</v>
      </c>
      <c r="R2" s="387">
        <f t="shared" si="46"/>
        <v>45930</v>
      </c>
      <c r="S2" s="387">
        <f t="shared" si="46"/>
        <v>45930</v>
      </c>
      <c r="T2" s="387">
        <f t="shared" si="46"/>
        <v>46022</v>
      </c>
      <c r="U2" s="387">
        <f t="shared" si="46"/>
        <v>46022</v>
      </c>
      <c r="V2" s="387">
        <f t="shared" si="46"/>
        <v>46022</v>
      </c>
      <c r="W2" s="387">
        <f t="shared" si="46"/>
        <v>46112</v>
      </c>
      <c r="X2" s="387">
        <f t="shared" si="46"/>
        <v>46112</v>
      </c>
      <c r="Y2" s="387">
        <f t="shared" si="46"/>
        <v>46112</v>
      </c>
      <c r="Z2" s="387">
        <f t="shared" si="46"/>
        <v>46203</v>
      </c>
      <c r="AA2" s="387">
        <f t="shared" si="46"/>
        <v>46203</v>
      </c>
      <c r="AB2" s="387">
        <f t="shared" si="46"/>
        <v>46203</v>
      </c>
      <c r="AC2" s="387">
        <f t="shared" si="46"/>
        <v>46295</v>
      </c>
      <c r="AD2" s="387">
        <f t="shared" si="46"/>
        <v>46295</v>
      </c>
      <c r="AE2" s="387">
        <f t="shared" si="46"/>
        <v>46295</v>
      </c>
      <c r="AF2" s="387">
        <f t="shared" si="46"/>
        <v>46387</v>
      </c>
      <c r="AG2" s="387">
        <f t="shared" si="46"/>
        <v>46387</v>
      </c>
      <c r="AH2" s="387">
        <f t="shared" si="46"/>
        <v>46387</v>
      </c>
      <c r="AI2" s="387">
        <f t="shared" si="46"/>
        <v>46477</v>
      </c>
      <c r="AJ2" s="387">
        <f t="shared" si="46"/>
        <v>46477</v>
      </c>
      <c r="AK2" s="387">
        <f t="shared" si="46"/>
        <v>46477</v>
      </c>
      <c r="AL2" s="387">
        <f t="shared" si="46"/>
        <v>46568</v>
      </c>
      <c r="AM2" s="387">
        <f t="shared" si="46"/>
        <v>46568</v>
      </c>
      <c r="AN2" s="387">
        <f t="shared" si="46"/>
        <v>46568</v>
      </c>
      <c r="AO2" s="387">
        <f t="shared" si="46"/>
        <v>46660</v>
      </c>
      <c r="AP2" s="387">
        <f t="shared" si="46"/>
        <v>46660</v>
      </c>
      <c r="AQ2" s="387">
        <f t="shared" si="46"/>
        <v>46660</v>
      </c>
      <c r="AR2" s="387">
        <f t="shared" si="46"/>
        <v>46752</v>
      </c>
      <c r="AS2" s="387">
        <f t="shared" si="46"/>
        <v>46752</v>
      </c>
      <c r="AT2" s="387">
        <f t="shared" si="46"/>
        <v>46752</v>
      </c>
      <c r="AU2" s="387">
        <f t="shared" si="46"/>
        <v>46843</v>
      </c>
      <c r="AV2" s="387">
        <f t="shared" si="46"/>
        <v>46843</v>
      </c>
      <c r="AW2" s="387">
        <f t="shared" si="46"/>
        <v>46843</v>
      </c>
      <c r="AX2" s="387">
        <f t="shared" si="46"/>
        <v>46934</v>
      </c>
      <c r="AY2" s="387">
        <f t="shared" si="46"/>
        <v>46934</v>
      </c>
      <c r="AZ2" s="387">
        <f t="shared" si="46"/>
        <v>46934</v>
      </c>
      <c r="BA2" s="387">
        <f t="shared" si="46"/>
        <v>47026</v>
      </c>
      <c r="BB2" s="387">
        <f t="shared" si="46"/>
        <v>47026</v>
      </c>
      <c r="BC2" s="387">
        <f t="shared" si="46"/>
        <v>47026</v>
      </c>
      <c r="BD2" s="387">
        <f t="shared" si="46"/>
        <v>47118</v>
      </c>
      <c r="BE2" s="387">
        <f t="shared" si="46"/>
        <v>47118</v>
      </c>
      <c r="BF2" s="387">
        <f t="shared" si="46"/>
        <v>47118</v>
      </c>
      <c r="BG2" s="387">
        <f t="shared" si="46"/>
        <v>47208</v>
      </c>
      <c r="BH2" s="387">
        <f t="shared" si="46"/>
        <v>47208</v>
      </c>
      <c r="BI2" s="387">
        <f t="shared" si="46"/>
        <v>47208</v>
      </c>
      <c r="BJ2" s="387">
        <f t="shared" si="46"/>
        <v>47299</v>
      </c>
      <c r="BK2" s="387">
        <f t="shared" si="46"/>
        <v>47299</v>
      </c>
      <c r="BL2" s="387">
        <f t="shared" si="46"/>
        <v>47299</v>
      </c>
      <c r="BM2" s="387">
        <f t="shared" si="46"/>
        <v>47391</v>
      </c>
      <c r="BN2" s="387">
        <f t="shared" si="46"/>
        <v>47391</v>
      </c>
      <c r="BO2" s="387">
        <f t="shared" si="46"/>
        <v>47391</v>
      </c>
      <c r="BP2" s="387">
        <f t="shared" si="46"/>
        <v>47483</v>
      </c>
      <c r="BQ2" s="387">
        <f t="shared" si="46"/>
        <v>47483</v>
      </c>
      <c r="BR2" s="387">
        <f t="shared" si="46"/>
        <v>47483</v>
      </c>
      <c r="BS2" s="387">
        <f t="shared" si="46"/>
        <v>47573</v>
      </c>
      <c r="BT2" s="387">
        <f t="shared" si="46"/>
        <v>47573</v>
      </c>
      <c r="BU2" s="387">
        <f t="shared" ref="BU2:EF2" si="47">EOMONTH(BR2,3)</f>
        <v>47573</v>
      </c>
      <c r="BV2" s="387">
        <f t="shared" si="47"/>
        <v>47664</v>
      </c>
      <c r="BW2" s="387">
        <f t="shared" si="47"/>
        <v>47664</v>
      </c>
      <c r="BX2" s="387">
        <f t="shared" si="47"/>
        <v>47664</v>
      </c>
      <c r="BY2" s="387">
        <f t="shared" si="47"/>
        <v>47756</v>
      </c>
      <c r="BZ2" s="387">
        <f t="shared" si="47"/>
        <v>47756</v>
      </c>
      <c r="CA2" s="387">
        <f t="shared" si="47"/>
        <v>47756</v>
      </c>
      <c r="CB2" s="387">
        <f t="shared" si="47"/>
        <v>47848</v>
      </c>
      <c r="CC2" s="387">
        <f t="shared" si="47"/>
        <v>47848</v>
      </c>
      <c r="CD2" s="387">
        <f t="shared" si="47"/>
        <v>47848</v>
      </c>
      <c r="CE2" s="387">
        <f t="shared" si="47"/>
        <v>47938</v>
      </c>
      <c r="CF2" s="387">
        <f t="shared" si="47"/>
        <v>47938</v>
      </c>
      <c r="CG2" s="387">
        <f t="shared" si="47"/>
        <v>47938</v>
      </c>
      <c r="CH2" s="387">
        <f t="shared" si="47"/>
        <v>48029</v>
      </c>
      <c r="CI2" s="387">
        <f t="shared" si="47"/>
        <v>48029</v>
      </c>
      <c r="CJ2" s="387">
        <f t="shared" si="47"/>
        <v>48029</v>
      </c>
      <c r="CK2" s="387">
        <f t="shared" si="47"/>
        <v>48121</v>
      </c>
      <c r="CL2" s="387">
        <f t="shared" si="47"/>
        <v>48121</v>
      </c>
      <c r="CM2" s="387">
        <f t="shared" si="47"/>
        <v>48121</v>
      </c>
      <c r="CN2" s="387">
        <f t="shared" si="47"/>
        <v>48213</v>
      </c>
      <c r="CO2" s="387">
        <f t="shared" si="47"/>
        <v>48213</v>
      </c>
      <c r="CP2" s="387">
        <f t="shared" si="47"/>
        <v>48213</v>
      </c>
      <c r="CQ2" s="387">
        <f t="shared" si="47"/>
        <v>48304</v>
      </c>
      <c r="CR2" s="387">
        <f t="shared" si="47"/>
        <v>48304</v>
      </c>
      <c r="CS2" s="387">
        <f t="shared" si="47"/>
        <v>48304</v>
      </c>
      <c r="CT2" s="387">
        <f t="shared" si="47"/>
        <v>48395</v>
      </c>
      <c r="CU2" s="387">
        <f t="shared" si="47"/>
        <v>48395</v>
      </c>
      <c r="CV2" s="387">
        <f t="shared" si="47"/>
        <v>48395</v>
      </c>
      <c r="CW2" s="387">
        <f t="shared" si="47"/>
        <v>48487</v>
      </c>
      <c r="CX2" s="387">
        <f t="shared" si="47"/>
        <v>48487</v>
      </c>
      <c r="CY2" s="387">
        <f t="shared" si="47"/>
        <v>48487</v>
      </c>
      <c r="CZ2" s="387">
        <f t="shared" si="47"/>
        <v>48579</v>
      </c>
      <c r="DA2" s="387">
        <f t="shared" si="47"/>
        <v>48579</v>
      </c>
      <c r="DB2" s="387">
        <f t="shared" si="47"/>
        <v>48579</v>
      </c>
      <c r="DC2" s="387">
        <f t="shared" si="47"/>
        <v>48669</v>
      </c>
      <c r="DD2" s="387">
        <f t="shared" si="47"/>
        <v>48669</v>
      </c>
      <c r="DE2" s="387">
        <f t="shared" si="47"/>
        <v>48669</v>
      </c>
      <c r="DF2" s="387">
        <f t="shared" si="47"/>
        <v>48760</v>
      </c>
      <c r="DG2" s="387">
        <f t="shared" si="47"/>
        <v>48760</v>
      </c>
      <c r="DH2" s="387">
        <f t="shared" si="47"/>
        <v>48760</v>
      </c>
      <c r="DI2" s="387">
        <f t="shared" si="47"/>
        <v>48852</v>
      </c>
      <c r="DJ2" s="387">
        <f t="shared" si="47"/>
        <v>48852</v>
      </c>
      <c r="DK2" s="387">
        <f t="shared" si="47"/>
        <v>48852</v>
      </c>
      <c r="DL2" s="387">
        <f t="shared" si="47"/>
        <v>48944</v>
      </c>
      <c r="DM2" s="387">
        <f t="shared" si="47"/>
        <v>48944</v>
      </c>
      <c r="DN2" s="387">
        <f t="shared" si="47"/>
        <v>48944</v>
      </c>
      <c r="DO2" s="387">
        <f t="shared" si="47"/>
        <v>49034</v>
      </c>
      <c r="DP2" s="387">
        <f t="shared" si="47"/>
        <v>49034</v>
      </c>
      <c r="DQ2" s="387">
        <f t="shared" si="47"/>
        <v>49034</v>
      </c>
      <c r="DR2" s="387">
        <f t="shared" si="47"/>
        <v>49125</v>
      </c>
      <c r="DS2" s="387">
        <f t="shared" si="47"/>
        <v>49125</v>
      </c>
      <c r="DT2" s="387">
        <f t="shared" si="47"/>
        <v>49125</v>
      </c>
      <c r="DU2" s="387">
        <f t="shared" si="47"/>
        <v>49217</v>
      </c>
      <c r="DV2" s="387">
        <f t="shared" si="47"/>
        <v>49217</v>
      </c>
      <c r="DW2" s="387">
        <f t="shared" si="47"/>
        <v>49217</v>
      </c>
      <c r="DX2" s="387">
        <f t="shared" si="47"/>
        <v>49309</v>
      </c>
      <c r="DY2" s="387">
        <f t="shared" si="47"/>
        <v>49309</v>
      </c>
      <c r="DZ2" s="387">
        <f t="shared" si="47"/>
        <v>49309</v>
      </c>
      <c r="EA2" s="387">
        <f t="shared" si="47"/>
        <v>49399</v>
      </c>
      <c r="EB2" s="387">
        <f t="shared" si="47"/>
        <v>49399</v>
      </c>
      <c r="EC2" s="387">
        <f t="shared" si="47"/>
        <v>49399</v>
      </c>
      <c r="ED2" s="387">
        <f t="shared" si="47"/>
        <v>49490</v>
      </c>
      <c r="EE2" s="387">
        <f t="shared" si="47"/>
        <v>49490</v>
      </c>
      <c r="EF2" s="387">
        <f t="shared" si="47"/>
        <v>49490</v>
      </c>
      <c r="EG2" s="387">
        <f t="shared" ref="EG2:GR2" si="48">EOMONTH(ED2,3)</f>
        <v>49582</v>
      </c>
      <c r="EH2" s="387">
        <f t="shared" si="48"/>
        <v>49582</v>
      </c>
      <c r="EI2" s="387">
        <f t="shared" si="48"/>
        <v>49582</v>
      </c>
      <c r="EJ2" s="387">
        <f t="shared" si="48"/>
        <v>49674</v>
      </c>
      <c r="EK2" s="387">
        <f t="shared" si="48"/>
        <v>49674</v>
      </c>
      <c r="EL2" s="387">
        <f t="shared" si="48"/>
        <v>49674</v>
      </c>
      <c r="EM2" s="387">
        <f t="shared" si="48"/>
        <v>49765</v>
      </c>
      <c r="EN2" s="387">
        <f t="shared" si="48"/>
        <v>49765</v>
      </c>
      <c r="EO2" s="387">
        <f t="shared" si="48"/>
        <v>49765</v>
      </c>
      <c r="EP2" s="387">
        <f t="shared" si="48"/>
        <v>49856</v>
      </c>
      <c r="EQ2" s="387">
        <f t="shared" si="48"/>
        <v>49856</v>
      </c>
      <c r="ER2" s="387">
        <f t="shared" si="48"/>
        <v>49856</v>
      </c>
      <c r="ES2" s="387">
        <f t="shared" si="48"/>
        <v>49948</v>
      </c>
      <c r="ET2" s="387">
        <f t="shared" si="48"/>
        <v>49948</v>
      </c>
      <c r="EU2" s="387">
        <f t="shared" si="48"/>
        <v>49948</v>
      </c>
      <c r="EV2" s="387">
        <f t="shared" si="48"/>
        <v>50040</v>
      </c>
      <c r="EW2" s="387">
        <f t="shared" si="48"/>
        <v>50040</v>
      </c>
      <c r="EX2" s="387">
        <f t="shared" si="48"/>
        <v>50040</v>
      </c>
      <c r="EY2" s="387">
        <f t="shared" si="48"/>
        <v>50130</v>
      </c>
      <c r="EZ2" s="387">
        <f t="shared" si="48"/>
        <v>50130</v>
      </c>
      <c r="FA2" s="387">
        <f t="shared" si="48"/>
        <v>50130</v>
      </c>
      <c r="FB2" s="387">
        <f t="shared" si="48"/>
        <v>50221</v>
      </c>
      <c r="FC2" s="387">
        <f t="shared" si="48"/>
        <v>50221</v>
      </c>
      <c r="FD2" s="387">
        <f t="shared" si="48"/>
        <v>50221</v>
      </c>
      <c r="FE2" s="387">
        <f t="shared" si="48"/>
        <v>50313</v>
      </c>
      <c r="FF2" s="387">
        <f t="shared" si="48"/>
        <v>50313</v>
      </c>
      <c r="FG2" s="387">
        <f t="shared" si="48"/>
        <v>50313</v>
      </c>
      <c r="FH2" s="387">
        <f t="shared" si="48"/>
        <v>50405</v>
      </c>
      <c r="FI2" s="387">
        <f t="shared" si="48"/>
        <v>50405</v>
      </c>
      <c r="FJ2" s="387">
        <f t="shared" si="48"/>
        <v>50405</v>
      </c>
      <c r="FK2" s="387">
        <f t="shared" si="48"/>
        <v>50495</v>
      </c>
      <c r="FL2" s="387">
        <f t="shared" si="48"/>
        <v>50495</v>
      </c>
      <c r="FM2" s="387">
        <f t="shared" si="48"/>
        <v>50495</v>
      </c>
      <c r="FN2" s="387">
        <f t="shared" si="48"/>
        <v>50586</v>
      </c>
      <c r="FO2" s="387">
        <f t="shared" si="48"/>
        <v>50586</v>
      </c>
      <c r="FP2" s="387">
        <f t="shared" si="48"/>
        <v>50586</v>
      </c>
      <c r="FQ2" s="387">
        <f t="shared" si="48"/>
        <v>50678</v>
      </c>
      <c r="FR2" s="387">
        <f t="shared" si="48"/>
        <v>50678</v>
      </c>
      <c r="FS2" s="387">
        <f t="shared" si="48"/>
        <v>50678</v>
      </c>
      <c r="FT2" s="387">
        <f t="shared" si="48"/>
        <v>50770</v>
      </c>
      <c r="FU2" s="387">
        <f t="shared" si="48"/>
        <v>50770</v>
      </c>
      <c r="FV2" s="387">
        <f t="shared" si="48"/>
        <v>50770</v>
      </c>
      <c r="FW2" s="387">
        <f t="shared" si="48"/>
        <v>50860</v>
      </c>
      <c r="FX2" s="387">
        <f t="shared" si="48"/>
        <v>50860</v>
      </c>
      <c r="FY2" s="387">
        <f t="shared" si="48"/>
        <v>50860</v>
      </c>
      <c r="FZ2" s="387">
        <f t="shared" si="48"/>
        <v>50951</v>
      </c>
      <c r="GA2" s="387">
        <f t="shared" si="48"/>
        <v>50951</v>
      </c>
      <c r="GB2" s="387">
        <f t="shared" si="48"/>
        <v>50951</v>
      </c>
      <c r="GC2" s="387">
        <f t="shared" si="48"/>
        <v>51043</v>
      </c>
      <c r="GD2" s="387">
        <f t="shared" si="48"/>
        <v>51043</v>
      </c>
      <c r="GE2" s="387">
        <f t="shared" si="48"/>
        <v>51043</v>
      </c>
      <c r="GF2" s="387">
        <f t="shared" si="48"/>
        <v>51135</v>
      </c>
      <c r="GG2" s="387">
        <f t="shared" si="48"/>
        <v>51135</v>
      </c>
      <c r="GH2" s="387">
        <f t="shared" si="48"/>
        <v>51135</v>
      </c>
      <c r="GI2" s="387">
        <f t="shared" si="48"/>
        <v>51226</v>
      </c>
      <c r="GJ2" s="387">
        <f t="shared" si="48"/>
        <v>51226</v>
      </c>
      <c r="GK2" s="387">
        <f t="shared" si="48"/>
        <v>51226</v>
      </c>
      <c r="GL2" s="387">
        <f t="shared" si="48"/>
        <v>51317</v>
      </c>
      <c r="GM2" s="387">
        <f t="shared" si="48"/>
        <v>51317</v>
      </c>
      <c r="GN2" s="387">
        <f t="shared" si="48"/>
        <v>51317</v>
      </c>
      <c r="GO2" s="387">
        <f t="shared" si="48"/>
        <v>51409</v>
      </c>
      <c r="GP2" s="387">
        <f t="shared" si="48"/>
        <v>51409</v>
      </c>
      <c r="GQ2" s="387">
        <f t="shared" si="48"/>
        <v>51409</v>
      </c>
      <c r="GR2" s="387">
        <f t="shared" si="48"/>
        <v>51501</v>
      </c>
      <c r="GS2" s="387">
        <f t="shared" ref="GS2:JD2" si="49">EOMONTH(GP2,3)</f>
        <v>51501</v>
      </c>
      <c r="GT2" s="387">
        <f t="shared" si="49"/>
        <v>51501</v>
      </c>
      <c r="GU2" s="387">
        <f t="shared" si="49"/>
        <v>51591</v>
      </c>
      <c r="GV2" s="387">
        <f t="shared" si="49"/>
        <v>51591</v>
      </c>
      <c r="GW2" s="387">
        <f t="shared" si="49"/>
        <v>51591</v>
      </c>
      <c r="GX2" s="387">
        <f t="shared" si="49"/>
        <v>51682</v>
      </c>
      <c r="GY2" s="387">
        <f t="shared" si="49"/>
        <v>51682</v>
      </c>
      <c r="GZ2" s="387">
        <f t="shared" si="49"/>
        <v>51682</v>
      </c>
      <c r="HA2" s="387">
        <f t="shared" si="49"/>
        <v>51774</v>
      </c>
      <c r="HB2" s="387">
        <f t="shared" si="49"/>
        <v>51774</v>
      </c>
      <c r="HC2" s="387">
        <f t="shared" si="49"/>
        <v>51774</v>
      </c>
      <c r="HD2" s="387">
        <f t="shared" si="49"/>
        <v>51866</v>
      </c>
      <c r="HE2" s="387">
        <f t="shared" si="49"/>
        <v>51866</v>
      </c>
      <c r="HF2" s="387">
        <f t="shared" si="49"/>
        <v>51866</v>
      </c>
      <c r="HG2" s="387">
        <f t="shared" si="49"/>
        <v>51956</v>
      </c>
      <c r="HH2" s="387">
        <f t="shared" si="49"/>
        <v>51956</v>
      </c>
      <c r="HI2" s="387">
        <f t="shared" si="49"/>
        <v>51956</v>
      </c>
      <c r="HJ2" s="387">
        <f t="shared" si="49"/>
        <v>52047</v>
      </c>
      <c r="HK2" s="387">
        <f t="shared" si="49"/>
        <v>52047</v>
      </c>
      <c r="HL2" s="387">
        <f t="shared" si="49"/>
        <v>52047</v>
      </c>
      <c r="HM2" s="387">
        <f t="shared" si="49"/>
        <v>52139</v>
      </c>
      <c r="HN2" s="387">
        <f t="shared" si="49"/>
        <v>52139</v>
      </c>
      <c r="HO2" s="387">
        <f t="shared" si="49"/>
        <v>52139</v>
      </c>
      <c r="HP2" s="387">
        <f t="shared" si="49"/>
        <v>52231</v>
      </c>
      <c r="HQ2" s="387">
        <f t="shared" si="49"/>
        <v>52231</v>
      </c>
      <c r="HR2" s="387">
        <f t="shared" si="49"/>
        <v>52231</v>
      </c>
      <c r="HS2" s="387">
        <f t="shared" si="49"/>
        <v>52321</v>
      </c>
      <c r="HT2" s="387">
        <f t="shared" si="49"/>
        <v>52321</v>
      </c>
      <c r="HU2" s="387">
        <f t="shared" si="49"/>
        <v>52321</v>
      </c>
      <c r="HV2" s="387">
        <f t="shared" si="49"/>
        <v>52412</v>
      </c>
      <c r="HW2" s="387">
        <f t="shared" si="49"/>
        <v>52412</v>
      </c>
      <c r="HX2" s="387">
        <f t="shared" si="49"/>
        <v>52412</v>
      </c>
      <c r="HY2" s="387">
        <f t="shared" si="49"/>
        <v>52504</v>
      </c>
      <c r="HZ2" s="387">
        <f t="shared" si="49"/>
        <v>52504</v>
      </c>
      <c r="IA2" s="387">
        <f t="shared" si="49"/>
        <v>52504</v>
      </c>
      <c r="IB2" s="387">
        <f t="shared" si="49"/>
        <v>52596</v>
      </c>
      <c r="IC2" s="387">
        <f t="shared" si="49"/>
        <v>52596</v>
      </c>
      <c r="ID2" s="387">
        <f t="shared" si="49"/>
        <v>52596</v>
      </c>
      <c r="IE2" s="387">
        <f t="shared" si="49"/>
        <v>52687</v>
      </c>
      <c r="IF2" s="387">
        <f t="shared" si="49"/>
        <v>52687</v>
      </c>
      <c r="IG2" s="387">
        <f t="shared" si="49"/>
        <v>52687</v>
      </c>
      <c r="IH2" s="387">
        <f t="shared" si="49"/>
        <v>52778</v>
      </c>
      <c r="II2" s="387">
        <f t="shared" si="49"/>
        <v>52778</v>
      </c>
      <c r="IJ2" s="387">
        <f t="shared" si="49"/>
        <v>52778</v>
      </c>
      <c r="IK2" s="387">
        <f t="shared" si="49"/>
        <v>52870</v>
      </c>
      <c r="IL2" s="387">
        <f t="shared" si="49"/>
        <v>52870</v>
      </c>
      <c r="IM2" s="387">
        <f t="shared" si="49"/>
        <v>52870</v>
      </c>
      <c r="IN2" s="387">
        <f t="shared" si="49"/>
        <v>52962</v>
      </c>
      <c r="IO2" s="387">
        <f t="shared" si="49"/>
        <v>52962</v>
      </c>
      <c r="IP2" s="387">
        <f t="shared" si="49"/>
        <v>52962</v>
      </c>
      <c r="IQ2" s="387">
        <f t="shared" si="49"/>
        <v>53052</v>
      </c>
      <c r="IR2" s="387">
        <f t="shared" si="49"/>
        <v>53052</v>
      </c>
      <c r="IS2" s="387">
        <f t="shared" si="49"/>
        <v>53052</v>
      </c>
      <c r="IT2" s="387">
        <f t="shared" si="49"/>
        <v>53143</v>
      </c>
      <c r="IU2" s="387">
        <f t="shared" si="49"/>
        <v>53143</v>
      </c>
      <c r="IV2" s="387">
        <f t="shared" si="49"/>
        <v>53143</v>
      </c>
      <c r="IW2" s="387">
        <f t="shared" si="49"/>
        <v>53235</v>
      </c>
      <c r="IX2" s="387">
        <f t="shared" si="49"/>
        <v>53235</v>
      </c>
      <c r="IY2" s="387">
        <f t="shared" si="49"/>
        <v>53235</v>
      </c>
      <c r="IZ2" s="387">
        <f t="shared" si="49"/>
        <v>53327</v>
      </c>
      <c r="JA2" s="387">
        <f t="shared" si="49"/>
        <v>53327</v>
      </c>
      <c r="JB2" s="387">
        <f t="shared" si="49"/>
        <v>53327</v>
      </c>
      <c r="JC2" s="387">
        <f t="shared" si="49"/>
        <v>53417</v>
      </c>
      <c r="JD2" s="387">
        <f t="shared" si="49"/>
        <v>53417</v>
      </c>
      <c r="JE2" s="387">
        <f t="shared" ref="JE2:KC2" si="50">EOMONTH(JB2,3)</f>
        <v>53417</v>
      </c>
      <c r="JF2" s="387">
        <f t="shared" si="50"/>
        <v>53508</v>
      </c>
      <c r="JG2" s="387">
        <f t="shared" si="50"/>
        <v>53508</v>
      </c>
      <c r="JH2" s="387">
        <f t="shared" si="50"/>
        <v>53508</v>
      </c>
      <c r="JI2" s="387">
        <f t="shared" si="50"/>
        <v>53600</v>
      </c>
      <c r="JJ2" s="387">
        <f t="shared" si="50"/>
        <v>53600</v>
      </c>
      <c r="JK2" s="387">
        <f t="shared" si="50"/>
        <v>53600</v>
      </c>
      <c r="JL2" s="387">
        <f t="shared" si="50"/>
        <v>53692</v>
      </c>
      <c r="JM2" s="387">
        <f t="shared" si="50"/>
        <v>53692</v>
      </c>
      <c r="JN2" s="387">
        <f t="shared" si="50"/>
        <v>53692</v>
      </c>
      <c r="JO2" s="387">
        <f t="shared" si="50"/>
        <v>53782</v>
      </c>
      <c r="JP2" s="387">
        <f t="shared" si="50"/>
        <v>53782</v>
      </c>
      <c r="JQ2" s="387">
        <f t="shared" si="50"/>
        <v>53782</v>
      </c>
      <c r="JR2" s="387">
        <f t="shared" si="50"/>
        <v>53873</v>
      </c>
      <c r="JS2" s="387">
        <f t="shared" si="50"/>
        <v>53873</v>
      </c>
      <c r="JT2" s="387">
        <f t="shared" si="50"/>
        <v>53873</v>
      </c>
      <c r="JU2" s="387">
        <f t="shared" si="50"/>
        <v>53965</v>
      </c>
      <c r="JV2" s="387">
        <f t="shared" si="50"/>
        <v>53965</v>
      </c>
      <c r="JW2" s="387">
        <f t="shared" si="50"/>
        <v>53965</v>
      </c>
      <c r="JX2" s="387">
        <f t="shared" si="50"/>
        <v>54057</v>
      </c>
      <c r="JY2" s="387">
        <f t="shared" si="50"/>
        <v>54057</v>
      </c>
      <c r="JZ2" s="387">
        <f t="shared" si="50"/>
        <v>54057</v>
      </c>
      <c r="KA2" s="387">
        <f t="shared" si="50"/>
        <v>54148</v>
      </c>
      <c r="KB2" s="387">
        <f t="shared" si="50"/>
        <v>54148</v>
      </c>
      <c r="KC2" s="387">
        <f t="shared" si="50"/>
        <v>54148</v>
      </c>
      <c r="KD2" s="32"/>
      <c r="KE2" s="32"/>
      <c r="KF2" s="32"/>
      <c r="KG2" s="32"/>
      <c r="KH2" s="32"/>
      <c r="KI2" s="32"/>
      <c r="KJ2" s="32"/>
      <c r="KK2" s="32"/>
      <c r="KL2" s="32"/>
      <c r="KM2" s="32"/>
      <c r="KN2" s="32"/>
      <c r="KO2" s="32"/>
    </row>
    <row r="3" spans="2:301" x14ac:dyDescent="0.3">
      <c r="B3" s="29" t="s">
        <v>160</v>
      </c>
      <c r="C3" s="29"/>
      <c r="D3" s="29"/>
      <c r="E3" s="387">
        <f t="shared" ref="E3:BP3" si="51">EOMONTH(E2,MOD(15-MONTH(E2),12))</f>
        <v>45747</v>
      </c>
      <c r="F3" s="387">
        <f t="shared" si="51"/>
        <v>45747</v>
      </c>
      <c r="G3" s="387">
        <f t="shared" si="51"/>
        <v>45747</v>
      </c>
      <c r="H3" s="387">
        <f t="shared" si="51"/>
        <v>45747</v>
      </c>
      <c r="I3" s="387">
        <f t="shared" si="51"/>
        <v>45747</v>
      </c>
      <c r="J3" s="387">
        <f t="shared" si="51"/>
        <v>45747</v>
      </c>
      <c r="K3" s="387">
        <f t="shared" si="51"/>
        <v>45747</v>
      </c>
      <c r="L3" s="387">
        <f t="shared" si="51"/>
        <v>45747</v>
      </c>
      <c r="M3" s="387">
        <f t="shared" si="51"/>
        <v>45747</v>
      </c>
      <c r="N3" s="387">
        <f t="shared" si="51"/>
        <v>46112</v>
      </c>
      <c r="O3" s="387">
        <f t="shared" si="51"/>
        <v>46112</v>
      </c>
      <c r="P3" s="387">
        <f t="shared" si="51"/>
        <v>46112</v>
      </c>
      <c r="Q3" s="387">
        <f t="shared" si="51"/>
        <v>46112</v>
      </c>
      <c r="R3" s="387">
        <f t="shared" si="51"/>
        <v>46112</v>
      </c>
      <c r="S3" s="387">
        <f t="shared" si="51"/>
        <v>46112</v>
      </c>
      <c r="T3" s="387">
        <f t="shared" si="51"/>
        <v>46112</v>
      </c>
      <c r="U3" s="387">
        <f t="shared" si="51"/>
        <v>46112</v>
      </c>
      <c r="V3" s="387">
        <f t="shared" si="51"/>
        <v>46112</v>
      </c>
      <c r="W3" s="387">
        <f t="shared" si="51"/>
        <v>46112</v>
      </c>
      <c r="X3" s="387">
        <f t="shared" si="51"/>
        <v>46112</v>
      </c>
      <c r="Y3" s="387">
        <f t="shared" si="51"/>
        <v>46112</v>
      </c>
      <c r="Z3" s="387">
        <f t="shared" si="51"/>
        <v>46477</v>
      </c>
      <c r="AA3" s="387">
        <f t="shared" si="51"/>
        <v>46477</v>
      </c>
      <c r="AB3" s="387">
        <f t="shared" si="51"/>
        <v>46477</v>
      </c>
      <c r="AC3" s="387">
        <f t="shared" si="51"/>
        <v>46477</v>
      </c>
      <c r="AD3" s="387">
        <f t="shared" si="51"/>
        <v>46477</v>
      </c>
      <c r="AE3" s="387">
        <f t="shared" si="51"/>
        <v>46477</v>
      </c>
      <c r="AF3" s="387">
        <f t="shared" si="51"/>
        <v>46477</v>
      </c>
      <c r="AG3" s="387">
        <f t="shared" si="51"/>
        <v>46477</v>
      </c>
      <c r="AH3" s="387">
        <f t="shared" si="51"/>
        <v>46477</v>
      </c>
      <c r="AI3" s="387">
        <f t="shared" si="51"/>
        <v>46477</v>
      </c>
      <c r="AJ3" s="387">
        <f t="shared" si="51"/>
        <v>46477</v>
      </c>
      <c r="AK3" s="387">
        <f t="shared" si="51"/>
        <v>46477</v>
      </c>
      <c r="AL3" s="387">
        <f t="shared" si="51"/>
        <v>46843</v>
      </c>
      <c r="AM3" s="387">
        <f t="shared" si="51"/>
        <v>46843</v>
      </c>
      <c r="AN3" s="387">
        <f t="shared" si="51"/>
        <v>46843</v>
      </c>
      <c r="AO3" s="387">
        <f t="shared" si="51"/>
        <v>46843</v>
      </c>
      <c r="AP3" s="387">
        <f t="shared" si="51"/>
        <v>46843</v>
      </c>
      <c r="AQ3" s="387">
        <f t="shared" si="51"/>
        <v>46843</v>
      </c>
      <c r="AR3" s="387">
        <f t="shared" si="51"/>
        <v>46843</v>
      </c>
      <c r="AS3" s="387">
        <f t="shared" si="51"/>
        <v>46843</v>
      </c>
      <c r="AT3" s="387">
        <f t="shared" si="51"/>
        <v>46843</v>
      </c>
      <c r="AU3" s="387">
        <f t="shared" si="51"/>
        <v>46843</v>
      </c>
      <c r="AV3" s="387">
        <f t="shared" si="51"/>
        <v>46843</v>
      </c>
      <c r="AW3" s="387">
        <f t="shared" si="51"/>
        <v>46843</v>
      </c>
      <c r="AX3" s="387">
        <f t="shared" si="51"/>
        <v>47208</v>
      </c>
      <c r="AY3" s="387">
        <f t="shared" si="51"/>
        <v>47208</v>
      </c>
      <c r="AZ3" s="387">
        <f t="shared" si="51"/>
        <v>47208</v>
      </c>
      <c r="BA3" s="387">
        <f t="shared" si="51"/>
        <v>47208</v>
      </c>
      <c r="BB3" s="387">
        <f t="shared" si="51"/>
        <v>47208</v>
      </c>
      <c r="BC3" s="387">
        <f t="shared" si="51"/>
        <v>47208</v>
      </c>
      <c r="BD3" s="387">
        <f t="shared" si="51"/>
        <v>47208</v>
      </c>
      <c r="BE3" s="387">
        <f t="shared" si="51"/>
        <v>47208</v>
      </c>
      <c r="BF3" s="387">
        <f t="shared" si="51"/>
        <v>47208</v>
      </c>
      <c r="BG3" s="387">
        <f t="shared" si="51"/>
        <v>47208</v>
      </c>
      <c r="BH3" s="387">
        <f t="shared" si="51"/>
        <v>47208</v>
      </c>
      <c r="BI3" s="387">
        <f t="shared" si="51"/>
        <v>47208</v>
      </c>
      <c r="BJ3" s="387">
        <f t="shared" si="51"/>
        <v>47573</v>
      </c>
      <c r="BK3" s="387">
        <f t="shared" si="51"/>
        <v>47573</v>
      </c>
      <c r="BL3" s="387">
        <f t="shared" si="51"/>
        <v>47573</v>
      </c>
      <c r="BM3" s="387">
        <f t="shared" si="51"/>
        <v>47573</v>
      </c>
      <c r="BN3" s="387">
        <f t="shared" si="51"/>
        <v>47573</v>
      </c>
      <c r="BO3" s="387">
        <f t="shared" si="51"/>
        <v>47573</v>
      </c>
      <c r="BP3" s="387">
        <f t="shared" si="51"/>
        <v>47573</v>
      </c>
      <c r="BQ3" s="387">
        <f t="shared" ref="BQ3:EB3" si="52">EOMONTH(BQ2,MOD(15-MONTH(BQ2),12))</f>
        <v>47573</v>
      </c>
      <c r="BR3" s="387">
        <f t="shared" si="52"/>
        <v>47573</v>
      </c>
      <c r="BS3" s="387">
        <f t="shared" si="52"/>
        <v>47573</v>
      </c>
      <c r="BT3" s="387">
        <f t="shared" si="52"/>
        <v>47573</v>
      </c>
      <c r="BU3" s="387">
        <f t="shared" si="52"/>
        <v>47573</v>
      </c>
      <c r="BV3" s="387">
        <f t="shared" si="52"/>
        <v>47938</v>
      </c>
      <c r="BW3" s="387">
        <f t="shared" si="52"/>
        <v>47938</v>
      </c>
      <c r="BX3" s="387">
        <f t="shared" si="52"/>
        <v>47938</v>
      </c>
      <c r="BY3" s="387">
        <f t="shared" si="52"/>
        <v>47938</v>
      </c>
      <c r="BZ3" s="387">
        <f t="shared" si="52"/>
        <v>47938</v>
      </c>
      <c r="CA3" s="387">
        <f t="shared" si="52"/>
        <v>47938</v>
      </c>
      <c r="CB3" s="387">
        <f t="shared" si="52"/>
        <v>47938</v>
      </c>
      <c r="CC3" s="387">
        <f t="shared" si="52"/>
        <v>47938</v>
      </c>
      <c r="CD3" s="387">
        <f t="shared" si="52"/>
        <v>47938</v>
      </c>
      <c r="CE3" s="387">
        <f t="shared" si="52"/>
        <v>47938</v>
      </c>
      <c r="CF3" s="387">
        <f t="shared" si="52"/>
        <v>47938</v>
      </c>
      <c r="CG3" s="387">
        <f t="shared" si="52"/>
        <v>47938</v>
      </c>
      <c r="CH3" s="387">
        <f t="shared" si="52"/>
        <v>48304</v>
      </c>
      <c r="CI3" s="387">
        <f t="shared" si="52"/>
        <v>48304</v>
      </c>
      <c r="CJ3" s="387">
        <f t="shared" si="52"/>
        <v>48304</v>
      </c>
      <c r="CK3" s="387">
        <f t="shared" si="52"/>
        <v>48304</v>
      </c>
      <c r="CL3" s="387">
        <f t="shared" si="52"/>
        <v>48304</v>
      </c>
      <c r="CM3" s="387">
        <f t="shared" si="52"/>
        <v>48304</v>
      </c>
      <c r="CN3" s="387">
        <f t="shared" si="52"/>
        <v>48304</v>
      </c>
      <c r="CO3" s="387">
        <f t="shared" si="52"/>
        <v>48304</v>
      </c>
      <c r="CP3" s="387">
        <f t="shared" si="52"/>
        <v>48304</v>
      </c>
      <c r="CQ3" s="387">
        <f t="shared" si="52"/>
        <v>48304</v>
      </c>
      <c r="CR3" s="387">
        <f t="shared" si="52"/>
        <v>48304</v>
      </c>
      <c r="CS3" s="387">
        <f t="shared" si="52"/>
        <v>48304</v>
      </c>
      <c r="CT3" s="387">
        <f t="shared" si="52"/>
        <v>48669</v>
      </c>
      <c r="CU3" s="387">
        <f t="shared" si="52"/>
        <v>48669</v>
      </c>
      <c r="CV3" s="387">
        <f t="shared" si="52"/>
        <v>48669</v>
      </c>
      <c r="CW3" s="387">
        <f t="shared" si="52"/>
        <v>48669</v>
      </c>
      <c r="CX3" s="387">
        <f t="shared" si="52"/>
        <v>48669</v>
      </c>
      <c r="CY3" s="387">
        <f t="shared" si="52"/>
        <v>48669</v>
      </c>
      <c r="CZ3" s="387">
        <f t="shared" si="52"/>
        <v>48669</v>
      </c>
      <c r="DA3" s="387">
        <f t="shared" si="52"/>
        <v>48669</v>
      </c>
      <c r="DB3" s="387">
        <f t="shared" si="52"/>
        <v>48669</v>
      </c>
      <c r="DC3" s="387">
        <f t="shared" si="52"/>
        <v>48669</v>
      </c>
      <c r="DD3" s="387">
        <f t="shared" si="52"/>
        <v>48669</v>
      </c>
      <c r="DE3" s="387">
        <f t="shared" si="52"/>
        <v>48669</v>
      </c>
      <c r="DF3" s="387">
        <f t="shared" si="52"/>
        <v>49034</v>
      </c>
      <c r="DG3" s="387">
        <f t="shared" si="52"/>
        <v>49034</v>
      </c>
      <c r="DH3" s="387">
        <f t="shared" si="52"/>
        <v>49034</v>
      </c>
      <c r="DI3" s="387">
        <f t="shared" si="52"/>
        <v>49034</v>
      </c>
      <c r="DJ3" s="387">
        <f t="shared" si="52"/>
        <v>49034</v>
      </c>
      <c r="DK3" s="387">
        <f t="shared" si="52"/>
        <v>49034</v>
      </c>
      <c r="DL3" s="387">
        <f t="shared" si="52"/>
        <v>49034</v>
      </c>
      <c r="DM3" s="387">
        <f t="shared" si="52"/>
        <v>49034</v>
      </c>
      <c r="DN3" s="387">
        <f t="shared" si="52"/>
        <v>49034</v>
      </c>
      <c r="DO3" s="387">
        <f t="shared" si="52"/>
        <v>49034</v>
      </c>
      <c r="DP3" s="387">
        <f t="shared" si="52"/>
        <v>49034</v>
      </c>
      <c r="DQ3" s="387">
        <f t="shared" si="52"/>
        <v>49034</v>
      </c>
      <c r="DR3" s="387">
        <f t="shared" si="52"/>
        <v>49399</v>
      </c>
      <c r="DS3" s="387">
        <f t="shared" si="52"/>
        <v>49399</v>
      </c>
      <c r="DT3" s="387">
        <f t="shared" si="52"/>
        <v>49399</v>
      </c>
      <c r="DU3" s="387">
        <f t="shared" si="52"/>
        <v>49399</v>
      </c>
      <c r="DV3" s="387">
        <f t="shared" si="52"/>
        <v>49399</v>
      </c>
      <c r="DW3" s="387">
        <f t="shared" si="52"/>
        <v>49399</v>
      </c>
      <c r="DX3" s="387">
        <f t="shared" si="52"/>
        <v>49399</v>
      </c>
      <c r="DY3" s="387">
        <f t="shared" si="52"/>
        <v>49399</v>
      </c>
      <c r="DZ3" s="387">
        <f t="shared" si="52"/>
        <v>49399</v>
      </c>
      <c r="EA3" s="387">
        <f t="shared" si="52"/>
        <v>49399</v>
      </c>
      <c r="EB3" s="387">
        <f t="shared" si="52"/>
        <v>49399</v>
      </c>
      <c r="EC3" s="387">
        <f t="shared" ref="EC3:GN3" si="53">EOMONTH(EC2,MOD(15-MONTH(EC2),12))</f>
        <v>49399</v>
      </c>
      <c r="ED3" s="387">
        <f t="shared" si="53"/>
        <v>49765</v>
      </c>
      <c r="EE3" s="387">
        <f t="shared" si="53"/>
        <v>49765</v>
      </c>
      <c r="EF3" s="387">
        <f t="shared" si="53"/>
        <v>49765</v>
      </c>
      <c r="EG3" s="387">
        <f t="shared" si="53"/>
        <v>49765</v>
      </c>
      <c r="EH3" s="387">
        <f t="shared" si="53"/>
        <v>49765</v>
      </c>
      <c r="EI3" s="387">
        <f t="shared" si="53"/>
        <v>49765</v>
      </c>
      <c r="EJ3" s="387">
        <f t="shared" si="53"/>
        <v>49765</v>
      </c>
      <c r="EK3" s="387">
        <f t="shared" si="53"/>
        <v>49765</v>
      </c>
      <c r="EL3" s="387">
        <f t="shared" si="53"/>
        <v>49765</v>
      </c>
      <c r="EM3" s="387">
        <f t="shared" si="53"/>
        <v>49765</v>
      </c>
      <c r="EN3" s="387">
        <f t="shared" si="53"/>
        <v>49765</v>
      </c>
      <c r="EO3" s="387">
        <f t="shared" si="53"/>
        <v>49765</v>
      </c>
      <c r="EP3" s="387">
        <f t="shared" si="53"/>
        <v>50130</v>
      </c>
      <c r="EQ3" s="387">
        <f t="shared" si="53"/>
        <v>50130</v>
      </c>
      <c r="ER3" s="387">
        <f t="shared" si="53"/>
        <v>50130</v>
      </c>
      <c r="ES3" s="387">
        <f t="shared" si="53"/>
        <v>50130</v>
      </c>
      <c r="ET3" s="387">
        <f t="shared" si="53"/>
        <v>50130</v>
      </c>
      <c r="EU3" s="387">
        <f t="shared" si="53"/>
        <v>50130</v>
      </c>
      <c r="EV3" s="387">
        <f t="shared" si="53"/>
        <v>50130</v>
      </c>
      <c r="EW3" s="387">
        <f t="shared" si="53"/>
        <v>50130</v>
      </c>
      <c r="EX3" s="387">
        <f t="shared" si="53"/>
        <v>50130</v>
      </c>
      <c r="EY3" s="387">
        <f t="shared" si="53"/>
        <v>50130</v>
      </c>
      <c r="EZ3" s="387">
        <f t="shared" si="53"/>
        <v>50130</v>
      </c>
      <c r="FA3" s="387">
        <f t="shared" si="53"/>
        <v>50130</v>
      </c>
      <c r="FB3" s="387">
        <f t="shared" si="53"/>
        <v>50495</v>
      </c>
      <c r="FC3" s="387">
        <f t="shared" si="53"/>
        <v>50495</v>
      </c>
      <c r="FD3" s="387">
        <f t="shared" si="53"/>
        <v>50495</v>
      </c>
      <c r="FE3" s="387">
        <f t="shared" si="53"/>
        <v>50495</v>
      </c>
      <c r="FF3" s="387">
        <f t="shared" si="53"/>
        <v>50495</v>
      </c>
      <c r="FG3" s="387">
        <f t="shared" si="53"/>
        <v>50495</v>
      </c>
      <c r="FH3" s="387">
        <f t="shared" si="53"/>
        <v>50495</v>
      </c>
      <c r="FI3" s="387">
        <f t="shared" si="53"/>
        <v>50495</v>
      </c>
      <c r="FJ3" s="387">
        <f t="shared" si="53"/>
        <v>50495</v>
      </c>
      <c r="FK3" s="387">
        <f t="shared" si="53"/>
        <v>50495</v>
      </c>
      <c r="FL3" s="387">
        <f t="shared" si="53"/>
        <v>50495</v>
      </c>
      <c r="FM3" s="387">
        <f t="shared" si="53"/>
        <v>50495</v>
      </c>
      <c r="FN3" s="387">
        <f t="shared" si="53"/>
        <v>50860</v>
      </c>
      <c r="FO3" s="387">
        <f t="shared" si="53"/>
        <v>50860</v>
      </c>
      <c r="FP3" s="387">
        <f t="shared" si="53"/>
        <v>50860</v>
      </c>
      <c r="FQ3" s="387">
        <f t="shared" si="53"/>
        <v>50860</v>
      </c>
      <c r="FR3" s="387">
        <f t="shared" si="53"/>
        <v>50860</v>
      </c>
      <c r="FS3" s="387">
        <f t="shared" si="53"/>
        <v>50860</v>
      </c>
      <c r="FT3" s="387">
        <f t="shared" si="53"/>
        <v>50860</v>
      </c>
      <c r="FU3" s="387">
        <f t="shared" si="53"/>
        <v>50860</v>
      </c>
      <c r="FV3" s="387">
        <f t="shared" si="53"/>
        <v>50860</v>
      </c>
      <c r="FW3" s="387">
        <f t="shared" si="53"/>
        <v>50860</v>
      </c>
      <c r="FX3" s="387">
        <f t="shared" si="53"/>
        <v>50860</v>
      </c>
      <c r="FY3" s="387">
        <f t="shared" si="53"/>
        <v>50860</v>
      </c>
      <c r="FZ3" s="387">
        <f t="shared" si="53"/>
        <v>51226</v>
      </c>
      <c r="GA3" s="387">
        <f t="shared" si="53"/>
        <v>51226</v>
      </c>
      <c r="GB3" s="387">
        <f t="shared" si="53"/>
        <v>51226</v>
      </c>
      <c r="GC3" s="387">
        <f t="shared" si="53"/>
        <v>51226</v>
      </c>
      <c r="GD3" s="387">
        <f t="shared" si="53"/>
        <v>51226</v>
      </c>
      <c r="GE3" s="387">
        <f t="shared" si="53"/>
        <v>51226</v>
      </c>
      <c r="GF3" s="387">
        <f t="shared" si="53"/>
        <v>51226</v>
      </c>
      <c r="GG3" s="387">
        <f t="shared" si="53"/>
        <v>51226</v>
      </c>
      <c r="GH3" s="387">
        <f t="shared" si="53"/>
        <v>51226</v>
      </c>
      <c r="GI3" s="387">
        <f t="shared" si="53"/>
        <v>51226</v>
      </c>
      <c r="GJ3" s="387">
        <f t="shared" si="53"/>
        <v>51226</v>
      </c>
      <c r="GK3" s="387">
        <f t="shared" si="53"/>
        <v>51226</v>
      </c>
      <c r="GL3" s="387">
        <f t="shared" si="53"/>
        <v>51591</v>
      </c>
      <c r="GM3" s="387">
        <f t="shared" si="53"/>
        <v>51591</v>
      </c>
      <c r="GN3" s="387">
        <f t="shared" si="53"/>
        <v>51591</v>
      </c>
      <c r="GO3" s="387">
        <f t="shared" ref="GO3:IZ3" si="54">EOMONTH(GO2,MOD(15-MONTH(GO2),12))</f>
        <v>51591</v>
      </c>
      <c r="GP3" s="387">
        <f t="shared" si="54"/>
        <v>51591</v>
      </c>
      <c r="GQ3" s="387">
        <f t="shared" si="54"/>
        <v>51591</v>
      </c>
      <c r="GR3" s="387">
        <f t="shared" si="54"/>
        <v>51591</v>
      </c>
      <c r="GS3" s="387">
        <f t="shared" si="54"/>
        <v>51591</v>
      </c>
      <c r="GT3" s="387">
        <f t="shared" si="54"/>
        <v>51591</v>
      </c>
      <c r="GU3" s="387">
        <f t="shared" si="54"/>
        <v>51591</v>
      </c>
      <c r="GV3" s="387">
        <f t="shared" si="54"/>
        <v>51591</v>
      </c>
      <c r="GW3" s="387">
        <f t="shared" si="54"/>
        <v>51591</v>
      </c>
      <c r="GX3" s="387">
        <f t="shared" si="54"/>
        <v>51956</v>
      </c>
      <c r="GY3" s="387">
        <f t="shared" si="54"/>
        <v>51956</v>
      </c>
      <c r="GZ3" s="387">
        <f t="shared" si="54"/>
        <v>51956</v>
      </c>
      <c r="HA3" s="387">
        <f t="shared" si="54"/>
        <v>51956</v>
      </c>
      <c r="HB3" s="387">
        <f t="shared" si="54"/>
        <v>51956</v>
      </c>
      <c r="HC3" s="387">
        <f t="shared" si="54"/>
        <v>51956</v>
      </c>
      <c r="HD3" s="387">
        <f t="shared" si="54"/>
        <v>51956</v>
      </c>
      <c r="HE3" s="387">
        <f t="shared" si="54"/>
        <v>51956</v>
      </c>
      <c r="HF3" s="387">
        <f t="shared" si="54"/>
        <v>51956</v>
      </c>
      <c r="HG3" s="387">
        <f t="shared" si="54"/>
        <v>51956</v>
      </c>
      <c r="HH3" s="387">
        <f t="shared" si="54"/>
        <v>51956</v>
      </c>
      <c r="HI3" s="387">
        <f t="shared" si="54"/>
        <v>51956</v>
      </c>
      <c r="HJ3" s="387">
        <f t="shared" si="54"/>
        <v>52321</v>
      </c>
      <c r="HK3" s="387">
        <f t="shared" si="54"/>
        <v>52321</v>
      </c>
      <c r="HL3" s="387">
        <f t="shared" si="54"/>
        <v>52321</v>
      </c>
      <c r="HM3" s="387">
        <f t="shared" si="54"/>
        <v>52321</v>
      </c>
      <c r="HN3" s="387">
        <f t="shared" si="54"/>
        <v>52321</v>
      </c>
      <c r="HO3" s="387">
        <f t="shared" si="54"/>
        <v>52321</v>
      </c>
      <c r="HP3" s="387">
        <f t="shared" si="54"/>
        <v>52321</v>
      </c>
      <c r="HQ3" s="387">
        <f t="shared" si="54"/>
        <v>52321</v>
      </c>
      <c r="HR3" s="387">
        <f t="shared" si="54"/>
        <v>52321</v>
      </c>
      <c r="HS3" s="387">
        <f t="shared" si="54"/>
        <v>52321</v>
      </c>
      <c r="HT3" s="387">
        <f t="shared" si="54"/>
        <v>52321</v>
      </c>
      <c r="HU3" s="387">
        <f t="shared" si="54"/>
        <v>52321</v>
      </c>
      <c r="HV3" s="387">
        <f t="shared" si="54"/>
        <v>52687</v>
      </c>
      <c r="HW3" s="387">
        <f t="shared" si="54"/>
        <v>52687</v>
      </c>
      <c r="HX3" s="387">
        <f t="shared" si="54"/>
        <v>52687</v>
      </c>
      <c r="HY3" s="387">
        <f t="shared" si="54"/>
        <v>52687</v>
      </c>
      <c r="HZ3" s="387">
        <f t="shared" si="54"/>
        <v>52687</v>
      </c>
      <c r="IA3" s="387">
        <f t="shared" si="54"/>
        <v>52687</v>
      </c>
      <c r="IB3" s="387">
        <f t="shared" si="54"/>
        <v>52687</v>
      </c>
      <c r="IC3" s="387">
        <f t="shared" si="54"/>
        <v>52687</v>
      </c>
      <c r="ID3" s="387">
        <f t="shared" si="54"/>
        <v>52687</v>
      </c>
      <c r="IE3" s="387">
        <f t="shared" si="54"/>
        <v>52687</v>
      </c>
      <c r="IF3" s="387">
        <f t="shared" si="54"/>
        <v>52687</v>
      </c>
      <c r="IG3" s="387">
        <f t="shared" si="54"/>
        <v>52687</v>
      </c>
      <c r="IH3" s="387">
        <f t="shared" si="54"/>
        <v>53052</v>
      </c>
      <c r="II3" s="387">
        <f t="shared" si="54"/>
        <v>53052</v>
      </c>
      <c r="IJ3" s="387">
        <f t="shared" si="54"/>
        <v>53052</v>
      </c>
      <c r="IK3" s="387">
        <f t="shared" si="54"/>
        <v>53052</v>
      </c>
      <c r="IL3" s="387">
        <f t="shared" si="54"/>
        <v>53052</v>
      </c>
      <c r="IM3" s="387">
        <f t="shared" si="54"/>
        <v>53052</v>
      </c>
      <c r="IN3" s="387">
        <f t="shared" si="54"/>
        <v>53052</v>
      </c>
      <c r="IO3" s="387">
        <f t="shared" si="54"/>
        <v>53052</v>
      </c>
      <c r="IP3" s="387">
        <f t="shared" si="54"/>
        <v>53052</v>
      </c>
      <c r="IQ3" s="387">
        <f t="shared" si="54"/>
        <v>53052</v>
      </c>
      <c r="IR3" s="387">
        <f t="shared" si="54"/>
        <v>53052</v>
      </c>
      <c r="IS3" s="387">
        <f t="shared" si="54"/>
        <v>53052</v>
      </c>
      <c r="IT3" s="387">
        <f t="shared" si="54"/>
        <v>53417</v>
      </c>
      <c r="IU3" s="387">
        <f t="shared" si="54"/>
        <v>53417</v>
      </c>
      <c r="IV3" s="387">
        <f t="shared" si="54"/>
        <v>53417</v>
      </c>
      <c r="IW3" s="387">
        <f t="shared" si="54"/>
        <v>53417</v>
      </c>
      <c r="IX3" s="387">
        <f t="shared" si="54"/>
        <v>53417</v>
      </c>
      <c r="IY3" s="387">
        <f t="shared" si="54"/>
        <v>53417</v>
      </c>
      <c r="IZ3" s="387">
        <f t="shared" si="54"/>
        <v>53417</v>
      </c>
      <c r="JA3" s="387">
        <f t="shared" ref="JA3:KC3" si="55">EOMONTH(JA2,MOD(15-MONTH(JA2),12))</f>
        <v>53417</v>
      </c>
      <c r="JB3" s="387">
        <f t="shared" si="55"/>
        <v>53417</v>
      </c>
      <c r="JC3" s="387">
        <f t="shared" si="55"/>
        <v>53417</v>
      </c>
      <c r="JD3" s="387">
        <f t="shared" si="55"/>
        <v>53417</v>
      </c>
      <c r="JE3" s="387">
        <f t="shared" si="55"/>
        <v>53417</v>
      </c>
      <c r="JF3" s="387">
        <f t="shared" si="55"/>
        <v>53782</v>
      </c>
      <c r="JG3" s="387">
        <f t="shared" si="55"/>
        <v>53782</v>
      </c>
      <c r="JH3" s="387">
        <f t="shared" si="55"/>
        <v>53782</v>
      </c>
      <c r="JI3" s="387">
        <f t="shared" si="55"/>
        <v>53782</v>
      </c>
      <c r="JJ3" s="387">
        <f t="shared" si="55"/>
        <v>53782</v>
      </c>
      <c r="JK3" s="387">
        <f t="shared" si="55"/>
        <v>53782</v>
      </c>
      <c r="JL3" s="387">
        <f t="shared" si="55"/>
        <v>53782</v>
      </c>
      <c r="JM3" s="387">
        <f t="shared" si="55"/>
        <v>53782</v>
      </c>
      <c r="JN3" s="387">
        <f t="shared" si="55"/>
        <v>53782</v>
      </c>
      <c r="JO3" s="387">
        <f t="shared" si="55"/>
        <v>53782</v>
      </c>
      <c r="JP3" s="387">
        <f t="shared" si="55"/>
        <v>53782</v>
      </c>
      <c r="JQ3" s="387">
        <f t="shared" si="55"/>
        <v>53782</v>
      </c>
      <c r="JR3" s="387">
        <f t="shared" si="55"/>
        <v>54148</v>
      </c>
      <c r="JS3" s="387">
        <f t="shared" si="55"/>
        <v>54148</v>
      </c>
      <c r="JT3" s="387">
        <f t="shared" si="55"/>
        <v>54148</v>
      </c>
      <c r="JU3" s="387">
        <f t="shared" si="55"/>
        <v>54148</v>
      </c>
      <c r="JV3" s="387">
        <f t="shared" si="55"/>
        <v>54148</v>
      </c>
      <c r="JW3" s="387">
        <f t="shared" si="55"/>
        <v>54148</v>
      </c>
      <c r="JX3" s="387">
        <f t="shared" si="55"/>
        <v>54148</v>
      </c>
      <c r="JY3" s="387">
        <f t="shared" si="55"/>
        <v>54148</v>
      </c>
      <c r="JZ3" s="387">
        <f t="shared" si="55"/>
        <v>54148</v>
      </c>
      <c r="KA3" s="387">
        <f t="shared" si="55"/>
        <v>54148</v>
      </c>
      <c r="KB3" s="387">
        <f t="shared" si="55"/>
        <v>54148</v>
      </c>
      <c r="KC3" s="387">
        <f t="shared" si="55"/>
        <v>54148</v>
      </c>
      <c r="KD3" s="32"/>
      <c r="KE3" s="32"/>
      <c r="KF3" s="32"/>
      <c r="KG3" s="32"/>
      <c r="KH3" s="32"/>
      <c r="KI3" s="32"/>
      <c r="KJ3" s="32"/>
      <c r="KK3" s="32"/>
      <c r="KL3" s="32"/>
      <c r="KM3" s="32"/>
      <c r="KN3" s="32"/>
      <c r="KO3" s="32"/>
    </row>
    <row r="4" spans="2:301" x14ac:dyDescent="0.3">
      <c r="B4" s="29" t="s">
        <v>570</v>
      </c>
      <c r="C4" s="29"/>
      <c r="D4" s="29"/>
      <c r="E4" s="28">
        <f>_xlfn.XLOOKUP(E1,'Monthly Cashflow'!$7:$7,'Monthly Cashflow'!$6:$6)</f>
        <v>1</v>
      </c>
      <c r="F4" s="28">
        <f>_xlfn.XLOOKUP(F1,'Monthly Cashflow'!$7:$7,'Monthly Cashflow'!$6:$6)</f>
        <v>1</v>
      </c>
      <c r="G4" s="28">
        <f>_xlfn.XLOOKUP(G1,'Monthly Cashflow'!$7:$7,'Monthly Cashflow'!$6:$6)</f>
        <v>1</v>
      </c>
      <c r="H4" s="28">
        <f>_xlfn.XLOOKUP(H1,'Monthly Cashflow'!$7:$7,'Monthly Cashflow'!$6:$6)</f>
        <v>1</v>
      </c>
      <c r="I4" s="28">
        <f>_xlfn.XLOOKUP(I1,'Monthly Cashflow'!$7:$7,'Monthly Cashflow'!$6:$6)</f>
        <v>1</v>
      </c>
      <c r="J4" s="28">
        <f>_xlfn.XLOOKUP(J1,'Monthly Cashflow'!$7:$7,'Monthly Cashflow'!$6:$6)</f>
        <v>1</v>
      </c>
      <c r="K4" s="28">
        <f>_xlfn.XLOOKUP(K1,'Monthly Cashflow'!$7:$7,'Monthly Cashflow'!$6:$6)</f>
        <v>1</v>
      </c>
      <c r="L4" s="28">
        <f>_xlfn.XLOOKUP(L1,'Monthly Cashflow'!$7:$7,'Monthly Cashflow'!$6:$6)</f>
        <v>1</v>
      </c>
      <c r="M4" s="28">
        <f>_xlfn.XLOOKUP(M1,'Monthly Cashflow'!$7:$7,'Monthly Cashflow'!$6:$6)</f>
        <v>1</v>
      </c>
      <c r="N4" s="28">
        <f>_xlfn.XLOOKUP(N1,'Monthly Cashflow'!$7:$7,'Monthly Cashflow'!$6:$6)</f>
        <v>2</v>
      </c>
      <c r="O4" s="28">
        <f>_xlfn.XLOOKUP(O1,'Monthly Cashflow'!$7:$7,'Monthly Cashflow'!$6:$6)</f>
        <v>2</v>
      </c>
      <c r="P4" s="28">
        <f>_xlfn.XLOOKUP(P1,'Monthly Cashflow'!$7:$7,'Monthly Cashflow'!$6:$6)</f>
        <v>2</v>
      </c>
      <c r="Q4" s="28">
        <f>_xlfn.XLOOKUP(Q1,'Monthly Cashflow'!$7:$7,'Monthly Cashflow'!$6:$6)</f>
        <v>2</v>
      </c>
      <c r="R4" s="28">
        <f>_xlfn.XLOOKUP(R1,'Monthly Cashflow'!$7:$7,'Monthly Cashflow'!$6:$6)</f>
        <v>2</v>
      </c>
      <c r="S4" s="28">
        <f>_xlfn.XLOOKUP(S1,'Monthly Cashflow'!$7:$7,'Monthly Cashflow'!$6:$6)</f>
        <v>2</v>
      </c>
      <c r="T4" s="28">
        <f>_xlfn.XLOOKUP(T1,'Monthly Cashflow'!$7:$7,'Monthly Cashflow'!$6:$6)</f>
        <v>2</v>
      </c>
      <c r="U4" s="28">
        <f>_xlfn.XLOOKUP(U1,'Monthly Cashflow'!$7:$7,'Monthly Cashflow'!$6:$6)</f>
        <v>2</v>
      </c>
      <c r="V4" s="28">
        <f>_xlfn.XLOOKUP(V1,'Monthly Cashflow'!$7:$7,'Monthly Cashflow'!$6:$6)</f>
        <v>2</v>
      </c>
      <c r="W4" s="28">
        <f>_xlfn.XLOOKUP(W1,'Monthly Cashflow'!$7:$7,'Monthly Cashflow'!$6:$6)</f>
        <v>2</v>
      </c>
      <c r="X4" s="28">
        <f>_xlfn.XLOOKUP(X1,'Monthly Cashflow'!$7:$7,'Monthly Cashflow'!$6:$6)</f>
        <v>2</v>
      </c>
      <c r="Y4" s="28">
        <f>_xlfn.XLOOKUP(Y1,'Monthly Cashflow'!$7:$7,'Monthly Cashflow'!$6:$6)</f>
        <v>2</v>
      </c>
      <c r="Z4" s="28">
        <f>_xlfn.XLOOKUP(Z1,'Monthly Cashflow'!$7:$7,'Monthly Cashflow'!$6:$6)</f>
        <v>3</v>
      </c>
      <c r="AA4" s="28">
        <f>_xlfn.XLOOKUP(AA1,'Monthly Cashflow'!$7:$7,'Monthly Cashflow'!$6:$6)</f>
        <v>3</v>
      </c>
      <c r="AB4" s="28">
        <f>_xlfn.XLOOKUP(AB1,'Monthly Cashflow'!$7:$7,'Monthly Cashflow'!$6:$6)</f>
        <v>3</v>
      </c>
      <c r="AC4" s="28">
        <f>_xlfn.XLOOKUP(AC1,'Monthly Cashflow'!$7:$7,'Monthly Cashflow'!$6:$6)</f>
        <v>3</v>
      </c>
      <c r="AD4" s="28">
        <f>_xlfn.XLOOKUP(AD1,'Monthly Cashflow'!$7:$7,'Monthly Cashflow'!$6:$6)</f>
        <v>3</v>
      </c>
      <c r="AE4" s="28">
        <f>_xlfn.XLOOKUP(AE1,'Monthly Cashflow'!$7:$7,'Monthly Cashflow'!$6:$6)</f>
        <v>3</v>
      </c>
      <c r="AF4" s="28">
        <f>_xlfn.XLOOKUP(AF1,'Monthly Cashflow'!$7:$7,'Monthly Cashflow'!$6:$6)</f>
        <v>3</v>
      </c>
      <c r="AG4" s="28">
        <f>_xlfn.XLOOKUP(AG1,'Monthly Cashflow'!$7:$7,'Monthly Cashflow'!$6:$6)</f>
        <v>3</v>
      </c>
      <c r="AH4" s="28">
        <f>_xlfn.XLOOKUP(AH1,'Monthly Cashflow'!$7:$7,'Monthly Cashflow'!$6:$6)</f>
        <v>3</v>
      </c>
      <c r="AI4" s="28">
        <f>_xlfn.XLOOKUP(AI1,'Monthly Cashflow'!$7:$7,'Monthly Cashflow'!$6:$6)</f>
        <v>3</v>
      </c>
      <c r="AJ4" s="28">
        <f>_xlfn.XLOOKUP(AJ1,'Monthly Cashflow'!$7:$7,'Monthly Cashflow'!$6:$6)</f>
        <v>3</v>
      </c>
      <c r="AK4" s="28">
        <f>_xlfn.XLOOKUP(AK1,'Monthly Cashflow'!$7:$7,'Monthly Cashflow'!$6:$6)</f>
        <v>3</v>
      </c>
      <c r="AL4" s="28">
        <f>_xlfn.XLOOKUP(AL1,'Monthly Cashflow'!$7:$7,'Monthly Cashflow'!$6:$6)</f>
        <v>4</v>
      </c>
      <c r="AM4" s="28">
        <f>_xlfn.XLOOKUP(AM1,'Monthly Cashflow'!$7:$7,'Monthly Cashflow'!$6:$6)</f>
        <v>4</v>
      </c>
      <c r="AN4" s="28">
        <f>_xlfn.XLOOKUP(AN1,'Monthly Cashflow'!$7:$7,'Monthly Cashflow'!$6:$6)</f>
        <v>4</v>
      </c>
      <c r="AO4" s="28">
        <f>_xlfn.XLOOKUP(AO1,'Monthly Cashflow'!$7:$7,'Monthly Cashflow'!$6:$6)</f>
        <v>4</v>
      </c>
      <c r="AP4" s="28">
        <f>_xlfn.XLOOKUP(AP1,'Monthly Cashflow'!$7:$7,'Monthly Cashflow'!$6:$6)</f>
        <v>4</v>
      </c>
      <c r="AQ4" s="28">
        <f>_xlfn.XLOOKUP(AQ1,'Monthly Cashflow'!$7:$7,'Monthly Cashflow'!$6:$6)</f>
        <v>4</v>
      </c>
      <c r="AR4" s="28">
        <f>_xlfn.XLOOKUP(AR1,'Monthly Cashflow'!$7:$7,'Monthly Cashflow'!$6:$6)</f>
        <v>4</v>
      </c>
      <c r="AS4" s="28">
        <f>_xlfn.XLOOKUP(AS1,'Monthly Cashflow'!$7:$7,'Monthly Cashflow'!$6:$6)</f>
        <v>4</v>
      </c>
      <c r="AT4" s="28">
        <f>_xlfn.XLOOKUP(AT1,'Monthly Cashflow'!$7:$7,'Monthly Cashflow'!$6:$6)</f>
        <v>4</v>
      </c>
      <c r="AU4" s="28">
        <f>_xlfn.XLOOKUP(AU1,'Monthly Cashflow'!$7:$7,'Monthly Cashflow'!$6:$6)</f>
        <v>4</v>
      </c>
      <c r="AV4" s="28">
        <f>_xlfn.XLOOKUP(AV1,'Monthly Cashflow'!$7:$7,'Monthly Cashflow'!$6:$6)</f>
        <v>4</v>
      </c>
      <c r="AW4" s="28">
        <f>_xlfn.XLOOKUP(AW1,'Monthly Cashflow'!$7:$7,'Monthly Cashflow'!$6:$6)</f>
        <v>4</v>
      </c>
      <c r="AX4" s="28">
        <f>_xlfn.XLOOKUP(AX1,'Monthly Cashflow'!$7:$7,'Monthly Cashflow'!$6:$6)</f>
        <v>5</v>
      </c>
      <c r="AY4" s="28">
        <f>_xlfn.XLOOKUP(AY1,'Monthly Cashflow'!$7:$7,'Monthly Cashflow'!$6:$6)</f>
        <v>5</v>
      </c>
      <c r="AZ4" s="28">
        <f>_xlfn.XLOOKUP(AZ1,'Monthly Cashflow'!$7:$7,'Monthly Cashflow'!$6:$6)</f>
        <v>5</v>
      </c>
      <c r="BA4" s="28">
        <f>_xlfn.XLOOKUP(BA1,'Monthly Cashflow'!$7:$7,'Monthly Cashflow'!$6:$6)</f>
        <v>5</v>
      </c>
      <c r="BB4" s="28">
        <f>_xlfn.XLOOKUP(BB1,'Monthly Cashflow'!$7:$7,'Monthly Cashflow'!$6:$6)</f>
        <v>5</v>
      </c>
      <c r="BC4" s="28">
        <f>_xlfn.XLOOKUP(BC1,'Monthly Cashflow'!$7:$7,'Monthly Cashflow'!$6:$6)</f>
        <v>5</v>
      </c>
      <c r="BD4" s="28">
        <f>_xlfn.XLOOKUP(BD1,'Monthly Cashflow'!$7:$7,'Monthly Cashflow'!$6:$6)</f>
        <v>5</v>
      </c>
      <c r="BE4" s="28">
        <f>_xlfn.XLOOKUP(BE1,'Monthly Cashflow'!$7:$7,'Monthly Cashflow'!$6:$6)</f>
        <v>5</v>
      </c>
      <c r="BF4" s="28">
        <f>_xlfn.XLOOKUP(BF1,'Monthly Cashflow'!$7:$7,'Monthly Cashflow'!$6:$6)</f>
        <v>5</v>
      </c>
      <c r="BG4" s="28">
        <f>_xlfn.XLOOKUP(BG1,'Monthly Cashflow'!$7:$7,'Monthly Cashflow'!$6:$6)</f>
        <v>5</v>
      </c>
      <c r="BH4" s="28">
        <f>_xlfn.XLOOKUP(BH1,'Monthly Cashflow'!$7:$7,'Monthly Cashflow'!$6:$6)</f>
        <v>5</v>
      </c>
      <c r="BI4" s="28">
        <f>_xlfn.XLOOKUP(BI1,'Monthly Cashflow'!$7:$7,'Monthly Cashflow'!$6:$6)</f>
        <v>5</v>
      </c>
      <c r="BJ4" s="28">
        <f>_xlfn.XLOOKUP(BJ1,'Monthly Cashflow'!$7:$7,'Monthly Cashflow'!$6:$6)</f>
        <v>6</v>
      </c>
      <c r="BK4" s="28">
        <f>_xlfn.XLOOKUP(BK1,'Monthly Cashflow'!$7:$7,'Monthly Cashflow'!$6:$6)</f>
        <v>6</v>
      </c>
      <c r="BL4" s="28">
        <f>_xlfn.XLOOKUP(BL1,'Monthly Cashflow'!$7:$7,'Monthly Cashflow'!$6:$6)</f>
        <v>6</v>
      </c>
      <c r="BM4" s="28">
        <f>_xlfn.XLOOKUP(BM1,'Monthly Cashflow'!$7:$7,'Monthly Cashflow'!$6:$6)</f>
        <v>6</v>
      </c>
      <c r="BN4" s="28">
        <f>_xlfn.XLOOKUP(BN1,'Monthly Cashflow'!$7:$7,'Monthly Cashflow'!$6:$6)</f>
        <v>6</v>
      </c>
      <c r="BO4" s="28">
        <f>_xlfn.XLOOKUP(BO1,'Monthly Cashflow'!$7:$7,'Monthly Cashflow'!$6:$6)</f>
        <v>6</v>
      </c>
      <c r="BP4" s="28">
        <f>_xlfn.XLOOKUP(BP1,'Monthly Cashflow'!$7:$7,'Monthly Cashflow'!$6:$6)</f>
        <v>6</v>
      </c>
      <c r="BQ4" s="28">
        <f>_xlfn.XLOOKUP(BQ1,'Monthly Cashflow'!$7:$7,'Monthly Cashflow'!$6:$6)</f>
        <v>6</v>
      </c>
      <c r="BR4" s="28">
        <f>_xlfn.XLOOKUP(BR1,'Monthly Cashflow'!$7:$7,'Monthly Cashflow'!$6:$6)</f>
        <v>6</v>
      </c>
      <c r="BS4" s="28">
        <f>_xlfn.XLOOKUP(BS1,'Monthly Cashflow'!$7:$7,'Monthly Cashflow'!$6:$6)</f>
        <v>6</v>
      </c>
      <c r="BT4" s="28">
        <f>_xlfn.XLOOKUP(BT1,'Monthly Cashflow'!$7:$7,'Monthly Cashflow'!$6:$6)</f>
        <v>6</v>
      </c>
      <c r="BU4" s="28">
        <f>_xlfn.XLOOKUP(BU1,'Monthly Cashflow'!$7:$7,'Monthly Cashflow'!$6:$6)</f>
        <v>6</v>
      </c>
      <c r="BV4" s="28">
        <f>_xlfn.XLOOKUP(BV1,'Monthly Cashflow'!$7:$7,'Monthly Cashflow'!$6:$6)</f>
        <v>7</v>
      </c>
      <c r="BW4" s="28">
        <f>_xlfn.XLOOKUP(BW1,'Monthly Cashflow'!$7:$7,'Monthly Cashflow'!$6:$6)</f>
        <v>7</v>
      </c>
      <c r="BX4" s="28">
        <f>_xlfn.XLOOKUP(BX1,'Monthly Cashflow'!$7:$7,'Monthly Cashflow'!$6:$6)</f>
        <v>7</v>
      </c>
      <c r="BY4" s="28">
        <f>_xlfn.XLOOKUP(BY1,'Monthly Cashflow'!$7:$7,'Monthly Cashflow'!$6:$6)</f>
        <v>7</v>
      </c>
      <c r="BZ4" s="28">
        <f>_xlfn.XLOOKUP(BZ1,'Monthly Cashflow'!$7:$7,'Monthly Cashflow'!$6:$6)</f>
        <v>7</v>
      </c>
      <c r="CA4" s="28">
        <f>_xlfn.XLOOKUP(CA1,'Monthly Cashflow'!$7:$7,'Monthly Cashflow'!$6:$6)</f>
        <v>7</v>
      </c>
      <c r="CB4" s="28">
        <f>_xlfn.XLOOKUP(CB1,'Monthly Cashflow'!$7:$7,'Monthly Cashflow'!$6:$6)</f>
        <v>7</v>
      </c>
      <c r="CC4" s="28">
        <f>_xlfn.XLOOKUP(CC1,'Monthly Cashflow'!$7:$7,'Monthly Cashflow'!$6:$6)</f>
        <v>7</v>
      </c>
      <c r="CD4" s="28">
        <f>_xlfn.XLOOKUP(CD1,'Monthly Cashflow'!$7:$7,'Monthly Cashflow'!$6:$6)</f>
        <v>7</v>
      </c>
      <c r="CE4" s="28">
        <f>_xlfn.XLOOKUP(CE1,'Monthly Cashflow'!$7:$7,'Monthly Cashflow'!$6:$6)</f>
        <v>7</v>
      </c>
      <c r="CF4" s="28">
        <f>_xlfn.XLOOKUP(CF1,'Monthly Cashflow'!$7:$7,'Monthly Cashflow'!$6:$6)</f>
        <v>7</v>
      </c>
      <c r="CG4" s="28">
        <f>_xlfn.XLOOKUP(CG1,'Monthly Cashflow'!$7:$7,'Monthly Cashflow'!$6:$6)</f>
        <v>7</v>
      </c>
      <c r="CH4" s="28">
        <f>_xlfn.XLOOKUP(CH1,'Monthly Cashflow'!$7:$7,'Monthly Cashflow'!$6:$6)</f>
        <v>8</v>
      </c>
      <c r="CI4" s="28">
        <f>_xlfn.XLOOKUP(CI1,'Monthly Cashflow'!$7:$7,'Monthly Cashflow'!$6:$6)</f>
        <v>8</v>
      </c>
      <c r="CJ4" s="28">
        <f>_xlfn.XLOOKUP(CJ1,'Monthly Cashflow'!$7:$7,'Monthly Cashflow'!$6:$6)</f>
        <v>8</v>
      </c>
      <c r="CK4" s="28">
        <f>_xlfn.XLOOKUP(CK1,'Monthly Cashflow'!$7:$7,'Monthly Cashflow'!$6:$6)</f>
        <v>8</v>
      </c>
      <c r="CL4" s="28">
        <f>_xlfn.XLOOKUP(CL1,'Monthly Cashflow'!$7:$7,'Monthly Cashflow'!$6:$6)</f>
        <v>8</v>
      </c>
      <c r="CM4" s="28">
        <f>_xlfn.XLOOKUP(CM1,'Monthly Cashflow'!$7:$7,'Monthly Cashflow'!$6:$6)</f>
        <v>8</v>
      </c>
      <c r="CN4" s="28">
        <f>_xlfn.XLOOKUP(CN1,'Monthly Cashflow'!$7:$7,'Monthly Cashflow'!$6:$6)</f>
        <v>8</v>
      </c>
      <c r="CO4" s="28">
        <f>_xlfn.XLOOKUP(CO1,'Monthly Cashflow'!$7:$7,'Monthly Cashflow'!$6:$6)</f>
        <v>8</v>
      </c>
      <c r="CP4" s="28">
        <f>_xlfn.XLOOKUP(CP1,'Monthly Cashflow'!$7:$7,'Monthly Cashflow'!$6:$6)</f>
        <v>8</v>
      </c>
      <c r="CQ4" s="28">
        <f>_xlfn.XLOOKUP(CQ1,'Monthly Cashflow'!$7:$7,'Monthly Cashflow'!$6:$6)</f>
        <v>8</v>
      </c>
      <c r="CR4" s="28">
        <f>_xlfn.XLOOKUP(CR1,'Monthly Cashflow'!$7:$7,'Monthly Cashflow'!$6:$6)</f>
        <v>8</v>
      </c>
      <c r="CS4" s="28">
        <f>_xlfn.XLOOKUP(CS1,'Monthly Cashflow'!$7:$7,'Monthly Cashflow'!$6:$6)</f>
        <v>8</v>
      </c>
      <c r="CT4" s="28">
        <f>_xlfn.XLOOKUP(CT1,'Monthly Cashflow'!$7:$7,'Monthly Cashflow'!$6:$6)</f>
        <v>9</v>
      </c>
      <c r="CU4" s="28">
        <f>_xlfn.XLOOKUP(CU1,'Monthly Cashflow'!$7:$7,'Monthly Cashflow'!$6:$6)</f>
        <v>9</v>
      </c>
      <c r="CV4" s="28">
        <f>_xlfn.XLOOKUP(CV1,'Monthly Cashflow'!$7:$7,'Monthly Cashflow'!$6:$6)</f>
        <v>9</v>
      </c>
      <c r="CW4" s="28">
        <f>_xlfn.XLOOKUP(CW1,'Monthly Cashflow'!$7:$7,'Monthly Cashflow'!$6:$6)</f>
        <v>9</v>
      </c>
      <c r="CX4" s="28">
        <f>_xlfn.XLOOKUP(CX1,'Monthly Cashflow'!$7:$7,'Monthly Cashflow'!$6:$6)</f>
        <v>9</v>
      </c>
      <c r="CY4" s="28">
        <f>_xlfn.XLOOKUP(CY1,'Monthly Cashflow'!$7:$7,'Monthly Cashflow'!$6:$6)</f>
        <v>9</v>
      </c>
      <c r="CZ4" s="28">
        <f>_xlfn.XLOOKUP(CZ1,'Monthly Cashflow'!$7:$7,'Monthly Cashflow'!$6:$6)</f>
        <v>9</v>
      </c>
      <c r="DA4" s="28">
        <f>_xlfn.XLOOKUP(DA1,'Monthly Cashflow'!$7:$7,'Monthly Cashflow'!$6:$6)</f>
        <v>9</v>
      </c>
      <c r="DB4" s="28">
        <f>_xlfn.XLOOKUP(DB1,'Monthly Cashflow'!$7:$7,'Monthly Cashflow'!$6:$6)</f>
        <v>9</v>
      </c>
      <c r="DC4" s="28">
        <f>_xlfn.XLOOKUP(DC1,'Monthly Cashflow'!$7:$7,'Monthly Cashflow'!$6:$6)</f>
        <v>9</v>
      </c>
      <c r="DD4" s="28">
        <f>_xlfn.XLOOKUP(DD1,'Monthly Cashflow'!$7:$7,'Monthly Cashflow'!$6:$6)</f>
        <v>9</v>
      </c>
      <c r="DE4" s="28">
        <f>_xlfn.XLOOKUP(DE1,'Monthly Cashflow'!$7:$7,'Monthly Cashflow'!$6:$6)</f>
        <v>9</v>
      </c>
      <c r="DF4" s="28">
        <f>_xlfn.XLOOKUP(DF1,'Monthly Cashflow'!$7:$7,'Monthly Cashflow'!$6:$6)</f>
        <v>10</v>
      </c>
      <c r="DG4" s="28">
        <f>_xlfn.XLOOKUP(DG1,'Monthly Cashflow'!$7:$7,'Monthly Cashflow'!$6:$6)</f>
        <v>10</v>
      </c>
      <c r="DH4" s="28">
        <f>_xlfn.XLOOKUP(DH1,'Monthly Cashflow'!$7:$7,'Monthly Cashflow'!$6:$6)</f>
        <v>10</v>
      </c>
      <c r="DI4" s="28">
        <f>_xlfn.XLOOKUP(DI1,'Monthly Cashflow'!$7:$7,'Monthly Cashflow'!$6:$6)</f>
        <v>10</v>
      </c>
      <c r="DJ4" s="28">
        <f>_xlfn.XLOOKUP(DJ1,'Monthly Cashflow'!$7:$7,'Monthly Cashflow'!$6:$6)</f>
        <v>10</v>
      </c>
      <c r="DK4" s="28">
        <f>_xlfn.XLOOKUP(DK1,'Monthly Cashflow'!$7:$7,'Monthly Cashflow'!$6:$6)</f>
        <v>10</v>
      </c>
      <c r="DL4" s="28">
        <f>_xlfn.XLOOKUP(DL1,'Monthly Cashflow'!$7:$7,'Monthly Cashflow'!$6:$6)</f>
        <v>10</v>
      </c>
      <c r="DM4" s="28">
        <f>_xlfn.XLOOKUP(DM1,'Monthly Cashflow'!$7:$7,'Monthly Cashflow'!$6:$6)</f>
        <v>10</v>
      </c>
      <c r="DN4" s="28">
        <f>_xlfn.XLOOKUP(DN1,'Monthly Cashflow'!$7:$7,'Monthly Cashflow'!$6:$6)</f>
        <v>10</v>
      </c>
      <c r="DO4" s="28">
        <f>_xlfn.XLOOKUP(DO1,'Monthly Cashflow'!$7:$7,'Monthly Cashflow'!$6:$6)</f>
        <v>10</v>
      </c>
      <c r="DP4" s="28">
        <f>_xlfn.XLOOKUP(DP1,'Monthly Cashflow'!$7:$7,'Monthly Cashflow'!$6:$6)</f>
        <v>10</v>
      </c>
      <c r="DQ4" s="28">
        <f>_xlfn.XLOOKUP(DQ1,'Monthly Cashflow'!$7:$7,'Monthly Cashflow'!$6:$6)</f>
        <v>10</v>
      </c>
      <c r="DR4" s="28">
        <f>_xlfn.XLOOKUP(DR1,'Monthly Cashflow'!$7:$7,'Monthly Cashflow'!$6:$6)</f>
        <v>11</v>
      </c>
      <c r="DS4" s="28">
        <f>_xlfn.XLOOKUP(DS1,'Monthly Cashflow'!$7:$7,'Monthly Cashflow'!$6:$6)</f>
        <v>11</v>
      </c>
      <c r="DT4" s="28">
        <f>_xlfn.XLOOKUP(DT1,'Monthly Cashflow'!$7:$7,'Monthly Cashflow'!$6:$6)</f>
        <v>11</v>
      </c>
      <c r="DU4" s="28">
        <f>_xlfn.XLOOKUP(DU1,'Monthly Cashflow'!$7:$7,'Monthly Cashflow'!$6:$6)</f>
        <v>11</v>
      </c>
      <c r="DV4" s="28">
        <f>_xlfn.XLOOKUP(DV1,'Monthly Cashflow'!$7:$7,'Monthly Cashflow'!$6:$6)</f>
        <v>11</v>
      </c>
      <c r="DW4" s="28">
        <f>_xlfn.XLOOKUP(DW1,'Monthly Cashflow'!$7:$7,'Monthly Cashflow'!$6:$6)</f>
        <v>11</v>
      </c>
      <c r="DX4" s="28">
        <f>_xlfn.XLOOKUP(DX1,'Monthly Cashflow'!$7:$7,'Monthly Cashflow'!$6:$6)</f>
        <v>11</v>
      </c>
      <c r="DY4" s="28">
        <f>_xlfn.XLOOKUP(DY1,'Monthly Cashflow'!$7:$7,'Monthly Cashflow'!$6:$6)</f>
        <v>11</v>
      </c>
      <c r="DZ4" s="28">
        <f>_xlfn.XLOOKUP(DZ1,'Monthly Cashflow'!$7:$7,'Monthly Cashflow'!$6:$6)</f>
        <v>11</v>
      </c>
      <c r="EA4" s="28">
        <f>_xlfn.XLOOKUP(EA1,'Monthly Cashflow'!$7:$7,'Monthly Cashflow'!$6:$6)</f>
        <v>11</v>
      </c>
      <c r="EB4" s="28">
        <f>_xlfn.XLOOKUP(EB1,'Monthly Cashflow'!$7:$7,'Monthly Cashflow'!$6:$6)</f>
        <v>11</v>
      </c>
      <c r="EC4" s="28">
        <f>_xlfn.XLOOKUP(EC1,'Monthly Cashflow'!$7:$7,'Monthly Cashflow'!$6:$6)</f>
        <v>11</v>
      </c>
      <c r="ED4" s="28">
        <f>_xlfn.XLOOKUP(ED1,'Monthly Cashflow'!$7:$7,'Monthly Cashflow'!$6:$6)</f>
        <v>12</v>
      </c>
      <c r="EE4" s="28">
        <f>_xlfn.XLOOKUP(EE1,'Monthly Cashflow'!$7:$7,'Monthly Cashflow'!$6:$6)</f>
        <v>12</v>
      </c>
      <c r="EF4" s="28">
        <f>_xlfn.XLOOKUP(EF1,'Monthly Cashflow'!$7:$7,'Monthly Cashflow'!$6:$6)</f>
        <v>12</v>
      </c>
      <c r="EG4" s="28">
        <f>_xlfn.XLOOKUP(EG1,'Monthly Cashflow'!$7:$7,'Monthly Cashflow'!$6:$6)</f>
        <v>12</v>
      </c>
      <c r="EH4" s="28">
        <f>_xlfn.XLOOKUP(EH1,'Monthly Cashflow'!$7:$7,'Monthly Cashflow'!$6:$6)</f>
        <v>12</v>
      </c>
      <c r="EI4" s="28">
        <f>_xlfn.XLOOKUP(EI1,'Monthly Cashflow'!$7:$7,'Monthly Cashflow'!$6:$6)</f>
        <v>12</v>
      </c>
      <c r="EJ4" s="28">
        <f>_xlfn.XLOOKUP(EJ1,'Monthly Cashflow'!$7:$7,'Monthly Cashflow'!$6:$6)</f>
        <v>12</v>
      </c>
      <c r="EK4" s="28">
        <f>_xlfn.XLOOKUP(EK1,'Monthly Cashflow'!$7:$7,'Monthly Cashflow'!$6:$6)</f>
        <v>12</v>
      </c>
      <c r="EL4" s="28">
        <f>_xlfn.XLOOKUP(EL1,'Monthly Cashflow'!$7:$7,'Monthly Cashflow'!$6:$6)</f>
        <v>12</v>
      </c>
      <c r="EM4" s="28">
        <f>_xlfn.XLOOKUP(EM1,'Monthly Cashflow'!$7:$7,'Monthly Cashflow'!$6:$6)</f>
        <v>12</v>
      </c>
      <c r="EN4" s="28">
        <f>_xlfn.XLOOKUP(EN1,'Monthly Cashflow'!$7:$7,'Monthly Cashflow'!$6:$6)</f>
        <v>12</v>
      </c>
      <c r="EO4" s="28">
        <f>_xlfn.XLOOKUP(EO1,'Monthly Cashflow'!$7:$7,'Monthly Cashflow'!$6:$6)</f>
        <v>12</v>
      </c>
      <c r="EP4" s="28">
        <f>_xlfn.XLOOKUP(EP1,'Monthly Cashflow'!$7:$7,'Monthly Cashflow'!$6:$6)</f>
        <v>13</v>
      </c>
      <c r="EQ4" s="28">
        <f>_xlfn.XLOOKUP(EQ1,'Monthly Cashflow'!$7:$7,'Monthly Cashflow'!$6:$6)</f>
        <v>13</v>
      </c>
      <c r="ER4" s="28">
        <f>_xlfn.XLOOKUP(ER1,'Monthly Cashflow'!$7:$7,'Monthly Cashflow'!$6:$6)</f>
        <v>13</v>
      </c>
      <c r="ES4" s="28">
        <f>_xlfn.XLOOKUP(ES1,'Monthly Cashflow'!$7:$7,'Monthly Cashflow'!$6:$6)</f>
        <v>13</v>
      </c>
      <c r="ET4" s="28">
        <f>_xlfn.XLOOKUP(ET1,'Monthly Cashflow'!$7:$7,'Monthly Cashflow'!$6:$6)</f>
        <v>13</v>
      </c>
      <c r="EU4" s="28">
        <f>_xlfn.XLOOKUP(EU1,'Monthly Cashflow'!$7:$7,'Monthly Cashflow'!$6:$6)</f>
        <v>13</v>
      </c>
      <c r="EV4" s="28">
        <f>_xlfn.XLOOKUP(EV1,'Monthly Cashflow'!$7:$7,'Monthly Cashflow'!$6:$6)</f>
        <v>13</v>
      </c>
      <c r="EW4" s="28">
        <f>_xlfn.XLOOKUP(EW1,'Monthly Cashflow'!$7:$7,'Monthly Cashflow'!$6:$6)</f>
        <v>13</v>
      </c>
      <c r="EX4" s="28">
        <f>_xlfn.XLOOKUP(EX1,'Monthly Cashflow'!$7:$7,'Monthly Cashflow'!$6:$6)</f>
        <v>13</v>
      </c>
      <c r="EY4" s="28">
        <f>_xlfn.XLOOKUP(EY1,'Monthly Cashflow'!$7:$7,'Monthly Cashflow'!$6:$6)</f>
        <v>13</v>
      </c>
      <c r="EZ4" s="28">
        <f>_xlfn.XLOOKUP(EZ1,'Monthly Cashflow'!$7:$7,'Monthly Cashflow'!$6:$6)</f>
        <v>13</v>
      </c>
      <c r="FA4" s="28">
        <f>_xlfn.XLOOKUP(FA1,'Monthly Cashflow'!$7:$7,'Monthly Cashflow'!$6:$6)</f>
        <v>13</v>
      </c>
      <c r="FB4" s="28">
        <f>_xlfn.XLOOKUP(FB1,'Monthly Cashflow'!$7:$7,'Monthly Cashflow'!$6:$6)</f>
        <v>14</v>
      </c>
      <c r="FC4" s="28">
        <f>_xlfn.XLOOKUP(FC1,'Monthly Cashflow'!$7:$7,'Monthly Cashflow'!$6:$6)</f>
        <v>14</v>
      </c>
      <c r="FD4" s="28">
        <f>_xlfn.XLOOKUP(FD1,'Monthly Cashflow'!$7:$7,'Monthly Cashflow'!$6:$6)</f>
        <v>14</v>
      </c>
      <c r="FE4" s="28">
        <f>_xlfn.XLOOKUP(FE1,'Monthly Cashflow'!$7:$7,'Monthly Cashflow'!$6:$6)</f>
        <v>14</v>
      </c>
      <c r="FF4" s="28">
        <f>_xlfn.XLOOKUP(FF1,'Monthly Cashflow'!$7:$7,'Monthly Cashflow'!$6:$6)</f>
        <v>14</v>
      </c>
      <c r="FG4" s="28">
        <f>_xlfn.XLOOKUP(FG1,'Monthly Cashflow'!$7:$7,'Monthly Cashflow'!$6:$6)</f>
        <v>14</v>
      </c>
      <c r="FH4" s="28">
        <f>_xlfn.XLOOKUP(FH1,'Monthly Cashflow'!$7:$7,'Monthly Cashflow'!$6:$6)</f>
        <v>14</v>
      </c>
      <c r="FI4" s="28">
        <f>_xlfn.XLOOKUP(FI1,'Monthly Cashflow'!$7:$7,'Monthly Cashflow'!$6:$6)</f>
        <v>14</v>
      </c>
      <c r="FJ4" s="28">
        <f>_xlfn.XLOOKUP(FJ1,'Monthly Cashflow'!$7:$7,'Monthly Cashflow'!$6:$6)</f>
        <v>14</v>
      </c>
      <c r="FK4" s="28">
        <f>_xlfn.XLOOKUP(FK1,'Monthly Cashflow'!$7:$7,'Monthly Cashflow'!$6:$6)</f>
        <v>14</v>
      </c>
      <c r="FL4" s="28">
        <f>_xlfn.XLOOKUP(FL1,'Monthly Cashflow'!$7:$7,'Monthly Cashflow'!$6:$6)</f>
        <v>14</v>
      </c>
      <c r="FM4" s="28">
        <f>_xlfn.XLOOKUP(FM1,'Monthly Cashflow'!$7:$7,'Monthly Cashflow'!$6:$6)</f>
        <v>14</v>
      </c>
      <c r="FN4" s="28">
        <f>_xlfn.XLOOKUP(FN1,'Monthly Cashflow'!$7:$7,'Monthly Cashflow'!$6:$6)</f>
        <v>15</v>
      </c>
      <c r="FO4" s="28">
        <f>_xlfn.XLOOKUP(FO1,'Monthly Cashflow'!$7:$7,'Monthly Cashflow'!$6:$6)</f>
        <v>15</v>
      </c>
      <c r="FP4" s="28">
        <f>_xlfn.XLOOKUP(FP1,'Monthly Cashflow'!$7:$7,'Monthly Cashflow'!$6:$6)</f>
        <v>15</v>
      </c>
      <c r="FQ4" s="28">
        <f>_xlfn.XLOOKUP(FQ1,'Monthly Cashflow'!$7:$7,'Monthly Cashflow'!$6:$6)</f>
        <v>15</v>
      </c>
      <c r="FR4" s="28">
        <f>_xlfn.XLOOKUP(FR1,'Monthly Cashflow'!$7:$7,'Monthly Cashflow'!$6:$6)</f>
        <v>15</v>
      </c>
      <c r="FS4" s="28">
        <f>_xlfn.XLOOKUP(FS1,'Monthly Cashflow'!$7:$7,'Monthly Cashflow'!$6:$6)</f>
        <v>15</v>
      </c>
      <c r="FT4" s="387"/>
      <c r="FU4" s="387"/>
      <c r="FV4" s="387"/>
      <c r="FW4" s="387"/>
      <c r="FX4" s="387"/>
      <c r="FY4" s="387"/>
      <c r="FZ4" s="387"/>
      <c r="GA4" s="387"/>
      <c r="GB4" s="387"/>
      <c r="GC4" s="387"/>
      <c r="GD4" s="387"/>
      <c r="GE4" s="387"/>
      <c r="GF4" s="387"/>
      <c r="GG4" s="387"/>
      <c r="GH4" s="387"/>
      <c r="GI4" s="387"/>
      <c r="GJ4" s="387"/>
      <c r="GK4" s="387"/>
      <c r="GL4" s="387"/>
      <c r="GM4" s="387"/>
      <c r="GN4" s="387"/>
      <c r="GO4" s="387"/>
      <c r="GP4" s="387"/>
      <c r="GQ4" s="387"/>
      <c r="GR4" s="387"/>
      <c r="GS4" s="387"/>
      <c r="GT4" s="387"/>
      <c r="GU4" s="387"/>
      <c r="GV4" s="387"/>
      <c r="GW4" s="387"/>
      <c r="GX4" s="387"/>
      <c r="GY4" s="387"/>
      <c r="GZ4" s="387"/>
      <c r="HA4" s="387"/>
      <c r="HB4" s="387"/>
      <c r="HC4" s="387"/>
      <c r="HD4" s="387"/>
      <c r="HE4" s="387"/>
      <c r="HF4" s="387"/>
      <c r="HG4" s="387"/>
      <c r="HH4" s="387"/>
      <c r="HI4" s="387"/>
      <c r="HJ4" s="387"/>
      <c r="HK4" s="387"/>
      <c r="HL4" s="387"/>
      <c r="HM4" s="387"/>
      <c r="HN4" s="387"/>
      <c r="HO4" s="387"/>
      <c r="HP4" s="387"/>
      <c r="HQ4" s="387"/>
      <c r="HR4" s="387"/>
      <c r="HS4" s="387"/>
      <c r="HT4" s="387"/>
      <c r="HU4" s="387"/>
      <c r="HV4" s="387"/>
      <c r="HW4" s="387"/>
      <c r="HX4" s="387"/>
      <c r="HY4" s="387"/>
      <c r="HZ4" s="387"/>
      <c r="IA4" s="387"/>
      <c r="IB4" s="387"/>
      <c r="IC4" s="387"/>
      <c r="ID4" s="387"/>
      <c r="IE4" s="387"/>
      <c r="IF4" s="387"/>
      <c r="IG4" s="387"/>
      <c r="IH4" s="387"/>
      <c r="II4" s="387"/>
      <c r="IJ4" s="387"/>
      <c r="IK4" s="387"/>
      <c r="IL4" s="387"/>
      <c r="IM4" s="387"/>
      <c r="IN4" s="387"/>
      <c r="IO4" s="387"/>
      <c r="IP4" s="387"/>
      <c r="IQ4" s="387"/>
      <c r="IR4" s="387"/>
      <c r="IS4" s="387"/>
      <c r="IT4" s="387"/>
      <c r="IU4" s="387"/>
      <c r="IV4" s="387"/>
      <c r="IW4" s="387"/>
      <c r="IX4" s="387"/>
      <c r="IY4" s="387"/>
      <c r="IZ4" s="387"/>
      <c r="JA4" s="387"/>
      <c r="JB4" s="387"/>
      <c r="JC4" s="387"/>
      <c r="JD4" s="387"/>
      <c r="JE4" s="387"/>
      <c r="JF4" s="387"/>
      <c r="JG4" s="387"/>
      <c r="JH4" s="387"/>
      <c r="JI4" s="387"/>
      <c r="JJ4" s="387"/>
      <c r="JK4" s="387"/>
      <c r="JL4" s="387"/>
      <c r="JM4" s="387"/>
      <c r="JN4" s="387"/>
      <c r="JO4" s="387"/>
      <c r="JP4" s="387"/>
      <c r="JQ4" s="387"/>
      <c r="JR4" s="387"/>
      <c r="JS4" s="387"/>
      <c r="JT4" s="387"/>
      <c r="JU4" s="387"/>
      <c r="JV4" s="387"/>
      <c r="JW4" s="387"/>
      <c r="JX4" s="387"/>
      <c r="JY4" s="387"/>
      <c r="JZ4" s="387"/>
      <c r="KA4" s="387"/>
      <c r="KB4" s="387"/>
      <c r="KC4" s="387"/>
      <c r="KD4" s="32"/>
      <c r="KE4" s="32"/>
      <c r="KF4" s="32"/>
      <c r="KG4" s="32"/>
      <c r="KH4" s="32"/>
      <c r="KI4" s="32"/>
      <c r="KJ4" s="32"/>
      <c r="KK4" s="32"/>
      <c r="KL4" s="32"/>
      <c r="KM4" s="32"/>
      <c r="KN4" s="32"/>
      <c r="KO4" s="32"/>
    </row>
    <row r="5" spans="2:301" x14ac:dyDescent="0.3">
      <c r="B5" s="25" t="s">
        <v>102</v>
      </c>
      <c r="C5" s="25"/>
      <c r="D5" s="25"/>
      <c r="E5" s="629">
        <v>1</v>
      </c>
      <c r="F5" s="629">
        <f>E5+1</f>
        <v>2</v>
      </c>
      <c r="G5" s="629">
        <f t="shared" ref="G5:BR5" si="56">F5+1</f>
        <v>3</v>
      </c>
      <c r="H5" s="629">
        <f t="shared" si="56"/>
        <v>4</v>
      </c>
      <c r="I5" s="629">
        <f t="shared" si="56"/>
        <v>5</v>
      </c>
      <c r="J5" s="629">
        <f t="shared" si="56"/>
        <v>6</v>
      </c>
      <c r="K5" s="629">
        <f t="shared" si="56"/>
        <v>7</v>
      </c>
      <c r="L5" s="629">
        <f t="shared" si="56"/>
        <v>8</v>
      </c>
      <c r="M5" s="629">
        <f t="shared" si="56"/>
        <v>9</v>
      </c>
      <c r="N5" s="629">
        <f t="shared" si="56"/>
        <v>10</v>
      </c>
      <c r="O5" s="629">
        <f t="shared" si="56"/>
        <v>11</v>
      </c>
      <c r="P5" s="629">
        <f t="shared" si="56"/>
        <v>12</v>
      </c>
      <c r="Q5" s="629">
        <f t="shared" si="56"/>
        <v>13</v>
      </c>
      <c r="R5" s="629">
        <f t="shared" si="56"/>
        <v>14</v>
      </c>
      <c r="S5" s="629">
        <f t="shared" si="56"/>
        <v>15</v>
      </c>
      <c r="T5" s="629">
        <f t="shared" si="56"/>
        <v>16</v>
      </c>
      <c r="U5" s="629">
        <f t="shared" si="56"/>
        <v>17</v>
      </c>
      <c r="V5" s="629">
        <f t="shared" si="56"/>
        <v>18</v>
      </c>
      <c r="W5" s="629">
        <f t="shared" si="56"/>
        <v>19</v>
      </c>
      <c r="X5" s="629">
        <f t="shared" si="56"/>
        <v>20</v>
      </c>
      <c r="Y5" s="629">
        <f t="shared" si="56"/>
        <v>21</v>
      </c>
      <c r="Z5" s="629">
        <f>Y5+1</f>
        <v>22</v>
      </c>
      <c r="AA5" s="629">
        <f t="shared" si="56"/>
        <v>23</v>
      </c>
      <c r="AB5" s="629">
        <f t="shared" si="56"/>
        <v>24</v>
      </c>
      <c r="AC5" s="629">
        <f t="shared" si="56"/>
        <v>25</v>
      </c>
      <c r="AD5" s="629">
        <f t="shared" si="56"/>
        <v>26</v>
      </c>
      <c r="AE5" s="629">
        <f t="shared" si="56"/>
        <v>27</v>
      </c>
      <c r="AF5" s="629">
        <f t="shared" si="56"/>
        <v>28</v>
      </c>
      <c r="AG5" s="629">
        <f t="shared" si="56"/>
        <v>29</v>
      </c>
      <c r="AH5" s="629">
        <f t="shared" si="56"/>
        <v>30</v>
      </c>
      <c r="AI5" s="629">
        <f t="shared" si="56"/>
        <v>31</v>
      </c>
      <c r="AJ5" s="629">
        <f t="shared" si="56"/>
        <v>32</v>
      </c>
      <c r="AK5" s="629">
        <f t="shared" si="56"/>
        <v>33</v>
      </c>
      <c r="AL5" s="629">
        <f t="shared" si="56"/>
        <v>34</v>
      </c>
      <c r="AM5" s="629">
        <f t="shared" si="56"/>
        <v>35</v>
      </c>
      <c r="AN5" s="629">
        <f t="shared" si="56"/>
        <v>36</v>
      </c>
      <c r="AO5" s="629">
        <f t="shared" si="56"/>
        <v>37</v>
      </c>
      <c r="AP5" s="629">
        <f t="shared" si="56"/>
        <v>38</v>
      </c>
      <c r="AQ5" s="629">
        <f t="shared" si="56"/>
        <v>39</v>
      </c>
      <c r="AR5" s="629">
        <f t="shared" si="56"/>
        <v>40</v>
      </c>
      <c r="AS5" s="629">
        <f t="shared" si="56"/>
        <v>41</v>
      </c>
      <c r="AT5" s="629">
        <f t="shared" si="56"/>
        <v>42</v>
      </c>
      <c r="AU5" s="629">
        <f t="shared" si="56"/>
        <v>43</v>
      </c>
      <c r="AV5" s="629">
        <f t="shared" si="56"/>
        <v>44</v>
      </c>
      <c r="AW5" s="629">
        <f t="shared" si="56"/>
        <v>45</v>
      </c>
      <c r="AX5" s="629">
        <f t="shared" si="56"/>
        <v>46</v>
      </c>
      <c r="AY5" s="629">
        <f t="shared" si="56"/>
        <v>47</v>
      </c>
      <c r="AZ5" s="629">
        <f t="shared" si="56"/>
        <v>48</v>
      </c>
      <c r="BA5" s="629">
        <f t="shared" si="56"/>
        <v>49</v>
      </c>
      <c r="BB5" s="629">
        <f t="shared" si="56"/>
        <v>50</v>
      </c>
      <c r="BC5" s="629">
        <f t="shared" si="56"/>
        <v>51</v>
      </c>
      <c r="BD5" s="629">
        <f t="shared" si="56"/>
        <v>52</v>
      </c>
      <c r="BE5" s="629">
        <f t="shared" si="56"/>
        <v>53</v>
      </c>
      <c r="BF5" s="629">
        <f t="shared" si="56"/>
        <v>54</v>
      </c>
      <c r="BG5" s="629">
        <f t="shared" si="56"/>
        <v>55</v>
      </c>
      <c r="BH5" s="629">
        <f t="shared" si="56"/>
        <v>56</v>
      </c>
      <c r="BI5" s="629">
        <f t="shared" si="56"/>
        <v>57</v>
      </c>
      <c r="BJ5" s="629">
        <f t="shared" si="56"/>
        <v>58</v>
      </c>
      <c r="BK5" s="629">
        <f t="shared" si="56"/>
        <v>59</v>
      </c>
      <c r="BL5" s="629">
        <f t="shared" si="56"/>
        <v>60</v>
      </c>
      <c r="BM5" s="629">
        <f t="shared" si="56"/>
        <v>61</v>
      </c>
      <c r="BN5" s="629">
        <f t="shared" si="56"/>
        <v>62</v>
      </c>
      <c r="BO5" s="629">
        <f t="shared" si="56"/>
        <v>63</v>
      </c>
      <c r="BP5" s="629">
        <f t="shared" si="56"/>
        <v>64</v>
      </c>
      <c r="BQ5" s="629">
        <f t="shared" si="56"/>
        <v>65</v>
      </c>
      <c r="BR5" s="629">
        <f t="shared" si="56"/>
        <v>66</v>
      </c>
      <c r="BS5" s="629">
        <f t="shared" ref="BS5:CH5" si="57">BR5+1</f>
        <v>67</v>
      </c>
      <c r="BT5" s="629">
        <f t="shared" si="57"/>
        <v>68</v>
      </c>
      <c r="BU5" s="629">
        <f t="shared" si="57"/>
        <v>69</v>
      </c>
      <c r="BV5" s="629">
        <f t="shared" si="57"/>
        <v>70</v>
      </c>
      <c r="BW5" s="629">
        <f t="shared" si="57"/>
        <v>71</v>
      </c>
      <c r="BX5" s="629">
        <f t="shared" si="57"/>
        <v>72</v>
      </c>
      <c r="BY5" s="629">
        <f t="shared" si="57"/>
        <v>73</v>
      </c>
      <c r="BZ5" s="629">
        <f t="shared" si="57"/>
        <v>74</v>
      </c>
      <c r="CA5" s="629">
        <f t="shared" si="57"/>
        <v>75</v>
      </c>
      <c r="CB5" s="629">
        <f t="shared" si="57"/>
        <v>76</v>
      </c>
      <c r="CC5" s="629">
        <f t="shared" si="57"/>
        <v>77</v>
      </c>
      <c r="CD5" s="629">
        <f t="shared" si="57"/>
        <v>78</v>
      </c>
      <c r="CE5" s="629">
        <f t="shared" si="57"/>
        <v>79</v>
      </c>
      <c r="CF5" s="629">
        <f t="shared" si="57"/>
        <v>80</v>
      </c>
      <c r="CG5" s="629">
        <f t="shared" si="57"/>
        <v>81</v>
      </c>
      <c r="CH5" s="629">
        <f t="shared" si="57"/>
        <v>82</v>
      </c>
      <c r="CI5" s="629">
        <f t="shared" ref="CI5:ET5" si="58">CH5+1</f>
        <v>83</v>
      </c>
      <c r="CJ5" s="629">
        <f t="shared" si="58"/>
        <v>84</v>
      </c>
      <c r="CK5" s="629">
        <f t="shared" si="58"/>
        <v>85</v>
      </c>
      <c r="CL5" s="629">
        <f t="shared" si="58"/>
        <v>86</v>
      </c>
      <c r="CM5" s="629">
        <f t="shared" si="58"/>
        <v>87</v>
      </c>
      <c r="CN5" s="629">
        <f t="shared" si="58"/>
        <v>88</v>
      </c>
      <c r="CO5" s="629">
        <f t="shared" si="58"/>
        <v>89</v>
      </c>
      <c r="CP5" s="629">
        <f t="shared" si="58"/>
        <v>90</v>
      </c>
      <c r="CQ5" s="629">
        <f t="shared" si="58"/>
        <v>91</v>
      </c>
      <c r="CR5" s="629">
        <f t="shared" si="58"/>
        <v>92</v>
      </c>
      <c r="CS5" s="629">
        <f t="shared" si="58"/>
        <v>93</v>
      </c>
      <c r="CT5" s="629">
        <f t="shared" si="58"/>
        <v>94</v>
      </c>
      <c r="CU5" s="629">
        <f t="shared" si="58"/>
        <v>95</v>
      </c>
      <c r="CV5" s="629">
        <f t="shared" si="58"/>
        <v>96</v>
      </c>
      <c r="CW5" s="629">
        <f t="shared" si="58"/>
        <v>97</v>
      </c>
      <c r="CX5" s="629">
        <f t="shared" si="58"/>
        <v>98</v>
      </c>
      <c r="CY5" s="629">
        <f t="shared" si="58"/>
        <v>99</v>
      </c>
      <c r="CZ5" s="629">
        <f t="shared" si="58"/>
        <v>100</v>
      </c>
      <c r="DA5" s="629">
        <f t="shared" si="58"/>
        <v>101</v>
      </c>
      <c r="DB5" s="629">
        <f t="shared" si="58"/>
        <v>102</v>
      </c>
      <c r="DC5" s="629">
        <f t="shared" si="58"/>
        <v>103</v>
      </c>
      <c r="DD5" s="629">
        <f t="shared" si="58"/>
        <v>104</v>
      </c>
      <c r="DE5" s="629">
        <f t="shared" si="58"/>
        <v>105</v>
      </c>
      <c r="DF5" s="629">
        <f t="shared" si="58"/>
        <v>106</v>
      </c>
      <c r="DG5" s="629">
        <f t="shared" si="58"/>
        <v>107</v>
      </c>
      <c r="DH5" s="629">
        <f t="shared" si="58"/>
        <v>108</v>
      </c>
      <c r="DI5" s="629">
        <f t="shared" si="58"/>
        <v>109</v>
      </c>
      <c r="DJ5" s="629">
        <f t="shared" si="58"/>
        <v>110</v>
      </c>
      <c r="DK5" s="629">
        <f t="shared" si="58"/>
        <v>111</v>
      </c>
      <c r="DL5" s="629">
        <f t="shared" si="58"/>
        <v>112</v>
      </c>
      <c r="DM5" s="629">
        <f t="shared" si="58"/>
        <v>113</v>
      </c>
      <c r="DN5" s="629">
        <f t="shared" si="58"/>
        <v>114</v>
      </c>
      <c r="DO5" s="629">
        <f t="shared" si="58"/>
        <v>115</v>
      </c>
      <c r="DP5" s="629">
        <f t="shared" si="58"/>
        <v>116</v>
      </c>
      <c r="DQ5" s="629">
        <f t="shared" si="58"/>
        <v>117</v>
      </c>
      <c r="DR5" s="629">
        <f t="shared" si="58"/>
        <v>118</v>
      </c>
      <c r="DS5" s="629">
        <f t="shared" si="58"/>
        <v>119</v>
      </c>
      <c r="DT5" s="629">
        <f t="shared" si="58"/>
        <v>120</v>
      </c>
      <c r="DU5" s="629">
        <f t="shared" si="58"/>
        <v>121</v>
      </c>
      <c r="DV5" s="629">
        <f t="shared" si="58"/>
        <v>122</v>
      </c>
      <c r="DW5" s="629">
        <f t="shared" si="58"/>
        <v>123</v>
      </c>
      <c r="DX5" s="629">
        <f t="shared" si="58"/>
        <v>124</v>
      </c>
      <c r="DY5" s="629">
        <f t="shared" si="58"/>
        <v>125</v>
      </c>
      <c r="DZ5" s="629">
        <f t="shared" si="58"/>
        <v>126</v>
      </c>
      <c r="EA5" s="629">
        <f t="shared" si="58"/>
        <v>127</v>
      </c>
      <c r="EB5" s="629">
        <f t="shared" si="58"/>
        <v>128</v>
      </c>
      <c r="EC5" s="629">
        <f t="shared" si="58"/>
        <v>129</v>
      </c>
      <c r="ED5" s="629">
        <f t="shared" si="58"/>
        <v>130</v>
      </c>
      <c r="EE5" s="629">
        <f t="shared" si="58"/>
        <v>131</v>
      </c>
      <c r="EF5" s="629">
        <f t="shared" si="58"/>
        <v>132</v>
      </c>
      <c r="EG5" s="629">
        <f t="shared" si="58"/>
        <v>133</v>
      </c>
      <c r="EH5" s="629">
        <f t="shared" si="58"/>
        <v>134</v>
      </c>
      <c r="EI5" s="629">
        <f t="shared" si="58"/>
        <v>135</v>
      </c>
      <c r="EJ5" s="629">
        <f t="shared" si="58"/>
        <v>136</v>
      </c>
      <c r="EK5" s="629">
        <f t="shared" si="58"/>
        <v>137</v>
      </c>
      <c r="EL5" s="629">
        <f t="shared" si="58"/>
        <v>138</v>
      </c>
      <c r="EM5" s="629">
        <f t="shared" si="58"/>
        <v>139</v>
      </c>
      <c r="EN5" s="629">
        <f t="shared" si="58"/>
        <v>140</v>
      </c>
      <c r="EO5" s="629">
        <f t="shared" si="58"/>
        <v>141</v>
      </c>
      <c r="EP5" s="629">
        <f t="shared" si="58"/>
        <v>142</v>
      </c>
      <c r="EQ5" s="629">
        <f t="shared" si="58"/>
        <v>143</v>
      </c>
      <c r="ER5" s="629">
        <f t="shared" si="58"/>
        <v>144</v>
      </c>
      <c r="ES5" s="629">
        <f t="shared" si="58"/>
        <v>145</v>
      </c>
      <c r="ET5" s="629">
        <f t="shared" si="58"/>
        <v>146</v>
      </c>
      <c r="EU5" s="629">
        <f t="shared" ref="EU5:FZ5" si="59">ET5+1</f>
        <v>147</v>
      </c>
      <c r="EV5" s="629">
        <f t="shared" si="59"/>
        <v>148</v>
      </c>
      <c r="EW5" s="629">
        <f t="shared" si="59"/>
        <v>149</v>
      </c>
      <c r="EX5" s="629">
        <f t="shared" si="59"/>
        <v>150</v>
      </c>
      <c r="EY5" s="629">
        <f t="shared" si="59"/>
        <v>151</v>
      </c>
      <c r="EZ5" s="629">
        <f t="shared" si="59"/>
        <v>152</v>
      </c>
      <c r="FA5" s="629">
        <f t="shared" si="59"/>
        <v>153</v>
      </c>
      <c r="FB5" s="629">
        <f t="shared" si="59"/>
        <v>154</v>
      </c>
      <c r="FC5" s="629">
        <f t="shared" si="59"/>
        <v>155</v>
      </c>
      <c r="FD5" s="629">
        <f t="shared" si="59"/>
        <v>156</v>
      </c>
      <c r="FE5" s="629">
        <f t="shared" si="59"/>
        <v>157</v>
      </c>
      <c r="FF5" s="629">
        <f t="shared" si="59"/>
        <v>158</v>
      </c>
      <c r="FG5" s="629">
        <f t="shared" si="59"/>
        <v>159</v>
      </c>
      <c r="FH5" s="629">
        <f t="shared" si="59"/>
        <v>160</v>
      </c>
      <c r="FI5" s="629">
        <f t="shared" si="59"/>
        <v>161</v>
      </c>
      <c r="FJ5" s="629">
        <f t="shared" si="59"/>
        <v>162</v>
      </c>
      <c r="FK5" s="629">
        <f t="shared" si="59"/>
        <v>163</v>
      </c>
      <c r="FL5" s="629">
        <f t="shared" si="59"/>
        <v>164</v>
      </c>
      <c r="FM5" s="629">
        <f t="shared" si="59"/>
        <v>165</v>
      </c>
      <c r="FN5" s="629">
        <f t="shared" si="59"/>
        <v>166</v>
      </c>
      <c r="FO5" s="629">
        <f t="shared" si="59"/>
        <v>167</v>
      </c>
      <c r="FP5" s="629">
        <f t="shared" si="59"/>
        <v>168</v>
      </c>
      <c r="FQ5" s="629">
        <f t="shared" si="59"/>
        <v>169</v>
      </c>
      <c r="FR5" s="629">
        <f t="shared" si="59"/>
        <v>170</v>
      </c>
      <c r="FS5" s="629">
        <f t="shared" si="59"/>
        <v>171</v>
      </c>
      <c r="FT5" s="629">
        <f t="shared" si="59"/>
        <v>172</v>
      </c>
      <c r="FU5" s="629">
        <f t="shared" si="59"/>
        <v>173</v>
      </c>
      <c r="FV5" s="629">
        <f t="shared" si="59"/>
        <v>174</v>
      </c>
      <c r="FW5" s="629">
        <f t="shared" si="59"/>
        <v>175</v>
      </c>
      <c r="FX5" s="629">
        <f t="shared" si="59"/>
        <v>176</v>
      </c>
      <c r="FY5" s="629">
        <f t="shared" si="59"/>
        <v>177</v>
      </c>
      <c r="FZ5" s="629">
        <f t="shared" si="59"/>
        <v>178</v>
      </c>
      <c r="GA5" s="629">
        <f t="shared" ref="GA5:HF5" si="60">FZ5+1</f>
        <v>179</v>
      </c>
      <c r="GB5" s="629">
        <f t="shared" si="60"/>
        <v>180</v>
      </c>
      <c r="GC5" s="629">
        <f t="shared" si="60"/>
        <v>181</v>
      </c>
      <c r="GD5" s="629">
        <f t="shared" si="60"/>
        <v>182</v>
      </c>
      <c r="GE5" s="629">
        <f t="shared" si="60"/>
        <v>183</v>
      </c>
      <c r="GF5" s="629">
        <f t="shared" si="60"/>
        <v>184</v>
      </c>
      <c r="GG5" s="629">
        <f t="shared" si="60"/>
        <v>185</v>
      </c>
      <c r="GH5" s="629">
        <f t="shared" si="60"/>
        <v>186</v>
      </c>
      <c r="GI5" s="629">
        <f t="shared" si="60"/>
        <v>187</v>
      </c>
      <c r="GJ5" s="629">
        <f t="shared" si="60"/>
        <v>188</v>
      </c>
      <c r="GK5" s="629">
        <f t="shared" si="60"/>
        <v>189</v>
      </c>
      <c r="GL5" s="629">
        <f t="shared" si="60"/>
        <v>190</v>
      </c>
      <c r="GM5" s="629">
        <f t="shared" si="60"/>
        <v>191</v>
      </c>
      <c r="GN5" s="629">
        <f t="shared" si="60"/>
        <v>192</v>
      </c>
      <c r="GO5" s="629">
        <f t="shared" si="60"/>
        <v>193</v>
      </c>
      <c r="GP5" s="629">
        <f t="shared" si="60"/>
        <v>194</v>
      </c>
      <c r="GQ5" s="629">
        <f t="shared" si="60"/>
        <v>195</v>
      </c>
      <c r="GR5" s="629">
        <f t="shared" si="60"/>
        <v>196</v>
      </c>
      <c r="GS5" s="629">
        <f t="shared" si="60"/>
        <v>197</v>
      </c>
      <c r="GT5" s="629">
        <f t="shared" si="60"/>
        <v>198</v>
      </c>
      <c r="GU5" s="629">
        <f t="shared" si="60"/>
        <v>199</v>
      </c>
      <c r="GV5" s="629">
        <f t="shared" si="60"/>
        <v>200</v>
      </c>
      <c r="GW5" s="629">
        <f t="shared" si="60"/>
        <v>201</v>
      </c>
      <c r="GX5" s="629">
        <f t="shared" si="60"/>
        <v>202</v>
      </c>
      <c r="GY5" s="629">
        <f t="shared" si="60"/>
        <v>203</v>
      </c>
      <c r="GZ5" s="629">
        <f t="shared" si="60"/>
        <v>204</v>
      </c>
      <c r="HA5" s="629">
        <f t="shared" si="60"/>
        <v>205</v>
      </c>
      <c r="HB5" s="629">
        <f t="shared" si="60"/>
        <v>206</v>
      </c>
      <c r="HC5" s="629">
        <f t="shared" si="60"/>
        <v>207</v>
      </c>
      <c r="HD5" s="629">
        <f t="shared" si="60"/>
        <v>208</v>
      </c>
      <c r="HE5" s="629">
        <f t="shared" si="60"/>
        <v>209</v>
      </c>
      <c r="HF5" s="629">
        <f t="shared" si="60"/>
        <v>210</v>
      </c>
      <c r="HG5" s="629">
        <f t="shared" ref="HG5:IP5" si="61">HF5+1</f>
        <v>211</v>
      </c>
      <c r="HH5" s="629">
        <f t="shared" si="61"/>
        <v>212</v>
      </c>
      <c r="HI5" s="629">
        <f t="shared" si="61"/>
        <v>213</v>
      </c>
      <c r="HJ5" s="629">
        <f t="shared" si="61"/>
        <v>214</v>
      </c>
      <c r="HK5" s="629">
        <f t="shared" si="61"/>
        <v>215</v>
      </c>
      <c r="HL5" s="629">
        <f t="shared" si="61"/>
        <v>216</v>
      </c>
      <c r="HM5" s="629">
        <f t="shared" si="61"/>
        <v>217</v>
      </c>
      <c r="HN5" s="629">
        <f t="shared" si="61"/>
        <v>218</v>
      </c>
      <c r="HO5" s="629">
        <f t="shared" si="61"/>
        <v>219</v>
      </c>
      <c r="HP5" s="629">
        <f t="shared" si="61"/>
        <v>220</v>
      </c>
      <c r="HQ5" s="629">
        <f t="shared" si="61"/>
        <v>221</v>
      </c>
      <c r="HR5" s="629">
        <f t="shared" si="61"/>
        <v>222</v>
      </c>
      <c r="HS5" s="629">
        <f t="shared" si="61"/>
        <v>223</v>
      </c>
      <c r="HT5" s="629">
        <f t="shared" si="61"/>
        <v>224</v>
      </c>
      <c r="HU5" s="629">
        <f t="shared" si="61"/>
        <v>225</v>
      </c>
      <c r="HV5" s="629">
        <f t="shared" si="61"/>
        <v>226</v>
      </c>
      <c r="HW5" s="629">
        <f t="shared" si="61"/>
        <v>227</v>
      </c>
      <c r="HX5" s="629">
        <f t="shared" si="61"/>
        <v>228</v>
      </c>
      <c r="HY5" s="629">
        <f t="shared" si="61"/>
        <v>229</v>
      </c>
      <c r="HZ5" s="629">
        <f t="shared" si="61"/>
        <v>230</v>
      </c>
      <c r="IA5" s="629">
        <f t="shared" si="61"/>
        <v>231</v>
      </c>
      <c r="IB5" s="629">
        <f t="shared" si="61"/>
        <v>232</v>
      </c>
      <c r="IC5" s="629">
        <f t="shared" si="61"/>
        <v>233</v>
      </c>
      <c r="ID5" s="629">
        <f t="shared" si="61"/>
        <v>234</v>
      </c>
      <c r="IE5" s="629">
        <f t="shared" si="61"/>
        <v>235</v>
      </c>
      <c r="IF5" s="629">
        <f t="shared" si="61"/>
        <v>236</v>
      </c>
      <c r="IG5" s="629">
        <f t="shared" si="61"/>
        <v>237</v>
      </c>
      <c r="IH5" s="629">
        <f t="shared" si="61"/>
        <v>238</v>
      </c>
      <c r="II5" s="629">
        <f t="shared" si="61"/>
        <v>239</v>
      </c>
      <c r="IJ5" s="629">
        <f t="shared" si="61"/>
        <v>240</v>
      </c>
      <c r="IK5" s="629">
        <f t="shared" si="61"/>
        <v>241</v>
      </c>
      <c r="IL5" s="629">
        <f t="shared" si="61"/>
        <v>242</v>
      </c>
      <c r="IM5" s="629">
        <f t="shared" si="61"/>
        <v>243</v>
      </c>
      <c r="IN5" s="629">
        <f t="shared" si="61"/>
        <v>244</v>
      </c>
      <c r="IO5" s="629">
        <f t="shared" si="61"/>
        <v>245</v>
      </c>
      <c r="IP5" s="629">
        <f t="shared" si="61"/>
        <v>246</v>
      </c>
      <c r="IQ5" s="629">
        <f t="shared" ref="IQ5" si="62">IP5+1</f>
        <v>247</v>
      </c>
      <c r="IR5" s="629">
        <f t="shared" ref="IR5" si="63">IQ5+1</f>
        <v>248</v>
      </c>
      <c r="IS5" s="629">
        <f t="shared" ref="IS5" si="64">IR5+1</f>
        <v>249</v>
      </c>
      <c r="IT5" s="629">
        <f t="shared" ref="IT5" si="65">IS5+1</f>
        <v>250</v>
      </c>
      <c r="IU5" s="629">
        <f t="shared" ref="IU5" si="66">IT5+1</f>
        <v>251</v>
      </c>
      <c r="IV5" s="629">
        <f t="shared" ref="IV5" si="67">IU5+1</f>
        <v>252</v>
      </c>
      <c r="IW5" s="629">
        <f t="shared" ref="IW5" si="68">IV5+1</f>
        <v>253</v>
      </c>
      <c r="IX5" s="629">
        <f t="shared" ref="IX5" si="69">IW5+1</f>
        <v>254</v>
      </c>
      <c r="IY5" s="629">
        <f t="shared" ref="IY5" si="70">IX5+1</f>
        <v>255</v>
      </c>
      <c r="IZ5" s="629">
        <f t="shared" ref="IZ5" si="71">IY5+1</f>
        <v>256</v>
      </c>
      <c r="JA5" s="629">
        <f t="shared" ref="JA5" si="72">IZ5+1</f>
        <v>257</v>
      </c>
      <c r="JB5" s="629">
        <f t="shared" ref="JB5" si="73">JA5+1</f>
        <v>258</v>
      </c>
      <c r="JC5" s="629">
        <f t="shared" ref="JC5" si="74">JB5+1</f>
        <v>259</v>
      </c>
      <c r="JD5" s="629">
        <f t="shared" ref="JD5" si="75">JC5+1</f>
        <v>260</v>
      </c>
      <c r="JE5" s="629">
        <f t="shared" ref="JE5" si="76">JD5+1</f>
        <v>261</v>
      </c>
      <c r="JF5" s="629">
        <f t="shared" ref="JF5" si="77">JE5+1</f>
        <v>262</v>
      </c>
      <c r="JG5" s="629">
        <f t="shared" ref="JG5" si="78">JF5+1</f>
        <v>263</v>
      </c>
      <c r="JH5" s="629">
        <f t="shared" ref="JH5" si="79">JG5+1</f>
        <v>264</v>
      </c>
      <c r="JI5" s="629">
        <f t="shared" ref="JI5" si="80">JH5+1</f>
        <v>265</v>
      </c>
      <c r="JJ5" s="629">
        <f t="shared" ref="JJ5" si="81">JI5+1</f>
        <v>266</v>
      </c>
      <c r="JK5" s="629">
        <f t="shared" ref="JK5" si="82">JJ5+1</f>
        <v>267</v>
      </c>
      <c r="JL5" s="629">
        <f t="shared" ref="JL5" si="83">JK5+1</f>
        <v>268</v>
      </c>
      <c r="JM5" s="629">
        <f t="shared" ref="JM5" si="84">JL5+1</f>
        <v>269</v>
      </c>
      <c r="JN5" s="629">
        <f t="shared" ref="JN5" si="85">JM5+1</f>
        <v>270</v>
      </c>
      <c r="JO5" s="629">
        <f t="shared" ref="JO5" si="86">JN5+1</f>
        <v>271</v>
      </c>
      <c r="JP5" s="629">
        <f t="shared" ref="JP5" si="87">JO5+1</f>
        <v>272</v>
      </c>
      <c r="JQ5" s="629">
        <f t="shared" ref="JQ5" si="88">JP5+1</f>
        <v>273</v>
      </c>
      <c r="JR5" s="629">
        <f t="shared" ref="JR5" si="89">JQ5+1</f>
        <v>274</v>
      </c>
      <c r="JS5" s="629">
        <f t="shared" ref="JS5" si="90">JR5+1</f>
        <v>275</v>
      </c>
      <c r="JT5" s="629">
        <f t="shared" ref="JT5" si="91">JS5+1</f>
        <v>276</v>
      </c>
      <c r="JU5" s="629">
        <f t="shared" ref="JU5" si="92">JT5+1</f>
        <v>277</v>
      </c>
      <c r="JV5" s="629">
        <f t="shared" ref="JV5" si="93">JU5+1</f>
        <v>278</v>
      </c>
      <c r="JW5" s="629">
        <f t="shared" ref="JW5" si="94">JV5+1</f>
        <v>279</v>
      </c>
      <c r="JX5" s="629">
        <f t="shared" ref="JX5" si="95">JW5+1</f>
        <v>280</v>
      </c>
      <c r="JY5" s="629">
        <f t="shared" ref="JY5" si="96">JX5+1</f>
        <v>281</v>
      </c>
      <c r="JZ5" s="629">
        <f t="shared" ref="JZ5" si="97">JY5+1</f>
        <v>282</v>
      </c>
      <c r="KA5" s="629">
        <f t="shared" ref="KA5" si="98">JZ5+1</f>
        <v>283</v>
      </c>
      <c r="KB5" s="629">
        <f t="shared" ref="KB5" si="99">KA5+1</f>
        <v>284</v>
      </c>
      <c r="KC5" s="629">
        <f t="shared" ref="KC5" si="100">KB5+1</f>
        <v>285</v>
      </c>
      <c r="KD5" s="26"/>
      <c r="KE5" s="26"/>
      <c r="KF5" s="26"/>
      <c r="KG5" s="26"/>
      <c r="KH5" s="26"/>
      <c r="KI5" s="26"/>
      <c r="KJ5" s="26"/>
      <c r="KK5" s="26"/>
      <c r="KL5" s="26"/>
      <c r="KM5" s="26"/>
      <c r="KN5" s="26"/>
      <c r="KO5" s="26"/>
    </row>
    <row r="7" spans="2:301" x14ac:dyDescent="0.3">
      <c r="B7" s="29" t="s">
        <v>115</v>
      </c>
    </row>
    <row r="8" spans="2:301" x14ac:dyDescent="0.3">
      <c r="E8" s="45"/>
      <c r="F8" s="45"/>
      <c r="G8" s="45"/>
      <c r="H8" s="45"/>
      <c r="I8" s="45"/>
      <c r="J8" s="45"/>
      <c r="K8" s="45"/>
      <c r="L8" s="45"/>
      <c r="M8" s="45"/>
      <c r="N8" s="45"/>
      <c r="O8" s="45"/>
      <c r="P8" s="45"/>
      <c r="Q8" s="45"/>
      <c r="R8" s="45"/>
      <c r="S8" s="45"/>
      <c r="T8" s="45"/>
      <c r="U8" s="45"/>
      <c r="V8" s="45"/>
      <c r="W8" s="45"/>
      <c r="X8" s="45"/>
      <c r="Y8" s="45"/>
      <c r="Z8" s="45"/>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row>
    <row r="9" spans="2:301" x14ac:dyDescent="0.3">
      <c r="B9" s="1" t="str">
        <f>'Assumption Sheet'!A28</f>
        <v>Phase 1</v>
      </c>
      <c r="E9" s="33">
        <f>IFERROR(IF(E$1='Assumption Sheet'!$L28,'Assumption Sheet'!#REF!,D9*IF(MOD(E$5-'Assumption Sheet'!$W28,'Assumption Sheet'!$V28)=0,(1+'Assumption Sheet'!$U28),1)),0)</f>
        <v>0</v>
      </c>
      <c r="F9" s="33">
        <f>IFERROR(IF(F$1='Assumption Sheet'!$L28,'Assumption Sheet'!#REF!,E9*IF(MOD(F$5-'Assumption Sheet'!$W28,'Assumption Sheet'!$V28)=0,(1+'Assumption Sheet'!$U28),1)),0)</f>
        <v>0</v>
      </c>
      <c r="G9" s="33">
        <f>IFERROR(IF(G$1='Assumption Sheet'!$L28,'Assumption Sheet'!A28,F9*IF(MOD(G$5-'Assumption Sheet'!$W28,'Assumption Sheet'!$V28)=0,(1+'Assumption Sheet'!$U28),1)),0)</f>
        <v>0</v>
      </c>
      <c r="H9" s="33">
        <f>IFERROR(IF(H$1='Assumption Sheet'!$L28,'Assumption Sheet'!B28,G9*IF(MOD(H$5-'Assumption Sheet'!$W28,'Assumption Sheet'!$V28)=0,(1+'Assumption Sheet'!$U28),1)),0)</f>
        <v>0</v>
      </c>
      <c r="I9" s="33">
        <f>IFERROR(IF(I$1='Assumption Sheet'!$L28,'Assumption Sheet'!C28,H9*IF(MOD(I$5-'Assumption Sheet'!$W28,'Assumption Sheet'!$V28)=0,(1+'Assumption Sheet'!$U28),1)),0)</f>
        <v>0</v>
      </c>
      <c r="J9" s="33">
        <f>IFERROR(IF(J$1='Assumption Sheet'!$L28,'Assumption Sheet'!D28,I9*IF(MOD(J$5-'Assumption Sheet'!$W28,'Assumption Sheet'!$V28)=0,(1+'Assumption Sheet'!$U28),1)),0)</f>
        <v>0</v>
      </c>
      <c r="K9" s="33">
        <f>IFERROR(IF(K$1='Assumption Sheet'!$L28,'Assumption Sheet'!E28,J9*IF(MOD(K$5-'Assumption Sheet'!$W28,'Assumption Sheet'!$V28)=0,(1+'Assumption Sheet'!$U28),1)),0)</f>
        <v>0</v>
      </c>
      <c r="L9" s="33">
        <f>IFERROR(IF(L$1='Assumption Sheet'!$L28,'Assumption Sheet'!F28,K9*IF(MOD(L$5-'Assumption Sheet'!$W28,'Assumption Sheet'!$V28)=0,(1+'Assumption Sheet'!$U28),1)),0)</f>
        <v>0</v>
      </c>
      <c r="M9" s="33">
        <f>IFERROR(IF(M$1='Assumption Sheet'!$L28,'Assumption Sheet'!G28,L9*IF(MOD(M$5-'Assumption Sheet'!$W28,'Assumption Sheet'!$V28)=0,(1+'Assumption Sheet'!$U28),1)),0)</f>
        <v>0</v>
      </c>
      <c r="N9" s="33">
        <f>IFERROR(IF(N$1='Assumption Sheet'!$L28,'Assumption Sheet'!H28,M9*IF(MOD(N$5-'Assumption Sheet'!$W28,'Assumption Sheet'!$V28)=0,(1+'Assumption Sheet'!$U28),1)),0)</f>
        <v>0</v>
      </c>
      <c r="O9" s="33">
        <f>IFERROR(IF(O$1='Assumption Sheet'!$L28,'Assumption Sheet'!I28,N9*IF(MOD(O$5-'Assumption Sheet'!$W28,'Assumption Sheet'!$V28)=0,(1+'Assumption Sheet'!$U28),1)),0)</f>
        <v>0</v>
      </c>
      <c r="P9" s="33">
        <f>IFERROR(IF(P$1='Assumption Sheet'!$L28,'Assumption Sheet'!J28,O9*IF(MOD(P$5-'Assumption Sheet'!$W28,'Assumption Sheet'!$V28)=0,(1+'Assumption Sheet'!$U28),1)),0)</f>
        <v>0</v>
      </c>
      <c r="Q9" s="33">
        <f>IFERROR(IF(Q$1='Assumption Sheet'!$L28,'Assumption Sheet'!K28,P9*IF(MOD(Q$5-'Assumption Sheet'!$W28,'Assumption Sheet'!$V28)=0,(1+'Assumption Sheet'!$U28),1)),0)</f>
        <v>0</v>
      </c>
      <c r="R9" s="33">
        <f>IFERROR(IF(R$1='Assumption Sheet'!$L28,'Assumption Sheet'!L28,Q9*IF(MOD(R$5-'Assumption Sheet'!$W28,'Assumption Sheet'!$V28)=0,(1+'Assumption Sheet'!$U28),1)),0)</f>
        <v>0</v>
      </c>
      <c r="S9" s="33">
        <f>IFERROR(IF(S$1='Assumption Sheet'!$L28,'Assumption Sheet'!M28,R9*IF(MOD(S$5-'Assumption Sheet'!$W28,'Assumption Sheet'!$V28)=0,(1+'Assumption Sheet'!$U28),1)),0)</f>
        <v>0</v>
      </c>
      <c r="T9" s="33">
        <f>IFERROR(IF(T$1='Assumption Sheet'!$L28,'Assumption Sheet'!N28,S9*IF(MOD(T$5-'Assumption Sheet'!$W28,'Assumption Sheet'!$V28)=0,(1+'Assumption Sheet'!$U28),1)),0)</f>
        <v>0</v>
      </c>
      <c r="U9" s="33">
        <f>IFERROR(IF(U$1='Assumption Sheet'!$L28,'Assumption Sheet'!O28,T9*IF(MOD(U$5-'Assumption Sheet'!$W28,'Assumption Sheet'!$V28)=0,(1+'Assumption Sheet'!$U28),1)),0)</f>
        <v>0</v>
      </c>
      <c r="V9" s="33">
        <f>IFERROR(IF(V$1='Assumption Sheet'!$L28,'Assumption Sheet'!P28,U9*IF(MOD(V$5-'Assumption Sheet'!$W28,'Assumption Sheet'!$V28)=0,(1+'Assumption Sheet'!$U28),1)),0)</f>
        <v>0</v>
      </c>
      <c r="W9" s="33">
        <f>IFERROR(IF(W$1='Assumption Sheet'!$L28,'Assumption Sheet'!$Q28,V9*IF(MOD(W$5-'Assumption Sheet'!$W28,'Assumption Sheet'!$V28)=0,(1+'Assumption Sheet'!$U28),1)),0)</f>
        <v>20.5</v>
      </c>
      <c r="X9" s="33">
        <f>IFERROR(IF(X$1='Assumption Sheet'!$L28,'Assumption Sheet'!$Q28,W9*IF(MOD(X$5-'Assumption Sheet'!$W28,'Assumption Sheet'!$V28)=0,(1+'Assumption Sheet'!$U28),1)),0)</f>
        <v>20.5</v>
      </c>
      <c r="Y9" s="33">
        <f>IFERROR(IF(Y$1='Assumption Sheet'!$L28,'Assumption Sheet'!$Q28,X9*IF(MOD(Y$5-'Assumption Sheet'!$W28,'Assumption Sheet'!$V28)=0,(1+'Assumption Sheet'!$U28),1)),0)</f>
        <v>20.5</v>
      </c>
      <c r="Z9" s="33">
        <f>IFERROR(IF(Z$1='Assumption Sheet'!$L28,'Assumption Sheet'!$Q28,Y9*IF(MOD(Z$5-'Assumption Sheet'!$W28,'Assumption Sheet'!$V28)=0,(1+'Assumption Sheet'!$U28),1)),0)</f>
        <v>20.5</v>
      </c>
      <c r="AA9" s="33">
        <f>IFERROR(IF(AA$1='Assumption Sheet'!$L28,'Assumption Sheet'!$Q28,Z9*IF(MOD(AA$5-'Assumption Sheet'!$W28,'Assumption Sheet'!$V28)=0,(1+'Assumption Sheet'!$U28),1)),0)</f>
        <v>20.5</v>
      </c>
      <c r="AB9" s="33">
        <f>IFERROR(IF(AB$1='Assumption Sheet'!$L28,'Assumption Sheet'!$Q28,AA9*IF(MOD(AB$5-'Assumption Sheet'!$W28,'Assumption Sheet'!$V28)=0,(1+'Assumption Sheet'!$U28),1)),0)</f>
        <v>20.5</v>
      </c>
      <c r="AC9" s="33">
        <f>IFERROR(IF(AC$1='Assumption Sheet'!$L28,'Assumption Sheet'!$Q28,AB9*IF(MOD(AC$5-'Assumption Sheet'!$W28,'Assumption Sheet'!$V28)=0,(1+'Assumption Sheet'!$U28),1)),0)</f>
        <v>20.5</v>
      </c>
      <c r="AD9" s="33">
        <f>IFERROR(IF(AD$1='Assumption Sheet'!$L28,'Assumption Sheet'!$Q28,AC9*IF(MOD(AD$5-'Assumption Sheet'!$W28,'Assumption Sheet'!$V28)=0,(1+'Assumption Sheet'!$U28),1)),0)</f>
        <v>20.5</v>
      </c>
      <c r="AE9" s="33">
        <f>IFERROR(IF(AE$1='Assumption Sheet'!$L28,'Assumption Sheet'!$Q28,AD9*IF(MOD(AE$5-'Assumption Sheet'!$W28,'Assumption Sheet'!$V28)=0,(1+'Assumption Sheet'!$U28),1)),0)</f>
        <v>20.5</v>
      </c>
      <c r="AF9" s="33">
        <f>IFERROR(IF(AF$1='Assumption Sheet'!$L28,'Assumption Sheet'!$Q28,AE9*IF(MOD(AF$5-'Assumption Sheet'!$W28,'Assumption Sheet'!$V28)=0,(1+'Assumption Sheet'!$U28),1)),0)</f>
        <v>20.5</v>
      </c>
      <c r="AG9" s="33">
        <f>IFERROR(IF(AG$1='Assumption Sheet'!$L28,'Assumption Sheet'!$Q28,AF9*IF(MOD(AG$5-'Assumption Sheet'!$W28,'Assumption Sheet'!$V28)=0,(1+'Assumption Sheet'!$U28),1)),0)</f>
        <v>20.5</v>
      </c>
      <c r="AH9" s="33">
        <f>IFERROR(IF(AH$1='Assumption Sheet'!$L28,'Assumption Sheet'!$Q28,AG9*IF(MOD(AH$5-'Assumption Sheet'!$W28,'Assumption Sheet'!$V28)=0,(1+'Assumption Sheet'!$U28),1)),0)</f>
        <v>20.5</v>
      </c>
      <c r="AI9" s="33">
        <f>IFERROR(IF(AI$1='Assumption Sheet'!$L28,'Assumption Sheet'!$Q28,AH9*IF(MOD(AI$5-'Assumption Sheet'!$W28,'Assumption Sheet'!$V28)=0,(1+'Assumption Sheet'!$U28),1)),0)</f>
        <v>21.525000000000002</v>
      </c>
      <c r="AJ9" s="33">
        <f>IFERROR(IF(AJ$1='Assumption Sheet'!$L28,'Assumption Sheet'!$Q28,AI9*IF(MOD(AJ$5-'Assumption Sheet'!$W28,'Assumption Sheet'!$V28)=0,(1+'Assumption Sheet'!$U28),1)),0)</f>
        <v>21.525000000000002</v>
      </c>
      <c r="AK9" s="33">
        <f>IFERROR(IF(AK$1='Assumption Sheet'!$L28,'Assumption Sheet'!$Q28,AJ9*IF(MOD(AK$5-'Assumption Sheet'!$W28,'Assumption Sheet'!$V28)=0,(1+'Assumption Sheet'!$U28),1)),0)</f>
        <v>21.525000000000002</v>
      </c>
      <c r="AL9" s="33">
        <f>IFERROR(IF(AL$1='Assumption Sheet'!$L28,'Assumption Sheet'!$Q28,AK9*IF(MOD(AL$5-'Assumption Sheet'!$W28,'Assumption Sheet'!$V28)=0,(1+'Assumption Sheet'!$U28),1)),0)</f>
        <v>21.525000000000002</v>
      </c>
      <c r="AM9" s="33">
        <f>IFERROR(IF(AM$1='Assumption Sheet'!$L28,'Assumption Sheet'!$Q28,AL9*IF(MOD(AM$5-'Assumption Sheet'!$W28,'Assumption Sheet'!$V28)=0,(1+'Assumption Sheet'!$U28),1)),0)</f>
        <v>21.525000000000002</v>
      </c>
      <c r="AN9" s="33">
        <f>IFERROR(IF(AN$1='Assumption Sheet'!$L28,'Assumption Sheet'!$Q28,AM9*IF(MOD(AN$5-'Assumption Sheet'!$W28,'Assumption Sheet'!$V28)=0,(1+'Assumption Sheet'!$U28),1)),0)</f>
        <v>21.525000000000002</v>
      </c>
      <c r="AO9" s="33">
        <f>IFERROR(IF(AO$1='Assumption Sheet'!$L28,'Assumption Sheet'!$Q28,AN9*IF(MOD(AO$5-'Assumption Sheet'!$W28,'Assumption Sheet'!$V28)=0,(1+'Assumption Sheet'!$U28),1)),0)</f>
        <v>21.525000000000002</v>
      </c>
      <c r="AP9" s="33">
        <f>IFERROR(IF(AP$1='Assumption Sheet'!$L28,'Assumption Sheet'!$Q28,AO9*IF(MOD(AP$5-'Assumption Sheet'!$W28,'Assumption Sheet'!$V28)=0,(1+'Assumption Sheet'!$U28),1)),0)</f>
        <v>21.525000000000002</v>
      </c>
      <c r="AQ9" s="33">
        <f>IFERROR(IF(AQ$1='Assumption Sheet'!$L28,'Assumption Sheet'!$Q28,AP9*IF(MOD(AQ$5-'Assumption Sheet'!$W28,'Assumption Sheet'!$V28)=0,(1+'Assumption Sheet'!$U28),1)),0)</f>
        <v>21.525000000000002</v>
      </c>
      <c r="AR9" s="33">
        <f>IFERROR(IF(AR$1='Assumption Sheet'!$L28,'Assumption Sheet'!$Q28,AQ9*IF(MOD(AR$5-'Assumption Sheet'!$W28,'Assumption Sheet'!$V28)=0,(1+'Assumption Sheet'!$U28),1)),0)</f>
        <v>21.525000000000002</v>
      </c>
      <c r="AS9" s="33">
        <f>IFERROR(IF(AS$1='Assumption Sheet'!$L28,'Assumption Sheet'!$Q28,AR9*IF(MOD(AS$5-'Assumption Sheet'!$W28,'Assumption Sheet'!$V28)=0,(1+'Assumption Sheet'!$U28),1)),0)</f>
        <v>21.525000000000002</v>
      </c>
      <c r="AT9" s="33">
        <f>IFERROR(IF(AT$1='Assumption Sheet'!$L28,'Assumption Sheet'!$Q28,AS9*IF(MOD(AT$5-'Assumption Sheet'!$W28,'Assumption Sheet'!$V28)=0,(1+'Assumption Sheet'!$U28),1)),0)</f>
        <v>21.525000000000002</v>
      </c>
      <c r="AU9" s="33">
        <f>IFERROR(IF(AU$1='Assumption Sheet'!$L28,'Assumption Sheet'!$Q28,AT9*IF(MOD(AU$5-'Assumption Sheet'!$W28,'Assumption Sheet'!$V28)=0,(1+'Assumption Sheet'!$U28),1)),0)</f>
        <v>22.601250000000004</v>
      </c>
      <c r="AV9" s="33">
        <f>IFERROR(IF(AV$1='Assumption Sheet'!$L28,'Assumption Sheet'!$Q28,AU9*IF(MOD(AV$5-'Assumption Sheet'!$W28,'Assumption Sheet'!$V28)=0,(1+'Assumption Sheet'!$U28),1)),0)</f>
        <v>22.601250000000004</v>
      </c>
      <c r="AW9" s="33">
        <f>IFERROR(IF(AW$1='Assumption Sheet'!$L28,'Assumption Sheet'!$Q28,AV9*IF(MOD(AW$5-'Assumption Sheet'!$W28,'Assumption Sheet'!$V28)=0,(1+'Assumption Sheet'!$U28),1)),0)</f>
        <v>22.601250000000004</v>
      </c>
      <c r="AX9" s="33">
        <f>IFERROR(IF(AX$1='Assumption Sheet'!$L28,'Assumption Sheet'!$Q28,AW9*IF(MOD(AX$5-'Assumption Sheet'!$W28,'Assumption Sheet'!$V28)=0,(1+'Assumption Sheet'!$U28),1)),0)</f>
        <v>22.601250000000004</v>
      </c>
      <c r="AY9" s="33">
        <f>IFERROR(IF(AY$1='Assumption Sheet'!$L28,'Assumption Sheet'!$Q28,AX9*IF(MOD(AY$5-'Assumption Sheet'!$W28,'Assumption Sheet'!$V28)=0,(1+'Assumption Sheet'!$U28),1)),0)</f>
        <v>22.601250000000004</v>
      </c>
      <c r="AZ9" s="33">
        <f>IFERROR(IF(AZ$1='Assumption Sheet'!$L28,'Assumption Sheet'!$Q28,AY9*IF(MOD(AZ$5-'Assumption Sheet'!$W28,'Assumption Sheet'!$V28)=0,(1+'Assumption Sheet'!$U28),1)),0)</f>
        <v>22.601250000000004</v>
      </c>
      <c r="BA9" s="33">
        <f>IFERROR(IF(BA$1='Assumption Sheet'!$L28,'Assumption Sheet'!$Q28,AZ9*IF(MOD(BA$5-'Assumption Sheet'!$W28,'Assumption Sheet'!$V28)=0,(1+'Assumption Sheet'!$U28),1)),0)</f>
        <v>22.601250000000004</v>
      </c>
      <c r="BB9" s="33">
        <f>IFERROR(IF(BB$1='Assumption Sheet'!$L28,'Assumption Sheet'!$Q28,BA9*IF(MOD(BB$5-'Assumption Sheet'!$W28,'Assumption Sheet'!$V28)=0,(1+'Assumption Sheet'!$U28),1)),0)</f>
        <v>22.601250000000004</v>
      </c>
      <c r="BC9" s="33">
        <f>IFERROR(IF(BC$1='Assumption Sheet'!$L28,'Assumption Sheet'!$Q28,BB9*IF(MOD(BC$5-'Assumption Sheet'!$W28,'Assumption Sheet'!$V28)=0,(1+'Assumption Sheet'!$U28),1)),0)</f>
        <v>22.601250000000004</v>
      </c>
      <c r="BD9" s="33">
        <f>IFERROR(IF(BD$1='Assumption Sheet'!$L28,'Assumption Sheet'!$Q28,BC9*IF(MOD(BD$5-'Assumption Sheet'!$W28,'Assumption Sheet'!$V28)=0,(1+'Assumption Sheet'!$U28),1)),0)</f>
        <v>22.601250000000004</v>
      </c>
      <c r="BE9" s="33">
        <f>IFERROR(IF(BE$1='Assumption Sheet'!$L28,'Assumption Sheet'!$Q28,BD9*IF(MOD(BE$5-'Assumption Sheet'!$W28,'Assumption Sheet'!$V28)=0,(1+'Assumption Sheet'!$U28),1)),0)</f>
        <v>22.601250000000004</v>
      </c>
      <c r="BF9" s="33">
        <f>IFERROR(IF(BF$1='Assumption Sheet'!$L28,'Assumption Sheet'!$Q28,BE9*IF(MOD(BF$5-'Assumption Sheet'!$W28,'Assumption Sheet'!$V28)=0,(1+'Assumption Sheet'!$U28),1)),0)</f>
        <v>22.601250000000004</v>
      </c>
      <c r="BG9" s="33">
        <f>IFERROR(IF(BG$1='Assumption Sheet'!$L28,'Assumption Sheet'!$Q28,BF9*IF(MOD(BG$5-'Assumption Sheet'!$W28,'Assumption Sheet'!$V28)=0,(1+'Assumption Sheet'!$U28),1)),0)</f>
        <v>23.731312500000005</v>
      </c>
      <c r="BH9" s="33">
        <f>IFERROR(IF(BH$1='Assumption Sheet'!$L28,'Assumption Sheet'!$Q28,BG9*IF(MOD(BH$5-'Assumption Sheet'!$W28,'Assumption Sheet'!$V28)=0,(1+'Assumption Sheet'!$U28),1)),0)</f>
        <v>23.731312500000005</v>
      </c>
      <c r="BI9" s="33">
        <f>IFERROR(IF(BI$1='Assumption Sheet'!$L28,'Assumption Sheet'!$Q28,BH9*IF(MOD(BI$5-'Assumption Sheet'!$W28,'Assumption Sheet'!$V28)=0,(1+'Assumption Sheet'!$U28),1)),0)</f>
        <v>23.731312500000005</v>
      </c>
      <c r="BJ9" s="33">
        <f>IFERROR(IF(BJ$1='Assumption Sheet'!$L28,'Assumption Sheet'!$Q28,BI9*IF(MOD(BJ$5-'Assumption Sheet'!$W28,'Assumption Sheet'!$V28)=0,(1+'Assumption Sheet'!$U28),1)),0)</f>
        <v>23.731312500000005</v>
      </c>
      <c r="BK9" s="33">
        <f>IFERROR(IF(BK$1='Assumption Sheet'!$L28,'Assumption Sheet'!$Q28,BJ9*IF(MOD(BK$5-'Assumption Sheet'!$W28,'Assumption Sheet'!$V28)=0,(1+'Assumption Sheet'!$U28),1)),0)</f>
        <v>23.731312500000005</v>
      </c>
      <c r="BL9" s="33">
        <f>IFERROR(IF(BL$1='Assumption Sheet'!$L28,'Assumption Sheet'!$Q28,BK9*IF(MOD(BL$5-'Assumption Sheet'!$W28,'Assumption Sheet'!$V28)=0,(1+'Assumption Sheet'!$U28),1)),0)</f>
        <v>23.731312500000005</v>
      </c>
      <c r="BM9" s="33">
        <f>IFERROR(IF(BM$1='Assumption Sheet'!$L28,'Assumption Sheet'!$Q28,BL9*IF(MOD(BM$5-'Assumption Sheet'!$W28,'Assumption Sheet'!$V28)=0,(1+'Assumption Sheet'!$U28),1)),0)</f>
        <v>23.731312500000005</v>
      </c>
      <c r="BN9" s="33">
        <f>IFERROR(IF(BN$1='Assumption Sheet'!$L28,'Assumption Sheet'!$Q28,BM9*IF(MOD(BN$5-'Assumption Sheet'!$W28,'Assumption Sheet'!$V28)=0,(1+'Assumption Sheet'!$U28),1)),0)</f>
        <v>23.731312500000005</v>
      </c>
      <c r="BO9" s="33">
        <f>IFERROR(IF(BO$1='Assumption Sheet'!$L28,'Assumption Sheet'!$Q28,BN9*IF(MOD(BO$5-'Assumption Sheet'!$W28,'Assumption Sheet'!$V28)=0,(1+'Assumption Sheet'!$U28),1)),0)</f>
        <v>23.731312500000005</v>
      </c>
      <c r="BP9" s="33">
        <f>IFERROR(IF(BP$1='Assumption Sheet'!$L28,'Assumption Sheet'!$Q28,BO9*IF(MOD(BP$5-'Assumption Sheet'!$W28,'Assumption Sheet'!$V28)=0,(1+'Assumption Sheet'!$U28),1)),0)</f>
        <v>23.731312500000005</v>
      </c>
      <c r="BQ9" s="33">
        <f>IFERROR(IF(BQ$1='Assumption Sheet'!$L28,'Assumption Sheet'!$Q28,BP9*IF(MOD(BQ$5-'Assumption Sheet'!$W28,'Assumption Sheet'!$V28)=0,(1+'Assumption Sheet'!$U28),1)),0)</f>
        <v>23.731312500000005</v>
      </c>
      <c r="BR9" s="33">
        <f>IFERROR(IF(BR$1='Assumption Sheet'!$L28,'Assumption Sheet'!$Q28,BQ9*IF(MOD(BR$5-'Assumption Sheet'!$W28,'Assumption Sheet'!$V28)=0,(1+'Assumption Sheet'!$U28),1)),0)</f>
        <v>23.731312500000005</v>
      </c>
      <c r="BS9" s="33">
        <f>IFERROR(IF(BS$1='Assumption Sheet'!$L28,'Assumption Sheet'!$Q28,BR9*IF(MOD(BS$5-'Assumption Sheet'!$W28,'Assumption Sheet'!$V28)=0,(1+'Assumption Sheet'!$U28),1)),0)</f>
        <v>24.917878125000005</v>
      </c>
      <c r="BT9" s="33">
        <f>IFERROR(IF(BT$1='Assumption Sheet'!$L28,'Assumption Sheet'!$Q28,BS9*IF(MOD(BT$5-'Assumption Sheet'!$W28,'Assumption Sheet'!$V28)=0,(1+'Assumption Sheet'!$U28),1)),0)</f>
        <v>24.917878125000005</v>
      </c>
      <c r="BU9" s="33">
        <f>IFERROR(IF(BU$1='Assumption Sheet'!$L28,'Assumption Sheet'!$Q28,BT9*IF(MOD(BU$5-'Assumption Sheet'!$W28,'Assumption Sheet'!$V28)=0,(1+'Assumption Sheet'!$U28),1)),0)</f>
        <v>24.917878125000005</v>
      </c>
      <c r="BV9" s="33">
        <f>IFERROR(IF(BV$1='Assumption Sheet'!$L28,'Assumption Sheet'!$Q28,BU9*IF(MOD(BV$5-'Assumption Sheet'!$W28,'Assumption Sheet'!$V28)=0,(1+'Assumption Sheet'!$U28),1)),0)</f>
        <v>24.917878125000005</v>
      </c>
      <c r="BW9" s="33">
        <f>IFERROR(IF(BW$1='Assumption Sheet'!$L28,'Assumption Sheet'!$Q28,BV9*IF(MOD(BW$5-'Assumption Sheet'!$W28,'Assumption Sheet'!$V28)=0,(1+'Assumption Sheet'!$U28),1)),0)</f>
        <v>24.917878125000005</v>
      </c>
      <c r="BX9" s="33">
        <f>IFERROR(IF(BX$1='Assumption Sheet'!$L28,'Assumption Sheet'!$Q28,BW9*IF(MOD(BX$5-'Assumption Sheet'!$W28,'Assumption Sheet'!$V28)=0,(1+'Assumption Sheet'!$U28),1)),0)</f>
        <v>24.917878125000005</v>
      </c>
      <c r="BY9" s="33">
        <f>IFERROR(IF(BY$1='Assumption Sheet'!$L28,'Assumption Sheet'!$Q28,BX9*IF(MOD(BY$5-'Assumption Sheet'!$W28,'Assumption Sheet'!$V28)=0,(1+'Assumption Sheet'!$U28),1)),0)</f>
        <v>24.917878125000005</v>
      </c>
      <c r="BZ9" s="33">
        <f>IFERROR(IF(BZ$1='Assumption Sheet'!$L28,'Assumption Sheet'!$Q28,BY9*IF(MOD(BZ$5-'Assumption Sheet'!$W28,'Assumption Sheet'!$V28)=0,(1+'Assumption Sheet'!$U28),1)),0)</f>
        <v>24.917878125000005</v>
      </c>
      <c r="CA9" s="33">
        <f>IFERROR(IF(CA$1='Assumption Sheet'!$L28,'Assumption Sheet'!$Q28,BZ9*IF(MOD(CA$5-'Assumption Sheet'!$W28,'Assumption Sheet'!$V28)=0,(1+'Assumption Sheet'!$U28),1)),0)</f>
        <v>24.917878125000005</v>
      </c>
      <c r="CB9" s="33">
        <f>IFERROR(IF(CB$1='Assumption Sheet'!$L28,'Assumption Sheet'!$Q28,CA9*IF(MOD(CB$5-'Assumption Sheet'!$W28,'Assumption Sheet'!$V28)=0,(1+'Assumption Sheet'!$U28),1)),0)</f>
        <v>24.917878125000005</v>
      </c>
      <c r="CC9" s="33">
        <f>IFERROR(IF(CC$1='Assumption Sheet'!$L28,'Assumption Sheet'!$Q28,CB9*IF(MOD(CC$5-'Assumption Sheet'!$W28,'Assumption Sheet'!$V28)=0,(1+'Assumption Sheet'!$U28),1)),0)</f>
        <v>24.917878125000005</v>
      </c>
      <c r="CD9" s="33">
        <f>IFERROR(IF(CD$1='Assumption Sheet'!$L28,'Assumption Sheet'!$Q28,CC9*IF(MOD(CD$5-'Assumption Sheet'!$W28,'Assumption Sheet'!$V28)=0,(1+'Assumption Sheet'!$U28),1)),0)</f>
        <v>24.917878125000005</v>
      </c>
      <c r="CE9" s="33">
        <f>IFERROR(IF(CE$1='Assumption Sheet'!$L28,'Assumption Sheet'!$Q28,CD9*IF(MOD(CE$5-'Assumption Sheet'!$W28,'Assumption Sheet'!$V28)=0,(1+'Assumption Sheet'!$U28),1)),0)</f>
        <v>26.163772031250005</v>
      </c>
      <c r="CF9" s="33">
        <f>IFERROR(IF(CF$1='Assumption Sheet'!$L28,'Assumption Sheet'!$Q28,CE9*IF(MOD(CF$5-'Assumption Sheet'!$W28,'Assumption Sheet'!$V28)=0,(1+'Assumption Sheet'!$U28),1)),0)</f>
        <v>26.163772031250005</v>
      </c>
      <c r="CG9" s="33">
        <f>IFERROR(IF(CG$1='Assumption Sheet'!$L28,'Assumption Sheet'!$Q28,CF9*IF(MOD(CG$5-'Assumption Sheet'!$W28,'Assumption Sheet'!$V28)=0,(1+'Assumption Sheet'!$U28),1)),0)</f>
        <v>26.163772031250005</v>
      </c>
      <c r="CH9" s="33">
        <f>IFERROR(IF(CH$1='Assumption Sheet'!$L28,'Assumption Sheet'!$Q28,CG9*IF(MOD(CH$5-'Assumption Sheet'!$W28,'Assumption Sheet'!$V28)=0,(1+'Assumption Sheet'!$U28),1)),0)</f>
        <v>26.163772031250005</v>
      </c>
      <c r="CI9" s="33">
        <f>IFERROR(IF(CI$1='Assumption Sheet'!$L28,'Assumption Sheet'!$Q28,CH9*IF(MOD(CI$5-'Assumption Sheet'!$W28,'Assumption Sheet'!$V28)=0,(1+'Assumption Sheet'!$U28),1)),0)</f>
        <v>26.163772031250005</v>
      </c>
      <c r="CJ9" s="33">
        <f>IFERROR(IF(CJ$1='Assumption Sheet'!$L28,'Assumption Sheet'!$Q28,CI9*IF(MOD(CJ$5-'Assumption Sheet'!$W28,'Assumption Sheet'!$V28)=0,(1+'Assumption Sheet'!$U28),1)),0)</f>
        <v>26.163772031250005</v>
      </c>
      <c r="CK9" s="33">
        <f>IFERROR(IF(CK$1='Assumption Sheet'!$L28,'Assumption Sheet'!$Q28,CJ9*IF(MOD(CK$5-'Assumption Sheet'!$W28,'Assumption Sheet'!$V28)=0,(1+'Assumption Sheet'!$U28),1)),0)</f>
        <v>26.163772031250005</v>
      </c>
      <c r="CL9" s="33">
        <f>IFERROR(IF(CL$1='Assumption Sheet'!$L28,'Assumption Sheet'!$Q28,CK9*IF(MOD(CL$5-'Assumption Sheet'!$W28,'Assumption Sheet'!$V28)=0,(1+'Assumption Sheet'!$U28),1)),0)</f>
        <v>26.163772031250005</v>
      </c>
      <c r="CM9" s="33">
        <f>IFERROR(IF(CM$1='Assumption Sheet'!$L28,'Assumption Sheet'!$Q28,CL9*IF(MOD(CM$5-'Assumption Sheet'!$W28,'Assumption Sheet'!$V28)=0,(1+'Assumption Sheet'!$U28),1)),0)</f>
        <v>26.163772031250005</v>
      </c>
      <c r="CN9" s="33">
        <f>IFERROR(IF(CN$1='Assumption Sheet'!$L28,'Assumption Sheet'!$Q28,CM9*IF(MOD(CN$5-'Assumption Sheet'!$W28,'Assumption Sheet'!$V28)=0,(1+'Assumption Sheet'!$U28),1)),0)</f>
        <v>26.163772031250005</v>
      </c>
      <c r="CO9" s="33">
        <f>IFERROR(IF(CO$1='Assumption Sheet'!$L28,'Assumption Sheet'!$Q28,CN9*IF(MOD(CO$5-'Assumption Sheet'!$W28,'Assumption Sheet'!$V28)=0,(1+'Assumption Sheet'!$U28),1)),0)</f>
        <v>26.163772031250005</v>
      </c>
      <c r="CP9" s="33">
        <f>IFERROR(IF(CP$1='Assumption Sheet'!$L28,'Assumption Sheet'!$Q28,CO9*IF(MOD(CP$5-'Assumption Sheet'!$W28,'Assumption Sheet'!$V28)=0,(1+'Assumption Sheet'!$U28),1)),0)</f>
        <v>26.163772031250005</v>
      </c>
      <c r="CQ9" s="33">
        <f>IFERROR(IF(CQ$1='Assumption Sheet'!$L28,'Assumption Sheet'!$Q28,CP9*IF(MOD(CQ$5-'Assumption Sheet'!$W28,'Assumption Sheet'!$V28)=0,(1+'Assumption Sheet'!$U28),1)),0)</f>
        <v>27.471960632812507</v>
      </c>
      <c r="CR9" s="33">
        <f>IFERROR(IF(CR$1='Assumption Sheet'!$L28,'Assumption Sheet'!$Q28,CQ9*IF(MOD(CR$5-'Assumption Sheet'!$W28,'Assumption Sheet'!$V28)=0,(1+'Assumption Sheet'!$U28),1)),0)</f>
        <v>27.471960632812507</v>
      </c>
      <c r="CS9" s="33">
        <f>IFERROR(IF(CS$1='Assumption Sheet'!$L28,'Assumption Sheet'!$Q28,CR9*IF(MOD(CS$5-'Assumption Sheet'!$W28,'Assumption Sheet'!$V28)=0,(1+'Assumption Sheet'!$U28),1)),0)</f>
        <v>27.471960632812507</v>
      </c>
      <c r="CT9" s="33">
        <f>IFERROR(IF(CT$1='Assumption Sheet'!$L28,'Assumption Sheet'!$Q28,CS9*IF(MOD(CT$5-'Assumption Sheet'!$W28,'Assumption Sheet'!$V28)=0,(1+'Assumption Sheet'!$U28),1)),0)</f>
        <v>27.471960632812507</v>
      </c>
      <c r="CU9" s="33">
        <f>IFERROR(IF(CU$1='Assumption Sheet'!$L28,'Assumption Sheet'!$Q28,CT9*IF(MOD(CU$5-'Assumption Sheet'!$W28,'Assumption Sheet'!$V28)=0,(1+'Assumption Sheet'!$U28),1)),0)</f>
        <v>27.471960632812507</v>
      </c>
      <c r="CV9" s="33">
        <f>IFERROR(IF(CV$1='Assumption Sheet'!$L28,'Assumption Sheet'!$Q28,CU9*IF(MOD(CV$5-'Assumption Sheet'!$W28,'Assumption Sheet'!$V28)=0,(1+'Assumption Sheet'!$U28),1)),0)</f>
        <v>27.471960632812507</v>
      </c>
      <c r="CW9" s="33">
        <f>IFERROR(IF(CW$1='Assumption Sheet'!$L28,'Assumption Sheet'!$Q28,CV9*IF(MOD(CW$5-'Assumption Sheet'!$W28,'Assumption Sheet'!$V28)=0,(1+'Assumption Sheet'!$U28),1)),0)</f>
        <v>27.471960632812507</v>
      </c>
      <c r="CX9" s="33">
        <f>IFERROR(IF(CX$1='Assumption Sheet'!$L28,'Assumption Sheet'!$Q28,CW9*IF(MOD(CX$5-'Assumption Sheet'!$W28,'Assumption Sheet'!$V28)=0,(1+'Assumption Sheet'!$U28),1)),0)</f>
        <v>27.471960632812507</v>
      </c>
      <c r="CY9" s="33">
        <f>IFERROR(IF(CY$1='Assumption Sheet'!$L28,'Assumption Sheet'!$Q28,CX9*IF(MOD(CY$5-'Assumption Sheet'!$W28,'Assumption Sheet'!$V28)=0,(1+'Assumption Sheet'!$U28),1)),0)</f>
        <v>27.471960632812507</v>
      </c>
      <c r="CZ9" s="33">
        <f>IFERROR(IF(CZ$1='Assumption Sheet'!$L28,'Assumption Sheet'!$Q28,CY9*IF(MOD(CZ$5-'Assumption Sheet'!$W28,'Assumption Sheet'!$V28)=0,(1+'Assumption Sheet'!$U28),1)),0)</f>
        <v>27.471960632812507</v>
      </c>
      <c r="DA9" s="33">
        <f>IFERROR(IF(DA$1='Assumption Sheet'!$L28,'Assumption Sheet'!$Q28,CZ9*IF(MOD(DA$5-'Assumption Sheet'!$W28,'Assumption Sheet'!$V28)=0,(1+'Assumption Sheet'!$U28),1)),0)</f>
        <v>27.471960632812507</v>
      </c>
      <c r="DB9" s="33">
        <f>IFERROR(IF(DB$1='Assumption Sheet'!$L28,'Assumption Sheet'!$Q28,DA9*IF(MOD(DB$5-'Assumption Sheet'!$W28,'Assumption Sheet'!$V28)=0,(1+'Assumption Sheet'!$U28),1)),0)</f>
        <v>27.471960632812507</v>
      </c>
      <c r="DC9" s="33">
        <f>IFERROR(IF(DC$1='Assumption Sheet'!$L28,'Assumption Sheet'!$Q28,DB9*IF(MOD(DC$5-'Assumption Sheet'!$W28,'Assumption Sheet'!$V28)=0,(1+'Assumption Sheet'!$U28),1)),0)</f>
        <v>28.845558664453133</v>
      </c>
      <c r="DD9" s="33">
        <f>IFERROR(IF(DD$1='Assumption Sheet'!$L28,'Assumption Sheet'!$Q28,DC9*IF(MOD(DD$5-'Assumption Sheet'!$W28,'Assumption Sheet'!$V28)=0,(1+'Assumption Sheet'!$U28),1)),0)</f>
        <v>28.845558664453133</v>
      </c>
      <c r="DE9" s="33">
        <f>IFERROR(IF(DE$1='Assumption Sheet'!$L28,'Assumption Sheet'!$Q28,DD9*IF(MOD(DE$5-'Assumption Sheet'!$W28,'Assumption Sheet'!$V28)=0,(1+'Assumption Sheet'!$U28),1)),0)</f>
        <v>28.845558664453133</v>
      </c>
      <c r="DF9" s="33">
        <f>IFERROR(IF(DF$1='Assumption Sheet'!$L28,'Assumption Sheet'!$Q28,DE9*IF(MOD(DF$5-'Assumption Sheet'!$W28,'Assumption Sheet'!$V28)=0,(1+'Assumption Sheet'!$U28),1)),0)</f>
        <v>28.845558664453133</v>
      </c>
      <c r="DG9" s="33">
        <f>IFERROR(IF(DG$1='Assumption Sheet'!$L28,'Assumption Sheet'!$Q28,DF9*IF(MOD(DG$5-'Assumption Sheet'!$W28,'Assumption Sheet'!$V28)=0,(1+'Assumption Sheet'!$U28),1)),0)</f>
        <v>28.845558664453133</v>
      </c>
      <c r="DH9" s="33">
        <f>IFERROR(IF(DH$1='Assumption Sheet'!$L28,'Assumption Sheet'!$Q28,DG9*IF(MOD(DH$5-'Assumption Sheet'!$W28,'Assumption Sheet'!$V28)=0,(1+'Assumption Sheet'!$U28),1)),0)</f>
        <v>28.845558664453133</v>
      </c>
      <c r="DI9" s="33">
        <f>IFERROR(IF(DI$1='Assumption Sheet'!$L28,'Assumption Sheet'!$Q28,DH9*IF(MOD(DI$5-'Assumption Sheet'!$W28,'Assumption Sheet'!$V28)=0,(1+'Assumption Sheet'!$U28),1)),0)</f>
        <v>28.845558664453133</v>
      </c>
      <c r="DJ9" s="33">
        <f>IFERROR(IF(DJ$1='Assumption Sheet'!$L28,'Assumption Sheet'!$Q28,DI9*IF(MOD(DJ$5-'Assumption Sheet'!$W28,'Assumption Sheet'!$V28)=0,(1+'Assumption Sheet'!$U28),1)),0)</f>
        <v>28.845558664453133</v>
      </c>
      <c r="DK9" s="33">
        <f>IFERROR(IF(DK$1='Assumption Sheet'!$L28,'Assumption Sheet'!$Q28,DJ9*IF(MOD(DK$5-'Assumption Sheet'!$W28,'Assumption Sheet'!$V28)=0,(1+'Assumption Sheet'!$U28),1)),0)</f>
        <v>28.845558664453133</v>
      </c>
      <c r="DL9" s="33">
        <f>IFERROR(IF(DL$1='Assumption Sheet'!$L28,'Assumption Sheet'!$Q28,DK9*IF(MOD(DL$5-'Assumption Sheet'!$W28,'Assumption Sheet'!$V28)=0,(1+'Assumption Sheet'!$U28),1)),0)</f>
        <v>28.845558664453133</v>
      </c>
      <c r="DM9" s="33">
        <f>IFERROR(IF(DM$1='Assumption Sheet'!$L28,'Assumption Sheet'!$Q28,DL9*IF(MOD(DM$5-'Assumption Sheet'!$W28,'Assumption Sheet'!$V28)=0,(1+'Assumption Sheet'!$U28),1)),0)</f>
        <v>28.845558664453133</v>
      </c>
      <c r="DN9" s="33">
        <f>IFERROR(IF(DN$1='Assumption Sheet'!$L28,'Assumption Sheet'!$Q28,DM9*IF(MOD(DN$5-'Assumption Sheet'!$W28,'Assumption Sheet'!$V28)=0,(1+'Assumption Sheet'!$U28),1)),0)</f>
        <v>28.845558664453133</v>
      </c>
      <c r="DO9" s="33">
        <f>IFERROR(IF(DO$1='Assumption Sheet'!$L28,'Assumption Sheet'!$Q28,DN9*IF(MOD(DO$5-'Assumption Sheet'!$W28,'Assumption Sheet'!$V28)=0,(1+'Assumption Sheet'!$U28),1)),0)</f>
        <v>30.287836597675792</v>
      </c>
      <c r="DP9" s="33">
        <f>IFERROR(IF(DP$1='Assumption Sheet'!$L28,'Assumption Sheet'!$Q28,DO9*IF(MOD(DP$5-'Assumption Sheet'!$W28,'Assumption Sheet'!$V28)=0,(1+'Assumption Sheet'!$U28),1)),0)</f>
        <v>30.287836597675792</v>
      </c>
      <c r="DQ9" s="33">
        <f>IFERROR(IF(DQ$1='Assumption Sheet'!$L28,'Assumption Sheet'!$Q28,DP9*IF(MOD(DQ$5-'Assumption Sheet'!$W28,'Assumption Sheet'!$V28)=0,(1+'Assumption Sheet'!$U28),1)),0)</f>
        <v>30.287836597675792</v>
      </c>
      <c r="DR9" s="33">
        <f>IFERROR(IF(DR$1='Assumption Sheet'!$L28,'Assumption Sheet'!$Q28,DQ9*IF(MOD(DR$5-'Assumption Sheet'!$W28,'Assumption Sheet'!$V28)=0,(1+'Assumption Sheet'!$U28),1)),0)</f>
        <v>30.287836597675792</v>
      </c>
      <c r="DS9" s="33">
        <f>IFERROR(IF(DS$1='Assumption Sheet'!$L28,'Assumption Sheet'!$Q28,DR9*IF(MOD(DS$5-'Assumption Sheet'!$W28,'Assumption Sheet'!$V28)=0,(1+'Assumption Sheet'!$U28),1)),0)</f>
        <v>30.287836597675792</v>
      </c>
      <c r="DT9" s="33">
        <f>IFERROR(IF(DT$1='Assumption Sheet'!$L28,'Assumption Sheet'!$Q28,DS9*IF(MOD(DT$5-'Assumption Sheet'!$W28,'Assumption Sheet'!$V28)=0,(1+'Assumption Sheet'!$U28),1)),0)</f>
        <v>30.287836597675792</v>
      </c>
      <c r="DU9" s="33">
        <f>IFERROR(IF(DU$1='Assumption Sheet'!$L28,'Assumption Sheet'!$Q28,DT9*IF(MOD(DU$5-'Assumption Sheet'!$W28,'Assumption Sheet'!$V28)=0,(1+'Assumption Sheet'!$U28),1)),0)</f>
        <v>30.287836597675792</v>
      </c>
      <c r="DV9" s="33">
        <f>IFERROR(IF(DV$1='Assumption Sheet'!$L28,'Assumption Sheet'!$Q28,DU9*IF(MOD(DV$5-'Assumption Sheet'!$W28,'Assumption Sheet'!$V28)=0,(1+'Assumption Sheet'!$U28),1)),0)</f>
        <v>30.287836597675792</v>
      </c>
      <c r="DW9" s="33">
        <f>IFERROR(IF(DW$1='Assumption Sheet'!$L28,'Assumption Sheet'!$Q28,DV9*IF(MOD(DW$5-'Assumption Sheet'!$W28,'Assumption Sheet'!$V28)=0,(1+'Assumption Sheet'!$U28),1)),0)</f>
        <v>30.287836597675792</v>
      </c>
      <c r="DX9" s="33">
        <f>IFERROR(IF(DX$1='Assumption Sheet'!$L28,'Assumption Sheet'!$Q28,DW9*IF(MOD(DX$5-'Assumption Sheet'!$W28,'Assumption Sheet'!$V28)=0,(1+'Assumption Sheet'!$U28),1)),0)</f>
        <v>30.287836597675792</v>
      </c>
      <c r="DY9" s="33">
        <f>IFERROR(IF(DY$1='Assumption Sheet'!$L28,'Assumption Sheet'!$Q28,DX9*IF(MOD(DY$5-'Assumption Sheet'!$W28,'Assumption Sheet'!$V28)=0,(1+'Assumption Sheet'!$U28),1)),0)</f>
        <v>30.287836597675792</v>
      </c>
      <c r="DZ9" s="33">
        <f>IFERROR(IF(DZ$1='Assumption Sheet'!$L28,'Assumption Sheet'!$Q28,DY9*IF(MOD(DZ$5-'Assumption Sheet'!$W28,'Assumption Sheet'!$V28)=0,(1+'Assumption Sheet'!$U28),1)),0)</f>
        <v>30.287836597675792</v>
      </c>
      <c r="EA9" s="33">
        <f>IFERROR(IF(EA$1='Assumption Sheet'!$L28,'Assumption Sheet'!$Q28,DZ9*IF(MOD(EA$5-'Assumption Sheet'!$W28,'Assumption Sheet'!$V28)=0,(1+'Assumption Sheet'!$U28),1)),0)</f>
        <v>31.802228427559584</v>
      </c>
      <c r="EB9" s="33">
        <f>IFERROR(IF(EB$1='Assumption Sheet'!$L28,'Assumption Sheet'!$Q28,EA9*IF(MOD(EB$5-'Assumption Sheet'!$W28,'Assumption Sheet'!$V28)=0,(1+'Assumption Sheet'!$U28),1)),0)</f>
        <v>31.802228427559584</v>
      </c>
      <c r="EC9" s="33">
        <f>IFERROR(IF(EC$1='Assumption Sheet'!$L28,'Assumption Sheet'!$Q28,EB9*IF(MOD(EC$5-'Assumption Sheet'!$W28,'Assumption Sheet'!$V28)=0,(1+'Assumption Sheet'!$U28),1)),0)</f>
        <v>31.802228427559584</v>
      </c>
      <c r="ED9" s="33">
        <f>IFERROR(IF(ED$1='Assumption Sheet'!$L28,'Assumption Sheet'!$Q28,EC9*IF(MOD(ED$5-'Assumption Sheet'!$W28,'Assumption Sheet'!$V28)=0,(1+'Assumption Sheet'!$U28),1)),0)</f>
        <v>31.802228427559584</v>
      </c>
      <c r="EE9" s="33">
        <f>IFERROR(IF(EE$1='Assumption Sheet'!$L28,'Assumption Sheet'!$Q28,ED9*IF(MOD(EE$5-'Assumption Sheet'!$W28,'Assumption Sheet'!$V28)=0,(1+'Assumption Sheet'!$U28),1)),0)</f>
        <v>31.802228427559584</v>
      </c>
      <c r="EF9" s="33">
        <f>IFERROR(IF(EF$1='Assumption Sheet'!$L28,'Assumption Sheet'!$Q28,EE9*IF(MOD(EF$5-'Assumption Sheet'!$W28,'Assumption Sheet'!$V28)=0,(1+'Assumption Sheet'!$U28),1)),0)</f>
        <v>31.802228427559584</v>
      </c>
      <c r="EG9" s="33">
        <f>IFERROR(IF(EG$1='Assumption Sheet'!$L28,'Assumption Sheet'!$Q28,EF9*IF(MOD(EG$5-'Assumption Sheet'!$W28,'Assumption Sheet'!$V28)=0,(1+'Assumption Sheet'!$U28),1)),0)</f>
        <v>31.802228427559584</v>
      </c>
      <c r="EH9" s="33">
        <f>IFERROR(IF(EH$1='Assumption Sheet'!$L28,'Assumption Sheet'!$Q28,EG9*IF(MOD(EH$5-'Assumption Sheet'!$W28,'Assumption Sheet'!$V28)=0,(1+'Assumption Sheet'!$U28),1)),0)</f>
        <v>31.802228427559584</v>
      </c>
      <c r="EI9" s="33">
        <f>IFERROR(IF(EI$1='Assumption Sheet'!$L28,'Assumption Sheet'!$Q28,EH9*IF(MOD(EI$5-'Assumption Sheet'!$W28,'Assumption Sheet'!$V28)=0,(1+'Assumption Sheet'!$U28),1)),0)</f>
        <v>31.802228427559584</v>
      </c>
      <c r="EJ9" s="33">
        <f>IFERROR(IF(EJ$1='Assumption Sheet'!$L28,'Assumption Sheet'!$Q28,EI9*IF(MOD(EJ$5-'Assumption Sheet'!$W28,'Assumption Sheet'!$V28)=0,(1+'Assumption Sheet'!$U28),1)),0)</f>
        <v>31.802228427559584</v>
      </c>
      <c r="EK9" s="33">
        <f>IFERROR(IF(EK$1='Assumption Sheet'!$L28,'Assumption Sheet'!$Q28,EJ9*IF(MOD(EK$5-'Assumption Sheet'!$W28,'Assumption Sheet'!$V28)=0,(1+'Assumption Sheet'!$U28),1)),0)</f>
        <v>31.802228427559584</v>
      </c>
      <c r="EL9" s="33">
        <f>IFERROR(IF(EL$1='Assumption Sheet'!$L28,'Assumption Sheet'!$Q28,EK9*IF(MOD(EL$5-'Assumption Sheet'!$W28,'Assumption Sheet'!$V28)=0,(1+'Assumption Sheet'!$U28),1)),0)</f>
        <v>31.802228427559584</v>
      </c>
      <c r="EM9" s="33">
        <f>IFERROR(IF(EM$1='Assumption Sheet'!$L28,'Assumption Sheet'!$Q28,EL9*IF(MOD(EM$5-'Assumption Sheet'!$W28,'Assumption Sheet'!$V28)=0,(1+'Assumption Sheet'!$U28),1)),0)</f>
        <v>33.392339848937567</v>
      </c>
      <c r="EN9" s="33">
        <f>IFERROR(IF(EN$1='Assumption Sheet'!$L28,'Assumption Sheet'!$Q28,EM9*IF(MOD(EN$5-'Assumption Sheet'!$W28,'Assumption Sheet'!$V28)=0,(1+'Assumption Sheet'!$U28),1)),0)</f>
        <v>33.392339848937567</v>
      </c>
      <c r="EO9" s="33">
        <f>IFERROR(IF(EO$1='Assumption Sheet'!$L28,'Assumption Sheet'!$Q28,EN9*IF(MOD(EO$5-'Assumption Sheet'!$W28,'Assumption Sheet'!$V28)=0,(1+'Assumption Sheet'!$U28),1)),0)</f>
        <v>33.392339848937567</v>
      </c>
      <c r="EP9" s="33">
        <f>IFERROR(IF(EP$1='Assumption Sheet'!$L28,'Assumption Sheet'!$Q28,EO9*IF(MOD(EP$5-'Assumption Sheet'!$W28,'Assumption Sheet'!$V28)=0,(1+'Assumption Sheet'!$U28),1)),0)</f>
        <v>33.392339848937567</v>
      </c>
      <c r="EQ9" s="33">
        <f>IFERROR(IF(EQ$1='Assumption Sheet'!$L28,'Assumption Sheet'!$Q28,EP9*IF(MOD(EQ$5-'Assumption Sheet'!$W28,'Assumption Sheet'!$V28)=0,(1+'Assumption Sheet'!$U28),1)),0)</f>
        <v>33.392339848937567</v>
      </c>
      <c r="ER9" s="33">
        <f>IFERROR(IF(ER$1='Assumption Sheet'!$L28,'Assumption Sheet'!$Q28,EQ9*IF(MOD(ER$5-'Assumption Sheet'!$W28,'Assumption Sheet'!$V28)=0,(1+'Assumption Sheet'!$U28),1)),0)</f>
        <v>33.392339848937567</v>
      </c>
      <c r="ES9" s="33">
        <f>IFERROR(IF(ES$1='Assumption Sheet'!$L28,'Assumption Sheet'!$Q28,ER9*IF(MOD(ES$5-'Assumption Sheet'!$W28,'Assumption Sheet'!$V28)=0,(1+'Assumption Sheet'!$U28),1)),0)</f>
        <v>33.392339848937567</v>
      </c>
      <c r="ET9" s="33">
        <f>IFERROR(IF(ET$1='Assumption Sheet'!$L28,'Assumption Sheet'!$Q28,ES9*IF(MOD(ET$5-'Assumption Sheet'!$W28,'Assumption Sheet'!$V28)=0,(1+'Assumption Sheet'!$U28),1)),0)</f>
        <v>33.392339848937567</v>
      </c>
      <c r="EU9" s="33">
        <f>IFERROR(IF(EU$1='Assumption Sheet'!$L28,'Assumption Sheet'!$Q28,ET9*IF(MOD(EU$5-'Assumption Sheet'!$W28,'Assumption Sheet'!$V28)=0,(1+'Assumption Sheet'!$U28),1)),0)</f>
        <v>33.392339848937567</v>
      </c>
      <c r="EV9" s="33">
        <f>IFERROR(IF(EV$1='Assumption Sheet'!$L28,'Assumption Sheet'!$Q28,EU9*IF(MOD(EV$5-'Assumption Sheet'!$W28,'Assumption Sheet'!$V28)=0,(1+'Assumption Sheet'!$U28),1)),0)</f>
        <v>33.392339848937567</v>
      </c>
      <c r="EW9" s="33">
        <f>IFERROR(IF(EW$1='Assumption Sheet'!$L28,'Assumption Sheet'!$Q28,EV9*IF(MOD(EW$5-'Assumption Sheet'!$W28,'Assumption Sheet'!$V28)=0,(1+'Assumption Sheet'!$U28),1)),0)</f>
        <v>33.392339848937567</v>
      </c>
      <c r="EX9" s="33">
        <f>IFERROR(IF(EX$1='Assumption Sheet'!$L28,'Assumption Sheet'!$Q28,EW9*IF(MOD(EX$5-'Assumption Sheet'!$W28,'Assumption Sheet'!$V28)=0,(1+'Assumption Sheet'!$U28),1)),0)</f>
        <v>33.392339848937567</v>
      </c>
      <c r="EY9" s="33">
        <f>IFERROR(IF(EY$1='Assumption Sheet'!$L28,'Assumption Sheet'!$Q28,EX9*IF(MOD(EY$5-'Assumption Sheet'!$W28,'Assumption Sheet'!$V28)=0,(1+'Assumption Sheet'!$U28),1)),0)</f>
        <v>35.06195684138445</v>
      </c>
      <c r="EZ9" s="33">
        <f>IFERROR(IF(EZ$1='Assumption Sheet'!$L28,'Assumption Sheet'!$Q28,EY9*IF(MOD(EZ$5-'Assumption Sheet'!$W28,'Assumption Sheet'!$V28)=0,(1+'Assumption Sheet'!$U28),1)),0)</f>
        <v>35.06195684138445</v>
      </c>
      <c r="FA9" s="33">
        <f>IFERROR(IF(FA$1='Assumption Sheet'!$L28,'Assumption Sheet'!$Q28,EZ9*IF(MOD(FA$5-'Assumption Sheet'!$W28,'Assumption Sheet'!$V28)=0,(1+'Assumption Sheet'!$U28),1)),0)</f>
        <v>35.06195684138445</v>
      </c>
      <c r="FB9" s="33">
        <f>IFERROR(IF(FB$1='Assumption Sheet'!$L28,'Assumption Sheet'!$Q28,FA9*IF(MOD(FB$5-'Assumption Sheet'!$W28,'Assumption Sheet'!$V28)=0,(1+'Assumption Sheet'!$U28),1)),0)</f>
        <v>35.06195684138445</v>
      </c>
      <c r="FC9" s="33">
        <f>IFERROR(IF(FC$1='Assumption Sheet'!$L28,'Assumption Sheet'!$Q28,FB9*IF(MOD(FC$5-'Assumption Sheet'!$W28,'Assumption Sheet'!$V28)=0,(1+'Assumption Sheet'!$U28),1)),0)</f>
        <v>35.06195684138445</v>
      </c>
      <c r="FD9" s="33">
        <f>IFERROR(IF(FD$1='Assumption Sheet'!$L28,'Assumption Sheet'!$Q28,FC9*IF(MOD(FD$5-'Assumption Sheet'!$W28,'Assumption Sheet'!$V28)=0,(1+'Assumption Sheet'!$U28),1)),0)</f>
        <v>35.06195684138445</v>
      </c>
      <c r="FE9" s="33">
        <f>IFERROR(IF(FE$1='Assumption Sheet'!$L28,'Assumption Sheet'!$Q28,FD9*IF(MOD(FE$5-'Assumption Sheet'!$W28,'Assumption Sheet'!$V28)=0,(1+'Assumption Sheet'!$U28),1)),0)</f>
        <v>35.06195684138445</v>
      </c>
      <c r="FF9" s="33">
        <f>IFERROR(IF(FF$1='Assumption Sheet'!$L28,'Assumption Sheet'!$Q28,FE9*IF(MOD(FF$5-'Assumption Sheet'!$W28,'Assumption Sheet'!$V28)=0,(1+'Assumption Sheet'!$U28),1)),0)</f>
        <v>35.06195684138445</v>
      </c>
      <c r="FG9" s="33">
        <f>IFERROR(IF(FG$1='Assumption Sheet'!$L28,'Assumption Sheet'!$Q28,FF9*IF(MOD(FG$5-'Assumption Sheet'!$W28,'Assumption Sheet'!$V28)=0,(1+'Assumption Sheet'!$U28),1)),0)</f>
        <v>35.06195684138445</v>
      </c>
      <c r="FH9" s="33">
        <f>IFERROR(IF(FH$1='Assumption Sheet'!$L28,'Assumption Sheet'!$Q28,FG9*IF(MOD(FH$5-'Assumption Sheet'!$W28,'Assumption Sheet'!$V28)=0,(1+'Assumption Sheet'!$U28),1)),0)</f>
        <v>35.06195684138445</v>
      </c>
      <c r="FI9" s="33">
        <f>IFERROR(IF(FI$1='Assumption Sheet'!$L28,'Assumption Sheet'!$Q28,FH9*IF(MOD(FI$5-'Assumption Sheet'!$W28,'Assumption Sheet'!$V28)=0,(1+'Assumption Sheet'!$U28),1)),0)</f>
        <v>35.06195684138445</v>
      </c>
      <c r="FJ9" s="33">
        <f>IFERROR(IF(FJ$1='Assumption Sheet'!$L28,'Assumption Sheet'!$Q28,FI9*IF(MOD(FJ$5-'Assumption Sheet'!$W28,'Assumption Sheet'!$V28)=0,(1+'Assumption Sheet'!$U28),1)),0)</f>
        <v>35.06195684138445</v>
      </c>
      <c r="FK9" s="33">
        <f>IFERROR(IF(FK$1='Assumption Sheet'!$L28,'Assumption Sheet'!$Q28,FJ9*IF(MOD(FK$5-'Assumption Sheet'!$W28,'Assumption Sheet'!$V28)=0,(1+'Assumption Sheet'!$U28),1)),0)</f>
        <v>36.815054683453674</v>
      </c>
      <c r="FL9" s="33">
        <f>IFERROR(IF(FL$1='Assumption Sheet'!$L28,'Assumption Sheet'!$Q28,FK9*IF(MOD(FL$5-'Assumption Sheet'!$W28,'Assumption Sheet'!$V28)=0,(1+'Assumption Sheet'!$U28),1)),0)</f>
        <v>36.815054683453674</v>
      </c>
      <c r="FM9" s="33">
        <f>IFERROR(IF(FM$1='Assumption Sheet'!$L28,'Assumption Sheet'!$Q28,FL9*IF(MOD(FM$5-'Assumption Sheet'!$W28,'Assumption Sheet'!$V28)=0,(1+'Assumption Sheet'!$U28),1)),0)</f>
        <v>36.815054683453674</v>
      </c>
      <c r="FN9" s="33">
        <f>IFERROR(IF(FN$1='Assumption Sheet'!$L28,'Assumption Sheet'!$Q28,FM9*IF(MOD(FN$5-'Assumption Sheet'!$W28,'Assumption Sheet'!$V28)=0,(1+'Assumption Sheet'!$U28),1)),0)</f>
        <v>36.815054683453674</v>
      </c>
      <c r="FO9" s="33">
        <f>IFERROR(IF(FO$1='Assumption Sheet'!$L28,'Assumption Sheet'!$Q28,FN9*IF(MOD(FO$5-'Assumption Sheet'!$W28,'Assumption Sheet'!$V28)=0,(1+'Assumption Sheet'!$U28),1)),0)</f>
        <v>36.815054683453674</v>
      </c>
      <c r="FP9" s="33">
        <f>IFERROR(IF(FP$1='Assumption Sheet'!$L28,'Assumption Sheet'!$Q28,FO9*IF(MOD(FP$5-'Assumption Sheet'!$W28,'Assumption Sheet'!$V28)=0,(1+'Assumption Sheet'!$U28),1)),0)</f>
        <v>36.815054683453674</v>
      </c>
      <c r="FQ9" s="33">
        <f>IFERROR(IF(FQ$1='Assumption Sheet'!$L28,'Assumption Sheet'!$Q28,FP9*IF(MOD(FQ$5-'Assumption Sheet'!$W28,'Assumption Sheet'!$V28)=0,(1+'Assumption Sheet'!$U28),1)),0)</f>
        <v>36.815054683453674</v>
      </c>
      <c r="FR9" s="33">
        <f>IFERROR(IF(FR$1='Assumption Sheet'!$L28,'Assumption Sheet'!$Q28,FQ9*IF(MOD(FR$5-'Assumption Sheet'!$W28,'Assumption Sheet'!$V28)=0,(1+'Assumption Sheet'!$U28),1)),0)</f>
        <v>36.815054683453674</v>
      </c>
      <c r="FS9" s="33">
        <f>IFERROR(IF(FS$1='Assumption Sheet'!$L28,'Assumption Sheet'!$Q28,FR9*IF(MOD(FS$5-'Assumption Sheet'!$W28,'Assumption Sheet'!$V28)=0,(1+'Assumption Sheet'!$U28),1)),0)</f>
        <v>36.815054683453674</v>
      </c>
      <c r="FT9" s="33">
        <f>IFERROR(IF(FT$1='Assumption Sheet'!$L28,'Assumption Sheet'!$Q28,FS9*IF(MOD(FT$5-'Assumption Sheet'!$W28,'Assumption Sheet'!$V28)=0,(1+'Assumption Sheet'!$U28),1)),0)</f>
        <v>36.815054683453674</v>
      </c>
      <c r="FU9" s="33">
        <f>IFERROR(IF(FU$1='Assumption Sheet'!$L28,'Assumption Sheet'!$Q28,FT9*IF(MOD(FU$5-'Assumption Sheet'!$W28,'Assumption Sheet'!$V28)=0,(1+'Assumption Sheet'!$U28),1)),0)</f>
        <v>36.815054683453674</v>
      </c>
      <c r="FV9" s="33">
        <f>IFERROR(IF(FV$1='Assumption Sheet'!$L28,'Assumption Sheet'!$Q28,FU9*IF(MOD(FV$5-'Assumption Sheet'!$W28,'Assumption Sheet'!$V28)=0,(1+'Assumption Sheet'!$U28),1)),0)</f>
        <v>36.815054683453674</v>
      </c>
      <c r="FW9" s="33">
        <f>IFERROR(IF(FW$1='Assumption Sheet'!$L28,'Assumption Sheet'!$Q28,FV9*IF(MOD(FW$5-'Assumption Sheet'!$W28,'Assumption Sheet'!$V28)=0,(1+'Assumption Sheet'!$U28),1)),0)</f>
        <v>38.655807417626356</v>
      </c>
      <c r="FX9" s="33">
        <f>IFERROR(IF(FX$1='Assumption Sheet'!$L28,'Assumption Sheet'!$Q28,FW9*IF(MOD(FX$5-'Assumption Sheet'!$W28,'Assumption Sheet'!$V28)=0,(1+'Assumption Sheet'!$U28),1)),0)</f>
        <v>38.655807417626356</v>
      </c>
      <c r="FY9" s="33">
        <f>IFERROR(IF(FY$1='Assumption Sheet'!$L28,'Assumption Sheet'!$Q28,FX9*IF(MOD(FY$5-'Assumption Sheet'!$W28,'Assumption Sheet'!$V28)=0,(1+'Assumption Sheet'!$U28),1)),0)</f>
        <v>38.655807417626356</v>
      </c>
      <c r="FZ9" s="33">
        <f>IFERROR(IF(FZ$1='Assumption Sheet'!$L28,'Assumption Sheet'!$Q28,FY9*IF(MOD(FZ$5-'Assumption Sheet'!$W28,'Assumption Sheet'!$V28)=0,(1+'Assumption Sheet'!$U28),1)),0)</f>
        <v>38.655807417626356</v>
      </c>
      <c r="GA9" s="33">
        <f>IFERROR(IF(GA$1='Assumption Sheet'!$L28,'Assumption Sheet'!$Q28,FZ9*IF(MOD(GA$5-'Assumption Sheet'!$W28,'Assumption Sheet'!$V28)=0,(1+'Assumption Sheet'!$U28),1)),0)</f>
        <v>38.655807417626356</v>
      </c>
      <c r="GB9" s="33">
        <f>IFERROR(IF(GB$1='Assumption Sheet'!$L28,'Assumption Sheet'!$Q28,GA9*IF(MOD(GB$5-'Assumption Sheet'!$W28,'Assumption Sheet'!$V28)=0,(1+'Assumption Sheet'!$U28),1)),0)</f>
        <v>38.655807417626356</v>
      </c>
      <c r="GC9" s="33">
        <f>IFERROR(IF(GC$1='Assumption Sheet'!$L28,'Assumption Sheet'!$Q28,GB9*IF(MOD(GC$5-'Assumption Sheet'!$W28,'Assumption Sheet'!$V28)=0,(1+'Assumption Sheet'!$U28),1)),0)</f>
        <v>38.655807417626356</v>
      </c>
      <c r="GD9" s="33">
        <f>IFERROR(IF(GD$1='Assumption Sheet'!$L28,'Assumption Sheet'!$Q28,GC9*IF(MOD(GD$5-'Assumption Sheet'!$W28,'Assumption Sheet'!$V28)=0,(1+'Assumption Sheet'!$U28),1)),0)</f>
        <v>38.655807417626356</v>
      </c>
      <c r="GE9" s="33">
        <f>IFERROR(IF(GE$1='Assumption Sheet'!$L28,'Assumption Sheet'!$Q28,GD9*IF(MOD(GE$5-'Assumption Sheet'!$W28,'Assumption Sheet'!$V28)=0,(1+'Assumption Sheet'!$U28),1)),0)</f>
        <v>38.655807417626356</v>
      </c>
      <c r="GF9" s="33">
        <f>IFERROR(IF(GF$1='Assumption Sheet'!$L28,'Assumption Sheet'!$Q28,GE9*IF(MOD(GF$5-'Assumption Sheet'!$W28,'Assumption Sheet'!$V28)=0,(1+'Assumption Sheet'!$U28),1)),0)</f>
        <v>38.655807417626356</v>
      </c>
      <c r="GG9" s="33">
        <f>IFERROR(IF(GG$1='Assumption Sheet'!$L28,'Assumption Sheet'!$Q28,GF9*IF(MOD(GG$5-'Assumption Sheet'!$W28,'Assumption Sheet'!$V28)=0,(1+'Assumption Sheet'!$U28),1)),0)</f>
        <v>38.655807417626356</v>
      </c>
      <c r="GH9" s="33">
        <f>IFERROR(IF(GH$1='Assumption Sheet'!$L28,'Assumption Sheet'!$Q28,GG9*IF(MOD(GH$5-'Assumption Sheet'!$W28,'Assumption Sheet'!$V28)=0,(1+'Assumption Sheet'!$U28),1)),0)</f>
        <v>38.655807417626356</v>
      </c>
      <c r="GI9" s="33">
        <f>IFERROR(IF(GI$1='Assumption Sheet'!$L28,'Assumption Sheet'!$Q28,GH9*IF(MOD(GI$5-'Assumption Sheet'!$W28,'Assumption Sheet'!$V28)=0,(1+'Assumption Sheet'!$U28),1)),0)</f>
        <v>40.588597788507677</v>
      </c>
      <c r="GJ9" s="33">
        <f>IFERROR(IF(GJ$1='Assumption Sheet'!$L28,'Assumption Sheet'!$Q28,GI9*IF(MOD(GJ$5-'Assumption Sheet'!$W28,'Assumption Sheet'!$V28)=0,(1+'Assumption Sheet'!$U28),1)),0)</f>
        <v>40.588597788507677</v>
      </c>
      <c r="GK9" s="33">
        <f>IFERROR(IF(GK$1='Assumption Sheet'!$L28,'Assumption Sheet'!$Q28,GJ9*IF(MOD(GK$5-'Assumption Sheet'!$W28,'Assumption Sheet'!$V28)=0,(1+'Assumption Sheet'!$U28),1)),0)</f>
        <v>40.588597788507677</v>
      </c>
      <c r="GL9" s="33">
        <f>IFERROR(IF(GL$1='Assumption Sheet'!$L28,'Assumption Sheet'!$Q28,GK9*IF(MOD(GL$5-'Assumption Sheet'!$W28,'Assumption Sheet'!$V28)=0,(1+'Assumption Sheet'!$U28),1)),0)</f>
        <v>40.588597788507677</v>
      </c>
      <c r="GM9" s="33">
        <f>IFERROR(IF(GM$1='Assumption Sheet'!$L28,'Assumption Sheet'!$Q28,GL9*IF(MOD(GM$5-'Assumption Sheet'!$W28,'Assumption Sheet'!$V28)=0,(1+'Assumption Sheet'!$U28),1)),0)</f>
        <v>40.588597788507677</v>
      </c>
      <c r="GN9" s="33">
        <f>IFERROR(IF(GN$1='Assumption Sheet'!$L28,'Assumption Sheet'!$Q28,GM9*IF(MOD(GN$5-'Assumption Sheet'!$W28,'Assumption Sheet'!$V28)=0,(1+'Assumption Sheet'!$U28),1)),0)</f>
        <v>40.588597788507677</v>
      </c>
      <c r="GO9" s="33">
        <f>IFERROR(IF(GO$1='Assumption Sheet'!$L28,'Assumption Sheet'!$Q28,GN9*IF(MOD(GO$5-'Assumption Sheet'!$W28,'Assumption Sheet'!$V28)=0,(1+'Assumption Sheet'!$U28),1)),0)</f>
        <v>40.588597788507677</v>
      </c>
      <c r="GP9" s="33">
        <f>IFERROR(IF(GP$1='Assumption Sheet'!$L28,'Assumption Sheet'!$Q28,GO9*IF(MOD(GP$5-'Assumption Sheet'!$W28,'Assumption Sheet'!$V28)=0,(1+'Assumption Sheet'!$U28),1)),0)</f>
        <v>40.588597788507677</v>
      </c>
      <c r="GQ9" s="33">
        <f>IFERROR(IF(GQ$1='Assumption Sheet'!$L28,'Assumption Sheet'!$Q28,GP9*IF(MOD(GQ$5-'Assumption Sheet'!$W28,'Assumption Sheet'!$V28)=0,(1+'Assumption Sheet'!$U28),1)),0)</f>
        <v>40.588597788507677</v>
      </c>
      <c r="GR9" s="33">
        <f>IFERROR(IF(GR$1='Assumption Sheet'!$L28,'Assumption Sheet'!$Q28,GQ9*IF(MOD(GR$5-'Assumption Sheet'!$W28,'Assumption Sheet'!$V28)=0,(1+'Assumption Sheet'!$U28),1)),0)</f>
        <v>40.588597788507677</v>
      </c>
      <c r="GS9" s="33">
        <f>IFERROR(IF(GS$1='Assumption Sheet'!$L28,'Assumption Sheet'!$Q28,GR9*IF(MOD(GS$5-'Assumption Sheet'!$W28,'Assumption Sheet'!$V28)=0,(1+'Assumption Sheet'!$U28),1)),0)</f>
        <v>40.588597788507677</v>
      </c>
      <c r="GT9" s="33">
        <f>IFERROR(IF(GT$1='Assumption Sheet'!$L28,'Assumption Sheet'!$Q28,GS9*IF(MOD(GT$5-'Assumption Sheet'!$W28,'Assumption Sheet'!$V28)=0,(1+'Assumption Sheet'!$U28),1)),0)</f>
        <v>40.588597788507677</v>
      </c>
      <c r="GU9" s="33">
        <f>IFERROR(IF(GU$1='Assumption Sheet'!$L28,'Assumption Sheet'!$Q28,GT9*IF(MOD(GU$5-'Assumption Sheet'!$W28,'Assumption Sheet'!$V28)=0,(1+'Assumption Sheet'!$U28),1)),0)</f>
        <v>42.618027677933064</v>
      </c>
      <c r="GV9" s="33">
        <f>IFERROR(IF(GV$1='Assumption Sheet'!$L28,'Assumption Sheet'!$Q28,GU9*IF(MOD(GV$5-'Assumption Sheet'!$W28,'Assumption Sheet'!$V28)=0,(1+'Assumption Sheet'!$U28),1)),0)</f>
        <v>42.618027677933064</v>
      </c>
      <c r="GW9" s="33">
        <f>IFERROR(IF(GW$1='Assumption Sheet'!$L28,'Assumption Sheet'!$Q28,GV9*IF(MOD(GW$5-'Assumption Sheet'!$W28,'Assumption Sheet'!$V28)=0,(1+'Assumption Sheet'!$U28),1)),0)</f>
        <v>42.618027677933064</v>
      </c>
      <c r="GX9" s="33">
        <f>IFERROR(IF(GX$1='Assumption Sheet'!$L28,'Assumption Sheet'!$Q28,GW9*IF(MOD(GX$5-'Assumption Sheet'!$W28,'Assumption Sheet'!$V28)=0,(1+'Assumption Sheet'!$U28),1)),0)</f>
        <v>42.618027677933064</v>
      </c>
      <c r="GY9" s="33">
        <f>IFERROR(IF(GY$1='Assumption Sheet'!$L28,'Assumption Sheet'!$Q28,GX9*IF(MOD(GY$5-'Assumption Sheet'!$W28,'Assumption Sheet'!$V28)=0,(1+'Assumption Sheet'!$U28),1)),0)</f>
        <v>42.618027677933064</v>
      </c>
      <c r="GZ9" s="33">
        <f>IFERROR(IF(GZ$1='Assumption Sheet'!$L28,'Assumption Sheet'!$Q28,GY9*IF(MOD(GZ$5-'Assumption Sheet'!$W28,'Assumption Sheet'!$V28)=0,(1+'Assumption Sheet'!$U28),1)),0)</f>
        <v>42.618027677933064</v>
      </c>
      <c r="HA9" s="33">
        <f>IFERROR(IF(HA$1='Assumption Sheet'!$L28,'Assumption Sheet'!$Q28,GZ9*IF(MOD(HA$5-'Assumption Sheet'!$W28,'Assumption Sheet'!$V28)=0,(1+'Assumption Sheet'!$U28),1)),0)</f>
        <v>42.618027677933064</v>
      </c>
      <c r="HB9" s="33">
        <f>IFERROR(IF(HB$1='Assumption Sheet'!$L28,'Assumption Sheet'!$Q28,HA9*IF(MOD(HB$5-'Assumption Sheet'!$W28,'Assumption Sheet'!$V28)=0,(1+'Assumption Sheet'!$U28),1)),0)</f>
        <v>42.618027677933064</v>
      </c>
      <c r="HC9" s="33">
        <f>IFERROR(IF(HC$1='Assumption Sheet'!$L28,'Assumption Sheet'!$Q28,HB9*IF(MOD(HC$5-'Assumption Sheet'!$W28,'Assumption Sheet'!$V28)=0,(1+'Assumption Sheet'!$U28),1)),0)</f>
        <v>42.618027677933064</v>
      </c>
      <c r="HD9" s="33">
        <f>IFERROR(IF(HD$1='Assumption Sheet'!$L28,'Assumption Sheet'!$Q28,HC9*IF(MOD(HD$5-'Assumption Sheet'!$W28,'Assumption Sheet'!$V28)=0,(1+'Assumption Sheet'!$U28),1)),0)</f>
        <v>42.618027677933064</v>
      </c>
      <c r="HE9" s="33">
        <f>IFERROR(IF(HE$1='Assumption Sheet'!$L28,'Assumption Sheet'!$Q28,HD9*IF(MOD(HE$5-'Assumption Sheet'!$W28,'Assumption Sheet'!$V28)=0,(1+'Assumption Sheet'!$U28),1)),0)</f>
        <v>42.618027677933064</v>
      </c>
      <c r="HF9" s="33">
        <f>IFERROR(IF(HF$1='Assumption Sheet'!$L28,'Assumption Sheet'!$Q28,HE9*IF(MOD(HF$5-'Assumption Sheet'!$W28,'Assumption Sheet'!$V28)=0,(1+'Assumption Sheet'!$U28),1)),0)</f>
        <v>42.618027677933064</v>
      </c>
      <c r="HG9" s="33">
        <f>IFERROR(IF(HG$1='Assumption Sheet'!$L28,'Assumption Sheet'!$Q28,HF9*IF(MOD(HG$5-'Assumption Sheet'!$W28,'Assumption Sheet'!$V28)=0,(1+'Assumption Sheet'!$U28),1)),0)</f>
        <v>44.74892906182972</v>
      </c>
      <c r="HH9" s="33">
        <f>IFERROR(IF(HH$1='Assumption Sheet'!$L28,'Assumption Sheet'!$Q28,HG9*IF(MOD(HH$5-'Assumption Sheet'!$W28,'Assumption Sheet'!$V28)=0,(1+'Assumption Sheet'!$U28),1)),0)</f>
        <v>44.74892906182972</v>
      </c>
      <c r="HI9" s="33">
        <f>IFERROR(IF(HI$1='Assumption Sheet'!$L28,'Assumption Sheet'!$Q28,HH9*IF(MOD(HI$5-'Assumption Sheet'!$W28,'Assumption Sheet'!$V28)=0,(1+'Assumption Sheet'!$U28),1)),0)</f>
        <v>44.74892906182972</v>
      </c>
      <c r="HJ9" s="33">
        <f>IFERROR(IF(HJ$1='Assumption Sheet'!$L28,'Assumption Sheet'!$Q28,HI9*IF(MOD(HJ$5-'Assumption Sheet'!$W28,'Assumption Sheet'!$V28)=0,(1+'Assumption Sheet'!$U28),1)),0)</f>
        <v>44.74892906182972</v>
      </c>
      <c r="HK9" s="33">
        <f>IFERROR(IF(HK$1='Assumption Sheet'!$L28,'Assumption Sheet'!$Q28,HJ9*IF(MOD(HK$5-'Assumption Sheet'!$W28,'Assumption Sheet'!$V28)=0,(1+'Assumption Sheet'!$U28),1)),0)</f>
        <v>44.74892906182972</v>
      </c>
      <c r="HL9" s="33">
        <f>IFERROR(IF(HL$1='Assumption Sheet'!$L28,'Assumption Sheet'!$Q28,HK9*IF(MOD(HL$5-'Assumption Sheet'!$W28,'Assumption Sheet'!$V28)=0,(1+'Assumption Sheet'!$U28),1)),0)</f>
        <v>44.74892906182972</v>
      </c>
      <c r="HM9" s="33">
        <f>IFERROR(IF(HM$1='Assumption Sheet'!$L28,'Assumption Sheet'!$Q28,HL9*IF(MOD(HM$5-'Assumption Sheet'!$W28,'Assumption Sheet'!$V28)=0,(1+'Assumption Sheet'!$U28),1)),0)</f>
        <v>44.74892906182972</v>
      </c>
      <c r="HN9" s="33">
        <f>IFERROR(IF(HN$1='Assumption Sheet'!$L28,'Assumption Sheet'!$Q28,HM9*IF(MOD(HN$5-'Assumption Sheet'!$W28,'Assumption Sheet'!$V28)=0,(1+'Assumption Sheet'!$U28),1)),0)</f>
        <v>44.74892906182972</v>
      </c>
      <c r="HO9" s="33">
        <f>IFERROR(IF(HO$1='Assumption Sheet'!$L28,'Assumption Sheet'!$Q28,HN9*IF(MOD(HO$5-'Assumption Sheet'!$W28,'Assumption Sheet'!$V28)=0,(1+'Assumption Sheet'!$U28),1)),0)</f>
        <v>44.74892906182972</v>
      </c>
      <c r="HP9" s="33">
        <f>IFERROR(IF(HP$1='Assumption Sheet'!$L28,'Assumption Sheet'!$Q28,HO9*IF(MOD(HP$5-'Assumption Sheet'!$W28,'Assumption Sheet'!$V28)=0,(1+'Assumption Sheet'!$U28),1)),0)</f>
        <v>44.74892906182972</v>
      </c>
      <c r="HQ9" s="33">
        <f>IFERROR(IF(HQ$1='Assumption Sheet'!$L28,'Assumption Sheet'!$Q28,HP9*IF(MOD(HQ$5-'Assumption Sheet'!$W28,'Assumption Sheet'!$V28)=0,(1+'Assumption Sheet'!$U28),1)),0)</f>
        <v>44.74892906182972</v>
      </c>
      <c r="HR9" s="33">
        <f>IFERROR(IF(HR$1='Assumption Sheet'!$L28,'Assumption Sheet'!$Q28,HQ9*IF(MOD(HR$5-'Assumption Sheet'!$W28,'Assumption Sheet'!$V28)=0,(1+'Assumption Sheet'!$U28),1)),0)</f>
        <v>44.74892906182972</v>
      </c>
      <c r="HS9" s="33">
        <f>IFERROR(IF(HS$1='Assumption Sheet'!$L28,'Assumption Sheet'!$Q28,HR9*IF(MOD(HS$5-'Assumption Sheet'!$W28,'Assumption Sheet'!$V28)=0,(1+'Assumption Sheet'!$U28),1)),0)</f>
        <v>46.986375514921207</v>
      </c>
      <c r="HT9" s="33">
        <f>IFERROR(IF(HT$1='Assumption Sheet'!$L28,'Assumption Sheet'!$Q28,HS9*IF(MOD(HT$5-'Assumption Sheet'!$W28,'Assumption Sheet'!$V28)=0,(1+'Assumption Sheet'!$U28),1)),0)</f>
        <v>46.986375514921207</v>
      </c>
      <c r="HU9" s="33">
        <f>IFERROR(IF(HU$1='Assumption Sheet'!$L28,'Assumption Sheet'!$Q28,HT9*IF(MOD(HU$5-'Assumption Sheet'!$W28,'Assumption Sheet'!$V28)=0,(1+'Assumption Sheet'!$U28),1)),0)</f>
        <v>46.986375514921207</v>
      </c>
      <c r="HV9" s="33">
        <f>IFERROR(IF(HV$1='Assumption Sheet'!$L28,'Assumption Sheet'!$Q28,HU9*IF(MOD(HV$5-'Assumption Sheet'!$W28,'Assumption Sheet'!$V28)=0,(1+'Assumption Sheet'!$U28),1)),0)</f>
        <v>46.986375514921207</v>
      </c>
      <c r="HW9" s="33">
        <f>IFERROR(IF(HW$1='Assumption Sheet'!$L28,'Assumption Sheet'!$Q28,HV9*IF(MOD(HW$5-'Assumption Sheet'!$W28,'Assumption Sheet'!$V28)=0,(1+'Assumption Sheet'!$U28),1)),0)</f>
        <v>46.986375514921207</v>
      </c>
      <c r="HX9" s="33">
        <f>IFERROR(IF(HX$1='Assumption Sheet'!$L28,'Assumption Sheet'!$Q28,HW9*IF(MOD(HX$5-'Assumption Sheet'!$W28,'Assumption Sheet'!$V28)=0,(1+'Assumption Sheet'!$U28),1)),0)</f>
        <v>46.986375514921207</v>
      </c>
      <c r="HY9" s="33">
        <f>IFERROR(IF(HY$1='Assumption Sheet'!$L28,'Assumption Sheet'!$Q28,HX9*IF(MOD(HY$5-'Assumption Sheet'!$W28,'Assumption Sheet'!$V28)=0,(1+'Assumption Sheet'!$U28),1)),0)</f>
        <v>46.986375514921207</v>
      </c>
      <c r="HZ9" s="33">
        <f>IFERROR(IF(HZ$1='Assumption Sheet'!$L28,'Assumption Sheet'!$Q28,HY9*IF(MOD(HZ$5-'Assumption Sheet'!$W28,'Assumption Sheet'!$V28)=0,(1+'Assumption Sheet'!$U28),1)),0)</f>
        <v>46.986375514921207</v>
      </c>
      <c r="IA9" s="33">
        <f>IFERROR(IF(IA$1='Assumption Sheet'!$L28,'Assumption Sheet'!$Q28,HZ9*IF(MOD(IA$5-'Assumption Sheet'!$W28,'Assumption Sheet'!$V28)=0,(1+'Assumption Sheet'!$U28),1)),0)</f>
        <v>46.986375514921207</v>
      </c>
      <c r="IB9" s="33">
        <f>IFERROR(IF(IB$1='Assumption Sheet'!$L28,'Assumption Sheet'!$Q28,IA9*IF(MOD(IB$5-'Assumption Sheet'!$W28,'Assumption Sheet'!$V28)=0,(1+'Assumption Sheet'!$U28),1)),0)</f>
        <v>46.986375514921207</v>
      </c>
      <c r="IC9" s="33">
        <f>IFERROR(IF(IC$1='Assumption Sheet'!$L28,'Assumption Sheet'!$Q28,IB9*IF(MOD(IC$5-'Assumption Sheet'!$W28,'Assumption Sheet'!$V28)=0,(1+'Assumption Sheet'!$U28),1)),0)</f>
        <v>46.986375514921207</v>
      </c>
      <c r="ID9" s="33">
        <f>IFERROR(IF(ID$1='Assumption Sheet'!$L28,'Assumption Sheet'!$Q28,IC9*IF(MOD(ID$5-'Assumption Sheet'!$W28,'Assumption Sheet'!$V28)=0,(1+'Assumption Sheet'!$U28),1)),0)</f>
        <v>46.986375514921207</v>
      </c>
      <c r="IE9" s="33">
        <f>IFERROR(IF(IE$1='Assumption Sheet'!$L28,'Assumption Sheet'!$Q28,ID9*IF(MOD(IE$5-'Assumption Sheet'!$W28,'Assumption Sheet'!$V28)=0,(1+'Assumption Sheet'!$U28),1)),0)</f>
        <v>49.33569429066727</v>
      </c>
      <c r="IF9" s="33">
        <f>IFERROR(IF(IF$1='Assumption Sheet'!$L28,'Assumption Sheet'!$Q28,IE9*IF(MOD(IF$5-'Assumption Sheet'!$W28,'Assumption Sheet'!$V28)=0,(1+'Assumption Sheet'!$U28),1)),0)</f>
        <v>49.33569429066727</v>
      </c>
      <c r="IG9" s="33">
        <f>IFERROR(IF(IG$1='Assumption Sheet'!$L28,'Assumption Sheet'!$Q28,IF9*IF(MOD(IG$5-'Assumption Sheet'!$W28,'Assumption Sheet'!$V28)=0,(1+'Assumption Sheet'!$U28),1)),0)</f>
        <v>49.33569429066727</v>
      </c>
      <c r="IH9" s="33">
        <f>IFERROR(IF(IH$1='Assumption Sheet'!$L28,'Assumption Sheet'!$Q28,IG9*IF(MOD(IH$5-'Assumption Sheet'!$W28,'Assumption Sheet'!$V28)=0,(1+'Assumption Sheet'!$U28),1)),0)</f>
        <v>49.33569429066727</v>
      </c>
      <c r="II9" s="33">
        <f>IFERROR(IF(II$1='Assumption Sheet'!$L28,'Assumption Sheet'!$Q28,IH9*IF(MOD(II$5-'Assumption Sheet'!$W28,'Assumption Sheet'!$V28)=0,(1+'Assumption Sheet'!$U28),1)),0)</f>
        <v>49.33569429066727</v>
      </c>
      <c r="IJ9" s="33">
        <f>IFERROR(IF(IJ$1='Assumption Sheet'!$L28,'Assumption Sheet'!$Q28,II9*IF(MOD(IJ$5-'Assumption Sheet'!$W28,'Assumption Sheet'!$V28)=0,(1+'Assumption Sheet'!$U28),1)),0)</f>
        <v>49.33569429066727</v>
      </c>
      <c r="IK9" s="33">
        <f>IFERROR(IF(IK$1='Assumption Sheet'!$L28,'Assumption Sheet'!$Q28,IJ9*IF(MOD(IK$5-'Assumption Sheet'!$W28,'Assumption Sheet'!$V28)=0,(1+'Assumption Sheet'!$U28),1)),0)</f>
        <v>49.33569429066727</v>
      </c>
      <c r="IL9" s="33">
        <f>IFERROR(IF(IL$1='Assumption Sheet'!$L28,'Assumption Sheet'!$Q28,IK9*IF(MOD(IL$5-'Assumption Sheet'!$W28,'Assumption Sheet'!$V28)=0,(1+'Assumption Sheet'!$U28),1)),0)</f>
        <v>49.33569429066727</v>
      </c>
      <c r="IM9" s="33">
        <f>IFERROR(IF(IM$1='Assumption Sheet'!$L28,'Assumption Sheet'!$Q28,IL9*IF(MOD(IM$5-'Assumption Sheet'!$W28,'Assumption Sheet'!$V28)=0,(1+'Assumption Sheet'!$U28),1)),0)</f>
        <v>49.33569429066727</v>
      </c>
      <c r="IN9" s="33">
        <f>IFERROR(IF(IN$1='Assumption Sheet'!$L28,'Assumption Sheet'!$Q28,IM9*IF(MOD(IN$5-'Assumption Sheet'!$W28,'Assumption Sheet'!$V28)=0,(1+'Assumption Sheet'!$U28),1)),0)</f>
        <v>49.33569429066727</v>
      </c>
      <c r="IO9" s="33">
        <f>IFERROR(IF(IO$1='Assumption Sheet'!$L28,'Assumption Sheet'!$Q28,IN9*IF(MOD(IO$5-'Assumption Sheet'!$W28,'Assumption Sheet'!$V28)=0,(1+'Assumption Sheet'!$U28),1)),0)</f>
        <v>49.33569429066727</v>
      </c>
      <c r="IP9" s="33">
        <f>IFERROR(IF(IP$1='Assumption Sheet'!$L28,'Assumption Sheet'!$Q28,IO9*IF(MOD(IP$5-'Assumption Sheet'!$W28,'Assumption Sheet'!$V28)=0,(1+'Assumption Sheet'!$U28),1)),0)</f>
        <v>49.33569429066727</v>
      </c>
      <c r="IQ9" s="33">
        <f>IFERROR(IF(IQ$1='Assumption Sheet'!$L28,'Assumption Sheet'!$Q28,IP9*IF(MOD(IQ$5-'Assumption Sheet'!$W28,'Assumption Sheet'!$V28)=0,(1+'Assumption Sheet'!$U28),1)),0)</f>
        <v>51.802479005200638</v>
      </c>
      <c r="IR9" s="33">
        <f>IFERROR(IF(IR$1='Assumption Sheet'!$L28,'Assumption Sheet'!$Q28,IQ9*IF(MOD(IR$5-'Assumption Sheet'!$W28,'Assumption Sheet'!$V28)=0,(1+'Assumption Sheet'!$U28),1)),0)</f>
        <v>51.802479005200638</v>
      </c>
      <c r="IS9" s="33">
        <f>IFERROR(IF(IS$1='Assumption Sheet'!$L28,'Assumption Sheet'!$Q28,IR9*IF(MOD(IS$5-'Assumption Sheet'!$W28,'Assumption Sheet'!$V28)=0,(1+'Assumption Sheet'!$U28),1)),0)</f>
        <v>51.802479005200638</v>
      </c>
      <c r="IT9" s="33">
        <f>IFERROR(IF(IT$1='Assumption Sheet'!$L28,'Assumption Sheet'!$Q28,IS9*IF(MOD(IT$5-'Assumption Sheet'!$W28,'Assumption Sheet'!$V28)=0,(1+'Assumption Sheet'!$U28),1)),0)</f>
        <v>51.802479005200638</v>
      </c>
      <c r="IU9" s="33">
        <f>IFERROR(IF(IU$1='Assumption Sheet'!$L28,'Assumption Sheet'!$Q28,IT9*IF(MOD(IU$5-'Assumption Sheet'!$W28,'Assumption Sheet'!$V28)=0,(1+'Assumption Sheet'!$U28),1)),0)</f>
        <v>51.802479005200638</v>
      </c>
      <c r="IV9" s="33">
        <f>IFERROR(IF(IV$1='Assumption Sheet'!$L28,'Assumption Sheet'!$Q28,IU9*IF(MOD(IV$5-'Assumption Sheet'!$W28,'Assumption Sheet'!$V28)=0,(1+'Assumption Sheet'!$U28),1)),0)</f>
        <v>51.802479005200638</v>
      </c>
      <c r="IW9" s="33">
        <f>IFERROR(IF(IW$1='Assumption Sheet'!$L28,'Assumption Sheet'!$Q28,IV9*IF(MOD(IW$5-'Assumption Sheet'!$W28,'Assumption Sheet'!$V28)=0,(1+'Assumption Sheet'!$U28),1)),0)</f>
        <v>51.802479005200638</v>
      </c>
      <c r="IX9" s="33">
        <f>IFERROR(IF(IX$1='Assumption Sheet'!$L28,'Assumption Sheet'!$Q28,IW9*IF(MOD(IX$5-'Assumption Sheet'!$W28,'Assumption Sheet'!$V28)=0,(1+'Assumption Sheet'!$U28),1)),0)</f>
        <v>51.802479005200638</v>
      </c>
      <c r="IY9" s="33">
        <f>IFERROR(IF(IY$1='Assumption Sheet'!$L28,'Assumption Sheet'!$Q28,IX9*IF(MOD(IY$5-'Assumption Sheet'!$W28,'Assumption Sheet'!$V28)=0,(1+'Assumption Sheet'!$U28),1)),0)</f>
        <v>51.802479005200638</v>
      </c>
      <c r="IZ9" s="33">
        <f>IFERROR(IF(IZ$1='Assumption Sheet'!$L28,'Assumption Sheet'!$Q28,IY9*IF(MOD(IZ$5-'Assumption Sheet'!$W28,'Assumption Sheet'!$V28)=0,(1+'Assumption Sheet'!$U28),1)),0)</f>
        <v>51.802479005200638</v>
      </c>
      <c r="JA9" s="33">
        <f>IFERROR(IF(JA$1='Assumption Sheet'!$L28,'Assumption Sheet'!$Q28,IZ9*IF(MOD(JA$5-'Assumption Sheet'!$W28,'Assumption Sheet'!$V28)=0,(1+'Assumption Sheet'!$U28),1)),0)</f>
        <v>51.802479005200638</v>
      </c>
      <c r="JB9" s="33">
        <f>IFERROR(IF(JB$1='Assumption Sheet'!$L28,'Assumption Sheet'!$Q28,JA9*IF(MOD(JB$5-'Assumption Sheet'!$W28,'Assumption Sheet'!$V28)=0,(1+'Assumption Sheet'!$U28),1)),0)</f>
        <v>51.802479005200638</v>
      </c>
      <c r="JC9" s="33">
        <f>IFERROR(IF(JC$1='Assumption Sheet'!$L28,'Assumption Sheet'!$Q28,JB9*IF(MOD(JC$5-'Assumption Sheet'!$W28,'Assumption Sheet'!$V28)=0,(1+'Assumption Sheet'!$U28),1)),0)</f>
        <v>54.392602955460674</v>
      </c>
      <c r="JD9" s="33">
        <f>IFERROR(IF(JD$1='Assumption Sheet'!$L28,'Assumption Sheet'!$Q28,JC9*IF(MOD(JD$5-'Assumption Sheet'!$W28,'Assumption Sheet'!$V28)=0,(1+'Assumption Sheet'!$U28),1)),0)</f>
        <v>54.392602955460674</v>
      </c>
      <c r="JE9" s="33">
        <f>IFERROR(IF(JE$1='Assumption Sheet'!$L28,'Assumption Sheet'!$Q28,JD9*IF(MOD(JE$5-'Assumption Sheet'!$W28,'Assumption Sheet'!$V28)=0,(1+'Assumption Sheet'!$U28),1)),0)</f>
        <v>54.392602955460674</v>
      </c>
      <c r="JF9" s="33">
        <f>IFERROR(IF(JF$1='Assumption Sheet'!$L28,'Assumption Sheet'!$Q28,JE9*IF(MOD(JF$5-'Assumption Sheet'!$W28,'Assumption Sheet'!$V28)=0,(1+'Assumption Sheet'!$U28),1)),0)</f>
        <v>54.392602955460674</v>
      </c>
      <c r="JG9" s="33">
        <f>IFERROR(IF(JG$1='Assumption Sheet'!$L28,'Assumption Sheet'!$Q28,JF9*IF(MOD(JG$5-'Assumption Sheet'!$W28,'Assumption Sheet'!$V28)=0,(1+'Assumption Sheet'!$U28),1)),0)</f>
        <v>54.392602955460674</v>
      </c>
      <c r="JH9" s="33">
        <f>IFERROR(IF(JH$1='Assumption Sheet'!$L28,'Assumption Sheet'!$Q28,JG9*IF(MOD(JH$5-'Assumption Sheet'!$W28,'Assumption Sheet'!$V28)=0,(1+'Assumption Sheet'!$U28),1)),0)</f>
        <v>54.392602955460674</v>
      </c>
      <c r="JI9" s="33">
        <f>IFERROR(IF(JI$1='Assumption Sheet'!$L28,'Assumption Sheet'!$Q28,JH9*IF(MOD(JI$5-'Assumption Sheet'!$W28,'Assumption Sheet'!$V28)=0,(1+'Assumption Sheet'!$U28),1)),0)</f>
        <v>54.392602955460674</v>
      </c>
      <c r="JJ9" s="33">
        <f>IFERROR(IF(JJ$1='Assumption Sheet'!$L28,'Assumption Sheet'!$Q28,JI9*IF(MOD(JJ$5-'Assumption Sheet'!$W28,'Assumption Sheet'!$V28)=0,(1+'Assumption Sheet'!$U28),1)),0)</f>
        <v>54.392602955460674</v>
      </c>
      <c r="JK9" s="33">
        <f>IFERROR(IF(JK$1='Assumption Sheet'!$L28,'Assumption Sheet'!$Q28,JJ9*IF(MOD(JK$5-'Assumption Sheet'!$W28,'Assumption Sheet'!$V28)=0,(1+'Assumption Sheet'!$U28),1)),0)</f>
        <v>54.392602955460674</v>
      </c>
      <c r="JL9" s="33">
        <f>IFERROR(IF(JL$1='Assumption Sheet'!$L28,'Assumption Sheet'!$Q28,JK9*IF(MOD(JL$5-'Assumption Sheet'!$W28,'Assumption Sheet'!$V28)=0,(1+'Assumption Sheet'!$U28),1)),0)</f>
        <v>54.392602955460674</v>
      </c>
      <c r="JM9" s="33">
        <f>IFERROR(IF(JM$1='Assumption Sheet'!$L28,'Assumption Sheet'!$Q28,JL9*IF(MOD(JM$5-'Assumption Sheet'!$W28,'Assumption Sheet'!$V28)=0,(1+'Assumption Sheet'!$U28),1)),0)</f>
        <v>54.392602955460674</v>
      </c>
      <c r="JN9" s="33">
        <f>IFERROR(IF(JN$1='Assumption Sheet'!$L28,'Assumption Sheet'!$Q28,JM9*IF(MOD(JN$5-'Assumption Sheet'!$W28,'Assumption Sheet'!$V28)=0,(1+'Assumption Sheet'!$U28),1)),0)</f>
        <v>54.392602955460674</v>
      </c>
      <c r="JO9" s="33">
        <f>IFERROR(IF(JO$1='Assumption Sheet'!$L28,'Assumption Sheet'!$Q28,JN9*IF(MOD(JO$5-'Assumption Sheet'!$W28,'Assumption Sheet'!$V28)=0,(1+'Assumption Sheet'!$U28),1)),0)</f>
        <v>57.112233103233713</v>
      </c>
      <c r="JP9" s="33">
        <f>IFERROR(IF(JP$1='Assumption Sheet'!$L28,'Assumption Sheet'!$Q28,JO9*IF(MOD(JP$5-'Assumption Sheet'!$W28,'Assumption Sheet'!$V28)=0,(1+'Assumption Sheet'!$U28),1)),0)</f>
        <v>57.112233103233713</v>
      </c>
      <c r="JQ9" s="33">
        <f>IFERROR(IF(JQ$1='Assumption Sheet'!$L28,'Assumption Sheet'!$Q28,JP9*IF(MOD(JQ$5-'Assumption Sheet'!$W28,'Assumption Sheet'!$V28)=0,(1+'Assumption Sheet'!$U28),1)),0)</f>
        <v>57.112233103233713</v>
      </c>
      <c r="JR9" s="33">
        <f>IFERROR(IF(JR$1='Assumption Sheet'!$L28,'Assumption Sheet'!$Q28,JQ9*IF(MOD(JR$5-'Assumption Sheet'!$W28,'Assumption Sheet'!$V28)=0,(1+'Assumption Sheet'!$U28),1)),0)</f>
        <v>57.112233103233713</v>
      </c>
      <c r="JS9" s="33">
        <f>IFERROR(IF(JS$1='Assumption Sheet'!$L28,'Assumption Sheet'!$Q28,JR9*IF(MOD(JS$5-'Assumption Sheet'!$W28,'Assumption Sheet'!$V28)=0,(1+'Assumption Sheet'!$U28),1)),0)</f>
        <v>57.112233103233713</v>
      </c>
      <c r="JT9" s="33">
        <f>IFERROR(IF(JT$1='Assumption Sheet'!$L28,'Assumption Sheet'!$Q28,JS9*IF(MOD(JT$5-'Assumption Sheet'!$W28,'Assumption Sheet'!$V28)=0,(1+'Assumption Sheet'!$U28),1)),0)</f>
        <v>57.112233103233713</v>
      </c>
      <c r="JU9" s="33">
        <f>IFERROR(IF(JU$1='Assumption Sheet'!$L28,'Assumption Sheet'!$Q28,JT9*IF(MOD(JU$5-'Assumption Sheet'!$W28,'Assumption Sheet'!$V28)=0,(1+'Assumption Sheet'!$U28),1)),0)</f>
        <v>57.112233103233713</v>
      </c>
      <c r="JV9" s="33">
        <f>IFERROR(IF(JV$1='Assumption Sheet'!$L28,'Assumption Sheet'!$Q28,JU9*IF(MOD(JV$5-'Assumption Sheet'!$W28,'Assumption Sheet'!$V28)=0,(1+'Assumption Sheet'!$U28),1)),0)</f>
        <v>57.112233103233713</v>
      </c>
      <c r="JW9" s="33">
        <f>IFERROR(IF(JW$1='Assumption Sheet'!$L28,'Assumption Sheet'!$Q28,JV9*IF(MOD(JW$5-'Assumption Sheet'!$W28,'Assumption Sheet'!$V28)=0,(1+'Assumption Sheet'!$U28),1)),0)</f>
        <v>57.112233103233713</v>
      </c>
      <c r="JX9" s="33">
        <f>IFERROR(IF(JX$1='Assumption Sheet'!$L28,'Assumption Sheet'!$Q28,JW9*IF(MOD(JX$5-'Assumption Sheet'!$W28,'Assumption Sheet'!$V28)=0,(1+'Assumption Sheet'!$U28),1)),0)</f>
        <v>57.112233103233713</v>
      </c>
      <c r="JY9" s="33">
        <f>IFERROR(IF(JY$1='Assumption Sheet'!$L28,'Assumption Sheet'!$Q28,JX9*IF(MOD(JY$5-'Assumption Sheet'!$W28,'Assumption Sheet'!$V28)=0,(1+'Assumption Sheet'!$U28),1)),0)</f>
        <v>57.112233103233713</v>
      </c>
      <c r="JZ9" s="33">
        <f>IFERROR(IF(JZ$1='Assumption Sheet'!$L28,'Assumption Sheet'!$Q28,JY9*IF(MOD(JZ$5-'Assumption Sheet'!$W28,'Assumption Sheet'!$V28)=0,(1+'Assumption Sheet'!$U28),1)),0)</f>
        <v>57.112233103233713</v>
      </c>
      <c r="KA9" s="33">
        <f>IFERROR(IF(KA$1='Assumption Sheet'!$L28,'Assumption Sheet'!$Q28,JZ9*IF(MOD(KA$5-'Assumption Sheet'!$W28,'Assumption Sheet'!$V28)=0,(1+'Assumption Sheet'!$U28),1)),0)</f>
        <v>59.967844758395401</v>
      </c>
      <c r="KB9" s="33">
        <f>IFERROR(IF(KB$1='Assumption Sheet'!$L28,'Assumption Sheet'!$Q28,KA9*IF(MOD(KB$5-'Assumption Sheet'!$W28,'Assumption Sheet'!$V28)=0,(1+'Assumption Sheet'!$U28),1)),0)</f>
        <v>59.967844758395401</v>
      </c>
      <c r="KC9" s="33">
        <f>IFERROR(IF(KC$1='Assumption Sheet'!$L28,'Assumption Sheet'!$Q28,KB9*IF(MOD(KC$5-'Assumption Sheet'!$W28,'Assumption Sheet'!$V28)=0,(1+'Assumption Sheet'!$U28),1)),0)</f>
        <v>59.967844758395401</v>
      </c>
      <c r="KD9" s="33"/>
      <c r="KE9" s="33"/>
      <c r="KF9" s="33"/>
      <c r="KG9" s="33"/>
      <c r="KH9" s="33"/>
      <c r="KI9" s="33"/>
      <c r="KJ9" s="33"/>
      <c r="KK9" s="33"/>
      <c r="KL9" s="33"/>
      <c r="KM9" s="33"/>
      <c r="KN9" s="33"/>
      <c r="KO9" s="33"/>
    </row>
    <row r="10" spans="2:301" x14ac:dyDescent="0.3">
      <c r="B10" s="1" t="str">
        <f>'Assumption Sheet'!A29</f>
        <v>Phase 2</v>
      </c>
      <c r="E10" s="33">
        <f>IFERROR(IF(E$1='Assumption Sheet'!$L29,'Assumption Sheet'!$M29+'Assumption Sheet'!$P29,D10*IF(MOD(E$5-'Assumption Sheet'!$W29,'Assumption Sheet'!$V29)=0,(1+'Assumption Sheet'!$U29),1)),0)</f>
        <v>0</v>
      </c>
      <c r="F10" s="33">
        <f>IFERROR(IF(F$1='Assumption Sheet'!$L29,'Assumption Sheet'!$M29+'Assumption Sheet'!$P29,E10*IF(MOD(F$5-'Assumption Sheet'!$W29,'Assumption Sheet'!$V29)=0,(1+'Assumption Sheet'!$U29),1)),0)</f>
        <v>0</v>
      </c>
      <c r="G10" s="33">
        <f>IFERROR(IF(G$1='Assumption Sheet'!$L29,'Assumption Sheet'!A29,F10*IF(MOD(G$5-'Assumption Sheet'!$W29,'Assumption Sheet'!$V29)=0,(1+'Assumption Sheet'!$U29),1)),0)</f>
        <v>0</v>
      </c>
      <c r="H10" s="33">
        <f>IFERROR(IF(H$1='Assumption Sheet'!$L29,'Assumption Sheet'!B29,G10*IF(MOD(H$5-'Assumption Sheet'!$W29,'Assumption Sheet'!$V29)=0,(1+'Assumption Sheet'!$U29),1)),0)</f>
        <v>0</v>
      </c>
      <c r="I10" s="33">
        <f>IFERROR(IF(I$1='Assumption Sheet'!$L29,'Assumption Sheet'!C29,H10*IF(MOD(I$5-'Assumption Sheet'!$W29,'Assumption Sheet'!$V29)=0,(1+'Assumption Sheet'!$U29),1)),0)</f>
        <v>0</v>
      </c>
      <c r="J10" s="33">
        <f>IFERROR(IF(J$1='Assumption Sheet'!$L29,'Assumption Sheet'!D29,I10*IF(MOD(J$5-'Assumption Sheet'!$W29,'Assumption Sheet'!$V29)=0,(1+'Assumption Sheet'!$U29),1)),0)</f>
        <v>0</v>
      </c>
      <c r="K10" s="33">
        <f>IFERROR(IF(K$1='Assumption Sheet'!$L29,'Assumption Sheet'!E29,J10*IF(MOD(K$5-'Assumption Sheet'!$W29,'Assumption Sheet'!$V29)=0,(1+'Assumption Sheet'!$U29),1)),0)</f>
        <v>0</v>
      </c>
      <c r="L10" s="33">
        <f>IFERROR(IF(L$1='Assumption Sheet'!$L29,'Assumption Sheet'!F29,K10*IF(MOD(L$5-'Assumption Sheet'!$W29,'Assumption Sheet'!$V29)=0,(1+'Assumption Sheet'!$U29),1)),0)</f>
        <v>0</v>
      </c>
      <c r="M10" s="33">
        <f>IFERROR(IF(M$1='Assumption Sheet'!$L29,'Assumption Sheet'!G29,L10*IF(MOD(M$5-'Assumption Sheet'!$W29,'Assumption Sheet'!$V29)=0,(1+'Assumption Sheet'!$U29),1)),0)</f>
        <v>0</v>
      </c>
      <c r="N10" s="33">
        <f>IFERROR(IF(N$1='Assumption Sheet'!$L29,'Assumption Sheet'!H29,M10*IF(MOD(N$5-'Assumption Sheet'!$W29,'Assumption Sheet'!$V29)=0,(1+'Assumption Sheet'!$U29),1)),0)</f>
        <v>0</v>
      </c>
      <c r="O10" s="33">
        <f>IFERROR(IF(O$1='Assumption Sheet'!$L29,'Assumption Sheet'!I29,N10*IF(MOD(O$5-'Assumption Sheet'!$W29,'Assumption Sheet'!$V29)=0,(1+'Assumption Sheet'!$U29),1)),0)</f>
        <v>0</v>
      </c>
      <c r="P10" s="33">
        <f>IFERROR(IF(P$1='Assumption Sheet'!$L29,'Assumption Sheet'!J29,O10*IF(MOD(P$5-'Assumption Sheet'!$W29,'Assumption Sheet'!$V29)=0,(1+'Assumption Sheet'!$U29),1)),0)</f>
        <v>0</v>
      </c>
      <c r="Q10" s="33">
        <f>IFERROR(IF(Q$1='Assumption Sheet'!$L29,'Assumption Sheet'!K29,P10*IF(MOD(Q$5-'Assumption Sheet'!$W29,'Assumption Sheet'!$V29)=0,(1+'Assumption Sheet'!$U29),1)),0)</f>
        <v>0</v>
      </c>
      <c r="R10" s="33">
        <f>IFERROR(IF(R$1='Assumption Sheet'!$L29,'Assumption Sheet'!L29,Q10*IF(MOD(R$5-'Assumption Sheet'!$W29,'Assumption Sheet'!$V29)=0,(1+'Assumption Sheet'!$U29),1)),0)</f>
        <v>0</v>
      </c>
      <c r="S10" s="33">
        <f>IFERROR(IF(S$1='Assumption Sheet'!$L29,'Assumption Sheet'!M29,R10*IF(MOD(S$5-'Assumption Sheet'!$W29,'Assumption Sheet'!$V29)=0,(1+'Assumption Sheet'!$U29),1)),0)</f>
        <v>0</v>
      </c>
      <c r="T10" s="33">
        <f>IFERROR(IF(T$1='Assumption Sheet'!$L29,'Assumption Sheet'!N29,S10*IF(MOD(T$5-'Assumption Sheet'!$W29,'Assumption Sheet'!$V29)=0,(1+'Assumption Sheet'!$U29),1)),0)</f>
        <v>0</v>
      </c>
      <c r="U10" s="33">
        <f>IFERROR(IF(U$1='Assumption Sheet'!$L29,'Assumption Sheet'!O29,T10*IF(MOD(U$5-'Assumption Sheet'!$W29,'Assumption Sheet'!$V29)=0,(1+'Assumption Sheet'!$U29),1)),0)</f>
        <v>0</v>
      </c>
      <c r="V10" s="33">
        <f>IFERROR(IF(V$1='Assumption Sheet'!$L29,'Assumption Sheet'!P29,U10*IF(MOD(V$5-'Assumption Sheet'!$W29,'Assumption Sheet'!$V29)=0,(1+'Assumption Sheet'!$U29),1)),0)</f>
        <v>0</v>
      </c>
      <c r="W10" s="33">
        <f>IFERROR(IF(W$1='Assumption Sheet'!$L29,'Assumption Sheet'!$Q29,V10*IF(MOD(W$5-'Assumption Sheet'!$W29,'Assumption Sheet'!$V29)=0,(1+'Assumption Sheet'!$U29),1)),0)</f>
        <v>0</v>
      </c>
      <c r="X10" s="33">
        <f>IFERROR(IF(X$1='Assumption Sheet'!$L29,'Assumption Sheet'!$Q29,W10*IF(MOD(X$5-'Assumption Sheet'!$W29,'Assumption Sheet'!$V29)=0,(1+'Assumption Sheet'!$U29),1)),0)</f>
        <v>0</v>
      </c>
      <c r="Y10" s="33">
        <f>IFERROR(IF(Y$1='Assumption Sheet'!$L29,'Assumption Sheet'!$Q29,X10*IF(MOD(Y$5-'Assumption Sheet'!$W29,'Assumption Sheet'!$V29)=0,(1+'Assumption Sheet'!$U29),1)),0)</f>
        <v>0</v>
      </c>
      <c r="Z10" s="33">
        <f>IFERROR(IF(Z$1='Assumption Sheet'!$L29,'Assumption Sheet'!$Q29,Y10*IF(MOD(Z$5-'Assumption Sheet'!$W29,'Assumption Sheet'!$V29)=0,(1+'Assumption Sheet'!$U29),1)),0)</f>
        <v>0</v>
      </c>
      <c r="AA10" s="33">
        <f>IFERROR(IF(AA$1='Assumption Sheet'!$L29,'Assumption Sheet'!$Q29,Z10*IF(MOD(AA$5-'Assumption Sheet'!$W29,'Assumption Sheet'!$V29)=0,(1+'Assumption Sheet'!$U29),1)),0)</f>
        <v>0</v>
      </c>
      <c r="AB10" s="33">
        <f>IFERROR(IF(AB$1='Assumption Sheet'!$L29,'Assumption Sheet'!$Q29,AA10*IF(MOD(AB$5-'Assumption Sheet'!$W29,'Assumption Sheet'!$V29)=0,(1+'Assumption Sheet'!$U29),1)),0)</f>
        <v>0</v>
      </c>
      <c r="AC10" s="33">
        <f>IFERROR(IF(AC$1='Assumption Sheet'!$L29,'Assumption Sheet'!$Q29,AB10*IF(MOD(AC$5-'Assumption Sheet'!$W29,'Assumption Sheet'!$V29)=0,(1+'Assumption Sheet'!$U29),1)),0)</f>
        <v>0</v>
      </c>
      <c r="AD10" s="33">
        <f>IFERROR(IF(AD$1='Assumption Sheet'!$L29,'Assumption Sheet'!$Q29,AC10*IF(MOD(AD$5-'Assumption Sheet'!$W29,'Assumption Sheet'!$V29)=0,(1+'Assumption Sheet'!$U29),1)),0)</f>
        <v>0</v>
      </c>
      <c r="AE10" s="33">
        <f>IFERROR(IF(AE$1='Assumption Sheet'!$L29,'Assumption Sheet'!$Q29,AD10*IF(MOD(AE$5-'Assumption Sheet'!$W29,'Assumption Sheet'!$V29)=0,(1+'Assumption Sheet'!$U29),1)),0)</f>
        <v>0</v>
      </c>
      <c r="AF10" s="33">
        <f>IFERROR(IF(AF$1='Assumption Sheet'!$L29,'Assumption Sheet'!$Q29,AE10*IF(MOD(AF$5-'Assumption Sheet'!$W29,'Assumption Sheet'!$V29)=0,(1+'Assumption Sheet'!$U29),1)),0)</f>
        <v>0</v>
      </c>
      <c r="AG10" s="33">
        <f>IFERROR(IF(AG$1='Assumption Sheet'!$L29,'Assumption Sheet'!$Q29,AF10*IF(MOD(AG$5-'Assumption Sheet'!$W29,'Assumption Sheet'!$V29)=0,(1+'Assumption Sheet'!$U29),1)),0)</f>
        <v>0</v>
      </c>
      <c r="AH10" s="33">
        <f>IFERROR(IF(AH$1='Assumption Sheet'!$L29,'Assumption Sheet'!$Q29,AG10*IF(MOD(AH$5-'Assumption Sheet'!$W29,'Assumption Sheet'!$V29)=0,(1+'Assumption Sheet'!$U29),1)),0)</f>
        <v>0</v>
      </c>
      <c r="AI10" s="33">
        <f>IFERROR(IF(AI$1='Assumption Sheet'!$L29,'Assumption Sheet'!$Q29,AH10*IF(MOD(AI$5-'Assumption Sheet'!$W29,'Assumption Sheet'!$V29)=0,(1+'Assumption Sheet'!$U29),1)),0)</f>
        <v>20.5</v>
      </c>
      <c r="AJ10" s="33">
        <f>IFERROR(IF(AJ$1='Assumption Sheet'!$L29,'Assumption Sheet'!$Q29,AI10*IF(MOD(AJ$5-'Assumption Sheet'!$W29,'Assumption Sheet'!$V29)=0,(1+'Assumption Sheet'!$U29),1)),0)</f>
        <v>20.5</v>
      </c>
      <c r="AK10" s="33">
        <f>IFERROR(IF(AK$1='Assumption Sheet'!$L29,'Assumption Sheet'!$Q29,AJ10*IF(MOD(AK$5-'Assumption Sheet'!$W29,'Assumption Sheet'!$V29)=0,(1+'Assumption Sheet'!$U29),1)),0)</f>
        <v>20.5</v>
      </c>
      <c r="AL10" s="33">
        <f>IFERROR(IF(AL$1='Assumption Sheet'!$L29,'Assumption Sheet'!$Q29,AK10*IF(MOD(AL$5-'Assumption Sheet'!$W29,'Assumption Sheet'!$V29)=0,(1+'Assumption Sheet'!$U29),1)),0)</f>
        <v>20.5</v>
      </c>
      <c r="AM10" s="33">
        <f>IFERROR(IF(AM$1='Assumption Sheet'!$L29,'Assumption Sheet'!$Q29,AL10*IF(MOD(AM$5-'Assumption Sheet'!$W29,'Assumption Sheet'!$V29)=0,(1+'Assumption Sheet'!$U29),1)),0)</f>
        <v>20.5</v>
      </c>
      <c r="AN10" s="33">
        <f>IFERROR(IF(AN$1='Assumption Sheet'!$L29,'Assumption Sheet'!$Q29,AM10*IF(MOD(AN$5-'Assumption Sheet'!$W29,'Assumption Sheet'!$V29)=0,(1+'Assumption Sheet'!$U29),1)),0)</f>
        <v>20.5</v>
      </c>
      <c r="AO10" s="33">
        <f>IFERROR(IF(AO$1='Assumption Sheet'!$L29,'Assumption Sheet'!$Q29,AN10*IF(MOD(AO$5-'Assumption Sheet'!$W29,'Assumption Sheet'!$V29)=0,(1+'Assumption Sheet'!$U29),1)),0)</f>
        <v>20.5</v>
      </c>
      <c r="AP10" s="33">
        <f>IFERROR(IF(AP$1='Assumption Sheet'!$L29,'Assumption Sheet'!$Q29,AO10*IF(MOD(AP$5-'Assumption Sheet'!$W29,'Assumption Sheet'!$V29)=0,(1+'Assumption Sheet'!$U29),1)),0)</f>
        <v>20.5</v>
      </c>
      <c r="AQ10" s="33">
        <f>IFERROR(IF(AQ$1='Assumption Sheet'!$L29,'Assumption Sheet'!$Q29,AP10*IF(MOD(AQ$5-'Assumption Sheet'!$W29,'Assumption Sheet'!$V29)=0,(1+'Assumption Sheet'!$U29),1)),0)</f>
        <v>20.5</v>
      </c>
      <c r="AR10" s="33">
        <f>IFERROR(IF(AR$1='Assumption Sheet'!$L29,'Assumption Sheet'!$Q29,AQ10*IF(MOD(AR$5-'Assumption Sheet'!$W29,'Assumption Sheet'!$V29)=0,(1+'Assumption Sheet'!$U29),1)),0)</f>
        <v>20.5</v>
      </c>
      <c r="AS10" s="33">
        <f>IFERROR(IF(AS$1='Assumption Sheet'!$L29,'Assumption Sheet'!$Q29,AR10*IF(MOD(AS$5-'Assumption Sheet'!$W29,'Assumption Sheet'!$V29)=0,(1+'Assumption Sheet'!$U29),1)),0)</f>
        <v>20.5</v>
      </c>
      <c r="AT10" s="33">
        <f>IFERROR(IF(AT$1='Assumption Sheet'!$L29,'Assumption Sheet'!$Q29,AS10*IF(MOD(AT$5-'Assumption Sheet'!$W29,'Assumption Sheet'!$V29)=0,(1+'Assumption Sheet'!$U29),1)),0)</f>
        <v>20.5</v>
      </c>
      <c r="AU10" s="33">
        <f>IFERROR(IF(AU$1='Assumption Sheet'!$L29,'Assumption Sheet'!$Q29,AT10*IF(MOD(AU$5-'Assumption Sheet'!$W29,'Assumption Sheet'!$V29)=0,(1+'Assumption Sheet'!$U29),1)),0)</f>
        <v>21.525000000000002</v>
      </c>
      <c r="AV10" s="33">
        <f>IFERROR(IF(AV$1='Assumption Sheet'!$L29,'Assumption Sheet'!$Q29,AU10*IF(MOD(AV$5-'Assumption Sheet'!$W29,'Assumption Sheet'!$V29)=0,(1+'Assumption Sheet'!$U29),1)),0)</f>
        <v>21.525000000000002</v>
      </c>
      <c r="AW10" s="33">
        <f>IFERROR(IF(AW$1='Assumption Sheet'!$L29,'Assumption Sheet'!$Q29,AV10*IF(MOD(AW$5-'Assumption Sheet'!$W29,'Assumption Sheet'!$V29)=0,(1+'Assumption Sheet'!$U29),1)),0)</f>
        <v>21.525000000000002</v>
      </c>
      <c r="AX10" s="33">
        <f>IFERROR(IF(AX$1='Assumption Sheet'!$L29,'Assumption Sheet'!$Q29,AW10*IF(MOD(AX$5-'Assumption Sheet'!$W29,'Assumption Sheet'!$V29)=0,(1+'Assumption Sheet'!$U29),1)),0)</f>
        <v>21.525000000000002</v>
      </c>
      <c r="AY10" s="33">
        <f>IFERROR(IF(AY$1='Assumption Sheet'!$L29,'Assumption Sheet'!$Q29,AX10*IF(MOD(AY$5-'Assumption Sheet'!$W29,'Assumption Sheet'!$V29)=0,(1+'Assumption Sheet'!$U29),1)),0)</f>
        <v>21.525000000000002</v>
      </c>
      <c r="AZ10" s="33">
        <f>IFERROR(IF(AZ$1='Assumption Sheet'!$L29,'Assumption Sheet'!$Q29,AY10*IF(MOD(AZ$5-'Assumption Sheet'!$W29,'Assumption Sheet'!$V29)=0,(1+'Assumption Sheet'!$U29),1)),0)</f>
        <v>21.525000000000002</v>
      </c>
      <c r="BA10" s="33">
        <f>IFERROR(IF(BA$1='Assumption Sheet'!$L29,'Assumption Sheet'!$Q29,AZ10*IF(MOD(BA$5-'Assumption Sheet'!$W29,'Assumption Sheet'!$V29)=0,(1+'Assumption Sheet'!$U29),1)),0)</f>
        <v>21.525000000000002</v>
      </c>
      <c r="BB10" s="33">
        <f>IFERROR(IF(BB$1='Assumption Sheet'!$L29,'Assumption Sheet'!$Q29,BA10*IF(MOD(BB$5-'Assumption Sheet'!$W29,'Assumption Sheet'!$V29)=0,(1+'Assumption Sheet'!$U29),1)),0)</f>
        <v>21.525000000000002</v>
      </c>
      <c r="BC10" s="33">
        <f>IFERROR(IF(BC$1='Assumption Sheet'!$L29,'Assumption Sheet'!$Q29,BB10*IF(MOD(BC$5-'Assumption Sheet'!$W29,'Assumption Sheet'!$V29)=0,(1+'Assumption Sheet'!$U29),1)),0)</f>
        <v>21.525000000000002</v>
      </c>
      <c r="BD10" s="33">
        <f>IFERROR(IF(BD$1='Assumption Sheet'!$L29,'Assumption Sheet'!$Q29,BC10*IF(MOD(BD$5-'Assumption Sheet'!$W29,'Assumption Sheet'!$V29)=0,(1+'Assumption Sheet'!$U29),1)),0)</f>
        <v>21.525000000000002</v>
      </c>
      <c r="BE10" s="33">
        <f>IFERROR(IF(BE$1='Assumption Sheet'!$L29,'Assumption Sheet'!$Q29,BD10*IF(MOD(BE$5-'Assumption Sheet'!$W29,'Assumption Sheet'!$V29)=0,(1+'Assumption Sheet'!$U29),1)),0)</f>
        <v>21.525000000000002</v>
      </c>
      <c r="BF10" s="33">
        <f>IFERROR(IF(BF$1='Assumption Sheet'!$L29,'Assumption Sheet'!$Q29,BE10*IF(MOD(BF$5-'Assumption Sheet'!$W29,'Assumption Sheet'!$V29)=0,(1+'Assumption Sheet'!$U29),1)),0)</f>
        <v>21.525000000000002</v>
      </c>
      <c r="BG10" s="33">
        <f>IFERROR(IF(BG$1='Assumption Sheet'!$L29,'Assumption Sheet'!$Q29,BF10*IF(MOD(BG$5-'Assumption Sheet'!$W29,'Assumption Sheet'!$V29)=0,(1+'Assumption Sheet'!$U29),1)),0)</f>
        <v>22.601250000000004</v>
      </c>
      <c r="BH10" s="33">
        <f>IFERROR(IF(BH$1='Assumption Sheet'!$L29,'Assumption Sheet'!$Q29,BG10*IF(MOD(BH$5-'Assumption Sheet'!$W29,'Assumption Sheet'!$V29)=0,(1+'Assumption Sheet'!$U29),1)),0)</f>
        <v>22.601250000000004</v>
      </c>
      <c r="BI10" s="33">
        <f>IFERROR(IF(BI$1='Assumption Sheet'!$L29,'Assumption Sheet'!$Q29,BH10*IF(MOD(BI$5-'Assumption Sheet'!$W29,'Assumption Sheet'!$V29)=0,(1+'Assumption Sheet'!$U29),1)),0)</f>
        <v>22.601250000000004</v>
      </c>
      <c r="BJ10" s="33">
        <f>IFERROR(IF(BJ$1='Assumption Sheet'!$L29,'Assumption Sheet'!$Q29,BI10*IF(MOD(BJ$5-'Assumption Sheet'!$W29,'Assumption Sheet'!$V29)=0,(1+'Assumption Sheet'!$U29),1)),0)</f>
        <v>22.601250000000004</v>
      </c>
      <c r="BK10" s="33">
        <f>IFERROR(IF(BK$1='Assumption Sheet'!$L29,'Assumption Sheet'!$Q29,BJ10*IF(MOD(BK$5-'Assumption Sheet'!$W29,'Assumption Sheet'!$V29)=0,(1+'Assumption Sheet'!$U29),1)),0)</f>
        <v>22.601250000000004</v>
      </c>
      <c r="BL10" s="33">
        <f>IFERROR(IF(BL$1='Assumption Sheet'!$L29,'Assumption Sheet'!$Q29,BK10*IF(MOD(BL$5-'Assumption Sheet'!$W29,'Assumption Sheet'!$V29)=0,(1+'Assumption Sheet'!$U29),1)),0)</f>
        <v>22.601250000000004</v>
      </c>
      <c r="BM10" s="33">
        <f>IFERROR(IF(BM$1='Assumption Sheet'!$L29,'Assumption Sheet'!$Q29,BL10*IF(MOD(BM$5-'Assumption Sheet'!$W29,'Assumption Sheet'!$V29)=0,(1+'Assumption Sheet'!$U29),1)),0)</f>
        <v>22.601250000000004</v>
      </c>
      <c r="BN10" s="33">
        <f>IFERROR(IF(BN$1='Assumption Sheet'!$L29,'Assumption Sheet'!$Q29,BM10*IF(MOD(BN$5-'Assumption Sheet'!$W29,'Assumption Sheet'!$V29)=0,(1+'Assumption Sheet'!$U29),1)),0)</f>
        <v>22.601250000000004</v>
      </c>
      <c r="BO10" s="33">
        <f>IFERROR(IF(BO$1='Assumption Sheet'!$L29,'Assumption Sheet'!$Q29,BN10*IF(MOD(BO$5-'Assumption Sheet'!$W29,'Assumption Sheet'!$V29)=0,(1+'Assumption Sheet'!$U29),1)),0)</f>
        <v>22.601250000000004</v>
      </c>
      <c r="BP10" s="33">
        <f>IFERROR(IF(BP$1='Assumption Sheet'!$L29,'Assumption Sheet'!$Q29,BO10*IF(MOD(BP$5-'Assumption Sheet'!$W29,'Assumption Sheet'!$V29)=0,(1+'Assumption Sheet'!$U29),1)),0)</f>
        <v>22.601250000000004</v>
      </c>
      <c r="BQ10" s="33">
        <f>IFERROR(IF(BQ$1='Assumption Sheet'!$L29,'Assumption Sheet'!$Q29,BP10*IF(MOD(BQ$5-'Assumption Sheet'!$W29,'Assumption Sheet'!$V29)=0,(1+'Assumption Sheet'!$U29),1)),0)</f>
        <v>22.601250000000004</v>
      </c>
      <c r="BR10" s="33">
        <f>IFERROR(IF(BR$1='Assumption Sheet'!$L29,'Assumption Sheet'!$Q29,BQ10*IF(MOD(BR$5-'Assumption Sheet'!$W29,'Assumption Sheet'!$V29)=0,(1+'Assumption Sheet'!$U29),1)),0)</f>
        <v>22.601250000000004</v>
      </c>
      <c r="BS10" s="33">
        <f>IFERROR(IF(BS$1='Assumption Sheet'!$L29,'Assumption Sheet'!$Q29,BR10*IF(MOD(BS$5-'Assumption Sheet'!$W29,'Assumption Sheet'!$V29)=0,(1+'Assumption Sheet'!$U29),1)),0)</f>
        <v>23.731312500000005</v>
      </c>
      <c r="BT10" s="33">
        <f>IFERROR(IF(BT$1='Assumption Sheet'!$L29,'Assumption Sheet'!$Q29,BS10*IF(MOD(BT$5-'Assumption Sheet'!$W29,'Assumption Sheet'!$V29)=0,(1+'Assumption Sheet'!$U29),1)),0)</f>
        <v>23.731312500000005</v>
      </c>
      <c r="BU10" s="33">
        <f>IFERROR(IF(BU$1='Assumption Sheet'!$L29,'Assumption Sheet'!$Q29,BT10*IF(MOD(BU$5-'Assumption Sheet'!$W29,'Assumption Sheet'!$V29)=0,(1+'Assumption Sheet'!$U29),1)),0)</f>
        <v>23.731312500000005</v>
      </c>
      <c r="BV10" s="33">
        <f>IFERROR(IF(BV$1='Assumption Sheet'!$L29,'Assumption Sheet'!$Q29,BU10*IF(MOD(BV$5-'Assumption Sheet'!$W29,'Assumption Sheet'!$V29)=0,(1+'Assumption Sheet'!$U29),1)),0)</f>
        <v>23.731312500000005</v>
      </c>
      <c r="BW10" s="33">
        <f>IFERROR(IF(BW$1='Assumption Sheet'!$L29,'Assumption Sheet'!$Q29,BV10*IF(MOD(BW$5-'Assumption Sheet'!$W29,'Assumption Sheet'!$V29)=0,(1+'Assumption Sheet'!$U29),1)),0)</f>
        <v>23.731312500000005</v>
      </c>
      <c r="BX10" s="33">
        <f>IFERROR(IF(BX$1='Assumption Sheet'!$L29,'Assumption Sheet'!$Q29,BW10*IF(MOD(BX$5-'Assumption Sheet'!$W29,'Assumption Sheet'!$V29)=0,(1+'Assumption Sheet'!$U29),1)),0)</f>
        <v>23.731312500000005</v>
      </c>
      <c r="BY10" s="33">
        <f>IFERROR(IF(BY$1='Assumption Sheet'!$L29,'Assumption Sheet'!$Q29,BX10*IF(MOD(BY$5-'Assumption Sheet'!$W29,'Assumption Sheet'!$V29)=0,(1+'Assumption Sheet'!$U29),1)),0)</f>
        <v>23.731312500000005</v>
      </c>
      <c r="BZ10" s="33">
        <f>IFERROR(IF(BZ$1='Assumption Sheet'!$L29,'Assumption Sheet'!$Q29,BY10*IF(MOD(BZ$5-'Assumption Sheet'!$W29,'Assumption Sheet'!$V29)=0,(1+'Assumption Sheet'!$U29),1)),0)</f>
        <v>23.731312500000005</v>
      </c>
      <c r="CA10" s="33">
        <f>IFERROR(IF(CA$1='Assumption Sheet'!$L29,'Assumption Sheet'!$Q29,BZ10*IF(MOD(CA$5-'Assumption Sheet'!$W29,'Assumption Sheet'!$V29)=0,(1+'Assumption Sheet'!$U29),1)),0)</f>
        <v>23.731312500000005</v>
      </c>
      <c r="CB10" s="33">
        <f>IFERROR(IF(CB$1='Assumption Sheet'!$L29,'Assumption Sheet'!$Q29,CA10*IF(MOD(CB$5-'Assumption Sheet'!$W29,'Assumption Sheet'!$V29)=0,(1+'Assumption Sheet'!$U29),1)),0)</f>
        <v>23.731312500000005</v>
      </c>
      <c r="CC10" s="33">
        <f>IFERROR(IF(CC$1='Assumption Sheet'!$L29,'Assumption Sheet'!$Q29,CB10*IF(MOD(CC$5-'Assumption Sheet'!$W29,'Assumption Sheet'!$V29)=0,(1+'Assumption Sheet'!$U29),1)),0)</f>
        <v>23.731312500000005</v>
      </c>
      <c r="CD10" s="33">
        <f>IFERROR(IF(CD$1='Assumption Sheet'!$L29,'Assumption Sheet'!$Q29,CC10*IF(MOD(CD$5-'Assumption Sheet'!$W29,'Assumption Sheet'!$V29)=0,(1+'Assumption Sheet'!$U29),1)),0)</f>
        <v>23.731312500000005</v>
      </c>
      <c r="CE10" s="33">
        <f>IFERROR(IF(CE$1='Assumption Sheet'!$L29,'Assumption Sheet'!$Q29,CD10*IF(MOD(CE$5-'Assumption Sheet'!$W29,'Assumption Sheet'!$V29)=0,(1+'Assumption Sheet'!$U29),1)),0)</f>
        <v>24.917878125000005</v>
      </c>
      <c r="CF10" s="33">
        <f>IFERROR(IF(CF$1='Assumption Sheet'!$L29,'Assumption Sheet'!$Q29,CE10*IF(MOD(CF$5-'Assumption Sheet'!$W29,'Assumption Sheet'!$V29)=0,(1+'Assumption Sheet'!$U29),1)),0)</f>
        <v>24.917878125000005</v>
      </c>
      <c r="CG10" s="33">
        <f>IFERROR(IF(CG$1='Assumption Sheet'!$L29,'Assumption Sheet'!$Q29,CF10*IF(MOD(CG$5-'Assumption Sheet'!$W29,'Assumption Sheet'!$V29)=0,(1+'Assumption Sheet'!$U29),1)),0)</f>
        <v>24.917878125000005</v>
      </c>
      <c r="CH10" s="33">
        <f>IFERROR(IF(CH$1='Assumption Sheet'!$L29,'Assumption Sheet'!$Q29,CG10*IF(MOD(CH$5-'Assumption Sheet'!$W29,'Assumption Sheet'!$V29)=0,(1+'Assumption Sheet'!$U29),1)),0)</f>
        <v>24.917878125000005</v>
      </c>
      <c r="CI10" s="33">
        <f>IFERROR(IF(CI$1='Assumption Sheet'!$L29,'Assumption Sheet'!$Q29,CH10*IF(MOD(CI$5-'Assumption Sheet'!$W29,'Assumption Sheet'!$V29)=0,(1+'Assumption Sheet'!$U29),1)),0)</f>
        <v>24.917878125000005</v>
      </c>
      <c r="CJ10" s="33">
        <f>IFERROR(IF(CJ$1='Assumption Sheet'!$L29,'Assumption Sheet'!$Q29,CI10*IF(MOD(CJ$5-'Assumption Sheet'!$W29,'Assumption Sheet'!$V29)=0,(1+'Assumption Sheet'!$U29),1)),0)</f>
        <v>24.917878125000005</v>
      </c>
      <c r="CK10" s="33">
        <f>IFERROR(IF(CK$1='Assumption Sheet'!$L29,'Assumption Sheet'!$Q29,CJ10*IF(MOD(CK$5-'Assumption Sheet'!$W29,'Assumption Sheet'!$V29)=0,(1+'Assumption Sheet'!$U29),1)),0)</f>
        <v>24.917878125000005</v>
      </c>
      <c r="CL10" s="33">
        <f>IFERROR(IF(CL$1='Assumption Sheet'!$L29,'Assumption Sheet'!$Q29,CK10*IF(MOD(CL$5-'Assumption Sheet'!$W29,'Assumption Sheet'!$V29)=0,(1+'Assumption Sheet'!$U29),1)),0)</f>
        <v>24.917878125000005</v>
      </c>
      <c r="CM10" s="33">
        <f>IFERROR(IF(CM$1='Assumption Sheet'!$L29,'Assumption Sheet'!$Q29,CL10*IF(MOD(CM$5-'Assumption Sheet'!$W29,'Assumption Sheet'!$V29)=0,(1+'Assumption Sheet'!$U29),1)),0)</f>
        <v>24.917878125000005</v>
      </c>
      <c r="CN10" s="33">
        <f>IFERROR(IF(CN$1='Assumption Sheet'!$L29,'Assumption Sheet'!$Q29,CM10*IF(MOD(CN$5-'Assumption Sheet'!$W29,'Assumption Sheet'!$V29)=0,(1+'Assumption Sheet'!$U29),1)),0)</f>
        <v>24.917878125000005</v>
      </c>
      <c r="CO10" s="33">
        <f>IFERROR(IF(CO$1='Assumption Sheet'!$L29,'Assumption Sheet'!$Q29,CN10*IF(MOD(CO$5-'Assumption Sheet'!$W29,'Assumption Sheet'!$V29)=0,(1+'Assumption Sheet'!$U29),1)),0)</f>
        <v>24.917878125000005</v>
      </c>
      <c r="CP10" s="33">
        <f>IFERROR(IF(CP$1='Assumption Sheet'!$L29,'Assumption Sheet'!$Q29,CO10*IF(MOD(CP$5-'Assumption Sheet'!$W29,'Assumption Sheet'!$V29)=0,(1+'Assumption Sheet'!$U29),1)),0)</f>
        <v>24.917878125000005</v>
      </c>
      <c r="CQ10" s="33">
        <f>IFERROR(IF(CQ$1='Assumption Sheet'!$L29,'Assumption Sheet'!$Q29,CP10*IF(MOD(CQ$5-'Assumption Sheet'!$W29,'Assumption Sheet'!$V29)=0,(1+'Assumption Sheet'!$U29),1)),0)</f>
        <v>26.163772031250005</v>
      </c>
      <c r="CR10" s="33">
        <f>IFERROR(IF(CR$1='Assumption Sheet'!$L29,'Assumption Sheet'!$Q29,CQ10*IF(MOD(CR$5-'Assumption Sheet'!$W29,'Assumption Sheet'!$V29)=0,(1+'Assumption Sheet'!$U29),1)),0)</f>
        <v>26.163772031250005</v>
      </c>
      <c r="CS10" s="33">
        <f>IFERROR(IF(CS$1='Assumption Sheet'!$L29,'Assumption Sheet'!$Q29,CR10*IF(MOD(CS$5-'Assumption Sheet'!$W29,'Assumption Sheet'!$V29)=0,(1+'Assumption Sheet'!$U29),1)),0)</f>
        <v>26.163772031250005</v>
      </c>
      <c r="CT10" s="33">
        <f>IFERROR(IF(CT$1='Assumption Sheet'!$L29,'Assumption Sheet'!$Q29,CS10*IF(MOD(CT$5-'Assumption Sheet'!$W29,'Assumption Sheet'!$V29)=0,(1+'Assumption Sheet'!$U29),1)),0)</f>
        <v>26.163772031250005</v>
      </c>
      <c r="CU10" s="33">
        <f>IFERROR(IF(CU$1='Assumption Sheet'!$L29,'Assumption Sheet'!$Q29,CT10*IF(MOD(CU$5-'Assumption Sheet'!$W29,'Assumption Sheet'!$V29)=0,(1+'Assumption Sheet'!$U29),1)),0)</f>
        <v>26.163772031250005</v>
      </c>
      <c r="CV10" s="33">
        <f>IFERROR(IF(CV$1='Assumption Sheet'!$L29,'Assumption Sheet'!$Q29,CU10*IF(MOD(CV$5-'Assumption Sheet'!$W29,'Assumption Sheet'!$V29)=0,(1+'Assumption Sheet'!$U29),1)),0)</f>
        <v>26.163772031250005</v>
      </c>
      <c r="CW10" s="33">
        <f>IFERROR(IF(CW$1='Assumption Sheet'!$L29,'Assumption Sheet'!$Q29,CV10*IF(MOD(CW$5-'Assumption Sheet'!$W29,'Assumption Sheet'!$V29)=0,(1+'Assumption Sheet'!$U29),1)),0)</f>
        <v>26.163772031250005</v>
      </c>
      <c r="CX10" s="33">
        <f>IFERROR(IF(CX$1='Assumption Sheet'!$L29,'Assumption Sheet'!$Q29,CW10*IF(MOD(CX$5-'Assumption Sheet'!$W29,'Assumption Sheet'!$V29)=0,(1+'Assumption Sheet'!$U29),1)),0)</f>
        <v>26.163772031250005</v>
      </c>
      <c r="CY10" s="33">
        <f>IFERROR(IF(CY$1='Assumption Sheet'!$L29,'Assumption Sheet'!$Q29,CX10*IF(MOD(CY$5-'Assumption Sheet'!$W29,'Assumption Sheet'!$V29)=0,(1+'Assumption Sheet'!$U29),1)),0)</f>
        <v>26.163772031250005</v>
      </c>
      <c r="CZ10" s="33">
        <f>IFERROR(IF(CZ$1='Assumption Sheet'!$L29,'Assumption Sheet'!$Q29,CY10*IF(MOD(CZ$5-'Assumption Sheet'!$W29,'Assumption Sheet'!$V29)=0,(1+'Assumption Sheet'!$U29),1)),0)</f>
        <v>26.163772031250005</v>
      </c>
      <c r="DA10" s="33">
        <f>IFERROR(IF(DA$1='Assumption Sheet'!$L29,'Assumption Sheet'!$Q29,CZ10*IF(MOD(DA$5-'Assumption Sheet'!$W29,'Assumption Sheet'!$V29)=0,(1+'Assumption Sheet'!$U29),1)),0)</f>
        <v>26.163772031250005</v>
      </c>
      <c r="DB10" s="33">
        <f>IFERROR(IF(DB$1='Assumption Sheet'!$L29,'Assumption Sheet'!$Q29,DA10*IF(MOD(DB$5-'Assumption Sheet'!$W29,'Assumption Sheet'!$V29)=0,(1+'Assumption Sheet'!$U29),1)),0)</f>
        <v>26.163772031250005</v>
      </c>
      <c r="DC10" s="33">
        <f>IFERROR(IF(DC$1='Assumption Sheet'!$L29,'Assumption Sheet'!$Q29,DB10*IF(MOD(DC$5-'Assumption Sheet'!$W29,'Assumption Sheet'!$V29)=0,(1+'Assumption Sheet'!$U29),1)),0)</f>
        <v>27.471960632812507</v>
      </c>
      <c r="DD10" s="33">
        <f>IFERROR(IF(DD$1='Assumption Sheet'!$L29,'Assumption Sheet'!$Q29,DC10*IF(MOD(DD$5-'Assumption Sheet'!$W29,'Assumption Sheet'!$V29)=0,(1+'Assumption Sheet'!$U29),1)),0)</f>
        <v>27.471960632812507</v>
      </c>
      <c r="DE10" s="33">
        <f>IFERROR(IF(DE$1='Assumption Sheet'!$L29,'Assumption Sheet'!$Q29,DD10*IF(MOD(DE$5-'Assumption Sheet'!$W29,'Assumption Sheet'!$V29)=0,(1+'Assumption Sheet'!$U29),1)),0)</f>
        <v>27.471960632812507</v>
      </c>
      <c r="DF10" s="33">
        <f>IFERROR(IF(DF$1='Assumption Sheet'!$L29,'Assumption Sheet'!$Q29,DE10*IF(MOD(DF$5-'Assumption Sheet'!$W29,'Assumption Sheet'!$V29)=0,(1+'Assumption Sheet'!$U29),1)),0)</f>
        <v>27.471960632812507</v>
      </c>
      <c r="DG10" s="33">
        <f>IFERROR(IF(DG$1='Assumption Sheet'!$L29,'Assumption Sheet'!$Q29,DF10*IF(MOD(DG$5-'Assumption Sheet'!$W29,'Assumption Sheet'!$V29)=0,(1+'Assumption Sheet'!$U29),1)),0)</f>
        <v>27.471960632812507</v>
      </c>
      <c r="DH10" s="33">
        <f>IFERROR(IF(DH$1='Assumption Sheet'!$L29,'Assumption Sheet'!$Q29,DG10*IF(MOD(DH$5-'Assumption Sheet'!$W29,'Assumption Sheet'!$V29)=0,(1+'Assumption Sheet'!$U29),1)),0)</f>
        <v>27.471960632812507</v>
      </c>
      <c r="DI10" s="33">
        <f>IFERROR(IF(DI$1='Assumption Sheet'!$L29,'Assumption Sheet'!$Q29,DH10*IF(MOD(DI$5-'Assumption Sheet'!$W29,'Assumption Sheet'!$V29)=0,(1+'Assumption Sheet'!$U29),1)),0)</f>
        <v>27.471960632812507</v>
      </c>
      <c r="DJ10" s="33">
        <f>IFERROR(IF(DJ$1='Assumption Sheet'!$L29,'Assumption Sheet'!$Q29,DI10*IF(MOD(DJ$5-'Assumption Sheet'!$W29,'Assumption Sheet'!$V29)=0,(1+'Assumption Sheet'!$U29),1)),0)</f>
        <v>27.471960632812507</v>
      </c>
      <c r="DK10" s="33">
        <f>IFERROR(IF(DK$1='Assumption Sheet'!$L29,'Assumption Sheet'!$Q29,DJ10*IF(MOD(DK$5-'Assumption Sheet'!$W29,'Assumption Sheet'!$V29)=0,(1+'Assumption Sheet'!$U29),1)),0)</f>
        <v>27.471960632812507</v>
      </c>
      <c r="DL10" s="33">
        <f>IFERROR(IF(DL$1='Assumption Sheet'!$L29,'Assumption Sheet'!$Q29,DK10*IF(MOD(DL$5-'Assumption Sheet'!$W29,'Assumption Sheet'!$V29)=0,(1+'Assumption Sheet'!$U29),1)),0)</f>
        <v>27.471960632812507</v>
      </c>
      <c r="DM10" s="33">
        <f>IFERROR(IF(DM$1='Assumption Sheet'!$L29,'Assumption Sheet'!$Q29,DL10*IF(MOD(DM$5-'Assumption Sheet'!$W29,'Assumption Sheet'!$V29)=0,(1+'Assumption Sheet'!$U29),1)),0)</f>
        <v>27.471960632812507</v>
      </c>
      <c r="DN10" s="33">
        <f>IFERROR(IF(DN$1='Assumption Sheet'!$L29,'Assumption Sheet'!$Q29,DM10*IF(MOD(DN$5-'Assumption Sheet'!$W29,'Assumption Sheet'!$V29)=0,(1+'Assumption Sheet'!$U29),1)),0)</f>
        <v>27.471960632812507</v>
      </c>
      <c r="DO10" s="33">
        <f>IFERROR(IF(DO$1='Assumption Sheet'!$L29,'Assumption Sheet'!$Q29,DN10*IF(MOD(DO$5-'Assumption Sheet'!$W29,'Assumption Sheet'!$V29)=0,(1+'Assumption Sheet'!$U29),1)),0)</f>
        <v>28.845558664453133</v>
      </c>
      <c r="DP10" s="33">
        <f>IFERROR(IF(DP$1='Assumption Sheet'!$L29,'Assumption Sheet'!$Q29,DO10*IF(MOD(DP$5-'Assumption Sheet'!$W29,'Assumption Sheet'!$V29)=0,(1+'Assumption Sheet'!$U29),1)),0)</f>
        <v>28.845558664453133</v>
      </c>
      <c r="DQ10" s="33">
        <f>IFERROR(IF(DQ$1='Assumption Sheet'!$L29,'Assumption Sheet'!$Q29,DP10*IF(MOD(DQ$5-'Assumption Sheet'!$W29,'Assumption Sheet'!$V29)=0,(1+'Assumption Sheet'!$U29),1)),0)</f>
        <v>28.845558664453133</v>
      </c>
      <c r="DR10" s="33">
        <f>IFERROR(IF(DR$1='Assumption Sheet'!$L29,'Assumption Sheet'!$Q29,DQ10*IF(MOD(DR$5-'Assumption Sheet'!$W29,'Assumption Sheet'!$V29)=0,(1+'Assumption Sheet'!$U29),1)),0)</f>
        <v>28.845558664453133</v>
      </c>
      <c r="DS10" s="33">
        <f>IFERROR(IF(DS$1='Assumption Sheet'!$L29,'Assumption Sheet'!$Q29,DR10*IF(MOD(DS$5-'Assumption Sheet'!$W29,'Assumption Sheet'!$V29)=0,(1+'Assumption Sheet'!$U29),1)),0)</f>
        <v>28.845558664453133</v>
      </c>
      <c r="DT10" s="33">
        <f>IFERROR(IF(DT$1='Assumption Sheet'!$L29,'Assumption Sheet'!$Q29,DS10*IF(MOD(DT$5-'Assumption Sheet'!$W29,'Assumption Sheet'!$V29)=0,(1+'Assumption Sheet'!$U29),1)),0)</f>
        <v>28.845558664453133</v>
      </c>
      <c r="DU10" s="33">
        <f>IFERROR(IF(DU$1='Assumption Sheet'!$L29,'Assumption Sheet'!$Q29,DT10*IF(MOD(DU$5-'Assumption Sheet'!$W29,'Assumption Sheet'!$V29)=0,(1+'Assumption Sheet'!$U29),1)),0)</f>
        <v>28.845558664453133</v>
      </c>
      <c r="DV10" s="33">
        <f>IFERROR(IF(DV$1='Assumption Sheet'!$L29,'Assumption Sheet'!$Q29,DU10*IF(MOD(DV$5-'Assumption Sheet'!$W29,'Assumption Sheet'!$V29)=0,(1+'Assumption Sheet'!$U29),1)),0)</f>
        <v>28.845558664453133</v>
      </c>
      <c r="DW10" s="33">
        <f>IFERROR(IF(DW$1='Assumption Sheet'!$L29,'Assumption Sheet'!$Q29,DV10*IF(MOD(DW$5-'Assumption Sheet'!$W29,'Assumption Sheet'!$V29)=0,(1+'Assumption Sheet'!$U29),1)),0)</f>
        <v>28.845558664453133</v>
      </c>
      <c r="DX10" s="33">
        <f>IFERROR(IF(DX$1='Assumption Sheet'!$L29,'Assumption Sheet'!$Q29,DW10*IF(MOD(DX$5-'Assumption Sheet'!$W29,'Assumption Sheet'!$V29)=0,(1+'Assumption Sheet'!$U29),1)),0)</f>
        <v>28.845558664453133</v>
      </c>
      <c r="DY10" s="33">
        <f>IFERROR(IF(DY$1='Assumption Sheet'!$L29,'Assumption Sheet'!$Q29,DX10*IF(MOD(DY$5-'Assumption Sheet'!$W29,'Assumption Sheet'!$V29)=0,(1+'Assumption Sheet'!$U29),1)),0)</f>
        <v>28.845558664453133</v>
      </c>
      <c r="DZ10" s="33">
        <f>IFERROR(IF(DZ$1='Assumption Sheet'!$L29,'Assumption Sheet'!$Q29,DY10*IF(MOD(DZ$5-'Assumption Sheet'!$W29,'Assumption Sheet'!$V29)=0,(1+'Assumption Sheet'!$U29),1)),0)</f>
        <v>28.845558664453133</v>
      </c>
      <c r="EA10" s="33">
        <f>IFERROR(IF(EA$1='Assumption Sheet'!$L29,'Assumption Sheet'!$Q29,DZ10*IF(MOD(EA$5-'Assumption Sheet'!$W29,'Assumption Sheet'!$V29)=0,(1+'Assumption Sheet'!$U29),1)),0)</f>
        <v>30.287836597675792</v>
      </c>
      <c r="EB10" s="33">
        <f>IFERROR(IF(EB$1='Assumption Sheet'!$L29,'Assumption Sheet'!$Q29,EA10*IF(MOD(EB$5-'Assumption Sheet'!$W29,'Assumption Sheet'!$V29)=0,(1+'Assumption Sheet'!$U29),1)),0)</f>
        <v>30.287836597675792</v>
      </c>
      <c r="EC10" s="33">
        <f>IFERROR(IF(EC$1='Assumption Sheet'!$L29,'Assumption Sheet'!$Q29,EB10*IF(MOD(EC$5-'Assumption Sheet'!$W29,'Assumption Sheet'!$V29)=0,(1+'Assumption Sheet'!$U29),1)),0)</f>
        <v>30.287836597675792</v>
      </c>
      <c r="ED10" s="33">
        <f>IFERROR(IF(ED$1='Assumption Sheet'!$L29,'Assumption Sheet'!$Q29,EC10*IF(MOD(ED$5-'Assumption Sheet'!$W29,'Assumption Sheet'!$V29)=0,(1+'Assumption Sheet'!$U29),1)),0)</f>
        <v>30.287836597675792</v>
      </c>
      <c r="EE10" s="33">
        <f>IFERROR(IF(EE$1='Assumption Sheet'!$L29,'Assumption Sheet'!$Q29,ED10*IF(MOD(EE$5-'Assumption Sheet'!$W29,'Assumption Sheet'!$V29)=0,(1+'Assumption Sheet'!$U29),1)),0)</f>
        <v>30.287836597675792</v>
      </c>
      <c r="EF10" s="33">
        <f>IFERROR(IF(EF$1='Assumption Sheet'!$L29,'Assumption Sheet'!$Q29,EE10*IF(MOD(EF$5-'Assumption Sheet'!$W29,'Assumption Sheet'!$V29)=0,(1+'Assumption Sheet'!$U29),1)),0)</f>
        <v>30.287836597675792</v>
      </c>
      <c r="EG10" s="33">
        <f>IFERROR(IF(EG$1='Assumption Sheet'!$L29,'Assumption Sheet'!$Q29,EF10*IF(MOD(EG$5-'Assumption Sheet'!$W29,'Assumption Sheet'!$V29)=0,(1+'Assumption Sheet'!$U29),1)),0)</f>
        <v>30.287836597675792</v>
      </c>
      <c r="EH10" s="33">
        <f>IFERROR(IF(EH$1='Assumption Sheet'!$L29,'Assumption Sheet'!$Q29,EG10*IF(MOD(EH$5-'Assumption Sheet'!$W29,'Assumption Sheet'!$V29)=0,(1+'Assumption Sheet'!$U29),1)),0)</f>
        <v>30.287836597675792</v>
      </c>
      <c r="EI10" s="33">
        <f>IFERROR(IF(EI$1='Assumption Sheet'!$L29,'Assumption Sheet'!$Q29,EH10*IF(MOD(EI$5-'Assumption Sheet'!$W29,'Assumption Sheet'!$V29)=0,(1+'Assumption Sheet'!$U29),1)),0)</f>
        <v>30.287836597675792</v>
      </c>
      <c r="EJ10" s="33">
        <f>IFERROR(IF(EJ$1='Assumption Sheet'!$L29,'Assumption Sheet'!$Q29,EI10*IF(MOD(EJ$5-'Assumption Sheet'!$W29,'Assumption Sheet'!$V29)=0,(1+'Assumption Sheet'!$U29),1)),0)</f>
        <v>30.287836597675792</v>
      </c>
      <c r="EK10" s="33">
        <f>IFERROR(IF(EK$1='Assumption Sheet'!$L29,'Assumption Sheet'!$Q29,EJ10*IF(MOD(EK$5-'Assumption Sheet'!$W29,'Assumption Sheet'!$V29)=0,(1+'Assumption Sheet'!$U29),1)),0)</f>
        <v>30.287836597675792</v>
      </c>
      <c r="EL10" s="33">
        <f>IFERROR(IF(EL$1='Assumption Sheet'!$L29,'Assumption Sheet'!$Q29,EK10*IF(MOD(EL$5-'Assumption Sheet'!$W29,'Assumption Sheet'!$V29)=0,(1+'Assumption Sheet'!$U29),1)),0)</f>
        <v>30.287836597675792</v>
      </c>
      <c r="EM10" s="33">
        <f>IFERROR(IF(EM$1='Assumption Sheet'!$L29,'Assumption Sheet'!$Q29,EL10*IF(MOD(EM$5-'Assumption Sheet'!$W29,'Assumption Sheet'!$V29)=0,(1+'Assumption Sheet'!$U29),1)),0)</f>
        <v>31.802228427559584</v>
      </c>
      <c r="EN10" s="33">
        <f>IFERROR(IF(EN$1='Assumption Sheet'!$L29,'Assumption Sheet'!$Q29,EM10*IF(MOD(EN$5-'Assumption Sheet'!$W29,'Assumption Sheet'!$V29)=0,(1+'Assumption Sheet'!$U29),1)),0)</f>
        <v>31.802228427559584</v>
      </c>
      <c r="EO10" s="33">
        <f>IFERROR(IF(EO$1='Assumption Sheet'!$L29,'Assumption Sheet'!$Q29,EN10*IF(MOD(EO$5-'Assumption Sheet'!$W29,'Assumption Sheet'!$V29)=0,(1+'Assumption Sheet'!$U29),1)),0)</f>
        <v>31.802228427559584</v>
      </c>
      <c r="EP10" s="33">
        <f>IFERROR(IF(EP$1='Assumption Sheet'!$L29,'Assumption Sheet'!$Q29,EO10*IF(MOD(EP$5-'Assumption Sheet'!$W29,'Assumption Sheet'!$V29)=0,(1+'Assumption Sheet'!$U29),1)),0)</f>
        <v>31.802228427559584</v>
      </c>
      <c r="EQ10" s="33">
        <f>IFERROR(IF(EQ$1='Assumption Sheet'!$L29,'Assumption Sheet'!$Q29,EP10*IF(MOD(EQ$5-'Assumption Sheet'!$W29,'Assumption Sheet'!$V29)=0,(1+'Assumption Sheet'!$U29),1)),0)</f>
        <v>31.802228427559584</v>
      </c>
      <c r="ER10" s="33">
        <f>IFERROR(IF(ER$1='Assumption Sheet'!$L29,'Assumption Sheet'!$Q29,EQ10*IF(MOD(ER$5-'Assumption Sheet'!$W29,'Assumption Sheet'!$V29)=0,(1+'Assumption Sheet'!$U29),1)),0)</f>
        <v>31.802228427559584</v>
      </c>
      <c r="ES10" s="33">
        <f>IFERROR(IF(ES$1='Assumption Sheet'!$L29,'Assumption Sheet'!$Q29,ER10*IF(MOD(ES$5-'Assumption Sheet'!$W29,'Assumption Sheet'!$V29)=0,(1+'Assumption Sheet'!$U29),1)),0)</f>
        <v>31.802228427559584</v>
      </c>
      <c r="ET10" s="33">
        <f>IFERROR(IF(ET$1='Assumption Sheet'!$L29,'Assumption Sheet'!$Q29,ES10*IF(MOD(ET$5-'Assumption Sheet'!$W29,'Assumption Sheet'!$V29)=0,(1+'Assumption Sheet'!$U29),1)),0)</f>
        <v>31.802228427559584</v>
      </c>
      <c r="EU10" s="33">
        <f>IFERROR(IF(EU$1='Assumption Sheet'!$L29,'Assumption Sheet'!$Q29,ET10*IF(MOD(EU$5-'Assumption Sheet'!$W29,'Assumption Sheet'!$V29)=0,(1+'Assumption Sheet'!$U29),1)),0)</f>
        <v>31.802228427559584</v>
      </c>
      <c r="EV10" s="33">
        <f>IFERROR(IF(EV$1='Assumption Sheet'!$L29,'Assumption Sheet'!$Q29,EU10*IF(MOD(EV$5-'Assumption Sheet'!$W29,'Assumption Sheet'!$V29)=0,(1+'Assumption Sheet'!$U29),1)),0)</f>
        <v>31.802228427559584</v>
      </c>
      <c r="EW10" s="33">
        <f>IFERROR(IF(EW$1='Assumption Sheet'!$L29,'Assumption Sheet'!$Q29,EV10*IF(MOD(EW$5-'Assumption Sheet'!$W29,'Assumption Sheet'!$V29)=0,(1+'Assumption Sheet'!$U29),1)),0)</f>
        <v>31.802228427559584</v>
      </c>
      <c r="EX10" s="33">
        <f>IFERROR(IF(EX$1='Assumption Sheet'!$L29,'Assumption Sheet'!$Q29,EW10*IF(MOD(EX$5-'Assumption Sheet'!$W29,'Assumption Sheet'!$V29)=0,(1+'Assumption Sheet'!$U29),1)),0)</f>
        <v>31.802228427559584</v>
      </c>
      <c r="EY10" s="33">
        <f>IFERROR(IF(EY$1='Assumption Sheet'!$L29,'Assumption Sheet'!$Q29,EX10*IF(MOD(EY$5-'Assumption Sheet'!$W29,'Assumption Sheet'!$V29)=0,(1+'Assumption Sheet'!$U29),1)),0)</f>
        <v>33.392339848937567</v>
      </c>
      <c r="EZ10" s="33">
        <f>IFERROR(IF(EZ$1='Assumption Sheet'!$L29,'Assumption Sheet'!$Q29,EY10*IF(MOD(EZ$5-'Assumption Sheet'!$W29,'Assumption Sheet'!$V29)=0,(1+'Assumption Sheet'!$U29),1)),0)</f>
        <v>33.392339848937567</v>
      </c>
      <c r="FA10" s="33">
        <f>IFERROR(IF(FA$1='Assumption Sheet'!$L29,'Assumption Sheet'!$Q29,EZ10*IF(MOD(FA$5-'Assumption Sheet'!$W29,'Assumption Sheet'!$V29)=0,(1+'Assumption Sheet'!$U29),1)),0)</f>
        <v>33.392339848937567</v>
      </c>
      <c r="FB10" s="33">
        <f>IFERROR(IF(FB$1='Assumption Sheet'!$L29,'Assumption Sheet'!$Q29,FA10*IF(MOD(FB$5-'Assumption Sheet'!$W29,'Assumption Sheet'!$V29)=0,(1+'Assumption Sheet'!$U29),1)),0)</f>
        <v>33.392339848937567</v>
      </c>
      <c r="FC10" s="33">
        <f>IFERROR(IF(FC$1='Assumption Sheet'!$L29,'Assumption Sheet'!$Q29,FB10*IF(MOD(FC$5-'Assumption Sheet'!$W29,'Assumption Sheet'!$V29)=0,(1+'Assumption Sheet'!$U29),1)),0)</f>
        <v>33.392339848937567</v>
      </c>
      <c r="FD10" s="33">
        <f>IFERROR(IF(FD$1='Assumption Sheet'!$L29,'Assumption Sheet'!$Q29,FC10*IF(MOD(FD$5-'Assumption Sheet'!$W29,'Assumption Sheet'!$V29)=0,(1+'Assumption Sheet'!$U29),1)),0)</f>
        <v>33.392339848937567</v>
      </c>
      <c r="FE10" s="33">
        <f>IFERROR(IF(FE$1='Assumption Sheet'!$L29,'Assumption Sheet'!$Q29,FD10*IF(MOD(FE$5-'Assumption Sheet'!$W29,'Assumption Sheet'!$V29)=0,(1+'Assumption Sheet'!$U29),1)),0)</f>
        <v>33.392339848937567</v>
      </c>
      <c r="FF10" s="33">
        <f>IFERROR(IF(FF$1='Assumption Sheet'!$L29,'Assumption Sheet'!$Q29,FE10*IF(MOD(FF$5-'Assumption Sheet'!$W29,'Assumption Sheet'!$V29)=0,(1+'Assumption Sheet'!$U29),1)),0)</f>
        <v>33.392339848937567</v>
      </c>
      <c r="FG10" s="33">
        <f>IFERROR(IF(FG$1='Assumption Sheet'!$L29,'Assumption Sheet'!$Q29,FF10*IF(MOD(FG$5-'Assumption Sheet'!$W29,'Assumption Sheet'!$V29)=0,(1+'Assumption Sheet'!$U29),1)),0)</f>
        <v>33.392339848937567</v>
      </c>
      <c r="FH10" s="33">
        <f>IFERROR(IF(FH$1='Assumption Sheet'!$L29,'Assumption Sheet'!$Q29,FG10*IF(MOD(FH$5-'Assumption Sheet'!$W29,'Assumption Sheet'!$V29)=0,(1+'Assumption Sheet'!$U29),1)),0)</f>
        <v>33.392339848937567</v>
      </c>
      <c r="FI10" s="33">
        <f>IFERROR(IF(FI$1='Assumption Sheet'!$L29,'Assumption Sheet'!$Q29,FH10*IF(MOD(FI$5-'Assumption Sheet'!$W29,'Assumption Sheet'!$V29)=0,(1+'Assumption Sheet'!$U29),1)),0)</f>
        <v>33.392339848937567</v>
      </c>
      <c r="FJ10" s="33">
        <f>IFERROR(IF(FJ$1='Assumption Sheet'!$L29,'Assumption Sheet'!$Q29,FI10*IF(MOD(FJ$5-'Assumption Sheet'!$W29,'Assumption Sheet'!$V29)=0,(1+'Assumption Sheet'!$U29),1)),0)</f>
        <v>33.392339848937567</v>
      </c>
      <c r="FK10" s="33">
        <f>IFERROR(IF(FK$1='Assumption Sheet'!$L29,'Assumption Sheet'!$Q29,FJ10*IF(MOD(FK$5-'Assumption Sheet'!$W29,'Assumption Sheet'!$V29)=0,(1+'Assumption Sheet'!$U29),1)),0)</f>
        <v>35.06195684138445</v>
      </c>
      <c r="FL10" s="33">
        <f>IFERROR(IF(FL$1='Assumption Sheet'!$L29,'Assumption Sheet'!$Q29,FK10*IF(MOD(FL$5-'Assumption Sheet'!$W29,'Assumption Sheet'!$V29)=0,(1+'Assumption Sheet'!$U29),1)),0)</f>
        <v>35.06195684138445</v>
      </c>
      <c r="FM10" s="33">
        <f>IFERROR(IF(FM$1='Assumption Sheet'!$L29,'Assumption Sheet'!$Q29,FL10*IF(MOD(FM$5-'Assumption Sheet'!$W29,'Assumption Sheet'!$V29)=0,(1+'Assumption Sheet'!$U29),1)),0)</f>
        <v>35.06195684138445</v>
      </c>
      <c r="FN10" s="33">
        <f>IFERROR(IF(FN$1='Assumption Sheet'!$L29,'Assumption Sheet'!$Q29,FM10*IF(MOD(FN$5-'Assumption Sheet'!$W29,'Assumption Sheet'!$V29)=0,(1+'Assumption Sheet'!$U29),1)),0)</f>
        <v>35.06195684138445</v>
      </c>
      <c r="FO10" s="33">
        <f>IFERROR(IF(FO$1='Assumption Sheet'!$L29,'Assumption Sheet'!$Q29,FN10*IF(MOD(FO$5-'Assumption Sheet'!$W29,'Assumption Sheet'!$V29)=0,(1+'Assumption Sheet'!$U29),1)),0)</f>
        <v>35.06195684138445</v>
      </c>
      <c r="FP10" s="33">
        <f>IFERROR(IF(FP$1='Assumption Sheet'!$L29,'Assumption Sheet'!$Q29,FO10*IF(MOD(FP$5-'Assumption Sheet'!$W29,'Assumption Sheet'!$V29)=0,(1+'Assumption Sheet'!$U29),1)),0)</f>
        <v>35.06195684138445</v>
      </c>
      <c r="FQ10" s="33">
        <f>IFERROR(IF(FQ$1='Assumption Sheet'!$L29,'Assumption Sheet'!$Q29,FP10*IF(MOD(FQ$5-'Assumption Sheet'!$W29,'Assumption Sheet'!$V29)=0,(1+'Assumption Sheet'!$U29),1)),0)</f>
        <v>35.06195684138445</v>
      </c>
      <c r="FR10" s="33">
        <f>IFERROR(IF(FR$1='Assumption Sheet'!$L29,'Assumption Sheet'!$Q29,FQ10*IF(MOD(FR$5-'Assumption Sheet'!$W29,'Assumption Sheet'!$V29)=0,(1+'Assumption Sheet'!$U29),1)),0)</f>
        <v>35.06195684138445</v>
      </c>
      <c r="FS10" s="33">
        <f>IFERROR(IF(FS$1='Assumption Sheet'!$L29,'Assumption Sheet'!$Q29,FR10*IF(MOD(FS$5-'Assumption Sheet'!$W29,'Assumption Sheet'!$V29)=0,(1+'Assumption Sheet'!$U29),1)),0)</f>
        <v>35.06195684138445</v>
      </c>
      <c r="FT10" s="33">
        <f>IFERROR(IF(FT$1='Assumption Sheet'!$L29,'Assumption Sheet'!$Q29,FS10*IF(MOD(FT$5-'Assumption Sheet'!$W29,'Assumption Sheet'!$V29)=0,(1+'Assumption Sheet'!$U29),1)),0)</f>
        <v>35.06195684138445</v>
      </c>
      <c r="FU10" s="33">
        <f>IFERROR(IF(FU$1='Assumption Sheet'!$L29,'Assumption Sheet'!$Q29,FT10*IF(MOD(FU$5-'Assumption Sheet'!$W29,'Assumption Sheet'!$V29)=0,(1+'Assumption Sheet'!$U29),1)),0)</f>
        <v>35.06195684138445</v>
      </c>
      <c r="FV10" s="33">
        <f>IFERROR(IF(FV$1='Assumption Sheet'!$L29,'Assumption Sheet'!$Q29,FU10*IF(MOD(FV$5-'Assumption Sheet'!$W29,'Assumption Sheet'!$V29)=0,(1+'Assumption Sheet'!$U29),1)),0)</f>
        <v>35.06195684138445</v>
      </c>
      <c r="FW10" s="33">
        <f>IFERROR(IF(FW$1='Assumption Sheet'!$L29,'Assumption Sheet'!$Q29,FV10*IF(MOD(FW$5-'Assumption Sheet'!$W29,'Assumption Sheet'!$V29)=0,(1+'Assumption Sheet'!$U29),1)),0)</f>
        <v>36.815054683453674</v>
      </c>
      <c r="FX10" s="33">
        <f>IFERROR(IF(FX$1='Assumption Sheet'!$L29,'Assumption Sheet'!$Q29,FW10*IF(MOD(FX$5-'Assumption Sheet'!$W29,'Assumption Sheet'!$V29)=0,(1+'Assumption Sheet'!$U29),1)),0)</f>
        <v>36.815054683453674</v>
      </c>
      <c r="FY10" s="33">
        <f>IFERROR(IF(FY$1='Assumption Sheet'!$L29,'Assumption Sheet'!$Q29,FX10*IF(MOD(FY$5-'Assumption Sheet'!$W29,'Assumption Sheet'!$V29)=0,(1+'Assumption Sheet'!$U29),1)),0)</f>
        <v>36.815054683453674</v>
      </c>
      <c r="FZ10" s="33">
        <f>IFERROR(IF(FZ$1='Assumption Sheet'!$L29,'Assumption Sheet'!$Q29,FY10*IF(MOD(FZ$5-'Assumption Sheet'!$W29,'Assumption Sheet'!$V29)=0,(1+'Assumption Sheet'!$U29),1)),0)</f>
        <v>36.815054683453674</v>
      </c>
      <c r="GA10" s="33">
        <f>IFERROR(IF(GA$1='Assumption Sheet'!$L29,'Assumption Sheet'!$Q29,FZ10*IF(MOD(GA$5-'Assumption Sheet'!$W29,'Assumption Sheet'!$V29)=0,(1+'Assumption Sheet'!$U29),1)),0)</f>
        <v>36.815054683453674</v>
      </c>
      <c r="GB10" s="33">
        <f>IFERROR(IF(GB$1='Assumption Sheet'!$L29,'Assumption Sheet'!$Q29,GA10*IF(MOD(GB$5-'Assumption Sheet'!$W29,'Assumption Sheet'!$V29)=0,(1+'Assumption Sheet'!$U29),1)),0)</f>
        <v>36.815054683453674</v>
      </c>
      <c r="GC10" s="33">
        <f>IFERROR(IF(GC$1='Assumption Sheet'!$L29,'Assumption Sheet'!$Q29,GB10*IF(MOD(GC$5-'Assumption Sheet'!$W29,'Assumption Sheet'!$V29)=0,(1+'Assumption Sheet'!$U29),1)),0)</f>
        <v>36.815054683453674</v>
      </c>
      <c r="GD10" s="33">
        <f>IFERROR(IF(GD$1='Assumption Sheet'!$L29,'Assumption Sheet'!$Q29,GC10*IF(MOD(GD$5-'Assumption Sheet'!$W29,'Assumption Sheet'!$V29)=0,(1+'Assumption Sheet'!$U29),1)),0)</f>
        <v>36.815054683453674</v>
      </c>
      <c r="GE10" s="33">
        <f>IFERROR(IF(GE$1='Assumption Sheet'!$L29,'Assumption Sheet'!$Q29,GD10*IF(MOD(GE$5-'Assumption Sheet'!$W29,'Assumption Sheet'!$V29)=0,(1+'Assumption Sheet'!$U29),1)),0)</f>
        <v>36.815054683453674</v>
      </c>
      <c r="GF10" s="33">
        <f>IFERROR(IF(GF$1='Assumption Sheet'!$L29,'Assumption Sheet'!$Q29,GE10*IF(MOD(GF$5-'Assumption Sheet'!$W29,'Assumption Sheet'!$V29)=0,(1+'Assumption Sheet'!$U29),1)),0)</f>
        <v>36.815054683453674</v>
      </c>
      <c r="GG10" s="33">
        <f>IFERROR(IF(GG$1='Assumption Sheet'!$L29,'Assumption Sheet'!$Q29,GF10*IF(MOD(GG$5-'Assumption Sheet'!$W29,'Assumption Sheet'!$V29)=0,(1+'Assumption Sheet'!$U29),1)),0)</f>
        <v>36.815054683453674</v>
      </c>
      <c r="GH10" s="33">
        <f>IFERROR(IF(GH$1='Assumption Sheet'!$L29,'Assumption Sheet'!$Q29,GG10*IF(MOD(GH$5-'Assumption Sheet'!$W29,'Assumption Sheet'!$V29)=0,(1+'Assumption Sheet'!$U29),1)),0)</f>
        <v>36.815054683453674</v>
      </c>
      <c r="GI10" s="33">
        <f>IFERROR(IF(GI$1='Assumption Sheet'!$L29,'Assumption Sheet'!$Q29,GH10*IF(MOD(GI$5-'Assumption Sheet'!$W29,'Assumption Sheet'!$V29)=0,(1+'Assumption Sheet'!$U29),1)),0)</f>
        <v>38.655807417626356</v>
      </c>
      <c r="GJ10" s="33">
        <f>IFERROR(IF(GJ$1='Assumption Sheet'!$L29,'Assumption Sheet'!$Q29,GI10*IF(MOD(GJ$5-'Assumption Sheet'!$W29,'Assumption Sheet'!$V29)=0,(1+'Assumption Sheet'!$U29),1)),0)</f>
        <v>38.655807417626356</v>
      </c>
      <c r="GK10" s="33">
        <f>IFERROR(IF(GK$1='Assumption Sheet'!$L29,'Assumption Sheet'!$Q29,GJ10*IF(MOD(GK$5-'Assumption Sheet'!$W29,'Assumption Sheet'!$V29)=0,(1+'Assumption Sheet'!$U29),1)),0)</f>
        <v>38.655807417626356</v>
      </c>
      <c r="GL10" s="33">
        <f>IFERROR(IF(GL$1='Assumption Sheet'!$L29,'Assumption Sheet'!$Q29,GK10*IF(MOD(GL$5-'Assumption Sheet'!$W29,'Assumption Sheet'!$V29)=0,(1+'Assumption Sheet'!$U29),1)),0)</f>
        <v>38.655807417626356</v>
      </c>
      <c r="GM10" s="33">
        <f>IFERROR(IF(GM$1='Assumption Sheet'!$L29,'Assumption Sheet'!$Q29,GL10*IF(MOD(GM$5-'Assumption Sheet'!$W29,'Assumption Sheet'!$V29)=0,(1+'Assumption Sheet'!$U29),1)),0)</f>
        <v>38.655807417626356</v>
      </c>
      <c r="GN10" s="33">
        <f>IFERROR(IF(GN$1='Assumption Sheet'!$L29,'Assumption Sheet'!$Q29,GM10*IF(MOD(GN$5-'Assumption Sheet'!$W29,'Assumption Sheet'!$V29)=0,(1+'Assumption Sheet'!$U29),1)),0)</f>
        <v>38.655807417626356</v>
      </c>
      <c r="GO10" s="33">
        <f>IFERROR(IF(GO$1='Assumption Sheet'!$L29,'Assumption Sheet'!$Q29,GN10*IF(MOD(GO$5-'Assumption Sheet'!$W29,'Assumption Sheet'!$V29)=0,(1+'Assumption Sheet'!$U29),1)),0)</f>
        <v>38.655807417626356</v>
      </c>
      <c r="GP10" s="33">
        <f>IFERROR(IF(GP$1='Assumption Sheet'!$L29,'Assumption Sheet'!$Q29,GO10*IF(MOD(GP$5-'Assumption Sheet'!$W29,'Assumption Sheet'!$V29)=0,(1+'Assumption Sheet'!$U29),1)),0)</f>
        <v>38.655807417626356</v>
      </c>
      <c r="GQ10" s="33">
        <f>IFERROR(IF(GQ$1='Assumption Sheet'!$L29,'Assumption Sheet'!$Q29,GP10*IF(MOD(GQ$5-'Assumption Sheet'!$W29,'Assumption Sheet'!$V29)=0,(1+'Assumption Sheet'!$U29),1)),0)</f>
        <v>38.655807417626356</v>
      </c>
      <c r="GR10" s="33">
        <f>IFERROR(IF(GR$1='Assumption Sheet'!$L29,'Assumption Sheet'!$Q29,GQ10*IF(MOD(GR$5-'Assumption Sheet'!$W29,'Assumption Sheet'!$V29)=0,(1+'Assumption Sheet'!$U29),1)),0)</f>
        <v>38.655807417626356</v>
      </c>
      <c r="GS10" s="33">
        <f>IFERROR(IF(GS$1='Assumption Sheet'!$L29,'Assumption Sheet'!$Q29,GR10*IF(MOD(GS$5-'Assumption Sheet'!$W29,'Assumption Sheet'!$V29)=0,(1+'Assumption Sheet'!$U29),1)),0)</f>
        <v>38.655807417626356</v>
      </c>
      <c r="GT10" s="33">
        <f>IFERROR(IF(GT$1='Assumption Sheet'!$L29,'Assumption Sheet'!$Q29,GS10*IF(MOD(GT$5-'Assumption Sheet'!$W29,'Assumption Sheet'!$V29)=0,(1+'Assumption Sheet'!$U29),1)),0)</f>
        <v>38.655807417626356</v>
      </c>
      <c r="GU10" s="33">
        <f>IFERROR(IF(GU$1='Assumption Sheet'!$L29,'Assumption Sheet'!$Q29,GT10*IF(MOD(GU$5-'Assumption Sheet'!$W29,'Assumption Sheet'!$V29)=0,(1+'Assumption Sheet'!$U29),1)),0)</f>
        <v>40.588597788507677</v>
      </c>
      <c r="GV10" s="33">
        <f>IFERROR(IF(GV$1='Assumption Sheet'!$L29,'Assumption Sheet'!$Q29,GU10*IF(MOD(GV$5-'Assumption Sheet'!$W29,'Assumption Sheet'!$V29)=0,(1+'Assumption Sheet'!$U29),1)),0)</f>
        <v>40.588597788507677</v>
      </c>
      <c r="GW10" s="33">
        <f>IFERROR(IF(GW$1='Assumption Sheet'!$L29,'Assumption Sheet'!$Q29,GV10*IF(MOD(GW$5-'Assumption Sheet'!$W29,'Assumption Sheet'!$V29)=0,(1+'Assumption Sheet'!$U29),1)),0)</f>
        <v>40.588597788507677</v>
      </c>
      <c r="GX10" s="33">
        <f>IFERROR(IF(GX$1='Assumption Sheet'!$L29,'Assumption Sheet'!$Q29,GW10*IF(MOD(GX$5-'Assumption Sheet'!$W29,'Assumption Sheet'!$V29)=0,(1+'Assumption Sheet'!$U29),1)),0)</f>
        <v>40.588597788507677</v>
      </c>
      <c r="GY10" s="33">
        <f>IFERROR(IF(GY$1='Assumption Sheet'!$L29,'Assumption Sheet'!$Q29,GX10*IF(MOD(GY$5-'Assumption Sheet'!$W29,'Assumption Sheet'!$V29)=0,(1+'Assumption Sheet'!$U29),1)),0)</f>
        <v>40.588597788507677</v>
      </c>
      <c r="GZ10" s="33">
        <f>IFERROR(IF(GZ$1='Assumption Sheet'!$L29,'Assumption Sheet'!$Q29,GY10*IF(MOD(GZ$5-'Assumption Sheet'!$W29,'Assumption Sheet'!$V29)=0,(1+'Assumption Sheet'!$U29),1)),0)</f>
        <v>40.588597788507677</v>
      </c>
      <c r="HA10" s="33">
        <f>IFERROR(IF(HA$1='Assumption Sheet'!$L29,'Assumption Sheet'!$Q29,GZ10*IF(MOD(HA$5-'Assumption Sheet'!$W29,'Assumption Sheet'!$V29)=0,(1+'Assumption Sheet'!$U29),1)),0)</f>
        <v>40.588597788507677</v>
      </c>
      <c r="HB10" s="33">
        <f>IFERROR(IF(HB$1='Assumption Sheet'!$L29,'Assumption Sheet'!$Q29,HA10*IF(MOD(HB$5-'Assumption Sheet'!$W29,'Assumption Sheet'!$V29)=0,(1+'Assumption Sheet'!$U29),1)),0)</f>
        <v>40.588597788507677</v>
      </c>
      <c r="HC10" s="33">
        <f>IFERROR(IF(HC$1='Assumption Sheet'!$L29,'Assumption Sheet'!$Q29,HB10*IF(MOD(HC$5-'Assumption Sheet'!$W29,'Assumption Sheet'!$V29)=0,(1+'Assumption Sheet'!$U29),1)),0)</f>
        <v>40.588597788507677</v>
      </c>
      <c r="HD10" s="33">
        <f>IFERROR(IF(HD$1='Assumption Sheet'!$L29,'Assumption Sheet'!$Q29,HC10*IF(MOD(HD$5-'Assumption Sheet'!$W29,'Assumption Sheet'!$V29)=0,(1+'Assumption Sheet'!$U29),1)),0)</f>
        <v>40.588597788507677</v>
      </c>
      <c r="HE10" s="33">
        <f>IFERROR(IF(HE$1='Assumption Sheet'!$L29,'Assumption Sheet'!$Q29,HD10*IF(MOD(HE$5-'Assumption Sheet'!$W29,'Assumption Sheet'!$V29)=0,(1+'Assumption Sheet'!$U29),1)),0)</f>
        <v>40.588597788507677</v>
      </c>
      <c r="HF10" s="33">
        <f>IFERROR(IF(HF$1='Assumption Sheet'!$L29,'Assumption Sheet'!$Q29,HE10*IF(MOD(HF$5-'Assumption Sheet'!$W29,'Assumption Sheet'!$V29)=0,(1+'Assumption Sheet'!$U29),1)),0)</f>
        <v>40.588597788507677</v>
      </c>
      <c r="HG10" s="33">
        <f>IFERROR(IF(HG$1='Assumption Sheet'!$L29,'Assumption Sheet'!$Q29,HF10*IF(MOD(HG$5-'Assumption Sheet'!$W29,'Assumption Sheet'!$V29)=0,(1+'Assumption Sheet'!$U29),1)),0)</f>
        <v>42.618027677933064</v>
      </c>
      <c r="HH10" s="33">
        <f>IFERROR(IF(HH$1='Assumption Sheet'!$L29,'Assumption Sheet'!$Q29,HG10*IF(MOD(HH$5-'Assumption Sheet'!$W29,'Assumption Sheet'!$V29)=0,(1+'Assumption Sheet'!$U29),1)),0)</f>
        <v>42.618027677933064</v>
      </c>
      <c r="HI10" s="33">
        <f>IFERROR(IF(HI$1='Assumption Sheet'!$L29,'Assumption Sheet'!$Q29,HH10*IF(MOD(HI$5-'Assumption Sheet'!$W29,'Assumption Sheet'!$V29)=0,(1+'Assumption Sheet'!$U29),1)),0)</f>
        <v>42.618027677933064</v>
      </c>
      <c r="HJ10" s="33">
        <f>IFERROR(IF(HJ$1='Assumption Sheet'!$L29,'Assumption Sheet'!$Q29,HI10*IF(MOD(HJ$5-'Assumption Sheet'!$W29,'Assumption Sheet'!$V29)=0,(1+'Assumption Sheet'!$U29),1)),0)</f>
        <v>42.618027677933064</v>
      </c>
      <c r="HK10" s="33">
        <f>IFERROR(IF(HK$1='Assumption Sheet'!$L29,'Assumption Sheet'!$Q29,HJ10*IF(MOD(HK$5-'Assumption Sheet'!$W29,'Assumption Sheet'!$V29)=0,(1+'Assumption Sheet'!$U29),1)),0)</f>
        <v>42.618027677933064</v>
      </c>
      <c r="HL10" s="33">
        <f>IFERROR(IF(HL$1='Assumption Sheet'!$L29,'Assumption Sheet'!$Q29,HK10*IF(MOD(HL$5-'Assumption Sheet'!$W29,'Assumption Sheet'!$V29)=0,(1+'Assumption Sheet'!$U29),1)),0)</f>
        <v>42.618027677933064</v>
      </c>
      <c r="HM10" s="33">
        <f>IFERROR(IF(HM$1='Assumption Sheet'!$L29,'Assumption Sheet'!$Q29,HL10*IF(MOD(HM$5-'Assumption Sheet'!$W29,'Assumption Sheet'!$V29)=0,(1+'Assumption Sheet'!$U29),1)),0)</f>
        <v>42.618027677933064</v>
      </c>
      <c r="HN10" s="33">
        <f>IFERROR(IF(HN$1='Assumption Sheet'!$L29,'Assumption Sheet'!$Q29,HM10*IF(MOD(HN$5-'Assumption Sheet'!$W29,'Assumption Sheet'!$V29)=0,(1+'Assumption Sheet'!$U29),1)),0)</f>
        <v>42.618027677933064</v>
      </c>
      <c r="HO10" s="33">
        <f>IFERROR(IF(HO$1='Assumption Sheet'!$L29,'Assumption Sheet'!$Q29,HN10*IF(MOD(HO$5-'Assumption Sheet'!$W29,'Assumption Sheet'!$V29)=0,(1+'Assumption Sheet'!$U29),1)),0)</f>
        <v>42.618027677933064</v>
      </c>
      <c r="HP10" s="33">
        <f>IFERROR(IF(HP$1='Assumption Sheet'!$L29,'Assumption Sheet'!$Q29,HO10*IF(MOD(HP$5-'Assumption Sheet'!$W29,'Assumption Sheet'!$V29)=0,(1+'Assumption Sheet'!$U29),1)),0)</f>
        <v>42.618027677933064</v>
      </c>
      <c r="HQ10" s="33">
        <f>IFERROR(IF(HQ$1='Assumption Sheet'!$L29,'Assumption Sheet'!$Q29,HP10*IF(MOD(HQ$5-'Assumption Sheet'!$W29,'Assumption Sheet'!$V29)=0,(1+'Assumption Sheet'!$U29),1)),0)</f>
        <v>42.618027677933064</v>
      </c>
      <c r="HR10" s="33">
        <f>IFERROR(IF(HR$1='Assumption Sheet'!$L29,'Assumption Sheet'!$Q29,HQ10*IF(MOD(HR$5-'Assumption Sheet'!$W29,'Assumption Sheet'!$V29)=0,(1+'Assumption Sheet'!$U29),1)),0)</f>
        <v>42.618027677933064</v>
      </c>
      <c r="HS10" s="33">
        <f>IFERROR(IF(HS$1='Assumption Sheet'!$L29,'Assumption Sheet'!$Q29,HR10*IF(MOD(HS$5-'Assumption Sheet'!$W29,'Assumption Sheet'!$V29)=0,(1+'Assumption Sheet'!$U29),1)),0)</f>
        <v>44.74892906182972</v>
      </c>
      <c r="HT10" s="33">
        <f>IFERROR(IF(HT$1='Assumption Sheet'!$L29,'Assumption Sheet'!$Q29,HS10*IF(MOD(HT$5-'Assumption Sheet'!$W29,'Assumption Sheet'!$V29)=0,(1+'Assumption Sheet'!$U29),1)),0)</f>
        <v>44.74892906182972</v>
      </c>
      <c r="HU10" s="33">
        <f>IFERROR(IF(HU$1='Assumption Sheet'!$L29,'Assumption Sheet'!$Q29,HT10*IF(MOD(HU$5-'Assumption Sheet'!$W29,'Assumption Sheet'!$V29)=0,(1+'Assumption Sheet'!$U29),1)),0)</f>
        <v>44.74892906182972</v>
      </c>
      <c r="HV10" s="33">
        <f>IFERROR(IF(HV$1='Assumption Sheet'!$L29,'Assumption Sheet'!$Q29,HU10*IF(MOD(HV$5-'Assumption Sheet'!$W29,'Assumption Sheet'!$V29)=0,(1+'Assumption Sheet'!$U29),1)),0)</f>
        <v>44.74892906182972</v>
      </c>
      <c r="HW10" s="33">
        <f>IFERROR(IF(HW$1='Assumption Sheet'!$L29,'Assumption Sheet'!$Q29,HV10*IF(MOD(HW$5-'Assumption Sheet'!$W29,'Assumption Sheet'!$V29)=0,(1+'Assumption Sheet'!$U29),1)),0)</f>
        <v>44.74892906182972</v>
      </c>
      <c r="HX10" s="33">
        <f>IFERROR(IF(HX$1='Assumption Sheet'!$L29,'Assumption Sheet'!$Q29,HW10*IF(MOD(HX$5-'Assumption Sheet'!$W29,'Assumption Sheet'!$V29)=0,(1+'Assumption Sheet'!$U29),1)),0)</f>
        <v>44.74892906182972</v>
      </c>
      <c r="HY10" s="33">
        <f>IFERROR(IF(HY$1='Assumption Sheet'!$L29,'Assumption Sheet'!$Q29,HX10*IF(MOD(HY$5-'Assumption Sheet'!$W29,'Assumption Sheet'!$V29)=0,(1+'Assumption Sheet'!$U29),1)),0)</f>
        <v>44.74892906182972</v>
      </c>
      <c r="HZ10" s="33">
        <f>IFERROR(IF(HZ$1='Assumption Sheet'!$L29,'Assumption Sheet'!$Q29,HY10*IF(MOD(HZ$5-'Assumption Sheet'!$W29,'Assumption Sheet'!$V29)=0,(1+'Assumption Sheet'!$U29),1)),0)</f>
        <v>44.74892906182972</v>
      </c>
      <c r="IA10" s="33">
        <f>IFERROR(IF(IA$1='Assumption Sheet'!$L29,'Assumption Sheet'!$Q29,HZ10*IF(MOD(IA$5-'Assumption Sheet'!$W29,'Assumption Sheet'!$V29)=0,(1+'Assumption Sheet'!$U29),1)),0)</f>
        <v>44.74892906182972</v>
      </c>
      <c r="IB10" s="33">
        <f>IFERROR(IF(IB$1='Assumption Sheet'!$L29,'Assumption Sheet'!$Q29,IA10*IF(MOD(IB$5-'Assumption Sheet'!$W29,'Assumption Sheet'!$V29)=0,(1+'Assumption Sheet'!$U29),1)),0)</f>
        <v>44.74892906182972</v>
      </c>
      <c r="IC10" s="33">
        <f>IFERROR(IF(IC$1='Assumption Sheet'!$L29,'Assumption Sheet'!$Q29,IB10*IF(MOD(IC$5-'Assumption Sheet'!$W29,'Assumption Sheet'!$V29)=0,(1+'Assumption Sheet'!$U29),1)),0)</f>
        <v>44.74892906182972</v>
      </c>
      <c r="ID10" s="33">
        <f>IFERROR(IF(ID$1='Assumption Sheet'!$L29,'Assumption Sheet'!$Q29,IC10*IF(MOD(ID$5-'Assumption Sheet'!$W29,'Assumption Sheet'!$V29)=0,(1+'Assumption Sheet'!$U29),1)),0)</f>
        <v>44.74892906182972</v>
      </c>
      <c r="IE10" s="33">
        <f>IFERROR(IF(IE$1='Assumption Sheet'!$L29,'Assumption Sheet'!$Q29,ID10*IF(MOD(IE$5-'Assumption Sheet'!$W29,'Assumption Sheet'!$V29)=0,(1+'Assumption Sheet'!$U29),1)),0)</f>
        <v>46.986375514921207</v>
      </c>
      <c r="IF10" s="33">
        <f>IFERROR(IF(IF$1='Assumption Sheet'!$L29,'Assumption Sheet'!$Q29,IE10*IF(MOD(IF$5-'Assumption Sheet'!$W29,'Assumption Sheet'!$V29)=0,(1+'Assumption Sheet'!$U29),1)),0)</f>
        <v>46.986375514921207</v>
      </c>
      <c r="IG10" s="33">
        <f>IFERROR(IF(IG$1='Assumption Sheet'!$L29,'Assumption Sheet'!$Q29,IF10*IF(MOD(IG$5-'Assumption Sheet'!$W29,'Assumption Sheet'!$V29)=0,(1+'Assumption Sheet'!$U29),1)),0)</f>
        <v>46.986375514921207</v>
      </c>
      <c r="IH10" s="33">
        <f>IFERROR(IF(IH$1='Assumption Sheet'!$L29,'Assumption Sheet'!$Q29,IG10*IF(MOD(IH$5-'Assumption Sheet'!$W29,'Assumption Sheet'!$V29)=0,(1+'Assumption Sheet'!$U29),1)),0)</f>
        <v>46.986375514921207</v>
      </c>
      <c r="II10" s="33">
        <f>IFERROR(IF(II$1='Assumption Sheet'!$L29,'Assumption Sheet'!$Q29,IH10*IF(MOD(II$5-'Assumption Sheet'!$W29,'Assumption Sheet'!$V29)=0,(1+'Assumption Sheet'!$U29),1)),0)</f>
        <v>46.986375514921207</v>
      </c>
      <c r="IJ10" s="33">
        <f>IFERROR(IF(IJ$1='Assumption Sheet'!$L29,'Assumption Sheet'!$Q29,II10*IF(MOD(IJ$5-'Assumption Sheet'!$W29,'Assumption Sheet'!$V29)=0,(1+'Assumption Sheet'!$U29),1)),0)</f>
        <v>46.986375514921207</v>
      </c>
      <c r="IK10" s="33">
        <f>IFERROR(IF(IK$1='Assumption Sheet'!$L29,'Assumption Sheet'!$Q29,IJ10*IF(MOD(IK$5-'Assumption Sheet'!$W29,'Assumption Sheet'!$V29)=0,(1+'Assumption Sheet'!$U29),1)),0)</f>
        <v>46.986375514921207</v>
      </c>
      <c r="IL10" s="33">
        <f>IFERROR(IF(IL$1='Assumption Sheet'!$L29,'Assumption Sheet'!$Q29,IK10*IF(MOD(IL$5-'Assumption Sheet'!$W29,'Assumption Sheet'!$V29)=0,(1+'Assumption Sheet'!$U29),1)),0)</f>
        <v>46.986375514921207</v>
      </c>
      <c r="IM10" s="33">
        <f>IFERROR(IF(IM$1='Assumption Sheet'!$L29,'Assumption Sheet'!$Q29,IL10*IF(MOD(IM$5-'Assumption Sheet'!$W29,'Assumption Sheet'!$V29)=0,(1+'Assumption Sheet'!$U29),1)),0)</f>
        <v>46.986375514921207</v>
      </c>
      <c r="IN10" s="33">
        <f>IFERROR(IF(IN$1='Assumption Sheet'!$L29,'Assumption Sheet'!$Q29,IM10*IF(MOD(IN$5-'Assumption Sheet'!$W29,'Assumption Sheet'!$V29)=0,(1+'Assumption Sheet'!$U29),1)),0)</f>
        <v>46.986375514921207</v>
      </c>
      <c r="IO10" s="33">
        <f>IFERROR(IF(IO$1='Assumption Sheet'!$L29,'Assumption Sheet'!$Q29,IN10*IF(MOD(IO$5-'Assumption Sheet'!$W29,'Assumption Sheet'!$V29)=0,(1+'Assumption Sheet'!$U29),1)),0)</f>
        <v>46.986375514921207</v>
      </c>
      <c r="IP10" s="33">
        <f>IFERROR(IF(IP$1='Assumption Sheet'!$L29,'Assumption Sheet'!$Q29,IO10*IF(MOD(IP$5-'Assumption Sheet'!$W29,'Assumption Sheet'!$V29)=0,(1+'Assumption Sheet'!$U29),1)),0)</f>
        <v>46.986375514921207</v>
      </c>
      <c r="IQ10" s="33">
        <f>IFERROR(IF(IQ$1='Assumption Sheet'!$L29,'Assumption Sheet'!$Q29,IP10*IF(MOD(IQ$5-'Assumption Sheet'!$W29,'Assumption Sheet'!$V29)=0,(1+'Assumption Sheet'!$U29),1)),0)</f>
        <v>49.33569429066727</v>
      </c>
      <c r="IR10" s="33">
        <f>IFERROR(IF(IR$1='Assumption Sheet'!$L29,'Assumption Sheet'!$Q29,IQ10*IF(MOD(IR$5-'Assumption Sheet'!$W29,'Assumption Sheet'!$V29)=0,(1+'Assumption Sheet'!$U29),1)),0)</f>
        <v>49.33569429066727</v>
      </c>
      <c r="IS10" s="33">
        <f>IFERROR(IF(IS$1='Assumption Sheet'!$L29,'Assumption Sheet'!$Q29,IR10*IF(MOD(IS$5-'Assumption Sheet'!$W29,'Assumption Sheet'!$V29)=0,(1+'Assumption Sheet'!$U29),1)),0)</f>
        <v>49.33569429066727</v>
      </c>
      <c r="IT10" s="33">
        <f>IFERROR(IF(IT$1='Assumption Sheet'!$L29,'Assumption Sheet'!$Q29,IS10*IF(MOD(IT$5-'Assumption Sheet'!$W29,'Assumption Sheet'!$V29)=0,(1+'Assumption Sheet'!$U29),1)),0)</f>
        <v>49.33569429066727</v>
      </c>
      <c r="IU10" s="33">
        <f>IFERROR(IF(IU$1='Assumption Sheet'!$L29,'Assumption Sheet'!$Q29,IT10*IF(MOD(IU$5-'Assumption Sheet'!$W29,'Assumption Sheet'!$V29)=0,(1+'Assumption Sheet'!$U29),1)),0)</f>
        <v>49.33569429066727</v>
      </c>
      <c r="IV10" s="33">
        <f>IFERROR(IF(IV$1='Assumption Sheet'!$L29,'Assumption Sheet'!$Q29,IU10*IF(MOD(IV$5-'Assumption Sheet'!$W29,'Assumption Sheet'!$V29)=0,(1+'Assumption Sheet'!$U29),1)),0)</f>
        <v>49.33569429066727</v>
      </c>
      <c r="IW10" s="33">
        <f>IFERROR(IF(IW$1='Assumption Sheet'!$L29,'Assumption Sheet'!$Q29,IV10*IF(MOD(IW$5-'Assumption Sheet'!$W29,'Assumption Sheet'!$V29)=0,(1+'Assumption Sheet'!$U29),1)),0)</f>
        <v>49.33569429066727</v>
      </c>
      <c r="IX10" s="33">
        <f>IFERROR(IF(IX$1='Assumption Sheet'!$L29,'Assumption Sheet'!$Q29,IW10*IF(MOD(IX$5-'Assumption Sheet'!$W29,'Assumption Sheet'!$V29)=0,(1+'Assumption Sheet'!$U29),1)),0)</f>
        <v>49.33569429066727</v>
      </c>
      <c r="IY10" s="33">
        <f>IFERROR(IF(IY$1='Assumption Sheet'!$L29,'Assumption Sheet'!$Q29,IX10*IF(MOD(IY$5-'Assumption Sheet'!$W29,'Assumption Sheet'!$V29)=0,(1+'Assumption Sheet'!$U29),1)),0)</f>
        <v>49.33569429066727</v>
      </c>
      <c r="IZ10" s="33">
        <f>IFERROR(IF(IZ$1='Assumption Sheet'!$L29,'Assumption Sheet'!$Q29,IY10*IF(MOD(IZ$5-'Assumption Sheet'!$W29,'Assumption Sheet'!$V29)=0,(1+'Assumption Sheet'!$U29),1)),0)</f>
        <v>49.33569429066727</v>
      </c>
      <c r="JA10" s="33">
        <f>IFERROR(IF(JA$1='Assumption Sheet'!$L29,'Assumption Sheet'!$Q29,IZ10*IF(MOD(JA$5-'Assumption Sheet'!$W29,'Assumption Sheet'!$V29)=0,(1+'Assumption Sheet'!$U29),1)),0)</f>
        <v>49.33569429066727</v>
      </c>
      <c r="JB10" s="33">
        <f>IFERROR(IF(JB$1='Assumption Sheet'!$L29,'Assumption Sheet'!$Q29,JA10*IF(MOD(JB$5-'Assumption Sheet'!$W29,'Assumption Sheet'!$V29)=0,(1+'Assumption Sheet'!$U29),1)),0)</f>
        <v>49.33569429066727</v>
      </c>
      <c r="JC10" s="33">
        <f>IFERROR(IF(JC$1='Assumption Sheet'!$L29,'Assumption Sheet'!$Q29,JB10*IF(MOD(JC$5-'Assumption Sheet'!$W29,'Assumption Sheet'!$V29)=0,(1+'Assumption Sheet'!$U29),1)),0)</f>
        <v>51.802479005200638</v>
      </c>
      <c r="JD10" s="33">
        <f>IFERROR(IF(JD$1='Assumption Sheet'!$L29,'Assumption Sheet'!$Q29,JC10*IF(MOD(JD$5-'Assumption Sheet'!$W29,'Assumption Sheet'!$V29)=0,(1+'Assumption Sheet'!$U29),1)),0)</f>
        <v>51.802479005200638</v>
      </c>
      <c r="JE10" s="33">
        <f>IFERROR(IF(JE$1='Assumption Sheet'!$L29,'Assumption Sheet'!$Q29,JD10*IF(MOD(JE$5-'Assumption Sheet'!$W29,'Assumption Sheet'!$V29)=0,(1+'Assumption Sheet'!$U29),1)),0)</f>
        <v>51.802479005200638</v>
      </c>
      <c r="JF10" s="33">
        <f>IFERROR(IF(JF$1='Assumption Sheet'!$L29,'Assumption Sheet'!$Q29,JE10*IF(MOD(JF$5-'Assumption Sheet'!$W29,'Assumption Sheet'!$V29)=0,(1+'Assumption Sheet'!$U29),1)),0)</f>
        <v>51.802479005200638</v>
      </c>
      <c r="JG10" s="33">
        <f>IFERROR(IF(JG$1='Assumption Sheet'!$L29,'Assumption Sheet'!$Q29,JF10*IF(MOD(JG$5-'Assumption Sheet'!$W29,'Assumption Sheet'!$V29)=0,(1+'Assumption Sheet'!$U29),1)),0)</f>
        <v>51.802479005200638</v>
      </c>
      <c r="JH10" s="33">
        <f>IFERROR(IF(JH$1='Assumption Sheet'!$L29,'Assumption Sheet'!$Q29,JG10*IF(MOD(JH$5-'Assumption Sheet'!$W29,'Assumption Sheet'!$V29)=0,(1+'Assumption Sheet'!$U29),1)),0)</f>
        <v>51.802479005200638</v>
      </c>
      <c r="JI10" s="33">
        <f>IFERROR(IF(JI$1='Assumption Sheet'!$L29,'Assumption Sheet'!$Q29,JH10*IF(MOD(JI$5-'Assumption Sheet'!$W29,'Assumption Sheet'!$V29)=0,(1+'Assumption Sheet'!$U29),1)),0)</f>
        <v>51.802479005200638</v>
      </c>
      <c r="JJ10" s="33">
        <f>IFERROR(IF(JJ$1='Assumption Sheet'!$L29,'Assumption Sheet'!$Q29,JI10*IF(MOD(JJ$5-'Assumption Sheet'!$W29,'Assumption Sheet'!$V29)=0,(1+'Assumption Sheet'!$U29),1)),0)</f>
        <v>51.802479005200638</v>
      </c>
      <c r="JK10" s="33">
        <f>IFERROR(IF(JK$1='Assumption Sheet'!$L29,'Assumption Sheet'!$Q29,JJ10*IF(MOD(JK$5-'Assumption Sheet'!$W29,'Assumption Sheet'!$V29)=0,(1+'Assumption Sheet'!$U29),1)),0)</f>
        <v>51.802479005200638</v>
      </c>
      <c r="JL10" s="33">
        <f>IFERROR(IF(JL$1='Assumption Sheet'!$L29,'Assumption Sheet'!$Q29,JK10*IF(MOD(JL$5-'Assumption Sheet'!$W29,'Assumption Sheet'!$V29)=0,(1+'Assumption Sheet'!$U29),1)),0)</f>
        <v>51.802479005200638</v>
      </c>
      <c r="JM10" s="33">
        <f>IFERROR(IF(JM$1='Assumption Sheet'!$L29,'Assumption Sheet'!$Q29,JL10*IF(MOD(JM$5-'Assumption Sheet'!$W29,'Assumption Sheet'!$V29)=0,(1+'Assumption Sheet'!$U29),1)),0)</f>
        <v>51.802479005200638</v>
      </c>
      <c r="JN10" s="33">
        <f>IFERROR(IF(JN$1='Assumption Sheet'!$L29,'Assumption Sheet'!$Q29,JM10*IF(MOD(JN$5-'Assumption Sheet'!$W29,'Assumption Sheet'!$V29)=0,(1+'Assumption Sheet'!$U29),1)),0)</f>
        <v>51.802479005200638</v>
      </c>
      <c r="JO10" s="33">
        <f>IFERROR(IF(JO$1='Assumption Sheet'!$L29,'Assumption Sheet'!$Q29,JN10*IF(MOD(JO$5-'Assumption Sheet'!$W29,'Assumption Sheet'!$V29)=0,(1+'Assumption Sheet'!$U29),1)),0)</f>
        <v>54.392602955460674</v>
      </c>
      <c r="JP10" s="33">
        <f>IFERROR(IF(JP$1='Assumption Sheet'!$L29,'Assumption Sheet'!$Q29,JO10*IF(MOD(JP$5-'Assumption Sheet'!$W29,'Assumption Sheet'!$V29)=0,(1+'Assumption Sheet'!$U29),1)),0)</f>
        <v>54.392602955460674</v>
      </c>
      <c r="JQ10" s="33">
        <f>IFERROR(IF(JQ$1='Assumption Sheet'!$L29,'Assumption Sheet'!$Q29,JP10*IF(MOD(JQ$5-'Assumption Sheet'!$W29,'Assumption Sheet'!$V29)=0,(1+'Assumption Sheet'!$U29),1)),0)</f>
        <v>54.392602955460674</v>
      </c>
      <c r="JR10" s="33">
        <f>IFERROR(IF(JR$1='Assumption Sheet'!$L29,'Assumption Sheet'!$Q29,JQ10*IF(MOD(JR$5-'Assumption Sheet'!$W29,'Assumption Sheet'!$V29)=0,(1+'Assumption Sheet'!$U29),1)),0)</f>
        <v>54.392602955460674</v>
      </c>
      <c r="JS10" s="33">
        <f>IFERROR(IF(JS$1='Assumption Sheet'!$L29,'Assumption Sheet'!$Q29,JR10*IF(MOD(JS$5-'Assumption Sheet'!$W29,'Assumption Sheet'!$V29)=0,(1+'Assumption Sheet'!$U29),1)),0)</f>
        <v>54.392602955460674</v>
      </c>
      <c r="JT10" s="33">
        <f>IFERROR(IF(JT$1='Assumption Sheet'!$L29,'Assumption Sheet'!$Q29,JS10*IF(MOD(JT$5-'Assumption Sheet'!$W29,'Assumption Sheet'!$V29)=0,(1+'Assumption Sheet'!$U29),1)),0)</f>
        <v>54.392602955460674</v>
      </c>
      <c r="JU10" s="33">
        <f>IFERROR(IF(JU$1='Assumption Sheet'!$L29,'Assumption Sheet'!$Q29,JT10*IF(MOD(JU$5-'Assumption Sheet'!$W29,'Assumption Sheet'!$V29)=0,(1+'Assumption Sheet'!$U29),1)),0)</f>
        <v>54.392602955460674</v>
      </c>
      <c r="JV10" s="33">
        <f>IFERROR(IF(JV$1='Assumption Sheet'!$L29,'Assumption Sheet'!$Q29,JU10*IF(MOD(JV$5-'Assumption Sheet'!$W29,'Assumption Sheet'!$V29)=0,(1+'Assumption Sheet'!$U29),1)),0)</f>
        <v>54.392602955460674</v>
      </c>
      <c r="JW10" s="33">
        <f>IFERROR(IF(JW$1='Assumption Sheet'!$L29,'Assumption Sheet'!$Q29,JV10*IF(MOD(JW$5-'Assumption Sheet'!$W29,'Assumption Sheet'!$V29)=0,(1+'Assumption Sheet'!$U29),1)),0)</f>
        <v>54.392602955460674</v>
      </c>
      <c r="JX10" s="33">
        <f>IFERROR(IF(JX$1='Assumption Sheet'!$L29,'Assumption Sheet'!$Q29,JW10*IF(MOD(JX$5-'Assumption Sheet'!$W29,'Assumption Sheet'!$V29)=0,(1+'Assumption Sheet'!$U29),1)),0)</f>
        <v>54.392602955460674</v>
      </c>
      <c r="JY10" s="33">
        <f>IFERROR(IF(JY$1='Assumption Sheet'!$L29,'Assumption Sheet'!$Q29,JX10*IF(MOD(JY$5-'Assumption Sheet'!$W29,'Assumption Sheet'!$V29)=0,(1+'Assumption Sheet'!$U29),1)),0)</f>
        <v>54.392602955460674</v>
      </c>
      <c r="JZ10" s="33">
        <f>IFERROR(IF(JZ$1='Assumption Sheet'!$L29,'Assumption Sheet'!$Q29,JY10*IF(MOD(JZ$5-'Assumption Sheet'!$W29,'Assumption Sheet'!$V29)=0,(1+'Assumption Sheet'!$U29),1)),0)</f>
        <v>54.392602955460674</v>
      </c>
      <c r="KA10" s="33">
        <f>IFERROR(IF(KA$1='Assumption Sheet'!$L29,'Assumption Sheet'!$Q29,JZ10*IF(MOD(KA$5-'Assumption Sheet'!$W29,'Assumption Sheet'!$V29)=0,(1+'Assumption Sheet'!$U29),1)),0)</f>
        <v>57.112233103233713</v>
      </c>
      <c r="KB10" s="33">
        <f>IFERROR(IF(KB$1='Assumption Sheet'!$L29,'Assumption Sheet'!$Q29,KA10*IF(MOD(KB$5-'Assumption Sheet'!$W29,'Assumption Sheet'!$V29)=0,(1+'Assumption Sheet'!$U29),1)),0)</f>
        <v>57.112233103233713</v>
      </c>
      <c r="KC10" s="33">
        <f>IFERROR(IF(KC$1='Assumption Sheet'!$L29,'Assumption Sheet'!$Q29,KB10*IF(MOD(KC$5-'Assumption Sheet'!$W29,'Assumption Sheet'!$V29)=0,(1+'Assumption Sheet'!$U29),1)),0)</f>
        <v>57.112233103233713</v>
      </c>
      <c r="KD10" s="33"/>
      <c r="KE10" s="33"/>
      <c r="KF10" s="33"/>
      <c r="KG10" s="33"/>
      <c r="KH10" s="33"/>
      <c r="KI10" s="33"/>
      <c r="KJ10" s="33"/>
      <c r="KK10" s="33"/>
      <c r="KL10" s="33"/>
      <c r="KM10" s="33"/>
      <c r="KN10" s="33"/>
      <c r="KO10" s="33"/>
    </row>
    <row r="11" spans="2:301" x14ac:dyDescent="0.3">
      <c r="B11" s="1" t="str">
        <f>'Assumption Sheet'!A30</f>
        <v>Phase 3</v>
      </c>
      <c r="E11" s="33">
        <f>IFERROR(IF(E$1='Assumption Sheet'!$L30,'Assumption Sheet'!$M30+'Assumption Sheet'!$P30,D11*IF(MOD(E$5-'Assumption Sheet'!$W30,'Assumption Sheet'!$V30)=0,(1+'Assumption Sheet'!$U30),1)),0)</f>
        <v>0</v>
      </c>
      <c r="F11" s="33">
        <f>IFERROR(IF(F$1='Assumption Sheet'!$L30,'Assumption Sheet'!$M30+'Assumption Sheet'!$P30,E11*IF(MOD(F$5-'Assumption Sheet'!$W30,'Assumption Sheet'!$V30)=0,(1+'Assumption Sheet'!$U30),1)),0)</f>
        <v>0</v>
      </c>
      <c r="G11" s="33">
        <f>IFERROR(IF(G$1='Assumption Sheet'!$L30,'Assumption Sheet'!$M30+'Assumption Sheet'!$P30,F11*IF(MOD(G$5-'Assumption Sheet'!$W30,'Assumption Sheet'!$V30)=0,(1+'Assumption Sheet'!$U30),1)),0)</f>
        <v>0</v>
      </c>
      <c r="H11" s="33">
        <f>IFERROR(IF(H$1='Assumption Sheet'!$L30,'Assumption Sheet'!$M30+'Assumption Sheet'!$P30,G11*IF(MOD(H$5-'Assumption Sheet'!$W30,'Assumption Sheet'!$V30)=0,(1+'Assumption Sheet'!$U30),1)),0)</f>
        <v>0</v>
      </c>
      <c r="I11" s="33">
        <f>IFERROR(IF(I$1='Assumption Sheet'!$L30,'Assumption Sheet'!$M30+'Assumption Sheet'!$P30,H11*IF(MOD(I$5-'Assumption Sheet'!$W30,'Assumption Sheet'!$V30)=0,(1+'Assumption Sheet'!$U30),1)),0)</f>
        <v>0</v>
      </c>
      <c r="J11" s="33">
        <f>IFERROR(IF(J$1='Assumption Sheet'!$L30,'Assumption Sheet'!$M30+'Assumption Sheet'!$P30,I11*IF(MOD(J$5-'Assumption Sheet'!$W30,'Assumption Sheet'!$V30)=0,(1+'Assumption Sheet'!$U30),1)),0)</f>
        <v>0</v>
      </c>
      <c r="K11" s="33">
        <f>IFERROR(IF(K$1='Assumption Sheet'!$L30,'Assumption Sheet'!$M30+'Assumption Sheet'!$P30,J11*IF(MOD(K$5-'Assumption Sheet'!$W30,'Assumption Sheet'!$V30)=0,(1+'Assumption Sheet'!$U30),1)),0)</f>
        <v>0</v>
      </c>
      <c r="L11" s="33">
        <f>IFERROR(IF(L$1='Assumption Sheet'!$L30,'Assumption Sheet'!$M30+'Assumption Sheet'!$P30,K11*IF(MOD(L$5-'Assumption Sheet'!$W30,'Assumption Sheet'!$V30)=0,(1+'Assumption Sheet'!$U30),1)),0)</f>
        <v>0</v>
      </c>
      <c r="M11" s="33">
        <f>IFERROR(IF(M$1='Assumption Sheet'!$L30,'Assumption Sheet'!$M30+'Assumption Sheet'!$P30,L11*IF(MOD(M$5-'Assumption Sheet'!$W30,'Assumption Sheet'!$V30)=0,(1+'Assumption Sheet'!$U30),1)),0)</f>
        <v>0</v>
      </c>
      <c r="N11" s="33">
        <f>IFERROR(IF(N$1='Assumption Sheet'!$L30,'Assumption Sheet'!$M30+'Assumption Sheet'!$P30,M11*IF(MOD(N$5-'Assumption Sheet'!$W30,'Assumption Sheet'!$V30)=0,(1+'Assumption Sheet'!$U30),1)),0)</f>
        <v>0</v>
      </c>
      <c r="O11" s="33">
        <f>IFERROR(IF(O$1='Assumption Sheet'!$L30,'Assumption Sheet'!$M30+'Assumption Sheet'!$P30,N11*IF(MOD(O$5-'Assumption Sheet'!$W30,'Assumption Sheet'!$V30)=0,(1+'Assumption Sheet'!$U30),1)),0)</f>
        <v>0</v>
      </c>
      <c r="P11" s="33">
        <f>IFERROR(IF(P$1='Assumption Sheet'!$L30,'Assumption Sheet'!$M30+'Assumption Sheet'!$P30,O11*IF(MOD(P$5-'Assumption Sheet'!$W30,'Assumption Sheet'!$V30)=0,(1+'Assumption Sheet'!$U30),1)),0)</f>
        <v>0</v>
      </c>
      <c r="Q11" s="33">
        <f>IFERROR(IF(Q$1='Assumption Sheet'!$L30,'Assumption Sheet'!$M30+'Assumption Sheet'!$P30,P11*IF(MOD(Q$5-'Assumption Sheet'!$W30,'Assumption Sheet'!$V30)=0,(1+'Assumption Sheet'!$U30),1)),0)</f>
        <v>0</v>
      </c>
      <c r="R11" s="33">
        <f>IFERROR(IF(R$1='Assumption Sheet'!$L30,'Assumption Sheet'!$M30+'Assumption Sheet'!$P30,Q11*IF(MOD(R$5-'Assumption Sheet'!$W30,'Assumption Sheet'!$V30)=0,(1+'Assumption Sheet'!$U30),1)),0)</f>
        <v>0</v>
      </c>
      <c r="S11" s="33">
        <f>IFERROR(IF(S$1='Assumption Sheet'!$L30,'Assumption Sheet'!$M30+'Assumption Sheet'!$P30,R11*IF(MOD(S$5-'Assumption Sheet'!$W30,'Assumption Sheet'!$V30)=0,(1+'Assumption Sheet'!$U30),1)),0)</f>
        <v>0</v>
      </c>
      <c r="T11" s="33">
        <f>IFERROR(IF(T$1='Assumption Sheet'!$L30,'Assumption Sheet'!$M30+'Assumption Sheet'!$P30,S11*IF(MOD(T$5-'Assumption Sheet'!$W30,'Assumption Sheet'!$V30)=0,(1+'Assumption Sheet'!$U30),1)),0)</f>
        <v>0</v>
      </c>
      <c r="U11" s="33">
        <f>IFERROR(IF(U$1='Assumption Sheet'!$L30,'Assumption Sheet'!$M30+'Assumption Sheet'!$P30,T11*IF(MOD(U$5-'Assumption Sheet'!$W30,'Assumption Sheet'!$V30)=0,(1+'Assumption Sheet'!$U30),1)),0)</f>
        <v>0</v>
      </c>
      <c r="V11" s="33">
        <f>IFERROR(IF(V$1='Assumption Sheet'!$L30,'Assumption Sheet'!$M30+'Assumption Sheet'!$P30,U11*IF(MOD(V$5-'Assumption Sheet'!$W30,'Assumption Sheet'!$V30)=0,(1+'Assumption Sheet'!$U30),1)),0)</f>
        <v>0</v>
      </c>
      <c r="W11" s="33">
        <f>IFERROR(IF(W$1='Assumption Sheet'!$L30,'Assumption Sheet'!$Q30,V11*IF(MOD(W$5-'Assumption Sheet'!$W30,'Assumption Sheet'!$V30)=0,(1+'Assumption Sheet'!$U30),1)),0)</f>
        <v>0</v>
      </c>
      <c r="X11" s="33">
        <f>IFERROR(IF(X$1='Assumption Sheet'!$L30,'Assumption Sheet'!$Q30,W11*IF(MOD(X$5-'Assumption Sheet'!$W30,'Assumption Sheet'!$V30)=0,(1+'Assumption Sheet'!$U30),1)),0)</f>
        <v>0</v>
      </c>
      <c r="Y11" s="33">
        <f>IFERROR(IF(Y$1='Assumption Sheet'!$L30,'Assumption Sheet'!$Q30,X11*IF(MOD(Y$5-'Assumption Sheet'!$W30,'Assumption Sheet'!$V30)=0,(1+'Assumption Sheet'!$U30),1)),0)</f>
        <v>0</v>
      </c>
      <c r="Z11" s="33">
        <f>IFERROR(IF(Z$1='Assumption Sheet'!$L30,'Assumption Sheet'!$Q30,Y11*IF(MOD(Z$5-'Assumption Sheet'!$W30,'Assumption Sheet'!$V30)=0,(1+'Assumption Sheet'!$U30),1)),0)</f>
        <v>0</v>
      </c>
      <c r="AA11" s="33">
        <f>IFERROR(IF(AA$1='Assumption Sheet'!$L30,'Assumption Sheet'!$Q30,Z11*IF(MOD(AA$5-'Assumption Sheet'!$W30,'Assumption Sheet'!$V30)=0,(1+'Assumption Sheet'!$U30),1)),0)</f>
        <v>0</v>
      </c>
      <c r="AB11" s="33">
        <f>IFERROR(IF(AB$1='Assumption Sheet'!$L30,'Assumption Sheet'!$Q30,AA11*IF(MOD(AB$5-'Assumption Sheet'!$W30,'Assumption Sheet'!$V30)=0,(1+'Assumption Sheet'!$U30),1)),0)</f>
        <v>0</v>
      </c>
      <c r="AC11" s="33">
        <f>IFERROR(IF(AC$1='Assumption Sheet'!$L30,'Assumption Sheet'!$Q30,AB11*IF(MOD(AC$5-'Assumption Sheet'!$W30,'Assumption Sheet'!$V30)=0,(1+'Assumption Sheet'!$U30),1)),0)</f>
        <v>0</v>
      </c>
      <c r="AD11" s="33">
        <f>IFERROR(IF(AD$1='Assumption Sheet'!$L30,'Assumption Sheet'!$Q30,AC11*IF(MOD(AD$5-'Assumption Sheet'!$W30,'Assumption Sheet'!$V30)=0,(1+'Assumption Sheet'!$U30),1)),0)</f>
        <v>0</v>
      </c>
      <c r="AE11" s="33">
        <f>IFERROR(IF(AE$1='Assumption Sheet'!$L30,'Assumption Sheet'!$Q30,AD11*IF(MOD(AE$5-'Assumption Sheet'!$W30,'Assumption Sheet'!$V30)=0,(1+'Assumption Sheet'!$U30),1)),0)</f>
        <v>0</v>
      </c>
      <c r="AF11" s="33">
        <f>IFERROR(IF(AF$1='Assumption Sheet'!$L30,'Assumption Sheet'!$Q30,AE11*IF(MOD(AF$5-'Assumption Sheet'!$W30,'Assumption Sheet'!$V30)=0,(1+'Assumption Sheet'!$U30),1)),0)</f>
        <v>0</v>
      </c>
      <c r="AG11" s="33">
        <f>IFERROR(IF(AG$1='Assumption Sheet'!$L30,'Assumption Sheet'!$Q30,AF11*IF(MOD(AG$5-'Assumption Sheet'!$W30,'Assumption Sheet'!$V30)=0,(1+'Assumption Sheet'!$U30),1)),0)</f>
        <v>0</v>
      </c>
      <c r="AH11" s="33">
        <f>IFERROR(IF(AH$1='Assumption Sheet'!$L30,'Assumption Sheet'!$Q30,AG11*IF(MOD(AH$5-'Assumption Sheet'!$W30,'Assumption Sheet'!$V30)=0,(1+'Assumption Sheet'!$U30),1)),0)</f>
        <v>0</v>
      </c>
      <c r="AI11" s="33">
        <f>IFERROR(IF(AI$1='Assumption Sheet'!$L30,'Assumption Sheet'!$Q30,AH11*IF(MOD(AI$5-'Assumption Sheet'!$W30,'Assumption Sheet'!$V30)=0,(1+'Assumption Sheet'!$U30),1)),0)</f>
        <v>0</v>
      </c>
      <c r="AJ11" s="33">
        <f>IFERROR(IF(AJ$1='Assumption Sheet'!$L30,'Assumption Sheet'!$Q30,AI11*IF(MOD(AJ$5-'Assumption Sheet'!$W30,'Assumption Sheet'!$V30)=0,(1+'Assumption Sheet'!$U30),1)),0)</f>
        <v>0</v>
      </c>
      <c r="AK11" s="33">
        <f>IFERROR(IF(AK$1='Assumption Sheet'!$L30,'Assumption Sheet'!$Q30,AJ11*IF(MOD(AK$5-'Assumption Sheet'!$W30,'Assumption Sheet'!$V30)=0,(1+'Assumption Sheet'!$U30),1)),0)</f>
        <v>0</v>
      </c>
      <c r="AL11" s="33">
        <f>IFERROR(IF(AL$1='Assumption Sheet'!$L30,'Assumption Sheet'!$Q30,AK11*IF(MOD(AL$5-'Assumption Sheet'!$W30,'Assumption Sheet'!$V30)=0,(1+'Assumption Sheet'!$U30),1)),0)</f>
        <v>0</v>
      </c>
      <c r="AM11" s="33">
        <f>IFERROR(IF(AM$1='Assumption Sheet'!$L30,'Assumption Sheet'!$Q30,AL11*IF(MOD(AM$5-'Assumption Sheet'!$W30,'Assumption Sheet'!$V30)=0,(1+'Assumption Sheet'!$U30),1)),0)</f>
        <v>0</v>
      </c>
      <c r="AN11" s="33">
        <f>IFERROR(IF(AN$1='Assumption Sheet'!$L30,'Assumption Sheet'!$Q30,AM11*IF(MOD(AN$5-'Assumption Sheet'!$W30,'Assumption Sheet'!$V30)=0,(1+'Assumption Sheet'!$U30),1)),0)</f>
        <v>0</v>
      </c>
      <c r="AO11" s="33">
        <f>IFERROR(IF(AO$1='Assumption Sheet'!$L30,'Assumption Sheet'!$Q30,AN11*IF(MOD(AO$5-'Assumption Sheet'!$W30,'Assumption Sheet'!$V30)=0,(1+'Assumption Sheet'!$U30),1)),0)</f>
        <v>0</v>
      </c>
      <c r="AP11" s="33">
        <f>IFERROR(IF(AP$1='Assumption Sheet'!$L30,'Assumption Sheet'!$Q30,AO11*IF(MOD(AP$5-'Assumption Sheet'!$W30,'Assumption Sheet'!$V30)=0,(1+'Assumption Sheet'!$U30),1)),0)</f>
        <v>0</v>
      </c>
      <c r="AQ11" s="33">
        <f>IFERROR(IF(AQ$1='Assumption Sheet'!$L30,'Assumption Sheet'!$Q30,AP11*IF(MOD(AQ$5-'Assumption Sheet'!$W30,'Assumption Sheet'!$V30)=0,(1+'Assumption Sheet'!$U30),1)),0)</f>
        <v>0</v>
      </c>
      <c r="AR11" s="33">
        <f>IFERROR(IF(AR$1='Assumption Sheet'!$L30,'Assumption Sheet'!$Q30,AQ11*IF(MOD(AR$5-'Assumption Sheet'!$W30,'Assumption Sheet'!$V30)=0,(1+'Assumption Sheet'!$U30),1)),0)</f>
        <v>20.5</v>
      </c>
      <c r="AS11" s="33">
        <f>IFERROR(IF(AS$1='Assumption Sheet'!$L30,'Assumption Sheet'!$Q30,AR11*IF(MOD(AS$5-'Assumption Sheet'!$W30,'Assumption Sheet'!$V30)=0,(1+'Assumption Sheet'!$U30),1)),0)</f>
        <v>20.5</v>
      </c>
      <c r="AT11" s="33">
        <f>IFERROR(IF(AT$1='Assumption Sheet'!$L30,'Assumption Sheet'!$Q30,AS11*IF(MOD(AT$5-'Assumption Sheet'!$W30,'Assumption Sheet'!$V30)=0,(1+'Assumption Sheet'!$U30),1)),0)</f>
        <v>20.5</v>
      </c>
      <c r="AU11" s="33">
        <f>IFERROR(IF(AU$1='Assumption Sheet'!$L30,'Assumption Sheet'!$Q30,AT11*IF(MOD(AU$5-'Assumption Sheet'!$W30,'Assumption Sheet'!$V30)=0,(1+'Assumption Sheet'!$U30),1)),0)</f>
        <v>20.5</v>
      </c>
      <c r="AV11" s="33">
        <f>IFERROR(IF(AV$1='Assumption Sheet'!$L30,'Assumption Sheet'!$Q30,AU11*IF(MOD(AV$5-'Assumption Sheet'!$W30,'Assumption Sheet'!$V30)=0,(1+'Assumption Sheet'!$U30),1)),0)</f>
        <v>20.5</v>
      </c>
      <c r="AW11" s="33">
        <f>IFERROR(IF(AW$1='Assumption Sheet'!$L30,'Assumption Sheet'!$Q30,AV11*IF(MOD(AW$5-'Assumption Sheet'!$W30,'Assumption Sheet'!$V30)=0,(1+'Assumption Sheet'!$U30),1)),0)</f>
        <v>20.5</v>
      </c>
      <c r="AX11" s="33">
        <f>IFERROR(IF(AX$1='Assumption Sheet'!$L30,'Assumption Sheet'!$Q30,AW11*IF(MOD(AX$5-'Assumption Sheet'!$W30,'Assumption Sheet'!$V30)=0,(1+'Assumption Sheet'!$U30),1)),0)</f>
        <v>20.5</v>
      </c>
      <c r="AY11" s="33">
        <f>IFERROR(IF(AY$1='Assumption Sheet'!$L30,'Assumption Sheet'!$Q30,AX11*IF(MOD(AY$5-'Assumption Sheet'!$W30,'Assumption Sheet'!$V30)=0,(1+'Assumption Sheet'!$U30),1)),0)</f>
        <v>20.5</v>
      </c>
      <c r="AZ11" s="33">
        <f>IFERROR(IF(AZ$1='Assumption Sheet'!$L30,'Assumption Sheet'!$Q30,AY11*IF(MOD(AZ$5-'Assumption Sheet'!$W30,'Assumption Sheet'!$V30)=0,(1+'Assumption Sheet'!$U30),1)),0)</f>
        <v>20.5</v>
      </c>
      <c r="BA11" s="33">
        <f>IFERROR(IF(BA$1='Assumption Sheet'!$L30,'Assumption Sheet'!$Q30,AZ11*IF(MOD(BA$5-'Assumption Sheet'!$W30,'Assumption Sheet'!$V30)=0,(1+'Assumption Sheet'!$U30),1)),0)</f>
        <v>20.5</v>
      </c>
      <c r="BB11" s="33">
        <f>IFERROR(IF(BB$1='Assumption Sheet'!$L30,'Assumption Sheet'!$Q30,BA11*IF(MOD(BB$5-'Assumption Sheet'!$W30,'Assumption Sheet'!$V30)=0,(1+'Assumption Sheet'!$U30),1)),0)</f>
        <v>20.5</v>
      </c>
      <c r="BC11" s="33">
        <f>IFERROR(IF(BC$1='Assumption Sheet'!$L30,'Assumption Sheet'!$Q30,BB11*IF(MOD(BC$5-'Assumption Sheet'!$W30,'Assumption Sheet'!$V30)=0,(1+'Assumption Sheet'!$U30),1)),0)</f>
        <v>20.5</v>
      </c>
      <c r="BD11" s="33">
        <f>IFERROR(IF(BD$1='Assumption Sheet'!$L30,'Assumption Sheet'!$Q30,BC11*IF(MOD(BD$5-'Assumption Sheet'!$W30,'Assumption Sheet'!$V30)=0,(1+'Assumption Sheet'!$U30),1)),0)</f>
        <v>21.525000000000002</v>
      </c>
      <c r="BE11" s="33">
        <f>IFERROR(IF(BE$1='Assumption Sheet'!$L30,'Assumption Sheet'!$Q30,BD11*IF(MOD(BE$5-'Assumption Sheet'!$W30,'Assumption Sheet'!$V30)=0,(1+'Assumption Sheet'!$U30),1)),0)</f>
        <v>21.525000000000002</v>
      </c>
      <c r="BF11" s="33">
        <f>IFERROR(IF(BF$1='Assumption Sheet'!$L30,'Assumption Sheet'!$Q30,BE11*IF(MOD(BF$5-'Assumption Sheet'!$W30,'Assumption Sheet'!$V30)=0,(1+'Assumption Sheet'!$U30),1)),0)</f>
        <v>21.525000000000002</v>
      </c>
      <c r="BG11" s="33">
        <f>IFERROR(IF(BG$1='Assumption Sheet'!$L30,'Assumption Sheet'!$Q30,BF11*IF(MOD(BG$5-'Assumption Sheet'!$W30,'Assumption Sheet'!$V30)=0,(1+'Assumption Sheet'!$U30),1)),0)</f>
        <v>21.525000000000002</v>
      </c>
      <c r="BH11" s="33">
        <f>IFERROR(IF(BH$1='Assumption Sheet'!$L30,'Assumption Sheet'!$Q30,BG11*IF(MOD(BH$5-'Assumption Sheet'!$W30,'Assumption Sheet'!$V30)=0,(1+'Assumption Sheet'!$U30),1)),0)</f>
        <v>21.525000000000002</v>
      </c>
      <c r="BI11" s="33">
        <f>IFERROR(IF(BI$1='Assumption Sheet'!$L30,'Assumption Sheet'!$Q30,BH11*IF(MOD(BI$5-'Assumption Sheet'!$W30,'Assumption Sheet'!$V30)=0,(1+'Assumption Sheet'!$U30),1)),0)</f>
        <v>21.525000000000002</v>
      </c>
      <c r="BJ11" s="33">
        <f>IFERROR(IF(BJ$1='Assumption Sheet'!$L30,'Assumption Sheet'!$Q30,BI11*IF(MOD(BJ$5-'Assumption Sheet'!$W30,'Assumption Sheet'!$V30)=0,(1+'Assumption Sheet'!$U30),1)),0)</f>
        <v>21.525000000000002</v>
      </c>
      <c r="BK11" s="33">
        <f>IFERROR(IF(BK$1='Assumption Sheet'!$L30,'Assumption Sheet'!$Q30,BJ11*IF(MOD(BK$5-'Assumption Sheet'!$W30,'Assumption Sheet'!$V30)=0,(1+'Assumption Sheet'!$U30),1)),0)</f>
        <v>21.525000000000002</v>
      </c>
      <c r="BL11" s="33">
        <f>IFERROR(IF(BL$1='Assumption Sheet'!$L30,'Assumption Sheet'!$Q30,BK11*IF(MOD(BL$5-'Assumption Sheet'!$W30,'Assumption Sheet'!$V30)=0,(1+'Assumption Sheet'!$U30),1)),0)</f>
        <v>21.525000000000002</v>
      </c>
      <c r="BM11" s="33">
        <f>IFERROR(IF(BM$1='Assumption Sheet'!$L30,'Assumption Sheet'!$Q30,BL11*IF(MOD(BM$5-'Assumption Sheet'!$W30,'Assumption Sheet'!$V30)=0,(1+'Assumption Sheet'!$U30),1)),0)</f>
        <v>21.525000000000002</v>
      </c>
      <c r="BN11" s="33">
        <f>IFERROR(IF(BN$1='Assumption Sheet'!$L30,'Assumption Sheet'!$Q30,BM11*IF(MOD(BN$5-'Assumption Sheet'!$W30,'Assumption Sheet'!$V30)=0,(1+'Assumption Sheet'!$U30),1)),0)</f>
        <v>21.525000000000002</v>
      </c>
      <c r="BO11" s="33">
        <f>IFERROR(IF(BO$1='Assumption Sheet'!$L30,'Assumption Sheet'!$Q30,BN11*IF(MOD(BO$5-'Assumption Sheet'!$W30,'Assumption Sheet'!$V30)=0,(1+'Assumption Sheet'!$U30),1)),0)</f>
        <v>21.525000000000002</v>
      </c>
      <c r="BP11" s="33">
        <f>IFERROR(IF(BP$1='Assumption Sheet'!$L30,'Assumption Sheet'!$Q30,BO11*IF(MOD(BP$5-'Assumption Sheet'!$W30,'Assumption Sheet'!$V30)=0,(1+'Assumption Sheet'!$U30),1)),0)</f>
        <v>22.601250000000004</v>
      </c>
      <c r="BQ11" s="33">
        <f>IFERROR(IF(BQ$1='Assumption Sheet'!$L30,'Assumption Sheet'!$Q30,BP11*IF(MOD(BQ$5-'Assumption Sheet'!$W30,'Assumption Sheet'!$V30)=0,(1+'Assumption Sheet'!$U30),1)),0)</f>
        <v>22.601250000000004</v>
      </c>
      <c r="BR11" s="33">
        <f>IFERROR(IF(BR$1='Assumption Sheet'!$L30,'Assumption Sheet'!$Q30,BQ11*IF(MOD(BR$5-'Assumption Sheet'!$W30,'Assumption Sheet'!$V30)=0,(1+'Assumption Sheet'!$U30),1)),0)</f>
        <v>22.601250000000004</v>
      </c>
      <c r="BS11" s="33">
        <f>IFERROR(IF(BS$1='Assumption Sheet'!$L30,'Assumption Sheet'!$Q30,BR11*IF(MOD(BS$5-'Assumption Sheet'!$W30,'Assumption Sheet'!$V30)=0,(1+'Assumption Sheet'!$U30),1)),0)</f>
        <v>22.601250000000004</v>
      </c>
      <c r="BT11" s="33">
        <f>IFERROR(IF(BT$1='Assumption Sheet'!$L30,'Assumption Sheet'!$Q30,BS11*IF(MOD(BT$5-'Assumption Sheet'!$W30,'Assumption Sheet'!$V30)=0,(1+'Assumption Sheet'!$U30),1)),0)</f>
        <v>22.601250000000004</v>
      </c>
      <c r="BU11" s="33">
        <f>IFERROR(IF(BU$1='Assumption Sheet'!$L30,'Assumption Sheet'!$Q30,BT11*IF(MOD(BU$5-'Assumption Sheet'!$W30,'Assumption Sheet'!$V30)=0,(1+'Assumption Sheet'!$U30),1)),0)</f>
        <v>22.601250000000004</v>
      </c>
      <c r="BV11" s="33">
        <f>IFERROR(IF(BV$1='Assumption Sheet'!$L30,'Assumption Sheet'!$Q30,BU11*IF(MOD(BV$5-'Assumption Sheet'!$W30,'Assumption Sheet'!$V30)=0,(1+'Assumption Sheet'!$U30),1)),0)</f>
        <v>22.601250000000004</v>
      </c>
      <c r="BW11" s="33">
        <f>IFERROR(IF(BW$1='Assumption Sheet'!$L30,'Assumption Sheet'!$Q30,BV11*IF(MOD(BW$5-'Assumption Sheet'!$W30,'Assumption Sheet'!$V30)=0,(1+'Assumption Sheet'!$U30),1)),0)</f>
        <v>22.601250000000004</v>
      </c>
      <c r="BX11" s="33">
        <f>IFERROR(IF(BX$1='Assumption Sheet'!$L30,'Assumption Sheet'!$Q30,BW11*IF(MOD(BX$5-'Assumption Sheet'!$W30,'Assumption Sheet'!$V30)=0,(1+'Assumption Sheet'!$U30),1)),0)</f>
        <v>22.601250000000004</v>
      </c>
      <c r="BY11" s="33">
        <f>IFERROR(IF(BY$1='Assumption Sheet'!$L30,'Assumption Sheet'!$Q30,BX11*IF(MOD(BY$5-'Assumption Sheet'!$W30,'Assumption Sheet'!$V30)=0,(1+'Assumption Sheet'!$U30),1)),0)</f>
        <v>22.601250000000004</v>
      </c>
      <c r="BZ11" s="33">
        <f>IFERROR(IF(BZ$1='Assumption Sheet'!$L30,'Assumption Sheet'!$Q30,BY11*IF(MOD(BZ$5-'Assumption Sheet'!$W30,'Assumption Sheet'!$V30)=0,(1+'Assumption Sheet'!$U30),1)),0)</f>
        <v>22.601250000000004</v>
      </c>
      <c r="CA11" s="33">
        <f>IFERROR(IF(CA$1='Assumption Sheet'!$L30,'Assumption Sheet'!$Q30,BZ11*IF(MOD(CA$5-'Assumption Sheet'!$W30,'Assumption Sheet'!$V30)=0,(1+'Assumption Sheet'!$U30),1)),0)</f>
        <v>22.601250000000004</v>
      </c>
      <c r="CB11" s="33">
        <f>IFERROR(IF(CB$1='Assumption Sheet'!$L30,'Assumption Sheet'!$Q30,CA11*IF(MOD(CB$5-'Assumption Sheet'!$W30,'Assumption Sheet'!$V30)=0,(1+'Assumption Sheet'!$U30),1)),0)</f>
        <v>23.731312500000005</v>
      </c>
      <c r="CC11" s="33">
        <f>IFERROR(IF(CC$1='Assumption Sheet'!$L30,'Assumption Sheet'!$Q30,CB11*IF(MOD(CC$5-'Assumption Sheet'!$W30,'Assumption Sheet'!$V30)=0,(1+'Assumption Sheet'!$U30),1)),0)</f>
        <v>23.731312500000005</v>
      </c>
      <c r="CD11" s="33">
        <f>IFERROR(IF(CD$1='Assumption Sheet'!$L30,'Assumption Sheet'!$Q30,CC11*IF(MOD(CD$5-'Assumption Sheet'!$W30,'Assumption Sheet'!$V30)=0,(1+'Assumption Sheet'!$U30),1)),0)</f>
        <v>23.731312500000005</v>
      </c>
      <c r="CE11" s="33">
        <f>IFERROR(IF(CE$1='Assumption Sheet'!$L30,'Assumption Sheet'!$Q30,CD11*IF(MOD(CE$5-'Assumption Sheet'!$W30,'Assumption Sheet'!$V30)=0,(1+'Assumption Sheet'!$U30),1)),0)</f>
        <v>23.731312500000005</v>
      </c>
      <c r="CF11" s="33">
        <f>IFERROR(IF(CF$1='Assumption Sheet'!$L30,'Assumption Sheet'!$Q30,CE11*IF(MOD(CF$5-'Assumption Sheet'!$W30,'Assumption Sheet'!$V30)=0,(1+'Assumption Sheet'!$U30),1)),0)</f>
        <v>23.731312500000005</v>
      </c>
      <c r="CG11" s="33">
        <f>IFERROR(IF(CG$1='Assumption Sheet'!$L30,'Assumption Sheet'!$Q30,CF11*IF(MOD(CG$5-'Assumption Sheet'!$W30,'Assumption Sheet'!$V30)=0,(1+'Assumption Sheet'!$U30),1)),0)</f>
        <v>23.731312500000005</v>
      </c>
      <c r="CH11" s="33">
        <f>IFERROR(IF(CH$1='Assumption Sheet'!$L30,'Assumption Sheet'!$Q30,CG11*IF(MOD(CH$5-'Assumption Sheet'!$W30,'Assumption Sheet'!$V30)=0,(1+'Assumption Sheet'!$U30),1)),0)</f>
        <v>23.731312500000005</v>
      </c>
      <c r="CI11" s="33">
        <f>IFERROR(IF(CI$1='Assumption Sheet'!$L30,'Assumption Sheet'!$Q30,CH11*IF(MOD(CI$5-'Assumption Sheet'!$W30,'Assumption Sheet'!$V30)=0,(1+'Assumption Sheet'!$U30),1)),0)</f>
        <v>23.731312500000005</v>
      </c>
      <c r="CJ11" s="33">
        <f>IFERROR(IF(CJ$1='Assumption Sheet'!$L30,'Assumption Sheet'!$Q30,CI11*IF(MOD(CJ$5-'Assumption Sheet'!$W30,'Assumption Sheet'!$V30)=0,(1+'Assumption Sheet'!$U30),1)),0)</f>
        <v>23.731312500000005</v>
      </c>
      <c r="CK11" s="33">
        <f>IFERROR(IF(CK$1='Assumption Sheet'!$L30,'Assumption Sheet'!$Q30,CJ11*IF(MOD(CK$5-'Assumption Sheet'!$W30,'Assumption Sheet'!$V30)=0,(1+'Assumption Sheet'!$U30),1)),0)</f>
        <v>23.731312500000005</v>
      </c>
      <c r="CL11" s="33">
        <f>IFERROR(IF(CL$1='Assumption Sheet'!$L30,'Assumption Sheet'!$Q30,CK11*IF(MOD(CL$5-'Assumption Sheet'!$W30,'Assumption Sheet'!$V30)=0,(1+'Assumption Sheet'!$U30),1)),0)</f>
        <v>23.731312500000005</v>
      </c>
      <c r="CM11" s="33">
        <f>IFERROR(IF(CM$1='Assumption Sheet'!$L30,'Assumption Sheet'!$Q30,CL11*IF(MOD(CM$5-'Assumption Sheet'!$W30,'Assumption Sheet'!$V30)=0,(1+'Assumption Sheet'!$U30),1)),0)</f>
        <v>23.731312500000005</v>
      </c>
      <c r="CN11" s="33">
        <f>IFERROR(IF(CN$1='Assumption Sheet'!$L30,'Assumption Sheet'!$Q30,CM11*IF(MOD(CN$5-'Assumption Sheet'!$W30,'Assumption Sheet'!$V30)=0,(1+'Assumption Sheet'!$U30),1)),0)</f>
        <v>24.917878125000005</v>
      </c>
      <c r="CO11" s="33">
        <f>IFERROR(IF(CO$1='Assumption Sheet'!$L30,'Assumption Sheet'!$Q30,CN11*IF(MOD(CO$5-'Assumption Sheet'!$W30,'Assumption Sheet'!$V30)=0,(1+'Assumption Sheet'!$U30),1)),0)</f>
        <v>24.917878125000005</v>
      </c>
      <c r="CP11" s="33">
        <f>IFERROR(IF(CP$1='Assumption Sheet'!$L30,'Assumption Sheet'!$Q30,CO11*IF(MOD(CP$5-'Assumption Sheet'!$W30,'Assumption Sheet'!$V30)=0,(1+'Assumption Sheet'!$U30),1)),0)</f>
        <v>24.917878125000005</v>
      </c>
      <c r="CQ11" s="33">
        <f>IFERROR(IF(CQ$1='Assumption Sheet'!$L30,'Assumption Sheet'!$Q30,CP11*IF(MOD(CQ$5-'Assumption Sheet'!$W30,'Assumption Sheet'!$V30)=0,(1+'Assumption Sheet'!$U30),1)),0)</f>
        <v>24.917878125000005</v>
      </c>
      <c r="CR11" s="33">
        <f>IFERROR(IF(CR$1='Assumption Sheet'!$L30,'Assumption Sheet'!$Q30,CQ11*IF(MOD(CR$5-'Assumption Sheet'!$W30,'Assumption Sheet'!$V30)=0,(1+'Assumption Sheet'!$U30),1)),0)</f>
        <v>24.917878125000005</v>
      </c>
      <c r="CS11" s="33">
        <f>IFERROR(IF(CS$1='Assumption Sheet'!$L30,'Assumption Sheet'!$Q30,CR11*IF(MOD(CS$5-'Assumption Sheet'!$W30,'Assumption Sheet'!$V30)=0,(1+'Assumption Sheet'!$U30),1)),0)</f>
        <v>24.917878125000005</v>
      </c>
      <c r="CT11" s="33">
        <f>IFERROR(IF(CT$1='Assumption Sheet'!$L30,'Assumption Sheet'!$Q30,CS11*IF(MOD(CT$5-'Assumption Sheet'!$W30,'Assumption Sheet'!$V30)=0,(1+'Assumption Sheet'!$U30),1)),0)</f>
        <v>24.917878125000005</v>
      </c>
      <c r="CU11" s="33">
        <f>IFERROR(IF(CU$1='Assumption Sheet'!$L30,'Assumption Sheet'!$Q30,CT11*IF(MOD(CU$5-'Assumption Sheet'!$W30,'Assumption Sheet'!$V30)=0,(1+'Assumption Sheet'!$U30),1)),0)</f>
        <v>24.917878125000005</v>
      </c>
      <c r="CV11" s="33">
        <f>IFERROR(IF(CV$1='Assumption Sheet'!$L30,'Assumption Sheet'!$Q30,CU11*IF(MOD(CV$5-'Assumption Sheet'!$W30,'Assumption Sheet'!$V30)=0,(1+'Assumption Sheet'!$U30),1)),0)</f>
        <v>24.917878125000005</v>
      </c>
      <c r="CW11" s="33">
        <f>IFERROR(IF(CW$1='Assumption Sheet'!$L30,'Assumption Sheet'!$Q30,CV11*IF(MOD(CW$5-'Assumption Sheet'!$W30,'Assumption Sheet'!$V30)=0,(1+'Assumption Sheet'!$U30),1)),0)</f>
        <v>24.917878125000005</v>
      </c>
      <c r="CX11" s="33">
        <f>IFERROR(IF(CX$1='Assumption Sheet'!$L30,'Assumption Sheet'!$Q30,CW11*IF(MOD(CX$5-'Assumption Sheet'!$W30,'Assumption Sheet'!$V30)=0,(1+'Assumption Sheet'!$U30),1)),0)</f>
        <v>24.917878125000005</v>
      </c>
      <c r="CY11" s="33">
        <f>IFERROR(IF(CY$1='Assumption Sheet'!$L30,'Assumption Sheet'!$Q30,CX11*IF(MOD(CY$5-'Assumption Sheet'!$W30,'Assumption Sheet'!$V30)=0,(1+'Assumption Sheet'!$U30),1)),0)</f>
        <v>24.917878125000005</v>
      </c>
      <c r="CZ11" s="33">
        <f>IFERROR(IF(CZ$1='Assumption Sheet'!$L30,'Assumption Sheet'!$Q30,CY11*IF(MOD(CZ$5-'Assumption Sheet'!$W30,'Assumption Sheet'!$V30)=0,(1+'Assumption Sheet'!$U30),1)),0)</f>
        <v>26.163772031250005</v>
      </c>
      <c r="DA11" s="33">
        <f>IFERROR(IF(DA$1='Assumption Sheet'!$L30,'Assumption Sheet'!$Q30,CZ11*IF(MOD(DA$5-'Assumption Sheet'!$W30,'Assumption Sheet'!$V30)=0,(1+'Assumption Sheet'!$U30),1)),0)</f>
        <v>26.163772031250005</v>
      </c>
      <c r="DB11" s="33">
        <f>IFERROR(IF(DB$1='Assumption Sheet'!$L30,'Assumption Sheet'!$Q30,DA11*IF(MOD(DB$5-'Assumption Sheet'!$W30,'Assumption Sheet'!$V30)=0,(1+'Assumption Sheet'!$U30),1)),0)</f>
        <v>26.163772031250005</v>
      </c>
      <c r="DC11" s="33">
        <f>IFERROR(IF(DC$1='Assumption Sheet'!$L30,'Assumption Sheet'!$Q30,DB11*IF(MOD(DC$5-'Assumption Sheet'!$W30,'Assumption Sheet'!$V30)=0,(1+'Assumption Sheet'!$U30),1)),0)</f>
        <v>26.163772031250005</v>
      </c>
      <c r="DD11" s="33">
        <f>IFERROR(IF(DD$1='Assumption Sheet'!$L30,'Assumption Sheet'!$Q30,DC11*IF(MOD(DD$5-'Assumption Sheet'!$W30,'Assumption Sheet'!$V30)=0,(1+'Assumption Sheet'!$U30),1)),0)</f>
        <v>26.163772031250005</v>
      </c>
      <c r="DE11" s="33">
        <f>IFERROR(IF(DE$1='Assumption Sheet'!$L30,'Assumption Sheet'!$Q30,DD11*IF(MOD(DE$5-'Assumption Sheet'!$W30,'Assumption Sheet'!$V30)=0,(1+'Assumption Sheet'!$U30),1)),0)</f>
        <v>26.163772031250005</v>
      </c>
      <c r="DF11" s="33">
        <f>IFERROR(IF(DF$1='Assumption Sheet'!$L30,'Assumption Sheet'!$Q30,DE11*IF(MOD(DF$5-'Assumption Sheet'!$W30,'Assumption Sheet'!$V30)=0,(1+'Assumption Sheet'!$U30),1)),0)</f>
        <v>26.163772031250005</v>
      </c>
      <c r="DG11" s="33">
        <f>IFERROR(IF(DG$1='Assumption Sheet'!$L30,'Assumption Sheet'!$Q30,DF11*IF(MOD(DG$5-'Assumption Sheet'!$W30,'Assumption Sheet'!$V30)=0,(1+'Assumption Sheet'!$U30),1)),0)</f>
        <v>26.163772031250005</v>
      </c>
      <c r="DH11" s="33">
        <f>IFERROR(IF(DH$1='Assumption Sheet'!$L30,'Assumption Sheet'!$Q30,DG11*IF(MOD(DH$5-'Assumption Sheet'!$W30,'Assumption Sheet'!$V30)=0,(1+'Assumption Sheet'!$U30),1)),0)</f>
        <v>26.163772031250005</v>
      </c>
      <c r="DI11" s="33">
        <f>IFERROR(IF(DI$1='Assumption Sheet'!$L30,'Assumption Sheet'!$Q30,DH11*IF(MOD(DI$5-'Assumption Sheet'!$W30,'Assumption Sheet'!$V30)=0,(1+'Assumption Sheet'!$U30),1)),0)</f>
        <v>26.163772031250005</v>
      </c>
      <c r="DJ11" s="33">
        <f>IFERROR(IF(DJ$1='Assumption Sheet'!$L30,'Assumption Sheet'!$Q30,DI11*IF(MOD(DJ$5-'Assumption Sheet'!$W30,'Assumption Sheet'!$V30)=0,(1+'Assumption Sheet'!$U30),1)),0)</f>
        <v>26.163772031250005</v>
      </c>
      <c r="DK11" s="33">
        <f>IFERROR(IF(DK$1='Assumption Sheet'!$L30,'Assumption Sheet'!$Q30,DJ11*IF(MOD(DK$5-'Assumption Sheet'!$W30,'Assumption Sheet'!$V30)=0,(1+'Assumption Sheet'!$U30),1)),0)</f>
        <v>26.163772031250005</v>
      </c>
      <c r="DL11" s="33">
        <f>IFERROR(IF(DL$1='Assumption Sheet'!$L30,'Assumption Sheet'!$Q30,DK11*IF(MOD(DL$5-'Assumption Sheet'!$W30,'Assumption Sheet'!$V30)=0,(1+'Assumption Sheet'!$U30),1)),0)</f>
        <v>27.471960632812507</v>
      </c>
      <c r="DM11" s="33">
        <f>IFERROR(IF(DM$1='Assumption Sheet'!$L30,'Assumption Sheet'!$Q30,DL11*IF(MOD(DM$5-'Assumption Sheet'!$W30,'Assumption Sheet'!$V30)=0,(1+'Assumption Sheet'!$U30),1)),0)</f>
        <v>27.471960632812507</v>
      </c>
      <c r="DN11" s="33">
        <f>IFERROR(IF(DN$1='Assumption Sheet'!$L30,'Assumption Sheet'!$Q30,DM11*IF(MOD(DN$5-'Assumption Sheet'!$W30,'Assumption Sheet'!$V30)=0,(1+'Assumption Sheet'!$U30),1)),0)</f>
        <v>27.471960632812507</v>
      </c>
      <c r="DO11" s="33">
        <f>IFERROR(IF(DO$1='Assumption Sheet'!$L30,'Assumption Sheet'!$Q30,DN11*IF(MOD(DO$5-'Assumption Sheet'!$W30,'Assumption Sheet'!$V30)=0,(1+'Assumption Sheet'!$U30),1)),0)</f>
        <v>27.471960632812507</v>
      </c>
      <c r="DP11" s="33">
        <f>IFERROR(IF(DP$1='Assumption Sheet'!$L30,'Assumption Sheet'!$Q30,DO11*IF(MOD(DP$5-'Assumption Sheet'!$W30,'Assumption Sheet'!$V30)=0,(1+'Assumption Sheet'!$U30),1)),0)</f>
        <v>27.471960632812507</v>
      </c>
      <c r="DQ11" s="33">
        <f>IFERROR(IF(DQ$1='Assumption Sheet'!$L30,'Assumption Sheet'!$Q30,DP11*IF(MOD(DQ$5-'Assumption Sheet'!$W30,'Assumption Sheet'!$V30)=0,(1+'Assumption Sheet'!$U30),1)),0)</f>
        <v>27.471960632812507</v>
      </c>
      <c r="DR11" s="33">
        <f>IFERROR(IF(DR$1='Assumption Sheet'!$L30,'Assumption Sheet'!$Q30,DQ11*IF(MOD(DR$5-'Assumption Sheet'!$W30,'Assumption Sheet'!$V30)=0,(1+'Assumption Sheet'!$U30),1)),0)</f>
        <v>27.471960632812507</v>
      </c>
      <c r="DS11" s="33">
        <f>IFERROR(IF(DS$1='Assumption Sheet'!$L30,'Assumption Sheet'!$Q30,DR11*IF(MOD(DS$5-'Assumption Sheet'!$W30,'Assumption Sheet'!$V30)=0,(1+'Assumption Sheet'!$U30),1)),0)</f>
        <v>27.471960632812507</v>
      </c>
      <c r="DT11" s="33">
        <f>IFERROR(IF(DT$1='Assumption Sheet'!$L30,'Assumption Sheet'!$Q30,DS11*IF(MOD(DT$5-'Assumption Sheet'!$W30,'Assumption Sheet'!$V30)=0,(1+'Assumption Sheet'!$U30),1)),0)</f>
        <v>27.471960632812507</v>
      </c>
      <c r="DU11" s="33">
        <f>IFERROR(IF(DU$1='Assumption Sheet'!$L30,'Assumption Sheet'!$Q30,DT11*IF(MOD(DU$5-'Assumption Sheet'!$W30,'Assumption Sheet'!$V30)=0,(1+'Assumption Sheet'!$U30),1)),0)</f>
        <v>27.471960632812507</v>
      </c>
      <c r="DV11" s="33">
        <f>IFERROR(IF(DV$1='Assumption Sheet'!$L30,'Assumption Sheet'!$Q30,DU11*IF(MOD(DV$5-'Assumption Sheet'!$W30,'Assumption Sheet'!$V30)=0,(1+'Assumption Sheet'!$U30),1)),0)</f>
        <v>27.471960632812507</v>
      </c>
      <c r="DW11" s="33">
        <f>IFERROR(IF(DW$1='Assumption Sheet'!$L30,'Assumption Sheet'!$Q30,DV11*IF(MOD(DW$5-'Assumption Sheet'!$W30,'Assumption Sheet'!$V30)=0,(1+'Assumption Sheet'!$U30),1)),0)</f>
        <v>27.471960632812507</v>
      </c>
      <c r="DX11" s="33">
        <f>IFERROR(IF(DX$1='Assumption Sheet'!$L30,'Assumption Sheet'!$Q30,DW11*IF(MOD(DX$5-'Assumption Sheet'!$W30,'Assumption Sheet'!$V30)=0,(1+'Assumption Sheet'!$U30),1)),0)</f>
        <v>28.845558664453133</v>
      </c>
      <c r="DY11" s="33">
        <f>IFERROR(IF(DY$1='Assumption Sheet'!$L30,'Assumption Sheet'!$Q30,DX11*IF(MOD(DY$5-'Assumption Sheet'!$W30,'Assumption Sheet'!$V30)=0,(1+'Assumption Sheet'!$U30),1)),0)</f>
        <v>28.845558664453133</v>
      </c>
      <c r="DZ11" s="33">
        <f>IFERROR(IF(DZ$1='Assumption Sheet'!$L30,'Assumption Sheet'!$Q30,DY11*IF(MOD(DZ$5-'Assumption Sheet'!$W30,'Assumption Sheet'!$V30)=0,(1+'Assumption Sheet'!$U30),1)),0)</f>
        <v>28.845558664453133</v>
      </c>
      <c r="EA11" s="33">
        <f>IFERROR(IF(EA$1='Assumption Sheet'!$L30,'Assumption Sheet'!$Q30,DZ11*IF(MOD(EA$5-'Assumption Sheet'!$W30,'Assumption Sheet'!$V30)=0,(1+'Assumption Sheet'!$U30),1)),0)</f>
        <v>28.845558664453133</v>
      </c>
      <c r="EB11" s="33">
        <f>IFERROR(IF(EB$1='Assumption Sheet'!$L30,'Assumption Sheet'!$Q30,EA11*IF(MOD(EB$5-'Assumption Sheet'!$W30,'Assumption Sheet'!$V30)=0,(1+'Assumption Sheet'!$U30),1)),0)</f>
        <v>28.845558664453133</v>
      </c>
      <c r="EC11" s="33">
        <f>IFERROR(IF(EC$1='Assumption Sheet'!$L30,'Assumption Sheet'!$Q30,EB11*IF(MOD(EC$5-'Assumption Sheet'!$W30,'Assumption Sheet'!$V30)=0,(1+'Assumption Sheet'!$U30),1)),0)</f>
        <v>28.845558664453133</v>
      </c>
      <c r="ED11" s="33">
        <f>IFERROR(IF(ED$1='Assumption Sheet'!$L30,'Assumption Sheet'!$Q30,EC11*IF(MOD(ED$5-'Assumption Sheet'!$W30,'Assumption Sheet'!$V30)=0,(1+'Assumption Sheet'!$U30),1)),0)</f>
        <v>28.845558664453133</v>
      </c>
      <c r="EE11" s="33">
        <f>IFERROR(IF(EE$1='Assumption Sheet'!$L30,'Assumption Sheet'!$Q30,ED11*IF(MOD(EE$5-'Assumption Sheet'!$W30,'Assumption Sheet'!$V30)=0,(1+'Assumption Sheet'!$U30),1)),0)</f>
        <v>28.845558664453133</v>
      </c>
      <c r="EF11" s="33">
        <f>IFERROR(IF(EF$1='Assumption Sheet'!$L30,'Assumption Sheet'!$Q30,EE11*IF(MOD(EF$5-'Assumption Sheet'!$W30,'Assumption Sheet'!$V30)=0,(1+'Assumption Sheet'!$U30),1)),0)</f>
        <v>28.845558664453133</v>
      </c>
      <c r="EG11" s="33">
        <f>IFERROR(IF(EG$1='Assumption Sheet'!$L30,'Assumption Sheet'!$Q30,EF11*IF(MOD(EG$5-'Assumption Sheet'!$W30,'Assumption Sheet'!$V30)=0,(1+'Assumption Sheet'!$U30),1)),0)</f>
        <v>28.845558664453133</v>
      </c>
      <c r="EH11" s="33">
        <f>IFERROR(IF(EH$1='Assumption Sheet'!$L30,'Assumption Sheet'!$Q30,EG11*IF(MOD(EH$5-'Assumption Sheet'!$W30,'Assumption Sheet'!$V30)=0,(1+'Assumption Sheet'!$U30),1)),0)</f>
        <v>28.845558664453133</v>
      </c>
      <c r="EI11" s="33">
        <f>IFERROR(IF(EI$1='Assumption Sheet'!$L30,'Assumption Sheet'!$Q30,EH11*IF(MOD(EI$5-'Assumption Sheet'!$W30,'Assumption Sheet'!$V30)=0,(1+'Assumption Sheet'!$U30),1)),0)</f>
        <v>28.845558664453133</v>
      </c>
      <c r="EJ11" s="33">
        <f>IFERROR(IF(EJ$1='Assumption Sheet'!$L30,'Assumption Sheet'!$Q30,EI11*IF(MOD(EJ$5-'Assumption Sheet'!$W30,'Assumption Sheet'!$V30)=0,(1+'Assumption Sheet'!$U30),1)),0)</f>
        <v>30.287836597675792</v>
      </c>
      <c r="EK11" s="33">
        <f>IFERROR(IF(EK$1='Assumption Sheet'!$L30,'Assumption Sheet'!$Q30,EJ11*IF(MOD(EK$5-'Assumption Sheet'!$W30,'Assumption Sheet'!$V30)=0,(1+'Assumption Sheet'!$U30),1)),0)</f>
        <v>30.287836597675792</v>
      </c>
      <c r="EL11" s="33">
        <f>IFERROR(IF(EL$1='Assumption Sheet'!$L30,'Assumption Sheet'!$Q30,EK11*IF(MOD(EL$5-'Assumption Sheet'!$W30,'Assumption Sheet'!$V30)=0,(1+'Assumption Sheet'!$U30),1)),0)</f>
        <v>30.287836597675792</v>
      </c>
      <c r="EM11" s="33">
        <f>IFERROR(IF(EM$1='Assumption Sheet'!$L30,'Assumption Sheet'!$Q30,EL11*IF(MOD(EM$5-'Assumption Sheet'!$W30,'Assumption Sheet'!$V30)=0,(1+'Assumption Sheet'!$U30),1)),0)</f>
        <v>30.287836597675792</v>
      </c>
      <c r="EN11" s="33">
        <f>IFERROR(IF(EN$1='Assumption Sheet'!$L30,'Assumption Sheet'!$Q30,EM11*IF(MOD(EN$5-'Assumption Sheet'!$W30,'Assumption Sheet'!$V30)=0,(1+'Assumption Sheet'!$U30),1)),0)</f>
        <v>30.287836597675792</v>
      </c>
      <c r="EO11" s="33">
        <f>IFERROR(IF(EO$1='Assumption Sheet'!$L30,'Assumption Sheet'!$Q30,EN11*IF(MOD(EO$5-'Assumption Sheet'!$W30,'Assumption Sheet'!$V30)=0,(1+'Assumption Sheet'!$U30),1)),0)</f>
        <v>30.287836597675792</v>
      </c>
      <c r="EP11" s="33">
        <f>IFERROR(IF(EP$1='Assumption Sheet'!$L30,'Assumption Sheet'!$Q30,EO11*IF(MOD(EP$5-'Assumption Sheet'!$W30,'Assumption Sheet'!$V30)=0,(1+'Assumption Sheet'!$U30),1)),0)</f>
        <v>30.287836597675792</v>
      </c>
      <c r="EQ11" s="33">
        <f>IFERROR(IF(EQ$1='Assumption Sheet'!$L30,'Assumption Sheet'!$Q30,EP11*IF(MOD(EQ$5-'Assumption Sheet'!$W30,'Assumption Sheet'!$V30)=0,(1+'Assumption Sheet'!$U30),1)),0)</f>
        <v>30.287836597675792</v>
      </c>
      <c r="ER11" s="33">
        <f>IFERROR(IF(ER$1='Assumption Sheet'!$L30,'Assumption Sheet'!$Q30,EQ11*IF(MOD(ER$5-'Assumption Sheet'!$W30,'Assumption Sheet'!$V30)=0,(1+'Assumption Sheet'!$U30),1)),0)</f>
        <v>30.287836597675792</v>
      </c>
      <c r="ES11" s="33">
        <f>IFERROR(IF(ES$1='Assumption Sheet'!$L30,'Assumption Sheet'!$Q30,ER11*IF(MOD(ES$5-'Assumption Sheet'!$W30,'Assumption Sheet'!$V30)=0,(1+'Assumption Sheet'!$U30),1)),0)</f>
        <v>30.287836597675792</v>
      </c>
      <c r="ET11" s="33">
        <f>IFERROR(IF(ET$1='Assumption Sheet'!$L30,'Assumption Sheet'!$Q30,ES11*IF(MOD(ET$5-'Assumption Sheet'!$W30,'Assumption Sheet'!$V30)=0,(1+'Assumption Sheet'!$U30),1)),0)</f>
        <v>30.287836597675792</v>
      </c>
      <c r="EU11" s="33">
        <f>IFERROR(IF(EU$1='Assumption Sheet'!$L30,'Assumption Sheet'!$Q30,ET11*IF(MOD(EU$5-'Assumption Sheet'!$W30,'Assumption Sheet'!$V30)=0,(1+'Assumption Sheet'!$U30),1)),0)</f>
        <v>30.287836597675792</v>
      </c>
      <c r="EV11" s="33">
        <f>IFERROR(IF(EV$1='Assumption Sheet'!$L30,'Assumption Sheet'!$Q30,EU11*IF(MOD(EV$5-'Assumption Sheet'!$W30,'Assumption Sheet'!$V30)=0,(1+'Assumption Sheet'!$U30),1)),0)</f>
        <v>31.802228427559584</v>
      </c>
      <c r="EW11" s="33">
        <f>IFERROR(IF(EW$1='Assumption Sheet'!$L30,'Assumption Sheet'!$Q30,EV11*IF(MOD(EW$5-'Assumption Sheet'!$W30,'Assumption Sheet'!$V30)=0,(1+'Assumption Sheet'!$U30),1)),0)</f>
        <v>31.802228427559584</v>
      </c>
      <c r="EX11" s="33">
        <f>IFERROR(IF(EX$1='Assumption Sheet'!$L30,'Assumption Sheet'!$Q30,EW11*IF(MOD(EX$5-'Assumption Sheet'!$W30,'Assumption Sheet'!$V30)=0,(1+'Assumption Sheet'!$U30),1)),0)</f>
        <v>31.802228427559584</v>
      </c>
      <c r="EY11" s="33">
        <f>IFERROR(IF(EY$1='Assumption Sheet'!$L30,'Assumption Sheet'!$Q30,EX11*IF(MOD(EY$5-'Assumption Sheet'!$W30,'Assumption Sheet'!$V30)=0,(1+'Assumption Sheet'!$U30),1)),0)</f>
        <v>31.802228427559584</v>
      </c>
      <c r="EZ11" s="33">
        <f>IFERROR(IF(EZ$1='Assumption Sheet'!$L30,'Assumption Sheet'!$Q30,EY11*IF(MOD(EZ$5-'Assumption Sheet'!$W30,'Assumption Sheet'!$V30)=0,(1+'Assumption Sheet'!$U30),1)),0)</f>
        <v>31.802228427559584</v>
      </c>
      <c r="FA11" s="33">
        <f>IFERROR(IF(FA$1='Assumption Sheet'!$L30,'Assumption Sheet'!$Q30,EZ11*IF(MOD(FA$5-'Assumption Sheet'!$W30,'Assumption Sheet'!$V30)=0,(1+'Assumption Sheet'!$U30),1)),0)</f>
        <v>31.802228427559584</v>
      </c>
      <c r="FB11" s="33">
        <f>IFERROR(IF(FB$1='Assumption Sheet'!$L30,'Assumption Sheet'!$Q30,FA11*IF(MOD(FB$5-'Assumption Sheet'!$W30,'Assumption Sheet'!$V30)=0,(1+'Assumption Sheet'!$U30),1)),0)</f>
        <v>31.802228427559584</v>
      </c>
      <c r="FC11" s="33">
        <f>IFERROR(IF(FC$1='Assumption Sheet'!$L30,'Assumption Sheet'!$Q30,FB11*IF(MOD(FC$5-'Assumption Sheet'!$W30,'Assumption Sheet'!$V30)=0,(1+'Assumption Sheet'!$U30),1)),0)</f>
        <v>31.802228427559584</v>
      </c>
      <c r="FD11" s="33">
        <f>IFERROR(IF(FD$1='Assumption Sheet'!$L30,'Assumption Sheet'!$Q30,FC11*IF(MOD(FD$5-'Assumption Sheet'!$W30,'Assumption Sheet'!$V30)=0,(1+'Assumption Sheet'!$U30),1)),0)</f>
        <v>31.802228427559584</v>
      </c>
      <c r="FE11" s="33">
        <f>IFERROR(IF(FE$1='Assumption Sheet'!$L30,'Assumption Sheet'!$Q30,FD11*IF(MOD(FE$5-'Assumption Sheet'!$W30,'Assumption Sheet'!$V30)=0,(1+'Assumption Sheet'!$U30),1)),0)</f>
        <v>31.802228427559584</v>
      </c>
      <c r="FF11" s="33">
        <f>IFERROR(IF(FF$1='Assumption Sheet'!$L30,'Assumption Sheet'!$Q30,FE11*IF(MOD(FF$5-'Assumption Sheet'!$W30,'Assumption Sheet'!$V30)=0,(1+'Assumption Sheet'!$U30),1)),0)</f>
        <v>31.802228427559584</v>
      </c>
      <c r="FG11" s="33">
        <f>IFERROR(IF(FG$1='Assumption Sheet'!$L30,'Assumption Sheet'!$Q30,FF11*IF(MOD(FG$5-'Assumption Sheet'!$W30,'Assumption Sheet'!$V30)=0,(1+'Assumption Sheet'!$U30),1)),0)</f>
        <v>31.802228427559584</v>
      </c>
      <c r="FH11" s="33">
        <f>IFERROR(IF(FH$1='Assumption Sheet'!$L30,'Assumption Sheet'!$Q30,FG11*IF(MOD(FH$5-'Assumption Sheet'!$W30,'Assumption Sheet'!$V30)=0,(1+'Assumption Sheet'!$U30),1)),0)</f>
        <v>33.392339848937567</v>
      </c>
      <c r="FI11" s="33">
        <f>IFERROR(IF(FI$1='Assumption Sheet'!$L30,'Assumption Sheet'!$Q30,FH11*IF(MOD(FI$5-'Assumption Sheet'!$W30,'Assumption Sheet'!$V30)=0,(1+'Assumption Sheet'!$U30),1)),0)</f>
        <v>33.392339848937567</v>
      </c>
      <c r="FJ11" s="33">
        <f>IFERROR(IF(FJ$1='Assumption Sheet'!$L30,'Assumption Sheet'!$Q30,FI11*IF(MOD(FJ$5-'Assumption Sheet'!$W30,'Assumption Sheet'!$V30)=0,(1+'Assumption Sheet'!$U30),1)),0)</f>
        <v>33.392339848937567</v>
      </c>
      <c r="FK11" s="33">
        <f>IFERROR(IF(FK$1='Assumption Sheet'!$L30,'Assumption Sheet'!$Q30,FJ11*IF(MOD(FK$5-'Assumption Sheet'!$W30,'Assumption Sheet'!$V30)=0,(1+'Assumption Sheet'!$U30),1)),0)</f>
        <v>33.392339848937567</v>
      </c>
      <c r="FL11" s="33">
        <f>IFERROR(IF(FL$1='Assumption Sheet'!$L30,'Assumption Sheet'!$Q30,FK11*IF(MOD(FL$5-'Assumption Sheet'!$W30,'Assumption Sheet'!$V30)=0,(1+'Assumption Sheet'!$U30),1)),0)</f>
        <v>33.392339848937567</v>
      </c>
      <c r="FM11" s="33">
        <f>IFERROR(IF(FM$1='Assumption Sheet'!$L30,'Assumption Sheet'!$Q30,FL11*IF(MOD(FM$5-'Assumption Sheet'!$W30,'Assumption Sheet'!$V30)=0,(1+'Assumption Sheet'!$U30),1)),0)</f>
        <v>33.392339848937567</v>
      </c>
      <c r="FN11" s="33">
        <f>IFERROR(IF(FN$1='Assumption Sheet'!$L30,'Assumption Sheet'!$Q30,FM11*IF(MOD(FN$5-'Assumption Sheet'!$W30,'Assumption Sheet'!$V30)=0,(1+'Assumption Sheet'!$U30),1)),0)</f>
        <v>33.392339848937567</v>
      </c>
      <c r="FO11" s="33">
        <f>IFERROR(IF(FO$1='Assumption Sheet'!$L30,'Assumption Sheet'!$Q30,FN11*IF(MOD(FO$5-'Assumption Sheet'!$W30,'Assumption Sheet'!$V30)=0,(1+'Assumption Sheet'!$U30),1)),0)</f>
        <v>33.392339848937567</v>
      </c>
      <c r="FP11" s="33">
        <f>IFERROR(IF(FP$1='Assumption Sheet'!$L30,'Assumption Sheet'!$Q30,FO11*IF(MOD(FP$5-'Assumption Sheet'!$W30,'Assumption Sheet'!$V30)=0,(1+'Assumption Sheet'!$U30),1)),0)</f>
        <v>33.392339848937567</v>
      </c>
      <c r="FQ11" s="33">
        <f>IFERROR(IF(FQ$1='Assumption Sheet'!$L30,'Assumption Sheet'!$Q30,FP11*IF(MOD(FQ$5-'Assumption Sheet'!$W30,'Assumption Sheet'!$V30)=0,(1+'Assumption Sheet'!$U30),1)),0)</f>
        <v>33.392339848937567</v>
      </c>
      <c r="FR11" s="33">
        <f>IFERROR(IF(FR$1='Assumption Sheet'!$L30,'Assumption Sheet'!$Q30,FQ11*IF(MOD(FR$5-'Assumption Sheet'!$W30,'Assumption Sheet'!$V30)=0,(1+'Assumption Sheet'!$U30),1)),0)</f>
        <v>33.392339848937567</v>
      </c>
      <c r="FS11" s="33">
        <f>IFERROR(IF(FS$1='Assumption Sheet'!$L30,'Assumption Sheet'!$Q30,FR11*IF(MOD(FS$5-'Assumption Sheet'!$W30,'Assumption Sheet'!$V30)=0,(1+'Assumption Sheet'!$U30),1)),0)</f>
        <v>33.392339848937567</v>
      </c>
      <c r="FT11" s="33">
        <f>IFERROR(IF(FT$1='Assumption Sheet'!$L30,'Assumption Sheet'!$Q30,FS11*IF(MOD(FT$5-'Assumption Sheet'!$W30,'Assumption Sheet'!$V30)=0,(1+'Assumption Sheet'!$U30),1)),0)</f>
        <v>35.06195684138445</v>
      </c>
      <c r="FU11" s="33">
        <f>IFERROR(IF(FU$1='Assumption Sheet'!$L30,'Assumption Sheet'!$Q30,FT11*IF(MOD(FU$5-'Assumption Sheet'!$W30,'Assumption Sheet'!$V30)=0,(1+'Assumption Sheet'!$U30),1)),0)</f>
        <v>35.06195684138445</v>
      </c>
      <c r="FV11" s="33">
        <f>IFERROR(IF(FV$1='Assumption Sheet'!$L30,'Assumption Sheet'!$Q30,FU11*IF(MOD(FV$5-'Assumption Sheet'!$W30,'Assumption Sheet'!$V30)=0,(1+'Assumption Sheet'!$U30),1)),0)</f>
        <v>35.06195684138445</v>
      </c>
      <c r="FW11" s="33">
        <f>IFERROR(IF(FW$1='Assumption Sheet'!$L30,'Assumption Sheet'!$Q30,FV11*IF(MOD(FW$5-'Assumption Sheet'!$W30,'Assumption Sheet'!$V30)=0,(1+'Assumption Sheet'!$U30),1)),0)</f>
        <v>35.06195684138445</v>
      </c>
      <c r="FX11" s="33">
        <f>IFERROR(IF(FX$1='Assumption Sheet'!$L30,'Assumption Sheet'!$Q30,FW11*IF(MOD(FX$5-'Assumption Sheet'!$W30,'Assumption Sheet'!$V30)=0,(1+'Assumption Sheet'!$U30),1)),0)</f>
        <v>35.06195684138445</v>
      </c>
      <c r="FY11" s="33">
        <f>IFERROR(IF(FY$1='Assumption Sheet'!$L30,'Assumption Sheet'!$Q30,FX11*IF(MOD(FY$5-'Assumption Sheet'!$W30,'Assumption Sheet'!$V30)=0,(1+'Assumption Sheet'!$U30),1)),0)</f>
        <v>35.06195684138445</v>
      </c>
      <c r="FZ11" s="33">
        <f>IFERROR(IF(FZ$1='Assumption Sheet'!$L30,'Assumption Sheet'!$Q30,FY11*IF(MOD(FZ$5-'Assumption Sheet'!$W30,'Assumption Sheet'!$V30)=0,(1+'Assumption Sheet'!$U30),1)),0)</f>
        <v>35.06195684138445</v>
      </c>
      <c r="GA11" s="33">
        <f>IFERROR(IF(GA$1='Assumption Sheet'!$L30,'Assumption Sheet'!$Q30,FZ11*IF(MOD(GA$5-'Assumption Sheet'!$W30,'Assumption Sheet'!$V30)=0,(1+'Assumption Sheet'!$U30),1)),0)</f>
        <v>35.06195684138445</v>
      </c>
      <c r="GB11" s="33">
        <f>IFERROR(IF(GB$1='Assumption Sheet'!$L30,'Assumption Sheet'!$Q30,GA11*IF(MOD(GB$5-'Assumption Sheet'!$W30,'Assumption Sheet'!$V30)=0,(1+'Assumption Sheet'!$U30),1)),0)</f>
        <v>35.06195684138445</v>
      </c>
      <c r="GC11" s="33">
        <f>IFERROR(IF(GC$1='Assumption Sheet'!$L30,'Assumption Sheet'!$Q30,GB11*IF(MOD(GC$5-'Assumption Sheet'!$W30,'Assumption Sheet'!$V30)=0,(1+'Assumption Sheet'!$U30),1)),0)</f>
        <v>35.06195684138445</v>
      </c>
      <c r="GD11" s="33">
        <f>IFERROR(IF(GD$1='Assumption Sheet'!$L30,'Assumption Sheet'!$Q30,GC11*IF(MOD(GD$5-'Assumption Sheet'!$W30,'Assumption Sheet'!$V30)=0,(1+'Assumption Sheet'!$U30),1)),0)</f>
        <v>35.06195684138445</v>
      </c>
      <c r="GE11" s="33">
        <f>IFERROR(IF(GE$1='Assumption Sheet'!$L30,'Assumption Sheet'!$Q30,GD11*IF(MOD(GE$5-'Assumption Sheet'!$W30,'Assumption Sheet'!$V30)=0,(1+'Assumption Sheet'!$U30),1)),0)</f>
        <v>35.06195684138445</v>
      </c>
      <c r="GF11" s="33">
        <f>IFERROR(IF(GF$1='Assumption Sheet'!$L30,'Assumption Sheet'!$Q30,GE11*IF(MOD(GF$5-'Assumption Sheet'!$W30,'Assumption Sheet'!$V30)=0,(1+'Assumption Sheet'!$U30),1)),0)</f>
        <v>36.815054683453674</v>
      </c>
      <c r="GG11" s="33">
        <f>IFERROR(IF(GG$1='Assumption Sheet'!$L30,'Assumption Sheet'!$Q30,GF11*IF(MOD(GG$5-'Assumption Sheet'!$W30,'Assumption Sheet'!$V30)=0,(1+'Assumption Sheet'!$U30),1)),0)</f>
        <v>36.815054683453674</v>
      </c>
      <c r="GH11" s="33">
        <f>IFERROR(IF(GH$1='Assumption Sheet'!$L30,'Assumption Sheet'!$Q30,GG11*IF(MOD(GH$5-'Assumption Sheet'!$W30,'Assumption Sheet'!$V30)=0,(1+'Assumption Sheet'!$U30),1)),0)</f>
        <v>36.815054683453674</v>
      </c>
      <c r="GI11" s="33">
        <f>IFERROR(IF(GI$1='Assumption Sheet'!$L30,'Assumption Sheet'!$Q30,GH11*IF(MOD(GI$5-'Assumption Sheet'!$W30,'Assumption Sheet'!$V30)=0,(1+'Assumption Sheet'!$U30),1)),0)</f>
        <v>36.815054683453674</v>
      </c>
      <c r="GJ11" s="33">
        <f>IFERROR(IF(GJ$1='Assumption Sheet'!$L30,'Assumption Sheet'!$Q30,GI11*IF(MOD(GJ$5-'Assumption Sheet'!$W30,'Assumption Sheet'!$V30)=0,(1+'Assumption Sheet'!$U30),1)),0)</f>
        <v>36.815054683453674</v>
      </c>
      <c r="GK11" s="33">
        <f>IFERROR(IF(GK$1='Assumption Sheet'!$L30,'Assumption Sheet'!$Q30,GJ11*IF(MOD(GK$5-'Assumption Sheet'!$W30,'Assumption Sheet'!$V30)=0,(1+'Assumption Sheet'!$U30),1)),0)</f>
        <v>36.815054683453674</v>
      </c>
      <c r="GL11" s="33">
        <f>IFERROR(IF(GL$1='Assumption Sheet'!$L30,'Assumption Sheet'!$Q30,GK11*IF(MOD(GL$5-'Assumption Sheet'!$W30,'Assumption Sheet'!$V30)=0,(1+'Assumption Sheet'!$U30),1)),0)</f>
        <v>36.815054683453674</v>
      </c>
      <c r="GM11" s="33">
        <f>IFERROR(IF(GM$1='Assumption Sheet'!$L30,'Assumption Sheet'!$Q30,GL11*IF(MOD(GM$5-'Assumption Sheet'!$W30,'Assumption Sheet'!$V30)=0,(1+'Assumption Sheet'!$U30),1)),0)</f>
        <v>36.815054683453674</v>
      </c>
      <c r="GN11" s="33">
        <f>IFERROR(IF(GN$1='Assumption Sheet'!$L30,'Assumption Sheet'!$Q30,GM11*IF(MOD(GN$5-'Assumption Sheet'!$W30,'Assumption Sheet'!$V30)=0,(1+'Assumption Sheet'!$U30),1)),0)</f>
        <v>36.815054683453674</v>
      </c>
      <c r="GO11" s="33">
        <f>IFERROR(IF(GO$1='Assumption Sheet'!$L30,'Assumption Sheet'!$Q30,GN11*IF(MOD(GO$5-'Assumption Sheet'!$W30,'Assumption Sheet'!$V30)=0,(1+'Assumption Sheet'!$U30),1)),0)</f>
        <v>36.815054683453674</v>
      </c>
      <c r="GP11" s="33">
        <f>IFERROR(IF(GP$1='Assumption Sheet'!$L30,'Assumption Sheet'!$Q30,GO11*IF(MOD(GP$5-'Assumption Sheet'!$W30,'Assumption Sheet'!$V30)=0,(1+'Assumption Sheet'!$U30),1)),0)</f>
        <v>36.815054683453674</v>
      </c>
      <c r="GQ11" s="33">
        <f>IFERROR(IF(GQ$1='Assumption Sheet'!$L30,'Assumption Sheet'!$Q30,GP11*IF(MOD(GQ$5-'Assumption Sheet'!$W30,'Assumption Sheet'!$V30)=0,(1+'Assumption Sheet'!$U30),1)),0)</f>
        <v>36.815054683453674</v>
      </c>
      <c r="GR11" s="33">
        <f>IFERROR(IF(GR$1='Assumption Sheet'!$L30,'Assumption Sheet'!$Q30,GQ11*IF(MOD(GR$5-'Assumption Sheet'!$W30,'Assumption Sheet'!$V30)=0,(1+'Assumption Sheet'!$U30),1)),0)</f>
        <v>38.655807417626356</v>
      </c>
      <c r="GS11" s="33">
        <f>IFERROR(IF(GS$1='Assumption Sheet'!$L30,'Assumption Sheet'!$Q30,GR11*IF(MOD(GS$5-'Assumption Sheet'!$W30,'Assumption Sheet'!$V30)=0,(1+'Assumption Sheet'!$U30),1)),0)</f>
        <v>38.655807417626356</v>
      </c>
      <c r="GT11" s="33">
        <f>IFERROR(IF(GT$1='Assumption Sheet'!$L30,'Assumption Sheet'!$Q30,GS11*IF(MOD(GT$5-'Assumption Sheet'!$W30,'Assumption Sheet'!$V30)=0,(1+'Assumption Sheet'!$U30),1)),0)</f>
        <v>38.655807417626356</v>
      </c>
      <c r="GU11" s="33">
        <f>IFERROR(IF(GU$1='Assumption Sheet'!$L30,'Assumption Sheet'!$Q30,GT11*IF(MOD(GU$5-'Assumption Sheet'!$W30,'Assumption Sheet'!$V30)=0,(1+'Assumption Sheet'!$U30),1)),0)</f>
        <v>38.655807417626356</v>
      </c>
      <c r="GV11" s="33">
        <f>IFERROR(IF(GV$1='Assumption Sheet'!$L30,'Assumption Sheet'!$Q30,GU11*IF(MOD(GV$5-'Assumption Sheet'!$W30,'Assumption Sheet'!$V30)=0,(1+'Assumption Sheet'!$U30),1)),0)</f>
        <v>38.655807417626356</v>
      </c>
      <c r="GW11" s="33">
        <f>IFERROR(IF(GW$1='Assumption Sheet'!$L30,'Assumption Sheet'!$Q30,GV11*IF(MOD(GW$5-'Assumption Sheet'!$W30,'Assumption Sheet'!$V30)=0,(1+'Assumption Sheet'!$U30),1)),0)</f>
        <v>38.655807417626356</v>
      </c>
      <c r="GX11" s="33">
        <f>IFERROR(IF(GX$1='Assumption Sheet'!$L30,'Assumption Sheet'!$Q30,GW11*IF(MOD(GX$5-'Assumption Sheet'!$W30,'Assumption Sheet'!$V30)=0,(1+'Assumption Sheet'!$U30),1)),0)</f>
        <v>38.655807417626356</v>
      </c>
      <c r="GY11" s="33">
        <f>IFERROR(IF(GY$1='Assumption Sheet'!$L30,'Assumption Sheet'!$Q30,GX11*IF(MOD(GY$5-'Assumption Sheet'!$W30,'Assumption Sheet'!$V30)=0,(1+'Assumption Sheet'!$U30),1)),0)</f>
        <v>38.655807417626356</v>
      </c>
      <c r="GZ11" s="33">
        <f>IFERROR(IF(GZ$1='Assumption Sheet'!$L30,'Assumption Sheet'!$Q30,GY11*IF(MOD(GZ$5-'Assumption Sheet'!$W30,'Assumption Sheet'!$V30)=0,(1+'Assumption Sheet'!$U30),1)),0)</f>
        <v>38.655807417626356</v>
      </c>
      <c r="HA11" s="33">
        <f>IFERROR(IF(HA$1='Assumption Sheet'!$L30,'Assumption Sheet'!$Q30,GZ11*IF(MOD(HA$5-'Assumption Sheet'!$W30,'Assumption Sheet'!$V30)=0,(1+'Assumption Sheet'!$U30),1)),0)</f>
        <v>38.655807417626356</v>
      </c>
      <c r="HB11" s="33">
        <f>IFERROR(IF(HB$1='Assumption Sheet'!$L30,'Assumption Sheet'!$Q30,HA11*IF(MOD(HB$5-'Assumption Sheet'!$W30,'Assumption Sheet'!$V30)=0,(1+'Assumption Sheet'!$U30),1)),0)</f>
        <v>38.655807417626356</v>
      </c>
      <c r="HC11" s="33">
        <f>IFERROR(IF(HC$1='Assumption Sheet'!$L30,'Assumption Sheet'!$Q30,HB11*IF(MOD(HC$5-'Assumption Sheet'!$W30,'Assumption Sheet'!$V30)=0,(1+'Assumption Sheet'!$U30),1)),0)</f>
        <v>38.655807417626356</v>
      </c>
      <c r="HD11" s="33">
        <f>IFERROR(IF(HD$1='Assumption Sheet'!$L30,'Assumption Sheet'!$Q30,HC11*IF(MOD(HD$5-'Assumption Sheet'!$W30,'Assumption Sheet'!$V30)=0,(1+'Assumption Sheet'!$U30),1)),0)</f>
        <v>40.588597788507677</v>
      </c>
      <c r="HE11" s="33">
        <f>IFERROR(IF(HE$1='Assumption Sheet'!$L30,'Assumption Sheet'!$Q30,HD11*IF(MOD(HE$5-'Assumption Sheet'!$W30,'Assumption Sheet'!$V30)=0,(1+'Assumption Sheet'!$U30),1)),0)</f>
        <v>40.588597788507677</v>
      </c>
      <c r="HF11" s="33">
        <f>IFERROR(IF(HF$1='Assumption Sheet'!$L30,'Assumption Sheet'!$Q30,HE11*IF(MOD(HF$5-'Assumption Sheet'!$W30,'Assumption Sheet'!$V30)=0,(1+'Assumption Sheet'!$U30),1)),0)</f>
        <v>40.588597788507677</v>
      </c>
      <c r="HG11" s="33">
        <f>IFERROR(IF(HG$1='Assumption Sheet'!$L30,'Assumption Sheet'!$Q30,HF11*IF(MOD(HG$5-'Assumption Sheet'!$W30,'Assumption Sheet'!$V30)=0,(1+'Assumption Sheet'!$U30),1)),0)</f>
        <v>40.588597788507677</v>
      </c>
      <c r="HH11" s="33">
        <f>IFERROR(IF(HH$1='Assumption Sheet'!$L30,'Assumption Sheet'!$Q30,HG11*IF(MOD(HH$5-'Assumption Sheet'!$W30,'Assumption Sheet'!$V30)=0,(1+'Assumption Sheet'!$U30),1)),0)</f>
        <v>40.588597788507677</v>
      </c>
      <c r="HI11" s="33">
        <f>IFERROR(IF(HI$1='Assumption Sheet'!$L30,'Assumption Sheet'!$Q30,HH11*IF(MOD(HI$5-'Assumption Sheet'!$W30,'Assumption Sheet'!$V30)=0,(1+'Assumption Sheet'!$U30),1)),0)</f>
        <v>40.588597788507677</v>
      </c>
      <c r="HJ11" s="33">
        <f>IFERROR(IF(HJ$1='Assumption Sheet'!$L30,'Assumption Sheet'!$Q30,HI11*IF(MOD(HJ$5-'Assumption Sheet'!$W30,'Assumption Sheet'!$V30)=0,(1+'Assumption Sheet'!$U30),1)),0)</f>
        <v>40.588597788507677</v>
      </c>
      <c r="HK11" s="33">
        <f>IFERROR(IF(HK$1='Assumption Sheet'!$L30,'Assumption Sheet'!$Q30,HJ11*IF(MOD(HK$5-'Assumption Sheet'!$W30,'Assumption Sheet'!$V30)=0,(1+'Assumption Sheet'!$U30),1)),0)</f>
        <v>40.588597788507677</v>
      </c>
      <c r="HL11" s="33">
        <f>IFERROR(IF(HL$1='Assumption Sheet'!$L30,'Assumption Sheet'!$Q30,HK11*IF(MOD(HL$5-'Assumption Sheet'!$W30,'Assumption Sheet'!$V30)=0,(1+'Assumption Sheet'!$U30),1)),0)</f>
        <v>40.588597788507677</v>
      </c>
      <c r="HM11" s="33">
        <f>IFERROR(IF(HM$1='Assumption Sheet'!$L30,'Assumption Sheet'!$Q30,HL11*IF(MOD(HM$5-'Assumption Sheet'!$W30,'Assumption Sheet'!$V30)=0,(1+'Assumption Sheet'!$U30),1)),0)</f>
        <v>40.588597788507677</v>
      </c>
      <c r="HN11" s="33">
        <f>IFERROR(IF(HN$1='Assumption Sheet'!$L30,'Assumption Sheet'!$Q30,HM11*IF(MOD(HN$5-'Assumption Sheet'!$W30,'Assumption Sheet'!$V30)=0,(1+'Assumption Sheet'!$U30),1)),0)</f>
        <v>40.588597788507677</v>
      </c>
      <c r="HO11" s="33">
        <f>IFERROR(IF(HO$1='Assumption Sheet'!$L30,'Assumption Sheet'!$Q30,HN11*IF(MOD(HO$5-'Assumption Sheet'!$W30,'Assumption Sheet'!$V30)=0,(1+'Assumption Sheet'!$U30),1)),0)</f>
        <v>40.588597788507677</v>
      </c>
      <c r="HP11" s="33">
        <f>IFERROR(IF(HP$1='Assumption Sheet'!$L30,'Assumption Sheet'!$Q30,HO11*IF(MOD(HP$5-'Assumption Sheet'!$W30,'Assumption Sheet'!$V30)=0,(1+'Assumption Sheet'!$U30),1)),0)</f>
        <v>42.618027677933064</v>
      </c>
      <c r="HQ11" s="33">
        <f>IFERROR(IF(HQ$1='Assumption Sheet'!$L30,'Assumption Sheet'!$Q30,HP11*IF(MOD(HQ$5-'Assumption Sheet'!$W30,'Assumption Sheet'!$V30)=0,(1+'Assumption Sheet'!$U30),1)),0)</f>
        <v>42.618027677933064</v>
      </c>
      <c r="HR11" s="33">
        <f>IFERROR(IF(HR$1='Assumption Sheet'!$L30,'Assumption Sheet'!$Q30,HQ11*IF(MOD(HR$5-'Assumption Sheet'!$W30,'Assumption Sheet'!$V30)=0,(1+'Assumption Sheet'!$U30),1)),0)</f>
        <v>42.618027677933064</v>
      </c>
      <c r="HS11" s="33">
        <f>IFERROR(IF(HS$1='Assumption Sheet'!$L30,'Assumption Sheet'!$Q30,HR11*IF(MOD(HS$5-'Assumption Sheet'!$W30,'Assumption Sheet'!$V30)=0,(1+'Assumption Sheet'!$U30),1)),0)</f>
        <v>42.618027677933064</v>
      </c>
      <c r="HT11" s="33">
        <f>IFERROR(IF(HT$1='Assumption Sheet'!$L30,'Assumption Sheet'!$Q30,HS11*IF(MOD(HT$5-'Assumption Sheet'!$W30,'Assumption Sheet'!$V30)=0,(1+'Assumption Sheet'!$U30),1)),0)</f>
        <v>42.618027677933064</v>
      </c>
      <c r="HU11" s="33">
        <f>IFERROR(IF(HU$1='Assumption Sheet'!$L30,'Assumption Sheet'!$Q30,HT11*IF(MOD(HU$5-'Assumption Sheet'!$W30,'Assumption Sheet'!$V30)=0,(1+'Assumption Sheet'!$U30),1)),0)</f>
        <v>42.618027677933064</v>
      </c>
      <c r="HV11" s="33">
        <f>IFERROR(IF(HV$1='Assumption Sheet'!$L30,'Assumption Sheet'!$Q30,HU11*IF(MOD(HV$5-'Assumption Sheet'!$W30,'Assumption Sheet'!$V30)=0,(1+'Assumption Sheet'!$U30),1)),0)</f>
        <v>42.618027677933064</v>
      </c>
      <c r="HW11" s="33">
        <f>IFERROR(IF(HW$1='Assumption Sheet'!$L30,'Assumption Sheet'!$Q30,HV11*IF(MOD(HW$5-'Assumption Sheet'!$W30,'Assumption Sheet'!$V30)=0,(1+'Assumption Sheet'!$U30),1)),0)</f>
        <v>42.618027677933064</v>
      </c>
      <c r="HX11" s="33">
        <f>IFERROR(IF(HX$1='Assumption Sheet'!$L30,'Assumption Sheet'!$Q30,HW11*IF(MOD(HX$5-'Assumption Sheet'!$W30,'Assumption Sheet'!$V30)=0,(1+'Assumption Sheet'!$U30),1)),0)</f>
        <v>42.618027677933064</v>
      </c>
      <c r="HY11" s="33">
        <f>IFERROR(IF(HY$1='Assumption Sheet'!$L30,'Assumption Sheet'!$Q30,HX11*IF(MOD(HY$5-'Assumption Sheet'!$W30,'Assumption Sheet'!$V30)=0,(1+'Assumption Sheet'!$U30),1)),0)</f>
        <v>42.618027677933064</v>
      </c>
      <c r="HZ11" s="33">
        <f>IFERROR(IF(HZ$1='Assumption Sheet'!$L30,'Assumption Sheet'!$Q30,HY11*IF(MOD(HZ$5-'Assumption Sheet'!$W30,'Assumption Sheet'!$V30)=0,(1+'Assumption Sheet'!$U30),1)),0)</f>
        <v>42.618027677933064</v>
      </c>
      <c r="IA11" s="33">
        <f>IFERROR(IF(IA$1='Assumption Sheet'!$L30,'Assumption Sheet'!$Q30,HZ11*IF(MOD(IA$5-'Assumption Sheet'!$W30,'Assumption Sheet'!$V30)=0,(1+'Assumption Sheet'!$U30),1)),0)</f>
        <v>42.618027677933064</v>
      </c>
      <c r="IB11" s="33">
        <f>IFERROR(IF(IB$1='Assumption Sheet'!$L30,'Assumption Sheet'!$Q30,IA11*IF(MOD(IB$5-'Assumption Sheet'!$W30,'Assumption Sheet'!$V30)=0,(1+'Assumption Sheet'!$U30),1)),0)</f>
        <v>44.74892906182972</v>
      </c>
      <c r="IC11" s="33">
        <f>IFERROR(IF(IC$1='Assumption Sheet'!$L30,'Assumption Sheet'!$Q30,IB11*IF(MOD(IC$5-'Assumption Sheet'!$W30,'Assumption Sheet'!$V30)=0,(1+'Assumption Sheet'!$U30),1)),0)</f>
        <v>44.74892906182972</v>
      </c>
      <c r="ID11" s="33">
        <f>IFERROR(IF(ID$1='Assumption Sheet'!$L30,'Assumption Sheet'!$Q30,IC11*IF(MOD(ID$5-'Assumption Sheet'!$W30,'Assumption Sheet'!$V30)=0,(1+'Assumption Sheet'!$U30),1)),0)</f>
        <v>44.74892906182972</v>
      </c>
      <c r="IE11" s="33">
        <f>IFERROR(IF(IE$1='Assumption Sheet'!$L30,'Assumption Sheet'!$Q30,ID11*IF(MOD(IE$5-'Assumption Sheet'!$W30,'Assumption Sheet'!$V30)=0,(1+'Assumption Sheet'!$U30),1)),0)</f>
        <v>44.74892906182972</v>
      </c>
      <c r="IF11" s="33">
        <f>IFERROR(IF(IF$1='Assumption Sheet'!$L30,'Assumption Sheet'!$Q30,IE11*IF(MOD(IF$5-'Assumption Sheet'!$W30,'Assumption Sheet'!$V30)=0,(1+'Assumption Sheet'!$U30),1)),0)</f>
        <v>44.74892906182972</v>
      </c>
      <c r="IG11" s="33">
        <f>IFERROR(IF(IG$1='Assumption Sheet'!$L30,'Assumption Sheet'!$Q30,IF11*IF(MOD(IG$5-'Assumption Sheet'!$W30,'Assumption Sheet'!$V30)=0,(1+'Assumption Sheet'!$U30),1)),0)</f>
        <v>44.74892906182972</v>
      </c>
      <c r="IH11" s="33">
        <f>IFERROR(IF(IH$1='Assumption Sheet'!$L30,'Assumption Sheet'!$Q30,IG11*IF(MOD(IH$5-'Assumption Sheet'!$W30,'Assumption Sheet'!$V30)=0,(1+'Assumption Sheet'!$U30),1)),0)</f>
        <v>44.74892906182972</v>
      </c>
      <c r="II11" s="33">
        <f>IFERROR(IF(II$1='Assumption Sheet'!$L30,'Assumption Sheet'!$Q30,IH11*IF(MOD(II$5-'Assumption Sheet'!$W30,'Assumption Sheet'!$V30)=0,(1+'Assumption Sheet'!$U30),1)),0)</f>
        <v>44.74892906182972</v>
      </c>
      <c r="IJ11" s="33">
        <f>IFERROR(IF(IJ$1='Assumption Sheet'!$L30,'Assumption Sheet'!$Q30,II11*IF(MOD(IJ$5-'Assumption Sheet'!$W30,'Assumption Sheet'!$V30)=0,(1+'Assumption Sheet'!$U30),1)),0)</f>
        <v>44.74892906182972</v>
      </c>
      <c r="IK11" s="33">
        <f>IFERROR(IF(IK$1='Assumption Sheet'!$L30,'Assumption Sheet'!$Q30,IJ11*IF(MOD(IK$5-'Assumption Sheet'!$W30,'Assumption Sheet'!$V30)=0,(1+'Assumption Sheet'!$U30),1)),0)</f>
        <v>44.74892906182972</v>
      </c>
      <c r="IL11" s="33">
        <f>IFERROR(IF(IL$1='Assumption Sheet'!$L30,'Assumption Sheet'!$Q30,IK11*IF(MOD(IL$5-'Assumption Sheet'!$W30,'Assumption Sheet'!$V30)=0,(1+'Assumption Sheet'!$U30),1)),0)</f>
        <v>44.74892906182972</v>
      </c>
      <c r="IM11" s="33">
        <f>IFERROR(IF(IM$1='Assumption Sheet'!$L30,'Assumption Sheet'!$Q30,IL11*IF(MOD(IM$5-'Assumption Sheet'!$W30,'Assumption Sheet'!$V30)=0,(1+'Assumption Sheet'!$U30),1)),0)</f>
        <v>44.74892906182972</v>
      </c>
      <c r="IN11" s="33">
        <f>IFERROR(IF(IN$1='Assumption Sheet'!$L30,'Assumption Sheet'!$Q30,IM11*IF(MOD(IN$5-'Assumption Sheet'!$W30,'Assumption Sheet'!$V30)=0,(1+'Assumption Sheet'!$U30),1)),0)</f>
        <v>46.986375514921207</v>
      </c>
      <c r="IO11" s="33">
        <f>IFERROR(IF(IO$1='Assumption Sheet'!$L30,'Assumption Sheet'!$Q30,IN11*IF(MOD(IO$5-'Assumption Sheet'!$W30,'Assumption Sheet'!$V30)=0,(1+'Assumption Sheet'!$U30),1)),0)</f>
        <v>46.986375514921207</v>
      </c>
      <c r="IP11" s="33">
        <f>IFERROR(IF(IP$1='Assumption Sheet'!$L30,'Assumption Sheet'!$Q30,IO11*IF(MOD(IP$5-'Assumption Sheet'!$W30,'Assumption Sheet'!$V30)=0,(1+'Assumption Sheet'!$U30),1)),0)</f>
        <v>46.986375514921207</v>
      </c>
      <c r="IQ11" s="33">
        <f>IFERROR(IF(IQ$1='Assumption Sheet'!$L30,'Assumption Sheet'!$Q30,IP11*IF(MOD(IQ$5-'Assumption Sheet'!$W30,'Assumption Sheet'!$V30)=0,(1+'Assumption Sheet'!$U30),1)),0)</f>
        <v>46.986375514921207</v>
      </c>
      <c r="IR11" s="33">
        <f>IFERROR(IF(IR$1='Assumption Sheet'!$L30,'Assumption Sheet'!$Q30,IQ11*IF(MOD(IR$5-'Assumption Sheet'!$W30,'Assumption Sheet'!$V30)=0,(1+'Assumption Sheet'!$U30),1)),0)</f>
        <v>46.986375514921207</v>
      </c>
      <c r="IS11" s="33">
        <f>IFERROR(IF(IS$1='Assumption Sheet'!$L30,'Assumption Sheet'!$Q30,IR11*IF(MOD(IS$5-'Assumption Sheet'!$W30,'Assumption Sheet'!$V30)=0,(1+'Assumption Sheet'!$U30),1)),0)</f>
        <v>46.986375514921207</v>
      </c>
      <c r="IT11" s="33">
        <f>IFERROR(IF(IT$1='Assumption Sheet'!$L30,'Assumption Sheet'!$Q30,IS11*IF(MOD(IT$5-'Assumption Sheet'!$W30,'Assumption Sheet'!$V30)=0,(1+'Assumption Sheet'!$U30),1)),0)</f>
        <v>46.986375514921207</v>
      </c>
      <c r="IU11" s="33">
        <f>IFERROR(IF(IU$1='Assumption Sheet'!$L30,'Assumption Sheet'!$Q30,IT11*IF(MOD(IU$5-'Assumption Sheet'!$W30,'Assumption Sheet'!$V30)=0,(1+'Assumption Sheet'!$U30),1)),0)</f>
        <v>46.986375514921207</v>
      </c>
      <c r="IV11" s="33">
        <f>IFERROR(IF(IV$1='Assumption Sheet'!$L30,'Assumption Sheet'!$Q30,IU11*IF(MOD(IV$5-'Assumption Sheet'!$W30,'Assumption Sheet'!$V30)=0,(1+'Assumption Sheet'!$U30),1)),0)</f>
        <v>46.986375514921207</v>
      </c>
      <c r="IW11" s="33">
        <f>IFERROR(IF(IW$1='Assumption Sheet'!$L30,'Assumption Sheet'!$Q30,IV11*IF(MOD(IW$5-'Assumption Sheet'!$W30,'Assumption Sheet'!$V30)=0,(1+'Assumption Sheet'!$U30),1)),0)</f>
        <v>46.986375514921207</v>
      </c>
      <c r="IX11" s="33">
        <f>IFERROR(IF(IX$1='Assumption Sheet'!$L30,'Assumption Sheet'!$Q30,IW11*IF(MOD(IX$5-'Assumption Sheet'!$W30,'Assumption Sheet'!$V30)=0,(1+'Assumption Sheet'!$U30),1)),0)</f>
        <v>46.986375514921207</v>
      </c>
      <c r="IY11" s="33">
        <f>IFERROR(IF(IY$1='Assumption Sheet'!$L30,'Assumption Sheet'!$Q30,IX11*IF(MOD(IY$5-'Assumption Sheet'!$W30,'Assumption Sheet'!$V30)=0,(1+'Assumption Sheet'!$U30),1)),0)</f>
        <v>46.986375514921207</v>
      </c>
      <c r="IZ11" s="33">
        <f>IFERROR(IF(IZ$1='Assumption Sheet'!$L30,'Assumption Sheet'!$Q30,IY11*IF(MOD(IZ$5-'Assumption Sheet'!$W30,'Assumption Sheet'!$V30)=0,(1+'Assumption Sheet'!$U30),1)),0)</f>
        <v>49.33569429066727</v>
      </c>
      <c r="JA11" s="33">
        <f>IFERROR(IF(JA$1='Assumption Sheet'!$L30,'Assumption Sheet'!$Q30,IZ11*IF(MOD(JA$5-'Assumption Sheet'!$W30,'Assumption Sheet'!$V30)=0,(1+'Assumption Sheet'!$U30),1)),0)</f>
        <v>49.33569429066727</v>
      </c>
      <c r="JB11" s="33">
        <f>IFERROR(IF(JB$1='Assumption Sheet'!$L30,'Assumption Sheet'!$Q30,JA11*IF(MOD(JB$5-'Assumption Sheet'!$W30,'Assumption Sheet'!$V30)=0,(1+'Assumption Sheet'!$U30),1)),0)</f>
        <v>49.33569429066727</v>
      </c>
      <c r="JC11" s="33">
        <f>IFERROR(IF(JC$1='Assumption Sheet'!$L30,'Assumption Sheet'!$Q30,JB11*IF(MOD(JC$5-'Assumption Sheet'!$W30,'Assumption Sheet'!$V30)=0,(1+'Assumption Sheet'!$U30),1)),0)</f>
        <v>49.33569429066727</v>
      </c>
      <c r="JD11" s="33">
        <f>IFERROR(IF(JD$1='Assumption Sheet'!$L30,'Assumption Sheet'!$Q30,JC11*IF(MOD(JD$5-'Assumption Sheet'!$W30,'Assumption Sheet'!$V30)=0,(1+'Assumption Sheet'!$U30),1)),0)</f>
        <v>49.33569429066727</v>
      </c>
      <c r="JE11" s="33">
        <f>IFERROR(IF(JE$1='Assumption Sheet'!$L30,'Assumption Sheet'!$Q30,JD11*IF(MOD(JE$5-'Assumption Sheet'!$W30,'Assumption Sheet'!$V30)=0,(1+'Assumption Sheet'!$U30),1)),0)</f>
        <v>49.33569429066727</v>
      </c>
      <c r="JF11" s="33">
        <f>IFERROR(IF(JF$1='Assumption Sheet'!$L30,'Assumption Sheet'!$Q30,JE11*IF(MOD(JF$5-'Assumption Sheet'!$W30,'Assumption Sheet'!$V30)=0,(1+'Assumption Sheet'!$U30),1)),0)</f>
        <v>49.33569429066727</v>
      </c>
      <c r="JG11" s="33">
        <f>IFERROR(IF(JG$1='Assumption Sheet'!$L30,'Assumption Sheet'!$Q30,JF11*IF(MOD(JG$5-'Assumption Sheet'!$W30,'Assumption Sheet'!$V30)=0,(1+'Assumption Sheet'!$U30),1)),0)</f>
        <v>49.33569429066727</v>
      </c>
      <c r="JH11" s="33">
        <f>IFERROR(IF(JH$1='Assumption Sheet'!$L30,'Assumption Sheet'!$Q30,JG11*IF(MOD(JH$5-'Assumption Sheet'!$W30,'Assumption Sheet'!$V30)=0,(1+'Assumption Sheet'!$U30),1)),0)</f>
        <v>49.33569429066727</v>
      </c>
      <c r="JI11" s="33">
        <f>IFERROR(IF(JI$1='Assumption Sheet'!$L30,'Assumption Sheet'!$Q30,JH11*IF(MOD(JI$5-'Assumption Sheet'!$W30,'Assumption Sheet'!$V30)=0,(1+'Assumption Sheet'!$U30),1)),0)</f>
        <v>49.33569429066727</v>
      </c>
      <c r="JJ11" s="33">
        <f>IFERROR(IF(JJ$1='Assumption Sheet'!$L30,'Assumption Sheet'!$Q30,JI11*IF(MOD(JJ$5-'Assumption Sheet'!$W30,'Assumption Sheet'!$V30)=0,(1+'Assumption Sheet'!$U30),1)),0)</f>
        <v>49.33569429066727</v>
      </c>
      <c r="JK11" s="33">
        <f>IFERROR(IF(JK$1='Assumption Sheet'!$L30,'Assumption Sheet'!$Q30,JJ11*IF(MOD(JK$5-'Assumption Sheet'!$W30,'Assumption Sheet'!$V30)=0,(1+'Assumption Sheet'!$U30),1)),0)</f>
        <v>49.33569429066727</v>
      </c>
      <c r="JL11" s="33">
        <f>IFERROR(IF(JL$1='Assumption Sheet'!$L30,'Assumption Sheet'!$Q30,JK11*IF(MOD(JL$5-'Assumption Sheet'!$W30,'Assumption Sheet'!$V30)=0,(1+'Assumption Sheet'!$U30),1)),0)</f>
        <v>51.802479005200638</v>
      </c>
      <c r="JM11" s="33">
        <f>IFERROR(IF(JM$1='Assumption Sheet'!$L30,'Assumption Sheet'!$Q30,JL11*IF(MOD(JM$5-'Assumption Sheet'!$W30,'Assumption Sheet'!$V30)=0,(1+'Assumption Sheet'!$U30),1)),0)</f>
        <v>51.802479005200638</v>
      </c>
      <c r="JN11" s="33">
        <f>IFERROR(IF(JN$1='Assumption Sheet'!$L30,'Assumption Sheet'!$Q30,JM11*IF(MOD(JN$5-'Assumption Sheet'!$W30,'Assumption Sheet'!$V30)=0,(1+'Assumption Sheet'!$U30),1)),0)</f>
        <v>51.802479005200638</v>
      </c>
      <c r="JO11" s="33">
        <f>IFERROR(IF(JO$1='Assumption Sheet'!$L30,'Assumption Sheet'!$Q30,JN11*IF(MOD(JO$5-'Assumption Sheet'!$W30,'Assumption Sheet'!$V30)=0,(1+'Assumption Sheet'!$U30),1)),0)</f>
        <v>51.802479005200638</v>
      </c>
      <c r="JP11" s="33">
        <f>IFERROR(IF(JP$1='Assumption Sheet'!$L30,'Assumption Sheet'!$Q30,JO11*IF(MOD(JP$5-'Assumption Sheet'!$W30,'Assumption Sheet'!$V30)=0,(1+'Assumption Sheet'!$U30),1)),0)</f>
        <v>51.802479005200638</v>
      </c>
      <c r="JQ11" s="33">
        <f>IFERROR(IF(JQ$1='Assumption Sheet'!$L30,'Assumption Sheet'!$Q30,JP11*IF(MOD(JQ$5-'Assumption Sheet'!$W30,'Assumption Sheet'!$V30)=0,(1+'Assumption Sheet'!$U30),1)),0)</f>
        <v>51.802479005200638</v>
      </c>
      <c r="JR11" s="33">
        <f>IFERROR(IF(JR$1='Assumption Sheet'!$L30,'Assumption Sheet'!$Q30,JQ11*IF(MOD(JR$5-'Assumption Sheet'!$W30,'Assumption Sheet'!$V30)=0,(1+'Assumption Sheet'!$U30),1)),0)</f>
        <v>51.802479005200638</v>
      </c>
      <c r="JS11" s="33">
        <f>IFERROR(IF(JS$1='Assumption Sheet'!$L30,'Assumption Sheet'!$Q30,JR11*IF(MOD(JS$5-'Assumption Sheet'!$W30,'Assumption Sheet'!$V30)=0,(1+'Assumption Sheet'!$U30),1)),0)</f>
        <v>51.802479005200638</v>
      </c>
      <c r="JT11" s="33">
        <f>IFERROR(IF(JT$1='Assumption Sheet'!$L30,'Assumption Sheet'!$Q30,JS11*IF(MOD(JT$5-'Assumption Sheet'!$W30,'Assumption Sheet'!$V30)=0,(1+'Assumption Sheet'!$U30),1)),0)</f>
        <v>51.802479005200638</v>
      </c>
      <c r="JU11" s="33">
        <f>IFERROR(IF(JU$1='Assumption Sheet'!$L30,'Assumption Sheet'!$Q30,JT11*IF(MOD(JU$5-'Assumption Sheet'!$W30,'Assumption Sheet'!$V30)=0,(1+'Assumption Sheet'!$U30),1)),0)</f>
        <v>51.802479005200638</v>
      </c>
      <c r="JV11" s="33">
        <f>IFERROR(IF(JV$1='Assumption Sheet'!$L30,'Assumption Sheet'!$Q30,JU11*IF(MOD(JV$5-'Assumption Sheet'!$W30,'Assumption Sheet'!$V30)=0,(1+'Assumption Sheet'!$U30),1)),0)</f>
        <v>51.802479005200638</v>
      </c>
      <c r="JW11" s="33">
        <f>IFERROR(IF(JW$1='Assumption Sheet'!$L30,'Assumption Sheet'!$Q30,JV11*IF(MOD(JW$5-'Assumption Sheet'!$W30,'Assumption Sheet'!$V30)=0,(1+'Assumption Sheet'!$U30),1)),0)</f>
        <v>51.802479005200638</v>
      </c>
      <c r="JX11" s="33">
        <f>IFERROR(IF(JX$1='Assumption Sheet'!$L30,'Assumption Sheet'!$Q30,JW11*IF(MOD(JX$5-'Assumption Sheet'!$W30,'Assumption Sheet'!$V30)=0,(1+'Assumption Sheet'!$U30),1)),0)</f>
        <v>54.392602955460674</v>
      </c>
      <c r="JY11" s="33">
        <f>IFERROR(IF(JY$1='Assumption Sheet'!$L30,'Assumption Sheet'!$Q30,JX11*IF(MOD(JY$5-'Assumption Sheet'!$W30,'Assumption Sheet'!$V30)=0,(1+'Assumption Sheet'!$U30),1)),0)</f>
        <v>54.392602955460674</v>
      </c>
      <c r="JZ11" s="33">
        <f>IFERROR(IF(JZ$1='Assumption Sheet'!$L30,'Assumption Sheet'!$Q30,JY11*IF(MOD(JZ$5-'Assumption Sheet'!$W30,'Assumption Sheet'!$V30)=0,(1+'Assumption Sheet'!$U30),1)),0)</f>
        <v>54.392602955460674</v>
      </c>
      <c r="KA11" s="33">
        <f>IFERROR(IF(KA$1='Assumption Sheet'!$L30,'Assumption Sheet'!$Q30,JZ11*IF(MOD(KA$5-'Assumption Sheet'!$W30,'Assumption Sheet'!$V30)=0,(1+'Assumption Sheet'!$U30),1)),0)</f>
        <v>54.392602955460674</v>
      </c>
      <c r="KB11" s="33">
        <f>IFERROR(IF(KB$1='Assumption Sheet'!$L30,'Assumption Sheet'!$Q30,KA11*IF(MOD(KB$5-'Assumption Sheet'!$W30,'Assumption Sheet'!$V30)=0,(1+'Assumption Sheet'!$U30),1)),0)</f>
        <v>54.392602955460674</v>
      </c>
      <c r="KC11" s="33">
        <f>IFERROR(IF(KC$1='Assumption Sheet'!$L30,'Assumption Sheet'!$Q30,KB11*IF(MOD(KC$5-'Assumption Sheet'!$W30,'Assumption Sheet'!$V30)=0,(1+'Assumption Sheet'!$U30),1)),0)</f>
        <v>54.392602955460674</v>
      </c>
      <c r="KD11" s="33"/>
      <c r="KE11" s="33"/>
      <c r="KF11" s="33"/>
      <c r="KG11" s="33"/>
      <c r="KH11" s="33"/>
      <c r="KI11" s="33"/>
      <c r="KJ11" s="33"/>
      <c r="KK11" s="33"/>
      <c r="KL11" s="33"/>
      <c r="KM11" s="33"/>
      <c r="KN11" s="33"/>
      <c r="KO11" s="33"/>
    </row>
    <row r="12" spans="2:301" x14ac:dyDescent="0.3">
      <c r="B12" s="1" t="str">
        <f>'Assumption Sheet'!A31</f>
        <v>Phase 4</v>
      </c>
      <c r="E12" s="33">
        <f>IFERROR(IF(E$1='Assumption Sheet'!$L31,'Assumption Sheet'!$M31+'Assumption Sheet'!$P31,D12*IF(MOD(E$5-'Assumption Sheet'!$W31,'Assumption Sheet'!$V31)=0,(1+'Assumption Sheet'!$U31),1)),0)</f>
        <v>0</v>
      </c>
      <c r="F12" s="33">
        <f>IFERROR(IF(F$1='Assumption Sheet'!$L31,'Assumption Sheet'!$M31+'Assumption Sheet'!$P31,E12*IF(MOD(F$5-'Assumption Sheet'!$W31,'Assumption Sheet'!$V31)=0,(1+'Assumption Sheet'!$U31),1)),0)</f>
        <v>0</v>
      </c>
      <c r="G12" s="33">
        <f>IFERROR(IF(G$1='Assumption Sheet'!$L31,'Assumption Sheet'!$M31+'Assumption Sheet'!$P31,F12*IF(MOD(G$5-'Assumption Sheet'!$W31,'Assumption Sheet'!$V31)=0,(1+'Assumption Sheet'!$U31),1)),0)</f>
        <v>0</v>
      </c>
      <c r="H12" s="33">
        <f>IFERROR(IF(H$1='Assumption Sheet'!$L31,'Assumption Sheet'!$M31+'Assumption Sheet'!$P31,G12*IF(MOD(H$5-'Assumption Sheet'!$W31,'Assumption Sheet'!$V31)=0,(1+'Assumption Sheet'!$U31),1)),0)</f>
        <v>0</v>
      </c>
      <c r="I12" s="33">
        <f>IFERROR(IF(I$1='Assumption Sheet'!$L31,'Assumption Sheet'!$M31+'Assumption Sheet'!$P31,H12*IF(MOD(I$5-'Assumption Sheet'!$W31,'Assumption Sheet'!$V31)=0,(1+'Assumption Sheet'!$U31),1)),0)</f>
        <v>0</v>
      </c>
      <c r="J12" s="33">
        <f>IFERROR(IF(J$1='Assumption Sheet'!$L31,'Assumption Sheet'!$M31+'Assumption Sheet'!$P31,I12*IF(MOD(J$5-'Assumption Sheet'!$W31,'Assumption Sheet'!$V31)=0,(1+'Assumption Sheet'!$U31),1)),0)</f>
        <v>0</v>
      </c>
      <c r="K12" s="33">
        <f>IFERROR(IF(K$1='Assumption Sheet'!$L31,'Assumption Sheet'!$M31+'Assumption Sheet'!$P31,J12*IF(MOD(K$5-'Assumption Sheet'!$W31,'Assumption Sheet'!$V31)=0,(1+'Assumption Sheet'!$U31),1)),0)</f>
        <v>0</v>
      </c>
      <c r="L12" s="33">
        <f>IFERROR(IF(L$1='Assumption Sheet'!$L31,'Assumption Sheet'!$M31+'Assumption Sheet'!$P31,K12*IF(MOD(L$5-'Assumption Sheet'!$W31,'Assumption Sheet'!$V31)=0,(1+'Assumption Sheet'!$U31),1)),0)</f>
        <v>0</v>
      </c>
      <c r="M12" s="33">
        <f>IFERROR(IF(M$1='Assumption Sheet'!$L31,'Assumption Sheet'!$M31+'Assumption Sheet'!$P31,L12*IF(MOD(M$5-'Assumption Sheet'!$W31,'Assumption Sheet'!$V31)=0,(1+'Assumption Sheet'!$U31),1)),0)</f>
        <v>0</v>
      </c>
      <c r="N12" s="33">
        <f>IFERROR(IF(N$1='Assumption Sheet'!$L31,'Assumption Sheet'!$M31+'Assumption Sheet'!$P31,M12*IF(MOD(N$5-'Assumption Sheet'!$W31,'Assumption Sheet'!$V31)=0,(1+'Assumption Sheet'!$U31),1)),0)</f>
        <v>0</v>
      </c>
      <c r="O12" s="33">
        <f>IFERROR(IF(O$1='Assumption Sheet'!$L31,'Assumption Sheet'!$M31+'Assumption Sheet'!$P31,N12*IF(MOD(O$5-'Assumption Sheet'!$W31,'Assumption Sheet'!$V31)=0,(1+'Assumption Sheet'!$U31),1)),0)</f>
        <v>0</v>
      </c>
      <c r="P12" s="33">
        <f>IFERROR(IF(P$1='Assumption Sheet'!$L31,'Assumption Sheet'!$M31+'Assumption Sheet'!$P31,O12*IF(MOD(P$5-'Assumption Sheet'!$W31,'Assumption Sheet'!$V31)=0,(1+'Assumption Sheet'!$U31),1)),0)</f>
        <v>0</v>
      </c>
      <c r="Q12" s="33">
        <f>IFERROR(IF(Q$1='Assumption Sheet'!$L31,'Assumption Sheet'!$M31+'Assumption Sheet'!$P31,P12*IF(MOD(Q$5-'Assumption Sheet'!$W31,'Assumption Sheet'!$V31)=0,(1+'Assumption Sheet'!$U31),1)),0)</f>
        <v>0</v>
      </c>
      <c r="R12" s="33">
        <f>IFERROR(IF(R$1='Assumption Sheet'!$L31,'Assumption Sheet'!$M31+'Assumption Sheet'!$P31,Q12*IF(MOD(R$5-'Assumption Sheet'!$W31,'Assumption Sheet'!$V31)=0,(1+'Assumption Sheet'!$U31),1)),0)</f>
        <v>0</v>
      </c>
      <c r="S12" s="33">
        <f>IFERROR(IF(S$1='Assumption Sheet'!$L31,'Assumption Sheet'!$M31+'Assumption Sheet'!$P31,R12*IF(MOD(S$5-'Assumption Sheet'!$W31,'Assumption Sheet'!$V31)=0,(1+'Assumption Sheet'!$U31),1)),0)</f>
        <v>0</v>
      </c>
      <c r="T12" s="33">
        <f>IFERROR(IF(T$1='Assumption Sheet'!$L31,'Assumption Sheet'!$M31+'Assumption Sheet'!$P31,S12*IF(MOD(T$5-'Assumption Sheet'!$W31,'Assumption Sheet'!$V31)=0,(1+'Assumption Sheet'!$U31),1)),0)</f>
        <v>0</v>
      </c>
      <c r="U12" s="33">
        <f>IFERROR(IF(U$1='Assumption Sheet'!$L31,'Assumption Sheet'!$M31+'Assumption Sheet'!$P31,T12*IF(MOD(U$5-'Assumption Sheet'!$W31,'Assumption Sheet'!$V31)=0,(1+'Assumption Sheet'!$U31),1)),0)</f>
        <v>0</v>
      </c>
      <c r="V12" s="33">
        <f>IFERROR(IF(V$1='Assumption Sheet'!$L31,'Assumption Sheet'!$M31+'Assumption Sheet'!$P31,U12*IF(MOD(V$5-'Assumption Sheet'!$W31,'Assumption Sheet'!$V31)=0,(1+'Assumption Sheet'!$U31),1)),0)</f>
        <v>0</v>
      </c>
      <c r="W12" s="33">
        <f>IFERROR(IF(W$1='Assumption Sheet'!$L31,'Assumption Sheet'!$Q31,V12*IF(MOD(W$5-'Assumption Sheet'!$W31,'Assumption Sheet'!$V31)=0,(1+'Assumption Sheet'!$U31),1)),0)</f>
        <v>0</v>
      </c>
      <c r="X12" s="33">
        <f>IFERROR(IF(X$1='Assumption Sheet'!$L31,'Assumption Sheet'!$Q31,W12*IF(MOD(X$5-'Assumption Sheet'!$W31,'Assumption Sheet'!$V31)=0,(1+'Assumption Sheet'!$U31),1)),0)</f>
        <v>0</v>
      </c>
      <c r="Y12" s="33">
        <f>IFERROR(IF(Y$1='Assumption Sheet'!$L31,'Assumption Sheet'!$Q31,X12*IF(MOD(Y$5-'Assumption Sheet'!$W31,'Assumption Sheet'!$V31)=0,(1+'Assumption Sheet'!$U31),1)),0)</f>
        <v>0</v>
      </c>
      <c r="Z12" s="33">
        <f>IFERROR(IF(Z$1='Assumption Sheet'!$L31,'Assumption Sheet'!$Q31,Y12*IF(MOD(Z$5-'Assumption Sheet'!$W31,'Assumption Sheet'!$V31)=0,(1+'Assumption Sheet'!$U31),1)),0)</f>
        <v>0</v>
      </c>
      <c r="AA12" s="33">
        <f>IFERROR(IF(AA$1='Assumption Sheet'!$L31,'Assumption Sheet'!$Q31,Z12*IF(MOD(AA$5-'Assumption Sheet'!$W31,'Assumption Sheet'!$V31)=0,(1+'Assumption Sheet'!$U31),1)),0)</f>
        <v>0</v>
      </c>
      <c r="AB12" s="33">
        <f>IFERROR(IF(AB$1='Assumption Sheet'!$L31,'Assumption Sheet'!$Q31,AA12*IF(MOD(AB$5-'Assumption Sheet'!$W31,'Assumption Sheet'!$V31)=0,(1+'Assumption Sheet'!$U31),1)),0)</f>
        <v>0</v>
      </c>
      <c r="AC12" s="33">
        <f>IFERROR(IF(AC$1='Assumption Sheet'!$L31,'Assumption Sheet'!$Q31,AB12*IF(MOD(AC$5-'Assumption Sheet'!$W31,'Assumption Sheet'!$V31)=0,(1+'Assumption Sheet'!$U31),1)),0)</f>
        <v>0</v>
      </c>
      <c r="AD12" s="33">
        <f>IFERROR(IF(AD$1='Assumption Sheet'!$L31,'Assumption Sheet'!$Q31,AC12*IF(MOD(AD$5-'Assumption Sheet'!$W31,'Assumption Sheet'!$V31)=0,(1+'Assumption Sheet'!$U31),1)),0)</f>
        <v>0</v>
      </c>
      <c r="AE12" s="33">
        <f>IFERROR(IF(AE$1='Assumption Sheet'!$L31,'Assumption Sheet'!$Q31,AD12*IF(MOD(AE$5-'Assumption Sheet'!$W31,'Assumption Sheet'!$V31)=0,(1+'Assumption Sheet'!$U31),1)),0)</f>
        <v>0</v>
      </c>
      <c r="AF12" s="33">
        <f>IFERROR(IF(AF$1='Assumption Sheet'!$L31,'Assumption Sheet'!$Q31,AE12*IF(MOD(AF$5-'Assumption Sheet'!$W31,'Assumption Sheet'!$V31)=0,(1+'Assumption Sheet'!$U31),1)),0)</f>
        <v>0</v>
      </c>
      <c r="AG12" s="33">
        <f>IFERROR(IF(AG$1='Assumption Sheet'!$L31,'Assumption Sheet'!$Q31,AF12*IF(MOD(AG$5-'Assumption Sheet'!$W31,'Assumption Sheet'!$V31)=0,(1+'Assumption Sheet'!$U31),1)),0)</f>
        <v>0</v>
      </c>
      <c r="AH12" s="33">
        <f>IFERROR(IF(AH$1='Assumption Sheet'!$L31,'Assumption Sheet'!$Q31,AG12*IF(MOD(AH$5-'Assumption Sheet'!$W31,'Assumption Sheet'!$V31)=0,(1+'Assumption Sheet'!$U31),1)),0)</f>
        <v>0</v>
      </c>
      <c r="AI12" s="33">
        <f>IFERROR(IF(AI$1='Assumption Sheet'!$L31,'Assumption Sheet'!$Q31,AH12*IF(MOD(AI$5-'Assumption Sheet'!$W31,'Assumption Sheet'!$V31)=0,(1+'Assumption Sheet'!$U31),1)),0)</f>
        <v>0</v>
      </c>
      <c r="AJ12" s="33">
        <f>IFERROR(IF(AJ$1='Assumption Sheet'!$L31,'Assumption Sheet'!$Q31,AI12*IF(MOD(AJ$5-'Assumption Sheet'!$W31,'Assumption Sheet'!$V31)=0,(1+'Assumption Sheet'!$U31),1)),0)</f>
        <v>0</v>
      </c>
      <c r="AK12" s="33">
        <f>IFERROR(IF(AK$1='Assumption Sheet'!$L31,'Assumption Sheet'!$Q31,AJ12*IF(MOD(AK$5-'Assumption Sheet'!$W31,'Assumption Sheet'!$V31)=0,(1+'Assumption Sheet'!$U31),1)),0)</f>
        <v>0</v>
      </c>
      <c r="AL12" s="33">
        <f>IFERROR(IF(AL$1='Assumption Sheet'!$L31,'Assumption Sheet'!$Q31,AK12*IF(MOD(AL$5-'Assumption Sheet'!$W31,'Assumption Sheet'!$V31)=0,(1+'Assumption Sheet'!$U31),1)),0)</f>
        <v>0</v>
      </c>
      <c r="AM12" s="33">
        <f>IFERROR(IF(AM$1='Assumption Sheet'!$L31,'Assumption Sheet'!$Q31,AL12*IF(MOD(AM$5-'Assumption Sheet'!$W31,'Assumption Sheet'!$V31)=0,(1+'Assumption Sheet'!$U31),1)),0)</f>
        <v>0</v>
      </c>
      <c r="AN12" s="33">
        <f>IFERROR(IF(AN$1='Assumption Sheet'!$L31,'Assumption Sheet'!$Q31,AM12*IF(MOD(AN$5-'Assumption Sheet'!$W31,'Assumption Sheet'!$V31)=0,(1+'Assumption Sheet'!$U31),1)),0)</f>
        <v>0</v>
      </c>
      <c r="AO12" s="33">
        <f>IFERROR(IF(AO$1='Assumption Sheet'!$L31,'Assumption Sheet'!$Q31,AN12*IF(MOD(AO$5-'Assumption Sheet'!$W31,'Assumption Sheet'!$V31)=0,(1+'Assumption Sheet'!$U31),1)),0)</f>
        <v>0</v>
      </c>
      <c r="AP12" s="33">
        <f>IFERROR(IF(AP$1='Assumption Sheet'!$L31,'Assumption Sheet'!$Q31,AO12*IF(MOD(AP$5-'Assumption Sheet'!$W31,'Assumption Sheet'!$V31)=0,(1+'Assumption Sheet'!$U31),1)),0)</f>
        <v>0</v>
      </c>
      <c r="AQ12" s="33">
        <f>IFERROR(IF(AQ$1='Assumption Sheet'!$L31,'Assumption Sheet'!$Q31,AP12*IF(MOD(AQ$5-'Assumption Sheet'!$W31,'Assumption Sheet'!$V31)=0,(1+'Assumption Sheet'!$U31),1)),0)</f>
        <v>0</v>
      </c>
      <c r="AR12" s="33">
        <f>IFERROR(IF(AR$1='Assumption Sheet'!$L31,'Assumption Sheet'!$Q31,AQ12*IF(MOD(AR$5-'Assumption Sheet'!$W31,'Assumption Sheet'!$V31)=0,(1+'Assumption Sheet'!$U31),1)),0)</f>
        <v>0</v>
      </c>
      <c r="AS12" s="33">
        <f>IFERROR(IF(AS$1='Assumption Sheet'!$L31,'Assumption Sheet'!$Q31,AR12*IF(MOD(AS$5-'Assumption Sheet'!$W31,'Assumption Sheet'!$V31)=0,(1+'Assumption Sheet'!$U31),1)),0)</f>
        <v>0</v>
      </c>
      <c r="AT12" s="33">
        <f>IFERROR(IF(AT$1='Assumption Sheet'!$L31,'Assumption Sheet'!$Q31,AS12*IF(MOD(AT$5-'Assumption Sheet'!$W31,'Assumption Sheet'!$V31)=0,(1+'Assumption Sheet'!$U31),1)),0)</f>
        <v>0</v>
      </c>
      <c r="AU12" s="33">
        <f>IFERROR(IF(AU$1='Assumption Sheet'!$L31,'Assumption Sheet'!$Q31,AT12*IF(MOD(AU$5-'Assumption Sheet'!$W31,'Assumption Sheet'!$V31)=0,(1+'Assumption Sheet'!$U31),1)),0)</f>
        <v>0</v>
      </c>
      <c r="AV12" s="33">
        <f>IFERROR(IF(AV$1='Assumption Sheet'!$L31,'Assumption Sheet'!$Q31,AU12*IF(MOD(AV$5-'Assumption Sheet'!$W31,'Assumption Sheet'!$V31)=0,(1+'Assumption Sheet'!$U31),1)),0)</f>
        <v>0</v>
      </c>
      <c r="AW12" s="33">
        <f>IFERROR(IF(AW$1='Assumption Sheet'!$L31,'Assumption Sheet'!$Q31,AV12*IF(MOD(AW$5-'Assumption Sheet'!$W31,'Assumption Sheet'!$V31)=0,(1+'Assumption Sheet'!$U31),1)),0)</f>
        <v>0</v>
      </c>
      <c r="AX12" s="33">
        <f>IFERROR(IF(AX$1='Assumption Sheet'!$L31,'Assumption Sheet'!$Q31,AW12*IF(MOD(AX$5-'Assumption Sheet'!$W31,'Assumption Sheet'!$V31)=0,(1+'Assumption Sheet'!$U31),1)),0)</f>
        <v>0</v>
      </c>
      <c r="AY12" s="33">
        <f>IFERROR(IF(AY$1='Assumption Sheet'!$L31,'Assumption Sheet'!$Q31,AX12*IF(MOD(AY$5-'Assumption Sheet'!$W31,'Assumption Sheet'!$V31)=0,(1+'Assumption Sheet'!$U31),1)),0)</f>
        <v>0</v>
      </c>
      <c r="AZ12" s="33">
        <f>IFERROR(IF(AZ$1='Assumption Sheet'!$L31,'Assumption Sheet'!$Q31,AY12*IF(MOD(AZ$5-'Assumption Sheet'!$W31,'Assumption Sheet'!$V31)=0,(1+'Assumption Sheet'!$U31),1)),0)</f>
        <v>0</v>
      </c>
      <c r="BA12" s="33">
        <f>IFERROR(IF(BA$1='Assumption Sheet'!$L31,'Assumption Sheet'!$Q31,AZ12*IF(MOD(BA$5-'Assumption Sheet'!$W31,'Assumption Sheet'!$V31)=0,(1+'Assumption Sheet'!$U31),1)),0)</f>
        <v>20.5</v>
      </c>
      <c r="BB12" s="33">
        <f>IFERROR(IF(BB$1='Assumption Sheet'!$L31,'Assumption Sheet'!$Q31,BA12*IF(MOD(BB$5-'Assumption Sheet'!$W31,'Assumption Sheet'!$V31)=0,(1+'Assumption Sheet'!$U31),1)),0)</f>
        <v>20.5</v>
      </c>
      <c r="BC12" s="33">
        <f>IFERROR(IF(BC$1='Assumption Sheet'!$L31,'Assumption Sheet'!$Q31,BB12*IF(MOD(BC$5-'Assumption Sheet'!$W31,'Assumption Sheet'!$V31)=0,(1+'Assumption Sheet'!$U31),1)),0)</f>
        <v>20.5</v>
      </c>
      <c r="BD12" s="33">
        <f>IFERROR(IF(BD$1='Assumption Sheet'!$L31,'Assumption Sheet'!$Q31,BC12*IF(MOD(BD$5-'Assumption Sheet'!$W31,'Assumption Sheet'!$V31)=0,(1+'Assumption Sheet'!$U31),1)),0)</f>
        <v>20.5</v>
      </c>
      <c r="BE12" s="33">
        <f>IFERROR(IF(BE$1='Assumption Sheet'!$L31,'Assumption Sheet'!$Q31,BD12*IF(MOD(BE$5-'Assumption Sheet'!$W31,'Assumption Sheet'!$V31)=0,(1+'Assumption Sheet'!$U31),1)),0)</f>
        <v>20.5</v>
      </c>
      <c r="BF12" s="33">
        <f>IFERROR(IF(BF$1='Assumption Sheet'!$L31,'Assumption Sheet'!$Q31,BE12*IF(MOD(BF$5-'Assumption Sheet'!$W31,'Assumption Sheet'!$V31)=0,(1+'Assumption Sheet'!$U31),1)),0)</f>
        <v>20.5</v>
      </c>
      <c r="BG12" s="33">
        <f>IFERROR(IF(BG$1='Assumption Sheet'!$L31,'Assumption Sheet'!$Q31,BF12*IF(MOD(BG$5-'Assumption Sheet'!$W31,'Assumption Sheet'!$V31)=0,(1+'Assumption Sheet'!$U31),1)),0)</f>
        <v>20.5</v>
      </c>
      <c r="BH12" s="33">
        <f>IFERROR(IF(BH$1='Assumption Sheet'!$L31,'Assumption Sheet'!$Q31,BG12*IF(MOD(BH$5-'Assumption Sheet'!$W31,'Assumption Sheet'!$V31)=0,(1+'Assumption Sheet'!$U31),1)),0)</f>
        <v>20.5</v>
      </c>
      <c r="BI12" s="33">
        <f>IFERROR(IF(BI$1='Assumption Sheet'!$L31,'Assumption Sheet'!$Q31,BH12*IF(MOD(BI$5-'Assumption Sheet'!$W31,'Assumption Sheet'!$V31)=0,(1+'Assumption Sheet'!$U31),1)),0)</f>
        <v>20.5</v>
      </c>
      <c r="BJ12" s="33">
        <f>IFERROR(IF(BJ$1='Assumption Sheet'!$L31,'Assumption Sheet'!$Q31,BI12*IF(MOD(BJ$5-'Assumption Sheet'!$W31,'Assumption Sheet'!$V31)=0,(1+'Assumption Sheet'!$U31),1)),0)</f>
        <v>20.5</v>
      </c>
      <c r="BK12" s="33">
        <f>IFERROR(IF(BK$1='Assumption Sheet'!$L31,'Assumption Sheet'!$Q31,BJ12*IF(MOD(BK$5-'Assumption Sheet'!$W31,'Assumption Sheet'!$V31)=0,(1+'Assumption Sheet'!$U31),1)),0)</f>
        <v>20.5</v>
      </c>
      <c r="BL12" s="33">
        <f>IFERROR(IF(BL$1='Assumption Sheet'!$L31,'Assumption Sheet'!$Q31,BK12*IF(MOD(BL$5-'Assumption Sheet'!$W31,'Assumption Sheet'!$V31)=0,(1+'Assumption Sheet'!$U31),1)),0)</f>
        <v>20.5</v>
      </c>
      <c r="BM12" s="33">
        <f>IFERROR(IF(BM$1='Assumption Sheet'!$L31,'Assumption Sheet'!$Q31,BL12*IF(MOD(BM$5-'Assumption Sheet'!$W31,'Assumption Sheet'!$V31)=0,(1+'Assumption Sheet'!$U31),1)),0)</f>
        <v>21.525000000000002</v>
      </c>
      <c r="BN12" s="33">
        <f>IFERROR(IF(BN$1='Assumption Sheet'!$L31,'Assumption Sheet'!$Q31,BM12*IF(MOD(BN$5-'Assumption Sheet'!$W31,'Assumption Sheet'!$V31)=0,(1+'Assumption Sheet'!$U31),1)),0)</f>
        <v>21.525000000000002</v>
      </c>
      <c r="BO12" s="33">
        <f>IFERROR(IF(BO$1='Assumption Sheet'!$L31,'Assumption Sheet'!$Q31,BN12*IF(MOD(BO$5-'Assumption Sheet'!$W31,'Assumption Sheet'!$V31)=0,(1+'Assumption Sheet'!$U31),1)),0)</f>
        <v>21.525000000000002</v>
      </c>
      <c r="BP12" s="33">
        <f>IFERROR(IF(BP$1='Assumption Sheet'!$L31,'Assumption Sheet'!$Q31,BO12*IF(MOD(BP$5-'Assumption Sheet'!$W31,'Assumption Sheet'!$V31)=0,(1+'Assumption Sheet'!$U31),1)),0)</f>
        <v>21.525000000000002</v>
      </c>
      <c r="BQ12" s="33">
        <f>IFERROR(IF(BQ$1='Assumption Sheet'!$L31,'Assumption Sheet'!$Q31,BP12*IF(MOD(BQ$5-'Assumption Sheet'!$W31,'Assumption Sheet'!$V31)=0,(1+'Assumption Sheet'!$U31),1)),0)</f>
        <v>21.525000000000002</v>
      </c>
      <c r="BR12" s="33">
        <f>IFERROR(IF(BR$1='Assumption Sheet'!$L31,'Assumption Sheet'!$Q31,BQ12*IF(MOD(BR$5-'Assumption Sheet'!$W31,'Assumption Sheet'!$V31)=0,(1+'Assumption Sheet'!$U31),1)),0)</f>
        <v>21.525000000000002</v>
      </c>
      <c r="BS12" s="33">
        <f>IFERROR(IF(BS$1='Assumption Sheet'!$L31,'Assumption Sheet'!$Q31,BR12*IF(MOD(BS$5-'Assumption Sheet'!$W31,'Assumption Sheet'!$V31)=0,(1+'Assumption Sheet'!$U31),1)),0)</f>
        <v>21.525000000000002</v>
      </c>
      <c r="BT12" s="33">
        <f>IFERROR(IF(BT$1='Assumption Sheet'!$L31,'Assumption Sheet'!$Q31,BS12*IF(MOD(BT$5-'Assumption Sheet'!$W31,'Assumption Sheet'!$V31)=0,(1+'Assumption Sheet'!$U31),1)),0)</f>
        <v>21.525000000000002</v>
      </c>
      <c r="BU12" s="33">
        <f>IFERROR(IF(BU$1='Assumption Sheet'!$L31,'Assumption Sheet'!$Q31,BT12*IF(MOD(BU$5-'Assumption Sheet'!$W31,'Assumption Sheet'!$V31)=0,(1+'Assumption Sheet'!$U31),1)),0)</f>
        <v>21.525000000000002</v>
      </c>
      <c r="BV12" s="33">
        <f>IFERROR(IF(BV$1='Assumption Sheet'!$L31,'Assumption Sheet'!$Q31,BU12*IF(MOD(BV$5-'Assumption Sheet'!$W31,'Assumption Sheet'!$V31)=0,(1+'Assumption Sheet'!$U31),1)),0)</f>
        <v>21.525000000000002</v>
      </c>
      <c r="BW12" s="33">
        <f>IFERROR(IF(BW$1='Assumption Sheet'!$L31,'Assumption Sheet'!$Q31,BV12*IF(MOD(BW$5-'Assumption Sheet'!$W31,'Assumption Sheet'!$V31)=0,(1+'Assumption Sheet'!$U31),1)),0)</f>
        <v>21.525000000000002</v>
      </c>
      <c r="BX12" s="33">
        <f>IFERROR(IF(BX$1='Assumption Sheet'!$L31,'Assumption Sheet'!$Q31,BW12*IF(MOD(BX$5-'Assumption Sheet'!$W31,'Assumption Sheet'!$V31)=0,(1+'Assumption Sheet'!$U31),1)),0)</f>
        <v>21.525000000000002</v>
      </c>
      <c r="BY12" s="33">
        <f>IFERROR(IF(BY$1='Assumption Sheet'!$L31,'Assumption Sheet'!$Q31,BX12*IF(MOD(BY$5-'Assumption Sheet'!$W31,'Assumption Sheet'!$V31)=0,(1+'Assumption Sheet'!$U31),1)),0)</f>
        <v>22.601250000000004</v>
      </c>
      <c r="BZ12" s="33">
        <f>IFERROR(IF(BZ$1='Assumption Sheet'!$L31,'Assumption Sheet'!$Q31,BY12*IF(MOD(BZ$5-'Assumption Sheet'!$W31,'Assumption Sheet'!$V31)=0,(1+'Assumption Sheet'!$U31),1)),0)</f>
        <v>22.601250000000004</v>
      </c>
      <c r="CA12" s="33">
        <f>IFERROR(IF(CA$1='Assumption Sheet'!$L31,'Assumption Sheet'!$Q31,BZ12*IF(MOD(CA$5-'Assumption Sheet'!$W31,'Assumption Sheet'!$V31)=0,(1+'Assumption Sheet'!$U31),1)),0)</f>
        <v>22.601250000000004</v>
      </c>
      <c r="CB12" s="33">
        <f>IFERROR(IF(CB$1='Assumption Sheet'!$L31,'Assumption Sheet'!$Q31,CA12*IF(MOD(CB$5-'Assumption Sheet'!$W31,'Assumption Sheet'!$V31)=0,(1+'Assumption Sheet'!$U31),1)),0)</f>
        <v>22.601250000000004</v>
      </c>
      <c r="CC12" s="33">
        <f>IFERROR(IF(CC$1='Assumption Sheet'!$L31,'Assumption Sheet'!$Q31,CB12*IF(MOD(CC$5-'Assumption Sheet'!$W31,'Assumption Sheet'!$V31)=0,(1+'Assumption Sheet'!$U31),1)),0)</f>
        <v>22.601250000000004</v>
      </c>
      <c r="CD12" s="33">
        <f>IFERROR(IF(CD$1='Assumption Sheet'!$L31,'Assumption Sheet'!$Q31,CC12*IF(MOD(CD$5-'Assumption Sheet'!$W31,'Assumption Sheet'!$V31)=0,(1+'Assumption Sheet'!$U31),1)),0)</f>
        <v>22.601250000000004</v>
      </c>
      <c r="CE12" s="33">
        <f>IFERROR(IF(CE$1='Assumption Sheet'!$L31,'Assumption Sheet'!$Q31,CD12*IF(MOD(CE$5-'Assumption Sheet'!$W31,'Assumption Sheet'!$V31)=0,(1+'Assumption Sheet'!$U31),1)),0)</f>
        <v>22.601250000000004</v>
      </c>
      <c r="CF12" s="33">
        <f>IFERROR(IF(CF$1='Assumption Sheet'!$L31,'Assumption Sheet'!$Q31,CE12*IF(MOD(CF$5-'Assumption Sheet'!$W31,'Assumption Sheet'!$V31)=0,(1+'Assumption Sheet'!$U31),1)),0)</f>
        <v>22.601250000000004</v>
      </c>
      <c r="CG12" s="33">
        <f>IFERROR(IF(CG$1='Assumption Sheet'!$L31,'Assumption Sheet'!$Q31,CF12*IF(MOD(CG$5-'Assumption Sheet'!$W31,'Assumption Sheet'!$V31)=0,(1+'Assumption Sheet'!$U31),1)),0)</f>
        <v>22.601250000000004</v>
      </c>
      <c r="CH12" s="33">
        <f>IFERROR(IF(CH$1='Assumption Sheet'!$L31,'Assumption Sheet'!$Q31,CG12*IF(MOD(CH$5-'Assumption Sheet'!$W31,'Assumption Sheet'!$V31)=0,(1+'Assumption Sheet'!$U31),1)),0)</f>
        <v>22.601250000000004</v>
      </c>
      <c r="CI12" s="33">
        <f>IFERROR(IF(CI$1='Assumption Sheet'!$L31,'Assumption Sheet'!$Q31,CH12*IF(MOD(CI$5-'Assumption Sheet'!$W31,'Assumption Sheet'!$V31)=0,(1+'Assumption Sheet'!$U31),1)),0)</f>
        <v>22.601250000000004</v>
      </c>
      <c r="CJ12" s="33">
        <f>IFERROR(IF(CJ$1='Assumption Sheet'!$L31,'Assumption Sheet'!$Q31,CI12*IF(MOD(CJ$5-'Assumption Sheet'!$W31,'Assumption Sheet'!$V31)=0,(1+'Assumption Sheet'!$U31),1)),0)</f>
        <v>22.601250000000004</v>
      </c>
      <c r="CK12" s="33">
        <f>IFERROR(IF(CK$1='Assumption Sheet'!$L31,'Assumption Sheet'!$Q31,CJ12*IF(MOD(CK$5-'Assumption Sheet'!$W31,'Assumption Sheet'!$V31)=0,(1+'Assumption Sheet'!$U31),1)),0)</f>
        <v>23.731312500000005</v>
      </c>
      <c r="CL12" s="33">
        <f>IFERROR(IF(CL$1='Assumption Sheet'!$L31,'Assumption Sheet'!$Q31,CK12*IF(MOD(CL$5-'Assumption Sheet'!$W31,'Assumption Sheet'!$V31)=0,(1+'Assumption Sheet'!$U31),1)),0)</f>
        <v>23.731312500000005</v>
      </c>
      <c r="CM12" s="33">
        <f>IFERROR(IF(CM$1='Assumption Sheet'!$L31,'Assumption Sheet'!$Q31,CL12*IF(MOD(CM$5-'Assumption Sheet'!$W31,'Assumption Sheet'!$V31)=0,(1+'Assumption Sheet'!$U31),1)),0)</f>
        <v>23.731312500000005</v>
      </c>
      <c r="CN12" s="33">
        <f>IFERROR(IF(CN$1='Assumption Sheet'!$L31,'Assumption Sheet'!$Q31,CM12*IF(MOD(CN$5-'Assumption Sheet'!$W31,'Assumption Sheet'!$V31)=0,(1+'Assumption Sheet'!$U31),1)),0)</f>
        <v>23.731312500000005</v>
      </c>
      <c r="CO12" s="33">
        <f>IFERROR(IF(CO$1='Assumption Sheet'!$L31,'Assumption Sheet'!$Q31,CN12*IF(MOD(CO$5-'Assumption Sheet'!$W31,'Assumption Sheet'!$V31)=0,(1+'Assumption Sheet'!$U31),1)),0)</f>
        <v>23.731312500000005</v>
      </c>
      <c r="CP12" s="33">
        <f>IFERROR(IF(CP$1='Assumption Sheet'!$L31,'Assumption Sheet'!$Q31,CO12*IF(MOD(CP$5-'Assumption Sheet'!$W31,'Assumption Sheet'!$V31)=0,(1+'Assumption Sheet'!$U31),1)),0)</f>
        <v>23.731312500000005</v>
      </c>
      <c r="CQ12" s="33">
        <f>IFERROR(IF(CQ$1='Assumption Sheet'!$L31,'Assumption Sheet'!$Q31,CP12*IF(MOD(CQ$5-'Assumption Sheet'!$W31,'Assumption Sheet'!$V31)=0,(1+'Assumption Sheet'!$U31),1)),0)</f>
        <v>23.731312500000005</v>
      </c>
      <c r="CR12" s="33">
        <f>IFERROR(IF(CR$1='Assumption Sheet'!$L31,'Assumption Sheet'!$Q31,CQ12*IF(MOD(CR$5-'Assumption Sheet'!$W31,'Assumption Sheet'!$V31)=0,(1+'Assumption Sheet'!$U31),1)),0)</f>
        <v>23.731312500000005</v>
      </c>
      <c r="CS12" s="33">
        <f>IFERROR(IF(CS$1='Assumption Sheet'!$L31,'Assumption Sheet'!$Q31,CR12*IF(MOD(CS$5-'Assumption Sheet'!$W31,'Assumption Sheet'!$V31)=0,(1+'Assumption Sheet'!$U31),1)),0)</f>
        <v>23.731312500000005</v>
      </c>
      <c r="CT12" s="33">
        <f>IFERROR(IF(CT$1='Assumption Sheet'!$L31,'Assumption Sheet'!$Q31,CS12*IF(MOD(CT$5-'Assumption Sheet'!$W31,'Assumption Sheet'!$V31)=0,(1+'Assumption Sheet'!$U31),1)),0)</f>
        <v>23.731312500000005</v>
      </c>
      <c r="CU12" s="33">
        <f>IFERROR(IF(CU$1='Assumption Sheet'!$L31,'Assumption Sheet'!$Q31,CT12*IF(MOD(CU$5-'Assumption Sheet'!$W31,'Assumption Sheet'!$V31)=0,(1+'Assumption Sheet'!$U31),1)),0)</f>
        <v>23.731312500000005</v>
      </c>
      <c r="CV12" s="33">
        <f>IFERROR(IF(CV$1='Assumption Sheet'!$L31,'Assumption Sheet'!$Q31,CU12*IF(MOD(CV$5-'Assumption Sheet'!$W31,'Assumption Sheet'!$V31)=0,(1+'Assumption Sheet'!$U31),1)),0)</f>
        <v>23.731312500000005</v>
      </c>
      <c r="CW12" s="33">
        <f>IFERROR(IF(CW$1='Assumption Sheet'!$L31,'Assumption Sheet'!$Q31,CV12*IF(MOD(CW$5-'Assumption Sheet'!$W31,'Assumption Sheet'!$V31)=0,(1+'Assumption Sheet'!$U31),1)),0)</f>
        <v>24.917878125000005</v>
      </c>
      <c r="CX12" s="33">
        <f>IFERROR(IF(CX$1='Assumption Sheet'!$L31,'Assumption Sheet'!$Q31,CW12*IF(MOD(CX$5-'Assumption Sheet'!$W31,'Assumption Sheet'!$V31)=0,(1+'Assumption Sheet'!$U31),1)),0)</f>
        <v>24.917878125000005</v>
      </c>
      <c r="CY12" s="33">
        <f>IFERROR(IF(CY$1='Assumption Sheet'!$L31,'Assumption Sheet'!$Q31,CX12*IF(MOD(CY$5-'Assumption Sheet'!$W31,'Assumption Sheet'!$V31)=0,(1+'Assumption Sheet'!$U31),1)),0)</f>
        <v>24.917878125000005</v>
      </c>
      <c r="CZ12" s="33">
        <f>IFERROR(IF(CZ$1='Assumption Sheet'!$L31,'Assumption Sheet'!$Q31,CY12*IF(MOD(CZ$5-'Assumption Sheet'!$W31,'Assumption Sheet'!$V31)=0,(1+'Assumption Sheet'!$U31),1)),0)</f>
        <v>24.917878125000005</v>
      </c>
      <c r="DA12" s="33">
        <f>IFERROR(IF(DA$1='Assumption Sheet'!$L31,'Assumption Sheet'!$Q31,CZ12*IF(MOD(DA$5-'Assumption Sheet'!$W31,'Assumption Sheet'!$V31)=0,(1+'Assumption Sheet'!$U31),1)),0)</f>
        <v>24.917878125000005</v>
      </c>
      <c r="DB12" s="33">
        <f>IFERROR(IF(DB$1='Assumption Sheet'!$L31,'Assumption Sheet'!$Q31,DA12*IF(MOD(DB$5-'Assumption Sheet'!$W31,'Assumption Sheet'!$V31)=0,(1+'Assumption Sheet'!$U31),1)),0)</f>
        <v>24.917878125000005</v>
      </c>
      <c r="DC12" s="33">
        <f>IFERROR(IF(DC$1='Assumption Sheet'!$L31,'Assumption Sheet'!$Q31,DB12*IF(MOD(DC$5-'Assumption Sheet'!$W31,'Assumption Sheet'!$V31)=0,(1+'Assumption Sheet'!$U31),1)),0)</f>
        <v>24.917878125000005</v>
      </c>
      <c r="DD12" s="33">
        <f>IFERROR(IF(DD$1='Assumption Sheet'!$L31,'Assumption Sheet'!$Q31,DC12*IF(MOD(DD$5-'Assumption Sheet'!$W31,'Assumption Sheet'!$V31)=0,(1+'Assumption Sheet'!$U31),1)),0)</f>
        <v>24.917878125000005</v>
      </c>
      <c r="DE12" s="33">
        <f>IFERROR(IF(DE$1='Assumption Sheet'!$L31,'Assumption Sheet'!$Q31,DD12*IF(MOD(DE$5-'Assumption Sheet'!$W31,'Assumption Sheet'!$V31)=0,(1+'Assumption Sheet'!$U31),1)),0)</f>
        <v>24.917878125000005</v>
      </c>
      <c r="DF12" s="33">
        <f>IFERROR(IF(DF$1='Assumption Sheet'!$L31,'Assumption Sheet'!$Q31,DE12*IF(MOD(DF$5-'Assumption Sheet'!$W31,'Assumption Sheet'!$V31)=0,(1+'Assumption Sheet'!$U31),1)),0)</f>
        <v>24.917878125000005</v>
      </c>
      <c r="DG12" s="33">
        <f>IFERROR(IF(DG$1='Assumption Sheet'!$L31,'Assumption Sheet'!$Q31,DF12*IF(MOD(DG$5-'Assumption Sheet'!$W31,'Assumption Sheet'!$V31)=0,(1+'Assumption Sheet'!$U31),1)),0)</f>
        <v>24.917878125000005</v>
      </c>
      <c r="DH12" s="33">
        <f>IFERROR(IF(DH$1='Assumption Sheet'!$L31,'Assumption Sheet'!$Q31,DG12*IF(MOD(DH$5-'Assumption Sheet'!$W31,'Assumption Sheet'!$V31)=0,(1+'Assumption Sheet'!$U31),1)),0)</f>
        <v>24.917878125000005</v>
      </c>
      <c r="DI12" s="33">
        <f>IFERROR(IF(DI$1='Assumption Sheet'!$L31,'Assumption Sheet'!$Q31,DH12*IF(MOD(DI$5-'Assumption Sheet'!$W31,'Assumption Sheet'!$V31)=0,(1+'Assumption Sheet'!$U31),1)),0)</f>
        <v>26.163772031250005</v>
      </c>
      <c r="DJ12" s="33">
        <f>IFERROR(IF(DJ$1='Assumption Sheet'!$L31,'Assumption Sheet'!$Q31,DI12*IF(MOD(DJ$5-'Assumption Sheet'!$W31,'Assumption Sheet'!$V31)=0,(1+'Assumption Sheet'!$U31),1)),0)</f>
        <v>26.163772031250005</v>
      </c>
      <c r="DK12" s="33">
        <f>IFERROR(IF(DK$1='Assumption Sheet'!$L31,'Assumption Sheet'!$Q31,DJ12*IF(MOD(DK$5-'Assumption Sheet'!$W31,'Assumption Sheet'!$V31)=0,(1+'Assumption Sheet'!$U31),1)),0)</f>
        <v>26.163772031250005</v>
      </c>
      <c r="DL12" s="33">
        <f>IFERROR(IF(DL$1='Assumption Sheet'!$L31,'Assumption Sheet'!$Q31,DK12*IF(MOD(DL$5-'Assumption Sheet'!$W31,'Assumption Sheet'!$V31)=0,(1+'Assumption Sheet'!$U31),1)),0)</f>
        <v>26.163772031250005</v>
      </c>
      <c r="DM12" s="33">
        <f>IFERROR(IF(DM$1='Assumption Sheet'!$L31,'Assumption Sheet'!$Q31,DL12*IF(MOD(DM$5-'Assumption Sheet'!$W31,'Assumption Sheet'!$V31)=0,(1+'Assumption Sheet'!$U31),1)),0)</f>
        <v>26.163772031250005</v>
      </c>
      <c r="DN12" s="33">
        <f>IFERROR(IF(DN$1='Assumption Sheet'!$L31,'Assumption Sheet'!$Q31,DM12*IF(MOD(DN$5-'Assumption Sheet'!$W31,'Assumption Sheet'!$V31)=0,(1+'Assumption Sheet'!$U31),1)),0)</f>
        <v>26.163772031250005</v>
      </c>
      <c r="DO12" s="33">
        <f>IFERROR(IF(DO$1='Assumption Sheet'!$L31,'Assumption Sheet'!$Q31,DN12*IF(MOD(DO$5-'Assumption Sheet'!$W31,'Assumption Sheet'!$V31)=0,(1+'Assumption Sheet'!$U31),1)),0)</f>
        <v>26.163772031250005</v>
      </c>
      <c r="DP12" s="33">
        <f>IFERROR(IF(DP$1='Assumption Sheet'!$L31,'Assumption Sheet'!$Q31,DO12*IF(MOD(DP$5-'Assumption Sheet'!$W31,'Assumption Sheet'!$V31)=0,(1+'Assumption Sheet'!$U31),1)),0)</f>
        <v>26.163772031250005</v>
      </c>
      <c r="DQ12" s="33">
        <f>IFERROR(IF(DQ$1='Assumption Sheet'!$L31,'Assumption Sheet'!$Q31,DP12*IF(MOD(DQ$5-'Assumption Sheet'!$W31,'Assumption Sheet'!$V31)=0,(1+'Assumption Sheet'!$U31),1)),0)</f>
        <v>26.163772031250005</v>
      </c>
      <c r="DR12" s="33">
        <f>IFERROR(IF(DR$1='Assumption Sheet'!$L31,'Assumption Sheet'!$Q31,DQ12*IF(MOD(DR$5-'Assumption Sheet'!$W31,'Assumption Sheet'!$V31)=0,(1+'Assumption Sheet'!$U31),1)),0)</f>
        <v>26.163772031250005</v>
      </c>
      <c r="DS12" s="33">
        <f>IFERROR(IF(DS$1='Assumption Sheet'!$L31,'Assumption Sheet'!$Q31,DR12*IF(MOD(DS$5-'Assumption Sheet'!$W31,'Assumption Sheet'!$V31)=0,(1+'Assumption Sheet'!$U31),1)),0)</f>
        <v>26.163772031250005</v>
      </c>
      <c r="DT12" s="33">
        <f>IFERROR(IF(DT$1='Assumption Sheet'!$L31,'Assumption Sheet'!$Q31,DS12*IF(MOD(DT$5-'Assumption Sheet'!$W31,'Assumption Sheet'!$V31)=0,(1+'Assumption Sheet'!$U31),1)),0)</f>
        <v>26.163772031250005</v>
      </c>
      <c r="DU12" s="33">
        <f>IFERROR(IF(DU$1='Assumption Sheet'!$L31,'Assumption Sheet'!$Q31,DT12*IF(MOD(DU$5-'Assumption Sheet'!$W31,'Assumption Sheet'!$V31)=0,(1+'Assumption Sheet'!$U31),1)),0)</f>
        <v>27.471960632812507</v>
      </c>
      <c r="DV12" s="33">
        <f>IFERROR(IF(DV$1='Assumption Sheet'!$L31,'Assumption Sheet'!$Q31,DU12*IF(MOD(DV$5-'Assumption Sheet'!$W31,'Assumption Sheet'!$V31)=0,(1+'Assumption Sheet'!$U31),1)),0)</f>
        <v>27.471960632812507</v>
      </c>
      <c r="DW12" s="33">
        <f>IFERROR(IF(DW$1='Assumption Sheet'!$L31,'Assumption Sheet'!$Q31,DV12*IF(MOD(DW$5-'Assumption Sheet'!$W31,'Assumption Sheet'!$V31)=0,(1+'Assumption Sheet'!$U31),1)),0)</f>
        <v>27.471960632812507</v>
      </c>
      <c r="DX12" s="33">
        <f>IFERROR(IF(DX$1='Assumption Sheet'!$L31,'Assumption Sheet'!$Q31,DW12*IF(MOD(DX$5-'Assumption Sheet'!$W31,'Assumption Sheet'!$V31)=0,(1+'Assumption Sheet'!$U31),1)),0)</f>
        <v>27.471960632812507</v>
      </c>
      <c r="DY12" s="33">
        <f>IFERROR(IF(DY$1='Assumption Sheet'!$L31,'Assumption Sheet'!$Q31,DX12*IF(MOD(DY$5-'Assumption Sheet'!$W31,'Assumption Sheet'!$V31)=0,(1+'Assumption Sheet'!$U31),1)),0)</f>
        <v>27.471960632812507</v>
      </c>
      <c r="DZ12" s="33">
        <f>IFERROR(IF(DZ$1='Assumption Sheet'!$L31,'Assumption Sheet'!$Q31,DY12*IF(MOD(DZ$5-'Assumption Sheet'!$W31,'Assumption Sheet'!$V31)=0,(1+'Assumption Sheet'!$U31),1)),0)</f>
        <v>27.471960632812507</v>
      </c>
      <c r="EA12" s="33">
        <f>IFERROR(IF(EA$1='Assumption Sheet'!$L31,'Assumption Sheet'!$Q31,DZ12*IF(MOD(EA$5-'Assumption Sheet'!$W31,'Assumption Sheet'!$V31)=0,(1+'Assumption Sheet'!$U31),1)),0)</f>
        <v>27.471960632812507</v>
      </c>
      <c r="EB12" s="33">
        <f>IFERROR(IF(EB$1='Assumption Sheet'!$L31,'Assumption Sheet'!$Q31,EA12*IF(MOD(EB$5-'Assumption Sheet'!$W31,'Assumption Sheet'!$V31)=0,(1+'Assumption Sheet'!$U31),1)),0)</f>
        <v>27.471960632812507</v>
      </c>
      <c r="EC12" s="33">
        <f>IFERROR(IF(EC$1='Assumption Sheet'!$L31,'Assumption Sheet'!$Q31,EB12*IF(MOD(EC$5-'Assumption Sheet'!$W31,'Assumption Sheet'!$V31)=0,(1+'Assumption Sheet'!$U31),1)),0)</f>
        <v>27.471960632812507</v>
      </c>
      <c r="ED12" s="33">
        <f>IFERROR(IF(ED$1='Assumption Sheet'!$L31,'Assumption Sheet'!$Q31,EC12*IF(MOD(ED$5-'Assumption Sheet'!$W31,'Assumption Sheet'!$V31)=0,(1+'Assumption Sheet'!$U31),1)),0)</f>
        <v>27.471960632812507</v>
      </c>
      <c r="EE12" s="33">
        <f>IFERROR(IF(EE$1='Assumption Sheet'!$L31,'Assumption Sheet'!$Q31,ED12*IF(MOD(EE$5-'Assumption Sheet'!$W31,'Assumption Sheet'!$V31)=0,(1+'Assumption Sheet'!$U31),1)),0)</f>
        <v>27.471960632812507</v>
      </c>
      <c r="EF12" s="33">
        <f>IFERROR(IF(EF$1='Assumption Sheet'!$L31,'Assumption Sheet'!$Q31,EE12*IF(MOD(EF$5-'Assumption Sheet'!$W31,'Assumption Sheet'!$V31)=0,(1+'Assumption Sheet'!$U31),1)),0)</f>
        <v>27.471960632812507</v>
      </c>
      <c r="EG12" s="33">
        <f>IFERROR(IF(EG$1='Assumption Sheet'!$L31,'Assumption Sheet'!$Q31,EF12*IF(MOD(EG$5-'Assumption Sheet'!$W31,'Assumption Sheet'!$V31)=0,(1+'Assumption Sheet'!$U31),1)),0)</f>
        <v>28.845558664453133</v>
      </c>
      <c r="EH12" s="33">
        <f>IFERROR(IF(EH$1='Assumption Sheet'!$L31,'Assumption Sheet'!$Q31,EG12*IF(MOD(EH$5-'Assumption Sheet'!$W31,'Assumption Sheet'!$V31)=0,(1+'Assumption Sheet'!$U31),1)),0)</f>
        <v>28.845558664453133</v>
      </c>
      <c r="EI12" s="33">
        <f>IFERROR(IF(EI$1='Assumption Sheet'!$L31,'Assumption Sheet'!$Q31,EH12*IF(MOD(EI$5-'Assumption Sheet'!$W31,'Assumption Sheet'!$V31)=0,(1+'Assumption Sheet'!$U31),1)),0)</f>
        <v>28.845558664453133</v>
      </c>
      <c r="EJ12" s="33">
        <f>IFERROR(IF(EJ$1='Assumption Sheet'!$L31,'Assumption Sheet'!$Q31,EI12*IF(MOD(EJ$5-'Assumption Sheet'!$W31,'Assumption Sheet'!$V31)=0,(1+'Assumption Sheet'!$U31),1)),0)</f>
        <v>28.845558664453133</v>
      </c>
      <c r="EK12" s="33">
        <f>IFERROR(IF(EK$1='Assumption Sheet'!$L31,'Assumption Sheet'!$Q31,EJ12*IF(MOD(EK$5-'Assumption Sheet'!$W31,'Assumption Sheet'!$V31)=0,(1+'Assumption Sheet'!$U31),1)),0)</f>
        <v>28.845558664453133</v>
      </c>
      <c r="EL12" s="33">
        <f>IFERROR(IF(EL$1='Assumption Sheet'!$L31,'Assumption Sheet'!$Q31,EK12*IF(MOD(EL$5-'Assumption Sheet'!$W31,'Assumption Sheet'!$V31)=0,(1+'Assumption Sheet'!$U31),1)),0)</f>
        <v>28.845558664453133</v>
      </c>
      <c r="EM12" s="33">
        <f>IFERROR(IF(EM$1='Assumption Sheet'!$L31,'Assumption Sheet'!$Q31,EL12*IF(MOD(EM$5-'Assumption Sheet'!$W31,'Assumption Sheet'!$V31)=0,(1+'Assumption Sheet'!$U31),1)),0)</f>
        <v>28.845558664453133</v>
      </c>
      <c r="EN12" s="33">
        <f>IFERROR(IF(EN$1='Assumption Sheet'!$L31,'Assumption Sheet'!$Q31,EM12*IF(MOD(EN$5-'Assumption Sheet'!$W31,'Assumption Sheet'!$V31)=0,(1+'Assumption Sheet'!$U31),1)),0)</f>
        <v>28.845558664453133</v>
      </c>
      <c r="EO12" s="33">
        <f>IFERROR(IF(EO$1='Assumption Sheet'!$L31,'Assumption Sheet'!$Q31,EN12*IF(MOD(EO$5-'Assumption Sheet'!$W31,'Assumption Sheet'!$V31)=0,(1+'Assumption Sheet'!$U31),1)),0)</f>
        <v>28.845558664453133</v>
      </c>
      <c r="EP12" s="33">
        <f>IFERROR(IF(EP$1='Assumption Sheet'!$L31,'Assumption Sheet'!$Q31,EO12*IF(MOD(EP$5-'Assumption Sheet'!$W31,'Assumption Sheet'!$V31)=0,(1+'Assumption Sheet'!$U31),1)),0)</f>
        <v>28.845558664453133</v>
      </c>
      <c r="EQ12" s="33">
        <f>IFERROR(IF(EQ$1='Assumption Sheet'!$L31,'Assumption Sheet'!$Q31,EP12*IF(MOD(EQ$5-'Assumption Sheet'!$W31,'Assumption Sheet'!$V31)=0,(1+'Assumption Sheet'!$U31),1)),0)</f>
        <v>28.845558664453133</v>
      </c>
      <c r="ER12" s="33">
        <f>IFERROR(IF(ER$1='Assumption Sheet'!$L31,'Assumption Sheet'!$Q31,EQ12*IF(MOD(ER$5-'Assumption Sheet'!$W31,'Assumption Sheet'!$V31)=0,(1+'Assumption Sheet'!$U31),1)),0)</f>
        <v>28.845558664453133</v>
      </c>
      <c r="ES12" s="33">
        <f>IFERROR(IF(ES$1='Assumption Sheet'!$L31,'Assumption Sheet'!$Q31,ER12*IF(MOD(ES$5-'Assumption Sheet'!$W31,'Assumption Sheet'!$V31)=0,(1+'Assumption Sheet'!$U31),1)),0)</f>
        <v>30.287836597675792</v>
      </c>
      <c r="ET12" s="33">
        <f>IFERROR(IF(ET$1='Assumption Sheet'!$L31,'Assumption Sheet'!$Q31,ES12*IF(MOD(ET$5-'Assumption Sheet'!$W31,'Assumption Sheet'!$V31)=0,(1+'Assumption Sheet'!$U31),1)),0)</f>
        <v>30.287836597675792</v>
      </c>
      <c r="EU12" s="33">
        <f>IFERROR(IF(EU$1='Assumption Sheet'!$L31,'Assumption Sheet'!$Q31,ET12*IF(MOD(EU$5-'Assumption Sheet'!$W31,'Assumption Sheet'!$V31)=0,(1+'Assumption Sheet'!$U31),1)),0)</f>
        <v>30.287836597675792</v>
      </c>
      <c r="EV12" s="33">
        <f>IFERROR(IF(EV$1='Assumption Sheet'!$L31,'Assumption Sheet'!$Q31,EU12*IF(MOD(EV$5-'Assumption Sheet'!$W31,'Assumption Sheet'!$V31)=0,(1+'Assumption Sheet'!$U31),1)),0)</f>
        <v>30.287836597675792</v>
      </c>
      <c r="EW12" s="33">
        <f>IFERROR(IF(EW$1='Assumption Sheet'!$L31,'Assumption Sheet'!$Q31,EV12*IF(MOD(EW$5-'Assumption Sheet'!$W31,'Assumption Sheet'!$V31)=0,(1+'Assumption Sheet'!$U31),1)),0)</f>
        <v>30.287836597675792</v>
      </c>
      <c r="EX12" s="33">
        <f>IFERROR(IF(EX$1='Assumption Sheet'!$L31,'Assumption Sheet'!$Q31,EW12*IF(MOD(EX$5-'Assumption Sheet'!$W31,'Assumption Sheet'!$V31)=0,(1+'Assumption Sheet'!$U31),1)),0)</f>
        <v>30.287836597675792</v>
      </c>
      <c r="EY12" s="33">
        <f>IFERROR(IF(EY$1='Assumption Sheet'!$L31,'Assumption Sheet'!$Q31,EX12*IF(MOD(EY$5-'Assumption Sheet'!$W31,'Assumption Sheet'!$V31)=0,(1+'Assumption Sheet'!$U31),1)),0)</f>
        <v>30.287836597675792</v>
      </c>
      <c r="EZ12" s="33">
        <f>IFERROR(IF(EZ$1='Assumption Sheet'!$L31,'Assumption Sheet'!$Q31,EY12*IF(MOD(EZ$5-'Assumption Sheet'!$W31,'Assumption Sheet'!$V31)=0,(1+'Assumption Sheet'!$U31),1)),0)</f>
        <v>30.287836597675792</v>
      </c>
      <c r="FA12" s="33">
        <f>IFERROR(IF(FA$1='Assumption Sheet'!$L31,'Assumption Sheet'!$Q31,EZ12*IF(MOD(FA$5-'Assumption Sheet'!$W31,'Assumption Sheet'!$V31)=0,(1+'Assumption Sheet'!$U31),1)),0)</f>
        <v>30.287836597675792</v>
      </c>
      <c r="FB12" s="33">
        <f>IFERROR(IF(FB$1='Assumption Sheet'!$L31,'Assumption Sheet'!$Q31,FA12*IF(MOD(FB$5-'Assumption Sheet'!$W31,'Assumption Sheet'!$V31)=0,(1+'Assumption Sheet'!$U31),1)),0)</f>
        <v>30.287836597675792</v>
      </c>
      <c r="FC12" s="33">
        <f>IFERROR(IF(FC$1='Assumption Sheet'!$L31,'Assumption Sheet'!$Q31,FB12*IF(MOD(FC$5-'Assumption Sheet'!$W31,'Assumption Sheet'!$V31)=0,(1+'Assumption Sheet'!$U31),1)),0)</f>
        <v>30.287836597675792</v>
      </c>
      <c r="FD12" s="33">
        <f>IFERROR(IF(FD$1='Assumption Sheet'!$L31,'Assumption Sheet'!$Q31,FC12*IF(MOD(FD$5-'Assumption Sheet'!$W31,'Assumption Sheet'!$V31)=0,(1+'Assumption Sheet'!$U31),1)),0)</f>
        <v>30.287836597675792</v>
      </c>
      <c r="FE12" s="33">
        <f>IFERROR(IF(FE$1='Assumption Sheet'!$L31,'Assumption Sheet'!$Q31,FD12*IF(MOD(FE$5-'Assumption Sheet'!$W31,'Assumption Sheet'!$V31)=0,(1+'Assumption Sheet'!$U31),1)),0)</f>
        <v>31.802228427559584</v>
      </c>
      <c r="FF12" s="33">
        <f>IFERROR(IF(FF$1='Assumption Sheet'!$L31,'Assumption Sheet'!$Q31,FE12*IF(MOD(FF$5-'Assumption Sheet'!$W31,'Assumption Sheet'!$V31)=0,(1+'Assumption Sheet'!$U31),1)),0)</f>
        <v>31.802228427559584</v>
      </c>
      <c r="FG12" s="33">
        <f>IFERROR(IF(FG$1='Assumption Sheet'!$L31,'Assumption Sheet'!$Q31,FF12*IF(MOD(FG$5-'Assumption Sheet'!$W31,'Assumption Sheet'!$V31)=0,(1+'Assumption Sheet'!$U31),1)),0)</f>
        <v>31.802228427559584</v>
      </c>
      <c r="FH12" s="33">
        <f>IFERROR(IF(FH$1='Assumption Sheet'!$L31,'Assumption Sheet'!$Q31,FG12*IF(MOD(FH$5-'Assumption Sheet'!$W31,'Assumption Sheet'!$V31)=0,(1+'Assumption Sheet'!$U31),1)),0)</f>
        <v>31.802228427559584</v>
      </c>
      <c r="FI12" s="33">
        <f>IFERROR(IF(FI$1='Assumption Sheet'!$L31,'Assumption Sheet'!$Q31,FH12*IF(MOD(FI$5-'Assumption Sheet'!$W31,'Assumption Sheet'!$V31)=0,(1+'Assumption Sheet'!$U31),1)),0)</f>
        <v>31.802228427559584</v>
      </c>
      <c r="FJ12" s="33">
        <f>IFERROR(IF(FJ$1='Assumption Sheet'!$L31,'Assumption Sheet'!$Q31,FI12*IF(MOD(FJ$5-'Assumption Sheet'!$W31,'Assumption Sheet'!$V31)=0,(1+'Assumption Sheet'!$U31),1)),0)</f>
        <v>31.802228427559584</v>
      </c>
      <c r="FK12" s="33">
        <f>IFERROR(IF(FK$1='Assumption Sheet'!$L31,'Assumption Sheet'!$Q31,FJ12*IF(MOD(FK$5-'Assumption Sheet'!$W31,'Assumption Sheet'!$V31)=0,(1+'Assumption Sheet'!$U31),1)),0)</f>
        <v>31.802228427559584</v>
      </c>
      <c r="FL12" s="33">
        <f>IFERROR(IF(FL$1='Assumption Sheet'!$L31,'Assumption Sheet'!$Q31,FK12*IF(MOD(FL$5-'Assumption Sheet'!$W31,'Assumption Sheet'!$V31)=0,(1+'Assumption Sheet'!$U31),1)),0)</f>
        <v>31.802228427559584</v>
      </c>
      <c r="FM12" s="33">
        <f>IFERROR(IF(FM$1='Assumption Sheet'!$L31,'Assumption Sheet'!$Q31,FL12*IF(MOD(FM$5-'Assumption Sheet'!$W31,'Assumption Sheet'!$V31)=0,(1+'Assumption Sheet'!$U31),1)),0)</f>
        <v>31.802228427559584</v>
      </c>
      <c r="FN12" s="33">
        <f>IFERROR(IF(FN$1='Assumption Sheet'!$L31,'Assumption Sheet'!$Q31,FM12*IF(MOD(FN$5-'Assumption Sheet'!$W31,'Assumption Sheet'!$V31)=0,(1+'Assumption Sheet'!$U31),1)),0)</f>
        <v>31.802228427559584</v>
      </c>
      <c r="FO12" s="33">
        <f>IFERROR(IF(FO$1='Assumption Sheet'!$L31,'Assumption Sheet'!$Q31,FN12*IF(MOD(FO$5-'Assumption Sheet'!$W31,'Assumption Sheet'!$V31)=0,(1+'Assumption Sheet'!$U31),1)),0)</f>
        <v>31.802228427559584</v>
      </c>
      <c r="FP12" s="33">
        <f>IFERROR(IF(FP$1='Assumption Sheet'!$L31,'Assumption Sheet'!$Q31,FO12*IF(MOD(FP$5-'Assumption Sheet'!$W31,'Assumption Sheet'!$V31)=0,(1+'Assumption Sheet'!$U31),1)),0)</f>
        <v>31.802228427559584</v>
      </c>
      <c r="FQ12" s="33">
        <f>IFERROR(IF(FQ$1='Assumption Sheet'!$L31,'Assumption Sheet'!$Q31,FP12*IF(MOD(FQ$5-'Assumption Sheet'!$W31,'Assumption Sheet'!$V31)=0,(1+'Assumption Sheet'!$U31),1)),0)</f>
        <v>33.392339848937567</v>
      </c>
      <c r="FR12" s="33">
        <f>IFERROR(IF(FR$1='Assumption Sheet'!$L31,'Assumption Sheet'!$Q31,FQ12*IF(MOD(FR$5-'Assumption Sheet'!$W31,'Assumption Sheet'!$V31)=0,(1+'Assumption Sheet'!$U31),1)),0)</f>
        <v>33.392339848937567</v>
      </c>
      <c r="FS12" s="33">
        <f>IFERROR(IF(FS$1='Assumption Sheet'!$L31,'Assumption Sheet'!$Q31,FR12*IF(MOD(FS$5-'Assumption Sheet'!$W31,'Assumption Sheet'!$V31)=0,(1+'Assumption Sheet'!$U31),1)),0)</f>
        <v>33.392339848937567</v>
      </c>
      <c r="FT12" s="33">
        <f>IFERROR(IF(FT$1='Assumption Sheet'!$L31,'Assumption Sheet'!$Q31,FS12*IF(MOD(FT$5-'Assumption Sheet'!$W31,'Assumption Sheet'!$V31)=0,(1+'Assumption Sheet'!$U31),1)),0)</f>
        <v>33.392339848937567</v>
      </c>
      <c r="FU12" s="33">
        <f>IFERROR(IF(FU$1='Assumption Sheet'!$L31,'Assumption Sheet'!$Q31,FT12*IF(MOD(FU$5-'Assumption Sheet'!$W31,'Assumption Sheet'!$V31)=0,(1+'Assumption Sheet'!$U31),1)),0)</f>
        <v>33.392339848937567</v>
      </c>
      <c r="FV12" s="33">
        <f>IFERROR(IF(FV$1='Assumption Sheet'!$L31,'Assumption Sheet'!$Q31,FU12*IF(MOD(FV$5-'Assumption Sheet'!$W31,'Assumption Sheet'!$V31)=0,(1+'Assumption Sheet'!$U31),1)),0)</f>
        <v>33.392339848937567</v>
      </c>
      <c r="FW12" s="33">
        <f>IFERROR(IF(FW$1='Assumption Sheet'!$L31,'Assumption Sheet'!$Q31,FV12*IF(MOD(FW$5-'Assumption Sheet'!$W31,'Assumption Sheet'!$V31)=0,(1+'Assumption Sheet'!$U31),1)),0)</f>
        <v>33.392339848937567</v>
      </c>
      <c r="FX12" s="33">
        <f>IFERROR(IF(FX$1='Assumption Sheet'!$L31,'Assumption Sheet'!$Q31,FW12*IF(MOD(FX$5-'Assumption Sheet'!$W31,'Assumption Sheet'!$V31)=0,(1+'Assumption Sheet'!$U31),1)),0)</f>
        <v>33.392339848937567</v>
      </c>
      <c r="FY12" s="33">
        <f>IFERROR(IF(FY$1='Assumption Sheet'!$L31,'Assumption Sheet'!$Q31,FX12*IF(MOD(FY$5-'Assumption Sheet'!$W31,'Assumption Sheet'!$V31)=0,(1+'Assumption Sheet'!$U31),1)),0)</f>
        <v>33.392339848937567</v>
      </c>
      <c r="FZ12" s="33">
        <f>IFERROR(IF(FZ$1='Assumption Sheet'!$L31,'Assumption Sheet'!$Q31,FY12*IF(MOD(FZ$5-'Assumption Sheet'!$W31,'Assumption Sheet'!$V31)=0,(1+'Assumption Sheet'!$U31),1)),0)</f>
        <v>33.392339848937567</v>
      </c>
      <c r="GA12" s="33">
        <f>IFERROR(IF(GA$1='Assumption Sheet'!$L31,'Assumption Sheet'!$Q31,FZ12*IF(MOD(GA$5-'Assumption Sheet'!$W31,'Assumption Sheet'!$V31)=0,(1+'Assumption Sheet'!$U31),1)),0)</f>
        <v>33.392339848937567</v>
      </c>
      <c r="GB12" s="33">
        <f>IFERROR(IF(GB$1='Assumption Sheet'!$L31,'Assumption Sheet'!$Q31,GA12*IF(MOD(GB$5-'Assumption Sheet'!$W31,'Assumption Sheet'!$V31)=0,(1+'Assumption Sheet'!$U31),1)),0)</f>
        <v>33.392339848937567</v>
      </c>
      <c r="GC12" s="33">
        <f>IFERROR(IF(GC$1='Assumption Sheet'!$L31,'Assumption Sheet'!$Q31,GB12*IF(MOD(GC$5-'Assumption Sheet'!$W31,'Assumption Sheet'!$V31)=0,(1+'Assumption Sheet'!$U31),1)),0)</f>
        <v>35.06195684138445</v>
      </c>
      <c r="GD12" s="33">
        <f>IFERROR(IF(GD$1='Assumption Sheet'!$L31,'Assumption Sheet'!$Q31,GC12*IF(MOD(GD$5-'Assumption Sheet'!$W31,'Assumption Sheet'!$V31)=0,(1+'Assumption Sheet'!$U31),1)),0)</f>
        <v>35.06195684138445</v>
      </c>
      <c r="GE12" s="33">
        <f>IFERROR(IF(GE$1='Assumption Sheet'!$L31,'Assumption Sheet'!$Q31,GD12*IF(MOD(GE$5-'Assumption Sheet'!$W31,'Assumption Sheet'!$V31)=0,(1+'Assumption Sheet'!$U31),1)),0)</f>
        <v>35.06195684138445</v>
      </c>
      <c r="GF12" s="33">
        <f>IFERROR(IF(GF$1='Assumption Sheet'!$L31,'Assumption Sheet'!$Q31,GE12*IF(MOD(GF$5-'Assumption Sheet'!$W31,'Assumption Sheet'!$V31)=0,(1+'Assumption Sheet'!$U31),1)),0)</f>
        <v>35.06195684138445</v>
      </c>
      <c r="GG12" s="33">
        <f>IFERROR(IF(GG$1='Assumption Sheet'!$L31,'Assumption Sheet'!$Q31,GF12*IF(MOD(GG$5-'Assumption Sheet'!$W31,'Assumption Sheet'!$V31)=0,(1+'Assumption Sheet'!$U31),1)),0)</f>
        <v>35.06195684138445</v>
      </c>
      <c r="GH12" s="33">
        <f>IFERROR(IF(GH$1='Assumption Sheet'!$L31,'Assumption Sheet'!$Q31,GG12*IF(MOD(GH$5-'Assumption Sheet'!$W31,'Assumption Sheet'!$V31)=0,(1+'Assumption Sheet'!$U31),1)),0)</f>
        <v>35.06195684138445</v>
      </c>
      <c r="GI12" s="33">
        <f>IFERROR(IF(GI$1='Assumption Sheet'!$L31,'Assumption Sheet'!$Q31,GH12*IF(MOD(GI$5-'Assumption Sheet'!$W31,'Assumption Sheet'!$V31)=0,(1+'Assumption Sheet'!$U31),1)),0)</f>
        <v>35.06195684138445</v>
      </c>
      <c r="GJ12" s="33">
        <f>IFERROR(IF(GJ$1='Assumption Sheet'!$L31,'Assumption Sheet'!$Q31,GI12*IF(MOD(GJ$5-'Assumption Sheet'!$W31,'Assumption Sheet'!$V31)=0,(1+'Assumption Sheet'!$U31),1)),0)</f>
        <v>35.06195684138445</v>
      </c>
      <c r="GK12" s="33">
        <f>IFERROR(IF(GK$1='Assumption Sheet'!$L31,'Assumption Sheet'!$Q31,GJ12*IF(MOD(GK$5-'Assumption Sheet'!$W31,'Assumption Sheet'!$V31)=0,(1+'Assumption Sheet'!$U31),1)),0)</f>
        <v>35.06195684138445</v>
      </c>
      <c r="GL12" s="33">
        <f>IFERROR(IF(GL$1='Assumption Sheet'!$L31,'Assumption Sheet'!$Q31,GK12*IF(MOD(GL$5-'Assumption Sheet'!$W31,'Assumption Sheet'!$V31)=0,(1+'Assumption Sheet'!$U31),1)),0)</f>
        <v>35.06195684138445</v>
      </c>
      <c r="GM12" s="33">
        <f>IFERROR(IF(GM$1='Assumption Sheet'!$L31,'Assumption Sheet'!$Q31,GL12*IF(MOD(GM$5-'Assumption Sheet'!$W31,'Assumption Sheet'!$V31)=0,(1+'Assumption Sheet'!$U31),1)),0)</f>
        <v>35.06195684138445</v>
      </c>
      <c r="GN12" s="33">
        <f>IFERROR(IF(GN$1='Assumption Sheet'!$L31,'Assumption Sheet'!$Q31,GM12*IF(MOD(GN$5-'Assumption Sheet'!$W31,'Assumption Sheet'!$V31)=0,(1+'Assumption Sheet'!$U31),1)),0)</f>
        <v>35.06195684138445</v>
      </c>
      <c r="GO12" s="33">
        <f>IFERROR(IF(GO$1='Assumption Sheet'!$L31,'Assumption Sheet'!$Q31,GN12*IF(MOD(GO$5-'Assumption Sheet'!$W31,'Assumption Sheet'!$V31)=0,(1+'Assumption Sheet'!$U31),1)),0)</f>
        <v>36.815054683453674</v>
      </c>
      <c r="GP12" s="33">
        <f>IFERROR(IF(GP$1='Assumption Sheet'!$L31,'Assumption Sheet'!$Q31,GO12*IF(MOD(GP$5-'Assumption Sheet'!$W31,'Assumption Sheet'!$V31)=0,(1+'Assumption Sheet'!$U31),1)),0)</f>
        <v>36.815054683453674</v>
      </c>
      <c r="GQ12" s="33">
        <f>IFERROR(IF(GQ$1='Assumption Sheet'!$L31,'Assumption Sheet'!$Q31,GP12*IF(MOD(GQ$5-'Assumption Sheet'!$W31,'Assumption Sheet'!$V31)=0,(1+'Assumption Sheet'!$U31),1)),0)</f>
        <v>36.815054683453674</v>
      </c>
      <c r="GR12" s="33">
        <f>IFERROR(IF(GR$1='Assumption Sheet'!$L31,'Assumption Sheet'!$Q31,GQ12*IF(MOD(GR$5-'Assumption Sheet'!$W31,'Assumption Sheet'!$V31)=0,(1+'Assumption Sheet'!$U31),1)),0)</f>
        <v>36.815054683453674</v>
      </c>
      <c r="GS12" s="33">
        <f>IFERROR(IF(GS$1='Assumption Sheet'!$L31,'Assumption Sheet'!$Q31,GR12*IF(MOD(GS$5-'Assumption Sheet'!$W31,'Assumption Sheet'!$V31)=0,(1+'Assumption Sheet'!$U31),1)),0)</f>
        <v>36.815054683453674</v>
      </c>
      <c r="GT12" s="33">
        <f>IFERROR(IF(GT$1='Assumption Sheet'!$L31,'Assumption Sheet'!$Q31,GS12*IF(MOD(GT$5-'Assumption Sheet'!$W31,'Assumption Sheet'!$V31)=0,(1+'Assumption Sheet'!$U31),1)),0)</f>
        <v>36.815054683453674</v>
      </c>
      <c r="GU12" s="33">
        <f>IFERROR(IF(GU$1='Assumption Sheet'!$L31,'Assumption Sheet'!$Q31,GT12*IF(MOD(GU$5-'Assumption Sheet'!$W31,'Assumption Sheet'!$V31)=0,(1+'Assumption Sheet'!$U31),1)),0)</f>
        <v>36.815054683453674</v>
      </c>
      <c r="GV12" s="33">
        <f>IFERROR(IF(GV$1='Assumption Sheet'!$L31,'Assumption Sheet'!$Q31,GU12*IF(MOD(GV$5-'Assumption Sheet'!$W31,'Assumption Sheet'!$V31)=0,(1+'Assumption Sheet'!$U31),1)),0)</f>
        <v>36.815054683453674</v>
      </c>
      <c r="GW12" s="33">
        <f>IFERROR(IF(GW$1='Assumption Sheet'!$L31,'Assumption Sheet'!$Q31,GV12*IF(MOD(GW$5-'Assumption Sheet'!$W31,'Assumption Sheet'!$V31)=0,(1+'Assumption Sheet'!$U31),1)),0)</f>
        <v>36.815054683453674</v>
      </c>
      <c r="GX12" s="33">
        <f>IFERROR(IF(GX$1='Assumption Sheet'!$L31,'Assumption Sheet'!$Q31,GW12*IF(MOD(GX$5-'Assumption Sheet'!$W31,'Assumption Sheet'!$V31)=0,(1+'Assumption Sheet'!$U31),1)),0)</f>
        <v>36.815054683453674</v>
      </c>
      <c r="GY12" s="33">
        <f>IFERROR(IF(GY$1='Assumption Sheet'!$L31,'Assumption Sheet'!$Q31,GX12*IF(MOD(GY$5-'Assumption Sheet'!$W31,'Assumption Sheet'!$V31)=0,(1+'Assumption Sheet'!$U31),1)),0)</f>
        <v>36.815054683453674</v>
      </c>
      <c r="GZ12" s="33">
        <f>IFERROR(IF(GZ$1='Assumption Sheet'!$L31,'Assumption Sheet'!$Q31,GY12*IF(MOD(GZ$5-'Assumption Sheet'!$W31,'Assumption Sheet'!$V31)=0,(1+'Assumption Sheet'!$U31),1)),0)</f>
        <v>36.815054683453674</v>
      </c>
      <c r="HA12" s="33">
        <f>IFERROR(IF(HA$1='Assumption Sheet'!$L31,'Assumption Sheet'!$Q31,GZ12*IF(MOD(HA$5-'Assumption Sheet'!$W31,'Assumption Sheet'!$V31)=0,(1+'Assumption Sheet'!$U31),1)),0)</f>
        <v>38.655807417626356</v>
      </c>
      <c r="HB12" s="33">
        <f>IFERROR(IF(HB$1='Assumption Sheet'!$L31,'Assumption Sheet'!$Q31,HA12*IF(MOD(HB$5-'Assumption Sheet'!$W31,'Assumption Sheet'!$V31)=0,(1+'Assumption Sheet'!$U31),1)),0)</f>
        <v>38.655807417626356</v>
      </c>
      <c r="HC12" s="33">
        <f>IFERROR(IF(HC$1='Assumption Sheet'!$L31,'Assumption Sheet'!$Q31,HB12*IF(MOD(HC$5-'Assumption Sheet'!$W31,'Assumption Sheet'!$V31)=0,(1+'Assumption Sheet'!$U31),1)),0)</f>
        <v>38.655807417626356</v>
      </c>
      <c r="HD12" s="33">
        <f>IFERROR(IF(HD$1='Assumption Sheet'!$L31,'Assumption Sheet'!$Q31,HC12*IF(MOD(HD$5-'Assumption Sheet'!$W31,'Assumption Sheet'!$V31)=0,(1+'Assumption Sheet'!$U31),1)),0)</f>
        <v>38.655807417626356</v>
      </c>
      <c r="HE12" s="33">
        <f>IFERROR(IF(HE$1='Assumption Sheet'!$L31,'Assumption Sheet'!$Q31,HD12*IF(MOD(HE$5-'Assumption Sheet'!$W31,'Assumption Sheet'!$V31)=0,(1+'Assumption Sheet'!$U31),1)),0)</f>
        <v>38.655807417626356</v>
      </c>
      <c r="HF12" s="33">
        <f>IFERROR(IF(HF$1='Assumption Sheet'!$L31,'Assumption Sheet'!$Q31,HE12*IF(MOD(HF$5-'Assumption Sheet'!$W31,'Assumption Sheet'!$V31)=0,(1+'Assumption Sheet'!$U31),1)),0)</f>
        <v>38.655807417626356</v>
      </c>
      <c r="HG12" s="33">
        <f>IFERROR(IF(HG$1='Assumption Sheet'!$L31,'Assumption Sheet'!$Q31,HF12*IF(MOD(HG$5-'Assumption Sheet'!$W31,'Assumption Sheet'!$V31)=0,(1+'Assumption Sheet'!$U31),1)),0)</f>
        <v>38.655807417626356</v>
      </c>
      <c r="HH12" s="33">
        <f>IFERROR(IF(HH$1='Assumption Sheet'!$L31,'Assumption Sheet'!$Q31,HG12*IF(MOD(HH$5-'Assumption Sheet'!$W31,'Assumption Sheet'!$V31)=0,(1+'Assumption Sheet'!$U31),1)),0)</f>
        <v>38.655807417626356</v>
      </c>
      <c r="HI12" s="33">
        <f>IFERROR(IF(HI$1='Assumption Sheet'!$L31,'Assumption Sheet'!$Q31,HH12*IF(MOD(HI$5-'Assumption Sheet'!$W31,'Assumption Sheet'!$V31)=0,(1+'Assumption Sheet'!$U31),1)),0)</f>
        <v>38.655807417626356</v>
      </c>
      <c r="HJ12" s="33">
        <f>IFERROR(IF(HJ$1='Assumption Sheet'!$L31,'Assumption Sheet'!$Q31,HI12*IF(MOD(HJ$5-'Assumption Sheet'!$W31,'Assumption Sheet'!$V31)=0,(1+'Assumption Sheet'!$U31),1)),0)</f>
        <v>38.655807417626356</v>
      </c>
      <c r="HK12" s="33">
        <f>IFERROR(IF(HK$1='Assumption Sheet'!$L31,'Assumption Sheet'!$Q31,HJ12*IF(MOD(HK$5-'Assumption Sheet'!$W31,'Assumption Sheet'!$V31)=0,(1+'Assumption Sheet'!$U31),1)),0)</f>
        <v>38.655807417626356</v>
      </c>
      <c r="HL12" s="33">
        <f>IFERROR(IF(HL$1='Assumption Sheet'!$L31,'Assumption Sheet'!$Q31,HK12*IF(MOD(HL$5-'Assumption Sheet'!$W31,'Assumption Sheet'!$V31)=0,(1+'Assumption Sheet'!$U31),1)),0)</f>
        <v>38.655807417626356</v>
      </c>
      <c r="HM12" s="33">
        <f>IFERROR(IF(HM$1='Assumption Sheet'!$L31,'Assumption Sheet'!$Q31,HL12*IF(MOD(HM$5-'Assumption Sheet'!$W31,'Assumption Sheet'!$V31)=0,(1+'Assumption Sheet'!$U31),1)),0)</f>
        <v>40.588597788507677</v>
      </c>
      <c r="HN12" s="33">
        <f>IFERROR(IF(HN$1='Assumption Sheet'!$L31,'Assumption Sheet'!$Q31,HM12*IF(MOD(HN$5-'Assumption Sheet'!$W31,'Assumption Sheet'!$V31)=0,(1+'Assumption Sheet'!$U31),1)),0)</f>
        <v>40.588597788507677</v>
      </c>
      <c r="HO12" s="33">
        <f>IFERROR(IF(HO$1='Assumption Sheet'!$L31,'Assumption Sheet'!$Q31,HN12*IF(MOD(HO$5-'Assumption Sheet'!$W31,'Assumption Sheet'!$V31)=0,(1+'Assumption Sheet'!$U31),1)),0)</f>
        <v>40.588597788507677</v>
      </c>
      <c r="HP12" s="33">
        <f>IFERROR(IF(HP$1='Assumption Sheet'!$L31,'Assumption Sheet'!$Q31,HO12*IF(MOD(HP$5-'Assumption Sheet'!$W31,'Assumption Sheet'!$V31)=0,(1+'Assumption Sheet'!$U31),1)),0)</f>
        <v>40.588597788507677</v>
      </c>
      <c r="HQ12" s="33">
        <f>IFERROR(IF(HQ$1='Assumption Sheet'!$L31,'Assumption Sheet'!$Q31,HP12*IF(MOD(HQ$5-'Assumption Sheet'!$W31,'Assumption Sheet'!$V31)=0,(1+'Assumption Sheet'!$U31),1)),0)</f>
        <v>40.588597788507677</v>
      </c>
      <c r="HR12" s="33">
        <f>IFERROR(IF(HR$1='Assumption Sheet'!$L31,'Assumption Sheet'!$Q31,HQ12*IF(MOD(HR$5-'Assumption Sheet'!$W31,'Assumption Sheet'!$V31)=0,(1+'Assumption Sheet'!$U31),1)),0)</f>
        <v>40.588597788507677</v>
      </c>
      <c r="HS12" s="33">
        <f>IFERROR(IF(HS$1='Assumption Sheet'!$L31,'Assumption Sheet'!$Q31,HR12*IF(MOD(HS$5-'Assumption Sheet'!$W31,'Assumption Sheet'!$V31)=0,(1+'Assumption Sheet'!$U31),1)),0)</f>
        <v>40.588597788507677</v>
      </c>
      <c r="HT12" s="33">
        <f>IFERROR(IF(HT$1='Assumption Sheet'!$L31,'Assumption Sheet'!$Q31,HS12*IF(MOD(HT$5-'Assumption Sheet'!$W31,'Assumption Sheet'!$V31)=0,(1+'Assumption Sheet'!$U31),1)),0)</f>
        <v>40.588597788507677</v>
      </c>
      <c r="HU12" s="33">
        <f>IFERROR(IF(HU$1='Assumption Sheet'!$L31,'Assumption Sheet'!$Q31,HT12*IF(MOD(HU$5-'Assumption Sheet'!$W31,'Assumption Sheet'!$V31)=0,(1+'Assumption Sheet'!$U31),1)),0)</f>
        <v>40.588597788507677</v>
      </c>
      <c r="HV12" s="33">
        <f>IFERROR(IF(HV$1='Assumption Sheet'!$L31,'Assumption Sheet'!$Q31,HU12*IF(MOD(HV$5-'Assumption Sheet'!$W31,'Assumption Sheet'!$V31)=0,(1+'Assumption Sheet'!$U31),1)),0)</f>
        <v>40.588597788507677</v>
      </c>
      <c r="HW12" s="33">
        <f>IFERROR(IF(HW$1='Assumption Sheet'!$L31,'Assumption Sheet'!$Q31,HV12*IF(MOD(HW$5-'Assumption Sheet'!$W31,'Assumption Sheet'!$V31)=0,(1+'Assumption Sheet'!$U31),1)),0)</f>
        <v>40.588597788507677</v>
      </c>
      <c r="HX12" s="33">
        <f>IFERROR(IF(HX$1='Assumption Sheet'!$L31,'Assumption Sheet'!$Q31,HW12*IF(MOD(HX$5-'Assumption Sheet'!$W31,'Assumption Sheet'!$V31)=0,(1+'Assumption Sheet'!$U31),1)),0)</f>
        <v>40.588597788507677</v>
      </c>
      <c r="HY12" s="33">
        <f>IFERROR(IF(HY$1='Assumption Sheet'!$L31,'Assumption Sheet'!$Q31,HX12*IF(MOD(HY$5-'Assumption Sheet'!$W31,'Assumption Sheet'!$V31)=0,(1+'Assumption Sheet'!$U31),1)),0)</f>
        <v>42.618027677933064</v>
      </c>
      <c r="HZ12" s="33">
        <f>IFERROR(IF(HZ$1='Assumption Sheet'!$L31,'Assumption Sheet'!$Q31,HY12*IF(MOD(HZ$5-'Assumption Sheet'!$W31,'Assumption Sheet'!$V31)=0,(1+'Assumption Sheet'!$U31),1)),0)</f>
        <v>42.618027677933064</v>
      </c>
      <c r="IA12" s="33">
        <f>IFERROR(IF(IA$1='Assumption Sheet'!$L31,'Assumption Sheet'!$Q31,HZ12*IF(MOD(IA$5-'Assumption Sheet'!$W31,'Assumption Sheet'!$V31)=0,(1+'Assumption Sheet'!$U31),1)),0)</f>
        <v>42.618027677933064</v>
      </c>
      <c r="IB12" s="33">
        <f>IFERROR(IF(IB$1='Assumption Sheet'!$L31,'Assumption Sheet'!$Q31,IA12*IF(MOD(IB$5-'Assumption Sheet'!$W31,'Assumption Sheet'!$V31)=0,(1+'Assumption Sheet'!$U31),1)),0)</f>
        <v>42.618027677933064</v>
      </c>
      <c r="IC12" s="33">
        <f>IFERROR(IF(IC$1='Assumption Sheet'!$L31,'Assumption Sheet'!$Q31,IB12*IF(MOD(IC$5-'Assumption Sheet'!$W31,'Assumption Sheet'!$V31)=0,(1+'Assumption Sheet'!$U31),1)),0)</f>
        <v>42.618027677933064</v>
      </c>
      <c r="ID12" s="33">
        <f>IFERROR(IF(ID$1='Assumption Sheet'!$L31,'Assumption Sheet'!$Q31,IC12*IF(MOD(ID$5-'Assumption Sheet'!$W31,'Assumption Sheet'!$V31)=0,(1+'Assumption Sheet'!$U31),1)),0)</f>
        <v>42.618027677933064</v>
      </c>
      <c r="IE12" s="33">
        <f>IFERROR(IF(IE$1='Assumption Sheet'!$L31,'Assumption Sheet'!$Q31,ID12*IF(MOD(IE$5-'Assumption Sheet'!$W31,'Assumption Sheet'!$V31)=0,(1+'Assumption Sheet'!$U31),1)),0)</f>
        <v>42.618027677933064</v>
      </c>
      <c r="IF12" s="33">
        <f>IFERROR(IF(IF$1='Assumption Sheet'!$L31,'Assumption Sheet'!$Q31,IE12*IF(MOD(IF$5-'Assumption Sheet'!$W31,'Assumption Sheet'!$V31)=0,(1+'Assumption Sheet'!$U31),1)),0)</f>
        <v>42.618027677933064</v>
      </c>
      <c r="IG12" s="33">
        <f>IFERROR(IF(IG$1='Assumption Sheet'!$L31,'Assumption Sheet'!$Q31,IF12*IF(MOD(IG$5-'Assumption Sheet'!$W31,'Assumption Sheet'!$V31)=0,(1+'Assumption Sheet'!$U31),1)),0)</f>
        <v>42.618027677933064</v>
      </c>
      <c r="IH12" s="33">
        <f>IFERROR(IF(IH$1='Assumption Sheet'!$L31,'Assumption Sheet'!$Q31,IG12*IF(MOD(IH$5-'Assumption Sheet'!$W31,'Assumption Sheet'!$V31)=0,(1+'Assumption Sheet'!$U31),1)),0)</f>
        <v>42.618027677933064</v>
      </c>
      <c r="II12" s="33">
        <f>IFERROR(IF(II$1='Assumption Sheet'!$L31,'Assumption Sheet'!$Q31,IH12*IF(MOD(II$5-'Assumption Sheet'!$W31,'Assumption Sheet'!$V31)=0,(1+'Assumption Sheet'!$U31),1)),0)</f>
        <v>42.618027677933064</v>
      </c>
      <c r="IJ12" s="33">
        <f>IFERROR(IF(IJ$1='Assumption Sheet'!$L31,'Assumption Sheet'!$Q31,II12*IF(MOD(IJ$5-'Assumption Sheet'!$W31,'Assumption Sheet'!$V31)=0,(1+'Assumption Sheet'!$U31),1)),0)</f>
        <v>42.618027677933064</v>
      </c>
      <c r="IK12" s="33">
        <f>IFERROR(IF(IK$1='Assumption Sheet'!$L31,'Assumption Sheet'!$Q31,IJ12*IF(MOD(IK$5-'Assumption Sheet'!$W31,'Assumption Sheet'!$V31)=0,(1+'Assumption Sheet'!$U31),1)),0)</f>
        <v>44.74892906182972</v>
      </c>
      <c r="IL12" s="33">
        <f>IFERROR(IF(IL$1='Assumption Sheet'!$L31,'Assumption Sheet'!$Q31,IK12*IF(MOD(IL$5-'Assumption Sheet'!$W31,'Assumption Sheet'!$V31)=0,(1+'Assumption Sheet'!$U31),1)),0)</f>
        <v>44.74892906182972</v>
      </c>
      <c r="IM12" s="33">
        <f>IFERROR(IF(IM$1='Assumption Sheet'!$L31,'Assumption Sheet'!$Q31,IL12*IF(MOD(IM$5-'Assumption Sheet'!$W31,'Assumption Sheet'!$V31)=0,(1+'Assumption Sheet'!$U31),1)),0)</f>
        <v>44.74892906182972</v>
      </c>
      <c r="IN12" s="33">
        <f>IFERROR(IF(IN$1='Assumption Sheet'!$L31,'Assumption Sheet'!$Q31,IM12*IF(MOD(IN$5-'Assumption Sheet'!$W31,'Assumption Sheet'!$V31)=0,(1+'Assumption Sheet'!$U31),1)),0)</f>
        <v>44.74892906182972</v>
      </c>
      <c r="IO12" s="33">
        <f>IFERROR(IF(IO$1='Assumption Sheet'!$L31,'Assumption Sheet'!$Q31,IN12*IF(MOD(IO$5-'Assumption Sheet'!$W31,'Assumption Sheet'!$V31)=0,(1+'Assumption Sheet'!$U31),1)),0)</f>
        <v>44.74892906182972</v>
      </c>
      <c r="IP12" s="33">
        <f>IFERROR(IF(IP$1='Assumption Sheet'!$L31,'Assumption Sheet'!$Q31,IO12*IF(MOD(IP$5-'Assumption Sheet'!$W31,'Assumption Sheet'!$V31)=0,(1+'Assumption Sheet'!$U31),1)),0)</f>
        <v>44.74892906182972</v>
      </c>
      <c r="IQ12" s="33">
        <f>IFERROR(IF(IQ$1='Assumption Sheet'!$L31,'Assumption Sheet'!$Q31,IP12*IF(MOD(IQ$5-'Assumption Sheet'!$W31,'Assumption Sheet'!$V31)=0,(1+'Assumption Sheet'!$U31),1)),0)</f>
        <v>44.74892906182972</v>
      </c>
      <c r="IR12" s="33">
        <f>IFERROR(IF(IR$1='Assumption Sheet'!$L31,'Assumption Sheet'!$Q31,IQ12*IF(MOD(IR$5-'Assumption Sheet'!$W31,'Assumption Sheet'!$V31)=0,(1+'Assumption Sheet'!$U31),1)),0)</f>
        <v>44.74892906182972</v>
      </c>
      <c r="IS12" s="33">
        <f>IFERROR(IF(IS$1='Assumption Sheet'!$L31,'Assumption Sheet'!$Q31,IR12*IF(MOD(IS$5-'Assumption Sheet'!$W31,'Assumption Sheet'!$V31)=0,(1+'Assumption Sheet'!$U31),1)),0)</f>
        <v>44.74892906182972</v>
      </c>
      <c r="IT12" s="33">
        <f>IFERROR(IF(IT$1='Assumption Sheet'!$L31,'Assumption Sheet'!$Q31,IS12*IF(MOD(IT$5-'Assumption Sheet'!$W31,'Assumption Sheet'!$V31)=0,(1+'Assumption Sheet'!$U31),1)),0)</f>
        <v>44.74892906182972</v>
      </c>
      <c r="IU12" s="33">
        <f>IFERROR(IF(IU$1='Assumption Sheet'!$L31,'Assumption Sheet'!$Q31,IT12*IF(MOD(IU$5-'Assumption Sheet'!$W31,'Assumption Sheet'!$V31)=0,(1+'Assumption Sheet'!$U31),1)),0)</f>
        <v>44.74892906182972</v>
      </c>
      <c r="IV12" s="33">
        <f>IFERROR(IF(IV$1='Assumption Sheet'!$L31,'Assumption Sheet'!$Q31,IU12*IF(MOD(IV$5-'Assumption Sheet'!$W31,'Assumption Sheet'!$V31)=0,(1+'Assumption Sheet'!$U31),1)),0)</f>
        <v>44.74892906182972</v>
      </c>
      <c r="IW12" s="33">
        <f>IFERROR(IF(IW$1='Assumption Sheet'!$L31,'Assumption Sheet'!$Q31,IV12*IF(MOD(IW$5-'Assumption Sheet'!$W31,'Assumption Sheet'!$V31)=0,(1+'Assumption Sheet'!$U31),1)),0)</f>
        <v>46.986375514921207</v>
      </c>
      <c r="IX12" s="33">
        <f>IFERROR(IF(IX$1='Assumption Sheet'!$L31,'Assumption Sheet'!$Q31,IW12*IF(MOD(IX$5-'Assumption Sheet'!$W31,'Assumption Sheet'!$V31)=0,(1+'Assumption Sheet'!$U31),1)),0)</f>
        <v>46.986375514921207</v>
      </c>
      <c r="IY12" s="33">
        <f>IFERROR(IF(IY$1='Assumption Sheet'!$L31,'Assumption Sheet'!$Q31,IX12*IF(MOD(IY$5-'Assumption Sheet'!$W31,'Assumption Sheet'!$V31)=0,(1+'Assumption Sheet'!$U31),1)),0)</f>
        <v>46.986375514921207</v>
      </c>
      <c r="IZ12" s="33">
        <f>IFERROR(IF(IZ$1='Assumption Sheet'!$L31,'Assumption Sheet'!$Q31,IY12*IF(MOD(IZ$5-'Assumption Sheet'!$W31,'Assumption Sheet'!$V31)=0,(1+'Assumption Sheet'!$U31),1)),0)</f>
        <v>46.986375514921207</v>
      </c>
      <c r="JA12" s="33">
        <f>IFERROR(IF(JA$1='Assumption Sheet'!$L31,'Assumption Sheet'!$Q31,IZ12*IF(MOD(JA$5-'Assumption Sheet'!$W31,'Assumption Sheet'!$V31)=0,(1+'Assumption Sheet'!$U31),1)),0)</f>
        <v>46.986375514921207</v>
      </c>
      <c r="JB12" s="33">
        <f>IFERROR(IF(JB$1='Assumption Sheet'!$L31,'Assumption Sheet'!$Q31,JA12*IF(MOD(JB$5-'Assumption Sheet'!$W31,'Assumption Sheet'!$V31)=0,(1+'Assumption Sheet'!$U31),1)),0)</f>
        <v>46.986375514921207</v>
      </c>
      <c r="JC12" s="33">
        <f>IFERROR(IF(JC$1='Assumption Sheet'!$L31,'Assumption Sheet'!$Q31,JB12*IF(MOD(JC$5-'Assumption Sheet'!$W31,'Assumption Sheet'!$V31)=0,(1+'Assumption Sheet'!$U31),1)),0)</f>
        <v>46.986375514921207</v>
      </c>
      <c r="JD12" s="33">
        <f>IFERROR(IF(JD$1='Assumption Sheet'!$L31,'Assumption Sheet'!$Q31,JC12*IF(MOD(JD$5-'Assumption Sheet'!$W31,'Assumption Sheet'!$V31)=0,(1+'Assumption Sheet'!$U31),1)),0)</f>
        <v>46.986375514921207</v>
      </c>
      <c r="JE12" s="33">
        <f>IFERROR(IF(JE$1='Assumption Sheet'!$L31,'Assumption Sheet'!$Q31,JD12*IF(MOD(JE$5-'Assumption Sheet'!$W31,'Assumption Sheet'!$V31)=0,(1+'Assumption Sheet'!$U31),1)),0)</f>
        <v>46.986375514921207</v>
      </c>
      <c r="JF12" s="33">
        <f>IFERROR(IF(JF$1='Assumption Sheet'!$L31,'Assumption Sheet'!$Q31,JE12*IF(MOD(JF$5-'Assumption Sheet'!$W31,'Assumption Sheet'!$V31)=0,(1+'Assumption Sheet'!$U31),1)),0)</f>
        <v>46.986375514921207</v>
      </c>
      <c r="JG12" s="33">
        <f>IFERROR(IF(JG$1='Assumption Sheet'!$L31,'Assumption Sheet'!$Q31,JF12*IF(MOD(JG$5-'Assumption Sheet'!$W31,'Assumption Sheet'!$V31)=0,(1+'Assumption Sheet'!$U31),1)),0)</f>
        <v>46.986375514921207</v>
      </c>
      <c r="JH12" s="33">
        <f>IFERROR(IF(JH$1='Assumption Sheet'!$L31,'Assumption Sheet'!$Q31,JG12*IF(MOD(JH$5-'Assumption Sheet'!$W31,'Assumption Sheet'!$V31)=0,(1+'Assumption Sheet'!$U31),1)),0)</f>
        <v>46.986375514921207</v>
      </c>
      <c r="JI12" s="33">
        <f>IFERROR(IF(JI$1='Assumption Sheet'!$L31,'Assumption Sheet'!$Q31,JH12*IF(MOD(JI$5-'Assumption Sheet'!$W31,'Assumption Sheet'!$V31)=0,(1+'Assumption Sheet'!$U31),1)),0)</f>
        <v>49.33569429066727</v>
      </c>
      <c r="JJ12" s="33">
        <f>IFERROR(IF(JJ$1='Assumption Sheet'!$L31,'Assumption Sheet'!$Q31,JI12*IF(MOD(JJ$5-'Assumption Sheet'!$W31,'Assumption Sheet'!$V31)=0,(1+'Assumption Sheet'!$U31),1)),0)</f>
        <v>49.33569429066727</v>
      </c>
      <c r="JK12" s="33">
        <f>IFERROR(IF(JK$1='Assumption Sheet'!$L31,'Assumption Sheet'!$Q31,JJ12*IF(MOD(JK$5-'Assumption Sheet'!$W31,'Assumption Sheet'!$V31)=0,(1+'Assumption Sheet'!$U31),1)),0)</f>
        <v>49.33569429066727</v>
      </c>
      <c r="JL12" s="33">
        <f>IFERROR(IF(JL$1='Assumption Sheet'!$L31,'Assumption Sheet'!$Q31,JK12*IF(MOD(JL$5-'Assumption Sheet'!$W31,'Assumption Sheet'!$V31)=0,(1+'Assumption Sheet'!$U31),1)),0)</f>
        <v>49.33569429066727</v>
      </c>
      <c r="JM12" s="33">
        <f>IFERROR(IF(JM$1='Assumption Sheet'!$L31,'Assumption Sheet'!$Q31,JL12*IF(MOD(JM$5-'Assumption Sheet'!$W31,'Assumption Sheet'!$V31)=0,(1+'Assumption Sheet'!$U31),1)),0)</f>
        <v>49.33569429066727</v>
      </c>
      <c r="JN12" s="33">
        <f>IFERROR(IF(JN$1='Assumption Sheet'!$L31,'Assumption Sheet'!$Q31,JM12*IF(MOD(JN$5-'Assumption Sheet'!$W31,'Assumption Sheet'!$V31)=0,(1+'Assumption Sheet'!$U31),1)),0)</f>
        <v>49.33569429066727</v>
      </c>
      <c r="JO12" s="33">
        <f>IFERROR(IF(JO$1='Assumption Sheet'!$L31,'Assumption Sheet'!$Q31,JN12*IF(MOD(JO$5-'Assumption Sheet'!$W31,'Assumption Sheet'!$V31)=0,(1+'Assumption Sheet'!$U31),1)),0)</f>
        <v>49.33569429066727</v>
      </c>
      <c r="JP12" s="33">
        <f>IFERROR(IF(JP$1='Assumption Sheet'!$L31,'Assumption Sheet'!$Q31,JO12*IF(MOD(JP$5-'Assumption Sheet'!$W31,'Assumption Sheet'!$V31)=0,(1+'Assumption Sheet'!$U31),1)),0)</f>
        <v>49.33569429066727</v>
      </c>
      <c r="JQ12" s="33">
        <f>IFERROR(IF(JQ$1='Assumption Sheet'!$L31,'Assumption Sheet'!$Q31,JP12*IF(MOD(JQ$5-'Assumption Sheet'!$W31,'Assumption Sheet'!$V31)=0,(1+'Assumption Sheet'!$U31),1)),0)</f>
        <v>49.33569429066727</v>
      </c>
      <c r="JR12" s="33">
        <f>IFERROR(IF(JR$1='Assumption Sheet'!$L31,'Assumption Sheet'!$Q31,JQ12*IF(MOD(JR$5-'Assumption Sheet'!$W31,'Assumption Sheet'!$V31)=0,(1+'Assumption Sheet'!$U31),1)),0)</f>
        <v>49.33569429066727</v>
      </c>
      <c r="JS12" s="33">
        <f>IFERROR(IF(JS$1='Assumption Sheet'!$L31,'Assumption Sheet'!$Q31,JR12*IF(MOD(JS$5-'Assumption Sheet'!$W31,'Assumption Sheet'!$V31)=0,(1+'Assumption Sheet'!$U31),1)),0)</f>
        <v>49.33569429066727</v>
      </c>
      <c r="JT12" s="33">
        <f>IFERROR(IF(JT$1='Assumption Sheet'!$L31,'Assumption Sheet'!$Q31,JS12*IF(MOD(JT$5-'Assumption Sheet'!$W31,'Assumption Sheet'!$V31)=0,(1+'Assumption Sheet'!$U31),1)),0)</f>
        <v>49.33569429066727</v>
      </c>
      <c r="JU12" s="33">
        <f>IFERROR(IF(JU$1='Assumption Sheet'!$L31,'Assumption Sheet'!$Q31,JT12*IF(MOD(JU$5-'Assumption Sheet'!$W31,'Assumption Sheet'!$V31)=0,(1+'Assumption Sheet'!$U31),1)),0)</f>
        <v>51.802479005200638</v>
      </c>
      <c r="JV12" s="33">
        <f>IFERROR(IF(JV$1='Assumption Sheet'!$L31,'Assumption Sheet'!$Q31,JU12*IF(MOD(JV$5-'Assumption Sheet'!$W31,'Assumption Sheet'!$V31)=0,(1+'Assumption Sheet'!$U31),1)),0)</f>
        <v>51.802479005200638</v>
      </c>
      <c r="JW12" s="33">
        <f>IFERROR(IF(JW$1='Assumption Sheet'!$L31,'Assumption Sheet'!$Q31,JV12*IF(MOD(JW$5-'Assumption Sheet'!$W31,'Assumption Sheet'!$V31)=0,(1+'Assumption Sheet'!$U31),1)),0)</f>
        <v>51.802479005200638</v>
      </c>
      <c r="JX12" s="33">
        <f>IFERROR(IF(JX$1='Assumption Sheet'!$L31,'Assumption Sheet'!$Q31,JW12*IF(MOD(JX$5-'Assumption Sheet'!$W31,'Assumption Sheet'!$V31)=0,(1+'Assumption Sheet'!$U31),1)),0)</f>
        <v>51.802479005200638</v>
      </c>
      <c r="JY12" s="33">
        <f>IFERROR(IF(JY$1='Assumption Sheet'!$L31,'Assumption Sheet'!$Q31,JX12*IF(MOD(JY$5-'Assumption Sheet'!$W31,'Assumption Sheet'!$V31)=0,(1+'Assumption Sheet'!$U31),1)),0)</f>
        <v>51.802479005200638</v>
      </c>
      <c r="JZ12" s="33">
        <f>IFERROR(IF(JZ$1='Assumption Sheet'!$L31,'Assumption Sheet'!$Q31,JY12*IF(MOD(JZ$5-'Assumption Sheet'!$W31,'Assumption Sheet'!$V31)=0,(1+'Assumption Sheet'!$U31),1)),0)</f>
        <v>51.802479005200638</v>
      </c>
      <c r="KA12" s="33">
        <f>IFERROR(IF(KA$1='Assumption Sheet'!$L31,'Assumption Sheet'!$Q31,JZ12*IF(MOD(KA$5-'Assumption Sheet'!$W31,'Assumption Sheet'!$V31)=0,(1+'Assumption Sheet'!$U31),1)),0)</f>
        <v>51.802479005200638</v>
      </c>
      <c r="KB12" s="33">
        <f>IFERROR(IF(KB$1='Assumption Sheet'!$L31,'Assumption Sheet'!$Q31,KA12*IF(MOD(KB$5-'Assumption Sheet'!$W31,'Assumption Sheet'!$V31)=0,(1+'Assumption Sheet'!$U31),1)),0)</f>
        <v>51.802479005200638</v>
      </c>
      <c r="KC12" s="33">
        <f>IFERROR(IF(KC$1='Assumption Sheet'!$L31,'Assumption Sheet'!$Q31,KB12*IF(MOD(KC$5-'Assumption Sheet'!$W31,'Assumption Sheet'!$V31)=0,(1+'Assumption Sheet'!$U31),1)),0)</f>
        <v>51.802479005200638</v>
      </c>
      <c r="KD12" s="33"/>
      <c r="KE12" s="33"/>
      <c r="KF12" s="33"/>
      <c r="KG12" s="33"/>
      <c r="KH12" s="33"/>
      <c r="KI12" s="33"/>
      <c r="KJ12" s="33"/>
      <c r="KK12" s="33"/>
      <c r="KL12" s="33"/>
      <c r="KM12" s="33"/>
      <c r="KN12" s="33"/>
      <c r="KO12" s="33"/>
    </row>
    <row r="13" spans="2:301" x14ac:dyDescent="0.3">
      <c r="B13" s="1" t="str">
        <f>'Assumption Sheet'!A32</f>
        <v>Phase 5</v>
      </c>
      <c r="E13" s="33">
        <f>IFERROR(IF(E$1='Assumption Sheet'!$L32,'Assumption Sheet'!$M32+'Assumption Sheet'!$P32,D13*IF(MOD(E$5-'Assumption Sheet'!$W32,'Assumption Sheet'!$V32)=0,(1+'Assumption Sheet'!$U32),1)),0)</f>
        <v>0</v>
      </c>
      <c r="F13" s="33">
        <f>IFERROR(IF(F$1='Assumption Sheet'!$L32,'Assumption Sheet'!$M32+'Assumption Sheet'!$P32,E13*IF(MOD(F$5-'Assumption Sheet'!$W32,'Assumption Sheet'!$V32)=0,(1+'Assumption Sheet'!$U32),1)),0)</f>
        <v>0</v>
      </c>
      <c r="G13" s="33">
        <f>IFERROR(IF(G$1='Assumption Sheet'!$L32,'Assumption Sheet'!$M32+'Assumption Sheet'!$P32,F13*IF(MOD(G$5-'Assumption Sheet'!$W32,'Assumption Sheet'!$V32)=0,(1+'Assumption Sheet'!$U32),1)),0)</f>
        <v>0</v>
      </c>
      <c r="H13" s="33">
        <f>IFERROR(IF(H$1='Assumption Sheet'!$L32,'Assumption Sheet'!$M32+'Assumption Sheet'!$P32,G13*IF(MOD(H$5-'Assumption Sheet'!$W32,'Assumption Sheet'!$V32)=0,(1+'Assumption Sheet'!$U32),1)),0)</f>
        <v>0</v>
      </c>
      <c r="I13" s="33">
        <f>IFERROR(IF(I$1='Assumption Sheet'!$L32,'Assumption Sheet'!$M32+'Assumption Sheet'!$P32,H13*IF(MOD(I$5-'Assumption Sheet'!$W32,'Assumption Sheet'!$V32)=0,(1+'Assumption Sheet'!$U32),1)),0)</f>
        <v>0</v>
      </c>
      <c r="J13" s="33">
        <f>IFERROR(IF(J$1='Assumption Sheet'!$L32,'Assumption Sheet'!$M32+'Assumption Sheet'!$P32,I13*IF(MOD(J$5-'Assumption Sheet'!$W32,'Assumption Sheet'!$V32)=0,(1+'Assumption Sheet'!$U32),1)),0)</f>
        <v>0</v>
      </c>
      <c r="K13" s="33">
        <f>IFERROR(IF(K$1='Assumption Sheet'!$L32,'Assumption Sheet'!$M32+'Assumption Sheet'!$P32,J13*IF(MOD(K$5-'Assumption Sheet'!$W32,'Assumption Sheet'!$V32)=0,(1+'Assumption Sheet'!$U32),1)),0)</f>
        <v>0</v>
      </c>
      <c r="L13" s="33">
        <f>IFERROR(IF(L$1='Assumption Sheet'!$L32,'Assumption Sheet'!$M32+'Assumption Sheet'!$P32,K13*IF(MOD(L$5-'Assumption Sheet'!$W32,'Assumption Sheet'!$V32)=0,(1+'Assumption Sheet'!$U32),1)),0)</f>
        <v>0</v>
      </c>
      <c r="M13" s="33">
        <f>IFERROR(IF(M$1='Assumption Sheet'!$L32,'Assumption Sheet'!$M32+'Assumption Sheet'!$P32,L13*IF(MOD(M$5-'Assumption Sheet'!$W32,'Assumption Sheet'!$V32)=0,(1+'Assumption Sheet'!$U32),1)),0)</f>
        <v>0</v>
      </c>
      <c r="N13" s="33">
        <f>IFERROR(IF(N$1='Assumption Sheet'!$L32,'Assumption Sheet'!$M32+'Assumption Sheet'!$P32,M13*IF(MOD(N$5-'Assumption Sheet'!$W32,'Assumption Sheet'!$V32)=0,(1+'Assumption Sheet'!$U32),1)),0)</f>
        <v>0</v>
      </c>
      <c r="O13" s="33">
        <f>IFERROR(IF(O$1='Assumption Sheet'!$L32,'Assumption Sheet'!$M32+'Assumption Sheet'!$P32,N13*IF(MOD(O$5-'Assumption Sheet'!$W32,'Assumption Sheet'!$V32)=0,(1+'Assumption Sheet'!$U32),1)),0)</f>
        <v>0</v>
      </c>
      <c r="P13" s="33">
        <f>IFERROR(IF(P$1='Assumption Sheet'!$L32,'Assumption Sheet'!$M32+'Assumption Sheet'!$P32,O13*IF(MOD(P$5-'Assumption Sheet'!$W32,'Assumption Sheet'!$V32)=0,(1+'Assumption Sheet'!$U32),1)),0)</f>
        <v>0</v>
      </c>
      <c r="Q13" s="33">
        <f>IFERROR(IF(Q$1='Assumption Sheet'!$L32,'Assumption Sheet'!$M32+'Assumption Sheet'!$P32,P13*IF(MOD(Q$5-'Assumption Sheet'!$W32,'Assumption Sheet'!$V32)=0,(1+'Assumption Sheet'!$U32),1)),0)</f>
        <v>0</v>
      </c>
      <c r="R13" s="33">
        <f>IFERROR(IF(R$1='Assumption Sheet'!$L32,'Assumption Sheet'!$M32+'Assumption Sheet'!$P32,Q13*IF(MOD(R$5-'Assumption Sheet'!$W32,'Assumption Sheet'!$V32)=0,(1+'Assumption Sheet'!$U32),1)),0)</f>
        <v>0</v>
      </c>
      <c r="S13" s="33">
        <f>IFERROR(IF(S$1='Assumption Sheet'!$L32,'Assumption Sheet'!$M32+'Assumption Sheet'!$P32,R13*IF(MOD(S$5-'Assumption Sheet'!$W32,'Assumption Sheet'!$V32)=0,(1+'Assumption Sheet'!$U32),1)),0)</f>
        <v>0</v>
      </c>
      <c r="T13" s="33">
        <f>IFERROR(IF(T$1='Assumption Sheet'!$L32,'Assumption Sheet'!$M32+'Assumption Sheet'!$P32,S13*IF(MOD(T$5-'Assumption Sheet'!$W32,'Assumption Sheet'!$V32)=0,(1+'Assumption Sheet'!$U32),1)),0)</f>
        <v>0</v>
      </c>
      <c r="U13" s="33">
        <f>IFERROR(IF(U$1='Assumption Sheet'!$L32,'Assumption Sheet'!$M32+'Assumption Sheet'!$P32,T13*IF(MOD(U$5-'Assumption Sheet'!$W32,'Assumption Sheet'!$V32)=0,(1+'Assumption Sheet'!$U32),1)),0)</f>
        <v>0</v>
      </c>
      <c r="V13" s="33">
        <f>IFERROR(IF(V$1='Assumption Sheet'!$L32,'Assumption Sheet'!$M32+'Assumption Sheet'!$P32,U13*IF(MOD(V$5-'Assumption Sheet'!$W32,'Assumption Sheet'!$V32)=0,(1+'Assumption Sheet'!$U32),1)),0)</f>
        <v>0</v>
      </c>
      <c r="W13" s="33">
        <f>IFERROR(IF(W$1='Assumption Sheet'!$L32,'Assumption Sheet'!$Q32,V13*IF(MOD(W$5-'Assumption Sheet'!$W32,'Assumption Sheet'!$V32)=0,(1+'Assumption Sheet'!$U32),1)),0)</f>
        <v>0</v>
      </c>
      <c r="X13" s="33">
        <f>IFERROR(IF(X$1='Assumption Sheet'!$L32,'Assumption Sheet'!$Q32,W13*IF(MOD(X$5-'Assumption Sheet'!$W32,'Assumption Sheet'!$V32)=0,(1+'Assumption Sheet'!$U32),1)),0)</f>
        <v>0</v>
      </c>
      <c r="Y13" s="33">
        <f>IFERROR(IF(Y$1='Assumption Sheet'!$L32,'Assumption Sheet'!$Q32,X13*IF(MOD(Y$5-'Assumption Sheet'!$W32,'Assumption Sheet'!$V32)=0,(1+'Assumption Sheet'!$U32),1)),0)</f>
        <v>0</v>
      </c>
      <c r="Z13" s="33">
        <f>IFERROR(IF(Z$1='Assumption Sheet'!$L32,'Assumption Sheet'!$Q32,Y13*IF(MOD(Z$5-'Assumption Sheet'!$W32,'Assumption Sheet'!$V32)=0,(1+'Assumption Sheet'!$U32),1)),0)</f>
        <v>0</v>
      </c>
      <c r="AA13" s="33">
        <f>IFERROR(IF(AA$1='Assumption Sheet'!$L32,'Assumption Sheet'!$Q32,Z13*IF(MOD(AA$5-'Assumption Sheet'!$W32,'Assumption Sheet'!$V32)=0,(1+'Assumption Sheet'!$U32),1)),0)</f>
        <v>0</v>
      </c>
      <c r="AB13" s="33">
        <f>IFERROR(IF(AB$1='Assumption Sheet'!$L32,'Assumption Sheet'!$Q32,AA13*IF(MOD(AB$5-'Assumption Sheet'!$W32,'Assumption Sheet'!$V32)=0,(1+'Assumption Sheet'!$U32),1)),0)</f>
        <v>0</v>
      </c>
      <c r="AC13" s="33">
        <f>IFERROR(IF(AC$1='Assumption Sheet'!$L32,'Assumption Sheet'!$Q32,AB13*IF(MOD(AC$5-'Assumption Sheet'!$W32,'Assumption Sheet'!$V32)=0,(1+'Assumption Sheet'!$U32),1)),0)</f>
        <v>0</v>
      </c>
      <c r="AD13" s="33">
        <f>IFERROR(IF(AD$1='Assumption Sheet'!$L32,'Assumption Sheet'!$Q32,AC13*IF(MOD(AD$5-'Assumption Sheet'!$W32,'Assumption Sheet'!$V32)=0,(1+'Assumption Sheet'!$U32),1)),0)</f>
        <v>0</v>
      </c>
      <c r="AE13" s="33">
        <f>IFERROR(IF(AE$1='Assumption Sheet'!$L32,'Assumption Sheet'!$Q32,AD13*IF(MOD(AE$5-'Assumption Sheet'!$W32,'Assumption Sheet'!$V32)=0,(1+'Assumption Sheet'!$U32),1)),0)</f>
        <v>0</v>
      </c>
      <c r="AF13" s="33">
        <f>IFERROR(IF(AF$1='Assumption Sheet'!$L32,'Assumption Sheet'!$Q32,AE13*IF(MOD(AF$5-'Assumption Sheet'!$W32,'Assumption Sheet'!$V32)=0,(1+'Assumption Sheet'!$U32),1)),0)</f>
        <v>0</v>
      </c>
      <c r="AG13" s="33">
        <f>IFERROR(IF(AG$1='Assumption Sheet'!$L32,'Assumption Sheet'!$Q32,AF13*IF(MOD(AG$5-'Assumption Sheet'!$W32,'Assumption Sheet'!$V32)=0,(1+'Assumption Sheet'!$U32),1)),0)</f>
        <v>0</v>
      </c>
      <c r="AH13" s="33">
        <f>IFERROR(IF(AH$1='Assumption Sheet'!$L32,'Assumption Sheet'!$Q32,AG13*IF(MOD(AH$5-'Assumption Sheet'!$W32,'Assumption Sheet'!$V32)=0,(1+'Assumption Sheet'!$U32),1)),0)</f>
        <v>0</v>
      </c>
      <c r="AI13" s="33">
        <f>IFERROR(IF(AI$1='Assumption Sheet'!$L32,'Assumption Sheet'!$Q32,AH13*IF(MOD(AI$5-'Assumption Sheet'!$W32,'Assumption Sheet'!$V32)=0,(1+'Assumption Sheet'!$U32),1)),0)</f>
        <v>0</v>
      </c>
      <c r="AJ13" s="33">
        <f>IFERROR(IF(AJ$1='Assumption Sheet'!$L32,'Assumption Sheet'!$Q32,AI13*IF(MOD(AJ$5-'Assumption Sheet'!$W32,'Assumption Sheet'!$V32)=0,(1+'Assumption Sheet'!$U32),1)),0)</f>
        <v>0</v>
      </c>
      <c r="AK13" s="33">
        <f>IFERROR(IF(AK$1='Assumption Sheet'!$L32,'Assumption Sheet'!$Q32,AJ13*IF(MOD(AK$5-'Assumption Sheet'!$W32,'Assumption Sheet'!$V32)=0,(1+'Assumption Sheet'!$U32),1)),0)</f>
        <v>0</v>
      </c>
      <c r="AL13" s="33">
        <f>IFERROR(IF(AL$1='Assumption Sheet'!$L32,'Assumption Sheet'!$Q32,AK13*IF(MOD(AL$5-'Assumption Sheet'!$W32,'Assumption Sheet'!$V32)=0,(1+'Assumption Sheet'!$U32),1)),0)</f>
        <v>0</v>
      </c>
      <c r="AM13" s="33">
        <f>IFERROR(IF(AM$1='Assumption Sheet'!$L32,'Assumption Sheet'!$Q32,AL13*IF(MOD(AM$5-'Assumption Sheet'!$W32,'Assumption Sheet'!$V32)=0,(1+'Assumption Sheet'!$U32),1)),0)</f>
        <v>0</v>
      </c>
      <c r="AN13" s="33">
        <f>IFERROR(IF(AN$1='Assumption Sheet'!$L32,'Assumption Sheet'!$Q32,AM13*IF(MOD(AN$5-'Assumption Sheet'!$W32,'Assumption Sheet'!$V32)=0,(1+'Assumption Sheet'!$U32),1)),0)</f>
        <v>0</v>
      </c>
      <c r="AO13" s="33">
        <f>IFERROR(IF(AO$1='Assumption Sheet'!$L32,'Assumption Sheet'!$Q32,AN13*IF(MOD(AO$5-'Assumption Sheet'!$W32,'Assumption Sheet'!$V32)=0,(1+'Assumption Sheet'!$U32),1)),0)</f>
        <v>0</v>
      </c>
      <c r="AP13" s="33">
        <f>IFERROR(IF(AP$1='Assumption Sheet'!$L32,'Assumption Sheet'!$Q32,AO13*IF(MOD(AP$5-'Assumption Sheet'!$W32,'Assumption Sheet'!$V32)=0,(1+'Assumption Sheet'!$U32),1)),0)</f>
        <v>0</v>
      </c>
      <c r="AQ13" s="33">
        <f>IFERROR(IF(AQ$1='Assumption Sheet'!$L32,'Assumption Sheet'!$Q32,AP13*IF(MOD(AQ$5-'Assumption Sheet'!$W32,'Assumption Sheet'!$V32)=0,(1+'Assumption Sheet'!$U32),1)),0)</f>
        <v>0</v>
      </c>
      <c r="AR13" s="33">
        <f>IFERROR(IF(AR$1='Assumption Sheet'!$L32,'Assumption Sheet'!$Q32,AQ13*IF(MOD(AR$5-'Assumption Sheet'!$W32,'Assumption Sheet'!$V32)=0,(1+'Assumption Sheet'!$U32),1)),0)</f>
        <v>0</v>
      </c>
      <c r="AS13" s="33">
        <f>IFERROR(IF(AS$1='Assumption Sheet'!$L32,'Assumption Sheet'!$Q32,AR13*IF(MOD(AS$5-'Assumption Sheet'!$W32,'Assumption Sheet'!$V32)=0,(1+'Assumption Sheet'!$U32),1)),0)</f>
        <v>0</v>
      </c>
      <c r="AT13" s="33">
        <f>IFERROR(IF(AT$1='Assumption Sheet'!$L32,'Assumption Sheet'!$Q32,AS13*IF(MOD(AT$5-'Assumption Sheet'!$W32,'Assumption Sheet'!$V32)=0,(1+'Assumption Sheet'!$U32),1)),0)</f>
        <v>0</v>
      </c>
      <c r="AU13" s="33">
        <f>IFERROR(IF(AU$1='Assumption Sheet'!$L32,'Assumption Sheet'!$Q32,AT13*IF(MOD(AU$5-'Assumption Sheet'!$W32,'Assumption Sheet'!$V32)=0,(1+'Assumption Sheet'!$U32),1)),0)</f>
        <v>0</v>
      </c>
      <c r="AV13" s="33">
        <f>IFERROR(IF(AV$1='Assumption Sheet'!$L32,'Assumption Sheet'!$Q32,AU13*IF(MOD(AV$5-'Assumption Sheet'!$W32,'Assumption Sheet'!$V32)=0,(1+'Assumption Sheet'!$U32),1)),0)</f>
        <v>0</v>
      </c>
      <c r="AW13" s="33">
        <f>IFERROR(IF(AW$1='Assumption Sheet'!$L32,'Assumption Sheet'!$Q32,AV13*IF(MOD(AW$5-'Assumption Sheet'!$W32,'Assumption Sheet'!$V32)=0,(1+'Assumption Sheet'!$U32),1)),0)</f>
        <v>0</v>
      </c>
      <c r="AX13" s="33">
        <f>IFERROR(IF(AX$1='Assumption Sheet'!$L32,'Assumption Sheet'!$Q32,AW13*IF(MOD(AX$5-'Assumption Sheet'!$W32,'Assumption Sheet'!$V32)=0,(1+'Assumption Sheet'!$U32),1)),0)</f>
        <v>0</v>
      </c>
      <c r="AY13" s="33">
        <f>IFERROR(IF(AY$1='Assumption Sheet'!$L32,'Assumption Sheet'!$Q32,AX13*IF(MOD(AY$5-'Assumption Sheet'!$W32,'Assumption Sheet'!$V32)=0,(1+'Assumption Sheet'!$U32),1)),0)</f>
        <v>0</v>
      </c>
      <c r="AZ13" s="33">
        <f>IFERROR(IF(AZ$1='Assumption Sheet'!$L32,'Assumption Sheet'!$Q32,AY13*IF(MOD(AZ$5-'Assumption Sheet'!$W32,'Assumption Sheet'!$V32)=0,(1+'Assumption Sheet'!$U32),1)),0)</f>
        <v>0</v>
      </c>
      <c r="BA13" s="33">
        <f>IFERROR(IF(BA$1='Assumption Sheet'!$L32,'Assumption Sheet'!$Q32,AZ13*IF(MOD(BA$5-'Assumption Sheet'!$W32,'Assumption Sheet'!$V32)=0,(1+'Assumption Sheet'!$U32),1)),0)</f>
        <v>0</v>
      </c>
      <c r="BB13" s="33">
        <f>IFERROR(IF(BB$1='Assumption Sheet'!$L32,'Assumption Sheet'!$Q32,BA13*IF(MOD(BB$5-'Assumption Sheet'!$W32,'Assumption Sheet'!$V32)=0,(1+'Assumption Sheet'!$U32),1)),0)</f>
        <v>0</v>
      </c>
      <c r="BC13" s="33">
        <f>IFERROR(IF(BC$1='Assumption Sheet'!$L32,'Assumption Sheet'!$Q32,BB13*IF(MOD(BC$5-'Assumption Sheet'!$W32,'Assumption Sheet'!$V32)=0,(1+'Assumption Sheet'!$U32),1)),0)</f>
        <v>0</v>
      </c>
      <c r="BD13" s="33">
        <f>IFERROR(IF(BD$1='Assumption Sheet'!$L32,'Assumption Sheet'!$Q32,BC13*IF(MOD(BD$5-'Assumption Sheet'!$W32,'Assumption Sheet'!$V32)=0,(1+'Assumption Sheet'!$U32),1)),0)</f>
        <v>0</v>
      </c>
      <c r="BE13" s="33">
        <f>IFERROR(IF(BE$1='Assumption Sheet'!$L32,'Assumption Sheet'!$Q32,BD13*IF(MOD(BE$5-'Assumption Sheet'!$W32,'Assumption Sheet'!$V32)=0,(1+'Assumption Sheet'!$U32),1)),0)</f>
        <v>0</v>
      </c>
      <c r="BF13" s="33">
        <f>IFERROR(IF(BF$1='Assumption Sheet'!$L32,'Assumption Sheet'!$Q32,BE13*IF(MOD(BF$5-'Assumption Sheet'!$W32,'Assumption Sheet'!$V32)=0,(1+'Assumption Sheet'!$U32),1)),0)</f>
        <v>0</v>
      </c>
      <c r="BG13" s="33">
        <f>IFERROR(IF(BG$1='Assumption Sheet'!$L32,'Assumption Sheet'!$Q32,BF13*IF(MOD(BG$5-'Assumption Sheet'!$W32,'Assumption Sheet'!$V32)=0,(1+'Assumption Sheet'!$U32),1)),0)</f>
        <v>0</v>
      </c>
      <c r="BH13" s="33">
        <f>IFERROR(IF(BH$1='Assumption Sheet'!$L32,'Assumption Sheet'!$Q32,BG13*IF(MOD(BH$5-'Assumption Sheet'!$W32,'Assumption Sheet'!$V32)=0,(1+'Assumption Sheet'!$U32),1)),0)</f>
        <v>0</v>
      </c>
      <c r="BI13" s="33">
        <f>IFERROR(IF(BI$1='Assumption Sheet'!$L32,'Assumption Sheet'!$Q32,BH13*IF(MOD(BI$5-'Assumption Sheet'!$W32,'Assumption Sheet'!$V32)=0,(1+'Assumption Sheet'!$U32),1)),0)</f>
        <v>0</v>
      </c>
      <c r="BJ13" s="33">
        <f>IFERROR(IF(BJ$1='Assumption Sheet'!$L32,'Assumption Sheet'!$Q32,BI13*IF(MOD(BJ$5-'Assumption Sheet'!$W32,'Assumption Sheet'!$V32)=0,(1+'Assumption Sheet'!$U32),1)),0)</f>
        <v>20.5</v>
      </c>
      <c r="BK13" s="33">
        <f>IFERROR(IF(BK$1='Assumption Sheet'!$L32,'Assumption Sheet'!$Q32,BJ13*IF(MOD(BK$5-'Assumption Sheet'!$W32,'Assumption Sheet'!$V32)=0,(1+'Assumption Sheet'!$U32),1)),0)</f>
        <v>20.5</v>
      </c>
      <c r="BL13" s="33">
        <f>IFERROR(IF(BL$1='Assumption Sheet'!$L32,'Assumption Sheet'!$Q32,BK13*IF(MOD(BL$5-'Assumption Sheet'!$W32,'Assumption Sheet'!$V32)=0,(1+'Assumption Sheet'!$U32),1)),0)</f>
        <v>20.5</v>
      </c>
      <c r="BM13" s="33">
        <f>IFERROR(IF(BM$1='Assumption Sheet'!$L32,'Assumption Sheet'!$Q32,BL13*IF(MOD(BM$5-'Assumption Sheet'!$W32,'Assumption Sheet'!$V32)=0,(1+'Assumption Sheet'!$U32),1)),0)</f>
        <v>20.5</v>
      </c>
      <c r="BN13" s="33">
        <f>IFERROR(IF(BN$1='Assumption Sheet'!$L32,'Assumption Sheet'!$Q32,BM13*IF(MOD(BN$5-'Assumption Sheet'!$W32,'Assumption Sheet'!$V32)=0,(1+'Assumption Sheet'!$U32),1)),0)</f>
        <v>20.5</v>
      </c>
      <c r="BO13" s="33">
        <f>IFERROR(IF(BO$1='Assumption Sheet'!$L32,'Assumption Sheet'!$Q32,BN13*IF(MOD(BO$5-'Assumption Sheet'!$W32,'Assumption Sheet'!$V32)=0,(1+'Assumption Sheet'!$U32),1)),0)</f>
        <v>20.5</v>
      </c>
      <c r="BP13" s="33">
        <f>IFERROR(IF(BP$1='Assumption Sheet'!$L32,'Assumption Sheet'!$Q32,BO13*IF(MOD(BP$5-'Assumption Sheet'!$W32,'Assumption Sheet'!$V32)=0,(1+'Assumption Sheet'!$U32),1)),0)</f>
        <v>20.5</v>
      </c>
      <c r="BQ13" s="33">
        <f>IFERROR(IF(BQ$1='Assumption Sheet'!$L32,'Assumption Sheet'!$Q32,BP13*IF(MOD(BQ$5-'Assumption Sheet'!$W32,'Assumption Sheet'!$V32)=0,(1+'Assumption Sheet'!$U32),1)),0)</f>
        <v>20.5</v>
      </c>
      <c r="BR13" s="33">
        <f>IFERROR(IF(BR$1='Assumption Sheet'!$L32,'Assumption Sheet'!$Q32,BQ13*IF(MOD(BR$5-'Assumption Sheet'!$W32,'Assumption Sheet'!$V32)=0,(1+'Assumption Sheet'!$U32),1)),0)</f>
        <v>20.5</v>
      </c>
      <c r="BS13" s="33">
        <f>IFERROR(IF(BS$1='Assumption Sheet'!$L32,'Assumption Sheet'!$Q32,BR13*IF(MOD(BS$5-'Assumption Sheet'!$W32,'Assumption Sheet'!$V32)=0,(1+'Assumption Sheet'!$U32),1)),0)</f>
        <v>20.5</v>
      </c>
      <c r="BT13" s="33">
        <f>IFERROR(IF(BT$1='Assumption Sheet'!$L32,'Assumption Sheet'!$Q32,BS13*IF(MOD(BT$5-'Assumption Sheet'!$W32,'Assumption Sheet'!$V32)=0,(1+'Assumption Sheet'!$U32),1)),0)</f>
        <v>20.5</v>
      </c>
      <c r="BU13" s="33">
        <f>IFERROR(IF(BU$1='Assumption Sheet'!$L32,'Assumption Sheet'!$Q32,BT13*IF(MOD(BU$5-'Assumption Sheet'!$W32,'Assumption Sheet'!$V32)=0,(1+'Assumption Sheet'!$U32),1)),0)</f>
        <v>20.5</v>
      </c>
      <c r="BV13" s="33">
        <f>IFERROR(IF(BV$1='Assumption Sheet'!$L32,'Assumption Sheet'!$Q32,BU13*IF(MOD(BV$5-'Assumption Sheet'!$W32,'Assumption Sheet'!$V32)=0,(1+'Assumption Sheet'!$U32),1)),0)</f>
        <v>21.525000000000002</v>
      </c>
      <c r="BW13" s="33">
        <f>IFERROR(IF(BW$1='Assumption Sheet'!$L32,'Assumption Sheet'!$Q32,BV13*IF(MOD(BW$5-'Assumption Sheet'!$W32,'Assumption Sheet'!$V32)=0,(1+'Assumption Sheet'!$U32),1)),0)</f>
        <v>21.525000000000002</v>
      </c>
      <c r="BX13" s="33">
        <f>IFERROR(IF(BX$1='Assumption Sheet'!$L32,'Assumption Sheet'!$Q32,BW13*IF(MOD(BX$5-'Assumption Sheet'!$W32,'Assumption Sheet'!$V32)=0,(1+'Assumption Sheet'!$U32),1)),0)</f>
        <v>21.525000000000002</v>
      </c>
      <c r="BY13" s="33">
        <f>IFERROR(IF(BY$1='Assumption Sheet'!$L32,'Assumption Sheet'!$Q32,BX13*IF(MOD(BY$5-'Assumption Sheet'!$W32,'Assumption Sheet'!$V32)=0,(1+'Assumption Sheet'!$U32),1)),0)</f>
        <v>21.525000000000002</v>
      </c>
      <c r="BZ13" s="33">
        <f>IFERROR(IF(BZ$1='Assumption Sheet'!$L32,'Assumption Sheet'!$Q32,BY13*IF(MOD(BZ$5-'Assumption Sheet'!$W32,'Assumption Sheet'!$V32)=0,(1+'Assumption Sheet'!$U32),1)),0)</f>
        <v>21.525000000000002</v>
      </c>
      <c r="CA13" s="33">
        <f>IFERROR(IF(CA$1='Assumption Sheet'!$L32,'Assumption Sheet'!$Q32,BZ13*IF(MOD(CA$5-'Assumption Sheet'!$W32,'Assumption Sheet'!$V32)=0,(1+'Assumption Sheet'!$U32),1)),0)</f>
        <v>21.525000000000002</v>
      </c>
      <c r="CB13" s="33">
        <f>IFERROR(IF(CB$1='Assumption Sheet'!$L32,'Assumption Sheet'!$Q32,CA13*IF(MOD(CB$5-'Assumption Sheet'!$W32,'Assumption Sheet'!$V32)=0,(1+'Assumption Sheet'!$U32),1)),0)</f>
        <v>21.525000000000002</v>
      </c>
      <c r="CC13" s="33">
        <f>IFERROR(IF(CC$1='Assumption Sheet'!$L32,'Assumption Sheet'!$Q32,CB13*IF(MOD(CC$5-'Assumption Sheet'!$W32,'Assumption Sheet'!$V32)=0,(1+'Assumption Sheet'!$U32),1)),0)</f>
        <v>21.525000000000002</v>
      </c>
      <c r="CD13" s="33">
        <f>IFERROR(IF(CD$1='Assumption Sheet'!$L32,'Assumption Sheet'!$Q32,CC13*IF(MOD(CD$5-'Assumption Sheet'!$W32,'Assumption Sheet'!$V32)=0,(1+'Assumption Sheet'!$U32),1)),0)</f>
        <v>21.525000000000002</v>
      </c>
      <c r="CE13" s="33">
        <f>IFERROR(IF(CE$1='Assumption Sheet'!$L32,'Assumption Sheet'!$Q32,CD13*IF(MOD(CE$5-'Assumption Sheet'!$W32,'Assumption Sheet'!$V32)=0,(1+'Assumption Sheet'!$U32),1)),0)</f>
        <v>21.525000000000002</v>
      </c>
      <c r="CF13" s="33">
        <f>IFERROR(IF(CF$1='Assumption Sheet'!$L32,'Assumption Sheet'!$Q32,CE13*IF(MOD(CF$5-'Assumption Sheet'!$W32,'Assumption Sheet'!$V32)=0,(1+'Assumption Sheet'!$U32),1)),0)</f>
        <v>21.525000000000002</v>
      </c>
      <c r="CG13" s="33">
        <f>IFERROR(IF(CG$1='Assumption Sheet'!$L32,'Assumption Sheet'!$Q32,CF13*IF(MOD(CG$5-'Assumption Sheet'!$W32,'Assumption Sheet'!$V32)=0,(1+'Assumption Sheet'!$U32),1)),0)</f>
        <v>21.525000000000002</v>
      </c>
      <c r="CH13" s="33">
        <f>IFERROR(IF(CH$1='Assumption Sheet'!$L32,'Assumption Sheet'!$Q32,CG13*IF(MOD(CH$5-'Assumption Sheet'!$W32,'Assumption Sheet'!$V32)=0,(1+'Assumption Sheet'!$U32),1)),0)</f>
        <v>22.601250000000004</v>
      </c>
      <c r="CI13" s="33">
        <f>IFERROR(IF(CI$1='Assumption Sheet'!$L32,'Assumption Sheet'!$Q32,CH13*IF(MOD(CI$5-'Assumption Sheet'!$W32,'Assumption Sheet'!$V32)=0,(1+'Assumption Sheet'!$U32),1)),0)</f>
        <v>22.601250000000004</v>
      </c>
      <c r="CJ13" s="33">
        <f>IFERROR(IF(CJ$1='Assumption Sheet'!$L32,'Assumption Sheet'!$Q32,CI13*IF(MOD(CJ$5-'Assumption Sheet'!$W32,'Assumption Sheet'!$V32)=0,(1+'Assumption Sheet'!$U32),1)),0)</f>
        <v>22.601250000000004</v>
      </c>
      <c r="CK13" s="33">
        <f>IFERROR(IF(CK$1='Assumption Sheet'!$L32,'Assumption Sheet'!$Q32,CJ13*IF(MOD(CK$5-'Assumption Sheet'!$W32,'Assumption Sheet'!$V32)=0,(1+'Assumption Sheet'!$U32),1)),0)</f>
        <v>22.601250000000004</v>
      </c>
      <c r="CL13" s="33">
        <f>IFERROR(IF(CL$1='Assumption Sheet'!$L32,'Assumption Sheet'!$Q32,CK13*IF(MOD(CL$5-'Assumption Sheet'!$W32,'Assumption Sheet'!$V32)=0,(1+'Assumption Sheet'!$U32),1)),0)</f>
        <v>22.601250000000004</v>
      </c>
      <c r="CM13" s="33">
        <f>IFERROR(IF(CM$1='Assumption Sheet'!$L32,'Assumption Sheet'!$Q32,CL13*IF(MOD(CM$5-'Assumption Sheet'!$W32,'Assumption Sheet'!$V32)=0,(1+'Assumption Sheet'!$U32),1)),0)</f>
        <v>22.601250000000004</v>
      </c>
      <c r="CN13" s="33">
        <f>IFERROR(IF(CN$1='Assumption Sheet'!$L32,'Assumption Sheet'!$Q32,CM13*IF(MOD(CN$5-'Assumption Sheet'!$W32,'Assumption Sheet'!$V32)=0,(1+'Assumption Sheet'!$U32),1)),0)</f>
        <v>22.601250000000004</v>
      </c>
      <c r="CO13" s="33">
        <f>IFERROR(IF(CO$1='Assumption Sheet'!$L32,'Assumption Sheet'!$Q32,CN13*IF(MOD(CO$5-'Assumption Sheet'!$W32,'Assumption Sheet'!$V32)=0,(1+'Assumption Sheet'!$U32),1)),0)</f>
        <v>22.601250000000004</v>
      </c>
      <c r="CP13" s="33">
        <f>IFERROR(IF(CP$1='Assumption Sheet'!$L32,'Assumption Sheet'!$Q32,CO13*IF(MOD(CP$5-'Assumption Sheet'!$W32,'Assumption Sheet'!$V32)=0,(1+'Assumption Sheet'!$U32),1)),0)</f>
        <v>22.601250000000004</v>
      </c>
      <c r="CQ13" s="33">
        <f>IFERROR(IF(CQ$1='Assumption Sheet'!$L32,'Assumption Sheet'!$Q32,CP13*IF(MOD(CQ$5-'Assumption Sheet'!$W32,'Assumption Sheet'!$V32)=0,(1+'Assumption Sheet'!$U32),1)),0)</f>
        <v>22.601250000000004</v>
      </c>
      <c r="CR13" s="33">
        <f>IFERROR(IF(CR$1='Assumption Sheet'!$L32,'Assumption Sheet'!$Q32,CQ13*IF(MOD(CR$5-'Assumption Sheet'!$W32,'Assumption Sheet'!$V32)=0,(1+'Assumption Sheet'!$U32),1)),0)</f>
        <v>22.601250000000004</v>
      </c>
      <c r="CS13" s="33">
        <f>IFERROR(IF(CS$1='Assumption Sheet'!$L32,'Assumption Sheet'!$Q32,CR13*IF(MOD(CS$5-'Assumption Sheet'!$W32,'Assumption Sheet'!$V32)=0,(1+'Assumption Sheet'!$U32),1)),0)</f>
        <v>22.601250000000004</v>
      </c>
      <c r="CT13" s="33">
        <f>IFERROR(IF(CT$1='Assumption Sheet'!$L32,'Assumption Sheet'!$Q32,CS13*IF(MOD(CT$5-'Assumption Sheet'!$W32,'Assumption Sheet'!$V32)=0,(1+'Assumption Sheet'!$U32),1)),0)</f>
        <v>23.731312500000005</v>
      </c>
      <c r="CU13" s="33">
        <f>IFERROR(IF(CU$1='Assumption Sheet'!$L32,'Assumption Sheet'!$Q32,CT13*IF(MOD(CU$5-'Assumption Sheet'!$W32,'Assumption Sheet'!$V32)=0,(1+'Assumption Sheet'!$U32),1)),0)</f>
        <v>23.731312500000005</v>
      </c>
      <c r="CV13" s="33">
        <f>IFERROR(IF(CV$1='Assumption Sheet'!$L32,'Assumption Sheet'!$Q32,CU13*IF(MOD(CV$5-'Assumption Sheet'!$W32,'Assumption Sheet'!$V32)=0,(1+'Assumption Sheet'!$U32),1)),0)</f>
        <v>23.731312500000005</v>
      </c>
      <c r="CW13" s="33">
        <f>IFERROR(IF(CW$1='Assumption Sheet'!$L32,'Assumption Sheet'!$Q32,CV13*IF(MOD(CW$5-'Assumption Sheet'!$W32,'Assumption Sheet'!$V32)=0,(1+'Assumption Sheet'!$U32),1)),0)</f>
        <v>23.731312500000005</v>
      </c>
      <c r="CX13" s="33">
        <f>IFERROR(IF(CX$1='Assumption Sheet'!$L32,'Assumption Sheet'!$Q32,CW13*IF(MOD(CX$5-'Assumption Sheet'!$W32,'Assumption Sheet'!$V32)=0,(1+'Assumption Sheet'!$U32),1)),0)</f>
        <v>23.731312500000005</v>
      </c>
      <c r="CY13" s="33">
        <f>IFERROR(IF(CY$1='Assumption Sheet'!$L32,'Assumption Sheet'!$Q32,CX13*IF(MOD(CY$5-'Assumption Sheet'!$W32,'Assumption Sheet'!$V32)=0,(1+'Assumption Sheet'!$U32),1)),0)</f>
        <v>23.731312500000005</v>
      </c>
      <c r="CZ13" s="33">
        <f>IFERROR(IF(CZ$1='Assumption Sheet'!$L32,'Assumption Sheet'!$Q32,CY13*IF(MOD(CZ$5-'Assumption Sheet'!$W32,'Assumption Sheet'!$V32)=0,(1+'Assumption Sheet'!$U32),1)),0)</f>
        <v>23.731312500000005</v>
      </c>
      <c r="DA13" s="33">
        <f>IFERROR(IF(DA$1='Assumption Sheet'!$L32,'Assumption Sheet'!$Q32,CZ13*IF(MOD(DA$5-'Assumption Sheet'!$W32,'Assumption Sheet'!$V32)=0,(1+'Assumption Sheet'!$U32),1)),0)</f>
        <v>23.731312500000005</v>
      </c>
      <c r="DB13" s="33">
        <f>IFERROR(IF(DB$1='Assumption Sheet'!$L32,'Assumption Sheet'!$Q32,DA13*IF(MOD(DB$5-'Assumption Sheet'!$W32,'Assumption Sheet'!$V32)=0,(1+'Assumption Sheet'!$U32),1)),0)</f>
        <v>23.731312500000005</v>
      </c>
      <c r="DC13" s="33">
        <f>IFERROR(IF(DC$1='Assumption Sheet'!$L32,'Assumption Sheet'!$Q32,DB13*IF(MOD(DC$5-'Assumption Sheet'!$W32,'Assumption Sheet'!$V32)=0,(1+'Assumption Sheet'!$U32),1)),0)</f>
        <v>23.731312500000005</v>
      </c>
      <c r="DD13" s="33">
        <f>IFERROR(IF(DD$1='Assumption Sheet'!$L32,'Assumption Sheet'!$Q32,DC13*IF(MOD(DD$5-'Assumption Sheet'!$W32,'Assumption Sheet'!$V32)=0,(1+'Assumption Sheet'!$U32),1)),0)</f>
        <v>23.731312500000005</v>
      </c>
      <c r="DE13" s="33">
        <f>IFERROR(IF(DE$1='Assumption Sheet'!$L32,'Assumption Sheet'!$Q32,DD13*IF(MOD(DE$5-'Assumption Sheet'!$W32,'Assumption Sheet'!$V32)=0,(1+'Assumption Sheet'!$U32),1)),0)</f>
        <v>23.731312500000005</v>
      </c>
      <c r="DF13" s="33">
        <f>IFERROR(IF(DF$1='Assumption Sheet'!$L32,'Assumption Sheet'!$Q32,DE13*IF(MOD(DF$5-'Assumption Sheet'!$W32,'Assumption Sheet'!$V32)=0,(1+'Assumption Sheet'!$U32),1)),0)</f>
        <v>24.917878125000005</v>
      </c>
      <c r="DG13" s="33">
        <f>IFERROR(IF(DG$1='Assumption Sheet'!$L32,'Assumption Sheet'!$Q32,DF13*IF(MOD(DG$5-'Assumption Sheet'!$W32,'Assumption Sheet'!$V32)=0,(1+'Assumption Sheet'!$U32),1)),0)</f>
        <v>24.917878125000005</v>
      </c>
      <c r="DH13" s="33">
        <f>IFERROR(IF(DH$1='Assumption Sheet'!$L32,'Assumption Sheet'!$Q32,DG13*IF(MOD(DH$5-'Assumption Sheet'!$W32,'Assumption Sheet'!$V32)=0,(1+'Assumption Sheet'!$U32),1)),0)</f>
        <v>24.917878125000005</v>
      </c>
      <c r="DI13" s="33">
        <f>IFERROR(IF(DI$1='Assumption Sheet'!$L32,'Assumption Sheet'!$Q32,DH13*IF(MOD(DI$5-'Assumption Sheet'!$W32,'Assumption Sheet'!$V32)=0,(1+'Assumption Sheet'!$U32),1)),0)</f>
        <v>24.917878125000005</v>
      </c>
      <c r="DJ13" s="33">
        <f>IFERROR(IF(DJ$1='Assumption Sheet'!$L32,'Assumption Sheet'!$Q32,DI13*IF(MOD(DJ$5-'Assumption Sheet'!$W32,'Assumption Sheet'!$V32)=0,(1+'Assumption Sheet'!$U32),1)),0)</f>
        <v>24.917878125000005</v>
      </c>
      <c r="DK13" s="33">
        <f>IFERROR(IF(DK$1='Assumption Sheet'!$L32,'Assumption Sheet'!$Q32,DJ13*IF(MOD(DK$5-'Assumption Sheet'!$W32,'Assumption Sheet'!$V32)=0,(1+'Assumption Sheet'!$U32),1)),0)</f>
        <v>24.917878125000005</v>
      </c>
      <c r="DL13" s="33">
        <f>IFERROR(IF(DL$1='Assumption Sheet'!$L32,'Assumption Sheet'!$Q32,DK13*IF(MOD(DL$5-'Assumption Sheet'!$W32,'Assumption Sheet'!$V32)=0,(1+'Assumption Sheet'!$U32),1)),0)</f>
        <v>24.917878125000005</v>
      </c>
      <c r="DM13" s="33">
        <f>IFERROR(IF(DM$1='Assumption Sheet'!$L32,'Assumption Sheet'!$Q32,DL13*IF(MOD(DM$5-'Assumption Sheet'!$W32,'Assumption Sheet'!$V32)=0,(1+'Assumption Sheet'!$U32),1)),0)</f>
        <v>24.917878125000005</v>
      </c>
      <c r="DN13" s="33">
        <f>IFERROR(IF(DN$1='Assumption Sheet'!$L32,'Assumption Sheet'!$Q32,DM13*IF(MOD(DN$5-'Assumption Sheet'!$W32,'Assumption Sheet'!$V32)=0,(1+'Assumption Sheet'!$U32),1)),0)</f>
        <v>24.917878125000005</v>
      </c>
      <c r="DO13" s="33">
        <f>IFERROR(IF(DO$1='Assumption Sheet'!$L32,'Assumption Sheet'!$Q32,DN13*IF(MOD(DO$5-'Assumption Sheet'!$W32,'Assumption Sheet'!$V32)=0,(1+'Assumption Sheet'!$U32),1)),0)</f>
        <v>24.917878125000005</v>
      </c>
      <c r="DP13" s="33">
        <f>IFERROR(IF(DP$1='Assumption Sheet'!$L32,'Assumption Sheet'!$Q32,DO13*IF(MOD(DP$5-'Assumption Sheet'!$W32,'Assumption Sheet'!$V32)=0,(1+'Assumption Sheet'!$U32),1)),0)</f>
        <v>24.917878125000005</v>
      </c>
      <c r="DQ13" s="33">
        <f>IFERROR(IF(DQ$1='Assumption Sheet'!$L32,'Assumption Sheet'!$Q32,DP13*IF(MOD(DQ$5-'Assumption Sheet'!$W32,'Assumption Sheet'!$V32)=0,(1+'Assumption Sheet'!$U32),1)),0)</f>
        <v>24.917878125000005</v>
      </c>
      <c r="DR13" s="33">
        <f>IFERROR(IF(DR$1='Assumption Sheet'!$L32,'Assumption Sheet'!$Q32,DQ13*IF(MOD(DR$5-'Assumption Sheet'!$W32,'Assumption Sheet'!$V32)=0,(1+'Assumption Sheet'!$U32),1)),0)</f>
        <v>26.163772031250005</v>
      </c>
      <c r="DS13" s="33">
        <f>IFERROR(IF(DS$1='Assumption Sheet'!$L32,'Assumption Sheet'!$Q32,DR13*IF(MOD(DS$5-'Assumption Sheet'!$W32,'Assumption Sheet'!$V32)=0,(1+'Assumption Sheet'!$U32),1)),0)</f>
        <v>26.163772031250005</v>
      </c>
      <c r="DT13" s="33">
        <f>IFERROR(IF(DT$1='Assumption Sheet'!$L32,'Assumption Sheet'!$Q32,DS13*IF(MOD(DT$5-'Assumption Sheet'!$W32,'Assumption Sheet'!$V32)=0,(1+'Assumption Sheet'!$U32),1)),0)</f>
        <v>26.163772031250005</v>
      </c>
      <c r="DU13" s="33">
        <f>IFERROR(IF(DU$1='Assumption Sheet'!$L32,'Assumption Sheet'!$Q32,DT13*IF(MOD(DU$5-'Assumption Sheet'!$W32,'Assumption Sheet'!$V32)=0,(1+'Assumption Sheet'!$U32),1)),0)</f>
        <v>26.163772031250005</v>
      </c>
      <c r="DV13" s="33">
        <f>IFERROR(IF(DV$1='Assumption Sheet'!$L32,'Assumption Sheet'!$Q32,DU13*IF(MOD(DV$5-'Assumption Sheet'!$W32,'Assumption Sheet'!$V32)=0,(1+'Assumption Sheet'!$U32),1)),0)</f>
        <v>26.163772031250005</v>
      </c>
      <c r="DW13" s="33">
        <f>IFERROR(IF(DW$1='Assumption Sheet'!$L32,'Assumption Sheet'!$Q32,DV13*IF(MOD(DW$5-'Assumption Sheet'!$W32,'Assumption Sheet'!$V32)=0,(1+'Assumption Sheet'!$U32),1)),0)</f>
        <v>26.163772031250005</v>
      </c>
      <c r="DX13" s="33">
        <f>IFERROR(IF(DX$1='Assumption Sheet'!$L32,'Assumption Sheet'!$Q32,DW13*IF(MOD(DX$5-'Assumption Sheet'!$W32,'Assumption Sheet'!$V32)=0,(1+'Assumption Sheet'!$U32),1)),0)</f>
        <v>26.163772031250005</v>
      </c>
      <c r="DY13" s="33">
        <f>IFERROR(IF(DY$1='Assumption Sheet'!$L32,'Assumption Sheet'!$Q32,DX13*IF(MOD(DY$5-'Assumption Sheet'!$W32,'Assumption Sheet'!$V32)=0,(1+'Assumption Sheet'!$U32),1)),0)</f>
        <v>26.163772031250005</v>
      </c>
      <c r="DZ13" s="33">
        <f>IFERROR(IF(DZ$1='Assumption Sheet'!$L32,'Assumption Sheet'!$Q32,DY13*IF(MOD(DZ$5-'Assumption Sheet'!$W32,'Assumption Sheet'!$V32)=0,(1+'Assumption Sheet'!$U32),1)),0)</f>
        <v>26.163772031250005</v>
      </c>
      <c r="EA13" s="33">
        <f>IFERROR(IF(EA$1='Assumption Sheet'!$L32,'Assumption Sheet'!$Q32,DZ13*IF(MOD(EA$5-'Assumption Sheet'!$W32,'Assumption Sheet'!$V32)=0,(1+'Assumption Sheet'!$U32),1)),0)</f>
        <v>26.163772031250005</v>
      </c>
      <c r="EB13" s="33">
        <f>IFERROR(IF(EB$1='Assumption Sheet'!$L32,'Assumption Sheet'!$Q32,EA13*IF(MOD(EB$5-'Assumption Sheet'!$W32,'Assumption Sheet'!$V32)=0,(1+'Assumption Sheet'!$U32),1)),0)</f>
        <v>26.163772031250005</v>
      </c>
      <c r="EC13" s="33">
        <f>IFERROR(IF(EC$1='Assumption Sheet'!$L32,'Assumption Sheet'!$Q32,EB13*IF(MOD(EC$5-'Assumption Sheet'!$W32,'Assumption Sheet'!$V32)=0,(1+'Assumption Sheet'!$U32),1)),0)</f>
        <v>26.163772031250005</v>
      </c>
      <c r="ED13" s="33">
        <f>IFERROR(IF(ED$1='Assumption Sheet'!$L32,'Assumption Sheet'!$Q32,EC13*IF(MOD(ED$5-'Assumption Sheet'!$W32,'Assumption Sheet'!$V32)=0,(1+'Assumption Sheet'!$U32),1)),0)</f>
        <v>27.471960632812507</v>
      </c>
      <c r="EE13" s="33">
        <f>IFERROR(IF(EE$1='Assumption Sheet'!$L32,'Assumption Sheet'!$Q32,ED13*IF(MOD(EE$5-'Assumption Sheet'!$W32,'Assumption Sheet'!$V32)=0,(1+'Assumption Sheet'!$U32),1)),0)</f>
        <v>27.471960632812507</v>
      </c>
      <c r="EF13" s="33">
        <f>IFERROR(IF(EF$1='Assumption Sheet'!$L32,'Assumption Sheet'!$Q32,EE13*IF(MOD(EF$5-'Assumption Sheet'!$W32,'Assumption Sheet'!$V32)=0,(1+'Assumption Sheet'!$U32),1)),0)</f>
        <v>27.471960632812507</v>
      </c>
      <c r="EG13" s="33">
        <f>IFERROR(IF(EG$1='Assumption Sheet'!$L32,'Assumption Sheet'!$Q32,EF13*IF(MOD(EG$5-'Assumption Sheet'!$W32,'Assumption Sheet'!$V32)=0,(1+'Assumption Sheet'!$U32),1)),0)</f>
        <v>27.471960632812507</v>
      </c>
      <c r="EH13" s="33">
        <f>IFERROR(IF(EH$1='Assumption Sheet'!$L32,'Assumption Sheet'!$Q32,EG13*IF(MOD(EH$5-'Assumption Sheet'!$W32,'Assumption Sheet'!$V32)=0,(1+'Assumption Sheet'!$U32),1)),0)</f>
        <v>27.471960632812507</v>
      </c>
      <c r="EI13" s="33">
        <f>IFERROR(IF(EI$1='Assumption Sheet'!$L32,'Assumption Sheet'!$Q32,EH13*IF(MOD(EI$5-'Assumption Sheet'!$W32,'Assumption Sheet'!$V32)=0,(1+'Assumption Sheet'!$U32),1)),0)</f>
        <v>27.471960632812507</v>
      </c>
      <c r="EJ13" s="33">
        <f>IFERROR(IF(EJ$1='Assumption Sheet'!$L32,'Assumption Sheet'!$Q32,EI13*IF(MOD(EJ$5-'Assumption Sheet'!$W32,'Assumption Sheet'!$V32)=0,(1+'Assumption Sheet'!$U32),1)),0)</f>
        <v>27.471960632812507</v>
      </c>
      <c r="EK13" s="33">
        <f>IFERROR(IF(EK$1='Assumption Sheet'!$L32,'Assumption Sheet'!$Q32,EJ13*IF(MOD(EK$5-'Assumption Sheet'!$W32,'Assumption Sheet'!$V32)=0,(1+'Assumption Sheet'!$U32),1)),0)</f>
        <v>27.471960632812507</v>
      </c>
      <c r="EL13" s="33">
        <f>IFERROR(IF(EL$1='Assumption Sheet'!$L32,'Assumption Sheet'!$Q32,EK13*IF(MOD(EL$5-'Assumption Sheet'!$W32,'Assumption Sheet'!$V32)=0,(1+'Assumption Sheet'!$U32),1)),0)</f>
        <v>27.471960632812507</v>
      </c>
      <c r="EM13" s="33">
        <f>IFERROR(IF(EM$1='Assumption Sheet'!$L32,'Assumption Sheet'!$Q32,EL13*IF(MOD(EM$5-'Assumption Sheet'!$W32,'Assumption Sheet'!$V32)=0,(1+'Assumption Sheet'!$U32),1)),0)</f>
        <v>27.471960632812507</v>
      </c>
      <c r="EN13" s="33">
        <f>IFERROR(IF(EN$1='Assumption Sheet'!$L32,'Assumption Sheet'!$Q32,EM13*IF(MOD(EN$5-'Assumption Sheet'!$W32,'Assumption Sheet'!$V32)=0,(1+'Assumption Sheet'!$U32),1)),0)</f>
        <v>27.471960632812507</v>
      </c>
      <c r="EO13" s="33">
        <f>IFERROR(IF(EO$1='Assumption Sheet'!$L32,'Assumption Sheet'!$Q32,EN13*IF(MOD(EO$5-'Assumption Sheet'!$W32,'Assumption Sheet'!$V32)=0,(1+'Assumption Sheet'!$U32),1)),0)</f>
        <v>27.471960632812507</v>
      </c>
      <c r="EP13" s="33">
        <f>IFERROR(IF(EP$1='Assumption Sheet'!$L32,'Assumption Sheet'!$Q32,EO13*IF(MOD(EP$5-'Assumption Sheet'!$W32,'Assumption Sheet'!$V32)=0,(1+'Assumption Sheet'!$U32),1)),0)</f>
        <v>28.845558664453133</v>
      </c>
      <c r="EQ13" s="33">
        <f>IFERROR(IF(EQ$1='Assumption Sheet'!$L32,'Assumption Sheet'!$Q32,EP13*IF(MOD(EQ$5-'Assumption Sheet'!$W32,'Assumption Sheet'!$V32)=0,(1+'Assumption Sheet'!$U32),1)),0)</f>
        <v>28.845558664453133</v>
      </c>
      <c r="ER13" s="33">
        <f>IFERROR(IF(ER$1='Assumption Sheet'!$L32,'Assumption Sheet'!$Q32,EQ13*IF(MOD(ER$5-'Assumption Sheet'!$W32,'Assumption Sheet'!$V32)=0,(1+'Assumption Sheet'!$U32),1)),0)</f>
        <v>28.845558664453133</v>
      </c>
      <c r="ES13" s="33">
        <f>IFERROR(IF(ES$1='Assumption Sheet'!$L32,'Assumption Sheet'!$Q32,ER13*IF(MOD(ES$5-'Assumption Sheet'!$W32,'Assumption Sheet'!$V32)=0,(1+'Assumption Sheet'!$U32),1)),0)</f>
        <v>28.845558664453133</v>
      </c>
      <c r="ET13" s="33">
        <f>IFERROR(IF(ET$1='Assumption Sheet'!$L32,'Assumption Sheet'!$Q32,ES13*IF(MOD(ET$5-'Assumption Sheet'!$W32,'Assumption Sheet'!$V32)=0,(1+'Assumption Sheet'!$U32),1)),0)</f>
        <v>28.845558664453133</v>
      </c>
      <c r="EU13" s="33">
        <f>IFERROR(IF(EU$1='Assumption Sheet'!$L32,'Assumption Sheet'!$Q32,ET13*IF(MOD(EU$5-'Assumption Sheet'!$W32,'Assumption Sheet'!$V32)=0,(1+'Assumption Sheet'!$U32),1)),0)</f>
        <v>28.845558664453133</v>
      </c>
      <c r="EV13" s="33">
        <f>IFERROR(IF(EV$1='Assumption Sheet'!$L32,'Assumption Sheet'!$Q32,EU13*IF(MOD(EV$5-'Assumption Sheet'!$W32,'Assumption Sheet'!$V32)=0,(1+'Assumption Sheet'!$U32),1)),0)</f>
        <v>28.845558664453133</v>
      </c>
      <c r="EW13" s="33">
        <f>IFERROR(IF(EW$1='Assumption Sheet'!$L32,'Assumption Sheet'!$Q32,EV13*IF(MOD(EW$5-'Assumption Sheet'!$W32,'Assumption Sheet'!$V32)=0,(1+'Assumption Sheet'!$U32),1)),0)</f>
        <v>28.845558664453133</v>
      </c>
      <c r="EX13" s="33">
        <f>IFERROR(IF(EX$1='Assumption Sheet'!$L32,'Assumption Sheet'!$Q32,EW13*IF(MOD(EX$5-'Assumption Sheet'!$W32,'Assumption Sheet'!$V32)=0,(1+'Assumption Sheet'!$U32),1)),0)</f>
        <v>28.845558664453133</v>
      </c>
      <c r="EY13" s="33">
        <f>IFERROR(IF(EY$1='Assumption Sheet'!$L32,'Assumption Sheet'!$Q32,EX13*IF(MOD(EY$5-'Assumption Sheet'!$W32,'Assumption Sheet'!$V32)=0,(1+'Assumption Sheet'!$U32),1)),0)</f>
        <v>28.845558664453133</v>
      </c>
      <c r="EZ13" s="33">
        <f>IFERROR(IF(EZ$1='Assumption Sheet'!$L32,'Assumption Sheet'!$Q32,EY13*IF(MOD(EZ$5-'Assumption Sheet'!$W32,'Assumption Sheet'!$V32)=0,(1+'Assumption Sheet'!$U32),1)),0)</f>
        <v>28.845558664453133</v>
      </c>
      <c r="FA13" s="33">
        <f>IFERROR(IF(FA$1='Assumption Sheet'!$L32,'Assumption Sheet'!$Q32,EZ13*IF(MOD(FA$5-'Assumption Sheet'!$W32,'Assumption Sheet'!$V32)=0,(1+'Assumption Sheet'!$U32),1)),0)</f>
        <v>28.845558664453133</v>
      </c>
      <c r="FB13" s="33">
        <f>IFERROR(IF(FB$1='Assumption Sheet'!$L32,'Assumption Sheet'!$Q32,FA13*IF(MOD(FB$5-'Assumption Sheet'!$W32,'Assumption Sheet'!$V32)=0,(1+'Assumption Sheet'!$U32),1)),0)</f>
        <v>30.287836597675792</v>
      </c>
      <c r="FC13" s="33">
        <f>IFERROR(IF(FC$1='Assumption Sheet'!$L32,'Assumption Sheet'!$Q32,FB13*IF(MOD(FC$5-'Assumption Sheet'!$W32,'Assumption Sheet'!$V32)=0,(1+'Assumption Sheet'!$U32),1)),0)</f>
        <v>30.287836597675792</v>
      </c>
      <c r="FD13" s="33">
        <f>IFERROR(IF(FD$1='Assumption Sheet'!$L32,'Assumption Sheet'!$Q32,FC13*IF(MOD(FD$5-'Assumption Sheet'!$W32,'Assumption Sheet'!$V32)=0,(1+'Assumption Sheet'!$U32),1)),0)</f>
        <v>30.287836597675792</v>
      </c>
      <c r="FE13" s="33">
        <f>IFERROR(IF(FE$1='Assumption Sheet'!$L32,'Assumption Sheet'!$Q32,FD13*IF(MOD(FE$5-'Assumption Sheet'!$W32,'Assumption Sheet'!$V32)=0,(1+'Assumption Sheet'!$U32),1)),0)</f>
        <v>30.287836597675792</v>
      </c>
      <c r="FF13" s="33">
        <f>IFERROR(IF(FF$1='Assumption Sheet'!$L32,'Assumption Sheet'!$Q32,FE13*IF(MOD(FF$5-'Assumption Sheet'!$W32,'Assumption Sheet'!$V32)=0,(1+'Assumption Sheet'!$U32),1)),0)</f>
        <v>30.287836597675792</v>
      </c>
      <c r="FG13" s="33">
        <f>IFERROR(IF(FG$1='Assumption Sheet'!$L32,'Assumption Sheet'!$Q32,FF13*IF(MOD(FG$5-'Assumption Sheet'!$W32,'Assumption Sheet'!$V32)=0,(1+'Assumption Sheet'!$U32),1)),0)</f>
        <v>30.287836597675792</v>
      </c>
      <c r="FH13" s="33">
        <f>IFERROR(IF(FH$1='Assumption Sheet'!$L32,'Assumption Sheet'!$Q32,FG13*IF(MOD(FH$5-'Assumption Sheet'!$W32,'Assumption Sheet'!$V32)=0,(1+'Assumption Sheet'!$U32),1)),0)</f>
        <v>30.287836597675792</v>
      </c>
      <c r="FI13" s="33">
        <f>IFERROR(IF(FI$1='Assumption Sheet'!$L32,'Assumption Sheet'!$Q32,FH13*IF(MOD(FI$5-'Assumption Sheet'!$W32,'Assumption Sheet'!$V32)=0,(1+'Assumption Sheet'!$U32),1)),0)</f>
        <v>30.287836597675792</v>
      </c>
      <c r="FJ13" s="33">
        <f>IFERROR(IF(FJ$1='Assumption Sheet'!$L32,'Assumption Sheet'!$Q32,FI13*IF(MOD(FJ$5-'Assumption Sheet'!$W32,'Assumption Sheet'!$V32)=0,(1+'Assumption Sheet'!$U32),1)),0)</f>
        <v>30.287836597675792</v>
      </c>
      <c r="FK13" s="33">
        <f>IFERROR(IF(FK$1='Assumption Sheet'!$L32,'Assumption Sheet'!$Q32,FJ13*IF(MOD(FK$5-'Assumption Sheet'!$W32,'Assumption Sheet'!$V32)=0,(1+'Assumption Sheet'!$U32),1)),0)</f>
        <v>30.287836597675792</v>
      </c>
      <c r="FL13" s="33">
        <f>IFERROR(IF(FL$1='Assumption Sheet'!$L32,'Assumption Sheet'!$Q32,FK13*IF(MOD(FL$5-'Assumption Sheet'!$W32,'Assumption Sheet'!$V32)=0,(1+'Assumption Sheet'!$U32),1)),0)</f>
        <v>30.287836597675792</v>
      </c>
      <c r="FM13" s="33">
        <f>IFERROR(IF(FM$1='Assumption Sheet'!$L32,'Assumption Sheet'!$Q32,FL13*IF(MOD(FM$5-'Assumption Sheet'!$W32,'Assumption Sheet'!$V32)=0,(1+'Assumption Sheet'!$U32),1)),0)</f>
        <v>30.287836597675792</v>
      </c>
      <c r="FN13" s="33">
        <f>IFERROR(IF(FN$1='Assumption Sheet'!$L32,'Assumption Sheet'!$Q32,FM13*IF(MOD(FN$5-'Assumption Sheet'!$W32,'Assumption Sheet'!$V32)=0,(1+'Assumption Sheet'!$U32),1)),0)</f>
        <v>31.802228427559584</v>
      </c>
      <c r="FO13" s="33">
        <f>IFERROR(IF(FO$1='Assumption Sheet'!$L32,'Assumption Sheet'!$Q32,FN13*IF(MOD(FO$5-'Assumption Sheet'!$W32,'Assumption Sheet'!$V32)=0,(1+'Assumption Sheet'!$U32),1)),0)</f>
        <v>31.802228427559584</v>
      </c>
      <c r="FP13" s="33">
        <f>IFERROR(IF(FP$1='Assumption Sheet'!$L32,'Assumption Sheet'!$Q32,FO13*IF(MOD(FP$5-'Assumption Sheet'!$W32,'Assumption Sheet'!$V32)=0,(1+'Assumption Sheet'!$U32),1)),0)</f>
        <v>31.802228427559584</v>
      </c>
      <c r="FQ13" s="33">
        <f>IFERROR(IF(FQ$1='Assumption Sheet'!$L32,'Assumption Sheet'!$Q32,FP13*IF(MOD(FQ$5-'Assumption Sheet'!$W32,'Assumption Sheet'!$V32)=0,(1+'Assumption Sheet'!$U32),1)),0)</f>
        <v>31.802228427559584</v>
      </c>
      <c r="FR13" s="33">
        <f>IFERROR(IF(FR$1='Assumption Sheet'!$L32,'Assumption Sheet'!$Q32,FQ13*IF(MOD(FR$5-'Assumption Sheet'!$W32,'Assumption Sheet'!$V32)=0,(1+'Assumption Sheet'!$U32),1)),0)</f>
        <v>31.802228427559584</v>
      </c>
      <c r="FS13" s="33">
        <f>IFERROR(IF(FS$1='Assumption Sheet'!$L32,'Assumption Sheet'!$Q32,FR13*IF(MOD(FS$5-'Assumption Sheet'!$W32,'Assumption Sheet'!$V32)=0,(1+'Assumption Sheet'!$U32),1)),0)</f>
        <v>31.802228427559584</v>
      </c>
      <c r="FT13" s="33">
        <f>IFERROR(IF(FT$1='Assumption Sheet'!$L32,'Assumption Sheet'!$Q32,FS13*IF(MOD(FT$5-'Assumption Sheet'!$W32,'Assumption Sheet'!$V32)=0,(1+'Assumption Sheet'!$U32),1)),0)</f>
        <v>31.802228427559584</v>
      </c>
      <c r="FU13" s="33">
        <f>IFERROR(IF(FU$1='Assumption Sheet'!$L32,'Assumption Sheet'!$Q32,FT13*IF(MOD(FU$5-'Assumption Sheet'!$W32,'Assumption Sheet'!$V32)=0,(1+'Assumption Sheet'!$U32),1)),0)</f>
        <v>31.802228427559584</v>
      </c>
      <c r="FV13" s="33">
        <f>IFERROR(IF(FV$1='Assumption Sheet'!$L32,'Assumption Sheet'!$Q32,FU13*IF(MOD(FV$5-'Assumption Sheet'!$W32,'Assumption Sheet'!$V32)=0,(1+'Assumption Sheet'!$U32),1)),0)</f>
        <v>31.802228427559584</v>
      </c>
      <c r="FW13" s="33">
        <f>IFERROR(IF(FW$1='Assumption Sheet'!$L32,'Assumption Sheet'!$Q32,FV13*IF(MOD(FW$5-'Assumption Sheet'!$W32,'Assumption Sheet'!$V32)=0,(1+'Assumption Sheet'!$U32),1)),0)</f>
        <v>31.802228427559584</v>
      </c>
      <c r="FX13" s="33">
        <f>IFERROR(IF(FX$1='Assumption Sheet'!$L32,'Assumption Sheet'!$Q32,FW13*IF(MOD(FX$5-'Assumption Sheet'!$W32,'Assumption Sheet'!$V32)=0,(1+'Assumption Sheet'!$U32),1)),0)</f>
        <v>31.802228427559584</v>
      </c>
      <c r="FY13" s="33">
        <f>IFERROR(IF(FY$1='Assumption Sheet'!$L32,'Assumption Sheet'!$Q32,FX13*IF(MOD(FY$5-'Assumption Sheet'!$W32,'Assumption Sheet'!$V32)=0,(1+'Assumption Sheet'!$U32),1)),0)</f>
        <v>31.802228427559584</v>
      </c>
      <c r="FZ13" s="33">
        <f>IFERROR(IF(FZ$1='Assumption Sheet'!$L32,'Assumption Sheet'!$Q32,FY13*IF(MOD(FZ$5-'Assumption Sheet'!$W32,'Assumption Sheet'!$V32)=0,(1+'Assumption Sheet'!$U32),1)),0)</f>
        <v>33.392339848937567</v>
      </c>
      <c r="GA13" s="33">
        <f>IFERROR(IF(GA$1='Assumption Sheet'!$L32,'Assumption Sheet'!$Q32,FZ13*IF(MOD(GA$5-'Assumption Sheet'!$W32,'Assumption Sheet'!$V32)=0,(1+'Assumption Sheet'!$U32),1)),0)</f>
        <v>33.392339848937567</v>
      </c>
      <c r="GB13" s="33">
        <f>IFERROR(IF(GB$1='Assumption Sheet'!$L32,'Assumption Sheet'!$Q32,GA13*IF(MOD(GB$5-'Assumption Sheet'!$W32,'Assumption Sheet'!$V32)=0,(1+'Assumption Sheet'!$U32),1)),0)</f>
        <v>33.392339848937567</v>
      </c>
      <c r="GC13" s="33">
        <f>IFERROR(IF(GC$1='Assumption Sheet'!$L32,'Assumption Sheet'!$Q32,GB13*IF(MOD(GC$5-'Assumption Sheet'!$W32,'Assumption Sheet'!$V32)=0,(1+'Assumption Sheet'!$U32),1)),0)</f>
        <v>33.392339848937567</v>
      </c>
      <c r="GD13" s="33">
        <f>IFERROR(IF(GD$1='Assumption Sheet'!$L32,'Assumption Sheet'!$Q32,GC13*IF(MOD(GD$5-'Assumption Sheet'!$W32,'Assumption Sheet'!$V32)=0,(1+'Assumption Sheet'!$U32),1)),0)</f>
        <v>33.392339848937567</v>
      </c>
      <c r="GE13" s="33">
        <f>IFERROR(IF(GE$1='Assumption Sheet'!$L32,'Assumption Sheet'!$Q32,GD13*IF(MOD(GE$5-'Assumption Sheet'!$W32,'Assumption Sheet'!$V32)=0,(1+'Assumption Sheet'!$U32),1)),0)</f>
        <v>33.392339848937567</v>
      </c>
      <c r="GF13" s="33">
        <f>IFERROR(IF(GF$1='Assumption Sheet'!$L32,'Assumption Sheet'!$Q32,GE13*IF(MOD(GF$5-'Assumption Sheet'!$W32,'Assumption Sheet'!$V32)=0,(1+'Assumption Sheet'!$U32),1)),0)</f>
        <v>33.392339848937567</v>
      </c>
      <c r="GG13" s="33">
        <f>IFERROR(IF(GG$1='Assumption Sheet'!$L32,'Assumption Sheet'!$Q32,GF13*IF(MOD(GG$5-'Assumption Sheet'!$W32,'Assumption Sheet'!$V32)=0,(1+'Assumption Sheet'!$U32),1)),0)</f>
        <v>33.392339848937567</v>
      </c>
      <c r="GH13" s="33">
        <f>IFERROR(IF(GH$1='Assumption Sheet'!$L32,'Assumption Sheet'!$Q32,GG13*IF(MOD(GH$5-'Assumption Sheet'!$W32,'Assumption Sheet'!$V32)=0,(1+'Assumption Sheet'!$U32),1)),0)</f>
        <v>33.392339848937567</v>
      </c>
      <c r="GI13" s="33">
        <f>IFERROR(IF(GI$1='Assumption Sheet'!$L32,'Assumption Sheet'!$Q32,GH13*IF(MOD(GI$5-'Assumption Sheet'!$W32,'Assumption Sheet'!$V32)=0,(1+'Assumption Sheet'!$U32),1)),0)</f>
        <v>33.392339848937567</v>
      </c>
      <c r="GJ13" s="33">
        <f>IFERROR(IF(GJ$1='Assumption Sheet'!$L32,'Assumption Sheet'!$Q32,GI13*IF(MOD(GJ$5-'Assumption Sheet'!$W32,'Assumption Sheet'!$V32)=0,(1+'Assumption Sheet'!$U32),1)),0)</f>
        <v>33.392339848937567</v>
      </c>
      <c r="GK13" s="33">
        <f>IFERROR(IF(GK$1='Assumption Sheet'!$L32,'Assumption Sheet'!$Q32,GJ13*IF(MOD(GK$5-'Assumption Sheet'!$W32,'Assumption Sheet'!$V32)=0,(1+'Assumption Sheet'!$U32),1)),0)</f>
        <v>33.392339848937567</v>
      </c>
      <c r="GL13" s="33">
        <f>IFERROR(IF(GL$1='Assumption Sheet'!$L32,'Assumption Sheet'!$Q32,GK13*IF(MOD(GL$5-'Assumption Sheet'!$W32,'Assumption Sheet'!$V32)=0,(1+'Assumption Sheet'!$U32),1)),0)</f>
        <v>35.06195684138445</v>
      </c>
      <c r="GM13" s="33">
        <f>IFERROR(IF(GM$1='Assumption Sheet'!$L32,'Assumption Sheet'!$Q32,GL13*IF(MOD(GM$5-'Assumption Sheet'!$W32,'Assumption Sheet'!$V32)=0,(1+'Assumption Sheet'!$U32),1)),0)</f>
        <v>35.06195684138445</v>
      </c>
      <c r="GN13" s="33">
        <f>IFERROR(IF(GN$1='Assumption Sheet'!$L32,'Assumption Sheet'!$Q32,GM13*IF(MOD(GN$5-'Assumption Sheet'!$W32,'Assumption Sheet'!$V32)=0,(1+'Assumption Sheet'!$U32),1)),0)</f>
        <v>35.06195684138445</v>
      </c>
      <c r="GO13" s="33">
        <f>IFERROR(IF(GO$1='Assumption Sheet'!$L32,'Assumption Sheet'!$Q32,GN13*IF(MOD(GO$5-'Assumption Sheet'!$W32,'Assumption Sheet'!$V32)=0,(1+'Assumption Sheet'!$U32),1)),0)</f>
        <v>35.06195684138445</v>
      </c>
      <c r="GP13" s="33">
        <f>IFERROR(IF(GP$1='Assumption Sheet'!$L32,'Assumption Sheet'!$Q32,GO13*IF(MOD(GP$5-'Assumption Sheet'!$W32,'Assumption Sheet'!$V32)=0,(1+'Assumption Sheet'!$U32),1)),0)</f>
        <v>35.06195684138445</v>
      </c>
      <c r="GQ13" s="33">
        <f>IFERROR(IF(GQ$1='Assumption Sheet'!$L32,'Assumption Sheet'!$Q32,GP13*IF(MOD(GQ$5-'Assumption Sheet'!$W32,'Assumption Sheet'!$V32)=0,(1+'Assumption Sheet'!$U32),1)),0)</f>
        <v>35.06195684138445</v>
      </c>
      <c r="GR13" s="33">
        <f>IFERROR(IF(GR$1='Assumption Sheet'!$L32,'Assumption Sheet'!$Q32,GQ13*IF(MOD(GR$5-'Assumption Sheet'!$W32,'Assumption Sheet'!$V32)=0,(1+'Assumption Sheet'!$U32),1)),0)</f>
        <v>35.06195684138445</v>
      </c>
      <c r="GS13" s="33">
        <f>IFERROR(IF(GS$1='Assumption Sheet'!$L32,'Assumption Sheet'!$Q32,GR13*IF(MOD(GS$5-'Assumption Sheet'!$W32,'Assumption Sheet'!$V32)=0,(1+'Assumption Sheet'!$U32),1)),0)</f>
        <v>35.06195684138445</v>
      </c>
      <c r="GT13" s="33">
        <f>IFERROR(IF(GT$1='Assumption Sheet'!$L32,'Assumption Sheet'!$Q32,GS13*IF(MOD(GT$5-'Assumption Sheet'!$W32,'Assumption Sheet'!$V32)=0,(1+'Assumption Sheet'!$U32),1)),0)</f>
        <v>35.06195684138445</v>
      </c>
      <c r="GU13" s="33">
        <f>IFERROR(IF(GU$1='Assumption Sheet'!$L32,'Assumption Sheet'!$Q32,GT13*IF(MOD(GU$5-'Assumption Sheet'!$W32,'Assumption Sheet'!$V32)=0,(1+'Assumption Sheet'!$U32),1)),0)</f>
        <v>35.06195684138445</v>
      </c>
      <c r="GV13" s="33">
        <f>IFERROR(IF(GV$1='Assumption Sheet'!$L32,'Assumption Sheet'!$Q32,GU13*IF(MOD(GV$5-'Assumption Sheet'!$W32,'Assumption Sheet'!$V32)=0,(1+'Assumption Sheet'!$U32),1)),0)</f>
        <v>35.06195684138445</v>
      </c>
      <c r="GW13" s="33">
        <f>IFERROR(IF(GW$1='Assumption Sheet'!$L32,'Assumption Sheet'!$Q32,GV13*IF(MOD(GW$5-'Assumption Sheet'!$W32,'Assumption Sheet'!$V32)=0,(1+'Assumption Sheet'!$U32),1)),0)</f>
        <v>35.06195684138445</v>
      </c>
      <c r="GX13" s="33">
        <f>IFERROR(IF(GX$1='Assumption Sheet'!$L32,'Assumption Sheet'!$Q32,GW13*IF(MOD(GX$5-'Assumption Sheet'!$W32,'Assumption Sheet'!$V32)=0,(1+'Assumption Sheet'!$U32),1)),0)</f>
        <v>36.815054683453674</v>
      </c>
      <c r="GY13" s="33">
        <f>IFERROR(IF(GY$1='Assumption Sheet'!$L32,'Assumption Sheet'!$Q32,GX13*IF(MOD(GY$5-'Assumption Sheet'!$W32,'Assumption Sheet'!$V32)=0,(1+'Assumption Sheet'!$U32),1)),0)</f>
        <v>36.815054683453674</v>
      </c>
      <c r="GZ13" s="33">
        <f>IFERROR(IF(GZ$1='Assumption Sheet'!$L32,'Assumption Sheet'!$Q32,GY13*IF(MOD(GZ$5-'Assumption Sheet'!$W32,'Assumption Sheet'!$V32)=0,(1+'Assumption Sheet'!$U32),1)),0)</f>
        <v>36.815054683453674</v>
      </c>
      <c r="HA13" s="33">
        <f>IFERROR(IF(HA$1='Assumption Sheet'!$L32,'Assumption Sheet'!$Q32,GZ13*IF(MOD(HA$5-'Assumption Sheet'!$W32,'Assumption Sheet'!$V32)=0,(1+'Assumption Sheet'!$U32),1)),0)</f>
        <v>36.815054683453674</v>
      </c>
      <c r="HB13" s="33">
        <f>IFERROR(IF(HB$1='Assumption Sheet'!$L32,'Assumption Sheet'!$Q32,HA13*IF(MOD(HB$5-'Assumption Sheet'!$W32,'Assumption Sheet'!$V32)=0,(1+'Assumption Sheet'!$U32),1)),0)</f>
        <v>36.815054683453674</v>
      </c>
      <c r="HC13" s="33">
        <f>IFERROR(IF(HC$1='Assumption Sheet'!$L32,'Assumption Sheet'!$Q32,HB13*IF(MOD(HC$5-'Assumption Sheet'!$W32,'Assumption Sheet'!$V32)=0,(1+'Assumption Sheet'!$U32),1)),0)</f>
        <v>36.815054683453674</v>
      </c>
      <c r="HD13" s="33">
        <f>IFERROR(IF(HD$1='Assumption Sheet'!$L32,'Assumption Sheet'!$Q32,HC13*IF(MOD(HD$5-'Assumption Sheet'!$W32,'Assumption Sheet'!$V32)=0,(1+'Assumption Sheet'!$U32),1)),0)</f>
        <v>36.815054683453674</v>
      </c>
      <c r="HE13" s="33">
        <f>IFERROR(IF(HE$1='Assumption Sheet'!$L32,'Assumption Sheet'!$Q32,HD13*IF(MOD(HE$5-'Assumption Sheet'!$W32,'Assumption Sheet'!$V32)=0,(1+'Assumption Sheet'!$U32),1)),0)</f>
        <v>36.815054683453674</v>
      </c>
      <c r="HF13" s="33">
        <f>IFERROR(IF(HF$1='Assumption Sheet'!$L32,'Assumption Sheet'!$Q32,HE13*IF(MOD(HF$5-'Assumption Sheet'!$W32,'Assumption Sheet'!$V32)=0,(1+'Assumption Sheet'!$U32),1)),0)</f>
        <v>36.815054683453674</v>
      </c>
      <c r="HG13" s="33">
        <f>IFERROR(IF(HG$1='Assumption Sheet'!$L32,'Assumption Sheet'!$Q32,HF13*IF(MOD(HG$5-'Assumption Sheet'!$W32,'Assumption Sheet'!$V32)=0,(1+'Assumption Sheet'!$U32),1)),0)</f>
        <v>36.815054683453674</v>
      </c>
      <c r="HH13" s="33">
        <f>IFERROR(IF(HH$1='Assumption Sheet'!$L32,'Assumption Sheet'!$Q32,HG13*IF(MOD(HH$5-'Assumption Sheet'!$W32,'Assumption Sheet'!$V32)=0,(1+'Assumption Sheet'!$U32),1)),0)</f>
        <v>36.815054683453674</v>
      </c>
      <c r="HI13" s="33">
        <f>IFERROR(IF(HI$1='Assumption Sheet'!$L32,'Assumption Sheet'!$Q32,HH13*IF(MOD(HI$5-'Assumption Sheet'!$W32,'Assumption Sheet'!$V32)=0,(1+'Assumption Sheet'!$U32),1)),0)</f>
        <v>36.815054683453674</v>
      </c>
      <c r="HJ13" s="33">
        <f>IFERROR(IF(HJ$1='Assumption Sheet'!$L32,'Assumption Sheet'!$Q32,HI13*IF(MOD(HJ$5-'Assumption Sheet'!$W32,'Assumption Sheet'!$V32)=0,(1+'Assumption Sheet'!$U32),1)),0)</f>
        <v>38.655807417626356</v>
      </c>
      <c r="HK13" s="33">
        <f>IFERROR(IF(HK$1='Assumption Sheet'!$L32,'Assumption Sheet'!$Q32,HJ13*IF(MOD(HK$5-'Assumption Sheet'!$W32,'Assumption Sheet'!$V32)=0,(1+'Assumption Sheet'!$U32),1)),0)</f>
        <v>38.655807417626356</v>
      </c>
      <c r="HL13" s="33">
        <f>IFERROR(IF(HL$1='Assumption Sheet'!$L32,'Assumption Sheet'!$Q32,HK13*IF(MOD(HL$5-'Assumption Sheet'!$W32,'Assumption Sheet'!$V32)=0,(1+'Assumption Sheet'!$U32),1)),0)</f>
        <v>38.655807417626356</v>
      </c>
      <c r="HM13" s="33">
        <f>IFERROR(IF(HM$1='Assumption Sheet'!$L32,'Assumption Sheet'!$Q32,HL13*IF(MOD(HM$5-'Assumption Sheet'!$W32,'Assumption Sheet'!$V32)=0,(1+'Assumption Sheet'!$U32),1)),0)</f>
        <v>38.655807417626356</v>
      </c>
      <c r="HN13" s="33">
        <f>IFERROR(IF(HN$1='Assumption Sheet'!$L32,'Assumption Sheet'!$Q32,HM13*IF(MOD(HN$5-'Assumption Sheet'!$W32,'Assumption Sheet'!$V32)=0,(1+'Assumption Sheet'!$U32),1)),0)</f>
        <v>38.655807417626356</v>
      </c>
      <c r="HO13" s="33">
        <f>IFERROR(IF(HO$1='Assumption Sheet'!$L32,'Assumption Sheet'!$Q32,HN13*IF(MOD(HO$5-'Assumption Sheet'!$W32,'Assumption Sheet'!$V32)=0,(1+'Assumption Sheet'!$U32),1)),0)</f>
        <v>38.655807417626356</v>
      </c>
      <c r="HP13" s="33">
        <f>IFERROR(IF(HP$1='Assumption Sheet'!$L32,'Assumption Sheet'!$Q32,HO13*IF(MOD(HP$5-'Assumption Sheet'!$W32,'Assumption Sheet'!$V32)=0,(1+'Assumption Sheet'!$U32),1)),0)</f>
        <v>38.655807417626356</v>
      </c>
      <c r="HQ13" s="33">
        <f>IFERROR(IF(HQ$1='Assumption Sheet'!$L32,'Assumption Sheet'!$Q32,HP13*IF(MOD(HQ$5-'Assumption Sheet'!$W32,'Assumption Sheet'!$V32)=0,(1+'Assumption Sheet'!$U32),1)),0)</f>
        <v>38.655807417626356</v>
      </c>
      <c r="HR13" s="33">
        <f>IFERROR(IF(HR$1='Assumption Sheet'!$L32,'Assumption Sheet'!$Q32,HQ13*IF(MOD(HR$5-'Assumption Sheet'!$W32,'Assumption Sheet'!$V32)=0,(1+'Assumption Sheet'!$U32),1)),0)</f>
        <v>38.655807417626356</v>
      </c>
      <c r="HS13" s="33">
        <f>IFERROR(IF(HS$1='Assumption Sheet'!$L32,'Assumption Sheet'!$Q32,HR13*IF(MOD(HS$5-'Assumption Sheet'!$W32,'Assumption Sheet'!$V32)=0,(1+'Assumption Sheet'!$U32),1)),0)</f>
        <v>38.655807417626356</v>
      </c>
      <c r="HT13" s="33">
        <f>IFERROR(IF(HT$1='Assumption Sheet'!$L32,'Assumption Sheet'!$Q32,HS13*IF(MOD(HT$5-'Assumption Sheet'!$W32,'Assumption Sheet'!$V32)=0,(1+'Assumption Sheet'!$U32),1)),0)</f>
        <v>38.655807417626356</v>
      </c>
      <c r="HU13" s="33">
        <f>IFERROR(IF(HU$1='Assumption Sheet'!$L32,'Assumption Sheet'!$Q32,HT13*IF(MOD(HU$5-'Assumption Sheet'!$W32,'Assumption Sheet'!$V32)=0,(1+'Assumption Sheet'!$U32),1)),0)</f>
        <v>38.655807417626356</v>
      </c>
      <c r="HV13" s="33">
        <f>IFERROR(IF(HV$1='Assumption Sheet'!$L32,'Assumption Sheet'!$Q32,HU13*IF(MOD(HV$5-'Assumption Sheet'!$W32,'Assumption Sheet'!$V32)=0,(1+'Assumption Sheet'!$U32),1)),0)</f>
        <v>40.588597788507677</v>
      </c>
      <c r="HW13" s="33">
        <f>IFERROR(IF(HW$1='Assumption Sheet'!$L32,'Assumption Sheet'!$Q32,HV13*IF(MOD(HW$5-'Assumption Sheet'!$W32,'Assumption Sheet'!$V32)=0,(1+'Assumption Sheet'!$U32),1)),0)</f>
        <v>40.588597788507677</v>
      </c>
      <c r="HX13" s="33">
        <f>IFERROR(IF(HX$1='Assumption Sheet'!$L32,'Assumption Sheet'!$Q32,HW13*IF(MOD(HX$5-'Assumption Sheet'!$W32,'Assumption Sheet'!$V32)=0,(1+'Assumption Sheet'!$U32),1)),0)</f>
        <v>40.588597788507677</v>
      </c>
      <c r="HY13" s="33">
        <f>IFERROR(IF(HY$1='Assumption Sheet'!$L32,'Assumption Sheet'!$Q32,HX13*IF(MOD(HY$5-'Assumption Sheet'!$W32,'Assumption Sheet'!$V32)=0,(1+'Assumption Sheet'!$U32),1)),0)</f>
        <v>40.588597788507677</v>
      </c>
      <c r="HZ13" s="33">
        <f>IFERROR(IF(HZ$1='Assumption Sheet'!$L32,'Assumption Sheet'!$Q32,HY13*IF(MOD(HZ$5-'Assumption Sheet'!$W32,'Assumption Sheet'!$V32)=0,(1+'Assumption Sheet'!$U32),1)),0)</f>
        <v>40.588597788507677</v>
      </c>
      <c r="IA13" s="33">
        <f>IFERROR(IF(IA$1='Assumption Sheet'!$L32,'Assumption Sheet'!$Q32,HZ13*IF(MOD(IA$5-'Assumption Sheet'!$W32,'Assumption Sheet'!$V32)=0,(1+'Assumption Sheet'!$U32),1)),0)</f>
        <v>40.588597788507677</v>
      </c>
      <c r="IB13" s="33">
        <f>IFERROR(IF(IB$1='Assumption Sheet'!$L32,'Assumption Sheet'!$Q32,IA13*IF(MOD(IB$5-'Assumption Sheet'!$W32,'Assumption Sheet'!$V32)=0,(1+'Assumption Sheet'!$U32),1)),0)</f>
        <v>40.588597788507677</v>
      </c>
      <c r="IC13" s="33">
        <f>IFERROR(IF(IC$1='Assumption Sheet'!$L32,'Assumption Sheet'!$Q32,IB13*IF(MOD(IC$5-'Assumption Sheet'!$W32,'Assumption Sheet'!$V32)=0,(1+'Assumption Sheet'!$U32),1)),0)</f>
        <v>40.588597788507677</v>
      </c>
      <c r="ID13" s="33">
        <f>IFERROR(IF(ID$1='Assumption Sheet'!$L32,'Assumption Sheet'!$Q32,IC13*IF(MOD(ID$5-'Assumption Sheet'!$W32,'Assumption Sheet'!$V32)=0,(1+'Assumption Sheet'!$U32),1)),0)</f>
        <v>40.588597788507677</v>
      </c>
      <c r="IE13" s="33">
        <f>IFERROR(IF(IE$1='Assumption Sheet'!$L32,'Assumption Sheet'!$Q32,ID13*IF(MOD(IE$5-'Assumption Sheet'!$W32,'Assumption Sheet'!$V32)=0,(1+'Assumption Sheet'!$U32),1)),0)</f>
        <v>40.588597788507677</v>
      </c>
      <c r="IF13" s="33">
        <f>IFERROR(IF(IF$1='Assumption Sheet'!$L32,'Assumption Sheet'!$Q32,IE13*IF(MOD(IF$5-'Assumption Sheet'!$W32,'Assumption Sheet'!$V32)=0,(1+'Assumption Sheet'!$U32),1)),0)</f>
        <v>40.588597788507677</v>
      </c>
      <c r="IG13" s="33">
        <f>IFERROR(IF(IG$1='Assumption Sheet'!$L32,'Assumption Sheet'!$Q32,IF13*IF(MOD(IG$5-'Assumption Sheet'!$W32,'Assumption Sheet'!$V32)=0,(1+'Assumption Sheet'!$U32),1)),0)</f>
        <v>40.588597788507677</v>
      </c>
      <c r="IH13" s="33">
        <f>IFERROR(IF(IH$1='Assumption Sheet'!$L32,'Assumption Sheet'!$Q32,IG13*IF(MOD(IH$5-'Assumption Sheet'!$W32,'Assumption Sheet'!$V32)=0,(1+'Assumption Sheet'!$U32),1)),0)</f>
        <v>42.618027677933064</v>
      </c>
      <c r="II13" s="33">
        <f>IFERROR(IF(II$1='Assumption Sheet'!$L32,'Assumption Sheet'!$Q32,IH13*IF(MOD(II$5-'Assumption Sheet'!$W32,'Assumption Sheet'!$V32)=0,(1+'Assumption Sheet'!$U32),1)),0)</f>
        <v>42.618027677933064</v>
      </c>
      <c r="IJ13" s="33">
        <f>IFERROR(IF(IJ$1='Assumption Sheet'!$L32,'Assumption Sheet'!$Q32,II13*IF(MOD(IJ$5-'Assumption Sheet'!$W32,'Assumption Sheet'!$V32)=0,(1+'Assumption Sheet'!$U32),1)),0)</f>
        <v>42.618027677933064</v>
      </c>
      <c r="IK13" s="33">
        <f>IFERROR(IF(IK$1='Assumption Sheet'!$L32,'Assumption Sheet'!$Q32,IJ13*IF(MOD(IK$5-'Assumption Sheet'!$W32,'Assumption Sheet'!$V32)=0,(1+'Assumption Sheet'!$U32),1)),0)</f>
        <v>42.618027677933064</v>
      </c>
      <c r="IL13" s="33">
        <f>IFERROR(IF(IL$1='Assumption Sheet'!$L32,'Assumption Sheet'!$Q32,IK13*IF(MOD(IL$5-'Assumption Sheet'!$W32,'Assumption Sheet'!$V32)=0,(1+'Assumption Sheet'!$U32),1)),0)</f>
        <v>42.618027677933064</v>
      </c>
      <c r="IM13" s="33">
        <f>IFERROR(IF(IM$1='Assumption Sheet'!$L32,'Assumption Sheet'!$Q32,IL13*IF(MOD(IM$5-'Assumption Sheet'!$W32,'Assumption Sheet'!$V32)=0,(1+'Assumption Sheet'!$U32),1)),0)</f>
        <v>42.618027677933064</v>
      </c>
      <c r="IN13" s="33">
        <f>IFERROR(IF(IN$1='Assumption Sheet'!$L32,'Assumption Sheet'!$Q32,IM13*IF(MOD(IN$5-'Assumption Sheet'!$W32,'Assumption Sheet'!$V32)=0,(1+'Assumption Sheet'!$U32),1)),0)</f>
        <v>42.618027677933064</v>
      </c>
      <c r="IO13" s="33">
        <f>IFERROR(IF(IO$1='Assumption Sheet'!$L32,'Assumption Sheet'!$Q32,IN13*IF(MOD(IO$5-'Assumption Sheet'!$W32,'Assumption Sheet'!$V32)=0,(1+'Assumption Sheet'!$U32),1)),0)</f>
        <v>42.618027677933064</v>
      </c>
      <c r="IP13" s="33">
        <f>IFERROR(IF(IP$1='Assumption Sheet'!$L32,'Assumption Sheet'!$Q32,IO13*IF(MOD(IP$5-'Assumption Sheet'!$W32,'Assumption Sheet'!$V32)=0,(1+'Assumption Sheet'!$U32),1)),0)</f>
        <v>42.618027677933064</v>
      </c>
      <c r="IQ13" s="33">
        <f>IFERROR(IF(IQ$1='Assumption Sheet'!$L32,'Assumption Sheet'!$Q32,IP13*IF(MOD(IQ$5-'Assumption Sheet'!$W32,'Assumption Sheet'!$V32)=0,(1+'Assumption Sheet'!$U32),1)),0)</f>
        <v>42.618027677933064</v>
      </c>
      <c r="IR13" s="33">
        <f>IFERROR(IF(IR$1='Assumption Sheet'!$L32,'Assumption Sheet'!$Q32,IQ13*IF(MOD(IR$5-'Assumption Sheet'!$W32,'Assumption Sheet'!$V32)=0,(1+'Assumption Sheet'!$U32),1)),0)</f>
        <v>42.618027677933064</v>
      </c>
      <c r="IS13" s="33">
        <f>IFERROR(IF(IS$1='Assumption Sheet'!$L32,'Assumption Sheet'!$Q32,IR13*IF(MOD(IS$5-'Assumption Sheet'!$W32,'Assumption Sheet'!$V32)=0,(1+'Assumption Sheet'!$U32),1)),0)</f>
        <v>42.618027677933064</v>
      </c>
      <c r="IT13" s="33">
        <f>IFERROR(IF(IT$1='Assumption Sheet'!$L32,'Assumption Sheet'!$Q32,IS13*IF(MOD(IT$5-'Assumption Sheet'!$W32,'Assumption Sheet'!$V32)=0,(1+'Assumption Sheet'!$U32),1)),0)</f>
        <v>44.74892906182972</v>
      </c>
      <c r="IU13" s="33">
        <f>IFERROR(IF(IU$1='Assumption Sheet'!$L32,'Assumption Sheet'!$Q32,IT13*IF(MOD(IU$5-'Assumption Sheet'!$W32,'Assumption Sheet'!$V32)=0,(1+'Assumption Sheet'!$U32),1)),0)</f>
        <v>44.74892906182972</v>
      </c>
      <c r="IV13" s="33">
        <f>IFERROR(IF(IV$1='Assumption Sheet'!$L32,'Assumption Sheet'!$Q32,IU13*IF(MOD(IV$5-'Assumption Sheet'!$W32,'Assumption Sheet'!$V32)=0,(1+'Assumption Sheet'!$U32),1)),0)</f>
        <v>44.74892906182972</v>
      </c>
      <c r="IW13" s="33">
        <f>IFERROR(IF(IW$1='Assumption Sheet'!$L32,'Assumption Sheet'!$Q32,IV13*IF(MOD(IW$5-'Assumption Sheet'!$W32,'Assumption Sheet'!$V32)=0,(1+'Assumption Sheet'!$U32),1)),0)</f>
        <v>44.74892906182972</v>
      </c>
      <c r="IX13" s="33">
        <f>IFERROR(IF(IX$1='Assumption Sheet'!$L32,'Assumption Sheet'!$Q32,IW13*IF(MOD(IX$5-'Assumption Sheet'!$W32,'Assumption Sheet'!$V32)=0,(1+'Assumption Sheet'!$U32),1)),0)</f>
        <v>44.74892906182972</v>
      </c>
      <c r="IY13" s="33">
        <f>IFERROR(IF(IY$1='Assumption Sheet'!$L32,'Assumption Sheet'!$Q32,IX13*IF(MOD(IY$5-'Assumption Sheet'!$W32,'Assumption Sheet'!$V32)=0,(1+'Assumption Sheet'!$U32),1)),0)</f>
        <v>44.74892906182972</v>
      </c>
      <c r="IZ13" s="33">
        <f>IFERROR(IF(IZ$1='Assumption Sheet'!$L32,'Assumption Sheet'!$Q32,IY13*IF(MOD(IZ$5-'Assumption Sheet'!$W32,'Assumption Sheet'!$V32)=0,(1+'Assumption Sheet'!$U32),1)),0)</f>
        <v>44.74892906182972</v>
      </c>
      <c r="JA13" s="33">
        <f>IFERROR(IF(JA$1='Assumption Sheet'!$L32,'Assumption Sheet'!$Q32,IZ13*IF(MOD(JA$5-'Assumption Sheet'!$W32,'Assumption Sheet'!$V32)=0,(1+'Assumption Sheet'!$U32),1)),0)</f>
        <v>44.74892906182972</v>
      </c>
      <c r="JB13" s="33">
        <f>IFERROR(IF(JB$1='Assumption Sheet'!$L32,'Assumption Sheet'!$Q32,JA13*IF(MOD(JB$5-'Assumption Sheet'!$W32,'Assumption Sheet'!$V32)=0,(1+'Assumption Sheet'!$U32),1)),0)</f>
        <v>44.74892906182972</v>
      </c>
      <c r="JC13" s="33">
        <f>IFERROR(IF(JC$1='Assumption Sheet'!$L32,'Assumption Sheet'!$Q32,JB13*IF(MOD(JC$5-'Assumption Sheet'!$W32,'Assumption Sheet'!$V32)=0,(1+'Assumption Sheet'!$U32),1)),0)</f>
        <v>44.74892906182972</v>
      </c>
      <c r="JD13" s="33">
        <f>IFERROR(IF(JD$1='Assumption Sheet'!$L32,'Assumption Sheet'!$Q32,JC13*IF(MOD(JD$5-'Assumption Sheet'!$W32,'Assumption Sheet'!$V32)=0,(1+'Assumption Sheet'!$U32),1)),0)</f>
        <v>44.74892906182972</v>
      </c>
      <c r="JE13" s="33">
        <f>IFERROR(IF(JE$1='Assumption Sheet'!$L32,'Assumption Sheet'!$Q32,JD13*IF(MOD(JE$5-'Assumption Sheet'!$W32,'Assumption Sheet'!$V32)=0,(1+'Assumption Sheet'!$U32),1)),0)</f>
        <v>44.74892906182972</v>
      </c>
      <c r="JF13" s="33">
        <f>IFERROR(IF(JF$1='Assumption Sheet'!$L32,'Assumption Sheet'!$Q32,JE13*IF(MOD(JF$5-'Assumption Sheet'!$W32,'Assumption Sheet'!$V32)=0,(1+'Assumption Sheet'!$U32),1)),0)</f>
        <v>46.986375514921207</v>
      </c>
      <c r="JG13" s="33">
        <f>IFERROR(IF(JG$1='Assumption Sheet'!$L32,'Assumption Sheet'!$Q32,JF13*IF(MOD(JG$5-'Assumption Sheet'!$W32,'Assumption Sheet'!$V32)=0,(1+'Assumption Sheet'!$U32),1)),0)</f>
        <v>46.986375514921207</v>
      </c>
      <c r="JH13" s="33">
        <f>IFERROR(IF(JH$1='Assumption Sheet'!$L32,'Assumption Sheet'!$Q32,JG13*IF(MOD(JH$5-'Assumption Sheet'!$W32,'Assumption Sheet'!$V32)=0,(1+'Assumption Sheet'!$U32),1)),0)</f>
        <v>46.986375514921207</v>
      </c>
      <c r="JI13" s="33">
        <f>IFERROR(IF(JI$1='Assumption Sheet'!$L32,'Assumption Sheet'!$Q32,JH13*IF(MOD(JI$5-'Assumption Sheet'!$W32,'Assumption Sheet'!$V32)=0,(1+'Assumption Sheet'!$U32),1)),0)</f>
        <v>46.986375514921207</v>
      </c>
      <c r="JJ13" s="33">
        <f>IFERROR(IF(JJ$1='Assumption Sheet'!$L32,'Assumption Sheet'!$Q32,JI13*IF(MOD(JJ$5-'Assumption Sheet'!$W32,'Assumption Sheet'!$V32)=0,(1+'Assumption Sheet'!$U32),1)),0)</f>
        <v>46.986375514921207</v>
      </c>
      <c r="JK13" s="33">
        <f>IFERROR(IF(JK$1='Assumption Sheet'!$L32,'Assumption Sheet'!$Q32,JJ13*IF(MOD(JK$5-'Assumption Sheet'!$W32,'Assumption Sheet'!$V32)=0,(1+'Assumption Sheet'!$U32),1)),0)</f>
        <v>46.986375514921207</v>
      </c>
      <c r="JL13" s="33">
        <f>IFERROR(IF(JL$1='Assumption Sheet'!$L32,'Assumption Sheet'!$Q32,JK13*IF(MOD(JL$5-'Assumption Sheet'!$W32,'Assumption Sheet'!$V32)=0,(1+'Assumption Sheet'!$U32),1)),0)</f>
        <v>46.986375514921207</v>
      </c>
      <c r="JM13" s="33">
        <f>IFERROR(IF(JM$1='Assumption Sheet'!$L32,'Assumption Sheet'!$Q32,JL13*IF(MOD(JM$5-'Assumption Sheet'!$W32,'Assumption Sheet'!$V32)=0,(1+'Assumption Sheet'!$U32),1)),0)</f>
        <v>46.986375514921207</v>
      </c>
      <c r="JN13" s="33">
        <f>IFERROR(IF(JN$1='Assumption Sheet'!$L32,'Assumption Sheet'!$Q32,JM13*IF(MOD(JN$5-'Assumption Sheet'!$W32,'Assumption Sheet'!$V32)=0,(1+'Assumption Sheet'!$U32),1)),0)</f>
        <v>46.986375514921207</v>
      </c>
      <c r="JO13" s="33">
        <f>IFERROR(IF(JO$1='Assumption Sheet'!$L32,'Assumption Sheet'!$Q32,JN13*IF(MOD(JO$5-'Assumption Sheet'!$W32,'Assumption Sheet'!$V32)=0,(1+'Assumption Sheet'!$U32),1)),0)</f>
        <v>46.986375514921207</v>
      </c>
      <c r="JP13" s="33">
        <f>IFERROR(IF(JP$1='Assumption Sheet'!$L32,'Assumption Sheet'!$Q32,JO13*IF(MOD(JP$5-'Assumption Sheet'!$W32,'Assumption Sheet'!$V32)=0,(1+'Assumption Sheet'!$U32),1)),0)</f>
        <v>46.986375514921207</v>
      </c>
      <c r="JQ13" s="33">
        <f>IFERROR(IF(JQ$1='Assumption Sheet'!$L32,'Assumption Sheet'!$Q32,JP13*IF(MOD(JQ$5-'Assumption Sheet'!$W32,'Assumption Sheet'!$V32)=0,(1+'Assumption Sheet'!$U32),1)),0)</f>
        <v>46.986375514921207</v>
      </c>
      <c r="JR13" s="33">
        <f>IFERROR(IF(JR$1='Assumption Sheet'!$L32,'Assumption Sheet'!$Q32,JQ13*IF(MOD(JR$5-'Assumption Sheet'!$W32,'Assumption Sheet'!$V32)=0,(1+'Assumption Sheet'!$U32),1)),0)</f>
        <v>49.33569429066727</v>
      </c>
      <c r="JS13" s="33">
        <f>IFERROR(IF(JS$1='Assumption Sheet'!$L32,'Assumption Sheet'!$Q32,JR13*IF(MOD(JS$5-'Assumption Sheet'!$W32,'Assumption Sheet'!$V32)=0,(1+'Assumption Sheet'!$U32),1)),0)</f>
        <v>49.33569429066727</v>
      </c>
      <c r="JT13" s="33">
        <f>IFERROR(IF(JT$1='Assumption Sheet'!$L32,'Assumption Sheet'!$Q32,JS13*IF(MOD(JT$5-'Assumption Sheet'!$W32,'Assumption Sheet'!$V32)=0,(1+'Assumption Sheet'!$U32),1)),0)</f>
        <v>49.33569429066727</v>
      </c>
      <c r="JU13" s="33">
        <f>IFERROR(IF(JU$1='Assumption Sheet'!$L32,'Assumption Sheet'!$Q32,JT13*IF(MOD(JU$5-'Assumption Sheet'!$W32,'Assumption Sheet'!$V32)=0,(1+'Assumption Sheet'!$U32),1)),0)</f>
        <v>49.33569429066727</v>
      </c>
      <c r="JV13" s="33">
        <f>IFERROR(IF(JV$1='Assumption Sheet'!$L32,'Assumption Sheet'!$Q32,JU13*IF(MOD(JV$5-'Assumption Sheet'!$W32,'Assumption Sheet'!$V32)=0,(1+'Assumption Sheet'!$U32),1)),0)</f>
        <v>49.33569429066727</v>
      </c>
      <c r="JW13" s="33">
        <f>IFERROR(IF(JW$1='Assumption Sheet'!$L32,'Assumption Sheet'!$Q32,JV13*IF(MOD(JW$5-'Assumption Sheet'!$W32,'Assumption Sheet'!$V32)=0,(1+'Assumption Sheet'!$U32),1)),0)</f>
        <v>49.33569429066727</v>
      </c>
      <c r="JX13" s="33">
        <f>IFERROR(IF(JX$1='Assumption Sheet'!$L32,'Assumption Sheet'!$Q32,JW13*IF(MOD(JX$5-'Assumption Sheet'!$W32,'Assumption Sheet'!$V32)=0,(1+'Assumption Sheet'!$U32),1)),0)</f>
        <v>49.33569429066727</v>
      </c>
      <c r="JY13" s="33">
        <f>IFERROR(IF(JY$1='Assumption Sheet'!$L32,'Assumption Sheet'!$Q32,JX13*IF(MOD(JY$5-'Assumption Sheet'!$W32,'Assumption Sheet'!$V32)=0,(1+'Assumption Sheet'!$U32),1)),0)</f>
        <v>49.33569429066727</v>
      </c>
      <c r="JZ13" s="33">
        <f>IFERROR(IF(JZ$1='Assumption Sheet'!$L32,'Assumption Sheet'!$Q32,JY13*IF(MOD(JZ$5-'Assumption Sheet'!$W32,'Assumption Sheet'!$V32)=0,(1+'Assumption Sheet'!$U32),1)),0)</f>
        <v>49.33569429066727</v>
      </c>
      <c r="KA13" s="33">
        <f>IFERROR(IF(KA$1='Assumption Sheet'!$L32,'Assumption Sheet'!$Q32,JZ13*IF(MOD(KA$5-'Assumption Sheet'!$W32,'Assumption Sheet'!$V32)=0,(1+'Assumption Sheet'!$U32),1)),0)</f>
        <v>49.33569429066727</v>
      </c>
      <c r="KB13" s="33">
        <f>IFERROR(IF(KB$1='Assumption Sheet'!$L32,'Assumption Sheet'!$Q32,KA13*IF(MOD(KB$5-'Assumption Sheet'!$W32,'Assumption Sheet'!$V32)=0,(1+'Assumption Sheet'!$U32),1)),0)</f>
        <v>49.33569429066727</v>
      </c>
      <c r="KC13" s="33">
        <f>IFERROR(IF(KC$1='Assumption Sheet'!$L32,'Assumption Sheet'!$Q32,KB13*IF(MOD(KC$5-'Assumption Sheet'!$W32,'Assumption Sheet'!$V32)=0,(1+'Assumption Sheet'!$U32),1)),0)</f>
        <v>49.33569429066727</v>
      </c>
      <c r="KD13" s="33"/>
      <c r="KE13" s="33"/>
      <c r="KF13" s="33"/>
      <c r="KG13" s="33"/>
      <c r="KH13" s="33"/>
      <c r="KI13" s="33"/>
      <c r="KJ13" s="33"/>
      <c r="KK13" s="33"/>
      <c r="KL13" s="33"/>
      <c r="KM13" s="33"/>
      <c r="KN13" s="33"/>
      <c r="KO13" s="33"/>
    </row>
    <row r="16" spans="2:301" x14ac:dyDescent="0.3">
      <c r="B16" s="29" t="s">
        <v>120</v>
      </c>
      <c r="E16" s="485">
        <f>SUM(E17:E22)/SUM('Assumption Sheet'!$C$38)</f>
        <v>0</v>
      </c>
      <c r="F16" s="485">
        <f>SUM(F17:F22)/SUM('Assumption Sheet'!$C$38)</f>
        <v>0</v>
      </c>
      <c r="G16" s="485">
        <f>SUM(G17:G22)/SUM('Assumption Sheet'!$C$38)</f>
        <v>0</v>
      </c>
      <c r="H16" s="485">
        <f>SUM(H17:H22)/SUM('Assumption Sheet'!$C$38)</f>
        <v>0</v>
      </c>
      <c r="I16" s="485">
        <f>SUM(I17:I22)/SUM('Assumption Sheet'!$C$38)</f>
        <v>0</v>
      </c>
      <c r="J16" s="485">
        <f>SUM(J17:J22)/SUM('Assumption Sheet'!$C$38)</f>
        <v>0</v>
      </c>
      <c r="K16" s="485">
        <f>SUM(K17:K22)/SUM('Assumption Sheet'!$C$38)</f>
        <v>0</v>
      </c>
      <c r="L16" s="485">
        <f>SUM(L17:L22)/SUM('Assumption Sheet'!$C$38)</f>
        <v>0</v>
      </c>
      <c r="M16" s="485">
        <f>SUM(M17:M22)/SUM('Assumption Sheet'!$C$38)</f>
        <v>0</v>
      </c>
      <c r="N16" s="485">
        <f>SUM(N17:N22)/SUM('Assumption Sheet'!$C$38)</f>
        <v>0</v>
      </c>
      <c r="O16" s="485">
        <f>SUM(O17:O22)/SUM('Assumption Sheet'!$C$38)</f>
        <v>0</v>
      </c>
      <c r="P16" s="485">
        <f>SUM(P17:P22)/SUM('Assumption Sheet'!$C$38)</f>
        <v>0</v>
      </c>
      <c r="Q16" s="485">
        <f>SUM(Q17:Q22)/SUM('Assumption Sheet'!$C$38)</f>
        <v>0</v>
      </c>
      <c r="R16" s="485">
        <f>SUM(R17:R22)/SUM('Assumption Sheet'!$C$38)</f>
        <v>0</v>
      </c>
      <c r="S16" s="485">
        <f>SUM(S17:S22)/SUM('Assumption Sheet'!$C$38)</f>
        <v>0</v>
      </c>
      <c r="T16" s="485">
        <f>SUM(T17:T22)/SUM('Assumption Sheet'!$C$38)</f>
        <v>0</v>
      </c>
      <c r="U16" s="485">
        <f>SUM(U17:U22)/SUM('Assumption Sheet'!$C$38)</f>
        <v>0</v>
      </c>
      <c r="V16" s="485">
        <f>SUM(V17:V22)/SUM('Assumption Sheet'!$C$38)</f>
        <v>0</v>
      </c>
      <c r="W16" s="485">
        <f>SUM(W17:W22)/SUM('Assumption Sheet'!$C$38)</f>
        <v>0.17130856079973988</v>
      </c>
      <c r="X16" s="485">
        <f>SUM(X17:X22)/SUM('Assumption Sheet'!$C$38)</f>
        <v>0.17130856079973988</v>
      </c>
      <c r="Y16" s="485">
        <f>SUM(Y17:Y22)/SUM('Assumption Sheet'!$C$38)</f>
        <v>0.17130856079973988</v>
      </c>
      <c r="Z16" s="485">
        <f>SUM(Z17:Z22)/SUM('Assumption Sheet'!$C$38)</f>
        <v>0.17130856079973988</v>
      </c>
      <c r="AA16" s="485">
        <f>SUM(AA17:AA22)/SUM('Assumption Sheet'!$C$38)</f>
        <v>0.17130856079973988</v>
      </c>
      <c r="AB16" s="485">
        <f>SUM(AB17:AB22)/SUM('Assumption Sheet'!$C$38)</f>
        <v>0.17130856079973988</v>
      </c>
      <c r="AC16" s="485">
        <f>SUM(AC17:AC22)/SUM('Assumption Sheet'!$C$38)</f>
        <v>0.17130856079973988</v>
      </c>
      <c r="AD16" s="485">
        <f>SUM(AD17:AD22)/SUM('Assumption Sheet'!$C$38)</f>
        <v>0.17130856079973988</v>
      </c>
      <c r="AE16" s="485">
        <f>SUM(AE17:AE22)/SUM('Assumption Sheet'!$C$38)</f>
        <v>0.17130856079973988</v>
      </c>
      <c r="AF16" s="485">
        <f>SUM(AF17:AF22)/SUM('Assumption Sheet'!$C$38)</f>
        <v>0.17130856079973988</v>
      </c>
      <c r="AG16" s="485">
        <f>SUM(AG17:AG22)/SUM('Assumption Sheet'!$C$38)</f>
        <v>0.17130856079973988</v>
      </c>
      <c r="AH16" s="485">
        <f>SUM(AH17:AH22)/SUM('Assumption Sheet'!$C$38)</f>
        <v>0.17130856079973988</v>
      </c>
      <c r="AI16" s="485">
        <f>SUM(AI17:AI22)/SUM('Assumption Sheet'!$C$38)</f>
        <v>0.50312421636620019</v>
      </c>
      <c r="AJ16" s="485">
        <f>SUM(AJ17:AJ22)/SUM('Assumption Sheet'!$C$38)</f>
        <v>0.50312421636620019</v>
      </c>
      <c r="AK16" s="485">
        <f>SUM(AK17:AK22)/SUM('Assumption Sheet'!$C$38)</f>
        <v>0.50312421636620019</v>
      </c>
      <c r="AL16" s="485">
        <f>SUM(AL17:AL22)/SUM('Assumption Sheet'!$C$38)</f>
        <v>0.50312421636620019</v>
      </c>
      <c r="AM16" s="485">
        <f>SUM(AM17:AM22)/SUM('Assumption Sheet'!$C$38)</f>
        <v>0.50312421636620019</v>
      </c>
      <c r="AN16" s="485">
        <f>SUM(AN17:AN22)/SUM('Assumption Sheet'!$C$38)</f>
        <v>0.50312421636620019</v>
      </c>
      <c r="AO16" s="485">
        <f>SUM(AO17:AO22)/SUM('Assumption Sheet'!$C$38)</f>
        <v>0.50312421636620019</v>
      </c>
      <c r="AP16" s="485">
        <f>SUM(AP17:AP22)/SUM('Assumption Sheet'!$C$38)</f>
        <v>0.50312421636620019</v>
      </c>
      <c r="AQ16" s="485">
        <f>SUM(AQ17:AQ22)/SUM('Assumption Sheet'!$C$38)</f>
        <v>0.50312421636620019</v>
      </c>
      <c r="AR16" s="485">
        <f>SUM(AR17:AR22)/SUM('Assumption Sheet'!$C$38)</f>
        <v>0.64144149544169338</v>
      </c>
      <c r="AS16" s="485">
        <f>SUM(AS17:AS22)/SUM('Assumption Sheet'!$C$38)</f>
        <v>0.64144149544169338</v>
      </c>
      <c r="AT16" s="485">
        <f>SUM(AT17:AT22)/SUM('Assumption Sheet'!$C$38)</f>
        <v>0.64144149544169338</v>
      </c>
      <c r="AU16" s="485">
        <f>SUM(AU17:AU22)/SUM('Assumption Sheet'!$C$38)</f>
        <v>0.64144149544169338</v>
      </c>
      <c r="AV16" s="485">
        <f>SUM(AV17:AV22)/SUM('Assumption Sheet'!$C$38)</f>
        <v>0.64144149544169338</v>
      </c>
      <c r="AW16" s="485">
        <f>SUM(AW17:AW22)/SUM('Assumption Sheet'!$C$38)</f>
        <v>0.64144149544169338</v>
      </c>
      <c r="AX16" s="485">
        <f>SUM(AX17:AX22)/SUM('Assumption Sheet'!$C$38)</f>
        <v>0.64144149544169338</v>
      </c>
      <c r="AY16" s="485">
        <f>SUM(AY17:AY22)/SUM('Assumption Sheet'!$C$38)</f>
        <v>0.64144149544169338</v>
      </c>
      <c r="AZ16" s="485">
        <f>SUM(AZ17:AZ22)/SUM('Assumption Sheet'!$C$38)</f>
        <v>0.64144149544169338</v>
      </c>
      <c r="BA16" s="485">
        <f>SUM(BA17:BA22)/SUM('Assumption Sheet'!$C$38)</f>
        <v>0.93817539512215098</v>
      </c>
      <c r="BB16" s="485">
        <f>SUM(BB17:BB22)/SUM('Assumption Sheet'!$C$38)</f>
        <v>0.93817539512215098</v>
      </c>
      <c r="BC16" s="485">
        <f>SUM(BC17:BC22)/SUM('Assumption Sheet'!$C$38)</f>
        <v>0.93817539512215098</v>
      </c>
      <c r="BD16" s="485">
        <f>SUM(BD17:BD22)/SUM('Assumption Sheet'!$C$38)</f>
        <v>0.93817539512215098</v>
      </c>
      <c r="BE16" s="485">
        <f>SUM(BE17:BE22)/SUM('Assumption Sheet'!$C$38)</f>
        <v>0.93817539512215098</v>
      </c>
      <c r="BF16" s="485">
        <f>SUM(BF17:BF22)/SUM('Assumption Sheet'!$C$38)</f>
        <v>0.93817539512215098</v>
      </c>
      <c r="BG16" s="485">
        <f>SUM(BG17:BG22)/SUM('Assumption Sheet'!$C$38)</f>
        <v>0.93817539512215098</v>
      </c>
      <c r="BH16" s="485">
        <f>SUM(BH17:BH22)/SUM('Assumption Sheet'!$C$38)</f>
        <v>0.93817539512215098</v>
      </c>
      <c r="BI16" s="485">
        <f>SUM(BI17:BI22)/SUM('Assumption Sheet'!$C$38)</f>
        <v>0.93817539512215098</v>
      </c>
      <c r="BJ16" s="485">
        <f>SUM(BJ17:BJ22)/SUM('Assumption Sheet'!$C$38)</f>
        <v>1</v>
      </c>
      <c r="BK16" s="485">
        <f>SUM(BK17:BK22)/SUM('Assumption Sheet'!$C$38)</f>
        <v>1</v>
      </c>
      <c r="BL16" s="485">
        <f>SUM(BL17:BL22)/SUM('Assumption Sheet'!$C$38)</f>
        <v>1</v>
      </c>
      <c r="BM16" s="485">
        <f>SUM(BM17:BM22)/SUM('Assumption Sheet'!$C$38)</f>
        <v>1</v>
      </c>
      <c r="BN16" s="485">
        <f>SUM(BN17:BN22)/SUM('Assumption Sheet'!$C$38)</f>
        <v>1</v>
      </c>
      <c r="BO16" s="485">
        <f>SUM(BO17:BO22)/SUM('Assumption Sheet'!$C$38)</f>
        <v>1</v>
      </c>
      <c r="BP16" s="485">
        <f>SUM(BP17:BP22)/SUM('Assumption Sheet'!$C$38)</f>
        <v>1</v>
      </c>
      <c r="BQ16" s="485">
        <f>SUM(BQ17:BQ22)/SUM('Assumption Sheet'!$C$38)</f>
        <v>1</v>
      </c>
      <c r="BR16" s="485">
        <f>SUM(BR17:BR22)/SUM('Assumption Sheet'!$C$38)</f>
        <v>1</v>
      </c>
      <c r="BS16" s="485">
        <f>SUM(BS17:BS22)/SUM('Assumption Sheet'!$C$38)</f>
        <v>1</v>
      </c>
      <c r="BT16" s="485">
        <f>SUM(BT17:BT22)/SUM('Assumption Sheet'!$C$38)</f>
        <v>1</v>
      </c>
      <c r="BU16" s="485">
        <f>SUM(BU17:BU22)/SUM('Assumption Sheet'!$C$38)</f>
        <v>1</v>
      </c>
      <c r="BV16" s="485">
        <f>SUM(BV17:BV22)/SUM('Assumption Sheet'!$C$38)</f>
        <v>1</v>
      </c>
      <c r="BW16" s="485">
        <f>SUM(BW17:BW22)/SUM('Assumption Sheet'!$C$38)</f>
        <v>1</v>
      </c>
      <c r="BX16" s="485">
        <f>SUM(BX17:BX22)/SUM('Assumption Sheet'!$C$38)</f>
        <v>1</v>
      </c>
      <c r="BY16" s="485">
        <f>SUM(BY17:BY22)/SUM('Assumption Sheet'!$C$38)</f>
        <v>1</v>
      </c>
      <c r="BZ16" s="485">
        <f>SUM(BZ17:BZ22)/SUM('Assumption Sheet'!$C$38)</f>
        <v>1</v>
      </c>
      <c r="CA16" s="485">
        <f>SUM(CA17:CA22)/SUM('Assumption Sheet'!$C$38)</f>
        <v>1</v>
      </c>
      <c r="CB16" s="485">
        <f>SUM(CB17:CB22)/SUM('Assumption Sheet'!$C$38)</f>
        <v>1</v>
      </c>
      <c r="CC16" s="485">
        <f>SUM(CC17:CC22)/SUM('Assumption Sheet'!$C$38)</f>
        <v>1</v>
      </c>
      <c r="CD16" s="485">
        <f>SUM(CD17:CD22)/SUM('Assumption Sheet'!$C$38)</f>
        <v>1</v>
      </c>
      <c r="CE16" s="485">
        <f>SUM(CE17:CE22)/SUM('Assumption Sheet'!$C$38)</f>
        <v>1</v>
      </c>
      <c r="CF16" s="485">
        <f>SUM(CF17:CF22)/SUM('Assumption Sheet'!$C$38)</f>
        <v>1</v>
      </c>
      <c r="CG16" s="485">
        <f>SUM(CG17:CG22)/SUM('Assumption Sheet'!$C$38)</f>
        <v>1</v>
      </c>
      <c r="CH16" s="485">
        <f>SUM(CH17:CH22)/SUM('Assumption Sheet'!$C$38)</f>
        <v>1</v>
      </c>
      <c r="CI16" s="485">
        <f>SUM(CI17:CI22)/SUM('Assumption Sheet'!$C$38)</f>
        <v>1</v>
      </c>
      <c r="CJ16" s="485">
        <f>SUM(CJ17:CJ22)/SUM('Assumption Sheet'!$C$38)</f>
        <v>1</v>
      </c>
      <c r="CK16" s="485">
        <f>SUM(CK17:CK22)/SUM('Assumption Sheet'!$C$38)</f>
        <v>1</v>
      </c>
      <c r="CL16" s="485">
        <f>SUM(CL17:CL22)/SUM('Assumption Sheet'!$C$38)</f>
        <v>1</v>
      </c>
      <c r="CM16" s="485">
        <f>SUM(CM17:CM22)/SUM('Assumption Sheet'!$C$38)</f>
        <v>1</v>
      </c>
      <c r="CN16" s="485">
        <f>SUM(CN17:CN22)/SUM('Assumption Sheet'!$C$38)</f>
        <v>1</v>
      </c>
      <c r="CO16" s="485">
        <f>SUM(CO17:CO22)/SUM('Assumption Sheet'!$C$38)</f>
        <v>1</v>
      </c>
      <c r="CP16" s="485">
        <f>SUM(CP17:CP22)/SUM('Assumption Sheet'!$C$38)</f>
        <v>1</v>
      </c>
      <c r="CQ16" s="485">
        <f>SUM(CQ17:CQ22)/SUM('Assumption Sheet'!$C$38)</f>
        <v>1</v>
      </c>
      <c r="CR16" s="485">
        <f>SUM(CR17:CR22)/SUM('Assumption Sheet'!$C$38)</f>
        <v>1</v>
      </c>
      <c r="CS16" s="485">
        <f>SUM(CS17:CS22)/SUM('Assumption Sheet'!$C$38)</f>
        <v>1</v>
      </c>
      <c r="CT16" s="485">
        <f>SUM(CT17:CT22)/SUM('Assumption Sheet'!$C$38)</f>
        <v>1</v>
      </c>
      <c r="CU16" s="485">
        <f>SUM(CU17:CU22)/SUM('Assumption Sheet'!$C$38)</f>
        <v>1</v>
      </c>
      <c r="CV16" s="485">
        <f>SUM(CV17:CV22)/SUM('Assumption Sheet'!$C$38)</f>
        <v>1</v>
      </c>
      <c r="CW16" s="485">
        <f>SUM(CW17:CW22)/SUM('Assumption Sheet'!$C$38)</f>
        <v>1</v>
      </c>
      <c r="CX16" s="485">
        <f>SUM(CX17:CX22)/SUM('Assumption Sheet'!$C$38)</f>
        <v>1</v>
      </c>
      <c r="CY16" s="485">
        <f>SUM(CY17:CY22)/SUM('Assumption Sheet'!$C$38)</f>
        <v>1</v>
      </c>
      <c r="CZ16" s="485">
        <f>SUM(CZ17:CZ22)/SUM('Assumption Sheet'!$C$38)</f>
        <v>1</v>
      </c>
      <c r="DA16" s="485">
        <f>SUM(DA17:DA22)/SUM('Assumption Sheet'!$C$38)</f>
        <v>1</v>
      </c>
      <c r="DB16" s="485">
        <f>SUM(DB17:DB22)/SUM('Assumption Sheet'!$C$38)</f>
        <v>1</v>
      </c>
      <c r="DC16" s="485">
        <f>SUM(DC17:DC22)/SUM('Assumption Sheet'!$C$38)</f>
        <v>1</v>
      </c>
      <c r="DD16" s="485">
        <f>SUM(DD17:DD22)/SUM('Assumption Sheet'!$C$38)</f>
        <v>1</v>
      </c>
      <c r="DE16" s="485">
        <f>SUM(DE17:DE22)/SUM('Assumption Sheet'!$C$38)</f>
        <v>1</v>
      </c>
      <c r="DF16" s="485">
        <f>SUM(DF17:DF22)/SUM('Assumption Sheet'!$C$38)</f>
        <v>1</v>
      </c>
      <c r="DG16" s="485">
        <f>SUM(DG17:DG22)/SUM('Assumption Sheet'!$C$38)</f>
        <v>1</v>
      </c>
      <c r="DH16" s="485">
        <f>SUM(DH17:DH22)/SUM('Assumption Sheet'!$C$38)</f>
        <v>1</v>
      </c>
      <c r="DI16" s="485">
        <f>SUM(DI17:DI22)/SUM('Assumption Sheet'!$C$38)</f>
        <v>1</v>
      </c>
      <c r="DJ16" s="485">
        <f>SUM(DJ17:DJ22)/SUM('Assumption Sheet'!$C$38)</f>
        <v>1</v>
      </c>
      <c r="DK16" s="485">
        <f>SUM(DK17:DK22)/SUM('Assumption Sheet'!$C$38)</f>
        <v>1</v>
      </c>
      <c r="DL16" s="485">
        <f>SUM(DL17:DL22)/SUM('Assumption Sheet'!$C$38)</f>
        <v>1</v>
      </c>
      <c r="DM16" s="485">
        <f>SUM(DM17:DM22)/SUM('Assumption Sheet'!$C$38)</f>
        <v>1</v>
      </c>
      <c r="DN16" s="485">
        <f>SUM(DN17:DN22)/SUM('Assumption Sheet'!$C$38)</f>
        <v>1</v>
      </c>
      <c r="DO16" s="485">
        <f>SUM(DO17:DO22)/SUM('Assumption Sheet'!$C$38)</f>
        <v>1</v>
      </c>
      <c r="DP16" s="485">
        <f>SUM(DP17:DP22)/SUM('Assumption Sheet'!$C$38)</f>
        <v>1</v>
      </c>
      <c r="DQ16" s="485">
        <f>SUM(DQ17:DQ22)/SUM('Assumption Sheet'!$C$38)</f>
        <v>1</v>
      </c>
      <c r="DR16" s="485">
        <f>SUM(DR17:DR22)/SUM('Assumption Sheet'!$C$38)</f>
        <v>1</v>
      </c>
      <c r="DS16" s="485">
        <f>SUM(DS17:DS22)/SUM('Assumption Sheet'!$C$38)</f>
        <v>1</v>
      </c>
      <c r="DT16" s="485">
        <f>SUM(DT17:DT22)/SUM('Assumption Sheet'!$C$38)</f>
        <v>1</v>
      </c>
      <c r="DU16" s="485">
        <f>SUM(DU17:DU22)/SUM('Assumption Sheet'!$C$38)</f>
        <v>1</v>
      </c>
      <c r="DV16" s="485">
        <f>SUM(DV17:DV22)/SUM('Assumption Sheet'!$C$38)</f>
        <v>1</v>
      </c>
      <c r="DW16" s="485">
        <f>SUM(DW17:DW22)/SUM('Assumption Sheet'!$C$38)</f>
        <v>1</v>
      </c>
      <c r="DX16" s="485">
        <f>SUM(DX17:DX22)/SUM('Assumption Sheet'!$C$38)</f>
        <v>1</v>
      </c>
      <c r="DY16" s="485">
        <f>SUM(DY17:DY22)/SUM('Assumption Sheet'!$C$38)</f>
        <v>1</v>
      </c>
      <c r="DZ16" s="485">
        <f>SUM(DZ17:DZ22)/SUM('Assumption Sheet'!$C$38)</f>
        <v>1</v>
      </c>
      <c r="EA16" s="485">
        <f>SUM(EA17:EA22)/SUM('Assumption Sheet'!$C$38)</f>
        <v>1</v>
      </c>
      <c r="EB16" s="485">
        <f>SUM(EB17:EB22)/SUM('Assumption Sheet'!$C$38)</f>
        <v>1</v>
      </c>
      <c r="EC16" s="485">
        <f>SUM(EC17:EC22)/SUM('Assumption Sheet'!$C$38)</f>
        <v>1</v>
      </c>
      <c r="ED16" s="485">
        <f>SUM(ED17:ED22)/SUM('Assumption Sheet'!$C$38)</f>
        <v>1</v>
      </c>
      <c r="EE16" s="485">
        <f>SUM(EE17:EE22)/SUM('Assumption Sheet'!$C$38)</f>
        <v>1</v>
      </c>
      <c r="EF16" s="485">
        <f>SUM(EF17:EF22)/SUM('Assumption Sheet'!$C$38)</f>
        <v>1</v>
      </c>
      <c r="EG16" s="485">
        <f>SUM(EG17:EG22)/SUM('Assumption Sheet'!$C$38)</f>
        <v>1</v>
      </c>
      <c r="EH16" s="485">
        <f>SUM(EH17:EH22)/SUM('Assumption Sheet'!$C$38)</f>
        <v>1</v>
      </c>
      <c r="EI16" s="485">
        <f>SUM(EI17:EI22)/SUM('Assumption Sheet'!$C$38)</f>
        <v>1</v>
      </c>
      <c r="EJ16" s="485">
        <f>SUM(EJ17:EJ22)/SUM('Assumption Sheet'!$C$38)</f>
        <v>1</v>
      </c>
      <c r="EK16" s="485">
        <f>SUM(EK17:EK22)/SUM('Assumption Sheet'!$C$38)</f>
        <v>1</v>
      </c>
      <c r="EL16" s="485">
        <f>SUM(EL17:EL22)/SUM('Assumption Sheet'!$C$38)</f>
        <v>1</v>
      </c>
      <c r="EM16" s="485">
        <f>SUM(EM17:EM22)/SUM('Assumption Sheet'!$C$38)</f>
        <v>1</v>
      </c>
      <c r="EN16" s="485">
        <f>SUM(EN17:EN22)/SUM('Assumption Sheet'!$C$38)</f>
        <v>1</v>
      </c>
      <c r="EO16" s="485">
        <f>SUM(EO17:EO22)/SUM('Assumption Sheet'!$C$38)</f>
        <v>1</v>
      </c>
      <c r="EP16" s="485">
        <f>SUM(EP17:EP22)/SUM('Assumption Sheet'!$C$38)</f>
        <v>1</v>
      </c>
      <c r="EQ16" s="485">
        <f>SUM(EQ17:EQ22)/SUM('Assumption Sheet'!$C$38)</f>
        <v>1</v>
      </c>
      <c r="ER16" s="485">
        <f>SUM(ER17:ER22)/SUM('Assumption Sheet'!$C$38)</f>
        <v>1</v>
      </c>
      <c r="ES16" s="485">
        <f>SUM(ES17:ES22)/SUM('Assumption Sheet'!$C$38)</f>
        <v>1</v>
      </c>
      <c r="ET16" s="485">
        <f>SUM(ET17:ET22)/SUM('Assumption Sheet'!$C$38)</f>
        <v>1</v>
      </c>
      <c r="EU16" s="485">
        <f>SUM(EU17:EU22)/SUM('Assumption Sheet'!$C$38)</f>
        <v>1</v>
      </c>
      <c r="EV16" s="485">
        <f>SUM(EV17:EV22)/SUM('Assumption Sheet'!$C$38)</f>
        <v>1</v>
      </c>
      <c r="EW16" s="485">
        <f>SUM(EW17:EW22)/SUM('Assumption Sheet'!$C$38)</f>
        <v>1</v>
      </c>
      <c r="EX16" s="485">
        <f>SUM(EX17:EX22)/SUM('Assumption Sheet'!$C$38)</f>
        <v>1</v>
      </c>
      <c r="EY16" s="485">
        <f>SUM(EY17:EY22)/SUM('Assumption Sheet'!$C$38)</f>
        <v>1</v>
      </c>
      <c r="EZ16" s="485">
        <f>SUM(EZ17:EZ22)/SUM('Assumption Sheet'!$C$38)</f>
        <v>1</v>
      </c>
      <c r="FA16" s="485">
        <f>SUM(FA17:FA22)/SUM('Assumption Sheet'!$C$38)</f>
        <v>1</v>
      </c>
      <c r="FB16" s="485">
        <f>SUM(FB17:FB22)/SUM('Assumption Sheet'!$C$38)</f>
        <v>1</v>
      </c>
      <c r="FC16" s="485">
        <f>SUM(FC17:FC22)/SUM('Assumption Sheet'!$C$38)</f>
        <v>1</v>
      </c>
      <c r="FD16" s="485">
        <f>SUM(FD17:FD22)/SUM('Assumption Sheet'!$C$38)</f>
        <v>1</v>
      </c>
      <c r="FE16" s="485">
        <f>SUM(FE17:FE22)/SUM('Assumption Sheet'!$C$38)</f>
        <v>1</v>
      </c>
      <c r="FF16" s="485">
        <f>SUM(FF17:FF22)/SUM('Assumption Sheet'!$C$38)</f>
        <v>1</v>
      </c>
      <c r="FG16" s="485">
        <f>SUM(FG17:FG22)/SUM('Assumption Sheet'!$C$38)</f>
        <v>1</v>
      </c>
      <c r="FH16" s="485">
        <f>SUM(FH17:FH22)/SUM('Assumption Sheet'!$C$38)</f>
        <v>1</v>
      </c>
      <c r="FI16" s="485">
        <f>SUM(FI17:FI22)/SUM('Assumption Sheet'!$C$38)</f>
        <v>1</v>
      </c>
      <c r="FJ16" s="485">
        <f>SUM(FJ17:FJ22)/SUM('Assumption Sheet'!$C$38)</f>
        <v>1</v>
      </c>
      <c r="FK16" s="485">
        <f>SUM(FK17:FK22)/SUM('Assumption Sheet'!$C$38)</f>
        <v>1</v>
      </c>
      <c r="FL16" s="485">
        <f>SUM(FL17:FL22)/SUM('Assumption Sheet'!$C$38)</f>
        <v>1</v>
      </c>
      <c r="FM16" s="485">
        <f>SUM(FM17:FM22)/SUM('Assumption Sheet'!$C$38)</f>
        <v>1</v>
      </c>
      <c r="FN16" s="485">
        <f>SUM(FN17:FN22)/SUM('Assumption Sheet'!$C$38)</f>
        <v>1</v>
      </c>
      <c r="FO16" s="485">
        <f>SUM(FO17:FO22)/SUM('Assumption Sheet'!$C$38)</f>
        <v>1</v>
      </c>
      <c r="FP16" s="485">
        <f>SUM(FP17:FP22)/SUM('Assumption Sheet'!$C$38)</f>
        <v>1</v>
      </c>
      <c r="FQ16" s="485">
        <f>SUM(FQ17:FQ22)/SUM('Assumption Sheet'!$C$38)</f>
        <v>1</v>
      </c>
      <c r="FR16" s="485">
        <f>SUM(FR17:FR22)/SUM('Assumption Sheet'!$C$38)</f>
        <v>1</v>
      </c>
      <c r="FS16" s="485">
        <f>SUM(FS17:FS22)/SUM('Assumption Sheet'!$C$38)</f>
        <v>1</v>
      </c>
      <c r="FT16" s="485">
        <f>SUM(FT17:FT22)/SUM('Assumption Sheet'!$C$38)</f>
        <v>1</v>
      </c>
      <c r="FU16" s="485">
        <f>SUM(FU17:FU22)/SUM('Assumption Sheet'!$C$38)</f>
        <v>1</v>
      </c>
      <c r="FV16" s="485">
        <f>SUM(FV17:FV22)/SUM('Assumption Sheet'!$C$38)</f>
        <v>1</v>
      </c>
      <c r="FW16" s="485">
        <f>SUM(FW17:FW22)/SUM('Assumption Sheet'!$C$38)</f>
        <v>1</v>
      </c>
      <c r="FX16" s="485">
        <f>SUM(FX17:FX22)/SUM('Assumption Sheet'!$C$38)</f>
        <v>1</v>
      </c>
      <c r="FY16" s="485">
        <f>SUM(FY17:FY22)/SUM('Assumption Sheet'!$C$38)</f>
        <v>1</v>
      </c>
      <c r="FZ16" s="485">
        <f>SUM(FZ17:FZ22)/SUM('Assumption Sheet'!$C$38)</f>
        <v>1</v>
      </c>
      <c r="GA16" s="485">
        <f>SUM(GA17:GA22)/SUM('Assumption Sheet'!$C$38)</f>
        <v>1</v>
      </c>
      <c r="GB16" s="485">
        <f>SUM(GB17:GB22)/SUM('Assumption Sheet'!$C$38)</f>
        <v>1</v>
      </c>
      <c r="GC16" s="485">
        <f>SUM(GC17:GC22)/SUM('Assumption Sheet'!$C$38)</f>
        <v>1</v>
      </c>
      <c r="GD16" s="485">
        <f>SUM(GD17:GD22)/SUM('Assumption Sheet'!$C$38)</f>
        <v>1</v>
      </c>
      <c r="GE16" s="485">
        <f>SUM(GE17:GE22)/SUM('Assumption Sheet'!$C$38)</f>
        <v>1</v>
      </c>
      <c r="GF16" s="485">
        <f>SUM(GF17:GF22)/SUM('Assumption Sheet'!$C$38)</f>
        <v>1</v>
      </c>
      <c r="GG16" s="485">
        <f>SUM(GG17:GG22)/SUM('Assumption Sheet'!$C$38)</f>
        <v>1</v>
      </c>
    </row>
    <row r="17" spans="1:301" x14ac:dyDescent="0.3">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row>
    <row r="18" spans="1:301" x14ac:dyDescent="0.3">
      <c r="B18" s="1" t="str">
        <f>B9</f>
        <v>Phase 1</v>
      </c>
      <c r="E18" s="45">
        <f>IF(AND(E$1&gt;='Assumption Sheet'!$K28,E$1&lt;='Assumption Sheet'!$Y28),'Assumption Sheet'!$C28,0)</f>
        <v>0</v>
      </c>
      <c r="F18" s="45">
        <f>IF(AND(F$1&gt;='Assumption Sheet'!$K28,F$1&lt;='Assumption Sheet'!$Y28),'Assumption Sheet'!$C28,0)</f>
        <v>0</v>
      </c>
      <c r="G18" s="45">
        <f>IF(AND(G$1&gt;='Assumption Sheet'!$K28,G$1&lt;='Assumption Sheet'!$Y28),'Assumption Sheet'!$C28,0)</f>
        <v>0</v>
      </c>
      <c r="H18" s="45">
        <f>IF(AND(H$1&gt;='Assumption Sheet'!$K28,H$1&lt;='Assumption Sheet'!$Y28),'Assumption Sheet'!$C28,0)</f>
        <v>0</v>
      </c>
      <c r="I18" s="45">
        <f>IF(AND(I$1&gt;='Assumption Sheet'!$K28,I$1&lt;='Assumption Sheet'!$Y28),'Assumption Sheet'!$C28,0)</f>
        <v>0</v>
      </c>
      <c r="J18" s="45">
        <f>IF(AND(J$1&gt;='Assumption Sheet'!$K28,J$1&lt;='Assumption Sheet'!$Y28),'Assumption Sheet'!$C28,0)</f>
        <v>0</v>
      </c>
      <c r="K18" s="45">
        <f>IF(AND(K$1&gt;='Assumption Sheet'!$K28,K$1&lt;='Assumption Sheet'!$Y28),'Assumption Sheet'!$C28,0)</f>
        <v>0</v>
      </c>
      <c r="L18" s="45">
        <f>IF(AND(L$1&gt;='Assumption Sheet'!$K28,L$1&lt;='Assumption Sheet'!$Y28),'Assumption Sheet'!$C28,0)</f>
        <v>0</v>
      </c>
      <c r="M18" s="45">
        <f>IF(AND(M$1&gt;='Assumption Sheet'!$K28,M$1&lt;='Assumption Sheet'!$Y28),'Assumption Sheet'!$C28,0)</f>
        <v>0</v>
      </c>
      <c r="N18" s="45">
        <f>IF(AND(N$1&gt;='Assumption Sheet'!$K28,N$1&lt;='Assumption Sheet'!$Y28),'Assumption Sheet'!$C28,0)</f>
        <v>0</v>
      </c>
      <c r="O18" s="45">
        <f>IF(AND(O$1&gt;='Assumption Sheet'!$K28,O$1&lt;='Assumption Sheet'!$Y28),'Assumption Sheet'!$C28,0)</f>
        <v>0</v>
      </c>
      <c r="P18" s="45">
        <f>IF(AND(P$1&gt;='Assumption Sheet'!$K28,P$1&lt;='Assumption Sheet'!$Y28),'Assumption Sheet'!$C28,0)</f>
        <v>0</v>
      </c>
      <c r="Q18" s="45">
        <f>IF(AND(Q$1&gt;='Assumption Sheet'!$K28,Q$1&lt;='Assumption Sheet'!$Y28),'Assumption Sheet'!$C28,0)</f>
        <v>0</v>
      </c>
      <c r="R18" s="45">
        <f>IF(AND(R$1&gt;='Assumption Sheet'!$K28,R$1&lt;='Assumption Sheet'!$Y28),'Assumption Sheet'!$C28,0)</f>
        <v>0</v>
      </c>
      <c r="S18" s="45">
        <f>IF(AND(S$1&gt;='Assumption Sheet'!$K28,S$1&lt;='Assumption Sheet'!$Y28),'Assumption Sheet'!$C28,0)</f>
        <v>0</v>
      </c>
      <c r="T18" s="45">
        <f>IF(AND(T$1&gt;='Assumption Sheet'!$K28,T$1&lt;='Assumption Sheet'!$Y28),'Assumption Sheet'!$C28,0)</f>
        <v>0</v>
      </c>
      <c r="U18" s="45">
        <f>IF(AND(U$1&gt;='Assumption Sheet'!$K28,U$1&lt;='Assumption Sheet'!$Y28),'Assumption Sheet'!$C28,0)</f>
        <v>0</v>
      </c>
      <c r="V18" s="45">
        <f>IF(AND(V$1&gt;='Assumption Sheet'!$K28,V$1&lt;='Assumption Sheet'!$Y28),'Assumption Sheet'!$C28,0)</f>
        <v>0</v>
      </c>
      <c r="W18" s="45">
        <f>IF(AND(W$1&gt;='Assumption Sheet'!$K28,W$1&lt;='Assumption Sheet'!$Y28),'Assumption Sheet'!$C28,0)</f>
        <v>255179.83111949998</v>
      </c>
      <c r="X18" s="45">
        <f>IF(AND(X$1&gt;='Assumption Sheet'!$K28,X$1&lt;='Assumption Sheet'!$Y28),'Assumption Sheet'!$C28,0)</f>
        <v>255179.83111949998</v>
      </c>
      <c r="Y18" s="45">
        <f>IF(AND(Y$1&gt;='Assumption Sheet'!$K28,Y$1&lt;='Assumption Sheet'!$Y28),'Assumption Sheet'!$C28,0)</f>
        <v>255179.83111949998</v>
      </c>
      <c r="Z18" s="45">
        <f>IF(AND(Z$1&gt;='Assumption Sheet'!$K28,Z$1&lt;='Assumption Sheet'!$Y28),'Assumption Sheet'!$C28,0)</f>
        <v>255179.83111949998</v>
      </c>
      <c r="AA18" s="45">
        <f>IF(AND(AA$1&gt;='Assumption Sheet'!$K28,AA$1&lt;='Assumption Sheet'!$Y28),'Assumption Sheet'!$C28,0)</f>
        <v>255179.83111949998</v>
      </c>
      <c r="AB18" s="45">
        <f>IF(AND(AB$1&gt;='Assumption Sheet'!$K28,AB$1&lt;='Assumption Sheet'!$Y28),'Assumption Sheet'!$C28,0)</f>
        <v>255179.83111949998</v>
      </c>
      <c r="AC18" s="45">
        <f>IF(AND(AC$1&gt;='Assumption Sheet'!$K28,AC$1&lt;='Assumption Sheet'!$Y28),'Assumption Sheet'!$C28,0)</f>
        <v>255179.83111949998</v>
      </c>
      <c r="AD18" s="45">
        <f>IF(AND(AD$1&gt;='Assumption Sheet'!$K28,AD$1&lt;='Assumption Sheet'!$Y28),'Assumption Sheet'!$C28,0)</f>
        <v>255179.83111949998</v>
      </c>
      <c r="AE18" s="45">
        <f>IF(AND(AE$1&gt;='Assumption Sheet'!$K28,AE$1&lt;='Assumption Sheet'!$Y28),'Assumption Sheet'!$C28,0)</f>
        <v>255179.83111949998</v>
      </c>
      <c r="AF18" s="45">
        <f>IF(AND(AF$1&gt;='Assumption Sheet'!$K28,AF$1&lt;='Assumption Sheet'!$Y28),'Assumption Sheet'!$C28,0)</f>
        <v>255179.83111949998</v>
      </c>
      <c r="AG18" s="45">
        <f>IF(AND(AG$1&gt;='Assumption Sheet'!$K28,AG$1&lt;='Assumption Sheet'!$Y28),'Assumption Sheet'!$C28,0)</f>
        <v>255179.83111949998</v>
      </c>
      <c r="AH18" s="45">
        <f>IF(AND(AH$1&gt;='Assumption Sheet'!$K28,AH$1&lt;='Assumption Sheet'!$Y28),'Assumption Sheet'!$C28,0)</f>
        <v>255179.83111949998</v>
      </c>
      <c r="AI18" s="45">
        <f>IF(AND(AI$1&gt;='Assumption Sheet'!$K28,AI$1&lt;='Assumption Sheet'!$Y28),'Assumption Sheet'!$C28,0)</f>
        <v>255179.83111949998</v>
      </c>
      <c r="AJ18" s="45">
        <f>IF(AND(AJ$1&gt;='Assumption Sheet'!$K28,AJ$1&lt;='Assumption Sheet'!$Y28),'Assumption Sheet'!$C28,0)</f>
        <v>255179.83111949998</v>
      </c>
      <c r="AK18" s="45">
        <f>IF(AND(AK$1&gt;='Assumption Sheet'!$K28,AK$1&lt;='Assumption Sheet'!$Y28),'Assumption Sheet'!$C28,0)</f>
        <v>255179.83111949998</v>
      </c>
      <c r="AL18" s="45">
        <f>IF(AND(AL$1&gt;='Assumption Sheet'!$K28,AL$1&lt;='Assumption Sheet'!$Y28),'Assumption Sheet'!$C28,0)</f>
        <v>255179.83111949998</v>
      </c>
      <c r="AM18" s="45">
        <f>IF(AND(AM$1&gt;='Assumption Sheet'!$K28,AM$1&lt;='Assumption Sheet'!$Y28),'Assumption Sheet'!$C28,0)</f>
        <v>255179.83111949998</v>
      </c>
      <c r="AN18" s="45">
        <f>IF(AND(AN$1&gt;='Assumption Sheet'!$K28,AN$1&lt;='Assumption Sheet'!$Y28),'Assumption Sheet'!$C28,0)</f>
        <v>255179.83111949998</v>
      </c>
      <c r="AO18" s="45">
        <f>IF(AND(AO$1&gt;='Assumption Sheet'!$K28,AO$1&lt;='Assumption Sheet'!$Y28),'Assumption Sheet'!$C28,0)</f>
        <v>255179.83111949998</v>
      </c>
      <c r="AP18" s="45">
        <f>IF(AND(AP$1&gt;='Assumption Sheet'!$K28,AP$1&lt;='Assumption Sheet'!$Y28),'Assumption Sheet'!$C28,0)</f>
        <v>255179.83111949998</v>
      </c>
      <c r="AQ18" s="45">
        <f>IF(AND(AQ$1&gt;='Assumption Sheet'!$K28,AQ$1&lt;='Assumption Sheet'!$Y28),'Assumption Sheet'!$C28,0)</f>
        <v>255179.83111949998</v>
      </c>
      <c r="AR18" s="45">
        <f>IF(AND(AR$1&gt;='Assumption Sheet'!$K28,AR$1&lt;='Assumption Sheet'!$Y28),'Assumption Sheet'!$C28,0)</f>
        <v>255179.83111949998</v>
      </c>
      <c r="AS18" s="45">
        <f>IF(AND(AS$1&gt;='Assumption Sheet'!$K28,AS$1&lt;='Assumption Sheet'!$Y28),'Assumption Sheet'!$C28,0)</f>
        <v>255179.83111949998</v>
      </c>
      <c r="AT18" s="45">
        <f>IF(AND(AT$1&gt;='Assumption Sheet'!$K28,AT$1&lt;='Assumption Sheet'!$Y28),'Assumption Sheet'!$C28,0)</f>
        <v>255179.83111949998</v>
      </c>
      <c r="AU18" s="45">
        <f>IF(AND(AU$1&gt;='Assumption Sheet'!$K28,AU$1&lt;='Assumption Sheet'!$Y28),'Assumption Sheet'!$C28,0)</f>
        <v>255179.83111949998</v>
      </c>
      <c r="AV18" s="45">
        <f>IF(AND(AV$1&gt;='Assumption Sheet'!$K28,AV$1&lt;='Assumption Sheet'!$Y28),'Assumption Sheet'!$C28,0)</f>
        <v>255179.83111949998</v>
      </c>
      <c r="AW18" s="45">
        <f>IF(AND(AW$1&gt;='Assumption Sheet'!$K28,AW$1&lt;='Assumption Sheet'!$Y28),'Assumption Sheet'!$C28,0)</f>
        <v>255179.83111949998</v>
      </c>
      <c r="AX18" s="45">
        <f>IF(AND(AX$1&gt;='Assumption Sheet'!$K28,AX$1&lt;='Assumption Sheet'!$Y28),'Assumption Sheet'!$C28,0)</f>
        <v>255179.83111949998</v>
      </c>
      <c r="AY18" s="45">
        <f>IF(AND(AY$1&gt;='Assumption Sheet'!$K28,AY$1&lt;='Assumption Sheet'!$Y28),'Assumption Sheet'!$C28,0)</f>
        <v>255179.83111949998</v>
      </c>
      <c r="AZ18" s="45">
        <f>IF(AND(AZ$1&gt;='Assumption Sheet'!$K28,AZ$1&lt;='Assumption Sheet'!$Y28),'Assumption Sheet'!$C28,0)</f>
        <v>255179.83111949998</v>
      </c>
      <c r="BA18" s="45">
        <f>IF(AND(BA$1&gt;='Assumption Sheet'!$K28,BA$1&lt;='Assumption Sheet'!$Y28),'Assumption Sheet'!$C28,0)</f>
        <v>255179.83111949998</v>
      </c>
      <c r="BB18" s="45">
        <f>IF(AND(BB$1&gt;='Assumption Sheet'!$K28,BB$1&lt;='Assumption Sheet'!$Y28),'Assumption Sheet'!$C28,0)</f>
        <v>255179.83111949998</v>
      </c>
      <c r="BC18" s="45">
        <f>IF(AND(BC$1&gt;='Assumption Sheet'!$K28,BC$1&lt;='Assumption Sheet'!$Y28),'Assumption Sheet'!$C28,0)</f>
        <v>255179.83111949998</v>
      </c>
      <c r="BD18" s="45">
        <f>IF(AND(BD$1&gt;='Assumption Sheet'!$K28,BD$1&lt;='Assumption Sheet'!$Y28),'Assumption Sheet'!$C28,0)</f>
        <v>255179.83111949998</v>
      </c>
      <c r="BE18" s="45">
        <f>IF(AND(BE$1&gt;='Assumption Sheet'!$K28,BE$1&lt;='Assumption Sheet'!$Y28),'Assumption Sheet'!$C28,0)</f>
        <v>255179.83111949998</v>
      </c>
      <c r="BF18" s="45">
        <f>IF(AND(BF$1&gt;='Assumption Sheet'!$K28,BF$1&lt;='Assumption Sheet'!$Y28),'Assumption Sheet'!$C28,0)</f>
        <v>255179.83111949998</v>
      </c>
      <c r="BG18" s="45">
        <f>IF(AND(BG$1&gt;='Assumption Sheet'!$K28,BG$1&lt;='Assumption Sheet'!$Y28),'Assumption Sheet'!$C28,0)</f>
        <v>255179.83111949998</v>
      </c>
      <c r="BH18" s="45">
        <f>IF(AND(BH$1&gt;='Assumption Sheet'!$K28,BH$1&lt;='Assumption Sheet'!$Y28),'Assumption Sheet'!$C28,0)</f>
        <v>255179.83111949998</v>
      </c>
      <c r="BI18" s="45">
        <f>IF(AND(BI$1&gt;='Assumption Sheet'!$K28,BI$1&lt;='Assumption Sheet'!$Y28),'Assumption Sheet'!$C28,0)</f>
        <v>255179.83111949998</v>
      </c>
      <c r="BJ18" s="45">
        <f>IF(AND(BJ$1&gt;='Assumption Sheet'!$K28,BJ$1&lt;='Assumption Sheet'!$Y28),'Assumption Sheet'!$C28,0)</f>
        <v>255179.83111949998</v>
      </c>
      <c r="BK18" s="45">
        <f>IF(AND(BK$1&gt;='Assumption Sheet'!$K28,BK$1&lt;='Assumption Sheet'!$Y28),'Assumption Sheet'!$C28,0)</f>
        <v>255179.83111949998</v>
      </c>
      <c r="BL18" s="45">
        <f>IF(AND(BL$1&gt;='Assumption Sheet'!$K28,BL$1&lt;='Assumption Sheet'!$Y28),'Assumption Sheet'!$C28,0)</f>
        <v>255179.83111949998</v>
      </c>
      <c r="BM18" s="45">
        <f>IF(AND(BM$1&gt;='Assumption Sheet'!$K28,BM$1&lt;='Assumption Sheet'!$Y28),'Assumption Sheet'!$C28,0)</f>
        <v>255179.83111949998</v>
      </c>
      <c r="BN18" s="45">
        <f>IF(AND(BN$1&gt;='Assumption Sheet'!$K28,BN$1&lt;='Assumption Sheet'!$Y28),'Assumption Sheet'!$C28,0)</f>
        <v>255179.83111949998</v>
      </c>
      <c r="BO18" s="45">
        <f>IF(AND(BO$1&gt;='Assumption Sheet'!$K28,BO$1&lt;='Assumption Sheet'!$Y28),'Assumption Sheet'!$C28,0)</f>
        <v>255179.83111949998</v>
      </c>
      <c r="BP18" s="45">
        <f>IF(AND(BP$1&gt;='Assumption Sheet'!$K28,BP$1&lt;='Assumption Sheet'!$Y28),'Assumption Sheet'!$C28,0)</f>
        <v>255179.83111949998</v>
      </c>
      <c r="BQ18" s="45">
        <f>IF(AND(BQ$1&gt;='Assumption Sheet'!$K28,BQ$1&lt;='Assumption Sheet'!$Y28),'Assumption Sheet'!$C28,0)</f>
        <v>255179.83111949998</v>
      </c>
      <c r="BR18" s="45">
        <f>IF(AND(BR$1&gt;='Assumption Sheet'!$K28,BR$1&lt;='Assumption Sheet'!$Y28),'Assumption Sheet'!$C28,0)</f>
        <v>255179.83111949998</v>
      </c>
      <c r="BS18" s="45">
        <f>IF(AND(BS$1&gt;='Assumption Sheet'!$K28,BS$1&lt;='Assumption Sheet'!$Y28),'Assumption Sheet'!$C28,0)</f>
        <v>255179.83111949998</v>
      </c>
      <c r="BT18" s="45">
        <f>IF(AND(BT$1&gt;='Assumption Sheet'!$K28,BT$1&lt;='Assumption Sheet'!$Y28),'Assumption Sheet'!$C28,0)</f>
        <v>255179.83111949998</v>
      </c>
      <c r="BU18" s="45">
        <f>IF(AND(BU$1&gt;='Assumption Sheet'!$K28,BU$1&lt;='Assumption Sheet'!$Y28),'Assumption Sheet'!$C28,0)</f>
        <v>255179.83111949998</v>
      </c>
      <c r="BV18" s="45">
        <f>IF(AND(BV$1&gt;='Assumption Sheet'!$K28,BV$1&lt;='Assumption Sheet'!$Y28),'Assumption Sheet'!$C28,0)</f>
        <v>255179.83111949998</v>
      </c>
      <c r="BW18" s="45">
        <f>IF(AND(BW$1&gt;='Assumption Sheet'!$K28,BW$1&lt;='Assumption Sheet'!$Y28),'Assumption Sheet'!$C28,0)</f>
        <v>255179.83111949998</v>
      </c>
      <c r="BX18" s="45">
        <f>IF(AND(BX$1&gt;='Assumption Sheet'!$K28,BX$1&lt;='Assumption Sheet'!$Y28),'Assumption Sheet'!$C28,0)</f>
        <v>255179.83111949998</v>
      </c>
      <c r="BY18" s="45">
        <f>IF(AND(BY$1&gt;='Assumption Sheet'!$K28,BY$1&lt;='Assumption Sheet'!$Y28),'Assumption Sheet'!$C28,0)</f>
        <v>255179.83111949998</v>
      </c>
      <c r="BZ18" s="45">
        <f>IF(AND(BZ$1&gt;='Assumption Sheet'!$K28,BZ$1&lt;='Assumption Sheet'!$Y28),'Assumption Sheet'!$C28,0)</f>
        <v>255179.83111949998</v>
      </c>
      <c r="CA18" s="45">
        <f>IF(AND(CA$1&gt;='Assumption Sheet'!$K28,CA$1&lt;='Assumption Sheet'!$Y28),'Assumption Sheet'!$C28,0)</f>
        <v>255179.83111949998</v>
      </c>
      <c r="CB18" s="45">
        <f>IF(AND(CB$1&gt;='Assumption Sheet'!$K28,CB$1&lt;='Assumption Sheet'!$Y28),'Assumption Sheet'!$C28,0)</f>
        <v>255179.83111949998</v>
      </c>
      <c r="CC18" s="45">
        <f>IF(AND(CC$1&gt;='Assumption Sheet'!$K28,CC$1&lt;='Assumption Sheet'!$Y28),'Assumption Sheet'!$C28,0)</f>
        <v>255179.83111949998</v>
      </c>
      <c r="CD18" s="45">
        <f>IF(AND(CD$1&gt;='Assumption Sheet'!$K28,CD$1&lt;='Assumption Sheet'!$Y28),'Assumption Sheet'!$C28,0)</f>
        <v>255179.83111949998</v>
      </c>
      <c r="CE18" s="45">
        <f>IF(AND(CE$1&gt;='Assumption Sheet'!$K28,CE$1&lt;='Assumption Sheet'!$Y28),'Assumption Sheet'!$C28,0)</f>
        <v>255179.83111949998</v>
      </c>
      <c r="CF18" s="45">
        <f>IF(AND(CF$1&gt;='Assumption Sheet'!$K28,CF$1&lt;='Assumption Sheet'!$Y28),'Assumption Sheet'!$C28,0)</f>
        <v>255179.83111949998</v>
      </c>
      <c r="CG18" s="45">
        <f>IF(AND(CG$1&gt;='Assumption Sheet'!$K28,CG$1&lt;='Assumption Sheet'!$Y28),'Assumption Sheet'!$C28,0)</f>
        <v>255179.83111949998</v>
      </c>
      <c r="CH18" s="45">
        <f>IF(AND(CH$1&gt;='Assumption Sheet'!$K28,CH$1&lt;='Assumption Sheet'!$Y28),'Assumption Sheet'!$C28,0)</f>
        <v>255179.83111949998</v>
      </c>
      <c r="CI18" s="45">
        <f>IF(AND(CI$1&gt;='Assumption Sheet'!$K28,CI$1&lt;='Assumption Sheet'!$Y28),'Assumption Sheet'!$C28,0)</f>
        <v>255179.83111949998</v>
      </c>
      <c r="CJ18" s="45">
        <f>IF(AND(CJ$1&gt;='Assumption Sheet'!$K28,CJ$1&lt;='Assumption Sheet'!$Y28),'Assumption Sheet'!$C28,0)</f>
        <v>255179.83111949998</v>
      </c>
      <c r="CK18" s="45">
        <f>IF(AND(CK$1&gt;='Assumption Sheet'!$K28,CK$1&lt;='Assumption Sheet'!$Y28),'Assumption Sheet'!$C28,0)</f>
        <v>255179.83111949998</v>
      </c>
      <c r="CL18" s="45">
        <f>IF(AND(CL$1&gt;='Assumption Sheet'!$K28,CL$1&lt;='Assumption Sheet'!$Y28),'Assumption Sheet'!$C28,0)</f>
        <v>255179.83111949998</v>
      </c>
      <c r="CM18" s="45">
        <f>IF(AND(CM$1&gt;='Assumption Sheet'!$K28,CM$1&lt;='Assumption Sheet'!$Y28),'Assumption Sheet'!$C28,0)</f>
        <v>255179.83111949998</v>
      </c>
      <c r="CN18" s="45">
        <f>IF(AND(CN$1&gt;='Assumption Sheet'!$K28,CN$1&lt;='Assumption Sheet'!$Y28),'Assumption Sheet'!$C28,0)</f>
        <v>255179.83111949998</v>
      </c>
      <c r="CO18" s="45">
        <f>IF(AND(CO$1&gt;='Assumption Sheet'!$K28,CO$1&lt;='Assumption Sheet'!$Y28),'Assumption Sheet'!$C28,0)</f>
        <v>255179.83111949998</v>
      </c>
      <c r="CP18" s="45">
        <f>IF(AND(CP$1&gt;='Assumption Sheet'!$K28,CP$1&lt;='Assumption Sheet'!$Y28),'Assumption Sheet'!$C28,0)</f>
        <v>255179.83111949998</v>
      </c>
      <c r="CQ18" s="45">
        <f>IF(AND(CQ$1&gt;='Assumption Sheet'!$K28,CQ$1&lt;='Assumption Sheet'!$Y28),'Assumption Sheet'!$C28,0)</f>
        <v>255179.83111949998</v>
      </c>
      <c r="CR18" s="45">
        <f>IF(AND(CR$1&gt;='Assumption Sheet'!$K28,CR$1&lt;='Assumption Sheet'!$Y28),'Assumption Sheet'!$C28,0)</f>
        <v>255179.83111949998</v>
      </c>
      <c r="CS18" s="45">
        <f>IF(AND(CS$1&gt;='Assumption Sheet'!$K28,CS$1&lt;='Assumption Sheet'!$Y28),'Assumption Sheet'!$C28,0)</f>
        <v>255179.83111949998</v>
      </c>
      <c r="CT18" s="45">
        <f>IF(AND(CT$1&gt;='Assumption Sheet'!$K28,CT$1&lt;='Assumption Sheet'!$Y28),'Assumption Sheet'!$C28,0)</f>
        <v>255179.83111949998</v>
      </c>
      <c r="CU18" s="45">
        <f>IF(AND(CU$1&gt;='Assumption Sheet'!$K28,CU$1&lt;='Assumption Sheet'!$Y28),'Assumption Sheet'!$C28,0)</f>
        <v>255179.83111949998</v>
      </c>
      <c r="CV18" s="45">
        <f>IF(AND(CV$1&gt;='Assumption Sheet'!$K28,CV$1&lt;='Assumption Sheet'!$Y28),'Assumption Sheet'!$C28,0)</f>
        <v>255179.83111949998</v>
      </c>
      <c r="CW18" s="45">
        <f>IF(AND(CW$1&gt;='Assumption Sheet'!$K28,CW$1&lt;='Assumption Sheet'!$Y28),'Assumption Sheet'!$C28,0)</f>
        <v>255179.83111949998</v>
      </c>
      <c r="CX18" s="45">
        <f>IF(AND(CX$1&gt;='Assumption Sheet'!$K28,CX$1&lt;='Assumption Sheet'!$Y28),'Assumption Sheet'!$C28,0)</f>
        <v>255179.83111949998</v>
      </c>
      <c r="CY18" s="45">
        <f>IF(AND(CY$1&gt;='Assumption Sheet'!$K28,CY$1&lt;='Assumption Sheet'!$Y28),'Assumption Sheet'!$C28,0)</f>
        <v>255179.83111949998</v>
      </c>
      <c r="CZ18" s="45">
        <f>IF(AND(CZ$1&gt;='Assumption Sheet'!$K28,CZ$1&lt;='Assumption Sheet'!$Y28),'Assumption Sheet'!$C28,0)</f>
        <v>255179.83111949998</v>
      </c>
      <c r="DA18" s="45">
        <f>IF(AND(DA$1&gt;='Assumption Sheet'!$K28,DA$1&lt;='Assumption Sheet'!$Y28),'Assumption Sheet'!$C28,0)</f>
        <v>255179.83111949998</v>
      </c>
      <c r="DB18" s="45">
        <f>IF(AND(DB$1&gt;='Assumption Sheet'!$K28,DB$1&lt;='Assumption Sheet'!$Y28),'Assumption Sheet'!$C28,0)</f>
        <v>255179.83111949998</v>
      </c>
      <c r="DC18" s="45">
        <f>IF(AND(DC$1&gt;='Assumption Sheet'!$K28,DC$1&lt;='Assumption Sheet'!$Y28),'Assumption Sheet'!$C28,0)</f>
        <v>255179.83111949998</v>
      </c>
      <c r="DD18" s="45">
        <f>IF(AND(DD$1&gt;='Assumption Sheet'!$K28,DD$1&lt;='Assumption Sheet'!$Y28),'Assumption Sheet'!$C28,0)</f>
        <v>255179.83111949998</v>
      </c>
      <c r="DE18" s="45">
        <f>IF(AND(DE$1&gt;='Assumption Sheet'!$K28,DE$1&lt;='Assumption Sheet'!$Y28),'Assumption Sheet'!$C28,0)</f>
        <v>255179.83111949998</v>
      </c>
      <c r="DF18" s="45">
        <f>IF(AND(DF$1&gt;='Assumption Sheet'!$K28,DF$1&lt;='Assumption Sheet'!$Y28),'Assumption Sheet'!$C28,0)</f>
        <v>255179.83111949998</v>
      </c>
      <c r="DG18" s="45">
        <f>IF(AND(DG$1&gt;='Assumption Sheet'!$K28,DG$1&lt;='Assumption Sheet'!$Y28),'Assumption Sheet'!$C28,0)</f>
        <v>255179.83111949998</v>
      </c>
      <c r="DH18" s="45">
        <f>IF(AND(DH$1&gt;='Assumption Sheet'!$K28,DH$1&lt;='Assumption Sheet'!$Y28),'Assumption Sheet'!$C28,0)</f>
        <v>255179.83111949998</v>
      </c>
      <c r="DI18" s="45">
        <f>IF(AND(DI$1&gt;='Assumption Sheet'!$K28,DI$1&lt;='Assumption Sheet'!$Y28),'Assumption Sheet'!$C28,0)</f>
        <v>255179.83111949998</v>
      </c>
      <c r="DJ18" s="45">
        <f>IF(AND(DJ$1&gt;='Assumption Sheet'!$K28,DJ$1&lt;='Assumption Sheet'!$Y28),'Assumption Sheet'!$C28,0)</f>
        <v>255179.83111949998</v>
      </c>
      <c r="DK18" s="45">
        <f>IF(AND(DK$1&gt;='Assumption Sheet'!$K28,DK$1&lt;='Assumption Sheet'!$Y28),'Assumption Sheet'!$C28,0)</f>
        <v>255179.83111949998</v>
      </c>
      <c r="DL18" s="45">
        <f>IF(AND(DL$1&gt;='Assumption Sheet'!$K28,DL$1&lt;='Assumption Sheet'!$Y28),'Assumption Sheet'!$C28,0)</f>
        <v>255179.83111949998</v>
      </c>
      <c r="DM18" s="45">
        <f>IF(AND(DM$1&gt;='Assumption Sheet'!$K28,DM$1&lt;='Assumption Sheet'!$Y28),'Assumption Sheet'!$C28,0)</f>
        <v>255179.83111949998</v>
      </c>
      <c r="DN18" s="45">
        <f>IF(AND(DN$1&gt;='Assumption Sheet'!$K28,DN$1&lt;='Assumption Sheet'!$Y28),'Assumption Sheet'!$C28,0)</f>
        <v>255179.83111949998</v>
      </c>
      <c r="DO18" s="45">
        <f>IF(AND(DO$1&gt;='Assumption Sheet'!$K28,DO$1&lt;='Assumption Sheet'!$Y28),'Assumption Sheet'!$C28,0)</f>
        <v>255179.83111949998</v>
      </c>
      <c r="DP18" s="45">
        <f>IF(AND(DP$1&gt;='Assumption Sheet'!$K28,DP$1&lt;='Assumption Sheet'!$Y28),'Assumption Sheet'!$C28,0)</f>
        <v>255179.83111949998</v>
      </c>
      <c r="DQ18" s="45">
        <f>IF(AND(DQ$1&gt;='Assumption Sheet'!$K28,DQ$1&lt;='Assumption Sheet'!$Y28),'Assumption Sheet'!$C28,0)</f>
        <v>255179.83111949998</v>
      </c>
      <c r="DR18" s="45">
        <f>IF(AND(DR$1&gt;='Assumption Sheet'!$K28,DR$1&lt;='Assumption Sheet'!$Y28),'Assumption Sheet'!$C28,0)</f>
        <v>255179.83111949998</v>
      </c>
      <c r="DS18" s="45">
        <f>IF(AND(DS$1&gt;='Assumption Sheet'!$K28,DS$1&lt;='Assumption Sheet'!$Y28),'Assumption Sheet'!$C28,0)</f>
        <v>255179.83111949998</v>
      </c>
      <c r="DT18" s="45">
        <f>IF(AND(DT$1&gt;='Assumption Sheet'!$K28,DT$1&lt;='Assumption Sheet'!$Y28),'Assumption Sheet'!$C28,0)</f>
        <v>255179.83111949998</v>
      </c>
      <c r="DU18" s="45">
        <f>IF(AND(DU$1&gt;='Assumption Sheet'!$K28,DU$1&lt;='Assumption Sheet'!$Y28),'Assumption Sheet'!$C28,0)</f>
        <v>255179.83111949998</v>
      </c>
      <c r="DV18" s="45">
        <f>IF(AND(DV$1&gt;='Assumption Sheet'!$K28,DV$1&lt;='Assumption Sheet'!$Y28),'Assumption Sheet'!$C28,0)</f>
        <v>255179.83111949998</v>
      </c>
      <c r="DW18" s="45">
        <f>IF(AND(DW$1&gt;='Assumption Sheet'!$K28,DW$1&lt;='Assumption Sheet'!$Y28),'Assumption Sheet'!$C28,0)</f>
        <v>255179.83111949998</v>
      </c>
      <c r="DX18" s="45">
        <f>IF(AND(DX$1&gt;='Assumption Sheet'!$K28,DX$1&lt;='Assumption Sheet'!$Y28),'Assumption Sheet'!$C28,0)</f>
        <v>255179.83111949998</v>
      </c>
      <c r="DY18" s="45">
        <f>IF(AND(DY$1&gt;='Assumption Sheet'!$K28,DY$1&lt;='Assumption Sheet'!$Y28),'Assumption Sheet'!$C28,0)</f>
        <v>255179.83111949998</v>
      </c>
      <c r="DZ18" s="45">
        <f>IF(AND(DZ$1&gt;='Assumption Sheet'!$K28,DZ$1&lt;='Assumption Sheet'!$Y28),'Assumption Sheet'!$C28,0)</f>
        <v>255179.83111949998</v>
      </c>
      <c r="EA18" s="45">
        <f>IF(AND(EA$1&gt;='Assumption Sheet'!$K28,EA$1&lt;='Assumption Sheet'!$Y28),'Assumption Sheet'!$C28,0)</f>
        <v>255179.83111949998</v>
      </c>
      <c r="EB18" s="45">
        <f>IF(AND(EB$1&gt;='Assumption Sheet'!$K28,EB$1&lt;='Assumption Sheet'!$Y28),'Assumption Sheet'!$C28,0)</f>
        <v>255179.83111949998</v>
      </c>
      <c r="EC18" s="45">
        <f>IF(AND(EC$1&gt;='Assumption Sheet'!$K28,EC$1&lt;='Assumption Sheet'!$Y28),'Assumption Sheet'!$C28,0)</f>
        <v>255179.83111949998</v>
      </c>
      <c r="ED18" s="45">
        <f>IF(AND(ED$1&gt;='Assumption Sheet'!$K28,ED$1&lt;='Assumption Sheet'!$Y28),'Assumption Sheet'!$C28,0)</f>
        <v>255179.83111949998</v>
      </c>
      <c r="EE18" s="45">
        <f>IF(AND(EE$1&gt;='Assumption Sheet'!$K28,EE$1&lt;='Assumption Sheet'!$Y28),'Assumption Sheet'!$C28,0)</f>
        <v>255179.83111949998</v>
      </c>
      <c r="EF18" s="45">
        <f>IF(AND(EF$1&gt;='Assumption Sheet'!$K28,EF$1&lt;='Assumption Sheet'!$Y28),'Assumption Sheet'!$C28,0)</f>
        <v>255179.83111949998</v>
      </c>
      <c r="EG18" s="45">
        <f>IF(AND(EG$1&gt;='Assumption Sheet'!$K28,EG$1&lt;='Assumption Sheet'!$Y28),'Assumption Sheet'!$C28,0)</f>
        <v>255179.83111949998</v>
      </c>
      <c r="EH18" s="45">
        <f>IF(AND(EH$1&gt;='Assumption Sheet'!$K28,EH$1&lt;='Assumption Sheet'!$Y28),'Assumption Sheet'!$C28,0)</f>
        <v>255179.83111949998</v>
      </c>
      <c r="EI18" s="45">
        <f>IF(AND(EI$1&gt;='Assumption Sheet'!$K28,EI$1&lt;='Assumption Sheet'!$Y28),'Assumption Sheet'!$C28,0)</f>
        <v>255179.83111949998</v>
      </c>
      <c r="EJ18" s="45">
        <f>IF(AND(EJ$1&gt;='Assumption Sheet'!$K28,EJ$1&lt;='Assumption Sheet'!$Y28),'Assumption Sheet'!$C28,0)</f>
        <v>255179.83111949998</v>
      </c>
      <c r="EK18" s="45">
        <f>IF(AND(EK$1&gt;='Assumption Sheet'!$K28,EK$1&lt;='Assumption Sheet'!$Y28),'Assumption Sheet'!$C28,0)</f>
        <v>255179.83111949998</v>
      </c>
      <c r="EL18" s="45">
        <f>IF(AND(EL$1&gt;='Assumption Sheet'!$K28,EL$1&lt;='Assumption Sheet'!$Y28),'Assumption Sheet'!$C28,0)</f>
        <v>255179.83111949998</v>
      </c>
      <c r="EM18" s="45">
        <f>IF(AND(EM$1&gt;='Assumption Sheet'!$K28,EM$1&lt;='Assumption Sheet'!$Y28),'Assumption Sheet'!$C28,0)</f>
        <v>255179.83111949998</v>
      </c>
      <c r="EN18" s="45">
        <f>IF(AND(EN$1&gt;='Assumption Sheet'!$K28,EN$1&lt;='Assumption Sheet'!$Y28),'Assumption Sheet'!$C28,0)</f>
        <v>255179.83111949998</v>
      </c>
      <c r="EO18" s="45">
        <f>IF(AND(EO$1&gt;='Assumption Sheet'!$K28,EO$1&lt;='Assumption Sheet'!$Y28),'Assumption Sheet'!$C28,0)</f>
        <v>255179.83111949998</v>
      </c>
      <c r="EP18" s="45">
        <f>IF(AND(EP$1&gt;='Assumption Sheet'!$K28,EP$1&lt;='Assumption Sheet'!$Y28),'Assumption Sheet'!$C28,0)</f>
        <v>255179.83111949998</v>
      </c>
      <c r="EQ18" s="45">
        <f>IF(AND(EQ$1&gt;='Assumption Sheet'!$K28,EQ$1&lt;='Assumption Sheet'!$Y28),'Assumption Sheet'!$C28,0)</f>
        <v>255179.83111949998</v>
      </c>
      <c r="ER18" s="45">
        <f>IF(AND(ER$1&gt;='Assumption Sheet'!$K28,ER$1&lt;='Assumption Sheet'!$Y28),'Assumption Sheet'!$C28,0)</f>
        <v>255179.83111949998</v>
      </c>
      <c r="ES18" s="45">
        <f>IF(AND(ES$1&gt;='Assumption Sheet'!$K28,ES$1&lt;='Assumption Sheet'!$Y28),'Assumption Sheet'!$C28,0)</f>
        <v>255179.83111949998</v>
      </c>
      <c r="ET18" s="45">
        <f>IF(AND(ET$1&gt;='Assumption Sheet'!$K28,ET$1&lt;='Assumption Sheet'!$Y28),'Assumption Sheet'!$C28,0)</f>
        <v>255179.83111949998</v>
      </c>
      <c r="EU18" s="45">
        <f>IF(AND(EU$1&gt;='Assumption Sheet'!$K28,EU$1&lt;='Assumption Sheet'!$Y28),'Assumption Sheet'!$C28,0)</f>
        <v>255179.83111949998</v>
      </c>
      <c r="EV18" s="45">
        <f>IF(AND(EV$1&gt;='Assumption Sheet'!$K28,EV$1&lt;='Assumption Sheet'!$Y28),'Assumption Sheet'!$C28,0)</f>
        <v>255179.83111949998</v>
      </c>
      <c r="EW18" s="45">
        <f>IF(AND(EW$1&gt;='Assumption Sheet'!$K28,EW$1&lt;='Assumption Sheet'!$Y28),'Assumption Sheet'!$C28,0)</f>
        <v>255179.83111949998</v>
      </c>
      <c r="EX18" s="45">
        <f>IF(AND(EX$1&gt;='Assumption Sheet'!$K28,EX$1&lt;='Assumption Sheet'!$Y28),'Assumption Sheet'!$C28,0)</f>
        <v>255179.83111949998</v>
      </c>
      <c r="EY18" s="45">
        <f>IF(AND(EY$1&gt;='Assumption Sheet'!$K28,EY$1&lt;='Assumption Sheet'!$Y28),'Assumption Sheet'!$C28,0)</f>
        <v>255179.83111949998</v>
      </c>
      <c r="EZ18" s="45">
        <f>IF(AND(EZ$1&gt;='Assumption Sheet'!$K28,EZ$1&lt;='Assumption Sheet'!$Y28),'Assumption Sheet'!$C28,0)</f>
        <v>255179.83111949998</v>
      </c>
      <c r="FA18" s="45">
        <f>IF(AND(FA$1&gt;='Assumption Sheet'!$K28,FA$1&lt;='Assumption Sheet'!$Y28),'Assumption Sheet'!$C28,0)</f>
        <v>255179.83111949998</v>
      </c>
      <c r="FB18" s="45">
        <f>IF(AND(FB$1&gt;='Assumption Sheet'!$K28,FB$1&lt;='Assumption Sheet'!$Y28),'Assumption Sheet'!$C28,0)</f>
        <v>255179.83111949998</v>
      </c>
      <c r="FC18" s="45">
        <f>IF(AND(FC$1&gt;='Assumption Sheet'!$K28,FC$1&lt;='Assumption Sheet'!$Y28),'Assumption Sheet'!$C28,0)</f>
        <v>255179.83111949998</v>
      </c>
      <c r="FD18" s="45">
        <f>IF(AND(FD$1&gt;='Assumption Sheet'!$K28,FD$1&lt;='Assumption Sheet'!$Y28),'Assumption Sheet'!$C28,0)</f>
        <v>255179.83111949998</v>
      </c>
      <c r="FE18" s="45">
        <f>IF(AND(FE$1&gt;='Assumption Sheet'!$K28,FE$1&lt;='Assumption Sheet'!$Y28),'Assumption Sheet'!$C28,0)</f>
        <v>255179.83111949998</v>
      </c>
      <c r="FF18" s="45">
        <f>IF(AND(FF$1&gt;='Assumption Sheet'!$K28,FF$1&lt;='Assumption Sheet'!$Y28),'Assumption Sheet'!$C28,0)</f>
        <v>255179.83111949998</v>
      </c>
      <c r="FG18" s="45">
        <f>IF(AND(FG$1&gt;='Assumption Sheet'!$K28,FG$1&lt;='Assumption Sheet'!$Y28),'Assumption Sheet'!$C28,0)</f>
        <v>255179.83111949998</v>
      </c>
      <c r="FH18" s="45">
        <f>IF(AND(FH$1&gt;='Assumption Sheet'!$K28,FH$1&lt;='Assumption Sheet'!$Y28),'Assumption Sheet'!$C28,0)</f>
        <v>255179.83111949998</v>
      </c>
      <c r="FI18" s="45">
        <f>IF(AND(FI$1&gt;='Assumption Sheet'!$K28,FI$1&lt;='Assumption Sheet'!$Y28),'Assumption Sheet'!$C28,0)</f>
        <v>255179.83111949998</v>
      </c>
      <c r="FJ18" s="45">
        <f>IF(AND(FJ$1&gt;='Assumption Sheet'!$K28,FJ$1&lt;='Assumption Sheet'!$Y28),'Assumption Sheet'!$C28,0)</f>
        <v>255179.83111949998</v>
      </c>
      <c r="FK18" s="45">
        <f>IF(AND(FK$1&gt;='Assumption Sheet'!$K28,FK$1&lt;='Assumption Sheet'!$Y28),'Assumption Sheet'!$C28,0)</f>
        <v>255179.83111949998</v>
      </c>
      <c r="FL18" s="45">
        <f>IF(AND(FL$1&gt;='Assumption Sheet'!$K28,FL$1&lt;='Assumption Sheet'!$Y28),'Assumption Sheet'!$C28,0)</f>
        <v>255179.83111949998</v>
      </c>
      <c r="FM18" s="45">
        <f>IF(AND(FM$1&gt;='Assumption Sheet'!$K28,FM$1&lt;='Assumption Sheet'!$Y28),'Assumption Sheet'!$C28,0)</f>
        <v>255179.83111949998</v>
      </c>
      <c r="FN18" s="45">
        <f>IF(AND(FN$1&gt;='Assumption Sheet'!$K28,FN$1&lt;='Assumption Sheet'!$Y28),'Assumption Sheet'!$C28,0)</f>
        <v>255179.83111949998</v>
      </c>
      <c r="FO18" s="45">
        <f>IF(AND(FO$1&gt;='Assumption Sheet'!$K28,FO$1&lt;='Assumption Sheet'!$Y28),'Assumption Sheet'!$C28,0)</f>
        <v>255179.83111949998</v>
      </c>
      <c r="FP18" s="45">
        <f>IF(AND(FP$1&gt;='Assumption Sheet'!$K28,FP$1&lt;='Assumption Sheet'!$Y28),'Assumption Sheet'!$C28,0)</f>
        <v>255179.83111949998</v>
      </c>
      <c r="FQ18" s="45">
        <f>IF(AND(FQ$1&gt;='Assumption Sheet'!$K28,FQ$1&lt;='Assumption Sheet'!$Y28),'Assumption Sheet'!$C28,0)</f>
        <v>255179.83111949998</v>
      </c>
      <c r="FR18" s="45">
        <f>IF(AND(FR$1&gt;='Assumption Sheet'!$K28,FR$1&lt;='Assumption Sheet'!$Y28),'Assumption Sheet'!$C28,0)</f>
        <v>255179.83111949998</v>
      </c>
      <c r="FS18" s="45">
        <f>IF(AND(FS$1&gt;='Assumption Sheet'!$K28,FS$1&lt;='Assumption Sheet'!$Y28),'Assumption Sheet'!$C28,0)</f>
        <v>255179.83111949998</v>
      </c>
      <c r="FT18" s="45">
        <f>IF(AND(FT$1&gt;='Assumption Sheet'!$K28,FT$1&lt;='Assumption Sheet'!$Y28),'Assumption Sheet'!$C28,0)</f>
        <v>255179.83111949998</v>
      </c>
      <c r="FU18" s="45">
        <f>IF(AND(FU$1&gt;='Assumption Sheet'!$K28,FU$1&lt;='Assumption Sheet'!$Y28),'Assumption Sheet'!$C28,0)</f>
        <v>255179.83111949998</v>
      </c>
      <c r="FV18" s="45">
        <f>IF(AND(FV$1&gt;='Assumption Sheet'!$K28,FV$1&lt;='Assumption Sheet'!$Y28),'Assumption Sheet'!$C28,0)</f>
        <v>255179.83111949998</v>
      </c>
      <c r="FW18" s="45">
        <f>IF(AND(FW$1&gt;='Assumption Sheet'!$K28,FW$1&lt;='Assumption Sheet'!$Y28),'Assumption Sheet'!$C28,0)</f>
        <v>255179.83111949998</v>
      </c>
      <c r="FX18" s="45">
        <f>IF(AND(FX$1&gt;='Assumption Sheet'!$K28,FX$1&lt;='Assumption Sheet'!$Y28),'Assumption Sheet'!$C28,0)</f>
        <v>255179.83111949998</v>
      </c>
      <c r="FY18" s="45">
        <f>IF(AND(FY$1&gt;='Assumption Sheet'!$K28,FY$1&lt;='Assumption Sheet'!$Y28),'Assumption Sheet'!$C28,0)</f>
        <v>255179.83111949998</v>
      </c>
      <c r="FZ18" s="45">
        <f>IF(AND(FZ$1&gt;='Assumption Sheet'!$K28,FZ$1&lt;='Assumption Sheet'!$Y28),'Assumption Sheet'!$C28,0)</f>
        <v>255179.83111949998</v>
      </c>
      <c r="GA18" s="45">
        <f>IF(AND(GA$1&gt;='Assumption Sheet'!$K28,GA$1&lt;='Assumption Sheet'!$Y28),'Assumption Sheet'!$C28,0)</f>
        <v>255179.83111949998</v>
      </c>
      <c r="GB18" s="45">
        <f>IF(AND(GB$1&gt;='Assumption Sheet'!$K28,GB$1&lt;='Assumption Sheet'!$Y28),'Assumption Sheet'!$C28,0)</f>
        <v>255179.83111949998</v>
      </c>
      <c r="GC18" s="45">
        <f>IF(AND(GC$1&gt;='Assumption Sheet'!$K28,GC$1&lt;='Assumption Sheet'!$Y28),'Assumption Sheet'!$C28,0)</f>
        <v>255179.83111949998</v>
      </c>
      <c r="GD18" s="45">
        <f>IF(AND(GD$1&gt;='Assumption Sheet'!$K28,GD$1&lt;='Assumption Sheet'!$Y28),'Assumption Sheet'!$C28,0)</f>
        <v>255179.83111949998</v>
      </c>
      <c r="GE18" s="45">
        <f>IF(AND(GE$1&gt;='Assumption Sheet'!$K28,GE$1&lt;='Assumption Sheet'!$Y28),'Assumption Sheet'!$C28,0)</f>
        <v>255179.83111949998</v>
      </c>
      <c r="GF18" s="45">
        <f>IF(AND(GF$1&gt;='Assumption Sheet'!$K28,GF$1&lt;='Assumption Sheet'!$Y28),'Assumption Sheet'!$C28,0)</f>
        <v>255179.83111949998</v>
      </c>
      <c r="GG18" s="45">
        <f>IF(AND(GG$1&gt;='Assumption Sheet'!$K28,GG$1&lt;='Assumption Sheet'!$Y28),'Assumption Sheet'!$C28,0)</f>
        <v>255179.83111949998</v>
      </c>
      <c r="GH18" s="45">
        <f>IF(AND(GH$1&gt;='Assumption Sheet'!$K28,GH$1&lt;='Assumption Sheet'!$Y28),'Assumption Sheet'!$C28,0)</f>
        <v>255179.83111949998</v>
      </c>
      <c r="GI18" s="45">
        <f>IF(AND(GI$1&gt;='Assumption Sheet'!$K28,GI$1&lt;='Assumption Sheet'!$Y28),'Assumption Sheet'!$C28,0)</f>
        <v>255179.83111949998</v>
      </c>
      <c r="GJ18" s="45">
        <f>IF(AND(GJ$1&gt;='Assumption Sheet'!$K28,GJ$1&lt;='Assumption Sheet'!$Y28),'Assumption Sheet'!$C28,0)</f>
        <v>255179.83111949998</v>
      </c>
      <c r="GK18" s="45">
        <f>IF(AND(GK$1&gt;='Assumption Sheet'!$K28,GK$1&lt;='Assumption Sheet'!$Y28),'Assumption Sheet'!$C28,0)</f>
        <v>255179.83111949998</v>
      </c>
      <c r="GL18" s="45">
        <f>IF(AND(GL$1&gt;='Assumption Sheet'!$K28,GL$1&lt;='Assumption Sheet'!$Y28),'Assumption Sheet'!$C28,0)</f>
        <v>255179.83111949998</v>
      </c>
      <c r="GM18" s="45">
        <f>IF(AND(GM$1&gt;='Assumption Sheet'!$K28,GM$1&lt;='Assumption Sheet'!$Y28),'Assumption Sheet'!$C28,0)</f>
        <v>255179.83111949998</v>
      </c>
      <c r="GN18" s="45">
        <f>IF(AND(GN$1&gt;='Assumption Sheet'!$K28,GN$1&lt;='Assumption Sheet'!$Y28),'Assumption Sheet'!$C28,0)</f>
        <v>255179.83111949998</v>
      </c>
      <c r="GO18" s="45">
        <f>IF(AND(GO$1&gt;='Assumption Sheet'!$K28,GO$1&lt;='Assumption Sheet'!$Y28),'Assumption Sheet'!$C28,0)</f>
        <v>255179.83111949998</v>
      </c>
      <c r="GP18" s="45">
        <f>IF(AND(GP$1&gt;='Assumption Sheet'!$K28,GP$1&lt;='Assumption Sheet'!$Y28),'Assumption Sheet'!$C28,0)</f>
        <v>255179.83111949998</v>
      </c>
      <c r="GQ18" s="45">
        <f>IF(AND(GQ$1&gt;='Assumption Sheet'!$K28,GQ$1&lt;='Assumption Sheet'!$Y28),'Assumption Sheet'!$C28,0)</f>
        <v>255179.83111949998</v>
      </c>
      <c r="GR18" s="45">
        <f>IF(AND(GR$1&gt;='Assumption Sheet'!$K28,GR$1&lt;='Assumption Sheet'!$Y28),'Assumption Sheet'!$C28,0)</f>
        <v>255179.83111949998</v>
      </c>
      <c r="GS18" s="45">
        <f>IF(AND(GS$1&gt;='Assumption Sheet'!$K28,GS$1&lt;='Assumption Sheet'!$Y28),'Assumption Sheet'!$C28,0)</f>
        <v>255179.83111949998</v>
      </c>
      <c r="GT18" s="45">
        <f>IF(AND(GT$1&gt;='Assumption Sheet'!$K28,GT$1&lt;='Assumption Sheet'!$Y28),'Assumption Sheet'!$C28,0)</f>
        <v>255179.83111949998</v>
      </c>
      <c r="GU18" s="45">
        <f>IF(AND(GU$1&gt;='Assumption Sheet'!$K28,GU$1&lt;='Assumption Sheet'!$Y28),'Assumption Sheet'!$C28,0)</f>
        <v>255179.83111949998</v>
      </c>
      <c r="GV18" s="45">
        <f>IF(AND(GV$1&gt;='Assumption Sheet'!$K28,GV$1&lt;='Assumption Sheet'!$Y28),'Assumption Sheet'!$C28,0)</f>
        <v>255179.83111949998</v>
      </c>
      <c r="GW18" s="45">
        <f>IF(AND(GW$1&gt;='Assumption Sheet'!$K28,GW$1&lt;='Assumption Sheet'!$Y28),'Assumption Sheet'!$C28,0)</f>
        <v>255179.83111949998</v>
      </c>
      <c r="GX18" s="45">
        <f>IF(AND(GX$1&gt;='Assumption Sheet'!$K28,GX$1&lt;='Assumption Sheet'!$Y28),'Assumption Sheet'!$C28,0)</f>
        <v>255179.83111949998</v>
      </c>
      <c r="GY18" s="45">
        <f>IF(AND(GY$1&gt;='Assumption Sheet'!$K28,GY$1&lt;='Assumption Sheet'!$Y28),'Assumption Sheet'!$C28,0)</f>
        <v>255179.83111949998</v>
      </c>
      <c r="GZ18" s="45">
        <f>IF(AND(GZ$1&gt;='Assumption Sheet'!$K28,GZ$1&lt;='Assumption Sheet'!$Y28),'Assumption Sheet'!$C28,0)</f>
        <v>255179.83111949998</v>
      </c>
      <c r="HA18" s="45">
        <f>IF(AND(HA$1&gt;='Assumption Sheet'!$K28,HA$1&lt;='Assumption Sheet'!$Y28),'Assumption Sheet'!$C28,0)</f>
        <v>255179.83111949998</v>
      </c>
      <c r="HB18" s="45">
        <f>IF(AND(HB$1&gt;='Assumption Sheet'!$K28,HB$1&lt;='Assumption Sheet'!$Y28),'Assumption Sheet'!$C28,0)</f>
        <v>255179.83111949998</v>
      </c>
      <c r="HC18" s="45">
        <f>IF(AND(HC$1&gt;='Assumption Sheet'!$K28,HC$1&lt;='Assumption Sheet'!$Y28),'Assumption Sheet'!$C28,0)</f>
        <v>255179.83111949998</v>
      </c>
      <c r="HD18" s="45">
        <f>IF(AND(HD$1&gt;='Assumption Sheet'!$K28,HD$1&lt;='Assumption Sheet'!$Y28),'Assumption Sheet'!$C28,0)</f>
        <v>255179.83111949998</v>
      </c>
      <c r="HE18" s="45">
        <f>IF(AND(HE$1&gt;='Assumption Sheet'!$K28,HE$1&lt;='Assumption Sheet'!$Y28),'Assumption Sheet'!$C28,0)</f>
        <v>255179.83111949998</v>
      </c>
      <c r="HF18" s="45">
        <f>IF(AND(HF$1&gt;='Assumption Sheet'!$K28,HF$1&lt;='Assumption Sheet'!$Y28),'Assumption Sheet'!$C28,0)</f>
        <v>255179.83111949998</v>
      </c>
      <c r="HG18" s="45">
        <f>IF(AND(HG$1&gt;='Assumption Sheet'!$K28,HG$1&lt;='Assumption Sheet'!$Y28),'Assumption Sheet'!$C28,0)</f>
        <v>255179.83111949998</v>
      </c>
      <c r="HH18" s="45">
        <f>IF(AND(HH$1&gt;='Assumption Sheet'!$K28,HH$1&lt;='Assumption Sheet'!$Y28),'Assumption Sheet'!$C28,0)</f>
        <v>255179.83111949998</v>
      </c>
      <c r="HI18" s="45">
        <f>IF(AND(HI$1&gt;='Assumption Sheet'!$K28,HI$1&lt;='Assumption Sheet'!$Y28),'Assumption Sheet'!$C28,0)</f>
        <v>255179.83111949998</v>
      </c>
      <c r="HJ18" s="45">
        <f>IF(AND(HJ$1&gt;='Assumption Sheet'!$K28,HJ$1&lt;='Assumption Sheet'!$Y28),'Assumption Sheet'!$C28,0)</f>
        <v>255179.83111949998</v>
      </c>
      <c r="HK18" s="45">
        <f>IF(AND(HK$1&gt;='Assumption Sheet'!$K28,HK$1&lt;='Assumption Sheet'!$Y28),'Assumption Sheet'!$C28,0)</f>
        <v>255179.83111949998</v>
      </c>
      <c r="HL18" s="45">
        <f>IF(AND(HL$1&gt;='Assumption Sheet'!$K28,HL$1&lt;='Assumption Sheet'!$Y28),'Assumption Sheet'!$C28,0)</f>
        <v>255179.83111949998</v>
      </c>
      <c r="HM18" s="45">
        <f>IF(AND(HM$1&gt;='Assumption Sheet'!$K28,HM$1&lt;='Assumption Sheet'!$Y28),'Assumption Sheet'!$C28,0)</f>
        <v>255179.83111949998</v>
      </c>
      <c r="HN18" s="45">
        <f>IF(AND(HN$1&gt;='Assumption Sheet'!$K28,HN$1&lt;='Assumption Sheet'!$Y28),'Assumption Sheet'!$C28,0)</f>
        <v>255179.83111949998</v>
      </c>
      <c r="HO18" s="45">
        <f>IF(AND(HO$1&gt;='Assumption Sheet'!$K28,HO$1&lt;='Assumption Sheet'!$Y28),'Assumption Sheet'!$C28,0)</f>
        <v>255179.83111949998</v>
      </c>
      <c r="HP18" s="45">
        <f>IF(AND(HP$1&gt;='Assumption Sheet'!$K28,HP$1&lt;='Assumption Sheet'!$Y28),'Assumption Sheet'!$C28,0)</f>
        <v>255179.83111949998</v>
      </c>
      <c r="HQ18" s="45">
        <f>IF(AND(HQ$1&gt;='Assumption Sheet'!$K28,HQ$1&lt;='Assumption Sheet'!$Y28),'Assumption Sheet'!$C28,0)</f>
        <v>255179.83111949998</v>
      </c>
      <c r="HR18" s="45">
        <f>IF(AND(HR$1&gt;='Assumption Sheet'!$K28,HR$1&lt;='Assumption Sheet'!$Y28),'Assumption Sheet'!$C28,0)</f>
        <v>255179.83111949998</v>
      </c>
      <c r="HS18" s="45">
        <f>IF(AND(HS$1&gt;='Assumption Sheet'!$K28,HS$1&lt;='Assumption Sheet'!$Y28),'Assumption Sheet'!$C28,0)</f>
        <v>255179.83111949998</v>
      </c>
      <c r="HT18" s="45">
        <f>IF(AND(HT$1&gt;='Assumption Sheet'!$K28,HT$1&lt;='Assumption Sheet'!$Y28),'Assumption Sheet'!$C28,0)</f>
        <v>255179.83111949998</v>
      </c>
      <c r="HU18" s="45">
        <f>IF(AND(HU$1&gt;='Assumption Sheet'!$K28,HU$1&lt;='Assumption Sheet'!$Y28),'Assumption Sheet'!$C28,0)</f>
        <v>255179.83111949998</v>
      </c>
      <c r="HV18" s="45">
        <f>IF(AND(HV$1&gt;='Assumption Sheet'!$K28,HV$1&lt;='Assumption Sheet'!$Y28),'Assumption Sheet'!$C28,0)</f>
        <v>255179.83111949998</v>
      </c>
      <c r="HW18" s="45">
        <f>IF(AND(HW$1&gt;='Assumption Sheet'!$K28,HW$1&lt;='Assumption Sheet'!$Y28),'Assumption Sheet'!$C28,0)</f>
        <v>255179.83111949998</v>
      </c>
      <c r="HX18" s="45">
        <f>IF(AND(HX$1&gt;='Assumption Sheet'!$K28,HX$1&lt;='Assumption Sheet'!$Y28),'Assumption Sheet'!$C28,0)</f>
        <v>255179.83111949998</v>
      </c>
      <c r="HY18" s="45">
        <f>IF(AND(HY$1&gt;='Assumption Sheet'!$K28,HY$1&lt;='Assumption Sheet'!$Y28),'Assumption Sheet'!$C28,0)</f>
        <v>255179.83111949998</v>
      </c>
      <c r="HZ18" s="45">
        <f>IF(AND(HZ$1&gt;='Assumption Sheet'!$K28,HZ$1&lt;='Assumption Sheet'!$Y28),'Assumption Sheet'!$C28,0)</f>
        <v>255179.83111949998</v>
      </c>
      <c r="IA18" s="45">
        <f>IF(AND(IA$1&gt;='Assumption Sheet'!$K28,IA$1&lt;='Assumption Sheet'!$Y28),'Assumption Sheet'!$C28,0)</f>
        <v>255179.83111949998</v>
      </c>
      <c r="IB18" s="45">
        <f>IF(AND(IB$1&gt;='Assumption Sheet'!$K28,IB$1&lt;='Assumption Sheet'!$Y28),'Assumption Sheet'!$C28,0)</f>
        <v>255179.83111949998</v>
      </c>
      <c r="IC18" s="45">
        <f>IF(AND(IC$1&gt;='Assumption Sheet'!$K28,IC$1&lt;='Assumption Sheet'!$Y28),'Assumption Sheet'!$C28,0)</f>
        <v>255179.83111949998</v>
      </c>
      <c r="ID18" s="45">
        <f>IF(AND(ID$1&gt;='Assumption Sheet'!$K28,ID$1&lt;='Assumption Sheet'!$Y28),'Assumption Sheet'!$C28,0)</f>
        <v>255179.83111949998</v>
      </c>
      <c r="IE18" s="45">
        <f>IF(AND(IE$1&gt;='Assumption Sheet'!$K28,IE$1&lt;='Assumption Sheet'!$Y28),'Assumption Sheet'!$C28,0)</f>
        <v>255179.83111949998</v>
      </c>
      <c r="IF18" s="45">
        <f>IF(AND(IF$1&gt;='Assumption Sheet'!$K28,IF$1&lt;='Assumption Sheet'!$Y28),'Assumption Sheet'!$C28,0)</f>
        <v>255179.83111949998</v>
      </c>
      <c r="IG18" s="45">
        <f>IF(AND(IG$1&gt;='Assumption Sheet'!$K28,IG$1&lt;='Assumption Sheet'!$Y28),'Assumption Sheet'!$C28,0)</f>
        <v>255179.83111949998</v>
      </c>
      <c r="IH18" s="45">
        <f>IF(AND(IH$1&gt;='Assumption Sheet'!$K28,IH$1&lt;='Assumption Sheet'!$Y28),'Assumption Sheet'!$C28,0)</f>
        <v>255179.83111949998</v>
      </c>
      <c r="II18" s="45">
        <f>IF(AND(II$1&gt;='Assumption Sheet'!$K28,II$1&lt;='Assumption Sheet'!$Y28),'Assumption Sheet'!$C28,0)</f>
        <v>255179.83111949998</v>
      </c>
      <c r="IJ18" s="45">
        <f>IF(AND(IJ$1&gt;='Assumption Sheet'!$K28,IJ$1&lt;='Assumption Sheet'!$Y28),'Assumption Sheet'!$C28,0)</f>
        <v>255179.83111949998</v>
      </c>
      <c r="IK18" s="45">
        <f>IF(AND(IK$1&gt;='Assumption Sheet'!$K28,IK$1&lt;='Assumption Sheet'!$Y28),'Assumption Sheet'!$C28,0)</f>
        <v>255179.83111949998</v>
      </c>
      <c r="IL18" s="45">
        <f>IF(AND(IL$1&gt;='Assumption Sheet'!$K28,IL$1&lt;='Assumption Sheet'!$Y28),'Assumption Sheet'!$C28,0)</f>
        <v>255179.83111949998</v>
      </c>
      <c r="IM18" s="45">
        <f>IF(AND(IM$1&gt;='Assumption Sheet'!$K28,IM$1&lt;='Assumption Sheet'!$Y28),'Assumption Sheet'!$C28,0)</f>
        <v>255179.83111949998</v>
      </c>
      <c r="IN18" s="45">
        <f>IF(AND(IN$1&gt;='Assumption Sheet'!$K28,IN$1&lt;='Assumption Sheet'!$Y28),'Assumption Sheet'!$C28,0)</f>
        <v>255179.83111949998</v>
      </c>
      <c r="IO18" s="45">
        <f>IF(AND(IO$1&gt;='Assumption Sheet'!$K28,IO$1&lt;='Assumption Sheet'!$Y28),'Assumption Sheet'!$C28,0)</f>
        <v>255179.83111949998</v>
      </c>
      <c r="IP18" s="45">
        <f>IF(AND(IP$1&gt;='Assumption Sheet'!$K28,IP$1&lt;='Assumption Sheet'!$Y28),'Assumption Sheet'!$C28,0)</f>
        <v>255179.83111949998</v>
      </c>
      <c r="IQ18" s="45">
        <f>IF(AND(IQ$1&gt;='Assumption Sheet'!$K28,IQ$1&lt;='Assumption Sheet'!$Y28),'Assumption Sheet'!$C28,0)</f>
        <v>255179.83111949998</v>
      </c>
      <c r="IR18" s="45">
        <f>IF(AND(IR$1&gt;='Assumption Sheet'!$K28,IR$1&lt;='Assumption Sheet'!$Y28),'Assumption Sheet'!$C28,0)</f>
        <v>255179.83111949998</v>
      </c>
      <c r="IS18" s="45">
        <f>IF(AND(IS$1&gt;='Assumption Sheet'!$K28,IS$1&lt;='Assumption Sheet'!$Y28),'Assumption Sheet'!$C28,0)</f>
        <v>255179.83111949998</v>
      </c>
      <c r="IT18" s="45">
        <f>IF(AND(IT$1&gt;='Assumption Sheet'!$K28,IT$1&lt;='Assumption Sheet'!$Y28),'Assumption Sheet'!$C28,0)</f>
        <v>255179.83111949998</v>
      </c>
      <c r="IU18" s="45">
        <f>IF(AND(IU$1&gt;='Assumption Sheet'!$K28,IU$1&lt;='Assumption Sheet'!$Y28),'Assumption Sheet'!$C28,0)</f>
        <v>255179.83111949998</v>
      </c>
      <c r="IV18" s="45">
        <f>IF(AND(IV$1&gt;='Assumption Sheet'!$K28,IV$1&lt;='Assumption Sheet'!$Y28),'Assumption Sheet'!$C28,0)</f>
        <v>255179.83111949998</v>
      </c>
      <c r="IW18" s="45">
        <f>IF(AND(IW$1&gt;='Assumption Sheet'!$K28,IW$1&lt;='Assumption Sheet'!$Y28),'Assumption Sheet'!$C28,0)</f>
        <v>0</v>
      </c>
      <c r="IX18" s="45">
        <f>IF(AND(IX$1&gt;='Assumption Sheet'!$K28,IX$1&lt;='Assumption Sheet'!$Y28),'Assumption Sheet'!$C28,0)</f>
        <v>0</v>
      </c>
      <c r="IY18" s="45">
        <f>IF(AND(IY$1&gt;='Assumption Sheet'!$K28,IY$1&lt;='Assumption Sheet'!$Y28),'Assumption Sheet'!$C28,0)</f>
        <v>0</v>
      </c>
      <c r="IZ18" s="45">
        <f>IF(AND(IZ$1&gt;='Assumption Sheet'!$K28,IZ$1&lt;='Assumption Sheet'!$Y28),'Assumption Sheet'!$C28,0)</f>
        <v>0</v>
      </c>
      <c r="JA18" s="45">
        <f>IF(AND(JA$1&gt;='Assumption Sheet'!$K28,JA$1&lt;='Assumption Sheet'!$Y28),'Assumption Sheet'!$C28,0)</f>
        <v>0</v>
      </c>
      <c r="JB18" s="45">
        <f>IF(AND(JB$1&gt;='Assumption Sheet'!$K28,JB$1&lt;='Assumption Sheet'!$Y28),'Assumption Sheet'!$C28,0)</f>
        <v>0</v>
      </c>
      <c r="JC18" s="45">
        <f>IF(AND(JC$1&gt;='Assumption Sheet'!$K28,JC$1&lt;='Assumption Sheet'!$Y28),'Assumption Sheet'!$C28,0)</f>
        <v>0</v>
      </c>
      <c r="JD18" s="45">
        <f>IF(AND(JD$1&gt;='Assumption Sheet'!$K28,JD$1&lt;='Assumption Sheet'!$Y28),'Assumption Sheet'!$C28,0)</f>
        <v>0</v>
      </c>
      <c r="JE18" s="45">
        <f>IF(AND(JE$1&gt;='Assumption Sheet'!$K28,JE$1&lt;='Assumption Sheet'!$Y28),'Assumption Sheet'!$C28,0)</f>
        <v>0</v>
      </c>
      <c r="JF18" s="45">
        <f>IF(AND(JF$1&gt;='Assumption Sheet'!$K28,JF$1&lt;='Assumption Sheet'!$Y28),'Assumption Sheet'!$C28,0)</f>
        <v>0</v>
      </c>
      <c r="JG18" s="45">
        <f>IF(AND(JG$1&gt;='Assumption Sheet'!$K28,JG$1&lt;='Assumption Sheet'!$Y28),'Assumption Sheet'!$C28,0)</f>
        <v>0</v>
      </c>
      <c r="JH18" s="45">
        <f>IF(AND(JH$1&gt;='Assumption Sheet'!$K28,JH$1&lt;='Assumption Sheet'!$Y28),'Assumption Sheet'!$C28,0)</f>
        <v>0</v>
      </c>
      <c r="JI18" s="45">
        <f>IF(AND(JI$1&gt;='Assumption Sheet'!$K28,JI$1&lt;='Assumption Sheet'!$Y28),'Assumption Sheet'!$C28,0)</f>
        <v>0</v>
      </c>
      <c r="JJ18" s="45">
        <f>IF(AND(JJ$1&gt;='Assumption Sheet'!$K28,JJ$1&lt;='Assumption Sheet'!$Y28),'Assumption Sheet'!$C28,0)</f>
        <v>0</v>
      </c>
      <c r="JK18" s="45">
        <f>IF(AND(JK$1&gt;='Assumption Sheet'!$K28,JK$1&lt;='Assumption Sheet'!$Y28),'Assumption Sheet'!$C28,0)</f>
        <v>0</v>
      </c>
      <c r="JL18" s="45">
        <f>IF(AND(JL$1&gt;='Assumption Sheet'!$K28,JL$1&lt;='Assumption Sheet'!$Y28),'Assumption Sheet'!$C28,0)</f>
        <v>0</v>
      </c>
      <c r="JM18" s="45">
        <f>IF(AND(JM$1&gt;='Assumption Sheet'!$K28,JM$1&lt;='Assumption Sheet'!$Y28),'Assumption Sheet'!$C28,0)</f>
        <v>0</v>
      </c>
      <c r="JN18" s="45">
        <f>IF(AND(JN$1&gt;='Assumption Sheet'!$K28,JN$1&lt;='Assumption Sheet'!$Y28),'Assumption Sheet'!$C28,0)</f>
        <v>0</v>
      </c>
      <c r="JO18" s="45">
        <f>IF(AND(JO$1&gt;='Assumption Sheet'!$K28,JO$1&lt;='Assumption Sheet'!$Y28),'Assumption Sheet'!$C28,0)</f>
        <v>0</v>
      </c>
      <c r="JP18" s="45">
        <f>IF(AND(JP$1&gt;='Assumption Sheet'!$K28,JP$1&lt;='Assumption Sheet'!$Y28),'Assumption Sheet'!$C28,0)</f>
        <v>0</v>
      </c>
      <c r="JQ18" s="45">
        <f>IF(AND(JQ$1&gt;='Assumption Sheet'!$K28,JQ$1&lt;='Assumption Sheet'!$Y28),'Assumption Sheet'!$C28,0)</f>
        <v>0</v>
      </c>
      <c r="JR18" s="45">
        <f>IF(AND(JR$1&gt;='Assumption Sheet'!$K28,JR$1&lt;='Assumption Sheet'!$Y28),'Assumption Sheet'!$C28,0)</f>
        <v>0</v>
      </c>
      <c r="JS18" s="45">
        <f>IF(AND(JS$1&gt;='Assumption Sheet'!$K28,JS$1&lt;='Assumption Sheet'!$Y28),'Assumption Sheet'!$C28,0)</f>
        <v>0</v>
      </c>
      <c r="JT18" s="45">
        <f>IF(AND(JT$1&gt;='Assumption Sheet'!$K28,JT$1&lt;='Assumption Sheet'!$Y28),'Assumption Sheet'!$C28,0)</f>
        <v>0</v>
      </c>
      <c r="JU18" s="45">
        <f>IF(AND(JU$1&gt;='Assumption Sheet'!$K28,JU$1&lt;='Assumption Sheet'!$Y28),'Assumption Sheet'!$C28,0)</f>
        <v>0</v>
      </c>
      <c r="JV18" s="45">
        <f>IF(AND(JV$1&gt;='Assumption Sheet'!$K28,JV$1&lt;='Assumption Sheet'!$Y28),'Assumption Sheet'!$C28,0)</f>
        <v>0</v>
      </c>
      <c r="JW18" s="45">
        <f>IF(AND(JW$1&gt;='Assumption Sheet'!$K28,JW$1&lt;='Assumption Sheet'!$Y28),'Assumption Sheet'!$C28,0)</f>
        <v>0</v>
      </c>
      <c r="JX18" s="45">
        <f>IF(AND(JX$1&gt;='Assumption Sheet'!$K28,JX$1&lt;='Assumption Sheet'!$Y28),'Assumption Sheet'!$C28,0)</f>
        <v>0</v>
      </c>
      <c r="JY18" s="45">
        <f>IF(AND(JY$1&gt;='Assumption Sheet'!$K28,JY$1&lt;='Assumption Sheet'!$Y28),'Assumption Sheet'!$C28,0)</f>
        <v>0</v>
      </c>
      <c r="JZ18" s="45">
        <f>IF(AND(JZ$1&gt;='Assumption Sheet'!$K28,JZ$1&lt;='Assumption Sheet'!$Y28),'Assumption Sheet'!$C28,0)</f>
        <v>0</v>
      </c>
      <c r="KA18" s="45">
        <f>IF(AND(KA$1&gt;='Assumption Sheet'!$K28,KA$1&lt;='Assumption Sheet'!$Y28),'Assumption Sheet'!$C28,0)</f>
        <v>0</v>
      </c>
      <c r="KB18" s="45">
        <f>IF(AND(KB$1&gt;='Assumption Sheet'!$K28,KB$1&lt;='Assumption Sheet'!$Y28),'Assumption Sheet'!$C28,0)</f>
        <v>0</v>
      </c>
      <c r="KC18" s="45">
        <f>IF(AND(KC$1&gt;='Assumption Sheet'!$K28,KC$1&lt;='Assumption Sheet'!$Y28),'Assumption Sheet'!$C28,0)</f>
        <v>0</v>
      </c>
      <c r="KD18" s="45"/>
      <c r="KE18" s="45"/>
      <c r="KF18" s="45"/>
      <c r="KG18" s="45"/>
      <c r="KH18" s="45"/>
      <c r="KI18" s="45"/>
      <c r="KJ18" s="45"/>
      <c r="KK18" s="45"/>
      <c r="KL18" s="45"/>
      <c r="KM18" s="45"/>
      <c r="KN18" s="45"/>
      <c r="KO18" s="45"/>
    </row>
    <row r="19" spans="1:301" x14ac:dyDescent="0.3">
      <c r="B19" s="1" t="str">
        <f>B10</f>
        <v>Phase 2</v>
      </c>
      <c r="E19" s="45">
        <f>IF(AND(E$1&gt;='Assumption Sheet'!$K29,E$1&lt;='Assumption Sheet'!$Y29),'Assumption Sheet'!$C29,0)</f>
        <v>0</v>
      </c>
      <c r="F19" s="45">
        <f>IF(AND(F$1&gt;='Assumption Sheet'!$K29,F$1&lt;='Assumption Sheet'!$Y29),'Assumption Sheet'!$C29,0)</f>
        <v>0</v>
      </c>
      <c r="G19" s="45">
        <f>IF(AND(G$1&gt;='Assumption Sheet'!$K29,G$1&lt;='Assumption Sheet'!$Y29),'Assumption Sheet'!$C29,0)</f>
        <v>0</v>
      </c>
      <c r="H19" s="45">
        <f>IF(AND(H$1&gt;='Assumption Sheet'!$K29,H$1&lt;='Assumption Sheet'!$Y29),'Assumption Sheet'!$C29,0)</f>
        <v>0</v>
      </c>
      <c r="I19" s="45">
        <f>IF(AND(I$1&gt;='Assumption Sheet'!$K29,I$1&lt;='Assumption Sheet'!$Y29),'Assumption Sheet'!$C29,0)</f>
        <v>0</v>
      </c>
      <c r="J19" s="45">
        <f>IF(AND(J$1&gt;='Assumption Sheet'!$K29,J$1&lt;='Assumption Sheet'!$Y29),'Assumption Sheet'!$C29,0)</f>
        <v>0</v>
      </c>
      <c r="K19" s="45">
        <f>IF(AND(K$1&gt;='Assumption Sheet'!$K29,K$1&lt;='Assumption Sheet'!$Y29),'Assumption Sheet'!$C29,0)</f>
        <v>0</v>
      </c>
      <c r="L19" s="45">
        <f>IF(AND(L$1&gt;='Assumption Sheet'!$K29,L$1&lt;='Assumption Sheet'!$Y29),'Assumption Sheet'!$C29,0)</f>
        <v>0</v>
      </c>
      <c r="M19" s="45">
        <f>IF(AND(M$1&gt;='Assumption Sheet'!$K29,M$1&lt;='Assumption Sheet'!$Y29),'Assumption Sheet'!$C29,0)</f>
        <v>0</v>
      </c>
      <c r="N19" s="45">
        <f>IF(AND(N$1&gt;='Assumption Sheet'!$K29,N$1&lt;='Assumption Sheet'!$Y29),'Assumption Sheet'!$C29,0)</f>
        <v>0</v>
      </c>
      <c r="O19" s="45">
        <f>IF(AND(O$1&gt;='Assumption Sheet'!$K29,O$1&lt;='Assumption Sheet'!$Y29),'Assumption Sheet'!$C29,0)</f>
        <v>0</v>
      </c>
      <c r="P19" s="45">
        <f>IF(AND(P$1&gt;='Assumption Sheet'!$K29,P$1&lt;='Assumption Sheet'!$Y29),'Assumption Sheet'!$C29,0)</f>
        <v>0</v>
      </c>
      <c r="Q19" s="45">
        <f>IF(AND(Q$1&gt;='Assumption Sheet'!$K29,Q$1&lt;='Assumption Sheet'!$Y29),'Assumption Sheet'!$C29,0)</f>
        <v>0</v>
      </c>
      <c r="R19" s="45">
        <f>IF(AND(R$1&gt;='Assumption Sheet'!$K29,R$1&lt;='Assumption Sheet'!$Y29),'Assumption Sheet'!$C29,0)</f>
        <v>0</v>
      </c>
      <c r="S19" s="45">
        <f>IF(AND(S$1&gt;='Assumption Sheet'!$K29,S$1&lt;='Assumption Sheet'!$Y29),'Assumption Sheet'!$C29,0)</f>
        <v>0</v>
      </c>
      <c r="T19" s="45">
        <f>IF(AND(T$1&gt;='Assumption Sheet'!$K29,T$1&lt;='Assumption Sheet'!$Y29),'Assumption Sheet'!$C29,0)</f>
        <v>0</v>
      </c>
      <c r="U19" s="45">
        <f>IF(AND(U$1&gt;='Assumption Sheet'!$K29,U$1&lt;='Assumption Sheet'!$Y29),'Assumption Sheet'!$C29,0)</f>
        <v>0</v>
      </c>
      <c r="V19" s="45">
        <f>IF(AND(V$1&gt;='Assumption Sheet'!$K29,V$1&lt;='Assumption Sheet'!$Y29),'Assumption Sheet'!$C29,0)</f>
        <v>0</v>
      </c>
      <c r="W19" s="45">
        <f>IF(AND(W$1&gt;='Assumption Sheet'!$K29,W$1&lt;='Assumption Sheet'!$Y29),'Assumption Sheet'!$C29,0)</f>
        <v>0</v>
      </c>
      <c r="X19" s="45">
        <f>IF(AND(X$1&gt;='Assumption Sheet'!$K29,X$1&lt;='Assumption Sheet'!$Y29),'Assumption Sheet'!$C29,0)</f>
        <v>0</v>
      </c>
      <c r="Y19" s="45">
        <f>IF(AND(Y$1&gt;='Assumption Sheet'!$K29,Y$1&lt;='Assumption Sheet'!$Y29),'Assumption Sheet'!$C29,0)</f>
        <v>0</v>
      </c>
      <c r="Z19" s="45">
        <f>IF(AND(Z$1&gt;='Assumption Sheet'!$K29,Z$1&lt;='Assumption Sheet'!$Y29),'Assumption Sheet'!$C29,0)</f>
        <v>0</v>
      </c>
      <c r="AA19" s="45">
        <f>IF(AND(AA$1&gt;='Assumption Sheet'!$K29,AA$1&lt;='Assumption Sheet'!$Y29),'Assumption Sheet'!$C29,0)</f>
        <v>0</v>
      </c>
      <c r="AB19" s="45">
        <f>IF(AND(AB$1&gt;='Assumption Sheet'!$K29,AB$1&lt;='Assumption Sheet'!$Y29),'Assumption Sheet'!$C29,0)</f>
        <v>0</v>
      </c>
      <c r="AC19" s="45">
        <f>IF(AND(AC$1&gt;='Assumption Sheet'!$K29,AC$1&lt;='Assumption Sheet'!$Y29),'Assumption Sheet'!$C29,0)</f>
        <v>0</v>
      </c>
      <c r="AD19" s="45">
        <f>IF(AND(AD$1&gt;='Assumption Sheet'!$K29,AD$1&lt;='Assumption Sheet'!$Y29),'Assumption Sheet'!$C29,0)</f>
        <v>0</v>
      </c>
      <c r="AE19" s="45">
        <f>IF(AND(AE$1&gt;='Assumption Sheet'!$K29,AE$1&lt;='Assumption Sheet'!$Y29),'Assumption Sheet'!$C29,0)</f>
        <v>0</v>
      </c>
      <c r="AF19" s="45">
        <f>IF(AND(AF$1&gt;='Assumption Sheet'!$K29,AF$1&lt;='Assumption Sheet'!$Y29),'Assumption Sheet'!$C29,0)</f>
        <v>0</v>
      </c>
      <c r="AG19" s="45">
        <f>IF(AND(AG$1&gt;='Assumption Sheet'!$K29,AG$1&lt;='Assumption Sheet'!$Y29),'Assumption Sheet'!$C29,0)</f>
        <v>0</v>
      </c>
      <c r="AH19" s="45">
        <f>IF(AND(AH$1&gt;='Assumption Sheet'!$K29,AH$1&lt;='Assumption Sheet'!$Y29),'Assumption Sheet'!$C29,0)</f>
        <v>0</v>
      </c>
      <c r="AI19" s="45">
        <f>IF(AND(AI$1&gt;='Assumption Sheet'!$K29,AI$1&lt;='Assumption Sheet'!$Y29),'Assumption Sheet'!$C29,0)</f>
        <v>494269.88677604997</v>
      </c>
      <c r="AJ19" s="45">
        <f>IF(AND(AJ$1&gt;='Assumption Sheet'!$K29,AJ$1&lt;='Assumption Sheet'!$Y29),'Assumption Sheet'!$C29,0)</f>
        <v>494269.88677604997</v>
      </c>
      <c r="AK19" s="45">
        <f>IF(AND(AK$1&gt;='Assumption Sheet'!$K29,AK$1&lt;='Assumption Sheet'!$Y29),'Assumption Sheet'!$C29,0)</f>
        <v>494269.88677604997</v>
      </c>
      <c r="AL19" s="45">
        <f>IF(AND(AL$1&gt;='Assumption Sheet'!$K29,AL$1&lt;='Assumption Sheet'!$Y29),'Assumption Sheet'!$C29,0)</f>
        <v>494269.88677604997</v>
      </c>
      <c r="AM19" s="45">
        <f>IF(AND(AM$1&gt;='Assumption Sheet'!$K29,AM$1&lt;='Assumption Sheet'!$Y29),'Assumption Sheet'!$C29,0)</f>
        <v>494269.88677604997</v>
      </c>
      <c r="AN19" s="45">
        <f>IF(AND(AN$1&gt;='Assumption Sheet'!$K29,AN$1&lt;='Assumption Sheet'!$Y29),'Assumption Sheet'!$C29,0)</f>
        <v>494269.88677604997</v>
      </c>
      <c r="AO19" s="45">
        <f>IF(AND(AO$1&gt;='Assumption Sheet'!$K29,AO$1&lt;='Assumption Sheet'!$Y29),'Assumption Sheet'!$C29,0)</f>
        <v>494269.88677604997</v>
      </c>
      <c r="AP19" s="45">
        <f>IF(AND(AP$1&gt;='Assumption Sheet'!$K29,AP$1&lt;='Assumption Sheet'!$Y29),'Assumption Sheet'!$C29,0)</f>
        <v>494269.88677604997</v>
      </c>
      <c r="AQ19" s="45">
        <f>IF(AND(AQ$1&gt;='Assumption Sheet'!$K29,AQ$1&lt;='Assumption Sheet'!$Y29),'Assumption Sheet'!$C29,0)</f>
        <v>494269.88677604997</v>
      </c>
      <c r="AR19" s="45">
        <f>IF(AND(AR$1&gt;='Assumption Sheet'!$K29,AR$1&lt;='Assumption Sheet'!$Y29),'Assumption Sheet'!$C29,0)</f>
        <v>494269.88677604997</v>
      </c>
      <c r="AS19" s="45">
        <f>IF(AND(AS$1&gt;='Assumption Sheet'!$K29,AS$1&lt;='Assumption Sheet'!$Y29),'Assumption Sheet'!$C29,0)</f>
        <v>494269.88677604997</v>
      </c>
      <c r="AT19" s="45">
        <f>IF(AND(AT$1&gt;='Assumption Sheet'!$K29,AT$1&lt;='Assumption Sheet'!$Y29),'Assumption Sheet'!$C29,0)</f>
        <v>494269.88677604997</v>
      </c>
      <c r="AU19" s="45">
        <f>IF(AND(AU$1&gt;='Assumption Sheet'!$K29,AU$1&lt;='Assumption Sheet'!$Y29),'Assumption Sheet'!$C29,0)</f>
        <v>494269.88677604997</v>
      </c>
      <c r="AV19" s="45">
        <f>IF(AND(AV$1&gt;='Assumption Sheet'!$K29,AV$1&lt;='Assumption Sheet'!$Y29),'Assumption Sheet'!$C29,0)</f>
        <v>494269.88677604997</v>
      </c>
      <c r="AW19" s="45">
        <f>IF(AND(AW$1&gt;='Assumption Sheet'!$K29,AW$1&lt;='Assumption Sheet'!$Y29),'Assumption Sheet'!$C29,0)</f>
        <v>494269.88677604997</v>
      </c>
      <c r="AX19" s="45">
        <f>IF(AND(AX$1&gt;='Assumption Sheet'!$K29,AX$1&lt;='Assumption Sheet'!$Y29),'Assumption Sheet'!$C29,0)</f>
        <v>494269.88677604997</v>
      </c>
      <c r="AY19" s="45">
        <f>IF(AND(AY$1&gt;='Assumption Sheet'!$K29,AY$1&lt;='Assumption Sheet'!$Y29),'Assumption Sheet'!$C29,0)</f>
        <v>494269.88677604997</v>
      </c>
      <c r="AZ19" s="45">
        <f>IF(AND(AZ$1&gt;='Assumption Sheet'!$K29,AZ$1&lt;='Assumption Sheet'!$Y29),'Assumption Sheet'!$C29,0)</f>
        <v>494269.88677604997</v>
      </c>
      <c r="BA19" s="45">
        <f>IF(AND(BA$1&gt;='Assumption Sheet'!$K29,BA$1&lt;='Assumption Sheet'!$Y29),'Assumption Sheet'!$C29,0)</f>
        <v>494269.88677604997</v>
      </c>
      <c r="BB19" s="45">
        <f>IF(AND(BB$1&gt;='Assumption Sheet'!$K29,BB$1&lt;='Assumption Sheet'!$Y29),'Assumption Sheet'!$C29,0)</f>
        <v>494269.88677604997</v>
      </c>
      <c r="BC19" s="45">
        <f>IF(AND(BC$1&gt;='Assumption Sheet'!$K29,BC$1&lt;='Assumption Sheet'!$Y29),'Assumption Sheet'!$C29,0)</f>
        <v>494269.88677604997</v>
      </c>
      <c r="BD19" s="45">
        <f>IF(AND(BD$1&gt;='Assumption Sheet'!$K29,BD$1&lt;='Assumption Sheet'!$Y29),'Assumption Sheet'!$C29,0)</f>
        <v>494269.88677604997</v>
      </c>
      <c r="BE19" s="45">
        <f>IF(AND(BE$1&gt;='Assumption Sheet'!$K29,BE$1&lt;='Assumption Sheet'!$Y29),'Assumption Sheet'!$C29,0)</f>
        <v>494269.88677604997</v>
      </c>
      <c r="BF19" s="45">
        <f>IF(AND(BF$1&gt;='Assumption Sheet'!$K29,BF$1&lt;='Assumption Sheet'!$Y29),'Assumption Sheet'!$C29,0)</f>
        <v>494269.88677604997</v>
      </c>
      <c r="BG19" s="45">
        <f>IF(AND(BG$1&gt;='Assumption Sheet'!$K29,BG$1&lt;='Assumption Sheet'!$Y29),'Assumption Sheet'!$C29,0)</f>
        <v>494269.88677604997</v>
      </c>
      <c r="BH19" s="45">
        <f>IF(AND(BH$1&gt;='Assumption Sheet'!$K29,BH$1&lt;='Assumption Sheet'!$Y29),'Assumption Sheet'!$C29,0)</f>
        <v>494269.88677604997</v>
      </c>
      <c r="BI19" s="45">
        <f>IF(AND(BI$1&gt;='Assumption Sheet'!$K29,BI$1&lt;='Assumption Sheet'!$Y29),'Assumption Sheet'!$C29,0)</f>
        <v>494269.88677604997</v>
      </c>
      <c r="BJ19" s="45">
        <f>IF(AND(BJ$1&gt;='Assumption Sheet'!$K29,BJ$1&lt;='Assumption Sheet'!$Y29),'Assumption Sheet'!$C29,0)</f>
        <v>494269.88677604997</v>
      </c>
      <c r="BK19" s="45">
        <f>IF(AND(BK$1&gt;='Assumption Sheet'!$K29,BK$1&lt;='Assumption Sheet'!$Y29),'Assumption Sheet'!$C29,0)</f>
        <v>494269.88677604997</v>
      </c>
      <c r="BL19" s="45">
        <f>IF(AND(BL$1&gt;='Assumption Sheet'!$K29,BL$1&lt;='Assumption Sheet'!$Y29),'Assumption Sheet'!$C29,0)</f>
        <v>494269.88677604997</v>
      </c>
      <c r="BM19" s="45">
        <f>IF(AND(BM$1&gt;='Assumption Sheet'!$K29,BM$1&lt;='Assumption Sheet'!$Y29),'Assumption Sheet'!$C29,0)</f>
        <v>494269.88677604997</v>
      </c>
      <c r="BN19" s="45">
        <f>IF(AND(BN$1&gt;='Assumption Sheet'!$K29,BN$1&lt;='Assumption Sheet'!$Y29),'Assumption Sheet'!$C29,0)</f>
        <v>494269.88677604997</v>
      </c>
      <c r="BO19" s="45">
        <f>IF(AND(BO$1&gt;='Assumption Sheet'!$K29,BO$1&lt;='Assumption Sheet'!$Y29),'Assumption Sheet'!$C29,0)</f>
        <v>494269.88677604997</v>
      </c>
      <c r="BP19" s="45">
        <f>IF(AND(BP$1&gt;='Assumption Sheet'!$K29,BP$1&lt;='Assumption Sheet'!$Y29),'Assumption Sheet'!$C29,0)</f>
        <v>494269.88677604997</v>
      </c>
      <c r="BQ19" s="45">
        <f>IF(AND(BQ$1&gt;='Assumption Sheet'!$K29,BQ$1&lt;='Assumption Sheet'!$Y29),'Assumption Sheet'!$C29,0)</f>
        <v>494269.88677604997</v>
      </c>
      <c r="BR19" s="45">
        <f>IF(AND(BR$1&gt;='Assumption Sheet'!$K29,BR$1&lt;='Assumption Sheet'!$Y29),'Assumption Sheet'!$C29,0)</f>
        <v>494269.88677604997</v>
      </c>
      <c r="BS19" s="45">
        <f>IF(AND(BS$1&gt;='Assumption Sheet'!$K29,BS$1&lt;='Assumption Sheet'!$Y29),'Assumption Sheet'!$C29,0)</f>
        <v>494269.88677604997</v>
      </c>
      <c r="BT19" s="45">
        <f>IF(AND(BT$1&gt;='Assumption Sheet'!$K29,BT$1&lt;='Assumption Sheet'!$Y29),'Assumption Sheet'!$C29,0)</f>
        <v>494269.88677604997</v>
      </c>
      <c r="BU19" s="45">
        <f>IF(AND(BU$1&gt;='Assumption Sheet'!$K29,BU$1&lt;='Assumption Sheet'!$Y29),'Assumption Sheet'!$C29,0)</f>
        <v>494269.88677604997</v>
      </c>
      <c r="BV19" s="45">
        <f>IF(AND(BV$1&gt;='Assumption Sheet'!$K29,BV$1&lt;='Assumption Sheet'!$Y29),'Assumption Sheet'!$C29,0)</f>
        <v>494269.88677604997</v>
      </c>
      <c r="BW19" s="45">
        <f>IF(AND(BW$1&gt;='Assumption Sheet'!$K29,BW$1&lt;='Assumption Sheet'!$Y29),'Assumption Sheet'!$C29,0)</f>
        <v>494269.88677604997</v>
      </c>
      <c r="BX19" s="45">
        <f>IF(AND(BX$1&gt;='Assumption Sheet'!$K29,BX$1&lt;='Assumption Sheet'!$Y29),'Assumption Sheet'!$C29,0)</f>
        <v>494269.88677604997</v>
      </c>
      <c r="BY19" s="45">
        <f>IF(AND(BY$1&gt;='Assumption Sheet'!$K29,BY$1&lt;='Assumption Sheet'!$Y29),'Assumption Sheet'!$C29,0)</f>
        <v>494269.88677604997</v>
      </c>
      <c r="BZ19" s="45">
        <f>IF(AND(BZ$1&gt;='Assumption Sheet'!$K29,BZ$1&lt;='Assumption Sheet'!$Y29),'Assumption Sheet'!$C29,0)</f>
        <v>494269.88677604997</v>
      </c>
      <c r="CA19" s="45">
        <f>IF(AND(CA$1&gt;='Assumption Sheet'!$K29,CA$1&lt;='Assumption Sheet'!$Y29),'Assumption Sheet'!$C29,0)</f>
        <v>494269.88677604997</v>
      </c>
      <c r="CB19" s="45">
        <f>IF(AND(CB$1&gt;='Assumption Sheet'!$K29,CB$1&lt;='Assumption Sheet'!$Y29),'Assumption Sheet'!$C29,0)</f>
        <v>494269.88677604997</v>
      </c>
      <c r="CC19" s="45">
        <f>IF(AND(CC$1&gt;='Assumption Sheet'!$K29,CC$1&lt;='Assumption Sheet'!$Y29),'Assumption Sheet'!$C29,0)</f>
        <v>494269.88677604997</v>
      </c>
      <c r="CD19" s="45">
        <f>IF(AND(CD$1&gt;='Assumption Sheet'!$K29,CD$1&lt;='Assumption Sheet'!$Y29),'Assumption Sheet'!$C29,0)</f>
        <v>494269.88677604997</v>
      </c>
      <c r="CE19" s="45">
        <f>IF(AND(CE$1&gt;='Assumption Sheet'!$K29,CE$1&lt;='Assumption Sheet'!$Y29),'Assumption Sheet'!$C29,0)</f>
        <v>494269.88677604997</v>
      </c>
      <c r="CF19" s="45">
        <f>IF(AND(CF$1&gt;='Assumption Sheet'!$K29,CF$1&lt;='Assumption Sheet'!$Y29),'Assumption Sheet'!$C29,0)</f>
        <v>494269.88677604997</v>
      </c>
      <c r="CG19" s="45">
        <f>IF(AND(CG$1&gt;='Assumption Sheet'!$K29,CG$1&lt;='Assumption Sheet'!$Y29),'Assumption Sheet'!$C29,0)</f>
        <v>494269.88677604997</v>
      </c>
      <c r="CH19" s="45">
        <f>IF(AND(CH$1&gt;='Assumption Sheet'!$K29,CH$1&lt;='Assumption Sheet'!$Y29),'Assumption Sheet'!$C29,0)</f>
        <v>494269.88677604997</v>
      </c>
      <c r="CI19" s="45">
        <f>IF(AND(CI$1&gt;='Assumption Sheet'!$K29,CI$1&lt;='Assumption Sheet'!$Y29),'Assumption Sheet'!$C29,0)</f>
        <v>494269.88677604997</v>
      </c>
      <c r="CJ19" s="45">
        <f>IF(AND(CJ$1&gt;='Assumption Sheet'!$K29,CJ$1&lt;='Assumption Sheet'!$Y29),'Assumption Sheet'!$C29,0)</f>
        <v>494269.88677604997</v>
      </c>
      <c r="CK19" s="45">
        <f>IF(AND(CK$1&gt;='Assumption Sheet'!$K29,CK$1&lt;='Assumption Sheet'!$Y29),'Assumption Sheet'!$C29,0)</f>
        <v>494269.88677604997</v>
      </c>
      <c r="CL19" s="45">
        <f>IF(AND(CL$1&gt;='Assumption Sheet'!$K29,CL$1&lt;='Assumption Sheet'!$Y29),'Assumption Sheet'!$C29,0)</f>
        <v>494269.88677604997</v>
      </c>
      <c r="CM19" s="45">
        <f>IF(AND(CM$1&gt;='Assumption Sheet'!$K29,CM$1&lt;='Assumption Sheet'!$Y29),'Assumption Sheet'!$C29,0)</f>
        <v>494269.88677604997</v>
      </c>
      <c r="CN19" s="45">
        <f>IF(AND(CN$1&gt;='Assumption Sheet'!$K29,CN$1&lt;='Assumption Sheet'!$Y29),'Assumption Sheet'!$C29,0)</f>
        <v>494269.88677604997</v>
      </c>
      <c r="CO19" s="45">
        <f>IF(AND(CO$1&gt;='Assumption Sheet'!$K29,CO$1&lt;='Assumption Sheet'!$Y29),'Assumption Sheet'!$C29,0)</f>
        <v>494269.88677604997</v>
      </c>
      <c r="CP19" s="45">
        <f>IF(AND(CP$1&gt;='Assumption Sheet'!$K29,CP$1&lt;='Assumption Sheet'!$Y29),'Assumption Sheet'!$C29,0)</f>
        <v>494269.88677604997</v>
      </c>
      <c r="CQ19" s="45">
        <f>IF(AND(CQ$1&gt;='Assumption Sheet'!$K29,CQ$1&lt;='Assumption Sheet'!$Y29),'Assumption Sheet'!$C29,0)</f>
        <v>494269.88677604997</v>
      </c>
      <c r="CR19" s="45">
        <f>IF(AND(CR$1&gt;='Assumption Sheet'!$K29,CR$1&lt;='Assumption Sheet'!$Y29),'Assumption Sheet'!$C29,0)</f>
        <v>494269.88677604997</v>
      </c>
      <c r="CS19" s="45">
        <f>IF(AND(CS$1&gt;='Assumption Sheet'!$K29,CS$1&lt;='Assumption Sheet'!$Y29),'Assumption Sheet'!$C29,0)</f>
        <v>494269.88677604997</v>
      </c>
      <c r="CT19" s="45">
        <f>IF(AND(CT$1&gt;='Assumption Sheet'!$K29,CT$1&lt;='Assumption Sheet'!$Y29),'Assumption Sheet'!$C29,0)</f>
        <v>494269.88677604997</v>
      </c>
      <c r="CU19" s="45">
        <f>IF(AND(CU$1&gt;='Assumption Sheet'!$K29,CU$1&lt;='Assumption Sheet'!$Y29),'Assumption Sheet'!$C29,0)</f>
        <v>494269.88677604997</v>
      </c>
      <c r="CV19" s="45">
        <f>IF(AND(CV$1&gt;='Assumption Sheet'!$K29,CV$1&lt;='Assumption Sheet'!$Y29),'Assumption Sheet'!$C29,0)</f>
        <v>494269.88677604997</v>
      </c>
      <c r="CW19" s="45">
        <f>IF(AND(CW$1&gt;='Assumption Sheet'!$K29,CW$1&lt;='Assumption Sheet'!$Y29),'Assumption Sheet'!$C29,0)</f>
        <v>494269.88677604997</v>
      </c>
      <c r="CX19" s="45">
        <f>IF(AND(CX$1&gt;='Assumption Sheet'!$K29,CX$1&lt;='Assumption Sheet'!$Y29),'Assumption Sheet'!$C29,0)</f>
        <v>494269.88677604997</v>
      </c>
      <c r="CY19" s="45">
        <f>IF(AND(CY$1&gt;='Assumption Sheet'!$K29,CY$1&lt;='Assumption Sheet'!$Y29),'Assumption Sheet'!$C29,0)</f>
        <v>494269.88677604997</v>
      </c>
      <c r="CZ19" s="45">
        <f>IF(AND(CZ$1&gt;='Assumption Sheet'!$K29,CZ$1&lt;='Assumption Sheet'!$Y29),'Assumption Sheet'!$C29,0)</f>
        <v>494269.88677604997</v>
      </c>
      <c r="DA19" s="45">
        <f>IF(AND(DA$1&gt;='Assumption Sheet'!$K29,DA$1&lt;='Assumption Sheet'!$Y29),'Assumption Sheet'!$C29,0)</f>
        <v>494269.88677604997</v>
      </c>
      <c r="DB19" s="45">
        <f>IF(AND(DB$1&gt;='Assumption Sheet'!$K29,DB$1&lt;='Assumption Sheet'!$Y29),'Assumption Sheet'!$C29,0)</f>
        <v>494269.88677604997</v>
      </c>
      <c r="DC19" s="45">
        <f>IF(AND(DC$1&gt;='Assumption Sheet'!$K29,DC$1&lt;='Assumption Sheet'!$Y29),'Assumption Sheet'!$C29,0)</f>
        <v>494269.88677604997</v>
      </c>
      <c r="DD19" s="45">
        <f>IF(AND(DD$1&gt;='Assumption Sheet'!$K29,DD$1&lt;='Assumption Sheet'!$Y29),'Assumption Sheet'!$C29,0)</f>
        <v>494269.88677604997</v>
      </c>
      <c r="DE19" s="45">
        <f>IF(AND(DE$1&gt;='Assumption Sheet'!$K29,DE$1&lt;='Assumption Sheet'!$Y29),'Assumption Sheet'!$C29,0)</f>
        <v>494269.88677604997</v>
      </c>
      <c r="DF19" s="45">
        <f>IF(AND(DF$1&gt;='Assumption Sheet'!$K29,DF$1&lt;='Assumption Sheet'!$Y29),'Assumption Sheet'!$C29,0)</f>
        <v>494269.88677604997</v>
      </c>
      <c r="DG19" s="45">
        <f>IF(AND(DG$1&gt;='Assumption Sheet'!$K29,DG$1&lt;='Assumption Sheet'!$Y29),'Assumption Sheet'!$C29,0)</f>
        <v>494269.88677604997</v>
      </c>
      <c r="DH19" s="45">
        <f>IF(AND(DH$1&gt;='Assumption Sheet'!$K29,DH$1&lt;='Assumption Sheet'!$Y29),'Assumption Sheet'!$C29,0)</f>
        <v>494269.88677604997</v>
      </c>
      <c r="DI19" s="45">
        <f>IF(AND(DI$1&gt;='Assumption Sheet'!$K29,DI$1&lt;='Assumption Sheet'!$Y29),'Assumption Sheet'!$C29,0)</f>
        <v>494269.88677604997</v>
      </c>
      <c r="DJ19" s="45">
        <f>IF(AND(DJ$1&gt;='Assumption Sheet'!$K29,DJ$1&lt;='Assumption Sheet'!$Y29),'Assumption Sheet'!$C29,0)</f>
        <v>494269.88677604997</v>
      </c>
      <c r="DK19" s="45">
        <f>IF(AND(DK$1&gt;='Assumption Sheet'!$K29,DK$1&lt;='Assumption Sheet'!$Y29),'Assumption Sheet'!$C29,0)</f>
        <v>494269.88677604997</v>
      </c>
      <c r="DL19" s="45">
        <f>IF(AND(DL$1&gt;='Assumption Sheet'!$K29,DL$1&lt;='Assumption Sheet'!$Y29),'Assumption Sheet'!$C29,0)</f>
        <v>494269.88677604997</v>
      </c>
      <c r="DM19" s="45">
        <f>IF(AND(DM$1&gt;='Assumption Sheet'!$K29,DM$1&lt;='Assumption Sheet'!$Y29),'Assumption Sheet'!$C29,0)</f>
        <v>494269.88677604997</v>
      </c>
      <c r="DN19" s="45">
        <f>IF(AND(DN$1&gt;='Assumption Sheet'!$K29,DN$1&lt;='Assumption Sheet'!$Y29),'Assumption Sheet'!$C29,0)</f>
        <v>494269.88677604997</v>
      </c>
      <c r="DO19" s="45">
        <f>IF(AND(DO$1&gt;='Assumption Sheet'!$K29,DO$1&lt;='Assumption Sheet'!$Y29),'Assumption Sheet'!$C29,0)</f>
        <v>494269.88677604997</v>
      </c>
      <c r="DP19" s="45">
        <f>IF(AND(DP$1&gt;='Assumption Sheet'!$K29,DP$1&lt;='Assumption Sheet'!$Y29),'Assumption Sheet'!$C29,0)</f>
        <v>494269.88677604997</v>
      </c>
      <c r="DQ19" s="45">
        <f>IF(AND(DQ$1&gt;='Assumption Sheet'!$K29,DQ$1&lt;='Assumption Sheet'!$Y29),'Assumption Sheet'!$C29,0)</f>
        <v>494269.88677604997</v>
      </c>
      <c r="DR19" s="45">
        <f>IF(AND(DR$1&gt;='Assumption Sheet'!$K29,DR$1&lt;='Assumption Sheet'!$Y29),'Assumption Sheet'!$C29,0)</f>
        <v>494269.88677604997</v>
      </c>
      <c r="DS19" s="45">
        <f>IF(AND(DS$1&gt;='Assumption Sheet'!$K29,DS$1&lt;='Assumption Sheet'!$Y29),'Assumption Sheet'!$C29,0)</f>
        <v>494269.88677604997</v>
      </c>
      <c r="DT19" s="45">
        <f>IF(AND(DT$1&gt;='Assumption Sheet'!$K29,DT$1&lt;='Assumption Sheet'!$Y29),'Assumption Sheet'!$C29,0)</f>
        <v>494269.88677604997</v>
      </c>
      <c r="DU19" s="45">
        <f>IF(AND(DU$1&gt;='Assumption Sheet'!$K29,DU$1&lt;='Assumption Sheet'!$Y29),'Assumption Sheet'!$C29,0)</f>
        <v>494269.88677604997</v>
      </c>
      <c r="DV19" s="45">
        <f>IF(AND(DV$1&gt;='Assumption Sheet'!$K29,DV$1&lt;='Assumption Sheet'!$Y29),'Assumption Sheet'!$C29,0)</f>
        <v>494269.88677604997</v>
      </c>
      <c r="DW19" s="45">
        <f>IF(AND(DW$1&gt;='Assumption Sheet'!$K29,DW$1&lt;='Assumption Sheet'!$Y29),'Assumption Sheet'!$C29,0)</f>
        <v>494269.88677604997</v>
      </c>
      <c r="DX19" s="45">
        <f>IF(AND(DX$1&gt;='Assumption Sheet'!$K29,DX$1&lt;='Assumption Sheet'!$Y29),'Assumption Sheet'!$C29,0)</f>
        <v>494269.88677604997</v>
      </c>
      <c r="DY19" s="45">
        <f>IF(AND(DY$1&gt;='Assumption Sheet'!$K29,DY$1&lt;='Assumption Sheet'!$Y29),'Assumption Sheet'!$C29,0)</f>
        <v>494269.88677604997</v>
      </c>
      <c r="DZ19" s="45">
        <f>IF(AND(DZ$1&gt;='Assumption Sheet'!$K29,DZ$1&lt;='Assumption Sheet'!$Y29),'Assumption Sheet'!$C29,0)</f>
        <v>494269.88677604997</v>
      </c>
      <c r="EA19" s="45">
        <f>IF(AND(EA$1&gt;='Assumption Sheet'!$K29,EA$1&lt;='Assumption Sheet'!$Y29),'Assumption Sheet'!$C29,0)</f>
        <v>494269.88677604997</v>
      </c>
      <c r="EB19" s="45">
        <f>IF(AND(EB$1&gt;='Assumption Sheet'!$K29,EB$1&lt;='Assumption Sheet'!$Y29),'Assumption Sheet'!$C29,0)</f>
        <v>494269.88677604997</v>
      </c>
      <c r="EC19" s="45">
        <f>IF(AND(EC$1&gt;='Assumption Sheet'!$K29,EC$1&lt;='Assumption Sheet'!$Y29),'Assumption Sheet'!$C29,0)</f>
        <v>494269.88677604997</v>
      </c>
      <c r="ED19" s="45">
        <f>IF(AND(ED$1&gt;='Assumption Sheet'!$K29,ED$1&lt;='Assumption Sheet'!$Y29),'Assumption Sheet'!$C29,0)</f>
        <v>494269.88677604997</v>
      </c>
      <c r="EE19" s="45">
        <f>IF(AND(EE$1&gt;='Assumption Sheet'!$K29,EE$1&lt;='Assumption Sheet'!$Y29),'Assumption Sheet'!$C29,0)</f>
        <v>494269.88677604997</v>
      </c>
      <c r="EF19" s="45">
        <f>IF(AND(EF$1&gt;='Assumption Sheet'!$K29,EF$1&lt;='Assumption Sheet'!$Y29),'Assumption Sheet'!$C29,0)</f>
        <v>494269.88677604997</v>
      </c>
      <c r="EG19" s="45">
        <f>IF(AND(EG$1&gt;='Assumption Sheet'!$K29,EG$1&lt;='Assumption Sheet'!$Y29),'Assumption Sheet'!$C29,0)</f>
        <v>494269.88677604997</v>
      </c>
      <c r="EH19" s="45">
        <f>IF(AND(EH$1&gt;='Assumption Sheet'!$K29,EH$1&lt;='Assumption Sheet'!$Y29),'Assumption Sheet'!$C29,0)</f>
        <v>494269.88677604997</v>
      </c>
      <c r="EI19" s="45">
        <f>IF(AND(EI$1&gt;='Assumption Sheet'!$K29,EI$1&lt;='Assumption Sheet'!$Y29),'Assumption Sheet'!$C29,0)</f>
        <v>494269.88677604997</v>
      </c>
      <c r="EJ19" s="45">
        <f>IF(AND(EJ$1&gt;='Assumption Sheet'!$K29,EJ$1&lt;='Assumption Sheet'!$Y29),'Assumption Sheet'!$C29,0)</f>
        <v>494269.88677604997</v>
      </c>
      <c r="EK19" s="45">
        <f>IF(AND(EK$1&gt;='Assumption Sheet'!$K29,EK$1&lt;='Assumption Sheet'!$Y29),'Assumption Sheet'!$C29,0)</f>
        <v>494269.88677604997</v>
      </c>
      <c r="EL19" s="45">
        <f>IF(AND(EL$1&gt;='Assumption Sheet'!$K29,EL$1&lt;='Assumption Sheet'!$Y29),'Assumption Sheet'!$C29,0)</f>
        <v>494269.88677604997</v>
      </c>
      <c r="EM19" s="45">
        <f>IF(AND(EM$1&gt;='Assumption Sheet'!$K29,EM$1&lt;='Assumption Sheet'!$Y29),'Assumption Sheet'!$C29,0)</f>
        <v>494269.88677604997</v>
      </c>
      <c r="EN19" s="45">
        <f>IF(AND(EN$1&gt;='Assumption Sheet'!$K29,EN$1&lt;='Assumption Sheet'!$Y29),'Assumption Sheet'!$C29,0)</f>
        <v>494269.88677604997</v>
      </c>
      <c r="EO19" s="45">
        <f>IF(AND(EO$1&gt;='Assumption Sheet'!$K29,EO$1&lt;='Assumption Sheet'!$Y29),'Assumption Sheet'!$C29,0)</f>
        <v>494269.88677604997</v>
      </c>
      <c r="EP19" s="45">
        <f>IF(AND(EP$1&gt;='Assumption Sheet'!$K29,EP$1&lt;='Assumption Sheet'!$Y29),'Assumption Sheet'!$C29,0)</f>
        <v>494269.88677604997</v>
      </c>
      <c r="EQ19" s="45">
        <f>IF(AND(EQ$1&gt;='Assumption Sheet'!$K29,EQ$1&lt;='Assumption Sheet'!$Y29),'Assumption Sheet'!$C29,0)</f>
        <v>494269.88677604997</v>
      </c>
      <c r="ER19" s="45">
        <f>IF(AND(ER$1&gt;='Assumption Sheet'!$K29,ER$1&lt;='Assumption Sheet'!$Y29),'Assumption Sheet'!$C29,0)</f>
        <v>494269.88677604997</v>
      </c>
      <c r="ES19" s="45">
        <f>IF(AND(ES$1&gt;='Assumption Sheet'!$K29,ES$1&lt;='Assumption Sheet'!$Y29),'Assumption Sheet'!$C29,0)</f>
        <v>494269.88677604997</v>
      </c>
      <c r="ET19" s="45">
        <f>IF(AND(ET$1&gt;='Assumption Sheet'!$K29,ET$1&lt;='Assumption Sheet'!$Y29),'Assumption Sheet'!$C29,0)</f>
        <v>494269.88677604997</v>
      </c>
      <c r="EU19" s="45">
        <f>IF(AND(EU$1&gt;='Assumption Sheet'!$K29,EU$1&lt;='Assumption Sheet'!$Y29),'Assumption Sheet'!$C29,0)</f>
        <v>494269.88677604997</v>
      </c>
      <c r="EV19" s="45">
        <f>IF(AND(EV$1&gt;='Assumption Sheet'!$K29,EV$1&lt;='Assumption Sheet'!$Y29),'Assumption Sheet'!$C29,0)</f>
        <v>494269.88677604997</v>
      </c>
      <c r="EW19" s="45">
        <f>IF(AND(EW$1&gt;='Assumption Sheet'!$K29,EW$1&lt;='Assumption Sheet'!$Y29),'Assumption Sheet'!$C29,0)</f>
        <v>494269.88677604997</v>
      </c>
      <c r="EX19" s="45">
        <f>IF(AND(EX$1&gt;='Assumption Sheet'!$K29,EX$1&lt;='Assumption Sheet'!$Y29),'Assumption Sheet'!$C29,0)</f>
        <v>494269.88677604997</v>
      </c>
      <c r="EY19" s="45">
        <f>IF(AND(EY$1&gt;='Assumption Sheet'!$K29,EY$1&lt;='Assumption Sheet'!$Y29),'Assumption Sheet'!$C29,0)</f>
        <v>494269.88677604997</v>
      </c>
      <c r="EZ19" s="45">
        <f>IF(AND(EZ$1&gt;='Assumption Sheet'!$K29,EZ$1&lt;='Assumption Sheet'!$Y29),'Assumption Sheet'!$C29,0)</f>
        <v>494269.88677604997</v>
      </c>
      <c r="FA19" s="45">
        <f>IF(AND(FA$1&gt;='Assumption Sheet'!$K29,FA$1&lt;='Assumption Sheet'!$Y29),'Assumption Sheet'!$C29,0)</f>
        <v>494269.88677604997</v>
      </c>
      <c r="FB19" s="45">
        <f>IF(AND(FB$1&gt;='Assumption Sheet'!$K29,FB$1&lt;='Assumption Sheet'!$Y29),'Assumption Sheet'!$C29,0)</f>
        <v>494269.88677604997</v>
      </c>
      <c r="FC19" s="45">
        <f>IF(AND(FC$1&gt;='Assumption Sheet'!$K29,FC$1&lt;='Assumption Sheet'!$Y29),'Assumption Sheet'!$C29,0)</f>
        <v>494269.88677604997</v>
      </c>
      <c r="FD19" s="45">
        <f>IF(AND(FD$1&gt;='Assumption Sheet'!$K29,FD$1&lt;='Assumption Sheet'!$Y29),'Assumption Sheet'!$C29,0)</f>
        <v>494269.88677604997</v>
      </c>
      <c r="FE19" s="45">
        <f>IF(AND(FE$1&gt;='Assumption Sheet'!$K29,FE$1&lt;='Assumption Sheet'!$Y29),'Assumption Sheet'!$C29,0)</f>
        <v>494269.88677604997</v>
      </c>
      <c r="FF19" s="45">
        <f>IF(AND(FF$1&gt;='Assumption Sheet'!$K29,FF$1&lt;='Assumption Sheet'!$Y29),'Assumption Sheet'!$C29,0)</f>
        <v>494269.88677604997</v>
      </c>
      <c r="FG19" s="45">
        <f>IF(AND(FG$1&gt;='Assumption Sheet'!$K29,FG$1&lt;='Assumption Sheet'!$Y29),'Assumption Sheet'!$C29,0)</f>
        <v>494269.88677604997</v>
      </c>
      <c r="FH19" s="45">
        <f>IF(AND(FH$1&gt;='Assumption Sheet'!$K29,FH$1&lt;='Assumption Sheet'!$Y29),'Assumption Sheet'!$C29,0)</f>
        <v>494269.88677604997</v>
      </c>
      <c r="FI19" s="45">
        <f>IF(AND(FI$1&gt;='Assumption Sheet'!$K29,FI$1&lt;='Assumption Sheet'!$Y29),'Assumption Sheet'!$C29,0)</f>
        <v>494269.88677604997</v>
      </c>
      <c r="FJ19" s="45">
        <f>IF(AND(FJ$1&gt;='Assumption Sheet'!$K29,FJ$1&lt;='Assumption Sheet'!$Y29),'Assumption Sheet'!$C29,0)</f>
        <v>494269.88677604997</v>
      </c>
      <c r="FK19" s="45">
        <f>IF(AND(FK$1&gt;='Assumption Sheet'!$K29,FK$1&lt;='Assumption Sheet'!$Y29),'Assumption Sheet'!$C29,0)</f>
        <v>494269.88677604997</v>
      </c>
      <c r="FL19" s="45">
        <f>IF(AND(FL$1&gt;='Assumption Sheet'!$K29,FL$1&lt;='Assumption Sheet'!$Y29),'Assumption Sheet'!$C29,0)</f>
        <v>494269.88677604997</v>
      </c>
      <c r="FM19" s="45">
        <f>IF(AND(FM$1&gt;='Assumption Sheet'!$K29,FM$1&lt;='Assumption Sheet'!$Y29),'Assumption Sheet'!$C29,0)</f>
        <v>494269.88677604997</v>
      </c>
      <c r="FN19" s="45">
        <f>IF(AND(FN$1&gt;='Assumption Sheet'!$K29,FN$1&lt;='Assumption Sheet'!$Y29),'Assumption Sheet'!$C29,0)</f>
        <v>494269.88677604997</v>
      </c>
      <c r="FO19" s="45">
        <f>IF(AND(FO$1&gt;='Assumption Sheet'!$K29,FO$1&lt;='Assumption Sheet'!$Y29),'Assumption Sheet'!$C29,0)</f>
        <v>494269.88677604997</v>
      </c>
      <c r="FP19" s="45">
        <f>IF(AND(FP$1&gt;='Assumption Sheet'!$K29,FP$1&lt;='Assumption Sheet'!$Y29),'Assumption Sheet'!$C29,0)</f>
        <v>494269.88677604997</v>
      </c>
      <c r="FQ19" s="45">
        <f>IF(AND(FQ$1&gt;='Assumption Sheet'!$K29,FQ$1&lt;='Assumption Sheet'!$Y29),'Assumption Sheet'!$C29,0)</f>
        <v>494269.88677604997</v>
      </c>
      <c r="FR19" s="45">
        <f>IF(AND(FR$1&gt;='Assumption Sheet'!$K29,FR$1&lt;='Assumption Sheet'!$Y29),'Assumption Sheet'!$C29,0)</f>
        <v>494269.88677604997</v>
      </c>
      <c r="FS19" s="45">
        <f>IF(AND(FS$1&gt;='Assumption Sheet'!$K29,FS$1&lt;='Assumption Sheet'!$Y29),'Assumption Sheet'!$C29,0)</f>
        <v>494269.88677604997</v>
      </c>
      <c r="FT19" s="45">
        <f>IF(AND(FT$1&gt;='Assumption Sheet'!$K29,FT$1&lt;='Assumption Sheet'!$Y29),'Assumption Sheet'!$C29,0)</f>
        <v>494269.88677604997</v>
      </c>
      <c r="FU19" s="45">
        <f>IF(AND(FU$1&gt;='Assumption Sheet'!$K29,FU$1&lt;='Assumption Sheet'!$Y29),'Assumption Sheet'!$C29,0)</f>
        <v>494269.88677604997</v>
      </c>
      <c r="FV19" s="45">
        <f>IF(AND(FV$1&gt;='Assumption Sheet'!$K29,FV$1&lt;='Assumption Sheet'!$Y29),'Assumption Sheet'!$C29,0)</f>
        <v>494269.88677604997</v>
      </c>
      <c r="FW19" s="45">
        <f>IF(AND(FW$1&gt;='Assumption Sheet'!$K29,FW$1&lt;='Assumption Sheet'!$Y29),'Assumption Sheet'!$C29,0)</f>
        <v>494269.88677604997</v>
      </c>
      <c r="FX19" s="45">
        <f>IF(AND(FX$1&gt;='Assumption Sheet'!$K29,FX$1&lt;='Assumption Sheet'!$Y29),'Assumption Sheet'!$C29,0)</f>
        <v>494269.88677604997</v>
      </c>
      <c r="FY19" s="45">
        <f>IF(AND(FY$1&gt;='Assumption Sheet'!$K29,FY$1&lt;='Assumption Sheet'!$Y29),'Assumption Sheet'!$C29,0)</f>
        <v>494269.88677604997</v>
      </c>
      <c r="FZ19" s="45">
        <f>IF(AND(FZ$1&gt;='Assumption Sheet'!$K29,FZ$1&lt;='Assumption Sheet'!$Y29),'Assumption Sheet'!$C29,0)</f>
        <v>494269.88677604997</v>
      </c>
      <c r="GA19" s="45">
        <f>IF(AND(GA$1&gt;='Assumption Sheet'!$K29,GA$1&lt;='Assumption Sheet'!$Y29),'Assumption Sheet'!$C29,0)</f>
        <v>494269.88677604997</v>
      </c>
      <c r="GB19" s="45">
        <f>IF(AND(GB$1&gt;='Assumption Sheet'!$K29,GB$1&lt;='Assumption Sheet'!$Y29),'Assumption Sheet'!$C29,0)</f>
        <v>494269.88677604997</v>
      </c>
      <c r="GC19" s="45">
        <f>IF(AND(GC$1&gt;='Assumption Sheet'!$K29,GC$1&lt;='Assumption Sheet'!$Y29),'Assumption Sheet'!$C29,0)</f>
        <v>494269.88677604997</v>
      </c>
      <c r="GD19" s="45">
        <f>IF(AND(GD$1&gt;='Assumption Sheet'!$K29,GD$1&lt;='Assumption Sheet'!$Y29),'Assumption Sheet'!$C29,0)</f>
        <v>494269.88677604997</v>
      </c>
      <c r="GE19" s="45">
        <f>IF(AND(GE$1&gt;='Assumption Sheet'!$K29,GE$1&lt;='Assumption Sheet'!$Y29),'Assumption Sheet'!$C29,0)</f>
        <v>494269.88677604997</v>
      </c>
      <c r="GF19" s="45">
        <f>IF(AND(GF$1&gt;='Assumption Sheet'!$K29,GF$1&lt;='Assumption Sheet'!$Y29),'Assumption Sheet'!$C29,0)</f>
        <v>494269.88677604997</v>
      </c>
      <c r="GG19" s="45">
        <f>IF(AND(GG$1&gt;='Assumption Sheet'!$K29,GG$1&lt;='Assumption Sheet'!$Y29),'Assumption Sheet'!$C29,0)</f>
        <v>494269.88677604997</v>
      </c>
      <c r="GH19" s="45">
        <f>IF(AND(GH$1&gt;='Assumption Sheet'!$K29,GH$1&lt;='Assumption Sheet'!$Y29),'Assumption Sheet'!$C29,0)</f>
        <v>494269.88677604997</v>
      </c>
      <c r="GI19" s="45">
        <f>IF(AND(GI$1&gt;='Assumption Sheet'!$K29,GI$1&lt;='Assumption Sheet'!$Y29),'Assumption Sheet'!$C29,0)</f>
        <v>494269.88677604997</v>
      </c>
      <c r="GJ19" s="45">
        <f>IF(AND(GJ$1&gt;='Assumption Sheet'!$K29,GJ$1&lt;='Assumption Sheet'!$Y29),'Assumption Sheet'!$C29,0)</f>
        <v>494269.88677604997</v>
      </c>
      <c r="GK19" s="45">
        <f>IF(AND(GK$1&gt;='Assumption Sheet'!$K29,GK$1&lt;='Assumption Sheet'!$Y29),'Assumption Sheet'!$C29,0)</f>
        <v>494269.88677604997</v>
      </c>
      <c r="GL19" s="45">
        <f>IF(AND(GL$1&gt;='Assumption Sheet'!$K29,GL$1&lt;='Assumption Sheet'!$Y29),'Assumption Sheet'!$C29,0)</f>
        <v>494269.88677604997</v>
      </c>
      <c r="GM19" s="45">
        <f>IF(AND(GM$1&gt;='Assumption Sheet'!$K29,GM$1&lt;='Assumption Sheet'!$Y29),'Assumption Sheet'!$C29,0)</f>
        <v>494269.88677604997</v>
      </c>
      <c r="GN19" s="45">
        <f>IF(AND(GN$1&gt;='Assumption Sheet'!$K29,GN$1&lt;='Assumption Sheet'!$Y29),'Assumption Sheet'!$C29,0)</f>
        <v>494269.88677604997</v>
      </c>
      <c r="GO19" s="45">
        <f>IF(AND(GO$1&gt;='Assumption Sheet'!$K29,GO$1&lt;='Assumption Sheet'!$Y29),'Assumption Sheet'!$C29,0)</f>
        <v>494269.88677604997</v>
      </c>
      <c r="GP19" s="45">
        <f>IF(AND(GP$1&gt;='Assumption Sheet'!$K29,GP$1&lt;='Assumption Sheet'!$Y29),'Assumption Sheet'!$C29,0)</f>
        <v>494269.88677604997</v>
      </c>
      <c r="GQ19" s="45">
        <f>IF(AND(GQ$1&gt;='Assumption Sheet'!$K29,GQ$1&lt;='Assumption Sheet'!$Y29),'Assumption Sheet'!$C29,0)</f>
        <v>494269.88677604997</v>
      </c>
      <c r="GR19" s="45">
        <f>IF(AND(GR$1&gt;='Assumption Sheet'!$K29,GR$1&lt;='Assumption Sheet'!$Y29),'Assumption Sheet'!$C29,0)</f>
        <v>494269.88677604997</v>
      </c>
      <c r="GS19" s="45">
        <f>IF(AND(GS$1&gt;='Assumption Sheet'!$K29,GS$1&lt;='Assumption Sheet'!$Y29),'Assumption Sheet'!$C29,0)</f>
        <v>494269.88677604997</v>
      </c>
      <c r="GT19" s="45">
        <f>IF(AND(GT$1&gt;='Assumption Sheet'!$K29,GT$1&lt;='Assumption Sheet'!$Y29),'Assumption Sheet'!$C29,0)</f>
        <v>494269.88677604997</v>
      </c>
      <c r="GU19" s="45">
        <f>IF(AND(GU$1&gt;='Assumption Sheet'!$K29,GU$1&lt;='Assumption Sheet'!$Y29),'Assumption Sheet'!$C29,0)</f>
        <v>494269.88677604997</v>
      </c>
      <c r="GV19" s="45">
        <f>IF(AND(GV$1&gt;='Assumption Sheet'!$K29,GV$1&lt;='Assumption Sheet'!$Y29),'Assumption Sheet'!$C29,0)</f>
        <v>494269.88677604997</v>
      </c>
      <c r="GW19" s="45">
        <f>IF(AND(GW$1&gt;='Assumption Sheet'!$K29,GW$1&lt;='Assumption Sheet'!$Y29),'Assumption Sheet'!$C29,0)</f>
        <v>494269.88677604997</v>
      </c>
      <c r="GX19" s="45">
        <f>IF(AND(GX$1&gt;='Assumption Sheet'!$K29,GX$1&lt;='Assumption Sheet'!$Y29),'Assumption Sheet'!$C29,0)</f>
        <v>494269.88677604997</v>
      </c>
      <c r="GY19" s="45">
        <f>IF(AND(GY$1&gt;='Assumption Sheet'!$K29,GY$1&lt;='Assumption Sheet'!$Y29),'Assumption Sheet'!$C29,0)</f>
        <v>494269.88677604997</v>
      </c>
      <c r="GZ19" s="45">
        <f>IF(AND(GZ$1&gt;='Assumption Sheet'!$K29,GZ$1&lt;='Assumption Sheet'!$Y29),'Assumption Sheet'!$C29,0)</f>
        <v>494269.88677604997</v>
      </c>
      <c r="HA19" s="45">
        <f>IF(AND(HA$1&gt;='Assumption Sheet'!$K29,HA$1&lt;='Assumption Sheet'!$Y29),'Assumption Sheet'!$C29,0)</f>
        <v>494269.88677604997</v>
      </c>
      <c r="HB19" s="45">
        <f>IF(AND(HB$1&gt;='Assumption Sheet'!$K29,HB$1&lt;='Assumption Sheet'!$Y29),'Assumption Sheet'!$C29,0)</f>
        <v>494269.88677604997</v>
      </c>
      <c r="HC19" s="45">
        <f>IF(AND(HC$1&gt;='Assumption Sheet'!$K29,HC$1&lt;='Assumption Sheet'!$Y29),'Assumption Sheet'!$C29,0)</f>
        <v>494269.88677604997</v>
      </c>
      <c r="HD19" s="45">
        <f>IF(AND(HD$1&gt;='Assumption Sheet'!$K29,HD$1&lt;='Assumption Sheet'!$Y29),'Assumption Sheet'!$C29,0)</f>
        <v>494269.88677604997</v>
      </c>
      <c r="HE19" s="45">
        <f>IF(AND(HE$1&gt;='Assumption Sheet'!$K29,HE$1&lt;='Assumption Sheet'!$Y29),'Assumption Sheet'!$C29,0)</f>
        <v>494269.88677604997</v>
      </c>
      <c r="HF19" s="45">
        <f>IF(AND(HF$1&gt;='Assumption Sheet'!$K29,HF$1&lt;='Assumption Sheet'!$Y29),'Assumption Sheet'!$C29,0)</f>
        <v>494269.88677604997</v>
      </c>
      <c r="HG19" s="45">
        <f>IF(AND(HG$1&gt;='Assumption Sheet'!$K29,HG$1&lt;='Assumption Sheet'!$Y29),'Assumption Sheet'!$C29,0)</f>
        <v>494269.88677604997</v>
      </c>
      <c r="HH19" s="45">
        <f>IF(AND(HH$1&gt;='Assumption Sheet'!$K29,HH$1&lt;='Assumption Sheet'!$Y29),'Assumption Sheet'!$C29,0)</f>
        <v>494269.88677604997</v>
      </c>
      <c r="HI19" s="45">
        <f>IF(AND(HI$1&gt;='Assumption Sheet'!$K29,HI$1&lt;='Assumption Sheet'!$Y29),'Assumption Sheet'!$C29,0)</f>
        <v>494269.88677604997</v>
      </c>
      <c r="HJ19" s="45">
        <f>IF(AND(HJ$1&gt;='Assumption Sheet'!$K29,HJ$1&lt;='Assumption Sheet'!$Y29),'Assumption Sheet'!$C29,0)</f>
        <v>494269.88677604997</v>
      </c>
      <c r="HK19" s="45">
        <f>IF(AND(HK$1&gt;='Assumption Sheet'!$K29,HK$1&lt;='Assumption Sheet'!$Y29),'Assumption Sheet'!$C29,0)</f>
        <v>494269.88677604997</v>
      </c>
      <c r="HL19" s="45">
        <f>IF(AND(HL$1&gt;='Assumption Sheet'!$K29,HL$1&lt;='Assumption Sheet'!$Y29),'Assumption Sheet'!$C29,0)</f>
        <v>494269.88677604997</v>
      </c>
      <c r="HM19" s="45">
        <f>IF(AND(HM$1&gt;='Assumption Sheet'!$K29,HM$1&lt;='Assumption Sheet'!$Y29),'Assumption Sheet'!$C29,0)</f>
        <v>494269.88677604997</v>
      </c>
      <c r="HN19" s="45">
        <f>IF(AND(HN$1&gt;='Assumption Sheet'!$K29,HN$1&lt;='Assumption Sheet'!$Y29),'Assumption Sheet'!$C29,0)</f>
        <v>494269.88677604997</v>
      </c>
      <c r="HO19" s="45">
        <f>IF(AND(HO$1&gt;='Assumption Sheet'!$K29,HO$1&lt;='Assumption Sheet'!$Y29),'Assumption Sheet'!$C29,0)</f>
        <v>494269.88677604997</v>
      </c>
      <c r="HP19" s="45">
        <f>IF(AND(HP$1&gt;='Assumption Sheet'!$K29,HP$1&lt;='Assumption Sheet'!$Y29),'Assumption Sheet'!$C29,0)</f>
        <v>494269.88677604997</v>
      </c>
      <c r="HQ19" s="45">
        <f>IF(AND(HQ$1&gt;='Assumption Sheet'!$K29,HQ$1&lt;='Assumption Sheet'!$Y29),'Assumption Sheet'!$C29,0)</f>
        <v>494269.88677604997</v>
      </c>
      <c r="HR19" s="45">
        <f>IF(AND(HR$1&gt;='Assumption Sheet'!$K29,HR$1&lt;='Assumption Sheet'!$Y29),'Assumption Sheet'!$C29,0)</f>
        <v>494269.88677604997</v>
      </c>
      <c r="HS19" s="45">
        <f>IF(AND(HS$1&gt;='Assumption Sheet'!$K29,HS$1&lt;='Assumption Sheet'!$Y29),'Assumption Sheet'!$C29,0)</f>
        <v>494269.88677604997</v>
      </c>
      <c r="HT19" s="45">
        <f>IF(AND(HT$1&gt;='Assumption Sheet'!$K29,HT$1&lt;='Assumption Sheet'!$Y29),'Assumption Sheet'!$C29,0)</f>
        <v>494269.88677604997</v>
      </c>
      <c r="HU19" s="45">
        <f>IF(AND(HU$1&gt;='Assumption Sheet'!$K29,HU$1&lt;='Assumption Sheet'!$Y29),'Assumption Sheet'!$C29,0)</f>
        <v>494269.88677604997</v>
      </c>
      <c r="HV19" s="45">
        <f>IF(AND(HV$1&gt;='Assumption Sheet'!$K29,HV$1&lt;='Assumption Sheet'!$Y29),'Assumption Sheet'!$C29,0)</f>
        <v>494269.88677604997</v>
      </c>
      <c r="HW19" s="45">
        <f>IF(AND(HW$1&gt;='Assumption Sheet'!$K29,HW$1&lt;='Assumption Sheet'!$Y29),'Assumption Sheet'!$C29,0)</f>
        <v>494269.88677604997</v>
      </c>
      <c r="HX19" s="45">
        <f>IF(AND(HX$1&gt;='Assumption Sheet'!$K29,HX$1&lt;='Assumption Sheet'!$Y29),'Assumption Sheet'!$C29,0)</f>
        <v>494269.88677604997</v>
      </c>
      <c r="HY19" s="45">
        <f>IF(AND(HY$1&gt;='Assumption Sheet'!$K29,HY$1&lt;='Assumption Sheet'!$Y29),'Assumption Sheet'!$C29,0)</f>
        <v>494269.88677604997</v>
      </c>
      <c r="HZ19" s="45">
        <f>IF(AND(HZ$1&gt;='Assumption Sheet'!$K29,HZ$1&lt;='Assumption Sheet'!$Y29),'Assumption Sheet'!$C29,0)</f>
        <v>494269.88677604997</v>
      </c>
      <c r="IA19" s="45">
        <f>IF(AND(IA$1&gt;='Assumption Sheet'!$K29,IA$1&lt;='Assumption Sheet'!$Y29),'Assumption Sheet'!$C29,0)</f>
        <v>494269.88677604997</v>
      </c>
      <c r="IB19" s="45">
        <f>IF(AND(IB$1&gt;='Assumption Sheet'!$K29,IB$1&lt;='Assumption Sheet'!$Y29),'Assumption Sheet'!$C29,0)</f>
        <v>494269.88677604997</v>
      </c>
      <c r="IC19" s="45">
        <f>IF(AND(IC$1&gt;='Assumption Sheet'!$K29,IC$1&lt;='Assumption Sheet'!$Y29),'Assumption Sheet'!$C29,0)</f>
        <v>494269.88677604997</v>
      </c>
      <c r="ID19" s="45">
        <f>IF(AND(ID$1&gt;='Assumption Sheet'!$K29,ID$1&lt;='Assumption Sheet'!$Y29),'Assumption Sheet'!$C29,0)</f>
        <v>494269.88677604997</v>
      </c>
      <c r="IE19" s="45">
        <f>IF(AND(IE$1&gt;='Assumption Sheet'!$K29,IE$1&lt;='Assumption Sheet'!$Y29),'Assumption Sheet'!$C29,0)</f>
        <v>494269.88677604997</v>
      </c>
      <c r="IF19" s="45">
        <f>IF(AND(IF$1&gt;='Assumption Sheet'!$K29,IF$1&lt;='Assumption Sheet'!$Y29),'Assumption Sheet'!$C29,0)</f>
        <v>494269.88677604997</v>
      </c>
      <c r="IG19" s="45">
        <f>IF(AND(IG$1&gt;='Assumption Sheet'!$K29,IG$1&lt;='Assumption Sheet'!$Y29),'Assumption Sheet'!$C29,0)</f>
        <v>494269.88677604997</v>
      </c>
      <c r="IH19" s="45">
        <f>IF(AND(IH$1&gt;='Assumption Sheet'!$K29,IH$1&lt;='Assumption Sheet'!$Y29),'Assumption Sheet'!$C29,0)</f>
        <v>494269.88677604997</v>
      </c>
      <c r="II19" s="45">
        <f>IF(AND(II$1&gt;='Assumption Sheet'!$K29,II$1&lt;='Assumption Sheet'!$Y29),'Assumption Sheet'!$C29,0)</f>
        <v>494269.88677604997</v>
      </c>
      <c r="IJ19" s="45">
        <f>IF(AND(IJ$1&gt;='Assumption Sheet'!$K29,IJ$1&lt;='Assumption Sheet'!$Y29),'Assumption Sheet'!$C29,0)</f>
        <v>494269.88677604997</v>
      </c>
      <c r="IK19" s="45">
        <f>IF(AND(IK$1&gt;='Assumption Sheet'!$K29,IK$1&lt;='Assumption Sheet'!$Y29),'Assumption Sheet'!$C29,0)</f>
        <v>494269.88677604997</v>
      </c>
      <c r="IL19" s="45">
        <f>IF(AND(IL$1&gt;='Assumption Sheet'!$K29,IL$1&lt;='Assumption Sheet'!$Y29),'Assumption Sheet'!$C29,0)</f>
        <v>494269.88677604997</v>
      </c>
      <c r="IM19" s="45">
        <f>IF(AND(IM$1&gt;='Assumption Sheet'!$K29,IM$1&lt;='Assumption Sheet'!$Y29),'Assumption Sheet'!$C29,0)</f>
        <v>494269.88677604997</v>
      </c>
      <c r="IN19" s="45">
        <f>IF(AND(IN$1&gt;='Assumption Sheet'!$K29,IN$1&lt;='Assumption Sheet'!$Y29),'Assumption Sheet'!$C29,0)</f>
        <v>494269.88677604997</v>
      </c>
      <c r="IO19" s="45">
        <f>IF(AND(IO$1&gt;='Assumption Sheet'!$K29,IO$1&lt;='Assumption Sheet'!$Y29),'Assumption Sheet'!$C29,0)</f>
        <v>494269.88677604997</v>
      </c>
      <c r="IP19" s="45">
        <f>IF(AND(IP$1&gt;='Assumption Sheet'!$K29,IP$1&lt;='Assumption Sheet'!$Y29),'Assumption Sheet'!$C29,0)</f>
        <v>494269.88677604997</v>
      </c>
      <c r="IQ19" s="45">
        <f>IF(AND(IQ$1&gt;='Assumption Sheet'!$K29,IQ$1&lt;='Assumption Sheet'!$Y29),'Assumption Sheet'!$C29,0)</f>
        <v>494269.88677604997</v>
      </c>
      <c r="IR19" s="45">
        <f>IF(AND(IR$1&gt;='Assumption Sheet'!$K29,IR$1&lt;='Assumption Sheet'!$Y29),'Assumption Sheet'!$C29,0)</f>
        <v>494269.88677604997</v>
      </c>
      <c r="IS19" s="45">
        <f>IF(AND(IS$1&gt;='Assumption Sheet'!$K29,IS$1&lt;='Assumption Sheet'!$Y29),'Assumption Sheet'!$C29,0)</f>
        <v>494269.88677604997</v>
      </c>
      <c r="IT19" s="45">
        <f>IF(AND(IT$1&gt;='Assumption Sheet'!$K29,IT$1&lt;='Assumption Sheet'!$Y29),'Assumption Sheet'!$C29,0)</f>
        <v>494269.88677604997</v>
      </c>
      <c r="IU19" s="45">
        <f>IF(AND(IU$1&gt;='Assumption Sheet'!$K29,IU$1&lt;='Assumption Sheet'!$Y29),'Assumption Sheet'!$C29,0)</f>
        <v>494269.88677604997</v>
      </c>
      <c r="IV19" s="45">
        <f>IF(AND(IV$1&gt;='Assumption Sheet'!$K29,IV$1&lt;='Assumption Sheet'!$Y29),'Assumption Sheet'!$C29,0)</f>
        <v>494269.88677604997</v>
      </c>
      <c r="IW19" s="45">
        <f>IF(AND(IW$1&gt;='Assumption Sheet'!$K29,IW$1&lt;='Assumption Sheet'!$Y29),'Assumption Sheet'!$C29,0)</f>
        <v>494269.88677604997</v>
      </c>
      <c r="IX19" s="45">
        <f>IF(AND(IX$1&gt;='Assumption Sheet'!$K29,IX$1&lt;='Assumption Sheet'!$Y29),'Assumption Sheet'!$C29,0)</f>
        <v>494269.88677604997</v>
      </c>
      <c r="IY19" s="45">
        <f>IF(AND(IY$1&gt;='Assumption Sheet'!$K29,IY$1&lt;='Assumption Sheet'!$Y29),'Assumption Sheet'!$C29,0)</f>
        <v>494269.88677604997</v>
      </c>
      <c r="IZ19" s="45">
        <f>IF(AND(IZ$1&gt;='Assumption Sheet'!$K29,IZ$1&lt;='Assumption Sheet'!$Y29),'Assumption Sheet'!$C29,0)</f>
        <v>494269.88677604997</v>
      </c>
      <c r="JA19" s="45">
        <f>IF(AND(JA$1&gt;='Assumption Sheet'!$K29,JA$1&lt;='Assumption Sheet'!$Y29),'Assumption Sheet'!$C29,0)</f>
        <v>494269.88677604997</v>
      </c>
      <c r="JB19" s="45">
        <f>IF(AND(JB$1&gt;='Assumption Sheet'!$K29,JB$1&lt;='Assumption Sheet'!$Y29),'Assumption Sheet'!$C29,0)</f>
        <v>494269.88677604997</v>
      </c>
      <c r="JC19" s="45">
        <f>IF(AND(JC$1&gt;='Assumption Sheet'!$K29,JC$1&lt;='Assumption Sheet'!$Y29),'Assumption Sheet'!$C29,0)</f>
        <v>494269.88677604997</v>
      </c>
      <c r="JD19" s="45">
        <f>IF(AND(JD$1&gt;='Assumption Sheet'!$K29,JD$1&lt;='Assumption Sheet'!$Y29),'Assumption Sheet'!$C29,0)</f>
        <v>494269.88677604997</v>
      </c>
      <c r="JE19" s="45">
        <f>IF(AND(JE$1&gt;='Assumption Sheet'!$K29,JE$1&lt;='Assumption Sheet'!$Y29),'Assumption Sheet'!$C29,0)</f>
        <v>494269.88677604997</v>
      </c>
      <c r="JF19" s="45">
        <f>IF(AND(JF$1&gt;='Assumption Sheet'!$K29,JF$1&lt;='Assumption Sheet'!$Y29),'Assumption Sheet'!$C29,0)</f>
        <v>494269.88677604997</v>
      </c>
      <c r="JG19" s="45">
        <f>IF(AND(JG$1&gt;='Assumption Sheet'!$K29,JG$1&lt;='Assumption Sheet'!$Y29),'Assumption Sheet'!$C29,0)</f>
        <v>494269.88677604997</v>
      </c>
      <c r="JH19" s="45">
        <f>IF(AND(JH$1&gt;='Assumption Sheet'!$K29,JH$1&lt;='Assumption Sheet'!$Y29),'Assumption Sheet'!$C29,0)</f>
        <v>494269.88677604997</v>
      </c>
      <c r="JI19" s="45">
        <f>IF(AND(JI$1&gt;='Assumption Sheet'!$K29,JI$1&lt;='Assumption Sheet'!$Y29),'Assumption Sheet'!$C29,0)</f>
        <v>0</v>
      </c>
      <c r="JJ19" s="45">
        <f>IF(AND(JJ$1&gt;='Assumption Sheet'!$K29,JJ$1&lt;='Assumption Sheet'!$Y29),'Assumption Sheet'!$C29,0)</f>
        <v>0</v>
      </c>
      <c r="JK19" s="45">
        <f>IF(AND(JK$1&gt;='Assumption Sheet'!$K29,JK$1&lt;='Assumption Sheet'!$Y29),'Assumption Sheet'!$C29,0)</f>
        <v>0</v>
      </c>
      <c r="JL19" s="45">
        <f>IF(AND(JL$1&gt;='Assumption Sheet'!$K29,JL$1&lt;='Assumption Sheet'!$Y29),'Assumption Sheet'!$C29,0)</f>
        <v>0</v>
      </c>
      <c r="JM19" s="45">
        <f>IF(AND(JM$1&gt;='Assumption Sheet'!$K29,JM$1&lt;='Assumption Sheet'!$Y29),'Assumption Sheet'!$C29,0)</f>
        <v>0</v>
      </c>
      <c r="JN19" s="45">
        <f>IF(AND(JN$1&gt;='Assumption Sheet'!$K29,JN$1&lt;='Assumption Sheet'!$Y29),'Assumption Sheet'!$C29,0)</f>
        <v>0</v>
      </c>
      <c r="JO19" s="45">
        <f>IF(AND(JO$1&gt;='Assumption Sheet'!$K29,JO$1&lt;='Assumption Sheet'!$Y29),'Assumption Sheet'!$C29,0)</f>
        <v>0</v>
      </c>
      <c r="JP19" s="45">
        <f>IF(AND(JP$1&gt;='Assumption Sheet'!$K29,JP$1&lt;='Assumption Sheet'!$Y29),'Assumption Sheet'!$C29,0)</f>
        <v>0</v>
      </c>
      <c r="JQ19" s="45">
        <f>IF(AND(JQ$1&gt;='Assumption Sheet'!$K29,JQ$1&lt;='Assumption Sheet'!$Y29),'Assumption Sheet'!$C29,0)</f>
        <v>0</v>
      </c>
      <c r="JR19" s="45">
        <f>IF(AND(JR$1&gt;='Assumption Sheet'!$K29,JR$1&lt;='Assumption Sheet'!$Y29),'Assumption Sheet'!$C29,0)</f>
        <v>0</v>
      </c>
      <c r="JS19" s="45">
        <f>IF(AND(JS$1&gt;='Assumption Sheet'!$K29,JS$1&lt;='Assumption Sheet'!$Y29),'Assumption Sheet'!$C29,0)</f>
        <v>0</v>
      </c>
      <c r="JT19" s="45">
        <f>IF(AND(JT$1&gt;='Assumption Sheet'!$K29,JT$1&lt;='Assumption Sheet'!$Y29),'Assumption Sheet'!$C29,0)</f>
        <v>0</v>
      </c>
      <c r="JU19" s="45">
        <f>IF(AND(JU$1&gt;='Assumption Sheet'!$K29,JU$1&lt;='Assumption Sheet'!$Y29),'Assumption Sheet'!$C29,0)</f>
        <v>0</v>
      </c>
      <c r="JV19" s="45">
        <f>IF(AND(JV$1&gt;='Assumption Sheet'!$K29,JV$1&lt;='Assumption Sheet'!$Y29),'Assumption Sheet'!$C29,0)</f>
        <v>0</v>
      </c>
      <c r="JW19" s="45">
        <f>IF(AND(JW$1&gt;='Assumption Sheet'!$K29,JW$1&lt;='Assumption Sheet'!$Y29),'Assumption Sheet'!$C29,0)</f>
        <v>0</v>
      </c>
      <c r="JX19" s="45">
        <f>IF(AND(JX$1&gt;='Assumption Sheet'!$K29,JX$1&lt;='Assumption Sheet'!$Y29),'Assumption Sheet'!$C29,0)</f>
        <v>0</v>
      </c>
      <c r="JY19" s="45">
        <f>IF(AND(JY$1&gt;='Assumption Sheet'!$K29,JY$1&lt;='Assumption Sheet'!$Y29),'Assumption Sheet'!$C29,0)</f>
        <v>0</v>
      </c>
      <c r="JZ19" s="45">
        <f>IF(AND(JZ$1&gt;='Assumption Sheet'!$K29,JZ$1&lt;='Assumption Sheet'!$Y29),'Assumption Sheet'!$C29,0)</f>
        <v>0</v>
      </c>
      <c r="KA19" s="45">
        <f>IF(AND(KA$1&gt;='Assumption Sheet'!$K29,KA$1&lt;='Assumption Sheet'!$Y29),'Assumption Sheet'!$C29,0)</f>
        <v>0</v>
      </c>
      <c r="KB19" s="45">
        <f>IF(AND(KB$1&gt;='Assumption Sheet'!$K29,KB$1&lt;='Assumption Sheet'!$Y29),'Assumption Sheet'!$C29,0)</f>
        <v>0</v>
      </c>
      <c r="KC19" s="45">
        <f>IF(AND(KC$1&gt;='Assumption Sheet'!$K29,KC$1&lt;='Assumption Sheet'!$Y29),'Assumption Sheet'!$C29,0)</f>
        <v>0</v>
      </c>
      <c r="KD19" s="45"/>
      <c r="KE19" s="45"/>
      <c r="KF19" s="45"/>
      <c r="KG19" s="45"/>
      <c r="KH19" s="45"/>
      <c r="KI19" s="45"/>
      <c r="KJ19" s="45"/>
      <c r="KK19" s="45"/>
      <c r="KL19" s="45"/>
      <c r="KM19" s="45"/>
      <c r="KN19" s="45"/>
      <c r="KO19" s="45"/>
    </row>
    <row r="20" spans="1:301" x14ac:dyDescent="0.3">
      <c r="B20" s="1" t="str">
        <f>B11</f>
        <v>Phase 3</v>
      </c>
      <c r="E20" s="45">
        <f>IF(AND(E$1&gt;='Assumption Sheet'!$K30,E$1&lt;='Assumption Sheet'!$Y30),'Assumption Sheet'!$C30,0)</f>
        <v>0</v>
      </c>
      <c r="F20" s="45">
        <f>IF(AND(F$1&gt;='Assumption Sheet'!$K30,F$1&lt;='Assumption Sheet'!$Y30),'Assumption Sheet'!$C30,0)</f>
        <v>0</v>
      </c>
      <c r="G20" s="45">
        <f>IF(AND(G$1&gt;='Assumption Sheet'!$K30,G$1&lt;='Assumption Sheet'!$Y30),'Assumption Sheet'!$C30,0)</f>
        <v>0</v>
      </c>
      <c r="H20" s="45">
        <f>IF(AND(H$1&gt;='Assumption Sheet'!$K30,H$1&lt;='Assumption Sheet'!$Y30),'Assumption Sheet'!$C30,0)</f>
        <v>0</v>
      </c>
      <c r="I20" s="45">
        <f>IF(AND(I$1&gt;='Assumption Sheet'!$K30,I$1&lt;='Assumption Sheet'!$Y30),'Assumption Sheet'!$C30,0)</f>
        <v>0</v>
      </c>
      <c r="J20" s="45">
        <f>IF(AND(J$1&gt;='Assumption Sheet'!$K30,J$1&lt;='Assumption Sheet'!$Y30),'Assumption Sheet'!$C30,0)</f>
        <v>0</v>
      </c>
      <c r="K20" s="45">
        <f>IF(AND(K$1&gt;='Assumption Sheet'!$K30,K$1&lt;='Assumption Sheet'!$Y30),'Assumption Sheet'!$C30,0)</f>
        <v>0</v>
      </c>
      <c r="L20" s="45">
        <f>IF(AND(L$1&gt;='Assumption Sheet'!$K30,L$1&lt;='Assumption Sheet'!$Y30),'Assumption Sheet'!$C30,0)</f>
        <v>0</v>
      </c>
      <c r="M20" s="45">
        <f>IF(AND(M$1&gt;='Assumption Sheet'!$K30,M$1&lt;='Assumption Sheet'!$Y30),'Assumption Sheet'!$C30,0)</f>
        <v>0</v>
      </c>
      <c r="N20" s="45">
        <f>IF(AND(N$1&gt;='Assumption Sheet'!$K30,N$1&lt;='Assumption Sheet'!$Y30),'Assumption Sheet'!$C30,0)</f>
        <v>0</v>
      </c>
      <c r="O20" s="45">
        <f>IF(AND(O$1&gt;='Assumption Sheet'!$K30,O$1&lt;='Assumption Sheet'!$Y30),'Assumption Sheet'!$C30,0)</f>
        <v>0</v>
      </c>
      <c r="P20" s="45">
        <f>IF(AND(P$1&gt;='Assumption Sheet'!$K30,P$1&lt;='Assumption Sheet'!$Y30),'Assumption Sheet'!$C30,0)</f>
        <v>0</v>
      </c>
      <c r="Q20" s="45">
        <f>IF(AND(Q$1&gt;='Assumption Sheet'!$K30,Q$1&lt;='Assumption Sheet'!$Y30),'Assumption Sheet'!$C30,0)</f>
        <v>0</v>
      </c>
      <c r="R20" s="45">
        <f>IF(AND(R$1&gt;='Assumption Sheet'!$K30,R$1&lt;='Assumption Sheet'!$Y30),'Assumption Sheet'!$C30,0)</f>
        <v>0</v>
      </c>
      <c r="S20" s="45">
        <f>IF(AND(S$1&gt;='Assumption Sheet'!$K30,S$1&lt;='Assumption Sheet'!$Y30),'Assumption Sheet'!$C30,0)</f>
        <v>0</v>
      </c>
      <c r="T20" s="45">
        <f>IF(AND(T$1&gt;='Assumption Sheet'!$K30,T$1&lt;='Assumption Sheet'!$Y30),'Assumption Sheet'!$C30,0)</f>
        <v>0</v>
      </c>
      <c r="U20" s="45">
        <f>IF(AND(U$1&gt;='Assumption Sheet'!$K30,U$1&lt;='Assumption Sheet'!$Y30),'Assumption Sheet'!$C30,0)</f>
        <v>0</v>
      </c>
      <c r="V20" s="45">
        <f>IF(AND(V$1&gt;='Assumption Sheet'!$K30,V$1&lt;='Assumption Sheet'!$Y30),'Assumption Sheet'!$C30,0)</f>
        <v>0</v>
      </c>
      <c r="W20" s="45">
        <f>IF(AND(W$1&gt;='Assumption Sheet'!$K30,W$1&lt;='Assumption Sheet'!$Y30),'Assumption Sheet'!$C30,0)</f>
        <v>0</v>
      </c>
      <c r="X20" s="45">
        <f>IF(AND(X$1&gt;='Assumption Sheet'!$K30,X$1&lt;='Assumption Sheet'!$Y30),'Assumption Sheet'!$C30,0)</f>
        <v>0</v>
      </c>
      <c r="Y20" s="45">
        <f>IF(AND(Y$1&gt;='Assumption Sheet'!$K30,Y$1&lt;='Assumption Sheet'!$Y30),'Assumption Sheet'!$C30,0)</f>
        <v>0</v>
      </c>
      <c r="Z20" s="45">
        <f>IF(AND(Z$1&gt;='Assumption Sheet'!$K30,Z$1&lt;='Assumption Sheet'!$Y30),'Assumption Sheet'!$C30,0)</f>
        <v>0</v>
      </c>
      <c r="AA20" s="45">
        <f>IF(AND(AA$1&gt;='Assumption Sheet'!$K30,AA$1&lt;='Assumption Sheet'!$Y30),'Assumption Sheet'!$C30,0)</f>
        <v>0</v>
      </c>
      <c r="AB20" s="45">
        <f>IF(AND(AB$1&gt;='Assumption Sheet'!$K30,AB$1&lt;='Assumption Sheet'!$Y30),'Assumption Sheet'!$C30,0)</f>
        <v>0</v>
      </c>
      <c r="AC20" s="45">
        <f>IF(AND(AC$1&gt;='Assumption Sheet'!$K30,AC$1&lt;='Assumption Sheet'!$Y30),'Assumption Sheet'!$C30,0)</f>
        <v>0</v>
      </c>
      <c r="AD20" s="45">
        <f>IF(AND(AD$1&gt;='Assumption Sheet'!$K30,AD$1&lt;='Assumption Sheet'!$Y30),'Assumption Sheet'!$C30,0)</f>
        <v>0</v>
      </c>
      <c r="AE20" s="45">
        <f>IF(AND(AE$1&gt;='Assumption Sheet'!$K30,AE$1&lt;='Assumption Sheet'!$Y30),'Assumption Sheet'!$C30,0)</f>
        <v>0</v>
      </c>
      <c r="AF20" s="45">
        <f>IF(AND(AF$1&gt;='Assumption Sheet'!$K30,AF$1&lt;='Assumption Sheet'!$Y30),'Assumption Sheet'!$C30,0)</f>
        <v>0</v>
      </c>
      <c r="AG20" s="45">
        <f>IF(AND(AG$1&gt;='Assumption Sheet'!$K30,AG$1&lt;='Assumption Sheet'!$Y30),'Assumption Sheet'!$C30,0)</f>
        <v>0</v>
      </c>
      <c r="AH20" s="45">
        <f>IF(AND(AH$1&gt;='Assumption Sheet'!$K30,AH$1&lt;='Assumption Sheet'!$Y30),'Assumption Sheet'!$C30,0)</f>
        <v>0</v>
      </c>
      <c r="AI20" s="45">
        <f>IF(AND(AI$1&gt;='Assumption Sheet'!$K30,AI$1&lt;='Assumption Sheet'!$Y30),'Assumption Sheet'!$C30,0)</f>
        <v>0</v>
      </c>
      <c r="AJ20" s="45">
        <f>IF(AND(AJ$1&gt;='Assumption Sheet'!$K30,AJ$1&lt;='Assumption Sheet'!$Y30),'Assumption Sheet'!$C30,0)</f>
        <v>0</v>
      </c>
      <c r="AK20" s="45">
        <f>IF(AND(AK$1&gt;='Assumption Sheet'!$K30,AK$1&lt;='Assumption Sheet'!$Y30),'Assumption Sheet'!$C30,0)</f>
        <v>0</v>
      </c>
      <c r="AL20" s="45">
        <f>IF(AND(AL$1&gt;='Assumption Sheet'!$K30,AL$1&lt;='Assumption Sheet'!$Y30),'Assumption Sheet'!$C30,0)</f>
        <v>0</v>
      </c>
      <c r="AM20" s="45">
        <f>IF(AND(AM$1&gt;='Assumption Sheet'!$K30,AM$1&lt;='Assumption Sheet'!$Y30),'Assumption Sheet'!$C30,0)</f>
        <v>0</v>
      </c>
      <c r="AN20" s="45">
        <f>IF(AND(AN$1&gt;='Assumption Sheet'!$K30,AN$1&lt;='Assumption Sheet'!$Y30),'Assumption Sheet'!$C30,0)</f>
        <v>0</v>
      </c>
      <c r="AO20" s="45">
        <f>IF(AND(AO$1&gt;='Assumption Sheet'!$K30,AO$1&lt;='Assumption Sheet'!$Y30),'Assumption Sheet'!$C30,0)</f>
        <v>0</v>
      </c>
      <c r="AP20" s="45">
        <f>IF(AND(AP$1&gt;='Assumption Sheet'!$K30,AP$1&lt;='Assumption Sheet'!$Y30),'Assumption Sheet'!$C30,0)</f>
        <v>0</v>
      </c>
      <c r="AQ20" s="45">
        <f>IF(AND(AQ$1&gt;='Assumption Sheet'!$K30,AQ$1&lt;='Assumption Sheet'!$Y30),'Assumption Sheet'!$C30,0)</f>
        <v>0</v>
      </c>
      <c r="AR20" s="45">
        <f>IF(AND(AR$1&gt;='Assumption Sheet'!$K30,AR$1&lt;='Assumption Sheet'!$Y30),'Assumption Sheet'!$C30,0)</f>
        <v>206036.2876824</v>
      </c>
      <c r="AS20" s="45">
        <f>IF(AND(AS$1&gt;='Assumption Sheet'!$K30,AS$1&lt;='Assumption Sheet'!$Y30),'Assumption Sheet'!$C30,0)</f>
        <v>206036.2876824</v>
      </c>
      <c r="AT20" s="45">
        <f>IF(AND(AT$1&gt;='Assumption Sheet'!$K30,AT$1&lt;='Assumption Sheet'!$Y30),'Assumption Sheet'!$C30,0)</f>
        <v>206036.2876824</v>
      </c>
      <c r="AU20" s="45">
        <f>IF(AND(AU$1&gt;='Assumption Sheet'!$K30,AU$1&lt;='Assumption Sheet'!$Y30),'Assumption Sheet'!$C30,0)</f>
        <v>206036.2876824</v>
      </c>
      <c r="AV20" s="45">
        <f>IF(AND(AV$1&gt;='Assumption Sheet'!$K30,AV$1&lt;='Assumption Sheet'!$Y30),'Assumption Sheet'!$C30,0)</f>
        <v>206036.2876824</v>
      </c>
      <c r="AW20" s="45">
        <f>IF(AND(AW$1&gt;='Assumption Sheet'!$K30,AW$1&lt;='Assumption Sheet'!$Y30),'Assumption Sheet'!$C30,0)</f>
        <v>206036.2876824</v>
      </c>
      <c r="AX20" s="45">
        <f>IF(AND(AX$1&gt;='Assumption Sheet'!$K30,AX$1&lt;='Assumption Sheet'!$Y30),'Assumption Sheet'!$C30,0)</f>
        <v>206036.2876824</v>
      </c>
      <c r="AY20" s="45">
        <f>IF(AND(AY$1&gt;='Assumption Sheet'!$K30,AY$1&lt;='Assumption Sheet'!$Y30),'Assumption Sheet'!$C30,0)</f>
        <v>206036.2876824</v>
      </c>
      <c r="AZ20" s="45">
        <f>IF(AND(AZ$1&gt;='Assumption Sheet'!$K30,AZ$1&lt;='Assumption Sheet'!$Y30),'Assumption Sheet'!$C30,0)</f>
        <v>206036.2876824</v>
      </c>
      <c r="BA20" s="45">
        <f>IF(AND(BA$1&gt;='Assumption Sheet'!$K30,BA$1&lt;='Assumption Sheet'!$Y30),'Assumption Sheet'!$C30,0)</f>
        <v>206036.2876824</v>
      </c>
      <c r="BB20" s="45">
        <f>IF(AND(BB$1&gt;='Assumption Sheet'!$K30,BB$1&lt;='Assumption Sheet'!$Y30),'Assumption Sheet'!$C30,0)</f>
        <v>206036.2876824</v>
      </c>
      <c r="BC20" s="45">
        <f>IF(AND(BC$1&gt;='Assumption Sheet'!$K30,BC$1&lt;='Assumption Sheet'!$Y30),'Assumption Sheet'!$C30,0)</f>
        <v>206036.2876824</v>
      </c>
      <c r="BD20" s="45">
        <f>IF(AND(BD$1&gt;='Assumption Sheet'!$K30,BD$1&lt;='Assumption Sheet'!$Y30),'Assumption Sheet'!$C30,0)</f>
        <v>206036.2876824</v>
      </c>
      <c r="BE20" s="45">
        <f>IF(AND(BE$1&gt;='Assumption Sheet'!$K30,BE$1&lt;='Assumption Sheet'!$Y30),'Assumption Sheet'!$C30,0)</f>
        <v>206036.2876824</v>
      </c>
      <c r="BF20" s="45">
        <f>IF(AND(BF$1&gt;='Assumption Sheet'!$K30,BF$1&lt;='Assumption Sheet'!$Y30),'Assumption Sheet'!$C30,0)</f>
        <v>206036.2876824</v>
      </c>
      <c r="BG20" s="45">
        <f>IF(AND(BG$1&gt;='Assumption Sheet'!$K30,BG$1&lt;='Assumption Sheet'!$Y30),'Assumption Sheet'!$C30,0)</f>
        <v>206036.2876824</v>
      </c>
      <c r="BH20" s="45">
        <f>IF(AND(BH$1&gt;='Assumption Sheet'!$K30,BH$1&lt;='Assumption Sheet'!$Y30),'Assumption Sheet'!$C30,0)</f>
        <v>206036.2876824</v>
      </c>
      <c r="BI20" s="45">
        <f>IF(AND(BI$1&gt;='Assumption Sheet'!$K30,BI$1&lt;='Assumption Sheet'!$Y30),'Assumption Sheet'!$C30,0)</f>
        <v>206036.2876824</v>
      </c>
      <c r="BJ20" s="45">
        <f>IF(AND(BJ$1&gt;='Assumption Sheet'!$K30,BJ$1&lt;='Assumption Sheet'!$Y30),'Assumption Sheet'!$C30,0)</f>
        <v>206036.2876824</v>
      </c>
      <c r="BK20" s="45">
        <f>IF(AND(BK$1&gt;='Assumption Sheet'!$K30,BK$1&lt;='Assumption Sheet'!$Y30),'Assumption Sheet'!$C30,0)</f>
        <v>206036.2876824</v>
      </c>
      <c r="BL20" s="45">
        <f>IF(AND(BL$1&gt;='Assumption Sheet'!$K30,BL$1&lt;='Assumption Sheet'!$Y30),'Assumption Sheet'!$C30,0)</f>
        <v>206036.2876824</v>
      </c>
      <c r="BM20" s="45">
        <f>IF(AND(BM$1&gt;='Assumption Sheet'!$K30,BM$1&lt;='Assumption Sheet'!$Y30),'Assumption Sheet'!$C30,0)</f>
        <v>206036.2876824</v>
      </c>
      <c r="BN20" s="45">
        <f>IF(AND(BN$1&gt;='Assumption Sheet'!$K30,BN$1&lt;='Assumption Sheet'!$Y30),'Assumption Sheet'!$C30,0)</f>
        <v>206036.2876824</v>
      </c>
      <c r="BO20" s="45">
        <f>IF(AND(BO$1&gt;='Assumption Sheet'!$K30,BO$1&lt;='Assumption Sheet'!$Y30),'Assumption Sheet'!$C30,0)</f>
        <v>206036.2876824</v>
      </c>
      <c r="BP20" s="45">
        <f>IF(AND(BP$1&gt;='Assumption Sheet'!$K30,BP$1&lt;='Assumption Sheet'!$Y30),'Assumption Sheet'!$C30,0)</f>
        <v>206036.2876824</v>
      </c>
      <c r="BQ20" s="45">
        <f>IF(AND(BQ$1&gt;='Assumption Sheet'!$K30,BQ$1&lt;='Assumption Sheet'!$Y30),'Assumption Sheet'!$C30,0)</f>
        <v>206036.2876824</v>
      </c>
      <c r="BR20" s="45">
        <f>IF(AND(BR$1&gt;='Assumption Sheet'!$K30,BR$1&lt;='Assumption Sheet'!$Y30),'Assumption Sheet'!$C30,0)</f>
        <v>206036.2876824</v>
      </c>
      <c r="BS20" s="45">
        <f>IF(AND(BS$1&gt;='Assumption Sheet'!$K30,BS$1&lt;='Assumption Sheet'!$Y30),'Assumption Sheet'!$C30,0)</f>
        <v>206036.2876824</v>
      </c>
      <c r="BT20" s="45">
        <f>IF(AND(BT$1&gt;='Assumption Sheet'!$K30,BT$1&lt;='Assumption Sheet'!$Y30),'Assumption Sheet'!$C30,0)</f>
        <v>206036.2876824</v>
      </c>
      <c r="BU20" s="45">
        <f>IF(AND(BU$1&gt;='Assumption Sheet'!$K30,BU$1&lt;='Assumption Sheet'!$Y30),'Assumption Sheet'!$C30,0)</f>
        <v>206036.2876824</v>
      </c>
      <c r="BV20" s="45">
        <f>IF(AND(BV$1&gt;='Assumption Sheet'!$K30,BV$1&lt;='Assumption Sheet'!$Y30),'Assumption Sheet'!$C30,0)</f>
        <v>206036.2876824</v>
      </c>
      <c r="BW20" s="45">
        <f>IF(AND(BW$1&gt;='Assumption Sheet'!$K30,BW$1&lt;='Assumption Sheet'!$Y30),'Assumption Sheet'!$C30,0)</f>
        <v>206036.2876824</v>
      </c>
      <c r="BX20" s="45">
        <f>IF(AND(BX$1&gt;='Assumption Sheet'!$K30,BX$1&lt;='Assumption Sheet'!$Y30),'Assumption Sheet'!$C30,0)</f>
        <v>206036.2876824</v>
      </c>
      <c r="BY20" s="45">
        <f>IF(AND(BY$1&gt;='Assumption Sheet'!$K30,BY$1&lt;='Assumption Sheet'!$Y30),'Assumption Sheet'!$C30,0)</f>
        <v>206036.2876824</v>
      </c>
      <c r="BZ20" s="45">
        <f>IF(AND(BZ$1&gt;='Assumption Sheet'!$K30,BZ$1&lt;='Assumption Sheet'!$Y30),'Assumption Sheet'!$C30,0)</f>
        <v>206036.2876824</v>
      </c>
      <c r="CA20" s="45">
        <f>IF(AND(CA$1&gt;='Assumption Sheet'!$K30,CA$1&lt;='Assumption Sheet'!$Y30),'Assumption Sheet'!$C30,0)</f>
        <v>206036.2876824</v>
      </c>
      <c r="CB20" s="45">
        <f>IF(AND(CB$1&gt;='Assumption Sheet'!$K30,CB$1&lt;='Assumption Sheet'!$Y30),'Assumption Sheet'!$C30,0)</f>
        <v>206036.2876824</v>
      </c>
      <c r="CC20" s="45">
        <f>IF(AND(CC$1&gt;='Assumption Sheet'!$K30,CC$1&lt;='Assumption Sheet'!$Y30),'Assumption Sheet'!$C30,0)</f>
        <v>206036.2876824</v>
      </c>
      <c r="CD20" s="45">
        <f>IF(AND(CD$1&gt;='Assumption Sheet'!$K30,CD$1&lt;='Assumption Sheet'!$Y30),'Assumption Sheet'!$C30,0)</f>
        <v>206036.2876824</v>
      </c>
      <c r="CE20" s="45">
        <f>IF(AND(CE$1&gt;='Assumption Sheet'!$K30,CE$1&lt;='Assumption Sheet'!$Y30),'Assumption Sheet'!$C30,0)</f>
        <v>206036.2876824</v>
      </c>
      <c r="CF20" s="45">
        <f>IF(AND(CF$1&gt;='Assumption Sheet'!$K30,CF$1&lt;='Assumption Sheet'!$Y30),'Assumption Sheet'!$C30,0)</f>
        <v>206036.2876824</v>
      </c>
      <c r="CG20" s="45">
        <f>IF(AND(CG$1&gt;='Assumption Sheet'!$K30,CG$1&lt;='Assumption Sheet'!$Y30),'Assumption Sheet'!$C30,0)</f>
        <v>206036.2876824</v>
      </c>
      <c r="CH20" s="45">
        <f>IF(AND(CH$1&gt;='Assumption Sheet'!$K30,CH$1&lt;='Assumption Sheet'!$Y30),'Assumption Sheet'!$C30,0)</f>
        <v>206036.2876824</v>
      </c>
      <c r="CI20" s="45">
        <f>IF(AND(CI$1&gt;='Assumption Sheet'!$K30,CI$1&lt;='Assumption Sheet'!$Y30),'Assumption Sheet'!$C30,0)</f>
        <v>206036.2876824</v>
      </c>
      <c r="CJ20" s="45">
        <f>IF(AND(CJ$1&gt;='Assumption Sheet'!$K30,CJ$1&lt;='Assumption Sheet'!$Y30),'Assumption Sheet'!$C30,0)</f>
        <v>206036.2876824</v>
      </c>
      <c r="CK20" s="45">
        <f>IF(AND(CK$1&gt;='Assumption Sheet'!$K30,CK$1&lt;='Assumption Sheet'!$Y30),'Assumption Sheet'!$C30,0)</f>
        <v>206036.2876824</v>
      </c>
      <c r="CL20" s="45">
        <f>IF(AND(CL$1&gt;='Assumption Sheet'!$K30,CL$1&lt;='Assumption Sheet'!$Y30),'Assumption Sheet'!$C30,0)</f>
        <v>206036.2876824</v>
      </c>
      <c r="CM20" s="45">
        <f>IF(AND(CM$1&gt;='Assumption Sheet'!$K30,CM$1&lt;='Assumption Sheet'!$Y30),'Assumption Sheet'!$C30,0)</f>
        <v>206036.2876824</v>
      </c>
      <c r="CN20" s="45">
        <f>IF(AND(CN$1&gt;='Assumption Sheet'!$K30,CN$1&lt;='Assumption Sheet'!$Y30),'Assumption Sheet'!$C30,0)</f>
        <v>206036.2876824</v>
      </c>
      <c r="CO20" s="45">
        <f>IF(AND(CO$1&gt;='Assumption Sheet'!$K30,CO$1&lt;='Assumption Sheet'!$Y30),'Assumption Sheet'!$C30,0)</f>
        <v>206036.2876824</v>
      </c>
      <c r="CP20" s="45">
        <f>IF(AND(CP$1&gt;='Assumption Sheet'!$K30,CP$1&lt;='Assumption Sheet'!$Y30),'Assumption Sheet'!$C30,0)</f>
        <v>206036.2876824</v>
      </c>
      <c r="CQ20" s="45">
        <f>IF(AND(CQ$1&gt;='Assumption Sheet'!$K30,CQ$1&lt;='Assumption Sheet'!$Y30),'Assumption Sheet'!$C30,0)</f>
        <v>206036.2876824</v>
      </c>
      <c r="CR20" s="45">
        <f>IF(AND(CR$1&gt;='Assumption Sheet'!$K30,CR$1&lt;='Assumption Sheet'!$Y30),'Assumption Sheet'!$C30,0)</f>
        <v>206036.2876824</v>
      </c>
      <c r="CS20" s="45">
        <f>IF(AND(CS$1&gt;='Assumption Sheet'!$K30,CS$1&lt;='Assumption Sheet'!$Y30),'Assumption Sheet'!$C30,0)</f>
        <v>206036.2876824</v>
      </c>
      <c r="CT20" s="45">
        <f>IF(AND(CT$1&gt;='Assumption Sheet'!$K30,CT$1&lt;='Assumption Sheet'!$Y30),'Assumption Sheet'!$C30,0)</f>
        <v>206036.2876824</v>
      </c>
      <c r="CU20" s="45">
        <f>IF(AND(CU$1&gt;='Assumption Sheet'!$K30,CU$1&lt;='Assumption Sheet'!$Y30),'Assumption Sheet'!$C30,0)</f>
        <v>206036.2876824</v>
      </c>
      <c r="CV20" s="45">
        <f>IF(AND(CV$1&gt;='Assumption Sheet'!$K30,CV$1&lt;='Assumption Sheet'!$Y30),'Assumption Sheet'!$C30,0)</f>
        <v>206036.2876824</v>
      </c>
      <c r="CW20" s="45">
        <f>IF(AND(CW$1&gt;='Assumption Sheet'!$K30,CW$1&lt;='Assumption Sheet'!$Y30),'Assumption Sheet'!$C30,0)</f>
        <v>206036.2876824</v>
      </c>
      <c r="CX20" s="45">
        <f>IF(AND(CX$1&gt;='Assumption Sheet'!$K30,CX$1&lt;='Assumption Sheet'!$Y30),'Assumption Sheet'!$C30,0)</f>
        <v>206036.2876824</v>
      </c>
      <c r="CY20" s="45">
        <f>IF(AND(CY$1&gt;='Assumption Sheet'!$K30,CY$1&lt;='Assumption Sheet'!$Y30),'Assumption Sheet'!$C30,0)</f>
        <v>206036.2876824</v>
      </c>
      <c r="CZ20" s="45">
        <f>IF(AND(CZ$1&gt;='Assumption Sheet'!$K30,CZ$1&lt;='Assumption Sheet'!$Y30),'Assumption Sheet'!$C30,0)</f>
        <v>206036.2876824</v>
      </c>
      <c r="DA20" s="45">
        <f>IF(AND(DA$1&gt;='Assumption Sheet'!$K30,DA$1&lt;='Assumption Sheet'!$Y30),'Assumption Sheet'!$C30,0)</f>
        <v>206036.2876824</v>
      </c>
      <c r="DB20" s="45">
        <f>IF(AND(DB$1&gt;='Assumption Sheet'!$K30,DB$1&lt;='Assumption Sheet'!$Y30),'Assumption Sheet'!$C30,0)</f>
        <v>206036.2876824</v>
      </c>
      <c r="DC20" s="45">
        <f>IF(AND(DC$1&gt;='Assumption Sheet'!$K30,DC$1&lt;='Assumption Sheet'!$Y30),'Assumption Sheet'!$C30,0)</f>
        <v>206036.2876824</v>
      </c>
      <c r="DD20" s="45">
        <f>IF(AND(DD$1&gt;='Assumption Sheet'!$K30,DD$1&lt;='Assumption Sheet'!$Y30),'Assumption Sheet'!$C30,0)</f>
        <v>206036.2876824</v>
      </c>
      <c r="DE20" s="45">
        <f>IF(AND(DE$1&gt;='Assumption Sheet'!$K30,DE$1&lt;='Assumption Sheet'!$Y30),'Assumption Sheet'!$C30,0)</f>
        <v>206036.2876824</v>
      </c>
      <c r="DF20" s="45">
        <f>IF(AND(DF$1&gt;='Assumption Sheet'!$K30,DF$1&lt;='Assumption Sheet'!$Y30),'Assumption Sheet'!$C30,0)</f>
        <v>206036.2876824</v>
      </c>
      <c r="DG20" s="45">
        <f>IF(AND(DG$1&gt;='Assumption Sheet'!$K30,DG$1&lt;='Assumption Sheet'!$Y30),'Assumption Sheet'!$C30,0)</f>
        <v>206036.2876824</v>
      </c>
      <c r="DH20" s="45">
        <f>IF(AND(DH$1&gt;='Assumption Sheet'!$K30,DH$1&lt;='Assumption Sheet'!$Y30),'Assumption Sheet'!$C30,0)</f>
        <v>206036.2876824</v>
      </c>
      <c r="DI20" s="45">
        <f>IF(AND(DI$1&gt;='Assumption Sheet'!$K30,DI$1&lt;='Assumption Sheet'!$Y30),'Assumption Sheet'!$C30,0)</f>
        <v>206036.2876824</v>
      </c>
      <c r="DJ20" s="45">
        <f>IF(AND(DJ$1&gt;='Assumption Sheet'!$K30,DJ$1&lt;='Assumption Sheet'!$Y30),'Assumption Sheet'!$C30,0)</f>
        <v>206036.2876824</v>
      </c>
      <c r="DK20" s="45">
        <f>IF(AND(DK$1&gt;='Assumption Sheet'!$K30,DK$1&lt;='Assumption Sheet'!$Y30),'Assumption Sheet'!$C30,0)</f>
        <v>206036.2876824</v>
      </c>
      <c r="DL20" s="45">
        <f>IF(AND(DL$1&gt;='Assumption Sheet'!$K30,DL$1&lt;='Assumption Sheet'!$Y30),'Assumption Sheet'!$C30,0)</f>
        <v>206036.2876824</v>
      </c>
      <c r="DM20" s="45">
        <f>IF(AND(DM$1&gt;='Assumption Sheet'!$K30,DM$1&lt;='Assumption Sheet'!$Y30),'Assumption Sheet'!$C30,0)</f>
        <v>206036.2876824</v>
      </c>
      <c r="DN20" s="45">
        <f>IF(AND(DN$1&gt;='Assumption Sheet'!$K30,DN$1&lt;='Assumption Sheet'!$Y30),'Assumption Sheet'!$C30,0)</f>
        <v>206036.2876824</v>
      </c>
      <c r="DO20" s="45">
        <f>IF(AND(DO$1&gt;='Assumption Sheet'!$K30,DO$1&lt;='Assumption Sheet'!$Y30),'Assumption Sheet'!$C30,0)</f>
        <v>206036.2876824</v>
      </c>
      <c r="DP20" s="45">
        <f>IF(AND(DP$1&gt;='Assumption Sheet'!$K30,DP$1&lt;='Assumption Sheet'!$Y30),'Assumption Sheet'!$C30,0)</f>
        <v>206036.2876824</v>
      </c>
      <c r="DQ20" s="45">
        <f>IF(AND(DQ$1&gt;='Assumption Sheet'!$K30,DQ$1&lt;='Assumption Sheet'!$Y30),'Assumption Sheet'!$C30,0)</f>
        <v>206036.2876824</v>
      </c>
      <c r="DR20" s="45">
        <f>IF(AND(DR$1&gt;='Assumption Sheet'!$K30,DR$1&lt;='Assumption Sheet'!$Y30),'Assumption Sheet'!$C30,0)</f>
        <v>206036.2876824</v>
      </c>
      <c r="DS20" s="45">
        <f>IF(AND(DS$1&gt;='Assumption Sheet'!$K30,DS$1&lt;='Assumption Sheet'!$Y30),'Assumption Sheet'!$C30,0)</f>
        <v>206036.2876824</v>
      </c>
      <c r="DT20" s="45">
        <f>IF(AND(DT$1&gt;='Assumption Sheet'!$K30,DT$1&lt;='Assumption Sheet'!$Y30),'Assumption Sheet'!$C30,0)</f>
        <v>206036.2876824</v>
      </c>
      <c r="DU20" s="45">
        <f>IF(AND(DU$1&gt;='Assumption Sheet'!$K30,DU$1&lt;='Assumption Sheet'!$Y30),'Assumption Sheet'!$C30,0)</f>
        <v>206036.2876824</v>
      </c>
      <c r="DV20" s="45">
        <f>IF(AND(DV$1&gt;='Assumption Sheet'!$K30,DV$1&lt;='Assumption Sheet'!$Y30),'Assumption Sheet'!$C30,0)</f>
        <v>206036.2876824</v>
      </c>
      <c r="DW20" s="45">
        <f>IF(AND(DW$1&gt;='Assumption Sheet'!$K30,DW$1&lt;='Assumption Sheet'!$Y30),'Assumption Sheet'!$C30,0)</f>
        <v>206036.2876824</v>
      </c>
      <c r="DX20" s="45">
        <f>IF(AND(DX$1&gt;='Assumption Sheet'!$K30,DX$1&lt;='Assumption Sheet'!$Y30),'Assumption Sheet'!$C30,0)</f>
        <v>206036.2876824</v>
      </c>
      <c r="DY20" s="45">
        <f>IF(AND(DY$1&gt;='Assumption Sheet'!$K30,DY$1&lt;='Assumption Sheet'!$Y30),'Assumption Sheet'!$C30,0)</f>
        <v>206036.2876824</v>
      </c>
      <c r="DZ20" s="45">
        <f>IF(AND(DZ$1&gt;='Assumption Sheet'!$K30,DZ$1&lt;='Assumption Sheet'!$Y30),'Assumption Sheet'!$C30,0)</f>
        <v>206036.2876824</v>
      </c>
      <c r="EA20" s="45">
        <f>IF(AND(EA$1&gt;='Assumption Sheet'!$K30,EA$1&lt;='Assumption Sheet'!$Y30),'Assumption Sheet'!$C30,0)</f>
        <v>206036.2876824</v>
      </c>
      <c r="EB20" s="45">
        <f>IF(AND(EB$1&gt;='Assumption Sheet'!$K30,EB$1&lt;='Assumption Sheet'!$Y30),'Assumption Sheet'!$C30,0)</f>
        <v>206036.2876824</v>
      </c>
      <c r="EC20" s="45">
        <f>IF(AND(EC$1&gt;='Assumption Sheet'!$K30,EC$1&lt;='Assumption Sheet'!$Y30),'Assumption Sheet'!$C30,0)</f>
        <v>206036.2876824</v>
      </c>
      <c r="ED20" s="45">
        <f>IF(AND(ED$1&gt;='Assumption Sheet'!$K30,ED$1&lt;='Assumption Sheet'!$Y30),'Assumption Sheet'!$C30,0)</f>
        <v>206036.2876824</v>
      </c>
      <c r="EE20" s="45">
        <f>IF(AND(EE$1&gt;='Assumption Sheet'!$K30,EE$1&lt;='Assumption Sheet'!$Y30),'Assumption Sheet'!$C30,0)</f>
        <v>206036.2876824</v>
      </c>
      <c r="EF20" s="45">
        <f>IF(AND(EF$1&gt;='Assumption Sheet'!$K30,EF$1&lt;='Assumption Sheet'!$Y30),'Assumption Sheet'!$C30,0)</f>
        <v>206036.2876824</v>
      </c>
      <c r="EG20" s="45">
        <f>IF(AND(EG$1&gt;='Assumption Sheet'!$K30,EG$1&lt;='Assumption Sheet'!$Y30),'Assumption Sheet'!$C30,0)</f>
        <v>206036.2876824</v>
      </c>
      <c r="EH20" s="45">
        <f>IF(AND(EH$1&gt;='Assumption Sheet'!$K30,EH$1&lt;='Assumption Sheet'!$Y30),'Assumption Sheet'!$C30,0)</f>
        <v>206036.2876824</v>
      </c>
      <c r="EI20" s="45">
        <f>IF(AND(EI$1&gt;='Assumption Sheet'!$K30,EI$1&lt;='Assumption Sheet'!$Y30),'Assumption Sheet'!$C30,0)</f>
        <v>206036.2876824</v>
      </c>
      <c r="EJ20" s="45">
        <f>IF(AND(EJ$1&gt;='Assumption Sheet'!$K30,EJ$1&lt;='Assumption Sheet'!$Y30),'Assumption Sheet'!$C30,0)</f>
        <v>206036.2876824</v>
      </c>
      <c r="EK20" s="45">
        <f>IF(AND(EK$1&gt;='Assumption Sheet'!$K30,EK$1&lt;='Assumption Sheet'!$Y30),'Assumption Sheet'!$C30,0)</f>
        <v>206036.2876824</v>
      </c>
      <c r="EL20" s="45">
        <f>IF(AND(EL$1&gt;='Assumption Sheet'!$K30,EL$1&lt;='Assumption Sheet'!$Y30),'Assumption Sheet'!$C30,0)</f>
        <v>206036.2876824</v>
      </c>
      <c r="EM20" s="45">
        <f>IF(AND(EM$1&gt;='Assumption Sheet'!$K30,EM$1&lt;='Assumption Sheet'!$Y30),'Assumption Sheet'!$C30,0)</f>
        <v>206036.2876824</v>
      </c>
      <c r="EN20" s="45">
        <f>IF(AND(EN$1&gt;='Assumption Sheet'!$K30,EN$1&lt;='Assumption Sheet'!$Y30),'Assumption Sheet'!$C30,0)</f>
        <v>206036.2876824</v>
      </c>
      <c r="EO20" s="45">
        <f>IF(AND(EO$1&gt;='Assumption Sheet'!$K30,EO$1&lt;='Assumption Sheet'!$Y30),'Assumption Sheet'!$C30,0)</f>
        <v>206036.2876824</v>
      </c>
      <c r="EP20" s="45">
        <f>IF(AND(EP$1&gt;='Assumption Sheet'!$K30,EP$1&lt;='Assumption Sheet'!$Y30),'Assumption Sheet'!$C30,0)</f>
        <v>206036.2876824</v>
      </c>
      <c r="EQ20" s="45">
        <f>IF(AND(EQ$1&gt;='Assumption Sheet'!$K30,EQ$1&lt;='Assumption Sheet'!$Y30),'Assumption Sheet'!$C30,0)</f>
        <v>206036.2876824</v>
      </c>
      <c r="ER20" s="45">
        <f>IF(AND(ER$1&gt;='Assumption Sheet'!$K30,ER$1&lt;='Assumption Sheet'!$Y30),'Assumption Sheet'!$C30,0)</f>
        <v>206036.2876824</v>
      </c>
      <c r="ES20" s="45">
        <f>IF(AND(ES$1&gt;='Assumption Sheet'!$K30,ES$1&lt;='Assumption Sheet'!$Y30),'Assumption Sheet'!$C30,0)</f>
        <v>206036.2876824</v>
      </c>
      <c r="ET20" s="45">
        <f>IF(AND(ET$1&gt;='Assumption Sheet'!$K30,ET$1&lt;='Assumption Sheet'!$Y30),'Assumption Sheet'!$C30,0)</f>
        <v>206036.2876824</v>
      </c>
      <c r="EU20" s="45">
        <f>IF(AND(EU$1&gt;='Assumption Sheet'!$K30,EU$1&lt;='Assumption Sheet'!$Y30),'Assumption Sheet'!$C30,0)</f>
        <v>206036.2876824</v>
      </c>
      <c r="EV20" s="45">
        <f>IF(AND(EV$1&gt;='Assumption Sheet'!$K30,EV$1&lt;='Assumption Sheet'!$Y30),'Assumption Sheet'!$C30,0)</f>
        <v>206036.2876824</v>
      </c>
      <c r="EW20" s="45">
        <f>IF(AND(EW$1&gt;='Assumption Sheet'!$K30,EW$1&lt;='Assumption Sheet'!$Y30),'Assumption Sheet'!$C30,0)</f>
        <v>206036.2876824</v>
      </c>
      <c r="EX20" s="45">
        <f>IF(AND(EX$1&gt;='Assumption Sheet'!$K30,EX$1&lt;='Assumption Sheet'!$Y30),'Assumption Sheet'!$C30,0)</f>
        <v>206036.2876824</v>
      </c>
      <c r="EY20" s="45">
        <f>IF(AND(EY$1&gt;='Assumption Sheet'!$K30,EY$1&lt;='Assumption Sheet'!$Y30),'Assumption Sheet'!$C30,0)</f>
        <v>206036.2876824</v>
      </c>
      <c r="EZ20" s="45">
        <f>IF(AND(EZ$1&gt;='Assumption Sheet'!$K30,EZ$1&lt;='Assumption Sheet'!$Y30),'Assumption Sheet'!$C30,0)</f>
        <v>206036.2876824</v>
      </c>
      <c r="FA20" s="45">
        <f>IF(AND(FA$1&gt;='Assumption Sheet'!$K30,FA$1&lt;='Assumption Sheet'!$Y30),'Assumption Sheet'!$C30,0)</f>
        <v>206036.2876824</v>
      </c>
      <c r="FB20" s="45">
        <f>IF(AND(FB$1&gt;='Assumption Sheet'!$K30,FB$1&lt;='Assumption Sheet'!$Y30),'Assumption Sheet'!$C30,0)</f>
        <v>206036.2876824</v>
      </c>
      <c r="FC20" s="45">
        <f>IF(AND(FC$1&gt;='Assumption Sheet'!$K30,FC$1&lt;='Assumption Sheet'!$Y30),'Assumption Sheet'!$C30,0)</f>
        <v>206036.2876824</v>
      </c>
      <c r="FD20" s="45">
        <f>IF(AND(FD$1&gt;='Assumption Sheet'!$K30,FD$1&lt;='Assumption Sheet'!$Y30),'Assumption Sheet'!$C30,0)</f>
        <v>206036.2876824</v>
      </c>
      <c r="FE20" s="45">
        <f>IF(AND(FE$1&gt;='Assumption Sheet'!$K30,FE$1&lt;='Assumption Sheet'!$Y30),'Assumption Sheet'!$C30,0)</f>
        <v>206036.2876824</v>
      </c>
      <c r="FF20" s="45">
        <f>IF(AND(FF$1&gt;='Assumption Sheet'!$K30,FF$1&lt;='Assumption Sheet'!$Y30),'Assumption Sheet'!$C30,0)</f>
        <v>206036.2876824</v>
      </c>
      <c r="FG20" s="45">
        <f>IF(AND(FG$1&gt;='Assumption Sheet'!$K30,FG$1&lt;='Assumption Sheet'!$Y30),'Assumption Sheet'!$C30,0)</f>
        <v>206036.2876824</v>
      </c>
      <c r="FH20" s="45">
        <f>IF(AND(FH$1&gt;='Assumption Sheet'!$K30,FH$1&lt;='Assumption Sheet'!$Y30),'Assumption Sheet'!$C30,0)</f>
        <v>206036.2876824</v>
      </c>
      <c r="FI20" s="45">
        <f>IF(AND(FI$1&gt;='Assumption Sheet'!$K30,FI$1&lt;='Assumption Sheet'!$Y30),'Assumption Sheet'!$C30,0)</f>
        <v>206036.2876824</v>
      </c>
      <c r="FJ20" s="45">
        <f>IF(AND(FJ$1&gt;='Assumption Sheet'!$K30,FJ$1&lt;='Assumption Sheet'!$Y30),'Assumption Sheet'!$C30,0)</f>
        <v>206036.2876824</v>
      </c>
      <c r="FK20" s="45">
        <f>IF(AND(FK$1&gt;='Assumption Sheet'!$K30,FK$1&lt;='Assumption Sheet'!$Y30),'Assumption Sheet'!$C30,0)</f>
        <v>206036.2876824</v>
      </c>
      <c r="FL20" s="45">
        <f>IF(AND(FL$1&gt;='Assumption Sheet'!$K30,FL$1&lt;='Assumption Sheet'!$Y30),'Assumption Sheet'!$C30,0)</f>
        <v>206036.2876824</v>
      </c>
      <c r="FM20" s="45">
        <f>IF(AND(FM$1&gt;='Assumption Sheet'!$K30,FM$1&lt;='Assumption Sheet'!$Y30),'Assumption Sheet'!$C30,0)</f>
        <v>206036.2876824</v>
      </c>
      <c r="FN20" s="45">
        <f>IF(AND(FN$1&gt;='Assumption Sheet'!$K30,FN$1&lt;='Assumption Sheet'!$Y30),'Assumption Sheet'!$C30,0)</f>
        <v>206036.2876824</v>
      </c>
      <c r="FO20" s="45">
        <f>IF(AND(FO$1&gt;='Assumption Sheet'!$K30,FO$1&lt;='Assumption Sheet'!$Y30),'Assumption Sheet'!$C30,0)</f>
        <v>206036.2876824</v>
      </c>
      <c r="FP20" s="45">
        <f>IF(AND(FP$1&gt;='Assumption Sheet'!$K30,FP$1&lt;='Assumption Sheet'!$Y30),'Assumption Sheet'!$C30,0)</f>
        <v>206036.2876824</v>
      </c>
      <c r="FQ20" s="45">
        <f>IF(AND(FQ$1&gt;='Assumption Sheet'!$K30,FQ$1&lt;='Assumption Sheet'!$Y30),'Assumption Sheet'!$C30,0)</f>
        <v>206036.2876824</v>
      </c>
      <c r="FR20" s="45">
        <f>IF(AND(FR$1&gt;='Assumption Sheet'!$K30,FR$1&lt;='Assumption Sheet'!$Y30),'Assumption Sheet'!$C30,0)</f>
        <v>206036.2876824</v>
      </c>
      <c r="FS20" s="45">
        <f>IF(AND(FS$1&gt;='Assumption Sheet'!$K30,FS$1&lt;='Assumption Sheet'!$Y30),'Assumption Sheet'!$C30,0)</f>
        <v>206036.2876824</v>
      </c>
      <c r="FT20" s="45">
        <f>IF(AND(FT$1&gt;='Assumption Sheet'!$K30,FT$1&lt;='Assumption Sheet'!$Y30),'Assumption Sheet'!$C30,0)</f>
        <v>206036.2876824</v>
      </c>
      <c r="FU20" s="45">
        <f>IF(AND(FU$1&gt;='Assumption Sheet'!$K30,FU$1&lt;='Assumption Sheet'!$Y30),'Assumption Sheet'!$C30,0)</f>
        <v>206036.2876824</v>
      </c>
      <c r="FV20" s="45">
        <f>IF(AND(FV$1&gt;='Assumption Sheet'!$K30,FV$1&lt;='Assumption Sheet'!$Y30),'Assumption Sheet'!$C30,0)</f>
        <v>206036.2876824</v>
      </c>
      <c r="FW20" s="45">
        <f>IF(AND(FW$1&gt;='Assumption Sheet'!$K30,FW$1&lt;='Assumption Sheet'!$Y30),'Assumption Sheet'!$C30,0)</f>
        <v>206036.2876824</v>
      </c>
      <c r="FX20" s="45">
        <f>IF(AND(FX$1&gt;='Assumption Sheet'!$K30,FX$1&lt;='Assumption Sheet'!$Y30),'Assumption Sheet'!$C30,0)</f>
        <v>206036.2876824</v>
      </c>
      <c r="FY20" s="45">
        <f>IF(AND(FY$1&gt;='Assumption Sheet'!$K30,FY$1&lt;='Assumption Sheet'!$Y30),'Assumption Sheet'!$C30,0)</f>
        <v>206036.2876824</v>
      </c>
      <c r="FZ20" s="45">
        <f>IF(AND(FZ$1&gt;='Assumption Sheet'!$K30,FZ$1&lt;='Assumption Sheet'!$Y30),'Assumption Sheet'!$C30,0)</f>
        <v>206036.2876824</v>
      </c>
      <c r="GA20" s="45">
        <f>IF(AND(GA$1&gt;='Assumption Sheet'!$K30,GA$1&lt;='Assumption Sheet'!$Y30),'Assumption Sheet'!$C30,0)</f>
        <v>206036.2876824</v>
      </c>
      <c r="GB20" s="45">
        <f>IF(AND(GB$1&gt;='Assumption Sheet'!$K30,GB$1&lt;='Assumption Sheet'!$Y30),'Assumption Sheet'!$C30,0)</f>
        <v>206036.2876824</v>
      </c>
      <c r="GC20" s="45">
        <f>IF(AND(GC$1&gt;='Assumption Sheet'!$K30,GC$1&lt;='Assumption Sheet'!$Y30),'Assumption Sheet'!$C30,0)</f>
        <v>206036.2876824</v>
      </c>
      <c r="GD20" s="45">
        <f>IF(AND(GD$1&gt;='Assumption Sheet'!$K30,GD$1&lt;='Assumption Sheet'!$Y30),'Assumption Sheet'!$C30,0)</f>
        <v>206036.2876824</v>
      </c>
      <c r="GE20" s="45">
        <f>IF(AND(GE$1&gt;='Assumption Sheet'!$K30,GE$1&lt;='Assumption Sheet'!$Y30),'Assumption Sheet'!$C30,0)</f>
        <v>206036.2876824</v>
      </c>
      <c r="GF20" s="45">
        <f>IF(AND(GF$1&gt;='Assumption Sheet'!$K30,GF$1&lt;='Assumption Sheet'!$Y30),'Assumption Sheet'!$C30,0)</f>
        <v>206036.2876824</v>
      </c>
      <c r="GG20" s="45">
        <f>IF(AND(GG$1&gt;='Assumption Sheet'!$K30,GG$1&lt;='Assumption Sheet'!$Y30),'Assumption Sheet'!$C30,0)</f>
        <v>206036.2876824</v>
      </c>
      <c r="GH20" s="45">
        <f>IF(AND(GH$1&gt;='Assumption Sheet'!$K30,GH$1&lt;='Assumption Sheet'!$Y30),'Assumption Sheet'!$C30,0)</f>
        <v>206036.2876824</v>
      </c>
      <c r="GI20" s="45">
        <f>IF(AND(GI$1&gt;='Assumption Sheet'!$K30,GI$1&lt;='Assumption Sheet'!$Y30),'Assumption Sheet'!$C30,0)</f>
        <v>206036.2876824</v>
      </c>
      <c r="GJ20" s="45">
        <f>IF(AND(GJ$1&gt;='Assumption Sheet'!$K30,GJ$1&lt;='Assumption Sheet'!$Y30),'Assumption Sheet'!$C30,0)</f>
        <v>206036.2876824</v>
      </c>
      <c r="GK20" s="45">
        <f>IF(AND(GK$1&gt;='Assumption Sheet'!$K30,GK$1&lt;='Assumption Sheet'!$Y30),'Assumption Sheet'!$C30,0)</f>
        <v>206036.2876824</v>
      </c>
      <c r="GL20" s="45">
        <f>IF(AND(GL$1&gt;='Assumption Sheet'!$K30,GL$1&lt;='Assumption Sheet'!$Y30),'Assumption Sheet'!$C30,0)</f>
        <v>206036.2876824</v>
      </c>
      <c r="GM20" s="45">
        <f>IF(AND(GM$1&gt;='Assumption Sheet'!$K30,GM$1&lt;='Assumption Sheet'!$Y30),'Assumption Sheet'!$C30,0)</f>
        <v>206036.2876824</v>
      </c>
      <c r="GN20" s="45">
        <f>IF(AND(GN$1&gt;='Assumption Sheet'!$K30,GN$1&lt;='Assumption Sheet'!$Y30),'Assumption Sheet'!$C30,0)</f>
        <v>206036.2876824</v>
      </c>
      <c r="GO20" s="45">
        <f>IF(AND(GO$1&gt;='Assumption Sheet'!$K30,GO$1&lt;='Assumption Sheet'!$Y30),'Assumption Sheet'!$C30,0)</f>
        <v>206036.2876824</v>
      </c>
      <c r="GP20" s="45">
        <f>IF(AND(GP$1&gt;='Assumption Sheet'!$K30,GP$1&lt;='Assumption Sheet'!$Y30),'Assumption Sheet'!$C30,0)</f>
        <v>206036.2876824</v>
      </c>
      <c r="GQ20" s="45">
        <f>IF(AND(GQ$1&gt;='Assumption Sheet'!$K30,GQ$1&lt;='Assumption Sheet'!$Y30),'Assumption Sheet'!$C30,0)</f>
        <v>206036.2876824</v>
      </c>
      <c r="GR20" s="45">
        <f>IF(AND(GR$1&gt;='Assumption Sheet'!$K30,GR$1&lt;='Assumption Sheet'!$Y30),'Assumption Sheet'!$C30,0)</f>
        <v>206036.2876824</v>
      </c>
      <c r="GS20" s="45">
        <f>IF(AND(GS$1&gt;='Assumption Sheet'!$K30,GS$1&lt;='Assumption Sheet'!$Y30),'Assumption Sheet'!$C30,0)</f>
        <v>206036.2876824</v>
      </c>
      <c r="GT20" s="45">
        <f>IF(AND(GT$1&gt;='Assumption Sheet'!$K30,GT$1&lt;='Assumption Sheet'!$Y30),'Assumption Sheet'!$C30,0)</f>
        <v>206036.2876824</v>
      </c>
      <c r="GU20" s="45">
        <f>IF(AND(GU$1&gt;='Assumption Sheet'!$K30,GU$1&lt;='Assumption Sheet'!$Y30),'Assumption Sheet'!$C30,0)</f>
        <v>206036.2876824</v>
      </c>
      <c r="GV20" s="45">
        <f>IF(AND(GV$1&gt;='Assumption Sheet'!$K30,GV$1&lt;='Assumption Sheet'!$Y30),'Assumption Sheet'!$C30,0)</f>
        <v>206036.2876824</v>
      </c>
      <c r="GW20" s="45">
        <f>IF(AND(GW$1&gt;='Assumption Sheet'!$K30,GW$1&lt;='Assumption Sheet'!$Y30),'Assumption Sheet'!$C30,0)</f>
        <v>206036.2876824</v>
      </c>
      <c r="GX20" s="45">
        <f>IF(AND(GX$1&gt;='Assumption Sheet'!$K30,GX$1&lt;='Assumption Sheet'!$Y30),'Assumption Sheet'!$C30,0)</f>
        <v>206036.2876824</v>
      </c>
      <c r="GY20" s="45">
        <f>IF(AND(GY$1&gt;='Assumption Sheet'!$K30,GY$1&lt;='Assumption Sheet'!$Y30),'Assumption Sheet'!$C30,0)</f>
        <v>206036.2876824</v>
      </c>
      <c r="GZ20" s="45">
        <f>IF(AND(GZ$1&gt;='Assumption Sheet'!$K30,GZ$1&lt;='Assumption Sheet'!$Y30),'Assumption Sheet'!$C30,0)</f>
        <v>206036.2876824</v>
      </c>
      <c r="HA20" s="45">
        <f>IF(AND(HA$1&gt;='Assumption Sheet'!$K30,HA$1&lt;='Assumption Sheet'!$Y30),'Assumption Sheet'!$C30,0)</f>
        <v>206036.2876824</v>
      </c>
      <c r="HB20" s="45">
        <f>IF(AND(HB$1&gt;='Assumption Sheet'!$K30,HB$1&lt;='Assumption Sheet'!$Y30),'Assumption Sheet'!$C30,0)</f>
        <v>206036.2876824</v>
      </c>
      <c r="HC20" s="45">
        <f>IF(AND(HC$1&gt;='Assumption Sheet'!$K30,HC$1&lt;='Assumption Sheet'!$Y30),'Assumption Sheet'!$C30,0)</f>
        <v>206036.2876824</v>
      </c>
      <c r="HD20" s="45">
        <f>IF(AND(HD$1&gt;='Assumption Sheet'!$K30,HD$1&lt;='Assumption Sheet'!$Y30),'Assumption Sheet'!$C30,0)</f>
        <v>206036.2876824</v>
      </c>
      <c r="HE20" s="45">
        <f>IF(AND(HE$1&gt;='Assumption Sheet'!$K30,HE$1&lt;='Assumption Sheet'!$Y30),'Assumption Sheet'!$C30,0)</f>
        <v>206036.2876824</v>
      </c>
      <c r="HF20" s="45">
        <f>IF(AND(HF$1&gt;='Assumption Sheet'!$K30,HF$1&lt;='Assumption Sheet'!$Y30),'Assumption Sheet'!$C30,0)</f>
        <v>206036.2876824</v>
      </c>
      <c r="HG20" s="45">
        <f>IF(AND(HG$1&gt;='Assumption Sheet'!$K30,HG$1&lt;='Assumption Sheet'!$Y30),'Assumption Sheet'!$C30,0)</f>
        <v>206036.2876824</v>
      </c>
      <c r="HH20" s="45">
        <f>IF(AND(HH$1&gt;='Assumption Sheet'!$K30,HH$1&lt;='Assumption Sheet'!$Y30),'Assumption Sheet'!$C30,0)</f>
        <v>206036.2876824</v>
      </c>
      <c r="HI20" s="45">
        <f>IF(AND(HI$1&gt;='Assumption Sheet'!$K30,HI$1&lt;='Assumption Sheet'!$Y30),'Assumption Sheet'!$C30,0)</f>
        <v>206036.2876824</v>
      </c>
      <c r="HJ20" s="45">
        <f>IF(AND(HJ$1&gt;='Assumption Sheet'!$K30,HJ$1&lt;='Assumption Sheet'!$Y30),'Assumption Sheet'!$C30,0)</f>
        <v>206036.2876824</v>
      </c>
      <c r="HK20" s="45">
        <f>IF(AND(HK$1&gt;='Assumption Sheet'!$K30,HK$1&lt;='Assumption Sheet'!$Y30),'Assumption Sheet'!$C30,0)</f>
        <v>206036.2876824</v>
      </c>
      <c r="HL20" s="45">
        <f>IF(AND(HL$1&gt;='Assumption Sheet'!$K30,HL$1&lt;='Assumption Sheet'!$Y30),'Assumption Sheet'!$C30,0)</f>
        <v>206036.2876824</v>
      </c>
      <c r="HM20" s="45">
        <f>IF(AND(HM$1&gt;='Assumption Sheet'!$K30,HM$1&lt;='Assumption Sheet'!$Y30),'Assumption Sheet'!$C30,0)</f>
        <v>206036.2876824</v>
      </c>
      <c r="HN20" s="45">
        <f>IF(AND(HN$1&gt;='Assumption Sheet'!$K30,HN$1&lt;='Assumption Sheet'!$Y30),'Assumption Sheet'!$C30,0)</f>
        <v>206036.2876824</v>
      </c>
      <c r="HO20" s="45">
        <f>IF(AND(HO$1&gt;='Assumption Sheet'!$K30,HO$1&lt;='Assumption Sheet'!$Y30),'Assumption Sheet'!$C30,0)</f>
        <v>206036.2876824</v>
      </c>
      <c r="HP20" s="45">
        <f>IF(AND(HP$1&gt;='Assumption Sheet'!$K30,HP$1&lt;='Assumption Sheet'!$Y30),'Assumption Sheet'!$C30,0)</f>
        <v>206036.2876824</v>
      </c>
      <c r="HQ20" s="45">
        <f>IF(AND(HQ$1&gt;='Assumption Sheet'!$K30,HQ$1&lt;='Assumption Sheet'!$Y30),'Assumption Sheet'!$C30,0)</f>
        <v>206036.2876824</v>
      </c>
      <c r="HR20" s="45">
        <f>IF(AND(HR$1&gt;='Assumption Sheet'!$K30,HR$1&lt;='Assumption Sheet'!$Y30),'Assumption Sheet'!$C30,0)</f>
        <v>206036.2876824</v>
      </c>
      <c r="HS20" s="45">
        <f>IF(AND(HS$1&gt;='Assumption Sheet'!$K30,HS$1&lt;='Assumption Sheet'!$Y30),'Assumption Sheet'!$C30,0)</f>
        <v>206036.2876824</v>
      </c>
      <c r="HT20" s="45">
        <f>IF(AND(HT$1&gt;='Assumption Sheet'!$K30,HT$1&lt;='Assumption Sheet'!$Y30),'Assumption Sheet'!$C30,0)</f>
        <v>206036.2876824</v>
      </c>
      <c r="HU20" s="45">
        <f>IF(AND(HU$1&gt;='Assumption Sheet'!$K30,HU$1&lt;='Assumption Sheet'!$Y30),'Assumption Sheet'!$C30,0)</f>
        <v>206036.2876824</v>
      </c>
      <c r="HV20" s="45">
        <f>IF(AND(HV$1&gt;='Assumption Sheet'!$K30,HV$1&lt;='Assumption Sheet'!$Y30),'Assumption Sheet'!$C30,0)</f>
        <v>206036.2876824</v>
      </c>
      <c r="HW20" s="45">
        <f>IF(AND(HW$1&gt;='Assumption Sheet'!$K30,HW$1&lt;='Assumption Sheet'!$Y30),'Assumption Sheet'!$C30,0)</f>
        <v>206036.2876824</v>
      </c>
      <c r="HX20" s="45">
        <f>IF(AND(HX$1&gt;='Assumption Sheet'!$K30,HX$1&lt;='Assumption Sheet'!$Y30),'Assumption Sheet'!$C30,0)</f>
        <v>206036.2876824</v>
      </c>
      <c r="HY20" s="45">
        <f>IF(AND(HY$1&gt;='Assumption Sheet'!$K30,HY$1&lt;='Assumption Sheet'!$Y30),'Assumption Sheet'!$C30,0)</f>
        <v>206036.2876824</v>
      </c>
      <c r="HZ20" s="45">
        <f>IF(AND(HZ$1&gt;='Assumption Sheet'!$K30,HZ$1&lt;='Assumption Sheet'!$Y30),'Assumption Sheet'!$C30,0)</f>
        <v>206036.2876824</v>
      </c>
      <c r="IA20" s="45">
        <f>IF(AND(IA$1&gt;='Assumption Sheet'!$K30,IA$1&lt;='Assumption Sheet'!$Y30),'Assumption Sheet'!$C30,0)</f>
        <v>206036.2876824</v>
      </c>
      <c r="IB20" s="45">
        <f>IF(AND(IB$1&gt;='Assumption Sheet'!$K30,IB$1&lt;='Assumption Sheet'!$Y30),'Assumption Sheet'!$C30,0)</f>
        <v>206036.2876824</v>
      </c>
      <c r="IC20" s="45">
        <f>IF(AND(IC$1&gt;='Assumption Sheet'!$K30,IC$1&lt;='Assumption Sheet'!$Y30),'Assumption Sheet'!$C30,0)</f>
        <v>206036.2876824</v>
      </c>
      <c r="ID20" s="45">
        <f>IF(AND(ID$1&gt;='Assumption Sheet'!$K30,ID$1&lt;='Assumption Sheet'!$Y30),'Assumption Sheet'!$C30,0)</f>
        <v>206036.2876824</v>
      </c>
      <c r="IE20" s="45">
        <f>IF(AND(IE$1&gt;='Assumption Sheet'!$K30,IE$1&lt;='Assumption Sheet'!$Y30),'Assumption Sheet'!$C30,0)</f>
        <v>206036.2876824</v>
      </c>
      <c r="IF20" s="45">
        <f>IF(AND(IF$1&gt;='Assumption Sheet'!$K30,IF$1&lt;='Assumption Sheet'!$Y30),'Assumption Sheet'!$C30,0)</f>
        <v>206036.2876824</v>
      </c>
      <c r="IG20" s="45">
        <f>IF(AND(IG$1&gt;='Assumption Sheet'!$K30,IG$1&lt;='Assumption Sheet'!$Y30),'Assumption Sheet'!$C30,0)</f>
        <v>206036.2876824</v>
      </c>
      <c r="IH20" s="45">
        <f>IF(AND(IH$1&gt;='Assumption Sheet'!$K30,IH$1&lt;='Assumption Sheet'!$Y30),'Assumption Sheet'!$C30,0)</f>
        <v>206036.2876824</v>
      </c>
      <c r="II20" s="45">
        <f>IF(AND(II$1&gt;='Assumption Sheet'!$K30,II$1&lt;='Assumption Sheet'!$Y30),'Assumption Sheet'!$C30,0)</f>
        <v>206036.2876824</v>
      </c>
      <c r="IJ20" s="45">
        <f>IF(AND(IJ$1&gt;='Assumption Sheet'!$K30,IJ$1&lt;='Assumption Sheet'!$Y30),'Assumption Sheet'!$C30,0)</f>
        <v>206036.2876824</v>
      </c>
      <c r="IK20" s="45">
        <f>IF(AND(IK$1&gt;='Assumption Sheet'!$K30,IK$1&lt;='Assumption Sheet'!$Y30),'Assumption Sheet'!$C30,0)</f>
        <v>206036.2876824</v>
      </c>
      <c r="IL20" s="45">
        <f>IF(AND(IL$1&gt;='Assumption Sheet'!$K30,IL$1&lt;='Assumption Sheet'!$Y30),'Assumption Sheet'!$C30,0)</f>
        <v>206036.2876824</v>
      </c>
      <c r="IM20" s="45">
        <f>IF(AND(IM$1&gt;='Assumption Sheet'!$K30,IM$1&lt;='Assumption Sheet'!$Y30),'Assumption Sheet'!$C30,0)</f>
        <v>206036.2876824</v>
      </c>
      <c r="IN20" s="45">
        <f>IF(AND(IN$1&gt;='Assumption Sheet'!$K30,IN$1&lt;='Assumption Sheet'!$Y30),'Assumption Sheet'!$C30,0)</f>
        <v>206036.2876824</v>
      </c>
      <c r="IO20" s="45">
        <f>IF(AND(IO$1&gt;='Assumption Sheet'!$K30,IO$1&lt;='Assumption Sheet'!$Y30),'Assumption Sheet'!$C30,0)</f>
        <v>206036.2876824</v>
      </c>
      <c r="IP20" s="45">
        <f>IF(AND(IP$1&gt;='Assumption Sheet'!$K30,IP$1&lt;='Assumption Sheet'!$Y30),'Assumption Sheet'!$C30,0)</f>
        <v>206036.2876824</v>
      </c>
      <c r="IQ20" s="45">
        <f>IF(AND(IQ$1&gt;='Assumption Sheet'!$K30,IQ$1&lt;='Assumption Sheet'!$Y30),'Assumption Sheet'!$C30,0)</f>
        <v>206036.2876824</v>
      </c>
      <c r="IR20" s="45">
        <f>IF(AND(IR$1&gt;='Assumption Sheet'!$K30,IR$1&lt;='Assumption Sheet'!$Y30),'Assumption Sheet'!$C30,0)</f>
        <v>206036.2876824</v>
      </c>
      <c r="IS20" s="45">
        <f>IF(AND(IS$1&gt;='Assumption Sheet'!$K30,IS$1&lt;='Assumption Sheet'!$Y30),'Assumption Sheet'!$C30,0)</f>
        <v>206036.2876824</v>
      </c>
      <c r="IT20" s="45">
        <f>IF(AND(IT$1&gt;='Assumption Sheet'!$K30,IT$1&lt;='Assumption Sheet'!$Y30),'Assumption Sheet'!$C30,0)</f>
        <v>206036.2876824</v>
      </c>
      <c r="IU20" s="45">
        <f>IF(AND(IU$1&gt;='Assumption Sheet'!$K30,IU$1&lt;='Assumption Sheet'!$Y30),'Assumption Sheet'!$C30,0)</f>
        <v>206036.2876824</v>
      </c>
      <c r="IV20" s="45">
        <f>IF(AND(IV$1&gt;='Assumption Sheet'!$K30,IV$1&lt;='Assumption Sheet'!$Y30),'Assumption Sheet'!$C30,0)</f>
        <v>206036.2876824</v>
      </c>
      <c r="IW20" s="45">
        <f>IF(AND(IW$1&gt;='Assumption Sheet'!$K30,IW$1&lt;='Assumption Sheet'!$Y30),'Assumption Sheet'!$C30,0)</f>
        <v>206036.2876824</v>
      </c>
      <c r="IX20" s="45">
        <f>IF(AND(IX$1&gt;='Assumption Sheet'!$K30,IX$1&lt;='Assumption Sheet'!$Y30),'Assumption Sheet'!$C30,0)</f>
        <v>206036.2876824</v>
      </c>
      <c r="IY20" s="45">
        <f>IF(AND(IY$1&gt;='Assumption Sheet'!$K30,IY$1&lt;='Assumption Sheet'!$Y30),'Assumption Sheet'!$C30,0)</f>
        <v>206036.2876824</v>
      </c>
      <c r="IZ20" s="45">
        <f>IF(AND(IZ$1&gt;='Assumption Sheet'!$K30,IZ$1&lt;='Assumption Sheet'!$Y30),'Assumption Sheet'!$C30,0)</f>
        <v>206036.2876824</v>
      </c>
      <c r="JA20" s="45">
        <f>IF(AND(JA$1&gt;='Assumption Sheet'!$K30,JA$1&lt;='Assumption Sheet'!$Y30),'Assumption Sheet'!$C30,0)</f>
        <v>206036.2876824</v>
      </c>
      <c r="JB20" s="45">
        <f>IF(AND(JB$1&gt;='Assumption Sheet'!$K30,JB$1&lt;='Assumption Sheet'!$Y30),'Assumption Sheet'!$C30,0)</f>
        <v>206036.2876824</v>
      </c>
      <c r="JC20" s="45">
        <f>IF(AND(JC$1&gt;='Assumption Sheet'!$K30,JC$1&lt;='Assumption Sheet'!$Y30),'Assumption Sheet'!$C30,0)</f>
        <v>206036.2876824</v>
      </c>
      <c r="JD20" s="45">
        <f>IF(AND(JD$1&gt;='Assumption Sheet'!$K30,JD$1&lt;='Assumption Sheet'!$Y30),'Assumption Sheet'!$C30,0)</f>
        <v>206036.2876824</v>
      </c>
      <c r="JE20" s="45">
        <f>IF(AND(JE$1&gt;='Assumption Sheet'!$K30,JE$1&lt;='Assumption Sheet'!$Y30),'Assumption Sheet'!$C30,0)</f>
        <v>206036.2876824</v>
      </c>
      <c r="JF20" s="45">
        <f>IF(AND(JF$1&gt;='Assumption Sheet'!$K30,JF$1&lt;='Assumption Sheet'!$Y30),'Assumption Sheet'!$C30,0)</f>
        <v>206036.2876824</v>
      </c>
      <c r="JG20" s="45">
        <f>IF(AND(JG$1&gt;='Assumption Sheet'!$K30,JG$1&lt;='Assumption Sheet'!$Y30),'Assumption Sheet'!$C30,0)</f>
        <v>206036.2876824</v>
      </c>
      <c r="JH20" s="45">
        <f>IF(AND(JH$1&gt;='Assumption Sheet'!$K30,JH$1&lt;='Assumption Sheet'!$Y30),'Assumption Sheet'!$C30,0)</f>
        <v>206036.2876824</v>
      </c>
      <c r="JI20" s="45">
        <f>IF(AND(JI$1&gt;='Assumption Sheet'!$K30,JI$1&lt;='Assumption Sheet'!$Y30),'Assumption Sheet'!$C30,0)</f>
        <v>206036.2876824</v>
      </c>
      <c r="JJ20" s="45">
        <f>IF(AND(JJ$1&gt;='Assumption Sheet'!$K30,JJ$1&lt;='Assumption Sheet'!$Y30),'Assumption Sheet'!$C30,0)</f>
        <v>206036.2876824</v>
      </c>
      <c r="JK20" s="45">
        <f>IF(AND(JK$1&gt;='Assumption Sheet'!$K30,JK$1&lt;='Assumption Sheet'!$Y30),'Assumption Sheet'!$C30,0)</f>
        <v>206036.2876824</v>
      </c>
      <c r="JL20" s="45">
        <f>IF(AND(JL$1&gt;='Assumption Sheet'!$K30,JL$1&lt;='Assumption Sheet'!$Y30),'Assumption Sheet'!$C30,0)</f>
        <v>206036.2876824</v>
      </c>
      <c r="JM20" s="45">
        <f>IF(AND(JM$1&gt;='Assumption Sheet'!$K30,JM$1&lt;='Assumption Sheet'!$Y30),'Assumption Sheet'!$C30,0)</f>
        <v>206036.2876824</v>
      </c>
      <c r="JN20" s="45">
        <f>IF(AND(JN$1&gt;='Assumption Sheet'!$K30,JN$1&lt;='Assumption Sheet'!$Y30),'Assumption Sheet'!$C30,0)</f>
        <v>206036.2876824</v>
      </c>
      <c r="JO20" s="45">
        <f>IF(AND(JO$1&gt;='Assumption Sheet'!$K30,JO$1&lt;='Assumption Sheet'!$Y30),'Assumption Sheet'!$C30,0)</f>
        <v>206036.2876824</v>
      </c>
      <c r="JP20" s="45">
        <f>IF(AND(JP$1&gt;='Assumption Sheet'!$K30,JP$1&lt;='Assumption Sheet'!$Y30),'Assumption Sheet'!$C30,0)</f>
        <v>206036.2876824</v>
      </c>
      <c r="JQ20" s="45">
        <f>IF(AND(JQ$1&gt;='Assumption Sheet'!$K30,JQ$1&lt;='Assumption Sheet'!$Y30),'Assumption Sheet'!$C30,0)</f>
        <v>206036.2876824</v>
      </c>
      <c r="JR20" s="45">
        <f>IF(AND(JR$1&gt;='Assumption Sheet'!$K30,JR$1&lt;='Assumption Sheet'!$Y30),'Assumption Sheet'!$C30,0)</f>
        <v>0</v>
      </c>
      <c r="JS20" s="45">
        <f>IF(AND(JS$1&gt;='Assumption Sheet'!$K30,JS$1&lt;='Assumption Sheet'!$Y30),'Assumption Sheet'!$C30,0)</f>
        <v>0</v>
      </c>
      <c r="JT20" s="45">
        <f>IF(AND(JT$1&gt;='Assumption Sheet'!$K30,JT$1&lt;='Assumption Sheet'!$Y30),'Assumption Sheet'!$C30,0)</f>
        <v>0</v>
      </c>
      <c r="JU20" s="45">
        <f>IF(AND(JU$1&gt;='Assumption Sheet'!$K30,JU$1&lt;='Assumption Sheet'!$Y30),'Assumption Sheet'!$C30,0)</f>
        <v>0</v>
      </c>
      <c r="JV20" s="45">
        <f>IF(AND(JV$1&gt;='Assumption Sheet'!$K30,JV$1&lt;='Assumption Sheet'!$Y30),'Assumption Sheet'!$C30,0)</f>
        <v>0</v>
      </c>
      <c r="JW20" s="45">
        <f>IF(AND(JW$1&gt;='Assumption Sheet'!$K30,JW$1&lt;='Assumption Sheet'!$Y30),'Assumption Sheet'!$C30,0)</f>
        <v>0</v>
      </c>
      <c r="JX20" s="45">
        <f>IF(AND(JX$1&gt;='Assumption Sheet'!$K30,JX$1&lt;='Assumption Sheet'!$Y30),'Assumption Sheet'!$C30,0)</f>
        <v>0</v>
      </c>
      <c r="JY20" s="45">
        <f>IF(AND(JY$1&gt;='Assumption Sheet'!$K30,JY$1&lt;='Assumption Sheet'!$Y30),'Assumption Sheet'!$C30,0)</f>
        <v>0</v>
      </c>
      <c r="JZ20" s="45">
        <f>IF(AND(JZ$1&gt;='Assumption Sheet'!$K30,JZ$1&lt;='Assumption Sheet'!$Y30),'Assumption Sheet'!$C30,0)</f>
        <v>0</v>
      </c>
      <c r="KA20" s="45">
        <f>IF(AND(KA$1&gt;='Assumption Sheet'!$K30,KA$1&lt;='Assumption Sheet'!$Y30),'Assumption Sheet'!$C30,0)</f>
        <v>0</v>
      </c>
      <c r="KB20" s="45">
        <f>IF(AND(KB$1&gt;='Assumption Sheet'!$K30,KB$1&lt;='Assumption Sheet'!$Y30),'Assumption Sheet'!$C30,0)</f>
        <v>0</v>
      </c>
      <c r="KC20" s="45">
        <f>IF(AND(KC$1&gt;='Assumption Sheet'!$K30,KC$1&lt;='Assumption Sheet'!$Y30),'Assumption Sheet'!$C30,0)</f>
        <v>0</v>
      </c>
      <c r="KD20" s="45"/>
      <c r="KE20" s="45"/>
      <c r="KF20" s="45"/>
      <c r="KG20" s="45"/>
      <c r="KH20" s="45"/>
      <c r="KI20" s="45"/>
      <c r="KJ20" s="45"/>
      <c r="KK20" s="45"/>
      <c r="KL20" s="45"/>
      <c r="KM20" s="45"/>
      <c r="KN20" s="45"/>
      <c r="KO20" s="45"/>
    </row>
    <row r="21" spans="1:301" x14ac:dyDescent="0.3">
      <c r="B21" s="1" t="str">
        <f>B12</f>
        <v>Phase 4</v>
      </c>
      <c r="E21" s="45">
        <f>IF(AND(E$1&gt;='Assumption Sheet'!$K31,E$1&lt;='Assumption Sheet'!$Y31),'Assumption Sheet'!$C31,0)</f>
        <v>0</v>
      </c>
      <c r="F21" s="45">
        <f>IF(AND(F$1&gt;='Assumption Sheet'!$K31,F$1&lt;='Assumption Sheet'!$Y31),'Assumption Sheet'!$C31,0)</f>
        <v>0</v>
      </c>
      <c r="G21" s="45">
        <f>IF(AND(G$1&gt;='Assumption Sheet'!$K31,G$1&lt;='Assumption Sheet'!$Y31),'Assumption Sheet'!$C31,0)</f>
        <v>0</v>
      </c>
      <c r="H21" s="45">
        <f>IF(AND(H$1&gt;='Assumption Sheet'!$K31,H$1&lt;='Assumption Sheet'!$Y31),'Assumption Sheet'!$C31,0)</f>
        <v>0</v>
      </c>
      <c r="I21" s="45">
        <f>IF(AND(I$1&gt;='Assumption Sheet'!$K31,I$1&lt;='Assumption Sheet'!$Y31),'Assumption Sheet'!$C31,0)</f>
        <v>0</v>
      </c>
      <c r="J21" s="45">
        <f>IF(AND(J$1&gt;='Assumption Sheet'!$K31,J$1&lt;='Assumption Sheet'!$Y31),'Assumption Sheet'!$C31,0)</f>
        <v>0</v>
      </c>
      <c r="K21" s="45">
        <f>IF(AND(K$1&gt;='Assumption Sheet'!$K31,K$1&lt;='Assumption Sheet'!$Y31),'Assumption Sheet'!$C31,0)</f>
        <v>0</v>
      </c>
      <c r="L21" s="45">
        <f>IF(AND(L$1&gt;='Assumption Sheet'!$K31,L$1&lt;='Assumption Sheet'!$Y31),'Assumption Sheet'!$C31,0)</f>
        <v>0</v>
      </c>
      <c r="M21" s="45">
        <f>IF(AND(M$1&gt;='Assumption Sheet'!$K31,M$1&lt;='Assumption Sheet'!$Y31),'Assumption Sheet'!$C31,0)</f>
        <v>0</v>
      </c>
      <c r="N21" s="45">
        <f>IF(AND(N$1&gt;='Assumption Sheet'!$K31,N$1&lt;='Assumption Sheet'!$Y31),'Assumption Sheet'!$C31,0)</f>
        <v>0</v>
      </c>
      <c r="O21" s="45">
        <f>IF(AND(O$1&gt;='Assumption Sheet'!$K31,O$1&lt;='Assumption Sheet'!$Y31),'Assumption Sheet'!$C31,0)</f>
        <v>0</v>
      </c>
      <c r="P21" s="45">
        <f>IF(AND(P$1&gt;='Assumption Sheet'!$K31,P$1&lt;='Assumption Sheet'!$Y31),'Assumption Sheet'!$C31,0)</f>
        <v>0</v>
      </c>
      <c r="Q21" s="45">
        <f>IF(AND(Q$1&gt;='Assumption Sheet'!$K31,Q$1&lt;='Assumption Sheet'!$Y31),'Assumption Sheet'!$C31,0)</f>
        <v>0</v>
      </c>
      <c r="R21" s="45">
        <f>IF(AND(R$1&gt;='Assumption Sheet'!$K31,R$1&lt;='Assumption Sheet'!$Y31),'Assumption Sheet'!$C31,0)</f>
        <v>0</v>
      </c>
      <c r="S21" s="45">
        <f>IF(AND(S$1&gt;='Assumption Sheet'!$K31,S$1&lt;='Assumption Sheet'!$Y31),'Assumption Sheet'!$C31,0)</f>
        <v>0</v>
      </c>
      <c r="T21" s="45">
        <f>IF(AND(T$1&gt;='Assumption Sheet'!$K31,T$1&lt;='Assumption Sheet'!$Y31),'Assumption Sheet'!$C31,0)</f>
        <v>0</v>
      </c>
      <c r="U21" s="45">
        <f>IF(AND(U$1&gt;='Assumption Sheet'!$K31,U$1&lt;='Assumption Sheet'!$Y31),'Assumption Sheet'!$C31,0)</f>
        <v>0</v>
      </c>
      <c r="V21" s="45">
        <f>IF(AND(V$1&gt;='Assumption Sheet'!$K31,V$1&lt;='Assumption Sheet'!$Y31),'Assumption Sheet'!$C31,0)</f>
        <v>0</v>
      </c>
      <c r="W21" s="45">
        <f>IF(AND(W$1&gt;='Assumption Sheet'!$K31,W$1&lt;='Assumption Sheet'!$Y31),'Assumption Sheet'!$C31,0)</f>
        <v>0</v>
      </c>
      <c r="X21" s="45">
        <f>IF(AND(X$1&gt;='Assumption Sheet'!$K31,X$1&lt;='Assumption Sheet'!$Y31),'Assumption Sheet'!$C31,0)</f>
        <v>0</v>
      </c>
      <c r="Y21" s="45">
        <f>IF(AND(Y$1&gt;='Assumption Sheet'!$K31,Y$1&lt;='Assumption Sheet'!$Y31),'Assumption Sheet'!$C31,0)</f>
        <v>0</v>
      </c>
      <c r="Z21" s="45">
        <f>IF(AND(Z$1&gt;='Assumption Sheet'!$K31,Z$1&lt;='Assumption Sheet'!$Y31),'Assumption Sheet'!$C31,0)</f>
        <v>0</v>
      </c>
      <c r="AA21" s="45">
        <f>IF(AND(AA$1&gt;='Assumption Sheet'!$K31,AA$1&lt;='Assumption Sheet'!$Y31),'Assumption Sheet'!$C31,0)</f>
        <v>0</v>
      </c>
      <c r="AB21" s="45">
        <f>IF(AND(AB$1&gt;='Assumption Sheet'!$K31,AB$1&lt;='Assumption Sheet'!$Y31),'Assumption Sheet'!$C31,0)</f>
        <v>0</v>
      </c>
      <c r="AC21" s="45">
        <f>IF(AND(AC$1&gt;='Assumption Sheet'!$K31,AC$1&lt;='Assumption Sheet'!$Y31),'Assumption Sheet'!$C31,0)</f>
        <v>0</v>
      </c>
      <c r="AD21" s="45">
        <f>IF(AND(AD$1&gt;='Assumption Sheet'!$K31,AD$1&lt;='Assumption Sheet'!$Y31),'Assumption Sheet'!$C31,0)</f>
        <v>0</v>
      </c>
      <c r="AE21" s="45">
        <f>IF(AND(AE$1&gt;='Assumption Sheet'!$K31,AE$1&lt;='Assumption Sheet'!$Y31),'Assumption Sheet'!$C31,0)</f>
        <v>0</v>
      </c>
      <c r="AF21" s="45">
        <f>IF(AND(AF$1&gt;='Assumption Sheet'!$K31,AF$1&lt;='Assumption Sheet'!$Y31),'Assumption Sheet'!$C31,0)</f>
        <v>0</v>
      </c>
      <c r="AG21" s="45">
        <f>IF(AND(AG$1&gt;='Assumption Sheet'!$K31,AG$1&lt;='Assumption Sheet'!$Y31),'Assumption Sheet'!$C31,0)</f>
        <v>0</v>
      </c>
      <c r="AH21" s="45">
        <f>IF(AND(AH$1&gt;='Assumption Sheet'!$K31,AH$1&lt;='Assumption Sheet'!$Y31),'Assumption Sheet'!$C31,0)</f>
        <v>0</v>
      </c>
      <c r="AI21" s="45">
        <f>IF(AND(AI$1&gt;='Assumption Sheet'!$K31,AI$1&lt;='Assumption Sheet'!$Y31),'Assumption Sheet'!$C31,0)</f>
        <v>0</v>
      </c>
      <c r="AJ21" s="45">
        <f>IF(AND(AJ$1&gt;='Assumption Sheet'!$K31,AJ$1&lt;='Assumption Sheet'!$Y31),'Assumption Sheet'!$C31,0)</f>
        <v>0</v>
      </c>
      <c r="AK21" s="45">
        <f>IF(AND(AK$1&gt;='Assumption Sheet'!$K31,AK$1&lt;='Assumption Sheet'!$Y31),'Assumption Sheet'!$C31,0)</f>
        <v>0</v>
      </c>
      <c r="AL21" s="45">
        <f>IF(AND(AL$1&gt;='Assumption Sheet'!$K31,AL$1&lt;='Assumption Sheet'!$Y31),'Assumption Sheet'!$C31,0)</f>
        <v>0</v>
      </c>
      <c r="AM21" s="45">
        <f>IF(AND(AM$1&gt;='Assumption Sheet'!$K31,AM$1&lt;='Assumption Sheet'!$Y31),'Assumption Sheet'!$C31,0)</f>
        <v>0</v>
      </c>
      <c r="AN21" s="45">
        <f>IF(AND(AN$1&gt;='Assumption Sheet'!$K31,AN$1&lt;='Assumption Sheet'!$Y31),'Assumption Sheet'!$C31,0)</f>
        <v>0</v>
      </c>
      <c r="AO21" s="45">
        <f>IF(AND(AO$1&gt;='Assumption Sheet'!$K31,AO$1&lt;='Assumption Sheet'!$Y31),'Assumption Sheet'!$C31,0)</f>
        <v>0</v>
      </c>
      <c r="AP21" s="45">
        <f>IF(AND(AP$1&gt;='Assumption Sheet'!$K31,AP$1&lt;='Assumption Sheet'!$Y31),'Assumption Sheet'!$C31,0)</f>
        <v>0</v>
      </c>
      <c r="AQ21" s="45">
        <f>IF(AND(AQ$1&gt;='Assumption Sheet'!$K31,AQ$1&lt;='Assumption Sheet'!$Y31),'Assumption Sheet'!$C31,0)</f>
        <v>0</v>
      </c>
      <c r="AR21" s="45">
        <f>IF(AND(AR$1&gt;='Assumption Sheet'!$K31,AR$1&lt;='Assumption Sheet'!$Y31),'Assumption Sheet'!$C31,0)</f>
        <v>0</v>
      </c>
      <c r="AS21" s="45">
        <f>IF(AND(AS$1&gt;='Assumption Sheet'!$K31,AS$1&lt;='Assumption Sheet'!$Y31),'Assumption Sheet'!$C31,0)</f>
        <v>0</v>
      </c>
      <c r="AT21" s="45">
        <f>IF(AND(AT$1&gt;='Assumption Sheet'!$K31,AT$1&lt;='Assumption Sheet'!$Y31),'Assumption Sheet'!$C31,0)</f>
        <v>0</v>
      </c>
      <c r="AU21" s="45">
        <f>IF(AND(AU$1&gt;='Assumption Sheet'!$K31,AU$1&lt;='Assumption Sheet'!$Y31),'Assumption Sheet'!$C31,0)</f>
        <v>0</v>
      </c>
      <c r="AV21" s="45">
        <f>IF(AND(AV$1&gt;='Assumption Sheet'!$K31,AV$1&lt;='Assumption Sheet'!$Y31),'Assumption Sheet'!$C31,0)</f>
        <v>0</v>
      </c>
      <c r="AW21" s="45">
        <f>IF(AND(AW$1&gt;='Assumption Sheet'!$K31,AW$1&lt;='Assumption Sheet'!$Y31),'Assumption Sheet'!$C31,0)</f>
        <v>0</v>
      </c>
      <c r="AX21" s="45">
        <f>IF(AND(AX$1&gt;='Assumption Sheet'!$K31,AX$1&lt;='Assumption Sheet'!$Y31),'Assumption Sheet'!$C31,0)</f>
        <v>0</v>
      </c>
      <c r="AY21" s="45">
        <f>IF(AND(AY$1&gt;='Assumption Sheet'!$K31,AY$1&lt;='Assumption Sheet'!$Y31),'Assumption Sheet'!$C31,0)</f>
        <v>0</v>
      </c>
      <c r="AZ21" s="45">
        <f>IF(AND(AZ$1&gt;='Assumption Sheet'!$K31,AZ$1&lt;='Assumption Sheet'!$Y31),'Assumption Sheet'!$C31,0)</f>
        <v>0</v>
      </c>
      <c r="BA21" s="45">
        <f>IF(AND(BA$1&gt;='Assumption Sheet'!$K31,BA$1&lt;='Assumption Sheet'!$Y31),'Assumption Sheet'!$C31,0)</f>
        <v>442012.39012455003</v>
      </c>
      <c r="BB21" s="45">
        <f>IF(AND(BB$1&gt;='Assumption Sheet'!$K31,BB$1&lt;='Assumption Sheet'!$Y31),'Assumption Sheet'!$C31,0)</f>
        <v>442012.39012455003</v>
      </c>
      <c r="BC21" s="45">
        <f>IF(AND(BC$1&gt;='Assumption Sheet'!$K31,BC$1&lt;='Assumption Sheet'!$Y31),'Assumption Sheet'!$C31,0)</f>
        <v>442012.39012455003</v>
      </c>
      <c r="BD21" s="45">
        <f>IF(AND(BD$1&gt;='Assumption Sheet'!$K31,BD$1&lt;='Assumption Sheet'!$Y31),'Assumption Sheet'!$C31,0)</f>
        <v>442012.39012455003</v>
      </c>
      <c r="BE21" s="45">
        <f>IF(AND(BE$1&gt;='Assumption Sheet'!$K31,BE$1&lt;='Assumption Sheet'!$Y31),'Assumption Sheet'!$C31,0)</f>
        <v>442012.39012455003</v>
      </c>
      <c r="BF21" s="45">
        <f>IF(AND(BF$1&gt;='Assumption Sheet'!$K31,BF$1&lt;='Assumption Sheet'!$Y31),'Assumption Sheet'!$C31,0)</f>
        <v>442012.39012455003</v>
      </c>
      <c r="BG21" s="45">
        <f>IF(AND(BG$1&gt;='Assumption Sheet'!$K31,BG$1&lt;='Assumption Sheet'!$Y31),'Assumption Sheet'!$C31,0)</f>
        <v>442012.39012455003</v>
      </c>
      <c r="BH21" s="45">
        <f>IF(AND(BH$1&gt;='Assumption Sheet'!$K31,BH$1&lt;='Assumption Sheet'!$Y31),'Assumption Sheet'!$C31,0)</f>
        <v>442012.39012455003</v>
      </c>
      <c r="BI21" s="45">
        <f>IF(AND(BI$1&gt;='Assumption Sheet'!$K31,BI$1&lt;='Assumption Sheet'!$Y31),'Assumption Sheet'!$C31,0)</f>
        <v>442012.39012455003</v>
      </c>
      <c r="BJ21" s="45">
        <f>IF(AND(BJ$1&gt;='Assumption Sheet'!$K31,BJ$1&lt;='Assumption Sheet'!$Y31),'Assumption Sheet'!$C31,0)</f>
        <v>442012.39012455003</v>
      </c>
      <c r="BK21" s="45">
        <f>IF(AND(BK$1&gt;='Assumption Sheet'!$K31,BK$1&lt;='Assumption Sheet'!$Y31),'Assumption Sheet'!$C31,0)</f>
        <v>442012.39012455003</v>
      </c>
      <c r="BL21" s="45">
        <f>IF(AND(BL$1&gt;='Assumption Sheet'!$K31,BL$1&lt;='Assumption Sheet'!$Y31),'Assumption Sheet'!$C31,0)</f>
        <v>442012.39012455003</v>
      </c>
      <c r="BM21" s="45">
        <f>IF(AND(BM$1&gt;='Assumption Sheet'!$K31,BM$1&lt;='Assumption Sheet'!$Y31),'Assumption Sheet'!$C31,0)</f>
        <v>442012.39012455003</v>
      </c>
      <c r="BN21" s="45">
        <f>IF(AND(BN$1&gt;='Assumption Sheet'!$K31,BN$1&lt;='Assumption Sheet'!$Y31),'Assumption Sheet'!$C31,0)</f>
        <v>442012.39012455003</v>
      </c>
      <c r="BO21" s="45">
        <f>IF(AND(BO$1&gt;='Assumption Sheet'!$K31,BO$1&lt;='Assumption Sheet'!$Y31),'Assumption Sheet'!$C31,0)</f>
        <v>442012.39012455003</v>
      </c>
      <c r="BP21" s="45">
        <f>IF(AND(BP$1&gt;='Assumption Sheet'!$K31,BP$1&lt;='Assumption Sheet'!$Y31),'Assumption Sheet'!$C31,0)</f>
        <v>442012.39012455003</v>
      </c>
      <c r="BQ21" s="45">
        <f>IF(AND(BQ$1&gt;='Assumption Sheet'!$K31,BQ$1&lt;='Assumption Sheet'!$Y31),'Assumption Sheet'!$C31,0)</f>
        <v>442012.39012455003</v>
      </c>
      <c r="BR21" s="45">
        <f>IF(AND(BR$1&gt;='Assumption Sheet'!$K31,BR$1&lt;='Assumption Sheet'!$Y31),'Assumption Sheet'!$C31,0)</f>
        <v>442012.39012455003</v>
      </c>
      <c r="BS21" s="45">
        <f>IF(AND(BS$1&gt;='Assumption Sheet'!$K31,BS$1&lt;='Assumption Sheet'!$Y31),'Assumption Sheet'!$C31,0)</f>
        <v>442012.39012455003</v>
      </c>
      <c r="BT21" s="45">
        <f>IF(AND(BT$1&gt;='Assumption Sheet'!$K31,BT$1&lt;='Assumption Sheet'!$Y31),'Assumption Sheet'!$C31,0)</f>
        <v>442012.39012455003</v>
      </c>
      <c r="BU21" s="45">
        <f>IF(AND(BU$1&gt;='Assumption Sheet'!$K31,BU$1&lt;='Assumption Sheet'!$Y31),'Assumption Sheet'!$C31,0)</f>
        <v>442012.39012455003</v>
      </c>
      <c r="BV21" s="45">
        <f>IF(AND(BV$1&gt;='Assumption Sheet'!$K31,BV$1&lt;='Assumption Sheet'!$Y31),'Assumption Sheet'!$C31,0)</f>
        <v>442012.39012455003</v>
      </c>
      <c r="BW21" s="45">
        <f>IF(AND(BW$1&gt;='Assumption Sheet'!$K31,BW$1&lt;='Assumption Sheet'!$Y31),'Assumption Sheet'!$C31,0)</f>
        <v>442012.39012455003</v>
      </c>
      <c r="BX21" s="45">
        <f>IF(AND(BX$1&gt;='Assumption Sheet'!$K31,BX$1&lt;='Assumption Sheet'!$Y31),'Assumption Sheet'!$C31,0)</f>
        <v>442012.39012455003</v>
      </c>
      <c r="BY21" s="45">
        <f>IF(AND(BY$1&gt;='Assumption Sheet'!$K31,BY$1&lt;='Assumption Sheet'!$Y31),'Assumption Sheet'!$C31,0)</f>
        <v>442012.39012455003</v>
      </c>
      <c r="BZ21" s="45">
        <f>IF(AND(BZ$1&gt;='Assumption Sheet'!$K31,BZ$1&lt;='Assumption Sheet'!$Y31),'Assumption Sheet'!$C31,0)</f>
        <v>442012.39012455003</v>
      </c>
      <c r="CA21" s="45">
        <f>IF(AND(CA$1&gt;='Assumption Sheet'!$K31,CA$1&lt;='Assumption Sheet'!$Y31),'Assumption Sheet'!$C31,0)</f>
        <v>442012.39012455003</v>
      </c>
      <c r="CB21" s="45">
        <f>IF(AND(CB$1&gt;='Assumption Sheet'!$K31,CB$1&lt;='Assumption Sheet'!$Y31),'Assumption Sheet'!$C31,0)</f>
        <v>442012.39012455003</v>
      </c>
      <c r="CC21" s="45">
        <f>IF(AND(CC$1&gt;='Assumption Sheet'!$K31,CC$1&lt;='Assumption Sheet'!$Y31),'Assumption Sheet'!$C31,0)</f>
        <v>442012.39012455003</v>
      </c>
      <c r="CD21" s="45">
        <f>IF(AND(CD$1&gt;='Assumption Sheet'!$K31,CD$1&lt;='Assumption Sheet'!$Y31),'Assumption Sheet'!$C31,0)</f>
        <v>442012.39012455003</v>
      </c>
      <c r="CE21" s="45">
        <f>IF(AND(CE$1&gt;='Assumption Sheet'!$K31,CE$1&lt;='Assumption Sheet'!$Y31),'Assumption Sheet'!$C31,0)</f>
        <v>442012.39012455003</v>
      </c>
      <c r="CF21" s="45">
        <f>IF(AND(CF$1&gt;='Assumption Sheet'!$K31,CF$1&lt;='Assumption Sheet'!$Y31),'Assumption Sheet'!$C31,0)</f>
        <v>442012.39012455003</v>
      </c>
      <c r="CG21" s="45">
        <f>IF(AND(CG$1&gt;='Assumption Sheet'!$K31,CG$1&lt;='Assumption Sheet'!$Y31),'Assumption Sheet'!$C31,0)</f>
        <v>442012.39012455003</v>
      </c>
      <c r="CH21" s="45">
        <f>IF(AND(CH$1&gt;='Assumption Sheet'!$K31,CH$1&lt;='Assumption Sheet'!$Y31),'Assumption Sheet'!$C31,0)</f>
        <v>442012.39012455003</v>
      </c>
      <c r="CI21" s="45">
        <f>IF(AND(CI$1&gt;='Assumption Sheet'!$K31,CI$1&lt;='Assumption Sheet'!$Y31),'Assumption Sheet'!$C31,0)</f>
        <v>442012.39012455003</v>
      </c>
      <c r="CJ21" s="45">
        <f>IF(AND(CJ$1&gt;='Assumption Sheet'!$K31,CJ$1&lt;='Assumption Sheet'!$Y31),'Assumption Sheet'!$C31,0)</f>
        <v>442012.39012455003</v>
      </c>
      <c r="CK21" s="45">
        <f>IF(AND(CK$1&gt;='Assumption Sheet'!$K31,CK$1&lt;='Assumption Sheet'!$Y31),'Assumption Sheet'!$C31,0)</f>
        <v>442012.39012455003</v>
      </c>
      <c r="CL21" s="45">
        <f>IF(AND(CL$1&gt;='Assumption Sheet'!$K31,CL$1&lt;='Assumption Sheet'!$Y31),'Assumption Sheet'!$C31,0)</f>
        <v>442012.39012455003</v>
      </c>
      <c r="CM21" s="45">
        <f>IF(AND(CM$1&gt;='Assumption Sheet'!$K31,CM$1&lt;='Assumption Sheet'!$Y31),'Assumption Sheet'!$C31,0)</f>
        <v>442012.39012455003</v>
      </c>
      <c r="CN21" s="45">
        <f>IF(AND(CN$1&gt;='Assumption Sheet'!$K31,CN$1&lt;='Assumption Sheet'!$Y31),'Assumption Sheet'!$C31,0)</f>
        <v>442012.39012455003</v>
      </c>
      <c r="CO21" s="45">
        <f>IF(AND(CO$1&gt;='Assumption Sheet'!$K31,CO$1&lt;='Assumption Sheet'!$Y31),'Assumption Sheet'!$C31,0)</f>
        <v>442012.39012455003</v>
      </c>
      <c r="CP21" s="45">
        <f>IF(AND(CP$1&gt;='Assumption Sheet'!$K31,CP$1&lt;='Assumption Sheet'!$Y31),'Assumption Sheet'!$C31,0)</f>
        <v>442012.39012455003</v>
      </c>
      <c r="CQ21" s="45">
        <f>IF(AND(CQ$1&gt;='Assumption Sheet'!$K31,CQ$1&lt;='Assumption Sheet'!$Y31),'Assumption Sheet'!$C31,0)</f>
        <v>442012.39012455003</v>
      </c>
      <c r="CR21" s="45">
        <f>IF(AND(CR$1&gt;='Assumption Sheet'!$K31,CR$1&lt;='Assumption Sheet'!$Y31),'Assumption Sheet'!$C31,0)</f>
        <v>442012.39012455003</v>
      </c>
      <c r="CS21" s="45">
        <f>IF(AND(CS$1&gt;='Assumption Sheet'!$K31,CS$1&lt;='Assumption Sheet'!$Y31),'Assumption Sheet'!$C31,0)</f>
        <v>442012.39012455003</v>
      </c>
      <c r="CT21" s="45">
        <f>IF(AND(CT$1&gt;='Assumption Sheet'!$K31,CT$1&lt;='Assumption Sheet'!$Y31),'Assumption Sheet'!$C31,0)</f>
        <v>442012.39012455003</v>
      </c>
      <c r="CU21" s="45">
        <f>IF(AND(CU$1&gt;='Assumption Sheet'!$K31,CU$1&lt;='Assumption Sheet'!$Y31),'Assumption Sheet'!$C31,0)</f>
        <v>442012.39012455003</v>
      </c>
      <c r="CV21" s="45">
        <f>IF(AND(CV$1&gt;='Assumption Sheet'!$K31,CV$1&lt;='Assumption Sheet'!$Y31),'Assumption Sheet'!$C31,0)</f>
        <v>442012.39012455003</v>
      </c>
      <c r="CW21" s="45">
        <f>IF(AND(CW$1&gt;='Assumption Sheet'!$K31,CW$1&lt;='Assumption Sheet'!$Y31),'Assumption Sheet'!$C31,0)</f>
        <v>442012.39012455003</v>
      </c>
      <c r="CX21" s="45">
        <f>IF(AND(CX$1&gt;='Assumption Sheet'!$K31,CX$1&lt;='Assumption Sheet'!$Y31),'Assumption Sheet'!$C31,0)</f>
        <v>442012.39012455003</v>
      </c>
      <c r="CY21" s="45">
        <f>IF(AND(CY$1&gt;='Assumption Sheet'!$K31,CY$1&lt;='Assumption Sheet'!$Y31),'Assumption Sheet'!$C31,0)</f>
        <v>442012.39012455003</v>
      </c>
      <c r="CZ21" s="45">
        <f>IF(AND(CZ$1&gt;='Assumption Sheet'!$K31,CZ$1&lt;='Assumption Sheet'!$Y31),'Assumption Sheet'!$C31,0)</f>
        <v>442012.39012455003</v>
      </c>
      <c r="DA21" s="45">
        <f>IF(AND(DA$1&gt;='Assumption Sheet'!$K31,DA$1&lt;='Assumption Sheet'!$Y31),'Assumption Sheet'!$C31,0)</f>
        <v>442012.39012455003</v>
      </c>
      <c r="DB21" s="45">
        <f>IF(AND(DB$1&gt;='Assumption Sheet'!$K31,DB$1&lt;='Assumption Sheet'!$Y31),'Assumption Sheet'!$C31,0)</f>
        <v>442012.39012455003</v>
      </c>
      <c r="DC21" s="45">
        <f>IF(AND(DC$1&gt;='Assumption Sheet'!$K31,DC$1&lt;='Assumption Sheet'!$Y31),'Assumption Sheet'!$C31,0)</f>
        <v>442012.39012455003</v>
      </c>
      <c r="DD21" s="45">
        <f>IF(AND(DD$1&gt;='Assumption Sheet'!$K31,DD$1&lt;='Assumption Sheet'!$Y31),'Assumption Sheet'!$C31,0)</f>
        <v>442012.39012455003</v>
      </c>
      <c r="DE21" s="45">
        <f>IF(AND(DE$1&gt;='Assumption Sheet'!$K31,DE$1&lt;='Assumption Sheet'!$Y31),'Assumption Sheet'!$C31,0)</f>
        <v>442012.39012455003</v>
      </c>
      <c r="DF21" s="45">
        <f>IF(AND(DF$1&gt;='Assumption Sheet'!$K31,DF$1&lt;='Assumption Sheet'!$Y31),'Assumption Sheet'!$C31,0)</f>
        <v>442012.39012455003</v>
      </c>
      <c r="DG21" s="45">
        <f>IF(AND(DG$1&gt;='Assumption Sheet'!$K31,DG$1&lt;='Assumption Sheet'!$Y31),'Assumption Sheet'!$C31,0)</f>
        <v>442012.39012455003</v>
      </c>
      <c r="DH21" s="45">
        <f>IF(AND(DH$1&gt;='Assumption Sheet'!$K31,DH$1&lt;='Assumption Sheet'!$Y31),'Assumption Sheet'!$C31,0)</f>
        <v>442012.39012455003</v>
      </c>
      <c r="DI21" s="45">
        <f>IF(AND(DI$1&gt;='Assumption Sheet'!$K31,DI$1&lt;='Assumption Sheet'!$Y31),'Assumption Sheet'!$C31,0)</f>
        <v>442012.39012455003</v>
      </c>
      <c r="DJ21" s="45">
        <f>IF(AND(DJ$1&gt;='Assumption Sheet'!$K31,DJ$1&lt;='Assumption Sheet'!$Y31),'Assumption Sheet'!$C31,0)</f>
        <v>442012.39012455003</v>
      </c>
      <c r="DK21" s="45">
        <f>IF(AND(DK$1&gt;='Assumption Sheet'!$K31,DK$1&lt;='Assumption Sheet'!$Y31),'Assumption Sheet'!$C31,0)</f>
        <v>442012.39012455003</v>
      </c>
      <c r="DL21" s="45">
        <f>IF(AND(DL$1&gt;='Assumption Sheet'!$K31,DL$1&lt;='Assumption Sheet'!$Y31),'Assumption Sheet'!$C31,0)</f>
        <v>442012.39012455003</v>
      </c>
      <c r="DM21" s="45">
        <f>IF(AND(DM$1&gt;='Assumption Sheet'!$K31,DM$1&lt;='Assumption Sheet'!$Y31),'Assumption Sheet'!$C31,0)</f>
        <v>442012.39012455003</v>
      </c>
      <c r="DN21" s="45">
        <f>IF(AND(DN$1&gt;='Assumption Sheet'!$K31,DN$1&lt;='Assumption Sheet'!$Y31),'Assumption Sheet'!$C31,0)</f>
        <v>442012.39012455003</v>
      </c>
      <c r="DO21" s="45">
        <f>IF(AND(DO$1&gt;='Assumption Sheet'!$K31,DO$1&lt;='Assumption Sheet'!$Y31),'Assumption Sheet'!$C31,0)</f>
        <v>442012.39012455003</v>
      </c>
      <c r="DP21" s="45">
        <f>IF(AND(DP$1&gt;='Assumption Sheet'!$K31,DP$1&lt;='Assumption Sheet'!$Y31),'Assumption Sheet'!$C31,0)</f>
        <v>442012.39012455003</v>
      </c>
      <c r="DQ21" s="45">
        <f>IF(AND(DQ$1&gt;='Assumption Sheet'!$K31,DQ$1&lt;='Assumption Sheet'!$Y31),'Assumption Sheet'!$C31,0)</f>
        <v>442012.39012455003</v>
      </c>
      <c r="DR21" s="45">
        <f>IF(AND(DR$1&gt;='Assumption Sheet'!$K31,DR$1&lt;='Assumption Sheet'!$Y31),'Assumption Sheet'!$C31,0)</f>
        <v>442012.39012455003</v>
      </c>
      <c r="DS21" s="45">
        <f>IF(AND(DS$1&gt;='Assumption Sheet'!$K31,DS$1&lt;='Assumption Sheet'!$Y31),'Assumption Sheet'!$C31,0)</f>
        <v>442012.39012455003</v>
      </c>
      <c r="DT21" s="45">
        <f>IF(AND(DT$1&gt;='Assumption Sheet'!$K31,DT$1&lt;='Assumption Sheet'!$Y31),'Assumption Sheet'!$C31,0)</f>
        <v>442012.39012455003</v>
      </c>
      <c r="DU21" s="45">
        <f>IF(AND(DU$1&gt;='Assumption Sheet'!$K31,DU$1&lt;='Assumption Sheet'!$Y31),'Assumption Sheet'!$C31,0)</f>
        <v>442012.39012455003</v>
      </c>
      <c r="DV21" s="45">
        <f>IF(AND(DV$1&gt;='Assumption Sheet'!$K31,DV$1&lt;='Assumption Sheet'!$Y31),'Assumption Sheet'!$C31,0)</f>
        <v>442012.39012455003</v>
      </c>
      <c r="DW21" s="45">
        <f>IF(AND(DW$1&gt;='Assumption Sheet'!$K31,DW$1&lt;='Assumption Sheet'!$Y31),'Assumption Sheet'!$C31,0)</f>
        <v>442012.39012455003</v>
      </c>
      <c r="DX21" s="45">
        <f>IF(AND(DX$1&gt;='Assumption Sheet'!$K31,DX$1&lt;='Assumption Sheet'!$Y31),'Assumption Sheet'!$C31,0)</f>
        <v>442012.39012455003</v>
      </c>
      <c r="DY21" s="45">
        <f>IF(AND(DY$1&gt;='Assumption Sheet'!$K31,DY$1&lt;='Assumption Sheet'!$Y31),'Assumption Sheet'!$C31,0)</f>
        <v>442012.39012455003</v>
      </c>
      <c r="DZ21" s="45">
        <f>IF(AND(DZ$1&gt;='Assumption Sheet'!$K31,DZ$1&lt;='Assumption Sheet'!$Y31),'Assumption Sheet'!$C31,0)</f>
        <v>442012.39012455003</v>
      </c>
      <c r="EA21" s="45">
        <f>IF(AND(EA$1&gt;='Assumption Sheet'!$K31,EA$1&lt;='Assumption Sheet'!$Y31),'Assumption Sheet'!$C31,0)</f>
        <v>442012.39012455003</v>
      </c>
      <c r="EB21" s="45">
        <f>IF(AND(EB$1&gt;='Assumption Sheet'!$K31,EB$1&lt;='Assumption Sheet'!$Y31),'Assumption Sheet'!$C31,0)</f>
        <v>442012.39012455003</v>
      </c>
      <c r="EC21" s="45">
        <f>IF(AND(EC$1&gt;='Assumption Sheet'!$K31,EC$1&lt;='Assumption Sheet'!$Y31),'Assumption Sheet'!$C31,0)</f>
        <v>442012.39012455003</v>
      </c>
      <c r="ED21" s="45">
        <f>IF(AND(ED$1&gt;='Assumption Sheet'!$K31,ED$1&lt;='Assumption Sheet'!$Y31),'Assumption Sheet'!$C31,0)</f>
        <v>442012.39012455003</v>
      </c>
      <c r="EE21" s="45">
        <f>IF(AND(EE$1&gt;='Assumption Sheet'!$K31,EE$1&lt;='Assumption Sheet'!$Y31),'Assumption Sheet'!$C31,0)</f>
        <v>442012.39012455003</v>
      </c>
      <c r="EF21" s="45">
        <f>IF(AND(EF$1&gt;='Assumption Sheet'!$K31,EF$1&lt;='Assumption Sheet'!$Y31),'Assumption Sheet'!$C31,0)</f>
        <v>442012.39012455003</v>
      </c>
      <c r="EG21" s="45">
        <f>IF(AND(EG$1&gt;='Assumption Sheet'!$K31,EG$1&lt;='Assumption Sheet'!$Y31),'Assumption Sheet'!$C31,0)</f>
        <v>442012.39012455003</v>
      </c>
      <c r="EH21" s="45">
        <f>IF(AND(EH$1&gt;='Assumption Sheet'!$K31,EH$1&lt;='Assumption Sheet'!$Y31),'Assumption Sheet'!$C31,0)</f>
        <v>442012.39012455003</v>
      </c>
      <c r="EI21" s="45">
        <f>IF(AND(EI$1&gt;='Assumption Sheet'!$K31,EI$1&lt;='Assumption Sheet'!$Y31),'Assumption Sheet'!$C31,0)</f>
        <v>442012.39012455003</v>
      </c>
      <c r="EJ21" s="45">
        <f>IF(AND(EJ$1&gt;='Assumption Sheet'!$K31,EJ$1&lt;='Assumption Sheet'!$Y31),'Assumption Sheet'!$C31,0)</f>
        <v>442012.39012455003</v>
      </c>
      <c r="EK21" s="45">
        <f>IF(AND(EK$1&gt;='Assumption Sheet'!$K31,EK$1&lt;='Assumption Sheet'!$Y31),'Assumption Sheet'!$C31,0)</f>
        <v>442012.39012455003</v>
      </c>
      <c r="EL21" s="45">
        <f>IF(AND(EL$1&gt;='Assumption Sheet'!$K31,EL$1&lt;='Assumption Sheet'!$Y31),'Assumption Sheet'!$C31,0)</f>
        <v>442012.39012455003</v>
      </c>
      <c r="EM21" s="45">
        <f>IF(AND(EM$1&gt;='Assumption Sheet'!$K31,EM$1&lt;='Assumption Sheet'!$Y31),'Assumption Sheet'!$C31,0)</f>
        <v>442012.39012455003</v>
      </c>
      <c r="EN21" s="45">
        <f>IF(AND(EN$1&gt;='Assumption Sheet'!$K31,EN$1&lt;='Assumption Sheet'!$Y31),'Assumption Sheet'!$C31,0)</f>
        <v>442012.39012455003</v>
      </c>
      <c r="EO21" s="45">
        <f>IF(AND(EO$1&gt;='Assumption Sheet'!$K31,EO$1&lt;='Assumption Sheet'!$Y31),'Assumption Sheet'!$C31,0)</f>
        <v>442012.39012455003</v>
      </c>
      <c r="EP21" s="45">
        <f>IF(AND(EP$1&gt;='Assumption Sheet'!$K31,EP$1&lt;='Assumption Sheet'!$Y31),'Assumption Sheet'!$C31,0)</f>
        <v>442012.39012455003</v>
      </c>
      <c r="EQ21" s="45">
        <f>IF(AND(EQ$1&gt;='Assumption Sheet'!$K31,EQ$1&lt;='Assumption Sheet'!$Y31),'Assumption Sheet'!$C31,0)</f>
        <v>442012.39012455003</v>
      </c>
      <c r="ER21" s="45">
        <f>IF(AND(ER$1&gt;='Assumption Sheet'!$K31,ER$1&lt;='Assumption Sheet'!$Y31),'Assumption Sheet'!$C31,0)</f>
        <v>442012.39012455003</v>
      </c>
      <c r="ES21" s="45">
        <f>IF(AND(ES$1&gt;='Assumption Sheet'!$K31,ES$1&lt;='Assumption Sheet'!$Y31),'Assumption Sheet'!$C31,0)</f>
        <v>442012.39012455003</v>
      </c>
      <c r="ET21" s="45">
        <f>IF(AND(ET$1&gt;='Assumption Sheet'!$K31,ET$1&lt;='Assumption Sheet'!$Y31),'Assumption Sheet'!$C31,0)</f>
        <v>442012.39012455003</v>
      </c>
      <c r="EU21" s="45">
        <f>IF(AND(EU$1&gt;='Assumption Sheet'!$K31,EU$1&lt;='Assumption Sheet'!$Y31),'Assumption Sheet'!$C31,0)</f>
        <v>442012.39012455003</v>
      </c>
      <c r="EV21" s="45">
        <f>IF(AND(EV$1&gt;='Assumption Sheet'!$K31,EV$1&lt;='Assumption Sheet'!$Y31),'Assumption Sheet'!$C31,0)</f>
        <v>442012.39012455003</v>
      </c>
      <c r="EW21" s="45">
        <f>IF(AND(EW$1&gt;='Assumption Sheet'!$K31,EW$1&lt;='Assumption Sheet'!$Y31),'Assumption Sheet'!$C31,0)</f>
        <v>442012.39012455003</v>
      </c>
      <c r="EX21" s="45">
        <f>IF(AND(EX$1&gt;='Assumption Sheet'!$K31,EX$1&lt;='Assumption Sheet'!$Y31),'Assumption Sheet'!$C31,0)</f>
        <v>442012.39012455003</v>
      </c>
      <c r="EY21" s="45">
        <f>IF(AND(EY$1&gt;='Assumption Sheet'!$K31,EY$1&lt;='Assumption Sheet'!$Y31),'Assumption Sheet'!$C31,0)</f>
        <v>442012.39012455003</v>
      </c>
      <c r="EZ21" s="45">
        <f>IF(AND(EZ$1&gt;='Assumption Sheet'!$K31,EZ$1&lt;='Assumption Sheet'!$Y31),'Assumption Sheet'!$C31,0)</f>
        <v>442012.39012455003</v>
      </c>
      <c r="FA21" s="45">
        <f>IF(AND(FA$1&gt;='Assumption Sheet'!$K31,FA$1&lt;='Assumption Sheet'!$Y31),'Assumption Sheet'!$C31,0)</f>
        <v>442012.39012455003</v>
      </c>
      <c r="FB21" s="45">
        <f>IF(AND(FB$1&gt;='Assumption Sheet'!$K31,FB$1&lt;='Assumption Sheet'!$Y31),'Assumption Sheet'!$C31,0)</f>
        <v>442012.39012455003</v>
      </c>
      <c r="FC21" s="45">
        <f>IF(AND(FC$1&gt;='Assumption Sheet'!$K31,FC$1&lt;='Assumption Sheet'!$Y31),'Assumption Sheet'!$C31,0)</f>
        <v>442012.39012455003</v>
      </c>
      <c r="FD21" s="45">
        <f>IF(AND(FD$1&gt;='Assumption Sheet'!$K31,FD$1&lt;='Assumption Sheet'!$Y31),'Assumption Sheet'!$C31,0)</f>
        <v>442012.39012455003</v>
      </c>
      <c r="FE21" s="45">
        <f>IF(AND(FE$1&gt;='Assumption Sheet'!$K31,FE$1&lt;='Assumption Sheet'!$Y31),'Assumption Sheet'!$C31,0)</f>
        <v>442012.39012455003</v>
      </c>
      <c r="FF21" s="45">
        <f>IF(AND(FF$1&gt;='Assumption Sheet'!$K31,FF$1&lt;='Assumption Sheet'!$Y31),'Assumption Sheet'!$C31,0)</f>
        <v>442012.39012455003</v>
      </c>
      <c r="FG21" s="45">
        <f>IF(AND(FG$1&gt;='Assumption Sheet'!$K31,FG$1&lt;='Assumption Sheet'!$Y31),'Assumption Sheet'!$C31,0)</f>
        <v>442012.39012455003</v>
      </c>
      <c r="FH21" s="45">
        <f>IF(AND(FH$1&gt;='Assumption Sheet'!$K31,FH$1&lt;='Assumption Sheet'!$Y31),'Assumption Sheet'!$C31,0)</f>
        <v>442012.39012455003</v>
      </c>
      <c r="FI21" s="45">
        <f>IF(AND(FI$1&gt;='Assumption Sheet'!$K31,FI$1&lt;='Assumption Sheet'!$Y31),'Assumption Sheet'!$C31,0)</f>
        <v>442012.39012455003</v>
      </c>
      <c r="FJ21" s="45">
        <f>IF(AND(FJ$1&gt;='Assumption Sheet'!$K31,FJ$1&lt;='Assumption Sheet'!$Y31),'Assumption Sheet'!$C31,0)</f>
        <v>442012.39012455003</v>
      </c>
      <c r="FK21" s="45">
        <f>IF(AND(FK$1&gt;='Assumption Sheet'!$K31,FK$1&lt;='Assumption Sheet'!$Y31),'Assumption Sheet'!$C31,0)</f>
        <v>442012.39012455003</v>
      </c>
      <c r="FL21" s="45">
        <f>IF(AND(FL$1&gt;='Assumption Sheet'!$K31,FL$1&lt;='Assumption Sheet'!$Y31),'Assumption Sheet'!$C31,0)</f>
        <v>442012.39012455003</v>
      </c>
      <c r="FM21" s="45">
        <f>IF(AND(FM$1&gt;='Assumption Sheet'!$K31,FM$1&lt;='Assumption Sheet'!$Y31),'Assumption Sheet'!$C31,0)</f>
        <v>442012.39012455003</v>
      </c>
      <c r="FN21" s="45">
        <f>IF(AND(FN$1&gt;='Assumption Sheet'!$K31,FN$1&lt;='Assumption Sheet'!$Y31),'Assumption Sheet'!$C31,0)</f>
        <v>442012.39012455003</v>
      </c>
      <c r="FO21" s="45">
        <f>IF(AND(FO$1&gt;='Assumption Sheet'!$K31,FO$1&lt;='Assumption Sheet'!$Y31),'Assumption Sheet'!$C31,0)</f>
        <v>442012.39012455003</v>
      </c>
      <c r="FP21" s="45">
        <f>IF(AND(FP$1&gt;='Assumption Sheet'!$K31,FP$1&lt;='Assumption Sheet'!$Y31),'Assumption Sheet'!$C31,0)</f>
        <v>442012.39012455003</v>
      </c>
      <c r="FQ21" s="45">
        <f>IF(AND(FQ$1&gt;='Assumption Sheet'!$K31,FQ$1&lt;='Assumption Sheet'!$Y31),'Assumption Sheet'!$C31,0)</f>
        <v>442012.39012455003</v>
      </c>
      <c r="FR21" s="45">
        <f>IF(AND(FR$1&gt;='Assumption Sheet'!$K31,FR$1&lt;='Assumption Sheet'!$Y31),'Assumption Sheet'!$C31,0)</f>
        <v>442012.39012455003</v>
      </c>
      <c r="FS21" s="45">
        <f>IF(AND(FS$1&gt;='Assumption Sheet'!$K31,FS$1&lt;='Assumption Sheet'!$Y31),'Assumption Sheet'!$C31,0)</f>
        <v>442012.39012455003</v>
      </c>
      <c r="FT21" s="45">
        <f>IF(AND(FT$1&gt;='Assumption Sheet'!$K31,FT$1&lt;='Assumption Sheet'!$Y31),'Assumption Sheet'!$C31,0)</f>
        <v>442012.39012455003</v>
      </c>
      <c r="FU21" s="45">
        <f>IF(AND(FU$1&gt;='Assumption Sheet'!$K31,FU$1&lt;='Assumption Sheet'!$Y31),'Assumption Sheet'!$C31,0)</f>
        <v>442012.39012455003</v>
      </c>
      <c r="FV21" s="45">
        <f>IF(AND(FV$1&gt;='Assumption Sheet'!$K31,FV$1&lt;='Assumption Sheet'!$Y31),'Assumption Sheet'!$C31,0)</f>
        <v>442012.39012455003</v>
      </c>
      <c r="FW21" s="45">
        <f>IF(AND(FW$1&gt;='Assumption Sheet'!$K31,FW$1&lt;='Assumption Sheet'!$Y31),'Assumption Sheet'!$C31,0)</f>
        <v>442012.39012455003</v>
      </c>
      <c r="FX21" s="45">
        <f>IF(AND(FX$1&gt;='Assumption Sheet'!$K31,FX$1&lt;='Assumption Sheet'!$Y31),'Assumption Sheet'!$C31,0)</f>
        <v>442012.39012455003</v>
      </c>
      <c r="FY21" s="45">
        <f>IF(AND(FY$1&gt;='Assumption Sheet'!$K31,FY$1&lt;='Assumption Sheet'!$Y31),'Assumption Sheet'!$C31,0)</f>
        <v>442012.39012455003</v>
      </c>
      <c r="FZ21" s="45">
        <f>IF(AND(FZ$1&gt;='Assumption Sheet'!$K31,FZ$1&lt;='Assumption Sheet'!$Y31),'Assumption Sheet'!$C31,0)</f>
        <v>442012.39012455003</v>
      </c>
      <c r="GA21" s="45">
        <f>IF(AND(GA$1&gt;='Assumption Sheet'!$K31,GA$1&lt;='Assumption Sheet'!$Y31),'Assumption Sheet'!$C31,0)</f>
        <v>442012.39012455003</v>
      </c>
      <c r="GB21" s="45">
        <f>IF(AND(GB$1&gt;='Assumption Sheet'!$K31,GB$1&lt;='Assumption Sheet'!$Y31),'Assumption Sheet'!$C31,0)</f>
        <v>442012.39012455003</v>
      </c>
      <c r="GC21" s="45">
        <f>IF(AND(GC$1&gt;='Assumption Sheet'!$K31,GC$1&lt;='Assumption Sheet'!$Y31),'Assumption Sheet'!$C31,0)</f>
        <v>442012.39012455003</v>
      </c>
      <c r="GD21" s="45">
        <f>IF(AND(GD$1&gt;='Assumption Sheet'!$K31,GD$1&lt;='Assumption Sheet'!$Y31),'Assumption Sheet'!$C31,0)</f>
        <v>442012.39012455003</v>
      </c>
      <c r="GE21" s="45">
        <f>IF(AND(GE$1&gt;='Assumption Sheet'!$K31,GE$1&lt;='Assumption Sheet'!$Y31),'Assumption Sheet'!$C31,0)</f>
        <v>442012.39012455003</v>
      </c>
      <c r="GF21" s="45">
        <f>IF(AND(GF$1&gt;='Assumption Sheet'!$K31,GF$1&lt;='Assumption Sheet'!$Y31),'Assumption Sheet'!$C31,0)</f>
        <v>442012.39012455003</v>
      </c>
      <c r="GG21" s="45">
        <f>IF(AND(GG$1&gt;='Assumption Sheet'!$K31,GG$1&lt;='Assumption Sheet'!$Y31),'Assumption Sheet'!$C31,0)</f>
        <v>442012.39012455003</v>
      </c>
      <c r="GH21" s="45">
        <f>IF(AND(GH$1&gt;='Assumption Sheet'!$K31,GH$1&lt;='Assumption Sheet'!$Y31),'Assumption Sheet'!$C31,0)</f>
        <v>442012.39012455003</v>
      </c>
      <c r="GI21" s="45">
        <f>IF(AND(GI$1&gt;='Assumption Sheet'!$K31,GI$1&lt;='Assumption Sheet'!$Y31),'Assumption Sheet'!$C31,0)</f>
        <v>442012.39012455003</v>
      </c>
      <c r="GJ21" s="45">
        <f>IF(AND(GJ$1&gt;='Assumption Sheet'!$K31,GJ$1&lt;='Assumption Sheet'!$Y31),'Assumption Sheet'!$C31,0)</f>
        <v>442012.39012455003</v>
      </c>
      <c r="GK21" s="45">
        <f>IF(AND(GK$1&gt;='Assumption Sheet'!$K31,GK$1&lt;='Assumption Sheet'!$Y31),'Assumption Sheet'!$C31,0)</f>
        <v>442012.39012455003</v>
      </c>
      <c r="GL21" s="45">
        <f>IF(AND(GL$1&gt;='Assumption Sheet'!$K31,GL$1&lt;='Assumption Sheet'!$Y31),'Assumption Sheet'!$C31,0)</f>
        <v>442012.39012455003</v>
      </c>
      <c r="GM21" s="45">
        <f>IF(AND(GM$1&gt;='Assumption Sheet'!$K31,GM$1&lt;='Assumption Sheet'!$Y31),'Assumption Sheet'!$C31,0)</f>
        <v>442012.39012455003</v>
      </c>
      <c r="GN21" s="45">
        <f>IF(AND(GN$1&gt;='Assumption Sheet'!$K31,GN$1&lt;='Assumption Sheet'!$Y31),'Assumption Sheet'!$C31,0)</f>
        <v>442012.39012455003</v>
      </c>
      <c r="GO21" s="45">
        <f>IF(AND(GO$1&gt;='Assumption Sheet'!$K31,GO$1&lt;='Assumption Sheet'!$Y31),'Assumption Sheet'!$C31,0)</f>
        <v>442012.39012455003</v>
      </c>
      <c r="GP21" s="45">
        <f>IF(AND(GP$1&gt;='Assumption Sheet'!$K31,GP$1&lt;='Assumption Sheet'!$Y31),'Assumption Sheet'!$C31,0)</f>
        <v>442012.39012455003</v>
      </c>
      <c r="GQ21" s="45">
        <f>IF(AND(GQ$1&gt;='Assumption Sheet'!$K31,GQ$1&lt;='Assumption Sheet'!$Y31),'Assumption Sheet'!$C31,0)</f>
        <v>442012.39012455003</v>
      </c>
      <c r="GR21" s="45">
        <f>IF(AND(GR$1&gt;='Assumption Sheet'!$K31,GR$1&lt;='Assumption Sheet'!$Y31),'Assumption Sheet'!$C31,0)</f>
        <v>442012.39012455003</v>
      </c>
      <c r="GS21" s="45">
        <f>IF(AND(GS$1&gt;='Assumption Sheet'!$K31,GS$1&lt;='Assumption Sheet'!$Y31),'Assumption Sheet'!$C31,0)</f>
        <v>442012.39012455003</v>
      </c>
      <c r="GT21" s="45">
        <f>IF(AND(GT$1&gt;='Assumption Sheet'!$K31,GT$1&lt;='Assumption Sheet'!$Y31),'Assumption Sheet'!$C31,0)</f>
        <v>442012.39012455003</v>
      </c>
      <c r="GU21" s="45">
        <f>IF(AND(GU$1&gt;='Assumption Sheet'!$K31,GU$1&lt;='Assumption Sheet'!$Y31),'Assumption Sheet'!$C31,0)</f>
        <v>442012.39012455003</v>
      </c>
      <c r="GV21" s="45">
        <f>IF(AND(GV$1&gt;='Assumption Sheet'!$K31,GV$1&lt;='Assumption Sheet'!$Y31),'Assumption Sheet'!$C31,0)</f>
        <v>442012.39012455003</v>
      </c>
      <c r="GW21" s="45">
        <f>IF(AND(GW$1&gt;='Assumption Sheet'!$K31,GW$1&lt;='Assumption Sheet'!$Y31),'Assumption Sheet'!$C31,0)</f>
        <v>442012.39012455003</v>
      </c>
      <c r="GX21" s="45">
        <f>IF(AND(GX$1&gt;='Assumption Sheet'!$K31,GX$1&lt;='Assumption Sheet'!$Y31),'Assumption Sheet'!$C31,0)</f>
        <v>442012.39012455003</v>
      </c>
      <c r="GY21" s="45">
        <f>IF(AND(GY$1&gt;='Assumption Sheet'!$K31,GY$1&lt;='Assumption Sheet'!$Y31),'Assumption Sheet'!$C31,0)</f>
        <v>442012.39012455003</v>
      </c>
      <c r="GZ21" s="45">
        <f>IF(AND(GZ$1&gt;='Assumption Sheet'!$K31,GZ$1&lt;='Assumption Sheet'!$Y31),'Assumption Sheet'!$C31,0)</f>
        <v>442012.39012455003</v>
      </c>
      <c r="HA21" s="45">
        <f>IF(AND(HA$1&gt;='Assumption Sheet'!$K31,HA$1&lt;='Assumption Sheet'!$Y31),'Assumption Sheet'!$C31,0)</f>
        <v>442012.39012455003</v>
      </c>
      <c r="HB21" s="45">
        <f>IF(AND(HB$1&gt;='Assumption Sheet'!$K31,HB$1&lt;='Assumption Sheet'!$Y31),'Assumption Sheet'!$C31,0)</f>
        <v>442012.39012455003</v>
      </c>
      <c r="HC21" s="45">
        <f>IF(AND(HC$1&gt;='Assumption Sheet'!$K31,HC$1&lt;='Assumption Sheet'!$Y31),'Assumption Sheet'!$C31,0)</f>
        <v>442012.39012455003</v>
      </c>
      <c r="HD21" s="45">
        <f>IF(AND(HD$1&gt;='Assumption Sheet'!$K31,HD$1&lt;='Assumption Sheet'!$Y31),'Assumption Sheet'!$C31,0)</f>
        <v>442012.39012455003</v>
      </c>
      <c r="HE21" s="45">
        <f>IF(AND(HE$1&gt;='Assumption Sheet'!$K31,HE$1&lt;='Assumption Sheet'!$Y31),'Assumption Sheet'!$C31,0)</f>
        <v>442012.39012455003</v>
      </c>
      <c r="HF21" s="45">
        <f>IF(AND(HF$1&gt;='Assumption Sheet'!$K31,HF$1&lt;='Assumption Sheet'!$Y31),'Assumption Sheet'!$C31,0)</f>
        <v>442012.39012455003</v>
      </c>
      <c r="HG21" s="45">
        <f>IF(AND(HG$1&gt;='Assumption Sheet'!$K31,HG$1&lt;='Assumption Sheet'!$Y31),'Assumption Sheet'!$C31,0)</f>
        <v>442012.39012455003</v>
      </c>
      <c r="HH21" s="45">
        <f>IF(AND(HH$1&gt;='Assumption Sheet'!$K31,HH$1&lt;='Assumption Sheet'!$Y31),'Assumption Sheet'!$C31,0)</f>
        <v>442012.39012455003</v>
      </c>
      <c r="HI21" s="45">
        <f>IF(AND(HI$1&gt;='Assumption Sheet'!$K31,HI$1&lt;='Assumption Sheet'!$Y31),'Assumption Sheet'!$C31,0)</f>
        <v>442012.39012455003</v>
      </c>
      <c r="HJ21" s="45">
        <f>IF(AND(HJ$1&gt;='Assumption Sheet'!$K31,HJ$1&lt;='Assumption Sheet'!$Y31),'Assumption Sheet'!$C31,0)</f>
        <v>442012.39012455003</v>
      </c>
      <c r="HK21" s="45">
        <f>IF(AND(HK$1&gt;='Assumption Sheet'!$K31,HK$1&lt;='Assumption Sheet'!$Y31),'Assumption Sheet'!$C31,0)</f>
        <v>442012.39012455003</v>
      </c>
      <c r="HL21" s="45">
        <f>IF(AND(HL$1&gt;='Assumption Sheet'!$K31,HL$1&lt;='Assumption Sheet'!$Y31),'Assumption Sheet'!$C31,0)</f>
        <v>442012.39012455003</v>
      </c>
      <c r="HM21" s="45">
        <f>IF(AND(HM$1&gt;='Assumption Sheet'!$K31,HM$1&lt;='Assumption Sheet'!$Y31),'Assumption Sheet'!$C31,0)</f>
        <v>442012.39012455003</v>
      </c>
      <c r="HN21" s="45">
        <f>IF(AND(HN$1&gt;='Assumption Sheet'!$K31,HN$1&lt;='Assumption Sheet'!$Y31),'Assumption Sheet'!$C31,0)</f>
        <v>442012.39012455003</v>
      </c>
      <c r="HO21" s="45">
        <f>IF(AND(HO$1&gt;='Assumption Sheet'!$K31,HO$1&lt;='Assumption Sheet'!$Y31),'Assumption Sheet'!$C31,0)</f>
        <v>442012.39012455003</v>
      </c>
      <c r="HP21" s="45">
        <f>IF(AND(HP$1&gt;='Assumption Sheet'!$K31,HP$1&lt;='Assumption Sheet'!$Y31),'Assumption Sheet'!$C31,0)</f>
        <v>442012.39012455003</v>
      </c>
      <c r="HQ21" s="45">
        <f>IF(AND(HQ$1&gt;='Assumption Sheet'!$K31,HQ$1&lt;='Assumption Sheet'!$Y31),'Assumption Sheet'!$C31,0)</f>
        <v>442012.39012455003</v>
      </c>
      <c r="HR21" s="45">
        <f>IF(AND(HR$1&gt;='Assumption Sheet'!$K31,HR$1&lt;='Assumption Sheet'!$Y31),'Assumption Sheet'!$C31,0)</f>
        <v>442012.39012455003</v>
      </c>
      <c r="HS21" s="45">
        <f>IF(AND(HS$1&gt;='Assumption Sheet'!$K31,HS$1&lt;='Assumption Sheet'!$Y31),'Assumption Sheet'!$C31,0)</f>
        <v>442012.39012455003</v>
      </c>
      <c r="HT21" s="45">
        <f>IF(AND(HT$1&gt;='Assumption Sheet'!$K31,HT$1&lt;='Assumption Sheet'!$Y31),'Assumption Sheet'!$C31,0)</f>
        <v>442012.39012455003</v>
      </c>
      <c r="HU21" s="45">
        <f>IF(AND(HU$1&gt;='Assumption Sheet'!$K31,HU$1&lt;='Assumption Sheet'!$Y31),'Assumption Sheet'!$C31,0)</f>
        <v>442012.39012455003</v>
      </c>
      <c r="HV21" s="45">
        <f>IF(AND(HV$1&gt;='Assumption Sheet'!$K31,HV$1&lt;='Assumption Sheet'!$Y31),'Assumption Sheet'!$C31,0)</f>
        <v>442012.39012455003</v>
      </c>
      <c r="HW21" s="45">
        <f>IF(AND(HW$1&gt;='Assumption Sheet'!$K31,HW$1&lt;='Assumption Sheet'!$Y31),'Assumption Sheet'!$C31,0)</f>
        <v>442012.39012455003</v>
      </c>
      <c r="HX21" s="45">
        <f>IF(AND(HX$1&gt;='Assumption Sheet'!$K31,HX$1&lt;='Assumption Sheet'!$Y31),'Assumption Sheet'!$C31,0)</f>
        <v>442012.39012455003</v>
      </c>
      <c r="HY21" s="45">
        <f>IF(AND(HY$1&gt;='Assumption Sheet'!$K31,HY$1&lt;='Assumption Sheet'!$Y31),'Assumption Sheet'!$C31,0)</f>
        <v>442012.39012455003</v>
      </c>
      <c r="HZ21" s="45">
        <f>IF(AND(HZ$1&gt;='Assumption Sheet'!$K31,HZ$1&lt;='Assumption Sheet'!$Y31),'Assumption Sheet'!$C31,0)</f>
        <v>442012.39012455003</v>
      </c>
      <c r="IA21" s="45">
        <f>IF(AND(IA$1&gt;='Assumption Sheet'!$K31,IA$1&lt;='Assumption Sheet'!$Y31),'Assumption Sheet'!$C31,0)</f>
        <v>442012.39012455003</v>
      </c>
      <c r="IB21" s="45">
        <f>IF(AND(IB$1&gt;='Assumption Sheet'!$K31,IB$1&lt;='Assumption Sheet'!$Y31),'Assumption Sheet'!$C31,0)</f>
        <v>442012.39012455003</v>
      </c>
      <c r="IC21" s="45">
        <f>IF(AND(IC$1&gt;='Assumption Sheet'!$K31,IC$1&lt;='Assumption Sheet'!$Y31),'Assumption Sheet'!$C31,0)</f>
        <v>442012.39012455003</v>
      </c>
      <c r="ID21" s="45">
        <f>IF(AND(ID$1&gt;='Assumption Sheet'!$K31,ID$1&lt;='Assumption Sheet'!$Y31),'Assumption Sheet'!$C31,0)</f>
        <v>442012.39012455003</v>
      </c>
      <c r="IE21" s="45">
        <f>IF(AND(IE$1&gt;='Assumption Sheet'!$K31,IE$1&lt;='Assumption Sheet'!$Y31),'Assumption Sheet'!$C31,0)</f>
        <v>442012.39012455003</v>
      </c>
      <c r="IF21" s="45">
        <f>IF(AND(IF$1&gt;='Assumption Sheet'!$K31,IF$1&lt;='Assumption Sheet'!$Y31),'Assumption Sheet'!$C31,0)</f>
        <v>442012.39012455003</v>
      </c>
      <c r="IG21" s="45">
        <f>IF(AND(IG$1&gt;='Assumption Sheet'!$K31,IG$1&lt;='Assumption Sheet'!$Y31),'Assumption Sheet'!$C31,0)</f>
        <v>442012.39012455003</v>
      </c>
      <c r="IH21" s="45">
        <f>IF(AND(IH$1&gt;='Assumption Sheet'!$K31,IH$1&lt;='Assumption Sheet'!$Y31),'Assumption Sheet'!$C31,0)</f>
        <v>442012.39012455003</v>
      </c>
      <c r="II21" s="45">
        <f>IF(AND(II$1&gt;='Assumption Sheet'!$K31,II$1&lt;='Assumption Sheet'!$Y31),'Assumption Sheet'!$C31,0)</f>
        <v>442012.39012455003</v>
      </c>
      <c r="IJ21" s="45">
        <f>IF(AND(IJ$1&gt;='Assumption Sheet'!$K31,IJ$1&lt;='Assumption Sheet'!$Y31),'Assumption Sheet'!$C31,0)</f>
        <v>442012.39012455003</v>
      </c>
      <c r="IK21" s="45">
        <f>IF(AND(IK$1&gt;='Assumption Sheet'!$K31,IK$1&lt;='Assumption Sheet'!$Y31),'Assumption Sheet'!$C31,0)</f>
        <v>442012.39012455003</v>
      </c>
      <c r="IL21" s="45">
        <f>IF(AND(IL$1&gt;='Assumption Sheet'!$K31,IL$1&lt;='Assumption Sheet'!$Y31),'Assumption Sheet'!$C31,0)</f>
        <v>442012.39012455003</v>
      </c>
      <c r="IM21" s="45">
        <f>IF(AND(IM$1&gt;='Assumption Sheet'!$K31,IM$1&lt;='Assumption Sheet'!$Y31),'Assumption Sheet'!$C31,0)</f>
        <v>442012.39012455003</v>
      </c>
      <c r="IN21" s="45">
        <f>IF(AND(IN$1&gt;='Assumption Sheet'!$K31,IN$1&lt;='Assumption Sheet'!$Y31),'Assumption Sheet'!$C31,0)</f>
        <v>442012.39012455003</v>
      </c>
      <c r="IO21" s="45">
        <f>IF(AND(IO$1&gt;='Assumption Sheet'!$K31,IO$1&lt;='Assumption Sheet'!$Y31),'Assumption Sheet'!$C31,0)</f>
        <v>442012.39012455003</v>
      </c>
      <c r="IP21" s="45">
        <f>IF(AND(IP$1&gt;='Assumption Sheet'!$K31,IP$1&lt;='Assumption Sheet'!$Y31),'Assumption Sheet'!$C31,0)</f>
        <v>442012.39012455003</v>
      </c>
      <c r="IQ21" s="45">
        <f>IF(AND(IQ$1&gt;='Assumption Sheet'!$K31,IQ$1&lt;='Assumption Sheet'!$Y31),'Assumption Sheet'!$C31,0)</f>
        <v>442012.39012455003</v>
      </c>
      <c r="IR21" s="45">
        <f>IF(AND(IR$1&gt;='Assumption Sheet'!$K31,IR$1&lt;='Assumption Sheet'!$Y31),'Assumption Sheet'!$C31,0)</f>
        <v>442012.39012455003</v>
      </c>
      <c r="IS21" s="45">
        <f>IF(AND(IS$1&gt;='Assumption Sheet'!$K31,IS$1&lt;='Assumption Sheet'!$Y31),'Assumption Sheet'!$C31,0)</f>
        <v>442012.39012455003</v>
      </c>
      <c r="IT21" s="45">
        <f>IF(AND(IT$1&gt;='Assumption Sheet'!$K31,IT$1&lt;='Assumption Sheet'!$Y31),'Assumption Sheet'!$C31,0)</f>
        <v>442012.39012455003</v>
      </c>
      <c r="IU21" s="45">
        <f>IF(AND(IU$1&gt;='Assumption Sheet'!$K31,IU$1&lt;='Assumption Sheet'!$Y31),'Assumption Sheet'!$C31,0)</f>
        <v>442012.39012455003</v>
      </c>
      <c r="IV21" s="45">
        <f>IF(AND(IV$1&gt;='Assumption Sheet'!$K31,IV$1&lt;='Assumption Sheet'!$Y31),'Assumption Sheet'!$C31,0)</f>
        <v>442012.39012455003</v>
      </c>
      <c r="IW21" s="45">
        <f>IF(AND(IW$1&gt;='Assumption Sheet'!$K31,IW$1&lt;='Assumption Sheet'!$Y31),'Assumption Sheet'!$C31,0)</f>
        <v>442012.39012455003</v>
      </c>
      <c r="IX21" s="45">
        <f>IF(AND(IX$1&gt;='Assumption Sheet'!$K31,IX$1&lt;='Assumption Sheet'!$Y31),'Assumption Sheet'!$C31,0)</f>
        <v>442012.39012455003</v>
      </c>
      <c r="IY21" s="45">
        <f>IF(AND(IY$1&gt;='Assumption Sheet'!$K31,IY$1&lt;='Assumption Sheet'!$Y31),'Assumption Sheet'!$C31,0)</f>
        <v>442012.39012455003</v>
      </c>
      <c r="IZ21" s="45">
        <f>IF(AND(IZ$1&gt;='Assumption Sheet'!$K31,IZ$1&lt;='Assumption Sheet'!$Y31),'Assumption Sheet'!$C31,0)</f>
        <v>442012.39012455003</v>
      </c>
      <c r="JA21" s="45">
        <f>IF(AND(JA$1&gt;='Assumption Sheet'!$K31,JA$1&lt;='Assumption Sheet'!$Y31),'Assumption Sheet'!$C31,0)</f>
        <v>442012.39012455003</v>
      </c>
      <c r="JB21" s="45">
        <f>IF(AND(JB$1&gt;='Assumption Sheet'!$K31,JB$1&lt;='Assumption Sheet'!$Y31),'Assumption Sheet'!$C31,0)</f>
        <v>442012.39012455003</v>
      </c>
      <c r="JC21" s="45">
        <f>IF(AND(JC$1&gt;='Assumption Sheet'!$K31,JC$1&lt;='Assumption Sheet'!$Y31),'Assumption Sheet'!$C31,0)</f>
        <v>442012.39012455003</v>
      </c>
      <c r="JD21" s="45">
        <f>IF(AND(JD$1&gt;='Assumption Sheet'!$K31,JD$1&lt;='Assumption Sheet'!$Y31),'Assumption Sheet'!$C31,0)</f>
        <v>442012.39012455003</v>
      </c>
      <c r="JE21" s="45">
        <f>IF(AND(JE$1&gt;='Assumption Sheet'!$K31,JE$1&lt;='Assumption Sheet'!$Y31),'Assumption Sheet'!$C31,0)</f>
        <v>442012.39012455003</v>
      </c>
      <c r="JF21" s="45">
        <f>IF(AND(JF$1&gt;='Assumption Sheet'!$K31,JF$1&lt;='Assumption Sheet'!$Y31),'Assumption Sheet'!$C31,0)</f>
        <v>442012.39012455003</v>
      </c>
      <c r="JG21" s="45">
        <f>IF(AND(JG$1&gt;='Assumption Sheet'!$K31,JG$1&lt;='Assumption Sheet'!$Y31),'Assumption Sheet'!$C31,0)</f>
        <v>442012.39012455003</v>
      </c>
      <c r="JH21" s="45">
        <f>IF(AND(JH$1&gt;='Assumption Sheet'!$K31,JH$1&lt;='Assumption Sheet'!$Y31),'Assumption Sheet'!$C31,0)</f>
        <v>442012.39012455003</v>
      </c>
      <c r="JI21" s="45">
        <f>IF(AND(JI$1&gt;='Assumption Sheet'!$K31,JI$1&lt;='Assumption Sheet'!$Y31),'Assumption Sheet'!$C31,0)</f>
        <v>442012.39012455003</v>
      </c>
      <c r="JJ21" s="45">
        <f>IF(AND(JJ$1&gt;='Assumption Sheet'!$K31,JJ$1&lt;='Assumption Sheet'!$Y31),'Assumption Sheet'!$C31,0)</f>
        <v>442012.39012455003</v>
      </c>
      <c r="JK21" s="45">
        <f>IF(AND(JK$1&gt;='Assumption Sheet'!$K31,JK$1&lt;='Assumption Sheet'!$Y31),'Assumption Sheet'!$C31,0)</f>
        <v>442012.39012455003</v>
      </c>
      <c r="JL21" s="45">
        <f>IF(AND(JL$1&gt;='Assumption Sheet'!$K31,JL$1&lt;='Assumption Sheet'!$Y31),'Assumption Sheet'!$C31,0)</f>
        <v>442012.39012455003</v>
      </c>
      <c r="JM21" s="45">
        <f>IF(AND(JM$1&gt;='Assumption Sheet'!$K31,JM$1&lt;='Assumption Sheet'!$Y31),'Assumption Sheet'!$C31,0)</f>
        <v>442012.39012455003</v>
      </c>
      <c r="JN21" s="45">
        <f>IF(AND(JN$1&gt;='Assumption Sheet'!$K31,JN$1&lt;='Assumption Sheet'!$Y31),'Assumption Sheet'!$C31,0)</f>
        <v>442012.39012455003</v>
      </c>
      <c r="JO21" s="45">
        <f>IF(AND(JO$1&gt;='Assumption Sheet'!$K31,JO$1&lt;='Assumption Sheet'!$Y31),'Assumption Sheet'!$C31,0)</f>
        <v>442012.39012455003</v>
      </c>
      <c r="JP21" s="45">
        <f>IF(AND(JP$1&gt;='Assumption Sheet'!$K31,JP$1&lt;='Assumption Sheet'!$Y31),'Assumption Sheet'!$C31,0)</f>
        <v>442012.39012455003</v>
      </c>
      <c r="JQ21" s="45">
        <f>IF(AND(JQ$1&gt;='Assumption Sheet'!$K31,JQ$1&lt;='Assumption Sheet'!$Y31),'Assumption Sheet'!$C31,0)</f>
        <v>442012.39012455003</v>
      </c>
      <c r="JR21" s="45">
        <f>IF(AND(JR$1&gt;='Assumption Sheet'!$K31,JR$1&lt;='Assumption Sheet'!$Y31),'Assumption Sheet'!$C31,0)</f>
        <v>442012.39012455003</v>
      </c>
      <c r="JS21" s="45">
        <f>IF(AND(JS$1&gt;='Assumption Sheet'!$K31,JS$1&lt;='Assumption Sheet'!$Y31),'Assumption Sheet'!$C31,0)</f>
        <v>442012.39012455003</v>
      </c>
      <c r="JT21" s="45">
        <f>IF(AND(JT$1&gt;='Assumption Sheet'!$K31,JT$1&lt;='Assumption Sheet'!$Y31),'Assumption Sheet'!$C31,0)</f>
        <v>442012.39012455003</v>
      </c>
      <c r="JU21" s="45">
        <f>IF(AND(JU$1&gt;='Assumption Sheet'!$K31,JU$1&lt;='Assumption Sheet'!$Y31),'Assumption Sheet'!$C31,0)</f>
        <v>442012.39012455003</v>
      </c>
      <c r="JV21" s="45">
        <f>IF(AND(JV$1&gt;='Assumption Sheet'!$K31,JV$1&lt;='Assumption Sheet'!$Y31),'Assumption Sheet'!$C31,0)</f>
        <v>442012.39012455003</v>
      </c>
      <c r="JW21" s="45">
        <f>IF(AND(JW$1&gt;='Assumption Sheet'!$K31,JW$1&lt;='Assumption Sheet'!$Y31),'Assumption Sheet'!$C31,0)</f>
        <v>442012.39012455003</v>
      </c>
      <c r="JX21" s="45">
        <f>IF(AND(JX$1&gt;='Assumption Sheet'!$K31,JX$1&lt;='Assumption Sheet'!$Y31),'Assumption Sheet'!$C31,0)</f>
        <v>442012.39012455003</v>
      </c>
      <c r="JY21" s="45">
        <f>IF(AND(JY$1&gt;='Assumption Sheet'!$K31,JY$1&lt;='Assumption Sheet'!$Y31),'Assumption Sheet'!$C31,0)</f>
        <v>442012.39012455003</v>
      </c>
      <c r="JZ21" s="45">
        <f>IF(AND(JZ$1&gt;='Assumption Sheet'!$K31,JZ$1&lt;='Assumption Sheet'!$Y31),'Assumption Sheet'!$C31,0)</f>
        <v>442012.39012455003</v>
      </c>
      <c r="KA21" s="45">
        <f>IF(AND(KA$1&gt;='Assumption Sheet'!$K31,KA$1&lt;='Assumption Sheet'!$Y31),'Assumption Sheet'!$C31,0)</f>
        <v>0</v>
      </c>
      <c r="KB21" s="45">
        <f>IF(AND(KB$1&gt;='Assumption Sheet'!$K31,KB$1&lt;='Assumption Sheet'!$Y31),'Assumption Sheet'!$C31,0)</f>
        <v>0</v>
      </c>
      <c r="KC21" s="45">
        <f>IF(AND(KC$1&gt;='Assumption Sheet'!$K31,KC$1&lt;='Assumption Sheet'!$Y31),'Assumption Sheet'!$C31,0)</f>
        <v>0</v>
      </c>
      <c r="KD21" s="45"/>
      <c r="KE21" s="45"/>
      <c r="KF21" s="45"/>
      <c r="KG21" s="45"/>
      <c r="KH21" s="45"/>
      <c r="KI21" s="45"/>
      <c r="KJ21" s="45"/>
      <c r="KK21" s="45"/>
      <c r="KL21" s="45"/>
      <c r="KM21" s="45"/>
      <c r="KN21" s="45"/>
      <c r="KO21" s="45"/>
    </row>
    <row r="22" spans="1:301" x14ac:dyDescent="0.3">
      <c r="B22" s="1" t="str">
        <f>B13</f>
        <v>Phase 5</v>
      </c>
      <c r="E22" s="45">
        <f>IF(AND(E$1&gt;='Assumption Sheet'!$K32,E$1&lt;='Assumption Sheet'!$Y32),'Assumption Sheet'!$C32,0)</f>
        <v>0</v>
      </c>
      <c r="F22" s="45">
        <f>IF(AND(F$1&gt;='Assumption Sheet'!$K32,F$1&lt;='Assumption Sheet'!$Y32),'Assumption Sheet'!$C32,0)</f>
        <v>0</v>
      </c>
      <c r="G22" s="45">
        <f>IF(AND(G$1&gt;='Assumption Sheet'!$K32,G$1&lt;='Assumption Sheet'!$Y32),'Assumption Sheet'!$C32,0)</f>
        <v>0</v>
      </c>
      <c r="H22" s="45">
        <f>IF(AND(H$1&gt;='Assumption Sheet'!$K32,H$1&lt;='Assumption Sheet'!$Y32),'Assumption Sheet'!$C32,0)</f>
        <v>0</v>
      </c>
      <c r="I22" s="45">
        <f>IF(AND(I$1&gt;='Assumption Sheet'!$K32,I$1&lt;='Assumption Sheet'!$Y32),'Assumption Sheet'!$C32,0)</f>
        <v>0</v>
      </c>
      <c r="J22" s="45">
        <f>IF(AND(J$1&gt;='Assumption Sheet'!$K32,J$1&lt;='Assumption Sheet'!$Y32),'Assumption Sheet'!$C32,0)</f>
        <v>0</v>
      </c>
      <c r="K22" s="45">
        <f>IF(AND(K$1&gt;='Assumption Sheet'!$K32,K$1&lt;='Assumption Sheet'!$Y32),'Assumption Sheet'!$C32,0)</f>
        <v>0</v>
      </c>
      <c r="L22" s="45">
        <f>IF(AND(L$1&gt;='Assumption Sheet'!$K32,L$1&lt;='Assumption Sheet'!$Y32),'Assumption Sheet'!$C32,0)</f>
        <v>0</v>
      </c>
      <c r="M22" s="45">
        <f>IF(AND(M$1&gt;='Assumption Sheet'!$K32,M$1&lt;='Assumption Sheet'!$Y32),'Assumption Sheet'!$C32,0)</f>
        <v>0</v>
      </c>
      <c r="N22" s="45">
        <f>IF(AND(N$1&gt;='Assumption Sheet'!$K32,N$1&lt;='Assumption Sheet'!$Y32),'Assumption Sheet'!$C32,0)</f>
        <v>0</v>
      </c>
      <c r="O22" s="45">
        <f>IF(AND(O$1&gt;='Assumption Sheet'!$K32,O$1&lt;='Assumption Sheet'!$Y32),'Assumption Sheet'!$C32,0)</f>
        <v>0</v>
      </c>
      <c r="P22" s="45">
        <f>IF(AND(P$1&gt;='Assumption Sheet'!$K32,P$1&lt;='Assumption Sheet'!$Y32),'Assumption Sheet'!$C32,0)</f>
        <v>0</v>
      </c>
      <c r="Q22" s="45">
        <f>IF(AND(Q$1&gt;='Assumption Sheet'!$K32,Q$1&lt;='Assumption Sheet'!$Y32),'Assumption Sheet'!$C32,0)</f>
        <v>0</v>
      </c>
      <c r="R22" s="45">
        <f>IF(AND(R$1&gt;='Assumption Sheet'!$K32,R$1&lt;='Assumption Sheet'!$Y32),'Assumption Sheet'!$C32,0)</f>
        <v>0</v>
      </c>
      <c r="S22" s="45">
        <f>IF(AND(S$1&gt;='Assumption Sheet'!$K32,S$1&lt;='Assumption Sheet'!$Y32),'Assumption Sheet'!$C32,0)</f>
        <v>0</v>
      </c>
      <c r="T22" s="45">
        <f>IF(AND(T$1&gt;='Assumption Sheet'!$K32,T$1&lt;='Assumption Sheet'!$Y32),'Assumption Sheet'!$C32,0)</f>
        <v>0</v>
      </c>
      <c r="U22" s="45">
        <f>IF(AND(U$1&gt;='Assumption Sheet'!$K32,U$1&lt;='Assumption Sheet'!$Y32),'Assumption Sheet'!$C32,0)</f>
        <v>0</v>
      </c>
      <c r="V22" s="45">
        <f>IF(AND(V$1&gt;='Assumption Sheet'!$K32,V$1&lt;='Assumption Sheet'!$Y32),'Assumption Sheet'!$C32,0)</f>
        <v>0</v>
      </c>
      <c r="W22" s="45">
        <f>IF(AND(W$1&gt;='Assumption Sheet'!$K32,W$1&lt;='Assumption Sheet'!$Y32),'Assumption Sheet'!$C32,0)</f>
        <v>0</v>
      </c>
      <c r="X22" s="45">
        <f>IF(AND(X$1&gt;='Assumption Sheet'!$K32,X$1&lt;='Assumption Sheet'!$Y32),'Assumption Sheet'!$C32,0)</f>
        <v>0</v>
      </c>
      <c r="Y22" s="45">
        <f>IF(AND(Y$1&gt;='Assumption Sheet'!$K32,Y$1&lt;='Assumption Sheet'!$Y32),'Assumption Sheet'!$C32,0)</f>
        <v>0</v>
      </c>
      <c r="Z22" s="45">
        <f>IF(AND(Z$1&gt;='Assumption Sheet'!$K32,Z$1&lt;='Assumption Sheet'!$Y32),'Assumption Sheet'!$C32,0)</f>
        <v>0</v>
      </c>
      <c r="AA22" s="45">
        <f>IF(AND(AA$1&gt;='Assumption Sheet'!$K32,AA$1&lt;='Assumption Sheet'!$Y32),'Assumption Sheet'!$C32,0)</f>
        <v>0</v>
      </c>
      <c r="AB22" s="45">
        <f>IF(AND(AB$1&gt;='Assumption Sheet'!$K32,AB$1&lt;='Assumption Sheet'!$Y32),'Assumption Sheet'!$C32,0)</f>
        <v>0</v>
      </c>
      <c r="AC22" s="45">
        <f>IF(AND(AC$1&gt;='Assumption Sheet'!$K32,AC$1&lt;='Assumption Sheet'!$Y32),'Assumption Sheet'!$C32,0)</f>
        <v>0</v>
      </c>
      <c r="AD22" s="45">
        <f>IF(AND(AD$1&gt;='Assumption Sheet'!$K32,AD$1&lt;='Assumption Sheet'!$Y32),'Assumption Sheet'!$C32,0)</f>
        <v>0</v>
      </c>
      <c r="AE22" s="45">
        <f>IF(AND(AE$1&gt;='Assumption Sheet'!$K32,AE$1&lt;='Assumption Sheet'!$Y32),'Assumption Sheet'!$C32,0)</f>
        <v>0</v>
      </c>
      <c r="AF22" s="45">
        <f>IF(AND(AF$1&gt;='Assumption Sheet'!$K32,AF$1&lt;='Assumption Sheet'!$Y32),'Assumption Sheet'!$C32,0)</f>
        <v>0</v>
      </c>
      <c r="AG22" s="45">
        <f>IF(AND(AG$1&gt;='Assumption Sheet'!$K32,AG$1&lt;='Assumption Sheet'!$Y32),'Assumption Sheet'!$C32,0)</f>
        <v>0</v>
      </c>
      <c r="AH22" s="45">
        <f>IF(AND(AH$1&gt;='Assumption Sheet'!$K32,AH$1&lt;='Assumption Sheet'!$Y32),'Assumption Sheet'!$C32,0)</f>
        <v>0</v>
      </c>
      <c r="AI22" s="45">
        <f>IF(AND(AI$1&gt;='Assumption Sheet'!$K32,AI$1&lt;='Assumption Sheet'!$Y32),'Assumption Sheet'!$C32,0)</f>
        <v>0</v>
      </c>
      <c r="AJ22" s="45">
        <f>IF(AND(AJ$1&gt;='Assumption Sheet'!$K32,AJ$1&lt;='Assumption Sheet'!$Y32),'Assumption Sheet'!$C32,0)</f>
        <v>0</v>
      </c>
      <c r="AK22" s="45">
        <f>IF(AND(AK$1&gt;='Assumption Sheet'!$K32,AK$1&lt;='Assumption Sheet'!$Y32),'Assumption Sheet'!$C32,0)</f>
        <v>0</v>
      </c>
      <c r="AL22" s="45">
        <f>IF(AND(AL$1&gt;='Assumption Sheet'!$K32,AL$1&lt;='Assumption Sheet'!$Y32),'Assumption Sheet'!$C32,0)</f>
        <v>0</v>
      </c>
      <c r="AM22" s="45">
        <f>IF(AND(AM$1&gt;='Assumption Sheet'!$K32,AM$1&lt;='Assumption Sheet'!$Y32),'Assumption Sheet'!$C32,0)</f>
        <v>0</v>
      </c>
      <c r="AN22" s="45">
        <f>IF(AND(AN$1&gt;='Assumption Sheet'!$K32,AN$1&lt;='Assumption Sheet'!$Y32),'Assumption Sheet'!$C32,0)</f>
        <v>0</v>
      </c>
      <c r="AO22" s="45">
        <f>IF(AND(AO$1&gt;='Assumption Sheet'!$K32,AO$1&lt;='Assumption Sheet'!$Y32),'Assumption Sheet'!$C32,0)</f>
        <v>0</v>
      </c>
      <c r="AP22" s="45">
        <f>IF(AND(AP$1&gt;='Assumption Sheet'!$K32,AP$1&lt;='Assumption Sheet'!$Y32),'Assumption Sheet'!$C32,0)</f>
        <v>0</v>
      </c>
      <c r="AQ22" s="45">
        <f>IF(AND(AQ$1&gt;='Assumption Sheet'!$K32,AQ$1&lt;='Assumption Sheet'!$Y32),'Assumption Sheet'!$C32,0)</f>
        <v>0</v>
      </c>
      <c r="AR22" s="45">
        <f>IF(AND(AR$1&gt;='Assumption Sheet'!$K32,AR$1&lt;='Assumption Sheet'!$Y32),'Assumption Sheet'!$C32,0)</f>
        <v>0</v>
      </c>
      <c r="AS22" s="45">
        <f>IF(AND(AS$1&gt;='Assumption Sheet'!$K32,AS$1&lt;='Assumption Sheet'!$Y32),'Assumption Sheet'!$C32,0)</f>
        <v>0</v>
      </c>
      <c r="AT22" s="45">
        <f>IF(AND(AT$1&gt;='Assumption Sheet'!$K32,AT$1&lt;='Assumption Sheet'!$Y32),'Assumption Sheet'!$C32,0)</f>
        <v>0</v>
      </c>
      <c r="AU22" s="45">
        <f>IF(AND(AU$1&gt;='Assumption Sheet'!$K32,AU$1&lt;='Assumption Sheet'!$Y32),'Assumption Sheet'!$C32,0)</f>
        <v>0</v>
      </c>
      <c r="AV22" s="45">
        <f>IF(AND(AV$1&gt;='Assumption Sheet'!$K32,AV$1&lt;='Assumption Sheet'!$Y32),'Assumption Sheet'!$C32,0)</f>
        <v>0</v>
      </c>
      <c r="AW22" s="45">
        <f>IF(AND(AW$1&gt;='Assumption Sheet'!$K32,AW$1&lt;='Assumption Sheet'!$Y32),'Assumption Sheet'!$C32,0)</f>
        <v>0</v>
      </c>
      <c r="AX22" s="45">
        <f>IF(AND(AX$1&gt;='Assumption Sheet'!$K32,AX$1&lt;='Assumption Sheet'!$Y32),'Assumption Sheet'!$C32,0)</f>
        <v>0</v>
      </c>
      <c r="AY22" s="45">
        <f>IF(AND(AY$1&gt;='Assumption Sheet'!$K32,AY$1&lt;='Assumption Sheet'!$Y32),'Assumption Sheet'!$C32,0)</f>
        <v>0</v>
      </c>
      <c r="AZ22" s="45">
        <f>IF(AND(AZ$1&gt;='Assumption Sheet'!$K32,AZ$1&lt;='Assumption Sheet'!$Y32),'Assumption Sheet'!$C32,0)</f>
        <v>0</v>
      </c>
      <c r="BA22" s="45">
        <f>IF(AND(BA$1&gt;='Assumption Sheet'!$K32,BA$1&lt;='Assumption Sheet'!$Y32),'Assumption Sheet'!$C32,0)</f>
        <v>0</v>
      </c>
      <c r="BB22" s="45">
        <f>IF(AND(BB$1&gt;='Assumption Sheet'!$K32,BB$1&lt;='Assumption Sheet'!$Y32),'Assumption Sheet'!$C32,0)</f>
        <v>0</v>
      </c>
      <c r="BC22" s="45">
        <f>IF(AND(BC$1&gt;='Assumption Sheet'!$K32,BC$1&lt;='Assumption Sheet'!$Y32),'Assumption Sheet'!$C32,0)</f>
        <v>0</v>
      </c>
      <c r="BD22" s="45">
        <f>IF(AND(BD$1&gt;='Assumption Sheet'!$K32,BD$1&lt;='Assumption Sheet'!$Y32),'Assumption Sheet'!$C32,0)</f>
        <v>0</v>
      </c>
      <c r="BE22" s="45">
        <f>IF(AND(BE$1&gt;='Assumption Sheet'!$K32,BE$1&lt;='Assumption Sheet'!$Y32),'Assumption Sheet'!$C32,0)</f>
        <v>0</v>
      </c>
      <c r="BF22" s="45">
        <f>IF(AND(BF$1&gt;='Assumption Sheet'!$K32,BF$1&lt;='Assumption Sheet'!$Y32),'Assumption Sheet'!$C32,0)</f>
        <v>0</v>
      </c>
      <c r="BG22" s="45">
        <f>IF(AND(BG$1&gt;='Assumption Sheet'!$K32,BG$1&lt;='Assumption Sheet'!$Y32),'Assumption Sheet'!$C32,0)</f>
        <v>0</v>
      </c>
      <c r="BH22" s="45">
        <f>IF(AND(BH$1&gt;='Assumption Sheet'!$K32,BH$1&lt;='Assumption Sheet'!$Y32),'Assumption Sheet'!$C32,0)</f>
        <v>0</v>
      </c>
      <c r="BI22" s="45">
        <f>IF(AND(BI$1&gt;='Assumption Sheet'!$K32,BI$1&lt;='Assumption Sheet'!$Y32),'Assumption Sheet'!$C32,0)</f>
        <v>0</v>
      </c>
      <c r="BJ22" s="45">
        <f>IF(AND(BJ$1&gt;='Assumption Sheet'!$K32,BJ$1&lt;='Assumption Sheet'!$Y32),'Assumption Sheet'!$C32,0)</f>
        <v>92093.425793250004</v>
      </c>
      <c r="BK22" s="45">
        <f>IF(AND(BK$1&gt;='Assumption Sheet'!$K32,BK$1&lt;='Assumption Sheet'!$Y32),'Assumption Sheet'!$C32,0)</f>
        <v>92093.425793250004</v>
      </c>
      <c r="BL22" s="45">
        <f>IF(AND(BL$1&gt;='Assumption Sheet'!$K32,BL$1&lt;='Assumption Sheet'!$Y32),'Assumption Sheet'!$C32,0)</f>
        <v>92093.425793250004</v>
      </c>
      <c r="BM22" s="45">
        <f>IF(AND(BM$1&gt;='Assumption Sheet'!$K32,BM$1&lt;='Assumption Sheet'!$Y32),'Assumption Sheet'!$C32,0)</f>
        <v>92093.425793250004</v>
      </c>
      <c r="BN22" s="45">
        <f>IF(AND(BN$1&gt;='Assumption Sheet'!$K32,BN$1&lt;='Assumption Sheet'!$Y32),'Assumption Sheet'!$C32,0)</f>
        <v>92093.425793250004</v>
      </c>
      <c r="BO22" s="45">
        <f>IF(AND(BO$1&gt;='Assumption Sheet'!$K32,BO$1&lt;='Assumption Sheet'!$Y32),'Assumption Sheet'!$C32,0)</f>
        <v>92093.425793250004</v>
      </c>
      <c r="BP22" s="45">
        <f>IF(AND(BP$1&gt;='Assumption Sheet'!$K32,BP$1&lt;='Assumption Sheet'!$Y32),'Assumption Sheet'!$C32,0)</f>
        <v>92093.425793250004</v>
      </c>
      <c r="BQ22" s="45">
        <f>IF(AND(BQ$1&gt;='Assumption Sheet'!$K32,BQ$1&lt;='Assumption Sheet'!$Y32),'Assumption Sheet'!$C32,0)</f>
        <v>92093.425793250004</v>
      </c>
      <c r="BR22" s="45">
        <f>IF(AND(BR$1&gt;='Assumption Sheet'!$K32,BR$1&lt;='Assumption Sheet'!$Y32),'Assumption Sheet'!$C32,0)</f>
        <v>92093.425793250004</v>
      </c>
      <c r="BS22" s="45">
        <f>IF(AND(BS$1&gt;='Assumption Sheet'!$K32,BS$1&lt;='Assumption Sheet'!$Y32),'Assumption Sheet'!$C32,0)</f>
        <v>92093.425793250004</v>
      </c>
      <c r="BT22" s="45">
        <f>IF(AND(BT$1&gt;='Assumption Sheet'!$K32,BT$1&lt;='Assumption Sheet'!$Y32),'Assumption Sheet'!$C32,0)</f>
        <v>92093.425793250004</v>
      </c>
      <c r="BU22" s="45">
        <f>IF(AND(BU$1&gt;='Assumption Sheet'!$K32,BU$1&lt;='Assumption Sheet'!$Y32),'Assumption Sheet'!$C32,0)</f>
        <v>92093.425793250004</v>
      </c>
      <c r="BV22" s="45">
        <f>IF(AND(BV$1&gt;='Assumption Sheet'!$K32,BV$1&lt;='Assumption Sheet'!$Y32),'Assumption Sheet'!$C32,0)</f>
        <v>92093.425793250004</v>
      </c>
      <c r="BW22" s="45">
        <f>IF(AND(BW$1&gt;='Assumption Sheet'!$K32,BW$1&lt;='Assumption Sheet'!$Y32),'Assumption Sheet'!$C32,0)</f>
        <v>92093.425793250004</v>
      </c>
      <c r="BX22" s="45">
        <f>IF(AND(BX$1&gt;='Assumption Sheet'!$K32,BX$1&lt;='Assumption Sheet'!$Y32),'Assumption Sheet'!$C32,0)</f>
        <v>92093.425793250004</v>
      </c>
      <c r="BY22" s="45">
        <f>IF(AND(BY$1&gt;='Assumption Sheet'!$K32,BY$1&lt;='Assumption Sheet'!$Y32),'Assumption Sheet'!$C32,0)</f>
        <v>92093.425793250004</v>
      </c>
      <c r="BZ22" s="45">
        <f>IF(AND(BZ$1&gt;='Assumption Sheet'!$K32,BZ$1&lt;='Assumption Sheet'!$Y32),'Assumption Sheet'!$C32,0)</f>
        <v>92093.425793250004</v>
      </c>
      <c r="CA22" s="45">
        <f>IF(AND(CA$1&gt;='Assumption Sheet'!$K32,CA$1&lt;='Assumption Sheet'!$Y32),'Assumption Sheet'!$C32,0)</f>
        <v>92093.425793250004</v>
      </c>
      <c r="CB22" s="45">
        <f>IF(AND(CB$1&gt;='Assumption Sheet'!$K32,CB$1&lt;='Assumption Sheet'!$Y32),'Assumption Sheet'!$C32,0)</f>
        <v>92093.425793250004</v>
      </c>
      <c r="CC22" s="45">
        <f>IF(AND(CC$1&gt;='Assumption Sheet'!$K32,CC$1&lt;='Assumption Sheet'!$Y32),'Assumption Sheet'!$C32,0)</f>
        <v>92093.425793250004</v>
      </c>
      <c r="CD22" s="45">
        <f>IF(AND(CD$1&gt;='Assumption Sheet'!$K32,CD$1&lt;='Assumption Sheet'!$Y32),'Assumption Sheet'!$C32,0)</f>
        <v>92093.425793250004</v>
      </c>
      <c r="CE22" s="45">
        <f>IF(AND(CE$1&gt;='Assumption Sheet'!$K32,CE$1&lt;='Assumption Sheet'!$Y32),'Assumption Sheet'!$C32,0)</f>
        <v>92093.425793250004</v>
      </c>
      <c r="CF22" s="45">
        <f>IF(AND(CF$1&gt;='Assumption Sheet'!$K32,CF$1&lt;='Assumption Sheet'!$Y32),'Assumption Sheet'!$C32,0)</f>
        <v>92093.425793250004</v>
      </c>
      <c r="CG22" s="45">
        <f>IF(AND(CG$1&gt;='Assumption Sheet'!$K32,CG$1&lt;='Assumption Sheet'!$Y32),'Assumption Sheet'!$C32,0)</f>
        <v>92093.425793250004</v>
      </c>
      <c r="CH22" s="45">
        <f>IF(AND(CH$1&gt;='Assumption Sheet'!$K32,CH$1&lt;='Assumption Sheet'!$Y32),'Assumption Sheet'!$C32,0)</f>
        <v>92093.425793250004</v>
      </c>
      <c r="CI22" s="45">
        <f>IF(AND(CI$1&gt;='Assumption Sheet'!$K32,CI$1&lt;='Assumption Sheet'!$Y32),'Assumption Sheet'!$C32,0)</f>
        <v>92093.425793250004</v>
      </c>
      <c r="CJ22" s="45">
        <f>IF(AND(CJ$1&gt;='Assumption Sheet'!$K32,CJ$1&lt;='Assumption Sheet'!$Y32),'Assumption Sheet'!$C32,0)</f>
        <v>92093.425793250004</v>
      </c>
      <c r="CK22" s="45">
        <f>IF(AND(CK$1&gt;='Assumption Sheet'!$K32,CK$1&lt;='Assumption Sheet'!$Y32),'Assumption Sheet'!$C32,0)</f>
        <v>92093.425793250004</v>
      </c>
      <c r="CL22" s="45">
        <f>IF(AND(CL$1&gt;='Assumption Sheet'!$K32,CL$1&lt;='Assumption Sheet'!$Y32),'Assumption Sheet'!$C32,0)</f>
        <v>92093.425793250004</v>
      </c>
      <c r="CM22" s="45">
        <f>IF(AND(CM$1&gt;='Assumption Sheet'!$K32,CM$1&lt;='Assumption Sheet'!$Y32),'Assumption Sheet'!$C32,0)</f>
        <v>92093.425793250004</v>
      </c>
      <c r="CN22" s="45">
        <f>IF(AND(CN$1&gt;='Assumption Sheet'!$K32,CN$1&lt;='Assumption Sheet'!$Y32),'Assumption Sheet'!$C32,0)</f>
        <v>92093.425793250004</v>
      </c>
      <c r="CO22" s="45">
        <f>IF(AND(CO$1&gt;='Assumption Sheet'!$K32,CO$1&lt;='Assumption Sheet'!$Y32),'Assumption Sheet'!$C32,0)</f>
        <v>92093.425793250004</v>
      </c>
      <c r="CP22" s="45">
        <f>IF(AND(CP$1&gt;='Assumption Sheet'!$K32,CP$1&lt;='Assumption Sheet'!$Y32),'Assumption Sheet'!$C32,0)</f>
        <v>92093.425793250004</v>
      </c>
      <c r="CQ22" s="45">
        <f>IF(AND(CQ$1&gt;='Assumption Sheet'!$K32,CQ$1&lt;='Assumption Sheet'!$Y32),'Assumption Sheet'!$C32,0)</f>
        <v>92093.425793250004</v>
      </c>
      <c r="CR22" s="45">
        <f>IF(AND(CR$1&gt;='Assumption Sheet'!$K32,CR$1&lt;='Assumption Sheet'!$Y32),'Assumption Sheet'!$C32,0)</f>
        <v>92093.425793250004</v>
      </c>
      <c r="CS22" s="45">
        <f>IF(AND(CS$1&gt;='Assumption Sheet'!$K32,CS$1&lt;='Assumption Sheet'!$Y32),'Assumption Sheet'!$C32,0)</f>
        <v>92093.425793250004</v>
      </c>
      <c r="CT22" s="45">
        <f>IF(AND(CT$1&gt;='Assumption Sheet'!$K32,CT$1&lt;='Assumption Sheet'!$Y32),'Assumption Sheet'!$C32,0)</f>
        <v>92093.425793250004</v>
      </c>
      <c r="CU22" s="45">
        <f>IF(AND(CU$1&gt;='Assumption Sheet'!$K32,CU$1&lt;='Assumption Sheet'!$Y32),'Assumption Sheet'!$C32,0)</f>
        <v>92093.425793250004</v>
      </c>
      <c r="CV22" s="45">
        <f>IF(AND(CV$1&gt;='Assumption Sheet'!$K32,CV$1&lt;='Assumption Sheet'!$Y32),'Assumption Sheet'!$C32,0)</f>
        <v>92093.425793250004</v>
      </c>
      <c r="CW22" s="45">
        <f>IF(AND(CW$1&gt;='Assumption Sheet'!$K32,CW$1&lt;='Assumption Sheet'!$Y32),'Assumption Sheet'!$C32,0)</f>
        <v>92093.425793250004</v>
      </c>
      <c r="CX22" s="45">
        <f>IF(AND(CX$1&gt;='Assumption Sheet'!$K32,CX$1&lt;='Assumption Sheet'!$Y32),'Assumption Sheet'!$C32,0)</f>
        <v>92093.425793250004</v>
      </c>
      <c r="CY22" s="45">
        <f>IF(AND(CY$1&gt;='Assumption Sheet'!$K32,CY$1&lt;='Assumption Sheet'!$Y32),'Assumption Sheet'!$C32,0)</f>
        <v>92093.425793250004</v>
      </c>
      <c r="CZ22" s="45">
        <f>IF(AND(CZ$1&gt;='Assumption Sheet'!$K32,CZ$1&lt;='Assumption Sheet'!$Y32),'Assumption Sheet'!$C32,0)</f>
        <v>92093.425793250004</v>
      </c>
      <c r="DA22" s="45">
        <f>IF(AND(DA$1&gt;='Assumption Sheet'!$K32,DA$1&lt;='Assumption Sheet'!$Y32),'Assumption Sheet'!$C32,0)</f>
        <v>92093.425793250004</v>
      </c>
      <c r="DB22" s="45">
        <f>IF(AND(DB$1&gt;='Assumption Sheet'!$K32,DB$1&lt;='Assumption Sheet'!$Y32),'Assumption Sheet'!$C32,0)</f>
        <v>92093.425793250004</v>
      </c>
      <c r="DC22" s="45">
        <f>IF(AND(DC$1&gt;='Assumption Sheet'!$K32,DC$1&lt;='Assumption Sheet'!$Y32),'Assumption Sheet'!$C32,0)</f>
        <v>92093.425793250004</v>
      </c>
      <c r="DD22" s="45">
        <f>IF(AND(DD$1&gt;='Assumption Sheet'!$K32,DD$1&lt;='Assumption Sheet'!$Y32),'Assumption Sheet'!$C32,0)</f>
        <v>92093.425793250004</v>
      </c>
      <c r="DE22" s="45">
        <f>IF(AND(DE$1&gt;='Assumption Sheet'!$K32,DE$1&lt;='Assumption Sheet'!$Y32),'Assumption Sheet'!$C32,0)</f>
        <v>92093.425793250004</v>
      </c>
      <c r="DF22" s="45">
        <f>IF(AND(DF$1&gt;='Assumption Sheet'!$K32,DF$1&lt;='Assumption Sheet'!$Y32),'Assumption Sheet'!$C32,0)</f>
        <v>92093.425793250004</v>
      </c>
      <c r="DG22" s="45">
        <f>IF(AND(DG$1&gt;='Assumption Sheet'!$K32,DG$1&lt;='Assumption Sheet'!$Y32),'Assumption Sheet'!$C32,0)</f>
        <v>92093.425793250004</v>
      </c>
      <c r="DH22" s="45">
        <f>IF(AND(DH$1&gt;='Assumption Sheet'!$K32,DH$1&lt;='Assumption Sheet'!$Y32),'Assumption Sheet'!$C32,0)</f>
        <v>92093.425793250004</v>
      </c>
      <c r="DI22" s="45">
        <f>IF(AND(DI$1&gt;='Assumption Sheet'!$K32,DI$1&lt;='Assumption Sheet'!$Y32),'Assumption Sheet'!$C32,0)</f>
        <v>92093.425793250004</v>
      </c>
      <c r="DJ22" s="45">
        <f>IF(AND(DJ$1&gt;='Assumption Sheet'!$K32,DJ$1&lt;='Assumption Sheet'!$Y32),'Assumption Sheet'!$C32,0)</f>
        <v>92093.425793250004</v>
      </c>
      <c r="DK22" s="45">
        <f>IF(AND(DK$1&gt;='Assumption Sheet'!$K32,DK$1&lt;='Assumption Sheet'!$Y32),'Assumption Sheet'!$C32,0)</f>
        <v>92093.425793250004</v>
      </c>
      <c r="DL22" s="45">
        <f>IF(AND(DL$1&gt;='Assumption Sheet'!$K32,DL$1&lt;='Assumption Sheet'!$Y32),'Assumption Sheet'!$C32,0)</f>
        <v>92093.425793250004</v>
      </c>
      <c r="DM22" s="45">
        <f>IF(AND(DM$1&gt;='Assumption Sheet'!$K32,DM$1&lt;='Assumption Sheet'!$Y32),'Assumption Sheet'!$C32,0)</f>
        <v>92093.425793250004</v>
      </c>
      <c r="DN22" s="45">
        <f>IF(AND(DN$1&gt;='Assumption Sheet'!$K32,DN$1&lt;='Assumption Sheet'!$Y32),'Assumption Sheet'!$C32,0)</f>
        <v>92093.425793250004</v>
      </c>
      <c r="DO22" s="45">
        <f>IF(AND(DO$1&gt;='Assumption Sheet'!$K32,DO$1&lt;='Assumption Sheet'!$Y32),'Assumption Sheet'!$C32,0)</f>
        <v>92093.425793250004</v>
      </c>
      <c r="DP22" s="45">
        <f>IF(AND(DP$1&gt;='Assumption Sheet'!$K32,DP$1&lt;='Assumption Sheet'!$Y32),'Assumption Sheet'!$C32,0)</f>
        <v>92093.425793250004</v>
      </c>
      <c r="DQ22" s="45">
        <f>IF(AND(DQ$1&gt;='Assumption Sheet'!$K32,DQ$1&lt;='Assumption Sheet'!$Y32),'Assumption Sheet'!$C32,0)</f>
        <v>92093.425793250004</v>
      </c>
      <c r="DR22" s="45">
        <f>IF(AND(DR$1&gt;='Assumption Sheet'!$K32,DR$1&lt;='Assumption Sheet'!$Y32),'Assumption Sheet'!$C32,0)</f>
        <v>92093.425793250004</v>
      </c>
      <c r="DS22" s="45">
        <f>IF(AND(DS$1&gt;='Assumption Sheet'!$K32,DS$1&lt;='Assumption Sheet'!$Y32),'Assumption Sheet'!$C32,0)</f>
        <v>92093.425793250004</v>
      </c>
      <c r="DT22" s="45">
        <f>IF(AND(DT$1&gt;='Assumption Sheet'!$K32,DT$1&lt;='Assumption Sheet'!$Y32),'Assumption Sheet'!$C32,0)</f>
        <v>92093.425793250004</v>
      </c>
      <c r="DU22" s="45">
        <f>IF(AND(DU$1&gt;='Assumption Sheet'!$K32,DU$1&lt;='Assumption Sheet'!$Y32),'Assumption Sheet'!$C32,0)</f>
        <v>92093.425793250004</v>
      </c>
      <c r="DV22" s="45">
        <f>IF(AND(DV$1&gt;='Assumption Sheet'!$K32,DV$1&lt;='Assumption Sheet'!$Y32),'Assumption Sheet'!$C32,0)</f>
        <v>92093.425793250004</v>
      </c>
      <c r="DW22" s="45">
        <f>IF(AND(DW$1&gt;='Assumption Sheet'!$K32,DW$1&lt;='Assumption Sheet'!$Y32),'Assumption Sheet'!$C32,0)</f>
        <v>92093.425793250004</v>
      </c>
      <c r="DX22" s="45">
        <f>IF(AND(DX$1&gt;='Assumption Sheet'!$K32,DX$1&lt;='Assumption Sheet'!$Y32),'Assumption Sheet'!$C32,0)</f>
        <v>92093.425793250004</v>
      </c>
      <c r="DY22" s="45">
        <f>IF(AND(DY$1&gt;='Assumption Sheet'!$K32,DY$1&lt;='Assumption Sheet'!$Y32),'Assumption Sheet'!$C32,0)</f>
        <v>92093.425793250004</v>
      </c>
      <c r="DZ22" s="45">
        <f>IF(AND(DZ$1&gt;='Assumption Sheet'!$K32,DZ$1&lt;='Assumption Sheet'!$Y32),'Assumption Sheet'!$C32,0)</f>
        <v>92093.425793250004</v>
      </c>
      <c r="EA22" s="45">
        <f>IF(AND(EA$1&gt;='Assumption Sheet'!$K32,EA$1&lt;='Assumption Sheet'!$Y32),'Assumption Sheet'!$C32,0)</f>
        <v>92093.425793250004</v>
      </c>
      <c r="EB22" s="45">
        <f>IF(AND(EB$1&gt;='Assumption Sheet'!$K32,EB$1&lt;='Assumption Sheet'!$Y32),'Assumption Sheet'!$C32,0)</f>
        <v>92093.425793250004</v>
      </c>
      <c r="EC22" s="45">
        <f>IF(AND(EC$1&gt;='Assumption Sheet'!$K32,EC$1&lt;='Assumption Sheet'!$Y32),'Assumption Sheet'!$C32,0)</f>
        <v>92093.425793250004</v>
      </c>
      <c r="ED22" s="45">
        <f>IF(AND(ED$1&gt;='Assumption Sheet'!$K32,ED$1&lt;='Assumption Sheet'!$Y32),'Assumption Sheet'!$C32,0)</f>
        <v>92093.425793250004</v>
      </c>
      <c r="EE22" s="45">
        <f>IF(AND(EE$1&gt;='Assumption Sheet'!$K32,EE$1&lt;='Assumption Sheet'!$Y32),'Assumption Sheet'!$C32,0)</f>
        <v>92093.425793250004</v>
      </c>
      <c r="EF22" s="45">
        <f>IF(AND(EF$1&gt;='Assumption Sheet'!$K32,EF$1&lt;='Assumption Sheet'!$Y32),'Assumption Sheet'!$C32,0)</f>
        <v>92093.425793250004</v>
      </c>
      <c r="EG22" s="45">
        <f>IF(AND(EG$1&gt;='Assumption Sheet'!$K32,EG$1&lt;='Assumption Sheet'!$Y32),'Assumption Sheet'!$C32,0)</f>
        <v>92093.425793250004</v>
      </c>
      <c r="EH22" s="45">
        <f>IF(AND(EH$1&gt;='Assumption Sheet'!$K32,EH$1&lt;='Assumption Sheet'!$Y32),'Assumption Sheet'!$C32,0)</f>
        <v>92093.425793250004</v>
      </c>
      <c r="EI22" s="45">
        <f>IF(AND(EI$1&gt;='Assumption Sheet'!$K32,EI$1&lt;='Assumption Sheet'!$Y32),'Assumption Sheet'!$C32,0)</f>
        <v>92093.425793250004</v>
      </c>
      <c r="EJ22" s="45">
        <f>IF(AND(EJ$1&gt;='Assumption Sheet'!$K32,EJ$1&lt;='Assumption Sheet'!$Y32),'Assumption Sheet'!$C32,0)</f>
        <v>92093.425793250004</v>
      </c>
      <c r="EK22" s="45">
        <f>IF(AND(EK$1&gt;='Assumption Sheet'!$K32,EK$1&lt;='Assumption Sheet'!$Y32),'Assumption Sheet'!$C32,0)</f>
        <v>92093.425793250004</v>
      </c>
      <c r="EL22" s="45">
        <f>IF(AND(EL$1&gt;='Assumption Sheet'!$K32,EL$1&lt;='Assumption Sheet'!$Y32),'Assumption Sheet'!$C32,0)</f>
        <v>92093.425793250004</v>
      </c>
      <c r="EM22" s="45">
        <f>IF(AND(EM$1&gt;='Assumption Sheet'!$K32,EM$1&lt;='Assumption Sheet'!$Y32),'Assumption Sheet'!$C32,0)</f>
        <v>92093.425793250004</v>
      </c>
      <c r="EN22" s="45">
        <f>IF(AND(EN$1&gt;='Assumption Sheet'!$K32,EN$1&lt;='Assumption Sheet'!$Y32),'Assumption Sheet'!$C32,0)</f>
        <v>92093.425793250004</v>
      </c>
      <c r="EO22" s="45">
        <f>IF(AND(EO$1&gt;='Assumption Sheet'!$K32,EO$1&lt;='Assumption Sheet'!$Y32),'Assumption Sheet'!$C32,0)</f>
        <v>92093.425793250004</v>
      </c>
      <c r="EP22" s="45">
        <f>IF(AND(EP$1&gt;='Assumption Sheet'!$K32,EP$1&lt;='Assumption Sheet'!$Y32),'Assumption Sheet'!$C32,0)</f>
        <v>92093.425793250004</v>
      </c>
      <c r="EQ22" s="45">
        <f>IF(AND(EQ$1&gt;='Assumption Sheet'!$K32,EQ$1&lt;='Assumption Sheet'!$Y32),'Assumption Sheet'!$C32,0)</f>
        <v>92093.425793250004</v>
      </c>
      <c r="ER22" s="45">
        <f>IF(AND(ER$1&gt;='Assumption Sheet'!$K32,ER$1&lt;='Assumption Sheet'!$Y32),'Assumption Sheet'!$C32,0)</f>
        <v>92093.425793250004</v>
      </c>
      <c r="ES22" s="45">
        <f>IF(AND(ES$1&gt;='Assumption Sheet'!$K32,ES$1&lt;='Assumption Sheet'!$Y32),'Assumption Sheet'!$C32,0)</f>
        <v>92093.425793250004</v>
      </c>
      <c r="ET22" s="45">
        <f>IF(AND(ET$1&gt;='Assumption Sheet'!$K32,ET$1&lt;='Assumption Sheet'!$Y32),'Assumption Sheet'!$C32,0)</f>
        <v>92093.425793250004</v>
      </c>
      <c r="EU22" s="45">
        <f>IF(AND(EU$1&gt;='Assumption Sheet'!$K32,EU$1&lt;='Assumption Sheet'!$Y32),'Assumption Sheet'!$C32,0)</f>
        <v>92093.425793250004</v>
      </c>
      <c r="EV22" s="45">
        <f>IF(AND(EV$1&gt;='Assumption Sheet'!$K32,EV$1&lt;='Assumption Sheet'!$Y32),'Assumption Sheet'!$C32,0)</f>
        <v>92093.425793250004</v>
      </c>
      <c r="EW22" s="45">
        <f>IF(AND(EW$1&gt;='Assumption Sheet'!$K32,EW$1&lt;='Assumption Sheet'!$Y32),'Assumption Sheet'!$C32,0)</f>
        <v>92093.425793250004</v>
      </c>
      <c r="EX22" s="45">
        <f>IF(AND(EX$1&gt;='Assumption Sheet'!$K32,EX$1&lt;='Assumption Sheet'!$Y32),'Assumption Sheet'!$C32,0)</f>
        <v>92093.425793250004</v>
      </c>
      <c r="EY22" s="45">
        <f>IF(AND(EY$1&gt;='Assumption Sheet'!$K32,EY$1&lt;='Assumption Sheet'!$Y32),'Assumption Sheet'!$C32,0)</f>
        <v>92093.425793250004</v>
      </c>
      <c r="EZ22" s="45">
        <f>IF(AND(EZ$1&gt;='Assumption Sheet'!$K32,EZ$1&lt;='Assumption Sheet'!$Y32),'Assumption Sheet'!$C32,0)</f>
        <v>92093.425793250004</v>
      </c>
      <c r="FA22" s="45">
        <f>IF(AND(FA$1&gt;='Assumption Sheet'!$K32,FA$1&lt;='Assumption Sheet'!$Y32),'Assumption Sheet'!$C32,0)</f>
        <v>92093.425793250004</v>
      </c>
      <c r="FB22" s="45">
        <f>IF(AND(FB$1&gt;='Assumption Sheet'!$K32,FB$1&lt;='Assumption Sheet'!$Y32),'Assumption Sheet'!$C32,0)</f>
        <v>92093.425793250004</v>
      </c>
      <c r="FC22" s="45">
        <f>IF(AND(FC$1&gt;='Assumption Sheet'!$K32,FC$1&lt;='Assumption Sheet'!$Y32),'Assumption Sheet'!$C32,0)</f>
        <v>92093.425793250004</v>
      </c>
      <c r="FD22" s="45">
        <f>IF(AND(FD$1&gt;='Assumption Sheet'!$K32,FD$1&lt;='Assumption Sheet'!$Y32),'Assumption Sheet'!$C32,0)</f>
        <v>92093.425793250004</v>
      </c>
      <c r="FE22" s="45">
        <f>IF(AND(FE$1&gt;='Assumption Sheet'!$K32,FE$1&lt;='Assumption Sheet'!$Y32),'Assumption Sheet'!$C32,0)</f>
        <v>92093.425793250004</v>
      </c>
      <c r="FF22" s="45">
        <f>IF(AND(FF$1&gt;='Assumption Sheet'!$K32,FF$1&lt;='Assumption Sheet'!$Y32),'Assumption Sheet'!$C32,0)</f>
        <v>92093.425793250004</v>
      </c>
      <c r="FG22" s="45">
        <f>IF(AND(FG$1&gt;='Assumption Sheet'!$K32,FG$1&lt;='Assumption Sheet'!$Y32),'Assumption Sheet'!$C32,0)</f>
        <v>92093.425793250004</v>
      </c>
      <c r="FH22" s="45">
        <f>IF(AND(FH$1&gt;='Assumption Sheet'!$K32,FH$1&lt;='Assumption Sheet'!$Y32),'Assumption Sheet'!$C32,0)</f>
        <v>92093.425793250004</v>
      </c>
      <c r="FI22" s="45">
        <f>IF(AND(FI$1&gt;='Assumption Sheet'!$K32,FI$1&lt;='Assumption Sheet'!$Y32),'Assumption Sheet'!$C32,0)</f>
        <v>92093.425793250004</v>
      </c>
      <c r="FJ22" s="45">
        <f>IF(AND(FJ$1&gt;='Assumption Sheet'!$K32,FJ$1&lt;='Assumption Sheet'!$Y32),'Assumption Sheet'!$C32,0)</f>
        <v>92093.425793250004</v>
      </c>
      <c r="FK22" s="45">
        <f>IF(AND(FK$1&gt;='Assumption Sheet'!$K32,FK$1&lt;='Assumption Sheet'!$Y32),'Assumption Sheet'!$C32,0)</f>
        <v>92093.425793250004</v>
      </c>
      <c r="FL22" s="45">
        <f>IF(AND(FL$1&gt;='Assumption Sheet'!$K32,FL$1&lt;='Assumption Sheet'!$Y32),'Assumption Sheet'!$C32,0)</f>
        <v>92093.425793250004</v>
      </c>
      <c r="FM22" s="45">
        <f>IF(AND(FM$1&gt;='Assumption Sheet'!$K32,FM$1&lt;='Assumption Sheet'!$Y32),'Assumption Sheet'!$C32,0)</f>
        <v>92093.425793250004</v>
      </c>
      <c r="FN22" s="45">
        <f>IF(AND(FN$1&gt;='Assumption Sheet'!$K32,FN$1&lt;='Assumption Sheet'!$Y32),'Assumption Sheet'!$C32,0)</f>
        <v>92093.425793250004</v>
      </c>
      <c r="FO22" s="45">
        <f>IF(AND(FO$1&gt;='Assumption Sheet'!$K32,FO$1&lt;='Assumption Sheet'!$Y32),'Assumption Sheet'!$C32,0)</f>
        <v>92093.425793250004</v>
      </c>
      <c r="FP22" s="45">
        <f>IF(AND(FP$1&gt;='Assumption Sheet'!$K32,FP$1&lt;='Assumption Sheet'!$Y32),'Assumption Sheet'!$C32,0)</f>
        <v>92093.425793250004</v>
      </c>
      <c r="FQ22" s="45">
        <f>IF(AND(FQ$1&gt;='Assumption Sheet'!$K32,FQ$1&lt;='Assumption Sheet'!$Y32),'Assumption Sheet'!$C32,0)</f>
        <v>92093.425793250004</v>
      </c>
      <c r="FR22" s="45">
        <f>IF(AND(FR$1&gt;='Assumption Sheet'!$K32,FR$1&lt;='Assumption Sheet'!$Y32),'Assumption Sheet'!$C32,0)</f>
        <v>92093.425793250004</v>
      </c>
      <c r="FS22" s="45">
        <f>IF(AND(FS$1&gt;='Assumption Sheet'!$K32,FS$1&lt;='Assumption Sheet'!$Y32),'Assumption Sheet'!$C32,0)</f>
        <v>92093.425793250004</v>
      </c>
      <c r="FT22" s="45">
        <f>IF(AND(FT$1&gt;='Assumption Sheet'!$K32,FT$1&lt;='Assumption Sheet'!$Y32),'Assumption Sheet'!$C32,0)</f>
        <v>92093.425793250004</v>
      </c>
      <c r="FU22" s="45">
        <f>IF(AND(FU$1&gt;='Assumption Sheet'!$K32,FU$1&lt;='Assumption Sheet'!$Y32),'Assumption Sheet'!$C32,0)</f>
        <v>92093.425793250004</v>
      </c>
      <c r="FV22" s="45">
        <f>IF(AND(FV$1&gt;='Assumption Sheet'!$K32,FV$1&lt;='Assumption Sheet'!$Y32),'Assumption Sheet'!$C32,0)</f>
        <v>92093.425793250004</v>
      </c>
      <c r="FW22" s="45">
        <f>IF(AND(FW$1&gt;='Assumption Sheet'!$K32,FW$1&lt;='Assumption Sheet'!$Y32),'Assumption Sheet'!$C32,0)</f>
        <v>92093.425793250004</v>
      </c>
      <c r="FX22" s="45">
        <f>IF(AND(FX$1&gt;='Assumption Sheet'!$K32,FX$1&lt;='Assumption Sheet'!$Y32),'Assumption Sheet'!$C32,0)</f>
        <v>92093.425793250004</v>
      </c>
      <c r="FY22" s="45">
        <f>IF(AND(FY$1&gt;='Assumption Sheet'!$K32,FY$1&lt;='Assumption Sheet'!$Y32),'Assumption Sheet'!$C32,0)</f>
        <v>92093.425793250004</v>
      </c>
      <c r="FZ22" s="45">
        <f>IF(AND(FZ$1&gt;='Assumption Sheet'!$K32,FZ$1&lt;='Assumption Sheet'!$Y32),'Assumption Sheet'!$C32,0)</f>
        <v>92093.425793250004</v>
      </c>
      <c r="GA22" s="45">
        <f>IF(AND(GA$1&gt;='Assumption Sheet'!$K32,GA$1&lt;='Assumption Sheet'!$Y32),'Assumption Sheet'!$C32,0)</f>
        <v>92093.425793250004</v>
      </c>
      <c r="GB22" s="45">
        <f>IF(AND(GB$1&gt;='Assumption Sheet'!$K32,GB$1&lt;='Assumption Sheet'!$Y32),'Assumption Sheet'!$C32,0)</f>
        <v>92093.425793250004</v>
      </c>
      <c r="GC22" s="45">
        <f>IF(AND(GC$1&gt;='Assumption Sheet'!$K32,GC$1&lt;='Assumption Sheet'!$Y32),'Assumption Sheet'!$C32,0)</f>
        <v>92093.425793250004</v>
      </c>
      <c r="GD22" s="45">
        <f>IF(AND(GD$1&gt;='Assumption Sheet'!$K32,GD$1&lt;='Assumption Sheet'!$Y32),'Assumption Sheet'!$C32,0)</f>
        <v>92093.425793250004</v>
      </c>
      <c r="GE22" s="45">
        <f>IF(AND(GE$1&gt;='Assumption Sheet'!$K32,GE$1&lt;='Assumption Sheet'!$Y32),'Assumption Sheet'!$C32,0)</f>
        <v>92093.425793250004</v>
      </c>
      <c r="GF22" s="45">
        <f>IF(AND(GF$1&gt;='Assumption Sheet'!$K32,GF$1&lt;='Assumption Sheet'!$Y32),'Assumption Sheet'!$C32,0)</f>
        <v>92093.425793250004</v>
      </c>
      <c r="GG22" s="45">
        <f>IF(AND(GG$1&gt;='Assumption Sheet'!$K32,GG$1&lt;='Assumption Sheet'!$Y32),'Assumption Sheet'!$C32,0)</f>
        <v>92093.425793250004</v>
      </c>
      <c r="GH22" s="45">
        <f>IF(AND(GH$1&gt;='Assumption Sheet'!$K32,GH$1&lt;='Assumption Sheet'!$Y32),'Assumption Sheet'!$C32,0)</f>
        <v>92093.425793250004</v>
      </c>
      <c r="GI22" s="45">
        <f>IF(AND(GI$1&gt;='Assumption Sheet'!$K32,GI$1&lt;='Assumption Sheet'!$Y32),'Assumption Sheet'!$C32,0)</f>
        <v>92093.425793250004</v>
      </c>
      <c r="GJ22" s="45">
        <f>IF(AND(GJ$1&gt;='Assumption Sheet'!$K32,GJ$1&lt;='Assumption Sheet'!$Y32),'Assumption Sheet'!$C32,0)</f>
        <v>92093.425793250004</v>
      </c>
      <c r="GK22" s="45">
        <f>IF(AND(GK$1&gt;='Assumption Sheet'!$K32,GK$1&lt;='Assumption Sheet'!$Y32),'Assumption Sheet'!$C32,0)</f>
        <v>92093.425793250004</v>
      </c>
      <c r="GL22" s="45">
        <f>IF(AND(GL$1&gt;='Assumption Sheet'!$K32,GL$1&lt;='Assumption Sheet'!$Y32),'Assumption Sheet'!$C32,0)</f>
        <v>92093.425793250004</v>
      </c>
      <c r="GM22" s="45">
        <f>IF(AND(GM$1&gt;='Assumption Sheet'!$K32,GM$1&lt;='Assumption Sheet'!$Y32),'Assumption Sheet'!$C32,0)</f>
        <v>92093.425793250004</v>
      </c>
      <c r="GN22" s="45">
        <f>IF(AND(GN$1&gt;='Assumption Sheet'!$K32,GN$1&lt;='Assumption Sheet'!$Y32),'Assumption Sheet'!$C32,0)</f>
        <v>92093.425793250004</v>
      </c>
      <c r="GO22" s="45">
        <f>IF(AND(GO$1&gt;='Assumption Sheet'!$K32,GO$1&lt;='Assumption Sheet'!$Y32),'Assumption Sheet'!$C32,0)</f>
        <v>92093.425793250004</v>
      </c>
      <c r="GP22" s="45">
        <f>IF(AND(GP$1&gt;='Assumption Sheet'!$K32,GP$1&lt;='Assumption Sheet'!$Y32),'Assumption Sheet'!$C32,0)</f>
        <v>92093.425793250004</v>
      </c>
      <c r="GQ22" s="45">
        <f>IF(AND(GQ$1&gt;='Assumption Sheet'!$K32,GQ$1&lt;='Assumption Sheet'!$Y32),'Assumption Sheet'!$C32,0)</f>
        <v>92093.425793250004</v>
      </c>
      <c r="GR22" s="45">
        <f>IF(AND(GR$1&gt;='Assumption Sheet'!$K32,GR$1&lt;='Assumption Sheet'!$Y32),'Assumption Sheet'!$C32,0)</f>
        <v>92093.425793250004</v>
      </c>
      <c r="GS22" s="45">
        <f>IF(AND(GS$1&gt;='Assumption Sheet'!$K32,GS$1&lt;='Assumption Sheet'!$Y32),'Assumption Sheet'!$C32,0)</f>
        <v>92093.425793250004</v>
      </c>
      <c r="GT22" s="45">
        <f>IF(AND(GT$1&gt;='Assumption Sheet'!$K32,GT$1&lt;='Assumption Sheet'!$Y32),'Assumption Sheet'!$C32,0)</f>
        <v>92093.425793250004</v>
      </c>
      <c r="GU22" s="45">
        <f>IF(AND(GU$1&gt;='Assumption Sheet'!$K32,GU$1&lt;='Assumption Sheet'!$Y32),'Assumption Sheet'!$C32,0)</f>
        <v>92093.425793250004</v>
      </c>
      <c r="GV22" s="45">
        <f>IF(AND(GV$1&gt;='Assumption Sheet'!$K32,GV$1&lt;='Assumption Sheet'!$Y32),'Assumption Sheet'!$C32,0)</f>
        <v>92093.425793250004</v>
      </c>
      <c r="GW22" s="45">
        <f>IF(AND(GW$1&gt;='Assumption Sheet'!$K32,GW$1&lt;='Assumption Sheet'!$Y32),'Assumption Sheet'!$C32,0)</f>
        <v>92093.425793250004</v>
      </c>
      <c r="GX22" s="45">
        <f>IF(AND(GX$1&gt;='Assumption Sheet'!$K32,GX$1&lt;='Assumption Sheet'!$Y32),'Assumption Sheet'!$C32,0)</f>
        <v>92093.425793250004</v>
      </c>
      <c r="GY22" s="45">
        <f>IF(AND(GY$1&gt;='Assumption Sheet'!$K32,GY$1&lt;='Assumption Sheet'!$Y32),'Assumption Sheet'!$C32,0)</f>
        <v>92093.425793250004</v>
      </c>
      <c r="GZ22" s="45">
        <f>IF(AND(GZ$1&gt;='Assumption Sheet'!$K32,GZ$1&lt;='Assumption Sheet'!$Y32),'Assumption Sheet'!$C32,0)</f>
        <v>92093.425793250004</v>
      </c>
      <c r="HA22" s="45">
        <f>IF(AND(HA$1&gt;='Assumption Sheet'!$K32,HA$1&lt;='Assumption Sheet'!$Y32),'Assumption Sheet'!$C32,0)</f>
        <v>92093.425793250004</v>
      </c>
      <c r="HB22" s="45">
        <f>IF(AND(HB$1&gt;='Assumption Sheet'!$K32,HB$1&lt;='Assumption Sheet'!$Y32),'Assumption Sheet'!$C32,0)</f>
        <v>92093.425793250004</v>
      </c>
      <c r="HC22" s="45">
        <f>IF(AND(HC$1&gt;='Assumption Sheet'!$K32,HC$1&lt;='Assumption Sheet'!$Y32),'Assumption Sheet'!$C32,0)</f>
        <v>92093.425793250004</v>
      </c>
      <c r="HD22" s="45">
        <f>IF(AND(HD$1&gt;='Assumption Sheet'!$K32,HD$1&lt;='Assumption Sheet'!$Y32),'Assumption Sheet'!$C32,0)</f>
        <v>92093.425793250004</v>
      </c>
      <c r="HE22" s="45">
        <f>IF(AND(HE$1&gt;='Assumption Sheet'!$K32,HE$1&lt;='Assumption Sheet'!$Y32),'Assumption Sheet'!$C32,0)</f>
        <v>92093.425793250004</v>
      </c>
      <c r="HF22" s="45">
        <f>IF(AND(HF$1&gt;='Assumption Sheet'!$K32,HF$1&lt;='Assumption Sheet'!$Y32),'Assumption Sheet'!$C32,0)</f>
        <v>92093.425793250004</v>
      </c>
      <c r="HG22" s="45">
        <f>IF(AND(HG$1&gt;='Assumption Sheet'!$K32,HG$1&lt;='Assumption Sheet'!$Y32),'Assumption Sheet'!$C32,0)</f>
        <v>92093.425793250004</v>
      </c>
      <c r="HH22" s="45">
        <f>IF(AND(HH$1&gt;='Assumption Sheet'!$K32,HH$1&lt;='Assumption Sheet'!$Y32),'Assumption Sheet'!$C32,0)</f>
        <v>92093.425793250004</v>
      </c>
      <c r="HI22" s="45">
        <f>IF(AND(HI$1&gt;='Assumption Sheet'!$K32,HI$1&lt;='Assumption Sheet'!$Y32),'Assumption Sheet'!$C32,0)</f>
        <v>92093.425793250004</v>
      </c>
      <c r="HJ22" s="45">
        <f>IF(AND(HJ$1&gt;='Assumption Sheet'!$K32,HJ$1&lt;='Assumption Sheet'!$Y32),'Assumption Sheet'!$C32,0)</f>
        <v>92093.425793250004</v>
      </c>
      <c r="HK22" s="45">
        <f>IF(AND(HK$1&gt;='Assumption Sheet'!$K32,HK$1&lt;='Assumption Sheet'!$Y32),'Assumption Sheet'!$C32,0)</f>
        <v>92093.425793250004</v>
      </c>
      <c r="HL22" s="45">
        <f>IF(AND(HL$1&gt;='Assumption Sheet'!$K32,HL$1&lt;='Assumption Sheet'!$Y32),'Assumption Sheet'!$C32,0)</f>
        <v>92093.425793250004</v>
      </c>
      <c r="HM22" s="45">
        <f>IF(AND(HM$1&gt;='Assumption Sheet'!$K32,HM$1&lt;='Assumption Sheet'!$Y32),'Assumption Sheet'!$C32,0)</f>
        <v>92093.425793250004</v>
      </c>
      <c r="HN22" s="45">
        <f>IF(AND(HN$1&gt;='Assumption Sheet'!$K32,HN$1&lt;='Assumption Sheet'!$Y32),'Assumption Sheet'!$C32,0)</f>
        <v>92093.425793250004</v>
      </c>
      <c r="HO22" s="45">
        <f>IF(AND(HO$1&gt;='Assumption Sheet'!$K32,HO$1&lt;='Assumption Sheet'!$Y32),'Assumption Sheet'!$C32,0)</f>
        <v>92093.425793250004</v>
      </c>
      <c r="HP22" s="45">
        <f>IF(AND(HP$1&gt;='Assumption Sheet'!$K32,HP$1&lt;='Assumption Sheet'!$Y32),'Assumption Sheet'!$C32,0)</f>
        <v>92093.425793250004</v>
      </c>
      <c r="HQ22" s="45">
        <f>IF(AND(HQ$1&gt;='Assumption Sheet'!$K32,HQ$1&lt;='Assumption Sheet'!$Y32),'Assumption Sheet'!$C32,0)</f>
        <v>92093.425793250004</v>
      </c>
      <c r="HR22" s="45">
        <f>IF(AND(HR$1&gt;='Assumption Sheet'!$K32,HR$1&lt;='Assumption Sheet'!$Y32),'Assumption Sheet'!$C32,0)</f>
        <v>92093.425793250004</v>
      </c>
      <c r="HS22" s="45">
        <f>IF(AND(HS$1&gt;='Assumption Sheet'!$K32,HS$1&lt;='Assumption Sheet'!$Y32),'Assumption Sheet'!$C32,0)</f>
        <v>92093.425793250004</v>
      </c>
      <c r="HT22" s="45">
        <f>IF(AND(HT$1&gt;='Assumption Sheet'!$K32,HT$1&lt;='Assumption Sheet'!$Y32),'Assumption Sheet'!$C32,0)</f>
        <v>92093.425793250004</v>
      </c>
      <c r="HU22" s="45">
        <f>IF(AND(HU$1&gt;='Assumption Sheet'!$K32,HU$1&lt;='Assumption Sheet'!$Y32),'Assumption Sheet'!$C32,0)</f>
        <v>92093.425793250004</v>
      </c>
      <c r="HV22" s="45">
        <f>IF(AND(HV$1&gt;='Assumption Sheet'!$K32,HV$1&lt;='Assumption Sheet'!$Y32),'Assumption Sheet'!$C32,0)</f>
        <v>92093.425793250004</v>
      </c>
      <c r="HW22" s="45">
        <f>IF(AND(HW$1&gt;='Assumption Sheet'!$K32,HW$1&lt;='Assumption Sheet'!$Y32),'Assumption Sheet'!$C32,0)</f>
        <v>92093.425793250004</v>
      </c>
      <c r="HX22" s="45">
        <f>IF(AND(HX$1&gt;='Assumption Sheet'!$K32,HX$1&lt;='Assumption Sheet'!$Y32),'Assumption Sheet'!$C32,0)</f>
        <v>92093.425793250004</v>
      </c>
      <c r="HY22" s="45">
        <f>IF(AND(HY$1&gt;='Assumption Sheet'!$K32,HY$1&lt;='Assumption Sheet'!$Y32),'Assumption Sheet'!$C32,0)</f>
        <v>92093.425793250004</v>
      </c>
      <c r="HZ22" s="45">
        <f>IF(AND(HZ$1&gt;='Assumption Sheet'!$K32,HZ$1&lt;='Assumption Sheet'!$Y32),'Assumption Sheet'!$C32,0)</f>
        <v>92093.425793250004</v>
      </c>
      <c r="IA22" s="45">
        <f>IF(AND(IA$1&gt;='Assumption Sheet'!$K32,IA$1&lt;='Assumption Sheet'!$Y32),'Assumption Sheet'!$C32,0)</f>
        <v>92093.425793250004</v>
      </c>
      <c r="IB22" s="45">
        <f>IF(AND(IB$1&gt;='Assumption Sheet'!$K32,IB$1&lt;='Assumption Sheet'!$Y32),'Assumption Sheet'!$C32,0)</f>
        <v>92093.425793250004</v>
      </c>
      <c r="IC22" s="45">
        <f>IF(AND(IC$1&gt;='Assumption Sheet'!$K32,IC$1&lt;='Assumption Sheet'!$Y32),'Assumption Sheet'!$C32,0)</f>
        <v>92093.425793250004</v>
      </c>
      <c r="ID22" s="45">
        <f>IF(AND(ID$1&gt;='Assumption Sheet'!$K32,ID$1&lt;='Assumption Sheet'!$Y32),'Assumption Sheet'!$C32,0)</f>
        <v>92093.425793250004</v>
      </c>
      <c r="IE22" s="45">
        <f>IF(AND(IE$1&gt;='Assumption Sheet'!$K32,IE$1&lt;='Assumption Sheet'!$Y32),'Assumption Sheet'!$C32,0)</f>
        <v>92093.425793250004</v>
      </c>
      <c r="IF22" s="45">
        <f>IF(AND(IF$1&gt;='Assumption Sheet'!$K32,IF$1&lt;='Assumption Sheet'!$Y32),'Assumption Sheet'!$C32,0)</f>
        <v>92093.425793250004</v>
      </c>
      <c r="IG22" s="45">
        <f>IF(AND(IG$1&gt;='Assumption Sheet'!$K32,IG$1&lt;='Assumption Sheet'!$Y32),'Assumption Sheet'!$C32,0)</f>
        <v>92093.425793250004</v>
      </c>
      <c r="IH22" s="45">
        <f>IF(AND(IH$1&gt;='Assumption Sheet'!$K32,IH$1&lt;='Assumption Sheet'!$Y32),'Assumption Sheet'!$C32,0)</f>
        <v>92093.425793250004</v>
      </c>
      <c r="II22" s="45">
        <f>IF(AND(II$1&gt;='Assumption Sheet'!$K32,II$1&lt;='Assumption Sheet'!$Y32),'Assumption Sheet'!$C32,0)</f>
        <v>92093.425793250004</v>
      </c>
      <c r="IJ22" s="45">
        <f>IF(AND(IJ$1&gt;='Assumption Sheet'!$K32,IJ$1&lt;='Assumption Sheet'!$Y32),'Assumption Sheet'!$C32,0)</f>
        <v>92093.425793250004</v>
      </c>
      <c r="IK22" s="45">
        <f>IF(AND(IK$1&gt;='Assumption Sheet'!$K32,IK$1&lt;='Assumption Sheet'!$Y32),'Assumption Sheet'!$C32,0)</f>
        <v>92093.425793250004</v>
      </c>
      <c r="IL22" s="45">
        <f>IF(AND(IL$1&gt;='Assumption Sheet'!$K32,IL$1&lt;='Assumption Sheet'!$Y32),'Assumption Sheet'!$C32,0)</f>
        <v>92093.425793250004</v>
      </c>
      <c r="IM22" s="45">
        <f>IF(AND(IM$1&gt;='Assumption Sheet'!$K32,IM$1&lt;='Assumption Sheet'!$Y32),'Assumption Sheet'!$C32,0)</f>
        <v>92093.425793250004</v>
      </c>
      <c r="IN22" s="45">
        <f>IF(AND(IN$1&gt;='Assumption Sheet'!$K32,IN$1&lt;='Assumption Sheet'!$Y32),'Assumption Sheet'!$C32,0)</f>
        <v>92093.425793250004</v>
      </c>
      <c r="IO22" s="45">
        <f>IF(AND(IO$1&gt;='Assumption Sheet'!$K32,IO$1&lt;='Assumption Sheet'!$Y32),'Assumption Sheet'!$C32,0)</f>
        <v>92093.425793250004</v>
      </c>
      <c r="IP22" s="45">
        <f>IF(AND(IP$1&gt;='Assumption Sheet'!$K32,IP$1&lt;='Assumption Sheet'!$Y32),'Assumption Sheet'!$C32,0)</f>
        <v>92093.425793250004</v>
      </c>
      <c r="IQ22" s="45">
        <f>IF(AND(IQ$1&gt;='Assumption Sheet'!$K32,IQ$1&lt;='Assumption Sheet'!$Y32),'Assumption Sheet'!$C32,0)</f>
        <v>92093.425793250004</v>
      </c>
      <c r="IR22" s="45">
        <f>IF(AND(IR$1&gt;='Assumption Sheet'!$K32,IR$1&lt;='Assumption Sheet'!$Y32),'Assumption Sheet'!$C32,0)</f>
        <v>92093.425793250004</v>
      </c>
      <c r="IS22" s="45">
        <f>IF(AND(IS$1&gt;='Assumption Sheet'!$K32,IS$1&lt;='Assumption Sheet'!$Y32),'Assumption Sheet'!$C32,0)</f>
        <v>92093.425793250004</v>
      </c>
      <c r="IT22" s="45">
        <f>IF(AND(IT$1&gt;='Assumption Sheet'!$K32,IT$1&lt;='Assumption Sheet'!$Y32),'Assumption Sheet'!$C32,0)</f>
        <v>92093.425793250004</v>
      </c>
      <c r="IU22" s="45">
        <f>IF(AND(IU$1&gt;='Assumption Sheet'!$K32,IU$1&lt;='Assumption Sheet'!$Y32),'Assumption Sheet'!$C32,0)</f>
        <v>92093.425793250004</v>
      </c>
      <c r="IV22" s="45">
        <f>IF(AND(IV$1&gt;='Assumption Sheet'!$K32,IV$1&lt;='Assumption Sheet'!$Y32),'Assumption Sheet'!$C32,0)</f>
        <v>92093.425793250004</v>
      </c>
      <c r="IW22" s="45">
        <f>IF(AND(IW$1&gt;='Assumption Sheet'!$K32,IW$1&lt;='Assumption Sheet'!$Y32),'Assumption Sheet'!$C32,0)</f>
        <v>92093.425793250004</v>
      </c>
      <c r="IX22" s="45">
        <f>IF(AND(IX$1&gt;='Assumption Sheet'!$K32,IX$1&lt;='Assumption Sheet'!$Y32),'Assumption Sheet'!$C32,0)</f>
        <v>92093.425793250004</v>
      </c>
      <c r="IY22" s="45">
        <f>IF(AND(IY$1&gt;='Assumption Sheet'!$K32,IY$1&lt;='Assumption Sheet'!$Y32),'Assumption Sheet'!$C32,0)</f>
        <v>92093.425793250004</v>
      </c>
      <c r="IZ22" s="45">
        <f>IF(AND(IZ$1&gt;='Assumption Sheet'!$K32,IZ$1&lt;='Assumption Sheet'!$Y32),'Assumption Sheet'!$C32,0)</f>
        <v>92093.425793250004</v>
      </c>
      <c r="JA22" s="45">
        <f>IF(AND(JA$1&gt;='Assumption Sheet'!$K32,JA$1&lt;='Assumption Sheet'!$Y32),'Assumption Sheet'!$C32,0)</f>
        <v>92093.425793250004</v>
      </c>
      <c r="JB22" s="45">
        <f>IF(AND(JB$1&gt;='Assumption Sheet'!$K32,JB$1&lt;='Assumption Sheet'!$Y32),'Assumption Sheet'!$C32,0)</f>
        <v>92093.425793250004</v>
      </c>
      <c r="JC22" s="45">
        <f>IF(AND(JC$1&gt;='Assumption Sheet'!$K32,JC$1&lt;='Assumption Sheet'!$Y32),'Assumption Sheet'!$C32,0)</f>
        <v>92093.425793250004</v>
      </c>
      <c r="JD22" s="45">
        <f>IF(AND(JD$1&gt;='Assumption Sheet'!$K32,JD$1&lt;='Assumption Sheet'!$Y32),'Assumption Sheet'!$C32,0)</f>
        <v>92093.425793250004</v>
      </c>
      <c r="JE22" s="45">
        <f>IF(AND(JE$1&gt;='Assumption Sheet'!$K32,JE$1&lt;='Assumption Sheet'!$Y32),'Assumption Sheet'!$C32,0)</f>
        <v>92093.425793250004</v>
      </c>
      <c r="JF22" s="45">
        <f>IF(AND(JF$1&gt;='Assumption Sheet'!$K32,JF$1&lt;='Assumption Sheet'!$Y32),'Assumption Sheet'!$C32,0)</f>
        <v>92093.425793250004</v>
      </c>
      <c r="JG22" s="45">
        <f>IF(AND(JG$1&gt;='Assumption Sheet'!$K32,JG$1&lt;='Assumption Sheet'!$Y32),'Assumption Sheet'!$C32,0)</f>
        <v>92093.425793250004</v>
      </c>
      <c r="JH22" s="45">
        <f>IF(AND(JH$1&gt;='Assumption Sheet'!$K32,JH$1&lt;='Assumption Sheet'!$Y32),'Assumption Sheet'!$C32,0)</f>
        <v>92093.425793250004</v>
      </c>
      <c r="JI22" s="45">
        <f>IF(AND(JI$1&gt;='Assumption Sheet'!$K32,JI$1&lt;='Assumption Sheet'!$Y32),'Assumption Sheet'!$C32,0)</f>
        <v>92093.425793250004</v>
      </c>
      <c r="JJ22" s="45">
        <f>IF(AND(JJ$1&gt;='Assumption Sheet'!$K32,JJ$1&lt;='Assumption Sheet'!$Y32),'Assumption Sheet'!$C32,0)</f>
        <v>92093.425793250004</v>
      </c>
      <c r="JK22" s="45">
        <f>IF(AND(JK$1&gt;='Assumption Sheet'!$K32,JK$1&lt;='Assumption Sheet'!$Y32),'Assumption Sheet'!$C32,0)</f>
        <v>92093.425793250004</v>
      </c>
      <c r="JL22" s="45">
        <f>IF(AND(JL$1&gt;='Assumption Sheet'!$K32,JL$1&lt;='Assumption Sheet'!$Y32),'Assumption Sheet'!$C32,0)</f>
        <v>92093.425793250004</v>
      </c>
      <c r="JM22" s="45">
        <f>IF(AND(JM$1&gt;='Assumption Sheet'!$K32,JM$1&lt;='Assumption Sheet'!$Y32),'Assumption Sheet'!$C32,0)</f>
        <v>92093.425793250004</v>
      </c>
      <c r="JN22" s="45">
        <f>IF(AND(JN$1&gt;='Assumption Sheet'!$K32,JN$1&lt;='Assumption Sheet'!$Y32),'Assumption Sheet'!$C32,0)</f>
        <v>92093.425793250004</v>
      </c>
      <c r="JO22" s="45">
        <f>IF(AND(JO$1&gt;='Assumption Sheet'!$K32,JO$1&lt;='Assumption Sheet'!$Y32),'Assumption Sheet'!$C32,0)</f>
        <v>92093.425793250004</v>
      </c>
      <c r="JP22" s="45">
        <f>IF(AND(JP$1&gt;='Assumption Sheet'!$K32,JP$1&lt;='Assumption Sheet'!$Y32),'Assumption Sheet'!$C32,0)</f>
        <v>92093.425793250004</v>
      </c>
      <c r="JQ22" s="45">
        <f>IF(AND(JQ$1&gt;='Assumption Sheet'!$K32,JQ$1&lt;='Assumption Sheet'!$Y32),'Assumption Sheet'!$C32,0)</f>
        <v>92093.425793250004</v>
      </c>
      <c r="JR22" s="45">
        <f>IF(AND(JR$1&gt;='Assumption Sheet'!$K32,JR$1&lt;='Assumption Sheet'!$Y32),'Assumption Sheet'!$C32,0)</f>
        <v>92093.425793250004</v>
      </c>
      <c r="JS22" s="45">
        <f>IF(AND(JS$1&gt;='Assumption Sheet'!$K32,JS$1&lt;='Assumption Sheet'!$Y32),'Assumption Sheet'!$C32,0)</f>
        <v>92093.425793250004</v>
      </c>
      <c r="JT22" s="45">
        <f>IF(AND(JT$1&gt;='Assumption Sheet'!$K32,JT$1&lt;='Assumption Sheet'!$Y32),'Assumption Sheet'!$C32,0)</f>
        <v>92093.425793250004</v>
      </c>
      <c r="JU22" s="45">
        <f>IF(AND(JU$1&gt;='Assumption Sheet'!$K32,JU$1&lt;='Assumption Sheet'!$Y32),'Assumption Sheet'!$C32,0)</f>
        <v>92093.425793250004</v>
      </c>
      <c r="JV22" s="45">
        <f>IF(AND(JV$1&gt;='Assumption Sheet'!$K32,JV$1&lt;='Assumption Sheet'!$Y32),'Assumption Sheet'!$C32,0)</f>
        <v>92093.425793250004</v>
      </c>
      <c r="JW22" s="45">
        <f>IF(AND(JW$1&gt;='Assumption Sheet'!$K32,JW$1&lt;='Assumption Sheet'!$Y32),'Assumption Sheet'!$C32,0)</f>
        <v>92093.425793250004</v>
      </c>
      <c r="JX22" s="45">
        <f>IF(AND(JX$1&gt;='Assumption Sheet'!$K32,JX$1&lt;='Assumption Sheet'!$Y32),'Assumption Sheet'!$C32,0)</f>
        <v>92093.425793250004</v>
      </c>
      <c r="JY22" s="45">
        <f>IF(AND(JY$1&gt;='Assumption Sheet'!$K32,JY$1&lt;='Assumption Sheet'!$Y32),'Assumption Sheet'!$C32,0)</f>
        <v>92093.425793250004</v>
      </c>
      <c r="JZ22" s="45">
        <f>IF(AND(JZ$1&gt;='Assumption Sheet'!$K32,JZ$1&lt;='Assumption Sheet'!$Y32),'Assumption Sheet'!$C32,0)</f>
        <v>92093.425793250004</v>
      </c>
      <c r="KA22" s="45">
        <f>IF(AND(KA$1&gt;='Assumption Sheet'!$K32,KA$1&lt;='Assumption Sheet'!$Y32),'Assumption Sheet'!$C32,0)</f>
        <v>92093.425793250004</v>
      </c>
      <c r="KB22" s="45">
        <f>IF(AND(KB$1&gt;='Assumption Sheet'!$K32,KB$1&lt;='Assumption Sheet'!$Y32),'Assumption Sheet'!$C32,0)</f>
        <v>92093.425793250004</v>
      </c>
      <c r="KC22" s="45">
        <f>IF(AND(KC$1&gt;='Assumption Sheet'!$K32,KC$1&lt;='Assumption Sheet'!$Y32),'Assumption Sheet'!$C32,0)</f>
        <v>92093.425793250004</v>
      </c>
      <c r="KD22" s="45"/>
      <c r="KE22" s="45"/>
      <c r="KF22" s="45"/>
      <c r="KG22" s="45"/>
      <c r="KH22" s="45"/>
      <c r="KI22" s="45"/>
      <c r="KJ22" s="45"/>
      <c r="KK22" s="45"/>
      <c r="KL22" s="45"/>
      <c r="KM22" s="45"/>
      <c r="KN22" s="45"/>
      <c r="KO22" s="45"/>
    </row>
    <row r="23" spans="1:301" s="428" customFormat="1" x14ac:dyDescent="0.3">
      <c r="A23" s="429"/>
      <c r="E23" s="247">
        <f t="shared" ref="E23:BP23" si="101">SUM(E17:E22)</f>
        <v>0</v>
      </c>
      <c r="F23" s="247">
        <f t="shared" si="101"/>
        <v>0</v>
      </c>
      <c r="G23" s="247">
        <f t="shared" si="101"/>
        <v>0</v>
      </c>
      <c r="H23" s="247">
        <f t="shared" si="101"/>
        <v>0</v>
      </c>
      <c r="I23" s="247">
        <f t="shared" si="101"/>
        <v>0</v>
      </c>
      <c r="J23" s="247">
        <f t="shared" si="101"/>
        <v>0</v>
      </c>
      <c r="K23" s="247">
        <f t="shared" si="101"/>
        <v>0</v>
      </c>
      <c r="L23" s="247">
        <f t="shared" si="101"/>
        <v>0</v>
      </c>
      <c r="M23" s="247">
        <f t="shared" si="101"/>
        <v>0</v>
      </c>
      <c r="N23" s="247">
        <f t="shared" si="101"/>
        <v>0</v>
      </c>
      <c r="O23" s="247">
        <f t="shared" si="101"/>
        <v>0</v>
      </c>
      <c r="P23" s="247">
        <f t="shared" si="101"/>
        <v>0</v>
      </c>
      <c r="Q23" s="247">
        <f t="shared" si="101"/>
        <v>0</v>
      </c>
      <c r="R23" s="247">
        <f t="shared" si="101"/>
        <v>0</v>
      </c>
      <c r="S23" s="247">
        <f t="shared" si="101"/>
        <v>0</v>
      </c>
      <c r="T23" s="247">
        <f t="shared" si="101"/>
        <v>0</v>
      </c>
      <c r="U23" s="247">
        <f t="shared" si="101"/>
        <v>0</v>
      </c>
      <c r="V23" s="247">
        <f t="shared" si="101"/>
        <v>0</v>
      </c>
      <c r="W23" s="247">
        <f t="shared" si="101"/>
        <v>255179.83111949998</v>
      </c>
      <c r="X23" s="247">
        <f t="shared" si="101"/>
        <v>255179.83111949998</v>
      </c>
      <c r="Y23" s="247">
        <f t="shared" si="101"/>
        <v>255179.83111949998</v>
      </c>
      <c r="Z23" s="247">
        <f t="shared" si="101"/>
        <v>255179.83111949998</v>
      </c>
      <c r="AA23" s="247">
        <f t="shared" si="101"/>
        <v>255179.83111949998</v>
      </c>
      <c r="AB23" s="247">
        <f t="shared" si="101"/>
        <v>255179.83111949998</v>
      </c>
      <c r="AC23" s="247">
        <f t="shared" si="101"/>
        <v>255179.83111949998</v>
      </c>
      <c r="AD23" s="247">
        <f t="shared" si="101"/>
        <v>255179.83111949998</v>
      </c>
      <c r="AE23" s="247">
        <f t="shared" si="101"/>
        <v>255179.83111949998</v>
      </c>
      <c r="AF23" s="247">
        <f t="shared" si="101"/>
        <v>255179.83111949998</v>
      </c>
      <c r="AG23" s="247">
        <f t="shared" si="101"/>
        <v>255179.83111949998</v>
      </c>
      <c r="AH23" s="247">
        <f t="shared" si="101"/>
        <v>255179.83111949998</v>
      </c>
      <c r="AI23" s="247">
        <f t="shared" si="101"/>
        <v>749449.71789554995</v>
      </c>
      <c r="AJ23" s="247">
        <f t="shared" si="101"/>
        <v>749449.71789554995</v>
      </c>
      <c r="AK23" s="247">
        <f t="shared" si="101"/>
        <v>749449.71789554995</v>
      </c>
      <c r="AL23" s="247">
        <f t="shared" si="101"/>
        <v>749449.71789554995</v>
      </c>
      <c r="AM23" s="247">
        <f t="shared" si="101"/>
        <v>749449.71789554995</v>
      </c>
      <c r="AN23" s="247">
        <f t="shared" si="101"/>
        <v>749449.71789554995</v>
      </c>
      <c r="AO23" s="247">
        <f t="shared" si="101"/>
        <v>749449.71789554995</v>
      </c>
      <c r="AP23" s="247">
        <f t="shared" si="101"/>
        <v>749449.71789554995</v>
      </c>
      <c r="AQ23" s="247">
        <f t="shared" si="101"/>
        <v>749449.71789554995</v>
      </c>
      <c r="AR23" s="247">
        <f t="shared" si="101"/>
        <v>955486.00557794992</v>
      </c>
      <c r="AS23" s="247">
        <f t="shared" si="101"/>
        <v>955486.00557794992</v>
      </c>
      <c r="AT23" s="247">
        <f t="shared" si="101"/>
        <v>955486.00557794992</v>
      </c>
      <c r="AU23" s="247">
        <f t="shared" si="101"/>
        <v>955486.00557794992</v>
      </c>
      <c r="AV23" s="247">
        <f t="shared" si="101"/>
        <v>955486.00557794992</v>
      </c>
      <c r="AW23" s="247">
        <f t="shared" si="101"/>
        <v>955486.00557794992</v>
      </c>
      <c r="AX23" s="247">
        <f t="shared" si="101"/>
        <v>955486.00557794992</v>
      </c>
      <c r="AY23" s="247">
        <f t="shared" si="101"/>
        <v>955486.00557794992</v>
      </c>
      <c r="AZ23" s="247">
        <f t="shared" si="101"/>
        <v>955486.00557794992</v>
      </c>
      <c r="BA23" s="247">
        <f t="shared" si="101"/>
        <v>1397498.3957024999</v>
      </c>
      <c r="BB23" s="247">
        <f t="shared" si="101"/>
        <v>1397498.3957024999</v>
      </c>
      <c r="BC23" s="247">
        <f t="shared" si="101"/>
        <v>1397498.3957024999</v>
      </c>
      <c r="BD23" s="247">
        <f t="shared" si="101"/>
        <v>1397498.3957024999</v>
      </c>
      <c r="BE23" s="247">
        <f t="shared" si="101"/>
        <v>1397498.3957024999</v>
      </c>
      <c r="BF23" s="247">
        <f t="shared" si="101"/>
        <v>1397498.3957024999</v>
      </c>
      <c r="BG23" s="247">
        <f t="shared" si="101"/>
        <v>1397498.3957024999</v>
      </c>
      <c r="BH23" s="247">
        <f t="shared" si="101"/>
        <v>1397498.3957024999</v>
      </c>
      <c r="BI23" s="247">
        <f t="shared" si="101"/>
        <v>1397498.3957024999</v>
      </c>
      <c r="BJ23" s="247">
        <f t="shared" si="101"/>
        <v>1489591.82149575</v>
      </c>
      <c r="BK23" s="247">
        <f t="shared" si="101"/>
        <v>1489591.82149575</v>
      </c>
      <c r="BL23" s="247">
        <f t="shared" si="101"/>
        <v>1489591.82149575</v>
      </c>
      <c r="BM23" s="247">
        <f t="shared" si="101"/>
        <v>1489591.82149575</v>
      </c>
      <c r="BN23" s="247">
        <f t="shared" si="101"/>
        <v>1489591.82149575</v>
      </c>
      <c r="BO23" s="247">
        <f t="shared" si="101"/>
        <v>1489591.82149575</v>
      </c>
      <c r="BP23" s="247">
        <f t="shared" si="101"/>
        <v>1489591.82149575</v>
      </c>
      <c r="BQ23" s="247">
        <f t="shared" ref="BQ23:EB23" si="102">SUM(BQ17:BQ22)</f>
        <v>1489591.82149575</v>
      </c>
      <c r="BR23" s="247">
        <f t="shared" si="102"/>
        <v>1489591.82149575</v>
      </c>
      <c r="BS23" s="247">
        <f t="shared" si="102"/>
        <v>1489591.82149575</v>
      </c>
      <c r="BT23" s="247">
        <f t="shared" si="102"/>
        <v>1489591.82149575</v>
      </c>
      <c r="BU23" s="247">
        <f t="shared" si="102"/>
        <v>1489591.82149575</v>
      </c>
      <c r="BV23" s="247">
        <f t="shared" si="102"/>
        <v>1489591.82149575</v>
      </c>
      <c r="BW23" s="247">
        <f t="shared" si="102"/>
        <v>1489591.82149575</v>
      </c>
      <c r="BX23" s="247">
        <f t="shared" si="102"/>
        <v>1489591.82149575</v>
      </c>
      <c r="BY23" s="247">
        <f t="shared" si="102"/>
        <v>1489591.82149575</v>
      </c>
      <c r="BZ23" s="247">
        <f t="shared" si="102"/>
        <v>1489591.82149575</v>
      </c>
      <c r="CA23" s="247">
        <f t="shared" si="102"/>
        <v>1489591.82149575</v>
      </c>
      <c r="CB23" s="247">
        <f t="shared" si="102"/>
        <v>1489591.82149575</v>
      </c>
      <c r="CC23" s="247">
        <f t="shared" si="102"/>
        <v>1489591.82149575</v>
      </c>
      <c r="CD23" s="247">
        <f t="shared" si="102"/>
        <v>1489591.82149575</v>
      </c>
      <c r="CE23" s="247">
        <f t="shared" si="102"/>
        <v>1489591.82149575</v>
      </c>
      <c r="CF23" s="247">
        <f t="shared" si="102"/>
        <v>1489591.82149575</v>
      </c>
      <c r="CG23" s="247">
        <f t="shared" si="102"/>
        <v>1489591.82149575</v>
      </c>
      <c r="CH23" s="247">
        <f t="shared" si="102"/>
        <v>1489591.82149575</v>
      </c>
      <c r="CI23" s="247">
        <f t="shared" si="102"/>
        <v>1489591.82149575</v>
      </c>
      <c r="CJ23" s="247">
        <f t="shared" si="102"/>
        <v>1489591.82149575</v>
      </c>
      <c r="CK23" s="247">
        <f t="shared" si="102"/>
        <v>1489591.82149575</v>
      </c>
      <c r="CL23" s="247">
        <f t="shared" si="102"/>
        <v>1489591.82149575</v>
      </c>
      <c r="CM23" s="247">
        <f t="shared" si="102"/>
        <v>1489591.82149575</v>
      </c>
      <c r="CN23" s="247">
        <f t="shared" si="102"/>
        <v>1489591.82149575</v>
      </c>
      <c r="CO23" s="247">
        <f t="shared" si="102"/>
        <v>1489591.82149575</v>
      </c>
      <c r="CP23" s="247">
        <f t="shared" si="102"/>
        <v>1489591.82149575</v>
      </c>
      <c r="CQ23" s="247">
        <f t="shared" si="102"/>
        <v>1489591.82149575</v>
      </c>
      <c r="CR23" s="247">
        <f t="shared" si="102"/>
        <v>1489591.82149575</v>
      </c>
      <c r="CS23" s="247">
        <f t="shared" si="102"/>
        <v>1489591.82149575</v>
      </c>
      <c r="CT23" s="247">
        <f t="shared" si="102"/>
        <v>1489591.82149575</v>
      </c>
      <c r="CU23" s="247">
        <f t="shared" si="102"/>
        <v>1489591.82149575</v>
      </c>
      <c r="CV23" s="247">
        <f t="shared" si="102"/>
        <v>1489591.82149575</v>
      </c>
      <c r="CW23" s="247">
        <f t="shared" si="102"/>
        <v>1489591.82149575</v>
      </c>
      <c r="CX23" s="247">
        <f t="shared" si="102"/>
        <v>1489591.82149575</v>
      </c>
      <c r="CY23" s="247">
        <f t="shared" si="102"/>
        <v>1489591.82149575</v>
      </c>
      <c r="CZ23" s="247">
        <f t="shared" si="102"/>
        <v>1489591.82149575</v>
      </c>
      <c r="DA23" s="247">
        <f t="shared" si="102"/>
        <v>1489591.82149575</v>
      </c>
      <c r="DB23" s="247">
        <f t="shared" si="102"/>
        <v>1489591.82149575</v>
      </c>
      <c r="DC23" s="247">
        <f t="shared" si="102"/>
        <v>1489591.82149575</v>
      </c>
      <c r="DD23" s="247">
        <f t="shared" si="102"/>
        <v>1489591.82149575</v>
      </c>
      <c r="DE23" s="247">
        <f t="shared" si="102"/>
        <v>1489591.82149575</v>
      </c>
      <c r="DF23" s="247">
        <f t="shared" si="102"/>
        <v>1489591.82149575</v>
      </c>
      <c r="DG23" s="247">
        <f t="shared" si="102"/>
        <v>1489591.82149575</v>
      </c>
      <c r="DH23" s="247">
        <f t="shared" si="102"/>
        <v>1489591.82149575</v>
      </c>
      <c r="DI23" s="247">
        <f t="shared" si="102"/>
        <v>1489591.82149575</v>
      </c>
      <c r="DJ23" s="247">
        <f t="shared" si="102"/>
        <v>1489591.82149575</v>
      </c>
      <c r="DK23" s="247">
        <f t="shared" si="102"/>
        <v>1489591.82149575</v>
      </c>
      <c r="DL23" s="247">
        <f t="shared" si="102"/>
        <v>1489591.82149575</v>
      </c>
      <c r="DM23" s="247">
        <f t="shared" si="102"/>
        <v>1489591.82149575</v>
      </c>
      <c r="DN23" s="247">
        <f t="shared" si="102"/>
        <v>1489591.82149575</v>
      </c>
      <c r="DO23" s="247">
        <f t="shared" si="102"/>
        <v>1489591.82149575</v>
      </c>
      <c r="DP23" s="247">
        <f t="shared" si="102"/>
        <v>1489591.82149575</v>
      </c>
      <c r="DQ23" s="247">
        <f t="shared" si="102"/>
        <v>1489591.82149575</v>
      </c>
      <c r="DR23" s="247">
        <f t="shared" si="102"/>
        <v>1489591.82149575</v>
      </c>
      <c r="DS23" s="247">
        <f t="shared" si="102"/>
        <v>1489591.82149575</v>
      </c>
      <c r="DT23" s="247">
        <f t="shared" si="102"/>
        <v>1489591.82149575</v>
      </c>
      <c r="DU23" s="247">
        <f t="shared" si="102"/>
        <v>1489591.82149575</v>
      </c>
      <c r="DV23" s="247">
        <f t="shared" si="102"/>
        <v>1489591.82149575</v>
      </c>
      <c r="DW23" s="247">
        <f t="shared" si="102"/>
        <v>1489591.82149575</v>
      </c>
      <c r="DX23" s="247">
        <f t="shared" si="102"/>
        <v>1489591.82149575</v>
      </c>
      <c r="DY23" s="247">
        <f t="shared" si="102"/>
        <v>1489591.82149575</v>
      </c>
      <c r="DZ23" s="247">
        <f t="shared" si="102"/>
        <v>1489591.82149575</v>
      </c>
      <c r="EA23" s="247">
        <f t="shared" si="102"/>
        <v>1489591.82149575</v>
      </c>
      <c r="EB23" s="247">
        <f t="shared" si="102"/>
        <v>1489591.82149575</v>
      </c>
      <c r="EC23" s="247">
        <f t="shared" ref="EC23:GN23" si="103">SUM(EC17:EC22)</f>
        <v>1489591.82149575</v>
      </c>
      <c r="ED23" s="247">
        <f t="shared" si="103"/>
        <v>1489591.82149575</v>
      </c>
      <c r="EE23" s="247">
        <f t="shared" si="103"/>
        <v>1489591.82149575</v>
      </c>
      <c r="EF23" s="247">
        <f t="shared" si="103"/>
        <v>1489591.82149575</v>
      </c>
      <c r="EG23" s="247">
        <f t="shared" si="103"/>
        <v>1489591.82149575</v>
      </c>
      <c r="EH23" s="247">
        <f t="shared" si="103"/>
        <v>1489591.82149575</v>
      </c>
      <c r="EI23" s="247">
        <f t="shared" si="103"/>
        <v>1489591.82149575</v>
      </c>
      <c r="EJ23" s="247">
        <f t="shared" si="103"/>
        <v>1489591.82149575</v>
      </c>
      <c r="EK23" s="247">
        <f t="shared" si="103"/>
        <v>1489591.82149575</v>
      </c>
      <c r="EL23" s="247">
        <f t="shared" si="103"/>
        <v>1489591.82149575</v>
      </c>
      <c r="EM23" s="247">
        <f t="shared" si="103"/>
        <v>1489591.82149575</v>
      </c>
      <c r="EN23" s="247">
        <f t="shared" si="103"/>
        <v>1489591.82149575</v>
      </c>
      <c r="EO23" s="247">
        <f t="shared" si="103"/>
        <v>1489591.82149575</v>
      </c>
      <c r="EP23" s="247">
        <f t="shared" si="103"/>
        <v>1489591.82149575</v>
      </c>
      <c r="EQ23" s="247">
        <f t="shared" si="103"/>
        <v>1489591.82149575</v>
      </c>
      <c r="ER23" s="247">
        <f t="shared" si="103"/>
        <v>1489591.82149575</v>
      </c>
      <c r="ES23" s="247">
        <f t="shared" si="103"/>
        <v>1489591.82149575</v>
      </c>
      <c r="ET23" s="247">
        <f t="shared" si="103"/>
        <v>1489591.82149575</v>
      </c>
      <c r="EU23" s="247">
        <f t="shared" si="103"/>
        <v>1489591.82149575</v>
      </c>
      <c r="EV23" s="247">
        <f t="shared" si="103"/>
        <v>1489591.82149575</v>
      </c>
      <c r="EW23" s="247">
        <f t="shared" si="103"/>
        <v>1489591.82149575</v>
      </c>
      <c r="EX23" s="247">
        <f t="shared" si="103"/>
        <v>1489591.82149575</v>
      </c>
      <c r="EY23" s="247">
        <f t="shared" si="103"/>
        <v>1489591.82149575</v>
      </c>
      <c r="EZ23" s="247">
        <f t="shared" si="103"/>
        <v>1489591.82149575</v>
      </c>
      <c r="FA23" s="247">
        <f t="shared" si="103"/>
        <v>1489591.82149575</v>
      </c>
      <c r="FB23" s="247">
        <f t="shared" si="103"/>
        <v>1489591.82149575</v>
      </c>
      <c r="FC23" s="247">
        <f t="shared" si="103"/>
        <v>1489591.82149575</v>
      </c>
      <c r="FD23" s="247">
        <f t="shared" si="103"/>
        <v>1489591.82149575</v>
      </c>
      <c r="FE23" s="247">
        <f t="shared" si="103"/>
        <v>1489591.82149575</v>
      </c>
      <c r="FF23" s="247">
        <f t="shared" si="103"/>
        <v>1489591.82149575</v>
      </c>
      <c r="FG23" s="247">
        <f t="shared" si="103"/>
        <v>1489591.82149575</v>
      </c>
      <c r="FH23" s="247">
        <f t="shared" si="103"/>
        <v>1489591.82149575</v>
      </c>
      <c r="FI23" s="247">
        <f t="shared" si="103"/>
        <v>1489591.82149575</v>
      </c>
      <c r="FJ23" s="247">
        <f t="shared" si="103"/>
        <v>1489591.82149575</v>
      </c>
      <c r="FK23" s="247">
        <f t="shared" si="103"/>
        <v>1489591.82149575</v>
      </c>
      <c r="FL23" s="247">
        <f t="shared" si="103"/>
        <v>1489591.82149575</v>
      </c>
      <c r="FM23" s="247">
        <f t="shared" si="103"/>
        <v>1489591.82149575</v>
      </c>
      <c r="FN23" s="247">
        <f t="shared" si="103"/>
        <v>1489591.82149575</v>
      </c>
      <c r="FO23" s="247">
        <f t="shared" si="103"/>
        <v>1489591.82149575</v>
      </c>
      <c r="FP23" s="247">
        <f t="shared" si="103"/>
        <v>1489591.82149575</v>
      </c>
      <c r="FQ23" s="247">
        <f t="shared" si="103"/>
        <v>1489591.82149575</v>
      </c>
      <c r="FR23" s="247">
        <f t="shared" si="103"/>
        <v>1489591.82149575</v>
      </c>
      <c r="FS23" s="247">
        <f t="shared" si="103"/>
        <v>1489591.82149575</v>
      </c>
      <c r="FT23" s="247">
        <f t="shared" si="103"/>
        <v>1489591.82149575</v>
      </c>
      <c r="FU23" s="247">
        <f t="shared" si="103"/>
        <v>1489591.82149575</v>
      </c>
      <c r="FV23" s="247">
        <f t="shared" si="103"/>
        <v>1489591.82149575</v>
      </c>
      <c r="FW23" s="247">
        <f t="shared" si="103"/>
        <v>1489591.82149575</v>
      </c>
      <c r="FX23" s="247">
        <f t="shared" si="103"/>
        <v>1489591.82149575</v>
      </c>
      <c r="FY23" s="247">
        <f t="shared" si="103"/>
        <v>1489591.82149575</v>
      </c>
      <c r="FZ23" s="247">
        <f t="shared" si="103"/>
        <v>1489591.82149575</v>
      </c>
      <c r="GA23" s="247">
        <f t="shared" si="103"/>
        <v>1489591.82149575</v>
      </c>
      <c r="GB23" s="247">
        <f t="shared" si="103"/>
        <v>1489591.82149575</v>
      </c>
      <c r="GC23" s="247">
        <f t="shared" si="103"/>
        <v>1489591.82149575</v>
      </c>
      <c r="GD23" s="247">
        <f t="shared" si="103"/>
        <v>1489591.82149575</v>
      </c>
      <c r="GE23" s="247">
        <f t="shared" si="103"/>
        <v>1489591.82149575</v>
      </c>
      <c r="GF23" s="247">
        <f t="shared" si="103"/>
        <v>1489591.82149575</v>
      </c>
      <c r="GG23" s="247">
        <f t="shared" si="103"/>
        <v>1489591.82149575</v>
      </c>
      <c r="GH23" s="247">
        <f t="shared" si="103"/>
        <v>1489591.82149575</v>
      </c>
      <c r="GI23" s="247">
        <f t="shared" si="103"/>
        <v>1489591.82149575</v>
      </c>
      <c r="GJ23" s="247">
        <f t="shared" si="103"/>
        <v>1489591.82149575</v>
      </c>
      <c r="GK23" s="247">
        <f t="shared" si="103"/>
        <v>1489591.82149575</v>
      </c>
      <c r="GL23" s="247">
        <f t="shared" si="103"/>
        <v>1489591.82149575</v>
      </c>
      <c r="GM23" s="247">
        <f t="shared" si="103"/>
        <v>1489591.82149575</v>
      </c>
      <c r="GN23" s="247">
        <f t="shared" si="103"/>
        <v>1489591.82149575</v>
      </c>
      <c r="GO23" s="247">
        <f t="shared" ref="GO23:IZ23" si="104">SUM(GO17:GO22)</f>
        <v>1489591.82149575</v>
      </c>
      <c r="GP23" s="247">
        <f t="shared" si="104"/>
        <v>1489591.82149575</v>
      </c>
      <c r="GQ23" s="247">
        <f t="shared" si="104"/>
        <v>1489591.82149575</v>
      </c>
      <c r="GR23" s="247">
        <f t="shared" si="104"/>
        <v>1489591.82149575</v>
      </c>
      <c r="GS23" s="247">
        <f t="shared" si="104"/>
        <v>1489591.82149575</v>
      </c>
      <c r="GT23" s="247">
        <f t="shared" si="104"/>
        <v>1489591.82149575</v>
      </c>
      <c r="GU23" s="247">
        <f t="shared" si="104"/>
        <v>1489591.82149575</v>
      </c>
      <c r="GV23" s="247">
        <f t="shared" si="104"/>
        <v>1489591.82149575</v>
      </c>
      <c r="GW23" s="247">
        <f t="shared" si="104"/>
        <v>1489591.82149575</v>
      </c>
      <c r="GX23" s="247">
        <f t="shared" si="104"/>
        <v>1489591.82149575</v>
      </c>
      <c r="GY23" s="247">
        <f t="shared" si="104"/>
        <v>1489591.82149575</v>
      </c>
      <c r="GZ23" s="247">
        <f t="shared" si="104"/>
        <v>1489591.82149575</v>
      </c>
      <c r="HA23" s="247">
        <f t="shared" si="104"/>
        <v>1489591.82149575</v>
      </c>
      <c r="HB23" s="247">
        <f t="shared" si="104"/>
        <v>1489591.82149575</v>
      </c>
      <c r="HC23" s="247">
        <f t="shared" si="104"/>
        <v>1489591.82149575</v>
      </c>
      <c r="HD23" s="247">
        <f t="shared" si="104"/>
        <v>1489591.82149575</v>
      </c>
      <c r="HE23" s="247">
        <f t="shared" si="104"/>
        <v>1489591.82149575</v>
      </c>
      <c r="HF23" s="247">
        <f t="shared" si="104"/>
        <v>1489591.82149575</v>
      </c>
      <c r="HG23" s="247">
        <f t="shared" si="104"/>
        <v>1489591.82149575</v>
      </c>
      <c r="HH23" s="247">
        <f t="shared" si="104"/>
        <v>1489591.82149575</v>
      </c>
      <c r="HI23" s="247">
        <f t="shared" si="104"/>
        <v>1489591.82149575</v>
      </c>
      <c r="HJ23" s="247">
        <f t="shared" si="104"/>
        <v>1489591.82149575</v>
      </c>
      <c r="HK23" s="247">
        <f t="shared" si="104"/>
        <v>1489591.82149575</v>
      </c>
      <c r="HL23" s="247">
        <f t="shared" si="104"/>
        <v>1489591.82149575</v>
      </c>
      <c r="HM23" s="247">
        <f t="shared" si="104"/>
        <v>1489591.82149575</v>
      </c>
      <c r="HN23" s="247">
        <f t="shared" si="104"/>
        <v>1489591.82149575</v>
      </c>
      <c r="HO23" s="247">
        <f t="shared" si="104"/>
        <v>1489591.82149575</v>
      </c>
      <c r="HP23" s="247">
        <f t="shared" si="104"/>
        <v>1489591.82149575</v>
      </c>
      <c r="HQ23" s="247">
        <f t="shared" si="104"/>
        <v>1489591.82149575</v>
      </c>
      <c r="HR23" s="247">
        <f t="shared" si="104"/>
        <v>1489591.82149575</v>
      </c>
      <c r="HS23" s="247">
        <f t="shared" si="104"/>
        <v>1489591.82149575</v>
      </c>
      <c r="HT23" s="247">
        <f t="shared" si="104"/>
        <v>1489591.82149575</v>
      </c>
      <c r="HU23" s="247">
        <f t="shared" si="104"/>
        <v>1489591.82149575</v>
      </c>
      <c r="HV23" s="247">
        <f t="shared" si="104"/>
        <v>1489591.82149575</v>
      </c>
      <c r="HW23" s="247">
        <f t="shared" si="104"/>
        <v>1489591.82149575</v>
      </c>
      <c r="HX23" s="247">
        <f t="shared" si="104"/>
        <v>1489591.82149575</v>
      </c>
      <c r="HY23" s="247">
        <f t="shared" si="104"/>
        <v>1489591.82149575</v>
      </c>
      <c r="HZ23" s="247">
        <f t="shared" si="104"/>
        <v>1489591.82149575</v>
      </c>
      <c r="IA23" s="247">
        <f t="shared" si="104"/>
        <v>1489591.82149575</v>
      </c>
      <c r="IB23" s="247">
        <f t="shared" si="104"/>
        <v>1489591.82149575</v>
      </c>
      <c r="IC23" s="247">
        <f t="shared" si="104"/>
        <v>1489591.82149575</v>
      </c>
      <c r="ID23" s="247">
        <f t="shared" si="104"/>
        <v>1489591.82149575</v>
      </c>
      <c r="IE23" s="247">
        <f t="shared" si="104"/>
        <v>1489591.82149575</v>
      </c>
      <c r="IF23" s="247">
        <f t="shared" si="104"/>
        <v>1489591.82149575</v>
      </c>
      <c r="IG23" s="247">
        <f t="shared" si="104"/>
        <v>1489591.82149575</v>
      </c>
      <c r="IH23" s="247">
        <f t="shared" si="104"/>
        <v>1489591.82149575</v>
      </c>
      <c r="II23" s="247">
        <f t="shared" si="104"/>
        <v>1489591.82149575</v>
      </c>
      <c r="IJ23" s="247">
        <f t="shared" si="104"/>
        <v>1489591.82149575</v>
      </c>
      <c r="IK23" s="247">
        <f t="shared" si="104"/>
        <v>1489591.82149575</v>
      </c>
      <c r="IL23" s="247">
        <f t="shared" si="104"/>
        <v>1489591.82149575</v>
      </c>
      <c r="IM23" s="247">
        <f t="shared" si="104"/>
        <v>1489591.82149575</v>
      </c>
      <c r="IN23" s="247">
        <f t="shared" si="104"/>
        <v>1489591.82149575</v>
      </c>
      <c r="IO23" s="247">
        <f t="shared" si="104"/>
        <v>1489591.82149575</v>
      </c>
      <c r="IP23" s="247">
        <f t="shared" si="104"/>
        <v>1489591.82149575</v>
      </c>
      <c r="IQ23" s="247">
        <f t="shared" si="104"/>
        <v>1489591.82149575</v>
      </c>
      <c r="IR23" s="247">
        <f t="shared" si="104"/>
        <v>1489591.82149575</v>
      </c>
      <c r="IS23" s="247">
        <f t="shared" si="104"/>
        <v>1489591.82149575</v>
      </c>
      <c r="IT23" s="247">
        <f t="shared" si="104"/>
        <v>1489591.82149575</v>
      </c>
      <c r="IU23" s="247">
        <f t="shared" si="104"/>
        <v>1489591.82149575</v>
      </c>
      <c r="IV23" s="247">
        <f t="shared" si="104"/>
        <v>1489591.82149575</v>
      </c>
      <c r="IW23" s="247">
        <f t="shared" si="104"/>
        <v>1234411.9903762501</v>
      </c>
      <c r="IX23" s="247">
        <f t="shared" si="104"/>
        <v>1234411.9903762501</v>
      </c>
      <c r="IY23" s="247">
        <f t="shared" si="104"/>
        <v>1234411.9903762501</v>
      </c>
      <c r="IZ23" s="247">
        <f t="shared" si="104"/>
        <v>1234411.9903762501</v>
      </c>
      <c r="JA23" s="247">
        <f t="shared" ref="JA23:KC23" si="105">SUM(JA17:JA22)</f>
        <v>1234411.9903762501</v>
      </c>
      <c r="JB23" s="247">
        <f t="shared" si="105"/>
        <v>1234411.9903762501</v>
      </c>
      <c r="JC23" s="247">
        <f t="shared" si="105"/>
        <v>1234411.9903762501</v>
      </c>
      <c r="JD23" s="247">
        <f t="shared" si="105"/>
        <v>1234411.9903762501</v>
      </c>
      <c r="JE23" s="247">
        <f t="shared" si="105"/>
        <v>1234411.9903762501</v>
      </c>
      <c r="JF23" s="247">
        <f t="shared" si="105"/>
        <v>1234411.9903762501</v>
      </c>
      <c r="JG23" s="247">
        <f t="shared" si="105"/>
        <v>1234411.9903762501</v>
      </c>
      <c r="JH23" s="247">
        <f t="shared" si="105"/>
        <v>1234411.9903762501</v>
      </c>
      <c r="JI23" s="247">
        <f t="shared" si="105"/>
        <v>740142.10360020003</v>
      </c>
      <c r="JJ23" s="247">
        <f t="shared" si="105"/>
        <v>740142.10360020003</v>
      </c>
      <c r="JK23" s="247">
        <f t="shared" si="105"/>
        <v>740142.10360020003</v>
      </c>
      <c r="JL23" s="247">
        <f t="shared" si="105"/>
        <v>740142.10360020003</v>
      </c>
      <c r="JM23" s="247">
        <f t="shared" si="105"/>
        <v>740142.10360020003</v>
      </c>
      <c r="JN23" s="247">
        <f t="shared" si="105"/>
        <v>740142.10360020003</v>
      </c>
      <c r="JO23" s="247">
        <f t="shared" si="105"/>
        <v>740142.10360020003</v>
      </c>
      <c r="JP23" s="247">
        <f t="shared" si="105"/>
        <v>740142.10360020003</v>
      </c>
      <c r="JQ23" s="247">
        <f t="shared" si="105"/>
        <v>740142.10360020003</v>
      </c>
      <c r="JR23" s="247">
        <f t="shared" si="105"/>
        <v>534105.81591780006</v>
      </c>
      <c r="JS23" s="247">
        <f t="shared" si="105"/>
        <v>534105.81591780006</v>
      </c>
      <c r="JT23" s="247">
        <f t="shared" si="105"/>
        <v>534105.81591780006</v>
      </c>
      <c r="JU23" s="247">
        <f t="shared" si="105"/>
        <v>534105.81591780006</v>
      </c>
      <c r="JV23" s="247">
        <f t="shared" si="105"/>
        <v>534105.81591780006</v>
      </c>
      <c r="JW23" s="247">
        <f t="shared" si="105"/>
        <v>534105.81591780006</v>
      </c>
      <c r="JX23" s="247">
        <f t="shared" si="105"/>
        <v>534105.81591780006</v>
      </c>
      <c r="JY23" s="247">
        <f t="shared" si="105"/>
        <v>534105.81591780006</v>
      </c>
      <c r="JZ23" s="247">
        <f t="shared" si="105"/>
        <v>534105.81591780006</v>
      </c>
      <c r="KA23" s="247">
        <f t="shared" si="105"/>
        <v>92093.425793250004</v>
      </c>
      <c r="KB23" s="247">
        <f t="shared" si="105"/>
        <v>92093.425793250004</v>
      </c>
      <c r="KC23" s="247">
        <f t="shared" si="105"/>
        <v>92093.425793250004</v>
      </c>
      <c r="KD23" s="247"/>
      <c r="KE23" s="247"/>
      <c r="KF23" s="247"/>
      <c r="KG23" s="247"/>
      <c r="KH23" s="247"/>
      <c r="KI23" s="247"/>
      <c r="KJ23" s="247"/>
      <c r="KK23" s="247"/>
      <c r="KL23" s="247"/>
      <c r="KM23" s="247"/>
      <c r="KN23" s="247"/>
      <c r="KO23" s="247"/>
    </row>
    <row r="24" spans="1:301" x14ac:dyDescent="0.3">
      <c r="F24" s="487">
        <f>F23-E23</f>
        <v>0</v>
      </c>
      <c r="G24" s="487">
        <f t="shared" ref="G24:BR24" si="106">G23-F23</f>
        <v>0</v>
      </c>
      <c r="H24" s="487">
        <f t="shared" si="106"/>
        <v>0</v>
      </c>
      <c r="I24" s="487">
        <f t="shared" si="106"/>
        <v>0</v>
      </c>
      <c r="J24" s="487">
        <f t="shared" si="106"/>
        <v>0</v>
      </c>
      <c r="K24" s="487">
        <f t="shared" si="106"/>
        <v>0</v>
      </c>
      <c r="L24" s="487">
        <f t="shared" si="106"/>
        <v>0</v>
      </c>
      <c r="M24" s="487">
        <f t="shared" si="106"/>
        <v>0</v>
      </c>
      <c r="N24" s="487">
        <f t="shared" si="106"/>
        <v>0</v>
      </c>
      <c r="O24" s="487">
        <f t="shared" si="106"/>
        <v>0</v>
      </c>
      <c r="P24" s="487">
        <f t="shared" si="106"/>
        <v>0</v>
      </c>
      <c r="Q24" s="487">
        <f t="shared" si="106"/>
        <v>0</v>
      </c>
      <c r="R24" s="487">
        <f t="shared" si="106"/>
        <v>0</v>
      </c>
      <c r="S24" s="487">
        <f t="shared" si="106"/>
        <v>0</v>
      </c>
      <c r="T24" s="487">
        <f t="shared" si="106"/>
        <v>0</v>
      </c>
      <c r="U24" s="487">
        <f t="shared" si="106"/>
        <v>0</v>
      </c>
      <c r="V24" s="487">
        <f t="shared" si="106"/>
        <v>0</v>
      </c>
      <c r="W24" s="487">
        <f t="shared" si="106"/>
        <v>255179.83111949998</v>
      </c>
      <c r="X24" s="487">
        <f t="shared" si="106"/>
        <v>0</v>
      </c>
      <c r="Y24" s="487">
        <f t="shared" si="106"/>
        <v>0</v>
      </c>
      <c r="Z24" s="487">
        <f>Z23-Y23</f>
        <v>0</v>
      </c>
      <c r="AA24" s="487">
        <f t="shared" si="106"/>
        <v>0</v>
      </c>
      <c r="AB24" s="487">
        <f t="shared" si="106"/>
        <v>0</v>
      </c>
      <c r="AC24" s="487">
        <f t="shared" si="106"/>
        <v>0</v>
      </c>
      <c r="AD24" s="487">
        <f t="shared" si="106"/>
        <v>0</v>
      </c>
      <c r="AE24" s="487">
        <f t="shared" si="106"/>
        <v>0</v>
      </c>
      <c r="AF24" s="487">
        <f t="shared" si="106"/>
        <v>0</v>
      </c>
      <c r="AG24" s="487">
        <f t="shared" si="106"/>
        <v>0</v>
      </c>
      <c r="AH24" s="487">
        <f t="shared" si="106"/>
        <v>0</v>
      </c>
      <c r="AI24" s="487">
        <f t="shared" si="106"/>
        <v>494269.88677604997</v>
      </c>
      <c r="AJ24" s="487">
        <f t="shared" si="106"/>
        <v>0</v>
      </c>
      <c r="AK24" s="487">
        <f t="shared" si="106"/>
        <v>0</v>
      </c>
      <c r="AL24" s="487">
        <f t="shared" si="106"/>
        <v>0</v>
      </c>
      <c r="AM24" s="487">
        <f t="shared" si="106"/>
        <v>0</v>
      </c>
      <c r="AN24" s="487">
        <f t="shared" si="106"/>
        <v>0</v>
      </c>
      <c r="AO24" s="487">
        <f t="shared" si="106"/>
        <v>0</v>
      </c>
      <c r="AP24" s="487">
        <f t="shared" si="106"/>
        <v>0</v>
      </c>
      <c r="AQ24" s="487">
        <f t="shared" si="106"/>
        <v>0</v>
      </c>
      <c r="AR24" s="487">
        <f t="shared" si="106"/>
        <v>206036.28768239997</v>
      </c>
      <c r="AS24" s="487">
        <f t="shared" si="106"/>
        <v>0</v>
      </c>
      <c r="AT24" s="487">
        <f t="shared" si="106"/>
        <v>0</v>
      </c>
      <c r="AU24" s="487">
        <f t="shared" si="106"/>
        <v>0</v>
      </c>
      <c r="AV24" s="487">
        <f t="shared" si="106"/>
        <v>0</v>
      </c>
      <c r="AW24" s="487">
        <f t="shared" si="106"/>
        <v>0</v>
      </c>
      <c r="AX24" s="487">
        <f t="shared" si="106"/>
        <v>0</v>
      </c>
      <c r="AY24" s="487">
        <f t="shared" si="106"/>
        <v>0</v>
      </c>
      <c r="AZ24" s="487">
        <f t="shared" si="106"/>
        <v>0</v>
      </c>
      <c r="BA24" s="487">
        <f t="shared" si="106"/>
        <v>442012.39012454997</v>
      </c>
      <c r="BB24" s="487">
        <f t="shared" si="106"/>
        <v>0</v>
      </c>
      <c r="BC24" s="487">
        <f t="shared" si="106"/>
        <v>0</v>
      </c>
      <c r="BD24" s="487">
        <f t="shared" si="106"/>
        <v>0</v>
      </c>
      <c r="BE24" s="487">
        <f t="shared" si="106"/>
        <v>0</v>
      </c>
      <c r="BF24" s="487">
        <f t="shared" si="106"/>
        <v>0</v>
      </c>
      <c r="BG24" s="487">
        <f t="shared" si="106"/>
        <v>0</v>
      </c>
      <c r="BH24" s="487">
        <f t="shared" si="106"/>
        <v>0</v>
      </c>
      <c r="BI24" s="487">
        <f t="shared" si="106"/>
        <v>0</v>
      </c>
      <c r="BJ24" s="487">
        <f t="shared" si="106"/>
        <v>92093.425793250091</v>
      </c>
      <c r="BK24" s="487">
        <f t="shared" si="106"/>
        <v>0</v>
      </c>
      <c r="BL24" s="487">
        <f t="shared" si="106"/>
        <v>0</v>
      </c>
      <c r="BM24" s="487">
        <f t="shared" si="106"/>
        <v>0</v>
      </c>
      <c r="BN24" s="487">
        <f t="shared" si="106"/>
        <v>0</v>
      </c>
      <c r="BO24" s="487">
        <f t="shared" si="106"/>
        <v>0</v>
      </c>
      <c r="BP24" s="487">
        <f t="shared" si="106"/>
        <v>0</v>
      </c>
      <c r="BQ24" s="487">
        <f t="shared" si="106"/>
        <v>0</v>
      </c>
      <c r="BR24" s="487">
        <f t="shared" si="106"/>
        <v>0</v>
      </c>
      <c r="BS24" s="487">
        <f t="shared" ref="BS24:ED24" si="107">BS23-BR23</f>
        <v>0</v>
      </c>
      <c r="BT24" s="487">
        <f t="shared" si="107"/>
        <v>0</v>
      </c>
      <c r="BU24" s="487">
        <f t="shared" si="107"/>
        <v>0</v>
      </c>
      <c r="BV24" s="487">
        <f t="shared" si="107"/>
        <v>0</v>
      </c>
      <c r="BW24" s="487">
        <f t="shared" si="107"/>
        <v>0</v>
      </c>
      <c r="BX24" s="487">
        <f t="shared" si="107"/>
        <v>0</v>
      </c>
      <c r="BY24" s="487">
        <f t="shared" si="107"/>
        <v>0</v>
      </c>
      <c r="BZ24" s="487">
        <f t="shared" si="107"/>
        <v>0</v>
      </c>
      <c r="CA24" s="487">
        <f t="shared" si="107"/>
        <v>0</v>
      </c>
      <c r="CB24" s="487">
        <f t="shared" si="107"/>
        <v>0</v>
      </c>
      <c r="CC24" s="487">
        <f t="shared" si="107"/>
        <v>0</v>
      </c>
      <c r="CD24" s="487">
        <f t="shared" si="107"/>
        <v>0</v>
      </c>
      <c r="CE24" s="487">
        <f t="shared" si="107"/>
        <v>0</v>
      </c>
      <c r="CF24" s="487">
        <f t="shared" si="107"/>
        <v>0</v>
      </c>
      <c r="CG24" s="487">
        <f t="shared" si="107"/>
        <v>0</v>
      </c>
      <c r="CH24" s="487">
        <f t="shared" si="107"/>
        <v>0</v>
      </c>
      <c r="CI24" s="487">
        <f t="shared" si="107"/>
        <v>0</v>
      </c>
      <c r="CJ24" s="487">
        <f t="shared" si="107"/>
        <v>0</v>
      </c>
      <c r="CK24" s="487">
        <f t="shared" si="107"/>
        <v>0</v>
      </c>
      <c r="CL24" s="487">
        <f t="shared" si="107"/>
        <v>0</v>
      </c>
      <c r="CM24" s="487">
        <f t="shared" si="107"/>
        <v>0</v>
      </c>
      <c r="CN24" s="487">
        <f t="shared" si="107"/>
        <v>0</v>
      </c>
      <c r="CO24" s="487">
        <f t="shared" si="107"/>
        <v>0</v>
      </c>
      <c r="CP24" s="487">
        <f t="shared" si="107"/>
        <v>0</v>
      </c>
      <c r="CQ24" s="487">
        <f t="shared" si="107"/>
        <v>0</v>
      </c>
      <c r="CR24" s="487">
        <f t="shared" si="107"/>
        <v>0</v>
      </c>
      <c r="CS24" s="487">
        <f t="shared" si="107"/>
        <v>0</v>
      </c>
      <c r="CT24" s="487">
        <f t="shared" si="107"/>
        <v>0</v>
      </c>
      <c r="CU24" s="487">
        <f t="shared" si="107"/>
        <v>0</v>
      </c>
      <c r="CV24" s="487">
        <f t="shared" si="107"/>
        <v>0</v>
      </c>
      <c r="CW24" s="487">
        <f t="shared" si="107"/>
        <v>0</v>
      </c>
      <c r="CX24" s="487">
        <f t="shared" si="107"/>
        <v>0</v>
      </c>
      <c r="CY24" s="487">
        <f t="shared" si="107"/>
        <v>0</v>
      </c>
      <c r="CZ24" s="487">
        <f t="shared" si="107"/>
        <v>0</v>
      </c>
      <c r="DA24" s="487">
        <f t="shared" si="107"/>
        <v>0</v>
      </c>
      <c r="DB24" s="487">
        <f t="shared" si="107"/>
        <v>0</v>
      </c>
      <c r="DC24" s="487">
        <f t="shared" si="107"/>
        <v>0</v>
      </c>
      <c r="DD24" s="487">
        <f t="shared" si="107"/>
        <v>0</v>
      </c>
      <c r="DE24" s="487">
        <f t="shared" si="107"/>
        <v>0</v>
      </c>
      <c r="DF24" s="487">
        <f t="shared" si="107"/>
        <v>0</v>
      </c>
      <c r="DG24" s="487">
        <f t="shared" si="107"/>
        <v>0</v>
      </c>
      <c r="DH24" s="487">
        <f t="shared" si="107"/>
        <v>0</v>
      </c>
      <c r="DI24" s="487">
        <f t="shared" si="107"/>
        <v>0</v>
      </c>
      <c r="DJ24" s="487">
        <f t="shared" si="107"/>
        <v>0</v>
      </c>
      <c r="DK24" s="487">
        <f t="shared" si="107"/>
        <v>0</v>
      </c>
      <c r="DL24" s="487">
        <f t="shared" si="107"/>
        <v>0</v>
      </c>
      <c r="DM24" s="487">
        <f t="shared" si="107"/>
        <v>0</v>
      </c>
      <c r="DN24" s="487">
        <f t="shared" si="107"/>
        <v>0</v>
      </c>
      <c r="DO24" s="487">
        <f t="shared" si="107"/>
        <v>0</v>
      </c>
      <c r="DP24" s="487">
        <f t="shared" si="107"/>
        <v>0</v>
      </c>
      <c r="DQ24" s="487">
        <f t="shared" si="107"/>
        <v>0</v>
      </c>
      <c r="DR24" s="487">
        <f t="shared" si="107"/>
        <v>0</v>
      </c>
      <c r="DS24" s="487">
        <f t="shared" si="107"/>
        <v>0</v>
      </c>
      <c r="DT24" s="487">
        <f t="shared" si="107"/>
        <v>0</v>
      </c>
      <c r="DU24" s="487">
        <f t="shared" si="107"/>
        <v>0</v>
      </c>
      <c r="DV24" s="487">
        <f t="shared" si="107"/>
        <v>0</v>
      </c>
      <c r="DW24" s="487">
        <f t="shared" si="107"/>
        <v>0</v>
      </c>
      <c r="DX24" s="487">
        <f t="shared" si="107"/>
        <v>0</v>
      </c>
      <c r="DY24" s="487">
        <f t="shared" si="107"/>
        <v>0</v>
      </c>
      <c r="DZ24" s="487">
        <f t="shared" si="107"/>
        <v>0</v>
      </c>
      <c r="EA24" s="487">
        <f t="shared" si="107"/>
        <v>0</v>
      </c>
      <c r="EB24" s="487">
        <f t="shared" si="107"/>
        <v>0</v>
      </c>
      <c r="EC24" s="487">
        <f t="shared" si="107"/>
        <v>0</v>
      </c>
      <c r="ED24" s="487">
        <f t="shared" si="107"/>
        <v>0</v>
      </c>
      <c r="EE24" s="487">
        <f t="shared" ref="EE24:FY24" si="108">EE23-ED23</f>
        <v>0</v>
      </c>
      <c r="EF24" s="487">
        <f t="shared" si="108"/>
        <v>0</v>
      </c>
      <c r="EG24" s="487">
        <f t="shared" si="108"/>
        <v>0</v>
      </c>
      <c r="EH24" s="487">
        <f t="shared" si="108"/>
        <v>0</v>
      </c>
      <c r="EI24" s="487">
        <f t="shared" si="108"/>
        <v>0</v>
      </c>
      <c r="EJ24" s="487">
        <f t="shared" si="108"/>
        <v>0</v>
      </c>
      <c r="EK24" s="487">
        <f t="shared" si="108"/>
        <v>0</v>
      </c>
      <c r="EL24" s="487">
        <f t="shared" si="108"/>
        <v>0</v>
      </c>
      <c r="EM24" s="487">
        <f t="shared" si="108"/>
        <v>0</v>
      </c>
      <c r="EN24" s="487">
        <f t="shared" si="108"/>
        <v>0</v>
      </c>
      <c r="EO24" s="487">
        <f t="shared" si="108"/>
        <v>0</v>
      </c>
      <c r="EP24" s="487">
        <f t="shared" si="108"/>
        <v>0</v>
      </c>
      <c r="EQ24" s="487">
        <f t="shared" si="108"/>
        <v>0</v>
      </c>
      <c r="ER24" s="487">
        <f t="shared" si="108"/>
        <v>0</v>
      </c>
      <c r="ES24" s="487">
        <f t="shared" si="108"/>
        <v>0</v>
      </c>
      <c r="ET24" s="487">
        <f t="shared" si="108"/>
        <v>0</v>
      </c>
      <c r="EU24" s="487">
        <f t="shared" si="108"/>
        <v>0</v>
      </c>
      <c r="EV24" s="487">
        <f t="shared" si="108"/>
        <v>0</v>
      </c>
      <c r="EW24" s="487">
        <f t="shared" si="108"/>
        <v>0</v>
      </c>
      <c r="EX24" s="487">
        <f t="shared" si="108"/>
        <v>0</v>
      </c>
      <c r="EY24" s="487">
        <f t="shared" si="108"/>
        <v>0</v>
      </c>
      <c r="EZ24" s="487">
        <f t="shared" si="108"/>
        <v>0</v>
      </c>
      <c r="FA24" s="487">
        <f t="shared" si="108"/>
        <v>0</v>
      </c>
      <c r="FB24" s="487">
        <f t="shared" si="108"/>
        <v>0</v>
      </c>
      <c r="FC24" s="487">
        <f t="shared" si="108"/>
        <v>0</v>
      </c>
      <c r="FD24" s="487">
        <f t="shared" si="108"/>
        <v>0</v>
      </c>
      <c r="FE24" s="487">
        <f t="shared" si="108"/>
        <v>0</v>
      </c>
      <c r="FF24" s="487">
        <f t="shared" si="108"/>
        <v>0</v>
      </c>
      <c r="FG24" s="487">
        <f t="shared" si="108"/>
        <v>0</v>
      </c>
      <c r="FH24" s="487">
        <f t="shared" si="108"/>
        <v>0</v>
      </c>
      <c r="FI24" s="487">
        <f t="shared" si="108"/>
        <v>0</v>
      </c>
      <c r="FJ24" s="487">
        <f t="shared" si="108"/>
        <v>0</v>
      </c>
      <c r="FK24" s="487">
        <f t="shared" si="108"/>
        <v>0</v>
      </c>
      <c r="FL24" s="487">
        <f t="shared" si="108"/>
        <v>0</v>
      </c>
      <c r="FM24" s="487">
        <f t="shared" si="108"/>
        <v>0</v>
      </c>
      <c r="FN24" s="487">
        <f t="shared" si="108"/>
        <v>0</v>
      </c>
      <c r="FO24" s="487">
        <f t="shared" si="108"/>
        <v>0</v>
      </c>
      <c r="FP24" s="487">
        <f t="shared" si="108"/>
        <v>0</v>
      </c>
      <c r="FQ24" s="487">
        <f t="shared" si="108"/>
        <v>0</v>
      </c>
      <c r="FR24" s="487">
        <f t="shared" si="108"/>
        <v>0</v>
      </c>
      <c r="FS24" s="487">
        <f t="shared" si="108"/>
        <v>0</v>
      </c>
      <c r="FT24" s="487">
        <f t="shared" si="108"/>
        <v>0</v>
      </c>
      <c r="FU24" s="487">
        <f t="shared" si="108"/>
        <v>0</v>
      </c>
      <c r="FV24" s="487">
        <f t="shared" si="108"/>
        <v>0</v>
      </c>
      <c r="FW24" s="487">
        <f t="shared" si="108"/>
        <v>0</v>
      </c>
      <c r="FX24" s="487">
        <f t="shared" si="108"/>
        <v>0</v>
      </c>
      <c r="FY24" s="487">
        <f t="shared" si="108"/>
        <v>0</v>
      </c>
      <c r="FZ24" s="487">
        <f t="shared" ref="FZ24:HE24" si="109">FZ23-FY23</f>
        <v>0</v>
      </c>
      <c r="GA24" s="487">
        <f t="shared" si="109"/>
        <v>0</v>
      </c>
      <c r="GB24" s="487">
        <f t="shared" si="109"/>
        <v>0</v>
      </c>
      <c r="GC24" s="487">
        <f t="shared" si="109"/>
        <v>0</v>
      </c>
      <c r="GD24" s="487">
        <f t="shared" si="109"/>
        <v>0</v>
      </c>
      <c r="GE24" s="487">
        <f t="shared" si="109"/>
        <v>0</v>
      </c>
      <c r="GF24" s="487">
        <f t="shared" si="109"/>
        <v>0</v>
      </c>
      <c r="GG24" s="487">
        <f t="shared" si="109"/>
        <v>0</v>
      </c>
      <c r="GH24" s="487">
        <f t="shared" si="109"/>
        <v>0</v>
      </c>
      <c r="GI24" s="487">
        <f t="shared" si="109"/>
        <v>0</v>
      </c>
      <c r="GJ24" s="487">
        <f t="shared" si="109"/>
        <v>0</v>
      </c>
      <c r="GK24" s="487">
        <f t="shared" si="109"/>
        <v>0</v>
      </c>
      <c r="GL24" s="487">
        <f t="shared" si="109"/>
        <v>0</v>
      </c>
      <c r="GM24" s="487">
        <f t="shared" si="109"/>
        <v>0</v>
      </c>
      <c r="GN24" s="487">
        <f t="shared" si="109"/>
        <v>0</v>
      </c>
      <c r="GO24" s="487">
        <f t="shared" si="109"/>
        <v>0</v>
      </c>
      <c r="GP24" s="487">
        <f t="shared" si="109"/>
        <v>0</v>
      </c>
      <c r="GQ24" s="487">
        <f t="shared" si="109"/>
        <v>0</v>
      </c>
      <c r="GR24" s="487">
        <f t="shared" si="109"/>
        <v>0</v>
      </c>
      <c r="GS24" s="487">
        <f t="shared" si="109"/>
        <v>0</v>
      </c>
      <c r="GT24" s="487">
        <f t="shared" si="109"/>
        <v>0</v>
      </c>
      <c r="GU24" s="487">
        <f t="shared" si="109"/>
        <v>0</v>
      </c>
      <c r="GV24" s="487">
        <f t="shared" si="109"/>
        <v>0</v>
      </c>
      <c r="GW24" s="487">
        <f t="shared" si="109"/>
        <v>0</v>
      </c>
      <c r="GX24" s="487">
        <f t="shared" si="109"/>
        <v>0</v>
      </c>
      <c r="GY24" s="487">
        <f t="shared" si="109"/>
        <v>0</v>
      </c>
      <c r="GZ24" s="487">
        <f t="shared" si="109"/>
        <v>0</v>
      </c>
      <c r="HA24" s="487">
        <f t="shared" si="109"/>
        <v>0</v>
      </c>
      <c r="HB24" s="487">
        <f t="shared" si="109"/>
        <v>0</v>
      </c>
      <c r="HC24" s="487">
        <f t="shared" si="109"/>
        <v>0</v>
      </c>
      <c r="HD24" s="487">
        <f t="shared" si="109"/>
        <v>0</v>
      </c>
      <c r="HE24" s="487">
        <f t="shared" si="109"/>
        <v>0</v>
      </c>
      <c r="HF24" s="487">
        <f t="shared" ref="HF24:IK24" si="110">HF23-HE23</f>
        <v>0</v>
      </c>
      <c r="HG24" s="487">
        <f t="shared" si="110"/>
        <v>0</v>
      </c>
      <c r="HH24" s="487">
        <f t="shared" si="110"/>
        <v>0</v>
      </c>
      <c r="HI24" s="487">
        <f t="shared" si="110"/>
        <v>0</v>
      </c>
      <c r="HJ24" s="487">
        <f t="shared" si="110"/>
        <v>0</v>
      </c>
      <c r="HK24" s="487">
        <f t="shared" si="110"/>
        <v>0</v>
      </c>
      <c r="HL24" s="487">
        <f t="shared" si="110"/>
        <v>0</v>
      </c>
      <c r="HM24" s="487">
        <f t="shared" si="110"/>
        <v>0</v>
      </c>
      <c r="HN24" s="487">
        <f t="shared" si="110"/>
        <v>0</v>
      </c>
      <c r="HO24" s="487">
        <f t="shared" si="110"/>
        <v>0</v>
      </c>
      <c r="HP24" s="487">
        <f t="shared" si="110"/>
        <v>0</v>
      </c>
      <c r="HQ24" s="487">
        <f t="shared" si="110"/>
        <v>0</v>
      </c>
      <c r="HR24" s="487">
        <f t="shared" si="110"/>
        <v>0</v>
      </c>
      <c r="HS24" s="487">
        <f t="shared" si="110"/>
        <v>0</v>
      </c>
      <c r="HT24" s="487">
        <f t="shared" si="110"/>
        <v>0</v>
      </c>
      <c r="HU24" s="487">
        <f t="shared" si="110"/>
        <v>0</v>
      </c>
      <c r="HV24" s="487">
        <f t="shared" si="110"/>
        <v>0</v>
      </c>
      <c r="HW24" s="487">
        <f t="shared" si="110"/>
        <v>0</v>
      </c>
      <c r="HX24" s="487">
        <f t="shared" si="110"/>
        <v>0</v>
      </c>
      <c r="HY24" s="487">
        <f t="shared" si="110"/>
        <v>0</v>
      </c>
      <c r="HZ24" s="487">
        <f t="shared" si="110"/>
        <v>0</v>
      </c>
      <c r="IA24" s="487">
        <f t="shared" si="110"/>
        <v>0</v>
      </c>
      <c r="IB24" s="487">
        <f t="shared" si="110"/>
        <v>0</v>
      </c>
      <c r="IC24" s="487">
        <f t="shared" si="110"/>
        <v>0</v>
      </c>
      <c r="ID24" s="487">
        <f t="shared" si="110"/>
        <v>0</v>
      </c>
      <c r="IE24" s="487">
        <f t="shared" si="110"/>
        <v>0</v>
      </c>
      <c r="IF24" s="487">
        <f t="shared" si="110"/>
        <v>0</v>
      </c>
      <c r="IG24" s="487">
        <f t="shared" si="110"/>
        <v>0</v>
      </c>
      <c r="IH24" s="487">
        <f t="shared" si="110"/>
        <v>0</v>
      </c>
      <c r="II24" s="487">
        <f t="shared" si="110"/>
        <v>0</v>
      </c>
      <c r="IJ24" s="487">
        <f t="shared" si="110"/>
        <v>0</v>
      </c>
      <c r="IK24" s="487">
        <f t="shared" si="110"/>
        <v>0</v>
      </c>
      <c r="IL24" s="487">
        <f>IL23-IK23</f>
        <v>0</v>
      </c>
      <c r="IM24" s="487">
        <f>IM23-IL23</f>
        <v>0</v>
      </c>
      <c r="IN24" s="487">
        <f>IN23-IM23</f>
        <v>0</v>
      </c>
      <c r="IO24" s="487">
        <f>IO23-IN23</f>
        <v>0</v>
      </c>
      <c r="IP24" s="487">
        <f>IP23-IO23</f>
        <v>0</v>
      </c>
      <c r="IQ24" s="487">
        <f t="shared" ref="IQ24:KC24" si="111">IQ23-IP23</f>
        <v>0</v>
      </c>
      <c r="IR24" s="487">
        <f t="shared" si="111"/>
        <v>0</v>
      </c>
      <c r="IS24" s="487">
        <f t="shared" si="111"/>
        <v>0</v>
      </c>
      <c r="IT24" s="487">
        <f t="shared" si="111"/>
        <v>0</v>
      </c>
      <c r="IU24" s="487">
        <f t="shared" si="111"/>
        <v>0</v>
      </c>
      <c r="IV24" s="487">
        <f t="shared" si="111"/>
        <v>0</v>
      </c>
      <c r="IW24" s="487">
        <f t="shared" si="111"/>
        <v>-255179.83111949987</v>
      </c>
      <c r="IX24" s="487">
        <f t="shared" si="111"/>
        <v>0</v>
      </c>
      <c r="IY24" s="487">
        <f t="shared" si="111"/>
        <v>0</v>
      </c>
      <c r="IZ24" s="487">
        <f t="shared" si="111"/>
        <v>0</v>
      </c>
      <c r="JA24" s="487">
        <f t="shared" si="111"/>
        <v>0</v>
      </c>
      <c r="JB24" s="487">
        <f t="shared" si="111"/>
        <v>0</v>
      </c>
      <c r="JC24" s="487">
        <f t="shared" si="111"/>
        <v>0</v>
      </c>
      <c r="JD24" s="487">
        <f t="shared" si="111"/>
        <v>0</v>
      </c>
      <c r="JE24" s="487">
        <f t="shared" si="111"/>
        <v>0</v>
      </c>
      <c r="JF24" s="487">
        <f t="shared" si="111"/>
        <v>0</v>
      </c>
      <c r="JG24" s="487">
        <f t="shared" si="111"/>
        <v>0</v>
      </c>
      <c r="JH24" s="487">
        <f t="shared" si="111"/>
        <v>0</v>
      </c>
      <c r="JI24" s="487">
        <f t="shared" si="111"/>
        <v>-494269.88677605009</v>
      </c>
      <c r="JJ24" s="487">
        <f t="shared" si="111"/>
        <v>0</v>
      </c>
      <c r="JK24" s="487">
        <f t="shared" si="111"/>
        <v>0</v>
      </c>
      <c r="JL24" s="487">
        <f t="shared" si="111"/>
        <v>0</v>
      </c>
      <c r="JM24" s="487">
        <f t="shared" si="111"/>
        <v>0</v>
      </c>
      <c r="JN24" s="487">
        <f t="shared" si="111"/>
        <v>0</v>
      </c>
      <c r="JO24" s="487">
        <f t="shared" si="111"/>
        <v>0</v>
      </c>
      <c r="JP24" s="487">
        <f t="shared" si="111"/>
        <v>0</v>
      </c>
      <c r="JQ24" s="487">
        <f t="shared" si="111"/>
        <v>0</v>
      </c>
      <c r="JR24" s="487">
        <f t="shared" si="111"/>
        <v>-206036.28768239997</v>
      </c>
      <c r="JS24" s="487">
        <f t="shared" si="111"/>
        <v>0</v>
      </c>
      <c r="JT24" s="487">
        <f t="shared" si="111"/>
        <v>0</v>
      </c>
      <c r="JU24" s="487">
        <f t="shared" si="111"/>
        <v>0</v>
      </c>
      <c r="JV24" s="487">
        <f t="shared" si="111"/>
        <v>0</v>
      </c>
      <c r="JW24" s="487">
        <f t="shared" si="111"/>
        <v>0</v>
      </c>
      <c r="JX24" s="487">
        <f t="shared" si="111"/>
        <v>0</v>
      </c>
      <c r="JY24" s="487">
        <f t="shared" si="111"/>
        <v>0</v>
      </c>
      <c r="JZ24" s="487">
        <f t="shared" si="111"/>
        <v>0</v>
      </c>
      <c r="KA24" s="487">
        <f t="shared" si="111"/>
        <v>-442012.39012455009</v>
      </c>
      <c r="KB24" s="487">
        <f t="shared" si="111"/>
        <v>0</v>
      </c>
      <c r="KC24" s="487">
        <f t="shared" si="111"/>
        <v>0</v>
      </c>
      <c r="KD24" s="487"/>
      <c r="KE24" s="487"/>
      <c r="KF24" s="487"/>
      <c r="KG24" s="487"/>
      <c r="KH24" s="487"/>
      <c r="KI24" s="487"/>
      <c r="KJ24" s="487"/>
      <c r="KK24" s="487"/>
      <c r="KL24" s="487"/>
      <c r="KM24" s="487"/>
      <c r="KN24" s="487"/>
      <c r="KO24" s="487"/>
    </row>
    <row r="25" spans="1:301" x14ac:dyDescent="0.3">
      <c r="B25" s="29" t="s">
        <v>123</v>
      </c>
      <c r="D25" s="1" t="s">
        <v>203</v>
      </c>
      <c r="AQ25" s="33"/>
      <c r="AS25" s="33"/>
    </row>
    <row r="26" spans="1:301" x14ac:dyDescent="0.3">
      <c r="C26" s="54"/>
      <c r="D26" s="485"/>
      <c r="E26" s="74"/>
      <c r="F26" s="74"/>
      <c r="G26" s="74"/>
      <c r="H26" s="74"/>
      <c r="I26" s="74"/>
      <c r="J26" s="74"/>
      <c r="K26" s="74"/>
      <c r="L26" s="74"/>
      <c r="M26" s="74"/>
      <c r="N26" s="74"/>
      <c r="O26" s="74"/>
    </row>
    <row r="27" spans="1:301" x14ac:dyDescent="0.3">
      <c r="C27" s="54"/>
      <c r="D27" s="485"/>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row>
    <row r="28" spans="1:301" x14ac:dyDescent="0.3">
      <c r="A28" s="52">
        <f>SUM(E28:IS28)</f>
        <v>195.67195570128624</v>
      </c>
      <c r="B28" s="1" t="str">
        <f>B18</f>
        <v>Phase 1</v>
      </c>
      <c r="C28" s="54">
        <f>SUM(E28:KC28)</f>
        <v>199.6376400545218</v>
      </c>
      <c r="D28" s="485">
        <v>1</v>
      </c>
      <c r="E28" s="33">
        <f t="shared" ref="E28:BP28" si="112">E18*E9/10^7*$D$31</f>
        <v>0</v>
      </c>
      <c r="F28" s="33">
        <f t="shared" si="112"/>
        <v>0</v>
      </c>
      <c r="G28" s="33">
        <f t="shared" si="112"/>
        <v>0</v>
      </c>
      <c r="H28" s="33">
        <f t="shared" si="112"/>
        <v>0</v>
      </c>
      <c r="I28" s="33">
        <f t="shared" si="112"/>
        <v>0</v>
      </c>
      <c r="J28" s="33">
        <f t="shared" si="112"/>
        <v>0</v>
      </c>
      <c r="K28" s="33">
        <f t="shared" si="112"/>
        <v>0</v>
      </c>
      <c r="L28" s="33">
        <f t="shared" si="112"/>
        <v>0</v>
      </c>
      <c r="M28" s="33">
        <f t="shared" si="112"/>
        <v>0</v>
      </c>
      <c r="N28" s="33">
        <f t="shared" si="112"/>
        <v>0</v>
      </c>
      <c r="O28" s="33">
        <f t="shared" si="112"/>
        <v>0</v>
      </c>
      <c r="P28" s="33">
        <f t="shared" si="112"/>
        <v>0</v>
      </c>
      <c r="Q28" s="33">
        <f t="shared" si="112"/>
        <v>0</v>
      </c>
      <c r="R28" s="33">
        <f t="shared" si="112"/>
        <v>0</v>
      </c>
      <c r="S28" s="33">
        <f t="shared" si="112"/>
        <v>0</v>
      </c>
      <c r="T28" s="33">
        <f t="shared" si="112"/>
        <v>0</v>
      </c>
      <c r="U28" s="33">
        <f t="shared" si="112"/>
        <v>0</v>
      </c>
      <c r="V28" s="33">
        <f t="shared" si="112"/>
        <v>0</v>
      </c>
      <c r="W28" s="33">
        <f t="shared" si="112"/>
        <v>0.52311865379497491</v>
      </c>
      <c r="X28" s="33">
        <f t="shared" si="112"/>
        <v>0.52311865379497491</v>
      </c>
      <c r="Y28" s="33">
        <f t="shared" si="112"/>
        <v>0.52311865379497491</v>
      </c>
      <c r="Z28" s="33">
        <f t="shared" si="112"/>
        <v>0.52311865379497491</v>
      </c>
      <c r="AA28" s="33">
        <f t="shared" si="112"/>
        <v>0.52311865379497491</v>
      </c>
      <c r="AB28" s="33">
        <f t="shared" si="112"/>
        <v>0.52311865379497491</v>
      </c>
      <c r="AC28" s="33">
        <f t="shared" si="112"/>
        <v>0.52311865379497491</v>
      </c>
      <c r="AD28" s="33">
        <f t="shared" si="112"/>
        <v>0.52311865379497491</v>
      </c>
      <c r="AE28" s="33">
        <f t="shared" si="112"/>
        <v>0.52311865379497491</v>
      </c>
      <c r="AF28" s="33">
        <f t="shared" si="112"/>
        <v>0.52311865379497491</v>
      </c>
      <c r="AG28" s="33">
        <f t="shared" si="112"/>
        <v>0.52311865379497491</v>
      </c>
      <c r="AH28" s="33">
        <f t="shared" si="112"/>
        <v>0.52311865379497491</v>
      </c>
      <c r="AI28" s="33">
        <f t="shared" si="112"/>
        <v>0.54927458648472371</v>
      </c>
      <c r="AJ28" s="33">
        <f t="shared" si="112"/>
        <v>0.54927458648472371</v>
      </c>
      <c r="AK28" s="33">
        <f t="shared" si="112"/>
        <v>0.54927458648472371</v>
      </c>
      <c r="AL28" s="33">
        <f t="shared" si="112"/>
        <v>0.54927458648472371</v>
      </c>
      <c r="AM28" s="33">
        <f t="shared" si="112"/>
        <v>0.54927458648472371</v>
      </c>
      <c r="AN28" s="33">
        <f t="shared" si="112"/>
        <v>0.54927458648472371</v>
      </c>
      <c r="AO28" s="33">
        <f t="shared" si="112"/>
        <v>0.54927458648472371</v>
      </c>
      <c r="AP28" s="33">
        <f t="shared" si="112"/>
        <v>0.54927458648472371</v>
      </c>
      <c r="AQ28" s="33">
        <f t="shared" si="112"/>
        <v>0.54927458648472371</v>
      </c>
      <c r="AR28" s="33">
        <f t="shared" si="112"/>
        <v>0.54927458648472371</v>
      </c>
      <c r="AS28" s="33">
        <f t="shared" si="112"/>
        <v>0.54927458648472371</v>
      </c>
      <c r="AT28" s="33">
        <f t="shared" si="112"/>
        <v>0.54927458648472371</v>
      </c>
      <c r="AU28" s="33">
        <f t="shared" si="112"/>
        <v>0.57673831580895996</v>
      </c>
      <c r="AV28" s="33">
        <f t="shared" si="112"/>
        <v>0.57673831580895996</v>
      </c>
      <c r="AW28" s="33">
        <f t="shared" si="112"/>
        <v>0.57673831580895996</v>
      </c>
      <c r="AX28" s="33">
        <f t="shared" si="112"/>
        <v>0.57673831580895996</v>
      </c>
      <c r="AY28" s="33">
        <f t="shared" si="112"/>
        <v>0.57673831580895996</v>
      </c>
      <c r="AZ28" s="33">
        <f t="shared" si="112"/>
        <v>0.57673831580895996</v>
      </c>
      <c r="BA28" s="33">
        <f t="shared" si="112"/>
        <v>0.57673831580895996</v>
      </c>
      <c r="BB28" s="33">
        <f t="shared" si="112"/>
        <v>0.57673831580895996</v>
      </c>
      <c r="BC28" s="33">
        <f t="shared" si="112"/>
        <v>0.57673831580895996</v>
      </c>
      <c r="BD28" s="33">
        <f t="shared" si="112"/>
        <v>0.57673831580895996</v>
      </c>
      <c r="BE28" s="33">
        <f t="shared" si="112"/>
        <v>0.57673831580895996</v>
      </c>
      <c r="BF28" s="33">
        <f t="shared" si="112"/>
        <v>0.57673831580895996</v>
      </c>
      <c r="BG28" s="33">
        <f t="shared" si="112"/>
        <v>0.60557523159940807</v>
      </c>
      <c r="BH28" s="33">
        <f t="shared" si="112"/>
        <v>0.60557523159940807</v>
      </c>
      <c r="BI28" s="33">
        <f t="shared" si="112"/>
        <v>0.60557523159940807</v>
      </c>
      <c r="BJ28" s="33">
        <f t="shared" si="112"/>
        <v>0.60557523159940807</v>
      </c>
      <c r="BK28" s="33">
        <f t="shared" si="112"/>
        <v>0.60557523159940807</v>
      </c>
      <c r="BL28" s="33">
        <f t="shared" si="112"/>
        <v>0.60557523159940807</v>
      </c>
      <c r="BM28" s="33">
        <f t="shared" si="112"/>
        <v>0.60557523159940807</v>
      </c>
      <c r="BN28" s="33">
        <f t="shared" si="112"/>
        <v>0.60557523159940807</v>
      </c>
      <c r="BO28" s="33">
        <f t="shared" si="112"/>
        <v>0.60557523159940807</v>
      </c>
      <c r="BP28" s="33">
        <f t="shared" si="112"/>
        <v>0.60557523159940807</v>
      </c>
      <c r="BQ28" s="33">
        <f t="shared" ref="BQ28:EB28" si="113">BQ18*BQ9/10^7*$D$31</f>
        <v>0.60557523159940807</v>
      </c>
      <c r="BR28" s="33">
        <f t="shared" si="113"/>
        <v>0.60557523159940807</v>
      </c>
      <c r="BS28" s="33">
        <f t="shared" si="113"/>
        <v>0.63585399317937841</v>
      </c>
      <c r="BT28" s="33">
        <f t="shared" si="113"/>
        <v>0.63585399317937841</v>
      </c>
      <c r="BU28" s="33">
        <f t="shared" si="113"/>
        <v>0.63585399317937841</v>
      </c>
      <c r="BV28" s="33">
        <f t="shared" si="113"/>
        <v>0.63585399317937841</v>
      </c>
      <c r="BW28" s="33">
        <f t="shared" si="113"/>
        <v>0.63585399317937841</v>
      </c>
      <c r="BX28" s="33">
        <f t="shared" si="113"/>
        <v>0.63585399317937841</v>
      </c>
      <c r="BY28" s="33">
        <f t="shared" si="113"/>
        <v>0.63585399317937841</v>
      </c>
      <c r="BZ28" s="33">
        <f t="shared" si="113"/>
        <v>0.63585399317937841</v>
      </c>
      <c r="CA28" s="33">
        <f t="shared" si="113"/>
        <v>0.63585399317937841</v>
      </c>
      <c r="CB28" s="33">
        <f t="shared" si="113"/>
        <v>0.63585399317937841</v>
      </c>
      <c r="CC28" s="33">
        <f t="shared" si="113"/>
        <v>0.63585399317937841</v>
      </c>
      <c r="CD28" s="33">
        <f t="shared" si="113"/>
        <v>0.63585399317937841</v>
      </c>
      <c r="CE28" s="33">
        <f t="shared" si="113"/>
        <v>0.66764669283834732</v>
      </c>
      <c r="CF28" s="33">
        <f t="shared" si="113"/>
        <v>0.66764669283834732</v>
      </c>
      <c r="CG28" s="33">
        <f t="shared" si="113"/>
        <v>0.66764669283834732</v>
      </c>
      <c r="CH28" s="33">
        <f t="shared" si="113"/>
        <v>0.66764669283834732</v>
      </c>
      <c r="CI28" s="33">
        <f t="shared" si="113"/>
        <v>0.66764669283834732</v>
      </c>
      <c r="CJ28" s="33">
        <f t="shared" si="113"/>
        <v>0.66764669283834732</v>
      </c>
      <c r="CK28" s="33">
        <f t="shared" si="113"/>
        <v>0.66764669283834732</v>
      </c>
      <c r="CL28" s="33">
        <f t="shared" si="113"/>
        <v>0.66764669283834732</v>
      </c>
      <c r="CM28" s="33">
        <f t="shared" si="113"/>
        <v>0.66764669283834732</v>
      </c>
      <c r="CN28" s="33">
        <f t="shared" si="113"/>
        <v>0.66764669283834732</v>
      </c>
      <c r="CO28" s="33">
        <f t="shared" si="113"/>
        <v>0.66764669283834732</v>
      </c>
      <c r="CP28" s="33">
        <f t="shared" si="113"/>
        <v>0.66764669283834732</v>
      </c>
      <c r="CQ28" s="33">
        <f t="shared" si="113"/>
        <v>0.70102902748026474</v>
      </c>
      <c r="CR28" s="33">
        <f t="shared" si="113"/>
        <v>0.70102902748026474</v>
      </c>
      <c r="CS28" s="33">
        <f t="shared" si="113"/>
        <v>0.70102902748026474</v>
      </c>
      <c r="CT28" s="33">
        <f t="shared" si="113"/>
        <v>0.70102902748026474</v>
      </c>
      <c r="CU28" s="33">
        <f t="shared" si="113"/>
        <v>0.70102902748026474</v>
      </c>
      <c r="CV28" s="33">
        <f t="shared" si="113"/>
        <v>0.70102902748026474</v>
      </c>
      <c r="CW28" s="33">
        <f t="shared" si="113"/>
        <v>0.70102902748026474</v>
      </c>
      <c r="CX28" s="33">
        <f t="shared" si="113"/>
        <v>0.70102902748026474</v>
      </c>
      <c r="CY28" s="33">
        <f t="shared" si="113"/>
        <v>0.70102902748026474</v>
      </c>
      <c r="CZ28" s="33">
        <f t="shared" si="113"/>
        <v>0.70102902748026474</v>
      </c>
      <c r="DA28" s="33">
        <f t="shared" si="113"/>
        <v>0.70102902748026474</v>
      </c>
      <c r="DB28" s="33">
        <f t="shared" si="113"/>
        <v>0.70102902748026474</v>
      </c>
      <c r="DC28" s="33">
        <f t="shared" si="113"/>
        <v>0.73608047885427796</v>
      </c>
      <c r="DD28" s="33">
        <f t="shared" si="113"/>
        <v>0.73608047885427796</v>
      </c>
      <c r="DE28" s="33">
        <f t="shared" si="113"/>
        <v>0.73608047885427796</v>
      </c>
      <c r="DF28" s="33">
        <f t="shared" si="113"/>
        <v>0.73608047885427796</v>
      </c>
      <c r="DG28" s="33">
        <f t="shared" si="113"/>
        <v>0.73608047885427796</v>
      </c>
      <c r="DH28" s="33">
        <f t="shared" si="113"/>
        <v>0.73608047885427796</v>
      </c>
      <c r="DI28" s="33">
        <f t="shared" si="113"/>
        <v>0.73608047885427796</v>
      </c>
      <c r="DJ28" s="33">
        <f t="shared" si="113"/>
        <v>0.73608047885427796</v>
      </c>
      <c r="DK28" s="33">
        <f t="shared" si="113"/>
        <v>0.73608047885427796</v>
      </c>
      <c r="DL28" s="33">
        <f t="shared" si="113"/>
        <v>0.73608047885427796</v>
      </c>
      <c r="DM28" s="33">
        <f t="shared" si="113"/>
        <v>0.73608047885427796</v>
      </c>
      <c r="DN28" s="33">
        <f t="shared" si="113"/>
        <v>0.73608047885427796</v>
      </c>
      <c r="DO28" s="33">
        <f t="shared" si="113"/>
        <v>0.77288450279699195</v>
      </c>
      <c r="DP28" s="33">
        <f t="shared" si="113"/>
        <v>0.77288450279699195</v>
      </c>
      <c r="DQ28" s="33">
        <f t="shared" si="113"/>
        <v>0.77288450279699195</v>
      </c>
      <c r="DR28" s="33">
        <f t="shared" si="113"/>
        <v>0.77288450279699195</v>
      </c>
      <c r="DS28" s="33">
        <f t="shared" si="113"/>
        <v>0.77288450279699195</v>
      </c>
      <c r="DT28" s="33">
        <f t="shared" si="113"/>
        <v>0.77288450279699195</v>
      </c>
      <c r="DU28" s="33">
        <f t="shared" si="113"/>
        <v>0.77288450279699195</v>
      </c>
      <c r="DV28" s="33">
        <f t="shared" si="113"/>
        <v>0.77288450279699195</v>
      </c>
      <c r="DW28" s="33">
        <f t="shared" si="113"/>
        <v>0.77288450279699195</v>
      </c>
      <c r="DX28" s="33">
        <f t="shared" si="113"/>
        <v>0.77288450279699195</v>
      </c>
      <c r="DY28" s="33">
        <f t="shared" si="113"/>
        <v>0.77288450279699195</v>
      </c>
      <c r="DZ28" s="33">
        <f t="shared" si="113"/>
        <v>0.77288450279699195</v>
      </c>
      <c r="EA28" s="33">
        <f t="shared" si="113"/>
        <v>0.81152872793684161</v>
      </c>
      <c r="EB28" s="33">
        <f t="shared" si="113"/>
        <v>0.81152872793684161</v>
      </c>
      <c r="EC28" s="33">
        <f t="shared" ref="EC28:GN28" si="114">EC18*EC9/10^7*$D$31</f>
        <v>0.81152872793684161</v>
      </c>
      <c r="ED28" s="33">
        <f t="shared" si="114"/>
        <v>0.81152872793684161</v>
      </c>
      <c r="EE28" s="33">
        <f t="shared" si="114"/>
        <v>0.81152872793684161</v>
      </c>
      <c r="EF28" s="33">
        <f t="shared" si="114"/>
        <v>0.81152872793684161</v>
      </c>
      <c r="EG28" s="33">
        <f t="shared" si="114"/>
        <v>0.81152872793684161</v>
      </c>
      <c r="EH28" s="33">
        <f t="shared" si="114"/>
        <v>0.81152872793684161</v>
      </c>
      <c r="EI28" s="33">
        <f t="shared" si="114"/>
        <v>0.81152872793684161</v>
      </c>
      <c r="EJ28" s="33">
        <f t="shared" si="114"/>
        <v>0.81152872793684161</v>
      </c>
      <c r="EK28" s="33">
        <f t="shared" si="114"/>
        <v>0.81152872793684161</v>
      </c>
      <c r="EL28" s="33">
        <f t="shared" si="114"/>
        <v>0.81152872793684161</v>
      </c>
      <c r="EM28" s="33">
        <f t="shared" si="114"/>
        <v>0.85210516433368377</v>
      </c>
      <c r="EN28" s="33">
        <f t="shared" si="114"/>
        <v>0.85210516433368377</v>
      </c>
      <c r="EO28" s="33">
        <f t="shared" si="114"/>
        <v>0.85210516433368377</v>
      </c>
      <c r="EP28" s="33">
        <f t="shared" si="114"/>
        <v>0.85210516433368377</v>
      </c>
      <c r="EQ28" s="33">
        <f t="shared" si="114"/>
        <v>0.85210516433368377</v>
      </c>
      <c r="ER28" s="33">
        <f t="shared" si="114"/>
        <v>0.85210516433368377</v>
      </c>
      <c r="ES28" s="33">
        <f t="shared" si="114"/>
        <v>0.85210516433368377</v>
      </c>
      <c r="ET28" s="33">
        <f t="shared" si="114"/>
        <v>0.85210516433368377</v>
      </c>
      <c r="EU28" s="33">
        <f t="shared" si="114"/>
        <v>0.85210516433368377</v>
      </c>
      <c r="EV28" s="33">
        <f t="shared" si="114"/>
        <v>0.85210516433368377</v>
      </c>
      <c r="EW28" s="33">
        <f t="shared" si="114"/>
        <v>0.85210516433368377</v>
      </c>
      <c r="EX28" s="33">
        <f t="shared" si="114"/>
        <v>0.85210516433368377</v>
      </c>
      <c r="EY28" s="33">
        <f t="shared" si="114"/>
        <v>0.89471042255036815</v>
      </c>
      <c r="EZ28" s="33">
        <f t="shared" si="114"/>
        <v>0.89471042255036815</v>
      </c>
      <c r="FA28" s="33">
        <f t="shared" si="114"/>
        <v>0.89471042255036815</v>
      </c>
      <c r="FB28" s="33">
        <f t="shared" si="114"/>
        <v>0.89471042255036815</v>
      </c>
      <c r="FC28" s="33">
        <f t="shared" si="114"/>
        <v>0.89471042255036815</v>
      </c>
      <c r="FD28" s="33">
        <f t="shared" si="114"/>
        <v>0.89471042255036815</v>
      </c>
      <c r="FE28" s="33">
        <f t="shared" si="114"/>
        <v>0.89471042255036815</v>
      </c>
      <c r="FF28" s="33">
        <f t="shared" si="114"/>
        <v>0.89471042255036815</v>
      </c>
      <c r="FG28" s="33">
        <f t="shared" si="114"/>
        <v>0.89471042255036815</v>
      </c>
      <c r="FH28" s="33">
        <f t="shared" si="114"/>
        <v>0.89471042255036815</v>
      </c>
      <c r="FI28" s="33">
        <f t="shared" si="114"/>
        <v>0.89471042255036815</v>
      </c>
      <c r="FJ28" s="33">
        <f t="shared" si="114"/>
        <v>0.89471042255036815</v>
      </c>
      <c r="FK28" s="33">
        <f t="shared" si="114"/>
        <v>0.93944594367788659</v>
      </c>
      <c r="FL28" s="33">
        <f t="shared" si="114"/>
        <v>0.93944594367788659</v>
      </c>
      <c r="FM28" s="33">
        <f t="shared" si="114"/>
        <v>0.93944594367788659</v>
      </c>
      <c r="FN28" s="33">
        <f t="shared" si="114"/>
        <v>0.93944594367788659</v>
      </c>
      <c r="FO28" s="33">
        <f t="shared" si="114"/>
        <v>0.93944594367788659</v>
      </c>
      <c r="FP28" s="33">
        <f t="shared" si="114"/>
        <v>0.93944594367788659</v>
      </c>
      <c r="FQ28" s="33">
        <f t="shared" si="114"/>
        <v>0.93944594367788659</v>
      </c>
      <c r="FR28" s="33">
        <f t="shared" si="114"/>
        <v>0.93944594367788659</v>
      </c>
      <c r="FS28" s="33">
        <f t="shared" si="114"/>
        <v>0.93944594367788659</v>
      </c>
      <c r="FT28" s="33">
        <f t="shared" si="114"/>
        <v>0.93944594367788659</v>
      </c>
      <c r="FU28" s="33">
        <f t="shared" si="114"/>
        <v>0.93944594367788659</v>
      </c>
      <c r="FV28" s="33">
        <f t="shared" si="114"/>
        <v>0.93944594367788659</v>
      </c>
      <c r="FW28" s="33">
        <f t="shared" si="114"/>
        <v>0.98641824086178076</v>
      </c>
      <c r="FX28" s="33">
        <f t="shared" si="114"/>
        <v>0.98641824086178076</v>
      </c>
      <c r="FY28" s="33">
        <f t="shared" si="114"/>
        <v>0.98641824086178076</v>
      </c>
      <c r="FZ28" s="33">
        <f t="shared" si="114"/>
        <v>0.98641824086178076</v>
      </c>
      <c r="GA28" s="33">
        <f t="shared" si="114"/>
        <v>0.98641824086178076</v>
      </c>
      <c r="GB28" s="33">
        <f t="shared" si="114"/>
        <v>0.98641824086178076</v>
      </c>
      <c r="GC28" s="33">
        <f t="shared" si="114"/>
        <v>0.98641824086178076</v>
      </c>
      <c r="GD28" s="33">
        <f t="shared" si="114"/>
        <v>0.98641824086178076</v>
      </c>
      <c r="GE28" s="33">
        <f t="shared" si="114"/>
        <v>0.98641824086178076</v>
      </c>
      <c r="GF28" s="33">
        <f t="shared" si="114"/>
        <v>0.98641824086178076</v>
      </c>
      <c r="GG28" s="33">
        <f t="shared" si="114"/>
        <v>0.98641824086178076</v>
      </c>
      <c r="GH28" s="33">
        <f t="shared" si="114"/>
        <v>0.98641824086178076</v>
      </c>
      <c r="GI28" s="33">
        <f t="shared" si="114"/>
        <v>1.0357391529048701</v>
      </c>
      <c r="GJ28" s="33">
        <f t="shared" si="114"/>
        <v>1.0357391529048701</v>
      </c>
      <c r="GK28" s="33">
        <f t="shared" si="114"/>
        <v>1.0357391529048701</v>
      </c>
      <c r="GL28" s="33">
        <f t="shared" si="114"/>
        <v>1.0357391529048701</v>
      </c>
      <c r="GM28" s="33">
        <f t="shared" si="114"/>
        <v>1.0357391529048701</v>
      </c>
      <c r="GN28" s="33">
        <f t="shared" si="114"/>
        <v>1.0357391529048701</v>
      </c>
      <c r="GO28" s="33">
        <f t="shared" ref="GO28:IZ28" si="115">GO18*GO9/10^7*$D$31</f>
        <v>1.0357391529048701</v>
      </c>
      <c r="GP28" s="33">
        <f t="shared" si="115"/>
        <v>1.0357391529048701</v>
      </c>
      <c r="GQ28" s="33">
        <f t="shared" si="115"/>
        <v>1.0357391529048701</v>
      </c>
      <c r="GR28" s="33">
        <f t="shared" si="115"/>
        <v>1.0357391529048701</v>
      </c>
      <c r="GS28" s="33">
        <f t="shared" si="115"/>
        <v>1.0357391529048701</v>
      </c>
      <c r="GT28" s="33">
        <f t="shared" si="115"/>
        <v>1.0357391529048701</v>
      </c>
      <c r="GU28" s="33">
        <f t="shared" si="115"/>
        <v>1.0875261105501135</v>
      </c>
      <c r="GV28" s="33">
        <f t="shared" si="115"/>
        <v>1.0875261105501135</v>
      </c>
      <c r="GW28" s="33">
        <f t="shared" si="115"/>
        <v>1.0875261105501135</v>
      </c>
      <c r="GX28" s="33">
        <f t="shared" si="115"/>
        <v>1.0875261105501135</v>
      </c>
      <c r="GY28" s="33">
        <f t="shared" si="115"/>
        <v>1.0875261105501135</v>
      </c>
      <c r="GZ28" s="33">
        <f t="shared" si="115"/>
        <v>1.0875261105501135</v>
      </c>
      <c r="HA28" s="33">
        <f t="shared" si="115"/>
        <v>1.0875261105501135</v>
      </c>
      <c r="HB28" s="33">
        <f t="shared" si="115"/>
        <v>1.0875261105501135</v>
      </c>
      <c r="HC28" s="33">
        <f t="shared" si="115"/>
        <v>1.0875261105501135</v>
      </c>
      <c r="HD28" s="33">
        <f t="shared" si="115"/>
        <v>1.0875261105501135</v>
      </c>
      <c r="HE28" s="33">
        <f t="shared" si="115"/>
        <v>1.0875261105501135</v>
      </c>
      <c r="HF28" s="33">
        <f t="shared" si="115"/>
        <v>1.0875261105501135</v>
      </c>
      <c r="HG28" s="33">
        <f t="shared" si="115"/>
        <v>1.1419024160776192</v>
      </c>
      <c r="HH28" s="33">
        <f t="shared" si="115"/>
        <v>1.1419024160776192</v>
      </c>
      <c r="HI28" s="33">
        <f t="shared" si="115"/>
        <v>1.1419024160776192</v>
      </c>
      <c r="HJ28" s="33">
        <f t="shared" si="115"/>
        <v>1.1419024160776192</v>
      </c>
      <c r="HK28" s="33">
        <f t="shared" si="115"/>
        <v>1.1419024160776192</v>
      </c>
      <c r="HL28" s="33">
        <f t="shared" si="115"/>
        <v>1.1419024160776192</v>
      </c>
      <c r="HM28" s="33">
        <f t="shared" si="115"/>
        <v>1.1419024160776192</v>
      </c>
      <c r="HN28" s="33">
        <f t="shared" si="115"/>
        <v>1.1419024160776192</v>
      </c>
      <c r="HO28" s="33">
        <f t="shared" si="115"/>
        <v>1.1419024160776192</v>
      </c>
      <c r="HP28" s="33">
        <f t="shared" si="115"/>
        <v>1.1419024160776192</v>
      </c>
      <c r="HQ28" s="33">
        <f t="shared" si="115"/>
        <v>1.1419024160776192</v>
      </c>
      <c r="HR28" s="33">
        <f t="shared" si="115"/>
        <v>1.1419024160776192</v>
      </c>
      <c r="HS28" s="33">
        <f t="shared" si="115"/>
        <v>1.1989975368815002</v>
      </c>
      <c r="HT28" s="33">
        <f t="shared" si="115"/>
        <v>1.1989975368815002</v>
      </c>
      <c r="HU28" s="33">
        <f t="shared" si="115"/>
        <v>1.1989975368815002</v>
      </c>
      <c r="HV28" s="33">
        <f t="shared" si="115"/>
        <v>1.1989975368815002</v>
      </c>
      <c r="HW28" s="33">
        <f t="shared" si="115"/>
        <v>1.1989975368815002</v>
      </c>
      <c r="HX28" s="33">
        <f t="shared" si="115"/>
        <v>1.1989975368815002</v>
      </c>
      <c r="HY28" s="33">
        <f t="shared" si="115"/>
        <v>1.1989975368815002</v>
      </c>
      <c r="HZ28" s="33">
        <f t="shared" si="115"/>
        <v>1.1989975368815002</v>
      </c>
      <c r="IA28" s="33">
        <f t="shared" si="115"/>
        <v>1.1989975368815002</v>
      </c>
      <c r="IB28" s="33">
        <f t="shared" si="115"/>
        <v>1.1989975368815002</v>
      </c>
      <c r="IC28" s="33">
        <f t="shared" si="115"/>
        <v>1.1989975368815002</v>
      </c>
      <c r="ID28" s="33">
        <f t="shared" si="115"/>
        <v>1.1989975368815002</v>
      </c>
      <c r="IE28" s="33">
        <f t="shared" si="115"/>
        <v>1.2589474137255754</v>
      </c>
      <c r="IF28" s="33">
        <f t="shared" si="115"/>
        <v>1.2589474137255754</v>
      </c>
      <c r="IG28" s="33">
        <f t="shared" si="115"/>
        <v>1.2589474137255754</v>
      </c>
      <c r="IH28" s="33">
        <f t="shared" si="115"/>
        <v>1.2589474137255754</v>
      </c>
      <c r="II28" s="33">
        <f t="shared" si="115"/>
        <v>1.2589474137255754</v>
      </c>
      <c r="IJ28" s="33">
        <f t="shared" si="115"/>
        <v>1.2589474137255754</v>
      </c>
      <c r="IK28" s="33">
        <f t="shared" si="115"/>
        <v>1.2589474137255754</v>
      </c>
      <c r="IL28" s="33">
        <f t="shared" si="115"/>
        <v>1.2589474137255754</v>
      </c>
      <c r="IM28" s="33">
        <f t="shared" si="115"/>
        <v>1.2589474137255754</v>
      </c>
      <c r="IN28" s="33">
        <f t="shared" si="115"/>
        <v>1.2589474137255754</v>
      </c>
      <c r="IO28" s="33">
        <f t="shared" si="115"/>
        <v>1.2589474137255754</v>
      </c>
      <c r="IP28" s="33">
        <f t="shared" si="115"/>
        <v>1.2589474137255754</v>
      </c>
      <c r="IQ28" s="33">
        <f t="shared" si="115"/>
        <v>1.3218947844118543</v>
      </c>
      <c r="IR28" s="33">
        <f t="shared" si="115"/>
        <v>1.3218947844118543</v>
      </c>
      <c r="IS28" s="33">
        <f t="shared" si="115"/>
        <v>1.3218947844118543</v>
      </c>
      <c r="IT28" s="33">
        <f t="shared" si="115"/>
        <v>1.3218947844118543</v>
      </c>
      <c r="IU28" s="33">
        <f t="shared" si="115"/>
        <v>1.3218947844118543</v>
      </c>
      <c r="IV28" s="33">
        <f t="shared" si="115"/>
        <v>1.3218947844118543</v>
      </c>
      <c r="IW28" s="33">
        <f t="shared" si="115"/>
        <v>0</v>
      </c>
      <c r="IX28" s="33">
        <f t="shared" si="115"/>
        <v>0</v>
      </c>
      <c r="IY28" s="33">
        <f t="shared" si="115"/>
        <v>0</v>
      </c>
      <c r="IZ28" s="33">
        <f t="shared" si="115"/>
        <v>0</v>
      </c>
      <c r="JA28" s="33">
        <f t="shared" ref="JA28:KC28" si="116">JA18*JA9/10^7*$D$31</f>
        <v>0</v>
      </c>
      <c r="JB28" s="33">
        <f t="shared" si="116"/>
        <v>0</v>
      </c>
      <c r="JC28" s="33">
        <f t="shared" si="116"/>
        <v>0</v>
      </c>
      <c r="JD28" s="33">
        <f t="shared" si="116"/>
        <v>0</v>
      </c>
      <c r="JE28" s="33">
        <f t="shared" si="116"/>
        <v>0</v>
      </c>
      <c r="JF28" s="33">
        <f t="shared" si="116"/>
        <v>0</v>
      </c>
      <c r="JG28" s="33">
        <f t="shared" si="116"/>
        <v>0</v>
      </c>
      <c r="JH28" s="33">
        <f t="shared" si="116"/>
        <v>0</v>
      </c>
      <c r="JI28" s="33">
        <f t="shared" si="116"/>
        <v>0</v>
      </c>
      <c r="JJ28" s="33">
        <f t="shared" si="116"/>
        <v>0</v>
      </c>
      <c r="JK28" s="33">
        <f t="shared" si="116"/>
        <v>0</v>
      </c>
      <c r="JL28" s="33">
        <f t="shared" si="116"/>
        <v>0</v>
      </c>
      <c r="JM28" s="33">
        <f t="shared" si="116"/>
        <v>0</v>
      </c>
      <c r="JN28" s="33">
        <f t="shared" si="116"/>
        <v>0</v>
      </c>
      <c r="JO28" s="33">
        <f t="shared" si="116"/>
        <v>0</v>
      </c>
      <c r="JP28" s="33">
        <f t="shared" si="116"/>
        <v>0</v>
      </c>
      <c r="JQ28" s="33">
        <f t="shared" si="116"/>
        <v>0</v>
      </c>
      <c r="JR28" s="33">
        <f t="shared" si="116"/>
        <v>0</v>
      </c>
      <c r="JS28" s="33">
        <f t="shared" si="116"/>
        <v>0</v>
      </c>
      <c r="JT28" s="33">
        <f t="shared" si="116"/>
        <v>0</v>
      </c>
      <c r="JU28" s="33">
        <f t="shared" si="116"/>
        <v>0</v>
      </c>
      <c r="JV28" s="33">
        <f t="shared" si="116"/>
        <v>0</v>
      </c>
      <c r="JW28" s="33">
        <f t="shared" si="116"/>
        <v>0</v>
      </c>
      <c r="JX28" s="33">
        <f t="shared" si="116"/>
        <v>0</v>
      </c>
      <c r="JY28" s="33">
        <f t="shared" si="116"/>
        <v>0</v>
      </c>
      <c r="JZ28" s="33">
        <f t="shared" si="116"/>
        <v>0</v>
      </c>
      <c r="KA28" s="33">
        <f t="shared" si="116"/>
        <v>0</v>
      </c>
      <c r="KB28" s="33">
        <f t="shared" si="116"/>
        <v>0</v>
      </c>
      <c r="KC28" s="33">
        <f t="shared" si="116"/>
        <v>0</v>
      </c>
      <c r="KD28" s="33">
        <f>SUM(E28:KC28)</f>
        <v>199.6376400545218</v>
      </c>
      <c r="KE28" s="33"/>
      <c r="KF28" s="33">
        <f>KD28+KD37</f>
        <v>211.65248524436402</v>
      </c>
      <c r="KG28" s="33"/>
      <c r="KH28" s="33"/>
      <c r="KI28" s="33"/>
      <c r="KJ28" s="33"/>
      <c r="KK28" s="33"/>
      <c r="KL28" s="33"/>
      <c r="KM28" s="33"/>
      <c r="KN28" s="33"/>
      <c r="KO28" s="33"/>
    </row>
    <row r="29" spans="1:301" x14ac:dyDescent="0.3">
      <c r="A29" s="52">
        <f>SUM(E29:IS29)</f>
        <v>349.37831286108474</v>
      </c>
      <c r="B29" s="1" t="str">
        <f>B19</f>
        <v>Phase 2</v>
      </c>
      <c r="C29" s="54">
        <f>SUM(E29:KC29)</f>
        <v>386.68758934861569</v>
      </c>
      <c r="D29" s="485">
        <v>1</v>
      </c>
      <c r="E29" s="33">
        <f t="shared" ref="E29:BP29" si="117">E19*E10/10^7*$D$31</f>
        <v>0</v>
      </c>
      <c r="F29" s="33">
        <f t="shared" si="117"/>
        <v>0</v>
      </c>
      <c r="G29" s="33">
        <f t="shared" si="117"/>
        <v>0</v>
      </c>
      <c r="H29" s="33">
        <f t="shared" si="117"/>
        <v>0</v>
      </c>
      <c r="I29" s="33">
        <f t="shared" si="117"/>
        <v>0</v>
      </c>
      <c r="J29" s="33">
        <f t="shared" si="117"/>
        <v>0</v>
      </c>
      <c r="K29" s="33">
        <f t="shared" si="117"/>
        <v>0</v>
      </c>
      <c r="L29" s="33">
        <f t="shared" si="117"/>
        <v>0</v>
      </c>
      <c r="M29" s="33">
        <f t="shared" si="117"/>
        <v>0</v>
      </c>
      <c r="N29" s="33">
        <f t="shared" si="117"/>
        <v>0</v>
      </c>
      <c r="O29" s="33">
        <f t="shared" si="117"/>
        <v>0</v>
      </c>
      <c r="P29" s="33">
        <f t="shared" si="117"/>
        <v>0</v>
      </c>
      <c r="Q29" s="33">
        <f t="shared" si="117"/>
        <v>0</v>
      </c>
      <c r="R29" s="33">
        <f t="shared" si="117"/>
        <v>0</v>
      </c>
      <c r="S29" s="33">
        <f t="shared" si="117"/>
        <v>0</v>
      </c>
      <c r="T29" s="33">
        <f t="shared" si="117"/>
        <v>0</v>
      </c>
      <c r="U29" s="33">
        <f t="shared" si="117"/>
        <v>0</v>
      </c>
      <c r="V29" s="33">
        <f t="shared" si="117"/>
        <v>0</v>
      </c>
      <c r="W29" s="33">
        <f t="shared" si="117"/>
        <v>0</v>
      </c>
      <c r="X29" s="33">
        <f t="shared" si="117"/>
        <v>0</v>
      </c>
      <c r="Y29" s="33">
        <f t="shared" si="117"/>
        <v>0</v>
      </c>
      <c r="Z29" s="33">
        <f t="shared" si="117"/>
        <v>0</v>
      </c>
      <c r="AA29" s="33">
        <f t="shared" si="117"/>
        <v>0</v>
      </c>
      <c r="AB29" s="33">
        <f t="shared" si="117"/>
        <v>0</v>
      </c>
      <c r="AC29" s="33">
        <f t="shared" si="117"/>
        <v>0</v>
      </c>
      <c r="AD29" s="33">
        <f t="shared" si="117"/>
        <v>0</v>
      </c>
      <c r="AE29" s="33">
        <f t="shared" si="117"/>
        <v>0</v>
      </c>
      <c r="AF29" s="33">
        <f t="shared" si="117"/>
        <v>0</v>
      </c>
      <c r="AG29" s="33">
        <f t="shared" si="117"/>
        <v>0</v>
      </c>
      <c r="AH29" s="33">
        <f t="shared" si="117"/>
        <v>0</v>
      </c>
      <c r="AI29" s="33">
        <f t="shared" si="117"/>
        <v>1.0132532678909025</v>
      </c>
      <c r="AJ29" s="33">
        <f t="shared" si="117"/>
        <v>1.0132532678909025</v>
      </c>
      <c r="AK29" s="33">
        <f t="shared" si="117"/>
        <v>1.0132532678909025</v>
      </c>
      <c r="AL29" s="33">
        <f t="shared" si="117"/>
        <v>1.0132532678909025</v>
      </c>
      <c r="AM29" s="33">
        <f t="shared" si="117"/>
        <v>1.0132532678909025</v>
      </c>
      <c r="AN29" s="33">
        <f t="shared" si="117"/>
        <v>1.0132532678909025</v>
      </c>
      <c r="AO29" s="33">
        <f t="shared" si="117"/>
        <v>1.0132532678909025</v>
      </c>
      <c r="AP29" s="33">
        <f t="shared" si="117"/>
        <v>1.0132532678909025</v>
      </c>
      <c r="AQ29" s="33">
        <f t="shared" si="117"/>
        <v>1.0132532678909025</v>
      </c>
      <c r="AR29" s="33">
        <f t="shared" si="117"/>
        <v>1.0132532678909025</v>
      </c>
      <c r="AS29" s="33">
        <f t="shared" si="117"/>
        <v>1.0132532678909025</v>
      </c>
      <c r="AT29" s="33">
        <f t="shared" si="117"/>
        <v>1.0132532678909025</v>
      </c>
      <c r="AU29" s="33">
        <f t="shared" si="117"/>
        <v>1.0639159312854476</v>
      </c>
      <c r="AV29" s="33">
        <f t="shared" si="117"/>
        <v>1.0639159312854476</v>
      </c>
      <c r="AW29" s="33">
        <f t="shared" si="117"/>
        <v>1.0639159312854476</v>
      </c>
      <c r="AX29" s="33">
        <f t="shared" si="117"/>
        <v>1.0639159312854476</v>
      </c>
      <c r="AY29" s="33">
        <f t="shared" si="117"/>
        <v>1.0639159312854476</v>
      </c>
      <c r="AZ29" s="33">
        <f t="shared" si="117"/>
        <v>1.0639159312854476</v>
      </c>
      <c r="BA29" s="33">
        <f t="shared" si="117"/>
        <v>1.0639159312854476</v>
      </c>
      <c r="BB29" s="33">
        <f t="shared" si="117"/>
        <v>1.0639159312854476</v>
      </c>
      <c r="BC29" s="33">
        <f t="shared" si="117"/>
        <v>1.0639159312854476</v>
      </c>
      <c r="BD29" s="33">
        <f t="shared" si="117"/>
        <v>1.0639159312854476</v>
      </c>
      <c r="BE29" s="33">
        <f t="shared" si="117"/>
        <v>1.0639159312854476</v>
      </c>
      <c r="BF29" s="33">
        <f t="shared" si="117"/>
        <v>1.0639159312854476</v>
      </c>
      <c r="BG29" s="33">
        <f t="shared" si="117"/>
        <v>1.11711172784972</v>
      </c>
      <c r="BH29" s="33">
        <f t="shared" si="117"/>
        <v>1.11711172784972</v>
      </c>
      <c r="BI29" s="33">
        <f t="shared" si="117"/>
        <v>1.11711172784972</v>
      </c>
      <c r="BJ29" s="33">
        <f t="shared" si="117"/>
        <v>1.11711172784972</v>
      </c>
      <c r="BK29" s="33">
        <f t="shared" si="117"/>
        <v>1.11711172784972</v>
      </c>
      <c r="BL29" s="33">
        <f t="shared" si="117"/>
        <v>1.11711172784972</v>
      </c>
      <c r="BM29" s="33">
        <f t="shared" si="117"/>
        <v>1.11711172784972</v>
      </c>
      <c r="BN29" s="33">
        <f t="shared" si="117"/>
        <v>1.11711172784972</v>
      </c>
      <c r="BO29" s="33">
        <f t="shared" si="117"/>
        <v>1.11711172784972</v>
      </c>
      <c r="BP29" s="33">
        <f t="shared" si="117"/>
        <v>1.11711172784972</v>
      </c>
      <c r="BQ29" s="33">
        <f t="shared" ref="BQ29:EB29" si="118">BQ19*BQ10/10^7*$D$31</f>
        <v>1.11711172784972</v>
      </c>
      <c r="BR29" s="33">
        <f t="shared" si="118"/>
        <v>1.11711172784972</v>
      </c>
      <c r="BS29" s="33">
        <f t="shared" si="118"/>
        <v>1.1729673142422061</v>
      </c>
      <c r="BT29" s="33">
        <f t="shared" si="118"/>
        <v>1.1729673142422061</v>
      </c>
      <c r="BU29" s="33">
        <f t="shared" si="118"/>
        <v>1.1729673142422061</v>
      </c>
      <c r="BV29" s="33">
        <f t="shared" si="118"/>
        <v>1.1729673142422061</v>
      </c>
      <c r="BW29" s="33">
        <f t="shared" si="118"/>
        <v>1.1729673142422061</v>
      </c>
      <c r="BX29" s="33">
        <f t="shared" si="118"/>
        <v>1.1729673142422061</v>
      </c>
      <c r="BY29" s="33">
        <f t="shared" si="118"/>
        <v>1.1729673142422061</v>
      </c>
      <c r="BZ29" s="33">
        <f t="shared" si="118"/>
        <v>1.1729673142422061</v>
      </c>
      <c r="CA29" s="33">
        <f t="shared" si="118"/>
        <v>1.1729673142422061</v>
      </c>
      <c r="CB29" s="33">
        <f t="shared" si="118"/>
        <v>1.1729673142422061</v>
      </c>
      <c r="CC29" s="33">
        <f t="shared" si="118"/>
        <v>1.1729673142422061</v>
      </c>
      <c r="CD29" s="33">
        <f t="shared" si="118"/>
        <v>1.1729673142422061</v>
      </c>
      <c r="CE29" s="33">
        <f t="shared" si="118"/>
        <v>1.2316156799543165</v>
      </c>
      <c r="CF29" s="33">
        <f t="shared" si="118"/>
        <v>1.2316156799543165</v>
      </c>
      <c r="CG29" s="33">
        <f t="shared" si="118"/>
        <v>1.2316156799543165</v>
      </c>
      <c r="CH29" s="33">
        <f t="shared" si="118"/>
        <v>1.2316156799543165</v>
      </c>
      <c r="CI29" s="33">
        <f t="shared" si="118"/>
        <v>1.2316156799543165</v>
      </c>
      <c r="CJ29" s="33">
        <f t="shared" si="118"/>
        <v>1.2316156799543165</v>
      </c>
      <c r="CK29" s="33">
        <f t="shared" si="118"/>
        <v>1.2316156799543165</v>
      </c>
      <c r="CL29" s="33">
        <f t="shared" si="118"/>
        <v>1.2316156799543165</v>
      </c>
      <c r="CM29" s="33">
        <f t="shared" si="118"/>
        <v>1.2316156799543165</v>
      </c>
      <c r="CN29" s="33">
        <f t="shared" si="118"/>
        <v>1.2316156799543165</v>
      </c>
      <c r="CO29" s="33">
        <f t="shared" si="118"/>
        <v>1.2316156799543165</v>
      </c>
      <c r="CP29" s="33">
        <f t="shared" si="118"/>
        <v>1.2316156799543165</v>
      </c>
      <c r="CQ29" s="33">
        <f t="shared" si="118"/>
        <v>1.2931964639520324</v>
      </c>
      <c r="CR29" s="33">
        <f t="shared" si="118"/>
        <v>1.2931964639520324</v>
      </c>
      <c r="CS29" s="33">
        <f t="shared" si="118"/>
        <v>1.2931964639520324</v>
      </c>
      <c r="CT29" s="33">
        <f t="shared" si="118"/>
        <v>1.2931964639520324</v>
      </c>
      <c r="CU29" s="33">
        <f t="shared" si="118"/>
        <v>1.2931964639520324</v>
      </c>
      <c r="CV29" s="33">
        <f t="shared" si="118"/>
        <v>1.2931964639520324</v>
      </c>
      <c r="CW29" s="33">
        <f t="shared" si="118"/>
        <v>1.2931964639520324</v>
      </c>
      <c r="CX29" s="33">
        <f t="shared" si="118"/>
        <v>1.2931964639520324</v>
      </c>
      <c r="CY29" s="33">
        <f t="shared" si="118"/>
        <v>1.2931964639520324</v>
      </c>
      <c r="CZ29" s="33">
        <f t="shared" si="118"/>
        <v>1.2931964639520324</v>
      </c>
      <c r="DA29" s="33">
        <f t="shared" si="118"/>
        <v>1.2931964639520324</v>
      </c>
      <c r="DB29" s="33">
        <f t="shared" si="118"/>
        <v>1.2931964639520324</v>
      </c>
      <c r="DC29" s="33">
        <f t="shared" si="118"/>
        <v>1.357856287149634</v>
      </c>
      <c r="DD29" s="33">
        <f t="shared" si="118"/>
        <v>1.357856287149634</v>
      </c>
      <c r="DE29" s="33">
        <f t="shared" si="118"/>
        <v>1.357856287149634</v>
      </c>
      <c r="DF29" s="33">
        <f t="shared" si="118"/>
        <v>1.357856287149634</v>
      </c>
      <c r="DG29" s="33">
        <f t="shared" si="118"/>
        <v>1.357856287149634</v>
      </c>
      <c r="DH29" s="33">
        <f t="shared" si="118"/>
        <v>1.357856287149634</v>
      </c>
      <c r="DI29" s="33">
        <f t="shared" si="118"/>
        <v>1.357856287149634</v>
      </c>
      <c r="DJ29" s="33">
        <f t="shared" si="118"/>
        <v>1.357856287149634</v>
      </c>
      <c r="DK29" s="33">
        <f t="shared" si="118"/>
        <v>1.357856287149634</v>
      </c>
      <c r="DL29" s="33">
        <f t="shared" si="118"/>
        <v>1.357856287149634</v>
      </c>
      <c r="DM29" s="33">
        <f t="shared" si="118"/>
        <v>1.357856287149634</v>
      </c>
      <c r="DN29" s="33">
        <f t="shared" si="118"/>
        <v>1.357856287149634</v>
      </c>
      <c r="DO29" s="33">
        <f t="shared" si="118"/>
        <v>1.4257491015071158</v>
      </c>
      <c r="DP29" s="33">
        <f t="shared" si="118"/>
        <v>1.4257491015071158</v>
      </c>
      <c r="DQ29" s="33">
        <f t="shared" si="118"/>
        <v>1.4257491015071158</v>
      </c>
      <c r="DR29" s="33">
        <f t="shared" si="118"/>
        <v>1.4257491015071158</v>
      </c>
      <c r="DS29" s="33">
        <f t="shared" si="118"/>
        <v>1.4257491015071158</v>
      </c>
      <c r="DT29" s="33">
        <f t="shared" si="118"/>
        <v>1.4257491015071158</v>
      </c>
      <c r="DU29" s="33">
        <f t="shared" si="118"/>
        <v>1.4257491015071158</v>
      </c>
      <c r="DV29" s="33">
        <f t="shared" si="118"/>
        <v>1.4257491015071158</v>
      </c>
      <c r="DW29" s="33">
        <f t="shared" si="118"/>
        <v>1.4257491015071158</v>
      </c>
      <c r="DX29" s="33">
        <f t="shared" si="118"/>
        <v>1.4257491015071158</v>
      </c>
      <c r="DY29" s="33">
        <f t="shared" si="118"/>
        <v>1.4257491015071158</v>
      </c>
      <c r="DZ29" s="33">
        <f t="shared" si="118"/>
        <v>1.4257491015071158</v>
      </c>
      <c r="EA29" s="33">
        <f t="shared" si="118"/>
        <v>1.4970365565824715</v>
      </c>
      <c r="EB29" s="33">
        <f t="shared" si="118"/>
        <v>1.4970365565824715</v>
      </c>
      <c r="EC29" s="33">
        <f t="shared" ref="EC29:GN29" si="119">EC19*EC10/10^7*$D$31</f>
        <v>1.4970365565824715</v>
      </c>
      <c r="ED29" s="33">
        <f t="shared" si="119"/>
        <v>1.4970365565824715</v>
      </c>
      <c r="EE29" s="33">
        <f t="shared" si="119"/>
        <v>1.4970365565824715</v>
      </c>
      <c r="EF29" s="33">
        <f t="shared" si="119"/>
        <v>1.4970365565824715</v>
      </c>
      <c r="EG29" s="33">
        <f t="shared" si="119"/>
        <v>1.4970365565824715</v>
      </c>
      <c r="EH29" s="33">
        <f t="shared" si="119"/>
        <v>1.4970365565824715</v>
      </c>
      <c r="EI29" s="33">
        <f t="shared" si="119"/>
        <v>1.4970365565824715</v>
      </c>
      <c r="EJ29" s="33">
        <f t="shared" si="119"/>
        <v>1.4970365565824715</v>
      </c>
      <c r="EK29" s="33">
        <f t="shared" si="119"/>
        <v>1.4970365565824715</v>
      </c>
      <c r="EL29" s="33">
        <f t="shared" si="119"/>
        <v>1.4970365565824715</v>
      </c>
      <c r="EM29" s="33">
        <f t="shared" si="119"/>
        <v>1.5718883844115954</v>
      </c>
      <c r="EN29" s="33">
        <f t="shared" si="119"/>
        <v>1.5718883844115954</v>
      </c>
      <c r="EO29" s="33">
        <f t="shared" si="119"/>
        <v>1.5718883844115954</v>
      </c>
      <c r="EP29" s="33">
        <f t="shared" si="119"/>
        <v>1.5718883844115954</v>
      </c>
      <c r="EQ29" s="33">
        <f t="shared" si="119"/>
        <v>1.5718883844115954</v>
      </c>
      <c r="ER29" s="33">
        <f t="shared" si="119"/>
        <v>1.5718883844115954</v>
      </c>
      <c r="ES29" s="33">
        <f t="shared" si="119"/>
        <v>1.5718883844115954</v>
      </c>
      <c r="ET29" s="33">
        <f t="shared" si="119"/>
        <v>1.5718883844115954</v>
      </c>
      <c r="EU29" s="33">
        <f t="shared" si="119"/>
        <v>1.5718883844115954</v>
      </c>
      <c r="EV29" s="33">
        <f t="shared" si="119"/>
        <v>1.5718883844115954</v>
      </c>
      <c r="EW29" s="33">
        <f t="shared" si="119"/>
        <v>1.5718883844115954</v>
      </c>
      <c r="EX29" s="33">
        <f t="shared" si="119"/>
        <v>1.5718883844115954</v>
      </c>
      <c r="EY29" s="33">
        <f t="shared" si="119"/>
        <v>1.6504828036321753</v>
      </c>
      <c r="EZ29" s="33">
        <f t="shared" si="119"/>
        <v>1.6504828036321753</v>
      </c>
      <c r="FA29" s="33">
        <f t="shared" si="119"/>
        <v>1.6504828036321753</v>
      </c>
      <c r="FB29" s="33">
        <f t="shared" si="119"/>
        <v>1.6504828036321753</v>
      </c>
      <c r="FC29" s="33">
        <f t="shared" si="119"/>
        <v>1.6504828036321753</v>
      </c>
      <c r="FD29" s="33">
        <f t="shared" si="119"/>
        <v>1.6504828036321753</v>
      </c>
      <c r="FE29" s="33">
        <f t="shared" si="119"/>
        <v>1.6504828036321753</v>
      </c>
      <c r="FF29" s="33">
        <f t="shared" si="119"/>
        <v>1.6504828036321753</v>
      </c>
      <c r="FG29" s="33">
        <f t="shared" si="119"/>
        <v>1.6504828036321753</v>
      </c>
      <c r="FH29" s="33">
        <f t="shared" si="119"/>
        <v>1.6504828036321753</v>
      </c>
      <c r="FI29" s="33">
        <f t="shared" si="119"/>
        <v>1.6504828036321753</v>
      </c>
      <c r="FJ29" s="33">
        <f t="shared" si="119"/>
        <v>1.6504828036321753</v>
      </c>
      <c r="FK29" s="33">
        <f t="shared" si="119"/>
        <v>1.7330069438137845</v>
      </c>
      <c r="FL29" s="33">
        <f t="shared" si="119"/>
        <v>1.7330069438137845</v>
      </c>
      <c r="FM29" s="33">
        <f t="shared" si="119"/>
        <v>1.7330069438137845</v>
      </c>
      <c r="FN29" s="33">
        <f t="shared" si="119"/>
        <v>1.7330069438137845</v>
      </c>
      <c r="FO29" s="33">
        <f t="shared" si="119"/>
        <v>1.7330069438137845</v>
      </c>
      <c r="FP29" s="33">
        <f t="shared" si="119"/>
        <v>1.7330069438137845</v>
      </c>
      <c r="FQ29" s="33">
        <f t="shared" si="119"/>
        <v>1.7330069438137845</v>
      </c>
      <c r="FR29" s="33">
        <f t="shared" si="119"/>
        <v>1.7330069438137845</v>
      </c>
      <c r="FS29" s="33">
        <f t="shared" si="119"/>
        <v>1.7330069438137845</v>
      </c>
      <c r="FT29" s="33">
        <f t="shared" si="119"/>
        <v>1.7330069438137845</v>
      </c>
      <c r="FU29" s="33">
        <f t="shared" si="119"/>
        <v>1.7330069438137845</v>
      </c>
      <c r="FV29" s="33">
        <f t="shared" si="119"/>
        <v>1.7330069438137845</v>
      </c>
      <c r="FW29" s="33">
        <f t="shared" si="119"/>
        <v>1.8196572910044737</v>
      </c>
      <c r="FX29" s="33">
        <f t="shared" si="119"/>
        <v>1.8196572910044737</v>
      </c>
      <c r="FY29" s="33">
        <f t="shared" si="119"/>
        <v>1.8196572910044737</v>
      </c>
      <c r="FZ29" s="33">
        <f t="shared" si="119"/>
        <v>1.8196572910044737</v>
      </c>
      <c r="GA29" s="33">
        <f t="shared" si="119"/>
        <v>1.8196572910044737</v>
      </c>
      <c r="GB29" s="33">
        <f t="shared" si="119"/>
        <v>1.8196572910044737</v>
      </c>
      <c r="GC29" s="33">
        <f t="shared" si="119"/>
        <v>1.8196572910044737</v>
      </c>
      <c r="GD29" s="33">
        <f t="shared" si="119"/>
        <v>1.8196572910044737</v>
      </c>
      <c r="GE29" s="33">
        <f t="shared" si="119"/>
        <v>1.8196572910044737</v>
      </c>
      <c r="GF29" s="33">
        <f t="shared" si="119"/>
        <v>1.8196572910044737</v>
      </c>
      <c r="GG29" s="33">
        <f t="shared" si="119"/>
        <v>1.8196572910044737</v>
      </c>
      <c r="GH29" s="33">
        <f t="shared" si="119"/>
        <v>1.8196572910044737</v>
      </c>
      <c r="GI29" s="33">
        <f t="shared" si="119"/>
        <v>1.9106401555546972</v>
      </c>
      <c r="GJ29" s="33">
        <f t="shared" si="119"/>
        <v>1.9106401555546972</v>
      </c>
      <c r="GK29" s="33">
        <f t="shared" si="119"/>
        <v>1.9106401555546972</v>
      </c>
      <c r="GL29" s="33">
        <f t="shared" si="119"/>
        <v>1.9106401555546972</v>
      </c>
      <c r="GM29" s="33">
        <f t="shared" si="119"/>
        <v>1.9106401555546972</v>
      </c>
      <c r="GN29" s="33">
        <f t="shared" si="119"/>
        <v>1.9106401555546972</v>
      </c>
      <c r="GO29" s="33">
        <f t="shared" ref="GO29:IZ29" si="120">GO19*GO10/10^7*$D$31</f>
        <v>1.9106401555546972</v>
      </c>
      <c r="GP29" s="33">
        <f t="shared" si="120"/>
        <v>1.9106401555546972</v>
      </c>
      <c r="GQ29" s="33">
        <f t="shared" si="120"/>
        <v>1.9106401555546972</v>
      </c>
      <c r="GR29" s="33">
        <f t="shared" si="120"/>
        <v>1.9106401555546972</v>
      </c>
      <c r="GS29" s="33">
        <f t="shared" si="120"/>
        <v>1.9106401555546972</v>
      </c>
      <c r="GT29" s="33">
        <f t="shared" si="120"/>
        <v>1.9106401555546972</v>
      </c>
      <c r="GU29" s="33">
        <f t="shared" si="120"/>
        <v>2.0061721633324323</v>
      </c>
      <c r="GV29" s="33">
        <f t="shared" si="120"/>
        <v>2.0061721633324323</v>
      </c>
      <c r="GW29" s="33">
        <f t="shared" si="120"/>
        <v>2.0061721633324323</v>
      </c>
      <c r="GX29" s="33">
        <f t="shared" si="120"/>
        <v>2.0061721633324323</v>
      </c>
      <c r="GY29" s="33">
        <f t="shared" si="120"/>
        <v>2.0061721633324323</v>
      </c>
      <c r="GZ29" s="33">
        <f t="shared" si="120"/>
        <v>2.0061721633324323</v>
      </c>
      <c r="HA29" s="33">
        <f t="shared" si="120"/>
        <v>2.0061721633324323</v>
      </c>
      <c r="HB29" s="33">
        <f t="shared" si="120"/>
        <v>2.0061721633324323</v>
      </c>
      <c r="HC29" s="33">
        <f t="shared" si="120"/>
        <v>2.0061721633324323</v>
      </c>
      <c r="HD29" s="33">
        <f t="shared" si="120"/>
        <v>2.0061721633324323</v>
      </c>
      <c r="HE29" s="33">
        <f t="shared" si="120"/>
        <v>2.0061721633324323</v>
      </c>
      <c r="HF29" s="33">
        <f t="shared" si="120"/>
        <v>2.0061721633324323</v>
      </c>
      <c r="HG29" s="33">
        <f t="shared" si="120"/>
        <v>2.1064807714990539</v>
      </c>
      <c r="HH29" s="33">
        <f t="shared" si="120"/>
        <v>2.1064807714990539</v>
      </c>
      <c r="HI29" s="33">
        <f t="shared" si="120"/>
        <v>2.1064807714990539</v>
      </c>
      <c r="HJ29" s="33">
        <f t="shared" si="120"/>
        <v>2.1064807714990539</v>
      </c>
      <c r="HK29" s="33">
        <f t="shared" si="120"/>
        <v>2.1064807714990539</v>
      </c>
      <c r="HL29" s="33">
        <f t="shared" si="120"/>
        <v>2.1064807714990539</v>
      </c>
      <c r="HM29" s="33">
        <f t="shared" si="120"/>
        <v>2.1064807714990539</v>
      </c>
      <c r="HN29" s="33">
        <f t="shared" si="120"/>
        <v>2.1064807714990539</v>
      </c>
      <c r="HO29" s="33">
        <f t="shared" si="120"/>
        <v>2.1064807714990539</v>
      </c>
      <c r="HP29" s="33">
        <f t="shared" si="120"/>
        <v>2.1064807714990539</v>
      </c>
      <c r="HQ29" s="33">
        <f t="shared" si="120"/>
        <v>2.1064807714990539</v>
      </c>
      <c r="HR29" s="33">
        <f t="shared" si="120"/>
        <v>2.1064807714990539</v>
      </c>
      <c r="HS29" s="33">
        <f t="shared" si="120"/>
        <v>2.2118048100740069</v>
      </c>
      <c r="HT29" s="33">
        <f t="shared" si="120"/>
        <v>2.2118048100740069</v>
      </c>
      <c r="HU29" s="33">
        <f t="shared" si="120"/>
        <v>2.2118048100740069</v>
      </c>
      <c r="HV29" s="33">
        <f t="shared" si="120"/>
        <v>2.2118048100740069</v>
      </c>
      <c r="HW29" s="33">
        <f t="shared" si="120"/>
        <v>2.2118048100740069</v>
      </c>
      <c r="HX29" s="33">
        <f t="shared" si="120"/>
        <v>2.2118048100740069</v>
      </c>
      <c r="HY29" s="33">
        <f t="shared" si="120"/>
        <v>2.2118048100740069</v>
      </c>
      <c r="HZ29" s="33">
        <f t="shared" si="120"/>
        <v>2.2118048100740069</v>
      </c>
      <c r="IA29" s="33">
        <f t="shared" si="120"/>
        <v>2.2118048100740069</v>
      </c>
      <c r="IB29" s="33">
        <f t="shared" si="120"/>
        <v>2.2118048100740069</v>
      </c>
      <c r="IC29" s="33">
        <f t="shared" si="120"/>
        <v>2.2118048100740069</v>
      </c>
      <c r="ID29" s="33">
        <f t="shared" si="120"/>
        <v>2.2118048100740069</v>
      </c>
      <c r="IE29" s="33">
        <f t="shared" si="120"/>
        <v>2.3223950505777071</v>
      </c>
      <c r="IF29" s="33">
        <f t="shared" si="120"/>
        <v>2.3223950505777071</v>
      </c>
      <c r="IG29" s="33">
        <f t="shared" si="120"/>
        <v>2.3223950505777071</v>
      </c>
      <c r="IH29" s="33">
        <f t="shared" si="120"/>
        <v>2.3223950505777071</v>
      </c>
      <c r="II29" s="33">
        <f t="shared" si="120"/>
        <v>2.3223950505777071</v>
      </c>
      <c r="IJ29" s="33">
        <f t="shared" si="120"/>
        <v>2.3223950505777071</v>
      </c>
      <c r="IK29" s="33">
        <f t="shared" si="120"/>
        <v>2.3223950505777071</v>
      </c>
      <c r="IL29" s="33">
        <f t="shared" si="120"/>
        <v>2.3223950505777071</v>
      </c>
      <c r="IM29" s="33">
        <f t="shared" si="120"/>
        <v>2.3223950505777071</v>
      </c>
      <c r="IN29" s="33">
        <f t="shared" si="120"/>
        <v>2.3223950505777071</v>
      </c>
      <c r="IO29" s="33">
        <f t="shared" si="120"/>
        <v>2.3223950505777071</v>
      </c>
      <c r="IP29" s="33">
        <f t="shared" si="120"/>
        <v>2.3223950505777071</v>
      </c>
      <c r="IQ29" s="33">
        <f t="shared" si="120"/>
        <v>2.4385148031065924</v>
      </c>
      <c r="IR29" s="33">
        <f t="shared" si="120"/>
        <v>2.4385148031065924</v>
      </c>
      <c r="IS29" s="33">
        <f t="shared" si="120"/>
        <v>2.4385148031065924</v>
      </c>
      <c r="IT29" s="33">
        <f t="shared" si="120"/>
        <v>2.4385148031065924</v>
      </c>
      <c r="IU29" s="33">
        <f t="shared" si="120"/>
        <v>2.4385148031065924</v>
      </c>
      <c r="IV29" s="33">
        <f t="shared" si="120"/>
        <v>2.4385148031065924</v>
      </c>
      <c r="IW29" s="33">
        <f t="shared" si="120"/>
        <v>2.4385148031065924</v>
      </c>
      <c r="IX29" s="33">
        <f t="shared" si="120"/>
        <v>2.4385148031065924</v>
      </c>
      <c r="IY29" s="33">
        <f t="shared" si="120"/>
        <v>2.4385148031065924</v>
      </c>
      <c r="IZ29" s="33">
        <f t="shared" si="120"/>
        <v>2.4385148031065924</v>
      </c>
      <c r="JA29" s="33">
        <f t="shared" ref="JA29:KC29" si="121">JA19*JA10/10^7*$D$31</f>
        <v>2.4385148031065924</v>
      </c>
      <c r="JB29" s="33">
        <f t="shared" si="121"/>
        <v>2.4385148031065924</v>
      </c>
      <c r="JC29" s="33">
        <f t="shared" si="121"/>
        <v>2.5604405432619224</v>
      </c>
      <c r="JD29" s="33">
        <f t="shared" si="121"/>
        <v>2.5604405432619224</v>
      </c>
      <c r="JE29" s="33">
        <f t="shared" si="121"/>
        <v>2.5604405432619224</v>
      </c>
      <c r="JF29" s="33">
        <f t="shared" si="121"/>
        <v>2.5604405432619224</v>
      </c>
      <c r="JG29" s="33">
        <f t="shared" si="121"/>
        <v>2.5604405432619224</v>
      </c>
      <c r="JH29" s="33">
        <f t="shared" si="121"/>
        <v>2.5604405432619224</v>
      </c>
      <c r="JI29" s="33">
        <f t="shared" si="121"/>
        <v>0</v>
      </c>
      <c r="JJ29" s="33">
        <f t="shared" si="121"/>
        <v>0</v>
      </c>
      <c r="JK29" s="33">
        <f t="shared" si="121"/>
        <v>0</v>
      </c>
      <c r="JL29" s="33">
        <f t="shared" si="121"/>
        <v>0</v>
      </c>
      <c r="JM29" s="33">
        <f t="shared" si="121"/>
        <v>0</v>
      </c>
      <c r="JN29" s="33">
        <f t="shared" si="121"/>
        <v>0</v>
      </c>
      <c r="JO29" s="33">
        <f t="shared" si="121"/>
        <v>0</v>
      </c>
      <c r="JP29" s="33">
        <f t="shared" si="121"/>
        <v>0</v>
      </c>
      <c r="JQ29" s="33">
        <f t="shared" si="121"/>
        <v>0</v>
      </c>
      <c r="JR29" s="33">
        <f t="shared" si="121"/>
        <v>0</v>
      </c>
      <c r="JS29" s="33">
        <f t="shared" si="121"/>
        <v>0</v>
      </c>
      <c r="JT29" s="33">
        <f t="shared" si="121"/>
        <v>0</v>
      </c>
      <c r="JU29" s="33">
        <f t="shared" si="121"/>
        <v>0</v>
      </c>
      <c r="JV29" s="33">
        <f t="shared" si="121"/>
        <v>0</v>
      </c>
      <c r="JW29" s="33">
        <f t="shared" si="121"/>
        <v>0</v>
      </c>
      <c r="JX29" s="33">
        <f t="shared" si="121"/>
        <v>0</v>
      </c>
      <c r="JY29" s="33">
        <f t="shared" si="121"/>
        <v>0</v>
      </c>
      <c r="JZ29" s="33">
        <f t="shared" si="121"/>
        <v>0</v>
      </c>
      <c r="KA29" s="33">
        <f t="shared" si="121"/>
        <v>0</v>
      </c>
      <c r="KB29" s="33">
        <f t="shared" si="121"/>
        <v>0</v>
      </c>
      <c r="KC29" s="33">
        <f t="shared" si="121"/>
        <v>0</v>
      </c>
      <c r="KD29" s="33">
        <f>SUM(E29:KC29)</f>
        <v>386.68758934861569</v>
      </c>
      <c r="KE29" s="33"/>
      <c r="KF29" s="33">
        <f>KD29+KD38</f>
        <v>408.28663522910961</v>
      </c>
      <c r="KG29" s="33"/>
      <c r="KH29" s="33"/>
      <c r="KI29" s="33"/>
      <c r="KJ29" s="33"/>
      <c r="KK29" s="33"/>
      <c r="KL29" s="33"/>
      <c r="KM29" s="33"/>
      <c r="KN29" s="33"/>
      <c r="KO29" s="33"/>
    </row>
    <row r="30" spans="1:301" x14ac:dyDescent="0.3">
      <c r="A30" s="52">
        <f>SUM(E30:IS30)</f>
        <v>136.7802466758003</v>
      </c>
      <c r="B30" s="1" t="str">
        <f>B20</f>
        <v>Phase 3</v>
      </c>
      <c r="C30" s="54">
        <f>SUM(E30:KC30)</f>
        <v>161.19063194789328</v>
      </c>
      <c r="D30" s="485">
        <v>1</v>
      </c>
      <c r="E30" s="33">
        <f t="shared" ref="E30:BP30" si="122">E20*E11/10^7*$D$31</f>
        <v>0</v>
      </c>
      <c r="F30" s="33">
        <f t="shared" si="122"/>
        <v>0</v>
      </c>
      <c r="G30" s="33">
        <f t="shared" si="122"/>
        <v>0</v>
      </c>
      <c r="H30" s="33">
        <f t="shared" si="122"/>
        <v>0</v>
      </c>
      <c r="I30" s="33">
        <f t="shared" si="122"/>
        <v>0</v>
      </c>
      <c r="J30" s="33">
        <f t="shared" si="122"/>
        <v>0</v>
      </c>
      <c r="K30" s="33">
        <f t="shared" si="122"/>
        <v>0</v>
      </c>
      <c r="L30" s="33">
        <f t="shared" si="122"/>
        <v>0</v>
      </c>
      <c r="M30" s="33">
        <f t="shared" si="122"/>
        <v>0</v>
      </c>
      <c r="N30" s="33">
        <f t="shared" si="122"/>
        <v>0</v>
      </c>
      <c r="O30" s="33">
        <f t="shared" si="122"/>
        <v>0</v>
      </c>
      <c r="P30" s="33">
        <f t="shared" si="122"/>
        <v>0</v>
      </c>
      <c r="Q30" s="33">
        <f t="shared" si="122"/>
        <v>0</v>
      </c>
      <c r="R30" s="33">
        <f t="shared" si="122"/>
        <v>0</v>
      </c>
      <c r="S30" s="33">
        <f t="shared" si="122"/>
        <v>0</v>
      </c>
      <c r="T30" s="33">
        <f t="shared" si="122"/>
        <v>0</v>
      </c>
      <c r="U30" s="33">
        <f t="shared" si="122"/>
        <v>0</v>
      </c>
      <c r="V30" s="33">
        <f t="shared" si="122"/>
        <v>0</v>
      </c>
      <c r="W30" s="33">
        <f t="shared" si="122"/>
        <v>0</v>
      </c>
      <c r="X30" s="33">
        <f t="shared" si="122"/>
        <v>0</v>
      </c>
      <c r="Y30" s="33">
        <f t="shared" si="122"/>
        <v>0</v>
      </c>
      <c r="Z30" s="33">
        <f t="shared" si="122"/>
        <v>0</v>
      </c>
      <c r="AA30" s="33">
        <f t="shared" si="122"/>
        <v>0</v>
      </c>
      <c r="AB30" s="33">
        <f t="shared" si="122"/>
        <v>0</v>
      </c>
      <c r="AC30" s="33">
        <f t="shared" si="122"/>
        <v>0</v>
      </c>
      <c r="AD30" s="33">
        <f t="shared" si="122"/>
        <v>0</v>
      </c>
      <c r="AE30" s="33">
        <f t="shared" si="122"/>
        <v>0</v>
      </c>
      <c r="AF30" s="33">
        <f t="shared" si="122"/>
        <v>0</v>
      </c>
      <c r="AG30" s="33">
        <f t="shared" si="122"/>
        <v>0</v>
      </c>
      <c r="AH30" s="33">
        <f t="shared" si="122"/>
        <v>0</v>
      </c>
      <c r="AI30" s="33">
        <f t="shared" si="122"/>
        <v>0</v>
      </c>
      <c r="AJ30" s="33">
        <f t="shared" si="122"/>
        <v>0</v>
      </c>
      <c r="AK30" s="33">
        <f t="shared" si="122"/>
        <v>0</v>
      </c>
      <c r="AL30" s="33">
        <f t="shared" si="122"/>
        <v>0</v>
      </c>
      <c r="AM30" s="33">
        <f t="shared" si="122"/>
        <v>0</v>
      </c>
      <c r="AN30" s="33">
        <f t="shared" si="122"/>
        <v>0</v>
      </c>
      <c r="AO30" s="33">
        <f t="shared" si="122"/>
        <v>0</v>
      </c>
      <c r="AP30" s="33">
        <f t="shared" si="122"/>
        <v>0</v>
      </c>
      <c r="AQ30" s="33">
        <f t="shared" si="122"/>
        <v>0</v>
      </c>
      <c r="AR30" s="33">
        <f t="shared" si="122"/>
        <v>0.42237438974892005</v>
      </c>
      <c r="AS30" s="33">
        <f t="shared" si="122"/>
        <v>0.42237438974892005</v>
      </c>
      <c r="AT30" s="33">
        <f t="shared" si="122"/>
        <v>0.42237438974892005</v>
      </c>
      <c r="AU30" s="33">
        <f t="shared" si="122"/>
        <v>0.42237438974892005</v>
      </c>
      <c r="AV30" s="33">
        <f t="shared" si="122"/>
        <v>0.42237438974892005</v>
      </c>
      <c r="AW30" s="33">
        <f t="shared" si="122"/>
        <v>0.42237438974892005</v>
      </c>
      <c r="AX30" s="33">
        <f t="shared" si="122"/>
        <v>0.42237438974892005</v>
      </c>
      <c r="AY30" s="33">
        <f t="shared" si="122"/>
        <v>0.42237438974892005</v>
      </c>
      <c r="AZ30" s="33">
        <f t="shared" si="122"/>
        <v>0.42237438974892005</v>
      </c>
      <c r="BA30" s="33">
        <f t="shared" si="122"/>
        <v>0.42237438974892005</v>
      </c>
      <c r="BB30" s="33">
        <f t="shared" si="122"/>
        <v>0.42237438974892005</v>
      </c>
      <c r="BC30" s="33">
        <f t="shared" si="122"/>
        <v>0.42237438974892005</v>
      </c>
      <c r="BD30" s="33">
        <f t="shared" si="122"/>
        <v>0.44349310923636603</v>
      </c>
      <c r="BE30" s="33">
        <f t="shared" si="122"/>
        <v>0.44349310923636603</v>
      </c>
      <c r="BF30" s="33">
        <f t="shared" si="122"/>
        <v>0.44349310923636603</v>
      </c>
      <c r="BG30" s="33">
        <f t="shared" si="122"/>
        <v>0.44349310923636603</v>
      </c>
      <c r="BH30" s="33">
        <f t="shared" si="122"/>
        <v>0.44349310923636603</v>
      </c>
      <c r="BI30" s="33">
        <f t="shared" si="122"/>
        <v>0.44349310923636603</v>
      </c>
      <c r="BJ30" s="33">
        <f t="shared" si="122"/>
        <v>0.44349310923636603</v>
      </c>
      <c r="BK30" s="33">
        <f t="shared" si="122"/>
        <v>0.44349310923636603</v>
      </c>
      <c r="BL30" s="33">
        <f t="shared" si="122"/>
        <v>0.44349310923636603</v>
      </c>
      <c r="BM30" s="33">
        <f t="shared" si="122"/>
        <v>0.44349310923636603</v>
      </c>
      <c r="BN30" s="33">
        <f t="shared" si="122"/>
        <v>0.44349310923636603</v>
      </c>
      <c r="BO30" s="33">
        <f t="shared" si="122"/>
        <v>0.44349310923636603</v>
      </c>
      <c r="BP30" s="33">
        <f t="shared" si="122"/>
        <v>0.46566776469818438</v>
      </c>
      <c r="BQ30" s="33">
        <f t="shared" ref="BQ30:EB30" si="123">BQ20*BQ11/10^7*$D$31</f>
        <v>0.46566776469818438</v>
      </c>
      <c r="BR30" s="33">
        <f t="shared" si="123"/>
        <v>0.46566776469818438</v>
      </c>
      <c r="BS30" s="33">
        <f t="shared" si="123"/>
        <v>0.46566776469818438</v>
      </c>
      <c r="BT30" s="33">
        <f t="shared" si="123"/>
        <v>0.46566776469818438</v>
      </c>
      <c r="BU30" s="33">
        <f t="shared" si="123"/>
        <v>0.46566776469818438</v>
      </c>
      <c r="BV30" s="33">
        <f t="shared" si="123"/>
        <v>0.46566776469818438</v>
      </c>
      <c r="BW30" s="33">
        <f t="shared" si="123"/>
        <v>0.46566776469818438</v>
      </c>
      <c r="BX30" s="33">
        <f t="shared" si="123"/>
        <v>0.46566776469818438</v>
      </c>
      <c r="BY30" s="33">
        <f t="shared" si="123"/>
        <v>0.46566776469818438</v>
      </c>
      <c r="BZ30" s="33">
        <f t="shared" si="123"/>
        <v>0.46566776469818438</v>
      </c>
      <c r="CA30" s="33">
        <f t="shared" si="123"/>
        <v>0.46566776469818438</v>
      </c>
      <c r="CB30" s="33">
        <f t="shared" si="123"/>
        <v>0.4889511529330936</v>
      </c>
      <c r="CC30" s="33">
        <f t="shared" si="123"/>
        <v>0.4889511529330936</v>
      </c>
      <c r="CD30" s="33">
        <f t="shared" si="123"/>
        <v>0.4889511529330936</v>
      </c>
      <c r="CE30" s="33">
        <f t="shared" si="123"/>
        <v>0.4889511529330936</v>
      </c>
      <c r="CF30" s="33">
        <f t="shared" si="123"/>
        <v>0.4889511529330936</v>
      </c>
      <c r="CG30" s="33">
        <f t="shared" si="123"/>
        <v>0.4889511529330936</v>
      </c>
      <c r="CH30" s="33">
        <f t="shared" si="123"/>
        <v>0.4889511529330936</v>
      </c>
      <c r="CI30" s="33">
        <f t="shared" si="123"/>
        <v>0.4889511529330936</v>
      </c>
      <c r="CJ30" s="33">
        <f t="shared" si="123"/>
        <v>0.4889511529330936</v>
      </c>
      <c r="CK30" s="33">
        <f t="shared" si="123"/>
        <v>0.4889511529330936</v>
      </c>
      <c r="CL30" s="33">
        <f t="shared" si="123"/>
        <v>0.4889511529330936</v>
      </c>
      <c r="CM30" s="33">
        <f t="shared" si="123"/>
        <v>0.4889511529330936</v>
      </c>
      <c r="CN30" s="33">
        <f t="shared" si="123"/>
        <v>0.51339871057974829</v>
      </c>
      <c r="CO30" s="33">
        <f t="shared" si="123"/>
        <v>0.51339871057974829</v>
      </c>
      <c r="CP30" s="33">
        <f t="shared" si="123"/>
        <v>0.51339871057974829</v>
      </c>
      <c r="CQ30" s="33">
        <f t="shared" si="123"/>
        <v>0.51339871057974829</v>
      </c>
      <c r="CR30" s="33">
        <f t="shared" si="123"/>
        <v>0.51339871057974829</v>
      </c>
      <c r="CS30" s="33">
        <f t="shared" si="123"/>
        <v>0.51339871057974829</v>
      </c>
      <c r="CT30" s="33">
        <f t="shared" si="123"/>
        <v>0.51339871057974829</v>
      </c>
      <c r="CU30" s="33">
        <f t="shared" si="123"/>
        <v>0.51339871057974829</v>
      </c>
      <c r="CV30" s="33">
        <f t="shared" si="123"/>
        <v>0.51339871057974829</v>
      </c>
      <c r="CW30" s="33">
        <f t="shared" si="123"/>
        <v>0.51339871057974829</v>
      </c>
      <c r="CX30" s="33">
        <f t="shared" si="123"/>
        <v>0.51339871057974829</v>
      </c>
      <c r="CY30" s="33">
        <f t="shared" si="123"/>
        <v>0.51339871057974829</v>
      </c>
      <c r="CZ30" s="33">
        <f t="shared" si="123"/>
        <v>0.53906864610873573</v>
      </c>
      <c r="DA30" s="33">
        <f t="shared" si="123"/>
        <v>0.53906864610873573</v>
      </c>
      <c r="DB30" s="33">
        <f t="shared" si="123"/>
        <v>0.53906864610873573</v>
      </c>
      <c r="DC30" s="33">
        <f t="shared" si="123"/>
        <v>0.53906864610873573</v>
      </c>
      <c r="DD30" s="33">
        <f t="shared" si="123"/>
        <v>0.53906864610873573</v>
      </c>
      <c r="DE30" s="33">
        <f t="shared" si="123"/>
        <v>0.53906864610873573</v>
      </c>
      <c r="DF30" s="33">
        <f t="shared" si="123"/>
        <v>0.53906864610873573</v>
      </c>
      <c r="DG30" s="33">
        <f t="shared" si="123"/>
        <v>0.53906864610873573</v>
      </c>
      <c r="DH30" s="33">
        <f t="shared" si="123"/>
        <v>0.53906864610873573</v>
      </c>
      <c r="DI30" s="33">
        <f t="shared" si="123"/>
        <v>0.53906864610873573</v>
      </c>
      <c r="DJ30" s="33">
        <f t="shared" si="123"/>
        <v>0.53906864610873573</v>
      </c>
      <c r="DK30" s="33">
        <f t="shared" si="123"/>
        <v>0.53906864610873573</v>
      </c>
      <c r="DL30" s="33">
        <f t="shared" si="123"/>
        <v>0.56602207841417251</v>
      </c>
      <c r="DM30" s="33">
        <f t="shared" si="123"/>
        <v>0.56602207841417251</v>
      </c>
      <c r="DN30" s="33">
        <f t="shared" si="123"/>
        <v>0.56602207841417251</v>
      </c>
      <c r="DO30" s="33">
        <f t="shared" si="123"/>
        <v>0.56602207841417251</v>
      </c>
      <c r="DP30" s="33">
        <f t="shared" si="123"/>
        <v>0.56602207841417251</v>
      </c>
      <c r="DQ30" s="33">
        <f t="shared" si="123"/>
        <v>0.56602207841417251</v>
      </c>
      <c r="DR30" s="33">
        <f t="shared" si="123"/>
        <v>0.56602207841417251</v>
      </c>
      <c r="DS30" s="33">
        <f t="shared" si="123"/>
        <v>0.56602207841417251</v>
      </c>
      <c r="DT30" s="33">
        <f t="shared" si="123"/>
        <v>0.56602207841417251</v>
      </c>
      <c r="DU30" s="33">
        <f t="shared" si="123"/>
        <v>0.56602207841417251</v>
      </c>
      <c r="DV30" s="33">
        <f t="shared" si="123"/>
        <v>0.56602207841417251</v>
      </c>
      <c r="DW30" s="33">
        <f t="shared" si="123"/>
        <v>0.56602207841417251</v>
      </c>
      <c r="DX30" s="33">
        <f t="shared" si="123"/>
        <v>0.59432318233488113</v>
      </c>
      <c r="DY30" s="33">
        <f t="shared" si="123"/>
        <v>0.59432318233488113</v>
      </c>
      <c r="DZ30" s="33">
        <f t="shared" si="123"/>
        <v>0.59432318233488113</v>
      </c>
      <c r="EA30" s="33">
        <f t="shared" si="123"/>
        <v>0.59432318233488113</v>
      </c>
      <c r="EB30" s="33">
        <f t="shared" si="123"/>
        <v>0.59432318233488113</v>
      </c>
      <c r="EC30" s="33">
        <f t="shared" ref="EC30:GN30" si="124">EC20*EC11/10^7*$D$31</f>
        <v>0.59432318233488113</v>
      </c>
      <c r="ED30" s="33">
        <f t="shared" si="124"/>
        <v>0.59432318233488113</v>
      </c>
      <c r="EE30" s="33">
        <f t="shared" si="124"/>
        <v>0.59432318233488113</v>
      </c>
      <c r="EF30" s="33">
        <f t="shared" si="124"/>
        <v>0.59432318233488113</v>
      </c>
      <c r="EG30" s="33">
        <f t="shared" si="124"/>
        <v>0.59432318233488113</v>
      </c>
      <c r="EH30" s="33">
        <f t="shared" si="124"/>
        <v>0.59432318233488113</v>
      </c>
      <c r="EI30" s="33">
        <f t="shared" si="124"/>
        <v>0.59432318233488113</v>
      </c>
      <c r="EJ30" s="33">
        <f t="shared" si="124"/>
        <v>0.62403934145162521</v>
      </c>
      <c r="EK30" s="33">
        <f t="shared" si="124"/>
        <v>0.62403934145162521</v>
      </c>
      <c r="EL30" s="33">
        <f t="shared" si="124"/>
        <v>0.62403934145162521</v>
      </c>
      <c r="EM30" s="33">
        <f t="shared" si="124"/>
        <v>0.62403934145162521</v>
      </c>
      <c r="EN30" s="33">
        <f t="shared" si="124"/>
        <v>0.62403934145162521</v>
      </c>
      <c r="EO30" s="33">
        <f t="shared" si="124"/>
        <v>0.62403934145162521</v>
      </c>
      <c r="EP30" s="33">
        <f t="shared" si="124"/>
        <v>0.62403934145162521</v>
      </c>
      <c r="EQ30" s="33">
        <f t="shared" si="124"/>
        <v>0.62403934145162521</v>
      </c>
      <c r="ER30" s="33">
        <f t="shared" si="124"/>
        <v>0.62403934145162521</v>
      </c>
      <c r="ES30" s="33">
        <f t="shared" si="124"/>
        <v>0.62403934145162521</v>
      </c>
      <c r="ET30" s="33">
        <f t="shared" si="124"/>
        <v>0.62403934145162521</v>
      </c>
      <c r="EU30" s="33">
        <f t="shared" si="124"/>
        <v>0.62403934145162521</v>
      </c>
      <c r="EV30" s="33">
        <f t="shared" si="124"/>
        <v>0.65524130852420659</v>
      </c>
      <c r="EW30" s="33">
        <f t="shared" si="124"/>
        <v>0.65524130852420659</v>
      </c>
      <c r="EX30" s="33">
        <f t="shared" si="124"/>
        <v>0.65524130852420659</v>
      </c>
      <c r="EY30" s="33">
        <f t="shared" si="124"/>
        <v>0.65524130852420659</v>
      </c>
      <c r="EZ30" s="33">
        <f t="shared" si="124"/>
        <v>0.65524130852420659</v>
      </c>
      <c r="FA30" s="33">
        <f t="shared" si="124"/>
        <v>0.65524130852420659</v>
      </c>
      <c r="FB30" s="33">
        <f t="shared" si="124"/>
        <v>0.65524130852420659</v>
      </c>
      <c r="FC30" s="33">
        <f t="shared" si="124"/>
        <v>0.65524130852420659</v>
      </c>
      <c r="FD30" s="33">
        <f t="shared" si="124"/>
        <v>0.65524130852420659</v>
      </c>
      <c r="FE30" s="33">
        <f t="shared" si="124"/>
        <v>0.65524130852420659</v>
      </c>
      <c r="FF30" s="33">
        <f t="shared" si="124"/>
        <v>0.65524130852420659</v>
      </c>
      <c r="FG30" s="33">
        <f t="shared" si="124"/>
        <v>0.65524130852420659</v>
      </c>
      <c r="FH30" s="33">
        <f t="shared" si="124"/>
        <v>0.688003373950417</v>
      </c>
      <c r="FI30" s="33">
        <f t="shared" si="124"/>
        <v>0.688003373950417</v>
      </c>
      <c r="FJ30" s="33">
        <f t="shared" si="124"/>
        <v>0.688003373950417</v>
      </c>
      <c r="FK30" s="33">
        <f t="shared" si="124"/>
        <v>0.688003373950417</v>
      </c>
      <c r="FL30" s="33">
        <f t="shared" si="124"/>
        <v>0.688003373950417</v>
      </c>
      <c r="FM30" s="33">
        <f t="shared" si="124"/>
        <v>0.688003373950417</v>
      </c>
      <c r="FN30" s="33">
        <f t="shared" si="124"/>
        <v>0.688003373950417</v>
      </c>
      <c r="FO30" s="33">
        <f t="shared" si="124"/>
        <v>0.688003373950417</v>
      </c>
      <c r="FP30" s="33">
        <f t="shared" si="124"/>
        <v>0.688003373950417</v>
      </c>
      <c r="FQ30" s="33">
        <f t="shared" si="124"/>
        <v>0.688003373950417</v>
      </c>
      <c r="FR30" s="33">
        <f t="shared" si="124"/>
        <v>0.688003373950417</v>
      </c>
      <c r="FS30" s="33">
        <f t="shared" si="124"/>
        <v>0.688003373950417</v>
      </c>
      <c r="FT30" s="33">
        <f t="shared" si="124"/>
        <v>0.72240354264793794</v>
      </c>
      <c r="FU30" s="33">
        <f t="shared" si="124"/>
        <v>0.72240354264793794</v>
      </c>
      <c r="FV30" s="33">
        <f t="shared" si="124"/>
        <v>0.72240354264793794</v>
      </c>
      <c r="FW30" s="33">
        <f t="shared" si="124"/>
        <v>0.72240354264793794</v>
      </c>
      <c r="FX30" s="33">
        <f t="shared" si="124"/>
        <v>0.72240354264793794</v>
      </c>
      <c r="FY30" s="33">
        <f t="shared" si="124"/>
        <v>0.72240354264793794</v>
      </c>
      <c r="FZ30" s="33">
        <f t="shared" si="124"/>
        <v>0.72240354264793794</v>
      </c>
      <c r="GA30" s="33">
        <f t="shared" si="124"/>
        <v>0.72240354264793794</v>
      </c>
      <c r="GB30" s="33">
        <f t="shared" si="124"/>
        <v>0.72240354264793794</v>
      </c>
      <c r="GC30" s="33">
        <f t="shared" si="124"/>
        <v>0.72240354264793794</v>
      </c>
      <c r="GD30" s="33">
        <f t="shared" si="124"/>
        <v>0.72240354264793794</v>
      </c>
      <c r="GE30" s="33">
        <f t="shared" si="124"/>
        <v>0.72240354264793794</v>
      </c>
      <c r="GF30" s="33">
        <f t="shared" si="124"/>
        <v>0.75852371978033484</v>
      </c>
      <c r="GG30" s="33">
        <f t="shared" si="124"/>
        <v>0.75852371978033484</v>
      </c>
      <c r="GH30" s="33">
        <f t="shared" si="124"/>
        <v>0.75852371978033484</v>
      </c>
      <c r="GI30" s="33">
        <f t="shared" si="124"/>
        <v>0.75852371978033484</v>
      </c>
      <c r="GJ30" s="33">
        <f t="shared" si="124"/>
        <v>0.75852371978033484</v>
      </c>
      <c r="GK30" s="33">
        <f t="shared" si="124"/>
        <v>0.75852371978033484</v>
      </c>
      <c r="GL30" s="33">
        <f t="shared" si="124"/>
        <v>0.75852371978033484</v>
      </c>
      <c r="GM30" s="33">
        <f t="shared" si="124"/>
        <v>0.75852371978033484</v>
      </c>
      <c r="GN30" s="33">
        <f t="shared" si="124"/>
        <v>0.75852371978033484</v>
      </c>
      <c r="GO30" s="33">
        <f t="shared" ref="GO30:IZ30" si="125">GO20*GO11/10^7*$D$31</f>
        <v>0.75852371978033484</v>
      </c>
      <c r="GP30" s="33">
        <f t="shared" si="125"/>
        <v>0.75852371978033484</v>
      </c>
      <c r="GQ30" s="33">
        <f t="shared" si="125"/>
        <v>0.75852371978033484</v>
      </c>
      <c r="GR30" s="33">
        <f t="shared" si="125"/>
        <v>0.7964499057693516</v>
      </c>
      <c r="GS30" s="33">
        <f t="shared" si="125"/>
        <v>0.7964499057693516</v>
      </c>
      <c r="GT30" s="33">
        <f t="shared" si="125"/>
        <v>0.7964499057693516</v>
      </c>
      <c r="GU30" s="33">
        <f t="shared" si="125"/>
        <v>0.7964499057693516</v>
      </c>
      <c r="GV30" s="33">
        <f t="shared" si="125"/>
        <v>0.7964499057693516</v>
      </c>
      <c r="GW30" s="33">
        <f t="shared" si="125"/>
        <v>0.7964499057693516</v>
      </c>
      <c r="GX30" s="33">
        <f t="shared" si="125"/>
        <v>0.7964499057693516</v>
      </c>
      <c r="GY30" s="33">
        <f t="shared" si="125"/>
        <v>0.7964499057693516</v>
      </c>
      <c r="GZ30" s="33">
        <f t="shared" si="125"/>
        <v>0.7964499057693516</v>
      </c>
      <c r="HA30" s="33">
        <f t="shared" si="125"/>
        <v>0.7964499057693516</v>
      </c>
      <c r="HB30" s="33">
        <f t="shared" si="125"/>
        <v>0.7964499057693516</v>
      </c>
      <c r="HC30" s="33">
        <f t="shared" si="125"/>
        <v>0.7964499057693516</v>
      </c>
      <c r="HD30" s="33">
        <f t="shared" si="125"/>
        <v>0.83627240105781919</v>
      </c>
      <c r="HE30" s="33">
        <f t="shared" si="125"/>
        <v>0.83627240105781919</v>
      </c>
      <c r="HF30" s="33">
        <f t="shared" si="125"/>
        <v>0.83627240105781919</v>
      </c>
      <c r="HG30" s="33">
        <f t="shared" si="125"/>
        <v>0.83627240105781919</v>
      </c>
      <c r="HH30" s="33">
        <f t="shared" si="125"/>
        <v>0.83627240105781919</v>
      </c>
      <c r="HI30" s="33">
        <f t="shared" si="125"/>
        <v>0.83627240105781919</v>
      </c>
      <c r="HJ30" s="33">
        <f t="shared" si="125"/>
        <v>0.83627240105781919</v>
      </c>
      <c r="HK30" s="33">
        <f t="shared" si="125"/>
        <v>0.83627240105781919</v>
      </c>
      <c r="HL30" s="33">
        <f t="shared" si="125"/>
        <v>0.83627240105781919</v>
      </c>
      <c r="HM30" s="33">
        <f t="shared" si="125"/>
        <v>0.83627240105781919</v>
      </c>
      <c r="HN30" s="33">
        <f t="shared" si="125"/>
        <v>0.83627240105781919</v>
      </c>
      <c r="HO30" s="33">
        <f t="shared" si="125"/>
        <v>0.83627240105781919</v>
      </c>
      <c r="HP30" s="33">
        <f t="shared" si="125"/>
        <v>0.87808602111071032</v>
      </c>
      <c r="HQ30" s="33">
        <f t="shared" si="125"/>
        <v>0.87808602111071032</v>
      </c>
      <c r="HR30" s="33">
        <f t="shared" si="125"/>
        <v>0.87808602111071032</v>
      </c>
      <c r="HS30" s="33">
        <f t="shared" si="125"/>
        <v>0.87808602111071032</v>
      </c>
      <c r="HT30" s="33">
        <f t="shared" si="125"/>
        <v>0.87808602111071032</v>
      </c>
      <c r="HU30" s="33">
        <f t="shared" si="125"/>
        <v>0.87808602111071032</v>
      </c>
      <c r="HV30" s="33">
        <f t="shared" si="125"/>
        <v>0.87808602111071032</v>
      </c>
      <c r="HW30" s="33">
        <f t="shared" si="125"/>
        <v>0.87808602111071032</v>
      </c>
      <c r="HX30" s="33">
        <f t="shared" si="125"/>
        <v>0.87808602111071032</v>
      </c>
      <c r="HY30" s="33">
        <f t="shared" si="125"/>
        <v>0.87808602111071032</v>
      </c>
      <c r="HZ30" s="33">
        <f t="shared" si="125"/>
        <v>0.87808602111071032</v>
      </c>
      <c r="IA30" s="33">
        <f t="shared" si="125"/>
        <v>0.87808602111071032</v>
      </c>
      <c r="IB30" s="33">
        <f t="shared" si="125"/>
        <v>0.92199032216624577</v>
      </c>
      <c r="IC30" s="33">
        <f t="shared" si="125"/>
        <v>0.92199032216624577</v>
      </c>
      <c r="ID30" s="33">
        <f t="shared" si="125"/>
        <v>0.92199032216624577</v>
      </c>
      <c r="IE30" s="33">
        <f t="shared" si="125"/>
        <v>0.92199032216624577</v>
      </c>
      <c r="IF30" s="33">
        <f t="shared" si="125"/>
        <v>0.92199032216624577</v>
      </c>
      <c r="IG30" s="33">
        <f t="shared" si="125"/>
        <v>0.92199032216624577</v>
      </c>
      <c r="IH30" s="33">
        <f t="shared" si="125"/>
        <v>0.92199032216624577</v>
      </c>
      <c r="II30" s="33">
        <f t="shared" si="125"/>
        <v>0.92199032216624577</v>
      </c>
      <c r="IJ30" s="33">
        <f t="shared" si="125"/>
        <v>0.92199032216624577</v>
      </c>
      <c r="IK30" s="33">
        <f t="shared" si="125"/>
        <v>0.92199032216624577</v>
      </c>
      <c r="IL30" s="33">
        <f t="shared" si="125"/>
        <v>0.92199032216624577</v>
      </c>
      <c r="IM30" s="33">
        <f t="shared" si="125"/>
        <v>0.92199032216624577</v>
      </c>
      <c r="IN30" s="33">
        <f t="shared" si="125"/>
        <v>0.96808983827455808</v>
      </c>
      <c r="IO30" s="33">
        <f t="shared" si="125"/>
        <v>0.96808983827455808</v>
      </c>
      <c r="IP30" s="33">
        <f t="shared" si="125"/>
        <v>0.96808983827455808</v>
      </c>
      <c r="IQ30" s="33">
        <f t="shared" si="125"/>
        <v>0.96808983827455808</v>
      </c>
      <c r="IR30" s="33">
        <f t="shared" si="125"/>
        <v>0.96808983827455808</v>
      </c>
      <c r="IS30" s="33">
        <f t="shared" si="125"/>
        <v>0.96808983827455808</v>
      </c>
      <c r="IT30" s="33">
        <f t="shared" si="125"/>
        <v>0.96808983827455808</v>
      </c>
      <c r="IU30" s="33">
        <f t="shared" si="125"/>
        <v>0.96808983827455808</v>
      </c>
      <c r="IV30" s="33">
        <f t="shared" si="125"/>
        <v>0.96808983827455808</v>
      </c>
      <c r="IW30" s="33">
        <f t="shared" si="125"/>
        <v>0.96808983827455808</v>
      </c>
      <c r="IX30" s="33">
        <f t="shared" si="125"/>
        <v>0.96808983827455808</v>
      </c>
      <c r="IY30" s="33">
        <f t="shared" si="125"/>
        <v>0.96808983827455808</v>
      </c>
      <c r="IZ30" s="33">
        <f t="shared" si="125"/>
        <v>1.0164943301882861</v>
      </c>
      <c r="JA30" s="33">
        <f t="shared" ref="JA30:KC30" si="126">JA20*JA11/10^7*$D$31</f>
        <v>1.0164943301882861</v>
      </c>
      <c r="JB30" s="33">
        <f t="shared" si="126"/>
        <v>1.0164943301882861</v>
      </c>
      <c r="JC30" s="33">
        <f t="shared" si="126"/>
        <v>1.0164943301882861</v>
      </c>
      <c r="JD30" s="33">
        <f t="shared" si="126"/>
        <v>1.0164943301882861</v>
      </c>
      <c r="JE30" s="33">
        <f t="shared" si="126"/>
        <v>1.0164943301882861</v>
      </c>
      <c r="JF30" s="33">
        <f t="shared" si="126"/>
        <v>1.0164943301882861</v>
      </c>
      <c r="JG30" s="33">
        <f t="shared" si="126"/>
        <v>1.0164943301882861</v>
      </c>
      <c r="JH30" s="33">
        <f t="shared" si="126"/>
        <v>1.0164943301882861</v>
      </c>
      <c r="JI30" s="33">
        <f t="shared" si="126"/>
        <v>1.0164943301882861</v>
      </c>
      <c r="JJ30" s="33">
        <f t="shared" si="126"/>
        <v>1.0164943301882861</v>
      </c>
      <c r="JK30" s="33">
        <f t="shared" si="126"/>
        <v>1.0164943301882861</v>
      </c>
      <c r="JL30" s="33">
        <f t="shared" si="126"/>
        <v>1.0673190466977005</v>
      </c>
      <c r="JM30" s="33">
        <f t="shared" si="126"/>
        <v>1.0673190466977005</v>
      </c>
      <c r="JN30" s="33">
        <f t="shared" si="126"/>
        <v>1.0673190466977005</v>
      </c>
      <c r="JO30" s="33">
        <f t="shared" si="126"/>
        <v>1.0673190466977005</v>
      </c>
      <c r="JP30" s="33">
        <f t="shared" si="126"/>
        <v>1.0673190466977005</v>
      </c>
      <c r="JQ30" s="33">
        <f t="shared" si="126"/>
        <v>1.0673190466977005</v>
      </c>
      <c r="JR30" s="33">
        <f t="shared" si="126"/>
        <v>0</v>
      </c>
      <c r="JS30" s="33">
        <f t="shared" si="126"/>
        <v>0</v>
      </c>
      <c r="JT30" s="33">
        <f t="shared" si="126"/>
        <v>0</v>
      </c>
      <c r="JU30" s="33">
        <f t="shared" si="126"/>
        <v>0</v>
      </c>
      <c r="JV30" s="33">
        <f t="shared" si="126"/>
        <v>0</v>
      </c>
      <c r="JW30" s="33">
        <f t="shared" si="126"/>
        <v>0</v>
      </c>
      <c r="JX30" s="33">
        <f t="shared" si="126"/>
        <v>0</v>
      </c>
      <c r="JY30" s="33">
        <f t="shared" si="126"/>
        <v>0</v>
      </c>
      <c r="JZ30" s="33">
        <f t="shared" si="126"/>
        <v>0</v>
      </c>
      <c r="KA30" s="33">
        <f t="shared" si="126"/>
        <v>0</v>
      </c>
      <c r="KB30" s="33">
        <f t="shared" si="126"/>
        <v>0</v>
      </c>
      <c r="KC30" s="33">
        <f t="shared" si="126"/>
        <v>0</v>
      </c>
      <c r="KD30" s="33">
        <f>SUM(E30:KC30)</f>
        <v>161.19063194789328</v>
      </c>
      <c r="KE30" s="33"/>
      <c r="KF30" s="33">
        <f>KD30+KD39</f>
        <v>169.6939810319067</v>
      </c>
      <c r="KG30" s="33"/>
      <c r="KH30" s="33"/>
      <c r="KI30" s="33"/>
      <c r="KJ30" s="33"/>
      <c r="KK30" s="33"/>
      <c r="KL30" s="33"/>
      <c r="KM30" s="33"/>
      <c r="KN30" s="33"/>
      <c r="KO30" s="33"/>
    </row>
    <row r="31" spans="1:301" x14ac:dyDescent="0.3">
      <c r="A31" s="52">
        <f>SUM(E31:IS31)</f>
        <v>275.04147320304025</v>
      </c>
      <c r="B31" s="1" t="str">
        <f>B21</f>
        <v>Phase 4</v>
      </c>
      <c r="C31" s="54">
        <f>SUM(E31:KC31)</f>
        <v>345.80440802157409</v>
      </c>
      <c r="D31" s="485">
        <v>1</v>
      </c>
      <c r="E31" s="33">
        <f t="shared" ref="E31:BP31" si="127">E21*E12/10^7*$D$31</f>
        <v>0</v>
      </c>
      <c r="F31" s="33">
        <f t="shared" si="127"/>
        <v>0</v>
      </c>
      <c r="G31" s="33">
        <f t="shared" si="127"/>
        <v>0</v>
      </c>
      <c r="H31" s="33">
        <f t="shared" si="127"/>
        <v>0</v>
      </c>
      <c r="I31" s="33">
        <f t="shared" si="127"/>
        <v>0</v>
      </c>
      <c r="J31" s="33">
        <f t="shared" si="127"/>
        <v>0</v>
      </c>
      <c r="K31" s="33">
        <f t="shared" si="127"/>
        <v>0</v>
      </c>
      <c r="L31" s="33">
        <f t="shared" si="127"/>
        <v>0</v>
      </c>
      <c r="M31" s="33">
        <f t="shared" si="127"/>
        <v>0</v>
      </c>
      <c r="N31" s="33">
        <f t="shared" si="127"/>
        <v>0</v>
      </c>
      <c r="O31" s="33">
        <f t="shared" si="127"/>
        <v>0</v>
      </c>
      <c r="P31" s="33">
        <f t="shared" si="127"/>
        <v>0</v>
      </c>
      <c r="Q31" s="33">
        <f t="shared" si="127"/>
        <v>0</v>
      </c>
      <c r="R31" s="33">
        <f t="shared" si="127"/>
        <v>0</v>
      </c>
      <c r="S31" s="33">
        <f t="shared" si="127"/>
        <v>0</v>
      </c>
      <c r="T31" s="33">
        <f t="shared" si="127"/>
        <v>0</v>
      </c>
      <c r="U31" s="33">
        <f t="shared" si="127"/>
        <v>0</v>
      </c>
      <c r="V31" s="33">
        <f t="shared" si="127"/>
        <v>0</v>
      </c>
      <c r="W31" s="33">
        <f t="shared" si="127"/>
        <v>0</v>
      </c>
      <c r="X31" s="33">
        <f t="shared" si="127"/>
        <v>0</v>
      </c>
      <c r="Y31" s="33">
        <f t="shared" si="127"/>
        <v>0</v>
      </c>
      <c r="Z31" s="33">
        <f t="shared" si="127"/>
        <v>0</v>
      </c>
      <c r="AA31" s="33">
        <f t="shared" si="127"/>
        <v>0</v>
      </c>
      <c r="AB31" s="33">
        <f t="shared" si="127"/>
        <v>0</v>
      </c>
      <c r="AC31" s="33">
        <f t="shared" si="127"/>
        <v>0</v>
      </c>
      <c r="AD31" s="33">
        <f t="shared" si="127"/>
        <v>0</v>
      </c>
      <c r="AE31" s="33">
        <f t="shared" si="127"/>
        <v>0</v>
      </c>
      <c r="AF31" s="33">
        <f t="shared" si="127"/>
        <v>0</v>
      </c>
      <c r="AG31" s="33">
        <f t="shared" si="127"/>
        <v>0</v>
      </c>
      <c r="AH31" s="33">
        <f t="shared" si="127"/>
        <v>0</v>
      </c>
      <c r="AI31" s="33">
        <f t="shared" si="127"/>
        <v>0</v>
      </c>
      <c r="AJ31" s="33">
        <f t="shared" si="127"/>
        <v>0</v>
      </c>
      <c r="AK31" s="33">
        <f t="shared" si="127"/>
        <v>0</v>
      </c>
      <c r="AL31" s="33">
        <f t="shared" si="127"/>
        <v>0</v>
      </c>
      <c r="AM31" s="33">
        <f t="shared" si="127"/>
        <v>0</v>
      </c>
      <c r="AN31" s="33">
        <f t="shared" si="127"/>
        <v>0</v>
      </c>
      <c r="AO31" s="33">
        <f t="shared" si="127"/>
        <v>0</v>
      </c>
      <c r="AP31" s="33">
        <f t="shared" si="127"/>
        <v>0</v>
      </c>
      <c r="AQ31" s="33">
        <f t="shared" si="127"/>
        <v>0</v>
      </c>
      <c r="AR31" s="33">
        <f t="shared" si="127"/>
        <v>0</v>
      </c>
      <c r="AS31" s="33">
        <f t="shared" si="127"/>
        <v>0</v>
      </c>
      <c r="AT31" s="33">
        <f t="shared" si="127"/>
        <v>0</v>
      </c>
      <c r="AU31" s="33">
        <f t="shared" si="127"/>
        <v>0</v>
      </c>
      <c r="AV31" s="33">
        <f t="shared" si="127"/>
        <v>0</v>
      </c>
      <c r="AW31" s="33">
        <f t="shared" si="127"/>
        <v>0</v>
      </c>
      <c r="AX31" s="33">
        <f t="shared" si="127"/>
        <v>0</v>
      </c>
      <c r="AY31" s="33">
        <f t="shared" si="127"/>
        <v>0</v>
      </c>
      <c r="AZ31" s="33">
        <f t="shared" si="127"/>
        <v>0</v>
      </c>
      <c r="BA31" s="33">
        <f t="shared" si="127"/>
        <v>0.90612539975532758</v>
      </c>
      <c r="BB31" s="33">
        <f t="shared" si="127"/>
        <v>0.90612539975532758</v>
      </c>
      <c r="BC31" s="33">
        <f t="shared" si="127"/>
        <v>0.90612539975532758</v>
      </c>
      <c r="BD31" s="33">
        <f t="shared" si="127"/>
        <v>0.90612539975532758</v>
      </c>
      <c r="BE31" s="33">
        <f t="shared" si="127"/>
        <v>0.90612539975532758</v>
      </c>
      <c r="BF31" s="33">
        <f t="shared" si="127"/>
        <v>0.90612539975532758</v>
      </c>
      <c r="BG31" s="33">
        <f t="shared" si="127"/>
        <v>0.90612539975532758</v>
      </c>
      <c r="BH31" s="33">
        <f t="shared" si="127"/>
        <v>0.90612539975532758</v>
      </c>
      <c r="BI31" s="33">
        <f t="shared" si="127"/>
        <v>0.90612539975532758</v>
      </c>
      <c r="BJ31" s="33">
        <f t="shared" si="127"/>
        <v>0.90612539975532758</v>
      </c>
      <c r="BK31" s="33">
        <f t="shared" si="127"/>
        <v>0.90612539975532758</v>
      </c>
      <c r="BL31" s="33">
        <f t="shared" si="127"/>
        <v>0.90612539975532758</v>
      </c>
      <c r="BM31" s="33">
        <f t="shared" si="127"/>
        <v>0.95143166974309401</v>
      </c>
      <c r="BN31" s="33">
        <f t="shared" si="127"/>
        <v>0.95143166974309401</v>
      </c>
      <c r="BO31" s="33">
        <f t="shared" si="127"/>
        <v>0.95143166974309401</v>
      </c>
      <c r="BP31" s="33">
        <f t="shared" si="127"/>
        <v>0.95143166974309401</v>
      </c>
      <c r="BQ31" s="33">
        <f t="shared" ref="BQ31:EB31" si="128">BQ21*BQ12/10^7*$D$31</f>
        <v>0.95143166974309401</v>
      </c>
      <c r="BR31" s="33">
        <f t="shared" si="128"/>
        <v>0.95143166974309401</v>
      </c>
      <c r="BS31" s="33">
        <f t="shared" si="128"/>
        <v>0.95143166974309401</v>
      </c>
      <c r="BT31" s="33">
        <f t="shared" si="128"/>
        <v>0.95143166974309401</v>
      </c>
      <c r="BU31" s="33">
        <f t="shared" si="128"/>
        <v>0.95143166974309401</v>
      </c>
      <c r="BV31" s="33">
        <f t="shared" si="128"/>
        <v>0.95143166974309401</v>
      </c>
      <c r="BW31" s="33">
        <f t="shared" si="128"/>
        <v>0.95143166974309401</v>
      </c>
      <c r="BX31" s="33">
        <f t="shared" si="128"/>
        <v>0.95143166974309401</v>
      </c>
      <c r="BY31" s="33">
        <f t="shared" si="128"/>
        <v>0.99900325323024874</v>
      </c>
      <c r="BZ31" s="33">
        <f t="shared" si="128"/>
        <v>0.99900325323024874</v>
      </c>
      <c r="CA31" s="33">
        <f t="shared" si="128"/>
        <v>0.99900325323024874</v>
      </c>
      <c r="CB31" s="33">
        <f t="shared" si="128"/>
        <v>0.99900325323024874</v>
      </c>
      <c r="CC31" s="33">
        <f t="shared" si="128"/>
        <v>0.99900325323024874</v>
      </c>
      <c r="CD31" s="33">
        <f t="shared" si="128"/>
        <v>0.99900325323024874</v>
      </c>
      <c r="CE31" s="33">
        <f t="shared" si="128"/>
        <v>0.99900325323024874</v>
      </c>
      <c r="CF31" s="33">
        <f t="shared" si="128"/>
        <v>0.99900325323024874</v>
      </c>
      <c r="CG31" s="33">
        <f t="shared" si="128"/>
        <v>0.99900325323024874</v>
      </c>
      <c r="CH31" s="33">
        <f t="shared" si="128"/>
        <v>0.99900325323024874</v>
      </c>
      <c r="CI31" s="33">
        <f t="shared" si="128"/>
        <v>0.99900325323024874</v>
      </c>
      <c r="CJ31" s="33">
        <f t="shared" si="128"/>
        <v>0.99900325323024874</v>
      </c>
      <c r="CK31" s="33">
        <f t="shared" si="128"/>
        <v>1.0489534158917613</v>
      </c>
      <c r="CL31" s="33">
        <f t="shared" si="128"/>
        <v>1.0489534158917613</v>
      </c>
      <c r="CM31" s="33">
        <f t="shared" si="128"/>
        <v>1.0489534158917613</v>
      </c>
      <c r="CN31" s="33">
        <f t="shared" si="128"/>
        <v>1.0489534158917613</v>
      </c>
      <c r="CO31" s="33">
        <f t="shared" si="128"/>
        <v>1.0489534158917613</v>
      </c>
      <c r="CP31" s="33">
        <f t="shared" si="128"/>
        <v>1.0489534158917613</v>
      </c>
      <c r="CQ31" s="33">
        <f t="shared" si="128"/>
        <v>1.0489534158917613</v>
      </c>
      <c r="CR31" s="33">
        <f t="shared" si="128"/>
        <v>1.0489534158917613</v>
      </c>
      <c r="CS31" s="33">
        <f t="shared" si="128"/>
        <v>1.0489534158917613</v>
      </c>
      <c r="CT31" s="33">
        <f t="shared" si="128"/>
        <v>1.0489534158917613</v>
      </c>
      <c r="CU31" s="33">
        <f t="shared" si="128"/>
        <v>1.0489534158917613</v>
      </c>
      <c r="CV31" s="33">
        <f t="shared" si="128"/>
        <v>1.0489534158917613</v>
      </c>
      <c r="CW31" s="33">
        <f t="shared" si="128"/>
        <v>1.1014010866863493</v>
      </c>
      <c r="CX31" s="33">
        <f t="shared" si="128"/>
        <v>1.1014010866863493</v>
      </c>
      <c r="CY31" s="33">
        <f t="shared" si="128"/>
        <v>1.1014010866863493</v>
      </c>
      <c r="CZ31" s="33">
        <f t="shared" si="128"/>
        <v>1.1014010866863493</v>
      </c>
      <c r="DA31" s="33">
        <f t="shared" si="128"/>
        <v>1.1014010866863493</v>
      </c>
      <c r="DB31" s="33">
        <f t="shared" si="128"/>
        <v>1.1014010866863493</v>
      </c>
      <c r="DC31" s="33">
        <f t="shared" si="128"/>
        <v>1.1014010866863493</v>
      </c>
      <c r="DD31" s="33">
        <f t="shared" si="128"/>
        <v>1.1014010866863493</v>
      </c>
      <c r="DE31" s="33">
        <f t="shared" si="128"/>
        <v>1.1014010866863493</v>
      </c>
      <c r="DF31" s="33">
        <f t="shared" si="128"/>
        <v>1.1014010866863493</v>
      </c>
      <c r="DG31" s="33">
        <f t="shared" si="128"/>
        <v>1.1014010866863493</v>
      </c>
      <c r="DH31" s="33">
        <f t="shared" si="128"/>
        <v>1.1014010866863493</v>
      </c>
      <c r="DI31" s="33">
        <f t="shared" si="128"/>
        <v>1.1564711410206667</v>
      </c>
      <c r="DJ31" s="33">
        <f t="shared" si="128"/>
        <v>1.1564711410206667</v>
      </c>
      <c r="DK31" s="33">
        <f t="shared" si="128"/>
        <v>1.1564711410206667</v>
      </c>
      <c r="DL31" s="33">
        <f t="shared" si="128"/>
        <v>1.1564711410206667</v>
      </c>
      <c r="DM31" s="33">
        <f t="shared" si="128"/>
        <v>1.1564711410206667</v>
      </c>
      <c r="DN31" s="33">
        <f t="shared" si="128"/>
        <v>1.1564711410206667</v>
      </c>
      <c r="DO31" s="33">
        <f t="shared" si="128"/>
        <v>1.1564711410206667</v>
      </c>
      <c r="DP31" s="33">
        <f t="shared" si="128"/>
        <v>1.1564711410206667</v>
      </c>
      <c r="DQ31" s="33">
        <f t="shared" si="128"/>
        <v>1.1564711410206667</v>
      </c>
      <c r="DR31" s="33">
        <f t="shared" si="128"/>
        <v>1.1564711410206667</v>
      </c>
      <c r="DS31" s="33">
        <f t="shared" si="128"/>
        <v>1.1564711410206667</v>
      </c>
      <c r="DT31" s="33">
        <f t="shared" si="128"/>
        <v>1.1564711410206667</v>
      </c>
      <c r="DU31" s="33">
        <f t="shared" si="128"/>
        <v>1.2142946980717002</v>
      </c>
      <c r="DV31" s="33">
        <f t="shared" si="128"/>
        <v>1.2142946980717002</v>
      </c>
      <c r="DW31" s="33">
        <f t="shared" si="128"/>
        <v>1.2142946980717002</v>
      </c>
      <c r="DX31" s="33">
        <f t="shared" si="128"/>
        <v>1.2142946980717002</v>
      </c>
      <c r="DY31" s="33">
        <f t="shared" si="128"/>
        <v>1.2142946980717002</v>
      </c>
      <c r="DZ31" s="33">
        <f t="shared" si="128"/>
        <v>1.2142946980717002</v>
      </c>
      <c r="EA31" s="33">
        <f t="shared" si="128"/>
        <v>1.2142946980717002</v>
      </c>
      <c r="EB31" s="33">
        <f t="shared" si="128"/>
        <v>1.2142946980717002</v>
      </c>
      <c r="EC31" s="33">
        <f t="shared" ref="EC31:GN31" si="129">EC21*EC12/10^7*$D$31</f>
        <v>1.2142946980717002</v>
      </c>
      <c r="ED31" s="33">
        <f t="shared" si="129"/>
        <v>1.2142946980717002</v>
      </c>
      <c r="EE31" s="33">
        <f t="shared" si="129"/>
        <v>1.2142946980717002</v>
      </c>
      <c r="EF31" s="33">
        <f t="shared" si="129"/>
        <v>1.2142946980717002</v>
      </c>
      <c r="EG31" s="33">
        <f t="shared" si="129"/>
        <v>1.2750094329752852</v>
      </c>
      <c r="EH31" s="33">
        <f t="shared" si="129"/>
        <v>1.2750094329752852</v>
      </c>
      <c r="EI31" s="33">
        <f t="shared" si="129"/>
        <v>1.2750094329752852</v>
      </c>
      <c r="EJ31" s="33">
        <f t="shared" si="129"/>
        <v>1.2750094329752852</v>
      </c>
      <c r="EK31" s="33">
        <f t="shared" si="129"/>
        <v>1.2750094329752852</v>
      </c>
      <c r="EL31" s="33">
        <f t="shared" si="129"/>
        <v>1.2750094329752852</v>
      </c>
      <c r="EM31" s="33">
        <f t="shared" si="129"/>
        <v>1.2750094329752852</v>
      </c>
      <c r="EN31" s="33">
        <f t="shared" si="129"/>
        <v>1.2750094329752852</v>
      </c>
      <c r="EO31" s="33">
        <f t="shared" si="129"/>
        <v>1.2750094329752852</v>
      </c>
      <c r="EP31" s="33">
        <f t="shared" si="129"/>
        <v>1.2750094329752852</v>
      </c>
      <c r="EQ31" s="33">
        <f t="shared" si="129"/>
        <v>1.2750094329752852</v>
      </c>
      <c r="ER31" s="33">
        <f t="shared" si="129"/>
        <v>1.2750094329752852</v>
      </c>
      <c r="ES31" s="33">
        <f t="shared" si="129"/>
        <v>1.3387599046240495</v>
      </c>
      <c r="ET31" s="33">
        <f t="shared" si="129"/>
        <v>1.3387599046240495</v>
      </c>
      <c r="EU31" s="33">
        <f t="shared" si="129"/>
        <v>1.3387599046240495</v>
      </c>
      <c r="EV31" s="33">
        <f t="shared" si="129"/>
        <v>1.3387599046240495</v>
      </c>
      <c r="EW31" s="33">
        <f t="shared" si="129"/>
        <v>1.3387599046240495</v>
      </c>
      <c r="EX31" s="33">
        <f t="shared" si="129"/>
        <v>1.3387599046240495</v>
      </c>
      <c r="EY31" s="33">
        <f t="shared" si="129"/>
        <v>1.3387599046240495</v>
      </c>
      <c r="EZ31" s="33">
        <f t="shared" si="129"/>
        <v>1.3387599046240495</v>
      </c>
      <c r="FA31" s="33">
        <f t="shared" si="129"/>
        <v>1.3387599046240495</v>
      </c>
      <c r="FB31" s="33">
        <f t="shared" si="129"/>
        <v>1.3387599046240495</v>
      </c>
      <c r="FC31" s="33">
        <f t="shared" si="129"/>
        <v>1.3387599046240495</v>
      </c>
      <c r="FD31" s="33">
        <f t="shared" si="129"/>
        <v>1.3387599046240495</v>
      </c>
      <c r="FE31" s="33">
        <f t="shared" si="129"/>
        <v>1.4056978998552521</v>
      </c>
      <c r="FF31" s="33">
        <f t="shared" si="129"/>
        <v>1.4056978998552521</v>
      </c>
      <c r="FG31" s="33">
        <f t="shared" si="129"/>
        <v>1.4056978998552521</v>
      </c>
      <c r="FH31" s="33">
        <f t="shared" si="129"/>
        <v>1.4056978998552521</v>
      </c>
      <c r="FI31" s="33">
        <f t="shared" si="129"/>
        <v>1.4056978998552521</v>
      </c>
      <c r="FJ31" s="33">
        <f t="shared" si="129"/>
        <v>1.4056978998552521</v>
      </c>
      <c r="FK31" s="33">
        <f t="shared" si="129"/>
        <v>1.4056978998552521</v>
      </c>
      <c r="FL31" s="33">
        <f t="shared" si="129"/>
        <v>1.4056978998552521</v>
      </c>
      <c r="FM31" s="33">
        <f t="shared" si="129"/>
        <v>1.4056978998552521</v>
      </c>
      <c r="FN31" s="33">
        <f t="shared" si="129"/>
        <v>1.4056978998552521</v>
      </c>
      <c r="FO31" s="33">
        <f t="shared" si="129"/>
        <v>1.4056978998552521</v>
      </c>
      <c r="FP31" s="33">
        <f t="shared" si="129"/>
        <v>1.4056978998552521</v>
      </c>
      <c r="FQ31" s="33">
        <f t="shared" si="129"/>
        <v>1.4759827948480149</v>
      </c>
      <c r="FR31" s="33">
        <f t="shared" si="129"/>
        <v>1.4759827948480149</v>
      </c>
      <c r="FS31" s="33">
        <f t="shared" si="129"/>
        <v>1.4759827948480149</v>
      </c>
      <c r="FT31" s="33">
        <f t="shared" si="129"/>
        <v>1.4759827948480149</v>
      </c>
      <c r="FU31" s="33">
        <f t="shared" si="129"/>
        <v>1.4759827948480149</v>
      </c>
      <c r="FV31" s="33">
        <f t="shared" si="129"/>
        <v>1.4759827948480149</v>
      </c>
      <c r="FW31" s="33">
        <f t="shared" si="129"/>
        <v>1.4759827948480149</v>
      </c>
      <c r="FX31" s="33">
        <f t="shared" si="129"/>
        <v>1.4759827948480149</v>
      </c>
      <c r="FY31" s="33">
        <f t="shared" si="129"/>
        <v>1.4759827948480149</v>
      </c>
      <c r="FZ31" s="33">
        <f t="shared" si="129"/>
        <v>1.4759827948480149</v>
      </c>
      <c r="GA31" s="33">
        <f t="shared" si="129"/>
        <v>1.4759827948480149</v>
      </c>
      <c r="GB31" s="33">
        <f t="shared" si="129"/>
        <v>1.4759827948480149</v>
      </c>
      <c r="GC31" s="33">
        <f t="shared" si="129"/>
        <v>1.549781934590416</v>
      </c>
      <c r="GD31" s="33">
        <f t="shared" si="129"/>
        <v>1.549781934590416</v>
      </c>
      <c r="GE31" s="33">
        <f t="shared" si="129"/>
        <v>1.549781934590416</v>
      </c>
      <c r="GF31" s="33">
        <f t="shared" si="129"/>
        <v>1.549781934590416</v>
      </c>
      <c r="GG31" s="33">
        <f t="shared" si="129"/>
        <v>1.549781934590416</v>
      </c>
      <c r="GH31" s="33">
        <f t="shared" si="129"/>
        <v>1.549781934590416</v>
      </c>
      <c r="GI31" s="33">
        <f t="shared" si="129"/>
        <v>1.549781934590416</v>
      </c>
      <c r="GJ31" s="33">
        <f t="shared" si="129"/>
        <v>1.549781934590416</v>
      </c>
      <c r="GK31" s="33">
        <f t="shared" si="129"/>
        <v>1.549781934590416</v>
      </c>
      <c r="GL31" s="33">
        <f t="shared" si="129"/>
        <v>1.549781934590416</v>
      </c>
      <c r="GM31" s="33">
        <f t="shared" si="129"/>
        <v>1.549781934590416</v>
      </c>
      <c r="GN31" s="33">
        <f t="shared" si="129"/>
        <v>1.549781934590416</v>
      </c>
      <c r="GO31" s="33">
        <f t="shared" ref="GO31:IZ31" si="130">GO21*GO12/10^7*$D$31</f>
        <v>1.6272710313199368</v>
      </c>
      <c r="GP31" s="33">
        <f t="shared" si="130"/>
        <v>1.6272710313199368</v>
      </c>
      <c r="GQ31" s="33">
        <f t="shared" si="130"/>
        <v>1.6272710313199368</v>
      </c>
      <c r="GR31" s="33">
        <f t="shared" si="130"/>
        <v>1.6272710313199368</v>
      </c>
      <c r="GS31" s="33">
        <f t="shared" si="130"/>
        <v>1.6272710313199368</v>
      </c>
      <c r="GT31" s="33">
        <f t="shared" si="130"/>
        <v>1.6272710313199368</v>
      </c>
      <c r="GU31" s="33">
        <f t="shared" si="130"/>
        <v>1.6272710313199368</v>
      </c>
      <c r="GV31" s="33">
        <f t="shared" si="130"/>
        <v>1.6272710313199368</v>
      </c>
      <c r="GW31" s="33">
        <f t="shared" si="130"/>
        <v>1.6272710313199368</v>
      </c>
      <c r="GX31" s="33">
        <f t="shared" si="130"/>
        <v>1.6272710313199368</v>
      </c>
      <c r="GY31" s="33">
        <f t="shared" si="130"/>
        <v>1.6272710313199368</v>
      </c>
      <c r="GZ31" s="33">
        <f t="shared" si="130"/>
        <v>1.6272710313199368</v>
      </c>
      <c r="HA31" s="33">
        <f t="shared" si="130"/>
        <v>1.7086345828859337</v>
      </c>
      <c r="HB31" s="33">
        <f t="shared" si="130"/>
        <v>1.7086345828859337</v>
      </c>
      <c r="HC31" s="33">
        <f t="shared" si="130"/>
        <v>1.7086345828859337</v>
      </c>
      <c r="HD31" s="33">
        <f t="shared" si="130"/>
        <v>1.7086345828859337</v>
      </c>
      <c r="HE31" s="33">
        <f t="shared" si="130"/>
        <v>1.7086345828859337</v>
      </c>
      <c r="HF31" s="33">
        <f t="shared" si="130"/>
        <v>1.7086345828859337</v>
      </c>
      <c r="HG31" s="33">
        <f t="shared" si="130"/>
        <v>1.7086345828859337</v>
      </c>
      <c r="HH31" s="33">
        <f t="shared" si="130"/>
        <v>1.7086345828859337</v>
      </c>
      <c r="HI31" s="33">
        <f t="shared" si="130"/>
        <v>1.7086345828859337</v>
      </c>
      <c r="HJ31" s="33">
        <f t="shared" si="130"/>
        <v>1.7086345828859337</v>
      </c>
      <c r="HK31" s="33">
        <f t="shared" si="130"/>
        <v>1.7086345828859337</v>
      </c>
      <c r="HL31" s="33">
        <f t="shared" si="130"/>
        <v>1.7086345828859337</v>
      </c>
      <c r="HM31" s="33">
        <f t="shared" si="130"/>
        <v>1.7940663120302305</v>
      </c>
      <c r="HN31" s="33">
        <f t="shared" si="130"/>
        <v>1.7940663120302305</v>
      </c>
      <c r="HO31" s="33">
        <f t="shared" si="130"/>
        <v>1.7940663120302305</v>
      </c>
      <c r="HP31" s="33">
        <f t="shared" si="130"/>
        <v>1.7940663120302305</v>
      </c>
      <c r="HQ31" s="33">
        <f t="shared" si="130"/>
        <v>1.7940663120302305</v>
      </c>
      <c r="HR31" s="33">
        <f t="shared" si="130"/>
        <v>1.7940663120302305</v>
      </c>
      <c r="HS31" s="33">
        <f t="shared" si="130"/>
        <v>1.7940663120302305</v>
      </c>
      <c r="HT31" s="33">
        <f t="shared" si="130"/>
        <v>1.7940663120302305</v>
      </c>
      <c r="HU31" s="33">
        <f t="shared" si="130"/>
        <v>1.7940663120302305</v>
      </c>
      <c r="HV31" s="33">
        <f t="shared" si="130"/>
        <v>1.7940663120302305</v>
      </c>
      <c r="HW31" s="33">
        <f t="shared" si="130"/>
        <v>1.7940663120302305</v>
      </c>
      <c r="HX31" s="33">
        <f t="shared" si="130"/>
        <v>1.7940663120302305</v>
      </c>
      <c r="HY31" s="33">
        <f t="shared" si="130"/>
        <v>1.8837696276317422</v>
      </c>
      <c r="HZ31" s="33">
        <f t="shared" si="130"/>
        <v>1.8837696276317422</v>
      </c>
      <c r="IA31" s="33">
        <f t="shared" si="130"/>
        <v>1.8837696276317422</v>
      </c>
      <c r="IB31" s="33">
        <f t="shared" si="130"/>
        <v>1.8837696276317422</v>
      </c>
      <c r="IC31" s="33">
        <f t="shared" si="130"/>
        <v>1.8837696276317422</v>
      </c>
      <c r="ID31" s="33">
        <f t="shared" si="130"/>
        <v>1.8837696276317422</v>
      </c>
      <c r="IE31" s="33">
        <f t="shared" si="130"/>
        <v>1.8837696276317422</v>
      </c>
      <c r="IF31" s="33">
        <f t="shared" si="130"/>
        <v>1.8837696276317422</v>
      </c>
      <c r="IG31" s="33">
        <f t="shared" si="130"/>
        <v>1.8837696276317422</v>
      </c>
      <c r="IH31" s="33">
        <f t="shared" si="130"/>
        <v>1.8837696276317422</v>
      </c>
      <c r="II31" s="33">
        <f t="shared" si="130"/>
        <v>1.8837696276317422</v>
      </c>
      <c r="IJ31" s="33">
        <f t="shared" si="130"/>
        <v>1.8837696276317422</v>
      </c>
      <c r="IK31" s="33">
        <f t="shared" si="130"/>
        <v>1.9779581090133294</v>
      </c>
      <c r="IL31" s="33">
        <f t="shared" si="130"/>
        <v>1.9779581090133294</v>
      </c>
      <c r="IM31" s="33">
        <f t="shared" si="130"/>
        <v>1.9779581090133294</v>
      </c>
      <c r="IN31" s="33">
        <f t="shared" si="130"/>
        <v>1.9779581090133294</v>
      </c>
      <c r="IO31" s="33">
        <f t="shared" si="130"/>
        <v>1.9779581090133294</v>
      </c>
      <c r="IP31" s="33">
        <f t="shared" si="130"/>
        <v>1.9779581090133294</v>
      </c>
      <c r="IQ31" s="33">
        <f t="shared" si="130"/>
        <v>1.9779581090133294</v>
      </c>
      <c r="IR31" s="33">
        <f t="shared" si="130"/>
        <v>1.9779581090133294</v>
      </c>
      <c r="IS31" s="33">
        <f t="shared" si="130"/>
        <v>1.9779581090133294</v>
      </c>
      <c r="IT31" s="33">
        <f t="shared" si="130"/>
        <v>1.9779581090133294</v>
      </c>
      <c r="IU31" s="33">
        <f t="shared" si="130"/>
        <v>1.9779581090133294</v>
      </c>
      <c r="IV31" s="33">
        <f t="shared" si="130"/>
        <v>1.9779581090133294</v>
      </c>
      <c r="IW31" s="33">
        <f t="shared" si="130"/>
        <v>2.0768560144639956</v>
      </c>
      <c r="IX31" s="33">
        <f t="shared" si="130"/>
        <v>2.0768560144639956</v>
      </c>
      <c r="IY31" s="33">
        <f t="shared" si="130"/>
        <v>2.0768560144639956</v>
      </c>
      <c r="IZ31" s="33">
        <f t="shared" si="130"/>
        <v>2.0768560144639956</v>
      </c>
      <c r="JA31" s="33">
        <f t="shared" ref="JA31:KC31" si="131">JA21*JA12/10^7*$D$31</f>
        <v>2.0768560144639956</v>
      </c>
      <c r="JB31" s="33">
        <f t="shared" si="131"/>
        <v>2.0768560144639956</v>
      </c>
      <c r="JC31" s="33">
        <f t="shared" si="131"/>
        <v>2.0768560144639956</v>
      </c>
      <c r="JD31" s="33">
        <f t="shared" si="131"/>
        <v>2.0768560144639956</v>
      </c>
      <c r="JE31" s="33">
        <f t="shared" si="131"/>
        <v>2.0768560144639956</v>
      </c>
      <c r="JF31" s="33">
        <f t="shared" si="131"/>
        <v>2.0768560144639956</v>
      </c>
      <c r="JG31" s="33">
        <f t="shared" si="131"/>
        <v>2.0768560144639956</v>
      </c>
      <c r="JH31" s="33">
        <f t="shared" si="131"/>
        <v>2.0768560144639956</v>
      </c>
      <c r="JI31" s="33">
        <f t="shared" si="131"/>
        <v>2.1806988151871955</v>
      </c>
      <c r="JJ31" s="33">
        <f t="shared" si="131"/>
        <v>2.1806988151871955</v>
      </c>
      <c r="JK31" s="33">
        <f t="shared" si="131"/>
        <v>2.1806988151871955</v>
      </c>
      <c r="JL31" s="33">
        <f t="shared" si="131"/>
        <v>2.1806988151871955</v>
      </c>
      <c r="JM31" s="33">
        <f t="shared" si="131"/>
        <v>2.1806988151871955</v>
      </c>
      <c r="JN31" s="33">
        <f t="shared" si="131"/>
        <v>2.1806988151871955</v>
      </c>
      <c r="JO31" s="33">
        <f t="shared" si="131"/>
        <v>2.1806988151871955</v>
      </c>
      <c r="JP31" s="33">
        <f t="shared" si="131"/>
        <v>2.1806988151871955</v>
      </c>
      <c r="JQ31" s="33">
        <f t="shared" si="131"/>
        <v>2.1806988151871955</v>
      </c>
      <c r="JR31" s="33">
        <f t="shared" si="131"/>
        <v>2.1806988151871955</v>
      </c>
      <c r="JS31" s="33">
        <f t="shared" si="131"/>
        <v>2.1806988151871955</v>
      </c>
      <c r="JT31" s="33">
        <f t="shared" si="131"/>
        <v>2.1806988151871955</v>
      </c>
      <c r="JU31" s="33">
        <f t="shared" si="131"/>
        <v>2.2897337559465556</v>
      </c>
      <c r="JV31" s="33">
        <f t="shared" si="131"/>
        <v>2.2897337559465556</v>
      </c>
      <c r="JW31" s="33">
        <f t="shared" si="131"/>
        <v>2.2897337559465556</v>
      </c>
      <c r="JX31" s="33">
        <f t="shared" si="131"/>
        <v>2.2897337559465556</v>
      </c>
      <c r="JY31" s="33">
        <f t="shared" si="131"/>
        <v>2.2897337559465556</v>
      </c>
      <c r="JZ31" s="33">
        <f t="shared" si="131"/>
        <v>2.2897337559465556</v>
      </c>
      <c r="KA31" s="33">
        <f t="shared" si="131"/>
        <v>0</v>
      </c>
      <c r="KB31" s="33">
        <f t="shared" si="131"/>
        <v>0</v>
      </c>
      <c r="KC31" s="33">
        <f t="shared" si="131"/>
        <v>0</v>
      </c>
      <c r="KD31" s="33">
        <f>SUM(E31:KC31)</f>
        <v>345.80440802157409</v>
      </c>
      <c r="KE31" s="33"/>
      <c r="KF31" s="33">
        <f>KD31+KD40</f>
        <v>363.00799871861864</v>
      </c>
      <c r="KG31" s="33"/>
      <c r="KH31" s="33"/>
      <c r="KI31" s="33"/>
      <c r="KJ31" s="33"/>
      <c r="KK31" s="33"/>
      <c r="KL31" s="33"/>
      <c r="KM31" s="33"/>
      <c r="KN31" s="33"/>
      <c r="KO31" s="33"/>
    </row>
    <row r="32" spans="1:301" x14ac:dyDescent="0.3">
      <c r="A32" s="52">
        <f>SUM(E32:IS32)</f>
        <v>53.596006778913562</v>
      </c>
      <c r="B32" s="1" t="str">
        <f>B22</f>
        <v>Phase 5</v>
      </c>
      <c r="C32" s="54">
        <f>SUM(E32:KC32)</f>
        <v>69.186060657845104</v>
      </c>
      <c r="D32" s="485">
        <v>1</v>
      </c>
      <c r="E32" s="33">
        <f t="shared" ref="E32:BP32" si="132">E22*E13/10^7*$D$31</f>
        <v>0</v>
      </c>
      <c r="F32" s="33">
        <f t="shared" si="132"/>
        <v>0</v>
      </c>
      <c r="G32" s="33">
        <f t="shared" si="132"/>
        <v>0</v>
      </c>
      <c r="H32" s="33">
        <f t="shared" si="132"/>
        <v>0</v>
      </c>
      <c r="I32" s="33">
        <f t="shared" si="132"/>
        <v>0</v>
      </c>
      <c r="J32" s="33">
        <f t="shared" si="132"/>
        <v>0</v>
      </c>
      <c r="K32" s="33">
        <f t="shared" si="132"/>
        <v>0</v>
      </c>
      <c r="L32" s="33">
        <f t="shared" si="132"/>
        <v>0</v>
      </c>
      <c r="M32" s="33">
        <f t="shared" si="132"/>
        <v>0</v>
      </c>
      <c r="N32" s="33">
        <f t="shared" si="132"/>
        <v>0</v>
      </c>
      <c r="O32" s="33">
        <f t="shared" si="132"/>
        <v>0</v>
      </c>
      <c r="P32" s="33">
        <f t="shared" si="132"/>
        <v>0</v>
      </c>
      <c r="Q32" s="33">
        <f t="shared" si="132"/>
        <v>0</v>
      </c>
      <c r="R32" s="33">
        <f t="shared" si="132"/>
        <v>0</v>
      </c>
      <c r="S32" s="33">
        <f t="shared" si="132"/>
        <v>0</v>
      </c>
      <c r="T32" s="33">
        <f t="shared" si="132"/>
        <v>0</v>
      </c>
      <c r="U32" s="33">
        <f t="shared" si="132"/>
        <v>0</v>
      </c>
      <c r="V32" s="33">
        <f t="shared" si="132"/>
        <v>0</v>
      </c>
      <c r="W32" s="33">
        <f t="shared" si="132"/>
        <v>0</v>
      </c>
      <c r="X32" s="33">
        <f t="shared" si="132"/>
        <v>0</v>
      </c>
      <c r="Y32" s="33">
        <f t="shared" si="132"/>
        <v>0</v>
      </c>
      <c r="Z32" s="33">
        <f t="shared" si="132"/>
        <v>0</v>
      </c>
      <c r="AA32" s="33">
        <f t="shared" si="132"/>
        <v>0</v>
      </c>
      <c r="AB32" s="33">
        <f t="shared" si="132"/>
        <v>0</v>
      </c>
      <c r="AC32" s="33">
        <f t="shared" si="132"/>
        <v>0</v>
      </c>
      <c r="AD32" s="33">
        <f t="shared" si="132"/>
        <v>0</v>
      </c>
      <c r="AE32" s="33">
        <f t="shared" si="132"/>
        <v>0</v>
      </c>
      <c r="AF32" s="33">
        <f t="shared" si="132"/>
        <v>0</v>
      </c>
      <c r="AG32" s="33">
        <f t="shared" si="132"/>
        <v>0</v>
      </c>
      <c r="AH32" s="33">
        <f t="shared" si="132"/>
        <v>0</v>
      </c>
      <c r="AI32" s="33">
        <f t="shared" si="132"/>
        <v>0</v>
      </c>
      <c r="AJ32" s="33">
        <f t="shared" si="132"/>
        <v>0</v>
      </c>
      <c r="AK32" s="33">
        <f t="shared" si="132"/>
        <v>0</v>
      </c>
      <c r="AL32" s="33">
        <f t="shared" si="132"/>
        <v>0</v>
      </c>
      <c r="AM32" s="33">
        <f t="shared" si="132"/>
        <v>0</v>
      </c>
      <c r="AN32" s="33">
        <f t="shared" si="132"/>
        <v>0</v>
      </c>
      <c r="AO32" s="33">
        <f t="shared" si="132"/>
        <v>0</v>
      </c>
      <c r="AP32" s="33">
        <f t="shared" si="132"/>
        <v>0</v>
      </c>
      <c r="AQ32" s="33">
        <f t="shared" si="132"/>
        <v>0</v>
      </c>
      <c r="AR32" s="33">
        <f t="shared" si="132"/>
        <v>0</v>
      </c>
      <c r="AS32" s="33">
        <f t="shared" si="132"/>
        <v>0</v>
      </c>
      <c r="AT32" s="33">
        <f t="shared" si="132"/>
        <v>0</v>
      </c>
      <c r="AU32" s="33">
        <f t="shared" si="132"/>
        <v>0</v>
      </c>
      <c r="AV32" s="33">
        <f t="shared" si="132"/>
        <v>0</v>
      </c>
      <c r="AW32" s="33">
        <f t="shared" si="132"/>
        <v>0</v>
      </c>
      <c r="AX32" s="33">
        <f t="shared" si="132"/>
        <v>0</v>
      </c>
      <c r="AY32" s="33">
        <f t="shared" si="132"/>
        <v>0</v>
      </c>
      <c r="AZ32" s="33">
        <f t="shared" si="132"/>
        <v>0</v>
      </c>
      <c r="BA32" s="33">
        <f t="shared" si="132"/>
        <v>0</v>
      </c>
      <c r="BB32" s="33">
        <f t="shared" si="132"/>
        <v>0</v>
      </c>
      <c r="BC32" s="33">
        <f t="shared" si="132"/>
        <v>0</v>
      </c>
      <c r="BD32" s="33">
        <f t="shared" si="132"/>
        <v>0</v>
      </c>
      <c r="BE32" s="33">
        <f t="shared" si="132"/>
        <v>0</v>
      </c>
      <c r="BF32" s="33">
        <f t="shared" si="132"/>
        <v>0</v>
      </c>
      <c r="BG32" s="33">
        <f t="shared" si="132"/>
        <v>0</v>
      </c>
      <c r="BH32" s="33">
        <f t="shared" si="132"/>
        <v>0</v>
      </c>
      <c r="BI32" s="33">
        <f t="shared" si="132"/>
        <v>0</v>
      </c>
      <c r="BJ32" s="33">
        <f t="shared" si="132"/>
        <v>0.18879152287616249</v>
      </c>
      <c r="BK32" s="33">
        <f t="shared" si="132"/>
        <v>0.18879152287616249</v>
      </c>
      <c r="BL32" s="33">
        <f t="shared" si="132"/>
        <v>0.18879152287616249</v>
      </c>
      <c r="BM32" s="33">
        <f t="shared" si="132"/>
        <v>0.18879152287616249</v>
      </c>
      <c r="BN32" s="33">
        <f t="shared" si="132"/>
        <v>0.18879152287616249</v>
      </c>
      <c r="BO32" s="33">
        <f t="shared" si="132"/>
        <v>0.18879152287616249</v>
      </c>
      <c r="BP32" s="33">
        <f t="shared" si="132"/>
        <v>0.18879152287616249</v>
      </c>
      <c r="BQ32" s="33">
        <f t="shared" ref="BQ32:EB32" si="133">BQ22*BQ13/10^7*$D$31</f>
        <v>0.18879152287616249</v>
      </c>
      <c r="BR32" s="33">
        <f t="shared" si="133"/>
        <v>0.18879152287616249</v>
      </c>
      <c r="BS32" s="33">
        <f t="shared" si="133"/>
        <v>0.18879152287616249</v>
      </c>
      <c r="BT32" s="33">
        <f t="shared" si="133"/>
        <v>0.18879152287616249</v>
      </c>
      <c r="BU32" s="33">
        <f t="shared" si="133"/>
        <v>0.18879152287616249</v>
      </c>
      <c r="BV32" s="33">
        <f t="shared" si="133"/>
        <v>0.19823109901997066</v>
      </c>
      <c r="BW32" s="33">
        <f t="shared" si="133"/>
        <v>0.19823109901997066</v>
      </c>
      <c r="BX32" s="33">
        <f t="shared" si="133"/>
        <v>0.19823109901997066</v>
      </c>
      <c r="BY32" s="33">
        <f t="shared" si="133"/>
        <v>0.19823109901997066</v>
      </c>
      <c r="BZ32" s="33">
        <f t="shared" si="133"/>
        <v>0.19823109901997066</v>
      </c>
      <c r="CA32" s="33">
        <f t="shared" si="133"/>
        <v>0.19823109901997066</v>
      </c>
      <c r="CB32" s="33">
        <f t="shared" si="133"/>
        <v>0.19823109901997066</v>
      </c>
      <c r="CC32" s="33">
        <f t="shared" si="133"/>
        <v>0.19823109901997066</v>
      </c>
      <c r="CD32" s="33">
        <f t="shared" si="133"/>
        <v>0.19823109901997066</v>
      </c>
      <c r="CE32" s="33">
        <f t="shared" si="133"/>
        <v>0.19823109901997066</v>
      </c>
      <c r="CF32" s="33">
        <f t="shared" si="133"/>
        <v>0.19823109901997066</v>
      </c>
      <c r="CG32" s="33">
        <f t="shared" si="133"/>
        <v>0.19823109901997066</v>
      </c>
      <c r="CH32" s="33">
        <f t="shared" si="133"/>
        <v>0.2081426539709692</v>
      </c>
      <c r="CI32" s="33">
        <f t="shared" si="133"/>
        <v>0.2081426539709692</v>
      </c>
      <c r="CJ32" s="33">
        <f t="shared" si="133"/>
        <v>0.2081426539709692</v>
      </c>
      <c r="CK32" s="33">
        <f t="shared" si="133"/>
        <v>0.2081426539709692</v>
      </c>
      <c r="CL32" s="33">
        <f t="shared" si="133"/>
        <v>0.2081426539709692</v>
      </c>
      <c r="CM32" s="33">
        <f t="shared" si="133"/>
        <v>0.2081426539709692</v>
      </c>
      <c r="CN32" s="33">
        <f t="shared" si="133"/>
        <v>0.2081426539709692</v>
      </c>
      <c r="CO32" s="33">
        <f t="shared" si="133"/>
        <v>0.2081426539709692</v>
      </c>
      <c r="CP32" s="33">
        <f t="shared" si="133"/>
        <v>0.2081426539709692</v>
      </c>
      <c r="CQ32" s="33">
        <f t="shared" si="133"/>
        <v>0.2081426539709692</v>
      </c>
      <c r="CR32" s="33">
        <f t="shared" si="133"/>
        <v>0.2081426539709692</v>
      </c>
      <c r="CS32" s="33">
        <f t="shared" si="133"/>
        <v>0.2081426539709692</v>
      </c>
      <c r="CT32" s="33">
        <f t="shared" si="133"/>
        <v>0.21854978666951769</v>
      </c>
      <c r="CU32" s="33">
        <f t="shared" si="133"/>
        <v>0.21854978666951769</v>
      </c>
      <c r="CV32" s="33">
        <f t="shared" si="133"/>
        <v>0.21854978666951769</v>
      </c>
      <c r="CW32" s="33">
        <f t="shared" si="133"/>
        <v>0.21854978666951769</v>
      </c>
      <c r="CX32" s="33">
        <f t="shared" si="133"/>
        <v>0.21854978666951769</v>
      </c>
      <c r="CY32" s="33">
        <f t="shared" si="133"/>
        <v>0.21854978666951769</v>
      </c>
      <c r="CZ32" s="33">
        <f t="shared" si="133"/>
        <v>0.21854978666951769</v>
      </c>
      <c r="DA32" s="33">
        <f t="shared" si="133"/>
        <v>0.21854978666951769</v>
      </c>
      <c r="DB32" s="33">
        <f t="shared" si="133"/>
        <v>0.21854978666951769</v>
      </c>
      <c r="DC32" s="33">
        <f t="shared" si="133"/>
        <v>0.21854978666951769</v>
      </c>
      <c r="DD32" s="33">
        <f t="shared" si="133"/>
        <v>0.21854978666951769</v>
      </c>
      <c r="DE32" s="33">
        <f t="shared" si="133"/>
        <v>0.21854978666951769</v>
      </c>
      <c r="DF32" s="33">
        <f t="shared" si="133"/>
        <v>0.22947727600299353</v>
      </c>
      <c r="DG32" s="33">
        <f t="shared" si="133"/>
        <v>0.22947727600299353</v>
      </c>
      <c r="DH32" s="33">
        <f t="shared" si="133"/>
        <v>0.22947727600299353</v>
      </c>
      <c r="DI32" s="33">
        <f t="shared" si="133"/>
        <v>0.22947727600299353</v>
      </c>
      <c r="DJ32" s="33">
        <f t="shared" si="133"/>
        <v>0.22947727600299353</v>
      </c>
      <c r="DK32" s="33">
        <f t="shared" si="133"/>
        <v>0.22947727600299353</v>
      </c>
      <c r="DL32" s="33">
        <f t="shared" si="133"/>
        <v>0.22947727600299353</v>
      </c>
      <c r="DM32" s="33">
        <f t="shared" si="133"/>
        <v>0.22947727600299353</v>
      </c>
      <c r="DN32" s="33">
        <f t="shared" si="133"/>
        <v>0.22947727600299353</v>
      </c>
      <c r="DO32" s="33">
        <f t="shared" si="133"/>
        <v>0.22947727600299353</v>
      </c>
      <c r="DP32" s="33">
        <f t="shared" si="133"/>
        <v>0.22947727600299353</v>
      </c>
      <c r="DQ32" s="33">
        <f t="shared" si="133"/>
        <v>0.22947727600299353</v>
      </c>
      <c r="DR32" s="33">
        <f t="shared" si="133"/>
        <v>0.24095113980314323</v>
      </c>
      <c r="DS32" s="33">
        <f t="shared" si="133"/>
        <v>0.24095113980314323</v>
      </c>
      <c r="DT32" s="33">
        <f t="shared" si="133"/>
        <v>0.24095113980314323</v>
      </c>
      <c r="DU32" s="33">
        <f t="shared" si="133"/>
        <v>0.24095113980314323</v>
      </c>
      <c r="DV32" s="33">
        <f t="shared" si="133"/>
        <v>0.24095113980314323</v>
      </c>
      <c r="DW32" s="33">
        <f t="shared" si="133"/>
        <v>0.24095113980314323</v>
      </c>
      <c r="DX32" s="33">
        <f t="shared" si="133"/>
        <v>0.24095113980314323</v>
      </c>
      <c r="DY32" s="33">
        <f t="shared" si="133"/>
        <v>0.24095113980314323</v>
      </c>
      <c r="DZ32" s="33">
        <f t="shared" si="133"/>
        <v>0.24095113980314323</v>
      </c>
      <c r="EA32" s="33">
        <f t="shared" si="133"/>
        <v>0.24095113980314323</v>
      </c>
      <c r="EB32" s="33">
        <f t="shared" si="133"/>
        <v>0.24095113980314323</v>
      </c>
      <c r="EC32" s="33">
        <f t="shared" ref="EC32:GN32" si="134">EC22*EC13/10^7*$D$31</f>
        <v>0.24095113980314323</v>
      </c>
      <c r="ED32" s="33">
        <f t="shared" si="134"/>
        <v>0.25299869679330045</v>
      </c>
      <c r="EE32" s="33">
        <f t="shared" si="134"/>
        <v>0.25299869679330045</v>
      </c>
      <c r="EF32" s="33">
        <f t="shared" si="134"/>
        <v>0.25299869679330045</v>
      </c>
      <c r="EG32" s="33">
        <f t="shared" si="134"/>
        <v>0.25299869679330045</v>
      </c>
      <c r="EH32" s="33">
        <f t="shared" si="134"/>
        <v>0.25299869679330045</v>
      </c>
      <c r="EI32" s="33">
        <f t="shared" si="134"/>
        <v>0.25299869679330045</v>
      </c>
      <c r="EJ32" s="33">
        <f t="shared" si="134"/>
        <v>0.25299869679330045</v>
      </c>
      <c r="EK32" s="33">
        <f t="shared" si="134"/>
        <v>0.25299869679330045</v>
      </c>
      <c r="EL32" s="33">
        <f t="shared" si="134"/>
        <v>0.25299869679330045</v>
      </c>
      <c r="EM32" s="33">
        <f t="shared" si="134"/>
        <v>0.25299869679330045</v>
      </c>
      <c r="EN32" s="33">
        <f t="shared" si="134"/>
        <v>0.25299869679330045</v>
      </c>
      <c r="EO32" s="33">
        <f t="shared" si="134"/>
        <v>0.25299869679330045</v>
      </c>
      <c r="EP32" s="33">
        <f t="shared" si="134"/>
        <v>0.26564863163296543</v>
      </c>
      <c r="EQ32" s="33">
        <f t="shared" si="134"/>
        <v>0.26564863163296543</v>
      </c>
      <c r="ER32" s="33">
        <f t="shared" si="134"/>
        <v>0.26564863163296543</v>
      </c>
      <c r="ES32" s="33">
        <f t="shared" si="134"/>
        <v>0.26564863163296543</v>
      </c>
      <c r="ET32" s="33">
        <f t="shared" si="134"/>
        <v>0.26564863163296543</v>
      </c>
      <c r="EU32" s="33">
        <f t="shared" si="134"/>
        <v>0.26564863163296543</v>
      </c>
      <c r="EV32" s="33">
        <f t="shared" si="134"/>
        <v>0.26564863163296543</v>
      </c>
      <c r="EW32" s="33">
        <f t="shared" si="134"/>
        <v>0.26564863163296543</v>
      </c>
      <c r="EX32" s="33">
        <f t="shared" si="134"/>
        <v>0.26564863163296543</v>
      </c>
      <c r="EY32" s="33">
        <f t="shared" si="134"/>
        <v>0.26564863163296543</v>
      </c>
      <c r="EZ32" s="33">
        <f t="shared" si="134"/>
        <v>0.26564863163296543</v>
      </c>
      <c r="FA32" s="33">
        <f t="shared" si="134"/>
        <v>0.26564863163296543</v>
      </c>
      <c r="FB32" s="33">
        <f t="shared" si="134"/>
        <v>0.27893106321461375</v>
      </c>
      <c r="FC32" s="33">
        <f t="shared" si="134"/>
        <v>0.27893106321461375</v>
      </c>
      <c r="FD32" s="33">
        <f t="shared" si="134"/>
        <v>0.27893106321461375</v>
      </c>
      <c r="FE32" s="33">
        <f t="shared" si="134"/>
        <v>0.27893106321461375</v>
      </c>
      <c r="FF32" s="33">
        <f t="shared" si="134"/>
        <v>0.27893106321461375</v>
      </c>
      <c r="FG32" s="33">
        <f t="shared" si="134"/>
        <v>0.27893106321461375</v>
      </c>
      <c r="FH32" s="33">
        <f t="shared" si="134"/>
        <v>0.27893106321461375</v>
      </c>
      <c r="FI32" s="33">
        <f t="shared" si="134"/>
        <v>0.27893106321461375</v>
      </c>
      <c r="FJ32" s="33">
        <f t="shared" si="134"/>
        <v>0.27893106321461375</v>
      </c>
      <c r="FK32" s="33">
        <f t="shared" si="134"/>
        <v>0.27893106321461375</v>
      </c>
      <c r="FL32" s="33">
        <f t="shared" si="134"/>
        <v>0.27893106321461375</v>
      </c>
      <c r="FM32" s="33">
        <f t="shared" si="134"/>
        <v>0.27893106321461375</v>
      </c>
      <c r="FN32" s="33">
        <f t="shared" si="134"/>
        <v>0.29287761637534443</v>
      </c>
      <c r="FO32" s="33">
        <f t="shared" si="134"/>
        <v>0.29287761637534443</v>
      </c>
      <c r="FP32" s="33">
        <f t="shared" si="134"/>
        <v>0.29287761637534443</v>
      </c>
      <c r="FQ32" s="33">
        <f t="shared" si="134"/>
        <v>0.29287761637534443</v>
      </c>
      <c r="FR32" s="33">
        <f t="shared" si="134"/>
        <v>0.29287761637534443</v>
      </c>
      <c r="FS32" s="33">
        <f t="shared" si="134"/>
        <v>0.29287761637534443</v>
      </c>
      <c r="FT32" s="33">
        <f t="shared" si="134"/>
        <v>0.29287761637534443</v>
      </c>
      <c r="FU32" s="33">
        <f t="shared" si="134"/>
        <v>0.29287761637534443</v>
      </c>
      <c r="FV32" s="33">
        <f t="shared" si="134"/>
        <v>0.29287761637534443</v>
      </c>
      <c r="FW32" s="33">
        <f t="shared" si="134"/>
        <v>0.29287761637534443</v>
      </c>
      <c r="FX32" s="33">
        <f t="shared" si="134"/>
        <v>0.29287761637534443</v>
      </c>
      <c r="FY32" s="33">
        <f t="shared" si="134"/>
        <v>0.29287761637534443</v>
      </c>
      <c r="FZ32" s="33">
        <f t="shared" si="134"/>
        <v>0.30752149719411165</v>
      </c>
      <c r="GA32" s="33">
        <f t="shared" si="134"/>
        <v>0.30752149719411165</v>
      </c>
      <c r="GB32" s="33">
        <f t="shared" si="134"/>
        <v>0.30752149719411165</v>
      </c>
      <c r="GC32" s="33">
        <f t="shared" si="134"/>
        <v>0.30752149719411165</v>
      </c>
      <c r="GD32" s="33">
        <f t="shared" si="134"/>
        <v>0.30752149719411165</v>
      </c>
      <c r="GE32" s="33">
        <f t="shared" si="134"/>
        <v>0.30752149719411165</v>
      </c>
      <c r="GF32" s="33">
        <f t="shared" si="134"/>
        <v>0.30752149719411165</v>
      </c>
      <c r="GG32" s="33">
        <f t="shared" si="134"/>
        <v>0.30752149719411165</v>
      </c>
      <c r="GH32" s="33">
        <f t="shared" si="134"/>
        <v>0.30752149719411165</v>
      </c>
      <c r="GI32" s="33">
        <f t="shared" si="134"/>
        <v>0.30752149719411165</v>
      </c>
      <c r="GJ32" s="33">
        <f t="shared" si="134"/>
        <v>0.30752149719411165</v>
      </c>
      <c r="GK32" s="33">
        <f t="shared" si="134"/>
        <v>0.30752149719411165</v>
      </c>
      <c r="GL32" s="33">
        <f t="shared" si="134"/>
        <v>0.32289757205381736</v>
      </c>
      <c r="GM32" s="33">
        <f t="shared" si="134"/>
        <v>0.32289757205381736</v>
      </c>
      <c r="GN32" s="33">
        <f t="shared" si="134"/>
        <v>0.32289757205381736</v>
      </c>
      <c r="GO32" s="33">
        <f t="shared" ref="GO32:IZ32" si="135">GO22*GO13/10^7*$D$31</f>
        <v>0.32289757205381736</v>
      </c>
      <c r="GP32" s="33">
        <f t="shared" si="135"/>
        <v>0.32289757205381736</v>
      </c>
      <c r="GQ32" s="33">
        <f t="shared" si="135"/>
        <v>0.32289757205381736</v>
      </c>
      <c r="GR32" s="33">
        <f t="shared" si="135"/>
        <v>0.32289757205381736</v>
      </c>
      <c r="GS32" s="33">
        <f t="shared" si="135"/>
        <v>0.32289757205381736</v>
      </c>
      <c r="GT32" s="33">
        <f t="shared" si="135"/>
        <v>0.32289757205381736</v>
      </c>
      <c r="GU32" s="33">
        <f t="shared" si="135"/>
        <v>0.32289757205381736</v>
      </c>
      <c r="GV32" s="33">
        <f t="shared" si="135"/>
        <v>0.32289757205381736</v>
      </c>
      <c r="GW32" s="33">
        <f t="shared" si="135"/>
        <v>0.32289757205381736</v>
      </c>
      <c r="GX32" s="33">
        <f t="shared" si="135"/>
        <v>0.33904245065650818</v>
      </c>
      <c r="GY32" s="33">
        <f t="shared" si="135"/>
        <v>0.33904245065650818</v>
      </c>
      <c r="GZ32" s="33">
        <f t="shared" si="135"/>
        <v>0.33904245065650818</v>
      </c>
      <c r="HA32" s="33">
        <f t="shared" si="135"/>
        <v>0.33904245065650818</v>
      </c>
      <c r="HB32" s="33">
        <f t="shared" si="135"/>
        <v>0.33904245065650818</v>
      </c>
      <c r="HC32" s="33">
        <f t="shared" si="135"/>
        <v>0.33904245065650818</v>
      </c>
      <c r="HD32" s="33">
        <f t="shared" si="135"/>
        <v>0.33904245065650818</v>
      </c>
      <c r="HE32" s="33">
        <f t="shared" si="135"/>
        <v>0.33904245065650818</v>
      </c>
      <c r="HF32" s="33">
        <f t="shared" si="135"/>
        <v>0.33904245065650818</v>
      </c>
      <c r="HG32" s="33">
        <f t="shared" si="135"/>
        <v>0.33904245065650818</v>
      </c>
      <c r="HH32" s="33">
        <f t="shared" si="135"/>
        <v>0.33904245065650818</v>
      </c>
      <c r="HI32" s="33">
        <f t="shared" si="135"/>
        <v>0.33904245065650818</v>
      </c>
      <c r="HJ32" s="33">
        <f t="shared" si="135"/>
        <v>0.35599457318933359</v>
      </c>
      <c r="HK32" s="33">
        <f t="shared" si="135"/>
        <v>0.35599457318933359</v>
      </c>
      <c r="HL32" s="33">
        <f t="shared" si="135"/>
        <v>0.35599457318933359</v>
      </c>
      <c r="HM32" s="33">
        <f t="shared" si="135"/>
        <v>0.35599457318933359</v>
      </c>
      <c r="HN32" s="33">
        <f t="shared" si="135"/>
        <v>0.35599457318933359</v>
      </c>
      <c r="HO32" s="33">
        <f t="shared" si="135"/>
        <v>0.35599457318933359</v>
      </c>
      <c r="HP32" s="33">
        <f t="shared" si="135"/>
        <v>0.35599457318933359</v>
      </c>
      <c r="HQ32" s="33">
        <f t="shared" si="135"/>
        <v>0.35599457318933359</v>
      </c>
      <c r="HR32" s="33">
        <f t="shared" si="135"/>
        <v>0.35599457318933359</v>
      </c>
      <c r="HS32" s="33">
        <f t="shared" si="135"/>
        <v>0.35599457318933359</v>
      </c>
      <c r="HT32" s="33">
        <f t="shared" si="135"/>
        <v>0.35599457318933359</v>
      </c>
      <c r="HU32" s="33">
        <f t="shared" si="135"/>
        <v>0.35599457318933359</v>
      </c>
      <c r="HV32" s="33">
        <f t="shared" si="135"/>
        <v>0.3737943018488003</v>
      </c>
      <c r="HW32" s="33">
        <f t="shared" si="135"/>
        <v>0.3737943018488003</v>
      </c>
      <c r="HX32" s="33">
        <f t="shared" si="135"/>
        <v>0.3737943018488003</v>
      </c>
      <c r="HY32" s="33">
        <f t="shared" si="135"/>
        <v>0.3737943018488003</v>
      </c>
      <c r="HZ32" s="33">
        <f t="shared" si="135"/>
        <v>0.3737943018488003</v>
      </c>
      <c r="IA32" s="33">
        <f t="shared" si="135"/>
        <v>0.3737943018488003</v>
      </c>
      <c r="IB32" s="33">
        <f t="shared" si="135"/>
        <v>0.3737943018488003</v>
      </c>
      <c r="IC32" s="33">
        <f t="shared" si="135"/>
        <v>0.3737943018488003</v>
      </c>
      <c r="ID32" s="33">
        <f t="shared" si="135"/>
        <v>0.3737943018488003</v>
      </c>
      <c r="IE32" s="33">
        <f t="shared" si="135"/>
        <v>0.3737943018488003</v>
      </c>
      <c r="IF32" s="33">
        <f t="shared" si="135"/>
        <v>0.3737943018488003</v>
      </c>
      <c r="IG32" s="33">
        <f t="shared" si="135"/>
        <v>0.3737943018488003</v>
      </c>
      <c r="IH32" s="33">
        <f t="shared" si="135"/>
        <v>0.39248401694124035</v>
      </c>
      <c r="II32" s="33">
        <f t="shared" si="135"/>
        <v>0.39248401694124035</v>
      </c>
      <c r="IJ32" s="33">
        <f t="shared" si="135"/>
        <v>0.39248401694124035</v>
      </c>
      <c r="IK32" s="33">
        <f t="shared" si="135"/>
        <v>0.39248401694124035</v>
      </c>
      <c r="IL32" s="33">
        <f t="shared" si="135"/>
        <v>0.39248401694124035</v>
      </c>
      <c r="IM32" s="33">
        <f t="shared" si="135"/>
        <v>0.39248401694124035</v>
      </c>
      <c r="IN32" s="33">
        <f t="shared" si="135"/>
        <v>0.39248401694124035</v>
      </c>
      <c r="IO32" s="33">
        <f t="shared" si="135"/>
        <v>0.39248401694124035</v>
      </c>
      <c r="IP32" s="33">
        <f t="shared" si="135"/>
        <v>0.39248401694124035</v>
      </c>
      <c r="IQ32" s="33">
        <f t="shared" si="135"/>
        <v>0.39248401694124035</v>
      </c>
      <c r="IR32" s="33">
        <f t="shared" si="135"/>
        <v>0.39248401694124035</v>
      </c>
      <c r="IS32" s="33">
        <f t="shared" si="135"/>
        <v>0.39248401694124035</v>
      </c>
      <c r="IT32" s="33">
        <f t="shared" si="135"/>
        <v>0.41210821778830237</v>
      </c>
      <c r="IU32" s="33">
        <f t="shared" si="135"/>
        <v>0.41210821778830237</v>
      </c>
      <c r="IV32" s="33">
        <f t="shared" si="135"/>
        <v>0.41210821778830237</v>
      </c>
      <c r="IW32" s="33">
        <f t="shared" si="135"/>
        <v>0.41210821778830237</v>
      </c>
      <c r="IX32" s="33">
        <f t="shared" si="135"/>
        <v>0.41210821778830237</v>
      </c>
      <c r="IY32" s="33">
        <f t="shared" si="135"/>
        <v>0.41210821778830237</v>
      </c>
      <c r="IZ32" s="33">
        <f t="shared" si="135"/>
        <v>0.41210821778830237</v>
      </c>
      <c r="JA32" s="33">
        <f t="shared" ref="JA32:KC32" si="136">JA22*JA13/10^7*$D$31</f>
        <v>0.41210821778830237</v>
      </c>
      <c r="JB32" s="33">
        <f t="shared" si="136"/>
        <v>0.41210821778830237</v>
      </c>
      <c r="JC32" s="33">
        <f t="shared" si="136"/>
        <v>0.41210821778830237</v>
      </c>
      <c r="JD32" s="33">
        <f t="shared" si="136"/>
        <v>0.41210821778830237</v>
      </c>
      <c r="JE32" s="33">
        <f t="shared" si="136"/>
        <v>0.41210821778830237</v>
      </c>
      <c r="JF32" s="33">
        <f t="shared" si="136"/>
        <v>0.43271362867771751</v>
      </c>
      <c r="JG32" s="33">
        <f t="shared" si="136"/>
        <v>0.43271362867771751</v>
      </c>
      <c r="JH32" s="33">
        <f t="shared" si="136"/>
        <v>0.43271362867771751</v>
      </c>
      <c r="JI32" s="33">
        <f t="shared" si="136"/>
        <v>0.43271362867771751</v>
      </c>
      <c r="JJ32" s="33">
        <f t="shared" si="136"/>
        <v>0.43271362867771751</v>
      </c>
      <c r="JK32" s="33">
        <f t="shared" si="136"/>
        <v>0.43271362867771751</v>
      </c>
      <c r="JL32" s="33">
        <f t="shared" si="136"/>
        <v>0.43271362867771751</v>
      </c>
      <c r="JM32" s="33">
        <f t="shared" si="136"/>
        <v>0.43271362867771751</v>
      </c>
      <c r="JN32" s="33">
        <f t="shared" si="136"/>
        <v>0.43271362867771751</v>
      </c>
      <c r="JO32" s="33">
        <f t="shared" si="136"/>
        <v>0.43271362867771751</v>
      </c>
      <c r="JP32" s="33">
        <f t="shared" si="136"/>
        <v>0.43271362867771751</v>
      </c>
      <c r="JQ32" s="33">
        <f t="shared" si="136"/>
        <v>0.43271362867771751</v>
      </c>
      <c r="JR32" s="33">
        <f t="shared" si="136"/>
        <v>0.4543493101116034</v>
      </c>
      <c r="JS32" s="33">
        <f t="shared" si="136"/>
        <v>0.4543493101116034</v>
      </c>
      <c r="JT32" s="33">
        <f t="shared" si="136"/>
        <v>0.4543493101116034</v>
      </c>
      <c r="JU32" s="33">
        <f t="shared" si="136"/>
        <v>0.4543493101116034</v>
      </c>
      <c r="JV32" s="33">
        <f t="shared" si="136"/>
        <v>0.4543493101116034</v>
      </c>
      <c r="JW32" s="33">
        <f t="shared" si="136"/>
        <v>0.4543493101116034</v>
      </c>
      <c r="JX32" s="33">
        <f t="shared" si="136"/>
        <v>0.4543493101116034</v>
      </c>
      <c r="JY32" s="33">
        <f t="shared" si="136"/>
        <v>0.4543493101116034</v>
      </c>
      <c r="JZ32" s="33">
        <f t="shared" si="136"/>
        <v>0.4543493101116034</v>
      </c>
      <c r="KA32" s="33">
        <f t="shared" si="136"/>
        <v>0.4543493101116034</v>
      </c>
      <c r="KB32" s="33">
        <f t="shared" si="136"/>
        <v>0.4543493101116034</v>
      </c>
      <c r="KC32" s="33">
        <f t="shared" si="136"/>
        <v>0.4543493101116034</v>
      </c>
      <c r="KD32" s="33">
        <f>SUM(E32:KC32)</f>
        <v>69.186060657845104</v>
      </c>
      <c r="KE32" s="33"/>
      <c r="KF32" s="33">
        <f>KD32+KD41</f>
        <v>72.560990446032662</v>
      </c>
      <c r="KG32" s="33"/>
      <c r="KH32" s="33"/>
      <c r="KI32" s="33"/>
      <c r="KJ32" s="33"/>
      <c r="KK32" s="33"/>
      <c r="KL32" s="33"/>
      <c r="KM32" s="33"/>
      <c r="KN32" s="33"/>
      <c r="KO32" s="33"/>
    </row>
    <row r="33" spans="1:301" s="428" customFormat="1" x14ac:dyDescent="0.3">
      <c r="A33" s="429"/>
      <c r="C33" s="190">
        <f>SUM(D33:KC33)</f>
        <v>1162.506330030451</v>
      </c>
      <c r="D33" s="486"/>
      <c r="E33" s="190">
        <f t="shared" ref="E33:BP33" si="137">SUM(E25:E32)</f>
        <v>0</v>
      </c>
      <c r="F33" s="190">
        <f t="shared" si="137"/>
        <v>0</v>
      </c>
      <c r="G33" s="190">
        <f t="shared" si="137"/>
        <v>0</v>
      </c>
      <c r="H33" s="190">
        <f t="shared" si="137"/>
        <v>0</v>
      </c>
      <c r="I33" s="190">
        <f t="shared" si="137"/>
        <v>0</v>
      </c>
      <c r="J33" s="190">
        <f t="shared" si="137"/>
        <v>0</v>
      </c>
      <c r="K33" s="190">
        <f t="shared" si="137"/>
        <v>0</v>
      </c>
      <c r="L33" s="190">
        <f t="shared" si="137"/>
        <v>0</v>
      </c>
      <c r="M33" s="190">
        <f t="shared" si="137"/>
        <v>0</v>
      </c>
      <c r="N33" s="190">
        <f t="shared" si="137"/>
        <v>0</v>
      </c>
      <c r="O33" s="190">
        <f t="shared" si="137"/>
        <v>0</v>
      </c>
      <c r="P33" s="190">
        <f t="shared" si="137"/>
        <v>0</v>
      </c>
      <c r="Q33" s="190">
        <f t="shared" si="137"/>
        <v>0</v>
      </c>
      <c r="R33" s="190">
        <f t="shared" si="137"/>
        <v>0</v>
      </c>
      <c r="S33" s="190">
        <f t="shared" si="137"/>
        <v>0</v>
      </c>
      <c r="T33" s="190">
        <f t="shared" si="137"/>
        <v>0</v>
      </c>
      <c r="U33" s="190">
        <f t="shared" si="137"/>
        <v>0</v>
      </c>
      <c r="V33" s="190">
        <f t="shared" si="137"/>
        <v>0</v>
      </c>
      <c r="W33" s="190">
        <f t="shared" si="137"/>
        <v>0.52311865379497491</v>
      </c>
      <c r="X33" s="190">
        <f t="shared" si="137"/>
        <v>0.52311865379497491</v>
      </c>
      <c r="Y33" s="190">
        <f t="shared" si="137"/>
        <v>0.52311865379497491</v>
      </c>
      <c r="Z33" s="190">
        <f t="shared" si="137"/>
        <v>0.52311865379497491</v>
      </c>
      <c r="AA33" s="190">
        <f t="shared" si="137"/>
        <v>0.52311865379497491</v>
      </c>
      <c r="AB33" s="190">
        <f t="shared" si="137"/>
        <v>0.52311865379497491</v>
      </c>
      <c r="AC33" s="190">
        <f t="shared" si="137"/>
        <v>0.52311865379497491</v>
      </c>
      <c r="AD33" s="190">
        <f t="shared" si="137"/>
        <v>0.52311865379497491</v>
      </c>
      <c r="AE33" s="190">
        <f t="shared" si="137"/>
        <v>0.52311865379497491</v>
      </c>
      <c r="AF33" s="190">
        <f t="shared" si="137"/>
        <v>0.52311865379497491</v>
      </c>
      <c r="AG33" s="190">
        <f t="shared" si="137"/>
        <v>0.52311865379497491</v>
      </c>
      <c r="AH33" s="190">
        <f t="shared" si="137"/>
        <v>0.52311865379497491</v>
      </c>
      <c r="AI33" s="190">
        <f t="shared" si="137"/>
        <v>1.5625278543756262</v>
      </c>
      <c r="AJ33" s="190">
        <f t="shared" si="137"/>
        <v>1.5625278543756262</v>
      </c>
      <c r="AK33" s="190">
        <f t="shared" si="137"/>
        <v>1.5625278543756262</v>
      </c>
      <c r="AL33" s="190">
        <f t="shared" si="137"/>
        <v>1.5625278543756262</v>
      </c>
      <c r="AM33" s="190">
        <f t="shared" si="137"/>
        <v>1.5625278543756262</v>
      </c>
      <c r="AN33" s="190">
        <f t="shared" si="137"/>
        <v>1.5625278543756262</v>
      </c>
      <c r="AO33" s="190">
        <f t="shared" si="137"/>
        <v>1.5625278543756262</v>
      </c>
      <c r="AP33" s="190">
        <f t="shared" si="137"/>
        <v>1.5625278543756262</v>
      </c>
      <c r="AQ33" s="190">
        <f t="shared" si="137"/>
        <v>1.5625278543756262</v>
      </c>
      <c r="AR33" s="190">
        <f t="shared" si="137"/>
        <v>1.9849022441245463</v>
      </c>
      <c r="AS33" s="190">
        <f t="shared" si="137"/>
        <v>1.9849022441245463</v>
      </c>
      <c r="AT33" s="190">
        <f t="shared" si="137"/>
        <v>1.9849022441245463</v>
      </c>
      <c r="AU33" s="190">
        <f t="shared" si="137"/>
        <v>2.0630286368433275</v>
      </c>
      <c r="AV33" s="190">
        <f t="shared" si="137"/>
        <v>2.0630286368433275</v>
      </c>
      <c r="AW33" s="190">
        <f t="shared" si="137"/>
        <v>2.0630286368433275</v>
      </c>
      <c r="AX33" s="190">
        <f t="shared" si="137"/>
        <v>2.0630286368433275</v>
      </c>
      <c r="AY33" s="190">
        <f t="shared" si="137"/>
        <v>2.0630286368433275</v>
      </c>
      <c r="AZ33" s="190">
        <f t="shared" si="137"/>
        <v>2.0630286368433275</v>
      </c>
      <c r="BA33" s="190">
        <f t="shared" si="137"/>
        <v>2.9691540365986553</v>
      </c>
      <c r="BB33" s="190">
        <f t="shared" si="137"/>
        <v>2.9691540365986553</v>
      </c>
      <c r="BC33" s="190">
        <f t="shared" si="137"/>
        <v>2.9691540365986553</v>
      </c>
      <c r="BD33" s="190">
        <f t="shared" si="137"/>
        <v>2.9902727560861013</v>
      </c>
      <c r="BE33" s="190">
        <f t="shared" si="137"/>
        <v>2.9902727560861013</v>
      </c>
      <c r="BF33" s="190">
        <f t="shared" si="137"/>
        <v>2.9902727560861013</v>
      </c>
      <c r="BG33" s="190">
        <f t="shared" si="137"/>
        <v>3.0723054684408213</v>
      </c>
      <c r="BH33" s="190">
        <f t="shared" si="137"/>
        <v>3.0723054684408213</v>
      </c>
      <c r="BI33" s="190">
        <f t="shared" si="137"/>
        <v>3.0723054684408213</v>
      </c>
      <c r="BJ33" s="190">
        <f t="shared" si="137"/>
        <v>3.2610969913169838</v>
      </c>
      <c r="BK33" s="190">
        <f t="shared" si="137"/>
        <v>3.2610969913169838</v>
      </c>
      <c r="BL33" s="190">
        <f t="shared" si="137"/>
        <v>3.2610969913169838</v>
      </c>
      <c r="BM33" s="190">
        <f t="shared" si="137"/>
        <v>3.3064032613047503</v>
      </c>
      <c r="BN33" s="190">
        <f t="shared" si="137"/>
        <v>3.3064032613047503</v>
      </c>
      <c r="BO33" s="190">
        <f t="shared" si="137"/>
        <v>3.3064032613047503</v>
      </c>
      <c r="BP33" s="190">
        <f t="shared" si="137"/>
        <v>3.328577916766569</v>
      </c>
      <c r="BQ33" s="190">
        <f t="shared" ref="BQ33:EB33" si="138">SUM(BQ25:BQ32)</f>
        <v>3.328577916766569</v>
      </c>
      <c r="BR33" s="190">
        <f t="shared" si="138"/>
        <v>3.328577916766569</v>
      </c>
      <c r="BS33" s="190">
        <f t="shared" si="138"/>
        <v>3.4147122647390256</v>
      </c>
      <c r="BT33" s="190">
        <f t="shared" si="138"/>
        <v>3.4147122647390256</v>
      </c>
      <c r="BU33" s="190">
        <f t="shared" si="138"/>
        <v>3.4147122647390256</v>
      </c>
      <c r="BV33" s="190">
        <f t="shared" si="138"/>
        <v>3.4241518408828338</v>
      </c>
      <c r="BW33" s="190">
        <f t="shared" si="138"/>
        <v>3.4241518408828338</v>
      </c>
      <c r="BX33" s="190">
        <f t="shared" si="138"/>
        <v>3.4241518408828338</v>
      </c>
      <c r="BY33" s="190">
        <f t="shared" si="138"/>
        <v>3.4717234243699884</v>
      </c>
      <c r="BZ33" s="190">
        <f t="shared" si="138"/>
        <v>3.4717234243699884</v>
      </c>
      <c r="CA33" s="190">
        <f t="shared" si="138"/>
        <v>3.4717234243699884</v>
      </c>
      <c r="CB33" s="190">
        <f t="shared" si="138"/>
        <v>3.4950068126048977</v>
      </c>
      <c r="CC33" s="190">
        <f t="shared" si="138"/>
        <v>3.4950068126048977</v>
      </c>
      <c r="CD33" s="190">
        <f t="shared" si="138"/>
        <v>3.4950068126048977</v>
      </c>
      <c r="CE33" s="190">
        <f t="shared" si="138"/>
        <v>3.5854478779759771</v>
      </c>
      <c r="CF33" s="190">
        <f t="shared" si="138"/>
        <v>3.5854478779759771</v>
      </c>
      <c r="CG33" s="190">
        <f t="shared" si="138"/>
        <v>3.5854478779759771</v>
      </c>
      <c r="CH33" s="190">
        <f t="shared" si="138"/>
        <v>3.5953594329269754</v>
      </c>
      <c r="CI33" s="190">
        <f t="shared" si="138"/>
        <v>3.5953594329269754</v>
      </c>
      <c r="CJ33" s="190">
        <f t="shared" si="138"/>
        <v>3.5953594329269754</v>
      </c>
      <c r="CK33" s="190">
        <f t="shared" si="138"/>
        <v>3.645309595588488</v>
      </c>
      <c r="CL33" s="190">
        <f t="shared" si="138"/>
        <v>3.645309595588488</v>
      </c>
      <c r="CM33" s="190">
        <f t="shared" si="138"/>
        <v>3.645309595588488</v>
      </c>
      <c r="CN33" s="190">
        <f t="shared" si="138"/>
        <v>3.6697571532351425</v>
      </c>
      <c r="CO33" s="190">
        <f t="shared" si="138"/>
        <v>3.6697571532351425</v>
      </c>
      <c r="CP33" s="190">
        <f t="shared" si="138"/>
        <v>3.6697571532351425</v>
      </c>
      <c r="CQ33" s="190">
        <f t="shared" si="138"/>
        <v>3.7647202718747765</v>
      </c>
      <c r="CR33" s="190">
        <f t="shared" si="138"/>
        <v>3.7647202718747765</v>
      </c>
      <c r="CS33" s="190">
        <f t="shared" si="138"/>
        <v>3.7647202718747765</v>
      </c>
      <c r="CT33" s="190">
        <f t="shared" si="138"/>
        <v>3.775127404573325</v>
      </c>
      <c r="CU33" s="190">
        <f t="shared" si="138"/>
        <v>3.775127404573325</v>
      </c>
      <c r="CV33" s="190">
        <f t="shared" si="138"/>
        <v>3.775127404573325</v>
      </c>
      <c r="CW33" s="190">
        <f t="shared" si="138"/>
        <v>3.8275750753679127</v>
      </c>
      <c r="CX33" s="190">
        <f t="shared" si="138"/>
        <v>3.8275750753679127</v>
      </c>
      <c r="CY33" s="190">
        <f t="shared" si="138"/>
        <v>3.8275750753679127</v>
      </c>
      <c r="CZ33" s="190">
        <f t="shared" si="138"/>
        <v>3.8532450108969001</v>
      </c>
      <c r="DA33" s="190">
        <f t="shared" si="138"/>
        <v>3.8532450108969001</v>
      </c>
      <c r="DB33" s="190">
        <f t="shared" si="138"/>
        <v>3.8532450108969001</v>
      </c>
      <c r="DC33" s="190">
        <f t="shared" si="138"/>
        <v>3.952956285468515</v>
      </c>
      <c r="DD33" s="190">
        <f t="shared" si="138"/>
        <v>3.952956285468515</v>
      </c>
      <c r="DE33" s="190">
        <f t="shared" si="138"/>
        <v>3.952956285468515</v>
      </c>
      <c r="DF33" s="190">
        <f t="shared" si="138"/>
        <v>3.9638837748019906</v>
      </c>
      <c r="DG33" s="190">
        <f t="shared" si="138"/>
        <v>3.9638837748019906</v>
      </c>
      <c r="DH33" s="190">
        <f t="shared" si="138"/>
        <v>3.9638837748019906</v>
      </c>
      <c r="DI33" s="190">
        <f t="shared" si="138"/>
        <v>4.0189538291363087</v>
      </c>
      <c r="DJ33" s="190">
        <f t="shared" si="138"/>
        <v>4.0189538291363087</v>
      </c>
      <c r="DK33" s="190">
        <f t="shared" si="138"/>
        <v>4.0189538291363087</v>
      </c>
      <c r="DL33" s="190">
        <f t="shared" si="138"/>
        <v>4.0459072614417453</v>
      </c>
      <c r="DM33" s="190">
        <f t="shared" si="138"/>
        <v>4.0459072614417453</v>
      </c>
      <c r="DN33" s="190">
        <f t="shared" si="138"/>
        <v>4.0459072614417453</v>
      </c>
      <c r="DO33" s="190">
        <f t="shared" si="138"/>
        <v>4.1506040997419413</v>
      </c>
      <c r="DP33" s="190">
        <f t="shared" si="138"/>
        <v>4.1506040997419413</v>
      </c>
      <c r="DQ33" s="190">
        <f t="shared" si="138"/>
        <v>4.1506040997419413</v>
      </c>
      <c r="DR33" s="190">
        <f t="shared" si="138"/>
        <v>4.1620779635420906</v>
      </c>
      <c r="DS33" s="190">
        <f t="shared" si="138"/>
        <v>4.1620779635420906</v>
      </c>
      <c r="DT33" s="190">
        <f t="shared" si="138"/>
        <v>4.1620779635420906</v>
      </c>
      <c r="DU33" s="190">
        <f t="shared" si="138"/>
        <v>4.2199015205931243</v>
      </c>
      <c r="DV33" s="190">
        <f t="shared" si="138"/>
        <v>4.2199015205931243</v>
      </c>
      <c r="DW33" s="190">
        <f t="shared" si="138"/>
        <v>4.2199015205931243</v>
      </c>
      <c r="DX33" s="190">
        <f t="shared" si="138"/>
        <v>4.2482026245138327</v>
      </c>
      <c r="DY33" s="190">
        <f t="shared" si="138"/>
        <v>4.2482026245138327</v>
      </c>
      <c r="DZ33" s="190">
        <f t="shared" si="138"/>
        <v>4.2482026245138327</v>
      </c>
      <c r="EA33" s="190">
        <f t="shared" si="138"/>
        <v>4.3581343047290373</v>
      </c>
      <c r="EB33" s="190">
        <f t="shared" si="138"/>
        <v>4.3581343047290373</v>
      </c>
      <c r="EC33" s="190">
        <f t="shared" ref="EC33:GN33" si="139">SUM(EC25:EC32)</f>
        <v>4.3581343047290373</v>
      </c>
      <c r="ED33" s="190">
        <f t="shared" si="139"/>
        <v>4.3701818617191943</v>
      </c>
      <c r="EE33" s="190">
        <f t="shared" si="139"/>
        <v>4.3701818617191943</v>
      </c>
      <c r="EF33" s="190">
        <f t="shared" si="139"/>
        <v>4.3701818617191943</v>
      </c>
      <c r="EG33" s="190">
        <f t="shared" si="139"/>
        <v>4.4308965966227802</v>
      </c>
      <c r="EH33" s="190">
        <f t="shared" si="139"/>
        <v>4.4308965966227802</v>
      </c>
      <c r="EI33" s="190">
        <f t="shared" si="139"/>
        <v>4.4308965966227802</v>
      </c>
      <c r="EJ33" s="190">
        <f t="shared" si="139"/>
        <v>4.4606127557395236</v>
      </c>
      <c r="EK33" s="190">
        <f t="shared" si="139"/>
        <v>4.4606127557395236</v>
      </c>
      <c r="EL33" s="190">
        <f t="shared" si="139"/>
        <v>4.4606127557395236</v>
      </c>
      <c r="EM33" s="190">
        <f t="shared" si="139"/>
        <v>4.5760410199654906</v>
      </c>
      <c r="EN33" s="190">
        <f t="shared" si="139"/>
        <v>4.5760410199654906</v>
      </c>
      <c r="EO33" s="190">
        <f t="shared" si="139"/>
        <v>4.5760410199654906</v>
      </c>
      <c r="EP33" s="190">
        <f t="shared" si="139"/>
        <v>4.5886909548051555</v>
      </c>
      <c r="EQ33" s="190">
        <f t="shared" si="139"/>
        <v>4.5886909548051555</v>
      </c>
      <c r="ER33" s="190">
        <f t="shared" si="139"/>
        <v>4.5886909548051555</v>
      </c>
      <c r="ES33" s="190">
        <f t="shared" si="139"/>
        <v>4.6524414264539189</v>
      </c>
      <c r="ET33" s="190">
        <f t="shared" si="139"/>
        <v>4.6524414264539189</v>
      </c>
      <c r="EU33" s="190">
        <f t="shared" si="139"/>
        <v>4.6524414264539189</v>
      </c>
      <c r="EV33" s="190">
        <f t="shared" si="139"/>
        <v>4.6836433935265003</v>
      </c>
      <c r="EW33" s="190">
        <f t="shared" si="139"/>
        <v>4.6836433935265003</v>
      </c>
      <c r="EX33" s="190">
        <f t="shared" si="139"/>
        <v>4.6836433935265003</v>
      </c>
      <c r="EY33" s="190">
        <f t="shared" si="139"/>
        <v>4.8048430709637646</v>
      </c>
      <c r="EZ33" s="190">
        <f t="shared" si="139"/>
        <v>4.8048430709637646</v>
      </c>
      <c r="FA33" s="190">
        <f t="shared" si="139"/>
        <v>4.8048430709637646</v>
      </c>
      <c r="FB33" s="190">
        <f t="shared" si="139"/>
        <v>4.8181255025454135</v>
      </c>
      <c r="FC33" s="190">
        <f t="shared" si="139"/>
        <v>4.8181255025454135</v>
      </c>
      <c r="FD33" s="190">
        <f t="shared" si="139"/>
        <v>4.8181255025454135</v>
      </c>
      <c r="FE33" s="190">
        <f t="shared" si="139"/>
        <v>4.8850634977766152</v>
      </c>
      <c r="FF33" s="190">
        <f t="shared" si="139"/>
        <v>4.8850634977766152</v>
      </c>
      <c r="FG33" s="190">
        <f t="shared" si="139"/>
        <v>4.8850634977766152</v>
      </c>
      <c r="FH33" s="190">
        <f t="shared" si="139"/>
        <v>4.9178255632028263</v>
      </c>
      <c r="FI33" s="190">
        <f t="shared" si="139"/>
        <v>4.9178255632028263</v>
      </c>
      <c r="FJ33" s="190">
        <f t="shared" si="139"/>
        <v>4.9178255632028263</v>
      </c>
      <c r="FK33" s="190">
        <f t="shared" si="139"/>
        <v>5.0450852245119542</v>
      </c>
      <c r="FL33" s="190">
        <f t="shared" si="139"/>
        <v>5.0450852245119542</v>
      </c>
      <c r="FM33" s="190">
        <f t="shared" si="139"/>
        <v>5.0450852245119542</v>
      </c>
      <c r="FN33" s="190">
        <f t="shared" si="139"/>
        <v>5.0590317776726845</v>
      </c>
      <c r="FO33" s="190">
        <f t="shared" si="139"/>
        <v>5.0590317776726845</v>
      </c>
      <c r="FP33" s="190">
        <f t="shared" si="139"/>
        <v>5.0590317776726845</v>
      </c>
      <c r="FQ33" s="190">
        <f t="shared" si="139"/>
        <v>5.1293166726654471</v>
      </c>
      <c r="FR33" s="190">
        <f t="shared" si="139"/>
        <v>5.1293166726654471</v>
      </c>
      <c r="FS33" s="190">
        <f t="shared" si="139"/>
        <v>5.1293166726654471</v>
      </c>
      <c r="FT33" s="190">
        <f t="shared" si="139"/>
        <v>5.1637168413629686</v>
      </c>
      <c r="FU33" s="190">
        <f t="shared" si="139"/>
        <v>5.1637168413629686</v>
      </c>
      <c r="FV33" s="190">
        <f t="shared" si="139"/>
        <v>5.1637168413629686</v>
      </c>
      <c r="FW33" s="190">
        <f t="shared" si="139"/>
        <v>5.2973394857375515</v>
      </c>
      <c r="FX33" s="190">
        <f t="shared" si="139"/>
        <v>5.2973394857375515</v>
      </c>
      <c r="FY33" s="190">
        <f t="shared" si="139"/>
        <v>5.2973394857375515</v>
      </c>
      <c r="FZ33" s="190">
        <f t="shared" si="139"/>
        <v>5.3119833665563192</v>
      </c>
      <c r="GA33" s="190">
        <f t="shared" si="139"/>
        <v>5.3119833665563192</v>
      </c>
      <c r="GB33" s="190">
        <f t="shared" si="139"/>
        <v>5.3119833665563192</v>
      </c>
      <c r="GC33" s="190">
        <f t="shared" si="139"/>
        <v>5.3857825062987201</v>
      </c>
      <c r="GD33" s="190">
        <f t="shared" si="139"/>
        <v>5.3857825062987201</v>
      </c>
      <c r="GE33" s="190">
        <f t="shared" si="139"/>
        <v>5.3857825062987201</v>
      </c>
      <c r="GF33" s="190">
        <f t="shared" si="139"/>
        <v>5.4219026834311173</v>
      </c>
      <c r="GG33" s="190">
        <f t="shared" si="139"/>
        <v>5.4219026834311173</v>
      </c>
      <c r="GH33" s="190">
        <f t="shared" si="139"/>
        <v>5.4219026834311173</v>
      </c>
      <c r="GI33" s="190">
        <f t="shared" si="139"/>
        <v>5.5622064600244299</v>
      </c>
      <c r="GJ33" s="190">
        <f t="shared" si="139"/>
        <v>5.5622064600244299</v>
      </c>
      <c r="GK33" s="190">
        <f t="shared" si="139"/>
        <v>5.5622064600244299</v>
      </c>
      <c r="GL33" s="190">
        <f t="shared" si="139"/>
        <v>5.5775825348841348</v>
      </c>
      <c r="GM33" s="190">
        <f t="shared" si="139"/>
        <v>5.5775825348841348</v>
      </c>
      <c r="GN33" s="190">
        <f t="shared" si="139"/>
        <v>5.5775825348841348</v>
      </c>
      <c r="GO33" s="190">
        <f t="shared" ref="GO33:IZ33" si="140">SUM(GO25:GO32)</f>
        <v>5.655071631613656</v>
      </c>
      <c r="GP33" s="190">
        <f t="shared" si="140"/>
        <v>5.655071631613656</v>
      </c>
      <c r="GQ33" s="190">
        <f t="shared" si="140"/>
        <v>5.655071631613656</v>
      </c>
      <c r="GR33" s="190">
        <f t="shared" si="140"/>
        <v>5.6929978176026728</v>
      </c>
      <c r="GS33" s="190">
        <f t="shared" si="140"/>
        <v>5.6929978176026728</v>
      </c>
      <c r="GT33" s="190">
        <f t="shared" si="140"/>
        <v>5.6929978176026728</v>
      </c>
      <c r="GU33" s="190">
        <f t="shared" si="140"/>
        <v>5.840316783025651</v>
      </c>
      <c r="GV33" s="190">
        <f t="shared" si="140"/>
        <v>5.840316783025651</v>
      </c>
      <c r="GW33" s="190">
        <f t="shared" si="140"/>
        <v>5.840316783025651</v>
      </c>
      <c r="GX33" s="190">
        <f t="shared" si="140"/>
        <v>5.8564616616283427</v>
      </c>
      <c r="GY33" s="190">
        <f t="shared" si="140"/>
        <v>5.8564616616283427</v>
      </c>
      <c r="GZ33" s="190">
        <f t="shared" si="140"/>
        <v>5.8564616616283427</v>
      </c>
      <c r="HA33" s="190">
        <f t="shared" si="140"/>
        <v>5.9378252131943388</v>
      </c>
      <c r="HB33" s="190">
        <f t="shared" si="140"/>
        <v>5.9378252131943388</v>
      </c>
      <c r="HC33" s="190">
        <f t="shared" si="140"/>
        <v>5.9378252131943388</v>
      </c>
      <c r="HD33" s="190">
        <f t="shared" si="140"/>
        <v>5.9776477084828077</v>
      </c>
      <c r="HE33" s="190">
        <f t="shared" si="140"/>
        <v>5.9776477084828077</v>
      </c>
      <c r="HF33" s="190">
        <f t="shared" si="140"/>
        <v>5.9776477084828077</v>
      </c>
      <c r="HG33" s="190">
        <f t="shared" si="140"/>
        <v>6.1323326221769339</v>
      </c>
      <c r="HH33" s="190">
        <f t="shared" si="140"/>
        <v>6.1323326221769339</v>
      </c>
      <c r="HI33" s="190">
        <f t="shared" si="140"/>
        <v>6.1323326221769339</v>
      </c>
      <c r="HJ33" s="190">
        <f t="shared" si="140"/>
        <v>6.1492847447097585</v>
      </c>
      <c r="HK33" s="190">
        <f t="shared" si="140"/>
        <v>6.1492847447097585</v>
      </c>
      <c r="HL33" s="190">
        <f t="shared" si="140"/>
        <v>6.1492847447097585</v>
      </c>
      <c r="HM33" s="190">
        <f t="shared" si="140"/>
        <v>6.2347164738540553</v>
      </c>
      <c r="HN33" s="190">
        <f t="shared" si="140"/>
        <v>6.2347164738540553</v>
      </c>
      <c r="HO33" s="190">
        <f t="shared" si="140"/>
        <v>6.2347164738540553</v>
      </c>
      <c r="HP33" s="190">
        <f t="shared" si="140"/>
        <v>6.2765300939069473</v>
      </c>
      <c r="HQ33" s="190">
        <f t="shared" si="140"/>
        <v>6.2765300939069473</v>
      </c>
      <c r="HR33" s="190">
        <f t="shared" si="140"/>
        <v>6.2765300939069473</v>
      </c>
      <c r="HS33" s="190">
        <f t="shared" si="140"/>
        <v>6.4389492532857808</v>
      </c>
      <c r="HT33" s="190">
        <f t="shared" si="140"/>
        <v>6.4389492532857808</v>
      </c>
      <c r="HU33" s="190">
        <f t="shared" si="140"/>
        <v>6.4389492532857808</v>
      </c>
      <c r="HV33" s="190">
        <f t="shared" si="140"/>
        <v>6.4567489819452479</v>
      </c>
      <c r="HW33" s="190">
        <f t="shared" si="140"/>
        <v>6.4567489819452479</v>
      </c>
      <c r="HX33" s="190">
        <f t="shared" si="140"/>
        <v>6.4567489819452479</v>
      </c>
      <c r="HY33" s="190">
        <f t="shared" si="140"/>
        <v>6.5464522975467601</v>
      </c>
      <c r="HZ33" s="190">
        <f t="shared" si="140"/>
        <v>6.5464522975467601</v>
      </c>
      <c r="IA33" s="190">
        <f t="shared" si="140"/>
        <v>6.5464522975467601</v>
      </c>
      <c r="IB33" s="190">
        <f t="shared" si="140"/>
        <v>6.5903565986022956</v>
      </c>
      <c r="IC33" s="190">
        <f t="shared" si="140"/>
        <v>6.5903565986022956</v>
      </c>
      <c r="ID33" s="190">
        <f t="shared" si="140"/>
        <v>6.5903565986022956</v>
      </c>
      <c r="IE33" s="190">
        <f t="shared" si="140"/>
        <v>6.7608967159500706</v>
      </c>
      <c r="IF33" s="190">
        <f t="shared" si="140"/>
        <v>6.7608967159500706</v>
      </c>
      <c r="IG33" s="190">
        <f t="shared" si="140"/>
        <v>6.7608967159500706</v>
      </c>
      <c r="IH33" s="190">
        <f t="shared" si="140"/>
        <v>6.7795864310425102</v>
      </c>
      <c r="II33" s="190">
        <f t="shared" si="140"/>
        <v>6.7795864310425102</v>
      </c>
      <c r="IJ33" s="190">
        <f t="shared" si="140"/>
        <v>6.7795864310425102</v>
      </c>
      <c r="IK33" s="190">
        <f t="shared" si="140"/>
        <v>6.8737749124240972</v>
      </c>
      <c r="IL33" s="190">
        <f t="shared" si="140"/>
        <v>6.8737749124240972</v>
      </c>
      <c r="IM33" s="190">
        <f t="shared" si="140"/>
        <v>6.8737749124240972</v>
      </c>
      <c r="IN33" s="190">
        <f t="shared" si="140"/>
        <v>6.9198744285324096</v>
      </c>
      <c r="IO33" s="190">
        <f t="shared" si="140"/>
        <v>6.9198744285324096</v>
      </c>
      <c r="IP33" s="190">
        <f t="shared" si="140"/>
        <v>6.9198744285324096</v>
      </c>
      <c r="IQ33" s="190">
        <f t="shared" si="140"/>
        <v>7.0989415517475738</v>
      </c>
      <c r="IR33" s="190">
        <f t="shared" si="140"/>
        <v>7.0989415517475738</v>
      </c>
      <c r="IS33" s="190">
        <f t="shared" si="140"/>
        <v>7.0989415517475738</v>
      </c>
      <c r="IT33" s="190">
        <f t="shared" si="140"/>
        <v>7.1185657525946358</v>
      </c>
      <c r="IU33" s="190">
        <f t="shared" si="140"/>
        <v>7.1185657525946358</v>
      </c>
      <c r="IV33" s="190">
        <f t="shared" si="140"/>
        <v>7.1185657525946358</v>
      </c>
      <c r="IW33" s="190">
        <f t="shared" si="140"/>
        <v>5.8955688736334482</v>
      </c>
      <c r="IX33" s="190">
        <f t="shared" si="140"/>
        <v>5.8955688736334482</v>
      </c>
      <c r="IY33" s="190">
        <f t="shared" si="140"/>
        <v>5.8955688736334482</v>
      </c>
      <c r="IZ33" s="190">
        <f t="shared" si="140"/>
        <v>5.9439733655471763</v>
      </c>
      <c r="JA33" s="190">
        <f t="shared" ref="JA33:KC33" si="141">SUM(JA25:JA32)</f>
        <v>5.9439733655471763</v>
      </c>
      <c r="JB33" s="190">
        <f t="shared" si="141"/>
        <v>5.9439733655471763</v>
      </c>
      <c r="JC33" s="190">
        <f t="shared" si="141"/>
        <v>6.0658991057025062</v>
      </c>
      <c r="JD33" s="190">
        <f t="shared" si="141"/>
        <v>6.0658991057025062</v>
      </c>
      <c r="JE33" s="190">
        <f t="shared" si="141"/>
        <v>6.0658991057025062</v>
      </c>
      <c r="JF33" s="190">
        <f t="shared" si="141"/>
        <v>6.0865045165919218</v>
      </c>
      <c r="JG33" s="190">
        <f t="shared" si="141"/>
        <v>6.0865045165919218</v>
      </c>
      <c r="JH33" s="190">
        <f t="shared" si="141"/>
        <v>6.0865045165919218</v>
      </c>
      <c r="JI33" s="190">
        <f t="shared" si="141"/>
        <v>3.6299067740531994</v>
      </c>
      <c r="JJ33" s="190">
        <f t="shared" si="141"/>
        <v>3.6299067740531994</v>
      </c>
      <c r="JK33" s="190">
        <f t="shared" si="141"/>
        <v>3.6299067740531994</v>
      </c>
      <c r="JL33" s="190">
        <f t="shared" si="141"/>
        <v>3.6807314905626134</v>
      </c>
      <c r="JM33" s="190">
        <f t="shared" si="141"/>
        <v>3.6807314905626134</v>
      </c>
      <c r="JN33" s="190">
        <f t="shared" si="141"/>
        <v>3.6807314905626134</v>
      </c>
      <c r="JO33" s="190">
        <f t="shared" si="141"/>
        <v>3.6807314905626134</v>
      </c>
      <c r="JP33" s="190">
        <f t="shared" si="141"/>
        <v>3.6807314905626134</v>
      </c>
      <c r="JQ33" s="190">
        <f t="shared" si="141"/>
        <v>3.6807314905626134</v>
      </c>
      <c r="JR33" s="190">
        <f t="shared" si="141"/>
        <v>2.6350481252987992</v>
      </c>
      <c r="JS33" s="190">
        <f t="shared" si="141"/>
        <v>2.6350481252987992</v>
      </c>
      <c r="JT33" s="190">
        <f t="shared" si="141"/>
        <v>2.6350481252987992</v>
      </c>
      <c r="JU33" s="190">
        <f t="shared" si="141"/>
        <v>2.7440830660581588</v>
      </c>
      <c r="JV33" s="190">
        <f t="shared" si="141"/>
        <v>2.7440830660581588</v>
      </c>
      <c r="JW33" s="190">
        <f t="shared" si="141"/>
        <v>2.7440830660581588</v>
      </c>
      <c r="JX33" s="190">
        <f t="shared" si="141"/>
        <v>2.7440830660581588</v>
      </c>
      <c r="JY33" s="190">
        <f t="shared" si="141"/>
        <v>2.7440830660581588</v>
      </c>
      <c r="JZ33" s="190">
        <f t="shared" si="141"/>
        <v>2.7440830660581588</v>
      </c>
      <c r="KA33" s="190">
        <f t="shared" si="141"/>
        <v>0.4543493101116034</v>
      </c>
      <c r="KB33" s="190">
        <f t="shared" si="141"/>
        <v>0.4543493101116034</v>
      </c>
      <c r="KC33" s="190">
        <f t="shared" si="141"/>
        <v>0.4543493101116034</v>
      </c>
      <c r="KD33" s="190">
        <f>SUM(KD28:KD32)</f>
        <v>1162.5063300304498</v>
      </c>
      <c r="KE33" s="190"/>
      <c r="KF33" s="190">
        <f>SUM(KF28:KF32)</f>
        <v>1225.2020906700316</v>
      </c>
      <c r="KG33" s="190"/>
      <c r="KH33" s="190"/>
      <c r="KI33" s="190"/>
      <c r="KJ33" s="190"/>
      <c r="KK33" s="190"/>
      <c r="KL33" s="190"/>
      <c r="KM33" s="190"/>
      <c r="KN33" s="190"/>
      <c r="KO33" s="190"/>
    </row>
    <row r="35" spans="1:301" x14ac:dyDescent="0.3">
      <c r="B35" s="29" t="s">
        <v>124</v>
      </c>
      <c r="Z35" s="74"/>
    </row>
    <row r="36" spans="1:301" x14ac:dyDescent="0.3">
      <c r="C36" s="54"/>
      <c r="D36" s="54"/>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row>
    <row r="37" spans="1:301" x14ac:dyDescent="0.3">
      <c r="A37" s="52">
        <f>SUM(E37:IS37)</f>
        <v>9.5449734488432441</v>
      </c>
      <c r="B37" s="1" t="str">
        <f>B28</f>
        <v>Phase 1</v>
      </c>
      <c r="C37" s="54">
        <f>SUM(D37:KC37)</f>
        <v>12.014845189842211</v>
      </c>
      <c r="D37" s="54"/>
      <c r="E37" s="33">
        <f>IFERROR(IF(AND(Leasing!D9=0,E9&gt;0),'Assumption Sheet'!$N28*'Assumption Sheet'!$C28/10^7,D37/Leasing!D9*Leasing!E9),0)</f>
        <v>0</v>
      </c>
      <c r="F37" s="33">
        <f>IFERROR(IF(AND(Leasing!E9=0,F9&gt;0),'Assumption Sheet'!$N28*'Assumption Sheet'!$C28/10^7,E37/Leasing!E9*Leasing!F9),0)</f>
        <v>0</v>
      </c>
      <c r="G37" s="33">
        <f>IFERROR(IF(AND(Leasing!F9=0,G9&gt;0),'Assumption Sheet'!$N28*'Assumption Sheet'!$C28/10^7,F37/Leasing!F9*Leasing!G9),0)</f>
        <v>0</v>
      </c>
      <c r="H37" s="33">
        <f>IFERROR(IF(AND(Leasing!G9=0,H9&gt;0),'Assumption Sheet'!$N28*'Assumption Sheet'!$C28/10^7,G37/Leasing!G9*Leasing!H9),0)</f>
        <v>0</v>
      </c>
      <c r="I37" s="33">
        <f>IFERROR(IF(AND(Leasing!H9=0,I9&gt;0),'Assumption Sheet'!$N28*'Assumption Sheet'!$C28/10^7,H37/Leasing!H9*Leasing!I9),0)</f>
        <v>0</v>
      </c>
      <c r="J37" s="33">
        <f>IFERROR(IF(AND(Leasing!I9=0,J9&gt;0),'Assumption Sheet'!$N28*'Assumption Sheet'!$C28/10^7,I37/Leasing!I9*Leasing!J9),0)</f>
        <v>0</v>
      </c>
      <c r="K37" s="33">
        <f>IFERROR(IF(AND(Leasing!J9=0,K9&gt;0),'Assumption Sheet'!$N28*'Assumption Sheet'!$C28/10^7,J37/Leasing!J9*Leasing!K9),0)</f>
        <v>0</v>
      </c>
      <c r="L37" s="33">
        <f>IFERROR(IF(AND(Leasing!K9=0,L9&gt;0),'Assumption Sheet'!$N28*'Assumption Sheet'!$C28/10^7,K37/Leasing!K9*Leasing!L9),0)</f>
        <v>0</v>
      </c>
      <c r="M37" s="33">
        <f>IFERROR(IF(AND(Leasing!L9=0,M9&gt;0),'Assumption Sheet'!$N28*'Assumption Sheet'!$C28/10^7,L37/Leasing!L9*Leasing!M9),0)</f>
        <v>0</v>
      </c>
      <c r="N37" s="33">
        <f>IFERROR(IF(AND(Leasing!M9=0,N9&gt;0),'Assumption Sheet'!$N28*'Assumption Sheet'!$C28/10^7,M37/Leasing!M9*Leasing!N9),0)</f>
        <v>0</v>
      </c>
      <c r="O37" s="33">
        <f>IFERROR(IF(AND(Leasing!N9=0,O9&gt;0),'Assumption Sheet'!$N28*'Assumption Sheet'!$C28/10^7,N37/Leasing!N9*Leasing!O9),0)</f>
        <v>0</v>
      </c>
      <c r="P37" s="33">
        <f>IFERROR(IF(AND(Leasing!O9=0,P9&gt;0),'Assumption Sheet'!$N28*'Assumption Sheet'!$C28/10^7,O37/Leasing!O9*Leasing!P9),0)</f>
        <v>0</v>
      </c>
      <c r="Q37" s="33">
        <f>IFERROR(IF(AND(Leasing!P9=0,Q9&gt;0),'Assumption Sheet'!$N28*'Assumption Sheet'!$C28/10^7,P37/Leasing!P9*Leasing!Q9),0)</f>
        <v>0</v>
      </c>
      <c r="R37" s="33">
        <f>IFERROR(IF(AND(Leasing!Q9=0,R9&gt;0),'Assumption Sheet'!$N28*'Assumption Sheet'!$C28/10^7,Q37/Leasing!Q9*Leasing!R9),0)</f>
        <v>0</v>
      </c>
      <c r="S37" s="33">
        <f>IFERROR(IF(AND(Leasing!R9=0,S9&gt;0),'Assumption Sheet'!$N28*'Assumption Sheet'!$C28/10^7,R37/Leasing!R9*Leasing!S9),0)</f>
        <v>0</v>
      </c>
      <c r="T37" s="33">
        <f>IFERROR(IF(AND(Leasing!S9=0,T9&gt;0),'Assumption Sheet'!$N28*'Assumption Sheet'!$C28/10^7,S37/Leasing!S9*Leasing!T9),0)</f>
        <v>0</v>
      </c>
      <c r="U37" s="33">
        <f>IFERROR(IF(AND(Leasing!T9=0,U9&gt;0),'Assumption Sheet'!$N28*'Assumption Sheet'!$C28/10^7,T37/Leasing!T9*Leasing!U9),0)</f>
        <v>0</v>
      </c>
      <c r="V37" s="33">
        <f>IFERROR(IF(AND(Leasing!U9=0,V9&gt;0),'Assumption Sheet'!$N28*'Assumption Sheet'!$C28/10^7,U37/Leasing!U9*Leasing!V9),0)</f>
        <v>0</v>
      </c>
      <c r="W37" s="33">
        <f>IFERROR(IF(AND(Leasing!V9=0,W9&gt;0),'Assumption Sheet'!$N28*'Assumption Sheet'!$C28/10^7,V37/Leasing!V9*Leasing!W9),0)</f>
        <v>2.5517983111949999E-2</v>
      </c>
      <c r="X37" s="33">
        <f>IFERROR(IF(AND(Leasing!W9=0,X9&gt;0),'Assumption Sheet'!$N28*'Assumption Sheet'!$C28/10^7,W37/Leasing!W9*Leasing!X9),0)</f>
        <v>2.5517983111949995E-2</v>
      </c>
      <c r="Y37" s="33">
        <f>IFERROR(IF(AND(Leasing!X9=0,Y9&gt;0),'Assumption Sheet'!$N28*'Assumption Sheet'!$C28/10^7,X37/Leasing!X9*Leasing!Y9),0)</f>
        <v>2.5517983111949995E-2</v>
      </c>
      <c r="Z37" s="33">
        <f>IFERROR(IF(AND(Leasing!Y9=0,Z9&gt;0),'Assumption Sheet'!$N28*'Assumption Sheet'!$C28/10^7,Y37/Leasing!Y9*Leasing!Z9),0)</f>
        <v>2.5517983111949995E-2</v>
      </c>
      <c r="AA37" s="33">
        <f>IFERROR(IF(AND(Leasing!Z9=0,AA9&gt;0),'Assumption Sheet'!$N28*'Assumption Sheet'!$C28/10^7,Z37/Leasing!Z9*Leasing!AA9),0)</f>
        <v>2.5517983111949995E-2</v>
      </c>
      <c r="AB37" s="33">
        <f>IFERROR(IF(AND(Leasing!AA9=0,AB9&gt;0),'Assumption Sheet'!$N28*'Assumption Sheet'!$C28/10^7,AA37/Leasing!AA9*Leasing!AB9),0)</f>
        <v>2.5517983111949995E-2</v>
      </c>
      <c r="AC37" s="33">
        <f>IFERROR(IF(AND(Leasing!AB9=0,AC9&gt;0),'Assumption Sheet'!$N28*'Assumption Sheet'!$C28/10^7,AB37/Leasing!AB9*Leasing!AC9),0)</f>
        <v>2.5517983111949995E-2</v>
      </c>
      <c r="AD37" s="33">
        <f>IFERROR(IF(AND(Leasing!AC9=0,AD9&gt;0),'Assumption Sheet'!$N28*'Assumption Sheet'!$C28/10^7,AC37/Leasing!AC9*Leasing!AD9),0)</f>
        <v>2.5517983111949995E-2</v>
      </c>
      <c r="AE37" s="33">
        <f>IFERROR(IF(AND(Leasing!AD9=0,AE9&gt;0),'Assumption Sheet'!$N28*'Assumption Sheet'!$C28/10^7,AD37/Leasing!AD9*Leasing!AE9),0)</f>
        <v>2.5517983111949995E-2</v>
      </c>
      <c r="AF37" s="33">
        <f>IFERROR(IF(AND(Leasing!AE9=0,AF9&gt;0),'Assumption Sheet'!$N28*'Assumption Sheet'!$C28/10^7,AE37/Leasing!AE9*Leasing!AF9),0)</f>
        <v>2.5517983111949995E-2</v>
      </c>
      <c r="AG37" s="33">
        <f>IFERROR(IF(AND(Leasing!AF9=0,AG9&gt;0),'Assumption Sheet'!$N28*'Assumption Sheet'!$C28/10^7,AF37/Leasing!AF9*Leasing!AG9),0)</f>
        <v>2.5517983111949995E-2</v>
      </c>
      <c r="AH37" s="33">
        <f>IFERROR(IF(AND(Leasing!AG9=0,AH9&gt;0),'Assumption Sheet'!$N28*'Assumption Sheet'!$C28/10^7,AG37/Leasing!AG9*Leasing!AH9),0)</f>
        <v>2.5517983111949995E-2</v>
      </c>
      <c r="AI37" s="33">
        <f>IFERROR(IF(AND(Leasing!AH9=0,AI9&gt;0),'Assumption Sheet'!$N28*'Assumption Sheet'!$C28/10^7,AH37/Leasing!AH9*Leasing!AI9),0)</f>
        <v>2.67938822675475E-2</v>
      </c>
      <c r="AJ37" s="33">
        <f>IFERROR(IF(AND(Leasing!AI9=0,AJ9&gt;0),'Assumption Sheet'!$N28*'Assumption Sheet'!$C28/10^7,AI37/Leasing!AI9*Leasing!AJ9),0)</f>
        <v>2.67938822675475E-2</v>
      </c>
      <c r="AK37" s="33">
        <f>IFERROR(IF(AND(Leasing!AJ9=0,AK9&gt;0),'Assumption Sheet'!$N28*'Assumption Sheet'!$C28/10^7,AJ37/Leasing!AJ9*Leasing!AK9),0)</f>
        <v>2.67938822675475E-2</v>
      </c>
      <c r="AL37" s="33">
        <f>IFERROR(IF(AND(Leasing!AK9=0,AL9&gt;0),'Assumption Sheet'!$N28*'Assumption Sheet'!$C28/10^7,AK37/Leasing!AK9*Leasing!AL9),0)</f>
        <v>2.67938822675475E-2</v>
      </c>
      <c r="AM37" s="33">
        <f>IFERROR(IF(AND(Leasing!AL9=0,AM9&gt;0),'Assumption Sheet'!$N28*'Assumption Sheet'!$C28/10^7,AL37/Leasing!AL9*Leasing!AM9),0)</f>
        <v>2.67938822675475E-2</v>
      </c>
      <c r="AN37" s="33">
        <f>IFERROR(IF(AND(Leasing!AM9=0,AN9&gt;0),'Assumption Sheet'!$N28*'Assumption Sheet'!$C28/10^7,AM37/Leasing!AM9*Leasing!AN9),0)</f>
        <v>2.67938822675475E-2</v>
      </c>
      <c r="AO37" s="33">
        <f>IFERROR(IF(AND(Leasing!AN9=0,AO9&gt;0),'Assumption Sheet'!$N28*'Assumption Sheet'!$C28/10^7,AN37/Leasing!AN9*Leasing!AO9),0)</f>
        <v>2.67938822675475E-2</v>
      </c>
      <c r="AP37" s="33">
        <f>IFERROR(IF(AND(Leasing!AO9=0,AP9&gt;0),'Assumption Sheet'!$N28*'Assumption Sheet'!$C28/10^7,AO37/Leasing!AO9*Leasing!AP9),0)</f>
        <v>2.67938822675475E-2</v>
      </c>
      <c r="AQ37" s="33">
        <f>IFERROR(IF(AND(Leasing!AP9=0,AQ9&gt;0),'Assumption Sheet'!$N28*'Assumption Sheet'!$C28/10^7,AP37/Leasing!AP9*Leasing!AQ9),0)</f>
        <v>2.67938822675475E-2</v>
      </c>
      <c r="AR37" s="33">
        <f>IFERROR(IF(AND(Leasing!AQ9=0,AR9&gt;0),'Assumption Sheet'!$N28*'Assumption Sheet'!$C28/10^7,AQ37/Leasing!AQ9*Leasing!AR9),0)</f>
        <v>2.67938822675475E-2</v>
      </c>
      <c r="AS37" s="33">
        <f>IFERROR(IF(AND(Leasing!AR9=0,AS9&gt;0),'Assumption Sheet'!$N28*'Assumption Sheet'!$C28/10^7,AR37/Leasing!AR9*Leasing!AS9),0)</f>
        <v>2.67938822675475E-2</v>
      </c>
      <c r="AT37" s="33">
        <f>IFERROR(IF(AND(Leasing!AS9=0,AT9&gt;0),'Assumption Sheet'!$N28*'Assumption Sheet'!$C28/10^7,AS37/Leasing!AS9*Leasing!AT9),0)</f>
        <v>2.67938822675475E-2</v>
      </c>
      <c r="AU37" s="33">
        <f>IFERROR(IF(AND(Leasing!AT9=0,AU9&gt;0),'Assumption Sheet'!$N28*'Assumption Sheet'!$C28/10^7,AT37/Leasing!AT9*Leasing!AU9),0)</f>
        <v>2.8133576380924875E-2</v>
      </c>
      <c r="AV37" s="33">
        <f>IFERROR(IF(AND(Leasing!AU9=0,AV9&gt;0),'Assumption Sheet'!$N28*'Assumption Sheet'!$C28/10^7,AU37/Leasing!AU9*Leasing!AV9),0)</f>
        <v>2.8133576380924875E-2</v>
      </c>
      <c r="AW37" s="33">
        <f>IFERROR(IF(AND(Leasing!AV9=0,AW9&gt;0),'Assumption Sheet'!$N28*'Assumption Sheet'!$C28/10^7,AV37/Leasing!AV9*Leasing!AW9),0)</f>
        <v>2.8133576380924875E-2</v>
      </c>
      <c r="AX37" s="33">
        <f>IFERROR(IF(AND(Leasing!AW9=0,AX9&gt;0),'Assumption Sheet'!$N28*'Assumption Sheet'!$C28/10^7,AW37/Leasing!AW9*Leasing!AX9),0)</f>
        <v>2.8133576380924875E-2</v>
      </c>
      <c r="AY37" s="33">
        <f>IFERROR(IF(AND(Leasing!AX9=0,AY9&gt;0),'Assumption Sheet'!$N28*'Assumption Sheet'!$C28/10^7,AX37/Leasing!AX9*Leasing!AY9),0)</f>
        <v>2.8133576380924875E-2</v>
      </c>
      <c r="AZ37" s="33">
        <f>IFERROR(IF(AND(Leasing!AY9=0,AZ9&gt;0),'Assumption Sheet'!$N28*'Assumption Sheet'!$C28/10^7,AY37/Leasing!AY9*Leasing!AZ9),0)</f>
        <v>2.8133576380924875E-2</v>
      </c>
      <c r="BA37" s="33">
        <f>IFERROR(IF(AND(Leasing!AZ9=0,BA9&gt;0),'Assumption Sheet'!$N28*'Assumption Sheet'!$C28/10^7,AZ37/Leasing!AZ9*Leasing!BA9),0)</f>
        <v>2.8133576380924875E-2</v>
      </c>
      <c r="BB37" s="33">
        <f>IFERROR(IF(AND(Leasing!BA9=0,BB9&gt;0),'Assumption Sheet'!$N28*'Assumption Sheet'!$C28/10^7,BA37/Leasing!BA9*Leasing!BB9),0)</f>
        <v>2.8133576380924875E-2</v>
      </c>
      <c r="BC37" s="33">
        <f>IFERROR(IF(AND(Leasing!BB9=0,BC9&gt;0),'Assumption Sheet'!$N28*'Assumption Sheet'!$C28/10^7,BB37/Leasing!BB9*Leasing!BC9),0)</f>
        <v>2.8133576380924875E-2</v>
      </c>
      <c r="BD37" s="33">
        <f>IFERROR(IF(AND(Leasing!BC9=0,BD9&gt;0),'Assumption Sheet'!$N28*'Assumption Sheet'!$C28/10^7,BC37/Leasing!BC9*Leasing!BD9),0)</f>
        <v>2.8133576380924875E-2</v>
      </c>
      <c r="BE37" s="33">
        <f>IFERROR(IF(AND(Leasing!BD9=0,BE9&gt;0),'Assumption Sheet'!$N28*'Assumption Sheet'!$C28/10^7,BD37/Leasing!BD9*Leasing!BE9),0)</f>
        <v>2.8133576380924875E-2</v>
      </c>
      <c r="BF37" s="33">
        <f>IFERROR(IF(AND(Leasing!BE9=0,BF9&gt;0),'Assumption Sheet'!$N28*'Assumption Sheet'!$C28/10^7,BE37/Leasing!BE9*Leasing!BF9),0)</f>
        <v>2.8133576380924875E-2</v>
      </c>
      <c r="BG37" s="33">
        <f>IFERROR(IF(AND(Leasing!BF9=0,BG9&gt;0),'Assumption Sheet'!$N28*'Assumption Sheet'!$C28/10^7,BF37/Leasing!BF9*Leasing!BG9),0)</f>
        <v>2.9540255199971121E-2</v>
      </c>
      <c r="BH37" s="33">
        <f>IFERROR(IF(AND(Leasing!BG9=0,BH9&gt;0),'Assumption Sheet'!$N28*'Assumption Sheet'!$C28/10^7,BG37/Leasing!BG9*Leasing!BH9),0)</f>
        <v>2.9540255199971121E-2</v>
      </c>
      <c r="BI37" s="33">
        <f>IFERROR(IF(AND(Leasing!BH9=0,BI9&gt;0),'Assumption Sheet'!$N28*'Assumption Sheet'!$C28/10^7,BH37/Leasing!BH9*Leasing!BI9),0)</f>
        <v>2.9540255199971121E-2</v>
      </c>
      <c r="BJ37" s="33">
        <f>IFERROR(IF(AND(Leasing!BI9=0,BJ9&gt;0),'Assumption Sheet'!$N28*'Assumption Sheet'!$C28/10^7,BI37/Leasing!BI9*Leasing!BJ9),0)</f>
        <v>2.9540255199971121E-2</v>
      </c>
      <c r="BK37" s="33">
        <f>IFERROR(IF(AND(Leasing!BJ9=0,BK9&gt;0),'Assumption Sheet'!$N28*'Assumption Sheet'!$C28/10^7,BJ37/Leasing!BJ9*Leasing!BK9),0)</f>
        <v>2.9540255199971121E-2</v>
      </c>
      <c r="BL37" s="33">
        <f>IFERROR(IF(AND(Leasing!BK9=0,BL9&gt;0),'Assumption Sheet'!$N28*'Assumption Sheet'!$C28/10^7,BK37/Leasing!BK9*Leasing!BL9),0)</f>
        <v>2.9540255199971121E-2</v>
      </c>
      <c r="BM37" s="33">
        <f>IFERROR(IF(AND(Leasing!BL9=0,BM9&gt;0),'Assumption Sheet'!$N28*'Assumption Sheet'!$C28/10^7,BL37/Leasing!BL9*Leasing!BM9),0)</f>
        <v>2.9540255199971121E-2</v>
      </c>
      <c r="BN37" s="33">
        <f>IFERROR(IF(AND(Leasing!BM9=0,BN9&gt;0),'Assumption Sheet'!$N28*'Assumption Sheet'!$C28/10^7,BM37/Leasing!BM9*Leasing!BN9),0)</f>
        <v>2.9540255199971121E-2</v>
      </c>
      <c r="BO37" s="33">
        <f>IFERROR(IF(AND(Leasing!BN9=0,BO9&gt;0),'Assumption Sheet'!$N28*'Assumption Sheet'!$C28/10^7,BN37/Leasing!BN9*Leasing!BO9),0)</f>
        <v>2.9540255199971121E-2</v>
      </c>
      <c r="BP37" s="33">
        <f>IFERROR(IF(AND(Leasing!BO9=0,BP9&gt;0),'Assumption Sheet'!$N28*'Assumption Sheet'!$C28/10^7,BO37/Leasing!BO9*Leasing!BP9),0)</f>
        <v>2.9540255199971121E-2</v>
      </c>
      <c r="BQ37" s="33">
        <f>IFERROR(IF(AND(Leasing!BP9=0,BQ9&gt;0),'Assumption Sheet'!$N28*'Assumption Sheet'!$C28/10^7,BP37/Leasing!BP9*Leasing!BQ9),0)</f>
        <v>2.9540255199971121E-2</v>
      </c>
      <c r="BR37" s="33">
        <f>IFERROR(IF(AND(Leasing!BQ9=0,BR9&gt;0),'Assumption Sheet'!$N28*'Assumption Sheet'!$C28/10^7,BQ37/Leasing!BQ9*Leasing!BR9),0)</f>
        <v>2.9540255199971121E-2</v>
      </c>
      <c r="BS37" s="33">
        <f>IFERROR(IF(AND(Leasing!BR9=0,BS9&gt;0),'Assumption Sheet'!$N28*'Assumption Sheet'!$C28/10^7,BR37/Leasing!BR9*Leasing!BS9),0)</f>
        <v>3.1017267959969678E-2</v>
      </c>
      <c r="BT37" s="33">
        <f>IFERROR(IF(AND(Leasing!BS9=0,BT9&gt;0),'Assumption Sheet'!$N28*'Assumption Sheet'!$C28/10^7,BS37/Leasing!BS9*Leasing!BT9),0)</f>
        <v>3.1017267959969678E-2</v>
      </c>
      <c r="BU37" s="33">
        <f>IFERROR(IF(AND(Leasing!BT9=0,BU9&gt;0),'Assumption Sheet'!$N28*'Assumption Sheet'!$C28/10^7,BT37/Leasing!BT9*Leasing!BU9),0)</f>
        <v>3.1017267959969678E-2</v>
      </c>
      <c r="BV37" s="33">
        <f>IFERROR(IF(AND(Leasing!BU9=0,BV9&gt;0),'Assumption Sheet'!$N28*'Assumption Sheet'!$C28/10^7,BU37/Leasing!BU9*Leasing!BV9),0)</f>
        <v>3.1017267959969678E-2</v>
      </c>
      <c r="BW37" s="33">
        <f>IFERROR(IF(AND(Leasing!BV9=0,BW9&gt;0),'Assumption Sheet'!$N28*'Assumption Sheet'!$C28/10^7,BV37/Leasing!BV9*Leasing!BW9),0)</f>
        <v>3.1017267959969678E-2</v>
      </c>
      <c r="BX37" s="33">
        <f>IFERROR(IF(AND(Leasing!BW9=0,BX9&gt;0),'Assumption Sheet'!$N28*'Assumption Sheet'!$C28/10^7,BW37/Leasing!BW9*Leasing!BX9),0)</f>
        <v>3.1017267959969678E-2</v>
      </c>
      <c r="BY37" s="33">
        <f>IFERROR(IF(AND(Leasing!BX9=0,BY9&gt;0),'Assumption Sheet'!$N28*'Assumption Sheet'!$C28/10^7,BX37/Leasing!BX9*Leasing!BY9),0)</f>
        <v>3.1017267959969678E-2</v>
      </c>
      <c r="BZ37" s="33">
        <f>IFERROR(IF(AND(Leasing!BY9=0,BZ9&gt;0),'Assumption Sheet'!$N28*'Assumption Sheet'!$C28/10^7,BY37/Leasing!BY9*Leasing!BZ9),0)</f>
        <v>3.1017267959969678E-2</v>
      </c>
      <c r="CA37" s="33">
        <f>IFERROR(IF(AND(Leasing!BZ9=0,CA9&gt;0),'Assumption Sheet'!$N28*'Assumption Sheet'!$C28/10^7,BZ37/Leasing!BZ9*Leasing!CA9),0)</f>
        <v>3.1017267959969678E-2</v>
      </c>
      <c r="CB37" s="33">
        <f>IFERROR(IF(AND(Leasing!CA9=0,CB9&gt;0),'Assumption Sheet'!$N28*'Assumption Sheet'!$C28/10^7,CA37/Leasing!CA9*Leasing!CB9),0)</f>
        <v>3.1017267959969678E-2</v>
      </c>
      <c r="CC37" s="33">
        <f>IFERROR(IF(AND(Leasing!CB9=0,CC9&gt;0),'Assumption Sheet'!$N28*'Assumption Sheet'!$C28/10^7,CB37/Leasing!CB9*Leasing!CC9),0)</f>
        <v>3.1017267959969678E-2</v>
      </c>
      <c r="CD37" s="33">
        <f>IFERROR(IF(AND(Leasing!CC9=0,CD9&gt;0),'Assumption Sheet'!$N28*'Assumption Sheet'!$C28/10^7,CC37/Leasing!CC9*Leasing!CD9),0)</f>
        <v>3.1017267959969678E-2</v>
      </c>
      <c r="CE37" s="33">
        <f>IFERROR(IF(AND(Leasing!CD9=0,CE9&gt;0),'Assumption Sheet'!$N28*'Assumption Sheet'!$C28/10^7,CD37/Leasing!CD9*Leasing!CE9),0)</f>
        <v>3.2568131357968162E-2</v>
      </c>
      <c r="CF37" s="33">
        <f>IFERROR(IF(AND(Leasing!CE9=0,CF9&gt;0),'Assumption Sheet'!$N28*'Assumption Sheet'!$C28/10^7,CE37/Leasing!CE9*Leasing!CF9),0)</f>
        <v>3.2568131357968162E-2</v>
      </c>
      <c r="CG37" s="33">
        <f>IFERROR(IF(AND(Leasing!CF9=0,CG9&gt;0),'Assumption Sheet'!$N28*'Assumption Sheet'!$C28/10^7,CF37/Leasing!CF9*Leasing!CG9),0)</f>
        <v>3.2568131357968162E-2</v>
      </c>
      <c r="CH37" s="33">
        <f>IFERROR(IF(AND(Leasing!CG9=0,CH9&gt;0),'Assumption Sheet'!$N28*'Assumption Sheet'!$C28/10^7,CG37/Leasing!CG9*Leasing!CH9),0)</f>
        <v>3.2568131357968162E-2</v>
      </c>
      <c r="CI37" s="33">
        <f>IFERROR(IF(AND(Leasing!CH9=0,CI9&gt;0),'Assumption Sheet'!$N28*'Assumption Sheet'!$C28/10^7,CH37/Leasing!CH9*Leasing!CI9),0)</f>
        <v>3.2568131357968162E-2</v>
      </c>
      <c r="CJ37" s="33">
        <f>IFERROR(IF(AND(Leasing!CI9=0,CJ9&gt;0),'Assumption Sheet'!$N28*'Assumption Sheet'!$C28/10^7,CI37/Leasing!CI9*Leasing!CJ9),0)</f>
        <v>3.2568131357968162E-2</v>
      </c>
      <c r="CK37" s="33">
        <f>IFERROR(IF(AND(Leasing!CJ9=0,CK9&gt;0),'Assumption Sheet'!$N28*'Assumption Sheet'!$C28/10^7,CJ37/Leasing!CJ9*Leasing!CK9),0)</f>
        <v>3.2568131357968162E-2</v>
      </c>
      <c r="CL37" s="33">
        <f>IFERROR(IF(AND(Leasing!CK9=0,CL9&gt;0),'Assumption Sheet'!$N28*'Assumption Sheet'!$C28/10^7,CK37/Leasing!CK9*Leasing!CL9),0)</f>
        <v>3.2568131357968162E-2</v>
      </c>
      <c r="CM37" s="33">
        <f>IFERROR(IF(AND(Leasing!CL9=0,CM9&gt;0),'Assumption Sheet'!$N28*'Assumption Sheet'!$C28/10^7,CL37/Leasing!CL9*Leasing!CM9),0)</f>
        <v>3.2568131357968162E-2</v>
      </c>
      <c r="CN37" s="33">
        <f>IFERROR(IF(AND(Leasing!CM9=0,CN9&gt;0),'Assumption Sheet'!$N28*'Assumption Sheet'!$C28/10^7,CM37/Leasing!CM9*Leasing!CN9),0)</f>
        <v>3.2568131357968162E-2</v>
      </c>
      <c r="CO37" s="33">
        <f>IFERROR(IF(AND(Leasing!CN9=0,CO9&gt;0),'Assumption Sheet'!$N28*'Assumption Sheet'!$C28/10^7,CN37/Leasing!CN9*Leasing!CO9),0)</f>
        <v>3.2568131357968162E-2</v>
      </c>
      <c r="CP37" s="33">
        <f>IFERROR(IF(AND(Leasing!CO9=0,CP9&gt;0),'Assumption Sheet'!$N28*'Assumption Sheet'!$C28/10^7,CO37/Leasing!CO9*Leasing!CP9),0)</f>
        <v>3.2568131357968162E-2</v>
      </c>
      <c r="CQ37" s="33">
        <f>IFERROR(IF(AND(Leasing!CP9=0,CQ9&gt;0),'Assumption Sheet'!$N28*'Assumption Sheet'!$C28/10^7,CP37/Leasing!CP9*Leasing!CQ9),0)</f>
        <v>3.419653792586657E-2</v>
      </c>
      <c r="CR37" s="33">
        <f>IFERROR(IF(AND(Leasing!CQ9=0,CR9&gt;0),'Assumption Sheet'!$N28*'Assumption Sheet'!$C28/10^7,CQ37/Leasing!CQ9*Leasing!CR9),0)</f>
        <v>3.419653792586657E-2</v>
      </c>
      <c r="CS37" s="33">
        <f>IFERROR(IF(AND(Leasing!CR9=0,CS9&gt;0),'Assumption Sheet'!$N28*'Assumption Sheet'!$C28/10^7,CR37/Leasing!CR9*Leasing!CS9),0)</f>
        <v>3.419653792586657E-2</v>
      </c>
      <c r="CT37" s="33">
        <f>IFERROR(IF(AND(Leasing!CS9=0,CT9&gt;0),'Assumption Sheet'!$N28*'Assumption Sheet'!$C28/10^7,CS37/Leasing!CS9*Leasing!CT9),0)</f>
        <v>3.419653792586657E-2</v>
      </c>
      <c r="CU37" s="33">
        <f>IFERROR(IF(AND(Leasing!CT9=0,CU9&gt;0),'Assumption Sheet'!$N28*'Assumption Sheet'!$C28/10^7,CT37/Leasing!CT9*Leasing!CU9),0)</f>
        <v>3.419653792586657E-2</v>
      </c>
      <c r="CV37" s="33">
        <f>IFERROR(IF(AND(Leasing!CU9=0,CV9&gt;0),'Assumption Sheet'!$N28*'Assumption Sheet'!$C28/10^7,CU37/Leasing!CU9*Leasing!CV9),0)</f>
        <v>3.419653792586657E-2</v>
      </c>
      <c r="CW37" s="33">
        <f>IFERROR(IF(AND(Leasing!CV9=0,CW9&gt;0),'Assumption Sheet'!$N28*'Assumption Sheet'!$C28/10^7,CV37/Leasing!CV9*Leasing!CW9),0)</f>
        <v>3.419653792586657E-2</v>
      </c>
      <c r="CX37" s="33">
        <f>IFERROR(IF(AND(Leasing!CW9=0,CX9&gt;0),'Assumption Sheet'!$N28*'Assumption Sheet'!$C28/10^7,CW37/Leasing!CW9*Leasing!CX9),0)</f>
        <v>3.419653792586657E-2</v>
      </c>
      <c r="CY37" s="33">
        <f>IFERROR(IF(AND(Leasing!CX9=0,CY9&gt;0),'Assumption Sheet'!$N28*'Assumption Sheet'!$C28/10^7,CX37/Leasing!CX9*Leasing!CY9),0)</f>
        <v>3.419653792586657E-2</v>
      </c>
      <c r="CZ37" s="33">
        <f>IFERROR(IF(AND(Leasing!CY9=0,CZ9&gt;0),'Assumption Sheet'!$N28*'Assumption Sheet'!$C28/10^7,CY37/Leasing!CY9*Leasing!CZ9),0)</f>
        <v>3.419653792586657E-2</v>
      </c>
      <c r="DA37" s="33">
        <f>IFERROR(IF(AND(Leasing!CZ9=0,DA9&gt;0),'Assumption Sheet'!$N28*'Assumption Sheet'!$C28/10^7,CZ37/Leasing!CZ9*Leasing!DA9),0)</f>
        <v>3.419653792586657E-2</v>
      </c>
      <c r="DB37" s="33">
        <f>IFERROR(IF(AND(Leasing!DA9=0,DB9&gt;0),'Assumption Sheet'!$N28*'Assumption Sheet'!$C28/10^7,DA37/Leasing!DA9*Leasing!DB9),0)</f>
        <v>3.419653792586657E-2</v>
      </c>
      <c r="DC37" s="33">
        <f>IFERROR(IF(AND(Leasing!DB9=0,DC9&gt;0),'Assumption Sheet'!$N28*'Assumption Sheet'!$C28/10^7,DB37/Leasing!DB9*Leasing!DC9),0)</f>
        <v>3.5906364822159899E-2</v>
      </c>
      <c r="DD37" s="33">
        <f>IFERROR(IF(AND(Leasing!DC9=0,DD9&gt;0),'Assumption Sheet'!$N28*'Assumption Sheet'!$C28/10^7,DC37/Leasing!DC9*Leasing!DD9),0)</f>
        <v>3.5906364822159899E-2</v>
      </c>
      <c r="DE37" s="33">
        <f>IFERROR(IF(AND(Leasing!DD9=0,DE9&gt;0),'Assumption Sheet'!$N28*'Assumption Sheet'!$C28/10^7,DD37/Leasing!DD9*Leasing!DE9),0)</f>
        <v>3.5906364822159899E-2</v>
      </c>
      <c r="DF37" s="33">
        <f>IFERROR(IF(AND(Leasing!DE9=0,DF9&gt;0),'Assumption Sheet'!$N28*'Assumption Sheet'!$C28/10^7,DE37/Leasing!DE9*Leasing!DF9),0)</f>
        <v>3.5906364822159899E-2</v>
      </c>
      <c r="DG37" s="33">
        <f>IFERROR(IF(AND(Leasing!DF9=0,DG9&gt;0),'Assumption Sheet'!$N28*'Assumption Sheet'!$C28/10^7,DF37/Leasing!DF9*Leasing!DG9),0)</f>
        <v>3.5906364822159899E-2</v>
      </c>
      <c r="DH37" s="33">
        <f>IFERROR(IF(AND(Leasing!DG9=0,DH9&gt;0),'Assumption Sheet'!$N28*'Assumption Sheet'!$C28/10^7,DG37/Leasing!DG9*Leasing!DH9),0)</f>
        <v>3.5906364822159899E-2</v>
      </c>
      <c r="DI37" s="33">
        <f>IFERROR(IF(AND(Leasing!DH9=0,DI9&gt;0),'Assumption Sheet'!$N28*'Assumption Sheet'!$C28/10^7,DH37/Leasing!DH9*Leasing!DI9),0)</f>
        <v>3.5906364822159899E-2</v>
      </c>
      <c r="DJ37" s="33">
        <f>IFERROR(IF(AND(Leasing!DI9=0,DJ9&gt;0),'Assumption Sheet'!$N28*'Assumption Sheet'!$C28/10^7,DI37/Leasing!DI9*Leasing!DJ9),0)</f>
        <v>3.5906364822159899E-2</v>
      </c>
      <c r="DK37" s="33">
        <f>IFERROR(IF(AND(Leasing!DJ9=0,DK9&gt;0),'Assumption Sheet'!$N28*'Assumption Sheet'!$C28/10^7,DJ37/Leasing!DJ9*Leasing!DK9),0)</f>
        <v>3.5906364822159899E-2</v>
      </c>
      <c r="DL37" s="33">
        <f>IFERROR(IF(AND(Leasing!DK9=0,DL9&gt;0),'Assumption Sheet'!$N28*'Assumption Sheet'!$C28/10^7,DK37/Leasing!DK9*Leasing!DL9),0)</f>
        <v>3.5906364822159899E-2</v>
      </c>
      <c r="DM37" s="33">
        <f>IFERROR(IF(AND(Leasing!DL9=0,DM9&gt;0),'Assumption Sheet'!$N28*'Assumption Sheet'!$C28/10^7,DL37/Leasing!DL9*Leasing!DM9),0)</f>
        <v>3.5906364822159899E-2</v>
      </c>
      <c r="DN37" s="33">
        <f>IFERROR(IF(AND(Leasing!DM9=0,DN9&gt;0),'Assumption Sheet'!$N28*'Assumption Sheet'!$C28/10^7,DM37/Leasing!DM9*Leasing!DN9),0)</f>
        <v>3.5906364822159899E-2</v>
      </c>
      <c r="DO37" s="33">
        <f>IFERROR(IF(AND(Leasing!DN9=0,DO9&gt;0),'Assumption Sheet'!$N28*'Assumption Sheet'!$C28/10^7,DN37/Leasing!DN9*Leasing!DO9),0)</f>
        <v>3.7701683063267898E-2</v>
      </c>
      <c r="DP37" s="33">
        <f>IFERROR(IF(AND(Leasing!DO9=0,DP9&gt;0),'Assumption Sheet'!$N28*'Assumption Sheet'!$C28/10^7,DO37/Leasing!DO9*Leasing!DP9),0)</f>
        <v>3.7701683063267898E-2</v>
      </c>
      <c r="DQ37" s="33">
        <f>IFERROR(IF(AND(Leasing!DP9=0,DQ9&gt;0),'Assumption Sheet'!$N28*'Assumption Sheet'!$C28/10^7,DP37/Leasing!DP9*Leasing!DQ9),0)</f>
        <v>3.7701683063267898E-2</v>
      </c>
      <c r="DR37" s="33">
        <f>IFERROR(IF(AND(Leasing!DQ9=0,DR9&gt;0),'Assumption Sheet'!$N28*'Assumption Sheet'!$C28/10^7,DQ37/Leasing!DQ9*Leasing!DR9),0)</f>
        <v>3.7701683063267898E-2</v>
      </c>
      <c r="DS37" s="33">
        <f>IFERROR(IF(AND(Leasing!DR9=0,DS9&gt;0),'Assumption Sheet'!$N28*'Assumption Sheet'!$C28/10^7,DR37/Leasing!DR9*Leasing!DS9),0)</f>
        <v>3.7701683063267898E-2</v>
      </c>
      <c r="DT37" s="33">
        <f>IFERROR(IF(AND(Leasing!DS9=0,DT9&gt;0),'Assumption Sheet'!$N28*'Assumption Sheet'!$C28/10^7,DS37/Leasing!DS9*Leasing!DT9),0)</f>
        <v>3.7701683063267898E-2</v>
      </c>
      <c r="DU37" s="33">
        <f>IFERROR(IF(AND(Leasing!DT9=0,DU9&gt;0),'Assumption Sheet'!$N28*'Assumption Sheet'!$C28/10^7,DT37/Leasing!DT9*Leasing!DU9),0)</f>
        <v>3.7701683063267898E-2</v>
      </c>
      <c r="DV37" s="33">
        <f>IFERROR(IF(AND(Leasing!DU9=0,DV9&gt;0),'Assumption Sheet'!$N28*'Assumption Sheet'!$C28/10^7,DU37/Leasing!DU9*Leasing!DV9),0)</f>
        <v>3.7701683063267898E-2</v>
      </c>
      <c r="DW37" s="33">
        <f>IFERROR(IF(AND(Leasing!DV9=0,DW9&gt;0),'Assumption Sheet'!$N28*'Assumption Sheet'!$C28/10^7,DV37/Leasing!DV9*Leasing!DW9),0)</f>
        <v>3.7701683063267898E-2</v>
      </c>
      <c r="DX37" s="33">
        <f>IFERROR(IF(AND(Leasing!DW9=0,DX9&gt;0),'Assumption Sheet'!$N28*'Assumption Sheet'!$C28/10^7,DW37/Leasing!DW9*Leasing!DX9),0)</f>
        <v>3.7701683063267898E-2</v>
      </c>
      <c r="DY37" s="33">
        <f>IFERROR(IF(AND(Leasing!DX9=0,DY9&gt;0),'Assumption Sheet'!$N28*'Assumption Sheet'!$C28/10^7,DX37/Leasing!DX9*Leasing!DY9),0)</f>
        <v>3.7701683063267898E-2</v>
      </c>
      <c r="DZ37" s="33">
        <f>IFERROR(IF(AND(Leasing!DY9=0,DZ9&gt;0),'Assumption Sheet'!$N28*'Assumption Sheet'!$C28/10^7,DY37/Leasing!DY9*Leasing!DZ9),0)</f>
        <v>3.7701683063267898E-2</v>
      </c>
      <c r="EA37" s="33">
        <f>IFERROR(IF(AND(Leasing!DZ9=0,EA9&gt;0),'Assumption Sheet'!$N28*'Assumption Sheet'!$C28/10^7,DZ37/Leasing!DZ9*Leasing!EA9),0)</f>
        <v>3.9586767216431298E-2</v>
      </c>
      <c r="EB37" s="33">
        <f>IFERROR(IF(AND(Leasing!EA9=0,EB9&gt;0),'Assumption Sheet'!$N28*'Assumption Sheet'!$C28/10^7,EA37/Leasing!EA9*Leasing!EB9),0)</f>
        <v>3.9586767216431298E-2</v>
      </c>
      <c r="EC37" s="33">
        <f>IFERROR(IF(AND(Leasing!EB9=0,EC9&gt;0),'Assumption Sheet'!$N28*'Assumption Sheet'!$C28/10^7,EB37/Leasing!EB9*Leasing!EC9),0)</f>
        <v>3.9586767216431298E-2</v>
      </c>
      <c r="ED37" s="33">
        <f>IFERROR(IF(AND(Leasing!EC9=0,ED9&gt;0),'Assumption Sheet'!$N28*'Assumption Sheet'!$C28/10^7,EC37/Leasing!EC9*Leasing!ED9),0)</f>
        <v>3.9586767216431298E-2</v>
      </c>
      <c r="EE37" s="33">
        <f>IFERROR(IF(AND(Leasing!ED9=0,EE9&gt;0),'Assumption Sheet'!$N28*'Assumption Sheet'!$C28/10^7,ED37/Leasing!ED9*Leasing!EE9),0)</f>
        <v>3.9586767216431298E-2</v>
      </c>
      <c r="EF37" s="33">
        <f>IFERROR(IF(AND(Leasing!EE9=0,EF9&gt;0),'Assumption Sheet'!$N28*'Assumption Sheet'!$C28/10^7,EE37/Leasing!EE9*Leasing!EF9),0)</f>
        <v>3.9586767216431298E-2</v>
      </c>
      <c r="EG37" s="33">
        <f>IFERROR(IF(AND(Leasing!EF9=0,EG9&gt;0),'Assumption Sheet'!$N28*'Assumption Sheet'!$C28/10^7,EF37/Leasing!EF9*Leasing!EG9),0)</f>
        <v>3.9586767216431298E-2</v>
      </c>
      <c r="EH37" s="33">
        <f>IFERROR(IF(AND(Leasing!EG9=0,EH9&gt;0),'Assumption Sheet'!$N28*'Assumption Sheet'!$C28/10^7,EG37/Leasing!EG9*Leasing!EH9),0)</f>
        <v>3.9586767216431298E-2</v>
      </c>
      <c r="EI37" s="33">
        <f>IFERROR(IF(AND(Leasing!EH9=0,EI9&gt;0),'Assumption Sheet'!$N28*'Assumption Sheet'!$C28/10^7,EH37/Leasing!EH9*Leasing!EI9),0)</f>
        <v>3.9586767216431298E-2</v>
      </c>
      <c r="EJ37" s="33">
        <f>IFERROR(IF(AND(Leasing!EI9=0,EJ9&gt;0),'Assumption Sheet'!$N28*'Assumption Sheet'!$C28/10^7,EI37/Leasing!EI9*Leasing!EJ9),0)</f>
        <v>3.9586767216431298E-2</v>
      </c>
      <c r="EK37" s="33">
        <f>IFERROR(IF(AND(Leasing!EJ9=0,EK9&gt;0),'Assumption Sheet'!$N28*'Assumption Sheet'!$C28/10^7,EJ37/Leasing!EJ9*Leasing!EK9),0)</f>
        <v>3.9586767216431298E-2</v>
      </c>
      <c r="EL37" s="33">
        <f>IFERROR(IF(AND(Leasing!EK9=0,EL9&gt;0),'Assumption Sheet'!$N28*'Assumption Sheet'!$C28/10^7,EK37/Leasing!EK9*Leasing!EL9),0)</f>
        <v>3.9586767216431298E-2</v>
      </c>
      <c r="EM37" s="33">
        <f>IFERROR(IF(AND(Leasing!EL9=0,EM9&gt;0),'Assumption Sheet'!$N28*'Assumption Sheet'!$C28/10^7,EL37/Leasing!EL9*Leasing!EM9),0)</f>
        <v>4.1566105577252863E-2</v>
      </c>
      <c r="EN37" s="33">
        <f>IFERROR(IF(AND(Leasing!EM9=0,EN9&gt;0),'Assumption Sheet'!$N28*'Assumption Sheet'!$C28/10^7,EM37/Leasing!EM9*Leasing!EN9),0)</f>
        <v>4.1566105577252863E-2</v>
      </c>
      <c r="EO37" s="33">
        <f>IFERROR(IF(AND(Leasing!EN9=0,EO9&gt;0),'Assumption Sheet'!$N28*'Assumption Sheet'!$C28/10^7,EN37/Leasing!EN9*Leasing!EO9),0)</f>
        <v>4.1566105577252863E-2</v>
      </c>
      <c r="EP37" s="33">
        <f>IFERROR(IF(AND(Leasing!EO9=0,EP9&gt;0),'Assumption Sheet'!$N28*'Assumption Sheet'!$C28/10^7,EO37/Leasing!EO9*Leasing!EP9),0)</f>
        <v>4.1566105577252863E-2</v>
      </c>
      <c r="EQ37" s="33">
        <f>IFERROR(IF(AND(Leasing!EP9=0,EQ9&gt;0),'Assumption Sheet'!$N28*'Assumption Sheet'!$C28/10^7,EP37/Leasing!EP9*Leasing!EQ9),0)</f>
        <v>4.1566105577252863E-2</v>
      </c>
      <c r="ER37" s="33">
        <f>IFERROR(IF(AND(Leasing!EQ9=0,ER9&gt;0),'Assumption Sheet'!$N28*'Assumption Sheet'!$C28/10^7,EQ37/Leasing!EQ9*Leasing!ER9),0)</f>
        <v>4.1566105577252863E-2</v>
      </c>
      <c r="ES37" s="33">
        <f>IFERROR(IF(AND(Leasing!ER9=0,ES9&gt;0),'Assumption Sheet'!$N28*'Assumption Sheet'!$C28/10^7,ER37/Leasing!ER9*Leasing!ES9),0)</f>
        <v>4.1566105577252863E-2</v>
      </c>
      <c r="ET37" s="33">
        <f>IFERROR(IF(AND(Leasing!ES9=0,ET9&gt;0),'Assumption Sheet'!$N28*'Assumption Sheet'!$C28/10^7,ES37/Leasing!ES9*Leasing!ET9),0)</f>
        <v>4.1566105577252863E-2</v>
      </c>
      <c r="EU37" s="33">
        <f>IFERROR(IF(AND(Leasing!ET9=0,EU9&gt;0),'Assumption Sheet'!$N28*'Assumption Sheet'!$C28/10^7,ET37/Leasing!ET9*Leasing!EU9),0)</f>
        <v>4.1566105577252863E-2</v>
      </c>
      <c r="EV37" s="33">
        <f>IFERROR(IF(AND(Leasing!EU9=0,EV9&gt;0),'Assumption Sheet'!$N28*'Assumption Sheet'!$C28/10^7,EU37/Leasing!EU9*Leasing!EV9),0)</f>
        <v>4.1566105577252863E-2</v>
      </c>
      <c r="EW37" s="33">
        <f>IFERROR(IF(AND(Leasing!EV9=0,EW9&gt;0),'Assumption Sheet'!$N28*'Assumption Sheet'!$C28/10^7,EV37/Leasing!EV9*Leasing!EW9),0)</f>
        <v>4.1566105577252863E-2</v>
      </c>
      <c r="EX37" s="33">
        <f>IFERROR(IF(AND(Leasing!EW9=0,EX9&gt;0),'Assumption Sheet'!$N28*'Assumption Sheet'!$C28/10^7,EW37/Leasing!EW9*Leasing!EX9),0)</f>
        <v>4.1566105577252863E-2</v>
      </c>
      <c r="EY37" s="33">
        <f>IFERROR(IF(AND(Leasing!EX9=0,EY9&gt;0),'Assumption Sheet'!$N28*'Assumption Sheet'!$C28/10^7,EX37/Leasing!EX9*Leasing!EY9),0)</f>
        <v>4.3644410856115513E-2</v>
      </c>
      <c r="EZ37" s="33">
        <f>IFERROR(IF(AND(Leasing!EY9=0,EZ9&gt;0),'Assumption Sheet'!$N28*'Assumption Sheet'!$C28/10^7,EY37/Leasing!EY9*Leasing!EZ9),0)</f>
        <v>4.3644410856115513E-2</v>
      </c>
      <c r="FA37" s="33">
        <f>IFERROR(IF(AND(Leasing!EZ9=0,FA9&gt;0),'Assumption Sheet'!$N28*'Assumption Sheet'!$C28/10^7,EZ37/Leasing!EZ9*Leasing!FA9),0)</f>
        <v>4.3644410856115513E-2</v>
      </c>
      <c r="FB37" s="33">
        <f>IFERROR(IF(AND(Leasing!FA9=0,FB9&gt;0),'Assumption Sheet'!$N28*'Assumption Sheet'!$C28/10^7,FA37/Leasing!FA9*Leasing!FB9),0)</f>
        <v>4.3644410856115513E-2</v>
      </c>
      <c r="FC37" s="33">
        <f>IFERROR(IF(AND(Leasing!FB9=0,FC9&gt;0),'Assumption Sheet'!$N28*'Assumption Sheet'!$C28/10^7,FB37/Leasing!FB9*Leasing!FC9),0)</f>
        <v>4.3644410856115513E-2</v>
      </c>
      <c r="FD37" s="33">
        <f>IFERROR(IF(AND(Leasing!FC9=0,FD9&gt;0),'Assumption Sheet'!$N28*'Assumption Sheet'!$C28/10^7,FC37/Leasing!FC9*Leasing!FD9),0)</f>
        <v>4.3644410856115513E-2</v>
      </c>
      <c r="FE37" s="33">
        <f>IFERROR(IF(AND(Leasing!FD9=0,FE9&gt;0),'Assumption Sheet'!$N28*'Assumption Sheet'!$C28/10^7,FD37/Leasing!FD9*Leasing!FE9),0)</f>
        <v>4.3644410856115513E-2</v>
      </c>
      <c r="FF37" s="33">
        <f>IFERROR(IF(AND(Leasing!FE9=0,FF9&gt;0),'Assumption Sheet'!$N28*'Assumption Sheet'!$C28/10^7,FE37/Leasing!FE9*Leasing!FF9),0)</f>
        <v>4.3644410856115513E-2</v>
      </c>
      <c r="FG37" s="33">
        <f>IFERROR(IF(AND(Leasing!FF9=0,FG9&gt;0),'Assumption Sheet'!$N28*'Assumption Sheet'!$C28/10^7,FF37/Leasing!FF9*Leasing!FG9),0)</f>
        <v>4.3644410856115513E-2</v>
      </c>
      <c r="FH37" s="33">
        <f>IFERROR(IF(AND(Leasing!FG9=0,FH9&gt;0),'Assumption Sheet'!$N28*'Assumption Sheet'!$C28/10^7,FG37/Leasing!FG9*Leasing!FH9),0)</f>
        <v>4.3644410856115513E-2</v>
      </c>
      <c r="FI37" s="33">
        <f>IFERROR(IF(AND(Leasing!FH9=0,FI9&gt;0),'Assumption Sheet'!$N28*'Assumption Sheet'!$C28/10^7,FH37/Leasing!FH9*Leasing!FI9),0)</f>
        <v>4.3644410856115513E-2</v>
      </c>
      <c r="FJ37" s="33">
        <f>IFERROR(IF(AND(Leasing!FI9=0,FJ9&gt;0),'Assumption Sheet'!$N28*'Assumption Sheet'!$C28/10^7,FI37/Leasing!FI9*Leasing!FJ9),0)</f>
        <v>4.3644410856115513E-2</v>
      </c>
      <c r="FK37" s="33">
        <f>IFERROR(IF(AND(Leasing!FJ9=0,FK9&gt;0),'Assumption Sheet'!$N28*'Assumption Sheet'!$C28/10^7,FJ37/Leasing!FJ9*Leasing!FK9),0)</f>
        <v>4.5826631398921291E-2</v>
      </c>
      <c r="FL37" s="33">
        <f>IFERROR(IF(AND(Leasing!FK9=0,FL9&gt;0),'Assumption Sheet'!$N28*'Assumption Sheet'!$C28/10^7,FK37/Leasing!FK9*Leasing!FL9),0)</f>
        <v>4.5826631398921291E-2</v>
      </c>
      <c r="FM37" s="33">
        <f>IFERROR(IF(AND(Leasing!FL9=0,FM9&gt;0),'Assumption Sheet'!$N28*'Assumption Sheet'!$C28/10^7,FL37/Leasing!FL9*Leasing!FM9),0)</f>
        <v>4.5826631398921291E-2</v>
      </c>
      <c r="FN37" s="33">
        <f>IFERROR(IF(AND(Leasing!FM9=0,FN9&gt;0),'Assumption Sheet'!$N28*'Assumption Sheet'!$C28/10^7,FM37/Leasing!FM9*Leasing!FN9),0)</f>
        <v>4.5826631398921291E-2</v>
      </c>
      <c r="FO37" s="33">
        <f>IFERROR(IF(AND(Leasing!FN9=0,FO9&gt;0),'Assumption Sheet'!$N28*'Assumption Sheet'!$C28/10^7,FN37/Leasing!FN9*Leasing!FO9),0)</f>
        <v>4.5826631398921291E-2</v>
      </c>
      <c r="FP37" s="33">
        <f>IFERROR(IF(AND(Leasing!FO9=0,FP9&gt;0),'Assumption Sheet'!$N28*'Assumption Sheet'!$C28/10^7,FO37/Leasing!FO9*Leasing!FP9),0)</f>
        <v>4.5826631398921291E-2</v>
      </c>
      <c r="FQ37" s="33">
        <f>IFERROR(IF(AND(Leasing!FP9=0,FQ9&gt;0),'Assumption Sheet'!$N28*'Assumption Sheet'!$C28/10^7,FP37/Leasing!FP9*Leasing!FQ9),0)</f>
        <v>4.5826631398921291E-2</v>
      </c>
      <c r="FR37" s="33">
        <f>IFERROR(IF(AND(Leasing!FQ9=0,FR9&gt;0),'Assumption Sheet'!$N28*'Assumption Sheet'!$C28/10^7,FQ37/Leasing!FQ9*Leasing!FR9),0)</f>
        <v>4.5826631398921291E-2</v>
      </c>
      <c r="FS37" s="33">
        <f>IFERROR(IF(AND(Leasing!FR9=0,FS9&gt;0),'Assumption Sheet'!$N28*'Assumption Sheet'!$C28/10^7,FR37/Leasing!FR9*Leasing!FS9),0)</f>
        <v>4.5826631398921291E-2</v>
      </c>
      <c r="FT37" s="33">
        <f>IFERROR(IF(AND(Leasing!FS9=0,FT9&gt;0),'Assumption Sheet'!$N28*'Assumption Sheet'!$C28/10^7,FS37/Leasing!FS9*Leasing!FT9),0)</f>
        <v>4.5826631398921291E-2</v>
      </c>
      <c r="FU37" s="33">
        <f>IFERROR(IF(AND(Leasing!FT9=0,FU9&gt;0),'Assumption Sheet'!$N28*'Assumption Sheet'!$C28/10^7,FT37/Leasing!FT9*Leasing!FU9),0)</f>
        <v>4.5826631398921291E-2</v>
      </c>
      <c r="FV37" s="33">
        <f>IFERROR(IF(AND(Leasing!FU9=0,FV9&gt;0),'Assumption Sheet'!$N28*'Assumption Sheet'!$C28/10^7,FU37/Leasing!FU9*Leasing!FV9),0)</f>
        <v>4.5826631398921291E-2</v>
      </c>
      <c r="FW37" s="33">
        <f>IFERROR(IF(AND(Leasing!FV9=0,FW9&gt;0),'Assumption Sheet'!$N28*'Assumption Sheet'!$C28/10^7,FV37/Leasing!FV9*Leasing!FW9),0)</f>
        <v>4.8117962968867355E-2</v>
      </c>
      <c r="FX37" s="33">
        <f>IFERROR(IF(AND(Leasing!FW9=0,FX9&gt;0),'Assumption Sheet'!$N28*'Assumption Sheet'!$C28/10^7,FW37/Leasing!FW9*Leasing!FX9),0)</f>
        <v>4.8117962968867355E-2</v>
      </c>
      <c r="FY37" s="33">
        <f>IFERROR(IF(AND(Leasing!FX9=0,FY9&gt;0),'Assumption Sheet'!$N28*'Assumption Sheet'!$C28/10^7,FX37/Leasing!FX9*Leasing!FY9),0)</f>
        <v>4.8117962968867355E-2</v>
      </c>
      <c r="FZ37" s="33">
        <f>IFERROR(IF(AND(Leasing!FY9=0,FZ9&gt;0),'Assumption Sheet'!$N28*'Assumption Sheet'!$C28/10^7,FY37/Leasing!FY9*Leasing!FZ9),0)</f>
        <v>4.8117962968867355E-2</v>
      </c>
      <c r="GA37" s="33">
        <f>IFERROR(IF(AND(Leasing!FZ9=0,GA9&gt;0),'Assumption Sheet'!$N28*'Assumption Sheet'!$C28/10^7,FZ37/Leasing!FZ9*Leasing!GA9),0)</f>
        <v>4.8117962968867355E-2</v>
      </c>
      <c r="GB37" s="33">
        <f>IFERROR(IF(AND(Leasing!GA9=0,GB9&gt;0),'Assumption Sheet'!$N28*'Assumption Sheet'!$C28/10^7,GA37/Leasing!GA9*Leasing!GB9),0)</f>
        <v>4.8117962968867355E-2</v>
      </c>
      <c r="GC37" s="33">
        <f>IFERROR(IF(AND(Leasing!GB9=0,GC9&gt;0),'Assumption Sheet'!$N28*'Assumption Sheet'!$C28/10^7,GB37/Leasing!GB9*Leasing!GC9),0)</f>
        <v>4.8117962968867355E-2</v>
      </c>
      <c r="GD37" s="33">
        <f>IFERROR(IF(AND(Leasing!GC9=0,GD9&gt;0),'Assumption Sheet'!$N28*'Assumption Sheet'!$C28/10^7,GC37/Leasing!GC9*Leasing!GD9),0)</f>
        <v>4.8117962968867355E-2</v>
      </c>
      <c r="GE37" s="33">
        <f>IFERROR(IF(AND(Leasing!GD9=0,GE9&gt;0),'Assumption Sheet'!$N28*'Assumption Sheet'!$C28/10^7,GD37/Leasing!GD9*Leasing!GE9),0)</f>
        <v>4.8117962968867355E-2</v>
      </c>
      <c r="GF37" s="33">
        <f>IFERROR(IF(AND(Leasing!GE9=0,GF9&gt;0),'Assumption Sheet'!$N28*'Assumption Sheet'!$C28/10^7,GE37/Leasing!GE9*Leasing!GF9),0)</f>
        <v>4.8117962968867355E-2</v>
      </c>
      <c r="GG37" s="33">
        <f>IFERROR(IF(AND(Leasing!GF9=0,GG9&gt;0),'Assumption Sheet'!$N28*'Assumption Sheet'!$C28/10^7,GF37/Leasing!GF9*Leasing!GG9),0)</f>
        <v>4.8117962968867355E-2</v>
      </c>
      <c r="GH37" s="33">
        <f>IFERROR(IF(AND(Leasing!GG9=0,GH9&gt;0),'Assumption Sheet'!$N28*'Assumption Sheet'!$C28/10^7,GG37/Leasing!GG9*Leasing!GH9),0)</f>
        <v>4.8117962968867355E-2</v>
      </c>
      <c r="GI37" s="33">
        <f>IFERROR(IF(AND(Leasing!GH9=0,GI9&gt;0),'Assumption Sheet'!$N28*'Assumption Sheet'!$C28/10^7,GH37/Leasing!GH9*Leasing!GI9),0)</f>
        <v>5.0523861117310727E-2</v>
      </c>
      <c r="GJ37" s="33">
        <f>IFERROR(IF(AND(Leasing!GI9=0,GJ9&gt;0),'Assumption Sheet'!$N28*'Assumption Sheet'!$C28/10^7,GI37/Leasing!GI9*Leasing!GJ9),0)</f>
        <v>5.0523861117310727E-2</v>
      </c>
      <c r="GK37" s="33">
        <f>IFERROR(IF(AND(Leasing!GJ9=0,GK9&gt;0),'Assumption Sheet'!$N28*'Assumption Sheet'!$C28/10^7,GJ37/Leasing!GJ9*Leasing!GK9),0)</f>
        <v>5.0523861117310727E-2</v>
      </c>
      <c r="GL37" s="33">
        <f>IFERROR(IF(AND(Leasing!GK9=0,GL9&gt;0),'Assumption Sheet'!$N28*'Assumption Sheet'!$C28/10^7,GK37/Leasing!GK9*Leasing!GL9),0)</f>
        <v>5.0523861117310727E-2</v>
      </c>
      <c r="GM37" s="33">
        <f>IFERROR(IF(AND(Leasing!GL9=0,GM9&gt;0),'Assumption Sheet'!$N28*'Assumption Sheet'!$C28/10^7,GL37/Leasing!GL9*Leasing!GM9),0)</f>
        <v>5.0523861117310727E-2</v>
      </c>
      <c r="GN37" s="33">
        <f>IFERROR(IF(AND(Leasing!GM9=0,GN9&gt;0),'Assumption Sheet'!$N28*'Assumption Sheet'!$C28/10^7,GM37/Leasing!GM9*Leasing!GN9),0)</f>
        <v>5.0523861117310727E-2</v>
      </c>
      <c r="GO37" s="33">
        <f>IFERROR(IF(AND(Leasing!GN9=0,GO9&gt;0),'Assumption Sheet'!$N28*'Assumption Sheet'!$C28/10^7,GN37/Leasing!GN9*Leasing!GO9),0)</f>
        <v>5.0523861117310727E-2</v>
      </c>
      <c r="GP37" s="33">
        <f>IFERROR(IF(AND(Leasing!GO9=0,GP9&gt;0),'Assumption Sheet'!$N28*'Assumption Sheet'!$C28/10^7,GO37/Leasing!GO9*Leasing!GP9),0)</f>
        <v>5.0523861117310727E-2</v>
      </c>
      <c r="GQ37" s="33">
        <f>IFERROR(IF(AND(Leasing!GP9=0,GQ9&gt;0),'Assumption Sheet'!$N28*'Assumption Sheet'!$C28/10^7,GP37/Leasing!GP9*Leasing!GQ9),0)</f>
        <v>5.0523861117310727E-2</v>
      </c>
      <c r="GR37" s="33">
        <f>IFERROR(IF(AND(Leasing!GQ9=0,GR9&gt;0),'Assumption Sheet'!$N28*'Assumption Sheet'!$C28/10^7,GQ37/Leasing!GQ9*Leasing!GR9),0)</f>
        <v>5.0523861117310727E-2</v>
      </c>
      <c r="GS37" s="33">
        <f>IFERROR(IF(AND(Leasing!GR9=0,GS9&gt;0),'Assumption Sheet'!$N28*'Assumption Sheet'!$C28/10^7,GR37/Leasing!GR9*Leasing!GS9),0)</f>
        <v>5.0523861117310727E-2</v>
      </c>
      <c r="GT37" s="33">
        <f>IFERROR(IF(AND(Leasing!GS9=0,GT9&gt;0),'Assumption Sheet'!$N28*'Assumption Sheet'!$C28/10^7,GS37/Leasing!GS9*Leasing!GT9),0)</f>
        <v>5.0523861117310727E-2</v>
      </c>
      <c r="GU37" s="33">
        <f>IFERROR(IF(AND(Leasing!GT9=0,GU9&gt;0),'Assumption Sheet'!$N28*'Assumption Sheet'!$C28/10^7,GT37/Leasing!GT9*Leasing!GU9),0)</f>
        <v>5.3050054173176264E-2</v>
      </c>
      <c r="GV37" s="33">
        <f>IFERROR(IF(AND(Leasing!GU9=0,GV9&gt;0),'Assumption Sheet'!$N28*'Assumption Sheet'!$C28/10^7,GU37/Leasing!GU9*Leasing!GV9),0)</f>
        <v>5.3050054173176264E-2</v>
      </c>
      <c r="GW37" s="33">
        <f>IFERROR(IF(AND(Leasing!GV9=0,GW9&gt;0),'Assumption Sheet'!$N28*'Assumption Sheet'!$C28/10^7,GV37/Leasing!GV9*Leasing!GW9),0)</f>
        <v>5.3050054173176264E-2</v>
      </c>
      <c r="GX37" s="33">
        <f>IFERROR(IF(AND(Leasing!GW9=0,GX9&gt;0),'Assumption Sheet'!$N28*'Assumption Sheet'!$C28/10^7,GW37/Leasing!GW9*Leasing!GX9),0)</f>
        <v>5.3050054173176264E-2</v>
      </c>
      <c r="GY37" s="33">
        <f>IFERROR(IF(AND(Leasing!GX9=0,GY9&gt;0),'Assumption Sheet'!$N28*'Assumption Sheet'!$C28/10^7,GX37/Leasing!GX9*Leasing!GY9),0)</f>
        <v>5.3050054173176264E-2</v>
      </c>
      <c r="GZ37" s="33">
        <f>IFERROR(IF(AND(Leasing!GY9=0,GZ9&gt;0),'Assumption Sheet'!$N28*'Assumption Sheet'!$C28/10^7,GY37/Leasing!GY9*Leasing!GZ9),0)</f>
        <v>5.3050054173176264E-2</v>
      </c>
      <c r="HA37" s="33">
        <f>IFERROR(IF(AND(Leasing!GZ9=0,HA9&gt;0),'Assumption Sheet'!$N28*'Assumption Sheet'!$C28/10^7,GZ37/Leasing!GZ9*Leasing!HA9),0)</f>
        <v>5.3050054173176264E-2</v>
      </c>
      <c r="HB37" s="33">
        <f>IFERROR(IF(AND(Leasing!HA9=0,HB9&gt;0),'Assumption Sheet'!$N28*'Assumption Sheet'!$C28/10^7,HA37/Leasing!HA9*Leasing!HB9),0)</f>
        <v>5.3050054173176264E-2</v>
      </c>
      <c r="HC37" s="33">
        <f>IFERROR(IF(AND(Leasing!HB9=0,HC9&gt;0),'Assumption Sheet'!$N28*'Assumption Sheet'!$C28/10^7,HB37/Leasing!HB9*Leasing!HC9),0)</f>
        <v>5.3050054173176264E-2</v>
      </c>
      <c r="HD37" s="33">
        <f>IFERROR(IF(AND(Leasing!HC9=0,HD9&gt;0),'Assumption Sheet'!$N28*'Assumption Sheet'!$C28/10^7,HC37/Leasing!HC9*Leasing!HD9),0)</f>
        <v>5.3050054173176264E-2</v>
      </c>
      <c r="HE37" s="33">
        <f>IFERROR(IF(AND(Leasing!HD9=0,HE9&gt;0),'Assumption Sheet'!$N28*'Assumption Sheet'!$C28/10^7,HD37/Leasing!HD9*Leasing!HE9),0)</f>
        <v>5.3050054173176264E-2</v>
      </c>
      <c r="HF37" s="33">
        <f>IFERROR(IF(AND(Leasing!HE9=0,HF9&gt;0),'Assumption Sheet'!$N28*'Assumption Sheet'!$C28/10^7,HE37/Leasing!HE9*Leasing!HF9),0)</f>
        <v>5.3050054173176264E-2</v>
      </c>
      <c r="HG37" s="33">
        <f>IFERROR(IF(AND(Leasing!HF9=0,HG9&gt;0),'Assumption Sheet'!$N28*'Assumption Sheet'!$C28/10^7,HF37/Leasing!HF9*Leasing!HG9),0)</f>
        <v>5.5702556881835084E-2</v>
      </c>
      <c r="HH37" s="33">
        <f>IFERROR(IF(AND(Leasing!HG9=0,HH9&gt;0),'Assumption Sheet'!$N28*'Assumption Sheet'!$C28/10^7,HG37/Leasing!HG9*Leasing!HH9),0)</f>
        <v>5.5702556881835084E-2</v>
      </c>
      <c r="HI37" s="33">
        <f>IFERROR(IF(AND(Leasing!HH9=0,HI9&gt;0),'Assumption Sheet'!$N28*'Assumption Sheet'!$C28/10^7,HH37/Leasing!HH9*Leasing!HI9),0)</f>
        <v>5.5702556881835084E-2</v>
      </c>
      <c r="HJ37" s="33">
        <f>IFERROR(IF(AND(Leasing!HI9=0,HJ9&gt;0),'Assumption Sheet'!$N28*'Assumption Sheet'!$C28/10^7,HI37/Leasing!HI9*Leasing!HJ9),0)</f>
        <v>5.5702556881835084E-2</v>
      </c>
      <c r="HK37" s="33">
        <f>IFERROR(IF(AND(Leasing!HJ9=0,HK9&gt;0),'Assumption Sheet'!$N28*'Assumption Sheet'!$C28/10^7,HJ37/Leasing!HJ9*Leasing!HK9),0)</f>
        <v>5.5702556881835084E-2</v>
      </c>
      <c r="HL37" s="33">
        <f>IFERROR(IF(AND(Leasing!HK9=0,HL9&gt;0),'Assumption Sheet'!$N28*'Assumption Sheet'!$C28/10^7,HK37/Leasing!HK9*Leasing!HL9),0)</f>
        <v>5.5702556881835084E-2</v>
      </c>
      <c r="HM37" s="33">
        <f>IFERROR(IF(AND(Leasing!HL9=0,HM9&gt;0),'Assumption Sheet'!$N28*'Assumption Sheet'!$C28/10^7,HL37/Leasing!HL9*Leasing!HM9),0)</f>
        <v>5.5702556881835084E-2</v>
      </c>
      <c r="HN37" s="33">
        <f>IFERROR(IF(AND(Leasing!HM9=0,HN9&gt;0),'Assumption Sheet'!$N28*'Assumption Sheet'!$C28/10^7,HM37/Leasing!HM9*Leasing!HN9),0)</f>
        <v>5.5702556881835084E-2</v>
      </c>
      <c r="HO37" s="33">
        <f>IFERROR(IF(AND(Leasing!HN9=0,HO9&gt;0),'Assumption Sheet'!$N28*'Assumption Sheet'!$C28/10^7,HN37/Leasing!HN9*Leasing!HO9),0)</f>
        <v>5.5702556881835084E-2</v>
      </c>
      <c r="HP37" s="33">
        <f>IFERROR(IF(AND(Leasing!HO9=0,HP9&gt;0),'Assumption Sheet'!$N28*'Assumption Sheet'!$C28/10^7,HO37/Leasing!HO9*Leasing!HP9),0)</f>
        <v>5.5702556881835084E-2</v>
      </c>
      <c r="HQ37" s="33">
        <f>IFERROR(IF(AND(Leasing!HP9=0,HQ9&gt;0),'Assumption Sheet'!$N28*'Assumption Sheet'!$C28/10^7,HP37/Leasing!HP9*Leasing!HQ9),0)</f>
        <v>5.5702556881835084E-2</v>
      </c>
      <c r="HR37" s="33">
        <f>IFERROR(IF(AND(Leasing!HQ9=0,HR9&gt;0),'Assumption Sheet'!$N28*'Assumption Sheet'!$C28/10^7,HQ37/Leasing!HQ9*Leasing!HR9),0)</f>
        <v>5.5702556881835084E-2</v>
      </c>
      <c r="HS37" s="33">
        <f>IFERROR(IF(AND(Leasing!HR9=0,HS9&gt;0),'Assumption Sheet'!$N28*'Assumption Sheet'!$C28/10^7,HR37/Leasing!HR9*Leasing!HS9),0)</f>
        <v>5.8487684725926838E-2</v>
      </c>
      <c r="HT37" s="33">
        <f>IFERROR(IF(AND(Leasing!HS9=0,HT9&gt;0),'Assumption Sheet'!$N28*'Assumption Sheet'!$C28/10^7,HS37/Leasing!HS9*Leasing!HT9),0)</f>
        <v>5.8487684725926838E-2</v>
      </c>
      <c r="HU37" s="33">
        <f>IFERROR(IF(AND(Leasing!HT9=0,HU9&gt;0),'Assumption Sheet'!$N28*'Assumption Sheet'!$C28/10^7,HT37/Leasing!HT9*Leasing!HU9),0)</f>
        <v>5.8487684725926838E-2</v>
      </c>
      <c r="HV37" s="33">
        <f>IFERROR(IF(AND(Leasing!HU9=0,HV9&gt;0),'Assumption Sheet'!$N28*'Assumption Sheet'!$C28/10^7,HU37/Leasing!HU9*Leasing!HV9),0)</f>
        <v>5.8487684725926838E-2</v>
      </c>
      <c r="HW37" s="33">
        <f>IFERROR(IF(AND(Leasing!HV9=0,HW9&gt;0),'Assumption Sheet'!$N28*'Assumption Sheet'!$C28/10^7,HV37/Leasing!HV9*Leasing!HW9),0)</f>
        <v>5.8487684725926838E-2</v>
      </c>
      <c r="HX37" s="33">
        <f>IFERROR(IF(AND(Leasing!HW9=0,HX9&gt;0),'Assumption Sheet'!$N28*'Assumption Sheet'!$C28/10^7,HW37/Leasing!HW9*Leasing!HX9),0)</f>
        <v>5.8487684725926838E-2</v>
      </c>
      <c r="HY37" s="33">
        <f>IFERROR(IF(AND(Leasing!HX9=0,HY9&gt;0),'Assumption Sheet'!$N28*'Assumption Sheet'!$C28/10^7,HX37/Leasing!HX9*Leasing!HY9),0)</f>
        <v>5.8487684725926838E-2</v>
      </c>
      <c r="HZ37" s="33">
        <f>IFERROR(IF(AND(Leasing!HY9=0,HZ9&gt;0),'Assumption Sheet'!$N28*'Assumption Sheet'!$C28/10^7,HY37/Leasing!HY9*Leasing!HZ9),0)</f>
        <v>5.8487684725926838E-2</v>
      </c>
      <c r="IA37" s="33">
        <f>IFERROR(IF(AND(Leasing!HZ9=0,IA9&gt;0),'Assumption Sheet'!$N28*'Assumption Sheet'!$C28/10^7,HZ37/Leasing!HZ9*Leasing!IA9),0)</f>
        <v>5.8487684725926838E-2</v>
      </c>
      <c r="IB37" s="33">
        <f>IFERROR(IF(AND(Leasing!IA9=0,IB9&gt;0),'Assumption Sheet'!$N28*'Assumption Sheet'!$C28/10^7,IA37/Leasing!IA9*Leasing!IB9),0)</f>
        <v>5.8487684725926838E-2</v>
      </c>
      <c r="IC37" s="33">
        <f>IFERROR(IF(AND(Leasing!IB9=0,IC9&gt;0),'Assumption Sheet'!$N28*'Assumption Sheet'!$C28/10^7,IB37/Leasing!IB9*Leasing!IC9),0)</f>
        <v>5.8487684725926838E-2</v>
      </c>
      <c r="ID37" s="33">
        <f>IFERROR(IF(AND(Leasing!IC9=0,ID9&gt;0),'Assumption Sheet'!$N28*'Assumption Sheet'!$C28/10^7,IC37/Leasing!IC9*Leasing!ID9),0)</f>
        <v>5.8487684725926838E-2</v>
      </c>
      <c r="IE37" s="33">
        <f>IFERROR(IF(AND(Leasing!ID9=0,IE9&gt;0),'Assumption Sheet'!$N28*'Assumption Sheet'!$C28/10^7,ID37/Leasing!ID9*Leasing!IE9),0)</f>
        <v>6.1412068962223183E-2</v>
      </c>
      <c r="IF37" s="33">
        <f>IFERROR(IF(AND(Leasing!IE9=0,IF9&gt;0),'Assumption Sheet'!$N28*'Assumption Sheet'!$C28/10^7,IE37/Leasing!IE9*Leasing!IF9),0)</f>
        <v>6.1412068962223183E-2</v>
      </c>
      <c r="IG37" s="33">
        <f>IFERROR(IF(AND(Leasing!IF9=0,IG9&gt;0),'Assumption Sheet'!$N28*'Assumption Sheet'!$C28/10^7,IF37/Leasing!IF9*Leasing!IG9),0)</f>
        <v>6.1412068962223183E-2</v>
      </c>
      <c r="IH37" s="33">
        <f>IFERROR(IF(AND(Leasing!IG9=0,IH9&gt;0),'Assumption Sheet'!$N28*'Assumption Sheet'!$C28/10^7,IG37/Leasing!IG9*Leasing!IH9),0)</f>
        <v>6.1412068962223183E-2</v>
      </c>
      <c r="II37" s="33">
        <f>IFERROR(IF(AND(Leasing!IH9=0,II9&gt;0),'Assumption Sheet'!$N28*'Assumption Sheet'!$C28/10^7,IH37/Leasing!IH9*Leasing!II9),0)</f>
        <v>6.1412068962223183E-2</v>
      </c>
      <c r="IJ37" s="33">
        <f>IFERROR(IF(AND(Leasing!II9=0,IJ9&gt;0),'Assumption Sheet'!$N28*'Assumption Sheet'!$C28/10^7,II37/Leasing!II9*Leasing!IJ9),0)</f>
        <v>6.1412068962223183E-2</v>
      </c>
      <c r="IK37" s="33">
        <f>IFERROR(IF(AND(Leasing!IJ9=0,IK9&gt;0),'Assumption Sheet'!$N28*'Assumption Sheet'!$C28/10^7,IJ37/Leasing!IJ9*Leasing!IK9),0)</f>
        <v>6.1412068962223183E-2</v>
      </c>
      <c r="IL37" s="33">
        <f>IFERROR(IF(AND(Leasing!IK9=0,IL9&gt;0),'Assumption Sheet'!$N28*'Assumption Sheet'!$C28/10^7,IK37/Leasing!IK9*Leasing!IL9),0)</f>
        <v>6.1412068962223183E-2</v>
      </c>
      <c r="IM37" s="33">
        <f>IFERROR(IF(AND(Leasing!IL9=0,IM9&gt;0),'Assumption Sheet'!$N28*'Assumption Sheet'!$C28/10^7,IL37/Leasing!IL9*Leasing!IM9),0)</f>
        <v>6.1412068962223183E-2</v>
      </c>
      <c r="IN37" s="33">
        <f>IFERROR(IF(AND(Leasing!IM9=0,IN9&gt;0),'Assumption Sheet'!$N28*'Assumption Sheet'!$C28/10^7,IM37/Leasing!IM9*Leasing!IN9),0)</f>
        <v>6.1412068962223183E-2</v>
      </c>
      <c r="IO37" s="33">
        <f>IFERROR(IF(AND(Leasing!IN9=0,IO9&gt;0),'Assumption Sheet'!$N28*'Assumption Sheet'!$C28/10^7,IN37/Leasing!IN9*Leasing!IO9),0)</f>
        <v>6.1412068962223183E-2</v>
      </c>
      <c r="IP37" s="33">
        <f>IFERROR(IF(AND(Leasing!IO9=0,IP9&gt;0),'Assumption Sheet'!$N28*'Assumption Sheet'!$C28/10^7,IO37/Leasing!IO9*Leasing!IP9),0)</f>
        <v>6.1412068962223183E-2</v>
      </c>
      <c r="IQ37" s="33">
        <f>IFERROR(IF(AND(Leasing!IP9=0,IQ9&gt;0),'Assumption Sheet'!$N28*'Assumption Sheet'!$C28/10^7,IP37/Leasing!IP9*Leasing!IQ9),0)</f>
        <v>6.4482672410334355E-2</v>
      </c>
      <c r="IR37" s="33">
        <f>IFERROR(IF(AND(Leasing!IQ9=0,IR9&gt;0),'Assumption Sheet'!$N28*'Assumption Sheet'!$C28/10^7,IQ37/Leasing!IQ9*Leasing!IR9),0)</f>
        <v>6.4482672410334355E-2</v>
      </c>
      <c r="IS37" s="33">
        <f>IFERROR(IF(AND(Leasing!IR9=0,IS9&gt;0),'Assumption Sheet'!$N28*'Assumption Sheet'!$C28/10^7,IR37/Leasing!IR9*Leasing!IS9),0)</f>
        <v>6.4482672410334355E-2</v>
      </c>
      <c r="IT37" s="33">
        <f>IFERROR(IF(AND(Leasing!IS9=0,IT9&gt;0),'Assumption Sheet'!$N28*'Assumption Sheet'!$C28/10^7,IS37/Leasing!IS9*Leasing!IT9),0)</f>
        <v>6.4482672410334355E-2</v>
      </c>
      <c r="IU37" s="33">
        <f>IFERROR(IF(AND(Leasing!IT9=0,IU9&gt;0),'Assumption Sheet'!$N28*'Assumption Sheet'!$C28/10^7,IT37/Leasing!IT9*Leasing!IU9),0)</f>
        <v>6.4482672410334355E-2</v>
      </c>
      <c r="IV37" s="33">
        <f>IFERROR(IF(AND(Leasing!IU9=0,IV9&gt;0),'Assumption Sheet'!$N28*'Assumption Sheet'!$C28/10^7,IU37/Leasing!IU9*Leasing!IV9),0)</f>
        <v>6.4482672410334355E-2</v>
      </c>
      <c r="IW37" s="33">
        <f>IFERROR(IF(AND(Leasing!IV9=0,IW9&gt;0),'Assumption Sheet'!$N28*'Assumption Sheet'!$C28/10^7,IV37/Leasing!IV9*Leasing!IW9),0)</f>
        <v>6.4482672410334355E-2</v>
      </c>
      <c r="IX37" s="33">
        <f>IFERROR(IF(AND(Leasing!IW9=0,IX9&gt;0),'Assumption Sheet'!$N28*'Assumption Sheet'!$C28/10^7,IW37/Leasing!IW9*Leasing!IX9),0)</f>
        <v>6.4482672410334355E-2</v>
      </c>
      <c r="IY37" s="33">
        <f>IFERROR(IF(AND(Leasing!IX9=0,IY9&gt;0),'Assumption Sheet'!$N28*'Assumption Sheet'!$C28/10^7,IX37/Leasing!IX9*Leasing!IY9),0)</f>
        <v>6.4482672410334355E-2</v>
      </c>
      <c r="IZ37" s="33">
        <f>IFERROR(IF(AND(Leasing!IY9=0,IZ9&gt;0),'Assumption Sheet'!$N28*'Assumption Sheet'!$C28/10^7,IY37/Leasing!IY9*Leasing!IZ9),0)</f>
        <v>6.4482672410334355E-2</v>
      </c>
      <c r="JA37" s="33">
        <f>IFERROR(IF(AND(Leasing!IZ9=0,JA9&gt;0),'Assumption Sheet'!$N28*'Assumption Sheet'!$C28/10^7,IZ37/Leasing!IZ9*Leasing!JA9),0)</f>
        <v>6.4482672410334355E-2</v>
      </c>
      <c r="JB37" s="33">
        <f>IFERROR(IF(AND(Leasing!JA9=0,JB9&gt;0),'Assumption Sheet'!$N28*'Assumption Sheet'!$C28/10^7,JA37/Leasing!JA9*Leasing!JB9),0)</f>
        <v>6.4482672410334355E-2</v>
      </c>
      <c r="JC37" s="33">
        <f>IFERROR(IF(AND(Leasing!JB9=0,JC9&gt;0),'Assumption Sheet'!$N28*'Assumption Sheet'!$C28/10^7,JB37/Leasing!JB9*Leasing!JC9),0)</f>
        <v>6.7706806030851066E-2</v>
      </c>
      <c r="JD37" s="33">
        <f>IFERROR(IF(AND(Leasing!JC9=0,JD9&gt;0),'Assumption Sheet'!$N28*'Assumption Sheet'!$C28/10^7,JC37/Leasing!JC9*Leasing!JD9),0)</f>
        <v>6.7706806030851066E-2</v>
      </c>
      <c r="JE37" s="33">
        <f>IFERROR(IF(AND(Leasing!JD9=0,JE9&gt;0),'Assumption Sheet'!$N28*'Assumption Sheet'!$C28/10^7,JD37/Leasing!JD9*Leasing!JE9),0)</f>
        <v>6.7706806030851066E-2</v>
      </c>
      <c r="JF37" s="33">
        <f>IFERROR(IF(AND(Leasing!JE9=0,JF9&gt;0),'Assumption Sheet'!$N28*'Assumption Sheet'!$C28/10^7,JE37/Leasing!JE9*Leasing!JF9),0)</f>
        <v>6.7706806030851066E-2</v>
      </c>
      <c r="JG37" s="33">
        <f>IFERROR(IF(AND(Leasing!JF9=0,JG9&gt;0),'Assumption Sheet'!$N28*'Assumption Sheet'!$C28/10^7,JF37/Leasing!JF9*Leasing!JG9),0)</f>
        <v>6.7706806030851066E-2</v>
      </c>
      <c r="JH37" s="33">
        <f>IFERROR(IF(AND(Leasing!JG9=0,JH9&gt;0),'Assumption Sheet'!$N28*'Assumption Sheet'!$C28/10^7,JG37/Leasing!JG9*Leasing!JH9),0)</f>
        <v>6.7706806030851066E-2</v>
      </c>
      <c r="JI37" s="33">
        <f>IFERROR(IF(AND(Leasing!JH9=0,JI9&gt;0),'Assumption Sheet'!$N28*'Assumption Sheet'!$C28/10^7,JH37/Leasing!JH9*Leasing!JI9),0)</f>
        <v>6.7706806030851066E-2</v>
      </c>
      <c r="JJ37" s="33">
        <f>IFERROR(IF(AND(Leasing!JI9=0,JJ9&gt;0),'Assumption Sheet'!$N28*'Assumption Sheet'!$C28/10^7,JI37/Leasing!JI9*Leasing!JJ9),0)</f>
        <v>6.7706806030851066E-2</v>
      </c>
      <c r="JK37" s="33">
        <f>IFERROR(IF(AND(Leasing!JJ9=0,JK9&gt;0),'Assumption Sheet'!$N28*'Assumption Sheet'!$C28/10^7,JJ37/Leasing!JJ9*Leasing!JK9),0)</f>
        <v>6.7706806030851066E-2</v>
      </c>
      <c r="JL37" s="33">
        <f>IFERROR(IF(AND(Leasing!JK9=0,JL9&gt;0),'Assumption Sheet'!$N28*'Assumption Sheet'!$C28/10^7,JK37/Leasing!JK9*Leasing!JL9),0)</f>
        <v>6.7706806030851066E-2</v>
      </c>
      <c r="JM37" s="33">
        <f>IFERROR(IF(AND(Leasing!JL9=0,JM9&gt;0),'Assumption Sheet'!$N28*'Assumption Sheet'!$C28/10^7,JL37/Leasing!JL9*Leasing!JM9),0)</f>
        <v>6.7706806030851066E-2</v>
      </c>
      <c r="JN37" s="33">
        <f>IFERROR(IF(AND(Leasing!JM9=0,JN9&gt;0),'Assumption Sheet'!$N28*'Assumption Sheet'!$C28/10^7,JM37/Leasing!JM9*Leasing!JN9),0)</f>
        <v>6.7706806030851066E-2</v>
      </c>
      <c r="JO37" s="33">
        <f>IFERROR(IF(AND(Leasing!JN9=0,JO9&gt;0),'Assumption Sheet'!$N28*'Assumption Sheet'!$C28/10^7,JN37/Leasing!JN9*Leasing!JO9),0)</f>
        <v>7.1092146332393635E-2</v>
      </c>
      <c r="JP37" s="33">
        <f>IFERROR(IF(AND(Leasing!JO9=0,JP9&gt;0),'Assumption Sheet'!$N28*'Assumption Sheet'!$C28/10^7,JO37/Leasing!JO9*Leasing!JP9),0)</f>
        <v>7.1092146332393635E-2</v>
      </c>
      <c r="JQ37" s="33">
        <f>IFERROR(IF(AND(Leasing!JP9=0,JQ9&gt;0),'Assumption Sheet'!$N28*'Assumption Sheet'!$C28/10^7,JP37/Leasing!JP9*Leasing!JQ9),0)</f>
        <v>7.1092146332393635E-2</v>
      </c>
      <c r="JR37" s="33">
        <f>IFERROR(IF(AND(Leasing!JQ9=0,JR9&gt;0),'Assumption Sheet'!$N28*'Assumption Sheet'!$C28/10^7,JQ37/Leasing!JQ9*Leasing!JR9),0)</f>
        <v>7.1092146332393635E-2</v>
      </c>
      <c r="JS37" s="33">
        <f>IFERROR(IF(AND(Leasing!JR9=0,JS9&gt;0),'Assumption Sheet'!$N28*'Assumption Sheet'!$C28/10^7,JR37/Leasing!JR9*Leasing!JS9),0)</f>
        <v>7.1092146332393635E-2</v>
      </c>
      <c r="JT37" s="33">
        <f>IFERROR(IF(AND(Leasing!JS9=0,JT9&gt;0),'Assumption Sheet'!$N28*'Assumption Sheet'!$C28/10^7,JS37/Leasing!JS9*Leasing!JT9),0)</f>
        <v>7.1092146332393635E-2</v>
      </c>
      <c r="JU37" s="33">
        <f>IFERROR(IF(AND(Leasing!JT9=0,JU9&gt;0),'Assumption Sheet'!$N28*'Assumption Sheet'!$C28/10^7,JT37/Leasing!JT9*Leasing!JU9),0)</f>
        <v>7.1092146332393635E-2</v>
      </c>
      <c r="JV37" s="33">
        <f>IFERROR(IF(AND(Leasing!JU9=0,JV9&gt;0),'Assumption Sheet'!$N28*'Assumption Sheet'!$C28/10^7,JU37/Leasing!JU9*Leasing!JV9),0)</f>
        <v>7.1092146332393635E-2</v>
      </c>
      <c r="JW37" s="33">
        <f>IFERROR(IF(AND(Leasing!JV9=0,JW9&gt;0),'Assumption Sheet'!$N28*'Assumption Sheet'!$C28/10^7,JV37/Leasing!JV9*Leasing!JW9),0)</f>
        <v>7.1092146332393635E-2</v>
      </c>
      <c r="JX37" s="33">
        <f>IFERROR(IF(AND(Leasing!JW9=0,JX9&gt;0),'Assumption Sheet'!$N28*'Assumption Sheet'!$C28/10^7,JW37/Leasing!JW9*Leasing!JX9),0)</f>
        <v>7.1092146332393635E-2</v>
      </c>
      <c r="JY37" s="33">
        <f>IFERROR(IF(AND(Leasing!JX9=0,JY9&gt;0),'Assumption Sheet'!$N28*'Assumption Sheet'!$C28/10^7,JX37/Leasing!JX9*Leasing!JY9),0)</f>
        <v>7.1092146332393635E-2</v>
      </c>
      <c r="JZ37" s="33">
        <f>IFERROR(IF(AND(Leasing!JY9=0,JZ9&gt;0),'Assumption Sheet'!$N28*'Assumption Sheet'!$C28/10^7,JY37/Leasing!JY9*Leasing!JZ9),0)</f>
        <v>7.1092146332393635E-2</v>
      </c>
      <c r="KA37" s="33">
        <f>IFERROR(IF(AND(Leasing!JZ9=0,KA9&gt;0),'Assumption Sheet'!$N28*'Assumption Sheet'!$C28/10^7,JZ37/Leasing!JZ9*Leasing!KA9),0)</f>
        <v>7.4646753649013312E-2</v>
      </c>
      <c r="KB37" s="33">
        <f>IFERROR(IF(AND(Leasing!KA9=0,KB9&gt;0),'Assumption Sheet'!$N28*'Assumption Sheet'!$C28/10^7,KA37/Leasing!KA9*Leasing!KB9),0)</f>
        <v>7.4646753649013312E-2</v>
      </c>
      <c r="KC37" s="33">
        <f>IFERROR(IF(AND(Leasing!KB9=0,KC9&gt;0),'Assumption Sheet'!$N28*'Assumption Sheet'!$C28/10^7,KB37/Leasing!KB9*Leasing!KC9),0)</f>
        <v>7.4646753649013312E-2</v>
      </c>
      <c r="KD37" s="33">
        <f>SUM(E37:KC37)</f>
        <v>12.014845189842211</v>
      </c>
      <c r="KE37" s="33"/>
      <c r="KF37" s="33"/>
      <c r="KG37" s="33"/>
      <c r="KH37" s="33"/>
      <c r="KI37" s="33"/>
      <c r="KJ37" s="33"/>
      <c r="KK37" s="33"/>
      <c r="KL37" s="33"/>
      <c r="KM37" s="33"/>
      <c r="KN37" s="33"/>
      <c r="KO37" s="33"/>
    </row>
    <row r="38" spans="1:301" x14ac:dyDescent="0.3">
      <c r="A38" s="52">
        <f>SUM(E38:IS38)</f>
        <v>17.042844529808995</v>
      </c>
      <c r="B38" s="1" t="str">
        <f>B29</f>
        <v>Phase 2</v>
      </c>
      <c r="C38" s="54">
        <f t="shared" ref="C38:C41" si="142">SUM(D38:KC38)</f>
        <v>21.599045880493946</v>
      </c>
      <c r="D38" s="54"/>
      <c r="E38" s="33">
        <f>IFERROR(IF(AND(Leasing!D10=0,E10&gt;0),'Assumption Sheet'!$N29*'Assumption Sheet'!$C29/10^7,D38/Leasing!D10*Leasing!E10),0)</f>
        <v>0</v>
      </c>
      <c r="F38" s="33">
        <f>IFERROR(IF(AND(Leasing!E10=0,F10&gt;0),'Assumption Sheet'!$N29*'Assumption Sheet'!$C29/10^7,E38/Leasing!E10*Leasing!F10),0)</f>
        <v>0</v>
      </c>
      <c r="G38" s="33">
        <f>IFERROR(IF(AND(Leasing!F10=0,G10&gt;0),'Assumption Sheet'!$N29*'Assumption Sheet'!$C29/10^7,F38/Leasing!F10*Leasing!G10),0)</f>
        <v>0</v>
      </c>
      <c r="H38" s="33">
        <f>IFERROR(IF(AND(Leasing!G10=0,H10&gt;0),'Assumption Sheet'!$N29*'Assumption Sheet'!$C29/10^7,G38/Leasing!G10*Leasing!H10),0)</f>
        <v>0</v>
      </c>
      <c r="I38" s="33">
        <f>IFERROR(IF(AND(Leasing!H10=0,I10&gt;0),'Assumption Sheet'!$N29*'Assumption Sheet'!$C29/10^7,H38/Leasing!H10*Leasing!I10),0)</f>
        <v>0</v>
      </c>
      <c r="J38" s="33">
        <f>IFERROR(IF(AND(Leasing!I10=0,J10&gt;0),'Assumption Sheet'!$N29*'Assumption Sheet'!$C29/10^7,I38/Leasing!I10*Leasing!J10),0)</f>
        <v>0</v>
      </c>
      <c r="K38" s="33">
        <f>IFERROR(IF(AND(Leasing!J10=0,K10&gt;0),'Assumption Sheet'!$N29*'Assumption Sheet'!$C29/10^7,J38/Leasing!J10*Leasing!K10),0)</f>
        <v>0</v>
      </c>
      <c r="L38" s="33">
        <f>IFERROR(IF(AND(Leasing!K10=0,L10&gt;0),'Assumption Sheet'!$N29*'Assumption Sheet'!$C29/10^7,K38/Leasing!K10*Leasing!L10),0)</f>
        <v>0</v>
      </c>
      <c r="M38" s="33">
        <f>IFERROR(IF(AND(Leasing!L10=0,M10&gt;0),'Assumption Sheet'!$N29*'Assumption Sheet'!$C29/10^7,L38/Leasing!L10*Leasing!M10),0)</f>
        <v>0</v>
      </c>
      <c r="N38" s="33">
        <f>IFERROR(IF(AND(Leasing!M10=0,N10&gt;0),'Assumption Sheet'!$N29*'Assumption Sheet'!$C29/10^7,M38/Leasing!M10*Leasing!N10),0)</f>
        <v>0</v>
      </c>
      <c r="O38" s="33">
        <f>IFERROR(IF(AND(Leasing!N10=0,O10&gt;0),'Assumption Sheet'!$N29*'Assumption Sheet'!$C29/10^7,N38/Leasing!N10*Leasing!O10),0)</f>
        <v>0</v>
      </c>
      <c r="P38" s="33">
        <f>IFERROR(IF(AND(Leasing!O10=0,P10&gt;0),'Assumption Sheet'!$N29*'Assumption Sheet'!$C29/10^7,O38/Leasing!O10*Leasing!P10),0)</f>
        <v>0</v>
      </c>
      <c r="Q38" s="33">
        <f>IFERROR(IF(AND(Leasing!P10=0,Q10&gt;0),'Assumption Sheet'!$N29*'Assumption Sheet'!$C29/10^7,P38/Leasing!P10*Leasing!Q10),0)</f>
        <v>0</v>
      </c>
      <c r="R38" s="33">
        <f>IFERROR(IF(AND(Leasing!Q10=0,R10&gt;0),'Assumption Sheet'!$N29*'Assumption Sheet'!$C29/10^7,Q38/Leasing!Q10*Leasing!R10),0)</f>
        <v>0</v>
      </c>
      <c r="S38" s="33">
        <f>IFERROR(IF(AND(Leasing!R10=0,S10&gt;0),'Assumption Sheet'!$N29*'Assumption Sheet'!$C29/10^7,R38/Leasing!R10*Leasing!S10),0)</f>
        <v>0</v>
      </c>
      <c r="T38" s="33">
        <f>IFERROR(IF(AND(Leasing!S10=0,T10&gt;0),'Assumption Sheet'!$N29*'Assumption Sheet'!$C29/10^7,S38/Leasing!S10*Leasing!T10),0)</f>
        <v>0</v>
      </c>
      <c r="U38" s="33">
        <f>IFERROR(IF(AND(Leasing!T10=0,U10&gt;0),'Assumption Sheet'!$N29*'Assumption Sheet'!$C29/10^7,T38/Leasing!T10*Leasing!U10),0)</f>
        <v>0</v>
      </c>
      <c r="V38" s="33">
        <f>IFERROR(IF(AND(Leasing!U10=0,V10&gt;0),'Assumption Sheet'!$N29*'Assumption Sheet'!$C29/10^7,U38/Leasing!U10*Leasing!V10),0)</f>
        <v>0</v>
      </c>
      <c r="W38" s="33">
        <f>IFERROR(IF(AND(Leasing!V10=0,W10&gt;0),'Assumption Sheet'!$N29*'Assumption Sheet'!$C29/10^7,V38/Leasing!V10*Leasing!W10),0)</f>
        <v>0</v>
      </c>
      <c r="X38" s="33">
        <f>IFERROR(IF(AND(Leasing!W10=0,X10&gt;0),'Assumption Sheet'!$N29*'Assumption Sheet'!$C29/10^7,W38/Leasing!W10*Leasing!X10),0)</f>
        <v>0</v>
      </c>
      <c r="Y38" s="33">
        <f>IFERROR(IF(AND(Leasing!X10=0,Y10&gt;0),'Assumption Sheet'!$N29*'Assumption Sheet'!$C29/10^7,X38/Leasing!X10*Leasing!Y10),0)</f>
        <v>0</v>
      </c>
      <c r="Z38" s="33">
        <f>IFERROR(IF(AND(Leasing!Y10=0,Z10&gt;0),'Assumption Sheet'!$N29*'Assumption Sheet'!$C29/10^7,Y38/Leasing!Y10*Leasing!Z10),0)</f>
        <v>0</v>
      </c>
      <c r="AA38" s="33">
        <f>IFERROR(IF(AND(Leasing!Z10=0,AA10&gt;0),'Assumption Sheet'!$N29*'Assumption Sheet'!$C29/10^7,Z38/Leasing!Z10*Leasing!AA10),0)</f>
        <v>0</v>
      </c>
      <c r="AB38" s="33">
        <f>IFERROR(IF(AND(Leasing!AA10=0,AB10&gt;0),'Assumption Sheet'!$N29*'Assumption Sheet'!$C29/10^7,AA38/Leasing!AA10*Leasing!AB10),0)</f>
        <v>0</v>
      </c>
      <c r="AC38" s="33">
        <f>IFERROR(IF(AND(Leasing!AB10=0,AC10&gt;0),'Assumption Sheet'!$N29*'Assumption Sheet'!$C29/10^7,AB38/Leasing!AB10*Leasing!AC10),0)</f>
        <v>0</v>
      </c>
      <c r="AD38" s="33">
        <f>IFERROR(IF(AND(Leasing!AC10=0,AD10&gt;0),'Assumption Sheet'!$N29*'Assumption Sheet'!$C29/10^7,AC38/Leasing!AC10*Leasing!AD10),0)</f>
        <v>0</v>
      </c>
      <c r="AE38" s="33">
        <f>IFERROR(IF(AND(Leasing!AD10=0,AE10&gt;0),'Assumption Sheet'!$N29*'Assumption Sheet'!$C29/10^7,AD38/Leasing!AD10*Leasing!AE10),0)</f>
        <v>0</v>
      </c>
      <c r="AF38" s="33">
        <f>IFERROR(IF(AND(Leasing!AE10=0,AF10&gt;0),'Assumption Sheet'!$N29*'Assumption Sheet'!$C29/10^7,AE38/Leasing!AE10*Leasing!AF10),0)</f>
        <v>0</v>
      </c>
      <c r="AG38" s="33">
        <f>IFERROR(IF(AND(Leasing!AF10=0,AG10&gt;0),'Assumption Sheet'!$N29*'Assumption Sheet'!$C29/10^7,AF38/Leasing!AF10*Leasing!AG10),0)</f>
        <v>0</v>
      </c>
      <c r="AH38" s="33">
        <f>IFERROR(IF(AND(Leasing!AG10=0,AH10&gt;0),'Assumption Sheet'!$N29*'Assumption Sheet'!$C29/10^7,AG38/Leasing!AG10*Leasing!AH10),0)</f>
        <v>0</v>
      </c>
      <c r="AI38" s="33">
        <f>IFERROR(IF(AND(Leasing!AH10=0,AI10&gt;0),'Assumption Sheet'!$N29*'Assumption Sheet'!$C29/10^7,AH38/Leasing!AH10*Leasing!AI10),0)</f>
        <v>4.9426988677604998E-2</v>
      </c>
      <c r="AJ38" s="33">
        <f>IFERROR(IF(AND(Leasing!AI10=0,AJ10&gt;0),'Assumption Sheet'!$N29*'Assumption Sheet'!$C29/10^7,AI38/Leasing!AI10*Leasing!AJ10),0)</f>
        <v>4.9426988677604998E-2</v>
      </c>
      <c r="AK38" s="33">
        <f>IFERROR(IF(AND(Leasing!AJ10=0,AK10&gt;0),'Assumption Sheet'!$N29*'Assumption Sheet'!$C29/10^7,AJ38/Leasing!AJ10*Leasing!AK10),0)</f>
        <v>4.9426988677604998E-2</v>
      </c>
      <c r="AL38" s="33">
        <f>IFERROR(IF(AND(Leasing!AK10=0,AL10&gt;0),'Assumption Sheet'!$N29*'Assumption Sheet'!$C29/10^7,AK38/Leasing!AK10*Leasing!AL10),0)</f>
        <v>4.9426988677604998E-2</v>
      </c>
      <c r="AM38" s="33">
        <f>IFERROR(IF(AND(Leasing!AL10=0,AM10&gt;0),'Assumption Sheet'!$N29*'Assumption Sheet'!$C29/10^7,AL38/Leasing!AL10*Leasing!AM10),0)</f>
        <v>4.9426988677604998E-2</v>
      </c>
      <c r="AN38" s="33">
        <f>IFERROR(IF(AND(Leasing!AM10=0,AN10&gt;0),'Assumption Sheet'!$N29*'Assumption Sheet'!$C29/10^7,AM38/Leasing!AM10*Leasing!AN10),0)</f>
        <v>4.9426988677604998E-2</v>
      </c>
      <c r="AO38" s="33">
        <f>IFERROR(IF(AND(Leasing!AN10=0,AO10&gt;0),'Assumption Sheet'!$N29*'Assumption Sheet'!$C29/10^7,AN38/Leasing!AN10*Leasing!AO10),0)</f>
        <v>4.9426988677604998E-2</v>
      </c>
      <c r="AP38" s="33">
        <f>IFERROR(IF(AND(Leasing!AO10=0,AP10&gt;0),'Assumption Sheet'!$N29*'Assumption Sheet'!$C29/10^7,AO38/Leasing!AO10*Leasing!AP10),0)</f>
        <v>4.9426988677604998E-2</v>
      </c>
      <c r="AQ38" s="33">
        <f>IFERROR(IF(AND(Leasing!AP10=0,AQ10&gt;0),'Assumption Sheet'!$N29*'Assumption Sheet'!$C29/10^7,AP38/Leasing!AP10*Leasing!AQ10),0)</f>
        <v>4.9426988677604998E-2</v>
      </c>
      <c r="AR38" s="33">
        <f>IFERROR(IF(AND(Leasing!AQ10=0,AR10&gt;0),'Assumption Sheet'!$N29*'Assumption Sheet'!$C29/10^7,AQ38/Leasing!AQ10*Leasing!AR10),0)</f>
        <v>4.9426988677604998E-2</v>
      </c>
      <c r="AS38" s="33">
        <f>IFERROR(IF(AND(Leasing!AR10=0,AS10&gt;0),'Assumption Sheet'!$N29*'Assumption Sheet'!$C29/10^7,AR38/Leasing!AR10*Leasing!AS10),0)</f>
        <v>4.9426988677604998E-2</v>
      </c>
      <c r="AT38" s="33">
        <f>IFERROR(IF(AND(Leasing!AS10=0,AT10&gt;0),'Assumption Sheet'!$N29*'Assumption Sheet'!$C29/10^7,AS38/Leasing!AS10*Leasing!AT10),0)</f>
        <v>4.9426988677604998E-2</v>
      </c>
      <c r="AU38" s="33">
        <f>IFERROR(IF(AND(Leasing!AT10=0,AU10&gt;0),'Assumption Sheet'!$N29*'Assumption Sheet'!$C29/10^7,AT38/Leasing!AT10*Leasing!AU10),0)</f>
        <v>5.1898338111485254E-2</v>
      </c>
      <c r="AV38" s="33">
        <f>IFERROR(IF(AND(Leasing!AU10=0,AV10&gt;0),'Assumption Sheet'!$N29*'Assumption Sheet'!$C29/10^7,AU38/Leasing!AU10*Leasing!AV10),0)</f>
        <v>5.1898338111485254E-2</v>
      </c>
      <c r="AW38" s="33">
        <f>IFERROR(IF(AND(Leasing!AV10=0,AW10&gt;0),'Assumption Sheet'!$N29*'Assumption Sheet'!$C29/10^7,AV38/Leasing!AV10*Leasing!AW10),0)</f>
        <v>5.1898338111485254E-2</v>
      </c>
      <c r="AX38" s="33">
        <f>IFERROR(IF(AND(Leasing!AW10=0,AX10&gt;0),'Assumption Sheet'!$N29*'Assumption Sheet'!$C29/10^7,AW38/Leasing!AW10*Leasing!AX10),0)</f>
        <v>5.1898338111485254E-2</v>
      </c>
      <c r="AY38" s="33">
        <f>IFERROR(IF(AND(Leasing!AX10=0,AY10&gt;0),'Assumption Sheet'!$N29*'Assumption Sheet'!$C29/10^7,AX38/Leasing!AX10*Leasing!AY10),0)</f>
        <v>5.1898338111485254E-2</v>
      </c>
      <c r="AZ38" s="33">
        <f>IFERROR(IF(AND(Leasing!AY10=0,AZ10&gt;0),'Assumption Sheet'!$N29*'Assumption Sheet'!$C29/10^7,AY38/Leasing!AY10*Leasing!AZ10),0)</f>
        <v>5.1898338111485254E-2</v>
      </c>
      <c r="BA38" s="33">
        <f>IFERROR(IF(AND(Leasing!AZ10=0,BA10&gt;0),'Assumption Sheet'!$N29*'Assumption Sheet'!$C29/10^7,AZ38/Leasing!AZ10*Leasing!BA10),0)</f>
        <v>5.1898338111485254E-2</v>
      </c>
      <c r="BB38" s="33">
        <f>IFERROR(IF(AND(Leasing!BA10=0,BB10&gt;0),'Assumption Sheet'!$N29*'Assumption Sheet'!$C29/10^7,BA38/Leasing!BA10*Leasing!BB10),0)</f>
        <v>5.1898338111485254E-2</v>
      </c>
      <c r="BC38" s="33">
        <f>IFERROR(IF(AND(Leasing!BB10=0,BC10&gt;0),'Assumption Sheet'!$N29*'Assumption Sheet'!$C29/10^7,BB38/Leasing!BB10*Leasing!BC10),0)</f>
        <v>5.1898338111485254E-2</v>
      </c>
      <c r="BD38" s="33">
        <f>IFERROR(IF(AND(Leasing!BC10=0,BD10&gt;0),'Assumption Sheet'!$N29*'Assumption Sheet'!$C29/10^7,BC38/Leasing!BC10*Leasing!BD10),0)</f>
        <v>5.1898338111485254E-2</v>
      </c>
      <c r="BE38" s="33">
        <f>IFERROR(IF(AND(Leasing!BD10=0,BE10&gt;0),'Assumption Sheet'!$N29*'Assumption Sheet'!$C29/10^7,BD38/Leasing!BD10*Leasing!BE10),0)</f>
        <v>5.1898338111485254E-2</v>
      </c>
      <c r="BF38" s="33">
        <f>IFERROR(IF(AND(Leasing!BE10=0,BF10&gt;0),'Assumption Sheet'!$N29*'Assumption Sheet'!$C29/10^7,BE38/Leasing!BE10*Leasing!BF10),0)</f>
        <v>5.1898338111485254E-2</v>
      </c>
      <c r="BG38" s="33">
        <f>IFERROR(IF(AND(Leasing!BF10=0,BG10&gt;0),'Assumption Sheet'!$N29*'Assumption Sheet'!$C29/10^7,BF38/Leasing!BF10*Leasing!BG10),0)</f>
        <v>5.4493255017059525E-2</v>
      </c>
      <c r="BH38" s="33">
        <f>IFERROR(IF(AND(Leasing!BG10=0,BH10&gt;0),'Assumption Sheet'!$N29*'Assumption Sheet'!$C29/10^7,BG38/Leasing!BG10*Leasing!BH10),0)</f>
        <v>5.4493255017059525E-2</v>
      </c>
      <c r="BI38" s="33">
        <f>IFERROR(IF(AND(Leasing!BH10=0,BI10&gt;0),'Assumption Sheet'!$N29*'Assumption Sheet'!$C29/10^7,BH38/Leasing!BH10*Leasing!BI10),0)</f>
        <v>5.4493255017059525E-2</v>
      </c>
      <c r="BJ38" s="33">
        <f>IFERROR(IF(AND(Leasing!BI10=0,BJ10&gt;0),'Assumption Sheet'!$N29*'Assumption Sheet'!$C29/10^7,BI38/Leasing!BI10*Leasing!BJ10),0)</f>
        <v>5.4493255017059525E-2</v>
      </c>
      <c r="BK38" s="33">
        <f>IFERROR(IF(AND(Leasing!BJ10=0,BK10&gt;0),'Assumption Sheet'!$N29*'Assumption Sheet'!$C29/10^7,BJ38/Leasing!BJ10*Leasing!BK10),0)</f>
        <v>5.4493255017059525E-2</v>
      </c>
      <c r="BL38" s="33">
        <f>IFERROR(IF(AND(Leasing!BK10=0,BL10&gt;0),'Assumption Sheet'!$N29*'Assumption Sheet'!$C29/10^7,BK38/Leasing!BK10*Leasing!BL10),0)</f>
        <v>5.4493255017059525E-2</v>
      </c>
      <c r="BM38" s="33">
        <f>IFERROR(IF(AND(Leasing!BL10=0,BM10&gt;0),'Assumption Sheet'!$N29*'Assumption Sheet'!$C29/10^7,BL38/Leasing!BL10*Leasing!BM10),0)</f>
        <v>5.4493255017059525E-2</v>
      </c>
      <c r="BN38" s="33">
        <f>IFERROR(IF(AND(Leasing!BM10=0,BN10&gt;0),'Assumption Sheet'!$N29*'Assumption Sheet'!$C29/10^7,BM38/Leasing!BM10*Leasing!BN10),0)</f>
        <v>5.4493255017059525E-2</v>
      </c>
      <c r="BO38" s="33">
        <f>IFERROR(IF(AND(Leasing!BN10=0,BO10&gt;0),'Assumption Sheet'!$N29*'Assumption Sheet'!$C29/10^7,BN38/Leasing!BN10*Leasing!BO10),0)</f>
        <v>5.4493255017059525E-2</v>
      </c>
      <c r="BP38" s="33">
        <f>IFERROR(IF(AND(Leasing!BO10=0,BP10&gt;0),'Assumption Sheet'!$N29*'Assumption Sheet'!$C29/10^7,BO38/Leasing!BO10*Leasing!BP10),0)</f>
        <v>5.4493255017059525E-2</v>
      </c>
      <c r="BQ38" s="33">
        <f>IFERROR(IF(AND(Leasing!BP10=0,BQ10&gt;0),'Assumption Sheet'!$N29*'Assumption Sheet'!$C29/10^7,BP38/Leasing!BP10*Leasing!BQ10),0)</f>
        <v>5.4493255017059525E-2</v>
      </c>
      <c r="BR38" s="33">
        <f>IFERROR(IF(AND(Leasing!BQ10=0,BR10&gt;0),'Assumption Sheet'!$N29*'Assumption Sheet'!$C29/10^7,BQ38/Leasing!BQ10*Leasing!BR10),0)</f>
        <v>5.4493255017059525E-2</v>
      </c>
      <c r="BS38" s="33">
        <f>IFERROR(IF(AND(Leasing!BR10=0,BS10&gt;0),'Assumption Sheet'!$N29*'Assumption Sheet'!$C29/10^7,BR38/Leasing!BR10*Leasing!BS10),0)</f>
        <v>5.7217917767912505E-2</v>
      </c>
      <c r="BT38" s="33">
        <f>IFERROR(IF(AND(Leasing!BS10=0,BT10&gt;0),'Assumption Sheet'!$N29*'Assumption Sheet'!$C29/10^7,BS38/Leasing!BS10*Leasing!BT10),0)</f>
        <v>5.7217917767912505E-2</v>
      </c>
      <c r="BU38" s="33">
        <f>IFERROR(IF(AND(Leasing!BT10=0,BU10&gt;0),'Assumption Sheet'!$N29*'Assumption Sheet'!$C29/10^7,BT38/Leasing!BT10*Leasing!BU10),0)</f>
        <v>5.7217917767912505E-2</v>
      </c>
      <c r="BV38" s="33">
        <f>IFERROR(IF(AND(Leasing!BU10=0,BV10&gt;0),'Assumption Sheet'!$N29*'Assumption Sheet'!$C29/10^7,BU38/Leasing!BU10*Leasing!BV10),0)</f>
        <v>5.7217917767912505E-2</v>
      </c>
      <c r="BW38" s="33">
        <f>IFERROR(IF(AND(Leasing!BV10=0,BW10&gt;0),'Assumption Sheet'!$N29*'Assumption Sheet'!$C29/10^7,BV38/Leasing!BV10*Leasing!BW10),0)</f>
        <v>5.7217917767912505E-2</v>
      </c>
      <c r="BX38" s="33">
        <f>IFERROR(IF(AND(Leasing!BW10=0,BX10&gt;0),'Assumption Sheet'!$N29*'Assumption Sheet'!$C29/10^7,BW38/Leasing!BW10*Leasing!BX10),0)</f>
        <v>5.7217917767912505E-2</v>
      </c>
      <c r="BY38" s="33">
        <f>IFERROR(IF(AND(Leasing!BX10=0,BY10&gt;0),'Assumption Sheet'!$N29*'Assumption Sheet'!$C29/10^7,BX38/Leasing!BX10*Leasing!BY10),0)</f>
        <v>5.7217917767912505E-2</v>
      </c>
      <c r="BZ38" s="33">
        <f>IFERROR(IF(AND(Leasing!BY10=0,BZ10&gt;0),'Assumption Sheet'!$N29*'Assumption Sheet'!$C29/10^7,BY38/Leasing!BY10*Leasing!BZ10),0)</f>
        <v>5.7217917767912505E-2</v>
      </c>
      <c r="CA38" s="33">
        <f>IFERROR(IF(AND(Leasing!BZ10=0,CA10&gt;0),'Assumption Sheet'!$N29*'Assumption Sheet'!$C29/10^7,BZ38/Leasing!BZ10*Leasing!CA10),0)</f>
        <v>5.7217917767912505E-2</v>
      </c>
      <c r="CB38" s="33">
        <f>IFERROR(IF(AND(Leasing!CA10=0,CB10&gt;0),'Assumption Sheet'!$N29*'Assumption Sheet'!$C29/10^7,CA38/Leasing!CA10*Leasing!CB10),0)</f>
        <v>5.7217917767912505E-2</v>
      </c>
      <c r="CC38" s="33">
        <f>IFERROR(IF(AND(Leasing!CB10=0,CC10&gt;0),'Assumption Sheet'!$N29*'Assumption Sheet'!$C29/10^7,CB38/Leasing!CB10*Leasing!CC10),0)</f>
        <v>5.7217917767912505E-2</v>
      </c>
      <c r="CD38" s="33">
        <f>IFERROR(IF(AND(Leasing!CC10=0,CD10&gt;0),'Assumption Sheet'!$N29*'Assumption Sheet'!$C29/10^7,CC38/Leasing!CC10*Leasing!CD10),0)</f>
        <v>5.7217917767912505E-2</v>
      </c>
      <c r="CE38" s="33">
        <f>IFERROR(IF(AND(Leasing!CD10=0,CE10&gt;0),'Assumption Sheet'!$N29*'Assumption Sheet'!$C29/10^7,CD38/Leasing!CD10*Leasing!CE10),0)</f>
        <v>6.0078813656308128E-2</v>
      </c>
      <c r="CF38" s="33">
        <f>IFERROR(IF(AND(Leasing!CE10=0,CF10&gt;0),'Assumption Sheet'!$N29*'Assumption Sheet'!$C29/10^7,CE38/Leasing!CE10*Leasing!CF10),0)</f>
        <v>6.0078813656308128E-2</v>
      </c>
      <c r="CG38" s="33">
        <f>IFERROR(IF(AND(Leasing!CF10=0,CG10&gt;0),'Assumption Sheet'!$N29*'Assumption Sheet'!$C29/10^7,CF38/Leasing!CF10*Leasing!CG10),0)</f>
        <v>6.0078813656308128E-2</v>
      </c>
      <c r="CH38" s="33">
        <f>IFERROR(IF(AND(Leasing!CG10=0,CH10&gt;0),'Assumption Sheet'!$N29*'Assumption Sheet'!$C29/10^7,CG38/Leasing!CG10*Leasing!CH10),0)</f>
        <v>6.0078813656308128E-2</v>
      </c>
      <c r="CI38" s="33">
        <f>IFERROR(IF(AND(Leasing!CH10=0,CI10&gt;0),'Assumption Sheet'!$N29*'Assumption Sheet'!$C29/10^7,CH38/Leasing!CH10*Leasing!CI10),0)</f>
        <v>6.0078813656308128E-2</v>
      </c>
      <c r="CJ38" s="33">
        <f>IFERROR(IF(AND(Leasing!CI10=0,CJ10&gt;0),'Assumption Sheet'!$N29*'Assumption Sheet'!$C29/10^7,CI38/Leasing!CI10*Leasing!CJ10),0)</f>
        <v>6.0078813656308128E-2</v>
      </c>
      <c r="CK38" s="33">
        <f>IFERROR(IF(AND(Leasing!CJ10=0,CK10&gt;0),'Assumption Sheet'!$N29*'Assumption Sheet'!$C29/10^7,CJ38/Leasing!CJ10*Leasing!CK10),0)</f>
        <v>6.0078813656308128E-2</v>
      </c>
      <c r="CL38" s="33">
        <f>IFERROR(IF(AND(Leasing!CK10=0,CL10&gt;0),'Assumption Sheet'!$N29*'Assumption Sheet'!$C29/10^7,CK38/Leasing!CK10*Leasing!CL10),0)</f>
        <v>6.0078813656308128E-2</v>
      </c>
      <c r="CM38" s="33">
        <f>IFERROR(IF(AND(Leasing!CL10=0,CM10&gt;0),'Assumption Sheet'!$N29*'Assumption Sheet'!$C29/10^7,CL38/Leasing!CL10*Leasing!CM10),0)</f>
        <v>6.0078813656308128E-2</v>
      </c>
      <c r="CN38" s="33">
        <f>IFERROR(IF(AND(Leasing!CM10=0,CN10&gt;0),'Assumption Sheet'!$N29*'Assumption Sheet'!$C29/10^7,CM38/Leasing!CM10*Leasing!CN10),0)</f>
        <v>6.0078813656308128E-2</v>
      </c>
      <c r="CO38" s="33">
        <f>IFERROR(IF(AND(Leasing!CN10=0,CO10&gt;0),'Assumption Sheet'!$N29*'Assumption Sheet'!$C29/10^7,CN38/Leasing!CN10*Leasing!CO10),0)</f>
        <v>6.0078813656308128E-2</v>
      </c>
      <c r="CP38" s="33">
        <f>IFERROR(IF(AND(Leasing!CO10=0,CP10&gt;0),'Assumption Sheet'!$N29*'Assumption Sheet'!$C29/10^7,CO38/Leasing!CO10*Leasing!CP10),0)</f>
        <v>6.0078813656308128E-2</v>
      </c>
      <c r="CQ38" s="33">
        <f>IFERROR(IF(AND(Leasing!CP10=0,CQ10&gt;0),'Assumption Sheet'!$N29*'Assumption Sheet'!$C29/10^7,CP38/Leasing!CP10*Leasing!CQ10),0)</f>
        <v>6.3082754339123526E-2</v>
      </c>
      <c r="CR38" s="33">
        <f>IFERROR(IF(AND(Leasing!CQ10=0,CR10&gt;0),'Assumption Sheet'!$N29*'Assumption Sheet'!$C29/10^7,CQ38/Leasing!CQ10*Leasing!CR10),0)</f>
        <v>6.3082754339123526E-2</v>
      </c>
      <c r="CS38" s="33">
        <f>IFERROR(IF(AND(Leasing!CR10=0,CS10&gt;0),'Assumption Sheet'!$N29*'Assumption Sheet'!$C29/10^7,CR38/Leasing!CR10*Leasing!CS10),0)</f>
        <v>6.3082754339123526E-2</v>
      </c>
      <c r="CT38" s="33">
        <f>IFERROR(IF(AND(Leasing!CS10=0,CT10&gt;0),'Assumption Sheet'!$N29*'Assumption Sheet'!$C29/10^7,CS38/Leasing!CS10*Leasing!CT10),0)</f>
        <v>6.3082754339123526E-2</v>
      </c>
      <c r="CU38" s="33">
        <f>IFERROR(IF(AND(Leasing!CT10=0,CU10&gt;0),'Assumption Sheet'!$N29*'Assumption Sheet'!$C29/10^7,CT38/Leasing!CT10*Leasing!CU10),0)</f>
        <v>6.3082754339123526E-2</v>
      </c>
      <c r="CV38" s="33">
        <f>IFERROR(IF(AND(Leasing!CU10=0,CV10&gt;0),'Assumption Sheet'!$N29*'Assumption Sheet'!$C29/10^7,CU38/Leasing!CU10*Leasing!CV10),0)</f>
        <v>6.3082754339123526E-2</v>
      </c>
      <c r="CW38" s="33">
        <f>IFERROR(IF(AND(Leasing!CV10=0,CW10&gt;0),'Assumption Sheet'!$N29*'Assumption Sheet'!$C29/10^7,CV38/Leasing!CV10*Leasing!CW10),0)</f>
        <v>6.3082754339123526E-2</v>
      </c>
      <c r="CX38" s="33">
        <f>IFERROR(IF(AND(Leasing!CW10=0,CX10&gt;0),'Assumption Sheet'!$N29*'Assumption Sheet'!$C29/10^7,CW38/Leasing!CW10*Leasing!CX10),0)</f>
        <v>6.3082754339123526E-2</v>
      </c>
      <c r="CY38" s="33">
        <f>IFERROR(IF(AND(Leasing!CX10=0,CY10&gt;0),'Assumption Sheet'!$N29*'Assumption Sheet'!$C29/10^7,CX38/Leasing!CX10*Leasing!CY10),0)</f>
        <v>6.3082754339123526E-2</v>
      </c>
      <c r="CZ38" s="33">
        <f>IFERROR(IF(AND(Leasing!CY10=0,CZ10&gt;0),'Assumption Sheet'!$N29*'Assumption Sheet'!$C29/10^7,CY38/Leasing!CY10*Leasing!CZ10),0)</f>
        <v>6.3082754339123526E-2</v>
      </c>
      <c r="DA38" s="33">
        <f>IFERROR(IF(AND(Leasing!CZ10=0,DA10&gt;0),'Assumption Sheet'!$N29*'Assumption Sheet'!$C29/10^7,CZ38/Leasing!CZ10*Leasing!DA10),0)</f>
        <v>6.3082754339123526E-2</v>
      </c>
      <c r="DB38" s="33">
        <f>IFERROR(IF(AND(Leasing!DA10=0,DB10&gt;0),'Assumption Sheet'!$N29*'Assumption Sheet'!$C29/10^7,DA38/Leasing!DA10*Leasing!DB10),0)</f>
        <v>6.3082754339123526E-2</v>
      </c>
      <c r="DC38" s="33">
        <f>IFERROR(IF(AND(Leasing!DB10=0,DC10&gt;0),'Assumption Sheet'!$N29*'Assumption Sheet'!$C29/10^7,DB38/Leasing!DB10*Leasing!DC10),0)</f>
        <v>6.6236892056079702E-2</v>
      </c>
      <c r="DD38" s="33">
        <f>IFERROR(IF(AND(Leasing!DC10=0,DD10&gt;0),'Assumption Sheet'!$N29*'Assumption Sheet'!$C29/10^7,DC38/Leasing!DC10*Leasing!DD10),0)</f>
        <v>6.6236892056079702E-2</v>
      </c>
      <c r="DE38" s="33">
        <f>IFERROR(IF(AND(Leasing!DD10=0,DE10&gt;0),'Assumption Sheet'!$N29*'Assumption Sheet'!$C29/10^7,DD38/Leasing!DD10*Leasing!DE10),0)</f>
        <v>6.6236892056079702E-2</v>
      </c>
      <c r="DF38" s="33">
        <f>IFERROR(IF(AND(Leasing!DE10=0,DF10&gt;0),'Assumption Sheet'!$N29*'Assumption Sheet'!$C29/10^7,DE38/Leasing!DE10*Leasing!DF10),0)</f>
        <v>6.6236892056079702E-2</v>
      </c>
      <c r="DG38" s="33">
        <f>IFERROR(IF(AND(Leasing!DF10=0,DG10&gt;0),'Assumption Sheet'!$N29*'Assumption Sheet'!$C29/10^7,DF38/Leasing!DF10*Leasing!DG10),0)</f>
        <v>6.6236892056079702E-2</v>
      </c>
      <c r="DH38" s="33">
        <f>IFERROR(IF(AND(Leasing!DG10=0,DH10&gt;0),'Assumption Sheet'!$N29*'Assumption Sheet'!$C29/10^7,DG38/Leasing!DG10*Leasing!DH10),0)</f>
        <v>6.6236892056079702E-2</v>
      </c>
      <c r="DI38" s="33">
        <f>IFERROR(IF(AND(Leasing!DH10=0,DI10&gt;0),'Assumption Sheet'!$N29*'Assumption Sheet'!$C29/10^7,DH38/Leasing!DH10*Leasing!DI10),0)</f>
        <v>6.6236892056079702E-2</v>
      </c>
      <c r="DJ38" s="33">
        <f>IFERROR(IF(AND(Leasing!DI10=0,DJ10&gt;0),'Assumption Sheet'!$N29*'Assumption Sheet'!$C29/10^7,DI38/Leasing!DI10*Leasing!DJ10),0)</f>
        <v>6.6236892056079702E-2</v>
      </c>
      <c r="DK38" s="33">
        <f>IFERROR(IF(AND(Leasing!DJ10=0,DK10&gt;0),'Assumption Sheet'!$N29*'Assumption Sheet'!$C29/10^7,DJ38/Leasing!DJ10*Leasing!DK10),0)</f>
        <v>6.6236892056079702E-2</v>
      </c>
      <c r="DL38" s="33">
        <f>IFERROR(IF(AND(Leasing!DK10=0,DL10&gt;0),'Assumption Sheet'!$N29*'Assumption Sheet'!$C29/10^7,DK38/Leasing!DK10*Leasing!DL10),0)</f>
        <v>6.6236892056079702E-2</v>
      </c>
      <c r="DM38" s="33">
        <f>IFERROR(IF(AND(Leasing!DL10=0,DM10&gt;0),'Assumption Sheet'!$N29*'Assumption Sheet'!$C29/10^7,DL38/Leasing!DL10*Leasing!DM10),0)</f>
        <v>6.6236892056079702E-2</v>
      </c>
      <c r="DN38" s="33">
        <f>IFERROR(IF(AND(Leasing!DM10=0,DN10&gt;0),'Assumption Sheet'!$N29*'Assumption Sheet'!$C29/10^7,DM38/Leasing!DM10*Leasing!DN10),0)</f>
        <v>6.6236892056079702E-2</v>
      </c>
      <c r="DO38" s="33">
        <f>IFERROR(IF(AND(Leasing!DN10=0,DO10&gt;0),'Assumption Sheet'!$N29*'Assumption Sheet'!$C29/10^7,DN38/Leasing!DN10*Leasing!DO10),0)</f>
        <v>6.9548736658883684E-2</v>
      </c>
      <c r="DP38" s="33">
        <f>IFERROR(IF(AND(Leasing!DO10=0,DP10&gt;0),'Assumption Sheet'!$N29*'Assumption Sheet'!$C29/10^7,DO38/Leasing!DO10*Leasing!DP10),0)</f>
        <v>6.9548736658883684E-2</v>
      </c>
      <c r="DQ38" s="33">
        <f>IFERROR(IF(AND(Leasing!DP10=0,DQ10&gt;0),'Assumption Sheet'!$N29*'Assumption Sheet'!$C29/10^7,DP38/Leasing!DP10*Leasing!DQ10),0)</f>
        <v>6.9548736658883684E-2</v>
      </c>
      <c r="DR38" s="33">
        <f>IFERROR(IF(AND(Leasing!DQ10=0,DR10&gt;0),'Assumption Sheet'!$N29*'Assumption Sheet'!$C29/10^7,DQ38/Leasing!DQ10*Leasing!DR10),0)</f>
        <v>6.9548736658883684E-2</v>
      </c>
      <c r="DS38" s="33">
        <f>IFERROR(IF(AND(Leasing!DR10=0,DS10&gt;0),'Assumption Sheet'!$N29*'Assumption Sheet'!$C29/10^7,DR38/Leasing!DR10*Leasing!DS10),0)</f>
        <v>6.9548736658883684E-2</v>
      </c>
      <c r="DT38" s="33">
        <f>IFERROR(IF(AND(Leasing!DS10=0,DT10&gt;0),'Assumption Sheet'!$N29*'Assumption Sheet'!$C29/10^7,DS38/Leasing!DS10*Leasing!DT10),0)</f>
        <v>6.9548736658883684E-2</v>
      </c>
      <c r="DU38" s="33">
        <f>IFERROR(IF(AND(Leasing!DT10=0,DU10&gt;0),'Assumption Sheet'!$N29*'Assumption Sheet'!$C29/10^7,DT38/Leasing!DT10*Leasing!DU10),0)</f>
        <v>6.9548736658883684E-2</v>
      </c>
      <c r="DV38" s="33">
        <f>IFERROR(IF(AND(Leasing!DU10=0,DV10&gt;0),'Assumption Sheet'!$N29*'Assumption Sheet'!$C29/10^7,DU38/Leasing!DU10*Leasing!DV10),0)</f>
        <v>6.9548736658883684E-2</v>
      </c>
      <c r="DW38" s="33">
        <f>IFERROR(IF(AND(Leasing!DV10=0,DW10&gt;0),'Assumption Sheet'!$N29*'Assumption Sheet'!$C29/10^7,DV38/Leasing!DV10*Leasing!DW10),0)</f>
        <v>6.9548736658883684E-2</v>
      </c>
      <c r="DX38" s="33">
        <f>IFERROR(IF(AND(Leasing!DW10=0,DX10&gt;0),'Assumption Sheet'!$N29*'Assumption Sheet'!$C29/10^7,DW38/Leasing!DW10*Leasing!DX10),0)</f>
        <v>6.9548736658883684E-2</v>
      </c>
      <c r="DY38" s="33">
        <f>IFERROR(IF(AND(Leasing!DX10=0,DY10&gt;0),'Assumption Sheet'!$N29*'Assumption Sheet'!$C29/10^7,DX38/Leasing!DX10*Leasing!DY10),0)</f>
        <v>6.9548736658883684E-2</v>
      </c>
      <c r="DZ38" s="33">
        <f>IFERROR(IF(AND(Leasing!DY10=0,DZ10&gt;0),'Assumption Sheet'!$N29*'Assumption Sheet'!$C29/10^7,DY38/Leasing!DY10*Leasing!DZ10),0)</f>
        <v>6.9548736658883684E-2</v>
      </c>
      <c r="EA38" s="33">
        <f>IFERROR(IF(AND(Leasing!DZ10=0,EA10&gt;0),'Assumption Sheet'!$N29*'Assumption Sheet'!$C29/10^7,DZ38/Leasing!DZ10*Leasing!EA10),0)</f>
        <v>7.3026173491827884E-2</v>
      </c>
      <c r="EB38" s="33">
        <f>IFERROR(IF(AND(Leasing!EA10=0,EB10&gt;0),'Assumption Sheet'!$N29*'Assumption Sheet'!$C29/10^7,EA38/Leasing!EA10*Leasing!EB10),0)</f>
        <v>7.3026173491827884E-2</v>
      </c>
      <c r="EC38" s="33">
        <f>IFERROR(IF(AND(Leasing!EB10=0,EC10&gt;0),'Assumption Sheet'!$N29*'Assumption Sheet'!$C29/10^7,EB38/Leasing!EB10*Leasing!EC10),0)</f>
        <v>7.3026173491827884E-2</v>
      </c>
      <c r="ED38" s="33">
        <f>IFERROR(IF(AND(Leasing!EC10=0,ED10&gt;0),'Assumption Sheet'!$N29*'Assumption Sheet'!$C29/10^7,EC38/Leasing!EC10*Leasing!ED10),0)</f>
        <v>7.3026173491827884E-2</v>
      </c>
      <c r="EE38" s="33">
        <f>IFERROR(IF(AND(Leasing!ED10=0,EE10&gt;0),'Assumption Sheet'!$N29*'Assumption Sheet'!$C29/10^7,ED38/Leasing!ED10*Leasing!EE10),0)</f>
        <v>7.3026173491827884E-2</v>
      </c>
      <c r="EF38" s="33">
        <f>IFERROR(IF(AND(Leasing!EE10=0,EF10&gt;0),'Assumption Sheet'!$N29*'Assumption Sheet'!$C29/10^7,EE38/Leasing!EE10*Leasing!EF10),0)</f>
        <v>7.3026173491827884E-2</v>
      </c>
      <c r="EG38" s="33">
        <f>IFERROR(IF(AND(Leasing!EF10=0,EG10&gt;0),'Assumption Sheet'!$N29*'Assumption Sheet'!$C29/10^7,EF38/Leasing!EF10*Leasing!EG10),0)</f>
        <v>7.3026173491827884E-2</v>
      </c>
      <c r="EH38" s="33">
        <f>IFERROR(IF(AND(Leasing!EG10=0,EH10&gt;0),'Assumption Sheet'!$N29*'Assumption Sheet'!$C29/10^7,EG38/Leasing!EG10*Leasing!EH10),0)</f>
        <v>7.3026173491827884E-2</v>
      </c>
      <c r="EI38" s="33">
        <f>IFERROR(IF(AND(Leasing!EH10=0,EI10&gt;0),'Assumption Sheet'!$N29*'Assumption Sheet'!$C29/10^7,EH38/Leasing!EH10*Leasing!EI10),0)</f>
        <v>7.3026173491827884E-2</v>
      </c>
      <c r="EJ38" s="33">
        <f>IFERROR(IF(AND(Leasing!EI10=0,EJ10&gt;0),'Assumption Sheet'!$N29*'Assumption Sheet'!$C29/10^7,EI38/Leasing!EI10*Leasing!EJ10),0)</f>
        <v>7.3026173491827884E-2</v>
      </c>
      <c r="EK38" s="33">
        <f>IFERROR(IF(AND(Leasing!EJ10=0,EK10&gt;0),'Assumption Sheet'!$N29*'Assumption Sheet'!$C29/10^7,EJ38/Leasing!EJ10*Leasing!EK10),0)</f>
        <v>7.3026173491827884E-2</v>
      </c>
      <c r="EL38" s="33">
        <f>IFERROR(IF(AND(Leasing!EK10=0,EL10&gt;0),'Assumption Sheet'!$N29*'Assumption Sheet'!$C29/10^7,EK38/Leasing!EK10*Leasing!EL10),0)</f>
        <v>7.3026173491827884E-2</v>
      </c>
      <c r="EM38" s="33">
        <f>IFERROR(IF(AND(Leasing!EL10=0,EM10&gt;0),'Assumption Sheet'!$N29*'Assumption Sheet'!$C29/10^7,EL38/Leasing!EL10*Leasing!EM10),0)</f>
        <v>7.6677482166419272E-2</v>
      </c>
      <c r="EN38" s="33">
        <f>IFERROR(IF(AND(Leasing!EM10=0,EN10&gt;0),'Assumption Sheet'!$N29*'Assumption Sheet'!$C29/10^7,EM38/Leasing!EM10*Leasing!EN10),0)</f>
        <v>7.6677482166419272E-2</v>
      </c>
      <c r="EO38" s="33">
        <f>IFERROR(IF(AND(Leasing!EN10=0,EO10&gt;0),'Assumption Sheet'!$N29*'Assumption Sheet'!$C29/10^7,EN38/Leasing!EN10*Leasing!EO10),0)</f>
        <v>7.6677482166419272E-2</v>
      </c>
      <c r="EP38" s="33">
        <f>IFERROR(IF(AND(Leasing!EO10=0,EP10&gt;0),'Assumption Sheet'!$N29*'Assumption Sheet'!$C29/10^7,EO38/Leasing!EO10*Leasing!EP10),0)</f>
        <v>7.6677482166419272E-2</v>
      </c>
      <c r="EQ38" s="33">
        <f>IFERROR(IF(AND(Leasing!EP10=0,EQ10&gt;0),'Assumption Sheet'!$N29*'Assumption Sheet'!$C29/10^7,EP38/Leasing!EP10*Leasing!EQ10),0)</f>
        <v>7.6677482166419272E-2</v>
      </c>
      <c r="ER38" s="33">
        <f>IFERROR(IF(AND(Leasing!EQ10=0,ER10&gt;0),'Assumption Sheet'!$N29*'Assumption Sheet'!$C29/10^7,EQ38/Leasing!EQ10*Leasing!ER10),0)</f>
        <v>7.6677482166419272E-2</v>
      </c>
      <c r="ES38" s="33">
        <f>IFERROR(IF(AND(Leasing!ER10=0,ES10&gt;0),'Assumption Sheet'!$N29*'Assumption Sheet'!$C29/10^7,ER38/Leasing!ER10*Leasing!ES10),0)</f>
        <v>7.6677482166419272E-2</v>
      </c>
      <c r="ET38" s="33">
        <f>IFERROR(IF(AND(Leasing!ES10=0,ET10&gt;0),'Assumption Sheet'!$N29*'Assumption Sheet'!$C29/10^7,ES38/Leasing!ES10*Leasing!ET10),0)</f>
        <v>7.6677482166419272E-2</v>
      </c>
      <c r="EU38" s="33">
        <f>IFERROR(IF(AND(Leasing!ET10=0,EU10&gt;0),'Assumption Sheet'!$N29*'Assumption Sheet'!$C29/10^7,ET38/Leasing!ET10*Leasing!EU10),0)</f>
        <v>7.6677482166419272E-2</v>
      </c>
      <c r="EV38" s="33">
        <f>IFERROR(IF(AND(Leasing!EU10=0,EV10&gt;0),'Assumption Sheet'!$N29*'Assumption Sheet'!$C29/10^7,EU38/Leasing!EU10*Leasing!EV10),0)</f>
        <v>7.6677482166419272E-2</v>
      </c>
      <c r="EW38" s="33">
        <f>IFERROR(IF(AND(Leasing!EV10=0,EW10&gt;0),'Assumption Sheet'!$N29*'Assumption Sheet'!$C29/10^7,EV38/Leasing!EV10*Leasing!EW10),0)</f>
        <v>7.6677482166419272E-2</v>
      </c>
      <c r="EX38" s="33">
        <f>IFERROR(IF(AND(Leasing!EW10=0,EX10&gt;0),'Assumption Sheet'!$N29*'Assumption Sheet'!$C29/10^7,EW38/Leasing!EW10*Leasing!EX10),0)</f>
        <v>7.6677482166419272E-2</v>
      </c>
      <c r="EY38" s="33">
        <f>IFERROR(IF(AND(Leasing!EX10=0,EY10&gt;0),'Assumption Sheet'!$N29*'Assumption Sheet'!$C29/10^7,EX38/Leasing!EX10*Leasing!EY10),0)</f>
        <v>8.0511356274740251E-2</v>
      </c>
      <c r="EZ38" s="33">
        <f>IFERROR(IF(AND(Leasing!EY10=0,EZ10&gt;0),'Assumption Sheet'!$N29*'Assumption Sheet'!$C29/10^7,EY38/Leasing!EY10*Leasing!EZ10),0)</f>
        <v>8.0511356274740251E-2</v>
      </c>
      <c r="FA38" s="33">
        <f>IFERROR(IF(AND(Leasing!EZ10=0,FA10&gt;0),'Assumption Sheet'!$N29*'Assumption Sheet'!$C29/10^7,EZ38/Leasing!EZ10*Leasing!FA10),0)</f>
        <v>8.0511356274740251E-2</v>
      </c>
      <c r="FB38" s="33">
        <f>IFERROR(IF(AND(Leasing!FA10=0,FB10&gt;0),'Assumption Sheet'!$N29*'Assumption Sheet'!$C29/10^7,FA38/Leasing!FA10*Leasing!FB10),0)</f>
        <v>8.0511356274740251E-2</v>
      </c>
      <c r="FC38" s="33">
        <f>IFERROR(IF(AND(Leasing!FB10=0,FC10&gt;0),'Assumption Sheet'!$N29*'Assumption Sheet'!$C29/10^7,FB38/Leasing!FB10*Leasing!FC10),0)</f>
        <v>8.0511356274740251E-2</v>
      </c>
      <c r="FD38" s="33">
        <f>IFERROR(IF(AND(Leasing!FC10=0,FD10&gt;0),'Assumption Sheet'!$N29*'Assumption Sheet'!$C29/10^7,FC38/Leasing!FC10*Leasing!FD10),0)</f>
        <v>8.0511356274740251E-2</v>
      </c>
      <c r="FE38" s="33">
        <f>IFERROR(IF(AND(Leasing!FD10=0,FE10&gt;0),'Assumption Sheet'!$N29*'Assumption Sheet'!$C29/10^7,FD38/Leasing!FD10*Leasing!FE10),0)</f>
        <v>8.0511356274740251E-2</v>
      </c>
      <c r="FF38" s="33">
        <f>IFERROR(IF(AND(Leasing!FE10=0,FF10&gt;0),'Assumption Sheet'!$N29*'Assumption Sheet'!$C29/10^7,FE38/Leasing!FE10*Leasing!FF10),0)</f>
        <v>8.0511356274740251E-2</v>
      </c>
      <c r="FG38" s="33">
        <f>IFERROR(IF(AND(Leasing!FF10=0,FG10&gt;0),'Assumption Sheet'!$N29*'Assumption Sheet'!$C29/10^7,FF38/Leasing!FF10*Leasing!FG10),0)</f>
        <v>8.0511356274740251E-2</v>
      </c>
      <c r="FH38" s="33">
        <f>IFERROR(IF(AND(Leasing!FG10=0,FH10&gt;0),'Assumption Sheet'!$N29*'Assumption Sheet'!$C29/10^7,FG38/Leasing!FG10*Leasing!FH10),0)</f>
        <v>8.0511356274740251E-2</v>
      </c>
      <c r="FI38" s="33">
        <f>IFERROR(IF(AND(Leasing!FH10=0,FI10&gt;0),'Assumption Sheet'!$N29*'Assumption Sheet'!$C29/10^7,FH38/Leasing!FH10*Leasing!FI10),0)</f>
        <v>8.0511356274740251E-2</v>
      </c>
      <c r="FJ38" s="33">
        <f>IFERROR(IF(AND(Leasing!FI10=0,FJ10&gt;0),'Assumption Sheet'!$N29*'Assumption Sheet'!$C29/10^7,FI38/Leasing!FI10*Leasing!FJ10),0)</f>
        <v>8.0511356274740251E-2</v>
      </c>
      <c r="FK38" s="33">
        <f>IFERROR(IF(AND(Leasing!FJ10=0,FK10&gt;0),'Assumption Sheet'!$N29*'Assumption Sheet'!$C29/10^7,FJ38/Leasing!FJ10*Leasing!FK10),0)</f>
        <v>8.453692408847728E-2</v>
      </c>
      <c r="FL38" s="33">
        <f>IFERROR(IF(AND(Leasing!FK10=0,FL10&gt;0),'Assumption Sheet'!$N29*'Assumption Sheet'!$C29/10^7,FK38/Leasing!FK10*Leasing!FL10),0)</f>
        <v>8.453692408847728E-2</v>
      </c>
      <c r="FM38" s="33">
        <f>IFERROR(IF(AND(Leasing!FL10=0,FM10&gt;0),'Assumption Sheet'!$N29*'Assumption Sheet'!$C29/10^7,FL38/Leasing!FL10*Leasing!FM10),0)</f>
        <v>8.453692408847728E-2</v>
      </c>
      <c r="FN38" s="33">
        <f>IFERROR(IF(AND(Leasing!FM10=0,FN10&gt;0),'Assumption Sheet'!$N29*'Assumption Sheet'!$C29/10^7,FM38/Leasing!FM10*Leasing!FN10),0)</f>
        <v>8.453692408847728E-2</v>
      </c>
      <c r="FO38" s="33">
        <f>IFERROR(IF(AND(Leasing!FN10=0,FO10&gt;0),'Assumption Sheet'!$N29*'Assumption Sheet'!$C29/10^7,FN38/Leasing!FN10*Leasing!FO10),0)</f>
        <v>8.453692408847728E-2</v>
      </c>
      <c r="FP38" s="33">
        <f>IFERROR(IF(AND(Leasing!FO10=0,FP10&gt;0),'Assumption Sheet'!$N29*'Assumption Sheet'!$C29/10^7,FO38/Leasing!FO10*Leasing!FP10),0)</f>
        <v>8.453692408847728E-2</v>
      </c>
      <c r="FQ38" s="33">
        <f>IFERROR(IF(AND(Leasing!FP10=0,FQ10&gt;0),'Assumption Sheet'!$N29*'Assumption Sheet'!$C29/10^7,FP38/Leasing!FP10*Leasing!FQ10),0)</f>
        <v>8.453692408847728E-2</v>
      </c>
      <c r="FR38" s="33">
        <f>IFERROR(IF(AND(Leasing!FQ10=0,FR10&gt;0),'Assumption Sheet'!$N29*'Assumption Sheet'!$C29/10^7,FQ38/Leasing!FQ10*Leasing!FR10),0)</f>
        <v>8.453692408847728E-2</v>
      </c>
      <c r="FS38" s="33">
        <f>IFERROR(IF(AND(Leasing!FR10=0,FS10&gt;0),'Assumption Sheet'!$N29*'Assumption Sheet'!$C29/10^7,FR38/Leasing!FR10*Leasing!FS10),0)</f>
        <v>8.453692408847728E-2</v>
      </c>
      <c r="FT38" s="33">
        <f>IFERROR(IF(AND(Leasing!FS10=0,FT10&gt;0),'Assumption Sheet'!$N29*'Assumption Sheet'!$C29/10^7,FS38/Leasing!FS10*Leasing!FT10),0)</f>
        <v>8.453692408847728E-2</v>
      </c>
      <c r="FU38" s="33">
        <f>IFERROR(IF(AND(Leasing!FT10=0,FU10&gt;0),'Assumption Sheet'!$N29*'Assumption Sheet'!$C29/10^7,FT38/Leasing!FT10*Leasing!FU10),0)</f>
        <v>8.453692408847728E-2</v>
      </c>
      <c r="FV38" s="33">
        <f>IFERROR(IF(AND(Leasing!FU10=0,FV10&gt;0),'Assumption Sheet'!$N29*'Assumption Sheet'!$C29/10^7,FU38/Leasing!FU10*Leasing!FV10),0)</f>
        <v>8.453692408847728E-2</v>
      </c>
      <c r="FW38" s="33">
        <f>IFERROR(IF(AND(Leasing!FV10=0,FW10&gt;0),'Assumption Sheet'!$N29*'Assumption Sheet'!$C29/10^7,FV38/Leasing!FV10*Leasing!FW10),0)</f>
        <v>8.876377029290114E-2</v>
      </c>
      <c r="FX38" s="33">
        <f>IFERROR(IF(AND(Leasing!FW10=0,FX10&gt;0),'Assumption Sheet'!$N29*'Assumption Sheet'!$C29/10^7,FW38/Leasing!FW10*Leasing!FX10),0)</f>
        <v>8.876377029290114E-2</v>
      </c>
      <c r="FY38" s="33">
        <f>IFERROR(IF(AND(Leasing!FX10=0,FY10&gt;0),'Assumption Sheet'!$N29*'Assumption Sheet'!$C29/10^7,FX38/Leasing!FX10*Leasing!FY10),0)</f>
        <v>8.876377029290114E-2</v>
      </c>
      <c r="FZ38" s="33">
        <f>IFERROR(IF(AND(Leasing!FY10=0,FZ10&gt;0),'Assumption Sheet'!$N29*'Assumption Sheet'!$C29/10^7,FY38/Leasing!FY10*Leasing!FZ10),0)</f>
        <v>8.876377029290114E-2</v>
      </c>
      <c r="GA38" s="33">
        <f>IFERROR(IF(AND(Leasing!FZ10=0,GA10&gt;0),'Assumption Sheet'!$N29*'Assumption Sheet'!$C29/10^7,FZ38/Leasing!FZ10*Leasing!GA10),0)</f>
        <v>8.876377029290114E-2</v>
      </c>
      <c r="GB38" s="33">
        <f>IFERROR(IF(AND(Leasing!GA10=0,GB10&gt;0),'Assumption Sheet'!$N29*'Assumption Sheet'!$C29/10^7,GA38/Leasing!GA10*Leasing!GB10),0)</f>
        <v>8.876377029290114E-2</v>
      </c>
      <c r="GC38" s="33">
        <f>IFERROR(IF(AND(Leasing!GB10=0,GC10&gt;0),'Assumption Sheet'!$N29*'Assumption Sheet'!$C29/10^7,GB38/Leasing!GB10*Leasing!GC10),0)</f>
        <v>8.876377029290114E-2</v>
      </c>
      <c r="GD38" s="33">
        <f>IFERROR(IF(AND(Leasing!GC10=0,GD10&gt;0),'Assumption Sheet'!$N29*'Assumption Sheet'!$C29/10^7,GC38/Leasing!GC10*Leasing!GD10),0)</f>
        <v>8.876377029290114E-2</v>
      </c>
      <c r="GE38" s="33">
        <f>IFERROR(IF(AND(Leasing!GD10=0,GE10&gt;0),'Assumption Sheet'!$N29*'Assumption Sheet'!$C29/10^7,GD38/Leasing!GD10*Leasing!GE10),0)</f>
        <v>8.876377029290114E-2</v>
      </c>
      <c r="GF38" s="33">
        <f>IFERROR(IF(AND(Leasing!GE10=0,GF10&gt;0),'Assumption Sheet'!$N29*'Assumption Sheet'!$C29/10^7,GE38/Leasing!GE10*Leasing!GF10),0)</f>
        <v>8.876377029290114E-2</v>
      </c>
      <c r="GG38" s="33">
        <f>IFERROR(IF(AND(Leasing!GF10=0,GG10&gt;0),'Assumption Sheet'!$N29*'Assumption Sheet'!$C29/10^7,GF38/Leasing!GF10*Leasing!GG10),0)</f>
        <v>8.876377029290114E-2</v>
      </c>
      <c r="GH38" s="33">
        <f>IFERROR(IF(AND(Leasing!GG10=0,GH10&gt;0),'Assumption Sheet'!$N29*'Assumption Sheet'!$C29/10^7,GG38/Leasing!GG10*Leasing!GH10),0)</f>
        <v>8.876377029290114E-2</v>
      </c>
      <c r="GI38" s="33">
        <f>IFERROR(IF(AND(Leasing!GH10=0,GI10&gt;0),'Assumption Sheet'!$N29*'Assumption Sheet'!$C29/10^7,GH38/Leasing!GH10*Leasing!GI10),0)</f>
        <v>9.3201958807546198E-2</v>
      </c>
      <c r="GJ38" s="33">
        <f>IFERROR(IF(AND(Leasing!GI10=0,GJ10&gt;0),'Assumption Sheet'!$N29*'Assumption Sheet'!$C29/10^7,GI38/Leasing!GI10*Leasing!GJ10),0)</f>
        <v>9.3201958807546198E-2</v>
      </c>
      <c r="GK38" s="33">
        <f>IFERROR(IF(AND(Leasing!GJ10=0,GK10&gt;0),'Assumption Sheet'!$N29*'Assumption Sheet'!$C29/10^7,GJ38/Leasing!GJ10*Leasing!GK10),0)</f>
        <v>9.3201958807546198E-2</v>
      </c>
      <c r="GL38" s="33">
        <f>IFERROR(IF(AND(Leasing!GK10=0,GL10&gt;0),'Assumption Sheet'!$N29*'Assumption Sheet'!$C29/10^7,GK38/Leasing!GK10*Leasing!GL10),0)</f>
        <v>9.3201958807546198E-2</v>
      </c>
      <c r="GM38" s="33">
        <f>IFERROR(IF(AND(Leasing!GL10=0,GM10&gt;0),'Assumption Sheet'!$N29*'Assumption Sheet'!$C29/10^7,GL38/Leasing!GL10*Leasing!GM10),0)</f>
        <v>9.3201958807546198E-2</v>
      </c>
      <c r="GN38" s="33">
        <f>IFERROR(IF(AND(Leasing!GM10=0,GN10&gt;0),'Assumption Sheet'!$N29*'Assumption Sheet'!$C29/10^7,GM38/Leasing!GM10*Leasing!GN10),0)</f>
        <v>9.3201958807546198E-2</v>
      </c>
      <c r="GO38" s="33">
        <f>IFERROR(IF(AND(Leasing!GN10=0,GO10&gt;0),'Assumption Sheet'!$N29*'Assumption Sheet'!$C29/10^7,GN38/Leasing!GN10*Leasing!GO10),0)</f>
        <v>9.3201958807546198E-2</v>
      </c>
      <c r="GP38" s="33">
        <f>IFERROR(IF(AND(Leasing!GO10=0,GP10&gt;0),'Assumption Sheet'!$N29*'Assumption Sheet'!$C29/10^7,GO38/Leasing!GO10*Leasing!GP10),0)</f>
        <v>9.3201958807546198E-2</v>
      </c>
      <c r="GQ38" s="33">
        <f>IFERROR(IF(AND(Leasing!GP10=0,GQ10&gt;0),'Assumption Sheet'!$N29*'Assumption Sheet'!$C29/10^7,GP38/Leasing!GP10*Leasing!GQ10),0)</f>
        <v>9.3201958807546198E-2</v>
      </c>
      <c r="GR38" s="33">
        <f>IFERROR(IF(AND(Leasing!GQ10=0,GR10&gt;0),'Assumption Sheet'!$N29*'Assumption Sheet'!$C29/10^7,GQ38/Leasing!GQ10*Leasing!GR10),0)</f>
        <v>9.3201958807546198E-2</v>
      </c>
      <c r="GS38" s="33">
        <f>IFERROR(IF(AND(Leasing!GR10=0,GS10&gt;0),'Assumption Sheet'!$N29*'Assumption Sheet'!$C29/10^7,GR38/Leasing!GR10*Leasing!GS10),0)</f>
        <v>9.3201958807546198E-2</v>
      </c>
      <c r="GT38" s="33">
        <f>IFERROR(IF(AND(Leasing!GS10=0,GT10&gt;0),'Assumption Sheet'!$N29*'Assumption Sheet'!$C29/10^7,GS38/Leasing!GS10*Leasing!GT10),0)</f>
        <v>9.3201958807546198E-2</v>
      </c>
      <c r="GU38" s="33">
        <f>IFERROR(IF(AND(Leasing!GT10=0,GU10&gt;0),'Assumption Sheet'!$N29*'Assumption Sheet'!$C29/10^7,GT38/Leasing!GT10*Leasing!GU10),0)</f>
        <v>9.7862056747923518E-2</v>
      </c>
      <c r="GV38" s="33">
        <f>IFERROR(IF(AND(Leasing!GU10=0,GV10&gt;0),'Assumption Sheet'!$N29*'Assumption Sheet'!$C29/10^7,GU38/Leasing!GU10*Leasing!GV10),0)</f>
        <v>9.7862056747923518E-2</v>
      </c>
      <c r="GW38" s="33">
        <f>IFERROR(IF(AND(Leasing!GV10=0,GW10&gt;0),'Assumption Sheet'!$N29*'Assumption Sheet'!$C29/10^7,GV38/Leasing!GV10*Leasing!GW10),0)</f>
        <v>9.7862056747923518E-2</v>
      </c>
      <c r="GX38" s="33">
        <f>IFERROR(IF(AND(Leasing!GW10=0,GX10&gt;0),'Assumption Sheet'!$N29*'Assumption Sheet'!$C29/10^7,GW38/Leasing!GW10*Leasing!GX10),0)</f>
        <v>9.7862056747923518E-2</v>
      </c>
      <c r="GY38" s="33">
        <f>IFERROR(IF(AND(Leasing!GX10=0,GY10&gt;0),'Assumption Sheet'!$N29*'Assumption Sheet'!$C29/10^7,GX38/Leasing!GX10*Leasing!GY10),0)</f>
        <v>9.7862056747923518E-2</v>
      </c>
      <c r="GZ38" s="33">
        <f>IFERROR(IF(AND(Leasing!GY10=0,GZ10&gt;0),'Assumption Sheet'!$N29*'Assumption Sheet'!$C29/10^7,GY38/Leasing!GY10*Leasing!GZ10),0)</f>
        <v>9.7862056747923518E-2</v>
      </c>
      <c r="HA38" s="33">
        <f>IFERROR(IF(AND(Leasing!GZ10=0,HA10&gt;0),'Assumption Sheet'!$N29*'Assumption Sheet'!$C29/10^7,GZ38/Leasing!GZ10*Leasing!HA10),0)</f>
        <v>9.7862056747923518E-2</v>
      </c>
      <c r="HB38" s="33">
        <f>IFERROR(IF(AND(Leasing!HA10=0,HB10&gt;0),'Assumption Sheet'!$N29*'Assumption Sheet'!$C29/10^7,HA38/Leasing!HA10*Leasing!HB10),0)</f>
        <v>9.7862056747923518E-2</v>
      </c>
      <c r="HC38" s="33">
        <f>IFERROR(IF(AND(Leasing!HB10=0,HC10&gt;0),'Assumption Sheet'!$N29*'Assumption Sheet'!$C29/10^7,HB38/Leasing!HB10*Leasing!HC10),0)</f>
        <v>9.7862056747923518E-2</v>
      </c>
      <c r="HD38" s="33">
        <f>IFERROR(IF(AND(Leasing!HC10=0,HD10&gt;0),'Assumption Sheet'!$N29*'Assumption Sheet'!$C29/10^7,HC38/Leasing!HC10*Leasing!HD10),0)</f>
        <v>9.7862056747923518E-2</v>
      </c>
      <c r="HE38" s="33">
        <f>IFERROR(IF(AND(Leasing!HD10=0,HE10&gt;0),'Assumption Sheet'!$N29*'Assumption Sheet'!$C29/10^7,HD38/Leasing!HD10*Leasing!HE10),0)</f>
        <v>9.7862056747923518E-2</v>
      </c>
      <c r="HF38" s="33">
        <f>IFERROR(IF(AND(Leasing!HE10=0,HF10&gt;0),'Assumption Sheet'!$N29*'Assumption Sheet'!$C29/10^7,HE38/Leasing!HE10*Leasing!HF10),0)</f>
        <v>9.7862056747923518E-2</v>
      </c>
      <c r="HG38" s="33">
        <f>IFERROR(IF(AND(Leasing!HF10=0,HG10&gt;0),'Assumption Sheet'!$N29*'Assumption Sheet'!$C29/10^7,HF38/Leasing!HF10*Leasing!HG10),0)</f>
        <v>0.10275515958531969</v>
      </c>
      <c r="HH38" s="33">
        <f>IFERROR(IF(AND(Leasing!HG10=0,HH10&gt;0),'Assumption Sheet'!$N29*'Assumption Sheet'!$C29/10^7,HG38/Leasing!HG10*Leasing!HH10),0)</f>
        <v>0.10275515958531969</v>
      </c>
      <c r="HI38" s="33">
        <f>IFERROR(IF(AND(Leasing!HH10=0,HI10&gt;0),'Assumption Sheet'!$N29*'Assumption Sheet'!$C29/10^7,HH38/Leasing!HH10*Leasing!HI10),0)</f>
        <v>0.10275515958531969</v>
      </c>
      <c r="HJ38" s="33">
        <f>IFERROR(IF(AND(Leasing!HI10=0,HJ10&gt;0),'Assumption Sheet'!$N29*'Assumption Sheet'!$C29/10^7,HI38/Leasing!HI10*Leasing!HJ10),0)</f>
        <v>0.10275515958531969</v>
      </c>
      <c r="HK38" s="33">
        <f>IFERROR(IF(AND(Leasing!HJ10=0,HK10&gt;0),'Assumption Sheet'!$N29*'Assumption Sheet'!$C29/10^7,HJ38/Leasing!HJ10*Leasing!HK10),0)</f>
        <v>0.10275515958531969</v>
      </c>
      <c r="HL38" s="33">
        <f>IFERROR(IF(AND(Leasing!HK10=0,HL10&gt;0),'Assumption Sheet'!$N29*'Assumption Sheet'!$C29/10^7,HK38/Leasing!HK10*Leasing!HL10),0)</f>
        <v>0.10275515958531969</v>
      </c>
      <c r="HM38" s="33">
        <f>IFERROR(IF(AND(Leasing!HL10=0,HM10&gt;0),'Assumption Sheet'!$N29*'Assumption Sheet'!$C29/10^7,HL38/Leasing!HL10*Leasing!HM10),0)</f>
        <v>0.10275515958531969</v>
      </c>
      <c r="HN38" s="33">
        <f>IFERROR(IF(AND(Leasing!HM10=0,HN10&gt;0),'Assumption Sheet'!$N29*'Assumption Sheet'!$C29/10^7,HM38/Leasing!HM10*Leasing!HN10),0)</f>
        <v>0.10275515958531969</v>
      </c>
      <c r="HO38" s="33">
        <f>IFERROR(IF(AND(Leasing!HN10=0,HO10&gt;0),'Assumption Sheet'!$N29*'Assumption Sheet'!$C29/10^7,HN38/Leasing!HN10*Leasing!HO10),0)</f>
        <v>0.10275515958531969</v>
      </c>
      <c r="HP38" s="33">
        <f>IFERROR(IF(AND(Leasing!HO10=0,HP10&gt;0),'Assumption Sheet'!$N29*'Assumption Sheet'!$C29/10^7,HO38/Leasing!HO10*Leasing!HP10),0)</f>
        <v>0.10275515958531969</v>
      </c>
      <c r="HQ38" s="33">
        <f>IFERROR(IF(AND(Leasing!HP10=0,HQ10&gt;0),'Assumption Sheet'!$N29*'Assumption Sheet'!$C29/10^7,HP38/Leasing!HP10*Leasing!HQ10),0)</f>
        <v>0.10275515958531969</v>
      </c>
      <c r="HR38" s="33">
        <f>IFERROR(IF(AND(Leasing!HQ10=0,HR10&gt;0),'Assumption Sheet'!$N29*'Assumption Sheet'!$C29/10^7,HQ38/Leasing!HQ10*Leasing!HR10),0)</f>
        <v>0.10275515958531969</v>
      </c>
      <c r="HS38" s="33">
        <f>IFERROR(IF(AND(Leasing!HR10=0,HS10&gt;0),'Assumption Sheet'!$N29*'Assumption Sheet'!$C29/10^7,HR38/Leasing!HR10*Leasing!HS10),0)</f>
        <v>0.10789291756458569</v>
      </c>
      <c r="HT38" s="33">
        <f>IFERROR(IF(AND(Leasing!HS10=0,HT10&gt;0),'Assumption Sheet'!$N29*'Assumption Sheet'!$C29/10^7,HS38/Leasing!HS10*Leasing!HT10),0)</f>
        <v>0.10789291756458569</v>
      </c>
      <c r="HU38" s="33">
        <f>IFERROR(IF(AND(Leasing!HT10=0,HU10&gt;0),'Assumption Sheet'!$N29*'Assumption Sheet'!$C29/10^7,HT38/Leasing!HT10*Leasing!HU10),0)</f>
        <v>0.10789291756458569</v>
      </c>
      <c r="HV38" s="33">
        <f>IFERROR(IF(AND(Leasing!HU10=0,HV10&gt;0),'Assumption Sheet'!$N29*'Assumption Sheet'!$C29/10^7,HU38/Leasing!HU10*Leasing!HV10),0)</f>
        <v>0.10789291756458569</v>
      </c>
      <c r="HW38" s="33">
        <f>IFERROR(IF(AND(Leasing!HV10=0,HW10&gt;0),'Assumption Sheet'!$N29*'Assumption Sheet'!$C29/10^7,HV38/Leasing!HV10*Leasing!HW10),0)</f>
        <v>0.10789291756458569</v>
      </c>
      <c r="HX38" s="33">
        <f>IFERROR(IF(AND(Leasing!HW10=0,HX10&gt;0),'Assumption Sheet'!$N29*'Assumption Sheet'!$C29/10^7,HW38/Leasing!HW10*Leasing!HX10),0)</f>
        <v>0.10789291756458569</v>
      </c>
      <c r="HY38" s="33">
        <f>IFERROR(IF(AND(Leasing!HX10=0,HY10&gt;0),'Assumption Sheet'!$N29*'Assumption Sheet'!$C29/10^7,HX38/Leasing!HX10*Leasing!HY10),0)</f>
        <v>0.10789291756458569</v>
      </c>
      <c r="HZ38" s="33">
        <f>IFERROR(IF(AND(Leasing!HY10=0,HZ10&gt;0),'Assumption Sheet'!$N29*'Assumption Sheet'!$C29/10^7,HY38/Leasing!HY10*Leasing!HZ10),0)</f>
        <v>0.10789291756458569</v>
      </c>
      <c r="IA38" s="33">
        <f>IFERROR(IF(AND(Leasing!HZ10=0,IA10&gt;0),'Assumption Sheet'!$N29*'Assumption Sheet'!$C29/10^7,HZ38/Leasing!HZ10*Leasing!IA10),0)</f>
        <v>0.10789291756458569</v>
      </c>
      <c r="IB38" s="33">
        <f>IFERROR(IF(AND(Leasing!IA10=0,IB10&gt;0),'Assumption Sheet'!$N29*'Assumption Sheet'!$C29/10^7,IA38/Leasing!IA10*Leasing!IB10),0)</f>
        <v>0.10789291756458569</v>
      </c>
      <c r="IC38" s="33">
        <f>IFERROR(IF(AND(Leasing!IB10=0,IC10&gt;0),'Assumption Sheet'!$N29*'Assumption Sheet'!$C29/10^7,IB38/Leasing!IB10*Leasing!IC10),0)</f>
        <v>0.10789291756458569</v>
      </c>
      <c r="ID38" s="33">
        <f>IFERROR(IF(AND(Leasing!IC10=0,ID10&gt;0),'Assumption Sheet'!$N29*'Assumption Sheet'!$C29/10^7,IC38/Leasing!IC10*Leasing!ID10),0)</f>
        <v>0.10789291756458569</v>
      </c>
      <c r="IE38" s="33">
        <f>IFERROR(IF(AND(Leasing!ID10=0,IE10&gt;0),'Assumption Sheet'!$N29*'Assumption Sheet'!$C29/10^7,ID38/Leasing!ID10*Leasing!IE10),0)</f>
        <v>0.11328756344281497</v>
      </c>
      <c r="IF38" s="33">
        <f>IFERROR(IF(AND(Leasing!IE10=0,IF10&gt;0),'Assumption Sheet'!$N29*'Assumption Sheet'!$C29/10^7,IE38/Leasing!IE10*Leasing!IF10),0)</f>
        <v>0.11328756344281497</v>
      </c>
      <c r="IG38" s="33">
        <f>IFERROR(IF(AND(Leasing!IF10=0,IG10&gt;0),'Assumption Sheet'!$N29*'Assumption Sheet'!$C29/10^7,IF38/Leasing!IF10*Leasing!IG10),0)</f>
        <v>0.11328756344281497</v>
      </c>
      <c r="IH38" s="33">
        <f>IFERROR(IF(AND(Leasing!IG10=0,IH10&gt;0),'Assumption Sheet'!$N29*'Assumption Sheet'!$C29/10^7,IG38/Leasing!IG10*Leasing!IH10),0)</f>
        <v>0.11328756344281497</v>
      </c>
      <c r="II38" s="33">
        <f>IFERROR(IF(AND(Leasing!IH10=0,II10&gt;0),'Assumption Sheet'!$N29*'Assumption Sheet'!$C29/10^7,IH38/Leasing!IH10*Leasing!II10),0)</f>
        <v>0.11328756344281497</v>
      </c>
      <c r="IJ38" s="33">
        <f>IFERROR(IF(AND(Leasing!II10=0,IJ10&gt;0),'Assumption Sheet'!$N29*'Assumption Sheet'!$C29/10^7,II38/Leasing!II10*Leasing!IJ10),0)</f>
        <v>0.11328756344281497</v>
      </c>
      <c r="IK38" s="33">
        <f>IFERROR(IF(AND(Leasing!IJ10=0,IK10&gt;0),'Assumption Sheet'!$N29*'Assumption Sheet'!$C29/10^7,IJ38/Leasing!IJ10*Leasing!IK10),0)</f>
        <v>0.11328756344281497</v>
      </c>
      <c r="IL38" s="33">
        <f>IFERROR(IF(AND(Leasing!IK10=0,IL10&gt;0),'Assumption Sheet'!$N29*'Assumption Sheet'!$C29/10^7,IK38/Leasing!IK10*Leasing!IL10),0)</f>
        <v>0.11328756344281497</v>
      </c>
      <c r="IM38" s="33">
        <f>IFERROR(IF(AND(Leasing!IL10=0,IM10&gt;0),'Assumption Sheet'!$N29*'Assumption Sheet'!$C29/10^7,IL38/Leasing!IL10*Leasing!IM10),0)</f>
        <v>0.11328756344281497</v>
      </c>
      <c r="IN38" s="33">
        <f>IFERROR(IF(AND(Leasing!IM10=0,IN10&gt;0),'Assumption Sheet'!$N29*'Assumption Sheet'!$C29/10^7,IM38/Leasing!IM10*Leasing!IN10),0)</f>
        <v>0.11328756344281497</v>
      </c>
      <c r="IO38" s="33">
        <f>IFERROR(IF(AND(Leasing!IN10=0,IO10&gt;0),'Assumption Sheet'!$N29*'Assumption Sheet'!$C29/10^7,IN38/Leasing!IN10*Leasing!IO10),0)</f>
        <v>0.11328756344281497</v>
      </c>
      <c r="IP38" s="33">
        <f>IFERROR(IF(AND(Leasing!IO10=0,IP10&gt;0),'Assumption Sheet'!$N29*'Assumption Sheet'!$C29/10^7,IO38/Leasing!IO10*Leasing!IP10),0)</f>
        <v>0.11328756344281497</v>
      </c>
      <c r="IQ38" s="33">
        <f>IFERROR(IF(AND(Leasing!IP10=0,IQ10&gt;0),'Assumption Sheet'!$N29*'Assumption Sheet'!$C29/10^7,IP38/Leasing!IP10*Leasing!IQ10),0)</f>
        <v>0.11895194161495573</v>
      </c>
      <c r="IR38" s="33">
        <f>IFERROR(IF(AND(Leasing!IQ10=0,IR10&gt;0),'Assumption Sheet'!$N29*'Assumption Sheet'!$C29/10^7,IQ38/Leasing!IQ10*Leasing!IR10),0)</f>
        <v>0.11895194161495573</v>
      </c>
      <c r="IS38" s="33">
        <f>IFERROR(IF(AND(Leasing!IR10=0,IS10&gt;0),'Assumption Sheet'!$N29*'Assumption Sheet'!$C29/10^7,IR38/Leasing!IR10*Leasing!IS10),0)</f>
        <v>0.11895194161495573</v>
      </c>
      <c r="IT38" s="33">
        <f>IFERROR(IF(AND(Leasing!IS10=0,IT10&gt;0),'Assumption Sheet'!$N29*'Assumption Sheet'!$C29/10^7,IS38/Leasing!IS10*Leasing!IT10),0)</f>
        <v>0.11895194161495573</v>
      </c>
      <c r="IU38" s="33">
        <f>IFERROR(IF(AND(Leasing!IT10=0,IU10&gt;0),'Assumption Sheet'!$N29*'Assumption Sheet'!$C29/10^7,IT38/Leasing!IT10*Leasing!IU10),0)</f>
        <v>0.11895194161495573</v>
      </c>
      <c r="IV38" s="33">
        <f>IFERROR(IF(AND(Leasing!IU10=0,IV10&gt;0),'Assumption Sheet'!$N29*'Assumption Sheet'!$C29/10^7,IU38/Leasing!IU10*Leasing!IV10),0)</f>
        <v>0.11895194161495573</v>
      </c>
      <c r="IW38" s="33">
        <f>IFERROR(IF(AND(Leasing!IV10=0,IW10&gt;0),'Assumption Sheet'!$N29*'Assumption Sheet'!$C29/10^7,IV38/Leasing!IV10*Leasing!IW10),0)</f>
        <v>0.11895194161495573</v>
      </c>
      <c r="IX38" s="33">
        <f>IFERROR(IF(AND(Leasing!IW10=0,IX10&gt;0),'Assumption Sheet'!$N29*'Assumption Sheet'!$C29/10^7,IW38/Leasing!IW10*Leasing!IX10),0)</f>
        <v>0.11895194161495573</v>
      </c>
      <c r="IY38" s="33">
        <f>IFERROR(IF(AND(Leasing!IX10=0,IY10&gt;0),'Assumption Sheet'!$N29*'Assumption Sheet'!$C29/10^7,IX38/Leasing!IX10*Leasing!IY10),0)</f>
        <v>0.11895194161495573</v>
      </c>
      <c r="IZ38" s="33">
        <f>IFERROR(IF(AND(Leasing!IY10=0,IZ10&gt;0),'Assumption Sheet'!$N29*'Assumption Sheet'!$C29/10^7,IY38/Leasing!IY10*Leasing!IZ10),0)</f>
        <v>0.11895194161495573</v>
      </c>
      <c r="JA38" s="33">
        <f>IFERROR(IF(AND(Leasing!IZ10=0,JA10&gt;0),'Assumption Sheet'!$N29*'Assumption Sheet'!$C29/10^7,IZ38/Leasing!IZ10*Leasing!JA10),0)</f>
        <v>0.11895194161495573</v>
      </c>
      <c r="JB38" s="33">
        <f>IFERROR(IF(AND(Leasing!JA10=0,JB10&gt;0),'Assumption Sheet'!$N29*'Assumption Sheet'!$C29/10^7,JA38/Leasing!JA10*Leasing!JB10),0)</f>
        <v>0.11895194161495573</v>
      </c>
      <c r="JC38" s="33">
        <f>IFERROR(IF(AND(Leasing!JB10=0,JC10&gt;0),'Assumption Sheet'!$N29*'Assumption Sheet'!$C29/10^7,JB38/Leasing!JB10*Leasing!JC10),0)</f>
        <v>0.12489953869570353</v>
      </c>
      <c r="JD38" s="33">
        <f>IFERROR(IF(AND(Leasing!JC10=0,JD10&gt;0),'Assumption Sheet'!$N29*'Assumption Sheet'!$C29/10^7,JC38/Leasing!JC10*Leasing!JD10),0)</f>
        <v>0.12489953869570353</v>
      </c>
      <c r="JE38" s="33">
        <f>IFERROR(IF(AND(Leasing!JD10=0,JE10&gt;0),'Assumption Sheet'!$N29*'Assumption Sheet'!$C29/10^7,JD38/Leasing!JD10*Leasing!JE10),0)</f>
        <v>0.12489953869570353</v>
      </c>
      <c r="JF38" s="33">
        <f>IFERROR(IF(AND(Leasing!JE10=0,JF10&gt;0),'Assumption Sheet'!$N29*'Assumption Sheet'!$C29/10^7,JE38/Leasing!JE10*Leasing!JF10),0)</f>
        <v>0.12489953869570353</v>
      </c>
      <c r="JG38" s="33">
        <f>IFERROR(IF(AND(Leasing!JF10=0,JG10&gt;0),'Assumption Sheet'!$N29*'Assumption Sheet'!$C29/10^7,JF38/Leasing!JF10*Leasing!JG10),0)</f>
        <v>0.12489953869570353</v>
      </c>
      <c r="JH38" s="33">
        <f>IFERROR(IF(AND(Leasing!JG10=0,JH10&gt;0),'Assumption Sheet'!$N29*'Assumption Sheet'!$C29/10^7,JG38/Leasing!JG10*Leasing!JH10),0)</f>
        <v>0.12489953869570353</v>
      </c>
      <c r="JI38" s="33">
        <f>IFERROR(IF(AND(Leasing!JH10=0,JI10&gt;0),'Assumption Sheet'!$N29*'Assumption Sheet'!$C29/10^7,JH38/Leasing!JH10*Leasing!JI10),0)</f>
        <v>0.12489953869570353</v>
      </c>
      <c r="JJ38" s="33">
        <f>IFERROR(IF(AND(Leasing!JI10=0,JJ10&gt;0),'Assumption Sheet'!$N29*'Assumption Sheet'!$C29/10^7,JI38/Leasing!JI10*Leasing!JJ10),0)</f>
        <v>0.12489953869570353</v>
      </c>
      <c r="JK38" s="33">
        <f>IFERROR(IF(AND(Leasing!JJ10=0,JK10&gt;0),'Assumption Sheet'!$N29*'Assumption Sheet'!$C29/10^7,JJ38/Leasing!JJ10*Leasing!JK10),0)</f>
        <v>0.12489953869570353</v>
      </c>
      <c r="JL38" s="33">
        <f>IFERROR(IF(AND(Leasing!JK10=0,JL10&gt;0),'Assumption Sheet'!$N29*'Assumption Sheet'!$C29/10^7,JK38/Leasing!JK10*Leasing!JL10),0)</f>
        <v>0.12489953869570353</v>
      </c>
      <c r="JM38" s="33">
        <f>IFERROR(IF(AND(Leasing!JL10=0,JM10&gt;0),'Assumption Sheet'!$N29*'Assumption Sheet'!$C29/10^7,JL38/Leasing!JL10*Leasing!JM10),0)</f>
        <v>0.12489953869570353</v>
      </c>
      <c r="JN38" s="33">
        <f>IFERROR(IF(AND(Leasing!JM10=0,JN10&gt;0),'Assumption Sheet'!$N29*'Assumption Sheet'!$C29/10^7,JM38/Leasing!JM10*Leasing!JN10),0)</f>
        <v>0.12489953869570353</v>
      </c>
      <c r="JO38" s="33">
        <f>IFERROR(IF(AND(Leasing!JN10=0,JO10&gt;0),'Assumption Sheet'!$N29*'Assumption Sheet'!$C29/10^7,JN38/Leasing!JN10*Leasing!JO10),0)</f>
        <v>0.13114451563048871</v>
      </c>
      <c r="JP38" s="33">
        <f>IFERROR(IF(AND(Leasing!JO10=0,JP10&gt;0),'Assumption Sheet'!$N29*'Assumption Sheet'!$C29/10^7,JO38/Leasing!JO10*Leasing!JP10),0)</f>
        <v>0.13114451563048871</v>
      </c>
      <c r="JQ38" s="33">
        <f>IFERROR(IF(AND(Leasing!JP10=0,JQ10&gt;0),'Assumption Sheet'!$N29*'Assumption Sheet'!$C29/10^7,JP38/Leasing!JP10*Leasing!JQ10),0)</f>
        <v>0.13114451563048871</v>
      </c>
      <c r="JR38" s="33">
        <f>IFERROR(IF(AND(Leasing!JQ10=0,JR10&gt;0),'Assumption Sheet'!$N29*'Assumption Sheet'!$C29/10^7,JQ38/Leasing!JQ10*Leasing!JR10),0)</f>
        <v>0.13114451563048871</v>
      </c>
      <c r="JS38" s="33">
        <f>IFERROR(IF(AND(Leasing!JR10=0,JS10&gt;0),'Assumption Sheet'!$N29*'Assumption Sheet'!$C29/10^7,JR38/Leasing!JR10*Leasing!JS10),0)</f>
        <v>0.13114451563048871</v>
      </c>
      <c r="JT38" s="33">
        <f>IFERROR(IF(AND(Leasing!JS10=0,JT10&gt;0),'Assumption Sheet'!$N29*'Assumption Sheet'!$C29/10^7,JS38/Leasing!JS10*Leasing!JT10),0)</f>
        <v>0.13114451563048871</v>
      </c>
      <c r="JU38" s="33">
        <f>IFERROR(IF(AND(Leasing!JT10=0,JU10&gt;0),'Assumption Sheet'!$N29*'Assumption Sheet'!$C29/10^7,JT38/Leasing!JT10*Leasing!JU10),0)</f>
        <v>0.13114451563048871</v>
      </c>
      <c r="JV38" s="33">
        <f>IFERROR(IF(AND(Leasing!JU10=0,JV10&gt;0),'Assumption Sheet'!$N29*'Assumption Sheet'!$C29/10^7,JU38/Leasing!JU10*Leasing!JV10),0)</f>
        <v>0.13114451563048871</v>
      </c>
      <c r="JW38" s="33">
        <f>IFERROR(IF(AND(Leasing!JV10=0,JW10&gt;0),'Assumption Sheet'!$N29*'Assumption Sheet'!$C29/10^7,JV38/Leasing!JV10*Leasing!JW10),0)</f>
        <v>0.13114451563048871</v>
      </c>
      <c r="JX38" s="33">
        <f>IFERROR(IF(AND(Leasing!JW10=0,JX10&gt;0),'Assumption Sheet'!$N29*'Assumption Sheet'!$C29/10^7,JW38/Leasing!JW10*Leasing!JX10),0)</f>
        <v>0.13114451563048871</v>
      </c>
      <c r="JY38" s="33">
        <f>IFERROR(IF(AND(Leasing!JX10=0,JY10&gt;0),'Assumption Sheet'!$N29*'Assumption Sheet'!$C29/10^7,JX38/Leasing!JX10*Leasing!JY10),0)</f>
        <v>0.13114451563048871</v>
      </c>
      <c r="JZ38" s="33">
        <f>IFERROR(IF(AND(Leasing!JY10=0,JZ10&gt;0),'Assumption Sheet'!$N29*'Assumption Sheet'!$C29/10^7,JY38/Leasing!JY10*Leasing!JZ10),0)</f>
        <v>0.13114451563048871</v>
      </c>
      <c r="KA38" s="33">
        <f>IFERROR(IF(AND(Leasing!JZ10=0,KA10&gt;0),'Assumption Sheet'!$N29*'Assumption Sheet'!$C29/10^7,JZ38/Leasing!JZ10*Leasing!KA10),0)</f>
        <v>0.13770174141201316</v>
      </c>
      <c r="KB38" s="33">
        <f>IFERROR(IF(AND(Leasing!KA10=0,KB10&gt;0),'Assumption Sheet'!$N29*'Assumption Sheet'!$C29/10^7,KA38/Leasing!KA10*Leasing!KB10),0)</f>
        <v>0.13770174141201316</v>
      </c>
      <c r="KC38" s="33">
        <f>IFERROR(IF(AND(Leasing!KB10=0,KC10&gt;0),'Assumption Sheet'!$N29*'Assumption Sheet'!$C29/10^7,KB38/Leasing!KB10*Leasing!KC10),0)</f>
        <v>0.13770174141201316</v>
      </c>
      <c r="KD38" s="33">
        <f>SUM(E38:KC38)</f>
        <v>21.599045880493946</v>
      </c>
      <c r="KE38" s="33"/>
      <c r="KF38" s="33"/>
      <c r="KG38" s="33"/>
      <c r="KH38" s="33"/>
      <c r="KI38" s="33"/>
      <c r="KJ38" s="33"/>
      <c r="KK38" s="33"/>
      <c r="KL38" s="33"/>
      <c r="KM38" s="33"/>
      <c r="KN38" s="33"/>
      <c r="KO38" s="33"/>
    </row>
    <row r="39" spans="1:301" x14ac:dyDescent="0.3">
      <c r="A39" s="52">
        <f>SUM(E39:IS39)</f>
        <v>6.6722071549170954</v>
      </c>
      <c r="B39" s="1" t="str">
        <f>B30</f>
        <v>Phase 3</v>
      </c>
      <c r="C39" s="54">
        <f t="shared" si="142"/>
        <v>8.5033490840134256</v>
      </c>
      <c r="D39" s="54"/>
      <c r="E39" s="33">
        <f>IFERROR(IF(AND(Leasing!D11=0,E11&gt;0),'Assumption Sheet'!$N30*'Assumption Sheet'!$C30/10^7,D39/Leasing!D11*Leasing!E11),0)</f>
        <v>0</v>
      </c>
      <c r="F39" s="33">
        <f>IFERROR(IF(AND(Leasing!E11=0,F11&gt;0),'Assumption Sheet'!$N30*'Assumption Sheet'!$C30/10^7,E39/Leasing!E11*Leasing!F11),0)</f>
        <v>0</v>
      </c>
      <c r="G39" s="33">
        <f>IFERROR(IF(AND(Leasing!F11=0,G11&gt;0),'Assumption Sheet'!$N30*'Assumption Sheet'!$C30/10^7,F39/Leasing!F11*Leasing!G11),0)</f>
        <v>0</v>
      </c>
      <c r="H39" s="33">
        <f>IFERROR(IF(AND(Leasing!G11=0,H11&gt;0),'Assumption Sheet'!$N30*'Assumption Sheet'!$C30/10^7,G39/Leasing!G11*Leasing!H11),0)</f>
        <v>0</v>
      </c>
      <c r="I39" s="33">
        <f>IFERROR(IF(AND(Leasing!H11=0,I11&gt;0),'Assumption Sheet'!$N30*'Assumption Sheet'!$C30/10^7,H39/Leasing!H11*Leasing!I11),0)</f>
        <v>0</v>
      </c>
      <c r="J39" s="33">
        <f>IFERROR(IF(AND(Leasing!I11=0,J11&gt;0),'Assumption Sheet'!$N30*'Assumption Sheet'!$C30/10^7,I39/Leasing!I11*Leasing!J11),0)</f>
        <v>0</v>
      </c>
      <c r="K39" s="33">
        <f>IFERROR(IF(AND(Leasing!J11=0,K11&gt;0),'Assumption Sheet'!$N30*'Assumption Sheet'!$C30/10^7,J39/Leasing!J11*Leasing!K11),0)</f>
        <v>0</v>
      </c>
      <c r="L39" s="33">
        <f>IFERROR(IF(AND(Leasing!K11=0,L11&gt;0),'Assumption Sheet'!$N30*'Assumption Sheet'!$C30/10^7,K39/Leasing!K11*Leasing!L11),0)</f>
        <v>0</v>
      </c>
      <c r="M39" s="33">
        <f>IFERROR(IF(AND(Leasing!L11=0,M11&gt;0),'Assumption Sheet'!$N30*'Assumption Sheet'!$C30/10^7,L39/Leasing!L11*Leasing!M11),0)</f>
        <v>0</v>
      </c>
      <c r="N39" s="33">
        <f>IFERROR(IF(AND(Leasing!M11=0,N11&gt;0),'Assumption Sheet'!$N30*'Assumption Sheet'!$C30/10^7,M39/Leasing!M11*Leasing!N11),0)</f>
        <v>0</v>
      </c>
      <c r="O39" s="33">
        <f>IFERROR(IF(AND(Leasing!N11=0,O11&gt;0),'Assumption Sheet'!$N30*'Assumption Sheet'!$C30/10^7,N39/Leasing!N11*Leasing!O11),0)</f>
        <v>0</v>
      </c>
      <c r="P39" s="33">
        <f>IFERROR(IF(AND(Leasing!O11=0,P11&gt;0),'Assumption Sheet'!$N30*'Assumption Sheet'!$C30/10^7,O39/Leasing!O11*Leasing!P11),0)</f>
        <v>0</v>
      </c>
      <c r="Q39" s="33">
        <f>IFERROR(IF(AND(Leasing!P11=0,Q11&gt;0),'Assumption Sheet'!$N30*'Assumption Sheet'!$C30/10^7,P39/Leasing!P11*Leasing!Q11),0)</f>
        <v>0</v>
      </c>
      <c r="R39" s="33">
        <f>IFERROR(IF(AND(Leasing!Q11=0,R11&gt;0),'Assumption Sheet'!$N30*'Assumption Sheet'!$C30/10^7,Q39/Leasing!Q11*Leasing!R11),0)</f>
        <v>0</v>
      </c>
      <c r="S39" s="33">
        <f>IFERROR(IF(AND(Leasing!R11=0,S11&gt;0),'Assumption Sheet'!$N30*'Assumption Sheet'!$C30/10^7,R39/Leasing!R11*Leasing!S11),0)</f>
        <v>0</v>
      </c>
      <c r="T39" s="33">
        <f>IFERROR(IF(AND(Leasing!S11=0,T11&gt;0),'Assumption Sheet'!$N30*'Assumption Sheet'!$C30/10^7,S39/Leasing!S11*Leasing!T11),0)</f>
        <v>0</v>
      </c>
      <c r="U39" s="33">
        <f>IFERROR(IF(AND(Leasing!T11=0,U11&gt;0),'Assumption Sheet'!$N30*'Assumption Sheet'!$C30/10^7,T39/Leasing!T11*Leasing!U11),0)</f>
        <v>0</v>
      </c>
      <c r="V39" s="33">
        <f>IFERROR(IF(AND(Leasing!U11=0,V11&gt;0),'Assumption Sheet'!$N30*'Assumption Sheet'!$C30/10^7,U39/Leasing!U11*Leasing!V11),0)</f>
        <v>0</v>
      </c>
      <c r="W39" s="33">
        <f>IFERROR(IF(AND(Leasing!V11=0,W11&gt;0),'Assumption Sheet'!$N30*'Assumption Sheet'!$C30/10^7,V39/Leasing!V11*Leasing!W11),0)</f>
        <v>0</v>
      </c>
      <c r="X39" s="33">
        <f>IFERROR(IF(AND(Leasing!W11=0,X11&gt;0),'Assumption Sheet'!$N30*'Assumption Sheet'!$C30/10^7,W39/Leasing!W11*Leasing!X11),0)</f>
        <v>0</v>
      </c>
      <c r="Y39" s="33">
        <f>IFERROR(IF(AND(Leasing!X11=0,Y11&gt;0),'Assumption Sheet'!$N30*'Assumption Sheet'!$C30/10^7,X39/Leasing!X11*Leasing!Y11),0)</f>
        <v>0</v>
      </c>
      <c r="Z39" s="33">
        <f>IFERROR(IF(AND(Leasing!Y11=0,Z11&gt;0),'Assumption Sheet'!$N30*'Assumption Sheet'!$C30/10^7,Y39/Leasing!Y11*Leasing!Z11),0)</f>
        <v>0</v>
      </c>
      <c r="AA39" s="33">
        <f>IFERROR(IF(AND(Leasing!Z11=0,AA11&gt;0),'Assumption Sheet'!$N30*'Assumption Sheet'!$C30/10^7,Z39/Leasing!Z11*Leasing!AA11),0)</f>
        <v>0</v>
      </c>
      <c r="AB39" s="33">
        <f>IFERROR(IF(AND(Leasing!AA11=0,AB11&gt;0),'Assumption Sheet'!$N30*'Assumption Sheet'!$C30/10^7,AA39/Leasing!AA11*Leasing!AB11),0)</f>
        <v>0</v>
      </c>
      <c r="AC39" s="33">
        <f>IFERROR(IF(AND(Leasing!AB11=0,AC11&gt;0),'Assumption Sheet'!$N30*'Assumption Sheet'!$C30/10^7,AB39/Leasing!AB11*Leasing!AC11),0)</f>
        <v>0</v>
      </c>
      <c r="AD39" s="33">
        <f>IFERROR(IF(AND(Leasing!AC11=0,AD11&gt;0),'Assumption Sheet'!$N30*'Assumption Sheet'!$C30/10^7,AC39/Leasing!AC11*Leasing!AD11),0)</f>
        <v>0</v>
      </c>
      <c r="AE39" s="33">
        <f>IFERROR(IF(AND(Leasing!AD11=0,AE11&gt;0),'Assumption Sheet'!$N30*'Assumption Sheet'!$C30/10^7,AD39/Leasing!AD11*Leasing!AE11),0)</f>
        <v>0</v>
      </c>
      <c r="AF39" s="33">
        <f>IFERROR(IF(AND(Leasing!AE11=0,AF11&gt;0),'Assumption Sheet'!$N30*'Assumption Sheet'!$C30/10^7,AE39/Leasing!AE11*Leasing!AF11),0)</f>
        <v>0</v>
      </c>
      <c r="AG39" s="33">
        <f>IFERROR(IF(AND(Leasing!AF11=0,AG11&gt;0),'Assumption Sheet'!$N30*'Assumption Sheet'!$C30/10^7,AF39/Leasing!AF11*Leasing!AG11),0)</f>
        <v>0</v>
      </c>
      <c r="AH39" s="33">
        <f>IFERROR(IF(AND(Leasing!AG11=0,AH11&gt;0),'Assumption Sheet'!$N30*'Assumption Sheet'!$C30/10^7,AG39/Leasing!AG11*Leasing!AH11),0)</f>
        <v>0</v>
      </c>
      <c r="AI39" s="33">
        <f>IFERROR(IF(AND(Leasing!AH11=0,AI11&gt;0),'Assumption Sheet'!$N30*'Assumption Sheet'!$C30/10^7,AH39/Leasing!AH11*Leasing!AI11),0)</f>
        <v>0</v>
      </c>
      <c r="AJ39" s="33">
        <f>IFERROR(IF(AND(Leasing!AI11=0,AJ11&gt;0),'Assumption Sheet'!$N30*'Assumption Sheet'!$C30/10^7,AI39/Leasing!AI11*Leasing!AJ11),0)</f>
        <v>0</v>
      </c>
      <c r="AK39" s="33">
        <f>IFERROR(IF(AND(Leasing!AJ11=0,AK11&gt;0),'Assumption Sheet'!$N30*'Assumption Sheet'!$C30/10^7,AJ39/Leasing!AJ11*Leasing!AK11),0)</f>
        <v>0</v>
      </c>
      <c r="AL39" s="33">
        <f>IFERROR(IF(AND(Leasing!AK11=0,AL11&gt;0),'Assumption Sheet'!$N30*'Assumption Sheet'!$C30/10^7,AK39/Leasing!AK11*Leasing!AL11),0)</f>
        <v>0</v>
      </c>
      <c r="AM39" s="33">
        <f>IFERROR(IF(AND(Leasing!AL11=0,AM11&gt;0),'Assumption Sheet'!$N30*'Assumption Sheet'!$C30/10^7,AL39/Leasing!AL11*Leasing!AM11),0)</f>
        <v>0</v>
      </c>
      <c r="AN39" s="33">
        <f>IFERROR(IF(AND(Leasing!AM11=0,AN11&gt;0),'Assumption Sheet'!$N30*'Assumption Sheet'!$C30/10^7,AM39/Leasing!AM11*Leasing!AN11),0)</f>
        <v>0</v>
      </c>
      <c r="AO39" s="33">
        <f>IFERROR(IF(AND(Leasing!AN11=0,AO11&gt;0),'Assumption Sheet'!$N30*'Assumption Sheet'!$C30/10^7,AN39/Leasing!AN11*Leasing!AO11),0)</f>
        <v>0</v>
      </c>
      <c r="AP39" s="33">
        <f>IFERROR(IF(AND(Leasing!AO11=0,AP11&gt;0),'Assumption Sheet'!$N30*'Assumption Sheet'!$C30/10^7,AO39/Leasing!AO11*Leasing!AP11),0)</f>
        <v>0</v>
      </c>
      <c r="AQ39" s="33">
        <f>IFERROR(IF(AND(Leasing!AP11=0,AQ11&gt;0),'Assumption Sheet'!$N30*'Assumption Sheet'!$C30/10^7,AP39/Leasing!AP11*Leasing!AQ11),0)</f>
        <v>0</v>
      </c>
      <c r="AR39" s="33">
        <f>IFERROR(IF(AND(Leasing!AQ11=0,AR11&gt;0),'Assumption Sheet'!$N30*'Assumption Sheet'!$C30/10^7,AQ39/Leasing!AQ11*Leasing!AR11),0)</f>
        <v>2.0603628768239998E-2</v>
      </c>
      <c r="AS39" s="33">
        <f>IFERROR(IF(AND(Leasing!AR11=0,AS11&gt;0),'Assumption Sheet'!$N30*'Assumption Sheet'!$C30/10^7,AR39/Leasing!AR11*Leasing!AS11),0)</f>
        <v>2.0603628768239998E-2</v>
      </c>
      <c r="AT39" s="33">
        <f>IFERROR(IF(AND(Leasing!AS11=0,AT11&gt;0),'Assumption Sheet'!$N30*'Assumption Sheet'!$C30/10^7,AS39/Leasing!AS11*Leasing!AT11),0)</f>
        <v>2.0603628768239998E-2</v>
      </c>
      <c r="AU39" s="33">
        <f>IFERROR(IF(AND(Leasing!AT11=0,AU11&gt;0),'Assumption Sheet'!$N30*'Assumption Sheet'!$C30/10^7,AT39/Leasing!AT11*Leasing!AU11),0)</f>
        <v>2.0603628768239998E-2</v>
      </c>
      <c r="AV39" s="33">
        <f>IFERROR(IF(AND(Leasing!AU11=0,AV11&gt;0),'Assumption Sheet'!$N30*'Assumption Sheet'!$C30/10^7,AU39/Leasing!AU11*Leasing!AV11),0)</f>
        <v>2.0603628768239998E-2</v>
      </c>
      <c r="AW39" s="33">
        <f>IFERROR(IF(AND(Leasing!AV11=0,AW11&gt;0),'Assumption Sheet'!$N30*'Assumption Sheet'!$C30/10^7,AV39/Leasing!AV11*Leasing!AW11),0)</f>
        <v>2.0603628768239998E-2</v>
      </c>
      <c r="AX39" s="33">
        <f>IFERROR(IF(AND(Leasing!AW11=0,AX11&gt;0),'Assumption Sheet'!$N30*'Assumption Sheet'!$C30/10^7,AW39/Leasing!AW11*Leasing!AX11),0)</f>
        <v>2.0603628768239998E-2</v>
      </c>
      <c r="AY39" s="33">
        <f>IFERROR(IF(AND(Leasing!AX11=0,AY11&gt;0),'Assumption Sheet'!$N30*'Assumption Sheet'!$C30/10^7,AX39/Leasing!AX11*Leasing!AY11),0)</f>
        <v>2.0603628768239998E-2</v>
      </c>
      <c r="AZ39" s="33">
        <f>IFERROR(IF(AND(Leasing!AY11=0,AZ11&gt;0),'Assumption Sheet'!$N30*'Assumption Sheet'!$C30/10^7,AY39/Leasing!AY11*Leasing!AZ11),0)</f>
        <v>2.0603628768239998E-2</v>
      </c>
      <c r="BA39" s="33">
        <f>IFERROR(IF(AND(Leasing!AZ11=0,BA11&gt;0),'Assumption Sheet'!$N30*'Assumption Sheet'!$C30/10^7,AZ39/Leasing!AZ11*Leasing!BA11),0)</f>
        <v>2.0603628768239998E-2</v>
      </c>
      <c r="BB39" s="33">
        <f>IFERROR(IF(AND(Leasing!BA11=0,BB11&gt;0),'Assumption Sheet'!$N30*'Assumption Sheet'!$C30/10^7,BA39/Leasing!BA11*Leasing!BB11),0)</f>
        <v>2.0603628768239998E-2</v>
      </c>
      <c r="BC39" s="33">
        <f>IFERROR(IF(AND(Leasing!BB11=0,BC11&gt;0),'Assumption Sheet'!$N30*'Assumption Sheet'!$C30/10^7,BB39/Leasing!BB11*Leasing!BC11),0)</f>
        <v>2.0603628768239998E-2</v>
      </c>
      <c r="BD39" s="33">
        <f>IFERROR(IF(AND(Leasing!BC11=0,BD11&gt;0),'Assumption Sheet'!$N30*'Assumption Sheet'!$C30/10^7,BC39/Leasing!BC11*Leasing!BD11),0)</f>
        <v>2.1633810206652001E-2</v>
      </c>
      <c r="BE39" s="33">
        <f>IFERROR(IF(AND(Leasing!BD11=0,BE11&gt;0),'Assumption Sheet'!$N30*'Assumption Sheet'!$C30/10^7,BD39/Leasing!BD11*Leasing!BE11),0)</f>
        <v>2.1633810206652001E-2</v>
      </c>
      <c r="BF39" s="33">
        <f>IFERROR(IF(AND(Leasing!BE11=0,BF11&gt;0),'Assumption Sheet'!$N30*'Assumption Sheet'!$C30/10^7,BE39/Leasing!BE11*Leasing!BF11),0)</f>
        <v>2.1633810206652001E-2</v>
      </c>
      <c r="BG39" s="33">
        <f>IFERROR(IF(AND(Leasing!BF11=0,BG11&gt;0),'Assumption Sheet'!$N30*'Assumption Sheet'!$C30/10^7,BF39/Leasing!BF11*Leasing!BG11),0)</f>
        <v>2.1633810206652001E-2</v>
      </c>
      <c r="BH39" s="33">
        <f>IFERROR(IF(AND(Leasing!BG11=0,BH11&gt;0),'Assumption Sheet'!$N30*'Assumption Sheet'!$C30/10^7,BG39/Leasing!BG11*Leasing!BH11),0)</f>
        <v>2.1633810206652001E-2</v>
      </c>
      <c r="BI39" s="33">
        <f>IFERROR(IF(AND(Leasing!BH11=0,BI11&gt;0),'Assumption Sheet'!$N30*'Assumption Sheet'!$C30/10^7,BH39/Leasing!BH11*Leasing!BI11),0)</f>
        <v>2.1633810206652001E-2</v>
      </c>
      <c r="BJ39" s="33">
        <f>IFERROR(IF(AND(Leasing!BI11=0,BJ11&gt;0),'Assumption Sheet'!$N30*'Assumption Sheet'!$C30/10^7,BI39/Leasing!BI11*Leasing!BJ11),0)</f>
        <v>2.1633810206652001E-2</v>
      </c>
      <c r="BK39" s="33">
        <f>IFERROR(IF(AND(Leasing!BJ11=0,BK11&gt;0),'Assumption Sheet'!$N30*'Assumption Sheet'!$C30/10^7,BJ39/Leasing!BJ11*Leasing!BK11),0)</f>
        <v>2.1633810206652001E-2</v>
      </c>
      <c r="BL39" s="33">
        <f>IFERROR(IF(AND(Leasing!BK11=0,BL11&gt;0),'Assumption Sheet'!$N30*'Assumption Sheet'!$C30/10^7,BK39/Leasing!BK11*Leasing!BL11),0)</f>
        <v>2.1633810206652001E-2</v>
      </c>
      <c r="BM39" s="33">
        <f>IFERROR(IF(AND(Leasing!BL11=0,BM11&gt;0),'Assumption Sheet'!$N30*'Assumption Sheet'!$C30/10^7,BL39/Leasing!BL11*Leasing!BM11),0)</f>
        <v>2.1633810206652001E-2</v>
      </c>
      <c r="BN39" s="33">
        <f>IFERROR(IF(AND(Leasing!BM11=0,BN11&gt;0),'Assumption Sheet'!$N30*'Assumption Sheet'!$C30/10^7,BM39/Leasing!BM11*Leasing!BN11),0)</f>
        <v>2.1633810206652001E-2</v>
      </c>
      <c r="BO39" s="33">
        <f>IFERROR(IF(AND(Leasing!BN11=0,BO11&gt;0),'Assumption Sheet'!$N30*'Assumption Sheet'!$C30/10^7,BN39/Leasing!BN11*Leasing!BO11),0)</f>
        <v>2.1633810206652001E-2</v>
      </c>
      <c r="BP39" s="33">
        <f>IFERROR(IF(AND(Leasing!BO11=0,BP11&gt;0),'Assumption Sheet'!$N30*'Assumption Sheet'!$C30/10^7,BO39/Leasing!BO11*Leasing!BP11),0)</f>
        <v>2.2715500716984603E-2</v>
      </c>
      <c r="BQ39" s="33">
        <f>IFERROR(IF(AND(Leasing!BP11=0,BQ11&gt;0),'Assumption Sheet'!$N30*'Assumption Sheet'!$C30/10^7,BP39/Leasing!BP11*Leasing!BQ11),0)</f>
        <v>2.2715500716984603E-2</v>
      </c>
      <c r="BR39" s="33">
        <f>IFERROR(IF(AND(Leasing!BQ11=0,BR11&gt;0),'Assumption Sheet'!$N30*'Assumption Sheet'!$C30/10^7,BQ39/Leasing!BQ11*Leasing!BR11),0)</f>
        <v>2.2715500716984603E-2</v>
      </c>
      <c r="BS39" s="33">
        <f>IFERROR(IF(AND(Leasing!BR11=0,BS11&gt;0),'Assumption Sheet'!$N30*'Assumption Sheet'!$C30/10^7,BR39/Leasing!BR11*Leasing!BS11),0)</f>
        <v>2.2715500716984603E-2</v>
      </c>
      <c r="BT39" s="33">
        <f>IFERROR(IF(AND(Leasing!BS11=0,BT11&gt;0),'Assumption Sheet'!$N30*'Assumption Sheet'!$C30/10^7,BS39/Leasing!BS11*Leasing!BT11),0)</f>
        <v>2.2715500716984603E-2</v>
      </c>
      <c r="BU39" s="33">
        <f>IFERROR(IF(AND(Leasing!BT11=0,BU11&gt;0),'Assumption Sheet'!$N30*'Assumption Sheet'!$C30/10^7,BT39/Leasing!BT11*Leasing!BU11),0)</f>
        <v>2.2715500716984603E-2</v>
      </c>
      <c r="BV39" s="33">
        <f>IFERROR(IF(AND(Leasing!BU11=0,BV11&gt;0),'Assumption Sheet'!$N30*'Assumption Sheet'!$C30/10^7,BU39/Leasing!BU11*Leasing!BV11),0)</f>
        <v>2.2715500716984603E-2</v>
      </c>
      <c r="BW39" s="33">
        <f>IFERROR(IF(AND(Leasing!BV11=0,BW11&gt;0),'Assumption Sheet'!$N30*'Assumption Sheet'!$C30/10^7,BV39/Leasing!BV11*Leasing!BW11),0)</f>
        <v>2.2715500716984603E-2</v>
      </c>
      <c r="BX39" s="33">
        <f>IFERROR(IF(AND(Leasing!BW11=0,BX11&gt;0),'Assumption Sheet'!$N30*'Assumption Sheet'!$C30/10^7,BW39/Leasing!BW11*Leasing!BX11),0)</f>
        <v>2.2715500716984603E-2</v>
      </c>
      <c r="BY39" s="33">
        <f>IFERROR(IF(AND(Leasing!BX11=0,BY11&gt;0),'Assumption Sheet'!$N30*'Assumption Sheet'!$C30/10^7,BX39/Leasing!BX11*Leasing!BY11),0)</f>
        <v>2.2715500716984603E-2</v>
      </c>
      <c r="BZ39" s="33">
        <f>IFERROR(IF(AND(Leasing!BY11=0,BZ11&gt;0),'Assumption Sheet'!$N30*'Assumption Sheet'!$C30/10^7,BY39/Leasing!BY11*Leasing!BZ11),0)</f>
        <v>2.2715500716984603E-2</v>
      </c>
      <c r="CA39" s="33">
        <f>IFERROR(IF(AND(Leasing!BZ11=0,CA11&gt;0),'Assumption Sheet'!$N30*'Assumption Sheet'!$C30/10^7,BZ39/Leasing!BZ11*Leasing!CA11),0)</f>
        <v>2.2715500716984603E-2</v>
      </c>
      <c r="CB39" s="33">
        <f>IFERROR(IF(AND(Leasing!CA11=0,CB11&gt;0),'Assumption Sheet'!$N30*'Assumption Sheet'!$C30/10^7,CA39/Leasing!CA11*Leasing!CB11),0)</f>
        <v>2.3851275752833835E-2</v>
      </c>
      <c r="CC39" s="33">
        <f>IFERROR(IF(AND(Leasing!CB11=0,CC11&gt;0),'Assumption Sheet'!$N30*'Assumption Sheet'!$C30/10^7,CB39/Leasing!CB11*Leasing!CC11),0)</f>
        <v>2.3851275752833835E-2</v>
      </c>
      <c r="CD39" s="33">
        <f>IFERROR(IF(AND(Leasing!CC11=0,CD11&gt;0),'Assumption Sheet'!$N30*'Assumption Sheet'!$C30/10^7,CC39/Leasing!CC11*Leasing!CD11),0)</f>
        <v>2.3851275752833835E-2</v>
      </c>
      <c r="CE39" s="33">
        <f>IFERROR(IF(AND(Leasing!CD11=0,CE11&gt;0),'Assumption Sheet'!$N30*'Assumption Sheet'!$C30/10^7,CD39/Leasing!CD11*Leasing!CE11),0)</f>
        <v>2.3851275752833835E-2</v>
      </c>
      <c r="CF39" s="33">
        <f>IFERROR(IF(AND(Leasing!CE11=0,CF11&gt;0),'Assumption Sheet'!$N30*'Assumption Sheet'!$C30/10^7,CE39/Leasing!CE11*Leasing!CF11),0)</f>
        <v>2.3851275752833835E-2</v>
      </c>
      <c r="CG39" s="33">
        <f>IFERROR(IF(AND(Leasing!CF11=0,CG11&gt;0),'Assumption Sheet'!$N30*'Assumption Sheet'!$C30/10^7,CF39/Leasing!CF11*Leasing!CG11),0)</f>
        <v>2.3851275752833835E-2</v>
      </c>
      <c r="CH39" s="33">
        <f>IFERROR(IF(AND(Leasing!CG11=0,CH11&gt;0),'Assumption Sheet'!$N30*'Assumption Sheet'!$C30/10^7,CG39/Leasing!CG11*Leasing!CH11),0)</f>
        <v>2.3851275752833835E-2</v>
      </c>
      <c r="CI39" s="33">
        <f>IFERROR(IF(AND(Leasing!CH11=0,CI11&gt;0),'Assumption Sheet'!$N30*'Assumption Sheet'!$C30/10^7,CH39/Leasing!CH11*Leasing!CI11),0)</f>
        <v>2.3851275752833835E-2</v>
      </c>
      <c r="CJ39" s="33">
        <f>IFERROR(IF(AND(Leasing!CI11=0,CJ11&gt;0),'Assumption Sheet'!$N30*'Assumption Sheet'!$C30/10^7,CI39/Leasing!CI11*Leasing!CJ11),0)</f>
        <v>2.3851275752833835E-2</v>
      </c>
      <c r="CK39" s="33">
        <f>IFERROR(IF(AND(Leasing!CJ11=0,CK11&gt;0),'Assumption Sheet'!$N30*'Assumption Sheet'!$C30/10^7,CJ39/Leasing!CJ11*Leasing!CK11),0)</f>
        <v>2.3851275752833835E-2</v>
      </c>
      <c r="CL39" s="33">
        <f>IFERROR(IF(AND(Leasing!CK11=0,CL11&gt;0),'Assumption Sheet'!$N30*'Assumption Sheet'!$C30/10^7,CK39/Leasing!CK11*Leasing!CL11),0)</f>
        <v>2.3851275752833835E-2</v>
      </c>
      <c r="CM39" s="33">
        <f>IFERROR(IF(AND(Leasing!CL11=0,CM11&gt;0),'Assumption Sheet'!$N30*'Assumption Sheet'!$C30/10^7,CL39/Leasing!CL11*Leasing!CM11),0)</f>
        <v>2.3851275752833835E-2</v>
      </c>
      <c r="CN39" s="33">
        <f>IFERROR(IF(AND(Leasing!CM11=0,CN11&gt;0),'Assumption Sheet'!$N30*'Assumption Sheet'!$C30/10^7,CM39/Leasing!CM11*Leasing!CN11),0)</f>
        <v>2.5043839540475527E-2</v>
      </c>
      <c r="CO39" s="33">
        <f>IFERROR(IF(AND(Leasing!CN11=0,CO11&gt;0),'Assumption Sheet'!$N30*'Assumption Sheet'!$C30/10^7,CN39/Leasing!CN11*Leasing!CO11),0)</f>
        <v>2.5043839540475527E-2</v>
      </c>
      <c r="CP39" s="33">
        <f>IFERROR(IF(AND(Leasing!CO11=0,CP11&gt;0),'Assumption Sheet'!$N30*'Assumption Sheet'!$C30/10^7,CO39/Leasing!CO11*Leasing!CP11),0)</f>
        <v>2.5043839540475527E-2</v>
      </c>
      <c r="CQ39" s="33">
        <f>IFERROR(IF(AND(Leasing!CP11=0,CQ11&gt;0),'Assumption Sheet'!$N30*'Assumption Sheet'!$C30/10^7,CP39/Leasing!CP11*Leasing!CQ11),0)</f>
        <v>2.5043839540475527E-2</v>
      </c>
      <c r="CR39" s="33">
        <f>IFERROR(IF(AND(Leasing!CQ11=0,CR11&gt;0),'Assumption Sheet'!$N30*'Assumption Sheet'!$C30/10^7,CQ39/Leasing!CQ11*Leasing!CR11),0)</f>
        <v>2.5043839540475527E-2</v>
      </c>
      <c r="CS39" s="33">
        <f>IFERROR(IF(AND(Leasing!CR11=0,CS11&gt;0),'Assumption Sheet'!$N30*'Assumption Sheet'!$C30/10^7,CR39/Leasing!CR11*Leasing!CS11),0)</f>
        <v>2.5043839540475527E-2</v>
      </c>
      <c r="CT39" s="33">
        <f>IFERROR(IF(AND(Leasing!CS11=0,CT11&gt;0),'Assumption Sheet'!$N30*'Assumption Sheet'!$C30/10^7,CS39/Leasing!CS11*Leasing!CT11),0)</f>
        <v>2.5043839540475527E-2</v>
      </c>
      <c r="CU39" s="33">
        <f>IFERROR(IF(AND(Leasing!CT11=0,CU11&gt;0),'Assumption Sheet'!$N30*'Assumption Sheet'!$C30/10^7,CT39/Leasing!CT11*Leasing!CU11),0)</f>
        <v>2.5043839540475527E-2</v>
      </c>
      <c r="CV39" s="33">
        <f>IFERROR(IF(AND(Leasing!CU11=0,CV11&gt;0),'Assumption Sheet'!$N30*'Assumption Sheet'!$C30/10^7,CU39/Leasing!CU11*Leasing!CV11),0)</f>
        <v>2.5043839540475527E-2</v>
      </c>
      <c r="CW39" s="33">
        <f>IFERROR(IF(AND(Leasing!CV11=0,CW11&gt;0),'Assumption Sheet'!$N30*'Assumption Sheet'!$C30/10^7,CV39/Leasing!CV11*Leasing!CW11),0)</f>
        <v>2.5043839540475527E-2</v>
      </c>
      <c r="CX39" s="33">
        <f>IFERROR(IF(AND(Leasing!CW11=0,CX11&gt;0),'Assumption Sheet'!$N30*'Assumption Sheet'!$C30/10^7,CW39/Leasing!CW11*Leasing!CX11),0)</f>
        <v>2.5043839540475527E-2</v>
      </c>
      <c r="CY39" s="33">
        <f>IFERROR(IF(AND(Leasing!CX11=0,CY11&gt;0),'Assumption Sheet'!$N30*'Assumption Sheet'!$C30/10^7,CX39/Leasing!CX11*Leasing!CY11),0)</f>
        <v>2.5043839540475527E-2</v>
      </c>
      <c r="CZ39" s="33">
        <f>IFERROR(IF(AND(Leasing!CY11=0,CZ11&gt;0),'Assumption Sheet'!$N30*'Assumption Sheet'!$C30/10^7,CY39/Leasing!CY11*Leasing!CZ11),0)</f>
        <v>2.6296031517499301E-2</v>
      </c>
      <c r="DA39" s="33">
        <f>IFERROR(IF(AND(Leasing!CZ11=0,DA11&gt;0),'Assumption Sheet'!$N30*'Assumption Sheet'!$C30/10^7,CZ39/Leasing!CZ11*Leasing!DA11),0)</f>
        <v>2.6296031517499301E-2</v>
      </c>
      <c r="DB39" s="33">
        <f>IFERROR(IF(AND(Leasing!DA11=0,DB11&gt;0),'Assumption Sheet'!$N30*'Assumption Sheet'!$C30/10^7,DA39/Leasing!DA11*Leasing!DB11),0)</f>
        <v>2.6296031517499301E-2</v>
      </c>
      <c r="DC39" s="33">
        <f>IFERROR(IF(AND(Leasing!DB11=0,DC11&gt;0),'Assumption Sheet'!$N30*'Assumption Sheet'!$C30/10^7,DB39/Leasing!DB11*Leasing!DC11),0)</f>
        <v>2.6296031517499301E-2</v>
      </c>
      <c r="DD39" s="33">
        <f>IFERROR(IF(AND(Leasing!DC11=0,DD11&gt;0),'Assumption Sheet'!$N30*'Assumption Sheet'!$C30/10^7,DC39/Leasing!DC11*Leasing!DD11),0)</f>
        <v>2.6296031517499301E-2</v>
      </c>
      <c r="DE39" s="33">
        <f>IFERROR(IF(AND(Leasing!DD11=0,DE11&gt;0),'Assumption Sheet'!$N30*'Assumption Sheet'!$C30/10^7,DD39/Leasing!DD11*Leasing!DE11),0)</f>
        <v>2.6296031517499301E-2</v>
      </c>
      <c r="DF39" s="33">
        <f>IFERROR(IF(AND(Leasing!DE11=0,DF11&gt;0),'Assumption Sheet'!$N30*'Assumption Sheet'!$C30/10^7,DE39/Leasing!DE11*Leasing!DF11),0)</f>
        <v>2.6296031517499301E-2</v>
      </c>
      <c r="DG39" s="33">
        <f>IFERROR(IF(AND(Leasing!DF11=0,DG11&gt;0),'Assumption Sheet'!$N30*'Assumption Sheet'!$C30/10^7,DF39/Leasing!DF11*Leasing!DG11),0)</f>
        <v>2.6296031517499301E-2</v>
      </c>
      <c r="DH39" s="33">
        <f>IFERROR(IF(AND(Leasing!DG11=0,DH11&gt;0),'Assumption Sheet'!$N30*'Assumption Sheet'!$C30/10^7,DG39/Leasing!DG11*Leasing!DH11),0)</f>
        <v>2.6296031517499301E-2</v>
      </c>
      <c r="DI39" s="33">
        <f>IFERROR(IF(AND(Leasing!DH11=0,DI11&gt;0),'Assumption Sheet'!$N30*'Assumption Sheet'!$C30/10^7,DH39/Leasing!DH11*Leasing!DI11),0)</f>
        <v>2.6296031517499301E-2</v>
      </c>
      <c r="DJ39" s="33">
        <f>IFERROR(IF(AND(Leasing!DI11=0,DJ11&gt;0),'Assumption Sheet'!$N30*'Assumption Sheet'!$C30/10^7,DI39/Leasing!DI11*Leasing!DJ11),0)</f>
        <v>2.6296031517499301E-2</v>
      </c>
      <c r="DK39" s="33">
        <f>IFERROR(IF(AND(Leasing!DJ11=0,DK11&gt;0),'Assumption Sheet'!$N30*'Assumption Sheet'!$C30/10^7,DJ39/Leasing!DJ11*Leasing!DK11),0)</f>
        <v>2.6296031517499301E-2</v>
      </c>
      <c r="DL39" s="33">
        <f>IFERROR(IF(AND(Leasing!DK11=0,DL11&gt;0),'Assumption Sheet'!$N30*'Assumption Sheet'!$C30/10^7,DK39/Leasing!DK11*Leasing!DL11),0)</f>
        <v>2.7610833093374268E-2</v>
      </c>
      <c r="DM39" s="33">
        <f>IFERROR(IF(AND(Leasing!DL11=0,DM11&gt;0),'Assumption Sheet'!$N30*'Assumption Sheet'!$C30/10^7,DL39/Leasing!DL11*Leasing!DM11),0)</f>
        <v>2.7610833093374268E-2</v>
      </c>
      <c r="DN39" s="33">
        <f>IFERROR(IF(AND(Leasing!DM11=0,DN11&gt;0),'Assumption Sheet'!$N30*'Assumption Sheet'!$C30/10^7,DM39/Leasing!DM11*Leasing!DN11),0)</f>
        <v>2.7610833093374268E-2</v>
      </c>
      <c r="DO39" s="33">
        <f>IFERROR(IF(AND(Leasing!DN11=0,DO11&gt;0),'Assumption Sheet'!$N30*'Assumption Sheet'!$C30/10^7,DN39/Leasing!DN11*Leasing!DO11),0)</f>
        <v>2.7610833093374268E-2</v>
      </c>
      <c r="DP39" s="33">
        <f>IFERROR(IF(AND(Leasing!DO11=0,DP11&gt;0),'Assumption Sheet'!$N30*'Assumption Sheet'!$C30/10^7,DO39/Leasing!DO11*Leasing!DP11),0)</f>
        <v>2.7610833093374268E-2</v>
      </c>
      <c r="DQ39" s="33">
        <f>IFERROR(IF(AND(Leasing!DP11=0,DQ11&gt;0),'Assumption Sheet'!$N30*'Assumption Sheet'!$C30/10^7,DP39/Leasing!DP11*Leasing!DQ11),0)</f>
        <v>2.7610833093374268E-2</v>
      </c>
      <c r="DR39" s="33">
        <f>IFERROR(IF(AND(Leasing!DQ11=0,DR11&gt;0),'Assumption Sheet'!$N30*'Assumption Sheet'!$C30/10^7,DQ39/Leasing!DQ11*Leasing!DR11),0)</f>
        <v>2.7610833093374268E-2</v>
      </c>
      <c r="DS39" s="33">
        <f>IFERROR(IF(AND(Leasing!DR11=0,DS11&gt;0),'Assumption Sheet'!$N30*'Assumption Sheet'!$C30/10^7,DR39/Leasing!DR11*Leasing!DS11),0)</f>
        <v>2.7610833093374268E-2</v>
      </c>
      <c r="DT39" s="33">
        <f>IFERROR(IF(AND(Leasing!DS11=0,DT11&gt;0),'Assumption Sheet'!$N30*'Assumption Sheet'!$C30/10^7,DS39/Leasing!DS11*Leasing!DT11),0)</f>
        <v>2.7610833093374268E-2</v>
      </c>
      <c r="DU39" s="33">
        <f>IFERROR(IF(AND(Leasing!DT11=0,DU11&gt;0),'Assumption Sheet'!$N30*'Assumption Sheet'!$C30/10^7,DT39/Leasing!DT11*Leasing!DU11),0)</f>
        <v>2.7610833093374268E-2</v>
      </c>
      <c r="DV39" s="33">
        <f>IFERROR(IF(AND(Leasing!DU11=0,DV11&gt;0),'Assumption Sheet'!$N30*'Assumption Sheet'!$C30/10^7,DU39/Leasing!DU11*Leasing!DV11),0)</f>
        <v>2.7610833093374268E-2</v>
      </c>
      <c r="DW39" s="33">
        <f>IFERROR(IF(AND(Leasing!DV11=0,DW11&gt;0),'Assumption Sheet'!$N30*'Assumption Sheet'!$C30/10^7,DV39/Leasing!DV11*Leasing!DW11),0)</f>
        <v>2.7610833093374268E-2</v>
      </c>
      <c r="DX39" s="33">
        <f>IFERROR(IF(AND(Leasing!DW11=0,DX11&gt;0),'Assumption Sheet'!$N30*'Assumption Sheet'!$C30/10^7,DW39/Leasing!DW11*Leasing!DX11),0)</f>
        <v>2.8991374748042982E-2</v>
      </c>
      <c r="DY39" s="33">
        <f>IFERROR(IF(AND(Leasing!DX11=0,DY11&gt;0),'Assumption Sheet'!$N30*'Assumption Sheet'!$C30/10^7,DX39/Leasing!DX11*Leasing!DY11),0)</f>
        <v>2.8991374748042982E-2</v>
      </c>
      <c r="DZ39" s="33">
        <f>IFERROR(IF(AND(Leasing!DY11=0,DZ11&gt;0),'Assumption Sheet'!$N30*'Assumption Sheet'!$C30/10^7,DY39/Leasing!DY11*Leasing!DZ11),0)</f>
        <v>2.8991374748042982E-2</v>
      </c>
      <c r="EA39" s="33">
        <f>IFERROR(IF(AND(Leasing!DZ11=0,EA11&gt;0),'Assumption Sheet'!$N30*'Assumption Sheet'!$C30/10^7,DZ39/Leasing!DZ11*Leasing!EA11),0)</f>
        <v>2.8991374748042982E-2</v>
      </c>
      <c r="EB39" s="33">
        <f>IFERROR(IF(AND(Leasing!EA11=0,EB11&gt;0),'Assumption Sheet'!$N30*'Assumption Sheet'!$C30/10^7,EA39/Leasing!EA11*Leasing!EB11),0)</f>
        <v>2.8991374748042982E-2</v>
      </c>
      <c r="EC39" s="33">
        <f>IFERROR(IF(AND(Leasing!EB11=0,EC11&gt;0),'Assumption Sheet'!$N30*'Assumption Sheet'!$C30/10^7,EB39/Leasing!EB11*Leasing!EC11),0)</f>
        <v>2.8991374748042982E-2</v>
      </c>
      <c r="ED39" s="33">
        <f>IFERROR(IF(AND(Leasing!EC11=0,ED11&gt;0),'Assumption Sheet'!$N30*'Assumption Sheet'!$C30/10^7,EC39/Leasing!EC11*Leasing!ED11),0)</f>
        <v>2.8991374748042982E-2</v>
      </c>
      <c r="EE39" s="33">
        <f>IFERROR(IF(AND(Leasing!ED11=0,EE11&gt;0),'Assumption Sheet'!$N30*'Assumption Sheet'!$C30/10^7,ED39/Leasing!ED11*Leasing!EE11),0)</f>
        <v>2.8991374748042982E-2</v>
      </c>
      <c r="EF39" s="33">
        <f>IFERROR(IF(AND(Leasing!EE11=0,EF11&gt;0),'Assumption Sheet'!$N30*'Assumption Sheet'!$C30/10^7,EE39/Leasing!EE11*Leasing!EF11),0)</f>
        <v>2.8991374748042982E-2</v>
      </c>
      <c r="EG39" s="33">
        <f>IFERROR(IF(AND(Leasing!EF11=0,EG11&gt;0),'Assumption Sheet'!$N30*'Assumption Sheet'!$C30/10^7,EF39/Leasing!EF11*Leasing!EG11),0)</f>
        <v>2.8991374748042982E-2</v>
      </c>
      <c r="EH39" s="33">
        <f>IFERROR(IF(AND(Leasing!EG11=0,EH11&gt;0),'Assumption Sheet'!$N30*'Assumption Sheet'!$C30/10^7,EG39/Leasing!EG11*Leasing!EH11),0)</f>
        <v>2.8991374748042982E-2</v>
      </c>
      <c r="EI39" s="33">
        <f>IFERROR(IF(AND(Leasing!EH11=0,EI11&gt;0),'Assumption Sheet'!$N30*'Assumption Sheet'!$C30/10^7,EH39/Leasing!EH11*Leasing!EI11),0)</f>
        <v>2.8991374748042982E-2</v>
      </c>
      <c r="EJ39" s="33">
        <f>IFERROR(IF(AND(Leasing!EI11=0,EJ11&gt;0),'Assumption Sheet'!$N30*'Assumption Sheet'!$C30/10^7,EI39/Leasing!EI11*Leasing!EJ11),0)</f>
        <v>3.0440943485445134E-2</v>
      </c>
      <c r="EK39" s="33">
        <f>IFERROR(IF(AND(Leasing!EJ11=0,EK11&gt;0),'Assumption Sheet'!$N30*'Assumption Sheet'!$C30/10^7,EJ39/Leasing!EJ11*Leasing!EK11),0)</f>
        <v>3.0440943485445134E-2</v>
      </c>
      <c r="EL39" s="33">
        <f>IFERROR(IF(AND(Leasing!EK11=0,EL11&gt;0),'Assumption Sheet'!$N30*'Assumption Sheet'!$C30/10^7,EK39/Leasing!EK11*Leasing!EL11),0)</f>
        <v>3.0440943485445134E-2</v>
      </c>
      <c r="EM39" s="33">
        <f>IFERROR(IF(AND(Leasing!EL11=0,EM11&gt;0),'Assumption Sheet'!$N30*'Assumption Sheet'!$C30/10^7,EL39/Leasing!EL11*Leasing!EM11),0)</f>
        <v>3.0440943485445134E-2</v>
      </c>
      <c r="EN39" s="33">
        <f>IFERROR(IF(AND(Leasing!EM11=0,EN11&gt;0),'Assumption Sheet'!$N30*'Assumption Sheet'!$C30/10^7,EM39/Leasing!EM11*Leasing!EN11),0)</f>
        <v>3.0440943485445134E-2</v>
      </c>
      <c r="EO39" s="33">
        <f>IFERROR(IF(AND(Leasing!EN11=0,EO11&gt;0),'Assumption Sheet'!$N30*'Assumption Sheet'!$C30/10^7,EN39/Leasing!EN11*Leasing!EO11),0)</f>
        <v>3.0440943485445134E-2</v>
      </c>
      <c r="EP39" s="33">
        <f>IFERROR(IF(AND(Leasing!EO11=0,EP11&gt;0),'Assumption Sheet'!$N30*'Assumption Sheet'!$C30/10^7,EO39/Leasing!EO11*Leasing!EP11),0)</f>
        <v>3.0440943485445134E-2</v>
      </c>
      <c r="EQ39" s="33">
        <f>IFERROR(IF(AND(Leasing!EP11=0,EQ11&gt;0),'Assumption Sheet'!$N30*'Assumption Sheet'!$C30/10^7,EP39/Leasing!EP11*Leasing!EQ11),0)</f>
        <v>3.0440943485445134E-2</v>
      </c>
      <c r="ER39" s="33">
        <f>IFERROR(IF(AND(Leasing!EQ11=0,ER11&gt;0),'Assumption Sheet'!$N30*'Assumption Sheet'!$C30/10^7,EQ39/Leasing!EQ11*Leasing!ER11),0)</f>
        <v>3.0440943485445134E-2</v>
      </c>
      <c r="ES39" s="33">
        <f>IFERROR(IF(AND(Leasing!ER11=0,ES11&gt;0),'Assumption Sheet'!$N30*'Assumption Sheet'!$C30/10^7,ER39/Leasing!ER11*Leasing!ES11),0)</f>
        <v>3.0440943485445134E-2</v>
      </c>
      <c r="ET39" s="33">
        <f>IFERROR(IF(AND(Leasing!ES11=0,ET11&gt;0),'Assumption Sheet'!$N30*'Assumption Sheet'!$C30/10^7,ES39/Leasing!ES11*Leasing!ET11),0)</f>
        <v>3.0440943485445134E-2</v>
      </c>
      <c r="EU39" s="33">
        <f>IFERROR(IF(AND(Leasing!ET11=0,EU11&gt;0),'Assumption Sheet'!$N30*'Assumption Sheet'!$C30/10^7,ET39/Leasing!ET11*Leasing!EU11),0)</f>
        <v>3.0440943485445134E-2</v>
      </c>
      <c r="EV39" s="33">
        <f>IFERROR(IF(AND(Leasing!EU11=0,EV11&gt;0),'Assumption Sheet'!$N30*'Assumption Sheet'!$C30/10^7,EU39/Leasing!EU11*Leasing!EV11),0)</f>
        <v>3.1962990659717395E-2</v>
      </c>
      <c r="EW39" s="33">
        <f>IFERROR(IF(AND(Leasing!EV11=0,EW11&gt;0),'Assumption Sheet'!$N30*'Assumption Sheet'!$C30/10^7,EV39/Leasing!EV11*Leasing!EW11),0)</f>
        <v>3.1962990659717395E-2</v>
      </c>
      <c r="EX39" s="33">
        <f>IFERROR(IF(AND(Leasing!EW11=0,EX11&gt;0),'Assumption Sheet'!$N30*'Assumption Sheet'!$C30/10^7,EW39/Leasing!EW11*Leasing!EX11),0)</f>
        <v>3.1962990659717395E-2</v>
      </c>
      <c r="EY39" s="33">
        <f>IFERROR(IF(AND(Leasing!EX11=0,EY11&gt;0),'Assumption Sheet'!$N30*'Assumption Sheet'!$C30/10^7,EX39/Leasing!EX11*Leasing!EY11),0)</f>
        <v>3.1962990659717395E-2</v>
      </c>
      <c r="EZ39" s="33">
        <f>IFERROR(IF(AND(Leasing!EY11=0,EZ11&gt;0),'Assumption Sheet'!$N30*'Assumption Sheet'!$C30/10^7,EY39/Leasing!EY11*Leasing!EZ11),0)</f>
        <v>3.1962990659717395E-2</v>
      </c>
      <c r="FA39" s="33">
        <f>IFERROR(IF(AND(Leasing!EZ11=0,FA11&gt;0),'Assumption Sheet'!$N30*'Assumption Sheet'!$C30/10^7,EZ39/Leasing!EZ11*Leasing!FA11),0)</f>
        <v>3.1962990659717395E-2</v>
      </c>
      <c r="FB39" s="33">
        <f>IFERROR(IF(AND(Leasing!FA11=0,FB11&gt;0),'Assumption Sheet'!$N30*'Assumption Sheet'!$C30/10^7,FA39/Leasing!FA11*Leasing!FB11),0)</f>
        <v>3.1962990659717395E-2</v>
      </c>
      <c r="FC39" s="33">
        <f>IFERROR(IF(AND(Leasing!FB11=0,FC11&gt;0),'Assumption Sheet'!$N30*'Assumption Sheet'!$C30/10^7,FB39/Leasing!FB11*Leasing!FC11),0)</f>
        <v>3.1962990659717395E-2</v>
      </c>
      <c r="FD39" s="33">
        <f>IFERROR(IF(AND(Leasing!FC11=0,FD11&gt;0),'Assumption Sheet'!$N30*'Assumption Sheet'!$C30/10^7,FC39/Leasing!FC11*Leasing!FD11),0)</f>
        <v>3.1962990659717395E-2</v>
      </c>
      <c r="FE39" s="33">
        <f>IFERROR(IF(AND(Leasing!FD11=0,FE11&gt;0),'Assumption Sheet'!$N30*'Assumption Sheet'!$C30/10^7,FD39/Leasing!FD11*Leasing!FE11),0)</f>
        <v>3.1962990659717395E-2</v>
      </c>
      <c r="FF39" s="33">
        <f>IFERROR(IF(AND(Leasing!FE11=0,FF11&gt;0),'Assumption Sheet'!$N30*'Assumption Sheet'!$C30/10^7,FE39/Leasing!FE11*Leasing!FF11),0)</f>
        <v>3.1962990659717395E-2</v>
      </c>
      <c r="FG39" s="33">
        <f>IFERROR(IF(AND(Leasing!FF11=0,FG11&gt;0),'Assumption Sheet'!$N30*'Assumption Sheet'!$C30/10^7,FF39/Leasing!FF11*Leasing!FG11),0)</f>
        <v>3.1962990659717395E-2</v>
      </c>
      <c r="FH39" s="33">
        <f>IFERROR(IF(AND(Leasing!FG11=0,FH11&gt;0),'Assumption Sheet'!$N30*'Assumption Sheet'!$C30/10^7,FG39/Leasing!FG11*Leasing!FH11),0)</f>
        <v>3.3561140192703266E-2</v>
      </c>
      <c r="FI39" s="33">
        <f>IFERROR(IF(AND(Leasing!FH11=0,FI11&gt;0),'Assumption Sheet'!$N30*'Assumption Sheet'!$C30/10^7,FH39/Leasing!FH11*Leasing!FI11),0)</f>
        <v>3.3561140192703266E-2</v>
      </c>
      <c r="FJ39" s="33">
        <f>IFERROR(IF(AND(Leasing!FI11=0,FJ11&gt;0),'Assumption Sheet'!$N30*'Assumption Sheet'!$C30/10^7,FI39/Leasing!FI11*Leasing!FJ11),0)</f>
        <v>3.3561140192703266E-2</v>
      </c>
      <c r="FK39" s="33">
        <f>IFERROR(IF(AND(Leasing!FJ11=0,FK11&gt;0),'Assumption Sheet'!$N30*'Assumption Sheet'!$C30/10^7,FJ39/Leasing!FJ11*Leasing!FK11),0)</f>
        <v>3.3561140192703266E-2</v>
      </c>
      <c r="FL39" s="33">
        <f>IFERROR(IF(AND(Leasing!FK11=0,FL11&gt;0),'Assumption Sheet'!$N30*'Assumption Sheet'!$C30/10^7,FK39/Leasing!FK11*Leasing!FL11),0)</f>
        <v>3.3561140192703266E-2</v>
      </c>
      <c r="FM39" s="33">
        <f>IFERROR(IF(AND(Leasing!FL11=0,FM11&gt;0),'Assumption Sheet'!$N30*'Assumption Sheet'!$C30/10^7,FL39/Leasing!FL11*Leasing!FM11),0)</f>
        <v>3.3561140192703266E-2</v>
      </c>
      <c r="FN39" s="33">
        <f>IFERROR(IF(AND(Leasing!FM11=0,FN11&gt;0),'Assumption Sheet'!$N30*'Assumption Sheet'!$C30/10^7,FM39/Leasing!FM11*Leasing!FN11),0)</f>
        <v>3.3561140192703266E-2</v>
      </c>
      <c r="FO39" s="33">
        <f>IFERROR(IF(AND(Leasing!FN11=0,FO11&gt;0),'Assumption Sheet'!$N30*'Assumption Sheet'!$C30/10^7,FN39/Leasing!FN11*Leasing!FO11),0)</f>
        <v>3.3561140192703266E-2</v>
      </c>
      <c r="FP39" s="33">
        <f>IFERROR(IF(AND(Leasing!FO11=0,FP11&gt;0),'Assumption Sheet'!$N30*'Assumption Sheet'!$C30/10^7,FO39/Leasing!FO11*Leasing!FP11),0)</f>
        <v>3.3561140192703266E-2</v>
      </c>
      <c r="FQ39" s="33">
        <f>IFERROR(IF(AND(Leasing!FP11=0,FQ11&gt;0),'Assumption Sheet'!$N30*'Assumption Sheet'!$C30/10^7,FP39/Leasing!FP11*Leasing!FQ11),0)</f>
        <v>3.3561140192703266E-2</v>
      </c>
      <c r="FR39" s="33">
        <f>IFERROR(IF(AND(Leasing!FQ11=0,FR11&gt;0),'Assumption Sheet'!$N30*'Assumption Sheet'!$C30/10^7,FQ39/Leasing!FQ11*Leasing!FR11),0)</f>
        <v>3.3561140192703266E-2</v>
      </c>
      <c r="FS39" s="33">
        <f>IFERROR(IF(AND(Leasing!FR11=0,FS11&gt;0),'Assumption Sheet'!$N30*'Assumption Sheet'!$C30/10^7,FR39/Leasing!FR11*Leasing!FS11),0)</f>
        <v>3.3561140192703266E-2</v>
      </c>
      <c r="FT39" s="33">
        <f>IFERROR(IF(AND(Leasing!FS11=0,FT11&gt;0),'Assumption Sheet'!$N30*'Assumption Sheet'!$C30/10^7,FS39/Leasing!FS11*Leasing!FT11),0)</f>
        <v>3.5239197202338438E-2</v>
      </c>
      <c r="FU39" s="33">
        <f>IFERROR(IF(AND(Leasing!FT11=0,FU11&gt;0),'Assumption Sheet'!$N30*'Assumption Sheet'!$C30/10^7,FT39/Leasing!FT11*Leasing!FU11),0)</f>
        <v>3.5239197202338438E-2</v>
      </c>
      <c r="FV39" s="33">
        <f>IFERROR(IF(AND(Leasing!FU11=0,FV11&gt;0),'Assumption Sheet'!$N30*'Assumption Sheet'!$C30/10^7,FU39/Leasing!FU11*Leasing!FV11),0)</f>
        <v>3.5239197202338438E-2</v>
      </c>
      <c r="FW39" s="33">
        <f>IFERROR(IF(AND(Leasing!FV11=0,FW11&gt;0),'Assumption Sheet'!$N30*'Assumption Sheet'!$C30/10^7,FV39/Leasing!FV11*Leasing!FW11),0)</f>
        <v>3.5239197202338438E-2</v>
      </c>
      <c r="FX39" s="33">
        <f>IFERROR(IF(AND(Leasing!FW11=0,FX11&gt;0),'Assumption Sheet'!$N30*'Assumption Sheet'!$C30/10^7,FW39/Leasing!FW11*Leasing!FX11),0)</f>
        <v>3.5239197202338438E-2</v>
      </c>
      <c r="FY39" s="33">
        <f>IFERROR(IF(AND(Leasing!FX11=0,FY11&gt;0),'Assumption Sheet'!$N30*'Assumption Sheet'!$C30/10^7,FX39/Leasing!FX11*Leasing!FY11),0)</f>
        <v>3.5239197202338438E-2</v>
      </c>
      <c r="FZ39" s="33">
        <f>IFERROR(IF(AND(Leasing!FY11=0,FZ11&gt;0),'Assumption Sheet'!$N30*'Assumption Sheet'!$C30/10^7,FY39/Leasing!FY11*Leasing!FZ11),0)</f>
        <v>3.5239197202338438E-2</v>
      </c>
      <c r="GA39" s="33">
        <f>IFERROR(IF(AND(Leasing!FZ11=0,GA11&gt;0),'Assumption Sheet'!$N30*'Assumption Sheet'!$C30/10^7,FZ39/Leasing!FZ11*Leasing!GA11),0)</f>
        <v>3.5239197202338438E-2</v>
      </c>
      <c r="GB39" s="33">
        <f>IFERROR(IF(AND(Leasing!GA11=0,GB11&gt;0),'Assumption Sheet'!$N30*'Assumption Sheet'!$C30/10^7,GA39/Leasing!GA11*Leasing!GB11),0)</f>
        <v>3.5239197202338438E-2</v>
      </c>
      <c r="GC39" s="33">
        <f>IFERROR(IF(AND(Leasing!GB11=0,GC11&gt;0),'Assumption Sheet'!$N30*'Assumption Sheet'!$C30/10^7,GB39/Leasing!GB11*Leasing!GC11),0)</f>
        <v>3.5239197202338438E-2</v>
      </c>
      <c r="GD39" s="33">
        <f>IFERROR(IF(AND(Leasing!GC11=0,GD11&gt;0),'Assumption Sheet'!$N30*'Assumption Sheet'!$C30/10^7,GC39/Leasing!GC11*Leasing!GD11),0)</f>
        <v>3.5239197202338438E-2</v>
      </c>
      <c r="GE39" s="33">
        <f>IFERROR(IF(AND(Leasing!GD11=0,GE11&gt;0),'Assumption Sheet'!$N30*'Assumption Sheet'!$C30/10^7,GD39/Leasing!GD11*Leasing!GE11),0)</f>
        <v>3.5239197202338438E-2</v>
      </c>
      <c r="GF39" s="33">
        <f>IFERROR(IF(AND(Leasing!GE11=0,GF11&gt;0),'Assumption Sheet'!$N30*'Assumption Sheet'!$C30/10^7,GE39/Leasing!GE11*Leasing!GF11),0)</f>
        <v>3.700115706245536E-2</v>
      </c>
      <c r="GG39" s="33">
        <f>IFERROR(IF(AND(Leasing!GF11=0,GG11&gt;0),'Assumption Sheet'!$N30*'Assumption Sheet'!$C30/10^7,GF39/Leasing!GF11*Leasing!GG11),0)</f>
        <v>3.700115706245536E-2</v>
      </c>
      <c r="GH39" s="33">
        <f>IFERROR(IF(AND(Leasing!GG11=0,GH11&gt;0),'Assumption Sheet'!$N30*'Assumption Sheet'!$C30/10^7,GG39/Leasing!GG11*Leasing!GH11),0)</f>
        <v>3.700115706245536E-2</v>
      </c>
      <c r="GI39" s="33">
        <f>IFERROR(IF(AND(Leasing!GH11=0,GI11&gt;0),'Assumption Sheet'!$N30*'Assumption Sheet'!$C30/10^7,GH39/Leasing!GH11*Leasing!GI11),0)</f>
        <v>3.700115706245536E-2</v>
      </c>
      <c r="GJ39" s="33">
        <f>IFERROR(IF(AND(Leasing!GI11=0,GJ11&gt;0),'Assumption Sheet'!$N30*'Assumption Sheet'!$C30/10^7,GI39/Leasing!GI11*Leasing!GJ11),0)</f>
        <v>3.700115706245536E-2</v>
      </c>
      <c r="GK39" s="33">
        <f>IFERROR(IF(AND(Leasing!GJ11=0,GK11&gt;0),'Assumption Sheet'!$N30*'Assumption Sheet'!$C30/10^7,GJ39/Leasing!GJ11*Leasing!GK11),0)</f>
        <v>3.700115706245536E-2</v>
      </c>
      <c r="GL39" s="33">
        <f>IFERROR(IF(AND(Leasing!GK11=0,GL11&gt;0),'Assumption Sheet'!$N30*'Assumption Sheet'!$C30/10^7,GK39/Leasing!GK11*Leasing!GL11),0)</f>
        <v>3.700115706245536E-2</v>
      </c>
      <c r="GM39" s="33">
        <f>IFERROR(IF(AND(Leasing!GL11=0,GM11&gt;0),'Assumption Sheet'!$N30*'Assumption Sheet'!$C30/10^7,GL39/Leasing!GL11*Leasing!GM11),0)</f>
        <v>3.700115706245536E-2</v>
      </c>
      <c r="GN39" s="33">
        <f>IFERROR(IF(AND(Leasing!GM11=0,GN11&gt;0),'Assumption Sheet'!$N30*'Assumption Sheet'!$C30/10^7,GM39/Leasing!GM11*Leasing!GN11),0)</f>
        <v>3.700115706245536E-2</v>
      </c>
      <c r="GO39" s="33">
        <f>IFERROR(IF(AND(Leasing!GN11=0,GO11&gt;0),'Assumption Sheet'!$N30*'Assumption Sheet'!$C30/10^7,GN39/Leasing!GN11*Leasing!GO11),0)</f>
        <v>3.700115706245536E-2</v>
      </c>
      <c r="GP39" s="33">
        <f>IFERROR(IF(AND(Leasing!GO11=0,GP11&gt;0),'Assumption Sheet'!$N30*'Assumption Sheet'!$C30/10^7,GO39/Leasing!GO11*Leasing!GP11),0)</f>
        <v>3.700115706245536E-2</v>
      </c>
      <c r="GQ39" s="33">
        <f>IFERROR(IF(AND(Leasing!GP11=0,GQ11&gt;0),'Assumption Sheet'!$N30*'Assumption Sheet'!$C30/10^7,GP39/Leasing!GP11*Leasing!GQ11),0)</f>
        <v>3.700115706245536E-2</v>
      </c>
      <c r="GR39" s="33">
        <f>IFERROR(IF(AND(Leasing!GQ11=0,GR11&gt;0),'Assumption Sheet'!$N30*'Assumption Sheet'!$C30/10^7,GQ39/Leasing!GQ11*Leasing!GR11),0)</f>
        <v>3.8851214915578122E-2</v>
      </c>
      <c r="GS39" s="33">
        <f>IFERROR(IF(AND(Leasing!GR11=0,GS11&gt;0),'Assumption Sheet'!$N30*'Assumption Sheet'!$C30/10^7,GR39/Leasing!GR11*Leasing!GS11),0)</f>
        <v>3.8851214915578122E-2</v>
      </c>
      <c r="GT39" s="33">
        <f>IFERROR(IF(AND(Leasing!GS11=0,GT11&gt;0),'Assumption Sheet'!$N30*'Assumption Sheet'!$C30/10^7,GS39/Leasing!GS11*Leasing!GT11),0)</f>
        <v>3.8851214915578122E-2</v>
      </c>
      <c r="GU39" s="33">
        <f>IFERROR(IF(AND(Leasing!GT11=0,GU11&gt;0),'Assumption Sheet'!$N30*'Assumption Sheet'!$C30/10^7,GT39/Leasing!GT11*Leasing!GU11),0)</f>
        <v>3.8851214915578122E-2</v>
      </c>
      <c r="GV39" s="33">
        <f>IFERROR(IF(AND(Leasing!GU11=0,GV11&gt;0),'Assumption Sheet'!$N30*'Assumption Sheet'!$C30/10^7,GU39/Leasing!GU11*Leasing!GV11),0)</f>
        <v>3.8851214915578122E-2</v>
      </c>
      <c r="GW39" s="33">
        <f>IFERROR(IF(AND(Leasing!GV11=0,GW11&gt;0),'Assumption Sheet'!$N30*'Assumption Sheet'!$C30/10^7,GV39/Leasing!GV11*Leasing!GW11),0)</f>
        <v>3.8851214915578122E-2</v>
      </c>
      <c r="GX39" s="33">
        <f>IFERROR(IF(AND(Leasing!GW11=0,GX11&gt;0),'Assumption Sheet'!$N30*'Assumption Sheet'!$C30/10^7,GW39/Leasing!GW11*Leasing!GX11),0)</f>
        <v>3.8851214915578122E-2</v>
      </c>
      <c r="GY39" s="33">
        <f>IFERROR(IF(AND(Leasing!GX11=0,GY11&gt;0),'Assumption Sheet'!$N30*'Assumption Sheet'!$C30/10^7,GX39/Leasing!GX11*Leasing!GY11),0)</f>
        <v>3.8851214915578122E-2</v>
      </c>
      <c r="GZ39" s="33">
        <f>IFERROR(IF(AND(Leasing!GY11=0,GZ11&gt;0),'Assumption Sheet'!$N30*'Assumption Sheet'!$C30/10^7,GY39/Leasing!GY11*Leasing!GZ11),0)</f>
        <v>3.8851214915578122E-2</v>
      </c>
      <c r="HA39" s="33">
        <f>IFERROR(IF(AND(Leasing!GZ11=0,HA11&gt;0),'Assumption Sheet'!$N30*'Assumption Sheet'!$C30/10^7,GZ39/Leasing!GZ11*Leasing!HA11),0)</f>
        <v>3.8851214915578122E-2</v>
      </c>
      <c r="HB39" s="33">
        <f>IFERROR(IF(AND(Leasing!HA11=0,HB11&gt;0),'Assumption Sheet'!$N30*'Assumption Sheet'!$C30/10^7,HA39/Leasing!HA11*Leasing!HB11),0)</f>
        <v>3.8851214915578122E-2</v>
      </c>
      <c r="HC39" s="33">
        <f>IFERROR(IF(AND(Leasing!HB11=0,HC11&gt;0),'Assumption Sheet'!$N30*'Assumption Sheet'!$C30/10^7,HB39/Leasing!HB11*Leasing!HC11),0)</f>
        <v>3.8851214915578122E-2</v>
      </c>
      <c r="HD39" s="33">
        <f>IFERROR(IF(AND(Leasing!HC11=0,HD11&gt;0),'Assumption Sheet'!$N30*'Assumption Sheet'!$C30/10^7,HC39/Leasing!HC11*Leasing!HD11),0)</f>
        <v>4.0793775661357036E-2</v>
      </c>
      <c r="HE39" s="33">
        <f>IFERROR(IF(AND(Leasing!HD11=0,HE11&gt;0),'Assumption Sheet'!$N30*'Assumption Sheet'!$C30/10^7,HD39/Leasing!HD11*Leasing!HE11),0)</f>
        <v>4.0793775661357036E-2</v>
      </c>
      <c r="HF39" s="33">
        <f>IFERROR(IF(AND(Leasing!HE11=0,HF11&gt;0),'Assumption Sheet'!$N30*'Assumption Sheet'!$C30/10^7,HE39/Leasing!HE11*Leasing!HF11),0)</f>
        <v>4.0793775661357036E-2</v>
      </c>
      <c r="HG39" s="33">
        <f>IFERROR(IF(AND(Leasing!HF11=0,HG11&gt;0),'Assumption Sheet'!$N30*'Assumption Sheet'!$C30/10^7,HF39/Leasing!HF11*Leasing!HG11),0)</f>
        <v>4.0793775661357036E-2</v>
      </c>
      <c r="HH39" s="33">
        <f>IFERROR(IF(AND(Leasing!HG11=0,HH11&gt;0),'Assumption Sheet'!$N30*'Assumption Sheet'!$C30/10^7,HG39/Leasing!HG11*Leasing!HH11),0)</f>
        <v>4.0793775661357036E-2</v>
      </c>
      <c r="HI39" s="33">
        <f>IFERROR(IF(AND(Leasing!HH11=0,HI11&gt;0),'Assumption Sheet'!$N30*'Assumption Sheet'!$C30/10^7,HH39/Leasing!HH11*Leasing!HI11),0)</f>
        <v>4.0793775661357036E-2</v>
      </c>
      <c r="HJ39" s="33">
        <f>IFERROR(IF(AND(Leasing!HI11=0,HJ11&gt;0),'Assumption Sheet'!$N30*'Assumption Sheet'!$C30/10^7,HI39/Leasing!HI11*Leasing!HJ11),0)</f>
        <v>4.0793775661357036E-2</v>
      </c>
      <c r="HK39" s="33">
        <f>IFERROR(IF(AND(Leasing!HJ11=0,HK11&gt;0),'Assumption Sheet'!$N30*'Assumption Sheet'!$C30/10^7,HJ39/Leasing!HJ11*Leasing!HK11),0)</f>
        <v>4.0793775661357036E-2</v>
      </c>
      <c r="HL39" s="33">
        <f>IFERROR(IF(AND(Leasing!HK11=0,HL11&gt;0),'Assumption Sheet'!$N30*'Assumption Sheet'!$C30/10^7,HK39/Leasing!HK11*Leasing!HL11),0)</f>
        <v>4.0793775661357036E-2</v>
      </c>
      <c r="HM39" s="33">
        <f>IFERROR(IF(AND(Leasing!HL11=0,HM11&gt;0),'Assumption Sheet'!$N30*'Assumption Sheet'!$C30/10^7,HL39/Leasing!HL11*Leasing!HM11),0)</f>
        <v>4.0793775661357036E-2</v>
      </c>
      <c r="HN39" s="33">
        <f>IFERROR(IF(AND(Leasing!HM11=0,HN11&gt;0),'Assumption Sheet'!$N30*'Assumption Sheet'!$C30/10^7,HM39/Leasing!HM11*Leasing!HN11),0)</f>
        <v>4.0793775661357036E-2</v>
      </c>
      <c r="HO39" s="33">
        <f>IFERROR(IF(AND(Leasing!HN11=0,HO11&gt;0),'Assumption Sheet'!$N30*'Assumption Sheet'!$C30/10^7,HN39/Leasing!HN11*Leasing!HO11),0)</f>
        <v>4.0793775661357036E-2</v>
      </c>
      <c r="HP39" s="33">
        <f>IFERROR(IF(AND(Leasing!HO11=0,HP11&gt;0),'Assumption Sheet'!$N30*'Assumption Sheet'!$C30/10^7,HO39/Leasing!HO11*Leasing!HP11),0)</f>
        <v>4.2833464444424887E-2</v>
      </c>
      <c r="HQ39" s="33">
        <f>IFERROR(IF(AND(Leasing!HP11=0,HQ11&gt;0),'Assumption Sheet'!$N30*'Assumption Sheet'!$C30/10^7,HP39/Leasing!HP11*Leasing!HQ11),0)</f>
        <v>4.2833464444424887E-2</v>
      </c>
      <c r="HR39" s="33">
        <f>IFERROR(IF(AND(Leasing!HQ11=0,HR11&gt;0),'Assumption Sheet'!$N30*'Assumption Sheet'!$C30/10^7,HQ39/Leasing!HQ11*Leasing!HR11),0)</f>
        <v>4.2833464444424887E-2</v>
      </c>
      <c r="HS39" s="33">
        <f>IFERROR(IF(AND(Leasing!HR11=0,HS11&gt;0),'Assumption Sheet'!$N30*'Assumption Sheet'!$C30/10^7,HR39/Leasing!HR11*Leasing!HS11),0)</f>
        <v>4.2833464444424887E-2</v>
      </c>
      <c r="HT39" s="33">
        <f>IFERROR(IF(AND(Leasing!HS11=0,HT11&gt;0),'Assumption Sheet'!$N30*'Assumption Sheet'!$C30/10^7,HS39/Leasing!HS11*Leasing!HT11),0)</f>
        <v>4.2833464444424887E-2</v>
      </c>
      <c r="HU39" s="33">
        <f>IFERROR(IF(AND(Leasing!HT11=0,HU11&gt;0),'Assumption Sheet'!$N30*'Assumption Sheet'!$C30/10^7,HT39/Leasing!HT11*Leasing!HU11),0)</f>
        <v>4.2833464444424887E-2</v>
      </c>
      <c r="HV39" s="33">
        <f>IFERROR(IF(AND(Leasing!HU11=0,HV11&gt;0),'Assumption Sheet'!$N30*'Assumption Sheet'!$C30/10^7,HU39/Leasing!HU11*Leasing!HV11),0)</f>
        <v>4.2833464444424887E-2</v>
      </c>
      <c r="HW39" s="33">
        <f>IFERROR(IF(AND(Leasing!HV11=0,HW11&gt;0),'Assumption Sheet'!$N30*'Assumption Sheet'!$C30/10^7,HV39/Leasing!HV11*Leasing!HW11),0)</f>
        <v>4.2833464444424887E-2</v>
      </c>
      <c r="HX39" s="33">
        <f>IFERROR(IF(AND(Leasing!HW11=0,HX11&gt;0),'Assumption Sheet'!$N30*'Assumption Sheet'!$C30/10^7,HW39/Leasing!HW11*Leasing!HX11),0)</f>
        <v>4.2833464444424887E-2</v>
      </c>
      <c r="HY39" s="33">
        <f>IFERROR(IF(AND(Leasing!HX11=0,HY11&gt;0),'Assumption Sheet'!$N30*'Assumption Sheet'!$C30/10^7,HX39/Leasing!HX11*Leasing!HY11),0)</f>
        <v>4.2833464444424887E-2</v>
      </c>
      <c r="HZ39" s="33">
        <f>IFERROR(IF(AND(Leasing!HY11=0,HZ11&gt;0),'Assumption Sheet'!$N30*'Assumption Sheet'!$C30/10^7,HY39/Leasing!HY11*Leasing!HZ11),0)</f>
        <v>4.2833464444424887E-2</v>
      </c>
      <c r="IA39" s="33">
        <f>IFERROR(IF(AND(Leasing!HZ11=0,IA11&gt;0),'Assumption Sheet'!$N30*'Assumption Sheet'!$C30/10^7,HZ39/Leasing!HZ11*Leasing!IA11),0)</f>
        <v>4.2833464444424887E-2</v>
      </c>
      <c r="IB39" s="33">
        <f>IFERROR(IF(AND(Leasing!IA11=0,IB11&gt;0),'Assumption Sheet'!$N30*'Assumption Sheet'!$C30/10^7,IA39/Leasing!IA11*Leasing!IB11),0)</f>
        <v>4.4975137666646139E-2</v>
      </c>
      <c r="IC39" s="33">
        <f>IFERROR(IF(AND(Leasing!IB11=0,IC11&gt;0),'Assumption Sheet'!$N30*'Assumption Sheet'!$C30/10^7,IB39/Leasing!IB11*Leasing!IC11),0)</f>
        <v>4.4975137666646139E-2</v>
      </c>
      <c r="ID39" s="33">
        <f>IFERROR(IF(AND(Leasing!IC11=0,ID11&gt;0),'Assumption Sheet'!$N30*'Assumption Sheet'!$C30/10^7,IC39/Leasing!IC11*Leasing!ID11),0)</f>
        <v>4.4975137666646139E-2</v>
      </c>
      <c r="IE39" s="33">
        <f>IFERROR(IF(AND(Leasing!ID11=0,IE11&gt;0),'Assumption Sheet'!$N30*'Assumption Sheet'!$C30/10^7,ID39/Leasing!ID11*Leasing!IE11),0)</f>
        <v>4.4975137666646139E-2</v>
      </c>
      <c r="IF39" s="33">
        <f>IFERROR(IF(AND(Leasing!IE11=0,IF11&gt;0),'Assumption Sheet'!$N30*'Assumption Sheet'!$C30/10^7,IE39/Leasing!IE11*Leasing!IF11),0)</f>
        <v>4.4975137666646139E-2</v>
      </c>
      <c r="IG39" s="33">
        <f>IFERROR(IF(AND(Leasing!IF11=0,IG11&gt;0),'Assumption Sheet'!$N30*'Assumption Sheet'!$C30/10^7,IF39/Leasing!IF11*Leasing!IG11),0)</f>
        <v>4.4975137666646139E-2</v>
      </c>
      <c r="IH39" s="33">
        <f>IFERROR(IF(AND(Leasing!IG11=0,IH11&gt;0),'Assumption Sheet'!$N30*'Assumption Sheet'!$C30/10^7,IG39/Leasing!IG11*Leasing!IH11),0)</f>
        <v>4.4975137666646139E-2</v>
      </c>
      <c r="II39" s="33">
        <f>IFERROR(IF(AND(Leasing!IH11=0,II11&gt;0),'Assumption Sheet'!$N30*'Assumption Sheet'!$C30/10^7,IH39/Leasing!IH11*Leasing!II11),0)</f>
        <v>4.4975137666646139E-2</v>
      </c>
      <c r="IJ39" s="33">
        <f>IFERROR(IF(AND(Leasing!II11=0,IJ11&gt;0),'Assumption Sheet'!$N30*'Assumption Sheet'!$C30/10^7,II39/Leasing!II11*Leasing!IJ11),0)</f>
        <v>4.4975137666646139E-2</v>
      </c>
      <c r="IK39" s="33">
        <f>IFERROR(IF(AND(Leasing!IJ11=0,IK11&gt;0),'Assumption Sheet'!$N30*'Assumption Sheet'!$C30/10^7,IJ39/Leasing!IJ11*Leasing!IK11),0)</f>
        <v>4.4975137666646139E-2</v>
      </c>
      <c r="IL39" s="33">
        <f>IFERROR(IF(AND(Leasing!IK11=0,IL11&gt;0),'Assumption Sheet'!$N30*'Assumption Sheet'!$C30/10^7,IK39/Leasing!IK11*Leasing!IL11),0)</f>
        <v>4.4975137666646139E-2</v>
      </c>
      <c r="IM39" s="33">
        <f>IFERROR(IF(AND(Leasing!IL11=0,IM11&gt;0),'Assumption Sheet'!$N30*'Assumption Sheet'!$C30/10^7,IL39/Leasing!IL11*Leasing!IM11),0)</f>
        <v>4.4975137666646139E-2</v>
      </c>
      <c r="IN39" s="33">
        <f>IFERROR(IF(AND(Leasing!IM11=0,IN11&gt;0),'Assumption Sheet'!$N30*'Assumption Sheet'!$C30/10^7,IM39/Leasing!IM11*Leasing!IN11),0)</f>
        <v>4.7223894549978447E-2</v>
      </c>
      <c r="IO39" s="33">
        <f>IFERROR(IF(AND(Leasing!IN11=0,IO11&gt;0),'Assumption Sheet'!$N30*'Assumption Sheet'!$C30/10^7,IN39/Leasing!IN11*Leasing!IO11),0)</f>
        <v>4.7223894549978447E-2</v>
      </c>
      <c r="IP39" s="33">
        <f>IFERROR(IF(AND(Leasing!IO11=0,IP11&gt;0),'Assumption Sheet'!$N30*'Assumption Sheet'!$C30/10^7,IO39/Leasing!IO11*Leasing!IP11),0)</f>
        <v>4.7223894549978447E-2</v>
      </c>
      <c r="IQ39" s="33">
        <f>IFERROR(IF(AND(Leasing!IP11=0,IQ11&gt;0),'Assumption Sheet'!$N30*'Assumption Sheet'!$C30/10^7,IP39/Leasing!IP11*Leasing!IQ11),0)</f>
        <v>4.7223894549978447E-2</v>
      </c>
      <c r="IR39" s="33">
        <f>IFERROR(IF(AND(Leasing!IQ11=0,IR11&gt;0),'Assumption Sheet'!$N30*'Assumption Sheet'!$C30/10^7,IQ39/Leasing!IQ11*Leasing!IR11),0)</f>
        <v>4.7223894549978447E-2</v>
      </c>
      <c r="IS39" s="33">
        <f>IFERROR(IF(AND(Leasing!IR11=0,IS11&gt;0),'Assumption Sheet'!$N30*'Assumption Sheet'!$C30/10^7,IR39/Leasing!IR11*Leasing!IS11),0)</f>
        <v>4.7223894549978447E-2</v>
      </c>
      <c r="IT39" s="33">
        <f>IFERROR(IF(AND(Leasing!IS11=0,IT11&gt;0),'Assumption Sheet'!$N30*'Assumption Sheet'!$C30/10^7,IS39/Leasing!IS11*Leasing!IT11),0)</f>
        <v>4.7223894549978447E-2</v>
      </c>
      <c r="IU39" s="33">
        <f>IFERROR(IF(AND(Leasing!IT11=0,IU11&gt;0),'Assumption Sheet'!$N30*'Assumption Sheet'!$C30/10^7,IT39/Leasing!IT11*Leasing!IU11),0)</f>
        <v>4.7223894549978447E-2</v>
      </c>
      <c r="IV39" s="33">
        <f>IFERROR(IF(AND(Leasing!IU11=0,IV11&gt;0),'Assumption Sheet'!$N30*'Assumption Sheet'!$C30/10^7,IU39/Leasing!IU11*Leasing!IV11),0)</f>
        <v>4.7223894549978447E-2</v>
      </c>
      <c r="IW39" s="33">
        <f>IFERROR(IF(AND(Leasing!IV11=0,IW11&gt;0),'Assumption Sheet'!$N30*'Assumption Sheet'!$C30/10^7,IV39/Leasing!IV11*Leasing!IW11),0)</f>
        <v>4.7223894549978447E-2</v>
      </c>
      <c r="IX39" s="33">
        <f>IFERROR(IF(AND(Leasing!IW11=0,IX11&gt;0),'Assumption Sheet'!$N30*'Assumption Sheet'!$C30/10^7,IW39/Leasing!IW11*Leasing!IX11),0)</f>
        <v>4.7223894549978447E-2</v>
      </c>
      <c r="IY39" s="33">
        <f>IFERROR(IF(AND(Leasing!IX11=0,IY11&gt;0),'Assumption Sheet'!$N30*'Assumption Sheet'!$C30/10^7,IX39/Leasing!IX11*Leasing!IY11),0)</f>
        <v>4.7223894549978447E-2</v>
      </c>
      <c r="IZ39" s="33">
        <f>IFERROR(IF(AND(Leasing!IY11=0,IZ11&gt;0),'Assumption Sheet'!$N30*'Assumption Sheet'!$C30/10^7,IY39/Leasing!IY11*Leasing!IZ11),0)</f>
        <v>4.9585089277477366E-2</v>
      </c>
      <c r="JA39" s="33">
        <f>IFERROR(IF(AND(Leasing!IZ11=0,JA11&gt;0),'Assumption Sheet'!$N30*'Assumption Sheet'!$C30/10^7,IZ39/Leasing!IZ11*Leasing!JA11),0)</f>
        <v>4.9585089277477366E-2</v>
      </c>
      <c r="JB39" s="33">
        <f>IFERROR(IF(AND(Leasing!JA11=0,JB11&gt;0),'Assumption Sheet'!$N30*'Assumption Sheet'!$C30/10^7,JA39/Leasing!JA11*Leasing!JB11),0)</f>
        <v>4.9585089277477366E-2</v>
      </c>
      <c r="JC39" s="33">
        <f>IFERROR(IF(AND(Leasing!JB11=0,JC11&gt;0),'Assumption Sheet'!$N30*'Assumption Sheet'!$C30/10^7,JB39/Leasing!JB11*Leasing!JC11),0)</f>
        <v>4.9585089277477366E-2</v>
      </c>
      <c r="JD39" s="33">
        <f>IFERROR(IF(AND(Leasing!JC11=0,JD11&gt;0),'Assumption Sheet'!$N30*'Assumption Sheet'!$C30/10^7,JC39/Leasing!JC11*Leasing!JD11),0)</f>
        <v>4.9585089277477366E-2</v>
      </c>
      <c r="JE39" s="33">
        <f>IFERROR(IF(AND(Leasing!JD11=0,JE11&gt;0),'Assumption Sheet'!$N30*'Assumption Sheet'!$C30/10^7,JD39/Leasing!JD11*Leasing!JE11),0)</f>
        <v>4.9585089277477366E-2</v>
      </c>
      <c r="JF39" s="33">
        <f>IFERROR(IF(AND(Leasing!JE11=0,JF11&gt;0),'Assumption Sheet'!$N30*'Assumption Sheet'!$C30/10^7,JE39/Leasing!JE11*Leasing!JF11),0)</f>
        <v>4.9585089277477366E-2</v>
      </c>
      <c r="JG39" s="33">
        <f>IFERROR(IF(AND(Leasing!JF11=0,JG11&gt;0),'Assumption Sheet'!$N30*'Assumption Sheet'!$C30/10^7,JF39/Leasing!JF11*Leasing!JG11),0)</f>
        <v>4.9585089277477366E-2</v>
      </c>
      <c r="JH39" s="33">
        <f>IFERROR(IF(AND(Leasing!JG11=0,JH11&gt;0),'Assumption Sheet'!$N30*'Assumption Sheet'!$C30/10^7,JG39/Leasing!JG11*Leasing!JH11),0)</f>
        <v>4.9585089277477366E-2</v>
      </c>
      <c r="JI39" s="33">
        <f>IFERROR(IF(AND(Leasing!JH11=0,JI11&gt;0),'Assumption Sheet'!$N30*'Assumption Sheet'!$C30/10^7,JH39/Leasing!JH11*Leasing!JI11),0)</f>
        <v>4.9585089277477366E-2</v>
      </c>
      <c r="JJ39" s="33">
        <f>IFERROR(IF(AND(Leasing!JI11=0,JJ11&gt;0),'Assumption Sheet'!$N30*'Assumption Sheet'!$C30/10^7,JI39/Leasing!JI11*Leasing!JJ11),0)</f>
        <v>4.9585089277477366E-2</v>
      </c>
      <c r="JK39" s="33">
        <f>IFERROR(IF(AND(Leasing!JJ11=0,JK11&gt;0),'Assumption Sheet'!$N30*'Assumption Sheet'!$C30/10^7,JJ39/Leasing!JJ11*Leasing!JK11),0)</f>
        <v>4.9585089277477366E-2</v>
      </c>
      <c r="JL39" s="33">
        <f>IFERROR(IF(AND(Leasing!JK11=0,JL11&gt;0),'Assumption Sheet'!$N30*'Assumption Sheet'!$C30/10^7,JK39/Leasing!JK11*Leasing!JL11),0)</f>
        <v>5.2064343741351243E-2</v>
      </c>
      <c r="JM39" s="33">
        <f>IFERROR(IF(AND(Leasing!JL11=0,JM11&gt;0),'Assumption Sheet'!$N30*'Assumption Sheet'!$C30/10^7,JL39/Leasing!JL11*Leasing!JM11),0)</f>
        <v>5.2064343741351243E-2</v>
      </c>
      <c r="JN39" s="33">
        <f>IFERROR(IF(AND(Leasing!JM11=0,JN11&gt;0),'Assumption Sheet'!$N30*'Assumption Sheet'!$C30/10^7,JM39/Leasing!JM11*Leasing!JN11),0)</f>
        <v>5.2064343741351243E-2</v>
      </c>
      <c r="JO39" s="33">
        <f>IFERROR(IF(AND(Leasing!JN11=0,JO11&gt;0),'Assumption Sheet'!$N30*'Assumption Sheet'!$C30/10^7,JN39/Leasing!JN11*Leasing!JO11),0)</f>
        <v>5.2064343741351243E-2</v>
      </c>
      <c r="JP39" s="33">
        <f>IFERROR(IF(AND(Leasing!JO11=0,JP11&gt;0),'Assumption Sheet'!$N30*'Assumption Sheet'!$C30/10^7,JO39/Leasing!JO11*Leasing!JP11),0)</f>
        <v>5.2064343741351243E-2</v>
      </c>
      <c r="JQ39" s="33">
        <f>IFERROR(IF(AND(Leasing!JP11=0,JQ11&gt;0),'Assumption Sheet'!$N30*'Assumption Sheet'!$C30/10^7,JP39/Leasing!JP11*Leasing!JQ11),0)</f>
        <v>5.2064343741351243E-2</v>
      </c>
      <c r="JR39" s="33">
        <f>IFERROR(IF(AND(Leasing!JQ11=0,JR11&gt;0),'Assumption Sheet'!$N30*'Assumption Sheet'!$C30/10^7,JQ39/Leasing!JQ11*Leasing!JR11),0)</f>
        <v>5.2064343741351243E-2</v>
      </c>
      <c r="JS39" s="33">
        <f>IFERROR(IF(AND(Leasing!JR11=0,JS11&gt;0),'Assumption Sheet'!$N30*'Assumption Sheet'!$C30/10^7,JR39/Leasing!JR11*Leasing!JS11),0)</f>
        <v>5.2064343741351243E-2</v>
      </c>
      <c r="JT39" s="33">
        <f>IFERROR(IF(AND(Leasing!JS11=0,JT11&gt;0),'Assumption Sheet'!$N30*'Assumption Sheet'!$C30/10^7,JS39/Leasing!JS11*Leasing!JT11),0)</f>
        <v>5.2064343741351243E-2</v>
      </c>
      <c r="JU39" s="33">
        <f>IFERROR(IF(AND(Leasing!JT11=0,JU11&gt;0),'Assumption Sheet'!$N30*'Assumption Sheet'!$C30/10^7,JT39/Leasing!JT11*Leasing!JU11),0)</f>
        <v>5.2064343741351243E-2</v>
      </c>
      <c r="JV39" s="33">
        <f>IFERROR(IF(AND(Leasing!JU11=0,JV11&gt;0),'Assumption Sheet'!$N30*'Assumption Sheet'!$C30/10^7,JU39/Leasing!JU11*Leasing!JV11),0)</f>
        <v>5.2064343741351243E-2</v>
      </c>
      <c r="JW39" s="33">
        <f>IFERROR(IF(AND(Leasing!JV11=0,JW11&gt;0),'Assumption Sheet'!$N30*'Assumption Sheet'!$C30/10^7,JV39/Leasing!JV11*Leasing!JW11),0)</f>
        <v>5.2064343741351243E-2</v>
      </c>
      <c r="JX39" s="33">
        <f>IFERROR(IF(AND(Leasing!JW11=0,JX11&gt;0),'Assumption Sheet'!$N30*'Assumption Sheet'!$C30/10^7,JW39/Leasing!JW11*Leasing!JX11),0)</f>
        <v>5.4667560928418811E-2</v>
      </c>
      <c r="JY39" s="33">
        <f>IFERROR(IF(AND(Leasing!JX11=0,JY11&gt;0),'Assumption Sheet'!$N30*'Assumption Sheet'!$C30/10^7,JX39/Leasing!JX11*Leasing!JY11),0)</f>
        <v>5.4667560928418811E-2</v>
      </c>
      <c r="JZ39" s="33">
        <f>IFERROR(IF(AND(Leasing!JY11=0,JZ11&gt;0),'Assumption Sheet'!$N30*'Assumption Sheet'!$C30/10^7,JY39/Leasing!JY11*Leasing!JZ11),0)</f>
        <v>5.4667560928418811E-2</v>
      </c>
      <c r="KA39" s="33">
        <f>IFERROR(IF(AND(Leasing!JZ11=0,KA11&gt;0),'Assumption Sheet'!$N30*'Assumption Sheet'!$C30/10^7,JZ39/Leasing!JZ11*Leasing!KA11),0)</f>
        <v>5.4667560928418811E-2</v>
      </c>
      <c r="KB39" s="33">
        <f>IFERROR(IF(AND(Leasing!KA11=0,KB11&gt;0),'Assumption Sheet'!$N30*'Assumption Sheet'!$C30/10^7,KA39/Leasing!KA11*Leasing!KB11),0)</f>
        <v>5.4667560928418811E-2</v>
      </c>
      <c r="KC39" s="33">
        <f>IFERROR(IF(AND(Leasing!KB11=0,KC11&gt;0),'Assumption Sheet'!$N30*'Assumption Sheet'!$C30/10^7,KB39/Leasing!KB11*Leasing!KC11),0)</f>
        <v>5.4667560928418811E-2</v>
      </c>
      <c r="KD39" s="33">
        <f>SUM(E39:KC39)</f>
        <v>8.5033490840134256</v>
      </c>
      <c r="KE39" s="33"/>
      <c r="KF39" s="33"/>
      <c r="KG39" s="33"/>
      <c r="KH39" s="33"/>
      <c r="KI39" s="33"/>
      <c r="KJ39" s="33"/>
      <c r="KK39" s="33"/>
      <c r="KL39" s="33"/>
      <c r="KM39" s="33"/>
      <c r="KN39" s="33"/>
      <c r="KO39" s="33"/>
    </row>
    <row r="40" spans="1:301" x14ac:dyDescent="0.3">
      <c r="A40" s="52">
        <f>SUM(E40:IS40)</f>
        <v>13.416657229416581</v>
      </c>
      <c r="B40" s="1" t="str">
        <f>B31</f>
        <v>Phase 4</v>
      </c>
      <c r="C40" s="54">
        <f t="shared" si="142"/>
        <v>17.203590697044543</v>
      </c>
      <c r="D40" s="54"/>
      <c r="E40" s="33">
        <f>IFERROR(IF(AND(Leasing!D12=0,E12&gt;0),'Assumption Sheet'!$N31*'Assumption Sheet'!$C31/10^7,D40/Leasing!D12*Leasing!E12),0)</f>
        <v>0</v>
      </c>
      <c r="F40" s="33">
        <f>IFERROR(IF(AND(Leasing!E12=0,F12&gt;0),'Assumption Sheet'!$N31*'Assumption Sheet'!$C31/10^7,E40/Leasing!E12*Leasing!F12),0)</f>
        <v>0</v>
      </c>
      <c r="G40" s="33">
        <f>IFERROR(IF(AND(Leasing!F12=0,G12&gt;0),'Assumption Sheet'!$N31*'Assumption Sheet'!$C31/10^7,F40/Leasing!F12*Leasing!G12),0)</f>
        <v>0</v>
      </c>
      <c r="H40" s="33">
        <f>IFERROR(IF(AND(Leasing!G12=0,H12&gt;0),'Assumption Sheet'!$N31*'Assumption Sheet'!$C31/10^7,G40/Leasing!G12*Leasing!H12),0)</f>
        <v>0</v>
      </c>
      <c r="I40" s="33">
        <f>IFERROR(IF(AND(Leasing!H12=0,I12&gt;0),'Assumption Sheet'!$N31*'Assumption Sheet'!$C31/10^7,H40/Leasing!H12*Leasing!I12),0)</f>
        <v>0</v>
      </c>
      <c r="J40" s="33">
        <f>IFERROR(IF(AND(Leasing!I12=0,J12&gt;0),'Assumption Sheet'!$N31*'Assumption Sheet'!$C31/10^7,I40/Leasing!I12*Leasing!J12),0)</f>
        <v>0</v>
      </c>
      <c r="K40" s="33">
        <f>IFERROR(IF(AND(Leasing!J12=0,K12&gt;0),'Assumption Sheet'!$N31*'Assumption Sheet'!$C31/10^7,J40/Leasing!J12*Leasing!K12),0)</f>
        <v>0</v>
      </c>
      <c r="L40" s="33">
        <f>IFERROR(IF(AND(Leasing!K12=0,L12&gt;0),'Assumption Sheet'!$N31*'Assumption Sheet'!$C31/10^7,K40/Leasing!K12*Leasing!L12),0)</f>
        <v>0</v>
      </c>
      <c r="M40" s="33">
        <f>IFERROR(IF(AND(Leasing!L12=0,M12&gt;0),'Assumption Sheet'!$N31*'Assumption Sheet'!$C31/10^7,L40/Leasing!L12*Leasing!M12),0)</f>
        <v>0</v>
      </c>
      <c r="N40" s="33">
        <f>IFERROR(IF(AND(Leasing!M12=0,N12&gt;0),'Assumption Sheet'!$N31*'Assumption Sheet'!$C31/10^7,M40/Leasing!M12*Leasing!N12),0)</f>
        <v>0</v>
      </c>
      <c r="O40" s="33">
        <f>IFERROR(IF(AND(Leasing!N12=0,O12&gt;0),'Assumption Sheet'!$N31*'Assumption Sheet'!$C31/10^7,N40/Leasing!N12*Leasing!O12),0)</f>
        <v>0</v>
      </c>
      <c r="P40" s="33">
        <f>IFERROR(IF(AND(Leasing!O12=0,P12&gt;0),'Assumption Sheet'!$N31*'Assumption Sheet'!$C31/10^7,O40/Leasing!O12*Leasing!P12),0)</f>
        <v>0</v>
      </c>
      <c r="Q40" s="33">
        <f>IFERROR(IF(AND(Leasing!P12=0,Q12&gt;0),'Assumption Sheet'!$N31*'Assumption Sheet'!$C31/10^7,P40/Leasing!P12*Leasing!Q12),0)</f>
        <v>0</v>
      </c>
      <c r="R40" s="33">
        <f>IFERROR(IF(AND(Leasing!Q12=0,R12&gt;0),'Assumption Sheet'!$N31*'Assumption Sheet'!$C31/10^7,Q40/Leasing!Q12*Leasing!R12),0)</f>
        <v>0</v>
      </c>
      <c r="S40" s="33">
        <f>IFERROR(IF(AND(Leasing!R12=0,S12&gt;0),'Assumption Sheet'!$N31*'Assumption Sheet'!$C31/10^7,R40/Leasing!R12*Leasing!S12),0)</f>
        <v>0</v>
      </c>
      <c r="T40" s="33">
        <f>IFERROR(IF(AND(Leasing!S12=0,T12&gt;0),'Assumption Sheet'!$N31*'Assumption Sheet'!$C31/10^7,S40/Leasing!S12*Leasing!T12),0)</f>
        <v>0</v>
      </c>
      <c r="U40" s="33">
        <f>IFERROR(IF(AND(Leasing!T12=0,U12&gt;0),'Assumption Sheet'!$N31*'Assumption Sheet'!$C31/10^7,T40/Leasing!T12*Leasing!U12),0)</f>
        <v>0</v>
      </c>
      <c r="V40" s="33">
        <f>IFERROR(IF(AND(Leasing!U12=0,V12&gt;0),'Assumption Sheet'!$N31*'Assumption Sheet'!$C31/10^7,U40/Leasing!U12*Leasing!V12),0)</f>
        <v>0</v>
      </c>
      <c r="W40" s="33">
        <f>IFERROR(IF(AND(Leasing!V12=0,W12&gt;0),'Assumption Sheet'!$N31*'Assumption Sheet'!$C31/10^7,V40/Leasing!V12*Leasing!W12),0)</f>
        <v>0</v>
      </c>
      <c r="X40" s="33">
        <f>IFERROR(IF(AND(Leasing!W12=0,X12&gt;0),'Assumption Sheet'!$N31*'Assumption Sheet'!$C31/10^7,W40/Leasing!W12*Leasing!X12),0)</f>
        <v>0</v>
      </c>
      <c r="Y40" s="33">
        <f>IFERROR(IF(AND(Leasing!X12=0,Y12&gt;0),'Assumption Sheet'!$N31*'Assumption Sheet'!$C31/10^7,X40/Leasing!X12*Leasing!Y12),0)</f>
        <v>0</v>
      </c>
      <c r="Z40" s="33">
        <f>IFERROR(IF(AND(Leasing!Y12=0,Z12&gt;0),'Assumption Sheet'!$N31*'Assumption Sheet'!$C31/10^7,Y40/Leasing!Y12*Leasing!Z12),0)</f>
        <v>0</v>
      </c>
      <c r="AA40" s="33">
        <f>IFERROR(IF(AND(Leasing!Z12=0,AA12&gt;0),'Assumption Sheet'!$N31*'Assumption Sheet'!$C31/10^7,Z40/Leasing!Z12*Leasing!AA12),0)</f>
        <v>0</v>
      </c>
      <c r="AB40" s="33">
        <f>IFERROR(IF(AND(Leasing!AA12=0,AB12&gt;0),'Assumption Sheet'!$N31*'Assumption Sheet'!$C31/10^7,AA40/Leasing!AA12*Leasing!AB12),0)</f>
        <v>0</v>
      </c>
      <c r="AC40" s="33">
        <f>IFERROR(IF(AND(Leasing!AB12=0,AC12&gt;0),'Assumption Sheet'!$N31*'Assumption Sheet'!$C31/10^7,AB40/Leasing!AB12*Leasing!AC12),0)</f>
        <v>0</v>
      </c>
      <c r="AD40" s="33">
        <f>IFERROR(IF(AND(Leasing!AC12=0,AD12&gt;0),'Assumption Sheet'!$N31*'Assumption Sheet'!$C31/10^7,AC40/Leasing!AC12*Leasing!AD12),0)</f>
        <v>0</v>
      </c>
      <c r="AE40" s="33">
        <f>IFERROR(IF(AND(Leasing!AD12=0,AE12&gt;0),'Assumption Sheet'!$N31*'Assumption Sheet'!$C31/10^7,AD40/Leasing!AD12*Leasing!AE12),0)</f>
        <v>0</v>
      </c>
      <c r="AF40" s="33">
        <f>IFERROR(IF(AND(Leasing!AE12=0,AF12&gt;0),'Assumption Sheet'!$N31*'Assumption Sheet'!$C31/10^7,AE40/Leasing!AE12*Leasing!AF12),0)</f>
        <v>0</v>
      </c>
      <c r="AG40" s="33">
        <f>IFERROR(IF(AND(Leasing!AF12=0,AG12&gt;0),'Assumption Sheet'!$N31*'Assumption Sheet'!$C31/10^7,AF40/Leasing!AF12*Leasing!AG12),0)</f>
        <v>0</v>
      </c>
      <c r="AH40" s="33">
        <f>IFERROR(IF(AND(Leasing!AG12=0,AH12&gt;0),'Assumption Sheet'!$N31*'Assumption Sheet'!$C31/10^7,AG40/Leasing!AG12*Leasing!AH12),0)</f>
        <v>0</v>
      </c>
      <c r="AI40" s="33">
        <f>IFERROR(IF(AND(Leasing!AH12=0,AI12&gt;0),'Assumption Sheet'!$N31*'Assumption Sheet'!$C31/10^7,AH40/Leasing!AH12*Leasing!AI12),0)</f>
        <v>0</v>
      </c>
      <c r="AJ40" s="33">
        <f>IFERROR(IF(AND(Leasing!AI12=0,AJ12&gt;0),'Assumption Sheet'!$N31*'Assumption Sheet'!$C31/10^7,AI40/Leasing!AI12*Leasing!AJ12),0)</f>
        <v>0</v>
      </c>
      <c r="AK40" s="33">
        <f>IFERROR(IF(AND(Leasing!AJ12=0,AK12&gt;0),'Assumption Sheet'!$N31*'Assumption Sheet'!$C31/10^7,AJ40/Leasing!AJ12*Leasing!AK12),0)</f>
        <v>0</v>
      </c>
      <c r="AL40" s="33">
        <f>IFERROR(IF(AND(Leasing!AK12=0,AL12&gt;0),'Assumption Sheet'!$N31*'Assumption Sheet'!$C31/10^7,AK40/Leasing!AK12*Leasing!AL12),0)</f>
        <v>0</v>
      </c>
      <c r="AM40" s="33">
        <f>IFERROR(IF(AND(Leasing!AL12=0,AM12&gt;0),'Assumption Sheet'!$N31*'Assumption Sheet'!$C31/10^7,AL40/Leasing!AL12*Leasing!AM12),0)</f>
        <v>0</v>
      </c>
      <c r="AN40" s="33">
        <f>IFERROR(IF(AND(Leasing!AM12=0,AN12&gt;0),'Assumption Sheet'!$N31*'Assumption Sheet'!$C31/10^7,AM40/Leasing!AM12*Leasing!AN12),0)</f>
        <v>0</v>
      </c>
      <c r="AO40" s="33">
        <f>IFERROR(IF(AND(Leasing!AN12=0,AO12&gt;0),'Assumption Sheet'!$N31*'Assumption Sheet'!$C31/10^7,AN40/Leasing!AN12*Leasing!AO12),0)</f>
        <v>0</v>
      </c>
      <c r="AP40" s="33">
        <f>IFERROR(IF(AND(Leasing!AO12=0,AP12&gt;0),'Assumption Sheet'!$N31*'Assumption Sheet'!$C31/10^7,AO40/Leasing!AO12*Leasing!AP12),0)</f>
        <v>0</v>
      </c>
      <c r="AQ40" s="33">
        <f>IFERROR(IF(AND(Leasing!AP12=0,AQ12&gt;0),'Assumption Sheet'!$N31*'Assumption Sheet'!$C31/10^7,AP40/Leasing!AP12*Leasing!AQ12),0)</f>
        <v>0</v>
      </c>
      <c r="AR40" s="33">
        <f>IFERROR(IF(AND(Leasing!AQ12=0,AR12&gt;0),'Assumption Sheet'!$N31*'Assumption Sheet'!$C31/10^7,AQ40/Leasing!AQ12*Leasing!AR12),0)</f>
        <v>0</v>
      </c>
      <c r="AS40" s="33">
        <f>IFERROR(IF(AND(Leasing!AR12=0,AS12&gt;0),'Assumption Sheet'!$N31*'Assumption Sheet'!$C31/10^7,AR40/Leasing!AR12*Leasing!AS12),0)</f>
        <v>0</v>
      </c>
      <c r="AT40" s="33">
        <f>IFERROR(IF(AND(Leasing!AS12=0,AT12&gt;0),'Assumption Sheet'!$N31*'Assumption Sheet'!$C31/10^7,AS40/Leasing!AS12*Leasing!AT12),0)</f>
        <v>0</v>
      </c>
      <c r="AU40" s="33">
        <f>IFERROR(IF(AND(Leasing!AT12=0,AU12&gt;0),'Assumption Sheet'!$N31*'Assumption Sheet'!$C31/10^7,AT40/Leasing!AT12*Leasing!AU12),0)</f>
        <v>0</v>
      </c>
      <c r="AV40" s="33">
        <f>IFERROR(IF(AND(Leasing!AU12=0,AV12&gt;0),'Assumption Sheet'!$N31*'Assumption Sheet'!$C31/10^7,AU40/Leasing!AU12*Leasing!AV12),0)</f>
        <v>0</v>
      </c>
      <c r="AW40" s="33">
        <f>IFERROR(IF(AND(Leasing!AV12=0,AW12&gt;0),'Assumption Sheet'!$N31*'Assumption Sheet'!$C31/10^7,AV40/Leasing!AV12*Leasing!AW12),0)</f>
        <v>0</v>
      </c>
      <c r="AX40" s="33">
        <f>IFERROR(IF(AND(Leasing!AW12=0,AX12&gt;0),'Assumption Sheet'!$N31*'Assumption Sheet'!$C31/10^7,AW40/Leasing!AW12*Leasing!AX12),0)</f>
        <v>0</v>
      </c>
      <c r="AY40" s="33">
        <f>IFERROR(IF(AND(Leasing!AX12=0,AY12&gt;0),'Assumption Sheet'!$N31*'Assumption Sheet'!$C31/10^7,AX40/Leasing!AX12*Leasing!AY12),0)</f>
        <v>0</v>
      </c>
      <c r="AZ40" s="33">
        <f>IFERROR(IF(AND(Leasing!AY12=0,AZ12&gt;0),'Assumption Sheet'!$N31*'Assumption Sheet'!$C31/10^7,AY40/Leasing!AY12*Leasing!AZ12),0)</f>
        <v>0</v>
      </c>
      <c r="BA40" s="33">
        <f>IFERROR(IF(AND(Leasing!AZ12=0,BA12&gt;0),'Assumption Sheet'!$N31*'Assumption Sheet'!$C31/10^7,AZ40/Leasing!AZ12*Leasing!BA12),0)</f>
        <v>4.4201239012455006E-2</v>
      </c>
      <c r="BB40" s="33">
        <f>IFERROR(IF(AND(Leasing!BA12=0,BB12&gt;0),'Assumption Sheet'!$N31*'Assumption Sheet'!$C31/10^7,BA40/Leasing!BA12*Leasing!BB12),0)</f>
        <v>4.4201239012455006E-2</v>
      </c>
      <c r="BC40" s="33">
        <f>IFERROR(IF(AND(Leasing!BB12=0,BC12&gt;0),'Assumption Sheet'!$N31*'Assumption Sheet'!$C31/10^7,BB40/Leasing!BB12*Leasing!BC12),0)</f>
        <v>4.4201239012455006E-2</v>
      </c>
      <c r="BD40" s="33">
        <f>IFERROR(IF(AND(Leasing!BC12=0,BD12&gt;0),'Assumption Sheet'!$N31*'Assumption Sheet'!$C31/10^7,BC40/Leasing!BC12*Leasing!BD12),0)</f>
        <v>4.4201239012455006E-2</v>
      </c>
      <c r="BE40" s="33">
        <f>IFERROR(IF(AND(Leasing!BD12=0,BE12&gt;0),'Assumption Sheet'!$N31*'Assumption Sheet'!$C31/10^7,BD40/Leasing!BD12*Leasing!BE12),0)</f>
        <v>4.4201239012455006E-2</v>
      </c>
      <c r="BF40" s="33">
        <f>IFERROR(IF(AND(Leasing!BE12=0,BF12&gt;0),'Assumption Sheet'!$N31*'Assumption Sheet'!$C31/10^7,BE40/Leasing!BE12*Leasing!BF12),0)</f>
        <v>4.4201239012455006E-2</v>
      </c>
      <c r="BG40" s="33">
        <f>IFERROR(IF(AND(Leasing!BF12=0,BG12&gt;0),'Assumption Sheet'!$N31*'Assumption Sheet'!$C31/10^7,BF40/Leasing!BF12*Leasing!BG12),0)</f>
        <v>4.4201239012455006E-2</v>
      </c>
      <c r="BH40" s="33">
        <f>IFERROR(IF(AND(Leasing!BG12=0,BH12&gt;0),'Assumption Sheet'!$N31*'Assumption Sheet'!$C31/10^7,BG40/Leasing!BG12*Leasing!BH12),0)</f>
        <v>4.4201239012455006E-2</v>
      </c>
      <c r="BI40" s="33">
        <f>IFERROR(IF(AND(Leasing!BH12=0,BI12&gt;0),'Assumption Sheet'!$N31*'Assumption Sheet'!$C31/10^7,BH40/Leasing!BH12*Leasing!BI12),0)</f>
        <v>4.4201239012455006E-2</v>
      </c>
      <c r="BJ40" s="33">
        <f>IFERROR(IF(AND(Leasing!BI12=0,BJ12&gt;0),'Assumption Sheet'!$N31*'Assumption Sheet'!$C31/10^7,BI40/Leasing!BI12*Leasing!BJ12),0)</f>
        <v>4.4201239012455006E-2</v>
      </c>
      <c r="BK40" s="33">
        <f>IFERROR(IF(AND(Leasing!BJ12=0,BK12&gt;0),'Assumption Sheet'!$N31*'Assumption Sheet'!$C31/10^7,BJ40/Leasing!BJ12*Leasing!BK12),0)</f>
        <v>4.4201239012455006E-2</v>
      </c>
      <c r="BL40" s="33">
        <f>IFERROR(IF(AND(Leasing!BK12=0,BL12&gt;0),'Assumption Sheet'!$N31*'Assumption Sheet'!$C31/10^7,BK40/Leasing!BK12*Leasing!BL12),0)</f>
        <v>4.4201239012455006E-2</v>
      </c>
      <c r="BM40" s="33">
        <f>IFERROR(IF(AND(Leasing!BL12=0,BM12&gt;0),'Assumption Sheet'!$N31*'Assumption Sheet'!$C31/10^7,BL40/Leasing!BL12*Leasing!BM12),0)</f>
        <v>4.6411300963077766E-2</v>
      </c>
      <c r="BN40" s="33">
        <f>IFERROR(IF(AND(Leasing!BM12=0,BN12&gt;0),'Assumption Sheet'!$N31*'Assumption Sheet'!$C31/10^7,BM40/Leasing!BM12*Leasing!BN12),0)</f>
        <v>4.6411300963077766E-2</v>
      </c>
      <c r="BO40" s="33">
        <f>IFERROR(IF(AND(Leasing!BN12=0,BO12&gt;0),'Assumption Sheet'!$N31*'Assumption Sheet'!$C31/10^7,BN40/Leasing!BN12*Leasing!BO12),0)</f>
        <v>4.6411300963077766E-2</v>
      </c>
      <c r="BP40" s="33">
        <f>IFERROR(IF(AND(Leasing!BO12=0,BP12&gt;0),'Assumption Sheet'!$N31*'Assumption Sheet'!$C31/10^7,BO40/Leasing!BO12*Leasing!BP12),0)</f>
        <v>4.6411300963077766E-2</v>
      </c>
      <c r="BQ40" s="33">
        <f>IFERROR(IF(AND(Leasing!BP12=0,BQ12&gt;0),'Assumption Sheet'!$N31*'Assumption Sheet'!$C31/10^7,BP40/Leasing!BP12*Leasing!BQ12),0)</f>
        <v>4.6411300963077766E-2</v>
      </c>
      <c r="BR40" s="33">
        <f>IFERROR(IF(AND(Leasing!BQ12=0,BR12&gt;0),'Assumption Sheet'!$N31*'Assumption Sheet'!$C31/10^7,BQ40/Leasing!BQ12*Leasing!BR12),0)</f>
        <v>4.6411300963077766E-2</v>
      </c>
      <c r="BS40" s="33">
        <f>IFERROR(IF(AND(Leasing!BR12=0,BS12&gt;0),'Assumption Sheet'!$N31*'Assumption Sheet'!$C31/10^7,BR40/Leasing!BR12*Leasing!BS12),0)</f>
        <v>4.6411300963077766E-2</v>
      </c>
      <c r="BT40" s="33">
        <f>IFERROR(IF(AND(Leasing!BS12=0,BT12&gt;0),'Assumption Sheet'!$N31*'Assumption Sheet'!$C31/10^7,BS40/Leasing!BS12*Leasing!BT12),0)</f>
        <v>4.6411300963077766E-2</v>
      </c>
      <c r="BU40" s="33">
        <f>IFERROR(IF(AND(Leasing!BT12=0,BU12&gt;0),'Assumption Sheet'!$N31*'Assumption Sheet'!$C31/10^7,BT40/Leasing!BT12*Leasing!BU12),0)</f>
        <v>4.6411300963077766E-2</v>
      </c>
      <c r="BV40" s="33">
        <f>IFERROR(IF(AND(Leasing!BU12=0,BV12&gt;0),'Assumption Sheet'!$N31*'Assumption Sheet'!$C31/10^7,BU40/Leasing!BU12*Leasing!BV12),0)</f>
        <v>4.6411300963077766E-2</v>
      </c>
      <c r="BW40" s="33">
        <f>IFERROR(IF(AND(Leasing!BV12=0,BW12&gt;0),'Assumption Sheet'!$N31*'Assumption Sheet'!$C31/10^7,BV40/Leasing!BV12*Leasing!BW12),0)</f>
        <v>4.6411300963077766E-2</v>
      </c>
      <c r="BX40" s="33">
        <f>IFERROR(IF(AND(Leasing!BW12=0,BX12&gt;0),'Assumption Sheet'!$N31*'Assumption Sheet'!$C31/10^7,BW40/Leasing!BW12*Leasing!BX12),0)</f>
        <v>4.6411300963077766E-2</v>
      </c>
      <c r="BY40" s="33">
        <f>IFERROR(IF(AND(Leasing!BX12=0,BY12&gt;0),'Assumption Sheet'!$N31*'Assumption Sheet'!$C31/10^7,BX40/Leasing!BX12*Leasing!BY12),0)</f>
        <v>4.8731866011231653E-2</v>
      </c>
      <c r="BZ40" s="33">
        <f>IFERROR(IF(AND(Leasing!BY12=0,BZ12&gt;0),'Assumption Sheet'!$N31*'Assumption Sheet'!$C31/10^7,BY40/Leasing!BY12*Leasing!BZ12),0)</f>
        <v>4.8731866011231653E-2</v>
      </c>
      <c r="CA40" s="33">
        <f>IFERROR(IF(AND(Leasing!BZ12=0,CA12&gt;0),'Assumption Sheet'!$N31*'Assumption Sheet'!$C31/10^7,BZ40/Leasing!BZ12*Leasing!CA12),0)</f>
        <v>4.8731866011231653E-2</v>
      </c>
      <c r="CB40" s="33">
        <f>IFERROR(IF(AND(Leasing!CA12=0,CB12&gt;0),'Assumption Sheet'!$N31*'Assumption Sheet'!$C31/10^7,CA40/Leasing!CA12*Leasing!CB12),0)</f>
        <v>4.8731866011231653E-2</v>
      </c>
      <c r="CC40" s="33">
        <f>IFERROR(IF(AND(Leasing!CB12=0,CC12&gt;0),'Assumption Sheet'!$N31*'Assumption Sheet'!$C31/10^7,CB40/Leasing!CB12*Leasing!CC12),0)</f>
        <v>4.8731866011231653E-2</v>
      </c>
      <c r="CD40" s="33">
        <f>IFERROR(IF(AND(Leasing!CC12=0,CD12&gt;0),'Assumption Sheet'!$N31*'Assumption Sheet'!$C31/10^7,CC40/Leasing!CC12*Leasing!CD12),0)</f>
        <v>4.8731866011231653E-2</v>
      </c>
      <c r="CE40" s="33">
        <f>IFERROR(IF(AND(Leasing!CD12=0,CE12&gt;0),'Assumption Sheet'!$N31*'Assumption Sheet'!$C31/10^7,CD40/Leasing!CD12*Leasing!CE12),0)</f>
        <v>4.8731866011231653E-2</v>
      </c>
      <c r="CF40" s="33">
        <f>IFERROR(IF(AND(Leasing!CE12=0,CF12&gt;0),'Assumption Sheet'!$N31*'Assumption Sheet'!$C31/10^7,CE40/Leasing!CE12*Leasing!CF12),0)</f>
        <v>4.8731866011231653E-2</v>
      </c>
      <c r="CG40" s="33">
        <f>IFERROR(IF(AND(Leasing!CF12=0,CG12&gt;0),'Assumption Sheet'!$N31*'Assumption Sheet'!$C31/10^7,CF40/Leasing!CF12*Leasing!CG12),0)</f>
        <v>4.8731866011231653E-2</v>
      </c>
      <c r="CH40" s="33">
        <f>IFERROR(IF(AND(Leasing!CG12=0,CH12&gt;0),'Assumption Sheet'!$N31*'Assumption Sheet'!$C31/10^7,CG40/Leasing!CG12*Leasing!CH12),0)</f>
        <v>4.8731866011231653E-2</v>
      </c>
      <c r="CI40" s="33">
        <f>IFERROR(IF(AND(Leasing!CH12=0,CI12&gt;0),'Assumption Sheet'!$N31*'Assumption Sheet'!$C31/10^7,CH40/Leasing!CH12*Leasing!CI12),0)</f>
        <v>4.8731866011231653E-2</v>
      </c>
      <c r="CJ40" s="33">
        <f>IFERROR(IF(AND(Leasing!CI12=0,CJ12&gt;0),'Assumption Sheet'!$N31*'Assumption Sheet'!$C31/10^7,CI40/Leasing!CI12*Leasing!CJ12),0)</f>
        <v>4.8731866011231653E-2</v>
      </c>
      <c r="CK40" s="33">
        <f>IFERROR(IF(AND(Leasing!CJ12=0,CK12&gt;0),'Assumption Sheet'!$N31*'Assumption Sheet'!$C31/10^7,CJ40/Leasing!CJ12*Leasing!CK12),0)</f>
        <v>5.1168459311793237E-2</v>
      </c>
      <c r="CL40" s="33">
        <f>IFERROR(IF(AND(Leasing!CK12=0,CL12&gt;0),'Assumption Sheet'!$N31*'Assumption Sheet'!$C31/10^7,CK40/Leasing!CK12*Leasing!CL12),0)</f>
        <v>5.1168459311793237E-2</v>
      </c>
      <c r="CM40" s="33">
        <f>IFERROR(IF(AND(Leasing!CL12=0,CM12&gt;0),'Assumption Sheet'!$N31*'Assumption Sheet'!$C31/10^7,CL40/Leasing!CL12*Leasing!CM12),0)</f>
        <v>5.1168459311793237E-2</v>
      </c>
      <c r="CN40" s="33">
        <f>IFERROR(IF(AND(Leasing!CM12=0,CN12&gt;0),'Assumption Sheet'!$N31*'Assumption Sheet'!$C31/10^7,CM40/Leasing!CM12*Leasing!CN12),0)</f>
        <v>5.1168459311793237E-2</v>
      </c>
      <c r="CO40" s="33">
        <f>IFERROR(IF(AND(Leasing!CN12=0,CO12&gt;0),'Assumption Sheet'!$N31*'Assumption Sheet'!$C31/10^7,CN40/Leasing!CN12*Leasing!CO12),0)</f>
        <v>5.1168459311793237E-2</v>
      </c>
      <c r="CP40" s="33">
        <f>IFERROR(IF(AND(Leasing!CO12=0,CP12&gt;0),'Assumption Sheet'!$N31*'Assumption Sheet'!$C31/10^7,CO40/Leasing!CO12*Leasing!CP12),0)</f>
        <v>5.1168459311793237E-2</v>
      </c>
      <c r="CQ40" s="33">
        <f>IFERROR(IF(AND(Leasing!CP12=0,CQ12&gt;0),'Assumption Sheet'!$N31*'Assumption Sheet'!$C31/10^7,CP40/Leasing!CP12*Leasing!CQ12),0)</f>
        <v>5.1168459311793237E-2</v>
      </c>
      <c r="CR40" s="33">
        <f>IFERROR(IF(AND(Leasing!CQ12=0,CR12&gt;0),'Assumption Sheet'!$N31*'Assumption Sheet'!$C31/10^7,CQ40/Leasing!CQ12*Leasing!CR12),0)</f>
        <v>5.1168459311793237E-2</v>
      </c>
      <c r="CS40" s="33">
        <f>IFERROR(IF(AND(Leasing!CR12=0,CS12&gt;0),'Assumption Sheet'!$N31*'Assumption Sheet'!$C31/10^7,CR40/Leasing!CR12*Leasing!CS12),0)</f>
        <v>5.1168459311793237E-2</v>
      </c>
      <c r="CT40" s="33">
        <f>IFERROR(IF(AND(Leasing!CS12=0,CT12&gt;0),'Assumption Sheet'!$N31*'Assumption Sheet'!$C31/10^7,CS40/Leasing!CS12*Leasing!CT12),0)</f>
        <v>5.1168459311793237E-2</v>
      </c>
      <c r="CU40" s="33">
        <f>IFERROR(IF(AND(Leasing!CT12=0,CU12&gt;0),'Assumption Sheet'!$N31*'Assumption Sheet'!$C31/10^7,CT40/Leasing!CT12*Leasing!CU12),0)</f>
        <v>5.1168459311793237E-2</v>
      </c>
      <c r="CV40" s="33">
        <f>IFERROR(IF(AND(Leasing!CU12=0,CV12&gt;0),'Assumption Sheet'!$N31*'Assumption Sheet'!$C31/10^7,CU40/Leasing!CU12*Leasing!CV12),0)</f>
        <v>5.1168459311793237E-2</v>
      </c>
      <c r="CW40" s="33">
        <f>IFERROR(IF(AND(Leasing!CV12=0,CW12&gt;0),'Assumption Sheet'!$N31*'Assumption Sheet'!$C31/10^7,CV40/Leasing!CV12*Leasing!CW12),0)</f>
        <v>5.3726882277382898E-2</v>
      </c>
      <c r="CX40" s="33">
        <f>IFERROR(IF(AND(Leasing!CW12=0,CX12&gt;0),'Assumption Sheet'!$N31*'Assumption Sheet'!$C31/10^7,CW40/Leasing!CW12*Leasing!CX12),0)</f>
        <v>5.3726882277382898E-2</v>
      </c>
      <c r="CY40" s="33">
        <f>IFERROR(IF(AND(Leasing!CX12=0,CY12&gt;0),'Assumption Sheet'!$N31*'Assumption Sheet'!$C31/10^7,CX40/Leasing!CX12*Leasing!CY12),0)</f>
        <v>5.3726882277382898E-2</v>
      </c>
      <c r="CZ40" s="33">
        <f>IFERROR(IF(AND(Leasing!CY12=0,CZ12&gt;0),'Assumption Sheet'!$N31*'Assumption Sheet'!$C31/10^7,CY40/Leasing!CY12*Leasing!CZ12),0)</f>
        <v>5.3726882277382898E-2</v>
      </c>
      <c r="DA40" s="33">
        <f>IFERROR(IF(AND(Leasing!CZ12=0,DA12&gt;0),'Assumption Sheet'!$N31*'Assumption Sheet'!$C31/10^7,CZ40/Leasing!CZ12*Leasing!DA12),0)</f>
        <v>5.3726882277382898E-2</v>
      </c>
      <c r="DB40" s="33">
        <f>IFERROR(IF(AND(Leasing!DA12=0,DB12&gt;0),'Assumption Sheet'!$N31*'Assumption Sheet'!$C31/10^7,DA40/Leasing!DA12*Leasing!DB12),0)</f>
        <v>5.3726882277382898E-2</v>
      </c>
      <c r="DC40" s="33">
        <f>IFERROR(IF(AND(Leasing!DB12=0,DC12&gt;0),'Assumption Sheet'!$N31*'Assumption Sheet'!$C31/10^7,DB40/Leasing!DB12*Leasing!DC12),0)</f>
        <v>5.3726882277382898E-2</v>
      </c>
      <c r="DD40" s="33">
        <f>IFERROR(IF(AND(Leasing!DC12=0,DD12&gt;0),'Assumption Sheet'!$N31*'Assumption Sheet'!$C31/10^7,DC40/Leasing!DC12*Leasing!DD12),0)</f>
        <v>5.3726882277382898E-2</v>
      </c>
      <c r="DE40" s="33">
        <f>IFERROR(IF(AND(Leasing!DD12=0,DE12&gt;0),'Assumption Sheet'!$N31*'Assumption Sheet'!$C31/10^7,DD40/Leasing!DD12*Leasing!DE12),0)</f>
        <v>5.3726882277382898E-2</v>
      </c>
      <c r="DF40" s="33">
        <f>IFERROR(IF(AND(Leasing!DE12=0,DF12&gt;0),'Assumption Sheet'!$N31*'Assumption Sheet'!$C31/10^7,DE40/Leasing!DE12*Leasing!DF12),0)</f>
        <v>5.3726882277382898E-2</v>
      </c>
      <c r="DG40" s="33">
        <f>IFERROR(IF(AND(Leasing!DF12=0,DG12&gt;0),'Assumption Sheet'!$N31*'Assumption Sheet'!$C31/10^7,DF40/Leasing!DF12*Leasing!DG12),0)</f>
        <v>5.3726882277382898E-2</v>
      </c>
      <c r="DH40" s="33">
        <f>IFERROR(IF(AND(Leasing!DG12=0,DH12&gt;0),'Assumption Sheet'!$N31*'Assumption Sheet'!$C31/10^7,DG40/Leasing!DG12*Leasing!DH12),0)</f>
        <v>5.3726882277382898E-2</v>
      </c>
      <c r="DI40" s="33">
        <f>IFERROR(IF(AND(Leasing!DH12=0,DI12&gt;0),'Assumption Sheet'!$N31*'Assumption Sheet'!$C31/10^7,DH40/Leasing!DH12*Leasing!DI12),0)</f>
        <v>5.6413226391252042E-2</v>
      </c>
      <c r="DJ40" s="33">
        <f>IFERROR(IF(AND(Leasing!DI12=0,DJ12&gt;0),'Assumption Sheet'!$N31*'Assumption Sheet'!$C31/10^7,DI40/Leasing!DI12*Leasing!DJ12),0)</f>
        <v>5.6413226391252042E-2</v>
      </c>
      <c r="DK40" s="33">
        <f>IFERROR(IF(AND(Leasing!DJ12=0,DK12&gt;0),'Assumption Sheet'!$N31*'Assumption Sheet'!$C31/10^7,DJ40/Leasing!DJ12*Leasing!DK12),0)</f>
        <v>5.6413226391252042E-2</v>
      </c>
      <c r="DL40" s="33">
        <f>IFERROR(IF(AND(Leasing!DK12=0,DL12&gt;0),'Assumption Sheet'!$N31*'Assumption Sheet'!$C31/10^7,DK40/Leasing!DK12*Leasing!DL12),0)</f>
        <v>5.6413226391252042E-2</v>
      </c>
      <c r="DM40" s="33">
        <f>IFERROR(IF(AND(Leasing!DL12=0,DM12&gt;0),'Assumption Sheet'!$N31*'Assumption Sheet'!$C31/10^7,DL40/Leasing!DL12*Leasing!DM12),0)</f>
        <v>5.6413226391252042E-2</v>
      </c>
      <c r="DN40" s="33">
        <f>IFERROR(IF(AND(Leasing!DM12=0,DN12&gt;0),'Assumption Sheet'!$N31*'Assumption Sheet'!$C31/10^7,DM40/Leasing!DM12*Leasing!DN12),0)</f>
        <v>5.6413226391252042E-2</v>
      </c>
      <c r="DO40" s="33">
        <f>IFERROR(IF(AND(Leasing!DN12=0,DO12&gt;0),'Assumption Sheet'!$N31*'Assumption Sheet'!$C31/10^7,DN40/Leasing!DN12*Leasing!DO12),0)</f>
        <v>5.6413226391252042E-2</v>
      </c>
      <c r="DP40" s="33">
        <f>IFERROR(IF(AND(Leasing!DO12=0,DP12&gt;0),'Assumption Sheet'!$N31*'Assumption Sheet'!$C31/10^7,DO40/Leasing!DO12*Leasing!DP12),0)</f>
        <v>5.6413226391252042E-2</v>
      </c>
      <c r="DQ40" s="33">
        <f>IFERROR(IF(AND(Leasing!DP12=0,DQ12&gt;0),'Assumption Sheet'!$N31*'Assumption Sheet'!$C31/10^7,DP40/Leasing!DP12*Leasing!DQ12),0)</f>
        <v>5.6413226391252042E-2</v>
      </c>
      <c r="DR40" s="33">
        <f>IFERROR(IF(AND(Leasing!DQ12=0,DR12&gt;0),'Assumption Sheet'!$N31*'Assumption Sheet'!$C31/10^7,DQ40/Leasing!DQ12*Leasing!DR12),0)</f>
        <v>5.6413226391252042E-2</v>
      </c>
      <c r="DS40" s="33">
        <f>IFERROR(IF(AND(Leasing!DR12=0,DS12&gt;0),'Assumption Sheet'!$N31*'Assumption Sheet'!$C31/10^7,DR40/Leasing!DR12*Leasing!DS12),0)</f>
        <v>5.6413226391252042E-2</v>
      </c>
      <c r="DT40" s="33">
        <f>IFERROR(IF(AND(Leasing!DS12=0,DT12&gt;0),'Assumption Sheet'!$N31*'Assumption Sheet'!$C31/10^7,DS40/Leasing!DS12*Leasing!DT12),0)</f>
        <v>5.6413226391252042E-2</v>
      </c>
      <c r="DU40" s="33">
        <f>IFERROR(IF(AND(Leasing!DT12=0,DU12&gt;0),'Assumption Sheet'!$N31*'Assumption Sheet'!$C31/10^7,DT40/Leasing!DT12*Leasing!DU12),0)</f>
        <v>5.9233887710814649E-2</v>
      </c>
      <c r="DV40" s="33">
        <f>IFERROR(IF(AND(Leasing!DU12=0,DV12&gt;0),'Assumption Sheet'!$N31*'Assumption Sheet'!$C31/10^7,DU40/Leasing!DU12*Leasing!DV12),0)</f>
        <v>5.9233887710814649E-2</v>
      </c>
      <c r="DW40" s="33">
        <f>IFERROR(IF(AND(Leasing!DV12=0,DW12&gt;0),'Assumption Sheet'!$N31*'Assumption Sheet'!$C31/10^7,DV40/Leasing!DV12*Leasing!DW12),0)</f>
        <v>5.9233887710814649E-2</v>
      </c>
      <c r="DX40" s="33">
        <f>IFERROR(IF(AND(Leasing!DW12=0,DX12&gt;0),'Assumption Sheet'!$N31*'Assumption Sheet'!$C31/10^7,DW40/Leasing!DW12*Leasing!DX12),0)</f>
        <v>5.9233887710814649E-2</v>
      </c>
      <c r="DY40" s="33">
        <f>IFERROR(IF(AND(Leasing!DX12=0,DY12&gt;0),'Assumption Sheet'!$N31*'Assumption Sheet'!$C31/10^7,DX40/Leasing!DX12*Leasing!DY12),0)</f>
        <v>5.9233887710814649E-2</v>
      </c>
      <c r="DZ40" s="33">
        <f>IFERROR(IF(AND(Leasing!DY12=0,DZ12&gt;0),'Assumption Sheet'!$N31*'Assumption Sheet'!$C31/10^7,DY40/Leasing!DY12*Leasing!DZ12),0)</f>
        <v>5.9233887710814649E-2</v>
      </c>
      <c r="EA40" s="33">
        <f>IFERROR(IF(AND(Leasing!DZ12=0,EA12&gt;0),'Assumption Sheet'!$N31*'Assumption Sheet'!$C31/10^7,DZ40/Leasing!DZ12*Leasing!EA12),0)</f>
        <v>5.9233887710814649E-2</v>
      </c>
      <c r="EB40" s="33">
        <f>IFERROR(IF(AND(Leasing!EA12=0,EB12&gt;0),'Assumption Sheet'!$N31*'Assumption Sheet'!$C31/10^7,EA40/Leasing!EA12*Leasing!EB12),0)</f>
        <v>5.9233887710814649E-2</v>
      </c>
      <c r="EC40" s="33">
        <f>IFERROR(IF(AND(Leasing!EB12=0,EC12&gt;0),'Assumption Sheet'!$N31*'Assumption Sheet'!$C31/10^7,EB40/Leasing!EB12*Leasing!EC12),0)</f>
        <v>5.9233887710814649E-2</v>
      </c>
      <c r="ED40" s="33">
        <f>IFERROR(IF(AND(Leasing!EC12=0,ED12&gt;0),'Assumption Sheet'!$N31*'Assumption Sheet'!$C31/10^7,EC40/Leasing!EC12*Leasing!ED12),0)</f>
        <v>5.9233887710814649E-2</v>
      </c>
      <c r="EE40" s="33">
        <f>IFERROR(IF(AND(Leasing!ED12=0,EE12&gt;0),'Assumption Sheet'!$N31*'Assumption Sheet'!$C31/10^7,ED40/Leasing!ED12*Leasing!EE12),0)</f>
        <v>5.9233887710814649E-2</v>
      </c>
      <c r="EF40" s="33">
        <f>IFERROR(IF(AND(Leasing!EE12=0,EF12&gt;0),'Assumption Sheet'!$N31*'Assumption Sheet'!$C31/10^7,EE40/Leasing!EE12*Leasing!EF12),0)</f>
        <v>5.9233887710814649E-2</v>
      </c>
      <c r="EG40" s="33">
        <f>IFERROR(IF(AND(Leasing!EF12=0,EG12&gt;0),'Assumption Sheet'!$N31*'Assumption Sheet'!$C31/10^7,EF40/Leasing!EF12*Leasing!EG12),0)</f>
        <v>6.2195582096355381E-2</v>
      </c>
      <c r="EH40" s="33">
        <f>IFERROR(IF(AND(Leasing!EG12=0,EH12&gt;0),'Assumption Sheet'!$N31*'Assumption Sheet'!$C31/10^7,EG40/Leasing!EG12*Leasing!EH12),0)</f>
        <v>6.2195582096355381E-2</v>
      </c>
      <c r="EI40" s="33">
        <f>IFERROR(IF(AND(Leasing!EH12=0,EI12&gt;0),'Assumption Sheet'!$N31*'Assumption Sheet'!$C31/10^7,EH40/Leasing!EH12*Leasing!EI12),0)</f>
        <v>6.2195582096355381E-2</v>
      </c>
      <c r="EJ40" s="33">
        <f>IFERROR(IF(AND(Leasing!EI12=0,EJ12&gt;0),'Assumption Sheet'!$N31*'Assumption Sheet'!$C31/10^7,EI40/Leasing!EI12*Leasing!EJ12),0)</f>
        <v>6.2195582096355381E-2</v>
      </c>
      <c r="EK40" s="33">
        <f>IFERROR(IF(AND(Leasing!EJ12=0,EK12&gt;0),'Assumption Sheet'!$N31*'Assumption Sheet'!$C31/10^7,EJ40/Leasing!EJ12*Leasing!EK12),0)</f>
        <v>6.2195582096355381E-2</v>
      </c>
      <c r="EL40" s="33">
        <f>IFERROR(IF(AND(Leasing!EK12=0,EL12&gt;0),'Assumption Sheet'!$N31*'Assumption Sheet'!$C31/10^7,EK40/Leasing!EK12*Leasing!EL12),0)</f>
        <v>6.2195582096355381E-2</v>
      </c>
      <c r="EM40" s="33">
        <f>IFERROR(IF(AND(Leasing!EL12=0,EM12&gt;0),'Assumption Sheet'!$N31*'Assumption Sheet'!$C31/10^7,EL40/Leasing!EL12*Leasing!EM12),0)</f>
        <v>6.2195582096355381E-2</v>
      </c>
      <c r="EN40" s="33">
        <f>IFERROR(IF(AND(Leasing!EM12=0,EN12&gt;0),'Assumption Sheet'!$N31*'Assumption Sheet'!$C31/10^7,EM40/Leasing!EM12*Leasing!EN12),0)</f>
        <v>6.2195582096355381E-2</v>
      </c>
      <c r="EO40" s="33">
        <f>IFERROR(IF(AND(Leasing!EN12=0,EO12&gt;0),'Assumption Sheet'!$N31*'Assumption Sheet'!$C31/10^7,EN40/Leasing!EN12*Leasing!EO12),0)</f>
        <v>6.2195582096355381E-2</v>
      </c>
      <c r="EP40" s="33">
        <f>IFERROR(IF(AND(Leasing!EO12=0,EP12&gt;0),'Assumption Sheet'!$N31*'Assumption Sheet'!$C31/10^7,EO40/Leasing!EO12*Leasing!EP12),0)</f>
        <v>6.2195582096355381E-2</v>
      </c>
      <c r="EQ40" s="33">
        <f>IFERROR(IF(AND(Leasing!EP12=0,EQ12&gt;0),'Assumption Sheet'!$N31*'Assumption Sheet'!$C31/10^7,EP40/Leasing!EP12*Leasing!EQ12),0)</f>
        <v>6.2195582096355381E-2</v>
      </c>
      <c r="ER40" s="33">
        <f>IFERROR(IF(AND(Leasing!EQ12=0,ER12&gt;0),'Assumption Sheet'!$N31*'Assumption Sheet'!$C31/10^7,EQ40/Leasing!EQ12*Leasing!ER12),0)</f>
        <v>6.2195582096355381E-2</v>
      </c>
      <c r="ES40" s="33">
        <f>IFERROR(IF(AND(Leasing!ER12=0,ES12&gt;0),'Assumption Sheet'!$N31*'Assumption Sheet'!$C31/10^7,ER40/Leasing!ER12*Leasing!ES12),0)</f>
        <v>6.5305361201173154E-2</v>
      </c>
      <c r="ET40" s="33">
        <f>IFERROR(IF(AND(Leasing!ES12=0,ET12&gt;0),'Assumption Sheet'!$N31*'Assumption Sheet'!$C31/10^7,ES40/Leasing!ES12*Leasing!ET12),0)</f>
        <v>6.5305361201173154E-2</v>
      </c>
      <c r="EU40" s="33">
        <f>IFERROR(IF(AND(Leasing!ET12=0,EU12&gt;0),'Assumption Sheet'!$N31*'Assumption Sheet'!$C31/10^7,ET40/Leasing!ET12*Leasing!EU12),0)</f>
        <v>6.5305361201173154E-2</v>
      </c>
      <c r="EV40" s="33">
        <f>IFERROR(IF(AND(Leasing!EU12=0,EV12&gt;0),'Assumption Sheet'!$N31*'Assumption Sheet'!$C31/10^7,EU40/Leasing!EU12*Leasing!EV12),0)</f>
        <v>6.5305361201173154E-2</v>
      </c>
      <c r="EW40" s="33">
        <f>IFERROR(IF(AND(Leasing!EV12=0,EW12&gt;0),'Assumption Sheet'!$N31*'Assumption Sheet'!$C31/10^7,EV40/Leasing!EV12*Leasing!EW12),0)</f>
        <v>6.5305361201173154E-2</v>
      </c>
      <c r="EX40" s="33">
        <f>IFERROR(IF(AND(Leasing!EW12=0,EX12&gt;0),'Assumption Sheet'!$N31*'Assumption Sheet'!$C31/10^7,EW40/Leasing!EW12*Leasing!EX12),0)</f>
        <v>6.5305361201173154E-2</v>
      </c>
      <c r="EY40" s="33">
        <f>IFERROR(IF(AND(Leasing!EX12=0,EY12&gt;0),'Assumption Sheet'!$N31*'Assumption Sheet'!$C31/10^7,EX40/Leasing!EX12*Leasing!EY12),0)</f>
        <v>6.5305361201173154E-2</v>
      </c>
      <c r="EZ40" s="33">
        <f>IFERROR(IF(AND(Leasing!EY12=0,EZ12&gt;0),'Assumption Sheet'!$N31*'Assumption Sheet'!$C31/10^7,EY40/Leasing!EY12*Leasing!EZ12),0)</f>
        <v>6.5305361201173154E-2</v>
      </c>
      <c r="FA40" s="33">
        <f>IFERROR(IF(AND(Leasing!EZ12=0,FA12&gt;0),'Assumption Sheet'!$N31*'Assumption Sheet'!$C31/10^7,EZ40/Leasing!EZ12*Leasing!FA12),0)</f>
        <v>6.5305361201173154E-2</v>
      </c>
      <c r="FB40" s="33">
        <f>IFERROR(IF(AND(Leasing!FA12=0,FB12&gt;0),'Assumption Sheet'!$N31*'Assumption Sheet'!$C31/10^7,FA40/Leasing!FA12*Leasing!FB12),0)</f>
        <v>6.5305361201173154E-2</v>
      </c>
      <c r="FC40" s="33">
        <f>IFERROR(IF(AND(Leasing!FB12=0,FC12&gt;0),'Assumption Sheet'!$N31*'Assumption Sheet'!$C31/10^7,FB40/Leasing!FB12*Leasing!FC12),0)</f>
        <v>6.5305361201173154E-2</v>
      </c>
      <c r="FD40" s="33">
        <f>IFERROR(IF(AND(Leasing!FC12=0,FD12&gt;0),'Assumption Sheet'!$N31*'Assumption Sheet'!$C31/10^7,FC40/Leasing!FC12*Leasing!FD12),0)</f>
        <v>6.5305361201173154E-2</v>
      </c>
      <c r="FE40" s="33">
        <f>IFERROR(IF(AND(Leasing!FD12=0,FE12&gt;0),'Assumption Sheet'!$N31*'Assumption Sheet'!$C31/10^7,FD40/Leasing!FD12*Leasing!FE12),0)</f>
        <v>6.8570629261231822E-2</v>
      </c>
      <c r="FF40" s="33">
        <f>IFERROR(IF(AND(Leasing!FE12=0,FF12&gt;0),'Assumption Sheet'!$N31*'Assumption Sheet'!$C31/10^7,FE40/Leasing!FE12*Leasing!FF12),0)</f>
        <v>6.8570629261231822E-2</v>
      </c>
      <c r="FG40" s="33">
        <f>IFERROR(IF(AND(Leasing!FF12=0,FG12&gt;0),'Assumption Sheet'!$N31*'Assumption Sheet'!$C31/10^7,FF40/Leasing!FF12*Leasing!FG12),0)</f>
        <v>6.8570629261231822E-2</v>
      </c>
      <c r="FH40" s="33">
        <f>IFERROR(IF(AND(Leasing!FG12=0,FH12&gt;0),'Assumption Sheet'!$N31*'Assumption Sheet'!$C31/10^7,FG40/Leasing!FG12*Leasing!FH12),0)</f>
        <v>6.8570629261231822E-2</v>
      </c>
      <c r="FI40" s="33">
        <f>IFERROR(IF(AND(Leasing!FH12=0,FI12&gt;0),'Assumption Sheet'!$N31*'Assumption Sheet'!$C31/10^7,FH40/Leasing!FH12*Leasing!FI12),0)</f>
        <v>6.8570629261231822E-2</v>
      </c>
      <c r="FJ40" s="33">
        <f>IFERROR(IF(AND(Leasing!FI12=0,FJ12&gt;0),'Assumption Sheet'!$N31*'Assumption Sheet'!$C31/10^7,FI40/Leasing!FI12*Leasing!FJ12),0)</f>
        <v>6.8570629261231822E-2</v>
      </c>
      <c r="FK40" s="33">
        <f>IFERROR(IF(AND(Leasing!FJ12=0,FK12&gt;0),'Assumption Sheet'!$N31*'Assumption Sheet'!$C31/10^7,FJ40/Leasing!FJ12*Leasing!FK12),0)</f>
        <v>6.8570629261231822E-2</v>
      </c>
      <c r="FL40" s="33">
        <f>IFERROR(IF(AND(Leasing!FK12=0,FL12&gt;0),'Assumption Sheet'!$N31*'Assumption Sheet'!$C31/10^7,FK40/Leasing!FK12*Leasing!FL12),0)</f>
        <v>6.8570629261231822E-2</v>
      </c>
      <c r="FM40" s="33">
        <f>IFERROR(IF(AND(Leasing!FL12=0,FM12&gt;0),'Assumption Sheet'!$N31*'Assumption Sheet'!$C31/10^7,FL40/Leasing!FL12*Leasing!FM12),0)</f>
        <v>6.8570629261231822E-2</v>
      </c>
      <c r="FN40" s="33">
        <f>IFERROR(IF(AND(Leasing!FM12=0,FN12&gt;0),'Assumption Sheet'!$N31*'Assumption Sheet'!$C31/10^7,FM40/Leasing!FM12*Leasing!FN12),0)</f>
        <v>6.8570629261231822E-2</v>
      </c>
      <c r="FO40" s="33">
        <f>IFERROR(IF(AND(Leasing!FN12=0,FO12&gt;0),'Assumption Sheet'!$N31*'Assumption Sheet'!$C31/10^7,FN40/Leasing!FN12*Leasing!FO12),0)</f>
        <v>6.8570629261231822E-2</v>
      </c>
      <c r="FP40" s="33">
        <f>IFERROR(IF(AND(Leasing!FO12=0,FP12&gt;0),'Assumption Sheet'!$N31*'Assumption Sheet'!$C31/10^7,FO40/Leasing!FO12*Leasing!FP12),0)</f>
        <v>6.8570629261231822E-2</v>
      </c>
      <c r="FQ40" s="33">
        <f>IFERROR(IF(AND(Leasing!FP12=0,FQ12&gt;0),'Assumption Sheet'!$N31*'Assumption Sheet'!$C31/10^7,FP40/Leasing!FP12*Leasing!FQ12),0)</f>
        <v>7.1999160724293423E-2</v>
      </c>
      <c r="FR40" s="33">
        <f>IFERROR(IF(AND(Leasing!FQ12=0,FR12&gt;0),'Assumption Sheet'!$N31*'Assumption Sheet'!$C31/10^7,FQ40/Leasing!FQ12*Leasing!FR12),0)</f>
        <v>7.1999160724293423E-2</v>
      </c>
      <c r="FS40" s="33">
        <f>IFERROR(IF(AND(Leasing!FR12=0,FS12&gt;0),'Assumption Sheet'!$N31*'Assumption Sheet'!$C31/10^7,FR40/Leasing!FR12*Leasing!FS12),0)</f>
        <v>7.1999160724293423E-2</v>
      </c>
      <c r="FT40" s="33">
        <f>IFERROR(IF(AND(Leasing!FS12=0,FT12&gt;0),'Assumption Sheet'!$N31*'Assumption Sheet'!$C31/10^7,FS40/Leasing!FS12*Leasing!FT12),0)</f>
        <v>7.1999160724293423E-2</v>
      </c>
      <c r="FU40" s="33">
        <f>IFERROR(IF(AND(Leasing!FT12=0,FU12&gt;0),'Assumption Sheet'!$N31*'Assumption Sheet'!$C31/10^7,FT40/Leasing!FT12*Leasing!FU12),0)</f>
        <v>7.1999160724293423E-2</v>
      </c>
      <c r="FV40" s="33">
        <f>IFERROR(IF(AND(Leasing!FU12=0,FV12&gt;0),'Assumption Sheet'!$N31*'Assumption Sheet'!$C31/10^7,FU40/Leasing!FU12*Leasing!FV12),0)</f>
        <v>7.1999160724293423E-2</v>
      </c>
      <c r="FW40" s="33">
        <f>IFERROR(IF(AND(Leasing!FV12=0,FW12&gt;0),'Assumption Sheet'!$N31*'Assumption Sheet'!$C31/10^7,FV40/Leasing!FV12*Leasing!FW12),0)</f>
        <v>7.1999160724293423E-2</v>
      </c>
      <c r="FX40" s="33">
        <f>IFERROR(IF(AND(Leasing!FW12=0,FX12&gt;0),'Assumption Sheet'!$N31*'Assumption Sheet'!$C31/10^7,FW40/Leasing!FW12*Leasing!FX12),0)</f>
        <v>7.1999160724293423E-2</v>
      </c>
      <c r="FY40" s="33">
        <f>IFERROR(IF(AND(Leasing!FX12=0,FY12&gt;0),'Assumption Sheet'!$N31*'Assumption Sheet'!$C31/10^7,FX40/Leasing!FX12*Leasing!FY12),0)</f>
        <v>7.1999160724293423E-2</v>
      </c>
      <c r="FZ40" s="33">
        <f>IFERROR(IF(AND(Leasing!FY12=0,FZ12&gt;0),'Assumption Sheet'!$N31*'Assumption Sheet'!$C31/10^7,FY40/Leasing!FY12*Leasing!FZ12),0)</f>
        <v>7.1999160724293423E-2</v>
      </c>
      <c r="GA40" s="33">
        <f>IFERROR(IF(AND(Leasing!FZ12=0,GA12&gt;0),'Assumption Sheet'!$N31*'Assumption Sheet'!$C31/10^7,FZ40/Leasing!FZ12*Leasing!GA12),0)</f>
        <v>7.1999160724293423E-2</v>
      </c>
      <c r="GB40" s="33">
        <f>IFERROR(IF(AND(Leasing!GA12=0,GB12&gt;0),'Assumption Sheet'!$N31*'Assumption Sheet'!$C31/10^7,GA40/Leasing!GA12*Leasing!GB12),0)</f>
        <v>7.1999160724293423E-2</v>
      </c>
      <c r="GC40" s="33">
        <f>IFERROR(IF(AND(Leasing!GB12=0,GC12&gt;0),'Assumption Sheet'!$N31*'Assumption Sheet'!$C31/10^7,GB40/Leasing!GB12*Leasing!GC12),0)</f>
        <v>7.5599118760508108E-2</v>
      </c>
      <c r="GD40" s="33">
        <f>IFERROR(IF(AND(Leasing!GC12=0,GD12&gt;0),'Assumption Sheet'!$N31*'Assumption Sheet'!$C31/10^7,GC40/Leasing!GC12*Leasing!GD12),0)</f>
        <v>7.5599118760508108E-2</v>
      </c>
      <c r="GE40" s="33">
        <f>IFERROR(IF(AND(Leasing!GD12=0,GE12&gt;0),'Assumption Sheet'!$N31*'Assumption Sheet'!$C31/10^7,GD40/Leasing!GD12*Leasing!GE12),0)</f>
        <v>7.5599118760508108E-2</v>
      </c>
      <c r="GF40" s="33">
        <f>IFERROR(IF(AND(Leasing!GE12=0,GF12&gt;0),'Assumption Sheet'!$N31*'Assumption Sheet'!$C31/10^7,GE40/Leasing!GE12*Leasing!GF12),0)</f>
        <v>7.5599118760508108E-2</v>
      </c>
      <c r="GG40" s="33">
        <f>IFERROR(IF(AND(Leasing!GF12=0,GG12&gt;0),'Assumption Sheet'!$N31*'Assumption Sheet'!$C31/10^7,GF40/Leasing!GF12*Leasing!GG12),0)</f>
        <v>7.5599118760508108E-2</v>
      </c>
      <c r="GH40" s="33">
        <f>IFERROR(IF(AND(Leasing!GG12=0,GH12&gt;0),'Assumption Sheet'!$N31*'Assumption Sheet'!$C31/10^7,GG40/Leasing!GG12*Leasing!GH12),0)</f>
        <v>7.5599118760508108E-2</v>
      </c>
      <c r="GI40" s="33">
        <f>IFERROR(IF(AND(Leasing!GH12=0,GI12&gt;0),'Assumption Sheet'!$N31*'Assumption Sheet'!$C31/10^7,GH40/Leasing!GH12*Leasing!GI12),0)</f>
        <v>7.5599118760508108E-2</v>
      </c>
      <c r="GJ40" s="33">
        <f>IFERROR(IF(AND(Leasing!GI12=0,GJ12&gt;0),'Assumption Sheet'!$N31*'Assumption Sheet'!$C31/10^7,GI40/Leasing!GI12*Leasing!GJ12),0)</f>
        <v>7.5599118760508108E-2</v>
      </c>
      <c r="GK40" s="33">
        <f>IFERROR(IF(AND(Leasing!GJ12=0,GK12&gt;0),'Assumption Sheet'!$N31*'Assumption Sheet'!$C31/10^7,GJ40/Leasing!GJ12*Leasing!GK12),0)</f>
        <v>7.5599118760508108E-2</v>
      </c>
      <c r="GL40" s="33">
        <f>IFERROR(IF(AND(Leasing!GK12=0,GL12&gt;0),'Assumption Sheet'!$N31*'Assumption Sheet'!$C31/10^7,GK40/Leasing!GK12*Leasing!GL12),0)</f>
        <v>7.5599118760508108E-2</v>
      </c>
      <c r="GM40" s="33">
        <f>IFERROR(IF(AND(Leasing!GL12=0,GM12&gt;0),'Assumption Sheet'!$N31*'Assumption Sheet'!$C31/10^7,GL40/Leasing!GL12*Leasing!GM12),0)</f>
        <v>7.5599118760508108E-2</v>
      </c>
      <c r="GN40" s="33">
        <f>IFERROR(IF(AND(Leasing!GM12=0,GN12&gt;0),'Assumption Sheet'!$N31*'Assumption Sheet'!$C31/10^7,GM40/Leasing!GM12*Leasing!GN12),0)</f>
        <v>7.5599118760508108E-2</v>
      </c>
      <c r="GO40" s="33">
        <f>IFERROR(IF(AND(Leasing!GN12=0,GO12&gt;0),'Assumption Sheet'!$N31*'Assumption Sheet'!$C31/10^7,GN40/Leasing!GN12*Leasing!GO12),0)</f>
        <v>7.9379074698533517E-2</v>
      </c>
      <c r="GP40" s="33">
        <f>IFERROR(IF(AND(Leasing!GO12=0,GP12&gt;0),'Assumption Sheet'!$N31*'Assumption Sheet'!$C31/10^7,GO40/Leasing!GO12*Leasing!GP12),0)</f>
        <v>7.9379074698533517E-2</v>
      </c>
      <c r="GQ40" s="33">
        <f>IFERROR(IF(AND(Leasing!GP12=0,GQ12&gt;0),'Assumption Sheet'!$N31*'Assumption Sheet'!$C31/10^7,GP40/Leasing!GP12*Leasing!GQ12),0)</f>
        <v>7.9379074698533517E-2</v>
      </c>
      <c r="GR40" s="33">
        <f>IFERROR(IF(AND(Leasing!GQ12=0,GR12&gt;0),'Assumption Sheet'!$N31*'Assumption Sheet'!$C31/10^7,GQ40/Leasing!GQ12*Leasing!GR12),0)</f>
        <v>7.9379074698533517E-2</v>
      </c>
      <c r="GS40" s="33">
        <f>IFERROR(IF(AND(Leasing!GR12=0,GS12&gt;0),'Assumption Sheet'!$N31*'Assumption Sheet'!$C31/10^7,GR40/Leasing!GR12*Leasing!GS12),0)</f>
        <v>7.9379074698533517E-2</v>
      </c>
      <c r="GT40" s="33">
        <f>IFERROR(IF(AND(Leasing!GS12=0,GT12&gt;0),'Assumption Sheet'!$N31*'Assumption Sheet'!$C31/10^7,GS40/Leasing!GS12*Leasing!GT12),0)</f>
        <v>7.9379074698533517E-2</v>
      </c>
      <c r="GU40" s="33">
        <f>IFERROR(IF(AND(Leasing!GT12=0,GU12&gt;0),'Assumption Sheet'!$N31*'Assumption Sheet'!$C31/10^7,GT40/Leasing!GT12*Leasing!GU12),0)</f>
        <v>7.9379074698533517E-2</v>
      </c>
      <c r="GV40" s="33">
        <f>IFERROR(IF(AND(Leasing!GU12=0,GV12&gt;0),'Assumption Sheet'!$N31*'Assumption Sheet'!$C31/10^7,GU40/Leasing!GU12*Leasing!GV12),0)</f>
        <v>7.9379074698533517E-2</v>
      </c>
      <c r="GW40" s="33">
        <f>IFERROR(IF(AND(Leasing!GV12=0,GW12&gt;0),'Assumption Sheet'!$N31*'Assumption Sheet'!$C31/10^7,GV40/Leasing!GV12*Leasing!GW12),0)</f>
        <v>7.9379074698533517E-2</v>
      </c>
      <c r="GX40" s="33">
        <f>IFERROR(IF(AND(Leasing!GW12=0,GX12&gt;0),'Assumption Sheet'!$N31*'Assumption Sheet'!$C31/10^7,GW40/Leasing!GW12*Leasing!GX12),0)</f>
        <v>7.9379074698533517E-2</v>
      </c>
      <c r="GY40" s="33">
        <f>IFERROR(IF(AND(Leasing!GX12=0,GY12&gt;0),'Assumption Sheet'!$N31*'Assumption Sheet'!$C31/10^7,GX40/Leasing!GX12*Leasing!GY12),0)</f>
        <v>7.9379074698533517E-2</v>
      </c>
      <c r="GZ40" s="33">
        <f>IFERROR(IF(AND(Leasing!GY12=0,GZ12&gt;0),'Assumption Sheet'!$N31*'Assumption Sheet'!$C31/10^7,GY40/Leasing!GY12*Leasing!GZ12),0)</f>
        <v>7.9379074698533517E-2</v>
      </c>
      <c r="HA40" s="33">
        <f>IFERROR(IF(AND(Leasing!GZ12=0,HA12&gt;0),'Assumption Sheet'!$N31*'Assumption Sheet'!$C31/10^7,GZ40/Leasing!GZ12*Leasing!HA12),0)</f>
        <v>8.3348028433460189E-2</v>
      </c>
      <c r="HB40" s="33">
        <f>IFERROR(IF(AND(Leasing!HA12=0,HB12&gt;0),'Assumption Sheet'!$N31*'Assumption Sheet'!$C31/10^7,HA40/Leasing!HA12*Leasing!HB12),0)</f>
        <v>8.3348028433460189E-2</v>
      </c>
      <c r="HC40" s="33">
        <f>IFERROR(IF(AND(Leasing!HB12=0,HC12&gt;0),'Assumption Sheet'!$N31*'Assumption Sheet'!$C31/10^7,HB40/Leasing!HB12*Leasing!HC12),0)</f>
        <v>8.3348028433460189E-2</v>
      </c>
      <c r="HD40" s="33">
        <f>IFERROR(IF(AND(Leasing!HC12=0,HD12&gt;0),'Assumption Sheet'!$N31*'Assumption Sheet'!$C31/10^7,HC40/Leasing!HC12*Leasing!HD12),0)</f>
        <v>8.3348028433460189E-2</v>
      </c>
      <c r="HE40" s="33">
        <f>IFERROR(IF(AND(Leasing!HD12=0,HE12&gt;0),'Assumption Sheet'!$N31*'Assumption Sheet'!$C31/10^7,HD40/Leasing!HD12*Leasing!HE12),0)</f>
        <v>8.3348028433460189E-2</v>
      </c>
      <c r="HF40" s="33">
        <f>IFERROR(IF(AND(Leasing!HE12=0,HF12&gt;0),'Assumption Sheet'!$N31*'Assumption Sheet'!$C31/10^7,HE40/Leasing!HE12*Leasing!HF12),0)</f>
        <v>8.3348028433460189E-2</v>
      </c>
      <c r="HG40" s="33">
        <f>IFERROR(IF(AND(Leasing!HF12=0,HG12&gt;0),'Assumption Sheet'!$N31*'Assumption Sheet'!$C31/10^7,HF40/Leasing!HF12*Leasing!HG12),0)</f>
        <v>8.3348028433460189E-2</v>
      </c>
      <c r="HH40" s="33">
        <f>IFERROR(IF(AND(Leasing!HG12=0,HH12&gt;0),'Assumption Sheet'!$N31*'Assumption Sheet'!$C31/10^7,HG40/Leasing!HG12*Leasing!HH12),0)</f>
        <v>8.3348028433460189E-2</v>
      </c>
      <c r="HI40" s="33">
        <f>IFERROR(IF(AND(Leasing!HH12=0,HI12&gt;0),'Assumption Sheet'!$N31*'Assumption Sheet'!$C31/10^7,HH40/Leasing!HH12*Leasing!HI12),0)</f>
        <v>8.3348028433460189E-2</v>
      </c>
      <c r="HJ40" s="33">
        <f>IFERROR(IF(AND(Leasing!HI12=0,HJ12&gt;0),'Assumption Sheet'!$N31*'Assumption Sheet'!$C31/10^7,HI40/Leasing!HI12*Leasing!HJ12),0)</f>
        <v>8.3348028433460189E-2</v>
      </c>
      <c r="HK40" s="33">
        <f>IFERROR(IF(AND(Leasing!HJ12=0,HK12&gt;0),'Assumption Sheet'!$N31*'Assumption Sheet'!$C31/10^7,HJ40/Leasing!HJ12*Leasing!HK12),0)</f>
        <v>8.3348028433460189E-2</v>
      </c>
      <c r="HL40" s="33">
        <f>IFERROR(IF(AND(Leasing!HK12=0,HL12&gt;0),'Assumption Sheet'!$N31*'Assumption Sheet'!$C31/10^7,HK40/Leasing!HK12*Leasing!HL12),0)</f>
        <v>8.3348028433460189E-2</v>
      </c>
      <c r="HM40" s="33">
        <f>IFERROR(IF(AND(Leasing!HL12=0,HM12&gt;0),'Assumption Sheet'!$N31*'Assumption Sheet'!$C31/10^7,HL40/Leasing!HL12*Leasing!HM12),0)</f>
        <v>8.7515429855133192E-2</v>
      </c>
      <c r="HN40" s="33">
        <f>IFERROR(IF(AND(Leasing!HM12=0,HN12&gt;0),'Assumption Sheet'!$N31*'Assumption Sheet'!$C31/10^7,HM40/Leasing!HM12*Leasing!HN12),0)</f>
        <v>8.7515429855133192E-2</v>
      </c>
      <c r="HO40" s="33">
        <f>IFERROR(IF(AND(Leasing!HN12=0,HO12&gt;0),'Assumption Sheet'!$N31*'Assumption Sheet'!$C31/10^7,HN40/Leasing!HN12*Leasing!HO12),0)</f>
        <v>8.7515429855133192E-2</v>
      </c>
      <c r="HP40" s="33">
        <f>IFERROR(IF(AND(Leasing!HO12=0,HP12&gt;0),'Assumption Sheet'!$N31*'Assumption Sheet'!$C31/10^7,HO40/Leasing!HO12*Leasing!HP12),0)</f>
        <v>8.7515429855133192E-2</v>
      </c>
      <c r="HQ40" s="33">
        <f>IFERROR(IF(AND(Leasing!HP12=0,HQ12&gt;0),'Assumption Sheet'!$N31*'Assumption Sheet'!$C31/10^7,HP40/Leasing!HP12*Leasing!HQ12),0)</f>
        <v>8.7515429855133192E-2</v>
      </c>
      <c r="HR40" s="33">
        <f>IFERROR(IF(AND(Leasing!HQ12=0,HR12&gt;0),'Assumption Sheet'!$N31*'Assumption Sheet'!$C31/10^7,HQ40/Leasing!HQ12*Leasing!HR12),0)</f>
        <v>8.7515429855133192E-2</v>
      </c>
      <c r="HS40" s="33">
        <f>IFERROR(IF(AND(Leasing!HR12=0,HS12&gt;0),'Assumption Sheet'!$N31*'Assumption Sheet'!$C31/10^7,HR40/Leasing!HR12*Leasing!HS12),0)</f>
        <v>8.7515429855133192E-2</v>
      </c>
      <c r="HT40" s="33">
        <f>IFERROR(IF(AND(Leasing!HS12=0,HT12&gt;0),'Assumption Sheet'!$N31*'Assumption Sheet'!$C31/10^7,HS40/Leasing!HS12*Leasing!HT12),0)</f>
        <v>8.7515429855133192E-2</v>
      </c>
      <c r="HU40" s="33">
        <f>IFERROR(IF(AND(Leasing!HT12=0,HU12&gt;0),'Assumption Sheet'!$N31*'Assumption Sheet'!$C31/10^7,HT40/Leasing!HT12*Leasing!HU12),0)</f>
        <v>8.7515429855133192E-2</v>
      </c>
      <c r="HV40" s="33">
        <f>IFERROR(IF(AND(Leasing!HU12=0,HV12&gt;0),'Assumption Sheet'!$N31*'Assumption Sheet'!$C31/10^7,HU40/Leasing!HU12*Leasing!HV12),0)</f>
        <v>8.7515429855133192E-2</v>
      </c>
      <c r="HW40" s="33">
        <f>IFERROR(IF(AND(Leasing!HV12=0,HW12&gt;0),'Assumption Sheet'!$N31*'Assumption Sheet'!$C31/10^7,HV40/Leasing!HV12*Leasing!HW12),0)</f>
        <v>8.7515429855133192E-2</v>
      </c>
      <c r="HX40" s="33">
        <f>IFERROR(IF(AND(Leasing!HW12=0,HX12&gt;0),'Assumption Sheet'!$N31*'Assumption Sheet'!$C31/10^7,HW40/Leasing!HW12*Leasing!HX12),0)</f>
        <v>8.7515429855133192E-2</v>
      </c>
      <c r="HY40" s="33">
        <f>IFERROR(IF(AND(Leasing!HX12=0,HY12&gt;0),'Assumption Sheet'!$N31*'Assumption Sheet'!$C31/10^7,HX40/Leasing!HX12*Leasing!HY12),0)</f>
        <v>9.1891201347889861E-2</v>
      </c>
      <c r="HZ40" s="33">
        <f>IFERROR(IF(AND(Leasing!HY12=0,HZ12&gt;0),'Assumption Sheet'!$N31*'Assumption Sheet'!$C31/10^7,HY40/Leasing!HY12*Leasing!HZ12),0)</f>
        <v>9.1891201347889861E-2</v>
      </c>
      <c r="IA40" s="33">
        <f>IFERROR(IF(AND(Leasing!HZ12=0,IA12&gt;0),'Assumption Sheet'!$N31*'Assumption Sheet'!$C31/10^7,HZ40/Leasing!HZ12*Leasing!IA12),0)</f>
        <v>9.1891201347889861E-2</v>
      </c>
      <c r="IB40" s="33">
        <f>IFERROR(IF(AND(Leasing!IA12=0,IB12&gt;0),'Assumption Sheet'!$N31*'Assumption Sheet'!$C31/10^7,IA40/Leasing!IA12*Leasing!IB12),0)</f>
        <v>9.1891201347889861E-2</v>
      </c>
      <c r="IC40" s="33">
        <f>IFERROR(IF(AND(Leasing!IB12=0,IC12&gt;0),'Assumption Sheet'!$N31*'Assumption Sheet'!$C31/10^7,IB40/Leasing!IB12*Leasing!IC12),0)</f>
        <v>9.1891201347889861E-2</v>
      </c>
      <c r="ID40" s="33">
        <f>IFERROR(IF(AND(Leasing!IC12=0,ID12&gt;0),'Assumption Sheet'!$N31*'Assumption Sheet'!$C31/10^7,IC40/Leasing!IC12*Leasing!ID12),0)</f>
        <v>9.1891201347889861E-2</v>
      </c>
      <c r="IE40" s="33">
        <f>IFERROR(IF(AND(Leasing!ID12=0,IE12&gt;0),'Assumption Sheet'!$N31*'Assumption Sheet'!$C31/10^7,ID40/Leasing!ID12*Leasing!IE12),0)</f>
        <v>9.1891201347889861E-2</v>
      </c>
      <c r="IF40" s="33">
        <f>IFERROR(IF(AND(Leasing!IE12=0,IF12&gt;0),'Assumption Sheet'!$N31*'Assumption Sheet'!$C31/10^7,IE40/Leasing!IE12*Leasing!IF12),0)</f>
        <v>9.1891201347889861E-2</v>
      </c>
      <c r="IG40" s="33">
        <f>IFERROR(IF(AND(Leasing!IF12=0,IG12&gt;0),'Assumption Sheet'!$N31*'Assumption Sheet'!$C31/10^7,IF40/Leasing!IF12*Leasing!IG12),0)</f>
        <v>9.1891201347889861E-2</v>
      </c>
      <c r="IH40" s="33">
        <f>IFERROR(IF(AND(Leasing!IG12=0,IH12&gt;0),'Assumption Sheet'!$N31*'Assumption Sheet'!$C31/10^7,IG40/Leasing!IG12*Leasing!IH12),0)</f>
        <v>9.1891201347889861E-2</v>
      </c>
      <c r="II40" s="33">
        <f>IFERROR(IF(AND(Leasing!IH12=0,II12&gt;0),'Assumption Sheet'!$N31*'Assumption Sheet'!$C31/10^7,IH40/Leasing!IH12*Leasing!II12),0)</f>
        <v>9.1891201347889861E-2</v>
      </c>
      <c r="IJ40" s="33">
        <f>IFERROR(IF(AND(Leasing!II12=0,IJ12&gt;0),'Assumption Sheet'!$N31*'Assumption Sheet'!$C31/10^7,II40/Leasing!II12*Leasing!IJ12),0)</f>
        <v>9.1891201347889861E-2</v>
      </c>
      <c r="IK40" s="33">
        <f>IFERROR(IF(AND(Leasing!IJ12=0,IK12&gt;0),'Assumption Sheet'!$N31*'Assumption Sheet'!$C31/10^7,IJ40/Leasing!IJ12*Leasing!IK12),0)</f>
        <v>9.6485761415284366E-2</v>
      </c>
      <c r="IL40" s="33">
        <f>IFERROR(IF(AND(Leasing!IK12=0,IL12&gt;0),'Assumption Sheet'!$N31*'Assumption Sheet'!$C31/10^7,IK40/Leasing!IK12*Leasing!IL12),0)</f>
        <v>9.6485761415284366E-2</v>
      </c>
      <c r="IM40" s="33">
        <f>IFERROR(IF(AND(Leasing!IL12=0,IM12&gt;0),'Assumption Sheet'!$N31*'Assumption Sheet'!$C31/10^7,IL40/Leasing!IL12*Leasing!IM12),0)</f>
        <v>9.6485761415284366E-2</v>
      </c>
      <c r="IN40" s="33">
        <f>IFERROR(IF(AND(Leasing!IM12=0,IN12&gt;0),'Assumption Sheet'!$N31*'Assumption Sheet'!$C31/10^7,IM40/Leasing!IM12*Leasing!IN12),0)</f>
        <v>9.6485761415284366E-2</v>
      </c>
      <c r="IO40" s="33">
        <f>IFERROR(IF(AND(Leasing!IN12=0,IO12&gt;0),'Assumption Sheet'!$N31*'Assumption Sheet'!$C31/10^7,IN40/Leasing!IN12*Leasing!IO12),0)</f>
        <v>9.6485761415284366E-2</v>
      </c>
      <c r="IP40" s="33">
        <f>IFERROR(IF(AND(Leasing!IO12=0,IP12&gt;0),'Assumption Sheet'!$N31*'Assumption Sheet'!$C31/10^7,IO40/Leasing!IO12*Leasing!IP12),0)</f>
        <v>9.6485761415284366E-2</v>
      </c>
      <c r="IQ40" s="33">
        <f>IFERROR(IF(AND(Leasing!IP12=0,IQ12&gt;0),'Assumption Sheet'!$N31*'Assumption Sheet'!$C31/10^7,IP40/Leasing!IP12*Leasing!IQ12),0)</f>
        <v>9.6485761415284366E-2</v>
      </c>
      <c r="IR40" s="33">
        <f>IFERROR(IF(AND(Leasing!IQ12=0,IR12&gt;0),'Assumption Sheet'!$N31*'Assumption Sheet'!$C31/10^7,IQ40/Leasing!IQ12*Leasing!IR12),0)</f>
        <v>9.6485761415284366E-2</v>
      </c>
      <c r="IS40" s="33">
        <f>IFERROR(IF(AND(Leasing!IR12=0,IS12&gt;0),'Assumption Sheet'!$N31*'Assumption Sheet'!$C31/10^7,IR40/Leasing!IR12*Leasing!IS12),0)</f>
        <v>9.6485761415284366E-2</v>
      </c>
      <c r="IT40" s="33">
        <f>IFERROR(IF(AND(Leasing!IS12=0,IT12&gt;0),'Assumption Sheet'!$N31*'Assumption Sheet'!$C31/10^7,IS40/Leasing!IS12*Leasing!IT12),0)</f>
        <v>9.6485761415284366E-2</v>
      </c>
      <c r="IU40" s="33">
        <f>IFERROR(IF(AND(Leasing!IT12=0,IU12&gt;0),'Assumption Sheet'!$N31*'Assumption Sheet'!$C31/10^7,IT40/Leasing!IT12*Leasing!IU12),0)</f>
        <v>9.6485761415284366E-2</v>
      </c>
      <c r="IV40" s="33">
        <f>IFERROR(IF(AND(Leasing!IU12=0,IV12&gt;0),'Assumption Sheet'!$N31*'Assumption Sheet'!$C31/10^7,IU40/Leasing!IU12*Leasing!IV12),0)</f>
        <v>9.6485761415284366E-2</v>
      </c>
      <c r="IW40" s="33">
        <f>IFERROR(IF(AND(Leasing!IV12=0,IW12&gt;0),'Assumption Sheet'!$N31*'Assumption Sheet'!$C31/10^7,IV40/Leasing!IV12*Leasing!IW12),0)</f>
        <v>0.10131004948604859</v>
      </c>
      <c r="IX40" s="33">
        <f>IFERROR(IF(AND(Leasing!IW12=0,IX12&gt;0),'Assumption Sheet'!$N31*'Assumption Sheet'!$C31/10^7,IW40/Leasing!IW12*Leasing!IX12),0)</f>
        <v>0.10131004948604859</v>
      </c>
      <c r="IY40" s="33">
        <f>IFERROR(IF(AND(Leasing!IX12=0,IY12&gt;0),'Assumption Sheet'!$N31*'Assumption Sheet'!$C31/10^7,IX40/Leasing!IX12*Leasing!IY12),0)</f>
        <v>0.10131004948604859</v>
      </c>
      <c r="IZ40" s="33">
        <f>IFERROR(IF(AND(Leasing!IY12=0,IZ12&gt;0),'Assumption Sheet'!$N31*'Assumption Sheet'!$C31/10^7,IY40/Leasing!IY12*Leasing!IZ12),0)</f>
        <v>0.10131004948604859</v>
      </c>
      <c r="JA40" s="33">
        <f>IFERROR(IF(AND(Leasing!IZ12=0,JA12&gt;0),'Assumption Sheet'!$N31*'Assumption Sheet'!$C31/10^7,IZ40/Leasing!IZ12*Leasing!JA12),0)</f>
        <v>0.10131004948604859</v>
      </c>
      <c r="JB40" s="33">
        <f>IFERROR(IF(AND(Leasing!JA12=0,JB12&gt;0),'Assumption Sheet'!$N31*'Assumption Sheet'!$C31/10^7,JA40/Leasing!JA12*Leasing!JB12),0)</f>
        <v>0.10131004948604859</v>
      </c>
      <c r="JC40" s="33">
        <f>IFERROR(IF(AND(Leasing!JB12=0,JC12&gt;0),'Assumption Sheet'!$N31*'Assumption Sheet'!$C31/10^7,JB40/Leasing!JB12*Leasing!JC12),0)</f>
        <v>0.10131004948604859</v>
      </c>
      <c r="JD40" s="33">
        <f>IFERROR(IF(AND(Leasing!JC12=0,JD12&gt;0),'Assumption Sheet'!$N31*'Assumption Sheet'!$C31/10^7,JC40/Leasing!JC12*Leasing!JD12),0)</f>
        <v>0.10131004948604859</v>
      </c>
      <c r="JE40" s="33">
        <f>IFERROR(IF(AND(Leasing!JD12=0,JE12&gt;0),'Assumption Sheet'!$N31*'Assumption Sheet'!$C31/10^7,JD40/Leasing!JD12*Leasing!JE12),0)</f>
        <v>0.10131004948604859</v>
      </c>
      <c r="JF40" s="33">
        <f>IFERROR(IF(AND(Leasing!JE12=0,JF12&gt;0),'Assumption Sheet'!$N31*'Assumption Sheet'!$C31/10^7,JE40/Leasing!JE12*Leasing!JF12),0)</f>
        <v>0.10131004948604859</v>
      </c>
      <c r="JG40" s="33">
        <f>IFERROR(IF(AND(Leasing!JF12=0,JG12&gt;0),'Assumption Sheet'!$N31*'Assumption Sheet'!$C31/10^7,JF40/Leasing!JF12*Leasing!JG12),0)</f>
        <v>0.10131004948604859</v>
      </c>
      <c r="JH40" s="33">
        <f>IFERROR(IF(AND(Leasing!JG12=0,JH12&gt;0),'Assumption Sheet'!$N31*'Assumption Sheet'!$C31/10^7,JG40/Leasing!JG12*Leasing!JH12),0)</f>
        <v>0.10131004948604859</v>
      </c>
      <c r="JI40" s="33">
        <f>IFERROR(IF(AND(Leasing!JH12=0,JI12&gt;0),'Assumption Sheet'!$N31*'Assumption Sheet'!$C31/10^7,JH40/Leasing!JH12*Leasing!JI12),0)</f>
        <v>0.10637555196035102</v>
      </c>
      <c r="JJ40" s="33">
        <f>IFERROR(IF(AND(Leasing!JI12=0,JJ12&gt;0),'Assumption Sheet'!$N31*'Assumption Sheet'!$C31/10^7,JI40/Leasing!JI12*Leasing!JJ12),0)</f>
        <v>0.10637555196035102</v>
      </c>
      <c r="JK40" s="33">
        <f>IFERROR(IF(AND(Leasing!JJ12=0,JK12&gt;0),'Assumption Sheet'!$N31*'Assumption Sheet'!$C31/10^7,JJ40/Leasing!JJ12*Leasing!JK12),0)</f>
        <v>0.10637555196035102</v>
      </c>
      <c r="JL40" s="33">
        <f>IFERROR(IF(AND(Leasing!JK12=0,JL12&gt;0),'Assumption Sheet'!$N31*'Assumption Sheet'!$C31/10^7,JK40/Leasing!JK12*Leasing!JL12),0)</f>
        <v>0.10637555196035102</v>
      </c>
      <c r="JM40" s="33">
        <f>IFERROR(IF(AND(Leasing!JL12=0,JM12&gt;0),'Assumption Sheet'!$N31*'Assumption Sheet'!$C31/10^7,JL40/Leasing!JL12*Leasing!JM12),0)</f>
        <v>0.10637555196035102</v>
      </c>
      <c r="JN40" s="33">
        <f>IFERROR(IF(AND(Leasing!JM12=0,JN12&gt;0),'Assumption Sheet'!$N31*'Assumption Sheet'!$C31/10^7,JM40/Leasing!JM12*Leasing!JN12),0)</f>
        <v>0.10637555196035102</v>
      </c>
      <c r="JO40" s="33">
        <f>IFERROR(IF(AND(Leasing!JN12=0,JO12&gt;0),'Assumption Sheet'!$N31*'Assumption Sheet'!$C31/10^7,JN40/Leasing!JN12*Leasing!JO12),0)</f>
        <v>0.10637555196035102</v>
      </c>
      <c r="JP40" s="33">
        <f>IFERROR(IF(AND(Leasing!JO12=0,JP12&gt;0),'Assumption Sheet'!$N31*'Assumption Sheet'!$C31/10^7,JO40/Leasing!JO12*Leasing!JP12),0)</f>
        <v>0.10637555196035102</v>
      </c>
      <c r="JQ40" s="33">
        <f>IFERROR(IF(AND(Leasing!JP12=0,JQ12&gt;0),'Assumption Sheet'!$N31*'Assumption Sheet'!$C31/10^7,JP40/Leasing!JP12*Leasing!JQ12),0)</f>
        <v>0.10637555196035102</v>
      </c>
      <c r="JR40" s="33">
        <f>IFERROR(IF(AND(Leasing!JQ12=0,JR12&gt;0),'Assumption Sheet'!$N31*'Assumption Sheet'!$C31/10^7,JQ40/Leasing!JQ12*Leasing!JR12),0)</f>
        <v>0.10637555196035102</v>
      </c>
      <c r="JS40" s="33">
        <f>IFERROR(IF(AND(Leasing!JR12=0,JS12&gt;0),'Assumption Sheet'!$N31*'Assumption Sheet'!$C31/10^7,JR40/Leasing!JR12*Leasing!JS12),0)</f>
        <v>0.10637555196035102</v>
      </c>
      <c r="JT40" s="33">
        <f>IFERROR(IF(AND(Leasing!JS12=0,JT12&gt;0),'Assumption Sheet'!$N31*'Assumption Sheet'!$C31/10^7,JS40/Leasing!JS12*Leasing!JT12),0)</f>
        <v>0.10637555196035102</v>
      </c>
      <c r="JU40" s="33">
        <f>IFERROR(IF(AND(Leasing!JT12=0,JU12&gt;0),'Assumption Sheet'!$N31*'Assumption Sheet'!$C31/10^7,JT40/Leasing!JT12*Leasing!JU12),0)</f>
        <v>0.11169432955836858</v>
      </c>
      <c r="JV40" s="33">
        <f>IFERROR(IF(AND(Leasing!JU12=0,JV12&gt;0),'Assumption Sheet'!$N31*'Assumption Sheet'!$C31/10^7,JU40/Leasing!JU12*Leasing!JV12),0)</f>
        <v>0.11169432955836858</v>
      </c>
      <c r="JW40" s="33">
        <f>IFERROR(IF(AND(Leasing!JV12=0,JW12&gt;0),'Assumption Sheet'!$N31*'Assumption Sheet'!$C31/10^7,JV40/Leasing!JV12*Leasing!JW12),0)</f>
        <v>0.11169432955836858</v>
      </c>
      <c r="JX40" s="33">
        <f>IFERROR(IF(AND(Leasing!JW12=0,JX12&gt;0),'Assumption Sheet'!$N31*'Assumption Sheet'!$C31/10^7,JW40/Leasing!JW12*Leasing!JX12),0)</f>
        <v>0.11169432955836858</v>
      </c>
      <c r="JY40" s="33">
        <f>IFERROR(IF(AND(Leasing!JX12=0,JY12&gt;0),'Assumption Sheet'!$N31*'Assumption Sheet'!$C31/10^7,JX40/Leasing!JX12*Leasing!JY12),0)</f>
        <v>0.11169432955836858</v>
      </c>
      <c r="JZ40" s="33">
        <f>IFERROR(IF(AND(Leasing!JY12=0,JZ12&gt;0),'Assumption Sheet'!$N31*'Assumption Sheet'!$C31/10^7,JY40/Leasing!JY12*Leasing!JZ12),0)</f>
        <v>0.11169432955836858</v>
      </c>
      <c r="KA40" s="33">
        <f>IFERROR(IF(AND(Leasing!JZ12=0,KA12&gt;0),'Assumption Sheet'!$N31*'Assumption Sheet'!$C31/10^7,JZ40/Leasing!JZ12*Leasing!KA12),0)</f>
        <v>0.11169432955836858</v>
      </c>
      <c r="KB40" s="33">
        <f>IFERROR(IF(AND(Leasing!KA12=0,KB12&gt;0),'Assumption Sheet'!$N31*'Assumption Sheet'!$C31/10^7,KA40/Leasing!KA12*Leasing!KB12),0)</f>
        <v>0.11169432955836858</v>
      </c>
      <c r="KC40" s="33">
        <f>IFERROR(IF(AND(Leasing!KB12=0,KC12&gt;0),'Assumption Sheet'!$N31*'Assumption Sheet'!$C31/10^7,KB40/Leasing!KB12*Leasing!KC12),0)</f>
        <v>0.11169432955836858</v>
      </c>
      <c r="KD40" s="33">
        <f>SUM(E40:KC40)</f>
        <v>17.203590697044543</v>
      </c>
      <c r="KE40" s="33"/>
      <c r="KF40" s="33"/>
      <c r="KG40" s="33"/>
      <c r="KH40" s="33"/>
      <c r="KI40" s="33"/>
      <c r="KJ40" s="33"/>
      <c r="KK40" s="33"/>
      <c r="KL40" s="33"/>
      <c r="KM40" s="33"/>
      <c r="KN40" s="33"/>
      <c r="KO40" s="33"/>
    </row>
    <row r="41" spans="1:301" x14ac:dyDescent="0.3">
      <c r="A41" s="52">
        <f>SUM(E41:IS41)</f>
        <v>2.6144393550689475</v>
      </c>
      <c r="B41" s="1" t="str">
        <f>B32</f>
        <v>Phase 5</v>
      </c>
      <c r="C41" s="54">
        <f t="shared" si="142"/>
        <v>3.374929788187556</v>
      </c>
      <c r="D41" s="54"/>
      <c r="E41" s="33">
        <f>IFERROR(IF(AND(Leasing!D13=0,E13&gt;0),'Assumption Sheet'!$N32*'Assumption Sheet'!$C32/10^7,D41/Leasing!D13*Leasing!E13),0)</f>
        <v>0</v>
      </c>
      <c r="F41" s="33">
        <f>IFERROR(IF(AND(Leasing!E13=0,F13&gt;0),'Assumption Sheet'!$N32*'Assumption Sheet'!$C32/10^7,E41/Leasing!E13*Leasing!F13),0)</f>
        <v>0</v>
      </c>
      <c r="G41" s="33">
        <f>IFERROR(IF(AND(Leasing!F13=0,G13&gt;0),'Assumption Sheet'!$N32*'Assumption Sheet'!$C32/10^7,F41/Leasing!F13*Leasing!G13),0)</f>
        <v>0</v>
      </c>
      <c r="H41" s="33">
        <f>IFERROR(IF(AND(Leasing!G13=0,H13&gt;0),'Assumption Sheet'!$N32*'Assumption Sheet'!$C32/10^7,G41/Leasing!G13*Leasing!H13),0)</f>
        <v>0</v>
      </c>
      <c r="I41" s="33">
        <f>IFERROR(IF(AND(Leasing!H13=0,I13&gt;0),'Assumption Sheet'!$N32*'Assumption Sheet'!$C32/10^7,H41/Leasing!H13*Leasing!I13),0)</f>
        <v>0</v>
      </c>
      <c r="J41" s="33">
        <f>IFERROR(IF(AND(Leasing!I13=0,J13&gt;0),'Assumption Sheet'!$N32*'Assumption Sheet'!$C32/10^7,I41/Leasing!I13*Leasing!J13),0)</f>
        <v>0</v>
      </c>
      <c r="K41" s="33">
        <f>IFERROR(IF(AND(Leasing!J13=0,K13&gt;0),'Assumption Sheet'!$N32*'Assumption Sheet'!$C32/10^7,J41/Leasing!J13*Leasing!K13),0)</f>
        <v>0</v>
      </c>
      <c r="L41" s="33">
        <f>IFERROR(IF(AND(Leasing!K13=0,L13&gt;0),'Assumption Sheet'!$N32*'Assumption Sheet'!$C32/10^7,K41/Leasing!K13*Leasing!L13),0)</f>
        <v>0</v>
      </c>
      <c r="M41" s="33">
        <f>IFERROR(IF(AND(Leasing!L13=0,M13&gt;0),'Assumption Sheet'!$N32*'Assumption Sheet'!$C32/10^7,L41/Leasing!L13*Leasing!M13),0)</f>
        <v>0</v>
      </c>
      <c r="N41" s="33">
        <f>IFERROR(IF(AND(Leasing!M13=0,N13&gt;0),'Assumption Sheet'!$N32*'Assumption Sheet'!$C32/10^7,M41/Leasing!M13*Leasing!N13),0)</f>
        <v>0</v>
      </c>
      <c r="O41" s="33">
        <f>IFERROR(IF(AND(Leasing!N13=0,O13&gt;0),'Assumption Sheet'!$N32*'Assumption Sheet'!$C32/10^7,N41/Leasing!N13*Leasing!O13),0)</f>
        <v>0</v>
      </c>
      <c r="P41" s="33">
        <f>IFERROR(IF(AND(Leasing!O13=0,P13&gt;0),'Assumption Sheet'!$N32*'Assumption Sheet'!$C32/10^7,O41/Leasing!O13*Leasing!P13),0)</f>
        <v>0</v>
      </c>
      <c r="Q41" s="33">
        <f>IFERROR(IF(AND(Leasing!P13=0,Q13&gt;0),'Assumption Sheet'!$N32*'Assumption Sheet'!$C32/10^7,P41/Leasing!P13*Leasing!Q13),0)</f>
        <v>0</v>
      </c>
      <c r="R41" s="33">
        <f>IFERROR(IF(AND(Leasing!Q13=0,R13&gt;0),'Assumption Sheet'!$N32*'Assumption Sheet'!$C32/10^7,Q41/Leasing!Q13*Leasing!R13),0)</f>
        <v>0</v>
      </c>
      <c r="S41" s="33">
        <f>IFERROR(IF(AND(Leasing!R13=0,S13&gt;0),'Assumption Sheet'!$N32*'Assumption Sheet'!$C32/10^7,R41/Leasing!R13*Leasing!S13),0)</f>
        <v>0</v>
      </c>
      <c r="T41" s="33">
        <f>IFERROR(IF(AND(Leasing!S13=0,T13&gt;0),'Assumption Sheet'!$N32*'Assumption Sheet'!$C32/10^7,S41/Leasing!S13*Leasing!T13),0)</f>
        <v>0</v>
      </c>
      <c r="U41" s="33">
        <f>IFERROR(IF(AND(Leasing!T13=0,U13&gt;0),'Assumption Sheet'!$N32*'Assumption Sheet'!$C32/10^7,T41/Leasing!T13*Leasing!U13),0)</f>
        <v>0</v>
      </c>
      <c r="V41" s="33">
        <f>IFERROR(IF(AND(Leasing!U13=0,V13&gt;0),'Assumption Sheet'!$N32*'Assumption Sheet'!$C32/10^7,U41/Leasing!U13*Leasing!V13),0)</f>
        <v>0</v>
      </c>
      <c r="W41" s="33">
        <f>IFERROR(IF(AND(Leasing!V13=0,W13&gt;0),'Assumption Sheet'!$N32*'Assumption Sheet'!$C32/10^7,V41/Leasing!V13*Leasing!W13),0)</f>
        <v>0</v>
      </c>
      <c r="X41" s="33">
        <f>IFERROR(IF(AND(Leasing!W13=0,X13&gt;0),'Assumption Sheet'!$N32*'Assumption Sheet'!$C32/10^7,W41/Leasing!W13*Leasing!X13),0)</f>
        <v>0</v>
      </c>
      <c r="Y41" s="33">
        <f>IFERROR(IF(AND(Leasing!X13=0,Y13&gt;0),'Assumption Sheet'!$N32*'Assumption Sheet'!$C32/10^7,X41/Leasing!X13*Leasing!Y13),0)</f>
        <v>0</v>
      </c>
      <c r="Z41" s="33">
        <f>IFERROR(IF(AND(Leasing!Y13=0,Z13&gt;0),'Assumption Sheet'!$N32*'Assumption Sheet'!$C32/10^7,Y41/Leasing!Y13*Leasing!Z13),0)</f>
        <v>0</v>
      </c>
      <c r="AA41" s="33">
        <f>IFERROR(IF(AND(Leasing!Z13=0,AA13&gt;0),'Assumption Sheet'!$N32*'Assumption Sheet'!$C32/10^7,Z41/Leasing!Z13*Leasing!AA13),0)</f>
        <v>0</v>
      </c>
      <c r="AB41" s="33">
        <f>IFERROR(IF(AND(Leasing!AA13=0,AB13&gt;0),'Assumption Sheet'!$N32*'Assumption Sheet'!$C32/10^7,AA41/Leasing!AA13*Leasing!AB13),0)</f>
        <v>0</v>
      </c>
      <c r="AC41" s="33">
        <f>IFERROR(IF(AND(Leasing!AB13=0,AC13&gt;0),'Assumption Sheet'!$N32*'Assumption Sheet'!$C32/10^7,AB41/Leasing!AB13*Leasing!AC13),0)</f>
        <v>0</v>
      </c>
      <c r="AD41" s="33">
        <f>IFERROR(IF(AND(Leasing!AC13=0,AD13&gt;0),'Assumption Sheet'!$N32*'Assumption Sheet'!$C32/10^7,AC41/Leasing!AC13*Leasing!AD13),0)</f>
        <v>0</v>
      </c>
      <c r="AE41" s="33">
        <f>IFERROR(IF(AND(Leasing!AD13=0,AE13&gt;0),'Assumption Sheet'!$N32*'Assumption Sheet'!$C32/10^7,AD41/Leasing!AD13*Leasing!AE13),0)</f>
        <v>0</v>
      </c>
      <c r="AF41" s="33">
        <f>IFERROR(IF(AND(Leasing!AE13=0,AF13&gt;0),'Assumption Sheet'!$N32*'Assumption Sheet'!$C32/10^7,AE41/Leasing!AE13*Leasing!AF13),0)</f>
        <v>0</v>
      </c>
      <c r="AG41" s="33">
        <f>IFERROR(IF(AND(Leasing!AF13=0,AG13&gt;0),'Assumption Sheet'!$N32*'Assumption Sheet'!$C32/10^7,AF41/Leasing!AF13*Leasing!AG13),0)</f>
        <v>0</v>
      </c>
      <c r="AH41" s="33">
        <f>IFERROR(IF(AND(Leasing!AG13=0,AH13&gt;0),'Assumption Sheet'!$N32*'Assumption Sheet'!$C32/10^7,AG41/Leasing!AG13*Leasing!AH13),0)</f>
        <v>0</v>
      </c>
      <c r="AI41" s="33">
        <f>IFERROR(IF(AND(Leasing!AH13=0,AI13&gt;0),'Assumption Sheet'!$N32*'Assumption Sheet'!$C32/10^7,AH41/Leasing!AH13*Leasing!AI13),0)</f>
        <v>0</v>
      </c>
      <c r="AJ41" s="33">
        <f>IFERROR(IF(AND(Leasing!AI13=0,AJ13&gt;0),'Assumption Sheet'!$N32*'Assumption Sheet'!$C32/10^7,AI41/Leasing!AI13*Leasing!AJ13),0)</f>
        <v>0</v>
      </c>
      <c r="AK41" s="33">
        <f>IFERROR(IF(AND(Leasing!AJ13=0,AK13&gt;0),'Assumption Sheet'!$N32*'Assumption Sheet'!$C32/10^7,AJ41/Leasing!AJ13*Leasing!AK13),0)</f>
        <v>0</v>
      </c>
      <c r="AL41" s="33">
        <f>IFERROR(IF(AND(Leasing!AK13=0,AL13&gt;0),'Assumption Sheet'!$N32*'Assumption Sheet'!$C32/10^7,AK41/Leasing!AK13*Leasing!AL13),0)</f>
        <v>0</v>
      </c>
      <c r="AM41" s="33">
        <f>IFERROR(IF(AND(Leasing!AL13=0,AM13&gt;0),'Assumption Sheet'!$N32*'Assumption Sheet'!$C32/10^7,AL41/Leasing!AL13*Leasing!AM13),0)</f>
        <v>0</v>
      </c>
      <c r="AN41" s="33">
        <f>IFERROR(IF(AND(Leasing!AM13=0,AN13&gt;0),'Assumption Sheet'!$N32*'Assumption Sheet'!$C32/10^7,AM41/Leasing!AM13*Leasing!AN13),0)</f>
        <v>0</v>
      </c>
      <c r="AO41" s="33">
        <f>IFERROR(IF(AND(Leasing!AN13=0,AO13&gt;0),'Assumption Sheet'!$N32*'Assumption Sheet'!$C32/10^7,AN41/Leasing!AN13*Leasing!AO13),0)</f>
        <v>0</v>
      </c>
      <c r="AP41" s="33">
        <f>IFERROR(IF(AND(Leasing!AO13=0,AP13&gt;0),'Assumption Sheet'!$N32*'Assumption Sheet'!$C32/10^7,AO41/Leasing!AO13*Leasing!AP13),0)</f>
        <v>0</v>
      </c>
      <c r="AQ41" s="33">
        <f>IFERROR(IF(AND(Leasing!AP13=0,AQ13&gt;0),'Assumption Sheet'!$N32*'Assumption Sheet'!$C32/10^7,AP41/Leasing!AP13*Leasing!AQ13),0)</f>
        <v>0</v>
      </c>
      <c r="AR41" s="33">
        <f>IFERROR(IF(AND(Leasing!AQ13=0,AR13&gt;0),'Assumption Sheet'!$N32*'Assumption Sheet'!$C32/10^7,AQ41/Leasing!AQ13*Leasing!AR13),0)</f>
        <v>0</v>
      </c>
      <c r="AS41" s="33">
        <f>IFERROR(IF(AND(Leasing!AR13=0,AS13&gt;0),'Assumption Sheet'!$N32*'Assumption Sheet'!$C32/10^7,AR41/Leasing!AR13*Leasing!AS13),0)</f>
        <v>0</v>
      </c>
      <c r="AT41" s="33">
        <f>IFERROR(IF(AND(Leasing!AS13=0,AT13&gt;0),'Assumption Sheet'!$N32*'Assumption Sheet'!$C32/10^7,AS41/Leasing!AS13*Leasing!AT13),0)</f>
        <v>0</v>
      </c>
      <c r="AU41" s="33">
        <f>IFERROR(IF(AND(Leasing!AT13=0,AU13&gt;0),'Assumption Sheet'!$N32*'Assumption Sheet'!$C32/10^7,AT41/Leasing!AT13*Leasing!AU13),0)</f>
        <v>0</v>
      </c>
      <c r="AV41" s="33">
        <f>IFERROR(IF(AND(Leasing!AU13=0,AV13&gt;0),'Assumption Sheet'!$N32*'Assumption Sheet'!$C32/10^7,AU41/Leasing!AU13*Leasing!AV13),0)</f>
        <v>0</v>
      </c>
      <c r="AW41" s="33">
        <f>IFERROR(IF(AND(Leasing!AV13=0,AW13&gt;0),'Assumption Sheet'!$N32*'Assumption Sheet'!$C32/10^7,AV41/Leasing!AV13*Leasing!AW13),0)</f>
        <v>0</v>
      </c>
      <c r="AX41" s="33">
        <f>IFERROR(IF(AND(Leasing!AW13=0,AX13&gt;0),'Assumption Sheet'!$N32*'Assumption Sheet'!$C32/10^7,AW41/Leasing!AW13*Leasing!AX13),0)</f>
        <v>0</v>
      </c>
      <c r="AY41" s="33">
        <f>IFERROR(IF(AND(Leasing!AX13=0,AY13&gt;0),'Assumption Sheet'!$N32*'Assumption Sheet'!$C32/10^7,AX41/Leasing!AX13*Leasing!AY13),0)</f>
        <v>0</v>
      </c>
      <c r="AZ41" s="33">
        <f>IFERROR(IF(AND(Leasing!AY13=0,AZ13&gt;0),'Assumption Sheet'!$N32*'Assumption Sheet'!$C32/10^7,AY41/Leasing!AY13*Leasing!AZ13),0)</f>
        <v>0</v>
      </c>
      <c r="BA41" s="33">
        <f>IFERROR(IF(AND(Leasing!AZ13=0,BA13&gt;0),'Assumption Sheet'!$N32*'Assumption Sheet'!$C32/10^7,AZ41/Leasing!AZ13*Leasing!BA13),0)</f>
        <v>0</v>
      </c>
      <c r="BB41" s="33">
        <f>IFERROR(IF(AND(Leasing!BA13=0,BB13&gt;0),'Assumption Sheet'!$N32*'Assumption Sheet'!$C32/10^7,BA41/Leasing!BA13*Leasing!BB13),0)</f>
        <v>0</v>
      </c>
      <c r="BC41" s="33">
        <f>IFERROR(IF(AND(Leasing!BB13=0,BC13&gt;0),'Assumption Sheet'!$N32*'Assumption Sheet'!$C32/10^7,BB41/Leasing!BB13*Leasing!BC13),0)</f>
        <v>0</v>
      </c>
      <c r="BD41" s="33">
        <f>IFERROR(IF(AND(Leasing!BC13=0,BD13&gt;0),'Assumption Sheet'!$N32*'Assumption Sheet'!$C32/10^7,BC41/Leasing!BC13*Leasing!BD13),0)</f>
        <v>0</v>
      </c>
      <c r="BE41" s="33">
        <f>IFERROR(IF(AND(Leasing!BD13=0,BE13&gt;0),'Assumption Sheet'!$N32*'Assumption Sheet'!$C32/10^7,BD41/Leasing!BD13*Leasing!BE13),0)</f>
        <v>0</v>
      </c>
      <c r="BF41" s="33">
        <f>IFERROR(IF(AND(Leasing!BE13=0,BF13&gt;0),'Assumption Sheet'!$N32*'Assumption Sheet'!$C32/10^7,BE41/Leasing!BE13*Leasing!BF13),0)</f>
        <v>0</v>
      </c>
      <c r="BG41" s="33">
        <f>IFERROR(IF(AND(Leasing!BF13=0,BG13&gt;0),'Assumption Sheet'!$N32*'Assumption Sheet'!$C32/10^7,BF41/Leasing!BF13*Leasing!BG13),0)</f>
        <v>0</v>
      </c>
      <c r="BH41" s="33">
        <f>IFERROR(IF(AND(Leasing!BG13=0,BH13&gt;0),'Assumption Sheet'!$N32*'Assumption Sheet'!$C32/10^7,BG41/Leasing!BG13*Leasing!BH13),0)</f>
        <v>0</v>
      </c>
      <c r="BI41" s="33">
        <f>IFERROR(IF(AND(Leasing!BH13=0,BI13&gt;0),'Assumption Sheet'!$N32*'Assumption Sheet'!$C32/10^7,BH41/Leasing!BH13*Leasing!BI13),0)</f>
        <v>0</v>
      </c>
      <c r="BJ41" s="33">
        <f>IFERROR(IF(AND(Leasing!BI13=0,BJ13&gt;0),'Assumption Sheet'!$N32*'Assumption Sheet'!$C32/10^7,BI41/Leasing!BI13*Leasing!BJ13),0)</f>
        <v>9.209342579325E-3</v>
      </c>
      <c r="BK41" s="33">
        <f>IFERROR(IF(AND(Leasing!BJ13=0,BK13&gt;0),'Assumption Sheet'!$N32*'Assumption Sheet'!$C32/10^7,BJ41/Leasing!BJ13*Leasing!BK13),0)</f>
        <v>9.209342579325E-3</v>
      </c>
      <c r="BL41" s="33">
        <f>IFERROR(IF(AND(Leasing!BK13=0,BL13&gt;0),'Assumption Sheet'!$N32*'Assumption Sheet'!$C32/10^7,BK41/Leasing!BK13*Leasing!BL13),0)</f>
        <v>9.209342579325E-3</v>
      </c>
      <c r="BM41" s="33">
        <f>IFERROR(IF(AND(Leasing!BL13=0,BM13&gt;0),'Assumption Sheet'!$N32*'Assumption Sheet'!$C32/10^7,BL41/Leasing!BL13*Leasing!BM13),0)</f>
        <v>9.209342579325E-3</v>
      </c>
      <c r="BN41" s="33">
        <f>IFERROR(IF(AND(Leasing!BM13=0,BN13&gt;0),'Assumption Sheet'!$N32*'Assumption Sheet'!$C32/10^7,BM41/Leasing!BM13*Leasing!BN13),0)</f>
        <v>9.209342579325E-3</v>
      </c>
      <c r="BO41" s="33">
        <f>IFERROR(IF(AND(Leasing!BN13=0,BO13&gt;0),'Assumption Sheet'!$N32*'Assumption Sheet'!$C32/10^7,BN41/Leasing!BN13*Leasing!BO13),0)</f>
        <v>9.209342579325E-3</v>
      </c>
      <c r="BP41" s="33">
        <f>IFERROR(IF(AND(Leasing!BO13=0,BP13&gt;0),'Assumption Sheet'!$N32*'Assumption Sheet'!$C32/10^7,BO41/Leasing!BO13*Leasing!BP13),0)</f>
        <v>9.209342579325E-3</v>
      </c>
      <c r="BQ41" s="33">
        <f>IFERROR(IF(AND(Leasing!BP13=0,BQ13&gt;0),'Assumption Sheet'!$N32*'Assumption Sheet'!$C32/10^7,BP41/Leasing!BP13*Leasing!BQ13),0)</f>
        <v>9.209342579325E-3</v>
      </c>
      <c r="BR41" s="33">
        <f>IFERROR(IF(AND(Leasing!BQ13=0,BR13&gt;0),'Assumption Sheet'!$N32*'Assumption Sheet'!$C32/10^7,BQ41/Leasing!BQ13*Leasing!BR13),0)</f>
        <v>9.209342579325E-3</v>
      </c>
      <c r="BS41" s="33">
        <f>IFERROR(IF(AND(Leasing!BR13=0,BS13&gt;0),'Assumption Sheet'!$N32*'Assumption Sheet'!$C32/10^7,BR41/Leasing!BR13*Leasing!BS13),0)</f>
        <v>9.209342579325E-3</v>
      </c>
      <c r="BT41" s="33">
        <f>IFERROR(IF(AND(Leasing!BS13=0,BT13&gt;0),'Assumption Sheet'!$N32*'Assumption Sheet'!$C32/10^7,BS41/Leasing!BS13*Leasing!BT13),0)</f>
        <v>9.209342579325E-3</v>
      </c>
      <c r="BU41" s="33">
        <f>IFERROR(IF(AND(Leasing!BT13=0,BU13&gt;0),'Assumption Sheet'!$N32*'Assumption Sheet'!$C32/10^7,BT41/Leasing!BT13*Leasing!BU13),0)</f>
        <v>9.209342579325E-3</v>
      </c>
      <c r="BV41" s="33">
        <f>IFERROR(IF(AND(Leasing!BU13=0,BV13&gt;0),'Assumption Sheet'!$N32*'Assumption Sheet'!$C32/10^7,BU41/Leasing!BU13*Leasing!BV13),0)</f>
        <v>9.6698097082912517E-3</v>
      </c>
      <c r="BW41" s="33">
        <f>IFERROR(IF(AND(Leasing!BV13=0,BW13&gt;0),'Assumption Sheet'!$N32*'Assumption Sheet'!$C32/10^7,BV41/Leasing!BV13*Leasing!BW13),0)</f>
        <v>9.6698097082912517E-3</v>
      </c>
      <c r="BX41" s="33">
        <f>IFERROR(IF(AND(Leasing!BW13=0,BX13&gt;0),'Assumption Sheet'!$N32*'Assumption Sheet'!$C32/10^7,BW41/Leasing!BW13*Leasing!BX13),0)</f>
        <v>9.6698097082912517E-3</v>
      </c>
      <c r="BY41" s="33">
        <f>IFERROR(IF(AND(Leasing!BX13=0,BY13&gt;0),'Assumption Sheet'!$N32*'Assumption Sheet'!$C32/10^7,BX41/Leasing!BX13*Leasing!BY13),0)</f>
        <v>9.6698097082912517E-3</v>
      </c>
      <c r="BZ41" s="33">
        <f>IFERROR(IF(AND(Leasing!BY13=0,BZ13&gt;0),'Assumption Sheet'!$N32*'Assumption Sheet'!$C32/10^7,BY41/Leasing!BY13*Leasing!BZ13),0)</f>
        <v>9.6698097082912517E-3</v>
      </c>
      <c r="CA41" s="33">
        <f>IFERROR(IF(AND(Leasing!BZ13=0,CA13&gt;0),'Assumption Sheet'!$N32*'Assumption Sheet'!$C32/10^7,BZ41/Leasing!BZ13*Leasing!CA13),0)</f>
        <v>9.6698097082912517E-3</v>
      </c>
      <c r="CB41" s="33">
        <f>IFERROR(IF(AND(Leasing!CA13=0,CB13&gt;0),'Assumption Sheet'!$N32*'Assumption Sheet'!$C32/10^7,CA41/Leasing!CA13*Leasing!CB13),0)</f>
        <v>9.6698097082912517E-3</v>
      </c>
      <c r="CC41" s="33">
        <f>IFERROR(IF(AND(Leasing!CB13=0,CC13&gt;0),'Assumption Sheet'!$N32*'Assumption Sheet'!$C32/10^7,CB41/Leasing!CB13*Leasing!CC13),0)</f>
        <v>9.6698097082912517E-3</v>
      </c>
      <c r="CD41" s="33">
        <f>IFERROR(IF(AND(Leasing!CC13=0,CD13&gt;0),'Assumption Sheet'!$N32*'Assumption Sheet'!$C32/10^7,CC41/Leasing!CC13*Leasing!CD13),0)</f>
        <v>9.6698097082912517E-3</v>
      </c>
      <c r="CE41" s="33">
        <f>IFERROR(IF(AND(Leasing!CD13=0,CE13&gt;0),'Assumption Sheet'!$N32*'Assumption Sheet'!$C32/10^7,CD41/Leasing!CD13*Leasing!CE13),0)</f>
        <v>9.6698097082912517E-3</v>
      </c>
      <c r="CF41" s="33">
        <f>IFERROR(IF(AND(Leasing!CE13=0,CF13&gt;0),'Assumption Sheet'!$N32*'Assumption Sheet'!$C32/10^7,CE41/Leasing!CE13*Leasing!CF13),0)</f>
        <v>9.6698097082912517E-3</v>
      </c>
      <c r="CG41" s="33">
        <f>IFERROR(IF(AND(Leasing!CF13=0,CG13&gt;0),'Assumption Sheet'!$N32*'Assumption Sheet'!$C32/10^7,CF41/Leasing!CF13*Leasing!CG13),0)</f>
        <v>9.6698097082912517E-3</v>
      </c>
      <c r="CH41" s="33">
        <f>IFERROR(IF(AND(Leasing!CG13=0,CH13&gt;0),'Assumption Sheet'!$N32*'Assumption Sheet'!$C32/10^7,CG41/Leasing!CG13*Leasing!CH13),0)</f>
        <v>1.0153300193705814E-2</v>
      </c>
      <c r="CI41" s="33">
        <f>IFERROR(IF(AND(Leasing!CH13=0,CI13&gt;0),'Assumption Sheet'!$N32*'Assumption Sheet'!$C32/10^7,CH41/Leasing!CH13*Leasing!CI13),0)</f>
        <v>1.0153300193705814E-2</v>
      </c>
      <c r="CJ41" s="33">
        <f>IFERROR(IF(AND(Leasing!CI13=0,CJ13&gt;0),'Assumption Sheet'!$N32*'Assumption Sheet'!$C32/10^7,CI41/Leasing!CI13*Leasing!CJ13),0)</f>
        <v>1.0153300193705814E-2</v>
      </c>
      <c r="CK41" s="33">
        <f>IFERROR(IF(AND(Leasing!CJ13=0,CK13&gt;0),'Assumption Sheet'!$N32*'Assumption Sheet'!$C32/10^7,CJ41/Leasing!CJ13*Leasing!CK13),0)</f>
        <v>1.0153300193705814E-2</v>
      </c>
      <c r="CL41" s="33">
        <f>IFERROR(IF(AND(Leasing!CK13=0,CL13&gt;0),'Assumption Sheet'!$N32*'Assumption Sheet'!$C32/10^7,CK41/Leasing!CK13*Leasing!CL13),0)</f>
        <v>1.0153300193705814E-2</v>
      </c>
      <c r="CM41" s="33">
        <f>IFERROR(IF(AND(Leasing!CL13=0,CM13&gt;0),'Assumption Sheet'!$N32*'Assumption Sheet'!$C32/10^7,CL41/Leasing!CL13*Leasing!CM13),0)</f>
        <v>1.0153300193705814E-2</v>
      </c>
      <c r="CN41" s="33">
        <f>IFERROR(IF(AND(Leasing!CM13=0,CN13&gt;0),'Assumption Sheet'!$N32*'Assumption Sheet'!$C32/10^7,CM41/Leasing!CM13*Leasing!CN13),0)</f>
        <v>1.0153300193705814E-2</v>
      </c>
      <c r="CO41" s="33">
        <f>IFERROR(IF(AND(Leasing!CN13=0,CO13&gt;0),'Assumption Sheet'!$N32*'Assumption Sheet'!$C32/10^7,CN41/Leasing!CN13*Leasing!CO13),0)</f>
        <v>1.0153300193705814E-2</v>
      </c>
      <c r="CP41" s="33">
        <f>IFERROR(IF(AND(Leasing!CO13=0,CP13&gt;0),'Assumption Sheet'!$N32*'Assumption Sheet'!$C32/10^7,CO41/Leasing!CO13*Leasing!CP13),0)</f>
        <v>1.0153300193705814E-2</v>
      </c>
      <c r="CQ41" s="33">
        <f>IFERROR(IF(AND(Leasing!CP13=0,CQ13&gt;0),'Assumption Sheet'!$N32*'Assumption Sheet'!$C32/10^7,CP41/Leasing!CP13*Leasing!CQ13),0)</f>
        <v>1.0153300193705814E-2</v>
      </c>
      <c r="CR41" s="33">
        <f>IFERROR(IF(AND(Leasing!CQ13=0,CR13&gt;0),'Assumption Sheet'!$N32*'Assumption Sheet'!$C32/10^7,CQ41/Leasing!CQ13*Leasing!CR13),0)</f>
        <v>1.0153300193705814E-2</v>
      </c>
      <c r="CS41" s="33">
        <f>IFERROR(IF(AND(Leasing!CR13=0,CS13&gt;0),'Assumption Sheet'!$N32*'Assumption Sheet'!$C32/10^7,CR41/Leasing!CR13*Leasing!CS13),0)</f>
        <v>1.0153300193705814E-2</v>
      </c>
      <c r="CT41" s="33">
        <f>IFERROR(IF(AND(Leasing!CS13=0,CT13&gt;0),'Assumption Sheet'!$N32*'Assumption Sheet'!$C32/10^7,CS41/Leasing!CS13*Leasing!CT13),0)</f>
        <v>1.0660965203391106E-2</v>
      </c>
      <c r="CU41" s="33">
        <f>IFERROR(IF(AND(Leasing!CT13=0,CU13&gt;0),'Assumption Sheet'!$N32*'Assumption Sheet'!$C32/10^7,CT41/Leasing!CT13*Leasing!CU13),0)</f>
        <v>1.0660965203391106E-2</v>
      </c>
      <c r="CV41" s="33">
        <f>IFERROR(IF(AND(Leasing!CU13=0,CV13&gt;0),'Assumption Sheet'!$N32*'Assumption Sheet'!$C32/10^7,CU41/Leasing!CU13*Leasing!CV13),0)</f>
        <v>1.0660965203391106E-2</v>
      </c>
      <c r="CW41" s="33">
        <f>IFERROR(IF(AND(Leasing!CV13=0,CW13&gt;0),'Assumption Sheet'!$N32*'Assumption Sheet'!$C32/10^7,CV41/Leasing!CV13*Leasing!CW13),0)</f>
        <v>1.0660965203391106E-2</v>
      </c>
      <c r="CX41" s="33">
        <f>IFERROR(IF(AND(Leasing!CW13=0,CX13&gt;0),'Assumption Sheet'!$N32*'Assumption Sheet'!$C32/10^7,CW41/Leasing!CW13*Leasing!CX13),0)</f>
        <v>1.0660965203391106E-2</v>
      </c>
      <c r="CY41" s="33">
        <f>IFERROR(IF(AND(Leasing!CX13=0,CY13&gt;0),'Assumption Sheet'!$N32*'Assumption Sheet'!$C32/10^7,CX41/Leasing!CX13*Leasing!CY13),0)</f>
        <v>1.0660965203391106E-2</v>
      </c>
      <c r="CZ41" s="33">
        <f>IFERROR(IF(AND(Leasing!CY13=0,CZ13&gt;0),'Assumption Sheet'!$N32*'Assumption Sheet'!$C32/10^7,CY41/Leasing!CY13*Leasing!CZ13),0)</f>
        <v>1.0660965203391106E-2</v>
      </c>
      <c r="DA41" s="33">
        <f>IFERROR(IF(AND(Leasing!CZ13=0,DA13&gt;0),'Assumption Sheet'!$N32*'Assumption Sheet'!$C32/10^7,CZ41/Leasing!CZ13*Leasing!DA13),0)</f>
        <v>1.0660965203391106E-2</v>
      </c>
      <c r="DB41" s="33">
        <f>IFERROR(IF(AND(Leasing!DA13=0,DB13&gt;0),'Assumption Sheet'!$N32*'Assumption Sheet'!$C32/10^7,DA41/Leasing!DA13*Leasing!DB13),0)</f>
        <v>1.0660965203391106E-2</v>
      </c>
      <c r="DC41" s="33">
        <f>IFERROR(IF(AND(Leasing!DB13=0,DC13&gt;0),'Assumption Sheet'!$N32*'Assumption Sheet'!$C32/10^7,DB41/Leasing!DB13*Leasing!DC13),0)</f>
        <v>1.0660965203391106E-2</v>
      </c>
      <c r="DD41" s="33">
        <f>IFERROR(IF(AND(Leasing!DC13=0,DD13&gt;0),'Assumption Sheet'!$N32*'Assumption Sheet'!$C32/10^7,DC41/Leasing!DC13*Leasing!DD13),0)</f>
        <v>1.0660965203391106E-2</v>
      </c>
      <c r="DE41" s="33">
        <f>IFERROR(IF(AND(Leasing!DD13=0,DE13&gt;0),'Assumption Sheet'!$N32*'Assumption Sheet'!$C32/10^7,DD41/Leasing!DD13*Leasing!DE13),0)</f>
        <v>1.0660965203391106E-2</v>
      </c>
      <c r="DF41" s="33">
        <f>IFERROR(IF(AND(Leasing!DE13=0,DF13&gt;0),'Assumption Sheet'!$N32*'Assumption Sheet'!$C32/10^7,DE41/Leasing!DE13*Leasing!DF13),0)</f>
        <v>1.1194013463560661E-2</v>
      </c>
      <c r="DG41" s="33">
        <f>IFERROR(IF(AND(Leasing!DF13=0,DG13&gt;0),'Assumption Sheet'!$N32*'Assumption Sheet'!$C32/10^7,DF41/Leasing!DF13*Leasing!DG13),0)</f>
        <v>1.1194013463560661E-2</v>
      </c>
      <c r="DH41" s="33">
        <f>IFERROR(IF(AND(Leasing!DG13=0,DH13&gt;0),'Assumption Sheet'!$N32*'Assumption Sheet'!$C32/10^7,DG41/Leasing!DG13*Leasing!DH13),0)</f>
        <v>1.1194013463560661E-2</v>
      </c>
      <c r="DI41" s="33">
        <f>IFERROR(IF(AND(Leasing!DH13=0,DI13&gt;0),'Assumption Sheet'!$N32*'Assumption Sheet'!$C32/10^7,DH41/Leasing!DH13*Leasing!DI13),0)</f>
        <v>1.1194013463560661E-2</v>
      </c>
      <c r="DJ41" s="33">
        <f>IFERROR(IF(AND(Leasing!DI13=0,DJ13&gt;0),'Assumption Sheet'!$N32*'Assumption Sheet'!$C32/10^7,DI41/Leasing!DI13*Leasing!DJ13),0)</f>
        <v>1.1194013463560661E-2</v>
      </c>
      <c r="DK41" s="33">
        <f>IFERROR(IF(AND(Leasing!DJ13=0,DK13&gt;0),'Assumption Sheet'!$N32*'Assumption Sheet'!$C32/10^7,DJ41/Leasing!DJ13*Leasing!DK13),0)</f>
        <v>1.1194013463560661E-2</v>
      </c>
      <c r="DL41" s="33">
        <f>IFERROR(IF(AND(Leasing!DK13=0,DL13&gt;0),'Assumption Sheet'!$N32*'Assumption Sheet'!$C32/10^7,DK41/Leasing!DK13*Leasing!DL13),0)</f>
        <v>1.1194013463560661E-2</v>
      </c>
      <c r="DM41" s="33">
        <f>IFERROR(IF(AND(Leasing!DL13=0,DM13&gt;0),'Assumption Sheet'!$N32*'Assumption Sheet'!$C32/10^7,DL41/Leasing!DL13*Leasing!DM13),0)</f>
        <v>1.1194013463560661E-2</v>
      </c>
      <c r="DN41" s="33">
        <f>IFERROR(IF(AND(Leasing!DM13=0,DN13&gt;0),'Assumption Sheet'!$N32*'Assumption Sheet'!$C32/10^7,DM41/Leasing!DM13*Leasing!DN13),0)</f>
        <v>1.1194013463560661E-2</v>
      </c>
      <c r="DO41" s="33">
        <f>IFERROR(IF(AND(Leasing!DN13=0,DO13&gt;0),'Assumption Sheet'!$N32*'Assumption Sheet'!$C32/10^7,DN41/Leasing!DN13*Leasing!DO13),0)</f>
        <v>1.1194013463560661E-2</v>
      </c>
      <c r="DP41" s="33">
        <f>IFERROR(IF(AND(Leasing!DO13=0,DP13&gt;0),'Assumption Sheet'!$N32*'Assumption Sheet'!$C32/10^7,DO41/Leasing!DO13*Leasing!DP13),0)</f>
        <v>1.1194013463560661E-2</v>
      </c>
      <c r="DQ41" s="33">
        <f>IFERROR(IF(AND(Leasing!DP13=0,DQ13&gt;0),'Assumption Sheet'!$N32*'Assumption Sheet'!$C32/10^7,DP41/Leasing!DP13*Leasing!DQ13),0)</f>
        <v>1.1194013463560661E-2</v>
      </c>
      <c r="DR41" s="33">
        <f>IFERROR(IF(AND(Leasing!DQ13=0,DR13&gt;0),'Assumption Sheet'!$N32*'Assumption Sheet'!$C32/10^7,DQ41/Leasing!DQ13*Leasing!DR13),0)</f>
        <v>1.1753714136738693E-2</v>
      </c>
      <c r="DS41" s="33">
        <f>IFERROR(IF(AND(Leasing!DR13=0,DS13&gt;0),'Assumption Sheet'!$N32*'Assumption Sheet'!$C32/10^7,DR41/Leasing!DR13*Leasing!DS13),0)</f>
        <v>1.1753714136738693E-2</v>
      </c>
      <c r="DT41" s="33">
        <f>IFERROR(IF(AND(Leasing!DS13=0,DT13&gt;0),'Assumption Sheet'!$N32*'Assumption Sheet'!$C32/10^7,DS41/Leasing!DS13*Leasing!DT13),0)</f>
        <v>1.1753714136738693E-2</v>
      </c>
      <c r="DU41" s="33">
        <f>IFERROR(IF(AND(Leasing!DT13=0,DU13&gt;0),'Assumption Sheet'!$N32*'Assumption Sheet'!$C32/10^7,DT41/Leasing!DT13*Leasing!DU13),0)</f>
        <v>1.1753714136738693E-2</v>
      </c>
      <c r="DV41" s="33">
        <f>IFERROR(IF(AND(Leasing!DU13=0,DV13&gt;0),'Assumption Sheet'!$N32*'Assumption Sheet'!$C32/10^7,DU41/Leasing!DU13*Leasing!DV13),0)</f>
        <v>1.1753714136738693E-2</v>
      </c>
      <c r="DW41" s="33">
        <f>IFERROR(IF(AND(Leasing!DV13=0,DW13&gt;0),'Assumption Sheet'!$N32*'Assumption Sheet'!$C32/10^7,DV41/Leasing!DV13*Leasing!DW13),0)</f>
        <v>1.1753714136738693E-2</v>
      </c>
      <c r="DX41" s="33">
        <f>IFERROR(IF(AND(Leasing!DW13=0,DX13&gt;0),'Assumption Sheet'!$N32*'Assumption Sheet'!$C32/10^7,DW41/Leasing!DW13*Leasing!DX13),0)</f>
        <v>1.1753714136738693E-2</v>
      </c>
      <c r="DY41" s="33">
        <f>IFERROR(IF(AND(Leasing!DX13=0,DY13&gt;0),'Assumption Sheet'!$N32*'Assumption Sheet'!$C32/10^7,DX41/Leasing!DX13*Leasing!DY13),0)</f>
        <v>1.1753714136738693E-2</v>
      </c>
      <c r="DZ41" s="33">
        <f>IFERROR(IF(AND(Leasing!DY13=0,DZ13&gt;0),'Assumption Sheet'!$N32*'Assumption Sheet'!$C32/10^7,DY41/Leasing!DY13*Leasing!DZ13),0)</f>
        <v>1.1753714136738693E-2</v>
      </c>
      <c r="EA41" s="33">
        <f>IFERROR(IF(AND(Leasing!DZ13=0,EA13&gt;0),'Assumption Sheet'!$N32*'Assumption Sheet'!$C32/10^7,DZ41/Leasing!DZ13*Leasing!EA13),0)</f>
        <v>1.1753714136738693E-2</v>
      </c>
      <c r="EB41" s="33">
        <f>IFERROR(IF(AND(Leasing!EA13=0,EB13&gt;0),'Assumption Sheet'!$N32*'Assumption Sheet'!$C32/10^7,EA41/Leasing!EA13*Leasing!EB13),0)</f>
        <v>1.1753714136738693E-2</v>
      </c>
      <c r="EC41" s="33">
        <f>IFERROR(IF(AND(Leasing!EB13=0,EC13&gt;0),'Assumption Sheet'!$N32*'Assumption Sheet'!$C32/10^7,EB41/Leasing!EB13*Leasing!EC13),0)</f>
        <v>1.1753714136738693E-2</v>
      </c>
      <c r="ED41" s="33">
        <f>IFERROR(IF(AND(Leasing!EC13=0,ED13&gt;0),'Assumption Sheet'!$N32*'Assumption Sheet'!$C32/10^7,EC41/Leasing!EC13*Leasing!ED13),0)</f>
        <v>1.2341399843575629E-2</v>
      </c>
      <c r="EE41" s="33">
        <f>IFERROR(IF(AND(Leasing!ED13=0,EE13&gt;0),'Assumption Sheet'!$N32*'Assumption Sheet'!$C32/10^7,ED41/Leasing!ED13*Leasing!EE13),0)</f>
        <v>1.2341399843575629E-2</v>
      </c>
      <c r="EF41" s="33">
        <f>IFERROR(IF(AND(Leasing!EE13=0,EF13&gt;0),'Assumption Sheet'!$N32*'Assumption Sheet'!$C32/10^7,EE41/Leasing!EE13*Leasing!EF13),0)</f>
        <v>1.2341399843575629E-2</v>
      </c>
      <c r="EG41" s="33">
        <f>IFERROR(IF(AND(Leasing!EF13=0,EG13&gt;0),'Assumption Sheet'!$N32*'Assumption Sheet'!$C32/10^7,EF41/Leasing!EF13*Leasing!EG13),0)</f>
        <v>1.2341399843575629E-2</v>
      </c>
      <c r="EH41" s="33">
        <f>IFERROR(IF(AND(Leasing!EG13=0,EH13&gt;0),'Assumption Sheet'!$N32*'Assumption Sheet'!$C32/10^7,EG41/Leasing!EG13*Leasing!EH13),0)</f>
        <v>1.2341399843575629E-2</v>
      </c>
      <c r="EI41" s="33">
        <f>IFERROR(IF(AND(Leasing!EH13=0,EI13&gt;0),'Assumption Sheet'!$N32*'Assumption Sheet'!$C32/10^7,EH41/Leasing!EH13*Leasing!EI13),0)</f>
        <v>1.2341399843575629E-2</v>
      </c>
      <c r="EJ41" s="33">
        <f>IFERROR(IF(AND(Leasing!EI13=0,EJ13&gt;0),'Assumption Sheet'!$N32*'Assumption Sheet'!$C32/10^7,EI41/Leasing!EI13*Leasing!EJ13),0)</f>
        <v>1.2341399843575629E-2</v>
      </c>
      <c r="EK41" s="33">
        <f>IFERROR(IF(AND(Leasing!EJ13=0,EK13&gt;0),'Assumption Sheet'!$N32*'Assumption Sheet'!$C32/10^7,EJ41/Leasing!EJ13*Leasing!EK13),0)</f>
        <v>1.2341399843575629E-2</v>
      </c>
      <c r="EL41" s="33">
        <f>IFERROR(IF(AND(Leasing!EK13=0,EL13&gt;0),'Assumption Sheet'!$N32*'Assumption Sheet'!$C32/10^7,EK41/Leasing!EK13*Leasing!EL13),0)</f>
        <v>1.2341399843575629E-2</v>
      </c>
      <c r="EM41" s="33">
        <f>IFERROR(IF(AND(Leasing!EL13=0,EM13&gt;0),'Assumption Sheet'!$N32*'Assumption Sheet'!$C32/10^7,EL41/Leasing!EL13*Leasing!EM13),0)</f>
        <v>1.2341399843575629E-2</v>
      </c>
      <c r="EN41" s="33">
        <f>IFERROR(IF(AND(Leasing!EM13=0,EN13&gt;0),'Assumption Sheet'!$N32*'Assumption Sheet'!$C32/10^7,EM41/Leasing!EM13*Leasing!EN13),0)</f>
        <v>1.2341399843575629E-2</v>
      </c>
      <c r="EO41" s="33">
        <f>IFERROR(IF(AND(Leasing!EN13=0,EO13&gt;0),'Assumption Sheet'!$N32*'Assumption Sheet'!$C32/10^7,EN41/Leasing!EN13*Leasing!EO13),0)</f>
        <v>1.2341399843575629E-2</v>
      </c>
      <c r="EP41" s="33">
        <f>IFERROR(IF(AND(Leasing!EO13=0,EP13&gt;0),'Assumption Sheet'!$N32*'Assumption Sheet'!$C32/10^7,EO41/Leasing!EO13*Leasing!EP13),0)</f>
        <v>1.295846983575441E-2</v>
      </c>
      <c r="EQ41" s="33">
        <f>IFERROR(IF(AND(Leasing!EP13=0,EQ13&gt;0),'Assumption Sheet'!$N32*'Assumption Sheet'!$C32/10^7,EP41/Leasing!EP13*Leasing!EQ13),0)</f>
        <v>1.295846983575441E-2</v>
      </c>
      <c r="ER41" s="33">
        <f>IFERROR(IF(AND(Leasing!EQ13=0,ER13&gt;0),'Assumption Sheet'!$N32*'Assumption Sheet'!$C32/10^7,EQ41/Leasing!EQ13*Leasing!ER13),0)</f>
        <v>1.295846983575441E-2</v>
      </c>
      <c r="ES41" s="33">
        <f>IFERROR(IF(AND(Leasing!ER13=0,ES13&gt;0),'Assumption Sheet'!$N32*'Assumption Sheet'!$C32/10^7,ER41/Leasing!ER13*Leasing!ES13),0)</f>
        <v>1.295846983575441E-2</v>
      </c>
      <c r="ET41" s="33">
        <f>IFERROR(IF(AND(Leasing!ES13=0,ET13&gt;0),'Assumption Sheet'!$N32*'Assumption Sheet'!$C32/10^7,ES41/Leasing!ES13*Leasing!ET13),0)</f>
        <v>1.295846983575441E-2</v>
      </c>
      <c r="EU41" s="33">
        <f>IFERROR(IF(AND(Leasing!ET13=0,EU13&gt;0),'Assumption Sheet'!$N32*'Assumption Sheet'!$C32/10^7,ET41/Leasing!ET13*Leasing!EU13),0)</f>
        <v>1.295846983575441E-2</v>
      </c>
      <c r="EV41" s="33">
        <f>IFERROR(IF(AND(Leasing!EU13=0,EV13&gt;0),'Assumption Sheet'!$N32*'Assumption Sheet'!$C32/10^7,EU41/Leasing!EU13*Leasing!EV13),0)</f>
        <v>1.295846983575441E-2</v>
      </c>
      <c r="EW41" s="33">
        <f>IFERROR(IF(AND(Leasing!EV13=0,EW13&gt;0),'Assumption Sheet'!$N32*'Assumption Sheet'!$C32/10^7,EV41/Leasing!EV13*Leasing!EW13),0)</f>
        <v>1.295846983575441E-2</v>
      </c>
      <c r="EX41" s="33">
        <f>IFERROR(IF(AND(Leasing!EW13=0,EX13&gt;0),'Assumption Sheet'!$N32*'Assumption Sheet'!$C32/10^7,EW41/Leasing!EW13*Leasing!EX13),0)</f>
        <v>1.295846983575441E-2</v>
      </c>
      <c r="EY41" s="33">
        <f>IFERROR(IF(AND(Leasing!EX13=0,EY13&gt;0),'Assumption Sheet'!$N32*'Assumption Sheet'!$C32/10^7,EX41/Leasing!EX13*Leasing!EY13),0)</f>
        <v>1.295846983575441E-2</v>
      </c>
      <c r="EZ41" s="33">
        <f>IFERROR(IF(AND(Leasing!EY13=0,EZ13&gt;0),'Assumption Sheet'!$N32*'Assumption Sheet'!$C32/10^7,EY41/Leasing!EY13*Leasing!EZ13),0)</f>
        <v>1.295846983575441E-2</v>
      </c>
      <c r="FA41" s="33">
        <f>IFERROR(IF(AND(Leasing!EZ13=0,FA13&gt;0),'Assumption Sheet'!$N32*'Assumption Sheet'!$C32/10^7,EZ41/Leasing!EZ13*Leasing!FA13),0)</f>
        <v>1.295846983575441E-2</v>
      </c>
      <c r="FB41" s="33">
        <f>IFERROR(IF(AND(Leasing!FA13=0,FB13&gt;0),'Assumption Sheet'!$N32*'Assumption Sheet'!$C32/10^7,FA41/Leasing!FA13*Leasing!FB13),0)</f>
        <v>1.3606393327542132E-2</v>
      </c>
      <c r="FC41" s="33">
        <f>IFERROR(IF(AND(Leasing!FB13=0,FC13&gt;0),'Assumption Sheet'!$N32*'Assumption Sheet'!$C32/10^7,FB41/Leasing!FB13*Leasing!FC13),0)</f>
        <v>1.3606393327542132E-2</v>
      </c>
      <c r="FD41" s="33">
        <f>IFERROR(IF(AND(Leasing!FC13=0,FD13&gt;0),'Assumption Sheet'!$N32*'Assumption Sheet'!$C32/10^7,FC41/Leasing!FC13*Leasing!FD13),0)</f>
        <v>1.3606393327542132E-2</v>
      </c>
      <c r="FE41" s="33">
        <f>IFERROR(IF(AND(Leasing!FD13=0,FE13&gt;0),'Assumption Sheet'!$N32*'Assumption Sheet'!$C32/10^7,FD41/Leasing!FD13*Leasing!FE13),0)</f>
        <v>1.3606393327542132E-2</v>
      </c>
      <c r="FF41" s="33">
        <f>IFERROR(IF(AND(Leasing!FE13=0,FF13&gt;0),'Assumption Sheet'!$N32*'Assumption Sheet'!$C32/10^7,FE41/Leasing!FE13*Leasing!FF13),0)</f>
        <v>1.3606393327542132E-2</v>
      </c>
      <c r="FG41" s="33">
        <f>IFERROR(IF(AND(Leasing!FF13=0,FG13&gt;0),'Assumption Sheet'!$N32*'Assumption Sheet'!$C32/10^7,FF41/Leasing!FF13*Leasing!FG13),0)</f>
        <v>1.3606393327542132E-2</v>
      </c>
      <c r="FH41" s="33">
        <f>IFERROR(IF(AND(Leasing!FG13=0,FH13&gt;0),'Assumption Sheet'!$N32*'Assumption Sheet'!$C32/10^7,FG41/Leasing!FG13*Leasing!FH13),0)</f>
        <v>1.3606393327542132E-2</v>
      </c>
      <c r="FI41" s="33">
        <f>IFERROR(IF(AND(Leasing!FH13=0,FI13&gt;0),'Assumption Sheet'!$N32*'Assumption Sheet'!$C32/10^7,FH41/Leasing!FH13*Leasing!FI13),0)</f>
        <v>1.3606393327542132E-2</v>
      </c>
      <c r="FJ41" s="33">
        <f>IFERROR(IF(AND(Leasing!FI13=0,FJ13&gt;0),'Assumption Sheet'!$N32*'Assumption Sheet'!$C32/10^7,FI41/Leasing!FI13*Leasing!FJ13),0)</f>
        <v>1.3606393327542132E-2</v>
      </c>
      <c r="FK41" s="33">
        <f>IFERROR(IF(AND(Leasing!FJ13=0,FK13&gt;0),'Assumption Sheet'!$N32*'Assumption Sheet'!$C32/10^7,FJ41/Leasing!FJ13*Leasing!FK13),0)</f>
        <v>1.3606393327542132E-2</v>
      </c>
      <c r="FL41" s="33">
        <f>IFERROR(IF(AND(Leasing!FK13=0,FL13&gt;0),'Assumption Sheet'!$N32*'Assumption Sheet'!$C32/10^7,FK41/Leasing!FK13*Leasing!FL13),0)</f>
        <v>1.3606393327542132E-2</v>
      </c>
      <c r="FM41" s="33">
        <f>IFERROR(IF(AND(Leasing!FL13=0,FM13&gt;0),'Assumption Sheet'!$N32*'Assumption Sheet'!$C32/10^7,FL41/Leasing!FL13*Leasing!FM13),0)</f>
        <v>1.3606393327542132E-2</v>
      </c>
      <c r="FN41" s="33">
        <f>IFERROR(IF(AND(Leasing!FM13=0,FN13&gt;0),'Assumption Sheet'!$N32*'Assumption Sheet'!$C32/10^7,FM41/Leasing!FM13*Leasing!FN13),0)</f>
        <v>1.428671299391924E-2</v>
      </c>
      <c r="FO41" s="33">
        <f>IFERROR(IF(AND(Leasing!FN13=0,FO13&gt;0),'Assumption Sheet'!$N32*'Assumption Sheet'!$C32/10^7,FN41/Leasing!FN13*Leasing!FO13),0)</f>
        <v>1.428671299391924E-2</v>
      </c>
      <c r="FP41" s="33">
        <f>IFERROR(IF(AND(Leasing!FO13=0,FP13&gt;0),'Assumption Sheet'!$N32*'Assumption Sheet'!$C32/10^7,FO41/Leasing!FO13*Leasing!FP13),0)</f>
        <v>1.428671299391924E-2</v>
      </c>
      <c r="FQ41" s="33">
        <f>IFERROR(IF(AND(Leasing!FP13=0,FQ13&gt;0),'Assumption Sheet'!$N32*'Assumption Sheet'!$C32/10^7,FP41/Leasing!FP13*Leasing!FQ13),0)</f>
        <v>1.428671299391924E-2</v>
      </c>
      <c r="FR41" s="33">
        <f>IFERROR(IF(AND(Leasing!FQ13=0,FR13&gt;0),'Assumption Sheet'!$N32*'Assumption Sheet'!$C32/10^7,FQ41/Leasing!FQ13*Leasing!FR13),0)</f>
        <v>1.428671299391924E-2</v>
      </c>
      <c r="FS41" s="33">
        <f>IFERROR(IF(AND(Leasing!FR13=0,FS13&gt;0),'Assumption Sheet'!$N32*'Assumption Sheet'!$C32/10^7,FR41/Leasing!FR13*Leasing!FS13),0)</f>
        <v>1.428671299391924E-2</v>
      </c>
      <c r="FT41" s="33">
        <f>IFERROR(IF(AND(Leasing!FS13=0,FT13&gt;0),'Assumption Sheet'!$N32*'Assumption Sheet'!$C32/10^7,FS41/Leasing!FS13*Leasing!FT13),0)</f>
        <v>1.428671299391924E-2</v>
      </c>
      <c r="FU41" s="33">
        <f>IFERROR(IF(AND(Leasing!FT13=0,FU13&gt;0),'Assumption Sheet'!$N32*'Assumption Sheet'!$C32/10^7,FT41/Leasing!FT13*Leasing!FU13),0)</f>
        <v>1.428671299391924E-2</v>
      </c>
      <c r="FV41" s="33">
        <f>IFERROR(IF(AND(Leasing!FU13=0,FV13&gt;0),'Assumption Sheet'!$N32*'Assumption Sheet'!$C32/10^7,FU41/Leasing!FU13*Leasing!FV13),0)</f>
        <v>1.428671299391924E-2</v>
      </c>
      <c r="FW41" s="33">
        <f>IFERROR(IF(AND(Leasing!FV13=0,FW13&gt;0),'Assumption Sheet'!$N32*'Assumption Sheet'!$C32/10^7,FV41/Leasing!FV13*Leasing!FW13),0)</f>
        <v>1.428671299391924E-2</v>
      </c>
      <c r="FX41" s="33">
        <f>IFERROR(IF(AND(Leasing!FW13=0,FX13&gt;0),'Assumption Sheet'!$N32*'Assumption Sheet'!$C32/10^7,FW41/Leasing!FW13*Leasing!FX13),0)</f>
        <v>1.428671299391924E-2</v>
      </c>
      <c r="FY41" s="33">
        <f>IFERROR(IF(AND(Leasing!FX13=0,FY13&gt;0),'Assumption Sheet'!$N32*'Assumption Sheet'!$C32/10^7,FX41/Leasing!FX13*Leasing!FY13),0)</f>
        <v>1.428671299391924E-2</v>
      </c>
      <c r="FZ41" s="33">
        <f>IFERROR(IF(AND(Leasing!FY13=0,FZ13&gt;0),'Assumption Sheet'!$N32*'Assumption Sheet'!$C32/10^7,FY41/Leasing!FY13*Leasing!FZ13),0)</f>
        <v>1.5001048643615204E-2</v>
      </c>
      <c r="GA41" s="33">
        <f>IFERROR(IF(AND(Leasing!FZ13=0,GA13&gt;0),'Assumption Sheet'!$N32*'Assumption Sheet'!$C32/10^7,FZ41/Leasing!FZ13*Leasing!GA13),0)</f>
        <v>1.5001048643615204E-2</v>
      </c>
      <c r="GB41" s="33">
        <f>IFERROR(IF(AND(Leasing!GA13=0,GB13&gt;0),'Assumption Sheet'!$N32*'Assumption Sheet'!$C32/10^7,GA41/Leasing!GA13*Leasing!GB13),0)</f>
        <v>1.5001048643615204E-2</v>
      </c>
      <c r="GC41" s="33">
        <f>IFERROR(IF(AND(Leasing!GB13=0,GC13&gt;0),'Assumption Sheet'!$N32*'Assumption Sheet'!$C32/10^7,GB41/Leasing!GB13*Leasing!GC13),0)</f>
        <v>1.5001048643615204E-2</v>
      </c>
      <c r="GD41" s="33">
        <f>IFERROR(IF(AND(Leasing!GC13=0,GD13&gt;0),'Assumption Sheet'!$N32*'Assumption Sheet'!$C32/10^7,GC41/Leasing!GC13*Leasing!GD13),0)</f>
        <v>1.5001048643615204E-2</v>
      </c>
      <c r="GE41" s="33">
        <f>IFERROR(IF(AND(Leasing!GD13=0,GE13&gt;0),'Assumption Sheet'!$N32*'Assumption Sheet'!$C32/10^7,GD41/Leasing!GD13*Leasing!GE13),0)</f>
        <v>1.5001048643615204E-2</v>
      </c>
      <c r="GF41" s="33">
        <f>IFERROR(IF(AND(Leasing!GE13=0,GF13&gt;0),'Assumption Sheet'!$N32*'Assumption Sheet'!$C32/10^7,GE41/Leasing!GE13*Leasing!GF13),0)</f>
        <v>1.5001048643615204E-2</v>
      </c>
      <c r="GG41" s="33">
        <f>IFERROR(IF(AND(Leasing!GF13=0,GG13&gt;0),'Assumption Sheet'!$N32*'Assumption Sheet'!$C32/10^7,GF41/Leasing!GF13*Leasing!GG13),0)</f>
        <v>1.5001048643615204E-2</v>
      </c>
      <c r="GH41" s="33">
        <f>IFERROR(IF(AND(Leasing!GG13=0,GH13&gt;0),'Assumption Sheet'!$N32*'Assumption Sheet'!$C32/10^7,GG41/Leasing!GG13*Leasing!GH13),0)</f>
        <v>1.5001048643615204E-2</v>
      </c>
      <c r="GI41" s="33">
        <f>IFERROR(IF(AND(Leasing!GH13=0,GI13&gt;0),'Assumption Sheet'!$N32*'Assumption Sheet'!$C32/10^7,GH41/Leasing!GH13*Leasing!GI13),0)</f>
        <v>1.5001048643615204E-2</v>
      </c>
      <c r="GJ41" s="33">
        <f>IFERROR(IF(AND(Leasing!GI13=0,GJ13&gt;0),'Assumption Sheet'!$N32*'Assumption Sheet'!$C32/10^7,GI41/Leasing!GI13*Leasing!GJ13),0)</f>
        <v>1.5001048643615204E-2</v>
      </c>
      <c r="GK41" s="33">
        <f>IFERROR(IF(AND(Leasing!GJ13=0,GK13&gt;0),'Assumption Sheet'!$N32*'Assumption Sheet'!$C32/10^7,GJ41/Leasing!GJ13*Leasing!GK13),0)</f>
        <v>1.5001048643615204E-2</v>
      </c>
      <c r="GL41" s="33">
        <f>IFERROR(IF(AND(Leasing!GK13=0,GL13&gt;0),'Assumption Sheet'!$N32*'Assumption Sheet'!$C32/10^7,GK41/Leasing!GK13*Leasing!GL13),0)</f>
        <v>1.5751101075795967E-2</v>
      </c>
      <c r="GM41" s="33">
        <f>IFERROR(IF(AND(Leasing!GL13=0,GM13&gt;0),'Assumption Sheet'!$N32*'Assumption Sheet'!$C32/10^7,GL41/Leasing!GL13*Leasing!GM13),0)</f>
        <v>1.5751101075795967E-2</v>
      </c>
      <c r="GN41" s="33">
        <f>IFERROR(IF(AND(Leasing!GM13=0,GN13&gt;0),'Assumption Sheet'!$N32*'Assumption Sheet'!$C32/10^7,GM41/Leasing!GM13*Leasing!GN13),0)</f>
        <v>1.5751101075795967E-2</v>
      </c>
      <c r="GO41" s="33">
        <f>IFERROR(IF(AND(Leasing!GN13=0,GO13&gt;0),'Assumption Sheet'!$N32*'Assumption Sheet'!$C32/10^7,GN41/Leasing!GN13*Leasing!GO13),0)</f>
        <v>1.5751101075795967E-2</v>
      </c>
      <c r="GP41" s="33">
        <f>IFERROR(IF(AND(Leasing!GO13=0,GP13&gt;0),'Assumption Sheet'!$N32*'Assumption Sheet'!$C32/10^7,GO41/Leasing!GO13*Leasing!GP13),0)</f>
        <v>1.5751101075795967E-2</v>
      </c>
      <c r="GQ41" s="33">
        <f>IFERROR(IF(AND(Leasing!GP13=0,GQ13&gt;0),'Assumption Sheet'!$N32*'Assumption Sheet'!$C32/10^7,GP41/Leasing!GP13*Leasing!GQ13),0)</f>
        <v>1.5751101075795967E-2</v>
      </c>
      <c r="GR41" s="33">
        <f>IFERROR(IF(AND(Leasing!GQ13=0,GR13&gt;0),'Assumption Sheet'!$N32*'Assumption Sheet'!$C32/10^7,GQ41/Leasing!GQ13*Leasing!GR13),0)</f>
        <v>1.5751101075795967E-2</v>
      </c>
      <c r="GS41" s="33">
        <f>IFERROR(IF(AND(Leasing!GR13=0,GS13&gt;0),'Assumption Sheet'!$N32*'Assumption Sheet'!$C32/10^7,GR41/Leasing!GR13*Leasing!GS13),0)</f>
        <v>1.5751101075795967E-2</v>
      </c>
      <c r="GT41" s="33">
        <f>IFERROR(IF(AND(Leasing!GS13=0,GT13&gt;0),'Assumption Sheet'!$N32*'Assumption Sheet'!$C32/10^7,GS41/Leasing!GS13*Leasing!GT13),0)</f>
        <v>1.5751101075795967E-2</v>
      </c>
      <c r="GU41" s="33">
        <f>IFERROR(IF(AND(Leasing!GT13=0,GU13&gt;0),'Assumption Sheet'!$N32*'Assumption Sheet'!$C32/10^7,GT41/Leasing!GT13*Leasing!GU13),0)</f>
        <v>1.5751101075795967E-2</v>
      </c>
      <c r="GV41" s="33">
        <f>IFERROR(IF(AND(Leasing!GU13=0,GV13&gt;0),'Assumption Sheet'!$N32*'Assumption Sheet'!$C32/10^7,GU41/Leasing!GU13*Leasing!GV13),0)</f>
        <v>1.5751101075795967E-2</v>
      </c>
      <c r="GW41" s="33">
        <f>IFERROR(IF(AND(Leasing!GV13=0,GW13&gt;0),'Assumption Sheet'!$N32*'Assumption Sheet'!$C32/10^7,GV41/Leasing!GV13*Leasing!GW13),0)</f>
        <v>1.5751101075795967E-2</v>
      </c>
      <c r="GX41" s="33">
        <f>IFERROR(IF(AND(Leasing!GW13=0,GX13&gt;0),'Assumption Sheet'!$N32*'Assumption Sheet'!$C32/10^7,GW41/Leasing!GW13*Leasing!GX13),0)</f>
        <v>1.6538656129585765E-2</v>
      </c>
      <c r="GY41" s="33">
        <f>IFERROR(IF(AND(Leasing!GX13=0,GY13&gt;0),'Assumption Sheet'!$N32*'Assumption Sheet'!$C32/10^7,GX41/Leasing!GX13*Leasing!GY13),0)</f>
        <v>1.6538656129585765E-2</v>
      </c>
      <c r="GZ41" s="33">
        <f>IFERROR(IF(AND(Leasing!GY13=0,GZ13&gt;0),'Assumption Sheet'!$N32*'Assumption Sheet'!$C32/10^7,GY41/Leasing!GY13*Leasing!GZ13),0)</f>
        <v>1.6538656129585765E-2</v>
      </c>
      <c r="HA41" s="33">
        <f>IFERROR(IF(AND(Leasing!GZ13=0,HA13&gt;0),'Assumption Sheet'!$N32*'Assumption Sheet'!$C32/10^7,GZ41/Leasing!GZ13*Leasing!HA13),0)</f>
        <v>1.6538656129585765E-2</v>
      </c>
      <c r="HB41" s="33">
        <f>IFERROR(IF(AND(Leasing!HA13=0,HB13&gt;0),'Assumption Sheet'!$N32*'Assumption Sheet'!$C32/10^7,HA41/Leasing!HA13*Leasing!HB13),0)</f>
        <v>1.6538656129585765E-2</v>
      </c>
      <c r="HC41" s="33">
        <f>IFERROR(IF(AND(Leasing!HB13=0,HC13&gt;0),'Assumption Sheet'!$N32*'Assumption Sheet'!$C32/10^7,HB41/Leasing!HB13*Leasing!HC13),0)</f>
        <v>1.6538656129585765E-2</v>
      </c>
      <c r="HD41" s="33">
        <f>IFERROR(IF(AND(Leasing!HC13=0,HD13&gt;0),'Assumption Sheet'!$N32*'Assumption Sheet'!$C32/10^7,HC41/Leasing!HC13*Leasing!HD13),0)</f>
        <v>1.6538656129585765E-2</v>
      </c>
      <c r="HE41" s="33">
        <f>IFERROR(IF(AND(Leasing!HD13=0,HE13&gt;0),'Assumption Sheet'!$N32*'Assumption Sheet'!$C32/10^7,HD41/Leasing!HD13*Leasing!HE13),0)</f>
        <v>1.6538656129585765E-2</v>
      </c>
      <c r="HF41" s="33">
        <f>IFERROR(IF(AND(Leasing!HE13=0,HF13&gt;0),'Assumption Sheet'!$N32*'Assumption Sheet'!$C32/10^7,HE41/Leasing!HE13*Leasing!HF13),0)</f>
        <v>1.6538656129585765E-2</v>
      </c>
      <c r="HG41" s="33">
        <f>IFERROR(IF(AND(Leasing!HF13=0,HG13&gt;0),'Assumption Sheet'!$N32*'Assumption Sheet'!$C32/10^7,HF41/Leasing!HF13*Leasing!HG13),0)</f>
        <v>1.6538656129585765E-2</v>
      </c>
      <c r="HH41" s="33">
        <f>IFERROR(IF(AND(Leasing!HG13=0,HH13&gt;0),'Assumption Sheet'!$N32*'Assumption Sheet'!$C32/10^7,HG41/Leasing!HG13*Leasing!HH13),0)</f>
        <v>1.6538656129585765E-2</v>
      </c>
      <c r="HI41" s="33">
        <f>IFERROR(IF(AND(Leasing!HH13=0,HI13&gt;0),'Assumption Sheet'!$N32*'Assumption Sheet'!$C32/10^7,HH41/Leasing!HH13*Leasing!HI13),0)</f>
        <v>1.6538656129585765E-2</v>
      </c>
      <c r="HJ41" s="33">
        <f>IFERROR(IF(AND(Leasing!HI13=0,HJ13&gt;0),'Assumption Sheet'!$N32*'Assumption Sheet'!$C32/10^7,HI41/Leasing!HI13*Leasing!HJ13),0)</f>
        <v>1.7365588936065053E-2</v>
      </c>
      <c r="HK41" s="33">
        <f>IFERROR(IF(AND(Leasing!HJ13=0,HK13&gt;0),'Assumption Sheet'!$N32*'Assumption Sheet'!$C32/10^7,HJ41/Leasing!HJ13*Leasing!HK13),0)</f>
        <v>1.7365588936065053E-2</v>
      </c>
      <c r="HL41" s="33">
        <f>IFERROR(IF(AND(Leasing!HK13=0,HL13&gt;0),'Assumption Sheet'!$N32*'Assumption Sheet'!$C32/10^7,HK41/Leasing!HK13*Leasing!HL13),0)</f>
        <v>1.7365588936065053E-2</v>
      </c>
      <c r="HM41" s="33">
        <f>IFERROR(IF(AND(Leasing!HL13=0,HM13&gt;0),'Assumption Sheet'!$N32*'Assumption Sheet'!$C32/10^7,HL41/Leasing!HL13*Leasing!HM13),0)</f>
        <v>1.7365588936065053E-2</v>
      </c>
      <c r="HN41" s="33">
        <f>IFERROR(IF(AND(Leasing!HM13=0,HN13&gt;0),'Assumption Sheet'!$N32*'Assumption Sheet'!$C32/10^7,HM41/Leasing!HM13*Leasing!HN13),0)</f>
        <v>1.7365588936065053E-2</v>
      </c>
      <c r="HO41" s="33">
        <f>IFERROR(IF(AND(Leasing!HN13=0,HO13&gt;0),'Assumption Sheet'!$N32*'Assumption Sheet'!$C32/10^7,HN41/Leasing!HN13*Leasing!HO13),0)</f>
        <v>1.7365588936065053E-2</v>
      </c>
      <c r="HP41" s="33">
        <f>IFERROR(IF(AND(Leasing!HO13=0,HP13&gt;0),'Assumption Sheet'!$N32*'Assumption Sheet'!$C32/10^7,HO41/Leasing!HO13*Leasing!HP13),0)</f>
        <v>1.7365588936065053E-2</v>
      </c>
      <c r="HQ41" s="33">
        <f>IFERROR(IF(AND(Leasing!HP13=0,HQ13&gt;0),'Assumption Sheet'!$N32*'Assumption Sheet'!$C32/10^7,HP41/Leasing!HP13*Leasing!HQ13),0)</f>
        <v>1.7365588936065053E-2</v>
      </c>
      <c r="HR41" s="33">
        <f>IFERROR(IF(AND(Leasing!HQ13=0,HR13&gt;0),'Assumption Sheet'!$N32*'Assumption Sheet'!$C32/10^7,HQ41/Leasing!HQ13*Leasing!HR13),0)</f>
        <v>1.7365588936065053E-2</v>
      </c>
      <c r="HS41" s="33">
        <f>IFERROR(IF(AND(Leasing!HR13=0,HS13&gt;0),'Assumption Sheet'!$N32*'Assumption Sheet'!$C32/10^7,HR41/Leasing!HR13*Leasing!HS13),0)</f>
        <v>1.7365588936065053E-2</v>
      </c>
      <c r="HT41" s="33">
        <f>IFERROR(IF(AND(Leasing!HS13=0,HT13&gt;0),'Assumption Sheet'!$N32*'Assumption Sheet'!$C32/10^7,HS41/Leasing!HS13*Leasing!HT13),0)</f>
        <v>1.7365588936065053E-2</v>
      </c>
      <c r="HU41" s="33">
        <f>IFERROR(IF(AND(Leasing!HT13=0,HU13&gt;0),'Assumption Sheet'!$N32*'Assumption Sheet'!$C32/10^7,HT41/Leasing!HT13*Leasing!HU13),0)</f>
        <v>1.7365588936065053E-2</v>
      </c>
      <c r="HV41" s="33">
        <f>IFERROR(IF(AND(Leasing!HU13=0,HV13&gt;0),'Assumption Sheet'!$N32*'Assumption Sheet'!$C32/10^7,HU41/Leasing!HU13*Leasing!HV13),0)</f>
        <v>1.8233868382868307E-2</v>
      </c>
      <c r="HW41" s="33">
        <f>IFERROR(IF(AND(Leasing!HV13=0,HW13&gt;0),'Assumption Sheet'!$N32*'Assumption Sheet'!$C32/10^7,HV41/Leasing!HV13*Leasing!HW13),0)</f>
        <v>1.8233868382868307E-2</v>
      </c>
      <c r="HX41" s="33">
        <f>IFERROR(IF(AND(Leasing!HW13=0,HX13&gt;0),'Assumption Sheet'!$N32*'Assumption Sheet'!$C32/10^7,HW41/Leasing!HW13*Leasing!HX13),0)</f>
        <v>1.8233868382868307E-2</v>
      </c>
      <c r="HY41" s="33">
        <f>IFERROR(IF(AND(Leasing!HX13=0,HY13&gt;0),'Assumption Sheet'!$N32*'Assumption Sheet'!$C32/10^7,HX41/Leasing!HX13*Leasing!HY13),0)</f>
        <v>1.8233868382868307E-2</v>
      </c>
      <c r="HZ41" s="33">
        <f>IFERROR(IF(AND(Leasing!HY13=0,HZ13&gt;0),'Assumption Sheet'!$N32*'Assumption Sheet'!$C32/10^7,HY41/Leasing!HY13*Leasing!HZ13),0)</f>
        <v>1.8233868382868307E-2</v>
      </c>
      <c r="IA41" s="33">
        <f>IFERROR(IF(AND(Leasing!HZ13=0,IA13&gt;0),'Assumption Sheet'!$N32*'Assumption Sheet'!$C32/10^7,HZ41/Leasing!HZ13*Leasing!IA13),0)</f>
        <v>1.8233868382868307E-2</v>
      </c>
      <c r="IB41" s="33">
        <f>IFERROR(IF(AND(Leasing!IA13=0,IB13&gt;0),'Assumption Sheet'!$N32*'Assumption Sheet'!$C32/10^7,IA41/Leasing!IA13*Leasing!IB13),0)</f>
        <v>1.8233868382868307E-2</v>
      </c>
      <c r="IC41" s="33">
        <f>IFERROR(IF(AND(Leasing!IB13=0,IC13&gt;0),'Assumption Sheet'!$N32*'Assumption Sheet'!$C32/10^7,IB41/Leasing!IB13*Leasing!IC13),0)</f>
        <v>1.8233868382868307E-2</v>
      </c>
      <c r="ID41" s="33">
        <f>IFERROR(IF(AND(Leasing!IC13=0,ID13&gt;0),'Assumption Sheet'!$N32*'Assumption Sheet'!$C32/10^7,IC41/Leasing!IC13*Leasing!ID13),0)</f>
        <v>1.8233868382868307E-2</v>
      </c>
      <c r="IE41" s="33">
        <f>IFERROR(IF(AND(Leasing!ID13=0,IE13&gt;0),'Assumption Sheet'!$N32*'Assumption Sheet'!$C32/10^7,ID41/Leasing!ID13*Leasing!IE13),0)</f>
        <v>1.8233868382868307E-2</v>
      </c>
      <c r="IF41" s="33">
        <f>IFERROR(IF(AND(Leasing!IE13=0,IF13&gt;0),'Assumption Sheet'!$N32*'Assumption Sheet'!$C32/10^7,IE41/Leasing!IE13*Leasing!IF13),0)</f>
        <v>1.8233868382868307E-2</v>
      </c>
      <c r="IG41" s="33">
        <f>IFERROR(IF(AND(Leasing!IF13=0,IG13&gt;0),'Assumption Sheet'!$N32*'Assumption Sheet'!$C32/10^7,IF41/Leasing!IF13*Leasing!IG13),0)</f>
        <v>1.8233868382868307E-2</v>
      </c>
      <c r="IH41" s="33">
        <f>IFERROR(IF(AND(Leasing!IG13=0,IH13&gt;0),'Assumption Sheet'!$N32*'Assumption Sheet'!$C32/10^7,IG41/Leasing!IG13*Leasing!IH13),0)</f>
        <v>1.9145561802011723E-2</v>
      </c>
      <c r="II41" s="33">
        <f>IFERROR(IF(AND(Leasing!IH13=0,II13&gt;0),'Assumption Sheet'!$N32*'Assumption Sheet'!$C32/10^7,IH41/Leasing!IH13*Leasing!II13),0)</f>
        <v>1.9145561802011723E-2</v>
      </c>
      <c r="IJ41" s="33">
        <f>IFERROR(IF(AND(Leasing!II13=0,IJ13&gt;0),'Assumption Sheet'!$N32*'Assumption Sheet'!$C32/10^7,II41/Leasing!II13*Leasing!IJ13),0)</f>
        <v>1.9145561802011723E-2</v>
      </c>
      <c r="IK41" s="33">
        <f>IFERROR(IF(AND(Leasing!IJ13=0,IK13&gt;0),'Assumption Sheet'!$N32*'Assumption Sheet'!$C32/10^7,IJ41/Leasing!IJ13*Leasing!IK13),0)</f>
        <v>1.9145561802011723E-2</v>
      </c>
      <c r="IL41" s="33">
        <f>IFERROR(IF(AND(Leasing!IK13=0,IL13&gt;0),'Assumption Sheet'!$N32*'Assumption Sheet'!$C32/10^7,IK41/Leasing!IK13*Leasing!IL13),0)</f>
        <v>1.9145561802011723E-2</v>
      </c>
      <c r="IM41" s="33">
        <f>IFERROR(IF(AND(Leasing!IL13=0,IM13&gt;0),'Assumption Sheet'!$N32*'Assumption Sheet'!$C32/10^7,IL41/Leasing!IL13*Leasing!IM13),0)</f>
        <v>1.9145561802011723E-2</v>
      </c>
      <c r="IN41" s="33">
        <f>IFERROR(IF(AND(Leasing!IM13=0,IN13&gt;0),'Assumption Sheet'!$N32*'Assumption Sheet'!$C32/10^7,IM41/Leasing!IM13*Leasing!IN13),0)</f>
        <v>1.9145561802011723E-2</v>
      </c>
      <c r="IO41" s="33">
        <f>IFERROR(IF(AND(Leasing!IN13=0,IO13&gt;0),'Assumption Sheet'!$N32*'Assumption Sheet'!$C32/10^7,IN41/Leasing!IN13*Leasing!IO13),0)</f>
        <v>1.9145561802011723E-2</v>
      </c>
      <c r="IP41" s="33">
        <f>IFERROR(IF(AND(Leasing!IO13=0,IP13&gt;0),'Assumption Sheet'!$N32*'Assumption Sheet'!$C32/10^7,IO41/Leasing!IO13*Leasing!IP13),0)</f>
        <v>1.9145561802011723E-2</v>
      </c>
      <c r="IQ41" s="33">
        <f>IFERROR(IF(AND(Leasing!IP13=0,IQ13&gt;0),'Assumption Sheet'!$N32*'Assumption Sheet'!$C32/10^7,IP41/Leasing!IP13*Leasing!IQ13),0)</f>
        <v>1.9145561802011723E-2</v>
      </c>
      <c r="IR41" s="33">
        <f>IFERROR(IF(AND(Leasing!IQ13=0,IR13&gt;0),'Assumption Sheet'!$N32*'Assumption Sheet'!$C32/10^7,IQ41/Leasing!IQ13*Leasing!IR13),0)</f>
        <v>1.9145561802011723E-2</v>
      </c>
      <c r="IS41" s="33">
        <f>IFERROR(IF(AND(Leasing!IR13=0,IS13&gt;0),'Assumption Sheet'!$N32*'Assumption Sheet'!$C32/10^7,IR41/Leasing!IR13*Leasing!IS13),0)</f>
        <v>1.9145561802011723E-2</v>
      </c>
      <c r="IT41" s="33">
        <f>IFERROR(IF(AND(Leasing!IS13=0,IT13&gt;0),'Assumption Sheet'!$N32*'Assumption Sheet'!$C32/10^7,IS41/Leasing!IS13*Leasing!IT13),0)</f>
        <v>2.0102839892112312E-2</v>
      </c>
      <c r="IU41" s="33">
        <f>IFERROR(IF(AND(Leasing!IT13=0,IU13&gt;0),'Assumption Sheet'!$N32*'Assumption Sheet'!$C32/10^7,IT41/Leasing!IT13*Leasing!IU13),0)</f>
        <v>2.0102839892112312E-2</v>
      </c>
      <c r="IV41" s="33">
        <f>IFERROR(IF(AND(Leasing!IU13=0,IV13&gt;0),'Assumption Sheet'!$N32*'Assumption Sheet'!$C32/10^7,IU41/Leasing!IU13*Leasing!IV13),0)</f>
        <v>2.0102839892112312E-2</v>
      </c>
      <c r="IW41" s="33">
        <f>IFERROR(IF(AND(Leasing!IV13=0,IW13&gt;0),'Assumption Sheet'!$N32*'Assumption Sheet'!$C32/10^7,IV41/Leasing!IV13*Leasing!IW13),0)</f>
        <v>2.0102839892112312E-2</v>
      </c>
      <c r="IX41" s="33">
        <f>IFERROR(IF(AND(Leasing!IW13=0,IX13&gt;0),'Assumption Sheet'!$N32*'Assumption Sheet'!$C32/10^7,IW41/Leasing!IW13*Leasing!IX13),0)</f>
        <v>2.0102839892112312E-2</v>
      </c>
      <c r="IY41" s="33">
        <f>IFERROR(IF(AND(Leasing!IX13=0,IY13&gt;0),'Assumption Sheet'!$N32*'Assumption Sheet'!$C32/10^7,IX41/Leasing!IX13*Leasing!IY13),0)</f>
        <v>2.0102839892112312E-2</v>
      </c>
      <c r="IZ41" s="33">
        <f>IFERROR(IF(AND(Leasing!IY13=0,IZ13&gt;0),'Assumption Sheet'!$N32*'Assumption Sheet'!$C32/10^7,IY41/Leasing!IY13*Leasing!IZ13),0)</f>
        <v>2.0102839892112312E-2</v>
      </c>
      <c r="JA41" s="33">
        <f>IFERROR(IF(AND(Leasing!IZ13=0,JA13&gt;0),'Assumption Sheet'!$N32*'Assumption Sheet'!$C32/10^7,IZ41/Leasing!IZ13*Leasing!JA13),0)</f>
        <v>2.0102839892112312E-2</v>
      </c>
      <c r="JB41" s="33">
        <f>IFERROR(IF(AND(Leasing!JA13=0,JB13&gt;0),'Assumption Sheet'!$N32*'Assumption Sheet'!$C32/10^7,JA41/Leasing!JA13*Leasing!JB13),0)</f>
        <v>2.0102839892112312E-2</v>
      </c>
      <c r="JC41" s="33">
        <f>IFERROR(IF(AND(Leasing!JB13=0,JC13&gt;0),'Assumption Sheet'!$N32*'Assumption Sheet'!$C32/10^7,JB41/Leasing!JB13*Leasing!JC13),0)</f>
        <v>2.0102839892112312E-2</v>
      </c>
      <c r="JD41" s="33">
        <f>IFERROR(IF(AND(Leasing!JC13=0,JD13&gt;0),'Assumption Sheet'!$N32*'Assumption Sheet'!$C32/10^7,JC41/Leasing!JC13*Leasing!JD13),0)</f>
        <v>2.0102839892112312E-2</v>
      </c>
      <c r="JE41" s="33">
        <f>IFERROR(IF(AND(Leasing!JD13=0,JE13&gt;0),'Assumption Sheet'!$N32*'Assumption Sheet'!$C32/10^7,JD41/Leasing!JD13*Leasing!JE13),0)</f>
        <v>2.0102839892112312E-2</v>
      </c>
      <c r="JF41" s="33">
        <f>IFERROR(IF(AND(Leasing!JE13=0,JF13&gt;0),'Assumption Sheet'!$N32*'Assumption Sheet'!$C32/10^7,JE41/Leasing!JE13*Leasing!JF13),0)</f>
        <v>2.1107981886717926E-2</v>
      </c>
      <c r="JG41" s="33">
        <f>IFERROR(IF(AND(Leasing!JF13=0,JG13&gt;0),'Assumption Sheet'!$N32*'Assumption Sheet'!$C32/10^7,JF41/Leasing!JF13*Leasing!JG13),0)</f>
        <v>2.1107981886717926E-2</v>
      </c>
      <c r="JH41" s="33">
        <f>IFERROR(IF(AND(Leasing!JG13=0,JH13&gt;0),'Assumption Sheet'!$N32*'Assumption Sheet'!$C32/10^7,JG41/Leasing!JG13*Leasing!JH13),0)</f>
        <v>2.1107981886717926E-2</v>
      </c>
      <c r="JI41" s="33">
        <f>IFERROR(IF(AND(Leasing!JH13=0,JI13&gt;0),'Assumption Sheet'!$N32*'Assumption Sheet'!$C32/10^7,JH41/Leasing!JH13*Leasing!JI13),0)</f>
        <v>2.1107981886717926E-2</v>
      </c>
      <c r="JJ41" s="33">
        <f>IFERROR(IF(AND(Leasing!JI13=0,JJ13&gt;0),'Assumption Sheet'!$N32*'Assumption Sheet'!$C32/10^7,JI41/Leasing!JI13*Leasing!JJ13),0)</f>
        <v>2.1107981886717926E-2</v>
      </c>
      <c r="JK41" s="33">
        <f>IFERROR(IF(AND(Leasing!JJ13=0,JK13&gt;0),'Assumption Sheet'!$N32*'Assumption Sheet'!$C32/10^7,JJ41/Leasing!JJ13*Leasing!JK13),0)</f>
        <v>2.1107981886717926E-2</v>
      </c>
      <c r="JL41" s="33">
        <f>IFERROR(IF(AND(Leasing!JK13=0,JL13&gt;0),'Assumption Sheet'!$N32*'Assumption Sheet'!$C32/10^7,JK41/Leasing!JK13*Leasing!JL13),0)</f>
        <v>2.1107981886717926E-2</v>
      </c>
      <c r="JM41" s="33">
        <f>IFERROR(IF(AND(Leasing!JL13=0,JM13&gt;0),'Assumption Sheet'!$N32*'Assumption Sheet'!$C32/10^7,JL41/Leasing!JL13*Leasing!JM13),0)</f>
        <v>2.1107981886717926E-2</v>
      </c>
      <c r="JN41" s="33">
        <f>IFERROR(IF(AND(Leasing!JM13=0,JN13&gt;0),'Assumption Sheet'!$N32*'Assumption Sheet'!$C32/10^7,JM41/Leasing!JM13*Leasing!JN13),0)</f>
        <v>2.1107981886717926E-2</v>
      </c>
      <c r="JO41" s="33">
        <f>IFERROR(IF(AND(Leasing!JN13=0,JO13&gt;0),'Assumption Sheet'!$N32*'Assumption Sheet'!$C32/10^7,JN41/Leasing!JN13*Leasing!JO13),0)</f>
        <v>2.1107981886717926E-2</v>
      </c>
      <c r="JP41" s="33">
        <f>IFERROR(IF(AND(Leasing!JO13=0,JP13&gt;0),'Assumption Sheet'!$N32*'Assumption Sheet'!$C32/10^7,JO41/Leasing!JO13*Leasing!JP13),0)</f>
        <v>2.1107981886717926E-2</v>
      </c>
      <c r="JQ41" s="33">
        <f>IFERROR(IF(AND(Leasing!JP13=0,JQ13&gt;0),'Assumption Sheet'!$N32*'Assumption Sheet'!$C32/10^7,JP41/Leasing!JP13*Leasing!JQ13),0)</f>
        <v>2.1107981886717926E-2</v>
      </c>
      <c r="JR41" s="33">
        <f>IFERROR(IF(AND(Leasing!JQ13=0,JR13&gt;0),'Assumption Sheet'!$N32*'Assumption Sheet'!$C32/10^7,JQ41/Leasing!JQ13*Leasing!JR13),0)</f>
        <v>2.2163380981053825E-2</v>
      </c>
      <c r="JS41" s="33">
        <f>IFERROR(IF(AND(Leasing!JR13=0,JS13&gt;0),'Assumption Sheet'!$N32*'Assumption Sheet'!$C32/10^7,JR41/Leasing!JR13*Leasing!JS13),0)</f>
        <v>2.2163380981053825E-2</v>
      </c>
      <c r="JT41" s="33">
        <f>IFERROR(IF(AND(Leasing!JS13=0,JT13&gt;0),'Assumption Sheet'!$N32*'Assumption Sheet'!$C32/10^7,JS41/Leasing!JS13*Leasing!JT13),0)</f>
        <v>2.2163380981053825E-2</v>
      </c>
      <c r="JU41" s="33">
        <f>IFERROR(IF(AND(Leasing!JT13=0,JU13&gt;0),'Assumption Sheet'!$N32*'Assumption Sheet'!$C32/10^7,JT41/Leasing!JT13*Leasing!JU13),0)</f>
        <v>2.2163380981053825E-2</v>
      </c>
      <c r="JV41" s="33">
        <f>IFERROR(IF(AND(Leasing!JU13=0,JV13&gt;0),'Assumption Sheet'!$N32*'Assumption Sheet'!$C32/10^7,JU41/Leasing!JU13*Leasing!JV13),0)</f>
        <v>2.2163380981053825E-2</v>
      </c>
      <c r="JW41" s="33">
        <f>IFERROR(IF(AND(Leasing!JV13=0,JW13&gt;0),'Assumption Sheet'!$N32*'Assumption Sheet'!$C32/10^7,JV41/Leasing!JV13*Leasing!JW13),0)</f>
        <v>2.2163380981053825E-2</v>
      </c>
      <c r="JX41" s="33">
        <f>IFERROR(IF(AND(Leasing!JW13=0,JX13&gt;0),'Assumption Sheet'!$N32*'Assumption Sheet'!$C32/10^7,JW41/Leasing!JW13*Leasing!JX13),0)</f>
        <v>2.2163380981053825E-2</v>
      </c>
      <c r="JY41" s="33">
        <f>IFERROR(IF(AND(Leasing!JX13=0,JY13&gt;0),'Assumption Sheet'!$N32*'Assumption Sheet'!$C32/10^7,JX41/Leasing!JX13*Leasing!JY13),0)</f>
        <v>2.2163380981053825E-2</v>
      </c>
      <c r="JZ41" s="33">
        <f>IFERROR(IF(AND(Leasing!JY13=0,JZ13&gt;0),'Assumption Sheet'!$N32*'Assumption Sheet'!$C32/10^7,JY41/Leasing!JY13*Leasing!JZ13),0)</f>
        <v>2.2163380981053825E-2</v>
      </c>
      <c r="KA41" s="33">
        <f>IFERROR(IF(AND(Leasing!JZ13=0,KA13&gt;0),'Assumption Sheet'!$N32*'Assumption Sheet'!$C32/10^7,JZ41/Leasing!JZ13*Leasing!KA13),0)</f>
        <v>2.2163380981053825E-2</v>
      </c>
      <c r="KB41" s="33">
        <f>IFERROR(IF(AND(Leasing!KA13=0,KB13&gt;0),'Assumption Sheet'!$N32*'Assumption Sheet'!$C32/10^7,KA41/Leasing!KA13*Leasing!KB13),0)</f>
        <v>2.2163380981053825E-2</v>
      </c>
      <c r="KC41" s="33">
        <f>IFERROR(IF(AND(Leasing!KB13=0,KC13&gt;0),'Assumption Sheet'!$N32*'Assumption Sheet'!$C32/10^7,KB41/Leasing!KB13*Leasing!KC13),0)</f>
        <v>2.2163380981053825E-2</v>
      </c>
      <c r="KD41" s="33">
        <f>SUM(E41:KC41)</f>
        <v>3.374929788187556</v>
      </c>
      <c r="KE41" s="33"/>
      <c r="KF41" s="33"/>
      <c r="KG41" s="33"/>
      <c r="KH41" s="33"/>
      <c r="KI41" s="33"/>
      <c r="KJ41" s="33"/>
      <c r="KK41" s="33"/>
      <c r="KL41" s="33"/>
      <c r="KM41" s="33"/>
      <c r="KN41" s="33"/>
      <c r="KO41" s="33"/>
    </row>
    <row r="42" spans="1:301" s="428" customFormat="1" x14ac:dyDescent="0.3">
      <c r="A42" s="429"/>
      <c r="C42" s="190">
        <f>SUM(D42:KC42)</f>
        <v>62.695760639581756</v>
      </c>
      <c r="E42" s="190">
        <f t="shared" ref="E42:BP42" si="143">SUM(E36:E41)</f>
        <v>0</v>
      </c>
      <c r="F42" s="190">
        <f t="shared" si="143"/>
        <v>0</v>
      </c>
      <c r="G42" s="190">
        <f t="shared" si="143"/>
        <v>0</v>
      </c>
      <c r="H42" s="190">
        <f t="shared" si="143"/>
        <v>0</v>
      </c>
      <c r="I42" s="190">
        <f t="shared" si="143"/>
        <v>0</v>
      </c>
      <c r="J42" s="190">
        <f t="shared" si="143"/>
        <v>0</v>
      </c>
      <c r="K42" s="190">
        <f t="shared" si="143"/>
        <v>0</v>
      </c>
      <c r="L42" s="190">
        <f t="shared" si="143"/>
        <v>0</v>
      </c>
      <c r="M42" s="190">
        <f t="shared" si="143"/>
        <v>0</v>
      </c>
      <c r="N42" s="190">
        <f t="shared" si="143"/>
        <v>0</v>
      </c>
      <c r="O42" s="190">
        <f t="shared" si="143"/>
        <v>0</v>
      </c>
      <c r="P42" s="190">
        <f t="shared" si="143"/>
        <v>0</v>
      </c>
      <c r="Q42" s="190">
        <f t="shared" si="143"/>
        <v>0</v>
      </c>
      <c r="R42" s="190">
        <f t="shared" si="143"/>
        <v>0</v>
      </c>
      <c r="S42" s="190">
        <f t="shared" si="143"/>
        <v>0</v>
      </c>
      <c r="T42" s="190">
        <f t="shared" si="143"/>
        <v>0</v>
      </c>
      <c r="U42" s="190">
        <f t="shared" si="143"/>
        <v>0</v>
      </c>
      <c r="V42" s="190">
        <f t="shared" si="143"/>
        <v>0</v>
      </c>
      <c r="W42" s="190">
        <f t="shared" si="143"/>
        <v>2.5517983111949999E-2</v>
      </c>
      <c r="X42" s="190">
        <f t="shared" si="143"/>
        <v>2.5517983111949995E-2</v>
      </c>
      <c r="Y42" s="190">
        <f t="shared" si="143"/>
        <v>2.5517983111949995E-2</v>
      </c>
      <c r="Z42" s="190">
        <f t="shared" si="143"/>
        <v>2.5517983111949995E-2</v>
      </c>
      <c r="AA42" s="190">
        <f t="shared" si="143"/>
        <v>2.5517983111949995E-2</v>
      </c>
      <c r="AB42" s="190">
        <f t="shared" si="143"/>
        <v>2.5517983111949995E-2</v>
      </c>
      <c r="AC42" s="190">
        <f t="shared" si="143"/>
        <v>2.5517983111949995E-2</v>
      </c>
      <c r="AD42" s="190">
        <f t="shared" si="143"/>
        <v>2.5517983111949995E-2</v>
      </c>
      <c r="AE42" s="190">
        <f t="shared" si="143"/>
        <v>2.5517983111949995E-2</v>
      </c>
      <c r="AF42" s="190">
        <f t="shared" si="143"/>
        <v>2.5517983111949995E-2</v>
      </c>
      <c r="AG42" s="190">
        <f t="shared" si="143"/>
        <v>2.5517983111949995E-2</v>
      </c>
      <c r="AH42" s="190">
        <f t="shared" si="143"/>
        <v>2.5517983111949995E-2</v>
      </c>
      <c r="AI42" s="190">
        <f t="shared" si="143"/>
        <v>7.6220870945152494E-2</v>
      </c>
      <c r="AJ42" s="190">
        <f t="shared" si="143"/>
        <v>7.6220870945152494E-2</v>
      </c>
      <c r="AK42" s="190">
        <f t="shared" si="143"/>
        <v>7.6220870945152494E-2</v>
      </c>
      <c r="AL42" s="190">
        <f t="shared" si="143"/>
        <v>7.6220870945152494E-2</v>
      </c>
      <c r="AM42" s="190">
        <f t="shared" si="143"/>
        <v>7.6220870945152494E-2</v>
      </c>
      <c r="AN42" s="190">
        <f t="shared" si="143"/>
        <v>7.6220870945152494E-2</v>
      </c>
      <c r="AO42" s="190">
        <f t="shared" si="143"/>
        <v>7.6220870945152494E-2</v>
      </c>
      <c r="AP42" s="190">
        <f t="shared" si="143"/>
        <v>7.6220870945152494E-2</v>
      </c>
      <c r="AQ42" s="190">
        <f t="shared" si="143"/>
        <v>7.6220870945152494E-2</v>
      </c>
      <c r="AR42" s="190">
        <f t="shared" si="143"/>
        <v>9.6824499713392492E-2</v>
      </c>
      <c r="AS42" s="190">
        <f t="shared" si="143"/>
        <v>9.6824499713392492E-2</v>
      </c>
      <c r="AT42" s="190">
        <f t="shared" si="143"/>
        <v>9.6824499713392492E-2</v>
      </c>
      <c r="AU42" s="190">
        <f t="shared" si="143"/>
        <v>0.10063554326065012</v>
      </c>
      <c r="AV42" s="190">
        <f t="shared" si="143"/>
        <v>0.10063554326065012</v>
      </c>
      <c r="AW42" s="190">
        <f t="shared" si="143"/>
        <v>0.10063554326065012</v>
      </c>
      <c r="AX42" s="190">
        <f t="shared" si="143"/>
        <v>0.10063554326065012</v>
      </c>
      <c r="AY42" s="190">
        <f t="shared" si="143"/>
        <v>0.10063554326065012</v>
      </c>
      <c r="AZ42" s="190">
        <f t="shared" si="143"/>
        <v>0.10063554326065012</v>
      </c>
      <c r="BA42" s="190">
        <f t="shared" si="143"/>
        <v>0.14483678227310512</v>
      </c>
      <c r="BB42" s="190">
        <f t="shared" si="143"/>
        <v>0.14483678227310512</v>
      </c>
      <c r="BC42" s="190">
        <f t="shared" si="143"/>
        <v>0.14483678227310512</v>
      </c>
      <c r="BD42" s="190">
        <f t="shared" si="143"/>
        <v>0.14586696371151714</v>
      </c>
      <c r="BE42" s="190">
        <f t="shared" si="143"/>
        <v>0.14586696371151714</v>
      </c>
      <c r="BF42" s="190">
        <f t="shared" si="143"/>
        <v>0.14586696371151714</v>
      </c>
      <c r="BG42" s="190">
        <f t="shared" si="143"/>
        <v>0.14986855943613767</v>
      </c>
      <c r="BH42" s="190">
        <f t="shared" si="143"/>
        <v>0.14986855943613767</v>
      </c>
      <c r="BI42" s="190">
        <f t="shared" si="143"/>
        <v>0.14986855943613767</v>
      </c>
      <c r="BJ42" s="190">
        <f t="shared" si="143"/>
        <v>0.15907790201546268</v>
      </c>
      <c r="BK42" s="190">
        <f t="shared" si="143"/>
        <v>0.15907790201546268</v>
      </c>
      <c r="BL42" s="190">
        <f t="shared" si="143"/>
        <v>0.15907790201546268</v>
      </c>
      <c r="BM42" s="190">
        <f t="shared" si="143"/>
        <v>0.16128796396608541</v>
      </c>
      <c r="BN42" s="190">
        <f t="shared" si="143"/>
        <v>0.16128796396608541</v>
      </c>
      <c r="BO42" s="190">
        <f t="shared" si="143"/>
        <v>0.16128796396608541</v>
      </c>
      <c r="BP42" s="190">
        <f t="shared" si="143"/>
        <v>0.16236965447641805</v>
      </c>
      <c r="BQ42" s="190">
        <f t="shared" ref="BQ42:EB42" si="144">SUM(BQ36:BQ41)</f>
        <v>0.16236965447641805</v>
      </c>
      <c r="BR42" s="190">
        <f t="shared" si="144"/>
        <v>0.16236965447641805</v>
      </c>
      <c r="BS42" s="190">
        <f t="shared" si="144"/>
        <v>0.16657132998726953</v>
      </c>
      <c r="BT42" s="190">
        <f t="shared" si="144"/>
        <v>0.16657132998726953</v>
      </c>
      <c r="BU42" s="190">
        <f t="shared" si="144"/>
        <v>0.16657132998726953</v>
      </c>
      <c r="BV42" s="190">
        <f t="shared" si="144"/>
        <v>0.16703179711623581</v>
      </c>
      <c r="BW42" s="190">
        <f t="shared" si="144"/>
        <v>0.16703179711623581</v>
      </c>
      <c r="BX42" s="190">
        <f t="shared" si="144"/>
        <v>0.16703179711623581</v>
      </c>
      <c r="BY42" s="190">
        <f t="shared" si="144"/>
        <v>0.16935236216438967</v>
      </c>
      <c r="BZ42" s="190">
        <f t="shared" si="144"/>
        <v>0.16935236216438967</v>
      </c>
      <c r="CA42" s="190">
        <f t="shared" si="144"/>
        <v>0.16935236216438967</v>
      </c>
      <c r="CB42" s="190">
        <f t="shared" si="144"/>
        <v>0.17048813720023895</v>
      </c>
      <c r="CC42" s="190">
        <f t="shared" si="144"/>
        <v>0.17048813720023895</v>
      </c>
      <c r="CD42" s="190">
        <f t="shared" si="144"/>
        <v>0.17048813720023895</v>
      </c>
      <c r="CE42" s="190">
        <f t="shared" si="144"/>
        <v>0.17489989648663304</v>
      </c>
      <c r="CF42" s="190">
        <f t="shared" si="144"/>
        <v>0.17489989648663304</v>
      </c>
      <c r="CG42" s="190">
        <f t="shared" si="144"/>
        <v>0.17489989648663304</v>
      </c>
      <c r="CH42" s="190">
        <f t="shared" si="144"/>
        <v>0.17538338697204758</v>
      </c>
      <c r="CI42" s="190">
        <f t="shared" si="144"/>
        <v>0.17538338697204758</v>
      </c>
      <c r="CJ42" s="190">
        <f t="shared" si="144"/>
        <v>0.17538338697204758</v>
      </c>
      <c r="CK42" s="190">
        <f t="shared" si="144"/>
        <v>0.17781998027260915</v>
      </c>
      <c r="CL42" s="190">
        <f t="shared" si="144"/>
        <v>0.17781998027260915</v>
      </c>
      <c r="CM42" s="190">
        <f t="shared" si="144"/>
        <v>0.17781998027260915</v>
      </c>
      <c r="CN42" s="190">
        <f t="shared" si="144"/>
        <v>0.17901254406025086</v>
      </c>
      <c r="CO42" s="190">
        <f t="shared" si="144"/>
        <v>0.17901254406025086</v>
      </c>
      <c r="CP42" s="190">
        <f t="shared" si="144"/>
        <v>0.17901254406025086</v>
      </c>
      <c r="CQ42" s="190">
        <f t="shared" si="144"/>
        <v>0.18364489131096468</v>
      </c>
      <c r="CR42" s="190">
        <f t="shared" si="144"/>
        <v>0.18364489131096468</v>
      </c>
      <c r="CS42" s="190">
        <f t="shared" si="144"/>
        <v>0.18364489131096468</v>
      </c>
      <c r="CT42" s="190">
        <f t="shared" si="144"/>
        <v>0.18415255632064997</v>
      </c>
      <c r="CU42" s="190">
        <f t="shared" si="144"/>
        <v>0.18415255632064997</v>
      </c>
      <c r="CV42" s="190">
        <f t="shared" si="144"/>
        <v>0.18415255632064997</v>
      </c>
      <c r="CW42" s="190">
        <f t="shared" si="144"/>
        <v>0.18671097928623964</v>
      </c>
      <c r="CX42" s="190">
        <f t="shared" si="144"/>
        <v>0.18671097928623964</v>
      </c>
      <c r="CY42" s="190">
        <f t="shared" si="144"/>
        <v>0.18671097928623964</v>
      </c>
      <c r="CZ42" s="190">
        <f t="shared" si="144"/>
        <v>0.1879631712632634</v>
      </c>
      <c r="DA42" s="190">
        <f t="shared" si="144"/>
        <v>0.1879631712632634</v>
      </c>
      <c r="DB42" s="190">
        <f t="shared" si="144"/>
        <v>0.1879631712632634</v>
      </c>
      <c r="DC42" s="190">
        <f t="shared" si="144"/>
        <v>0.1928271358765129</v>
      </c>
      <c r="DD42" s="190">
        <f t="shared" si="144"/>
        <v>0.1928271358765129</v>
      </c>
      <c r="DE42" s="190">
        <f t="shared" si="144"/>
        <v>0.1928271358765129</v>
      </c>
      <c r="DF42" s="190">
        <f t="shared" si="144"/>
        <v>0.19336018413668246</v>
      </c>
      <c r="DG42" s="190">
        <f t="shared" si="144"/>
        <v>0.19336018413668246</v>
      </c>
      <c r="DH42" s="190">
        <f t="shared" si="144"/>
        <v>0.19336018413668246</v>
      </c>
      <c r="DI42" s="190">
        <f t="shared" si="144"/>
        <v>0.1960465282505516</v>
      </c>
      <c r="DJ42" s="190">
        <f t="shared" si="144"/>
        <v>0.1960465282505516</v>
      </c>
      <c r="DK42" s="190">
        <f t="shared" si="144"/>
        <v>0.1960465282505516</v>
      </c>
      <c r="DL42" s="190">
        <f t="shared" si="144"/>
        <v>0.19736132982642657</v>
      </c>
      <c r="DM42" s="190">
        <f t="shared" si="144"/>
        <v>0.19736132982642657</v>
      </c>
      <c r="DN42" s="190">
        <f t="shared" si="144"/>
        <v>0.19736132982642657</v>
      </c>
      <c r="DO42" s="190">
        <f t="shared" si="144"/>
        <v>0.20246849267033856</v>
      </c>
      <c r="DP42" s="190">
        <f t="shared" si="144"/>
        <v>0.20246849267033856</v>
      </c>
      <c r="DQ42" s="190">
        <f t="shared" si="144"/>
        <v>0.20246849267033856</v>
      </c>
      <c r="DR42" s="190">
        <f t="shared" si="144"/>
        <v>0.2030281933435166</v>
      </c>
      <c r="DS42" s="190">
        <f t="shared" si="144"/>
        <v>0.2030281933435166</v>
      </c>
      <c r="DT42" s="190">
        <f t="shared" si="144"/>
        <v>0.2030281933435166</v>
      </c>
      <c r="DU42" s="190">
        <f t="shared" si="144"/>
        <v>0.2058488546630792</v>
      </c>
      <c r="DV42" s="190">
        <f t="shared" si="144"/>
        <v>0.2058488546630792</v>
      </c>
      <c r="DW42" s="190">
        <f t="shared" si="144"/>
        <v>0.2058488546630792</v>
      </c>
      <c r="DX42" s="190">
        <f t="shared" si="144"/>
        <v>0.20722939631774789</v>
      </c>
      <c r="DY42" s="190">
        <f t="shared" si="144"/>
        <v>0.20722939631774789</v>
      </c>
      <c r="DZ42" s="190">
        <f t="shared" si="144"/>
        <v>0.20722939631774789</v>
      </c>
      <c r="EA42" s="190">
        <f t="shared" si="144"/>
        <v>0.21259191730385552</v>
      </c>
      <c r="EB42" s="190">
        <f t="shared" si="144"/>
        <v>0.21259191730385552</v>
      </c>
      <c r="EC42" s="190">
        <f t="shared" ref="EC42:GN42" si="145">SUM(EC36:EC41)</f>
        <v>0.21259191730385552</v>
      </c>
      <c r="ED42" s="190">
        <f t="shared" si="145"/>
        <v>0.21317960301069244</v>
      </c>
      <c r="EE42" s="190">
        <f t="shared" si="145"/>
        <v>0.21317960301069244</v>
      </c>
      <c r="EF42" s="190">
        <f t="shared" si="145"/>
        <v>0.21317960301069244</v>
      </c>
      <c r="EG42" s="190">
        <f t="shared" si="145"/>
        <v>0.21614129739623317</v>
      </c>
      <c r="EH42" s="190">
        <f t="shared" si="145"/>
        <v>0.21614129739623317</v>
      </c>
      <c r="EI42" s="190">
        <f t="shared" si="145"/>
        <v>0.21614129739623317</v>
      </c>
      <c r="EJ42" s="190">
        <f t="shared" si="145"/>
        <v>0.21759086613363532</v>
      </c>
      <c r="EK42" s="190">
        <f t="shared" si="145"/>
        <v>0.21759086613363532</v>
      </c>
      <c r="EL42" s="190">
        <f t="shared" si="145"/>
        <v>0.21759086613363532</v>
      </c>
      <c r="EM42" s="190">
        <f t="shared" si="145"/>
        <v>0.22322151316904826</v>
      </c>
      <c r="EN42" s="190">
        <f t="shared" si="145"/>
        <v>0.22322151316904826</v>
      </c>
      <c r="EO42" s="190">
        <f t="shared" si="145"/>
        <v>0.22322151316904826</v>
      </c>
      <c r="EP42" s="190">
        <f t="shared" si="145"/>
        <v>0.22383858316122704</v>
      </c>
      <c r="EQ42" s="190">
        <f t="shared" si="145"/>
        <v>0.22383858316122704</v>
      </c>
      <c r="ER42" s="190">
        <f t="shared" si="145"/>
        <v>0.22383858316122704</v>
      </c>
      <c r="ES42" s="190">
        <f t="shared" si="145"/>
        <v>0.22694836226604484</v>
      </c>
      <c r="ET42" s="190">
        <f t="shared" si="145"/>
        <v>0.22694836226604484</v>
      </c>
      <c r="EU42" s="190">
        <f t="shared" si="145"/>
        <v>0.22694836226604484</v>
      </c>
      <c r="EV42" s="190">
        <f t="shared" si="145"/>
        <v>0.22847040944031707</v>
      </c>
      <c r="EW42" s="190">
        <f t="shared" si="145"/>
        <v>0.22847040944031707</v>
      </c>
      <c r="EX42" s="190">
        <f t="shared" si="145"/>
        <v>0.22847040944031707</v>
      </c>
      <c r="EY42" s="190">
        <f t="shared" si="145"/>
        <v>0.23438258882750071</v>
      </c>
      <c r="EZ42" s="190">
        <f t="shared" si="145"/>
        <v>0.23438258882750071</v>
      </c>
      <c r="FA42" s="190">
        <f t="shared" si="145"/>
        <v>0.23438258882750071</v>
      </c>
      <c r="FB42" s="190">
        <f t="shared" si="145"/>
        <v>0.23503051231928843</v>
      </c>
      <c r="FC42" s="190">
        <f t="shared" si="145"/>
        <v>0.23503051231928843</v>
      </c>
      <c r="FD42" s="190">
        <f t="shared" si="145"/>
        <v>0.23503051231928843</v>
      </c>
      <c r="FE42" s="190">
        <f t="shared" si="145"/>
        <v>0.23829578037934709</v>
      </c>
      <c r="FF42" s="190">
        <f t="shared" si="145"/>
        <v>0.23829578037934709</v>
      </c>
      <c r="FG42" s="190">
        <f t="shared" si="145"/>
        <v>0.23829578037934709</v>
      </c>
      <c r="FH42" s="190">
        <f t="shared" si="145"/>
        <v>0.23989392991233296</v>
      </c>
      <c r="FI42" s="190">
        <f t="shared" si="145"/>
        <v>0.23989392991233296</v>
      </c>
      <c r="FJ42" s="190">
        <f t="shared" si="145"/>
        <v>0.23989392991233296</v>
      </c>
      <c r="FK42" s="190">
        <f t="shared" si="145"/>
        <v>0.24610171826887581</v>
      </c>
      <c r="FL42" s="190">
        <f t="shared" si="145"/>
        <v>0.24610171826887581</v>
      </c>
      <c r="FM42" s="190">
        <f t="shared" si="145"/>
        <v>0.24610171826887581</v>
      </c>
      <c r="FN42" s="190">
        <f t="shared" si="145"/>
        <v>0.24678203793525291</v>
      </c>
      <c r="FO42" s="190">
        <f t="shared" si="145"/>
        <v>0.24678203793525291</v>
      </c>
      <c r="FP42" s="190">
        <f t="shared" si="145"/>
        <v>0.24678203793525291</v>
      </c>
      <c r="FQ42" s="190">
        <f t="shared" si="145"/>
        <v>0.25021056939831454</v>
      </c>
      <c r="FR42" s="190">
        <f t="shared" si="145"/>
        <v>0.25021056939831454</v>
      </c>
      <c r="FS42" s="190">
        <f t="shared" si="145"/>
        <v>0.25021056939831454</v>
      </c>
      <c r="FT42" s="190">
        <f t="shared" si="145"/>
        <v>0.25188862640794968</v>
      </c>
      <c r="FU42" s="190">
        <f t="shared" si="145"/>
        <v>0.25188862640794968</v>
      </c>
      <c r="FV42" s="190">
        <f t="shared" si="145"/>
        <v>0.25188862640794968</v>
      </c>
      <c r="FW42" s="190">
        <f t="shared" si="145"/>
        <v>0.25840680418231959</v>
      </c>
      <c r="FX42" s="190">
        <f t="shared" si="145"/>
        <v>0.25840680418231959</v>
      </c>
      <c r="FY42" s="190">
        <f t="shared" si="145"/>
        <v>0.25840680418231959</v>
      </c>
      <c r="FZ42" s="190">
        <f t="shared" si="145"/>
        <v>0.25912113983201551</v>
      </c>
      <c r="GA42" s="190">
        <f t="shared" si="145"/>
        <v>0.25912113983201551</v>
      </c>
      <c r="GB42" s="190">
        <f t="shared" si="145"/>
        <v>0.25912113983201551</v>
      </c>
      <c r="GC42" s="190">
        <f t="shared" si="145"/>
        <v>0.26272109786823022</v>
      </c>
      <c r="GD42" s="190">
        <f t="shared" si="145"/>
        <v>0.26272109786823022</v>
      </c>
      <c r="GE42" s="190">
        <f t="shared" si="145"/>
        <v>0.26272109786823022</v>
      </c>
      <c r="GF42" s="190">
        <f t="shared" si="145"/>
        <v>0.26448305772834713</v>
      </c>
      <c r="GG42" s="190">
        <f t="shared" si="145"/>
        <v>0.26448305772834713</v>
      </c>
      <c r="GH42" s="190">
        <f t="shared" si="145"/>
        <v>0.26448305772834713</v>
      </c>
      <c r="GI42" s="190">
        <f t="shared" si="145"/>
        <v>0.27132714439143557</v>
      </c>
      <c r="GJ42" s="190">
        <f t="shared" si="145"/>
        <v>0.27132714439143557</v>
      </c>
      <c r="GK42" s="190">
        <f t="shared" si="145"/>
        <v>0.27132714439143557</v>
      </c>
      <c r="GL42" s="190">
        <f t="shared" si="145"/>
        <v>0.27207719682361636</v>
      </c>
      <c r="GM42" s="190">
        <f t="shared" si="145"/>
        <v>0.27207719682361636</v>
      </c>
      <c r="GN42" s="190">
        <f t="shared" si="145"/>
        <v>0.27207719682361636</v>
      </c>
      <c r="GO42" s="190">
        <f t="shared" ref="GO42:IZ42" si="146">SUM(GO36:GO41)</f>
        <v>0.27585715276164174</v>
      </c>
      <c r="GP42" s="190">
        <f t="shared" si="146"/>
        <v>0.27585715276164174</v>
      </c>
      <c r="GQ42" s="190">
        <f t="shared" si="146"/>
        <v>0.27585715276164174</v>
      </c>
      <c r="GR42" s="190">
        <f t="shared" si="146"/>
        <v>0.2777072106147645</v>
      </c>
      <c r="GS42" s="190">
        <f t="shared" si="146"/>
        <v>0.2777072106147645</v>
      </c>
      <c r="GT42" s="190">
        <f t="shared" si="146"/>
        <v>0.2777072106147645</v>
      </c>
      <c r="GU42" s="190">
        <f t="shared" si="146"/>
        <v>0.2848935016110074</v>
      </c>
      <c r="GV42" s="190">
        <f t="shared" si="146"/>
        <v>0.2848935016110074</v>
      </c>
      <c r="GW42" s="190">
        <f t="shared" si="146"/>
        <v>0.2848935016110074</v>
      </c>
      <c r="GX42" s="190">
        <f t="shared" si="146"/>
        <v>0.28568105666479721</v>
      </c>
      <c r="GY42" s="190">
        <f t="shared" si="146"/>
        <v>0.28568105666479721</v>
      </c>
      <c r="GZ42" s="190">
        <f t="shared" si="146"/>
        <v>0.28568105666479721</v>
      </c>
      <c r="HA42" s="190">
        <f t="shared" si="146"/>
        <v>0.28965001039972388</v>
      </c>
      <c r="HB42" s="190">
        <f t="shared" si="146"/>
        <v>0.28965001039972388</v>
      </c>
      <c r="HC42" s="190">
        <f t="shared" si="146"/>
        <v>0.28965001039972388</v>
      </c>
      <c r="HD42" s="190">
        <f t="shared" si="146"/>
        <v>0.2915925711455028</v>
      </c>
      <c r="HE42" s="190">
        <f t="shared" si="146"/>
        <v>0.2915925711455028</v>
      </c>
      <c r="HF42" s="190">
        <f t="shared" si="146"/>
        <v>0.2915925711455028</v>
      </c>
      <c r="HG42" s="190">
        <f t="shared" si="146"/>
        <v>0.29913817669155779</v>
      </c>
      <c r="HH42" s="190">
        <f t="shared" si="146"/>
        <v>0.29913817669155779</v>
      </c>
      <c r="HI42" s="190">
        <f t="shared" si="146"/>
        <v>0.29913817669155779</v>
      </c>
      <c r="HJ42" s="190">
        <f t="shared" si="146"/>
        <v>0.29996510949803706</v>
      </c>
      <c r="HK42" s="190">
        <f t="shared" si="146"/>
        <v>0.29996510949803706</v>
      </c>
      <c r="HL42" s="190">
        <f t="shared" si="146"/>
        <v>0.29996510949803706</v>
      </c>
      <c r="HM42" s="190">
        <f t="shared" si="146"/>
        <v>0.30413251091971005</v>
      </c>
      <c r="HN42" s="190">
        <f t="shared" si="146"/>
        <v>0.30413251091971005</v>
      </c>
      <c r="HO42" s="190">
        <f t="shared" si="146"/>
        <v>0.30413251091971005</v>
      </c>
      <c r="HP42" s="190">
        <f t="shared" si="146"/>
        <v>0.30617219970277793</v>
      </c>
      <c r="HQ42" s="190">
        <f t="shared" si="146"/>
        <v>0.30617219970277793</v>
      </c>
      <c r="HR42" s="190">
        <f t="shared" si="146"/>
        <v>0.30617219970277793</v>
      </c>
      <c r="HS42" s="190">
        <f t="shared" si="146"/>
        <v>0.31409508552613569</v>
      </c>
      <c r="HT42" s="190">
        <f t="shared" si="146"/>
        <v>0.31409508552613569</v>
      </c>
      <c r="HU42" s="190">
        <f t="shared" si="146"/>
        <v>0.31409508552613569</v>
      </c>
      <c r="HV42" s="190">
        <f t="shared" si="146"/>
        <v>0.31496336497293898</v>
      </c>
      <c r="HW42" s="190">
        <f t="shared" si="146"/>
        <v>0.31496336497293898</v>
      </c>
      <c r="HX42" s="190">
        <f t="shared" si="146"/>
        <v>0.31496336497293898</v>
      </c>
      <c r="HY42" s="190">
        <f t="shared" si="146"/>
        <v>0.31933913646569556</v>
      </c>
      <c r="HZ42" s="190">
        <f t="shared" si="146"/>
        <v>0.31933913646569556</v>
      </c>
      <c r="IA42" s="190">
        <f t="shared" si="146"/>
        <v>0.31933913646569556</v>
      </c>
      <c r="IB42" s="190">
        <f t="shared" si="146"/>
        <v>0.32148080968791681</v>
      </c>
      <c r="IC42" s="190">
        <f t="shared" si="146"/>
        <v>0.32148080968791681</v>
      </c>
      <c r="ID42" s="190">
        <f t="shared" si="146"/>
        <v>0.32148080968791681</v>
      </c>
      <c r="IE42" s="190">
        <f t="shared" si="146"/>
        <v>0.32979983980244243</v>
      </c>
      <c r="IF42" s="190">
        <f t="shared" si="146"/>
        <v>0.32979983980244243</v>
      </c>
      <c r="IG42" s="190">
        <f t="shared" si="146"/>
        <v>0.32979983980244243</v>
      </c>
      <c r="IH42" s="190">
        <f t="shared" si="146"/>
        <v>0.33071153322158586</v>
      </c>
      <c r="II42" s="190">
        <f t="shared" si="146"/>
        <v>0.33071153322158586</v>
      </c>
      <c r="IJ42" s="190">
        <f t="shared" si="146"/>
        <v>0.33071153322158586</v>
      </c>
      <c r="IK42" s="190">
        <f t="shared" si="146"/>
        <v>0.33530609328898037</v>
      </c>
      <c r="IL42" s="190">
        <f t="shared" si="146"/>
        <v>0.33530609328898037</v>
      </c>
      <c r="IM42" s="190">
        <f t="shared" si="146"/>
        <v>0.33530609328898037</v>
      </c>
      <c r="IN42" s="190">
        <f t="shared" si="146"/>
        <v>0.33755485017231268</v>
      </c>
      <c r="IO42" s="190">
        <f t="shared" si="146"/>
        <v>0.33755485017231268</v>
      </c>
      <c r="IP42" s="190">
        <f t="shared" si="146"/>
        <v>0.33755485017231268</v>
      </c>
      <c r="IQ42" s="190">
        <f t="shared" si="146"/>
        <v>0.34628983179256462</v>
      </c>
      <c r="IR42" s="190">
        <f t="shared" si="146"/>
        <v>0.34628983179256462</v>
      </c>
      <c r="IS42" s="190">
        <f t="shared" si="146"/>
        <v>0.34628983179256462</v>
      </c>
      <c r="IT42" s="190">
        <f t="shared" si="146"/>
        <v>0.34724710988266522</v>
      </c>
      <c r="IU42" s="190">
        <f t="shared" si="146"/>
        <v>0.34724710988266522</v>
      </c>
      <c r="IV42" s="190">
        <f t="shared" si="146"/>
        <v>0.34724710988266522</v>
      </c>
      <c r="IW42" s="190">
        <f t="shared" si="146"/>
        <v>0.35207139795342945</v>
      </c>
      <c r="IX42" s="190">
        <f t="shared" si="146"/>
        <v>0.35207139795342945</v>
      </c>
      <c r="IY42" s="190">
        <f t="shared" si="146"/>
        <v>0.35207139795342945</v>
      </c>
      <c r="IZ42" s="190">
        <f t="shared" si="146"/>
        <v>0.35443259268092836</v>
      </c>
      <c r="JA42" s="190">
        <f t="shared" ref="JA42:KC42" si="147">SUM(JA36:JA41)</f>
        <v>0.35443259268092836</v>
      </c>
      <c r="JB42" s="190">
        <f t="shared" si="147"/>
        <v>0.35443259268092836</v>
      </c>
      <c r="JC42" s="190">
        <f t="shared" si="147"/>
        <v>0.36360432338219284</v>
      </c>
      <c r="JD42" s="190">
        <f t="shared" si="147"/>
        <v>0.36360432338219284</v>
      </c>
      <c r="JE42" s="190">
        <f t="shared" si="147"/>
        <v>0.36360432338219284</v>
      </c>
      <c r="JF42" s="190">
        <f t="shared" si="147"/>
        <v>0.36460946537679845</v>
      </c>
      <c r="JG42" s="190">
        <f t="shared" si="147"/>
        <v>0.36460946537679845</v>
      </c>
      <c r="JH42" s="190">
        <f t="shared" si="147"/>
        <v>0.36460946537679845</v>
      </c>
      <c r="JI42" s="190">
        <f t="shared" si="147"/>
        <v>0.36967496785110088</v>
      </c>
      <c r="JJ42" s="190">
        <f t="shared" si="147"/>
        <v>0.36967496785110088</v>
      </c>
      <c r="JK42" s="190">
        <f t="shared" si="147"/>
        <v>0.36967496785110088</v>
      </c>
      <c r="JL42" s="190">
        <f t="shared" si="147"/>
        <v>0.37215422231497475</v>
      </c>
      <c r="JM42" s="190">
        <f t="shared" si="147"/>
        <v>0.37215422231497475</v>
      </c>
      <c r="JN42" s="190">
        <f t="shared" si="147"/>
        <v>0.37215422231497475</v>
      </c>
      <c r="JO42" s="190">
        <f t="shared" si="147"/>
        <v>0.38178453955130254</v>
      </c>
      <c r="JP42" s="190">
        <f t="shared" si="147"/>
        <v>0.38178453955130254</v>
      </c>
      <c r="JQ42" s="190">
        <f t="shared" si="147"/>
        <v>0.38178453955130254</v>
      </c>
      <c r="JR42" s="190">
        <f t="shared" si="147"/>
        <v>0.38283993864563842</v>
      </c>
      <c r="JS42" s="190">
        <f t="shared" si="147"/>
        <v>0.38283993864563842</v>
      </c>
      <c r="JT42" s="190">
        <f t="shared" si="147"/>
        <v>0.38283993864563842</v>
      </c>
      <c r="JU42" s="190">
        <f t="shared" si="147"/>
        <v>0.388158716243656</v>
      </c>
      <c r="JV42" s="190">
        <f t="shared" si="147"/>
        <v>0.388158716243656</v>
      </c>
      <c r="JW42" s="190">
        <f t="shared" si="147"/>
        <v>0.388158716243656</v>
      </c>
      <c r="JX42" s="190">
        <f t="shared" si="147"/>
        <v>0.39076193343072357</v>
      </c>
      <c r="JY42" s="190">
        <f t="shared" si="147"/>
        <v>0.39076193343072357</v>
      </c>
      <c r="JZ42" s="190">
        <f t="shared" si="147"/>
        <v>0.39076193343072357</v>
      </c>
      <c r="KA42" s="190">
        <f t="shared" si="147"/>
        <v>0.40087376652886769</v>
      </c>
      <c r="KB42" s="190">
        <f t="shared" si="147"/>
        <v>0.40087376652886769</v>
      </c>
      <c r="KC42" s="190">
        <f t="shared" si="147"/>
        <v>0.40087376652886769</v>
      </c>
      <c r="KD42" s="190">
        <f>SUM(KD37:KD41)</f>
        <v>62.695760639581692</v>
      </c>
      <c r="KE42" s="190"/>
      <c r="KF42" s="190"/>
      <c r="KG42" s="190"/>
      <c r="KH42" s="190"/>
      <c r="KI42" s="190"/>
      <c r="KJ42" s="190"/>
      <c r="KK42" s="190"/>
      <c r="KL42" s="190"/>
      <c r="KM42" s="190"/>
      <c r="KN42" s="190"/>
      <c r="KO42" s="190"/>
    </row>
    <row r="44" spans="1:301" x14ac:dyDescent="0.3">
      <c r="B44" s="39" t="s">
        <v>30</v>
      </c>
    </row>
    <row r="45" spans="1:301" x14ac:dyDescent="0.3">
      <c r="C45" s="54"/>
      <c r="D45" s="54"/>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5"/>
      <c r="BU45" s="45"/>
      <c r="BV45" s="45"/>
      <c r="BW45" s="45"/>
      <c r="BX45" s="45"/>
      <c r="BY45" s="45"/>
      <c r="BZ45" s="45"/>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5"/>
      <c r="DG45" s="45"/>
      <c r="DH45" s="45"/>
      <c r="DI45" s="45"/>
      <c r="DJ45" s="45"/>
      <c r="DK45" s="45"/>
      <c r="DL45" s="45"/>
      <c r="DM45" s="45"/>
      <c r="DN45" s="45"/>
      <c r="DO45" s="45"/>
      <c r="DP45" s="45"/>
      <c r="DQ45" s="45"/>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5"/>
      <c r="ES45" s="45"/>
      <c r="ET45" s="45"/>
      <c r="EU45" s="45"/>
      <c r="EV45" s="45"/>
      <c r="EW45" s="45"/>
      <c r="EX45" s="45"/>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5"/>
      <c r="GE45" s="45"/>
      <c r="GF45" s="45"/>
      <c r="GG45" s="45"/>
      <c r="GH45" s="45"/>
      <c r="GI45" s="45"/>
      <c r="GJ45" s="45"/>
      <c r="GK45" s="45"/>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c r="HY45" s="45"/>
      <c r="HZ45" s="45"/>
      <c r="IA45" s="45"/>
      <c r="IB45" s="45"/>
      <c r="IC45" s="45"/>
      <c r="ID45" s="45"/>
      <c r="IE45" s="45"/>
      <c r="IF45" s="45"/>
      <c r="IG45" s="45"/>
      <c r="IH45" s="45"/>
      <c r="II45" s="45"/>
      <c r="IJ45" s="45"/>
      <c r="IK45" s="45"/>
      <c r="IL45" s="45"/>
      <c r="IM45" s="45"/>
      <c r="IN45" s="45"/>
      <c r="IO45" s="45"/>
      <c r="IP45" s="45"/>
      <c r="IQ45" s="45"/>
      <c r="IR45" s="45"/>
      <c r="IS45" s="45"/>
      <c r="IT45" s="45"/>
      <c r="IU45" s="45"/>
      <c r="IV45" s="45"/>
      <c r="IW45" s="45"/>
      <c r="IX45" s="45"/>
      <c r="IY45" s="45"/>
      <c r="IZ45" s="45"/>
      <c r="JA45" s="45"/>
      <c r="JB45" s="45"/>
      <c r="JC45" s="45"/>
      <c r="JD45" s="45"/>
      <c r="JE45" s="45"/>
      <c r="JF45" s="45"/>
      <c r="JG45" s="45"/>
      <c r="JH45" s="45"/>
      <c r="JI45" s="45"/>
      <c r="JJ45" s="45"/>
      <c r="JK45" s="45"/>
      <c r="JL45" s="45"/>
      <c r="JM45" s="45"/>
      <c r="JN45" s="45"/>
      <c r="JO45" s="45"/>
      <c r="JP45" s="45"/>
      <c r="JQ45" s="45"/>
      <c r="JR45" s="45"/>
      <c r="JS45" s="45"/>
      <c r="JT45" s="45"/>
      <c r="JU45" s="45"/>
      <c r="JV45" s="45"/>
      <c r="JW45" s="45"/>
      <c r="JX45" s="45"/>
      <c r="JY45" s="45"/>
      <c r="JZ45" s="45"/>
      <c r="KA45" s="45"/>
      <c r="KB45" s="45"/>
      <c r="KC45" s="45"/>
      <c r="KD45" s="45"/>
      <c r="KE45" s="45"/>
      <c r="KF45" s="45"/>
      <c r="KG45" s="45"/>
      <c r="KH45" s="45"/>
      <c r="KI45" s="45"/>
      <c r="KJ45" s="45"/>
      <c r="KK45" s="45"/>
      <c r="KL45" s="45"/>
      <c r="KM45" s="45"/>
      <c r="KN45" s="45"/>
      <c r="KO45" s="45"/>
    </row>
    <row r="46" spans="1:301" x14ac:dyDescent="0.3">
      <c r="B46" s="1" t="str">
        <f>B37</f>
        <v>Phase 1</v>
      </c>
      <c r="C46" s="54">
        <f>SUM(E46:EX46)</f>
        <v>3.1387119227698497</v>
      </c>
      <c r="D46" s="54"/>
      <c r="E46" s="33">
        <f>(IF(E$1='Assumption Sheet'!$L28,('Assumption Sheet'!$M28+'Assumption Sheet'!$P28)*'Assumption Sheet'!$R28*'Assumption Sheet'!$C28,0)-IF(E$1='Assumption Sheet'!$Y28,('Assumption Sheet'!$M28+'Assumption Sheet'!$P28)*'Assumption Sheet'!$R28*'Assumption Sheet'!$C28))/10^7</f>
        <v>0</v>
      </c>
      <c r="F46" s="33">
        <f>(IF(F$1='Assumption Sheet'!$L28,('Assumption Sheet'!$M28+'Assumption Sheet'!$P28)*'Assumption Sheet'!$R28*'Assumption Sheet'!$C28,0)-IF(F$1='Assumption Sheet'!$Y28,('Assumption Sheet'!$M28+'Assumption Sheet'!$P28)*'Assumption Sheet'!$R28*'Assumption Sheet'!$C28))/10^7</f>
        <v>0</v>
      </c>
      <c r="G46" s="33">
        <f>(IF(G$1='Assumption Sheet'!$L28,('Assumption Sheet'!$M28+'Assumption Sheet'!$P28)*'Assumption Sheet'!$R28*'Assumption Sheet'!$C28,0)-IF(G$1='Assumption Sheet'!$Y28,('Assumption Sheet'!$M28+'Assumption Sheet'!$P28)*'Assumption Sheet'!$R28*'Assumption Sheet'!$C28))/10^7</f>
        <v>0</v>
      </c>
      <c r="H46" s="33">
        <f>(IF(H$1='Assumption Sheet'!$L28,('Assumption Sheet'!$M28+'Assumption Sheet'!$P28)*'Assumption Sheet'!$R28*'Assumption Sheet'!$C28,0)-IF(H$1='Assumption Sheet'!$Y28,('Assumption Sheet'!$M28+'Assumption Sheet'!$P28)*'Assumption Sheet'!$R28*'Assumption Sheet'!$C28))/10^7</f>
        <v>0</v>
      </c>
      <c r="I46" s="33">
        <f>(IF(I$1='Assumption Sheet'!$L28,('Assumption Sheet'!$M28+'Assumption Sheet'!$P28)*'Assumption Sheet'!$R28*'Assumption Sheet'!$C28,0)-IF(I$1='Assumption Sheet'!$Y28,('Assumption Sheet'!$M28+'Assumption Sheet'!$P28)*'Assumption Sheet'!$R28*'Assumption Sheet'!$C28))/10^7</f>
        <v>0</v>
      </c>
      <c r="J46" s="33">
        <f>(IF(J$1='Assumption Sheet'!$L28,('Assumption Sheet'!$M28+'Assumption Sheet'!$P28)*'Assumption Sheet'!$R28*'Assumption Sheet'!$C28,0)-IF(J$1='Assumption Sheet'!$Y28,('Assumption Sheet'!$M28+'Assumption Sheet'!$P28)*'Assumption Sheet'!$R28*'Assumption Sheet'!$C28))/10^7</f>
        <v>0</v>
      </c>
      <c r="K46" s="33">
        <f>(IF(K$1='Assumption Sheet'!$L28,('Assumption Sheet'!$M28+'Assumption Sheet'!$P28)*'Assumption Sheet'!$R28*'Assumption Sheet'!$C28,0)-IF(K$1='Assumption Sheet'!$Y28,('Assumption Sheet'!$M28+'Assumption Sheet'!$P28)*'Assumption Sheet'!$R28*'Assumption Sheet'!$C28))/10^7</f>
        <v>0</v>
      </c>
      <c r="L46" s="33">
        <f>(IF(L$1='Assumption Sheet'!$L28,('Assumption Sheet'!$M28+'Assumption Sheet'!$P28)*'Assumption Sheet'!$R28*'Assumption Sheet'!$C28,0)-IF(L$1='Assumption Sheet'!$Y28,('Assumption Sheet'!$M28+'Assumption Sheet'!$P28)*'Assumption Sheet'!$R28*'Assumption Sheet'!$C28))/10^7</f>
        <v>0</v>
      </c>
      <c r="M46" s="33">
        <f>(IF(M$1='Assumption Sheet'!$L28,('Assumption Sheet'!$M28+'Assumption Sheet'!$P28)*'Assumption Sheet'!$R28*'Assumption Sheet'!$C28,0)-IF(M$1='Assumption Sheet'!$Y28,('Assumption Sheet'!$M28+'Assumption Sheet'!$P28)*'Assumption Sheet'!$R28*'Assumption Sheet'!$C28))/10^7</f>
        <v>0</v>
      </c>
      <c r="N46" s="33">
        <f>(IF(N$1='Assumption Sheet'!$L28,('Assumption Sheet'!$M28+'Assumption Sheet'!$P28)*'Assumption Sheet'!$R28*'Assumption Sheet'!$C28,0)-IF(N$1='Assumption Sheet'!$Y28,('Assumption Sheet'!$M28+'Assumption Sheet'!$P28)*'Assumption Sheet'!$R28*'Assumption Sheet'!$C28))/10^7</f>
        <v>0</v>
      </c>
      <c r="O46" s="33">
        <f>(IF(O$1='Assumption Sheet'!$L28,('Assumption Sheet'!$M28+'Assumption Sheet'!$P28)*'Assumption Sheet'!$R28*'Assumption Sheet'!$C28,0)-IF(O$1='Assumption Sheet'!$Y28,('Assumption Sheet'!$M28+'Assumption Sheet'!$P28)*'Assumption Sheet'!$R28*'Assumption Sheet'!$C28))/10^7</f>
        <v>0</v>
      </c>
      <c r="P46" s="33">
        <f>(IF(P$1='Assumption Sheet'!$L28,('Assumption Sheet'!$M28+'Assumption Sheet'!$P28)*'Assumption Sheet'!$R28*'Assumption Sheet'!$C28,0)-IF(P$1='Assumption Sheet'!$Y28,('Assumption Sheet'!$M28+'Assumption Sheet'!$P28)*'Assumption Sheet'!$R28*'Assumption Sheet'!$C28))/10^7</f>
        <v>0</v>
      </c>
      <c r="Q46" s="33">
        <f>(IF(Q$1='Assumption Sheet'!$L28,('Assumption Sheet'!$M28+'Assumption Sheet'!$P28)*'Assumption Sheet'!$R28*'Assumption Sheet'!$C28,0)-IF(Q$1='Assumption Sheet'!$Y28,('Assumption Sheet'!$M28+'Assumption Sheet'!$P28)*'Assumption Sheet'!$R28*'Assumption Sheet'!$C28))/10^7</f>
        <v>0</v>
      </c>
      <c r="R46" s="33">
        <f>(IF(R$1='Assumption Sheet'!$L28,('Assumption Sheet'!$M28+'Assumption Sheet'!$P28)*'Assumption Sheet'!$R28*'Assumption Sheet'!$C28,0)-IF(R$1='Assumption Sheet'!$Y28,('Assumption Sheet'!$M28+'Assumption Sheet'!$P28)*'Assumption Sheet'!$R28*'Assumption Sheet'!$C28))/10^7</f>
        <v>0</v>
      </c>
      <c r="S46" s="33">
        <f>(IF(S$1='Assumption Sheet'!$L28,('Assumption Sheet'!$M28+'Assumption Sheet'!$P28)*'Assumption Sheet'!$R28*'Assumption Sheet'!$C28,0)-IF(S$1='Assumption Sheet'!$Y28,('Assumption Sheet'!$M28+'Assumption Sheet'!$P28)*'Assumption Sheet'!$R28*'Assumption Sheet'!$C28))/10^7</f>
        <v>0</v>
      </c>
      <c r="T46" s="33">
        <f>(IF(T$1='Assumption Sheet'!$L28,('Assumption Sheet'!$M28+'Assumption Sheet'!$P28)*'Assumption Sheet'!$R28*'Assumption Sheet'!$C28,0)-IF(T$1='Assumption Sheet'!$Y28,('Assumption Sheet'!$M28+'Assumption Sheet'!$P28)*'Assumption Sheet'!$R28*'Assumption Sheet'!$C28))/10^7</f>
        <v>0</v>
      </c>
      <c r="U46" s="33">
        <f>(IF(U$1='Assumption Sheet'!$L28,('Assumption Sheet'!$M28+'Assumption Sheet'!$P28)*'Assumption Sheet'!$R28*'Assumption Sheet'!$C28,0)-IF(U$1='Assumption Sheet'!$Y28,('Assumption Sheet'!$M28+'Assumption Sheet'!$P28)*'Assumption Sheet'!$R28*'Assumption Sheet'!$C28))/10^7</f>
        <v>0</v>
      </c>
      <c r="V46" s="33">
        <f>(IF(V$1='Assumption Sheet'!$L28,('Assumption Sheet'!$M28+'Assumption Sheet'!$P28)*'Assumption Sheet'!$R28*'Assumption Sheet'!$C28,0)-IF(V$1='Assumption Sheet'!$Y28,('Assumption Sheet'!$M28+'Assumption Sheet'!$P28)*'Assumption Sheet'!$R28*'Assumption Sheet'!$C28))/10^7</f>
        <v>0</v>
      </c>
      <c r="W46" s="33">
        <f>(IF(W$1='Assumption Sheet'!$L28,('Assumption Sheet'!$M28+'Assumption Sheet'!$P28)*'Assumption Sheet'!$R28*'Assumption Sheet'!$C28,0)-IF(W$1='Assumption Sheet'!$Y28,('Assumption Sheet'!$M28+'Assumption Sheet'!$P28)*'Assumption Sheet'!$R28*'Assumption Sheet'!$C28))/10^7</f>
        <v>3.1387119227698497</v>
      </c>
      <c r="X46" s="33">
        <f>(IF(X$1='Assumption Sheet'!$L28,('Assumption Sheet'!$M28+'Assumption Sheet'!$P28)*'Assumption Sheet'!$R28*'Assumption Sheet'!$C28,0)-IF(X$1='Assumption Sheet'!$Y28,('Assumption Sheet'!$M28+'Assumption Sheet'!$P28)*'Assumption Sheet'!$R28*'Assumption Sheet'!$C28))/10^7</f>
        <v>0</v>
      </c>
      <c r="Y46" s="33">
        <f>(IF(Y$1='Assumption Sheet'!$L28,('Assumption Sheet'!$M28+'Assumption Sheet'!$P28)*'Assumption Sheet'!$R28*'Assumption Sheet'!$C28,0)-IF(Y$1='Assumption Sheet'!$Y28,('Assumption Sheet'!$M28+'Assumption Sheet'!$P28)*'Assumption Sheet'!$R28*'Assumption Sheet'!$C28))/10^7</f>
        <v>0</v>
      </c>
      <c r="Z46" s="33">
        <f>(IF(Z$1='Assumption Sheet'!$L28,('Assumption Sheet'!$M28+'Assumption Sheet'!$P28)*'Assumption Sheet'!$R28*'Assumption Sheet'!$C28,0)-IF(Z$1='Assumption Sheet'!$Y28,('Assumption Sheet'!$M28+'Assumption Sheet'!$P28)*'Assumption Sheet'!$R28*'Assumption Sheet'!$C28))/10^7</f>
        <v>0</v>
      </c>
      <c r="AA46" s="33">
        <f>(IF(AA$1='Assumption Sheet'!$L28,('Assumption Sheet'!$M28+'Assumption Sheet'!$P28)*'Assumption Sheet'!$R28*'Assumption Sheet'!$C28,0)-IF(AA$1='Assumption Sheet'!$Y28,('Assumption Sheet'!$M28+'Assumption Sheet'!$P28)*'Assumption Sheet'!$R28*'Assumption Sheet'!$C28))/10^7</f>
        <v>0</v>
      </c>
      <c r="AB46" s="33">
        <f>(IF(AB$1='Assumption Sheet'!$L28,('Assumption Sheet'!$M28+'Assumption Sheet'!$P28)*'Assumption Sheet'!$R28*'Assumption Sheet'!$C28,0)-IF(AB$1='Assumption Sheet'!$Y28,('Assumption Sheet'!$M28+'Assumption Sheet'!$P28)*'Assumption Sheet'!$R28*'Assumption Sheet'!$C28))/10^7</f>
        <v>0</v>
      </c>
      <c r="AC46" s="33">
        <f>(IF(AC$1='Assumption Sheet'!$L28,('Assumption Sheet'!$M28+'Assumption Sheet'!$P28)*'Assumption Sheet'!$R28*'Assumption Sheet'!$C28,0)-IF(AC$1='Assumption Sheet'!$Y28,('Assumption Sheet'!$M28+'Assumption Sheet'!$P28)*'Assumption Sheet'!$R28*'Assumption Sheet'!$C28))/10^7</f>
        <v>0</v>
      </c>
      <c r="AD46" s="33">
        <f>(IF(AD$1='Assumption Sheet'!$L28,('Assumption Sheet'!$M28+'Assumption Sheet'!$P28)*'Assumption Sheet'!$R28*'Assumption Sheet'!$C28,0)-IF(AD$1='Assumption Sheet'!$Y28,('Assumption Sheet'!$M28+'Assumption Sheet'!$P28)*'Assumption Sheet'!$R28*'Assumption Sheet'!$C28))/10^7</f>
        <v>0</v>
      </c>
      <c r="AE46" s="33">
        <f>(IF(AE$1='Assumption Sheet'!$L28,('Assumption Sheet'!$M28+'Assumption Sheet'!$P28)*'Assumption Sheet'!$R28*'Assumption Sheet'!$C28,0)-IF(AE$1='Assumption Sheet'!$Y28,('Assumption Sheet'!$M28+'Assumption Sheet'!$P28)*'Assumption Sheet'!$R28*'Assumption Sheet'!$C28))/10^7</f>
        <v>0</v>
      </c>
      <c r="AF46" s="33">
        <f>(IF(AF$1='Assumption Sheet'!$L28,('Assumption Sheet'!$M28+'Assumption Sheet'!$P28)*'Assumption Sheet'!$R28*'Assumption Sheet'!$C28,0)-IF(AF$1='Assumption Sheet'!$Y28,('Assumption Sheet'!$M28+'Assumption Sheet'!$P28)*'Assumption Sheet'!$R28*'Assumption Sheet'!$C28))/10^7</f>
        <v>0</v>
      </c>
      <c r="AG46" s="33">
        <f>(IF(AG$1='Assumption Sheet'!$L28,('Assumption Sheet'!$M28+'Assumption Sheet'!$P28)*'Assumption Sheet'!$R28*'Assumption Sheet'!$C28,0)-IF(AG$1='Assumption Sheet'!$Y28,('Assumption Sheet'!$M28+'Assumption Sheet'!$P28)*'Assumption Sheet'!$R28*'Assumption Sheet'!$C28))/10^7</f>
        <v>0</v>
      </c>
      <c r="AH46" s="33">
        <f>(IF(AH$1='Assumption Sheet'!$L28,('Assumption Sheet'!$M28+'Assumption Sheet'!$P28)*'Assumption Sheet'!$R28*'Assumption Sheet'!$C28,0)-IF(AH$1='Assumption Sheet'!$Y28,('Assumption Sheet'!$M28+'Assumption Sheet'!$P28)*'Assumption Sheet'!$R28*'Assumption Sheet'!$C28))/10^7</f>
        <v>0</v>
      </c>
      <c r="AI46" s="33">
        <f>(IF(AI$1='Assumption Sheet'!$L28,('Assumption Sheet'!$M28+'Assumption Sheet'!$P28)*'Assumption Sheet'!$R28*'Assumption Sheet'!$C28,0)-IF(AI$1='Assumption Sheet'!$Y28,('Assumption Sheet'!$M28+'Assumption Sheet'!$P28)*'Assumption Sheet'!$R28*'Assumption Sheet'!$C28))/10^7</f>
        <v>0</v>
      </c>
      <c r="AJ46" s="33">
        <f>(IF(AJ$1='Assumption Sheet'!$L28,('Assumption Sheet'!$M28+'Assumption Sheet'!$P28)*'Assumption Sheet'!$R28*'Assumption Sheet'!$C28,0)-IF(AJ$1='Assumption Sheet'!$Y28,('Assumption Sheet'!$M28+'Assumption Sheet'!$P28)*'Assumption Sheet'!$R28*'Assumption Sheet'!$C28))/10^7</f>
        <v>0</v>
      </c>
      <c r="AK46" s="33">
        <f>(IF(AK$1='Assumption Sheet'!$L28,('Assumption Sheet'!$M28+'Assumption Sheet'!$P28)*'Assumption Sheet'!$R28*'Assumption Sheet'!$C28,0)-IF(AK$1='Assumption Sheet'!$Y28,('Assumption Sheet'!$M28+'Assumption Sheet'!$P28)*'Assumption Sheet'!$R28*'Assumption Sheet'!$C28))/10^7</f>
        <v>0</v>
      </c>
      <c r="AL46" s="33">
        <f>(IF(AL$1='Assumption Sheet'!$L28,('Assumption Sheet'!$M28+'Assumption Sheet'!$P28)*'Assumption Sheet'!$R28*'Assumption Sheet'!$C28,0)-IF(AL$1='Assumption Sheet'!$Y28,('Assumption Sheet'!$M28+'Assumption Sheet'!$P28)*'Assumption Sheet'!$R28*'Assumption Sheet'!$C28))/10^7</f>
        <v>0</v>
      </c>
      <c r="AM46" s="33">
        <f>(IF(AM$1='Assumption Sheet'!$L28,('Assumption Sheet'!$M28+'Assumption Sheet'!$P28)*'Assumption Sheet'!$R28*'Assumption Sheet'!$C28,0)-IF(AM$1='Assumption Sheet'!$Y28,('Assumption Sheet'!$M28+'Assumption Sheet'!$P28)*'Assumption Sheet'!$R28*'Assumption Sheet'!$C28))/10^7</f>
        <v>0</v>
      </c>
      <c r="AN46" s="33">
        <f>(IF(AN$1='Assumption Sheet'!$L28,('Assumption Sheet'!$M28+'Assumption Sheet'!$P28)*'Assumption Sheet'!$R28*'Assumption Sheet'!$C28,0)-IF(AN$1='Assumption Sheet'!$Y28,('Assumption Sheet'!$M28+'Assumption Sheet'!$P28)*'Assumption Sheet'!$R28*'Assumption Sheet'!$C28))/10^7</f>
        <v>0</v>
      </c>
      <c r="AO46" s="33">
        <f>(IF(AO$1='Assumption Sheet'!$L28,('Assumption Sheet'!$M28+'Assumption Sheet'!$P28)*'Assumption Sheet'!$R28*'Assumption Sheet'!$C28,0)-IF(AO$1='Assumption Sheet'!$Y28,('Assumption Sheet'!$M28+'Assumption Sheet'!$P28)*'Assumption Sheet'!$R28*'Assumption Sheet'!$C28))/10^7</f>
        <v>0</v>
      </c>
      <c r="AP46" s="33">
        <f>(IF(AP$1='Assumption Sheet'!$L28,('Assumption Sheet'!$M28+'Assumption Sheet'!$P28)*'Assumption Sheet'!$R28*'Assumption Sheet'!$C28,0)-IF(AP$1='Assumption Sheet'!$Y28,('Assumption Sheet'!$M28+'Assumption Sheet'!$P28)*'Assumption Sheet'!$R28*'Assumption Sheet'!$C28))/10^7</f>
        <v>0</v>
      </c>
      <c r="AQ46" s="33">
        <f>(IF(AQ$1='Assumption Sheet'!$L28,('Assumption Sheet'!$M28+'Assumption Sheet'!$P28)*'Assumption Sheet'!$R28*'Assumption Sheet'!$C28,0)-IF(AQ$1='Assumption Sheet'!$Y28,('Assumption Sheet'!$M28+'Assumption Sheet'!$P28)*'Assumption Sheet'!$R28*'Assumption Sheet'!$C28))/10^7</f>
        <v>0</v>
      </c>
      <c r="AR46" s="33">
        <f>(IF(AR$1='Assumption Sheet'!$L28,('Assumption Sheet'!$M28+'Assumption Sheet'!$P28)*'Assumption Sheet'!$R28*'Assumption Sheet'!$C28,0)-IF(AR$1='Assumption Sheet'!$Y28,('Assumption Sheet'!$M28+'Assumption Sheet'!$P28)*'Assumption Sheet'!$R28*'Assumption Sheet'!$C28))/10^7</f>
        <v>0</v>
      </c>
      <c r="AS46" s="33">
        <f>(IF(AS$1='Assumption Sheet'!$L28,('Assumption Sheet'!$M28+'Assumption Sheet'!$P28)*'Assumption Sheet'!$R28*'Assumption Sheet'!$C28,0)-IF(AS$1='Assumption Sheet'!$Y28,('Assumption Sheet'!$M28+'Assumption Sheet'!$P28)*'Assumption Sheet'!$R28*'Assumption Sheet'!$C28))/10^7</f>
        <v>0</v>
      </c>
      <c r="AT46" s="33">
        <f>(IF(AT$1='Assumption Sheet'!$L28,('Assumption Sheet'!$M28+'Assumption Sheet'!$P28)*'Assumption Sheet'!$R28*'Assumption Sheet'!$C28,0)-IF(AT$1='Assumption Sheet'!$Y28,('Assumption Sheet'!$M28+'Assumption Sheet'!$P28)*'Assumption Sheet'!$R28*'Assumption Sheet'!$C28))/10^7</f>
        <v>0</v>
      </c>
      <c r="AU46" s="33">
        <f>(IF(AU$1='Assumption Sheet'!$L28,('Assumption Sheet'!$M28+'Assumption Sheet'!$P28)*'Assumption Sheet'!$R28*'Assumption Sheet'!$C28,0)-IF(AU$1='Assumption Sheet'!$Y28,('Assumption Sheet'!$M28+'Assumption Sheet'!$P28)*'Assumption Sheet'!$R28*'Assumption Sheet'!$C28))/10^7</f>
        <v>0</v>
      </c>
      <c r="AV46" s="33">
        <f>(IF(AV$1='Assumption Sheet'!$L28,('Assumption Sheet'!$M28+'Assumption Sheet'!$P28)*'Assumption Sheet'!$R28*'Assumption Sheet'!$C28,0)-IF(AV$1='Assumption Sheet'!$Y28,('Assumption Sheet'!$M28+'Assumption Sheet'!$P28)*'Assumption Sheet'!$R28*'Assumption Sheet'!$C28))/10^7</f>
        <v>0</v>
      </c>
      <c r="AW46" s="33">
        <f>(IF(AW$1='Assumption Sheet'!$L28,('Assumption Sheet'!$M28+'Assumption Sheet'!$P28)*'Assumption Sheet'!$R28*'Assumption Sheet'!$C28,0)-IF(AW$1='Assumption Sheet'!$Y28,('Assumption Sheet'!$M28+'Assumption Sheet'!$P28)*'Assumption Sheet'!$R28*'Assumption Sheet'!$C28))/10^7</f>
        <v>0</v>
      </c>
      <c r="AX46" s="33">
        <f>(IF(AX$1='Assumption Sheet'!$L28,('Assumption Sheet'!$M28+'Assumption Sheet'!$P28)*'Assumption Sheet'!$R28*'Assumption Sheet'!$C28,0)-IF(AX$1='Assumption Sheet'!$Y28,('Assumption Sheet'!$M28+'Assumption Sheet'!$P28)*'Assumption Sheet'!$R28*'Assumption Sheet'!$C28))/10^7</f>
        <v>0</v>
      </c>
      <c r="AY46" s="33">
        <f>(IF(AY$1='Assumption Sheet'!$L28,('Assumption Sheet'!$M28+'Assumption Sheet'!$P28)*'Assumption Sheet'!$R28*'Assumption Sheet'!$C28,0)-IF(AY$1='Assumption Sheet'!$Y28,('Assumption Sheet'!$M28+'Assumption Sheet'!$P28)*'Assumption Sheet'!$R28*'Assumption Sheet'!$C28))/10^7</f>
        <v>0</v>
      </c>
      <c r="AZ46" s="33">
        <f>(IF(AZ$1='Assumption Sheet'!$L28,('Assumption Sheet'!$M28+'Assumption Sheet'!$P28)*'Assumption Sheet'!$R28*'Assumption Sheet'!$C28,0)-IF(AZ$1='Assumption Sheet'!$Y28,('Assumption Sheet'!$M28+'Assumption Sheet'!$P28)*'Assumption Sheet'!$R28*'Assumption Sheet'!$C28))/10^7</f>
        <v>0</v>
      </c>
      <c r="BA46" s="33">
        <f>(IF(BA$1='Assumption Sheet'!$L28,('Assumption Sheet'!$M28+'Assumption Sheet'!$P28)*'Assumption Sheet'!$R28*'Assumption Sheet'!$C28,0)-IF(BA$1='Assumption Sheet'!$Y28,('Assumption Sheet'!$M28+'Assumption Sheet'!$P28)*'Assumption Sheet'!$R28*'Assumption Sheet'!$C28))/10^7</f>
        <v>0</v>
      </c>
      <c r="BB46" s="33">
        <f>(IF(BB$1='Assumption Sheet'!$L28,('Assumption Sheet'!$M28+'Assumption Sheet'!$P28)*'Assumption Sheet'!$R28*'Assumption Sheet'!$C28,0)-IF(BB$1='Assumption Sheet'!$Y28,('Assumption Sheet'!$M28+'Assumption Sheet'!$P28)*'Assumption Sheet'!$R28*'Assumption Sheet'!$C28))/10^7</f>
        <v>0</v>
      </c>
      <c r="BC46" s="33">
        <f>(IF(BC$1='Assumption Sheet'!$L28,('Assumption Sheet'!$M28+'Assumption Sheet'!$P28)*'Assumption Sheet'!$R28*'Assumption Sheet'!$C28,0)-IF(BC$1='Assumption Sheet'!$Y28,('Assumption Sheet'!$M28+'Assumption Sheet'!$P28)*'Assumption Sheet'!$R28*'Assumption Sheet'!$C28))/10^7</f>
        <v>0</v>
      </c>
      <c r="BD46" s="33">
        <f>(IF(BD$1='Assumption Sheet'!$L28,('Assumption Sheet'!$M28+'Assumption Sheet'!$P28)*'Assumption Sheet'!$R28*'Assumption Sheet'!$C28,0)-IF(BD$1='Assumption Sheet'!$Y28,('Assumption Sheet'!$M28+'Assumption Sheet'!$P28)*'Assumption Sheet'!$R28*'Assumption Sheet'!$C28))/10^7</f>
        <v>0</v>
      </c>
      <c r="BE46" s="33">
        <f>(IF(BE$1='Assumption Sheet'!$L28,('Assumption Sheet'!$M28+'Assumption Sheet'!$P28)*'Assumption Sheet'!$R28*'Assumption Sheet'!$C28,0)-IF(BE$1='Assumption Sheet'!$Y28,('Assumption Sheet'!$M28+'Assumption Sheet'!$P28)*'Assumption Sheet'!$R28*'Assumption Sheet'!$C28))/10^7</f>
        <v>0</v>
      </c>
      <c r="BF46" s="33">
        <f>(IF(BF$1='Assumption Sheet'!$L28,('Assumption Sheet'!$M28+'Assumption Sheet'!$P28)*'Assumption Sheet'!$R28*'Assumption Sheet'!$C28,0)-IF(BF$1='Assumption Sheet'!$Y28,('Assumption Sheet'!$M28+'Assumption Sheet'!$P28)*'Assumption Sheet'!$R28*'Assumption Sheet'!$C28))/10^7</f>
        <v>0</v>
      </c>
      <c r="BG46" s="33">
        <f>(IF(BG$1='Assumption Sheet'!$L28,('Assumption Sheet'!$M28+'Assumption Sheet'!$P28)*'Assumption Sheet'!$R28*'Assumption Sheet'!$C28,0)-IF(BG$1='Assumption Sheet'!$Y28,('Assumption Sheet'!$M28+'Assumption Sheet'!$P28)*'Assumption Sheet'!$R28*'Assumption Sheet'!$C28))/10^7</f>
        <v>0</v>
      </c>
      <c r="BH46" s="33">
        <f>(IF(BH$1='Assumption Sheet'!$L28,('Assumption Sheet'!$M28+'Assumption Sheet'!$P28)*'Assumption Sheet'!$R28*'Assumption Sheet'!$C28,0)-IF(BH$1='Assumption Sheet'!$Y28,('Assumption Sheet'!$M28+'Assumption Sheet'!$P28)*'Assumption Sheet'!$R28*'Assumption Sheet'!$C28))/10^7</f>
        <v>0</v>
      </c>
      <c r="BI46" s="33">
        <f>(IF(BI$1='Assumption Sheet'!$L28,('Assumption Sheet'!$M28+'Assumption Sheet'!$P28)*'Assumption Sheet'!$R28*'Assumption Sheet'!$C28,0)-IF(BI$1='Assumption Sheet'!$Y28,('Assumption Sheet'!$M28+'Assumption Sheet'!$P28)*'Assumption Sheet'!$R28*'Assumption Sheet'!$C28))/10^7</f>
        <v>0</v>
      </c>
      <c r="BJ46" s="33">
        <f>(IF(BJ$1='Assumption Sheet'!$L28,('Assumption Sheet'!$M28+'Assumption Sheet'!$P28)*'Assumption Sheet'!$R28*'Assumption Sheet'!$C28,0)-IF(BJ$1='Assumption Sheet'!$Y28,('Assumption Sheet'!$M28+'Assumption Sheet'!$P28)*'Assumption Sheet'!$R28*'Assumption Sheet'!$C28))/10^7</f>
        <v>0</v>
      </c>
      <c r="BK46" s="33">
        <f>(IF(BK$1='Assumption Sheet'!$L28,('Assumption Sheet'!$M28+'Assumption Sheet'!$P28)*'Assumption Sheet'!$R28*'Assumption Sheet'!$C28,0)-IF(BK$1='Assumption Sheet'!$Y28,('Assumption Sheet'!$M28+'Assumption Sheet'!$P28)*'Assumption Sheet'!$R28*'Assumption Sheet'!$C28))/10^7</f>
        <v>0</v>
      </c>
      <c r="BL46" s="33">
        <f>(IF(BL$1='Assumption Sheet'!$L28,('Assumption Sheet'!$M28+'Assumption Sheet'!$P28)*'Assumption Sheet'!$R28*'Assumption Sheet'!$C28,0)-IF(BL$1='Assumption Sheet'!$Y28,('Assumption Sheet'!$M28+'Assumption Sheet'!$P28)*'Assumption Sheet'!$R28*'Assumption Sheet'!$C28))/10^7</f>
        <v>0</v>
      </c>
      <c r="BM46" s="33">
        <f>(IF(BM$1='Assumption Sheet'!$L28,('Assumption Sheet'!$M28+'Assumption Sheet'!$P28)*'Assumption Sheet'!$R28*'Assumption Sheet'!$C28,0)-IF(BM$1='Assumption Sheet'!$Y28,('Assumption Sheet'!$M28+'Assumption Sheet'!$P28)*'Assumption Sheet'!$R28*'Assumption Sheet'!$C28))/10^7</f>
        <v>0</v>
      </c>
      <c r="BN46" s="33">
        <f>(IF(BN$1='Assumption Sheet'!$L28,('Assumption Sheet'!$M28+'Assumption Sheet'!$P28)*'Assumption Sheet'!$R28*'Assumption Sheet'!$C28,0)-IF(BN$1='Assumption Sheet'!$Y28,('Assumption Sheet'!$M28+'Assumption Sheet'!$P28)*'Assumption Sheet'!$R28*'Assumption Sheet'!$C28))/10^7</f>
        <v>0</v>
      </c>
      <c r="BO46" s="33">
        <f>(IF(BO$1='Assumption Sheet'!$L28,('Assumption Sheet'!$M28+'Assumption Sheet'!$P28)*'Assumption Sheet'!$R28*'Assumption Sheet'!$C28,0)-IF(BO$1='Assumption Sheet'!$Y28,('Assumption Sheet'!$M28+'Assumption Sheet'!$P28)*'Assumption Sheet'!$R28*'Assumption Sheet'!$C28))/10^7</f>
        <v>0</v>
      </c>
      <c r="BP46" s="33">
        <f>(IF(BP$1='Assumption Sheet'!$L28,('Assumption Sheet'!$M28+'Assumption Sheet'!$P28)*'Assumption Sheet'!$R28*'Assumption Sheet'!$C28,0)-IF(BP$1='Assumption Sheet'!$Y28,('Assumption Sheet'!$M28+'Assumption Sheet'!$P28)*'Assumption Sheet'!$R28*'Assumption Sheet'!$C28))/10^7</f>
        <v>0</v>
      </c>
      <c r="BQ46" s="33">
        <f>(IF(BQ$1='Assumption Sheet'!$L28,('Assumption Sheet'!$M28+'Assumption Sheet'!$P28)*'Assumption Sheet'!$R28*'Assumption Sheet'!$C28,0)-IF(BQ$1='Assumption Sheet'!$Y28,('Assumption Sheet'!$M28+'Assumption Sheet'!$P28)*'Assumption Sheet'!$R28*'Assumption Sheet'!$C28))/10^7</f>
        <v>0</v>
      </c>
      <c r="BR46" s="33">
        <f>(IF(BR$1='Assumption Sheet'!$L28,('Assumption Sheet'!$M28+'Assumption Sheet'!$P28)*'Assumption Sheet'!$R28*'Assumption Sheet'!$C28,0)-IF(BR$1='Assumption Sheet'!$Y28,('Assumption Sheet'!$M28+'Assumption Sheet'!$P28)*'Assumption Sheet'!$R28*'Assumption Sheet'!$C28))/10^7</f>
        <v>0</v>
      </c>
      <c r="BS46" s="33">
        <f>(IF(BS$1='Assumption Sheet'!$L28,('Assumption Sheet'!$M28+'Assumption Sheet'!$P28)*'Assumption Sheet'!$R28*'Assumption Sheet'!$C28,0)-IF(BS$1='Assumption Sheet'!$Y28,('Assumption Sheet'!$M28+'Assumption Sheet'!$P28)*'Assumption Sheet'!$R28*'Assumption Sheet'!$C28))/10^7</f>
        <v>0</v>
      </c>
      <c r="BT46" s="33">
        <f>(IF(BT$1='Assumption Sheet'!$L28,('Assumption Sheet'!$M28+'Assumption Sheet'!$P28)*'Assumption Sheet'!$R28*'Assumption Sheet'!$C28,0)-IF(BT$1='Assumption Sheet'!$Y28,('Assumption Sheet'!$M28+'Assumption Sheet'!$P28)*'Assumption Sheet'!$R28*'Assumption Sheet'!$C28))/10^7</f>
        <v>0</v>
      </c>
      <c r="BU46" s="33">
        <f>(IF(BU$1='Assumption Sheet'!$L28,('Assumption Sheet'!$M28+'Assumption Sheet'!$P28)*'Assumption Sheet'!$R28*'Assumption Sheet'!$C28,0)-IF(BU$1='Assumption Sheet'!$Y28,('Assumption Sheet'!$M28+'Assumption Sheet'!$P28)*'Assumption Sheet'!$R28*'Assumption Sheet'!$C28))/10^7</f>
        <v>0</v>
      </c>
      <c r="BV46" s="33">
        <f>(IF(BV$1='Assumption Sheet'!$L28,('Assumption Sheet'!$M28+'Assumption Sheet'!$P28)*'Assumption Sheet'!$R28*'Assumption Sheet'!$C28,0)-IF(BV$1='Assumption Sheet'!$Y28,('Assumption Sheet'!$M28+'Assumption Sheet'!$P28)*'Assumption Sheet'!$R28*'Assumption Sheet'!$C28))/10^7</f>
        <v>0</v>
      </c>
      <c r="BW46" s="33">
        <f>(IF(BW$1='Assumption Sheet'!$L28,('Assumption Sheet'!$M28+'Assumption Sheet'!$P28)*'Assumption Sheet'!$R28*'Assumption Sheet'!$C28,0)-IF(BW$1='Assumption Sheet'!$Y28,('Assumption Sheet'!$M28+'Assumption Sheet'!$P28)*'Assumption Sheet'!$R28*'Assumption Sheet'!$C28))/10^7</f>
        <v>0</v>
      </c>
      <c r="BX46" s="33">
        <f>(IF(BX$1='Assumption Sheet'!$L28,('Assumption Sheet'!$M28+'Assumption Sheet'!$P28)*'Assumption Sheet'!$R28*'Assumption Sheet'!$C28,0)-IF(BX$1='Assumption Sheet'!$Y28,('Assumption Sheet'!$M28+'Assumption Sheet'!$P28)*'Assumption Sheet'!$R28*'Assumption Sheet'!$C28))/10^7</f>
        <v>0</v>
      </c>
      <c r="BY46" s="33">
        <f>(IF(BY$1='Assumption Sheet'!$L28,('Assumption Sheet'!$M28+'Assumption Sheet'!$P28)*'Assumption Sheet'!$R28*'Assumption Sheet'!$C28,0)-IF(BY$1='Assumption Sheet'!$Y28,('Assumption Sheet'!$M28+'Assumption Sheet'!$P28)*'Assumption Sheet'!$R28*'Assumption Sheet'!$C28))/10^7</f>
        <v>0</v>
      </c>
      <c r="BZ46" s="33">
        <f>(IF(BZ$1='Assumption Sheet'!$L28,('Assumption Sheet'!$M28+'Assumption Sheet'!$P28)*'Assumption Sheet'!$R28*'Assumption Sheet'!$C28,0)-IF(BZ$1='Assumption Sheet'!$Y28,('Assumption Sheet'!$M28+'Assumption Sheet'!$P28)*'Assumption Sheet'!$R28*'Assumption Sheet'!$C28))/10^7</f>
        <v>0</v>
      </c>
      <c r="CA46" s="33">
        <f>(IF(CA$1='Assumption Sheet'!$L28,('Assumption Sheet'!$M28+'Assumption Sheet'!$P28)*'Assumption Sheet'!$R28*'Assumption Sheet'!$C28,0)-IF(CA$1='Assumption Sheet'!$Y28,('Assumption Sheet'!$M28+'Assumption Sheet'!$P28)*'Assumption Sheet'!$R28*'Assumption Sheet'!$C28))/10^7</f>
        <v>0</v>
      </c>
      <c r="CB46" s="33">
        <f>(IF(CB$1='Assumption Sheet'!$L28,('Assumption Sheet'!$M28+'Assumption Sheet'!$P28)*'Assumption Sheet'!$R28*'Assumption Sheet'!$C28,0)-IF(CB$1='Assumption Sheet'!$Y28,('Assumption Sheet'!$M28+'Assumption Sheet'!$P28)*'Assumption Sheet'!$R28*'Assumption Sheet'!$C28))/10^7</f>
        <v>0</v>
      </c>
      <c r="CC46" s="33">
        <f>(IF(CC$1='Assumption Sheet'!$L28,('Assumption Sheet'!$M28+'Assumption Sheet'!$P28)*'Assumption Sheet'!$R28*'Assumption Sheet'!$C28,0)-IF(CC$1='Assumption Sheet'!$Y28,('Assumption Sheet'!$M28+'Assumption Sheet'!$P28)*'Assumption Sheet'!$R28*'Assumption Sheet'!$C28))/10^7</f>
        <v>0</v>
      </c>
      <c r="CD46" s="33">
        <f>(IF(CD$1='Assumption Sheet'!$L28,('Assumption Sheet'!$M28+'Assumption Sheet'!$P28)*'Assumption Sheet'!$R28*'Assumption Sheet'!$C28,0)-IF(CD$1='Assumption Sheet'!$Y28,('Assumption Sheet'!$M28+'Assumption Sheet'!$P28)*'Assumption Sheet'!$R28*'Assumption Sheet'!$C28))/10^7</f>
        <v>0</v>
      </c>
      <c r="CE46" s="33">
        <f>(IF(CE$1='Assumption Sheet'!$L28,('Assumption Sheet'!$M28+'Assumption Sheet'!$P28)*'Assumption Sheet'!$R28*'Assumption Sheet'!$C28,0)-IF(CE$1='Assumption Sheet'!$Y28,('Assumption Sheet'!$M28+'Assumption Sheet'!$P28)*'Assumption Sheet'!$R28*'Assumption Sheet'!$C28))/10^7</f>
        <v>0</v>
      </c>
      <c r="CF46" s="33">
        <f>(IF(CF$1='Assumption Sheet'!$L28,('Assumption Sheet'!$M28+'Assumption Sheet'!$P28)*'Assumption Sheet'!$R28*'Assumption Sheet'!$C28,0)-IF(CF$1='Assumption Sheet'!$Y28,('Assumption Sheet'!$M28+'Assumption Sheet'!$P28)*'Assumption Sheet'!$R28*'Assumption Sheet'!$C28))/10^7</f>
        <v>0</v>
      </c>
      <c r="CG46" s="33">
        <f>(IF(CG$1='Assumption Sheet'!$L28,('Assumption Sheet'!$M28+'Assumption Sheet'!$P28)*'Assumption Sheet'!$R28*'Assumption Sheet'!$C28,0)-IF(CG$1='Assumption Sheet'!$Y28,('Assumption Sheet'!$M28+'Assumption Sheet'!$P28)*'Assumption Sheet'!$R28*'Assumption Sheet'!$C28))/10^7</f>
        <v>0</v>
      </c>
      <c r="CH46" s="33">
        <f>(IF(CH$1='Assumption Sheet'!$L28,('Assumption Sheet'!$M28+'Assumption Sheet'!$P28)*'Assumption Sheet'!$R28*'Assumption Sheet'!$C28,0)-IF(CH$1='Assumption Sheet'!$Y28,('Assumption Sheet'!$M28+'Assumption Sheet'!$P28)*'Assumption Sheet'!$R28*'Assumption Sheet'!$C28))/10^7</f>
        <v>0</v>
      </c>
      <c r="CI46" s="33">
        <f>(IF(CI$1='Assumption Sheet'!$L28,('Assumption Sheet'!$M28+'Assumption Sheet'!$P28)*'Assumption Sheet'!$R28*'Assumption Sheet'!$C28,0)-IF(CI$1='Assumption Sheet'!$Y28,('Assumption Sheet'!$M28+'Assumption Sheet'!$P28)*'Assumption Sheet'!$R28*'Assumption Sheet'!$C28))/10^7</f>
        <v>0</v>
      </c>
      <c r="CJ46" s="33">
        <f>(IF(CJ$1='Assumption Sheet'!$L28,('Assumption Sheet'!$M28+'Assumption Sheet'!$P28)*'Assumption Sheet'!$R28*'Assumption Sheet'!$C28,0)-IF(CJ$1='Assumption Sheet'!$Y28,('Assumption Sheet'!$M28+'Assumption Sheet'!$P28)*'Assumption Sheet'!$R28*'Assumption Sheet'!$C28))/10^7</f>
        <v>0</v>
      </c>
      <c r="CK46" s="33">
        <f>(IF(CK$1='Assumption Sheet'!$L28,('Assumption Sheet'!$M28+'Assumption Sheet'!$P28)*'Assumption Sheet'!$R28*'Assumption Sheet'!$C28,0)-IF(CK$1='Assumption Sheet'!$Y28,('Assumption Sheet'!$M28+'Assumption Sheet'!$P28)*'Assumption Sheet'!$R28*'Assumption Sheet'!$C28))/10^7</f>
        <v>0</v>
      </c>
      <c r="CL46" s="33">
        <f>(IF(CL$1='Assumption Sheet'!$L28,('Assumption Sheet'!$M28+'Assumption Sheet'!$P28)*'Assumption Sheet'!$R28*'Assumption Sheet'!$C28,0)-IF(CL$1='Assumption Sheet'!$Y28,('Assumption Sheet'!$M28+'Assumption Sheet'!$P28)*'Assumption Sheet'!$R28*'Assumption Sheet'!$C28))/10^7</f>
        <v>0</v>
      </c>
      <c r="CM46" s="33">
        <f>(IF(CM$1='Assumption Sheet'!$L28,('Assumption Sheet'!$M28+'Assumption Sheet'!$P28)*'Assumption Sheet'!$R28*'Assumption Sheet'!$C28,0)-IF(CM$1='Assumption Sheet'!$Y28,('Assumption Sheet'!$M28+'Assumption Sheet'!$P28)*'Assumption Sheet'!$R28*'Assumption Sheet'!$C28))/10^7</f>
        <v>0</v>
      </c>
      <c r="CN46" s="33">
        <f>(IF(CN$1='Assumption Sheet'!$L28,('Assumption Sheet'!$M28+'Assumption Sheet'!$P28)*'Assumption Sheet'!$R28*'Assumption Sheet'!$C28,0)-IF(CN$1='Assumption Sheet'!$Y28,('Assumption Sheet'!$M28+'Assumption Sheet'!$P28)*'Assumption Sheet'!$R28*'Assumption Sheet'!$C28))/10^7</f>
        <v>0</v>
      </c>
      <c r="CO46" s="33">
        <f>(IF(CO$1='Assumption Sheet'!$L28,('Assumption Sheet'!$M28+'Assumption Sheet'!$P28)*'Assumption Sheet'!$R28*'Assumption Sheet'!$C28,0)-IF(CO$1='Assumption Sheet'!$Y28,('Assumption Sheet'!$M28+'Assumption Sheet'!$P28)*'Assumption Sheet'!$R28*'Assumption Sheet'!$C28))/10^7</f>
        <v>0</v>
      </c>
      <c r="CP46" s="33">
        <f>(IF(CP$1='Assumption Sheet'!$L28,('Assumption Sheet'!$M28+'Assumption Sheet'!$P28)*'Assumption Sheet'!$R28*'Assumption Sheet'!$C28,0)-IF(CP$1='Assumption Sheet'!$Y28,('Assumption Sheet'!$M28+'Assumption Sheet'!$P28)*'Assumption Sheet'!$R28*'Assumption Sheet'!$C28))/10^7</f>
        <v>0</v>
      </c>
      <c r="CQ46" s="33">
        <f>(IF(CQ$1='Assumption Sheet'!$L28,('Assumption Sheet'!$M28+'Assumption Sheet'!$P28)*'Assumption Sheet'!$R28*'Assumption Sheet'!$C28,0)-IF(CQ$1='Assumption Sheet'!$Y28,('Assumption Sheet'!$M28+'Assumption Sheet'!$P28)*'Assumption Sheet'!$R28*'Assumption Sheet'!$C28))/10^7</f>
        <v>0</v>
      </c>
      <c r="CR46" s="33">
        <f>(IF(CR$1='Assumption Sheet'!$L28,('Assumption Sheet'!$M28+'Assumption Sheet'!$P28)*'Assumption Sheet'!$R28*'Assumption Sheet'!$C28,0)-IF(CR$1='Assumption Sheet'!$Y28,('Assumption Sheet'!$M28+'Assumption Sheet'!$P28)*'Assumption Sheet'!$R28*'Assumption Sheet'!$C28))/10^7</f>
        <v>0</v>
      </c>
      <c r="CS46" s="33">
        <f>(IF(CS$1='Assumption Sheet'!$L28,('Assumption Sheet'!$M28+'Assumption Sheet'!$P28)*'Assumption Sheet'!$R28*'Assumption Sheet'!$C28,0)-IF(CS$1='Assumption Sheet'!$Y28,('Assumption Sheet'!$M28+'Assumption Sheet'!$P28)*'Assumption Sheet'!$R28*'Assumption Sheet'!$C28))/10^7</f>
        <v>0</v>
      </c>
      <c r="CT46" s="33">
        <f>(IF(CT$1='Assumption Sheet'!$L28,('Assumption Sheet'!$M28+'Assumption Sheet'!$P28)*'Assumption Sheet'!$R28*'Assumption Sheet'!$C28,0)-IF(CT$1='Assumption Sheet'!$Y28,('Assumption Sheet'!$M28+'Assumption Sheet'!$P28)*'Assumption Sheet'!$R28*'Assumption Sheet'!$C28))/10^7</f>
        <v>0</v>
      </c>
      <c r="CU46" s="33">
        <f>(IF(CU$1='Assumption Sheet'!$L28,('Assumption Sheet'!$M28+'Assumption Sheet'!$P28)*'Assumption Sheet'!$R28*'Assumption Sheet'!$C28,0)-IF(CU$1='Assumption Sheet'!$Y28,('Assumption Sheet'!$M28+'Assumption Sheet'!$P28)*'Assumption Sheet'!$R28*'Assumption Sheet'!$C28))/10^7</f>
        <v>0</v>
      </c>
      <c r="CV46" s="33">
        <f>(IF(CV$1='Assumption Sheet'!$L28,('Assumption Sheet'!$M28+'Assumption Sheet'!$P28)*'Assumption Sheet'!$R28*'Assumption Sheet'!$C28,0)-IF(CV$1='Assumption Sheet'!$Y28,('Assumption Sheet'!$M28+'Assumption Sheet'!$P28)*'Assumption Sheet'!$R28*'Assumption Sheet'!$C28))/10^7</f>
        <v>0</v>
      </c>
      <c r="CW46" s="33">
        <f>(IF(CW$1='Assumption Sheet'!$L28,('Assumption Sheet'!$M28+'Assumption Sheet'!$P28)*'Assumption Sheet'!$R28*'Assumption Sheet'!$C28,0)-IF(CW$1='Assumption Sheet'!$Y28,('Assumption Sheet'!$M28+'Assumption Sheet'!$P28)*'Assumption Sheet'!$R28*'Assumption Sheet'!$C28))/10^7</f>
        <v>0</v>
      </c>
      <c r="CX46" s="33">
        <f>(IF(CX$1='Assumption Sheet'!$L28,('Assumption Sheet'!$M28+'Assumption Sheet'!$P28)*'Assumption Sheet'!$R28*'Assumption Sheet'!$C28,0)-IF(CX$1='Assumption Sheet'!$Y28,('Assumption Sheet'!$M28+'Assumption Sheet'!$P28)*'Assumption Sheet'!$R28*'Assumption Sheet'!$C28))/10^7</f>
        <v>0</v>
      </c>
      <c r="CY46" s="33">
        <f>(IF(CY$1='Assumption Sheet'!$L28,('Assumption Sheet'!$M28+'Assumption Sheet'!$P28)*'Assumption Sheet'!$R28*'Assumption Sheet'!$C28,0)-IF(CY$1='Assumption Sheet'!$Y28,('Assumption Sheet'!$M28+'Assumption Sheet'!$P28)*'Assumption Sheet'!$R28*'Assumption Sheet'!$C28))/10^7</f>
        <v>0</v>
      </c>
      <c r="CZ46" s="33">
        <f>(IF(CZ$1='Assumption Sheet'!$L28,('Assumption Sheet'!$M28+'Assumption Sheet'!$P28)*'Assumption Sheet'!$R28*'Assumption Sheet'!$C28,0)-IF(CZ$1='Assumption Sheet'!$Y28,('Assumption Sheet'!$M28+'Assumption Sheet'!$P28)*'Assumption Sheet'!$R28*'Assumption Sheet'!$C28))/10^7</f>
        <v>0</v>
      </c>
      <c r="DA46" s="33">
        <f>(IF(DA$1='Assumption Sheet'!$L28,('Assumption Sheet'!$M28+'Assumption Sheet'!$P28)*'Assumption Sheet'!$R28*'Assumption Sheet'!$C28,0)-IF(DA$1='Assumption Sheet'!$Y28,('Assumption Sheet'!$M28+'Assumption Sheet'!$P28)*'Assumption Sheet'!$R28*'Assumption Sheet'!$C28))/10^7</f>
        <v>0</v>
      </c>
      <c r="DB46" s="33">
        <f>(IF(DB$1='Assumption Sheet'!$L28,('Assumption Sheet'!$M28+'Assumption Sheet'!$P28)*'Assumption Sheet'!$R28*'Assumption Sheet'!$C28,0)-IF(DB$1='Assumption Sheet'!$Y28,('Assumption Sheet'!$M28+'Assumption Sheet'!$P28)*'Assumption Sheet'!$R28*'Assumption Sheet'!$C28))/10^7</f>
        <v>0</v>
      </c>
      <c r="DC46" s="33">
        <f>(IF(DC$1='Assumption Sheet'!$L28,('Assumption Sheet'!$M28+'Assumption Sheet'!$P28)*'Assumption Sheet'!$R28*'Assumption Sheet'!$C28,0)-IF(DC$1='Assumption Sheet'!$Y28,('Assumption Sheet'!$M28+'Assumption Sheet'!$P28)*'Assumption Sheet'!$R28*'Assumption Sheet'!$C28))/10^7</f>
        <v>0</v>
      </c>
      <c r="DD46" s="33">
        <f>(IF(DD$1='Assumption Sheet'!$L28,('Assumption Sheet'!$M28+'Assumption Sheet'!$P28)*'Assumption Sheet'!$R28*'Assumption Sheet'!$C28,0)-IF(DD$1='Assumption Sheet'!$Y28,('Assumption Sheet'!$M28+'Assumption Sheet'!$P28)*'Assumption Sheet'!$R28*'Assumption Sheet'!$C28))/10^7</f>
        <v>0</v>
      </c>
      <c r="DE46" s="33">
        <f>(IF(DE$1='Assumption Sheet'!$L28,('Assumption Sheet'!$M28+'Assumption Sheet'!$P28)*'Assumption Sheet'!$R28*'Assumption Sheet'!$C28,0)-IF(DE$1='Assumption Sheet'!$Y28,('Assumption Sheet'!$M28+'Assumption Sheet'!$P28)*'Assumption Sheet'!$R28*'Assumption Sheet'!$C28))/10^7</f>
        <v>0</v>
      </c>
      <c r="DF46" s="33">
        <f>(IF(DF$1='Assumption Sheet'!$L28,('Assumption Sheet'!$M28+'Assumption Sheet'!$P28)*'Assumption Sheet'!$R28*'Assumption Sheet'!$C28,0)-IF(DF$1='Assumption Sheet'!$Y28,('Assumption Sheet'!$M28+'Assumption Sheet'!$P28)*'Assumption Sheet'!$R28*'Assumption Sheet'!$C28))/10^7</f>
        <v>0</v>
      </c>
      <c r="DG46" s="33">
        <f>(IF(DG$1='Assumption Sheet'!$L28,('Assumption Sheet'!$M28+'Assumption Sheet'!$P28)*'Assumption Sheet'!$R28*'Assumption Sheet'!$C28,0)-IF(DG$1='Assumption Sheet'!$Y28,('Assumption Sheet'!$M28+'Assumption Sheet'!$P28)*'Assumption Sheet'!$R28*'Assumption Sheet'!$C28))/10^7</f>
        <v>0</v>
      </c>
      <c r="DH46" s="33">
        <f>(IF(DH$1='Assumption Sheet'!$L28,('Assumption Sheet'!$M28+'Assumption Sheet'!$P28)*'Assumption Sheet'!$R28*'Assumption Sheet'!$C28,0)-IF(DH$1='Assumption Sheet'!$Y28,('Assumption Sheet'!$M28+'Assumption Sheet'!$P28)*'Assumption Sheet'!$R28*'Assumption Sheet'!$C28))/10^7</f>
        <v>0</v>
      </c>
      <c r="DI46" s="33">
        <f>(IF(DI$1='Assumption Sheet'!$L28,('Assumption Sheet'!$M28+'Assumption Sheet'!$P28)*'Assumption Sheet'!$R28*'Assumption Sheet'!$C28,0)-IF(DI$1='Assumption Sheet'!$Y28,('Assumption Sheet'!$M28+'Assumption Sheet'!$P28)*'Assumption Sheet'!$R28*'Assumption Sheet'!$C28))/10^7</f>
        <v>0</v>
      </c>
      <c r="DJ46" s="33">
        <f>(IF(DJ$1='Assumption Sheet'!$L28,('Assumption Sheet'!$M28+'Assumption Sheet'!$P28)*'Assumption Sheet'!$R28*'Assumption Sheet'!$C28,0)-IF(DJ$1='Assumption Sheet'!$Y28,('Assumption Sheet'!$M28+'Assumption Sheet'!$P28)*'Assumption Sheet'!$R28*'Assumption Sheet'!$C28))/10^7</f>
        <v>0</v>
      </c>
      <c r="DK46" s="33">
        <f>(IF(DK$1='Assumption Sheet'!$L28,('Assumption Sheet'!$M28+'Assumption Sheet'!$P28)*'Assumption Sheet'!$R28*'Assumption Sheet'!$C28,0)-IF(DK$1='Assumption Sheet'!$Y28,('Assumption Sheet'!$M28+'Assumption Sheet'!$P28)*'Assumption Sheet'!$R28*'Assumption Sheet'!$C28))/10^7</f>
        <v>0</v>
      </c>
      <c r="DL46" s="33">
        <f>(IF(DL$1='Assumption Sheet'!$L28,('Assumption Sheet'!$M28+'Assumption Sheet'!$P28)*'Assumption Sheet'!$R28*'Assumption Sheet'!$C28,0)-IF(DL$1='Assumption Sheet'!$Y28,('Assumption Sheet'!$M28+'Assumption Sheet'!$P28)*'Assumption Sheet'!$R28*'Assumption Sheet'!$C28))/10^7</f>
        <v>0</v>
      </c>
      <c r="DM46" s="33">
        <f>(IF(DM$1='Assumption Sheet'!$L28,('Assumption Sheet'!$M28+'Assumption Sheet'!$P28)*'Assumption Sheet'!$R28*'Assumption Sheet'!$C28,0)-IF(DM$1='Assumption Sheet'!$Y28,('Assumption Sheet'!$M28+'Assumption Sheet'!$P28)*'Assumption Sheet'!$R28*'Assumption Sheet'!$C28))/10^7</f>
        <v>0</v>
      </c>
      <c r="DN46" s="33">
        <f>(IF(DN$1='Assumption Sheet'!$L28,('Assumption Sheet'!$M28+'Assumption Sheet'!$P28)*'Assumption Sheet'!$R28*'Assumption Sheet'!$C28,0)-IF(DN$1='Assumption Sheet'!$Y28,('Assumption Sheet'!$M28+'Assumption Sheet'!$P28)*'Assumption Sheet'!$R28*'Assumption Sheet'!$C28))/10^7</f>
        <v>0</v>
      </c>
      <c r="DO46" s="33">
        <f>(IF(DO$1='Assumption Sheet'!$L28,('Assumption Sheet'!$M28+'Assumption Sheet'!$P28)*'Assumption Sheet'!$R28*'Assumption Sheet'!$C28,0)-IF(DO$1='Assumption Sheet'!$Y28,('Assumption Sheet'!$M28+'Assumption Sheet'!$P28)*'Assumption Sheet'!$R28*'Assumption Sheet'!$C28))/10^7</f>
        <v>0</v>
      </c>
      <c r="DP46" s="33">
        <f>(IF(DP$1='Assumption Sheet'!$L28,('Assumption Sheet'!$M28+'Assumption Sheet'!$P28)*'Assumption Sheet'!$R28*'Assumption Sheet'!$C28,0)-IF(DP$1='Assumption Sheet'!$Y28,('Assumption Sheet'!$M28+'Assumption Sheet'!$P28)*'Assumption Sheet'!$R28*'Assumption Sheet'!$C28))/10^7</f>
        <v>0</v>
      </c>
      <c r="DQ46" s="33">
        <f>(IF(DQ$1='Assumption Sheet'!$L28,('Assumption Sheet'!$M28+'Assumption Sheet'!$P28)*'Assumption Sheet'!$R28*'Assumption Sheet'!$C28,0)-IF(DQ$1='Assumption Sheet'!$Y28,('Assumption Sheet'!$M28+'Assumption Sheet'!$P28)*'Assumption Sheet'!$R28*'Assumption Sheet'!$C28))/10^7</f>
        <v>0</v>
      </c>
      <c r="DR46" s="33">
        <f>(IF(DR$1='Assumption Sheet'!$L28,('Assumption Sheet'!$M28+'Assumption Sheet'!$P28)*'Assumption Sheet'!$R28*'Assumption Sheet'!$C28,0)-IF(DR$1='Assumption Sheet'!$Y28,('Assumption Sheet'!$M28+'Assumption Sheet'!$P28)*'Assumption Sheet'!$R28*'Assumption Sheet'!$C28))/10^7</f>
        <v>0</v>
      </c>
      <c r="DS46" s="33">
        <f>(IF(DS$1='Assumption Sheet'!$L28,('Assumption Sheet'!$M28+'Assumption Sheet'!$P28)*'Assumption Sheet'!$R28*'Assumption Sheet'!$C28,0)-IF(DS$1='Assumption Sheet'!$Y28,('Assumption Sheet'!$M28+'Assumption Sheet'!$P28)*'Assumption Sheet'!$R28*'Assumption Sheet'!$C28))/10^7</f>
        <v>0</v>
      </c>
      <c r="DT46" s="33">
        <f>(IF(DT$1='Assumption Sheet'!$L28,('Assumption Sheet'!$M28+'Assumption Sheet'!$P28)*'Assumption Sheet'!$R28*'Assumption Sheet'!$C28,0)-IF(DT$1='Assumption Sheet'!$Y28,('Assumption Sheet'!$M28+'Assumption Sheet'!$P28)*'Assumption Sheet'!$R28*'Assumption Sheet'!$C28))/10^7</f>
        <v>0</v>
      </c>
      <c r="DU46" s="33">
        <f>(IF(DU$1='Assumption Sheet'!$L28,('Assumption Sheet'!$M28+'Assumption Sheet'!$P28)*'Assumption Sheet'!$R28*'Assumption Sheet'!$C28,0)-IF(DU$1='Assumption Sheet'!$Y28,('Assumption Sheet'!$M28+'Assumption Sheet'!$P28)*'Assumption Sheet'!$R28*'Assumption Sheet'!$C28))/10^7</f>
        <v>0</v>
      </c>
      <c r="DV46" s="33">
        <f>(IF(DV$1='Assumption Sheet'!$L28,('Assumption Sheet'!$M28+'Assumption Sheet'!$P28)*'Assumption Sheet'!$R28*'Assumption Sheet'!$C28,0)-IF(DV$1='Assumption Sheet'!$Y28,('Assumption Sheet'!$M28+'Assumption Sheet'!$P28)*'Assumption Sheet'!$R28*'Assumption Sheet'!$C28))/10^7</f>
        <v>0</v>
      </c>
      <c r="DW46" s="33">
        <f>(IF(DW$1='Assumption Sheet'!$L28,('Assumption Sheet'!$M28+'Assumption Sheet'!$P28)*'Assumption Sheet'!$R28*'Assumption Sheet'!$C28,0)-IF(DW$1='Assumption Sheet'!$Y28,('Assumption Sheet'!$M28+'Assumption Sheet'!$P28)*'Assumption Sheet'!$R28*'Assumption Sheet'!$C28))/10^7</f>
        <v>0</v>
      </c>
      <c r="DX46" s="33">
        <f>(IF(DX$1='Assumption Sheet'!$L28,('Assumption Sheet'!$M28+'Assumption Sheet'!$P28)*'Assumption Sheet'!$R28*'Assumption Sheet'!$C28,0)-IF(DX$1='Assumption Sheet'!$Y28,('Assumption Sheet'!$M28+'Assumption Sheet'!$P28)*'Assumption Sheet'!$R28*'Assumption Sheet'!$C28))/10^7</f>
        <v>0</v>
      </c>
      <c r="DY46" s="33">
        <f>(IF(DY$1='Assumption Sheet'!$L28,('Assumption Sheet'!$M28+'Assumption Sheet'!$P28)*'Assumption Sheet'!$R28*'Assumption Sheet'!$C28,0)-IF(DY$1='Assumption Sheet'!$Y28,('Assumption Sheet'!$M28+'Assumption Sheet'!$P28)*'Assumption Sheet'!$R28*'Assumption Sheet'!$C28))/10^7</f>
        <v>0</v>
      </c>
      <c r="DZ46" s="33">
        <f>(IF(DZ$1='Assumption Sheet'!$L28,('Assumption Sheet'!$M28+'Assumption Sheet'!$P28)*'Assumption Sheet'!$R28*'Assumption Sheet'!$C28,0)-IF(DZ$1='Assumption Sheet'!$Y28,('Assumption Sheet'!$M28+'Assumption Sheet'!$P28)*'Assumption Sheet'!$R28*'Assumption Sheet'!$C28))/10^7</f>
        <v>0</v>
      </c>
      <c r="EA46" s="33">
        <f>(IF(EA$1='Assumption Sheet'!$L28,('Assumption Sheet'!$M28+'Assumption Sheet'!$P28)*'Assumption Sheet'!$R28*'Assumption Sheet'!$C28,0)-IF(EA$1='Assumption Sheet'!$Y28,('Assumption Sheet'!$M28+'Assumption Sheet'!$P28)*'Assumption Sheet'!$R28*'Assumption Sheet'!$C28))/10^7</f>
        <v>0</v>
      </c>
      <c r="EB46" s="33">
        <f>(IF(EB$1='Assumption Sheet'!$L28,('Assumption Sheet'!$M28+'Assumption Sheet'!$P28)*'Assumption Sheet'!$R28*'Assumption Sheet'!$C28,0)-IF(EB$1='Assumption Sheet'!$Y28,('Assumption Sheet'!$M28+'Assumption Sheet'!$P28)*'Assumption Sheet'!$R28*'Assumption Sheet'!$C28))/10^7</f>
        <v>0</v>
      </c>
      <c r="EC46" s="33">
        <f>(IF(EC$1='Assumption Sheet'!$L28,('Assumption Sheet'!$M28+'Assumption Sheet'!$P28)*'Assumption Sheet'!$R28*'Assumption Sheet'!$C28,0)-IF(EC$1='Assumption Sheet'!$Y28,('Assumption Sheet'!$M28+'Assumption Sheet'!$P28)*'Assumption Sheet'!$R28*'Assumption Sheet'!$C28))/10^7</f>
        <v>0</v>
      </c>
      <c r="ED46" s="33">
        <f>(IF(ED$1='Assumption Sheet'!$L28,('Assumption Sheet'!$M28+'Assumption Sheet'!$P28)*'Assumption Sheet'!$R28*'Assumption Sheet'!$C28,0)-IF(ED$1='Assumption Sheet'!$Y28,('Assumption Sheet'!$M28+'Assumption Sheet'!$P28)*'Assumption Sheet'!$R28*'Assumption Sheet'!$C28))/10^7</f>
        <v>0</v>
      </c>
      <c r="EE46" s="33">
        <f>(IF(EE$1='Assumption Sheet'!$L28,('Assumption Sheet'!$M28+'Assumption Sheet'!$P28)*'Assumption Sheet'!$R28*'Assumption Sheet'!$C28,0)-IF(EE$1='Assumption Sheet'!$Y28,('Assumption Sheet'!$M28+'Assumption Sheet'!$P28)*'Assumption Sheet'!$R28*'Assumption Sheet'!$C28))/10^7</f>
        <v>0</v>
      </c>
      <c r="EF46" s="33">
        <f>(IF(EF$1='Assumption Sheet'!$L28,('Assumption Sheet'!$M28+'Assumption Sheet'!$P28)*'Assumption Sheet'!$R28*'Assumption Sheet'!$C28,0)-IF(EF$1='Assumption Sheet'!$Y28,('Assumption Sheet'!$M28+'Assumption Sheet'!$P28)*'Assumption Sheet'!$R28*'Assumption Sheet'!$C28))/10^7</f>
        <v>0</v>
      </c>
      <c r="EG46" s="33">
        <f>(IF(EG$1='Assumption Sheet'!$L28,('Assumption Sheet'!$M28+'Assumption Sheet'!$P28)*'Assumption Sheet'!$R28*'Assumption Sheet'!$C28,0)-IF(EG$1='Assumption Sheet'!$Y28,('Assumption Sheet'!$M28+'Assumption Sheet'!$P28)*'Assumption Sheet'!$R28*'Assumption Sheet'!$C28))/10^7</f>
        <v>0</v>
      </c>
      <c r="EH46" s="33">
        <f>(IF(EH$1='Assumption Sheet'!$L28,('Assumption Sheet'!$M28+'Assumption Sheet'!$P28)*'Assumption Sheet'!$R28*'Assumption Sheet'!$C28,0)-IF(EH$1='Assumption Sheet'!$Y28,('Assumption Sheet'!$M28+'Assumption Sheet'!$P28)*'Assumption Sheet'!$R28*'Assumption Sheet'!$C28))/10^7</f>
        <v>0</v>
      </c>
      <c r="EI46" s="33">
        <f>(IF(EI$1='Assumption Sheet'!$L28,('Assumption Sheet'!$M28+'Assumption Sheet'!$P28)*'Assumption Sheet'!$R28*'Assumption Sheet'!$C28,0)-IF(EI$1='Assumption Sheet'!$Y28,('Assumption Sheet'!$M28+'Assumption Sheet'!$P28)*'Assumption Sheet'!$R28*'Assumption Sheet'!$C28))/10^7</f>
        <v>0</v>
      </c>
      <c r="EJ46" s="33">
        <f>(IF(EJ$1='Assumption Sheet'!$L28,('Assumption Sheet'!$M28+'Assumption Sheet'!$P28)*'Assumption Sheet'!$R28*'Assumption Sheet'!$C28,0)-IF(EJ$1='Assumption Sheet'!$Y28,('Assumption Sheet'!$M28+'Assumption Sheet'!$P28)*'Assumption Sheet'!$R28*'Assumption Sheet'!$C28))/10^7</f>
        <v>0</v>
      </c>
      <c r="EK46" s="33">
        <f>(IF(EK$1='Assumption Sheet'!$L28,('Assumption Sheet'!$M28+'Assumption Sheet'!$P28)*'Assumption Sheet'!$R28*'Assumption Sheet'!$C28,0)-IF(EK$1='Assumption Sheet'!$Y28,('Assumption Sheet'!$M28+'Assumption Sheet'!$P28)*'Assumption Sheet'!$R28*'Assumption Sheet'!$C28))/10^7</f>
        <v>0</v>
      </c>
      <c r="EL46" s="33">
        <f>(IF(EL$1='Assumption Sheet'!$L28,('Assumption Sheet'!$M28+'Assumption Sheet'!$P28)*'Assumption Sheet'!$R28*'Assumption Sheet'!$C28,0)-IF(EL$1='Assumption Sheet'!$Y28,('Assumption Sheet'!$M28+'Assumption Sheet'!$P28)*'Assumption Sheet'!$R28*'Assumption Sheet'!$C28))/10^7</f>
        <v>0</v>
      </c>
      <c r="EM46" s="33">
        <f>(IF(EM$1='Assumption Sheet'!$L28,('Assumption Sheet'!$M28+'Assumption Sheet'!$P28)*'Assumption Sheet'!$R28*'Assumption Sheet'!$C28,0)-IF(EM$1='Assumption Sheet'!$Y28,('Assumption Sheet'!$M28+'Assumption Sheet'!$P28)*'Assumption Sheet'!$R28*'Assumption Sheet'!$C28))/10^7</f>
        <v>0</v>
      </c>
      <c r="EN46" s="33">
        <f>(IF(EN$1='Assumption Sheet'!$L28,('Assumption Sheet'!$M28+'Assumption Sheet'!$P28)*'Assumption Sheet'!$R28*'Assumption Sheet'!$C28,0)-IF(EN$1='Assumption Sheet'!$Y28,('Assumption Sheet'!$M28+'Assumption Sheet'!$P28)*'Assumption Sheet'!$R28*'Assumption Sheet'!$C28))/10^7</f>
        <v>0</v>
      </c>
      <c r="EO46" s="33">
        <f>(IF(EO$1='Assumption Sheet'!$L28,('Assumption Sheet'!$M28+'Assumption Sheet'!$P28)*'Assumption Sheet'!$R28*'Assumption Sheet'!$C28,0)-IF(EO$1='Assumption Sheet'!$Y28,('Assumption Sheet'!$M28+'Assumption Sheet'!$P28)*'Assumption Sheet'!$R28*'Assumption Sheet'!$C28))/10^7</f>
        <v>0</v>
      </c>
      <c r="EP46" s="33">
        <f>(IF(EP$1='Assumption Sheet'!$L28,('Assumption Sheet'!$M28+'Assumption Sheet'!$P28)*'Assumption Sheet'!$R28*'Assumption Sheet'!$C28,0)-IF(EP$1='Assumption Sheet'!$Y28,('Assumption Sheet'!$M28+'Assumption Sheet'!$P28)*'Assumption Sheet'!$R28*'Assumption Sheet'!$C28))/10^7</f>
        <v>0</v>
      </c>
      <c r="EQ46" s="33">
        <f>(IF(EQ$1='Assumption Sheet'!$L28,('Assumption Sheet'!$M28+'Assumption Sheet'!$P28)*'Assumption Sheet'!$R28*'Assumption Sheet'!$C28,0)-IF(EQ$1='Assumption Sheet'!$Y28,('Assumption Sheet'!$M28+'Assumption Sheet'!$P28)*'Assumption Sheet'!$R28*'Assumption Sheet'!$C28))/10^7</f>
        <v>0</v>
      </c>
      <c r="ER46" s="33">
        <f>(IF(ER$1='Assumption Sheet'!$L28,('Assumption Sheet'!$M28+'Assumption Sheet'!$P28)*'Assumption Sheet'!$R28*'Assumption Sheet'!$C28,0)-IF(ER$1='Assumption Sheet'!$Y28,('Assumption Sheet'!$M28+'Assumption Sheet'!$P28)*'Assumption Sheet'!$R28*'Assumption Sheet'!$C28))/10^7</f>
        <v>0</v>
      </c>
      <c r="ES46" s="33">
        <f>(IF(ES$1='Assumption Sheet'!$L28,('Assumption Sheet'!$M28+'Assumption Sheet'!$P28)*'Assumption Sheet'!$R28*'Assumption Sheet'!$C28,0)-IF(ES$1='Assumption Sheet'!$Y28,('Assumption Sheet'!$M28+'Assumption Sheet'!$P28)*'Assumption Sheet'!$R28*'Assumption Sheet'!$C28))/10^7</f>
        <v>0</v>
      </c>
      <c r="ET46" s="33">
        <f>(IF(ET$1='Assumption Sheet'!$L28,('Assumption Sheet'!$M28+'Assumption Sheet'!$P28)*'Assumption Sheet'!$R28*'Assumption Sheet'!$C28,0)-IF(ET$1='Assumption Sheet'!$Y28,('Assumption Sheet'!$M28+'Assumption Sheet'!$P28)*'Assumption Sheet'!$R28*'Assumption Sheet'!$C28))/10^7</f>
        <v>0</v>
      </c>
      <c r="EU46" s="33">
        <f>(IF(EU$1='Assumption Sheet'!$L28,('Assumption Sheet'!$M28+'Assumption Sheet'!$P28)*'Assumption Sheet'!$R28*'Assumption Sheet'!$C28,0)-IF(EU$1='Assumption Sheet'!$Y28,('Assumption Sheet'!$M28+'Assumption Sheet'!$P28)*'Assumption Sheet'!$R28*'Assumption Sheet'!$C28))/10^7</f>
        <v>0</v>
      </c>
      <c r="EV46" s="33">
        <f>(IF(EV$1='Assumption Sheet'!$L28,('Assumption Sheet'!$M28+'Assumption Sheet'!$P28)*'Assumption Sheet'!$R28*'Assumption Sheet'!$C28,0)-IF(EV$1='Assumption Sheet'!$Y28,('Assumption Sheet'!$M28+'Assumption Sheet'!$P28)*'Assumption Sheet'!$R28*'Assumption Sheet'!$C28))/10^7</f>
        <v>0</v>
      </c>
      <c r="EW46" s="33">
        <f>(IF(EW$1='Assumption Sheet'!$L28,('Assumption Sheet'!$M28+'Assumption Sheet'!$P28)*'Assumption Sheet'!$R28*'Assumption Sheet'!$C28,0)-IF(EW$1='Assumption Sheet'!$Y28,('Assumption Sheet'!$M28+'Assumption Sheet'!$P28)*'Assumption Sheet'!$R28*'Assumption Sheet'!$C28))/10^7</f>
        <v>0</v>
      </c>
      <c r="EX46" s="33">
        <f>(IF(EX$1='Assumption Sheet'!$L28,('Assumption Sheet'!$M28+'Assumption Sheet'!$P28)*'Assumption Sheet'!$R28*'Assumption Sheet'!$C28,0)-IF(EX$1='Assumption Sheet'!$Y28,('Assumption Sheet'!$M28+'Assumption Sheet'!$P28)*'Assumption Sheet'!$R28*'Assumption Sheet'!$C28))/10^7</f>
        <v>0</v>
      </c>
      <c r="EY46" s="33">
        <f>(IF(EY$1='Assumption Sheet'!$L28,('Assumption Sheet'!$M28+'Assumption Sheet'!$P28)*'Assumption Sheet'!$R28*'Assumption Sheet'!$C28,0)-IF(EY$1='Assumption Sheet'!$Y28,('Assumption Sheet'!$M28+'Assumption Sheet'!$P28)*'Assumption Sheet'!$R28*'Assumption Sheet'!$C28))/10^7</f>
        <v>0</v>
      </c>
      <c r="EZ46" s="33">
        <f>(IF(EZ$1='Assumption Sheet'!$L28,('Assumption Sheet'!$M28+'Assumption Sheet'!$P28)*'Assumption Sheet'!$R28*'Assumption Sheet'!$C28,0)-IF(EZ$1='Assumption Sheet'!$Y28,('Assumption Sheet'!$M28+'Assumption Sheet'!$P28)*'Assumption Sheet'!$R28*'Assumption Sheet'!$C28))/10^7</f>
        <v>0</v>
      </c>
      <c r="FA46" s="33">
        <f>(IF(FA$1='Assumption Sheet'!$L28,('Assumption Sheet'!$M28+'Assumption Sheet'!$P28)*'Assumption Sheet'!$R28*'Assumption Sheet'!$C28,0)-IF(FA$1='Assumption Sheet'!$Y28,('Assumption Sheet'!$M28+'Assumption Sheet'!$P28)*'Assumption Sheet'!$R28*'Assumption Sheet'!$C28))/10^7</f>
        <v>0</v>
      </c>
      <c r="FB46" s="33">
        <f>(IF(FB$1='Assumption Sheet'!$L28,('Assumption Sheet'!$M28+'Assumption Sheet'!$P28)*'Assumption Sheet'!$R28*'Assumption Sheet'!$C28,0)-IF(FB$1='Assumption Sheet'!$Y28,('Assumption Sheet'!$M28+'Assumption Sheet'!$P28)*'Assumption Sheet'!$R28*'Assumption Sheet'!$C28))/10^7</f>
        <v>0</v>
      </c>
      <c r="FC46" s="33">
        <f>(IF(FC$1='Assumption Sheet'!$L28,('Assumption Sheet'!$M28+'Assumption Sheet'!$P28)*'Assumption Sheet'!$R28*'Assumption Sheet'!$C28,0)-IF(FC$1='Assumption Sheet'!$Y28,('Assumption Sheet'!$M28+'Assumption Sheet'!$P28)*'Assumption Sheet'!$R28*'Assumption Sheet'!$C28))/10^7</f>
        <v>0</v>
      </c>
      <c r="FD46" s="33">
        <f>(IF(FD$1='Assumption Sheet'!$L28,('Assumption Sheet'!$M28+'Assumption Sheet'!$P28)*'Assumption Sheet'!$R28*'Assumption Sheet'!$C28,0)-IF(FD$1='Assumption Sheet'!$Y28,('Assumption Sheet'!$M28+'Assumption Sheet'!$P28)*'Assumption Sheet'!$R28*'Assumption Sheet'!$C28))/10^7</f>
        <v>0</v>
      </c>
      <c r="FE46" s="33">
        <f>(IF(FE$1='Assumption Sheet'!$L28,('Assumption Sheet'!$M28+'Assumption Sheet'!$P28)*'Assumption Sheet'!$R28*'Assumption Sheet'!$C28,0)-IF(FE$1='Assumption Sheet'!$Y28,('Assumption Sheet'!$M28+'Assumption Sheet'!$P28)*'Assumption Sheet'!$R28*'Assumption Sheet'!$C28))/10^7</f>
        <v>0</v>
      </c>
      <c r="FF46" s="33">
        <f>(IF(FF$1='Assumption Sheet'!$L28,('Assumption Sheet'!$M28+'Assumption Sheet'!$P28)*'Assumption Sheet'!$R28*'Assumption Sheet'!$C28,0)-IF(FF$1='Assumption Sheet'!$Y28,('Assumption Sheet'!$M28+'Assumption Sheet'!$P28)*'Assumption Sheet'!$R28*'Assumption Sheet'!$C28))/10^7</f>
        <v>0</v>
      </c>
      <c r="FG46" s="33">
        <f>(IF(FG$1='Assumption Sheet'!$L28,('Assumption Sheet'!$M28+'Assumption Sheet'!$P28)*'Assumption Sheet'!$R28*'Assumption Sheet'!$C28,0)-IF(FG$1='Assumption Sheet'!$Y28,('Assumption Sheet'!$M28+'Assumption Sheet'!$P28)*'Assumption Sheet'!$R28*'Assumption Sheet'!$C28))/10^7</f>
        <v>0</v>
      </c>
      <c r="FH46" s="33">
        <f>(IF(FH$1='Assumption Sheet'!$L28,('Assumption Sheet'!$M28+'Assumption Sheet'!$P28)*'Assumption Sheet'!$R28*'Assumption Sheet'!$C28,0)-IF(FH$1='Assumption Sheet'!$Y28,('Assumption Sheet'!$M28+'Assumption Sheet'!$P28)*'Assumption Sheet'!$R28*'Assumption Sheet'!$C28))/10^7</f>
        <v>0</v>
      </c>
      <c r="FI46" s="33">
        <f>(IF(FI$1='Assumption Sheet'!$L28,('Assumption Sheet'!$M28+'Assumption Sheet'!$P28)*'Assumption Sheet'!$R28*'Assumption Sheet'!$C28,0)-IF(FI$1='Assumption Sheet'!$Y28,('Assumption Sheet'!$M28+'Assumption Sheet'!$P28)*'Assumption Sheet'!$R28*'Assumption Sheet'!$C28))/10^7</f>
        <v>0</v>
      </c>
      <c r="FJ46" s="33">
        <f>(IF(FJ$1='Assumption Sheet'!$L28,('Assumption Sheet'!$M28+'Assumption Sheet'!$P28)*'Assumption Sheet'!$R28*'Assumption Sheet'!$C28,0)-IF(FJ$1='Assumption Sheet'!$Y28,('Assumption Sheet'!$M28+'Assumption Sheet'!$P28)*'Assumption Sheet'!$R28*'Assumption Sheet'!$C28))/10^7</f>
        <v>0</v>
      </c>
      <c r="FK46" s="33">
        <f>(IF(FK$1='Assumption Sheet'!$L28,('Assumption Sheet'!$M28+'Assumption Sheet'!$P28)*'Assumption Sheet'!$R28*'Assumption Sheet'!$C28,0)-IF(FK$1='Assumption Sheet'!$Y28,('Assumption Sheet'!$M28+'Assumption Sheet'!$P28)*'Assumption Sheet'!$R28*'Assumption Sheet'!$C28))/10^7</f>
        <v>0</v>
      </c>
      <c r="FL46" s="33">
        <f>(IF(FL$1='Assumption Sheet'!$L28,('Assumption Sheet'!$M28+'Assumption Sheet'!$P28)*'Assumption Sheet'!$R28*'Assumption Sheet'!$C28,0)-IF(FL$1='Assumption Sheet'!$Y28,('Assumption Sheet'!$M28+'Assumption Sheet'!$P28)*'Assumption Sheet'!$R28*'Assumption Sheet'!$C28))/10^7</f>
        <v>0</v>
      </c>
      <c r="FM46" s="33">
        <f>(IF(FM$1='Assumption Sheet'!$L28,('Assumption Sheet'!$M28+'Assumption Sheet'!$P28)*'Assumption Sheet'!$R28*'Assumption Sheet'!$C28,0)-IF(FM$1='Assumption Sheet'!$Y28,('Assumption Sheet'!$M28+'Assumption Sheet'!$P28)*'Assumption Sheet'!$R28*'Assumption Sheet'!$C28))/10^7</f>
        <v>0</v>
      </c>
      <c r="FN46" s="33">
        <f>(IF(FN$1='Assumption Sheet'!$L28,('Assumption Sheet'!$M28+'Assumption Sheet'!$P28)*'Assumption Sheet'!$R28*'Assumption Sheet'!$C28,0)-IF(FN$1='Assumption Sheet'!$Y28,('Assumption Sheet'!$M28+'Assumption Sheet'!$P28)*'Assumption Sheet'!$R28*'Assumption Sheet'!$C28))/10^7</f>
        <v>0</v>
      </c>
      <c r="FO46" s="33">
        <f>(IF(FO$1='Assumption Sheet'!$L28,('Assumption Sheet'!$M28+'Assumption Sheet'!$P28)*'Assumption Sheet'!$R28*'Assumption Sheet'!$C28,0)-IF(FO$1='Assumption Sheet'!$Y28,('Assumption Sheet'!$M28+'Assumption Sheet'!$P28)*'Assumption Sheet'!$R28*'Assumption Sheet'!$C28))/10^7</f>
        <v>0</v>
      </c>
      <c r="FP46" s="33">
        <f>(IF(FP$1='Assumption Sheet'!$L28,('Assumption Sheet'!$M28+'Assumption Sheet'!$P28)*'Assumption Sheet'!$R28*'Assumption Sheet'!$C28,0)-IF(FP$1='Assumption Sheet'!$Y28,('Assumption Sheet'!$M28+'Assumption Sheet'!$P28)*'Assumption Sheet'!$R28*'Assumption Sheet'!$C28))/10^7</f>
        <v>0</v>
      </c>
      <c r="FQ46" s="33">
        <f>(IF(FQ$1='Assumption Sheet'!$L28,('Assumption Sheet'!$M28+'Assumption Sheet'!$P28)*'Assumption Sheet'!$R28*'Assumption Sheet'!$C28,0)-IF(FQ$1='Assumption Sheet'!$Y28,('Assumption Sheet'!$M28+'Assumption Sheet'!$P28)*'Assumption Sheet'!$R28*'Assumption Sheet'!$C28))/10^7</f>
        <v>0</v>
      </c>
      <c r="FR46" s="33">
        <f>(IF(FR$1='Assumption Sheet'!$L28,('Assumption Sheet'!$M28+'Assumption Sheet'!$P28)*'Assumption Sheet'!$R28*'Assumption Sheet'!$C28,0)-IF(FR$1='Assumption Sheet'!$Y28,('Assumption Sheet'!$M28+'Assumption Sheet'!$P28)*'Assumption Sheet'!$R28*'Assumption Sheet'!$C28))/10^7</f>
        <v>0</v>
      </c>
      <c r="FS46" s="33">
        <f>(IF(FS$1='Assumption Sheet'!$L28,('Assumption Sheet'!$M28+'Assumption Sheet'!$P28)*'Assumption Sheet'!$R28*'Assumption Sheet'!$C28,0)-IF(FS$1='Assumption Sheet'!$Y28,('Assumption Sheet'!$M28+'Assumption Sheet'!$P28)*'Assumption Sheet'!$R28*'Assumption Sheet'!$C28))/10^7</f>
        <v>0</v>
      </c>
      <c r="FT46" s="33">
        <f>(IF(FT$1='Assumption Sheet'!$L28,('Assumption Sheet'!$M28+'Assumption Sheet'!$P28)*'Assumption Sheet'!$R28*'Assumption Sheet'!$C28,0)-IF(FT$1='Assumption Sheet'!$Y28,('Assumption Sheet'!$M28+'Assumption Sheet'!$P28)*'Assumption Sheet'!$R28*'Assumption Sheet'!$C28))/10^7</f>
        <v>0</v>
      </c>
      <c r="FU46" s="33">
        <f>(IF(FU$1='Assumption Sheet'!$L28,('Assumption Sheet'!$M28+'Assumption Sheet'!$P28)*'Assumption Sheet'!$R28*'Assumption Sheet'!$C28,0)-IF(FU$1='Assumption Sheet'!$Y28,('Assumption Sheet'!$M28+'Assumption Sheet'!$P28)*'Assumption Sheet'!$R28*'Assumption Sheet'!$C28))/10^7</f>
        <v>0</v>
      </c>
      <c r="FV46" s="33">
        <f>(IF(FV$1='Assumption Sheet'!$L28,('Assumption Sheet'!$M28+'Assumption Sheet'!$P28)*'Assumption Sheet'!$R28*'Assumption Sheet'!$C28,0)-IF(FV$1='Assumption Sheet'!$Y28,('Assumption Sheet'!$M28+'Assumption Sheet'!$P28)*'Assumption Sheet'!$R28*'Assumption Sheet'!$C28))/10^7</f>
        <v>0</v>
      </c>
      <c r="FW46" s="33">
        <f>(IF(FW$1='Assumption Sheet'!$L28,('Assumption Sheet'!$M28+'Assumption Sheet'!$P28)*'Assumption Sheet'!$R28*'Assumption Sheet'!$C28,0)-IF(FW$1='Assumption Sheet'!$Y28,('Assumption Sheet'!$M28+'Assumption Sheet'!$P28)*'Assumption Sheet'!$R28*'Assumption Sheet'!$C28))/10^7</f>
        <v>0</v>
      </c>
      <c r="FX46" s="33">
        <f>(IF(FX$1='Assumption Sheet'!$L28,('Assumption Sheet'!$M28+'Assumption Sheet'!$P28)*'Assumption Sheet'!$R28*'Assumption Sheet'!$C28,0)-IF(FX$1='Assumption Sheet'!$Y28,('Assumption Sheet'!$M28+'Assumption Sheet'!$P28)*'Assumption Sheet'!$R28*'Assumption Sheet'!$C28))/10^7</f>
        <v>0</v>
      </c>
      <c r="FY46" s="33">
        <f>(IF(FY$1='Assumption Sheet'!$L28,('Assumption Sheet'!$M28+'Assumption Sheet'!$P28)*'Assumption Sheet'!$R28*'Assumption Sheet'!$C28,0)-IF(FY$1='Assumption Sheet'!$Y28,('Assumption Sheet'!$M28+'Assumption Sheet'!$P28)*'Assumption Sheet'!$R28*'Assumption Sheet'!$C28))/10^7</f>
        <v>0</v>
      </c>
      <c r="FZ46" s="33">
        <f>(IF(FZ$1='Assumption Sheet'!$L28,('Assumption Sheet'!$M28+'Assumption Sheet'!$P28)*'Assumption Sheet'!$R28*'Assumption Sheet'!$C28,0)-IF(FZ$1='Assumption Sheet'!$Y28,('Assumption Sheet'!$M28+'Assumption Sheet'!$P28)*'Assumption Sheet'!$R28*'Assumption Sheet'!$C28))/10^7</f>
        <v>0</v>
      </c>
      <c r="GA46" s="33">
        <f>(IF(GA$1='Assumption Sheet'!$L28,('Assumption Sheet'!$M28+'Assumption Sheet'!$P28)*'Assumption Sheet'!$R28*'Assumption Sheet'!$C28,0)-IF(GA$1='Assumption Sheet'!$Y28,('Assumption Sheet'!$M28+'Assumption Sheet'!$P28)*'Assumption Sheet'!$R28*'Assumption Sheet'!$C28))/10^7</f>
        <v>0</v>
      </c>
      <c r="GB46" s="33">
        <f>(IF(GB$1='Assumption Sheet'!$L28,('Assumption Sheet'!$M28+'Assumption Sheet'!$P28)*'Assumption Sheet'!$R28*'Assumption Sheet'!$C28,0)-IF(GB$1='Assumption Sheet'!$Y28,('Assumption Sheet'!$M28+'Assumption Sheet'!$P28)*'Assumption Sheet'!$R28*'Assumption Sheet'!$C28))/10^7</f>
        <v>0</v>
      </c>
      <c r="GC46" s="33">
        <f>(IF(GC$1='Assumption Sheet'!$L28,('Assumption Sheet'!$M28+'Assumption Sheet'!$P28)*'Assumption Sheet'!$R28*'Assumption Sheet'!$C28,0)-IF(GC$1='Assumption Sheet'!$Y28,('Assumption Sheet'!$M28+'Assumption Sheet'!$P28)*'Assumption Sheet'!$R28*'Assumption Sheet'!$C28))/10^7</f>
        <v>0</v>
      </c>
      <c r="GD46" s="33">
        <f>(IF(GD$1='Assumption Sheet'!$L28,('Assumption Sheet'!$M28+'Assumption Sheet'!$P28)*'Assumption Sheet'!$R28*'Assumption Sheet'!$C28,0)-IF(GD$1='Assumption Sheet'!$Y28,('Assumption Sheet'!$M28+'Assumption Sheet'!$P28)*'Assumption Sheet'!$R28*'Assumption Sheet'!$C28))/10^7</f>
        <v>0</v>
      </c>
      <c r="GE46" s="33">
        <f>(IF(GE$1='Assumption Sheet'!$L28,('Assumption Sheet'!$M28+'Assumption Sheet'!$P28)*'Assumption Sheet'!$R28*'Assumption Sheet'!$C28,0)-IF(GE$1='Assumption Sheet'!$Y28,('Assumption Sheet'!$M28+'Assumption Sheet'!$P28)*'Assumption Sheet'!$R28*'Assumption Sheet'!$C28))/10^7</f>
        <v>0</v>
      </c>
      <c r="GF46" s="33">
        <f>(IF(GF$1='Assumption Sheet'!$L28,('Assumption Sheet'!$M28+'Assumption Sheet'!$P28)*'Assumption Sheet'!$R28*'Assumption Sheet'!$C28,0)-IF(GF$1='Assumption Sheet'!$Y28,('Assumption Sheet'!$M28+'Assumption Sheet'!$P28)*'Assumption Sheet'!$R28*'Assumption Sheet'!$C28))/10^7</f>
        <v>0</v>
      </c>
      <c r="GG46" s="33">
        <f>(IF(GG$1='Assumption Sheet'!$L28,('Assumption Sheet'!$M28+'Assumption Sheet'!$P28)*'Assumption Sheet'!$R28*'Assumption Sheet'!$C28,0)-IF(GG$1='Assumption Sheet'!$Y28,('Assumption Sheet'!$M28+'Assumption Sheet'!$P28)*'Assumption Sheet'!$R28*'Assumption Sheet'!$C28))/10^7</f>
        <v>0</v>
      </c>
      <c r="GH46" s="33">
        <f>(IF(GH$1='Assumption Sheet'!$L28,('Assumption Sheet'!$M28+'Assumption Sheet'!$P28)*'Assumption Sheet'!$R28*'Assumption Sheet'!$C28,0)-IF(GH$1='Assumption Sheet'!$Y28,('Assumption Sheet'!$M28+'Assumption Sheet'!$P28)*'Assumption Sheet'!$R28*'Assumption Sheet'!$C28))/10^7</f>
        <v>0</v>
      </c>
      <c r="GI46" s="33">
        <f>(IF(GI$1='Assumption Sheet'!$L28,('Assumption Sheet'!$M28+'Assumption Sheet'!$P28)*'Assumption Sheet'!$R28*'Assumption Sheet'!$C28,0)-IF(GI$1='Assumption Sheet'!$Y28,('Assumption Sheet'!$M28+'Assumption Sheet'!$P28)*'Assumption Sheet'!$R28*'Assumption Sheet'!$C28))/10^7</f>
        <v>0</v>
      </c>
      <c r="GJ46" s="33">
        <f>(IF(GJ$1='Assumption Sheet'!$L28,('Assumption Sheet'!$M28+'Assumption Sheet'!$P28)*'Assumption Sheet'!$R28*'Assumption Sheet'!$C28,0)-IF(GJ$1='Assumption Sheet'!$Y28,('Assumption Sheet'!$M28+'Assumption Sheet'!$P28)*'Assumption Sheet'!$R28*'Assumption Sheet'!$C28))/10^7</f>
        <v>0</v>
      </c>
      <c r="GK46" s="33">
        <f>(IF(GK$1='Assumption Sheet'!$L28,('Assumption Sheet'!$M28+'Assumption Sheet'!$P28)*'Assumption Sheet'!$R28*'Assumption Sheet'!$C28,0)-IF(GK$1='Assumption Sheet'!$Y28,('Assumption Sheet'!$M28+'Assumption Sheet'!$P28)*'Assumption Sheet'!$R28*'Assumption Sheet'!$C28))/10^7</f>
        <v>0</v>
      </c>
      <c r="GL46" s="33">
        <f>(IF(GL$1='Assumption Sheet'!$L28,('Assumption Sheet'!$M28+'Assumption Sheet'!$P28)*'Assumption Sheet'!$R28*'Assumption Sheet'!$C28,0)-IF(GL$1='Assumption Sheet'!$Y28,('Assumption Sheet'!$M28+'Assumption Sheet'!$P28)*'Assumption Sheet'!$R28*'Assumption Sheet'!$C28))/10^7</f>
        <v>0</v>
      </c>
      <c r="GM46" s="33">
        <f>(IF(GM$1='Assumption Sheet'!$L28,('Assumption Sheet'!$M28+'Assumption Sheet'!$P28)*'Assumption Sheet'!$R28*'Assumption Sheet'!$C28,0)-IF(GM$1='Assumption Sheet'!$Y28,('Assumption Sheet'!$M28+'Assumption Sheet'!$P28)*'Assumption Sheet'!$R28*'Assumption Sheet'!$C28))/10^7</f>
        <v>0</v>
      </c>
      <c r="GN46" s="33">
        <f>(IF(GN$1='Assumption Sheet'!$L28,('Assumption Sheet'!$M28+'Assumption Sheet'!$P28)*'Assumption Sheet'!$R28*'Assumption Sheet'!$C28,0)-IF(GN$1='Assumption Sheet'!$Y28,('Assumption Sheet'!$M28+'Assumption Sheet'!$P28)*'Assumption Sheet'!$R28*'Assumption Sheet'!$C28))/10^7</f>
        <v>0</v>
      </c>
      <c r="GO46" s="33">
        <f>(IF(GO$1='Assumption Sheet'!$L28,('Assumption Sheet'!$M28+'Assumption Sheet'!$P28)*'Assumption Sheet'!$R28*'Assumption Sheet'!$C28,0)-IF(GO$1='Assumption Sheet'!$Y28,('Assumption Sheet'!$M28+'Assumption Sheet'!$P28)*'Assumption Sheet'!$R28*'Assumption Sheet'!$C28))/10^7</f>
        <v>0</v>
      </c>
      <c r="GP46" s="33">
        <f>(IF(GP$1='Assumption Sheet'!$L28,('Assumption Sheet'!$M28+'Assumption Sheet'!$P28)*'Assumption Sheet'!$R28*'Assumption Sheet'!$C28,0)-IF(GP$1='Assumption Sheet'!$Y28,('Assumption Sheet'!$M28+'Assumption Sheet'!$P28)*'Assumption Sheet'!$R28*'Assumption Sheet'!$C28))/10^7</f>
        <v>0</v>
      </c>
      <c r="GQ46" s="33">
        <f>(IF(GQ$1='Assumption Sheet'!$L28,('Assumption Sheet'!$M28+'Assumption Sheet'!$P28)*'Assumption Sheet'!$R28*'Assumption Sheet'!$C28,0)-IF(GQ$1='Assumption Sheet'!$Y28,('Assumption Sheet'!$M28+'Assumption Sheet'!$P28)*'Assumption Sheet'!$R28*'Assumption Sheet'!$C28))/10^7</f>
        <v>0</v>
      </c>
      <c r="GR46" s="33">
        <f>(IF(GR$1='Assumption Sheet'!$L28,('Assumption Sheet'!$M28+'Assumption Sheet'!$P28)*'Assumption Sheet'!$R28*'Assumption Sheet'!$C28,0)-IF(GR$1='Assumption Sheet'!$Y28,('Assumption Sheet'!$M28+'Assumption Sheet'!$P28)*'Assumption Sheet'!$R28*'Assumption Sheet'!$C28))/10^7</f>
        <v>0</v>
      </c>
      <c r="GS46" s="33">
        <f>(IF(GS$1='Assumption Sheet'!$L28,('Assumption Sheet'!$M28+'Assumption Sheet'!$P28)*'Assumption Sheet'!$R28*'Assumption Sheet'!$C28,0)-IF(GS$1='Assumption Sheet'!$Y28,('Assumption Sheet'!$M28+'Assumption Sheet'!$P28)*'Assumption Sheet'!$R28*'Assumption Sheet'!$C28))/10^7</f>
        <v>0</v>
      </c>
      <c r="GT46" s="33">
        <f>(IF(GT$1='Assumption Sheet'!$L28,('Assumption Sheet'!$M28+'Assumption Sheet'!$P28)*'Assumption Sheet'!$R28*'Assumption Sheet'!$C28,0)-IF(GT$1='Assumption Sheet'!$Y28,('Assumption Sheet'!$M28+'Assumption Sheet'!$P28)*'Assumption Sheet'!$R28*'Assumption Sheet'!$C28))/10^7</f>
        <v>0</v>
      </c>
      <c r="GU46" s="33">
        <f>(IF(GU$1='Assumption Sheet'!$L28,('Assumption Sheet'!$M28+'Assumption Sheet'!$P28)*'Assumption Sheet'!$R28*'Assumption Sheet'!$C28,0)-IF(GU$1='Assumption Sheet'!$Y28,('Assumption Sheet'!$M28+'Assumption Sheet'!$P28)*'Assumption Sheet'!$R28*'Assumption Sheet'!$C28))/10^7</f>
        <v>0</v>
      </c>
      <c r="GV46" s="33">
        <f>(IF(GV$1='Assumption Sheet'!$L28,('Assumption Sheet'!$M28+'Assumption Sheet'!$P28)*'Assumption Sheet'!$R28*'Assumption Sheet'!$C28,0)-IF(GV$1='Assumption Sheet'!$Y28,('Assumption Sheet'!$M28+'Assumption Sheet'!$P28)*'Assumption Sheet'!$R28*'Assumption Sheet'!$C28))/10^7</f>
        <v>0</v>
      </c>
      <c r="GW46" s="33">
        <f>(IF(GW$1='Assumption Sheet'!$L28,('Assumption Sheet'!$M28+'Assumption Sheet'!$P28)*'Assumption Sheet'!$R28*'Assumption Sheet'!$C28,0)-IF(GW$1='Assumption Sheet'!$Y28,('Assumption Sheet'!$M28+'Assumption Sheet'!$P28)*'Assumption Sheet'!$R28*'Assumption Sheet'!$C28))/10^7</f>
        <v>0</v>
      </c>
      <c r="GX46" s="33">
        <f>(IF(GX$1='Assumption Sheet'!$L28,('Assumption Sheet'!$M28+'Assumption Sheet'!$P28)*'Assumption Sheet'!$R28*'Assumption Sheet'!$C28,0)-IF(GX$1='Assumption Sheet'!$Y28,('Assumption Sheet'!$M28+'Assumption Sheet'!$P28)*'Assumption Sheet'!$R28*'Assumption Sheet'!$C28))/10^7</f>
        <v>0</v>
      </c>
      <c r="GY46" s="33">
        <f>(IF(GY$1='Assumption Sheet'!$L28,('Assumption Sheet'!$M28+'Assumption Sheet'!$P28)*'Assumption Sheet'!$R28*'Assumption Sheet'!$C28,0)-IF(GY$1='Assumption Sheet'!$Y28,('Assumption Sheet'!$M28+'Assumption Sheet'!$P28)*'Assumption Sheet'!$R28*'Assumption Sheet'!$C28))/10^7</f>
        <v>0</v>
      </c>
      <c r="GZ46" s="33">
        <f>(IF(GZ$1='Assumption Sheet'!$L28,('Assumption Sheet'!$M28+'Assumption Sheet'!$P28)*'Assumption Sheet'!$R28*'Assumption Sheet'!$C28,0)-IF(GZ$1='Assumption Sheet'!$Y28,('Assumption Sheet'!$M28+'Assumption Sheet'!$P28)*'Assumption Sheet'!$R28*'Assumption Sheet'!$C28))/10^7</f>
        <v>0</v>
      </c>
      <c r="HA46" s="33">
        <f>(IF(HA$1='Assumption Sheet'!$L28,('Assumption Sheet'!$M28+'Assumption Sheet'!$P28)*'Assumption Sheet'!$R28*'Assumption Sheet'!$C28,0)-IF(HA$1='Assumption Sheet'!$Y28,('Assumption Sheet'!$M28+'Assumption Sheet'!$P28)*'Assumption Sheet'!$R28*'Assumption Sheet'!$C28))/10^7</f>
        <v>0</v>
      </c>
      <c r="HB46" s="33">
        <f>(IF(HB$1='Assumption Sheet'!$L28,('Assumption Sheet'!$M28+'Assumption Sheet'!$P28)*'Assumption Sheet'!$R28*'Assumption Sheet'!$C28,0)-IF(HB$1='Assumption Sheet'!$Y28,('Assumption Sheet'!$M28+'Assumption Sheet'!$P28)*'Assumption Sheet'!$R28*'Assumption Sheet'!$C28))/10^7</f>
        <v>0</v>
      </c>
      <c r="HC46" s="33">
        <f>(IF(HC$1='Assumption Sheet'!$L28,('Assumption Sheet'!$M28+'Assumption Sheet'!$P28)*'Assumption Sheet'!$R28*'Assumption Sheet'!$C28,0)-IF(HC$1='Assumption Sheet'!$Y28,('Assumption Sheet'!$M28+'Assumption Sheet'!$P28)*'Assumption Sheet'!$R28*'Assumption Sheet'!$C28))/10^7</f>
        <v>0</v>
      </c>
      <c r="HD46" s="33">
        <f>(IF(HD$1='Assumption Sheet'!$L28,('Assumption Sheet'!$M28+'Assumption Sheet'!$P28)*'Assumption Sheet'!$R28*'Assumption Sheet'!$C28,0)-IF(HD$1='Assumption Sheet'!$Y28,('Assumption Sheet'!$M28+'Assumption Sheet'!$P28)*'Assumption Sheet'!$R28*'Assumption Sheet'!$C28))/10^7</f>
        <v>0</v>
      </c>
      <c r="HE46" s="33">
        <f>(IF(HE$1='Assumption Sheet'!$L28,('Assumption Sheet'!$M28+'Assumption Sheet'!$P28)*'Assumption Sheet'!$R28*'Assumption Sheet'!$C28,0)-IF(HE$1='Assumption Sheet'!$Y28,('Assumption Sheet'!$M28+'Assumption Sheet'!$P28)*'Assumption Sheet'!$R28*'Assumption Sheet'!$C28))/10^7</f>
        <v>0</v>
      </c>
      <c r="HF46" s="33">
        <f>(IF(HF$1='Assumption Sheet'!$L28,('Assumption Sheet'!$M28+'Assumption Sheet'!$P28)*'Assumption Sheet'!$R28*'Assumption Sheet'!$C28,0)-IF(HF$1='Assumption Sheet'!$Y28,('Assumption Sheet'!$M28+'Assumption Sheet'!$P28)*'Assumption Sheet'!$R28*'Assumption Sheet'!$C28))/10^7</f>
        <v>0</v>
      </c>
      <c r="HG46" s="33">
        <f>(IF(HG$1='Assumption Sheet'!$L28,('Assumption Sheet'!$M28+'Assumption Sheet'!$P28)*'Assumption Sheet'!$R28*'Assumption Sheet'!$C28,0)-IF(HG$1='Assumption Sheet'!$Y28,('Assumption Sheet'!$M28+'Assumption Sheet'!$P28)*'Assumption Sheet'!$R28*'Assumption Sheet'!$C28))/10^7</f>
        <v>0</v>
      </c>
      <c r="HH46" s="33">
        <f>(IF(HH$1='Assumption Sheet'!$L28,('Assumption Sheet'!$M28+'Assumption Sheet'!$P28)*'Assumption Sheet'!$R28*'Assumption Sheet'!$C28,0)-IF(HH$1='Assumption Sheet'!$Y28,('Assumption Sheet'!$M28+'Assumption Sheet'!$P28)*'Assumption Sheet'!$R28*'Assumption Sheet'!$C28))/10^7</f>
        <v>0</v>
      </c>
      <c r="HI46" s="33">
        <f>(IF(HI$1='Assumption Sheet'!$L28,('Assumption Sheet'!$M28+'Assumption Sheet'!$P28)*'Assumption Sheet'!$R28*'Assumption Sheet'!$C28,0)-IF(HI$1='Assumption Sheet'!$Y28,('Assumption Sheet'!$M28+'Assumption Sheet'!$P28)*'Assumption Sheet'!$R28*'Assumption Sheet'!$C28))/10^7</f>
        <v>0</v>
      </c>
      <c r="HJ46" s="33">
        <f>(IF(HJ$1='Assumption Sheet'!$L28,('Assumption Sheet'!$M28+'Assumption Sheet'!$P28)*'Assumption Sheet'!$R28*'Assumption Sheet'!$C28,0)-IF(HJ$1='Assumption Sheet'!$Y28,('Assumption Sheet'!$M28+'Assumption Sheet'!$P28)*'Assumption Sheet'!$R28*'Assumption Sheet'!$C28))/10^7</f>
        <v>0</v>
      </c>
      <c r="HK46" s="33">
        <f>(IF(HK$1='Assumption Sheet'!$L28,('Assumption Sheet'!$M28+'Assumption Sheet'!$P28)*'Assumption Sheet'!$R28*'Assumption Sheet'!$C28,0)-IF(HK$1='Assumption Sheet'!$Y28,('Assumption Sheet'!$M28+'Assumption Sheet'!$P28)*'Assumption Sheet'!$R28*'Assumption Sheet'!$C28))/10^7</f>
        <v>0</v>
      </c>
      <c r="HL46" s="33">
        <f>(IF(HL$1='Assumption Sheet'!$L28,('Assumption Sheet'!$M28+'Assumption Sheet'!$P28)*'Assumption Sheet'!$R28*'Assumption Sheet'!$C28,0)-IF(HL$1='Assumption Sheet'!$Y28,('Assumption Sheet'!$M28+'Assumption Sheet'!$P28)*'Assumption Sheet'!$R28*'Assumption Sheet'!$C28))/10^7</f>
        <v>0</v>
      </c>
      <c r="HM46" s="33">
        <f>(IF(HM$1='Assumption Sheet'!$L28,('Assumption Sheet'!$M28+'Assumption Sheet'!$P28)*'Assumption Sheet'!$R28*'Assumption Sheet'!$C28,0)-IF(HM$1='Assumption Sheet'!$Y28,('Assumption Sheet'!$M28+'Assumption Sheet'!$P28)*'Assumption Sheet'!$R28*'Assumption Sheet'!$C28))/10^7</f>
        <v>0</v>
      </c>
      <c r="HN46" s="33">
        <f>(IF(HN$1='Assumption Sheet'!$L28,('Assumption Sheet'!$M28+'Assumption Sheet'!$P28)*'Assumption Sheet'!$R28*'Assumption Sheet'!$C28,0)-IF(HN$1='Assumption Sheet'!$Y28,('Assumption Sheet'!$M28+'Assumption Sheet'!$P28)*'Assumption Sheet'!$R28*'Assumption Sheet'!$C28))/10^7</f>
        <v>0</v>
      </c>
      <c r="HO46" s="33">
        <f>(IF(HO$1='Assumption Sheet'!$L28,('Assumption Sheet'!$M28+'Assumption Sheet'!$P28)*'Assumption Sheet'!$R28*'Assumption Sheet'!$C28,0)-IF(HO$1='Assumption Sheet'!$Y28,('Assumption Sheet'!$M28+'Assumption Sheet'!$P28)*'Assumption Sheet'!$R28*'Assumption Sheet'!$C28))/10^7</f>
        <v>0</v>
      </c>
      <c r="HP46" s="33">
        <f>(IF(HP$1='Assumption Sheet'!$L28,('Assumption Sheet'!$M28+'Assumption Sheet'!$P28)*'Assumption Sheet'!$R28*'Assumption Sheet'!$C28,0)-IF(HP$1='Assumption Sheet'!$Y28,('Assumption Sheet'!$M28+'Assumption Sheet'!$P28)*'Assumption Sheet'!$R28*'Assumption Sheet'!$C28))/10^7</f>
        <v>0</v>
      </c>
      <c r="HQ46" s="33">
        <f>(IF(HQ$1='Assumption Sheet'!$L28,('Assumption Sheet'!$M28+'Assumption Sheet'!$P28)*'Assumption Sheet'!$R28*'Assumption Sheet'!$C28,0)-IF(HQ$1='Assumption Sheet'!$Y28,('Assumption Sheet'!$M28+'Assumption Sheet'!$P28)*'Assumption Sheet'!$R28*'Assumption Sheet'!$C28))/10^7</f>
        <v>0</v>
      </c>
      <c r="HR46" s="33">
        <f>(IF(HR$1='Assumption Sheet'!$L28,('Assumption Sheet'!$M28+'Assumption Sheet'!$P28)*'Assumption Sheet'!$R28*'Assumption Sheet'!$C28,0)-IF(HR$1='Assumption Sheet'!$Y28,('Assumption Sheet'!$M28+'Assumption Sheet'!$P28)*'Assumption Sheet'!$R28*'Assumption Sheet'!$C28))/10^7</f>
        <v>0</v>
      </c>
      <c r="HS46" s="33">
        <f>(IF(HS$1='Assumption Sheet'!$L28,('Assumption Sheet'!$M28+'Assumption Sheet'!$P28)*'Assumption Sheet'!$R28*'Assumption Sheet'!$C28,0)-IF(HS$1='Assumption Sheet'!$Y28,('Assumption Sheet'!$M28+'Assumption Sheet'!$P28)*'Assumption Sheet'!$R28*'Assumption Sheet'!$C28))/10^7</f>
        <v>0</v>
      </c>
      <c r="HT46" s="33">
        <f>(IF(HT$1='Assumption Sheet'!$L28,('Assumption Sheet'!$M28+'Assumption Sheet'!$P28)*'Assumption Sheet'!$R28*'Assumption Sheet'!$C28,0)-IF(HT$1='Assumption Sheet'!$Y28,('Assumption Sheet'!$M28+'Assumption Sheet'!$P28)*'Assumption Sheet'!$R28*'Assumption Sheet'!$C28))/10^7</f>
        <v>0</v>
      </c>
      <c r="HU46" s="33">
        <f>(IF(HU$1='Assumption Sheet'!$L28,('Assumption Sheet'!$M28+'Assumption Sheet'!$P28)*'Assumption Sheet'!$R28*'Assumption Sheet'!$C28,0)-IF(HU$1='Assumption Sheet'!$Y28,('Assumption Sheet'!$M28+'Assumption Sheet'!$P28)*'Assumption Sheet'!$R28*'Assumption Sheet'!$C28))/10^7</f>
        <v>0</v>
      </c>
      <c r="HV46" s="33">
        <f>(IF(HV$1='Assumption Sheet'!$L28,('Assumption Sheet'!$M28+'Assumption Sheet'!$P28)*'Assumption Sheet'!$R28*'Assumption Sheet'!$C28,0)-IF(HV$1='Assumption Sheet'!$Y28,('Assumption Sheet'!$M28+'Assumption Sheet'!$P28)*'Assumption Sheet'!$R28*'Assumption Sheet'!$C28))/10^7</f>
        <v>0</v>
      </c>
      <c r="HW46" s="33">
        <f>(IF(HW$1='Assumption Sheet'!$L28,('Assumption Sheet'!$M28+'Assumption Sheet'!$P28)*'Assumption Sheet'!$R28*'Assumption Sheet'!$C28,0)-IF(HW$1='Assumption Sheet'!$Y28,('Assumption Sheet'!$M28+'Assumption Sheet'!$P28)*'Assumption Sheet'!$R28*'Assumption Sheet'!$C28))/10^7</f>
        <v>0</v>
      </c>
      <c r="HX46" s="33">
        <f>(IF(HX$1='Assumption Sheet'!$L28,('Assumption Sheet'!$M28+'Assumption Sheet'!$P28)*'Assumption Sheet'!$R28*'Assumption Sheet'!$C28,0)-IF(HX$1='Assumption Sheet'!$Y28,('Assumption Sheet'!$M28+'Assumption Sheet'!$P28)*'Assumption Sheet'!$R28*'Assumption Sheet'!$C28))/10^7</f>
        <v>0</v>
      </c>
      <c r="HY46" s="33">
        <f>(IF(HY$1='Assumption Sheet'!$L28,('Assumption Sheet'!$M28+'Assumption Sheet'!$P28)*'Assumption Sheet'!$R28*'Assumption Sheet'!$C28,0)-IF(HY$1='Assumption Sheet'!$Y28,('Assumption Sheet'!$M28+'Assumption Sheet'!$P28)*'Assumption Sheet'!$R28*'Assumption Sheet'!$C28))/10^7</f>
        <v>0</v>
      </c>
      <c r="HZ46" s="33">
        <f>(IF(HZ$1='Assumption Sheet'!$L28,('Assumption Sheet'!$M28+'Assumption Sheet'!$P28)*'Assumption Sheet'!$R28*'Assumption Sheet'!$C28,0)-IF(HZ$1='Assumption Sheet'!$Y28,('Assumption Sheet'!$M28+'Assumption Sheet'!$P28)*'Assumption Sheet'!$R28*'Assumption Sheet'!$C28))/10^7</f>
        <v>0</v>
      </c>
      <c r="IA46" s="33">
        <f>(IF(IA$1='Assumption Sheet'!$L28,('Assumption Sheet'!$M28+'Assumption Sheet'!$P28)*'Assumption Sheet'!$R28*'Assumption Sheet'!$C28,0)-IF(IA$1='Assumption Sheet'!$Y28,('Assumption Sheet'!$M28+'Assumption Sheet'!$P28)*'Assumption Sheet'!$R28*'Assumption Sheet'!$C28))/10^7</f>
        <v>0</v>
      </c>
      <c r="IB46" s="33">
        <f>(IF(IB$1='Assumption Sheet'!$L28,('Assumption Sheet'!$M28+'Assumption Sheet'!$P28)*'Assumption Sheet'!$R28*'Assumption Sheet'!$C28,0)-IF(IB$1='Assumption Sheet'!$Y28,('Assumption Sheet'!$M28+'Assumption Sheet'!$P28)*'Assumption Sheet'!$R28*'Assumption Sheet'!$C28))/10^7</f>
        <v>0</v>
      </c>
      <c r="IC46" s="33">
        <f>(IF(IC$1='Assumption Sheet'!$L28,('Assumption Sheet'!$M28+'Assumption Sheet'!$P28)*'Assumption Sheet'!$R28*'Assumption Sheet'!$C28,0)-IF(IC$1='Assumption Sheet'!$Y28,('Assumption Sheet'!$M28+'Assumption Sheet'!$P28)*'Assumption Sheet'!$R28*'Assumption Sheet'!$C28))/10^7</f>
        <v>0</v>
      </c>
      <c r="ID46" s="33">
        <f>(IF(ID$1='Assumption Sheet'!$L28,('Assumption Sheet'!$M28+'Assumption Sheet'!$P28)*'Assumption Sheet'!$R28*'Assumption Sheet'!$C28,0)-IF(ID$1='Assumption Sheet'!$Y28,('Assumption Sheet'!$M28+'Assumption Sheet'!$P28)*'Assumption Sheet'!$R28*'Assumption Sheet'!$C28))/10^7</f>
        <v>0</v>
      </c>
      <c r="IE46" s="33">
        <f>(IF(IE$1='Assumption Sheet'!$L28,('Assumption Sheet'!$M28+'Assumption Sheet'!$P28)*'Assumption Sheet'!$R28*'Assumption Sheet'!$C28,0)-IF(IE$1='Assumption Sheet'!$Y28,('Assumption Sheet'!$M28+'Assumption Sheet'!$P28)*'Assumption Sheet'!$R28*'Assumption Sheet'!$C28))/10^7</f>
        <v>0</v>
      </c>
      <c r="IF46" s="33">
        <f>(IF(IF$1='Assumption Sheet'!$L28,('Assumption Sheet'!$M28+'Assumption Sheet'!$P28)*'Assumption Sheet'!$R28*'Assumption Sheet'!$C28,0)-IF(IF$1='Assumption Sheet'!$Y28,('Assumption Sheet'!$M28+'Assumption Sheet'!$P28)*'Assumption Sheet'!$R28*'Assumption Sheet'!$C28))/10^7</f>
        <v>0</v>
      </c>
      <c r="IG46" s="33">
        <f>(IF(IG$1='Assumption Sheet'!$L28,('Assumption Sheet'!$M28+'Assumption Sheet'!$P28)*'Assumption Sheet'!$R28*'Assumption Sheet'!$C28,0)-IF(IG$1='Assumption Sheet'!$Y28,('Assumption Sheet'!$M28+'Assumption Sheet'!$P28)*'Assumption Sheet'!$R28*'Assumption Sheet'!$C28))/10^7</f>
        <v>0</v>
      </c>
      <c r="IH46" s="33">
        <f>(IF(IH$1='Assumption Sheet'!$L28,('Assumption Sheet'!$M28+'Assumption Sheet'!$P28)*'Assumption Sheet'!$R28*'Assumption Sheet'!$C28,0)-IF(IH$1='Assumption Sheet'!$Y28,('Assumption Sheet'!$M28+'Assumption Sheet'!$P28)*'Assumption Sheet'!$R28*'Assumption Sheet'!$C28))/10^7</f>
        <v>0</v>
      </c>
      <c r="II46" s="33">
        <f>(IF(II$1='Assumption Sheet'!$L28,('Assumption Sheet'!$M28+'Assumption Sheet'!$P28)*'Assumption Sheet'!$R28*'Assumption Sheet'!$C28,0)-IF(II$1='Assumption Sheet'!$Y28,('Assumption Sheet'!$M28+'Assumption Sheet'!$P28)*'Assumption Sheet'!$R28*'Assumption Sheet'!$C28))/10^7</f>
        <v>0</v>
      </c>
      <c r="IJ46" s="33">
        <f>(IF(IJ$1='Assumption Sheet'!$L28,('Assumption Sheet'!$M28+'Assumption Sheet'!$P28)*'Assumption Sheet'!$R28*'Assumption Sheet'!$C28,0)-IF(IJ$1='Assumption Sheet'!$Y28,('Assumption Sheet'!$M28+'Assumption Sheet'!$P28)*'Assumption Sheet'!$R28*'Assumption Sheet'!$C28))/10^7</f>
        <v>0</v>
      </c>
      <c r="IK46" s="33">
        <f>(IF(IK$1='Assumption Sheet'!$L28,('Assumption Sheet'!$M28+'Assumption Sheet'!$P28)*'Assumption Sheet'!$R28*'Assumption Sheet'!$C28,0)-IF(IK$1='Assumption Sheet'!$Y28,('Assumption Sheet'!$M28+'Assumption Sheet'!$P28)*'Assumption Sheet'!$R28*'Assumption Sheet'!$C28))/10^7</f>
        <v>0</v>
      </c>
      <c r="IL46" s="33">
        <f>(IF(IL$1='Assumption Sheet'!$L28,('Assumption Sheet'!$M28+'Assumption Sheet'!$P28)*'Assumption Sheet'!$R28*'Assumption Sheet'!$C28,0)-IF(IL$1='Assumption Sheet'!$Y28,('Assumption Sheet'!$M28+'Assumption Sheet'!$P28)*'Assumption Sheet'!$R28*'Assumption Sheet'!$C28))/10^7</f>
        <v>0</v>
      </c>
      <c r="IM46" s="33">
        <f>(IF(IM$1='Assumption Sheet'!$L28,('Assumption Sheet'!$M28+'Assumption Sheet'!$P28)*'Assumption Sheet'!$R28*'Assumption Sheet'!$C28,0)-IF(IM$1='Assumption Sheet'!$Y28,('Assumption Sheet'!$M28+'Assumption Sheet'!$P28)*'Assumption Sheet'!$R28*'Assumption Sheet'!$C28))/10^7</f>
        <v>0</v>
      </c>
      <c r="IN46" s="33">
        <f>(IF(IN$1='Assumption Sheet'!$L28,('Assumption Sheet'!$M28+'Assumption Sheet'!$P28)*'Assumption Sheet'!$R28*'Assumption Sheet'!$C28,0)-IF(IN$1='Assumption Sheet'!$Y28,('Assumption Sheet'!$M28+'Assumption Sheet'!$P28)*'Assumption Sheet'!$R28*'Assumption Sheet'!$C28))/10^7</f>
        <v>0</v>
      </c>
      <c r="IO46" s="33">
        <f>(IF(IO$1='Assumption Sheet'!$L28,('Assumption Sheet'!$M28+'Assumption Sheet'!$P28)*'Assumption Sheet'!$R28*'Assumption Sheet'!$C28,0)-IF(IO$1='Assumption Sheet'!$Y28,('Assumption Sheet'!$M28+'Assumption Sheet'!$P28)*'Assumption Sheet'!$R28*'Assumption Sheet'!$C28))/10^7</f>
        <v>0</v>
      </c>
      <c r="IP46" s="33">
        <f>(IF(IP$1='Assumption Sheet'!$L28,('Assumption Sheet'!$M28+'Assumption Sheet'!$P28)*'Assumption Sheet'!$R28*'Assumption Sheet'!$C28,0)-IF(IP$1='Assumption Sheet'!$Y28,('Assumption Sheet'!$M28+'Assumption Sheet'!$P28)*'Assumption Sheet'!$R28*'Assumption Sheet'!$C28))/10^7</f>
        <v>0</v>
      </c>
      <c r="IQ46" s="33">
        <f>(IF(IQ$1='Assumption Sheet'!$L28,('Assumption Sheet'!$M28+'Assumption Sheet'!$P28)*'Assumption Sheet'!$R28*'Assumption Sheet'!$C28,0)-IF(IQ$1='Assumption Sheet'!$Y28,('Assumption Sheet'!$M28+'Assumption Sheet'!$P28)*'Assumption Sheet'!$R28*'Assumption Sheet'!$C28))/10^7</f>
        <v>0</v>
      </c>
      <c r="IR46" s="33">
        <f>(IF(IR$1='Assumption Sheet'!$L28,('Assumption Sheet'!$M28+'Assumption Sheet'!$P28)*'Assumption Sheet'!$R28*'Assumption Sheet'!$C28,0)-IF(IR$1='Assumption Sheet'!$Y28,('Assumption Sheet'!$M28+'Assumption Sheet'!$P28)*'Assumption Sheet'!$R28*'Assumption Sheet'!$C28))/10^7</f>
        <v>0</v>
      </c>
      <c r="IS46" s="33">
        <f>(IF(IS$1='Assumption Sheet'!$L28,('Assumption Sheet'!$M28+'Assumption Sheet'!$P28)*'Assumption Sheet'!$R28*'Assumption Sheet'!$C28,0)-IF(IS$1='Assumption Sheet'!$Y28,('Assumption Sheet'!$M28+'Assumption Sheet'!$P28)*'Assumption Sheet'!$R28*'Assumption Sheet'!$C28))/10^7</f>
        <v>0</v>
      </c>
      <c r="IT46" s="33">
        <f>(IF(IT$1='Assumption Sheet'!$L28,('Assumption Sheet'!$M28+'Assumption Sheet'!$P28)*'Assumption Sheet'!$R28*'Assumption Sheet'!$C28,0)-IF(IT$1='Assumption Sheet'!$Y28,('Assumption Sheet'!$M28+'Assumption Sheet'!$P28)*'Assumption Sheet'!$R28*'Assumption Sheet'!$C28))/10^7</f>
        <v>0</v>
      </c>
      <c r="IU46" s="33">
        <f>(IF(IU$1='Assumption Sheet'!$L28,('Assumption Sheet'!$M28+'Assumption Sheet'!$P28)*'Assumption Sheet'!$R28*'Assumption Sheet'!$C28,0)-IF(IU$1='Assumption Sheet'!$Y28,('Assumption Sheet'!$M28+'Assumption Sheet'!$P28)*'Assumption Sheet'!$R28*'Assumption Sheet'!$C28))/10^7</f>
        <v>0</v>
      </c>
      <c r="IV46" s="33">
        <f>(IF(IV$1='Assumption Sheet'!$L28,('Assumption Sheet'!$M28+'Assumption Sheet'!$P28)*'Assumption Sheet'!$R28*'Assumption Sheet'!$C28,0)-IF(IV$1='Assumption Sheet'!$Y28,('Assumption Sheet'!$M28+'Assumption Sheet'!$P28)*'Assumption Sheet'!$R28*'Assumption Sheet'!$C28))/10^7</f>
        <v>-3.1387119227698497</v>
      </c>
      <c r="IW46" s="33">
        <f>(IF(IW$1='Assumption Sheet'!$L28,('Assumption Sheet'!$M28+'Assumption Sheet'!$P28)*'Assumption Sheet'!$R28*'Assumption Sheet'!$C28,0)-IF(IW$1='Assumption Sheet'!$Y28,('Assumption Sheet'!$M28+'Assumption Sheet'!$P28)*'Assumption Sheet'!$R28*'Assumption Sheet'!$C28))/10^7</f>
        <v>0</v>
      </c>
      <c r="IX46" s="33">
        <f>(IF(IX$1='Assumption Sheet'!$L28,('Assumption Sheet'!$M28+'Assumption Sheet'!$P28)*'Assumption Sheet'!$R28*'Assumption Sheet'!$C28,0)-IF(IX$1='Assumption Sheet'!$Y28,('Assumption Sheet'!$M28+'Assumption Sheet'!$P28)*'Assumption Sheet'!$R28*'Assumption Sheet'!$C28))/10^7</f>
        <v>0</v>
      </c>
      <c r="IY46" s="33">
        <f>(IF(IY$1='Assumption Sheet'!$L28,('Assumption Sheet'!$M28+'Assumption Sheet'!$P28)*'Assumption Sheet'!$R28*'Assumption Sheet'!$C28,0)-IF(IY$1='Assumption Sheet'!$Y28,('Assumption Sheet'!$M28+'Assumption Sheet'!$P28)*'Assumption Sheet'!$R28*'Assumption Sheet'!$C28))/10^7</f>
        <v>0</v>
      </c>
      <c r="IZ46" s="33">
        <f>(IF(IZ$1='Assumption Sheet'!$L28,('Assumption Sheet'!$M28+'Assumption Sheet'!$P28)*'Assumption Sheet'!$R28*'Assumption Sheet'!$C28,0)-IF(IZ$1='Assumption Sheet'!$Y28,('Assumption Sheet'!$M28+'Assumption Sheet'!$P28)*'Assumption Sheet'!$R28*'Assumption Sheet'!$C28))/10^7</f>
        <v>0</v>
      </c>
      <c r="JA46" s="33">
        <f>(IF(JA$1='Assumption Sheet'!$L28,('Assumption Sheet'!$M28+'Assumption Sheet'!$P28)*'Assumption Sheet'!$R28*'Assumption Sheet'!$C28,0)-IF(JA$1='Assumption Sheet'!$Y28,('Assumption Sheet'!$M28+'Assumption Sheet'!$P28)*'Assumption Sheet'!$R28*'Assumption Sheet'!$C28))/10^7</f>
        <v>0</v>
      </c>
      <c r="JB46" s="33">
        <f>(IF(JB$1='Assumption Sheet'!$L28,('Assumption Sheet'!$M28+'Assumption Sheet'!$P28)*'Assumption Sheet'!$R28*'Assumption Sheet'!$C28,0)-IF(JB$1='Assumption Sheet'!$Y28,('Assumption Sheet'!$M28+'Assumption Sheet'!$P28)*'Assumption Sheet'!$R28*'Assumption Sheet'!$C28))/10^7</f>
        <v>0</v>
      </c>
      <c r="JC46" s="33">
        <f>(IF(JC$1='Assumption Sheet'!$L28,('Assumption Sheet'!$M28+'Assumption Sheet'!$P28)*'Assumption Sheet'!$R28*'Assumption Sheet'!$C28,0)-IF(JC$1='Assumption Sheet'!$Y28,('Assumption Sheet'!$M28+'Assumption Sheet'!$P28)*'Assumption Sheet'!$R28*'Assumption Sheet'!$C28))/10^7</f>
        <v>0</v>
      </c>
      <c r="JD46" s="33">
        <f>(IF(JD$1='Assumption Sheet'!$L28,('Assumption Sheet'!$M28+'Assumption Sheet'!$P28)*'Assumption Sheet'!$R28*'Assumption Sheet'!$C28,0)-IF(JD$1='Assumption Sheet'!$Y28,('Assumption Sheet'!$M28+'Assumption Sheet'!$P28)*'Assumption Sheet'!$R28*'Assumption Sheet'!$C28))/10^7</f>
        <v>0</v>
      </c>
      <c r="JE46" s="33">
        <f>(IF(JE$1='Assumption Sheet'!$L28,('Assumption Sheet'!$M28+'Assumption Sheet'!$P28)*'Assumption Sheet'!$R28*'Assumption Sheet'!$C28,0)-IF(JE$1='Assumption Sheet'!$Y28,('Assumption Sheet'!$M28+'Assumption Sheet'!$P28)*'Assumption Sheet'!$R28*'Assumption Sheet'!$C28))/10^7</f>
        <v>0</v>
      </c>
      <c r="JF46" s="33">
        <f>(IF(JF$1='Assumption Sheet'!$L28,('Assumption Sheet'!$M28+'Assumption Sheet'!$P28)*'Assumption Sheet'!$R28*'Assumption Sheet'!$C28,0)-IF(JF$1='Assumption Sheet'!$Y28,('Assumption Sheet'!$M28+'Assumption Sheet'!$P28)*'Assumption Sheet'!$R28*'Assumption Sheet'!$C28))/10^7</f>
        <v>0</v>
      </c>
      <c r="JG46" s="33">
        <f>(IF(JG$1='Assumption Sheet'!$L28,('Assumption Sheet'!$M28+'Assumption Sheet'!$P28)*'Assumption Sheet'!$R28*'Assumption Sheet'!$C28,0)-IF(JG$1='Assumption Sheet'!$Y28,('Assumption Sheet'!$M28+'Assumption Sheet'!$P28)*'Assumption Sheet'!$R28*'Assumption Sheet'!$C28))/10^7</f>
        <v>0</v>
      </c>
      <c r="JH46" s="33">
        <f>(IF(JH$1='Assumption Sheet'!$L28,('Assumption Sheet'!$M28+'Assumption Sheet'!$P28)*'Assumption Sheet'!$R28*'Assumption Sheet'!$C28,0)-IF(JH$1='Assumption Sheet'!$Y28,('Assumption Sheet'!$M28+'Assumption Sheet'!$P28)*'Assumption Sheet'!$R28*'Assumption Sheet'!$C28))/10^7</f>
        <v>0</v>
      </c>
      <c r="JI46" s="33">
        <f>(IF(JI$1='Assumption Sheet'!$L28,('Assumption Sheet'!$M28+'Assumption Sheet'!$P28)*'Assumption Sheet'!$R28*'Assumption Sheet'!$C28,0)-IF(JI$1='Assumption Sheet'!$Y28,('Assumption Sheet'!$M28+'Assumption Sheet'!$P28)*'Assumption Sheet'!$R28*'Assumption Sheet'!$C28))/10^7</f>
        <v>0</v>
      </c>
      <c r="JJ46" s="33">
        <f>(IF(JJ$1='Assumption Sheet'!$L28,('Assumption Sheet'!$M28+'Assumption Sheet'!$P28)*'Assumption Sheet'!$R28*'Assumption Sheet'!$C28,0)-IF(JJ$1='Assumption Sheet'!$Y28,('Assumption Sheet'!$M28+'Assumption Sheet'!$P28)*'Assumption Sheet'!$R28*'Assumption Sheet'!$C28))/10^7</f>
        <v>0</v>
      </c>
      <c r="JK46" s="33">
        <f>(IF(JK$1='Assumption Sheet'!$L28,('Assumption Sheet'!$M28+'Assumption Sheet'!$P28)*'Assumption Sheet'!$R28*'Assumption Sheet'!$C28,0)-IF(JK$1='Assumption Sheet'!$Y28,('Assumption Sheet'!$M28+'Assumption Sheet'!$P28)*'Assumption Sheet'!$R28*'Assumption Sheet'!$C28))/10^7</f>
        <v>0</v>
      </c>
      <c r="JL46" s="33">
        <f>(IF(JL$1='Assumption Sheet'!$L28,('Assumption Sheet'!$M28+'Assumption Sheet'!$P28)*'Assumption Sheet'!$R28*'Assumption Sheet'!$C28,0)-IF(JL$1='Assumption Sheet'!$Y28,('Assumption Sheet'!$M28+'Assumption Sheet'!$P28)*'Assumption Sheet'!$R28*'Assumption Sheet'!$C28))/10^7</f>
        <v>0</v>
      </c>
      <c r="JM46" s="33">
        <f>(IF(JM$1='Assumption Sheet'!$L28,('Assumption Sheet'!$M28+'Assumption Sheet'!$P28)*'Assumption Sheet'!$R28*'Assumption Sheet'!$C28,0)-IF(JM$1='Assumption Sheet'!$Y28,('Assumption Sheet'!$M28+'Assumption Sheet'!$P28)*'Assumption Sheet'!$R28*'Assumption Sheet'!$C28))/10^7</f>
        <v>0</v>
      </c>
      <c r="JN46" s="33">
        <f>(IF(JN$1='Assumption Sheet'!$L28,('Assumption Sheet'!$M28+'Assumption Sheet'!$P28)*'Assumption Sheet'!$R28*'Assumption Sheet'!$C28,0)-IF(JN$1='Assumption Sheet'!$Y28,('Assumption Sheet'!$M28+'Assumption Sheet'!$P28)*'Assumption Sheet'!$R28*'Assumption Sheet'!$C28))/10^7</f>
        <v>0</v>
      </c>
      <c r="JO46" s="33">
        <f>(IF(JO$1='Assumption Sheet'!$L28,('Assumption Sheet'!$M28+'Assumption Sheet'!$P28)*'Assumption Sheet'!$R28*'Assumption Sheet'!$C28,0)-IF(JO$1='Assumption Sheet'!$Y28,('Assumption Sheet'!$M28+'Assumption Sheet'!$P28)*'Assumption Sheet'!$R28*'Assumption Sheet'!$C28))/10^7</f>
        <v>0</v>
      </c>
      <c r="JP46" s="33">
        <f>(IF(JP$1='Assumption Sheet'!$L28,('Assumption Sheet'!$M28+'Assumption Sheet'!$P28)*'Assumption Sheet'!$R28*'Assumption Sheet'!$C28,0)-IF(JP$1='Assumption Sheet'!$Y28,('Assumption Sheet'!$M28+'Assumption Sheet'!$P28)*'Assumption Sheet'!$R28*'Assumption Sheet'!$C28))/10^7</f>
        <v>0</v>
      </c>
      <c r="JQ46" s="33">
        <f>(IF(JQ$1='Assumption Sheet'!$L28,('Assumption Sheet'!$M28+'Assumption Sheet'!$P28)*'Assumption Sheet'!$R28*'Assumption Sheet'!$C28,0)-IF(JQ$1='Assumption Sheet'!$Y28,('Assumption Sheet'!$M28+'Assumption Sheet'!$P28)*'Assumption Sheet'!$R28*'Assumption Sheet'!$C28))/10^7</f>
        <v>0</v>
      </c>
      <c r="JR46" s="33">
        <f>(IF(JR$1='Assumption Sheet'!$L28,('Assumption Sheet'!$M28+'Assumption Sheet'!$P28)*'Assumption Sheet'!$R28*'Assumption Sheet'!$C28,0)-IF(JR$1='Assumption Sheet'!$Y28,('Assumption Sheet'!$M28+'Assumption Sheet'!$P28)*'Assumption Sheet'!$R28*'Assumption Sheet'!$C28))/10^7</f>
        <v>0</v>
      </c>
      <c r="JS46" s="33">
        <f>(IF(JS$1='Assumption Sheet'!$L28,('Assumption Sheet'!$M28+'Assumption Sheet'!$P28)*'Assumption Sheet'!$R28*'Assumption Sheet'!$C28,0)-IF(JS$1='Assumption Sheet'!$Y28,('Assumption Sheet'!$M28+'Assumption Sheet'!$P28)*'Assumption Sheet'!$R28*'Assumption Sheet'!$C28))/10^7</f>
        <v>0</v>
      </c>
      <c r="JT46" s="33">
        <f>(IF(JT$1='Assumption Sheet'!$L28,('Assumption Sheet'!$M28+'Assumption Sheet'!$P28)*'Assumption Sheet'!$R28*'Assumption Sheet'!$C28,0)-IF(JT$1='Assumption Sheet'!$Y28,('Assumption Sheet'!$M28+'Assumption Sheet'!$P28)*'Assumption Sheet'!$R28*'Assumption Sheet'!$C28))/10^7</f>
        <v>0</v>
      </c>
      <c r="JU46" s="33">
        <f>(IF(JU$1='Assumption Sheet'!$L28,('Assumption Sheet'!$M28+'Assumption Sheet'!$P28)*'Assumption Sheet'!$R28*'Assumption Sheet'!$C28,0)-IF(JU$1='Assumption Sheet'!$Y28,('Assumption Sheet'!$M28+'Assumption Sheet'!$P28)*'Assumption Sheet'!$R28*'Assumption Sheet'!$C28))/10^7</f>
        <v>0</v>
      </c>
      <c r="JV46" s="33">
        <f>(IF(JV$1='Assumption Sheet'!$L28,('Assumption Sheet'!$M28+'Assumption Sheet'!$P28)*'Assumption Sheet'!$R28*'Assumption Sheet'!$C28,0)-IF(JV$1='Assumption Sheet'!$Y28,('Assumption Sheet'!$M28+'Assumption Sheet'!$P28)*'Assumption Sheet'!$R28*'Assumption Sheet'!$C28))/10^7</f>
        <v>0</v>
      </c>
      <c r="JW46" s="33">
        <f>(IF(JW$1='Assumption Sheet'!$L28,('Assumption Sheet'!$M28+'Assumption Sheet'!$P28)*'Assumption Sheet'!$R28*'Assumption Sheet'!$C28,0)-IF(JW$1='Assumption Sheet'!$Y28,('Assumption Sheet'!$M28+'Assumption Sheet'!$P28)*'Assumption Sheet'!$R28*'Assumption Sheet'!$C28))/10^7</f>
        <v>0</v>
      </c>
      <c r="JX46" s="33">
        <f>(IF(JX$1='Assumption Sheet'!$L28,('Assumption Sheet'!$M28+'Assumption Sheet'!$P28)*'Assumption Sheet'!$R28*'Assumption Sheet'!$C28,0)-IF(JX$1='Assumption Sheet'!$Y28,('Assumption Sheet'!$M28+'Assumption Sheet'!$P28)*'Assumption Sheet'!$R28*'Assumption Sheet'!$C28))/10^7</f>
        <v>0</v>
      </c>
      <c r="JY46" s="33">
        <f>(IF(JY$1='Assumption Sheet'!$L28,('Assumption Sheet'!$M28+'Assumption Sheet'!$P28)*'Assumption Sheet'!$R28*'Assumption Sheet'!$C28,0)-IF(JY$1='Assumption Sheet'!$Y28,('Assumption Sheet'!$M28+'Assumption Sheet'!$P28)*'Assumption Sheet'!$R28*'Assumption Sheet'!$C28))/10^7</f>
        <v>0</v>
      </c>
      <c r="JZ46" s="33">
        <f>(IF(JZ$1='Assumption Sheet'!$L28,('Assumption Sheet'!$M28+'Assumption Sheet'!$P28)*'Assumption Sheet'!$R28*'Assumption Sheet'!$C28,0)-IF(JZ$1='Assumption Sheet'!$Y28,('Assumption Sheet'!$M28+'Assumption Sheet'!$P28)*'Assumption Sheet'!$R28*'Assumption Sheet'!$C28))/10^7</f>
        <v>0</v>
      </c>
      <c r="KA46" s="33">
        <f>(IF(KA$1='Assumption Sheet'!$L28,('Assumption Sheet'!$M28+'Assumption Sheet'!$P28)*'Assumption Sheet'!$R28*'Assumption Sheet'!$C28,0)-IF(KA$1='Assumption Sheet'!$Y28,('Assumption Sheet'!$M28+'Assumption Sheet'!$P28)*'Assumption Sheet'!$R28*'Assumption Sheet'!$C28))/10^7</f>
        <v>0</v>
      </c>
      <c r="KB46" s="33">
        <f>(IF(KB$1='Assumption Sheet'!$L28,('Assumption Sheet'!$M28+'Assumption Sheet'!$P28)*'Assumption Sheet'!$R28*'Assumption Sheet'!$C28,0)-IF(KB$1='Assumption Sheet'!$Y28,('Assumption Sheet'!$M28+'Assumption Sheet'!$P28)*'Assumption Sheet'!$R28*'Assumption Sheet'!$C28))/10^7</f>
        <v>0</v>
      </c>
      <c r="KC46" s="33">
        <f>(IF(KC$1='Assumption Sheet'!$L28,('Assumption Sheet'!$M28+'Assumption Sheet'!$P28)*'Assumption Sheet'!$R28*'Assumption Sheet'!$C28,0)-IF(KC$1='Assumption Sheet'!$Y28,('Assumption Sheet'!$M28+'Assumption Sheet'!$P28)*'Assumption Sheet'!$R28*'Assumption Sheet'!$C28))/10^7</f>
        <v>0</v>
      </c>
      <c r="KD46" s="45"/>
      <c r="KE46" s="45"/>
      <c r="KF46" s="45"/>
      <c r="KG46" s="45"/>
      <c r="KH46" s="45"/>
      <c r="KI46" s="45"/>
      <c r="KJ46" s="45"/>
      <c r="KK46" s="45"/>
      <c r="KL46" s="45"/>
      <c r="KM46" s="45"/>
      <c r="KN46" s="45"/>
      <c r="KO46" s="45"/>
    </row>
    <row r="47" spans="1:301" x14ac:dyDescent="0.3">
      <c r="B47" s="1" t="str">
        <f>B38</f>
        <v>Phase 2</v>
      </c>
      <c r="C47" s="54">
        <f>SUM(E47:EX47)</f>
        <v>6.0795196073454152</v>
      </c>
      <c r="D47" s="54"/>
      <c r="E47" s="33">
        <f>(IF(E$1='Assumption Sheet'!$L29,('Assumption Sheet'!$M29+'Assumption Sheet'!$P29)*'Assumption Sheet'!$R29*'Assumption Sheet'!$C29,0)-IF(E$1='Assumption Sheet'!$Y29,('Assumption Sheet'!$M29+'Assumption Sheet'!$P29)*'Assumption Sheet'!$R29*'Assumption Sheet'!$C29))/10^7</f>
        <v>0</v>
      </c>
      <c r="F47" s="33">
        <f>(IF(F$1='Assumption Sheet'!$L29,('Assumption Sheet'!$M29+'Assumption Sheet'!$P29)*'Assumption Sheet'!$R29*'Assumption Sheet'!$C29,0)-IF(F$1='Assumption Sheet'!$Y29,('Assumption Sheet'!$M29+'Assumption Sheet'!$P29)*'Assumption Sheet'!$R29*'Assumption Sheet'!$C29))/10^7</f>
        <v>0</v>
      </c>
      <c r="G47" s="33">
        <f>(IF(G$1='Assumption Sheet'!$L29,('Assumption Sheet'!$M29+'Assumption Sheet'!$P29)*'Assumption Sheet'!$R29*'Assumption Sheet'!$C29,0)-IF(G$1='Assumption Sheet'!$Y29,('Assumption Sheet'!$M29+'Assumption Sheet'!$P29)*'Assumption Sheet'!$R29*'Assumption Sheet'!$C29))/10^7</f>
        <v>0</v>
      </c>
      <c r="H47" s="33">
        <f>(IF(H$1='Assumption Sheet'!$L29,('Assumption Sheet'!$M29+'Assumption Sheet'!$P29)*'Assumption Sheet'!$R29*'Assumption Sheet'!$C29,0)-IF(H$1='Assumption Sheet'!$Y29,('Assumption Sheet'!$M29+'Assumption Sheet'!$P29)*'Assumption Sheet'!$R29*'Assumption Sheet'!$C29))/10^7</f>
        <v>0</v>
      </c>
      <c r="I47" s="33">
        <f>(IF(I$1='Assumption Sheet'!$L29,('Assumption Sheet'!$M29+'Assumption Sheet'!$P29)*'Assumption Sheet'!$R29*'Assumption Sheet'!$C29,0)-IF(I$1='Assumption Sheet'!$Y29,('Assumption Sheet'!$M29+'Assumption Sheet'!$P29)*'Assumption Sheet'!$R29*'Assumption Sheet'!$C29))/10^7</f>
        <v>0</v>
      </c>
      <c r="J47" s="33">
        <f>(IF(J$1='Assumption Sheet'!$L29,('Assumption Sheet'!$M29+'Assumption Sheet'!$P29)*'Assumption Sheet'!$R29*'Assumption Sheet'!$C29,0)-IF(J$1='Assumption Sheet'!$Y29,('Assumption Sheet'!$M29+'Assumption Sheet'!$P29)*'Assumption Sheet'!$R29*'Assumption Sheet'!$C29))/10^7</f>
        <v>0</v>
      </c>
      <c r="K47" s="33">
        <f>(IF(K$1='Assumption Sheet'!$L29,('Assumption Sheet'!$M29+'Assumption Sheet'!$P29)*'Assumption Sheet'!$R29*'Assumption Sheet'!$C29,0)-IF(K$1='Assumption Sheet'!$Y29,('Assumption Sheet'!$M29+'Assumption Sheet'!$P29)*'Assumption Sheet'!$R29*'Assumption Sheet'!$C29))/10^7</f>
        <v>0</v>
      </c>
      <c r="L47" s="33">
        <f>(IF(L$1='Assumption Sheet'!$L29,('Assumption Sheet'!$M29+'Assumption Sheet'!$P29)*'Assumption Sheet'!$R29*'Assumption Sheet'!$C29,0)-IF(L$1='Assumption Sheet'!$Y29,('Assumption Sheet'!$M29+'Assumption Sheet'!$P29)*'Assumption Sheet'!$R29*'Assumption Sheet'!$C29))/10^7</f>
        <v>0</v>
      </c>
      <c r="M47" s="33">
        <f>(IF(M$1='Assumption Sheet'!$L29,('Assumption Sheet'!$M29+'Assumption Sheet'!$P29)*'Assumption Sheet'!$R29*'Assumption Sheet'!$C29,0)-IF(M$1='Assumption Sheet'!$Y29,('Assumption Sheet'!$M29+'Assumption Sheet'!$P29)*'Assumption Sheet'!$R29*'Assumption Sheet'!$C29))/10^7</f>
        <v>0</v>
      </c>
      <c r="N47" s="33">
        <f>(IF(N$1='Assumption Sheet'!$L29,('Assumption Sheet'!$M29+'Assumption Sheet'!$P29)*'Assumption Sheet'!$R29*'Assumption Sheet'!$C29,0)-IF(N$1='Assumption Sheet'!$Y29,('Assumption Sheet'!$M29+'Assumption Sheet'!$P29)*'Assumption Sheet'!$R29*'Assumption Sheet'!$C29))/10^7</f>
        <v>0</v>
      </c>
      <c r="O47" s="33">
        <f>(IF(O$1='Assumption Sheet'!$L29,('Assumption Sheet'!$M29+'Assumption Sheet'!$P29)*'Assumption Sheet'!$R29*'Assumption Sheet'!$C29,0)-IF(O$1='Assumption Sheet'!$Y29,('Assumption Sheet'!$M29+'Assumption Sheet'!$P29)*'Assumption Sheet'!$R29*'Assumption Sheet'!$C29))/10^7</f>
        <v>0</v>
      </c>
      <c r="P47" s="33">
        <f>(IF(P$1='Assumption Sheet'!$L29,('Assumption Sheet'!$M29+'Assumption Sheet'!$P29)*'Assumption Sheet'!$R29*'Assumption Sheet'!$C29,0)-IF(P$1='Assumption Sheet'!$Y29,('Assumption Sheet'!$M29+'Assumption Sheet'!$P29)*'Assumption Sheet'!$R29*'Assumption Sheet'!$C29))/10^7</f>
        <v>0</v>
      </c>
      <c r="Q47" s="33">
        <f>(IF(Q$1='Assumption Sheet'!$L29,('Assumption Sheet'!$M29+'Assumption Sheet'!$P29)*'Assumption Sheet'!$R29*'Assumption Sheet'!$C29,0)-IF(Q$1='Assumption Sheet'!$Y29,('Assumption Sheet'!$M29+'Assumption Sheet'!$P29)*'Assumption Sheet'!$R29*'Assumption Sheet'!$C29))/10^7</f>
        <v>0</v>
      </c>
      <c r="R47" s="33">
        <f>(IF(R$1='Assumption Sheet'!$L29,('Assumption Sheet'!$M29+'Assumption Sheet'!$P29)*'Assumption Sheet'!$R29*'Assumption Sheet'!$C29,0)-IF(R$1='Assumption Sheet'!$Y29,('Assumption Sheet'!$M29+'Assumption Sheet'!$P29)*'Assumption Sheet'!$R29*'Assumption Sheet'!$C29))/10^7</f>
        <v>0</v>
      </c>
      <c r="S47" s="33">
        <f>(IF(S$1='Assumption Sheet'!$L29,('Assumption Sheet'!$M29+'Assumption Sheet'!$P29)*'Assumption Sheet'!$R29*'Assumption Sheet'!$C29,0)-IF(S$1='Assumption Sheet'!$Y29,('Assumption Sheet'!$M29+'Assumption Sheet'!$P29)*'Assumption Sheet'!$R29*'Assumption Sheet'!$C29))/10^7</f>
        <v>0</v>
      </c>
      <c r="T47" s="33">
        <f>(IF(T$1='Assumption Sheet'!$L29,('Assumption Sheet'!$M29+'Assumption Sheet'!$P29)*'Assumption Sheet'!$R29*'Assumption Sheet'!$C29,0)-IF(T$1='Assumption Sheet'!$Y29,('Assumption Sheet'!$M29+'Assumption Sheet'!$P29)*'Assumption Sheet'!$R29*'Assumption Sheet'!$C29))/10^7</f>
        <v>0</v>
      </c>
      <c r="U47" s="33">
        <f>(IF(U$1='Assumption Sheet'!$L29,('Assumption Sheet'!$M29+'Assumption Sheet'!$P29)*'Assumption Sheet'!$R29*'Assumption Sheet'!$C29,0)-IF(U$1='Assumption Sheet'!$Y29,('Assumption Sheet'!$M29+'Assumption Sheet'!$P29)*'Assumption Sheet'!$R29*'Assumption Sheet'!$C29))/10^7</f>
        <v>0</v>
      </c>
      <c r="V47" s="33">
        <f>(IF(V$1='Assumption Sheet'!$L29,('Assumption Sheet'!$M29+'Assumption Sheet'!$P29)*'Assumption Sheet'!$R29*'Assumption Sheet'!$C29,0)-IF(V$1='Assumption Sheet'!$Y29,('Assumption Sheet'!$M29+'Assumption Sheet'!$P29)*'Assumption Sheet'!$R29*'Assumption Sheet'!$C29))/10^7</f>
        <v>0</v>
      </c>
      <c r="W47" s="33">
        <f>(IF(W$1='Assumption Sheet'!$L29,('Assumption Sheet'!$M29+'Assumption Sheet'!$P29)*'Assumption Sheet'!$R29*'Assumption Sheet'!$C29,0)-IF(W$1='Assumption Sheet'!$Y29,('Assumption Sheet'!$M29+'Assumption Sheet'!$P29)*'Assumption Sheet'!$R29*'Assumption Sheet'!$C29))/10^7</f>
        <v>0</v>
      </c>
      <c r="X47" s="33">
        <f>(IF(X$1='Assumption Sheet'!$L29,('Assumption Sheet'!$M29+'Assumption Sheet'!$P29)*'Assumption Sheet'!$R29*'Assumption Sheet'!$C29,0)-IF(X$1='Assumption Sheet'!$Y29,('Assumption Sheet'!$M29+'Assumption Sheet'!$P29)*'Assumption Sheet'!$R29*'Assumption Sheet'!$C29))/10^7</f>
        <v>0</v>
      </c>
      <c r="Y47" s="33">
        <f>(IF(Y$1='Assumption Sheet'!$L29,('Assumption Sheet'!$M29+'Assumption Sheet'!$P29)*'Assumption Sheet'!$R29*'Assumption Sheet'!$C29,0)-IF(Y$1='Assumption Sheet'!$Y29,('Assumption Sheet'!$M29+'Assumption Sheet'!$P29)*'Assumption Sheet'!$R29*'Assumption Sheet'!$C29))/10^7</f>
        <v>0</v>
      </c>
      <c r="Z47" s="33">
        <f>(IF(Z$1='Assumption Sheet'!$L29,('Assumption Sheet'!$M29+'Assumption Sheet'!$P29)*'Assumption Sheet'!$R29*'Assumption Sheet'!$C29,0)-IF(Z$1='Assumption Sheet'!$Y29,('Assumption Sheet'!$M29+'Assumption Sheet'!$P29)*'Assumption Sheet'!$R29*'Assumption Sheet'!$C29))/10^7</f>
        <v>0</v>
      </c>
      <c r="AA47" s="33">
        <f>(IF(AA$1='Assumption Sheet'!$L29,('Assumption Sheet'!$M29+'Assumption Sheet'!$P29)*'Assumption Sheet'!$R29*'Assumption Sheet'!$C29,0)-IF(AA$1='Assumption Sheet'!$Y29,('Assumption Sheet'!$M29+'Assumption Sheet'!$P29)*'Assumption Sheet'!$R29*'Assumption Sheet'!$C29))/10^7</f>
        <v>0</v>
      </c>
      <c r="AB47" s="33">
        <f>(IF(AB$1='Assumption Sheet'!$L29,('Assumption Sheet'!$M29+'Assumption Sheet'!$P29)*'Assumption Sheet'!$R29*'Assumption Sheet'!$C29,0)-IF(AB$1='Assumption Sheet'!$Y29,('Assumption Sheet'!$M29+'Assumption Sheet'!$P29)*'Assumption Sheet'!$R29*'Assumption Sheet'!$C29))/10^7</f>
        <v>0</v>
      </c>
      <c r="AC47" s="33">
        <f>(IF(AC$1='Assumption Sheet'!$L29,('Assumption Sheet'!$M29+'Assumption Sheet'!$P29)*'Assumption Sheet'!$R29*'Assumption Sheet'!$C29,0)-IF(AC$1='Assumption Sheet'!$Y29,('Assumption Sheet'!$M29+'Assumption Sheet'!$P29)*'Assumption Sheet'!$R29*'Assumption Sheet'!$C29))/10^7</f>
        <v>0</v>
      </c>
      <c r="AD47" s="33">
        <f>(IF(AD$1='Assumption Sheet'!$L29,('Assumption Sheet'!$M29+'Assumption Sheet'!$P29)*'Assumption Sheet'!$R29*'Assumption Sheet'!$C29,0)-IF(AD$1='Assumption Sheet'!$Y29,('Assumption Sheet'!$M29+'Assumption Sheet'!$P29)*'Assumption Sheet'!$R29*'Assumption Sheet'!$C29))/10^7</f>
        <v>0</v>
      </c>
      <c r="AE47" s="33">
        <f>(IF(AE$1='Assumption Sheet'!$L29,('Assumption Sheet'!$M29+'Assumption Sheet'!$P29)*'Assumption Sheet'!$R29*'Assumption Sheet'!$C29,0)-IF(AE$1='Assumption Sheet'!$Y29,('Assumption Sheet'!$M29+'Assumption Sheet'!$P29)*'Assumption Sheet'!$R29*'Assumption Sheet'!$C29))/10^7</f>
        <v>0</v>
      </c>
      <c r="AF47" s="33">
        <f>(IF(AF$1='Assumption Sheet'!$L29,('Assumption Sheet'!$M29+'Assumption Sheet'!$P29)*'Assumption Sheet'!$R29*'Assumption Sheet'!$C29,0)-IF(AF$1='Assumption Sheet'!$Y29,('Assumption Sheet'!$M29+'Assumption Sheet'!$P29)*'Assumption Sheet'!$R29*'Assumption Sheet'!$C29))/10^7</f>
        <v>0</v>
      </c>
      <c r="AG47" s="33">
        <f>(IF(AG$1='Assumption Sheet'!$L29,('Assumption Sheet'!$M29+'Assumption Sheet'!$P29)*'Assumption Sheet'!$R29*'Assumption Sheet'!$C29,0)-IF(AG$1='Assumption Sheet'!$Y29,('Assumption Sheet'!$M29+'Assumption Sheet'!$P29)*'Assumption Sheet'!$R29*'Assumption Sheet'!$C29))/10^7</f>
        <v>0</v>
      </c>
      <c r="AH47" s="33">
        <f>(IF(AH$1='Assumption Sheet'!$L29,('Assumption Sheet'!$M29+'Assumption Sheet'!$P29)*'Assumption Sheet'!$R29*'Assumption Sheet'!$C29,0)-IF(AH$1='Assumption Sheet'!$Y29,('Assumption Sheet'!$M29+'Assumption Sheet'!$P29)*'Assumption Sheet'!$R29*'Assumption Sheet'!$C29))/10^7</f>
        <v>0</v>
      </c>
      <c r="AI47" s="33">
        <f>(IF(AI$1='Assumption Sheet'!$L29,('Assumption Sheet'!$M29+'Assumption Sheet'!$P29)*'Assumption Sheet'!$R29*'Assumption Sheet'!$C29,0)-IF(AI$1='Assumption Sheet'!$Y29,('Assumption Sheet'!$M29+'Assumption Sheet'!$P29)*'Assumption Sheet'!$R29*'Assumption Sheet'!$C29))/10^7</f>
        <v>6.0795196073454152</v>
      </c>
      <c r="AJ47" s="33">
        <f>(IF(AJ$1='Assumption Sheet'!$L29,('Assumption Sheet'!$M29+'Assumption Sheet'!$P29)*'Assumption Sheet'!$R29*'Assumption Sheet'!$C29,0)-IF(AJ$1='Assumption Sheet'!$Y29,('Assumption Sheet'!$M29+'Assumption Sheet'!$P29)*'Assumption Sheet'!$R29*'Assumption Sheet'!$C29))/10^7</f>
        <v>0</v>
      </c>
      <c r="AK47" s="33">
        <f>(IF(AK$1='Assumption Sheet'!$L29,('Assumption Sheet'!$M29+'Assumption Sheet'!$P29)*'Assumption Sheet'!$R29*'Assumption Sheet'!$C29,0)-IF(AK$1='Assumption Sheet'!$Y29,('Assumption Sheet'!$M29+'Assumption Sheet'!$P29)*'Assumption Sheet'!$R29*'Assumption Sheet'!$C29))/10^7</f>
        <v>0</v>
      </c>
      <c r="AL47" s="33">
        <f>(IF(AL$1='Assumption Sheet'!$L29,('Assumption Sheet'!$M29+'Assumption Sheet'!$P29)*'Assumption Sheet'!$R29*'Assumption Sheet'!$C29,0)-IF(AL$1='Assumption Sheet'!$Y29,('Assumption Sheet'!$M29+'Assumption Sheet'!$P29)*'Assumption Sheet'!$R29*'Assumption Sheet'!$C29))/10^7</f>
        <v>0</v>
      </c>
      <c r="AM47" s="33">
        <f>(IF(AM$1='Assumption Sheet'!$L29,('Assumption Sheet'!$M29+'Assumption Sheet'!$P29)*'Assumption Sheet'!$R29*'Assumption Sheet'!$C29,0)-IF(AM$1='Assumption Sheet'!$Y29,('Assumption Sheet'!$M29+'Assumption Sheet'!$P29)*'Assumption Sheet'!$R29*'Assumption Sheet'!$C29))/10^7</f>
        <v>0</v>
      </c>
      <c r="AN47" s="33">
        <f>(IF(AN$1='Assumption Sheet'!$L29,('Assumption Sheet'!$M29+'Assumption Sheet'!$P29)*'Assumption Sheet'!$R29*'Assumption Sheet'!$C29,0)-IF(AN$1='Assumption Sheet'!$Y29,('Assumption Sheet'!$M29+'Assumption Sheet'!$P29)*'Assumption Sheet'!$R29*'Assumption Sheet'!$C29))/10^7</f>
        <v>0</v>
      </c>
      <c r="AO47" s="33">
        <f>(IF(AO$1='Assumption Sheet'!$L29,('Assumption Sheet'!$M29+'Assumption Sheet'!$P29)*'Assumption Sheet'!$R29*'Assumption Sheet'!$C29,0)-IF(AO$1='Assumption Sheet'!$Y29,('Assumption Sheet'!$M29+'Assumption Sheet'!$P29)*'Assumption Sheet'!$R29*'Assumption Sheet'!$C29))/10^7</f>
        <v>0</v>
      </c>
      <c r="AP47" s="33">
        <f>(IF(AP$1='Assumption Sheet'!$L29,('Assumption Sheet'!$M29+'Assumption Sheet'!$P29)*'Assumption Sheet'!$R29*'Assumption Sheet'!$C29,0)-IF(AP$1='Assumption Sheet'!$Y29,('Assumption Sheet'!$M29+'Assumption Sheet'!$P29)*'Assumption Sheet'!$R29*'Assumption Sheet'!$C29))/10^7</f>
        <v>0</v>
      </c>
      <c r="AQ47" s="33">
        <f>(IF(AQ$1='Assumption Sheet'!$L29,('Assumption Sheet'!$M29+'Assumption Sheet'!$P29)*'Assumption Sheet'!$R29*'Assumption Sheet'!$C29,0)-IF(AQ$1='Assumption Sheet'!$Y29,('Assumption Sheet'!$M29+'Assumption Sheet'!$P29)*'Assumption Sheet'!$R29*'Assumption Sheet'!$C29))/10^7</f>
        <v>0</v>
      </c>
      <c r="AR47" s="33">
        <f>(IF(AR$1='Assumption Sheet'!$L29,('Assumption Sheet'!$M29+'Assumption Sheet'!$P29)*'Assumption Sheet'!$R29*'Assumption Sheet'!$C29,0)-IF(AR$1='Assumption Sheet'!$Y29,('Assumption Sheet'!$M29+'Assumption Sheet'!$P29)*'Assumption Sheet'!$R29*'Assumption Sheet'!$C29))/10^7</f>
        <v>0</v>
      </c>
      <c r="AS47" s="33">
        <f>(IF(AS$1='Assumption Sheet'!$L29,('Assumption Sheet'!$M29+'Assumption Sheet'!$P29)*'Assumption Sheet'!$R29*'Assumption Sheet'!$C29,0)-IF(AS$1='Assumption Sheet'!$Y29,('Assumption Sheet'!$M29+'Assumption Sheet'!$P29)*'Assumption Sheet'!$R29*'Assumption Sheet'!$C29))/10^7</f>
        <v>0</v>
      </c>
      <c r="AT47" s="33">
        <f>(IF(AT$1='Assumption Sheet'!$L29,('Assumption Sheet'!$M29+'Assumption Sheet'!$P29)*'Assumption Sheet'!$R29*'Assumption Sheet'!$C29,0)-IF(AT$1='Assumption Sheet'!$Y29,('Assumption Sheet'!$M29+'Assumption Sheet'!$P29)*'Assumption Sheet'!$R29*'Assumption Sheet'!$C29))/10^7</f>
        <v>0</v>
      </c>
      <c r="AU47" s="33">
        <f>(IF(AU$1='Assumption Sheet'!$L29,('Assumption Sheet'!$M29+'Assumption Sheet'!$P29)*'Assumption Sheet'!$R29*'Assumption Sheet'!$C29,0)-IF(AU$1='Assumption Sheet'!$Y29,('Assumption Sheet'!$M29+'Assumption Sheet'!$P29)*'Assumption Sheet'!$R29*'Assumption Sheet'!$C29))/10^7</f>
        <v>0</v>
      </c>
      <c r="AV47" s="33">
        <f>(IF(AV$1='Assumption Sheet'!$L29,('Assumption Sheet'!$M29+'Assumption Sheet'!$P29)*'Assumption Sheet'!$R29*'Assumption Sheet'!$C29,0)-IF(AV$1='Assumption Sheet'!$Y29,('Assumption Sheet'!$M29+'Assumption Sheet'!$P29)*'Assumption Sheet'!$R29*'Assumption Sheet'!$C29))/10^7</f>
        <v>0</v>
      </c>
      <c r="AW47" s="33">
        <f>(IF(AW$1='Assumption Sheet'!$L29,('Assumption Sheet'!$M29+'Assumption Sheet'!$P29)*'Assumption Sheet'!$R29*'Assumption Sheet'!$C29,0)-IF(AW$1='Assumption Sheet'!$Y29,('Assumption Sheet'!$M29+'Assumption Sheet'!$P29)*'Assumption Sheet'!$R29*'Assumption Sheet'!$C29))/10^7</f>
        <v>0</v>
      </c>
      <c r="AX47" s="33">
        <f>(IF(AX$1='Assumption Sheet'!$L29,('Assumption Sheet'!$M29+'Assumption Sheet'!$P29)*'Assumption Sheet'!$R29*'Assumption Sheet'!$C29,0)-IF(AX$1='Assumption Sheet'!$Y29,('Assumption Sheet'!$M29+'Assumption Sheet'!$P29)*'Assumption Sheet'!$R29*'Assumption Sheet'!$C29))/10^7</f>
        <v>0</v>
      </c>
      <c r="AY47" s="33">
        <f>(IF(AY$1='Assumption Sheet'!$L29,('Assumption Sheet'!$M29+'Assumption Sheet'!$P29)*'Assumption Sheet'!$R29*'Assumption Sheet'!$C29,0)-IF(AY$1='Assumption Sheet'!$Y29,('Assumption Sheet'!$M29+'Assumption Sheet'!$P29)*'Assumption Sheet'!$R29*'Assumption Sheet'!$C29))/10^7</f>
        <v>0</v>
      </c>
      <c r="AZ47" s="33">
        <f>(IF(AZ$1='Assumption Sheet'!$L29,('Assumption Sheet'!$M29+'Assumption Sheet'!$P29)*'Assumption Sheet'!$R29*'Assumption Sheet'!$C29,0)-IF(AZ$1='Assumption Sheet'!$Y29,('Assumption Sheet'!$M29+'Assumption Sheet'!$P29)*'Assumption Sheet'!$R29*'Assumption Sheet'!$C29))/10^7</f>
        <v>0</v>
      </c>
      <c r="BA47" s="33">
        <f>(IF(BA$1='Assumption Sheet'!$L29,('Assumption Sheet'!$M29+'Assumption Sheet'!$P29)*'Assumption Sheet'!$R29*'Assumption Sheet'!$C29,0)-IF(BA$1='Assumption Sheet'!$Y29,('Assumption Sheet'!$M29+'Assumption Sheet'!$P29)*'Assumption Sheet'!$R29*'Assumption Sheet'!$C29))/10^7</f>
        <v>0</v>
      </c>
      <c r="BB47" s="33">
        <f>(IF(BB$1='Assumption Sheet'!$L29,('Assumption Sheet'!$M29+'Assumption Sheet'!$P29)*'Assumption Sheet'!$R29*'Assumption Sheet'!$C29,0)-IF(BB$1='Assumption Sheet'!$Y29,('Assumption Sheet'!$M29+'Assumption Sheet'!$P29)*'Assumption Sheet'!$R29*'Assumption Sheet'!$C29))/10^7</f>
        <v>0</v>
      </c>
      <c r="BC47" s="33">
        <f>(IF(BC$1='Assumption Sheet'!$L29,('Assumption Sheet'!$M29+'Assumption Sheet'!$P29)*'Assumption Sheet'!$R29*'Assumption Sheet'!$C29,0)-IF(BC$1='Assumption Sheet'!$Y29,('Assumption Sheet'!$M29+'Assumption Sheet'!$P29)*'Assumption Sheet'!$R29*'Assumption Sheet'!$C29))/10^7</f>
        <v>0</v>
      </c>
      <c r="BD47" s="33">
        <f>(IF(BD$1='Assumption Sheet'!$L29,('Assumption Sheet'!$M29+'Assumption Sheet'!$P29)*'Assumption Sheet'!$R29*'Assumption Sheet'!$C29,0)-IF(BD$1='Assumption Sheet'!$Y29,('Assumption Sheet'!$M29+'Assumption Sheet'!$P29)*'Assumption Sheet'!$R29*'Assumption Sheet'!$C29))/10^7</f>
        <v>0</v>
      </c>
      <c r="BE47" s="33">
        <f>(IF(BE$1='Assumption Sheet'!$L29,('Assumption Sheet'!$M29+'Assumption Sheet'!$P29)*'Assumption Sheet'!$R29*'Assumption Sheet'!$C29,0)-IF(BE$1='Assumption Sheet'!$Y29,('Assumption Sheet'!$M29+'Assumption Sheet'!$P29)*'Assumption Sheet'!$R29*'Assumption Sheet'!$C29))/10^7</f>
        <v>0</v>
      </c>
      <c r="BF47" s="33">
        <f>(IF(BF$1='Assumption Sheet'!$L29,('Assumption Sheet'!$M29+'Assumption Sheet'!$P29)*'Assumption Sheet'!$R29*'Assumption Sheet'!$C29,0)-IF(BF$1='Assumption Sheet'!$Y29,('Assumption Sheet'!$M29+'Assumption Sheet'!$P29)*'Assumption Sheet'!$R29*'Assumption Sheet'!$C29))/10^7</f>
        <v>0</v>
      </c>
      <c r="BG47" s="33">
        <f>(IF(BG$1='Assumption Sheet'!$L29,('Assumption Sheet'!$M29+'Assumption Sheet'!$P29)*'Assumption Sheet'!$R29*'Assumption Sheet'!$C29,0)-IF(BG$1='Assumption Sheet'!$Y29,('Assumption Sheet'!$M29+'Assumption Sheet'!$P29)*'Assumption Sheet'!$R29*'Assumption Sheet'!$C29))/10^7</f>
        <v>0</v>
      </c>
      <c r="BH47" s="33">
        <f>(IF(BH$1='Assumption Sheet'!$L29,('Assumption Sheet'!$M29+'Assumption Sheet'!$P29)*'Assumption Sheet'!$R29*'Assumption Sheet'!$C29,0)-IF(BH$1='Assumption Sheet'!$Y29,('Assumption Sheet'!$M29+'Assumption Sheet'!$P29)*'Assumption Sheet'!$R29*'Assumption Sheet'!$C29))/10^7</f>
        <v>0</v>
      </c>
      <c r="BI47" s="33">
        <f>(IF(BI$1='Assumption Sheet'!$L29,('Assumption Sheet'!$M29+'Assumption Sheet'!$P29)*'Assumption Sheet'!$R29*'Assumption Sheet'!$C29,0)-IF(BI$1='Assumption Sheet'!$Y29,('Assumption Sheet'!$M29+'Assumption Sheet'!$P29)*'Assumption Sheet'!$R29*'Assumption Sheet'!$C29))/10^7</f>
        <v>0</v>
      </c>
      <c r="BJ47" s="33">
        <f>(IF(BJ$1='Assumption Sheet'!$L29,('Assumption Sheet'!$M29+'Assumption Sheet'!$P29)*'Assumption Sheet'!$R29*'Assumption Sheet'!$C29,0)-IF(BJ$1='Assumption Sheet'!$Y29,('Assumption Sheet'!$M29+'Assumption Sheet'!$P29)*'Assumption Sheet'!$R29*'Assumption Sheet'!$C29))/10^7</f>
        <v>0</v>
      </c>
      <c r="BK47" s="33">
        <f>(IF(BK$1='Assumption Sheet'!$L29,('Assumption Sheet'!$M29+'Assumption Sheet'!$P29)*'Assumption Sheet'!$R29*'Assumption Sheet'!$C29,0)-IF(BK$1='Assumption Sheet'!$Y29,('Assumption Sheet'!$M29+'Assumption Sheet'!$P29)*'Assumption Sheet'!$R29*'Assumption Sheet'!$C29))/10^7</f>
        <v>0</v>
      </c>
      <c r="BL47" s="33">
        <f>(IF(BL$1='Assumption Sheet'!$L29,('Assumption Sheet'!$M29+'Assumption Sheet'!$P29)*'Assumption Sheet'!$R29*'Assumption Sheet'!$C29,0)-IF(BL$1='Assumption Sheet'!$Y29,('Assumption Sheet'!$M29+'Assumption Sheet'!$P29)*'Assumption Sheet'!$R29*'Assumption Sheet'!$C29))/10^7</f>
        <v>0</v>
      </c>
      <c r="BM47" s="33">
        <f>(IF(BM$1='Assumption Sheet'!$L29,('Assumption Sheet'!$M29+'Assumption Sheet'!$P29)*'Assumption Sheet'!$R29*'Assumption Sheet'!$C29,0)-IF(BM$1='Assumption Sheet'!$Y29,('Assumption Sheet'!$M29+'Assumption Sheet'!$P29)*'Assumption Sheet'!$R29*'Assumption Sheet'!$C29))/10^7</f>
        <v>0</v>
      </c>
      <c r="BN47" s="33">
        <f>(IF(BN$1='Assumption Sheet'!$L29,('Assumption Sheet'!$M29+'Assumption Sheet'!$P29)*'Assumption Sheet'!$R29*'Assumption Sheet'!$C29,0)-IF(BN$1='Assumption Sheet'!$Y29,('Assumption Sheet'!$M29+'Assumption Sheet'!$P29)*'Assumption Sheet'!$R29*'Assumption Sheet'!$C29))/10^7</f>
        <v>0</v>
      </c>
      <c r="BO47" s="33">
        <f>(IF(BO$1='Assumption Sheet'!$L29,('Assumption Sheet'!$M29+'Assumption Sheet'!$P29)*'Assumption Sheet'!$R29*'Assumption Sheet'!$C29,0)-IF(BO$1='Assumption Sheet'!$Y29,('Assumption Sheet'!$M29+'Assumption Sheet'!$P29)*'Assumption Sheet'!$R29*'Assumption Sheet'!$C29))/10^7</f>
        <v>0</v>
      </c>
      <c r="BP47" s="33">
        <f>(IF(BP$1='Assumption Sheet'!$L29,('Assumption Sheet'!$M29+'Assumption Sheet'!$P29)*'Assumption Sheet'!$R29*'Assumption Sheet'!$C29,0)-IF(BP$1='Assumption Sheet'!$Y29,('Assumption Sheet'!$M29+'Assumption Sheet'!$P29)*'Assumption Sheet'!$R29*'Assumption Sheet'!$C29))/10^7</f>
        <v>0</v>
      </c>
      <c r="BQ47" s="33">
        <f>(IF(BQ$1='Assumption Sheet'!$L29,('Assumption Sheet'!$M29+'Assumption Sheet'!$P29)*'Assumption Sheet'!$R29*'Assumption Sheet'!$C29,0)-IF(BQ$1='Assumption Sheet'!$Y29,('Assumption Sheet'!$M29+'Assumption Sheet'!$P29)*'Assumption Sheet'!$R29*'Assumption Sheet'!$C29))/10^7</f>
        <v>0</v>
      </c>
      <c r="BR47" s="33">
        <f>(IF(BR$1='Assumption Sheet'!$L29,('Assumption Sheet'!$M29+'Assumption Sheet'!$P29)*'Assumption Sheet'!$R29*'Assumption Sheet'!$C29,0)-IF(BR$1='Assumption Sheet'!$Y29,('Assumption Sheet'!$M29+'Assumption Sheet'!$P29)*'Assumption Sheet'!$R29*'Assumption Sheet'!$C29))/10^7</f>
        <v>0</v>
      </c>
      <c r="BS47" s="33">
        <f>(IF(BS$1='Assumption Sheet'!$L29,('Assumption Sheet'!$M29+'Assumption Sheet'!$P29)*'Assumption Sheet'!$R29*'Assumption Sheet'!$C29,0)-IF(BS$1='Assumption Sheet'!$Y29,('Assumption Sheet'!$M29+'Assumption Sheet'!$P29)*'Assumption Sheet'!$R29*'Assumption Sheet'!$C29))/10^7</f>
        <v>0</v>
      </c>
      <c r="BT47" s="33">
        <f>(IF(BT$1='Assumption Sheet'!$L29,('Assumption Sheet'!$M29+'Assumption Sheet'!$P29)*'Assumption Sheet'!$R29*'Assumption Sheet'!$C29,0)-IF(BT$1='Assumption Sheet'!$Y29,('Assumption Sheet'!$M29+'Assumption Sheet'!$P29)*'Assumption Sheet'!$R29*'Assumption Sheet'!$C29))/10^7</f>
        <v>0</v>
      </c>
      <c r="BU47" s="33">
        <f>(IF(BU$1='Assumption Sheet'!$L29,('Assumption Sheet'!$M29+'Assumption Sheet'!$P29)*'Assumption Sheet'!$R29*'Assumption Sheet'!$C29,0)-IF(BU$1='Assumption Sheet'!$Y29,('Assumption Sheet'!$M29+'Assumption Sheet'!$P29)*'Assumption Sheet'!$R29*'Assumption Sheet'!$C29))/10^7</f>
        <v>0</v>
      </c>
      <c r="BV47" s="33">
        <f>(IF(BV$1='Assumption Sheet'!$L29,('Assumption Sheet'!$M29+'Assumption Sheet'!$P29)*'Assumption Sheet'!$R29*'Assumption Sheet'!$C29,0)-IF(BV$1='Assumption Sheet'!$Y29,('Assumption Sheet'!$M29+'Assumption Sheet'!$P29)*'Assumption Sheet'!$R29*'Assumption Sheet'!$C29))/10^7</f>
        <v>0</v>
      </c>
      <c r="BW47" s="33">
        <f>(IF(BW$1='Assumption Sheet'!$L29,('Assumption Sheet'!$M29+'Assumption Sheet'!$P29)*'Assumption Sheet'!$R29*'Assumption Sheet'!$C29,0)-IF(BW$1='Assumption Sheet'!$Y29,('Assumption Sheet'!$M29+'Assumption Sheet'!$P29)*'Assumption Sheet'!$R29*'Assumption Sheet'!$C29))/10^7</f>
        <v>0</v>
      </c>
      <c r="BX47" s="33">
        <f>(IF(BX$1='Assumption Sheet'!$L29,('Assumption Sheet'!$M29+'Assumption Sheet'!$P29)*'Assumption Sheet'!$R29*'Assumption Sheet'!$C29,0)-IF(BX$1='Assumption Sheet'!$Y29,('Assumption Sheet'!$M29+'Assumption Sheet'!$P29)*'Assumption Sheet'!$R29*'Assumption Sheet'!$C29))/10^7</f>
        <v>0</v>
      </c>
      <c r="BY47" s="33">
        <f>(IF(BY$1='Assumption Sheet'!$L29,('Assumption Sheet'!$M29+'Assumption Sheet'!$P29)*'Assumption Sheet'!$R29*'Assumption Sheet'!$C29,0)-IF(BY$1='Assumption Sheet'!$Y29,('Assumption Sheet'!$M29+'Assumption Sheet'!$P29)*'Assumption Sheet'!$R29*'Assumption Sheet'!$C29))/10^7</f>
        <v>0</v>
      </c>
      <c r="BZ47" s="33">
        <f>(IF(BZ$1='Assumption Sheet'!$L29,('Assumption Sheet'!$M29+'Assumption Sheet'!$P29)*'Assumption Sheet'!$R29*'Assumption Sheet'!$C29,0)-IF(BZ$1='Assumption Sheet'!$Y29,('Assumption Sheet'!$M29+'Assumption Sheet'!$P29)*'Assumption Sheet'!$R29*'Assumption Sheet'!$C29))/10^7</f>
        <v>0</v>
      </c>
      <c r="CA47" s="33">
        <f>(IF(CA$1='Assumption Sheet'!$L29,('Assumption Sheet'!$M29+'Assumption Sheet'!$P29)*'Assumption Sheet'!$R29*'Assumption Sheet'!$C29,0)-IF(CA$1='Assumption Sheet'!$Y29,('Assumption Sheet'!$M29+'Assumption Sheet'!$P29)*'Assumption Sheet'!$R29*'Assumption Sheet'!$C29))/10^7</f>
        <v>0</v>
      </c>
      <c r="CB47" s="33">
        <f>(IF(CB$1='Assumption Sheet'!$L29,('Assumption Sheet'!$M29+'Assumption Sheet'!$P29)*'Assumption Sheet'!$R29*'Assumption Sheet'!$C29,0)-IF(CB$1='Assumption Sheet'!$Y29,('Assumption Sheet'!$M29+'Assumption Sheet'!$P29)*'Assumption Sheet'!$R29*'Assumption Sheet'!$C29))/10^7</f>
        <v>0</v>
      </c>
      <c r="CC47" s="33">
        <f>(IF(CC$1='Assumption Sheet'!$L29,('Assumption Sheet'!$M29+'Assumption Sheet'!$P29)*'Assumption Sheet'!$R29*'Assumption Sheet'!$C29,0)-IF(CC$1='Assumption Sheet'!$Y29,('Assumption Sheet'!$M29+'Assumption Sheet'!$P29)*'Assumption Sheet'!$R29*'Assumption Sheet'!$C29))/10^7</f>
        <v>0</v>
      </c>
      <c r="CD47" s="33">
        <f>(IF(CD$1='Assumption Sheet'!$L29,('Assumption Sheet'!$M29+'Assumption Sheet'!$P29)*'Assumption Sheet'!$R29*'Assumption Sheet'!$C29,0)-IF(CD$1='Assumption Sheet'!$Y29,('Assumption Sheet'!$M29+'Assumption Sheet'!$P29)*'Assumption Sheet'!$R29*'Assumption Sheet'!$C29))/10^7</f>
        <v>0</v>
      </c>
      <c r="CE47" s="33">
        <f>(IF(CE$1='Assumption Sheet'!$L29,('Assumption Sheet'!$M29+'Assumption Sheet'!$P29)*'Assumption Sheet'!$R29*'Assumption Sheet'!$C29,0)-IF(CE$1='Assumption Sheet'!$Y29,('Assumption Sheet'!$M29+'Assumption Sheet'!$P29)*'Assumption Sheet'!$R29*'Assumption Sheet'!$C29))/10^7</f>
        <v>0</v>
      </c>
      <c r="CF47" s="33">
        <f>(IF(CF$1='Assumption Sheet'!$L29,('Assumption Sheet'!$M29+'Assumption Sheet'!$P29)*'Assumption Sheet'!$R29*'Assumption Sheet'!$C29,0)-IF(CF$1='Assumption Sheet'!$Y29,('Assumption Sheet'!$M29+'Assumption Sheet'!$P29)*'Assumption Sheet'!$R29*'Assumption Sheet'!$C29))/10^7</f>
        <v>0</v>
      </c>
      <c r="CG47" s="33">
        <f>(IF(CG$1='Assumption Sheet'!$L29,('Assumption Sheet'!$M29+'Assumption Sheet'!$P29)*'Assumption Sheet'!$R29*'Assumption Sheet'!$C29,0)-IF(CG$1='Assumption Sheet'!$Y29,('Assumption Sheet'!$M29+'Assumption Sheet'!$P29)*'Assumption Sheet'!$R29*'Assumption Sheet'!$C29))/10^7</f>
        <v>0</v>
      </c>
      <c r="CH47" s="33">
        <f>(IF(CH$1='Assumption Sheet'!$L29,('Assumption Sheet'!$M29+'Assumption Sheet'!$P29)*'Assumption Sheet'!$R29*'Assumption Sheet'!$C29,0)-IF(CH$1='Assumption Sheet'!$Y29,('Assumption Sheet'!$M29+'Assumption Sheet'!$P29)*'Assumption Sheet'!$R29*'Assumption Sheet'!$C29))/10^7</f>
        <v>0</v>
      </c>
      <c r="CI47" s="33">
        <f>(IF(CI$1='Assumption Sheet'!$L29,('Assumption Sheet'!$M29+'Assumption Sheet'!$P29)*'Assumption Sheet'!$R29*'Assumption Sheet'!$C29,0)-IF(CI$1='Assumption Sheet'!$Y29,('Assumption Sheet'!$M29+'Assumption Sheet'!$P29)*'Assumption Sheet'!$R29*'Assumption Sheet'!$C29))/10^7</f>
        <v>0</v>
      </c>
      <c r="CJ47" s="33">
        <f>(IF(CJ$1='Assumption Sheet'!$L29,('Assumption Sheet'!$M29+'Assumption Sheet'!$P29)*'Assumption Sheet'!$R29*'Assumption Sheet'!$C29,0)-IF(CJ$1='Assumption Sheet'!$Y29,('Assumption Sheet'!$M29+'Assumption Sheet'!$P29)*'Assumption Sheet'!$R29*'Assumption Sheet'!$C29))/10^7</f>
        <v>0</v>
      </c>
      <c r="CK47" s="33">
        <f>(IF(CK$1='Assumption Sheet'!$L29,('Assumption Sheet'!$M29+'Assumption Sheet'!$P29)*'Assumption Sheet'!$R29*'Assumption Sheet'!$C29,0)-IF(CK$1='Assumption Sheet'!$Y29,('Assumption Sheet'!$M29+'Assumption Sheet'!$P29)*'Assumption Sheet'!$R29*'Assumption Sheet'!$C29))/10^7</f>
        <v>0</v>
      </c>
      <c r="CL47" s="33">
        <f>(IF(CL$1='Assumption Sheet'!$L29,('Assumption Sheet'!$M29+'Assumption Sheet'!$P29)*'Assumption Sheet'!$R29*'Assumption Sheet'!$C29,0)-IF(CL$1='Assumption Sheet'!$Y29,('Assumption Sheet'!$M29+'Assumption Sheet'!$P29)*'Assumption Sheet'!$R29*'Assumption Sheet'!$C29))/10^7</f>
        <v>0</v>
      </c>
      <c r="CM47" s="33">
        <f>(IF(CM$1='Assumption Sheet'!$L29,('Assumption Sheet'!$M29+'Assumption Sheet'!$P29)*'Assumption Sheet'!$R29*'Assumption Sheet'!$C29,0)-IF(CM$1='Assumption Sheet'!$Y29,('Assumption Sheet'!$M29+'Assumption Sheet'!$P29)*'Assumption Sheet'!$R29*'Assumption Sheet'!$C29))/10^7</f>
        <v>0</v>
      </c>
      <c r="CN47" s="33">
        <f>(IF(CN$1='Assumption Sheet'!$L29,('Assumption Sheet'!$M29+'Assumption Sheet'!$P29)*'Assumption Sheet'!$R29*'Assumption Sheet'!$C29,0)-IF(CN$1='Assumption Sheet'!$Y29,('Assumption Sheet'!$M29+'Assumption Sheet'!$P29)*'Assumption Sheet'!$R29*'Assumption Sheet'!$C29))/10^7</f>
        <v>0</v>
      </c>
      <c r="CO47" s="33">
        <f>(IF(CO$1='Assumption Sheet'!$L29,('Assumption Sheet'!$M29+'Assumption Sheet'!$P29)*'Assumption Sheet'!$R29*'Assumption Sheet'!$C29,0)-IF(CO$1='Assumption Sheet'!$Y29,('Assumption Sheet'!$M29+'Assumption Sheet'!$P29)*'Assumption Sheet'!$R29*'Assumption Sheet'!$C29))/10^7</f>
        <v>0</v>
      </c>
      <c r="CP47" s="33">
        <f>(IF(CP$1='Assumption Sheet'!$L29,('Assumption Sheet'!$M29+'Assumption Sheet'!$P29)*'Assumption Sheet'!$R29*'Assumption Sheet'!$C29,0)-IF(CP$1='Assumption Sheet'!$Y29,('Assumption Sheet'!$M29+'Assumption Sheet'!$P29)*'Assumption Sheet'!$R29*'Assumption Sheet'!$C29))/10^7</f>
        <v>0</v>
      </c>
      <c r="CQ47" s="33">
        <f>(IF(CQ$1='Assumption Sheet'!$L29,('Assumption Sheet'!$M29+'Assumption Sheet'!$P29)*'Assumption Sheet'!$R29*'Assumption Sheet'!$C29,0)-IF(CQ$1='Assumption Sheet'!$Y29,('Assumption Sheet'!$M29+'Assumption Sheet'!$P29)*'Assumption Sheet'!$R29*'Assumption Sheet'!$C29))/10^7</f>
        <v>0</v>
      </c>
      <c r="CR47" s="33">
        <f>(IF(CR$1='Assumption Sheet'!$L29,('Assumption Sheet'!$M29+'Assumption Sheet'!$P29)*'Assumption Sheet'!$R29*'Assumption Sheet'!$C29,0)-IF(CR$1='Assumption Sheet'!$Y29,('Assumption Sheet'!$M29+'Assumption Sheet'!$P29)*'Assumption Sheet'!$R29*'Assumption Sheet'!$C29))/10^7</f>
        <v>0</v>
      </c>
      <c r="CS47" s="33">
        <f>(IF(CS$1='Assumption Sheet'!$L29,('Assumption Sheet'!$M29+'Assumption Sheet'!$P29)*'Assumption Sheet'!$R29*'Assumption Sheet'!$C29,0)-IF(CS$1='Assumption Sheet'!$Y29,('Assumption Sheet'!$M29+'Assumption Sheet'!$P29)*'Assumption Sheet'!$R29*'Assumption Sheet'!$C29))/10^7</f>
        <v>0</v>
      </c>
      <c r="CT47" s="33">
        <f>(IF(CT$1='Assumption Sheet'!$L29,('Assumption Sheet'!$M29+'Assumption Sheet'!$P29)*'Assumption Sheet'!$R29*'Assumption Sheet'!$C29,0)-IF(CT$1='Assumption Sheet'!$Y29,('Assumption Sheet'!$M29+'Assumption Sheet'!$P29)*'Assumption Sheet'!$R29*'Assumption Sheet'!$C29))/10^7</f>
        <v>0</v>
      </c>
      <c r="CU47" s="33">
        <f>(IF(CU$1='Assumption Sheet'!$L29,('Assumption Sheet'!$M29+'Assumption Sheet'!$P29)*'Assumption Sheet'!$R29*'Assumption Sheet'!$C29,0)-IF(CU$1='Assumption Sheet'!$Y29,('Assumption Sheet'!$M29+'Assumption Sheet'!$P29)*'Assumption Sheet'!$R29*'Assumption Sheet'!$C29))/10^7</f>
        <v>0</v>
      </c>
      <c r="CV47" s="33">
        <f>(IF(CV$1='Assumption Sheet'!$L29,('Assumption Sheet'!$M29+'Assumption Sheet'!$P29)*'Assumption Sheet'!$R29*'Assumption Sheet'!$C29,0)-IF(CV$1='Assumption Sheet'!$Y29,('Assumption Sheet'!$M29+'Assumption Sheet'!$P29)*'Assumption Sheet'!$R29*'Assumption Sheet'!$C29))/10^7</f>
        <v>0</v>
      </c>
      <c r="CW47" s="33">
        <f>(IF(CW$1='Assumption Sheet'!$L29,('Assumption Sheet'!$M29+'Assumption Sheet'!$P29)*'Assumption Sheet'!$R29*'Assumption Sheet'!$C29,0)-IF(CW$1='Assumption Sheet'!$Y29,('Assumption Sheet'!$M29+'Assumption Sheet'!$P29)*'Assumption Sheet'!$R29*'Assumption Sheet'!$C29))/10^7</f>
        <v>0</v>
      </c>
      <c r="CX47" s="33">
        <f>(IF(CX$1='Assumption Sheet'!$L29,('Assumption Sheet'!$M29+'Assumption Sheet'!$P29)*'Assumption Sheet'!$R29*'Assumption Sheet'!$C29,0)-IF(CX$1='Assumption Sheet'!$Y29,('Assumption Sheet'!$M29+'Assumption Sheet'!$P29)*'Assumption Sheet'!$R29*'Assumption Sheet'!$C29))/10^7</f>
        <v>0</v>
      </c>
      <c r="CY47" s="33">
        <f>(IF(CY$1='Assumption Sheet'!$L29,('Assumption Sheet'!$M29+'Assumption Sheet'!$P29)*'Assumption Sheet'!$R29*'Assumption Sheet'!$C29,0)-IF(CY$1='Assumption Sheet'!$Y29,('Assumption Sheet'!$M29+'Assumption Sheet'!$P29)*'Assumption Sheet'!$R29*'Assumption Sheet'!$C29))/10^7</f>
        <v>0</v>
      </c>
      <c r="CZ47" s="33">
        <f>(IF(CZ$1='Assumption Sheet'!$L29,('Assumption Sheet'!$M29+'Assumption Sheet'!$P29)*'Assumption Sheet'!$R29*'Assumption Sheet'!$C29,0)-IF(CZ$1='Assumption Sheet'!$Y29,('Assumption Sheet'!$M29+'Assumption Sheet'!$P29)*'Assumption Sheet'!$R29*'Assumption Sheet'!$C29))/10^7</f>
        <v>0</v>
      </c>
      <c r="DA47" s="33">
        <f>(IF(DA$1='Assumption Sheet'!$L29,('Assumption Sheet'!$M29+'Assumption Sheet'!$P29)*'Assumption Sheet'!$R29*'Assumption Sheet'!$C29,0)-IF(DA$1='Assumption Sheet'!$Y29,('Assumption Sheet'!$M29+'Assumption Sheet'!$P29)*'Assumption Sheet'!$R29*'Assumption Sheet'!$C29))/10^7</f>
        <v>0</v>
      </c>
      <c r="DB47" s="33">
        <f>(IF(DB$1='Assumption Sheet'!$L29,('Assumption Sheet'!$M29+'Assumption Sheet'!$P29)*'Assumption Sheet'!$R29*'Assumption Sheet'!$C29,0)-IF(DB$1='Assumption Sheet'!$Y29,('Assumption Sheet'!$M29+'Assumption Sheet'!$P29)*'Assumption Sheet'!$R29*'Assumption Sheet'!$C29))/10^7</f>
        <v>0</v>
      </c>
      <c r="DC47" s="33">
        <f>(IF(DC$1='Assumption Sheet'!$L29,('Assumption Sheet'!$M29+'Assumption Sheet'!$P29)*'Assumption Sheet'!$R29*'Assumption Sheet'!$C29,0)-IF(DC$1='Assumption Sheet'!$Y29,('Assumption Sheet'!$M29+'Assumption Sheet'!$P29)*'Assumption Sheet'!$R29*'Assumption Sheet'!$C29))/10^7</f>
        <v>0</v>
      </c>
      <c r="DD47" s="33">
        <f>(IF(DD$1='Assumption Sheet'!$L29,('Assumption Sheet'!$M29+'Assumption Sheet'!$P29)*'Assumption Sheet'!$R29*'Assumption Sheet'!$C29,0)-IF(DD$1='Assumption Sheet'!$Y29,('Assumption Sheet'!$M29+'Assumption Sheet'!$P29)*'Assumption Sheet'!$R29*'Assumption Sheet'!$C29))/10^7</f>
        <v>0</v>
      </c>
      <c r="DE47" s="33">
        <f>(IF(DE$1='Assumption Sheet'!$L29,('Assumption Sheet'!$M29+'Assumption Sheet'!$P29)*'Assumption Sheet'!$R29*'Assumption Sheet'!$C29,0)-IF(DE$1='Assumption Sheet'!$Y29,('Assumption Sheet'!$M29+'Assumption Sheet'!$P29)*'Assumption Sheet'!$R29*'Assumption Sheet'!$C29))/10^7</f>
        <v>0</v>
      </c>
      <c r="DF47" s="33">
        <f>(IF(DF$1='Assumption Sheet'!$L29,('Assumption Sheet'!$M29+'Assumption Sheet'!$P29)*'Assumption Sheet'!$R29*'Assumption Sheet'!$C29,0)-IF(DF$1='Assumption Sheet'!$Y29,('Assumption Sheet'!$M29+'Assumption Sheet'!$P29)*'Assumption Sheet'!$R29*'Assumption Sheet'!$C29))/10^7</f>
        <v>0</v>
      </c>
      <c r="DG47" s="33">
        <f>(IF(DG$1='Assumption Sheet'!$L29,('Assumption Sheet'!$M29+'Assumption Sheet'!$P29)*'Assumption Sheet'!$R29*'Assumption Sheet'!$C29,0)-IF(DG$1='Assumption Sheet'!$Y29,('Assumption Sheet'!$M29+'Assumption Sheet'!$P29)*'Assumption Sheet'!$R29*'Assumption Sheet'!$C29))/10^7</f>
        <v>0</v>
      </c>
      <c r="DH47" s="33">
        <f>(IF(DH$1='Assumption Sheet'!$L29,('Assumption Sheet'!$M29+'Assumption Sheet'!$P29)*'Assumption Sheet'!$R29*'Assumption Sheet'!$C29,0)-IF(DH$1='Assumption Sheet'!$Y29,('Assumption Sheet'!$M29+'Assumption Sheet'!$P29)*'Assumption Sheet'!$R29*'Assumption Sheet'!$C29))/10^7</f>
        <v>0</v>
      </c>
      <c r="DI47" s="33">
        <f>(IF(DI$1='Assumption Sheet'!$L29,('Assumption Sheet'!$M29+'Assumption Sheet'!$P29)*'Assumption Sheet'!$R29*'Assumption Sheet'!$C29,0)-IF(DI$1='Assumption Sheet'!$Y29,('Assumption Sheet'!$M29+'Assumption Sheet'!$P29)*'Assumption Sheet'!$R29*'Assumption Sheet'!$C29))/10^7</f>
        <v>0</v>
      </c>
      <c r="DJ47" s="33">
        <f>(IF(DJ$1='Assumption Sheet'!$L29,('Assumption Sheet'!$M29+'Assumption Sheet'!$P29)*'Assumption Sheet'!$R29*'Assumption Sheet'!$C29,0)-IF(DJ$1='Assumption Sheet'!$Y29,('Assumption Sheet'!$M29+'Assumption Sheet'!$P29)*'Assumption Sheet'!$R29*'Assumption Sheet'!$C29))/10^7</f>
        <v>0</v>
      </c>
      <c r="DK47" s="33">
        <f>(IF(DK$1='Assumption Sheet'!$L29,('Assumption Sheet'!$M29+'Assumption Sheet'!$P29)*'Assumption Sheet'!$R29*'Assumption Sheet'!$C29,0)-IF(DK$1='Assumption Sheet'!$Y29,('Assumption Sheet'!$M29+'Assumption Sheet'!$P29)*'Assumption Sheet'!$R29*'Assumption Sheet'!$C29))/10^7</f>
        <v>0</v>
      </c>
      <c r="DL47" s="33">
        <f>(IF(DL$1='Assumption Sheet'!$L29,('Assumption Sheet'!$M29+'Assumption Sheet'!$P29)*'Assumption Sheet'!$R29*'Assumption Sheet'!$C29,0)-IF(DL$1='Assumption Sheet'!$Y29,('Assumption Sheet'!$M29+'Assumption Sheet'!$P29)*'Assumption Sheet'!$R29*'Assumption Sheet'!$C29))/10^7</f>
        <v>0</v>
      </c>
      <c r="DM47" s="33">
        <f>(IF(DM$1='Assumption Sheet'!$L29,('Assumption Sheet'!$M29+'Assumption Sheet'!$P29)*'Assumption Sheet'!$R29*'Assumption Sheet'!$C29,0)-IF(DM$1='Assumption Sheet'!$Y29,('Assumption Sheet'!$M29+'Assumption Sheet'!$P29)*'Assumption Sheet'!$R29*'Assumption Sheet'!$C29))/10^7</f>
        <v>0</v>
      </c>
      <c r="DN47" s="33">
        <f>(IF(DN$1='Assumption Sheet'!$L29,('Assumption Sheet'!$M29+'Assumption Sheet'!$P29)*'Assumption Sheet'!$R29*'Assumption Sheet'!$C29,0)-IF(DN$1='Assumption Sheet'!$Y29,('Assumption Sheet'!$M29+'Assumption Sheet'!$P29)*'Assumption Sheet'!$R29*'Assumption Sheet'!$C29))/10^7</f>
        <v>0</v>
      </c>
      <c r="DO47" s="33">
        <f>(IF(DO$1='Assumption Sheet'!$L29,('Assumption Sheet'!$M29+'Assumption Sheet'!$P29)*'Assumption Sheet'!$R29*'Assumption Sheet'!$C29,0)-IF(DO$1='Assumption Sheet'!$Y29,('Assumption Sheet'!$M29+'Assumption Sheet'!$P29)*'Assumption Sheet'!$R29*'Assumption Sheet'!$C29))/10^7</f>
        <v>0</v>
      </c>
      <c r="DP47" s="33">
        <f>(IF(DP$1='Assumption Sheet'!$L29,('Assumption Sheet'!$M29+'Assumption Sheet'!$P29)*'Assumption Sheet'!$R29*'Assumption Sheet'!$C29,0)-IF(DP$1='Assumption Sheet'!$Y29,('Assumption Sheet'!$M29+'Assumption Sheet'!$P29)*'Assumption Sheet'!$R29*'Assumption Sheet'!$C29))/10^7</f>
        <v>0</v>
      </c>
      <c r="DQ47" s="33">
        <f>(IF(DQ$1='Assumption Sheet'!$L29,('Assumption Sheet'!$M29+'Assumption Sheet'!$P29)*'Assumption Sheet'!$R29*'Assumption Sheet'!$C29,0)-IF(DQ$1='Assumption Sheet'!$Y29,('Assumption Sheet'!$M29+'Assumption Sheet'!$P29)*'Assumption Sheet'!$R29*'Assumption Sheet'!$C29))/10^7</f>
        <v>0</v>
      </c>
      <c r="DR47" s="33">
        <f>(IF(DR$1='Assumption Sheet'!$L29,('Assumption Sheet'!$M29+'Assumption Sheet'!$P29)*'Assumption Sheet'!$R29*'Assumption Sheet'!$C29,0)-IF(DR$1='Assumption Sheet'!$Y29,('Assumption Sheet'!$M29+'Assumption Sheet'!$P29)*'Assumption Sheet'!$R29*'Assumption Sheet'!$C29))/10^7</f>
        <v>0</v>
      </c>
      <c r="DS47" s="33">
        <f>(IF(DS$1='Assumption Sheet'!$L29,('Assumption Sheet'!$M29+'Assumption Sheet'!$P29)*'Assumption Sheet'!$R29*'Assumption Sheet'!$C29,0)-IF(DS$1='Assumption Sheet'!$Y29,('Assumption Sheet'!$M29+'Assumption Sheet'!$P29)*'Assumption Sheet'!$R29*'Assumption Sheet'!$C29))/10^7</f>
        <v>0</v>
      </c>
      <c r="DT47" s="33">
        <f>(IF(DT$1='Assumption Sheet'!$L29,('Assumption Sheet'!$M29+'Assumption Sheet'!$P29)*'Assumption Sheet'!$R29*'Assumption Sheet'!$C29,0)-IF(DT$1='Assumption Sheet'!$Y29,('Assumption Sheet'!$M29+'Assumption Sheet'!$P29)*'Assumption Sheet'!$R29*'Assumption Sheet'!$C29))/10^7</f>
        <v>0</v>
      </c>
      <c r="DU47" s="33">
        <f>(IF(DU$1='Assumption Sheet'!$L29,('Assumption Sheet'!$M29+'Assumption Sheet'!$P29)*'Assumption Sheet'!$R29*'Assumption Sheet'!$C29,0)-IF(DU$1='Assumption Sheet'!$Y29,('Assumption Sheet'!$M29+'Assumption Sheet'!$P29)*'Assumption Sheet'!$R29*'Assumption Sheet'!$C29))/10^7</f>
        <v>0</v>
      </c>
      <c r="DV47" s="33">
        <f>(IF(DV$1='Assumption Sheet'!$L29,('Assumption Sheet'!$M29+'Assumption Sheet'!$P29)*'Assumption Sheet'!$R29*'Assumption Sheet'!$C29,0)-IF(DV$1='Assumption Sheet'!$Y29,('Assumption Sheet'!$M29+'Assumption Sheet'!$P29)*'Assumption Sheet'!$R29*'Assumption Sheet'!$C29))/10^7</f>
        <v>0</v>
      </c>
      <c r="DW47" s="33">
        <f>(IF(DW$1='Assumption Sheet'!$L29,('Assumption Sheet'!$M29+'Assumption Sheet'!$P29)*'Assumption Sheet'!$R29*'Assumption Sheet'!$C29,0)-IF(DW$1='Assumption Sheet'!$Y29,('Assumption Sheet'!$M29+'Assumption Sheet'!$P29)*'Assumption Sheet'!$R29*'Assumption Sheet'!$C29))/10^7</f>
        <v>0</v>
      </c>
      <c r="DX47" s="33">
        <f>(IF(DX$1='Assumption Sheet'!$L29,('Assumption Sheet'!$M29+'Assumption Sheet'!$P29)*'Assumption Sheet'!$R29*'Assumption Sheet'!$C29,0)-IF(DX$1='Assumption Sheet'!$Y29,('Assumption Sheet'!$M29+'Assumption Sheet'!$P29)*'Assumption Sheet'!$R29*'Assumption Sheet'!$C29))/10^7</f>
        <v>0</v>
      </c>
      <c r="DY47" s="33">
        <f>(IF(DY$1='Assumption Sheet'!$L29,('Assumption Sheet'!$M29+'Assumption Sheet'!$P29)*'Assumption Sheet'!$R29*'Assumption Sheet'!$C29,0)-IF(DY$1='Assumption Sheet'!$Y29,('Assumption Sheet'!$M29+'Assumption Sheet'!$P29)*'Assumption Sheet'!$R29*'Assumption Sheet'!$C29))/10^7</f>
        <v>0</v>
      </c>
      <c r="DZ47" s="33">
        <f>(IF(DZ$1='Assumption Sheet'!$L29,('Assumption Sheet'!$M29+'Assumption Sheet'!$P29)*'Assumption Sheet'!$R29*'Assumption Sheet'!$C29,0)-IF(DZ$1='Assumption Sheet'!$Y29,('Assumption Sheet'!$M29+'Assumption Sheet'!$P29)*'Assumption Sheet'!$R29*'Assumption Sheet'!$C29))/10^7</f>
        <v>0</v>
      </c>
      <c r="EA47" s="33">
        <f>(IF(EA$1='Assumption Sheet'!$L29,('Assumption Sheet'!$M29+'Assumption Sheet'!$P29)*'Assumption Sheet'!$R29*'Assumption Sheet'!$C29,0)-IF(EA$1='Assumption Sheet'!$Y29,('Assumption Sheet'!$M29+'Assumption Sheet'!$P29)*'Assumption Sheet'!$R29*'Assumption Sheet'!$C29))/10^7</f>
        <v>0</v>
      </c>
      <c r="EB47" s="33">
        <f>(IF(EB$1='Assumption Sheet'!$L29,('Assumption Sheet'!$M29+'Assumption Sheet'!$P29)*'Assumption Sheet'!$R29*'Assumption Sheet'!$C29,0)-IF(EB$1='Assumption Sheet'!$Y29,('Assumption Sheet'!$M29+'Assumption Sheet'!$P29)*'Assumption Sheet'!$R29*'Assumption Sheet'!$C29))/10^7</f>
        <v>0</v>
      </c>
      <c r="EC47" s="33">
        <f>(IF(EC$1='Assumption Sheet'!$L29,('Assumption Sheet'!$M29+'Assumption Sheet'!$P29)*'Assumption Sheet'!$R29*'Assumption Sheet'!$C29,0)-IF(EC$1='Assumption Sheet'!$Y29,('Assumption Sheet'!$M29+'Assumption Sheet'!$P29)*'Assumption Sheet'!$R29*'Assumption Sheet'!$C29))/10^7</f>
        <v>0</v>
      </c>
      <c r="ED47" s="33">
        <f>(IF(ED$1='Assumption Sheet'!$L29,('Assumption Sheet'!$M29+'Assumption Sheet'!$P29)*'Assumption Sheet'!$R29*'Assumption Sheet'!$C29,0)-IF(ED$1='Assumption Sheet'!$Y29,('Assumption Sheet'!$M29+'Assumption Sheet'!$P29)*'Assumption Sheet'!$R29*'Assumption Sheet'!$C29))/10^7</f>
        <v>0</v>
      </c>
      <c r="EE47" s="33">
        <f>(IF(EE$1='Assumption Sheet'!$L29,('Assumption Sheet'!$M29+'Assumption Sheet'!$P29)*'Assumption Sheet'!$R29*'Assumption Sheet'!$C29,0)-IF(EE$1='Assumption Sheet'!$Y29,('Assumption Sheet'!$M29+'Assumption Sheet'!$P29)*'Assumption Sheet'!$R29*'Assumption Sheet'!$C29))/10^7</f>
        <v>0</v>
      </c>
      <c r="EF47" s="33">
        <f>(IF(EF$1='Assumption Sheet'!$L29,('Assumption Sheet'!$M29+'Assumption Sheet'!$P29)*'Assumption Sheet'!$R29*'Assumption Sheet'!$C29,0)-IF(EF$1='Assumption Sheet'!$Y29,('Assumption Sheet'!$M29+'Assumption Sheet'!$P29)*'Assumption Sheet'!$R29*'Assumption Sheet'!$C29))/10^7</f>
        <v>0</v>
      </c>
      <c r="EG47" s="33">
        <f>(IF(EG$1='Assumption Sheet'!$L29,('Assumption Sheet'!$M29+'Assumption Sheet'!$P29)*'Assumption Sheet'!$R29*'Assumption Sheet'!$C29,0)-IF(EG$1='Assumption Sheet'!$Y29,('Assumption Sheet'!$M29+'Assumption Sheet'!$P29)*'Assumption Sheet'!$R29*'Assumption Sheet'!$C29))/10^7</f>
        <v>0</v>
      </c>
      <c r="EH47" s="33">
        <f>(IF(EH$1='Assumption Sheet'!$L29,('Assumption Sheet'!$M29+'Assumption Sheet'!$P29)*'Assumption Sheet'!$R29*'Assumption Sheet'!$C29,0)-IF(EH$1='Assumption Sheet'!$Y29,('Assumption Sheet'!$M29+'Assumption Sheet'!$P29)*'Assumption Sheet'!$R29*'Assumption Sheet'!$C29))/10^7</f>
        <v>0</v>
      </c>
      <c r="EI47" s="33">
        <f>(IF(EI$1='Assumption Sheet'!$L29,('Assumption Sheet'!$M29+'Assumption Sheet'!$P29)*'Assumption Sheet'!$R29*'Assumption Sheet'!$C29,0)-IF(EI$1='Assumption Sheet'!$Y29,('Assumption Sheet'!$M29+'Assumption Sheet'!$P29)*'Assumption Sheet'!$R29*'Assumption Sheet'!$C29))/10^7</f>
        <v>0</v>
      </c>
      <c r="EJ47" s="33">
        <f>(IF(EJ$1='Assumption Sheet'!$L29,('Assumption Sheet'!$M29+'Assumption Sheet'!$P29)*'Assumption Sheet'!$R29*'Assumption Sheet'!$C29,0)-IF(EJ$1='Assumption Sheet'!$Y29,('Assumption Sheet'!$M29+'Assumption Sheet'!$P29)*'Assumption Sheet'!$R29*'Assumption Sheet'!$C29))/10^7</f>
        <v>0</v>
      </c>
      <c r="EK47" s="33">
        <f>(IF(EK$1='Assumption Sheet'!$L29,('Assumption Sheet'!$M29+'Assumption Sheet'!$P29)*'Assumption Sheet'!$R29*'Assumption Sheet'!$C29,0)-IF(EK$1='Assumption Sheet'!$Y29,('Assumption Sheet'!$M29+'Assumption Sheet'!$P29)*'Assumption Sheet'!$R29*'Assumption Sheet'!$C29))/10^7</f>
        <v>0</v>
      </c>
      <c r="EL47" s="33">
        <f>(IF(EL$1='Assumption Sheet'!$L29,('Assumption Sheet'!$M29+'Assumption Sheet'!$P29)*'Assumption Sheet'!$R29*'Assumption Sheet'!$C29,0)-IF(EL$1='Assumption Sheet'!$Y29,('Assumption Sheet'!$M29+'Assumption Sheet'!$P29)*'Assumption Sheet'!$R29*'Assumption Sheet'!$C29))/10^7</f>
        <v>0</v>
      </c>
      <c r="EM47" s="33">
        <f>(IF(EM$1='Assumption Sheet'!$L29,('Assumption Sheet'!$M29+'Assumption Sheet'!$P29)*'Assumption Sheet'!$R29*'Assumption Sheet'!$C29,0)-IF(EM$1='Assumption Sheet'!$Y29,('Assumption Sheet'!$M29+'Assumption Sheet'!$P29)*'Assumption Sheet'!$R29*'Assumption Sheet'!$C29))/10^7</f>
        <v>0</v>
      </c>
      <c r="EN47" s="33">
        <f>(IF(EN$1='Assumption Sheet'!$L29,('Assumption Sheet'!$M29+'Assumption Sheet'!$P29)*'Assumption Sheet'!$R29*'Assumption Sheet'!$C29,0)-IF(EN$1='Assumption Sheet'!$Y29,('Assumption Sheet'!$M29+'Assumption Sheet'!$P29)*'Assumption Sheet'!$R29*'Assumption Sheet'!$C29))/10^7</f>
        <v>0</v>
      </c>
      <c r="EO47" s="33">
        <f>(IF(EO$1='Assumption Sheet'!$L29,('Assumption Sheet'!$M29+'Assumption Sheet'!$P29)*'Assumption Sheet'!$R29*'Assumption Sheet'!$C29,0)-IF(EO$1='Assumption Sheet'!$Y29,('Assumption Sheet'!$M29+'Assumption Sheet'!$P29)*'Assumption Sheet'!$R29*'Assumption Sheet'!$C29))/10^7</f>
        <v>0</v>
      </c>
      <c r="EP47" s="33">
        <f>(IF(EP$1='Assumption Sheet'!$L29,('Assumption Sheet'!$M29+'Assumption Sheet'!$P29)*'Assumption Sheet'!$R29*'Assumption Sheet'!$C29,0)-IF(EP$1='Assumption Sheet'!$Y29,('Assumption Sheet'!$M29+'Assumption Sheet'!$P29)*'Assumption Sheet'!$R29*'Assumption Sheet'!$C29))/10^7</f>
        <v>0</v>
      </c>
      <c r="EQ47" s="33">
        <f>(IF(EQ$1='Assumption Sheet'!$L29,('Assumption Sheet'!$M29+'Assumption Sheet'!$P29)*'Assumption Sheet'!$R29*'Assumption Sheet'!$C29,0)-IF(EQ$1='Assumption Sheet'!$Y29,('Assumption Sheet'!$M29+'Assumption Sheet'!$P29)*'Assumption Sheet'!$R29*'Assumption Sheet'!$C29))/10^7</f>
        <v>0</v>
      </c>
      <c r="ER47" s="33">
        <f>(IF(ER$1='Assumption Sheet'!$L29,('Assumption Sheet'!$M29+'Assumption Sheet'!$P29)*'Assumption Sheet'!$R29*'Assumption Sheet'!$C29,0)-IF(ER$1='Assumption Sheet'!$Y29,('Assumption Sheet'!$M29+'Assumption Sheet'!$P29)*'Assumption Sheet'!$R29*'Assumption Sheet'!$C29))/10^7</f>
        <v>0</v>
      </c>
      <c r="ES47" s="33">
        <f>(IF(ES$1='Assumption Sheet'!$L29,('Assumption Sheet'!$M29+'Assumption Sheet'!$P29)*'Assumption Sheet'!$R29*'Assumption Sheet'!$C29,0)-IF(ES$1='Assumption Sheet'!$Y29,('Assumption Sheet'!$M29+'Assumption Sheet'!$P29)*'Assumption Sheet'!$R29*'Assumption Sheet'!$C29))/10^7</f>
        <v>0</v>
      </c>
      <c r="ET47" s="33">
        <f>(IF(ET$1='Assumption Sheet'!$L29,('Assumption Sheet'!$M29+'Assumption Sheet'!$P29)*'Assumption Sheet'!$R29*'Assumption Sheet'!$C29,0)-IF(ET$1='Assumption Sheet'!$Y29,('Assumption Sheet'!$M29+'Assumption Sheet'!$P29)*'Assumption Sheet'!$R29*'Assumption Sheet'!$C29))/10^7</f>
        <v>0</v>
      </c>
      <c r="EU47" s="33">
        <f>(IF(EU$1='Assumption Sheet'!$L29,('Assumption Sheet'!$M29+'Assumption Sheet'!$P29)*'Assumption Sheet'!$R29*'Assumption Sheet'!$C29,0)-IF(EU$1='Assumption Sheet'!$Y29,('Assumption Sheet'!$M29+'Assumption Sheet'!$P29)*'Assumption Sheet'!$R29*'Assumption Sheet'!$C29))/10^7</f>
        <v>0</v>
      </c>
      <c r="EV47" s="33">
        <f>(IF(EV$1='Assumption Sheet'!$L29,('Assumption Sheet'!$M29+'Assumption Sheet'!$P29)*'Assumption Sheet'!$R29*'Assumption Sheet'!$C29,0)-IF(EV$1='Assumption Sheet'!$Y29,('Assumption Sheet'!$M29+'Assumption Sheet'!$P29)*'Assumption Sheet'!$R29*'Assumption Sheet'!$C29))/10^7</f>
        <v>0</v>
      </c>
      <c r="EW47" s="33">
        <f>(IF(EW$1='Assumption Sheet'!$L29,('Assumption Sheet'!$M29+'Assumption Sheet'!$P29)*'Assumption Sheet'!$R29*'Assumption Sheet'!$C29,0)-IF(EW$1='Assumption Sheet'!$Y29,('Assumption Sheet'!$M29+'Assumption Sheet'!$P29)*'Assumption Sheet'!$R29*'Assumption Sheet'!$C29))/10^7</f>
        <v>0</v>
      </c>
      <c r="EX47" s="33">
        <f>(IF(EX$1='Assumption Sheet'!$L29,('Assumption Sheet'!$M29+'Assumption Sheet'!$P29)*'Assumption Sheet'!$R29*'Assumption Sheet'!$C29,0)-IF(EX$1='Assumption Sheet'!$Y29,('Assumption Sheet'!$M29+'Assumption Sheet'!$P29)*'Assumption Sheet'!$R29*'Assumption Sheet'!$C29))/10^7</f>
        <v>0</v>
      </c>
      <c r="EY47" s="33">
        <f>(IF(EY$1='Assumption Sheet'!$L29,('Assumption Sheet'!$M29+'Assumption Sheet'!$P29)*'Assumption Sheet'!$R29*'Assumption Sheet'!$C29,0)-IF(EY$1='Assumption Sheet'!$Y29,('Assumption Sheet'!$M29+'Assumption Sheet'!$P29)*'Assumption Sheet'!$R29*'Assumption Sheet'!$C29))/10^7</f>
        <v>0</v>
      </c>
      <c r="EZ47" s="33">
        <f>(IF(EZ$1='Assumption Sheet'!$L29,('Assumption Sheet'!$M29+'Assumption Sheet'!$P29)*'Assumption Sheet'!$R29*'Assumption Sheet'!$C29,0)-IF(EZ$1='Assumption Sheet'!$Y29,('Assumption Sheet'!$M29+'Assumption Sheet'!$P29)*'Assumption Sheet'!$R29*'Assumption Sheet'!$C29))/10^7</f>
        <v>0</v>
      </c>
      <c r="FA47" s="33">
        <f>(IF(FA$1='Assumption Sheet'!$L29,('Assumption Sheet'!$M29+'Assumption Sheet'!$P29)*'Assumption Sheet'!$R29*'Assumption Sheet'!$C29,0)-IF(FA$1='Assumption Sheet'!$Y29,('Assumption Sheet'!$M29+'Assumption Sheet'!$P29)*'Assumption Sheet'!$R29*'Assumption Sheet'!$C29))/10^7</f>
        <v>0</v>
      </c>
      <c r="FB47" s="33">
        <f>(IF(FB$1='Assumption Sheet'!$L29,('Assumption Sheet'!$M29+'Assumption Sheet'!$P29)*'Assumption Sheet'!$R29*'Assumption Sheet'!$C29,0)-IF(FB$1='Assumption Sheet'!$Y29,('Assumption Sheet'!$M29+'Assumption Sheet'!$P29)*'Assumption Sheet'!$R29*'Assumption Sheet'!$C29))/10^7</f>
        <v>0</v>
      </c>
      <c r="FC47" s="33">
        <f>(IF(FC$1='Assumption Sheet'!$L29,('Assumption Sheet'!$M29+'Assumption Sheet'!$P29)*'Assumption Sheet'!$R29*'Assumption Sheet'!$C29,0)-IF(FC$1='Assumption Sheet'!$Y29,('Assumption Sheet'!$M29+'Assumption Sheet'!$P29)*'Assumption Sheet'!$R29*'Assumption Sheet'!$C29))/10^7</f>
        <v>0</v>
      </c>
      <c r="FD47" s="33">
        <f>(IF(FD$1='Assumption Sheet'!$L29,('Assumption Sheet'!$M29+'Assumption Sheet'!$P29)*'Assumption Sheet'!$R29*'Assumption Sheet'!$C29,0)-IF(FD$1='Assumption Sheet'!$Y29,('Assumption Sheet'!$M29+'Assumption Sheet'!$P29)*'Assumption Sheet'!$R29*'Assumption Sheet'!$C29))/10^7</f>
        <v>0</v>
      </c>
      <c r="FE47" s="33">
        <f>(IF(FE$1='Assumption Sheet'!$L29,('Assumption Sheet'!$M29+'Assumption Sheet'!$P29)*'Assumption Sheet'!$R29*'Assumption Sheet'!$C29,0)-IF(FE$1='Assumption Sheet'!$Y29,('Assumption Sheet'!$M29+'Assumption Sheet'!$P29)*'Assumption Sheet'!$R29*'Assumption Sheet'!$C29))/10^7</f>
        <v>0</v>
      </c>
      <c r="FF47" s="33">
        <f>(IF(FF$1='Assumption Sheet'!$L29,('Assumption Sheet'!$M29+'Assumption Sheet'!$P29)*'Assumption Sheet'!$R29*'Assumption Sheet'!$C29,0)-IF(FF$1='Assumption Sheet'!$Y29,('Assumption Sheet'!$M29+'Assumption Sheet'!$P29)*'Assumption Sheet'!$R29*'Assumption Sheet'!$C29))/10^7</f>
        <v>0</v>
      </c>
      <c r="FG47" s="33">
        <f>(IF(FG$1='Assumption Sheet'!$L29,('Assumption Sheet'!$M29+'Assumption Sheet'!$P29)*'Assumption Sheet'!$R29*'Assumption Sheet'!$C29,0)-IF(FG$1='Assumption Sheet'!$Y29,('Assumption Sheet'!$M29+'Assumption Sheet'!$P29)*'Assumption Sheet'!$R29*'Assumption Sheet'!$C29))/10^7</f>
        <v>0</v>
      </c>
      <c r="FH47" s="33">
        <f>(IF(FH$1='Assumption Sheet'!$L29,('Assumption Sheet'!$M29+'Assumption Sheet'!$P29)*'Assumption Sheet'!$R29*'Assumption Sheet'!$C29,0)-IF(FH$1='Assumption Sheet'!$Y29,('Assumption Sheet'!$M29+'Assumption Sheet'!$P29)*'Assumption Sheet'!$R29*'Assumption Sheet'!$C29))/10^7</f>
        <v>0</v>
      </c>
      <c r="FI47" s="33">
        <f>(IF(FI$1='Assumption Sheet'!$L29,('Assumption Sheet'!$M29+'Assumption Sheet'!$P29)*'Assumption Sheet'!$R29*'Assumption Sheet'!$C29,0)-IF(FI$1='Assumption Sheet'!$Y29,('Assumption Sheet'!$M29+'Assumption Sheet'!$P29)*'Assumption Sheet'!$R29*'Assumption Sheet'!$C29))/10^7</f>
        <v>0</v>
      </c>
      <c r="FJ47" s="33">
        <f>(IF(FJ$1='Assumption Sheet'!$L29,('Assumption Sheet'!$M29+'Assumption Sheet'!$P29)*'Assumption Sheet'!$R29*'Assumption Sheet'!$C29,0)-IF(FJ$1='Assumption Sheet'!$Y29,('Assumption Sheet'!$M29+'Assumption Sheet'!$P29)*'Assumption Sheet'!$R29*'Assumption Sheet'!$C29))/10^7</f>
        <v>0</v>
      </c>
      <c r="FK47" s="33">
        <f>(IF(FK$1='Assumption Sheet'!$L29,('Assumption Sheet'!$M29+'Assumption Sheet'!$P29)*'Assumption Sheet'!$R29*'Assumption Sheet'!$C29,0)-IF(FK$1='Assumption Sheet'!$Y29,('Assumption Sheet'!$M29+'Assumption Sheet'!$P29)*'Assumption Sheet'!$R29*'Assumption Sheet'!$C29))/10^7</f>
        <v>0</v>
      </c>
      <c r="FL47" s="33">
        <f>(IF(FL$1='Assumption Sheet'!$L29,('Assumption Sheet'!$M29+'Assumption Sheet'!$P29)*'Assumption Sheet'!$R29*'Assumption Sheet'!$C29,0)-IF(FL$1='Assumption Sheet'!$Y29,('Assumption Sheet'!$M29+'Assumption Sheet'!$P29)*'Assumption Sheet'!$R29*'Assumption Sheet'!$C29))/10^7</f>
        <v>0</v>
      </c>
      <c r="FM47" s="33">
        <f>(IF(FM$1='Assumption Sheet'!$L29,('Assumption Sheet'!$M29+'Assumption Sheet'!$P29)*'Assumption Sheet'!$R29*'Assumption Sheet'!$C29,0)-IF(FM$1='Assumption Sheet'!$Y29,('Assumption Sheet'!$M29+'Assumption Sheet'!$P29)*'Assumption Sheet'!$R29*'Assumption Sheet'!$C29))/10^7</f>
        <v>0</v>
      </c>
      <c r="FN47" s="33">
        <f>(IF(FN$1='Assumption Sheet'!$L29,('Assumption Sheet'!$M29+'Assumption Sheet'!$P29)*'Assumption Sheet'!$R29*'Assumption Sheet'!$C29,0)-IF(FN$1='Assumption Sheet'!$Y29,('Assumption Sheet'!$M29+'Assumption Sheet'!$P29)*'Assumption Sheet'!$R29*'Assumption Sheet'!$C29))/10^7</f>
        <v>0</v>
      </c>
      <c r="FO47" s="33">
        <f>(IF(FO$1='Assumption Sheet'!$L29,('Assumption Sheet'!$M29+'Assumption Sheet'!$P29)*'Assumption Sheet'!$R29*'Assumption Sheet'!$C29,0)-IF(FO$1='Assumption Sheet'!$Y29,('Assumption Sheet'!$M29+'Assumption Sheet'!$P29)*'Assumption Sheet'!$R29*'Assumption Sheet'!$C29))/10^7</f>
        <v>0</v>
      </c>
      <c r="FP47" s="33">
        <f>(IF(FP$1='Assumption Sheet'!$L29,('Assumption Sheet'!$M29+'Assumption Sheet'!$P29)*'Assumption Sheet'!$R29*'Assumption Sheet'!$C29,0)-IF(FP$1='Assumption Sheet'!$Y29,('Assumption Sheet'!$M29+'Assumption Sheet'!$P29)*'Assumption Sheet'!$R29*'Assumption Sheet'!$C29))/10^7</f>
        <v>0</v>
      </c>
      <c r="FQ47" s="33">
        <f>(IF(FQ$1='Assumption Sheet'!$L29,('Assumption Sheet'!$M29+'Assumption Sheet'!$P29)*'Assumption Sheet'!$R29*'Assumption Sheet'!$C29,0)-IF(FQ$1='Assumption Sheet'!$Y29,('Assumption Sheet'!$M29+'Assumption Sheet'!$P29)*'Assumption Sheet'!$R29*'Assumption Sheet'!$C29))/10^7</f>
        <v>0</v>
      </c>
      <c r="FR47" s="33">
        <f>(IF(FR$1='Assumption Sheet'!$L29,('Assumption Sheet'!$M29+'Assumption Sheet'!$P29)*'Assumption Sheet'!$R29*'Assumption Sheet'!$C29,0)-IF(FR$1='Assumption Sheet'!$Y29,('Assumption Sheet'!$M29+'Assumption Sheet'!$P29)*'Assumption Sheet'!$R29*'Assumption Sheet'!$C29))/10^7</f>
        <v>0</v>
      </c>
      <c r="FS47" s="33">
        <f>(IF(FS$1='Assumption Sheet'!$L29,('Assumption Sheet'!$M29+'Assumption Sheet'!$P29)*'Assumption Sheet'!$R29*'Assumption Sheet'!$C29,0)-IF(FS$1='Assumption Sheet'!$Y29,('Assumption Sheet'!$M29+'Assumption Sheet'!$P29)*'Assumption Sheet'!$R29*'Assumption Sheet'!$C29))/10^7</f>
        <v>0</v>
      </c>
      <c r="FT47" s="33">
        <f>(IF(FT$1='Assumption Sheet'!$L29,('Assumption Sheet'!$M29+'Assumption Sheet'!$P29)*'Assumption Sheet'!$R29*'Assumption Sheet'!$C29,0)-IF(FT$1='Assumption Sheet'!$Y29,('Assumption Sheet'!$M29+'Assumption Sheet'!$P29)*'Assumption Sheet'!$R29*'Assumption Sheet'!$C29))/10^7</f>
        <v>0</v>
      </c>
      <c r="FU47" s="33">
        <f>(IF(FU$1='Assumption Sheet'!$L29,('Assumption Sheet'!$M29+'Assumption Sheet'!$P29)*'Assumption Sheet'!$R29*'Assumption Sheet'!$C29,0)-IF(FU$1='Assumption Sheet'!$Y29,('Assumption Sheet'!$M29+'Assumption Sheet'!$P29)*'Assumption Sheet'!$R29*'Assumption Sheet'!$C29))/10^7</f>
        <v>0</v>
      </c>
      <c r="FV47" s="33">
        <f>(IF(FV$1='Assumption Sheet'!$L29,('Assumption Sheet'!$M29+'Assumption Sheet'!$P29)*'Assumption Sheet'!$R29*'Assumption Sheet'!$C29,0)-IF(FV$1='Assumption Sheet'!$Y29,('Assumption Sheet'!$M29+'Assumption Sheet'!$P29)*'Assumption Sheet'!$R29*'Assumption Sheet'!$C29))/10^7</f>
        <v>0</v>
      </c>
      <c r="FW47" s="33">
        <f>(IF(FW$1='Assumption Sheet'!$L29,('Assumption Sheet'!$M29+'Assumption Sheet'!$P29)*'Assumption Sheet'!$R29*'Assumption Sheet'!$C29,0)-IF(FW$1='Assumption Sheet'!$Y29,('Assumption Sheet'!$M29+'Assumption Sheet'!$P29)*'Assumption Sheet'!$R29*'Assumption Sheet'!$C29))/10^7</f>
        <v>0</v>
      </c>
      <c r="FX47" s="33">
        <f>(IF(FX$1='Assumption Sheet'!$L29,('Assumption Sheet'!$M29+'Assumption Sheet'!$P29)*'Assumption Sheet'!$R29*'Assumption Sheet'!$C29,0)-IF(FX$1='Assumption Sheet'!$Y29,('Assumption Sheet'!$M29+'Assumption Sheet'!$P29)*'Assumption Sheet'!$R29*'Assumption Sheet'!$C29))/10^7</f>
        <v>0</v>
      </c>
      <c r="FY47" s="33">
        <f>(IF(FY$1='Assumption Sheet'!$L29,('Assumption Sheet'!$M29+'Assumption Sheet'!$P29)*'Assumption Sheet'!$R29*'Assumption Sheet'!$C29,0)-IF(FY$1='Assumption Sheet'!$Y29,('Assumption Sheet'!$M29+'Assumption Sheet'!$P29)*'Assumption Sheet'!$R29*'Assumption Sheet'!$C29))/10^7</f>
        <v>0</v>
      </c>
      <c r="FZ47" s="33">
        <f>(IF(FZ$1='Assumption Sheet'!$L29,('Assumption Sheet'!$M29+'Assumption Sheet'!$P29)*'Assumption Sheet'!$R29*'Assumption Sheet'!$C29,0)-IF(FZ$1='Assumption Sheet'!$Y29,('Assumption Sheet'!$M29+'Assumption Sheet'!$P29)*'Assumption Sheet'!$R29*'Assumption Sheet'!$C29))/10^7</f>
        <v>0</v>
      </c>
      <c r="GA47" s="33">
        <f>(IF(GA$1='Assumption Sheet'!$L29,('Assumption Sheet'!$M29+'Assumption Sheet'!$P29)*'Assumption Sheet'!$R29*'Assumption Sheet'!$C29,0)-IF(GA$1='Assumption Sheet'!$Y29,('Assumption Sheet'!$M29+'Assumption Sheet'!$P29)*'Assumption Sheet'!$R29*'Assumption Sheet'!$C29))/10^7</f>
        <v>0</v>
      </c>
      <c r="GB47" s="33">
        <f>(IF(GB$1='Assumption Sheet'!$L29,('Assumption Sheet'!$M29+'Assumption Sheet'!$P29)*'Assumption Sheet'!$R29*'Assumption Sheet'!$C29,0)-IF(GB$1='Assumption Sheet'!$Y29,('Assumption Sheet'!$M29+'Assumption Sheet'!$P29)*'Assumption Sheet'!$R29*'Assumption Sheet'!$C29))/10^7</f>
        <v>0</v>
      </c>
      <c r="GC47" s="33">
        <f>(IF(GC$1='Assumption Sheet'!$L29,('Assumption Sheet'!$M29+'Assumption Sheet'!$P29)*'Assumption Sheet'!$R29*'Assumption Sheet'!$C29,0)-IF(GC$1='Assumption Sheet'!$Y29,('Assumption Sheet'!$M29+'Assumption Sheet'!$P29)*'Assumption Sheet'!$R29*'Assumption Sheet'!$C29))/10^7</f>
        <v>0</v>
      </c>
      <c r="GD47" s="33">
        <f>(IF(GD$1='Assumption Sheet'!$L29,('Assumption Sheet'!$M29+'Assumption Sheet'!$P29)*'Assumption Sheet'!$R29*'Assumption Sheet'!$C29,0)-IF(GD$1='Assumption Sheet'!$Y29,('Assumption Sheet'!$M29+'Assumption Sheet'!$P29)*'Assumption Sheet'!$R29*'Assumption Sheet'!$C29))/10^7</f>
        <v>0</v>
      </c>
      <c r="GE47" s="33">
        <f>(IF(GE$1='Assumption Sheet'!$L29,('Assumption Sheet'!$M29+'Assumption Sheet'!$P29)*'Assumption Sheet'!$R29*'Assumption Sheet'!$C29,0)-IF(GE$1='Assumption Sheet'!$Y29,('Assumption Sheet'!$M29+'Assumption Sheet'!$P29)*'Assumption Sheet'!$R29*'Assumption Sheet'!$C29))/10^7</f>
        <v>0</v>
      </c>
      <c r="GF47" s="33">
        <f>(IF(GF$1='Assumption Sheet'!$L29,('Assumption Sheet'!$M29+'Assumption Sheet'!$P29)*'Assumption Sheet'!$R29*'Assumption Sheet'!$C29,0)-IF(GF$1='Assumption Sheet'!$Y29,('Assumption Sheet'!$M29+'Assumption Sheet'!$P29)*'Assumption Sheet'!$R29*'Assumption Sheet'!$C29))/10^7</f>
        <v>0</v>
      </c>
      <c r="GG47" s="33">
        <f>(IF(GG$1='Assumption Sheet'!$L29,('Assumption Sheet'!$M29+'Assumption Sheet'!$P29)*'Assumption Sheet'!$R29*'Assumption Sheet'!$C29,0)-IF(GG$1='Assumption Sheet'!$Y29,('Assumption Sheet'!$M29+'Assumption Sheet'!$P29)*'Assumption Sheet'!$R29*'Assumption Sheet'!$C29))/10^7</f>
        <v>0</v>
      </c>
      <c r="GH47" s="33">
        <f>(IF(GH$1='Assumption Sheet'!$L29,('Assumption Sheet'!$M29+'Assumption Sheet'!$P29)*'Assumption Sheet'!$R29*'Assumption Sheet'!$C29,0)-IF(GH$1='Assumption Sheet'!$Y29,('Assumption Sheet'!$M29+'Assumption Sheet'!$P29)*'Assumption Sheet'!$R29*'Assumption Sheet'!$C29))/10^7</f>
        <v>0</v>
      </c>
      <c r="GI47" s="33">
        <f>(IF(GI$1='Assumption Sheet'!$L29,('Assumption Sheet'!$M29+'Assumption Sheet'!$P29)*'Assumption Sheet'!$R29*'Assumption Sheet'!$C29,0)-IF(GI$1='Assumption Sheet'!$Y29,('Assumption Sheet'!$M29+'Assumption Sheet'!$P29)*'Assumption Sheet'!$R29*'Assumption Sheet'!$C29))/10^7</f>
        <v>0</v>
      </c>
      <c r="GJ47" s="33">
        <f>(IF(GJ$1='Assumption Sheet'!$L29,('Assumption Sheet'!$M29+'Assumption Sheet'!$P29)*'Assumption Sheet'!$R29*'Assumption Sheet'!$C29,0)-IF(GJ$1='Assumption Sheet'!$Y29,('Assumption Sheet'!$M29+'Assumption Sheet'!$P29)*'Assumption Sheet'!$R29*'Assumption Sheet'!$C29))/10^7</f>
        <v>0</v>
      </c>
      <c r="GK47" s="33">
        <f>(IF(GK$1='Assumption Sheet'!$L29,('Assumption Sheet'!$M29+'Assumption Sheet'!$P29)*'Assumption Sheet'!$R29*'Assumption Sheet'!$C29,0)-IF(GK$1='Assumption Sheet'!$Y29,('Assumption Sheet'!$M29+'Assumption Sheet'!$P29)*'Assumption Sheet'!$R29*'Assumption Sheet'!$C29))/10^7</f>
        <v>0</v>
      </c>
      <c r="GL47" s="33">
        <f>(IF(GL$1='Assumption Sheet'!$L29,('Assumption Sheet'!$M29+'Assumption Sheet'!$P29)*'Assumption Sheet'!$R29*'Assumption Sheet'!$C29,0)-IF(GL$1='Assumption Sheet'!$Y29,('Assumption Sheet'!$M29+'Assumption Sheet'!$P29)*'Assumption Sheet'!$R29*'Assumption Sheet'!$C29))/10^7</f>
        <v>0</v>
      </c>
      <c r="GM47" s="33">
        <f>(IF(GM$1='Assumption Sheet'!$L29,('Assumption Sheet'!$M29+'Assumption Sheet'!$P29)*'Assumption Sheet'!$R29*'Assumption Sheet'!$C29,0)-IF(GM$1='Assumption Sheet'!$Y29,('Assumption Sheet'!$M29+'Assumption Sheet'!$P29)*'Assumption Sheet'!$R29*'Assumption Sheet'!$C29))/10^7</f>
        <v>0</v>
      </c>
      <c r="GN47" s="33">
        <f>(IF(GN$1='Assumption Sheet'!$L29,('Assumption Sheet'!$M29+'Assumption Sheet'!$P29)*'Assumption Sheet'!$R29*'Assumption Sheet'!$C29,0)-IF(GN$1='Assumption Sheet'!$Y29,('Assumption Sheet'!$M29+'Assumption Sheet'!$P29)*'Assumption Sheet'!$R29*'Assumption Sheet'!$C29))/10^7</f>
        <v>0</v>
      </c>
      <c r="GO47" s="33">
        <f>(IF(GO$1='Assumption Sheet'!$L29,('Assumption Sheet'!$M29+'Assumption Sheet'!$P29)*'Assumption Sheet'!$R29*'Assumption Sheet'!$C29,0)-IF(GO$1='Assumption Sheet'!$Y29,('Assumption Sheet'!$M29+'Assumption Sheet'!$P29)*'Assumption Sheet'!$R29*'Assumption Sheet'!$C29))/10^7</f>
        <v>0</v>
      </c>
      <c r="GP47" s="33">
        <f>(IF(GP$1='Assumption Sheet'!$L29,('Assumption Sheet'!$M29+'Assumption Sheet'!$P29)*'Assumption Sheet'!$R29*'Assumption Sheet'!$C29,0)-IF(GP$1='Assumption Sheet'!$Y29,('Assumption Sheet'!$M29+'Assumption Sheet'!$P29)*'Assumption Sheet'!$R29*'Assumption Sheet'!$C29))/10^7</f>
        <v>0</v>
      </c>
      <c r="GQ47" s="33">
        <f>(IF(GQ$1='Assumption Sheet'!$L29,('Assumption Sheet'!$M29+'Assumption Sheet'!$P29)*'Assumption Sheet'!$R29*'Assumption Sheet'!$C29,0)-IF(GQ$1='Assumption Sheet'!$Y29,('Assumption Sheet'!$M29+'Assumption Sheet'!$P29)*'Assumption Sheet'!$R29*'Assumption Sheet'!$C29))/10^7</f>
        <v>0</v>
      </c>
      <c r="GR47" s="33">
        <f>(IF(GR$1='Assumption Sheet'!$L29,('Assumption Sheet'!$M29+'Assumption Sheet'!$P29)*'Assumption Sheet'!$R29*'Assumption Sheet'!$C29,0)-IF(GR$1='Assumption Sheet'!$Y29,('Assumption Sheet'!$M29+'Assumption Sheet'!$P29)*'Assumption Sheet'!$R29*'Assumption Sheet'!$C29))/10^7</f>
        <v>0</v>
      </c>
      <c r="GS47" s="33">
        <f>(IF(GS$1='Assumption Sheet'!$L29,('Assumption Sheet'!$M29+'Assumption Sheet'!$P29)*'Assumption Sheet'!$R29*'Assumption Sheet'!$C29,0)-IF(GS$1='Assumption Sheet'!$Y29,('Assumption Sheet'!$M29+'Assumption Sheet'!$P29)*'Assumption Sheet'!$R29*'Assumption Sheet'!$C29))/10^7</f>
        <v>0</v>
      </c>
      <c r="GT47" s="33">
        <f>(IF(GT$1='Assumption Sheet'!$L29,('Assumption Sheet'!$M29+'Assumption Sheet'!$P29)*'Assumption Sheet'!$R29*'Assumption Sheet'!$C29,0)-IF(GT$1='Assumption Sheet'!$Y29,('Assumption Sheet'!$M29+'Assumption Sheet'!$P29)*'Assumption Sheet'!$R29*'Assumption Sheet'!$C29))/10^7</f>
        <v>0</v>
      </c>
      <c r="GU47" s="33">
        <f>(IF(GU$1='Assumption Sheet'!$L29,('Assumption Sheet'!$M29+'Assumption Sheet'!$P29)*'Assumption Sheet'!$R29*'Assumption Sheet'!$C29,0)-IF(GU$1='Assumption Sheet'!$Y29,('Assumption Sheet'!$M29+'Assumption Sheet'!$P29)*'Assumption Sheet'!$R29*'Assumption Sheet'!$C29))/10^7</f>
        <v>0</v>
      </c>
      <c r="GV47" s="33">
        <f>(IF(GV$1='Assumption Sheet'!$L29,('Assumption Sheet'!$M29+'Assumption Sheet'!$P29)*'Assumption Sheet'!$R29*'Assumption Sheet'!$C29,0)-IF(GV$1='Assumption Sheet'!$Y29,('Assumption Sheet'!$M29+'Assumption Sheet'!$P29)*'Assumption Sheet'!$R29*'Assumption Sheet'!$C29))/10^7</f>
        <v>0</v>
      </c>
      <c r="GW47" s="33">
        <f>(IF(GW$1='Assumption Sheet'!$L29,('Assumption Sheet'!$M29+'Assumption Sheet'!$P29)*'Assumption Sheet'!$R29*'Assumption Sheet'!$C29,0)-IF(GW$1='Assumption Sheet'!$Y29,('Assumption Sheet'!$M29+'Assumption Sheet'!$P29)*'Assumption Sheet'!$R29*'Assumption Sheet'!$C29))/10^7</f>
        <v>0</v>
      </c>
      <c r="GX47" s="33">
        <f>(IF(GX$1='Assumption Sheet'!$L29,('Assumption Sheet'!$M29+'Assumption Sheet'!$P29)*'Assumption Sheet'!$R29*'Assumption Sheet'!$C29,0)-IF(GX$1='Assumption Sheet'!$Y29,('Assumption Sheet'!$M29+'Assumption Sheet'!$P29)*'Assumption Sheet'!$R29*'Assumption Sheet'!$C29))/10^7</f>
        <v>0</v>
      </c>
      <c r="GY47" s="33">
        <f>(IF(GY$1='Assumption Sheet'!$L29,('Assumption Sheet'!$M29+'Assumption Sheet'!$P29)*'Assumption Sheet'!$R29*'Assumption Sheet'!$C29,0)-IF(GY$1='Assumption Sheet'!$Y29,('Assumption Sheet'!$M29+'Assumption Sheet'!$P29)*'Assumption Sheet'!$R29*'Assumption Sheet'!$C29))/10^7</f>
        <v>0</v>
      </c>
      <c r="GZ47" s="33">
        <f>(IF(GZ$1='Assumption Sheet'!$L29,('Assumption Sheet'!$M29+'Assumption Sheet'!$P29)*'Assumption Sheet'!$R29*'Assumption Sheet'!$C29,0)-IF(GZ$1='Assumption Sheet'!$Y29,('Assumption Sheet'!$M29+'Assumption Sheet'!$P29)*'Assumption Sheet'!$R29*'Assumption Sheet'!$C29))/10^7</f>
        <v>0</v>
      </c>
      <c r="HA47" s="33">
        <f>(IF(HA$1='Assumption Sheet'!$L29,('Assumption Sheet'!$M29+'Assumption Sheet'!$P29)*'Assumption Sheet'!$R29*'Assumption Sheet'!$C29,0)-IF(HA$1='Assumption Sheet'!$Y29,('Assumption Sheet'!$M29+'Assumption Sheet'!$P29)*'Assumption Sheet'!$R29*'Assumption Sheet'!$C29))/10^7</f>
        <v>0</v>
      </c>
      <c r="HB47" s="33">
        <f>(IF(HB$1='Assumption Sheet'!$L29,('Assumption Sheet'!$M29+'Assumption Sheet'!$P29)*'Assumption Sheet'!$R29*'Assumption Sheet'!$C29,0)-IF(HB$1='Assumption Sheet'!$Y29,('Assumption Sheet'!$M29+'Assumption Sheet'!$P29)*'Assumption Sheet'!$R29*'Assumption Sheet'!$C29))/10^7</f>
        <v>0</v>
      </c>
      <c r="HC47" s="33">
        <f>(IF(HC$1='Assumption Sheet'!$L29,('Assumption Sheet'!$M29+'Assumption Sheet'!$P29)*'Assumption Sheet'!$R29*'Assumption Sheet'!$C29,0)-IF(HC$1='Assumption Sheet'!$Y29,('Assumption Sheet'!$M29+'Assumption Sheet'!$P29)*'Assumption Sheet'!$R29*'Assumption Sheet'!$C29))/10^7</f>
        <v>0</v>
      </c>
      <c r="HD47" s="33">
        <f>(IF(HD$1='Assumption Sheet'!$L29,('Assumption Sheet'!$M29+'Assumption Sheet'!$P29)*'Assumption Sheet'!$R29*'Assumption Sheet'!$C29,0)-IF(HD$1='Assumption Sheet'!$Y29,('Assumption Sheet'!$M29+'Assumption Sheet'!$P29)*'Assumption Sheet'!$R29*'Assumption Sheet'!$C29))/10^7</f>
        <v>0</v>
      </c>
      <c r="HE47" s="33">
        <f>(IF(HE$1='Assumption Sheet'!$L29,('Assumption Sheet'!$M29+'Assumption Sheet'!$P29)*'Assumption Sheet'!$R29*'Assumption Sheet'!$C29,0)-IF(HE$1='Assumption Sheet'!$Y29,('Assumption Sheet'!$M29+'Assumption Sheet'!$P29)*'Assumption Sheet'!$R29*'Assumption Sheet'!$C29))/10^7</f>
        <v>0</v>
      </c>
      <c r="HF47" s="33">
        <f>(IF(HF$1='Assumption Sheet'!$L29,('Assumption Sheet'!$M29+'Assumption Sheet'!$P29)*'Assumption Sheet'!$R29*'Assumption Sheet'!$C29,0)-IF(HF$1='Assumption Sheet'!$Y29,('Assumption Sheet'!$M29+'Assumption Sheet'!$P29)*'Assumption Sheet'!$R29*'Assumption Sheet'!$C29))/10^7</f>
        <v>0</v>
      </c>
      <c r="HG47" s="33">
        <f>(IF(HG$1='Assumption Sheet'!$L29,('Assumption Sheet'!$M29+'Assumption Sheet'!$P29)*'Assumption Sheet'!$R29*'Assumption Sheet'!$C29,0)-IF(HG$1='Assumption Sheet'!$Y29,('Assumption Sheet'!$M29+'Assumption Sheet'!$P29)*'Assumption Sheet'!$R29*'Assumption Sheet'!$C29))/10^7</f>
        <v>0</v>
      </c>
      <c r="HH47" s="33">
        <f>(IF(HH$1='Assumption Sheet'!$L29,('Assumption Sheet'!$M29+'Assumption Sheet'!$P29)*'Assumption Sheet'!$R29*'Assumption Sheet'!$C29,0)-IF(HH$1='Assumption Sheet'!$Y29,('Assumption Sheet'!$M29+'Assumption Sheet'!$P29)*'Assumption Sheet'!$R29*'Assumption Sheet'!$C29))/10^7</f>
        <v>0</v>
      </c>
      <c r="HI47" s="33">
        <f>(IF(HI$1='Assumption Sheet'!$L29,('Assumption Sheet'!$M29+'Assumption Sheet'!$P29)*'Assumption Sheet'!$R29*'Assumption Sheet'!$C29,0)-IF(HI$1='Assumption Sheet'!$Y29,('Assumption Sheet'!$M29+'Assumption Sheet'!$P29)*'Assumption Sheet'!$R29*'Assumption Sheet'!$C29))/10^7</f>
        <v>0</v>
      </c>
      <c r="HJ47" s="33">
        <f>(IF(HJ$1='Assumption Sheet'!$L29,('Assumption Sheet'!$M29+'Assumption Sheet'!$P29)*'Assumption Sheet'!$R29*'Assumption Sheet'!$C29,0)-IF(HJ$1='Assumption Sheet'!$Y29,('Assumption Sheet'!$M29+'Assumption Sheet'!$P29)*'Assumption Sheet'!$R29*'Assumption Sheet'!$C29))/10^7</f>
        <v>0</v>
      </c>
      <c r="HK47" s="33">
        <f>(IF(HK$1='Assumption Sheet'!$L29,('Assumption Sheet'!$M29+'Assumption Sheet'!$P29)*'Assumption Sheet'!$R29*'Assumption Sheet'!$C29,0)-IF(HK$1='Assumption Sheet'!$Y29,('Assumption Sheet'!$M29+'Assumption Sheet'!$P29)*'Assumption Sheet'!$R29*'Assumption Sheet'!$C29))/10^7</f>
        <v>0</v>
      </c>
      <c r="HL47" s="33">
        <f>(IF(HL$1='Assumption Sheet'!$L29,('Assumption Sheet'!$M29+'Assumption Sheet'!$P29)*'Assumption Sheet'!$R29*'Assumption Sheet'!$C29,0)-IF(HL$1='Assumption Sheet'!$Y29,('Assumption Sheet'!$M29+'Assumption Sheet'!$P29)*'Assumption Sheet'!$R29*'Assumption Sheet'!$C29))/10^7</f>
        <v>0</v>
      </c>
      <c r="HM47" s="33">
        <f>(IF(HM$1='Assumption Sheet'!$L29,('Assumption Sheet'!$M29+'Assumption Sheet'!$P29)*'Assumption Sheet'!$R29*'Assumption Sheet'!$C29,0)-IF(HM$1='Assumption Sheet'!$Y29,('Assumption Sheet'!$M29+'Assumption Sheet'!$P29)*'Assumption Sheet'!$R29*'Assumption Sheet'!$C29))/10^7</f>
        <v>0</v>
      </c>
      <c r="HN47" s="33">
        <f>(IF(HN$1='Assumption Sheet'!$L29,('Assumption Sheet'!$M29+'Assumption Sheet'!$P29)*'Assumption Sheet'!$R29*'Assumption Sheet'!$C29,0)-IF(HN$1='Assumption Sheet'!$Y29,('Assumption Sheet'!$M29+'Assumption Sheet'!$P29)*'Assumption Sheet'!$R29*'Assumption Sheet'!$C29))/10^7</f>
        <v>0</v>
      </c>
      <c r="HO47" s="33">
        <f>(IF(HO$1='Assumption Sheet'!$L29,('Assumption Sheet'!$M29+'Assumption Sheet'!$P29)*'Assumption Sheet'!$R29*'Assumption Sheet'!$C29,0)-IF(HO$1='Assumption Sheet'!$Y29,('Assumption Sheet'!$M29+'Assumption Sheet'!$P29)*'Assumption Sheet'!$R29*'Assumption Sheet'!$C29))/10^7</f>
        <v>0</v>
      </c>
      <c r="HP47" s="33">
        <f>(IF(HP$1='Assumption Sheet'!$L29,('Assumption Sheet'!$M29+'Assumption Sheet'!$P29)*'Assumption Sheet'!$R29*'Assumption Sheet'!$C29,0)-IF(HP$1='Assumption Sheet'!$Y29,('Assumption Sheet'!$M29+'Assumption Sheet'!$P29)*'Assumption Sheet'!$R29*'Assumption Sheet'!$C29))/10^7</f>
        <v>0</v>
      </c>
      <c r="HQ47" s="33">
        <f>(IF(HQ$1='Assumption Sheet'!$L29,('Assumption Sheet'!$M29+'Assumption Sheet'!$P29)*'Assumption Sheet'!$R29*'Assumption Sheet'!$C29,0)-IF(HQ$1='Assumption Sheet'!$Y29,('Assumption Sheet'!$M29+'Assumption Sheet'!$P29)*'Assumption Sheet'!$R29*'Assumption Sheet'!$C29))/10^7</f>
        <v>0</v>
      </c>
      <c r="HR47" s="33">
        <f>(IF(HR$1='Assumption Sheet'!$L29,('Assumption Sheet'!$M29+'Assumption Sheet'!$P29)*'Assumption Sheet'!$R29*'Assumption Sheet'!$C29,0)-IF(HR$1='Assumption Sheet'!$Y29,('Assumption Sheet'!$M29+'Assumption Sheet'!$P29)*'Assumption Sheet'!$R29*'Assumption Sheet'!$C29))/10^7</f>
        <v>0</v>
      </c>
      <c r="HS47" s="33">
        <f>(IF(HS$1='Assumption Sheet'!$L29,('Assumption Sheet'!$M29+'Assumption Sheet'!$P29)*'Assumption Sheet'!$R29*'Assumption Sheet'!$C29,0)-IF(HS$1='Assumption Sheet'!$Y29,('Assumption Sheet'!$M29+'Assumption Sheet'!$P29)*'Assumption Sheet'!$R29*'Assumption Sheet'!$C29))/10^7</f>
        <v>0</v>
      </c>
      <c r="HT47" s="33">
        <f>(IF(HT$1='Assumption Sheet'!$L29,('Assumption Sheet'!$M29+'Assumption Sheet'!$P29)*'Assumption Sheet'!$R29*'Assumption Sheet'!$C29,0)-IF(HT$1='Assumption Sheet'!$Y29,('Assumption Sheet'!$M29+'Assumption Sheet'!$P29)*'Assumption Sheet'!$R29*'Assumption Sheet'!$C29))/10^7</f>
        <v>0</v>
      </c>
      <c r="HU47" s="33">
        <f>(IF(HU$1='Assumption Sheet'!$L29,('Assumption Sheet'!$M29+'Assumption Sheet'!$P29)*'Assumption Sheet'!$R29*'Assumption Sheet'!$C29,0)-IF(HU$1='Assumption Sheet'!$Y29,('Assumption Sheet'!$M29+'Assumption Sheet'!$P29)*'Assumption Sheet'!$R29*'Assumption Sheet'!$C29))/10^7</f>
        <v>0</v>
      </c>
      <c r="HV47" s="33">
        <f>(IF(HV$1='Assumption Sheet'!$L29,('Assumption Sheet'!$M29+'Assumption Sheet'!$P29)*'Assumption Sheet'!$R29*'Assumption Sheet'!$C29,0)-IF(HV$1='Assumption Sheet'!$Y29,('Assumption Sheet'!$M29+'Assumption Sheet'!$P29)*'Assumption Sheet'!$R29*'Assumption Sheet'!$C29))/10^7</f>
        <v>0</v>
      </c>
      <c r="HW47" s="33">
        <f>(IF(HW$1='Assumption Sheet'!$L29,('Assumption Sheet'!$M29+'Assumption Sheet'!$P29)*'Assumption Sheet'!$R29*'Assumption Sheet'!$C29,0)-IF(HW$1='Assumption Sheet'!$Y29,('Assumption Sheet'!$M29+'Assumption Sheet'!$P29)*'Assumption Sheet'!$R29*'Assumption Sheet'!$C29))/10^7</f>
        <v>0</v>
      </c>
      <c r="HX47" s="33">
        <f>(IF(HX$1='Assumption Sheet'!$L29,('Assumption Sheet'!$M29+'Assumption Sheet'!$P29)*'Assumption Sheet'!$R29*'Assumption Sheet'!$C29,0)-IF(HX$1='Assumption Sheet'!$Y29,('Assumption Sheet'!$M29+'Assumption Sheet'!$P29)*'Assumption Sheet'!$R29*'Assumption Sheet'!$C29))/10^7</f>
        <v>0</v>
      </c>
      <c r="HY47" s="33">
        <f>(IF(HY$1='Assumption Sheet'!$L29,('Assumption Sheet'!$M29+'Assumption Sheet'!$P29)*'Assumption Sheet'!$R29*'Assumption Sheet'!$C29,0)-IF(HY$1='Assumption Sheet'!$Y29,('Assumption Sheet'!$M29+'Assumption Sheet'!$P29)*'Assumption Sheet'!$R29*'Assumption Sheet'!$C29))/10^7</f>
        <v>0</v>
      </c>
      <c r="HZ47" s="33">
        <f>(IF(HZ$1='Assumption Sheet'!$L29,('Assumption Sheet'!$M29+'Assumption Sheet'!$P29)*'Assumption Sheet'!$R29*'Assumption Sheet'!$C29,0)-IF(HZ$1='Assumption Sheet'!$Y29,('Assumption Sheet'!$M29+'Assumption Sheet'!$P29)*'Assumption Sheet'!$R29*'Assumption Sheet'!$C29))/10^7</f>
        <v>0</v>
      </c>
      <c r="IA47" s="33">
        <f>(IF(IA$1='Assumption Sheet'!$L29,('Assumption Sheet'!$M29+'Assumption Sheet'!$P29)*'Assumption Sheet'!$R29*'Assumption Sheet'!$C29,0)-IF(IA$1='Assumption Sheet'!$Y29,('Assumption Sheet'!$M29+'Assumption Sheet'!$P29)*'Assumption Sheet'!$R29*'Assumption Sheet'!$C29))/10^7</f>
        <v>0</v>
      </c>
      <c r="IB47" s="33">
        <f>(IF(IB$1='Assumption Sheet'!$L29,('Assumption Sheet'!$M29+'Assumption Sheet'!$P29)*'Assumption Sheet'!$R29*'Assumption Sheet'!$C29,0)-IF(IB$1='Assumption Sheet'!$Y29,('Assumption Sheet'!$M29+'Assumption Sheet'!$P29)*'Assumption Sheet'!$R29*'Assumption Sheet'!$C29))/10^7</f>
        <v>0</v>
      </c>
      <c r="IC47" s="33">
        <f>(IF(IC$1='Assumption Sheet'!$L29,('Assumption Sheet'!$M29+'Assumption Sheet'!$P29)*'Assumption Sheet'!$R29*'Assumption Sheet'!$C29,0)-IF(IC$1='Assumption Sheet'!$Y29,('Assumption Sheet'!$M29+'Assumption Sheet'!$P29)*'Assumption Sheet'!$R29*'Assumption Sheet'!$C29))/10^7</f>
        <v>0</v>
      </c>
      <c r="ID47" s="33">
        <f>(IF(ID$1='Assumption Sheet'!$L29,('Assumption Sheet'!$M29+'Assumption Sheet'!$P29)*'Assumption Sheet'!$R29*'Assumption Sheet'!$C29,0)-IF(ID$1='Assumption Sheet'!$Y29,('Assumption Sheet'!$M29+'Assumption Sheet'!$P29)*'Assumption Sheet'!$R29*'Assumption Sheet'!$C29))/10^7</f>
        <v>0</v>
      </c>
      <c r="IE47" s="33">
        <f>(IF(IE$1='Assumption Sheet'!$L29,('Assumption Sheet'!$M29+'Assumption Sheet'!$P29)*'Assumption Sheet'!$R29*'Assumption Sheet'!$C29,0)-IF(IE$1='Assumption Sheet'!$Y29,('Assumption Sheet'!$M29+'Assumption Sheet'!$P29)*'Assumption Sheet'!$R29*'Assumption Sheet'!$C29))/10^7</f>
        <v>0</v>
      </c>
      <c r="IF47" s="33">
        <f>(IF(IF$1='Assumption Sheet'!$L29,('Assumption Sheet'!$M29+'Assumption Sheet'!$P29)*'Assumption Sheet'!$R29*'Assumption Sheet'!$C29,0)-IF(IF$1='Assumption Sheet'!$Y29,('Assumption Sheet'!$M29+'Assumption Sheet'!$P29)*'Assumption Sheet'!$R29*'Assumption Sheet'!$C29))/10^7</f>
        <v>0</v>
      </c>
      <c r="IG47" s="33">
        <f>(IF(IG$1='Assumption Sheet'!$L29,('Assumption Sheet'!$M29+'Assumption Sheet'!$P29)*'Assumption Sheet'!$R29*'Assumption Sheet'!$C29,0)-IF(IG$1='Assumption Sheet'!$Y29,('Assumption Sheet'!$M29+'Assumption Sheet'!$P29)*'Assumption Sheet'!$R29*'Assumption Sheet'!$C29))/10^7</f>
        <v>0</v>
      </c>
      <c r="IH47" s="33">
        <f>(IF(IH$1='Assumption Sheet'!$L29,('Assumption Sheet'!$M29+'Assumption Sheet'!$P29)*'Assumption Sheet'!$R29*'Assumption Sheet'!$C29,0)-IF(IH$1='Assumption Sheet'!$Y29,('Assumption Sheet'!$M29+'Assumption Sheet'!$P29)*'Assumption Sheet'!$R29*'Assumption Sheet'!$C29))/10^7</f>
        <v>0</v>
      </c>
      <c r="II47" s="33">
        <f>(IF(II$1='Assumption Sheet'!$L29,('Assumption Sheet'!$M29+'Assumption Sheet'!$P29)*'Assumption Sheet'!$R29*'Assumption Sheet'!$C29,0)-IF(II$1='Assumption Sheet'!$Y29,('Assumption Sheet'!$M29+'Assumption Sheet'!$P29)*'Assumption Sheet'!$R29*'Assumption Sheet'!$C29))/10^7</f>
        <v>0</v>
      </c>
      <c r="IJ47" s="33">
        <f>(IF(IJ$1='Assumption Sheet'!$L29,('Assumption Sheet'!$M29+'Assumption Sheet'!$P29)*'Assumption Sheet'!$R29*'Assumption Sheet'!$C29,0)-IF(IJ$1='Assumption Sheet'!$Y29,('Assumption Sheet'!$M29+'Assumption Sheet'!$P29)*'Assumption Sheet'!$R29*'Assumption Sheet'!$C29))/10^7</f>
        <v>0</v>
      </c>
      <c r="IK47" s="33">
        <f>(IF(IK$1='Assumption Sheet'!$L29,('Assumption Sheet'!$M29+'Assumption Sheet'!$P29)*'Assumption Sheet'!$R29*'Assumption Sheet'!$C29,0)-IF(IK$1='Assumption Sheet'!$Y29,('Assumption Sheet'!$M29+'Assumption Sheet'!$P29)*'Assumption Sheet'!$R29*'Assumption Sheet'!$C29))/10^7</f>
        <v>0</v>
      </c>
      <c r="IL47" s="33">
        <f>(IF(IL$1='Assumption Sheet'!$L29,('Assumption Sheet'!$M29+'Assumption Sheet'!$P29)*'Assumption Sheet'!$R29*'Assumption Sheet'!$C29,0)-IF(IL$1='Assumption Sheet'!$Y29,('Assumption Sheet'!$M29+'Assumption Sheet'!$P29)*'Assumption Sheet'!$R29*'Assumption Sheet'!$C29))/10^7</f>
        <v>0</v>
      </c>
      <c r="IM47" s="33">
        <f>(IF(IM$1='Assumption Sheet'!$L29,('Assumption Sheet'!$M29+'Assumption Sheet'!$P29)*'Assumption Sheet'!$R29*'Assumption Sheet'!$C29,0)-IF(IM$1='Assumption Sheet'!$Y29,('Assumption Sheet'!$M29+'Assumption Sheet'!$P29)*'Assumption Sheet'!$R29*'Assumption Sheet'!$C29))/10^7</f>
        <v>0</v>
      </c>
      <c r="IN47" s="33">
        <f>(IF(IN$1='Assumption Sheet'!$L29,('Assumption Sheet'!$M29+'Assumption Sheet'!$P29)*'Assumption Sheet'!$R29*'Assumption Sheet'!$C29,0)-IF(IN$1='Assumption Sheet'!$Y29,('Assumption Sheet'!$M29+'Assumption Sheet'!$P29)*'Assumption Sheet'!$R29*'Assumption Sheet'!$C29))/10^7</f>
        <v>0</v>
      </c>
      <c r="IO47" s="33">
        <f>(IF(IO$1='Assumption Sheet'!$L29,('Assumption Sheet'!$M29+'Assumption Sheet'!$P29)*'Assumption Sheet'!$R29*'Assumption Sheet'!$C29,0)-IF(IO$1='Assumption Sheet'!$Y29,('Assumption Sheet'!$M29+'Assumption Sheet'!$P29)*'Assumption Sheet'!$R29*'Assumption Sheet'!$C29))/10^7</f>
        <v>0</v>
      </c>
      <c r="IP47" s="33">
        <f>(IF(IP$1='Assumption Sheet'!$L29,('Assumption Sheet'!$M29+'Assumption Sheet'!$P29)*'Assumption Sheet'!$R29*'Assumption Sheet'!$C29,0)-IF(IP$1='Assumption Sheet'!$Y29,('Assumption Sheet'!$M29+'Assumption Sheet'!$P29)*'Assumption Sheet'!$R29*'Assumption Sheet'!$C29))/10^7</f>
        <v>0</v>
      </c>
      <c r="IQ47" s="33">
        <f>(IF(IQ$1='Assumption Sheet'!$L29,('Assumption Sheet'!$M29+'Assumption Sheet'!$P29)*'Assumption Sheet'!$R29*'Assumption Sheet'!$C29,0)-IF(IQ$1='Assumption Sheet'!$Y29,('Assumption Sheet'!$M29+'Assumption Sheet'!$P29)*'Assumption Sheet'!$R29*'Assumption Sheet'!$C29))/10^7</f>
        <v>0</v>
      </c>
      <c r="IR47" s="33">
        <f>(IF(IR$1='Assumption Sheet'!$L29,('Assumption Sheet'!$M29+'Assumption Sheet'!$P29)*'Assumption Sheet'!$R29*'Assumption Sheet'!$C29,0)-IF(IR$1='Assumption Sheet'!$Y29,('Assumption Sheet'!$M29+'Assumption Sheet'!$P29)*'Assumption Sheet'!$R29*'Assumption Sheet'!$C29))/10^7</f>
        <v>0</v>
      </c>
      <c r="IS47" s="33">
        <f>(IF(IS$1='Assumption Sheet'!$L29,('Assumption Sheet'!$M29+'Assumption Sheet'!$P29)*'Assumption Sheet'!$R29*'Assumption Sheet'!$C29,0)-IF(IS$1='Assumption Sheet'!$Y29,('Assumption Sheet'!$M29+'Assumption Sheet'!$P29)*'Assumption Sheet'!$R29*'Assumption Sheet'!$C29))/10^7</f>
        <v>0</v>
      </c>
      <c r="IT47" s="33">
        <f>(IF(IT$1='Assumption Sheet'!$L29,('Assumption Sheet'!$M29+'Assumption Sheet'!$P29)*'Assumption Sheet'!$R29*'Assumption Sheet'!$C29,0)-IF(IT$1='Assumption Sheet'!$Y29,('Assumption Sheet'!$M29+'Assumption Sheet'!$P29)*'Assumption Sheet'!$R29*'Assumption Sheet'!$C29))/10^7</f>
        <v>0</v>
      </c>
      <c r="IU47" s="33">
        <f>(IF(IU$1='Assumption Sheet'!$L29,('Assumption Sheet'!$M29+'Assumption Sheet'!$P29)*'Assumption Sheet'!$R29*'Assumption Sheet'!$C29,0)-IF(IU$1='Assumption Sheet'!$Y29,('Assumption Sheet'!$M29+'Assumption Sheet'!$P29)*'Assumption Sheet'!$R29*'Assumption Sheet'!$C29))/10^7</f>
        <v>0</v>
      </c>
      <c r="IV47" s="33">
        <f>(IF(IV$1='Assumption Sheet'!$L29,('Assumption Sheet'!$M29+'Assumption Sheet'!$P29)*'Assumption Sheet'!$R29*'Assumption Sheet'!$C29,0)-IF(IV$1='Assumption Sheet'!$Y29,('Assumption Sheet'!$M29+'Assumption Sheet'!$P29)*'Assumption Sheet'!$R29*'Assumption Sheet'!$C29))/10^7</f>
        <v>0</v>
      </c>
      <c r="IW47" s="33">
        <f>(IF(IW$1='Assumption Sheet'!$L29,('Assumption Sheet'!$M29+'Assumption Sheet'!$P29)*'Assumption Sheet'!$R29*'Assumption Sheet'!$C29,0)-IF(IW$1='Assumption Sheet'!$Y29,('Assumption Sheet'!$M29+'Assumption Sheet'!$P29)*'Assumption Sheet'!$R29*'Assumption Sheet'!$C29))/10^7</f>
        <v>0</v>
      </c>
      <c r="IX47" s="33">
        <f>(IF(IX$1='Assumption Sheet'!$L29,('Assumption Sheet'!$M29+'Assumption Sheet'!$P29)*'Assumption Sheet'!$R29*'Assumption Sheet'!$C29,0)-IF(IX$1='Assumption Sheet'!$Y29,('Assumption Sheet'!$M29+'Assumption Sheet'!$P29)*'Assumption Sheet'!$R29*'Assumption Sheet'!$C29))/10^7</f>
        <v>0</v>
      </c>
      <c r="IY47" s="33">
        <f>(IF(IY$1='Assumption Sheet'!$L29,('Assumption Sheet'!$M29+'Assumption Sheet'!$P29)*'Assumption Sheet'!$R29*'Assumption Sheet'!$C29,0)-IF(IY$1='Assumption Sheet'!$Y29,('Assumption Sheet'!$M29+'Assumption Sheet'!$P29)*'Assumption Sheet'!$R29*'Assumption Sheet'!$C29))/10^7</f>
        <v>0</v>
      </c>
      <c r="IZ47" s="33">
        <f>(IF(IZ$1='Assumption Sheet'!$L29,('Assumption Sheet'!$M29+'Assumption Sheet'!$P29)*'Assumption Sheet'!$R29*'Assumption Sheet'!$C29,0)-IF(IZ$1='Assumption Sheet'!$Y29,('Assumption Sheet'!$M29+'Assumption Sheet'!$P29)*'Assumption Sheet'!$R29*'Assumption Sheet'!$C29))/10^7</f>
        <v>0</v>
      </c>
      <c r="JA47" s="33">
        <f>(IF(JA$1='Assumption Sheet'!$L29,('Assumption Sheet'!$M29+'Assumption Sheet'!$P29)*'Assumption Sheet'!$R29*'Assumption Sheet'!$C29,0)-IF(JA$1='Assumption Sheet'!$Y29,('Assumption Sheet'!$M29+'Assumption Sheet'!$P29)*'Assumption Sheet'!$R29*'Assumption Sheet'!$C29))/10^7</f>
        <v>0</v>
      </c>
      <c r="JB47" s="33">
        <f>(IF(JB$1='Assumption Sheet'!$L29,('Assumption Sheet'!$M29+'Assumption Sheet'!$P29)*'Assumption Sheet'!$R29*'Assumption Sheet'!$C29,0)-IF(JB$1='Assumption Sheet'!$Y29,('Assumption Sheet'!$M29+'Assumption Sheet'!$P29)*'Assumption Sheet'!$R29*'Assumption Sheet'!$C29))/10^7</f>
        <v>0</v>
      </c>
      <c r="JC47" s="33">
        <f>(IF(JC$1='Assumption Sheet'!$L29,('Assumption Sheet'!$M29+'Assumption Sheet'!$P29)*'Assumption Sheet'!$R29*'Assumption Sheet'!$C29,0)-IF(JC$1='Assumption Sheet'!$Y29,('Assumption Sheet'!$M29+'Assumption Sheet'!$P29)*'Assumption Sheet'!$R29*'Assumption Sheet'!$C29))/10^7</f>
        <v>0</v>
      </c>
      <c r="JD47" s="33">
        <f>(IF(JD$1='Assumption Sheet'!$L29,('Assumption Sheet'!$M29+'Assumption Sheet'!$P29)*'Assumption Sheet'!$R29*'Assumption Sheet'!$C29,0)-IF(JD$1='Assumption Sheet'!$Y29,('Assumption Sheet'!$M29+'Assumption Sheet'!$P29)*'Assumption Sheet'!$R29*'Assumption Sheet'!$C29))/10^7</f>
        <v>0</v>
      </c>
      <c r="JE47" s="33">
        <f>(IF(JE$1='Assumption Sheet'!$L29,('Assumption Sheet'!$M29+'Assumption Sheet'!$P29)*'Assumption Sheet'!$R29*'Assumption Sheet'!$C29,0)-IF(JE$1='Assumption Sheet'!$Y29,('Assumption Sheet'!$M29+'Assumption Sheet'!$P29)*'Assumption Sheet'!$R29*'Assumption Sheet'!$C29))/10^7</f>
        <v>0</v>
      </c>
      <c r="JF47" s="33">
        <f>(IF(JF$1='Assumption Sheet'!$L29,('Assumption Sheet'!$M29+'Assumption Sheet'!$P29)*'Assumption Sheet'!$R29*'Assumption Sheet'!$C29,0)-IF(JF$1='Assumption Sheet'!$Y29,('Assumption Sheet'!$M29+'Assumption Sheet'!$P29)*'Assumption Sheet'!$R29*'Assumption Sheet'!$C29))/10^7</f>
        <v>0</v>
      </c>
      <c r="JG47" s="33">
        <f>(IF(JG$1='Assumption Sheet'!$L29,('Assumption Sheet'!$M29+'Assumption Sheet'!$P29)*'Assumption Sheet'!$R29*'Assumption Sheet'!$C29,0)-IF(JG$1='Assumption Sheet'!$Y29,('Assumption Sheet'!$M29+'Assumption Sheet'!$P29)*'Assumption Sheet'!$R29*'Assumption Sheet'!$C29))/10^7</f>
        <v>0</v>
      </c>
      <c r="JH47" s="33">
        <f>(IF(JH$1='Assumption Sheet'!$L29,('Assumption Sheet'!$M29+'Assumption Sheet'!$P29)*'Assumption Sheet'!$R29*'Assumption Sheet'!$C29,0)-IF(JH$1='Assumption Sheet'!$Y29,('Assumption Sheet'!$M29+'Assumption Sheet'!$P29)*'Assumption Sheet'!$R29*'Assumption Sheet'!$C29))/10^7</f>
        <v>-6.0795196073454152</v>
      </c>
      <c r="JI47" s="33">
        <f>(IF(JI$1='Assumption Sheet'!$L29,('Assumption Sheet'!$M29+'Assumption Sheet'!$P29)*'Assumption Sheet'!$R29*'Assumption Sheet'!$C29,0)-IF(JI$1='Assumption Sheet'!$Y29,('Assumption Sheet'!$M29+'Assumption Sheet'!$P29)*'Assumption Sheet'!$R29*'Assumption Sheet'!$C29))/10^7</f>
        <v>0</v>
      </c>
      <c r="JJ47" s="33">
        <f>(IF(JJ$1='Assumption Sheet'!$L29,('Assumption Sheet'!$M29+'Assumption Sheet'!$P29)*'Assumption Sheet'!$R29*'Assumption Sheet'!$C29,0)-IF(JJ$1='Assumption Sheet'!$Y29,('Assumption Sheet'!$M29+'Assumption Sheet'!$P29)*'Assumption Sheet'!$R29*'Assumption Sheet'!$C29))/10^7</f>
        <v>0</v>
      </c>
      <c r="JK47" s="33">
        <f>(IF(JK$1='Assumption Sheet'!$L29,('Assumption Sheet'!$M29+'Assumption Sheet'!$P29)*'Assumption Sheet'!$R29*'Assumption Sheet'!$C29,0)-IF(JK$1='Assumption Sheet'!$Y29,('Assumption Sheet'!$M29+'Assumption Sheet'!$P29)*'Assumption Sheet'!$R29*'Assumption Sheet'!$C29))/10^7</f>
        <v>0</v>
      </c>
      <c r="JL47" s="33">
        <f>(IF(JL$1='Assumption Sheet'!$L29,('Assumption Sheet'!$M29+'Assumption Sheet'!$P29)*'Assumption Sheet'!$R29*'Assumption Sheet'!$C29,0)-IF(JL$1='Assumption Sheet'!$Y29,('Assumption Sheet'!$M29+'Assumption Sheet'!$P29)*'Assumption Sheet'!$R29*'Assumption Sheet'!$C29))/10^7</f>
        <v>0</v>
      </c>
      <c r="JM47" s="33">
        <f>(IF(JM$1='Assumption Sheet'!$L29,('Assumption Sheet'!$M29+'Assumption Sheet'!$P29)*'Assumption Sheet'!$R29*'Assumption Sheet'!$C29,0)-IF(JM$1='Assumption Sheet'!$Y29,('Assumption Sheet'!$M29+'Assumption Sheet'!$P29)*'Assumption Sheet'!$R29*'Assumption Sheet'!$C29))/10^7</f>
        <v>0</v>
      </c>
      <c r="JN47" s="33">
        <f>(IF(JN$1='Assumption Sheet'!$L29,('Assumption Sheet'!$M29+'Assumption Sheet'!$P29)*'Assumption Sheet'!$R29*'Assumption Sheet'!$C29,0)-IF(JN$1='Assumption Sheet'!$Y29,('Assumption Sheet'!$M29+'Assumption Sheet'!$P29)*'Assumption Sheet'!$R29*'Assumption Sheet'!$C29))/10^7</f>
        <v>0</v>
      </c>
      <c r="JO47" s="33">
        <f>(IF(JO$1='Assumption Sheet'!$L29,('Assumption Sheet'!$M29+'Assumption Sheet'!$P29)*'Assumption Sheet'!$R29*'Assumption Sheet'!$C29,0)-IF(JO$1='Assumption Sheet'!$Y29,('Assumption Sheet'!$M29+'Assumption Sheet'!$P29)*'Assumption Sheet'!$R29*'Assumption Sheet'!$C29))/10^7</f>
        <v>0</v>
      </c>
      <c r="JP47" s="33">
        <f>(IF(JP$1='Assumption Sheet'!$L29,('Assumption Sheet'!$M29+'Assumption Sheet'!$P29)*'Assumption Sheet'!$R29*'Assumption Sheet'!$C29,0)-IF(JP$1='Assumption Sheet'!$Y29,('Assumption Sheet'!$M29+'Assumption Sheet'!$P29)*'Assumption Sheet'!$R29*'Assumption Sheet'!$C29))/10^7</f>
        <v>0</v>
      </c>
      <c r="JQ47" s="33">
        <f>(IF(JQ$1='Assumption Sheet'!$L29,('Assumption Sheet'!$M29+'Assumption Sheet'!$P29)*'Assumption Sheet'!$R29*'Assumption Sheet'!$C29,0)-IF(JQ$1='Assumption Sheet'!$Y29,('Assumption Sheet'!$M29+'Assumption Sheet'!$P29)*'Assumption Sheet'!$R29*'Assumption Sheet'!$C29))/10^7</f>
        <v>0</v>
      </c>
      <c r="JR47" s="33">
        <f>(IF(JR$1='Assumption Sheet'!$L29,('Assumption Sheet'!$M29+'Assumption Sheet'!$P29)*'Assumption Sheet'!$R29*'Assumption Sheet'!$C29,0)-IF(JR$1='Assumption Sheet'!$Y29,('Assumption Sheet'!$M29+'Assumption Sheet'!$P29)*'Assumption Sheet'!$R29*'Assumption Sheet'!$C29))/10^7</f>
        <v>0</v>
      </c>
      <c r="JS47" s="33">
        <f>(IF(JS$1='Assumption Sheet'!$L29,('Assumption Sheet'!$M29+'Assumption Sheet'!$P29)*'Assumption Sheet'!$R29*'Assumption Sheet'!$C29,0)-IF(JS$1='Assumption Sheet'!$Y29,('Assumption Sheet'!$M29+'Assumption Sheet'!$P29)*'Assumption Sheet'!$R29*'Assumption Sheet'!$C29))/10^7</f>
        <v>0</v>
      </c>
      <c r="JT47" s="33">
        <f>(IF(JT$1='Assumption Sheet'!$L29,('Assumption Sheet'!$M29+'Assumption Sheet'!$P29)*'Assumption Sheet'!$R29*'Assumption Sheet'!$C29,0)-IF(JT$1='Assumption Sheet'!$Y29,('Assumption Sheet'!$M29+'Assumption Sheet'!$P29)*'Assumption Sheet'!$R29*'Assumption Sheet'!$C29))/10^7</f>
        <v>0</v>
      </c>
      <c r="JU47" s="33">
        <f>(IF(JU$1='Assumption Sheet'!$L29,('Assumption Sheet'!$M29+'Assumption Sheet'!$P29)*'Assumption Sheet'!$R29*'Assumption Sheet'!$C29,0)-IF(JU$1='Assumption Sheet'!$Y29,('Assumption Sheet'!$M29+'Assumption Sheet'!$P29)*'Assumption Sheet'!$R29*'Assumption Sheet'!$C29))/10^7</f>
        <v>0</v>
      </c>
      <c r="JV47" s="33">
        <f>(IF(JV$1='Assumption Sheet'!$L29,('Assumption Sheet'!$M29+'Assumption Sheet'!$P29)*'Assumption Sheet'!$R29*'Assumption Sheet'!$C29,0)-IF(JV$1='Assumption Sheet'!$Y29,('Assumption Sheet'!$M29+'Assumption Sheet'!$P29)*'Assumption Sheet'!$R29*'Assumption Sheet'!$C29))/10^7</f>
        <v>0</v>
      </c>
      <c r="JW47" s="33">
        <f>(IF(JW$1='Assumption Sheet'!$L29,('Assumption Sheet'!$M29+'Assumption Sheet'!$P29)*'Assumption Sheet'!$R29*'Assumption Sheet'!$C29,0)-IF(JW$1='Assumption Sheet'!$Y29,('Assumption Sheet'!$M29+'Assumption Sheet'!$P29)*'Assumption Sheet'!$R29*'Assumption Sheet'!$C29))/10^7</f>
        <v>0</v>
      </c>
      <c r="JX47" s="33">
        <f>(IF(JX$1='Assumption Sheet'!$L29,('Assumption Sheet'!$M29+'Assumption Sheet'!$P29)*'Assumption Sheet'!$R29*'Assumption Sheet'!$C29,0)-IF(JX$1='Assumption Sheet'!$Y29,('Assumption Sheet'!$M29+'Assumption Sheet'!$P29)*'Assumption Sheet'!$R29*'Assumption Sheet'!$C29))/10^7</f>
        <v>0</v>
      </c>
      <c r="JY47" s="33">
        <f>(IF(JY$1='Assumption Sheet'!$L29,('Assumption Sheet'!$M29+'Assumption Sheet'!$P29)*'Assumption Sheet'!$R29*'Assumption Sheet'!$C29,0)-IF(JY$1='Assumption Sheet'!$Y29,('Assumption Sheet'!$M29+'Assumption Sheet'!$P29)*'Assumption Sheet'!$R29*'Assumption Sheet'!$C29))/10^7</f>
        <v>0</v>
      </c>
      <c r="JZ47" s="33">
        <f>(IF(JZ$1='Assumption Sheet'!$L29,('Assumption Sheet'!$M29+'Assumption Sheet'!$P29)*'Assumption Sheet'!$R29*'Assumption Sheet'!$C29,0)-IF(JZ$1='Assumption Sheet'!$Y29,('Assumption Sheet'!$M29+'Assumption Sheet'!$P29)*'Assumption Sheet'!$R29*'Assumption Sheet'!$C29))/10^7</f>
        <v>0</v>
      </c>
      <c r="KA47" s="33">
        <f>(IF(KA$1='Assumption Sheet'!$L29,('Assumption Sheet'!$M29+'Assumption Sheet'!$P29)*'Assumption Sheet'!$R29*'Assumption Sheet'!$C29,0)-IF(KA$1='Assumption Sheet'!$Y29,('Assumption Sheet'!$M29+'Assumption Sheet'!$P29)*'Assumption Sheet'!$R29*'Assumption Sheet'!$C29))/10^7</f>
        <v>0</v>
      </c>
      <c r="KB47" s="33">
        <f>(IF(KB$1='Assumption Sheet'!$L29,('Assumption Sheet'!$M29+'Assumption Sheet'!$P29)*'Assumption Sheet'!$R29*'Assumption Sheet'!$C29,0)-IF(KB$1='Assumption Sheet'!$Y29,('Assumption Sheet'!$M29+'Assumption Sheet'!$P29)*'Assumption Sheet'!$R29*'Assumption Sheet'!$C29))/10^7</f>
        <v>0</v>
      </c>
      <c r="KC47" s="33">
        <f>(IF(KC$1='Assumption Sheet'!$L29,('Assumption Sheet'!$M29+'Assumption Sheet'!$P29)*'Assumption Sheet'!$R29*'Assumption Sheet'!$C29,0)-IF(KC$1='Assumption Sheet'!$Y29,('Assumption Sheet'!$M29+'Assumption Sheet'!$P29)*'Assumption Sheet'!$R29*'Assumption Sheet'!$C29))/10^7</f>
        <v>0</v>
      </c>
      <c r="KD47" s="45"/>
      <c r="KE47" s="45"/>
      <c r="KF47" s="45"/>
      <c r="KG47" s="45"/>
      <c r="KH47" s="45"/>
      <c r="KI47" s="45"/>
      <c r="KJ47" s="45"/>
      <c r="KK47" s="45"/>
      <c r="KL47" s="45"/>
      <c r="KM47" s="45"/>
      <c r="KN47" s="45"/>
      <c r="KO47" s="45"/>
    </row>
    <row r="48" spans="1:301" x14ac:dyDescent="0.3">
      <c r="B48" s="1" t="str">
        <f>B39</f>
        <v>Phase 3</v>
      </c>
      <c r="C48" s="54">
        <f>SUM(E48:EX48)</f>
        <v>2.5342463384935199</v>
      </c>
      <c r="D48" s="54"/>
      <c r="E48" s="33">
        <f>(IF(E$1='Assumption Sheet'!$L30,('Assumption Sheet'!$M30+'Assumption Sheet'!$P30)*'Assumption Sheet'!$R30*'Assumption Sheet'!$C30,0)-IF(E$1='Assumption Sheet'!$Y30,('Assumption Sheet'!$M30+'Assumption Sheet'!$P30)*'Assumption Sheet'!$R30*'Assumption Sheet'!$C30))/10^7</f>
        <v>0</v>
      </c>
      <c r="F48" s="33">
        <f>(IF(F$1='Assumption Sheet'!$L30,('Assumption Sheet'!$M30+'Assumption Sheet'!$P30)*'Assumption Sheet'!$R30*'Assumption Sheet'!$C30,0)-IF(F$1='Assumption Sheet'!$Y30,('Assumption Sheet'!$M30+'Assumption Sheet'!$P30)*'Assumption Sheet'!$R30*'Assumption Sheet'!$C30))/10^7</f>
        <v>0</v>
      </c>
      <c r="G48" s="33">
        <f>(IF(G$1='Assumption Sheet'!$L30,('Assumption Sheet'!$M30+'Assumption Sheet'!$P30)*'Assumption Sheet'!$R30*'Assumption Sheet'!$C30,0)-IF(G$1='Assumption Sheet'!$Y30,('Assumption Sheet'!$M30+'Assumption Sheet'!$P30)*'Assumption Sheet'!$R30*'Assumption Sheet'!$C30))/10^7</f>
        <v>0</v>
      </c>
      <c r="H48" s="33">
        <f>(IF(H$1='Assumption Sheet'!$L30,('Assumption Sheet'!$M30+'Assumption Sheet'!$P30)*'Assumption Sheet'!$R30*'Assumption Sheet'!$C30,0)-IF(H$1='Assumption Sheet'!$Y30,('Assumption Sheet'!$M30+'Assumption Sheet'!$P30)*'Assumption Sheet'!$R30*'Assumption Sheet'!$C30))/10^7</f>
        <v>0</v>
      </c>
      <c r="I48" s="33">
        <f>(IF(I$1='Assumption Sheet'!$L30,('Assumption Sheet'!$M30+'Assumption Sheet'!$P30)*'Assumption Sheet'!$R30*'Assumption Sheet'!$C30,0)-IF(I$1='Assumption Sheet'!$Y30,('Assumption Sheet'!$M30+'Assumption Sheet'!$P30)*'Assumption Sheet'!$R30*'Assumption Sheet'!$C30))/10^7</f>
        <v>0</v>
      </c>
      <c r="J48" s="33">
        <f>(IF(J$1='Assumption Sheet'!$L30,('Assumption Sheet'!$M30+'Assumption Sheet'!$P30)*'Assumption Sheet'!$R30*'Assumption Sheet'!$C30,0)-IF(J$1='Assumption Sheet'!$Y30,('Assumption Sheet'!$M30+'Assumption Sheet'!$P30)*'Assumption Sheet'!$R30*'Assumption Sheet'!$C30))/10^7</f>
        <v>0</v>
      </c>
      <c r="K48" s="33">
        <f>(IF(K$1='Assumption Sheet'!$L30,('Assumption Sheet'!$M30+'Assumption Sheet'!$P30)*'Assumption Sheet'!$R30*'Assumption Sheet'!$C30,0)-IF(K$1='Assumption Sheet'!$Y30,('Assumption Sheet'!$M30+'Assumption Sheet'!$P30)*'Assumption Sheet'!$R30*'Assumption Sheet'!$C30))/10^7</f>
        <v>0</v>
      </c>
      <c r="L48" s="33">
        <f>(IF(L$1='Assumption Sheet'!$L30,('Assumption Sheet'!$M30+'Assumption Sheet'!$P30)*'Assumption Sheet'!$R30*'Assumption Sheet'!$C30,0)-IF(L$1='Assumption Sheet'!$Y30,('Assumption Sheet'!$M30+'Assumption Sheet'!$P30)*'Assumption Sheet'!$R30*'Assumption Sheet'!$C30))/10^7</f>
        <v>0</v>
      </c>
      <c r="M48" s="33">
        <f>(IF(M$1='Assumption Sheet'!$L30,('Assumption Sheet'!$M30+'Assumption Sheet'!$P30)*'Assumption Sheet'!$R30*'Assumption Sheet'!$C30,0)-IF(M$1='Assumption Sheet'!$Y30,('Assumption Sheet'!$M30+'Assumption Sheet'!$P30)*'Assumption Sheet'!$R30*'Assumption Sheet'!$C30))/10^7</f>
        <v>0</v>
      </c>
      <c r="N48" s="33">
        <f>(IF(N$1='Assumption Sheet'!$L30,('Assumption Sheet'!$M30+'Assumption Sheet'!$P30)*'Assumption Sheet'!$R30*'Assumption Sheet'!$C30,0)-IF(N$1='Assumption Sheet'!$Y30,('Assumption Sheet'!$M30+'Assumption Sheet'!$P30)*'Assumption Sheet'!$R30*'Assumption Sheet'!$C30))/10^7</f>
        <v>0</v>
      </c>
      <c r="O48" s="33">
        <f>(IF(O$1='Assumption Sheet'!$L30,('Assumption Sheet'!$M30+'Assumption Sheet'!$P30)*'Assumption Sheet'!$R30*'Assumption Sheet'!$C30,0)-IF(O$1='Assumption Sheet'!$Y30,('Assumption Sheet'!$M30+'Assumption Sheet'!$P30)*'Assumption Sheet'!$R30*'Assumption Sheet'!$C30))/10^7</f>
        <v>0</v>
      </c>
      <c r="P48" s="33">
        <f>(IF(P$1='Assumption Sheet'!$L30,('Assumption Sheet'!$M30+'Assumption Sheet'!$P30)*'Assumption Sheet'!$R30*'Assumption Sheet'!$C30,0)-IF(P$1='Assumption Sheet'!$Y30,('Assumption Sheet'!$M30+'Assumption Sheet'!$P30)*'Assumption Sheet'!$R30*'Assumption Sheet'!$C30))/10^7</f>
        <v>0</v>
      </c>
      <c r="Q48" s="33">
        <f>(IF(Q$1='Assumption Sheet'!$L30,('Assumption Sheet'!$M30+'Assumption Sheet'!$P30)*'Assumption Sheet'!$R30*'Assumption Sheet'!$C30,0)-IF(Q$1='Assumption Sheet'!$Y30,('Assumption Sheet'!$M30+'Assumption Sheet'!$P30)*'Assumption Sheet'!$R30*'Assumption Sheet'!$C30))/10^7</f>
        <v>0</v>
      </c>
      <c r="R48" s="33">
        <f>(IF(R$1='Assumption Sheet'!$L30,('Assumption Sheet'!$M30+'Assumption Sheet'!$P30)*'Assumption Sheet'!$R30*'Assumption Sheet'!$C30,0)-IF(R$1='Assumption Sheet'!$Y30,('Assumption Sheet'!$M30+'Assumption Sheet'!$P30)*'Assumption Sheet'!$R30*'Assumption Sheet'!$C30))/10^7</f>
        <v>0</v>
      </c>
      <c r="S48" s="33">
        <f>(IF(S$1='Assumption Sheet'!$L30,('Assumption Sheet'!$M30+'Assumption Sheet'!$P30)*'Assumption Sheet'!$R30*'Assumption Sheet'!$C30,0)-IF(S$1='Assumption Sheet'!$Y30,('Assumption Sheet'!$M30+'Assumption Sheet'!$P30)*'Assumption Sheet'!$R30*'Assumption Sheet'!$C30))/10^7</f>
        <v>0</v>
      </c>
      <c r="T48" s="33">
        <f>(IF(T$1='Assumption Sheet'!$L30,('Assumption Sheet'!$M30+'Assumption Sheet'!$P30)*'Assumption Sheet'!$R30*'Assumption Sheet'!$C30,0)-IF(T$1='Assumption Sheet'!$Y30,('Assumption Sheet'!$M30+'Assumption Sheet'!$P30)*'Assumption Sheet'!$R30*'Assumption Sheet'!$C30))/10^7</f>
        <v>0</v>
      </c>
      <c r="U48" s="33">
        <f>(IF(U$1='Assumption Sheet'!$L30,('Assumption Sheet'!$M30+'Assumption Sheet'!$P30)*'Assumption Sheet'!$R30*'Assumption Sheet'!$C30,0)-IF(U$1='Assumption Sheet'!$Y30,('Assumption Sheet'!$M30+'Assumption Sheet'!$P30)*'Assumption Sheet'!$R30*'Assumption Sheet'!$C30))/10^7</f>
        <v>0</v>
      </c>
      <c r="V48" s="33">
        <f>(IF(V$1='Assumption Sheet'!$L30,('Assumption Sheet'!$M30+'Assumption Sheet'!$P30)*'Assumption Sheet'!$R30*'Assumption Sheet'!$C30,0)-IF(V$1='Assumption Sheet'!$Y30,('Assumption Sheet'!$M30+'Assumption Sheet'!$P30)*'Assumption Sheet'!$R30*'Assumption Sheet'!$C30))/10^7</f>
        <v>0</v>
      </c>
      <c r="W48" s="33">
        <f>(IF(W$1='Assumption Sheet'!$L30,('Assumption Sheet'!$M30+'Assumption Sheet'!$P30)*'Assumption Sheet'!$R30*'Assumption Sheet'!$C30,0)-IF(W$1='Assumption Sheet'!$Y30,('Assumption Sheet'!$M30+'Assumption Sheet'!$P30)*'Assumption Sheet'!$R30*'Assumption Sheet'!$C30))/10^7</f>
        <v>0</v>
      </c>
      <c r="X48" s="33">
        <f>(IF(X$1='Assumption Sheet'!$L30,('Assumption Sheet'!$M30+'Assumption Sheet'!$P30)*'Assumption Sheet'!$R30*'Assumption Sheet'!$C30,0)-IF(X$1='Assumption Sheet'!$Y30,('Assumption Sheet'!$M30+'Assumption Sheet'!$P30)*'Assumption Sheet'!$R30*'Assumption Sheet'!$C30))/10^7</f>
        <v>0</v>
      </c>
      <c r="Y48" s="33">
        <f>(IF(Y$1='Assumption Sheet'!$L30,('Assumption Sheet'!$M30+'Assumption Sheet'!$P30)*'Assumption Sheet'!$R30*'Assumption Sheet'!$C30,0)-IF(Y$1='Assumption Sheet'!$Y30,('Assumption Sheet'!$M30+'Assumption Sheet'!$P30)*'Assumption Sheet'!$R30*'Assumption Sheet'!$C30))/10^7</f>
        <v>0</v>
      </c>
      <c r="Z48" s="33">
        <f>(IF(Z$1='Assumption Sheet'!$L30,('Assumption Sheet'!$M30+'Assumption Sheet'!$P30)*'Assumption Sheet'!$R30*'Assumption Sheet'!$C30,0)-IF(Z$1='Assumption Sheet'!$Y30,('Assumption Sheet'!$M30+'Assumption Sheet'!$P30)*'Assumption Sheet'!$R30*'Assumption Sheet'!$C30))/10^7</f>
        <v>0</v>
      </c>
      <c r="AA48" s="33">
        <f>(IF(AA$1='Assumption Sheet'!$L30,('Assumption Sheet'!$M30+'Assumption Sheet'!$P30)*'Assumption Sheet'!$R30*'Assumption Sheet'!$C30,0)-IF(AA$1='Assumption Sheet'!$Y30,('Assumption Sheet'!$M30+'Assumption Sheet'!$P30)*'Assumption Sheet'!$R30*'Assumption Sheet'!$C30))/10^7</f>
        <v>0</v>
      </c>
      <c r="AB48" s="33">
        <f>(IF(AB$1='Assumption Sheet'!$L30,('Assumption Sheet'!$M30+'Assumption Sheet'!$P30)*'Assumption Sheet'!$R30*'Assumption Sheet'!$C30,0)-IF(AB$1='Assumption Sheet'!$Y30,('Assumption Sheet'!$M30+'Assumption Sheet'!$P30)*'Assumption Sheet'!$R30*'Assumption Sheet'!$C30))/10^7</f>
        <v>0</v>
      </c>
      <c r="AC48" s="33">
        <f>(IF(AC$1='Assumption Sheet'!$L30,('Assumption Sheet'!$M30+'Assumption Sheet'!$P30)*'Assumption Sheet'!$R30*'Assumption Sheet'!$C30,0)-IF(AC$1='Assumption Sheet'!$Y30,('Assumption Sheet'!$M30+'Assumption Sheet'!$P30)*'Assumption Sheet'!$R30*'Assumption Sheet'!$C30))/10^7</f>
        <v>0</v>
      </c>
      <c r="AD48" s="33">
        <f>(IF(AD$1='Assumption Sheet'!$L30,('Assumption Sheet'!$M30+'Assumption Sheet'!$P30)*'Assumption Sheet'!$R30*'Assumption Sheet'!$C30,0)-IF(AD$1='Assumption Sheet'!$Y30,('Assumption Sheet'!$M30+'Assumption Sheet'!$P30)*'Assumption Sheet'!$R30*'Assumption Sheet'!$C30))/10^7</f>
        <v>0</v>
      </c>
      <c r="AE48" s="33">
        <f>(IF(AE$1='Assumption Sheet'!$L30,('Assumption Sheet'!$M30+'Assumption Sheet'!$P30)*'Assumption Sheet'!$R30*'Assumption Sheet'!$C30,0)-IF(AE$1='Assumption Sheet'!$Y30,('Assumption Sheet'!$M30+'Assumption Sheet'!$P30)*'Assumption Sheet'!$R30*'Assumption Sheet'!$C30))/10^7</f>
        <v>0</v>
      </c>
      <c r="AF48" s="33">
        <f>(IF(AF$1='Assumption Sheet'!$L30,('Assumption Sheet'!$M30+'Assumption Sheet'!$P30)*'Assumption Sheet'!$R30*'Assumption Sheet'!$C30,0)-IF(AF$1='Assumption Sheet'!$Y30,('Assumption Sheet'!$M30+'Assumption Sheet'!$P30)*'Assumption Sheet'!$R30*'Assumption Sheet'!$C30))/10^7</f>
        <v>0</v>
      </c>
      <c r="AG48" s="33">
        <f>(IF(AG$1='Assumption Sheet'!$L30,('Assumption Sheet'!$M30+'Assumption Sheet'!$P30)*'Assumption Sheet'!$R30*'Assumption Sheet'!$C30,0)-IF(AG$1='Assumption Sheet'!$Y30,('Assumption Sheet'!$M30+'Assumption Sheet'!$P30)*'Assumption Sheet'!$R30*'Assumption Sheet'!$C30))/10^7</f>
        <v>0</v>
      </c>
      <c r="AH48" s="33">
        <f>(IF(AH$1='Assumption Sheet'!$L30,('Assumption Sheet'!$M30+'Assumption Sheet'!$P30)*'Assumption Sheet'!$R30*'Assumption Sheet'!$C30,0)-IF(AH$1='Assumption Sheet'!$Y30,('Assumption Sheet'!$M30+'Assumption Sheet'!$P30)*'Assumption Sheet'!$R30*'Assumption Sheet'!$C30))/10^7</f>
        <v>0</v>
      </c>
      <c r="AI48" s="33">
        <f>(IF(AI$1='Assumption Sheet'!$L30,('Assumption Sheet'!$M30+'Assumption Sheet'!$P30)*'Assumption Sheet'!$R30*'Assumption Sheet'!$C30,0)-IF(AI$1='Assumption Sheet'!$Y30,('Assumption Sheet'!$M30+'Assumption Sheet'!$P30)*'Assumption Sheet'!$R30*'Assumption Sheet'!$C30))/10^7</f>
        <v>0</v>
      </c>
      <c r="AJ48" s="33">
        <f>(IF(AJ$1='Assumption Sheet'!$L30,('Assumption Sheet'!$M30+'Assumption Sheet'!$P30)*'Assumption Sheet'!$R30*'Assumption Sheet'!$C30,0)-IF(AJ$1='Assumption Sheet'!$Y30,('Assumption Sheet'!$M30+'Assumption Sheet'!$P30)*'Assumption Sheet'!$R30*'Assumption Sheet'!$C30))/10^7</f>
        <v>0</v>
      </c>
      <c r="AK48" s="33">
        <f>(IF(AK$1='Assumption Sheet'!$L30,('Assumption Sheet'!$M30+'Assumption Sheet'!$P30)*'Assumption Sheet'!$R30*'Assumption Sheet'!$C30,0)-IF(AK$1='Assumption Sheet'!$Y30,('Assumption Sheet'!$M30+'Assumption Sheet'!$P30)*'Assumption Sheet'!$R30*'Assumption Sheet'!$C30))/10^7</f>
        <v>0</v>
      </c>
      <c r="AL48" s="33">
        <f>(IF(AL$1='Assumption Sheet'!$L30,('Assumption Sheet'!$M30+'Assumption Sheet'!$P30)*'Assumption Sheet'!$R30*'Assumption Sheet'!$C30,0)-IF(AL$1='Assumption Sheet'!$Y30,('Assumption Sheet'!$M30+'Assumption Sheet'!$P30)*'Assumption Sheet'!$R30*'Assumption Sheet'!$C30))/10^7</f>
        <v>0</v>
      </c>
      <c r="AM48" s="33">
        <f>(IF(AM$1='Assumption Sheet'!$L30,('Assumption Sheet'!$M30+'Assumption Sheet'!$P30)*'Assumption Sheet'!$R30*'Assumption Sheet'!$C30,0)-IF(AM$1='Assumption Sheet'!$Y30,('Assumption Sheet'!$M30+'Assumption Sheet'!$P30)*'Assumption Sheet'!$R30*'Assumption Sheet'!$C30))/10^7</f>
        <v>0</v>
      </c>
      <c r="AN48" s="33">
        <f>(IF(AN$1='Assumption Sheet'!$L30,('Assumption Sheet'!$M30+'Assumption Sheet'!$P30)*'Assumption Sheet'!$R30*'Assumption Sheet'!$C30,0)-IF(AN$1='Assumption Sheet'!$Y30,('Assumption Sheet'!$M30+'Assumption Sheet'!$P30)*'Assumption Sheet'!$R30*'Assumption Sheet'!$C30))/10^7</f>
        <v>0</v>
      </c>
      <c r="AO48" s="33">
        <f>(IF(AO$1='Assumption Sheet'!$L30,('Assumption Sheet'!$M30+'Assumption Sheet'!$P30)*'Assumption Sheet'!$R30*'Assumption Sheet'!$C30,0)-IF(AO$1='Assumption Sheet'!$Y30,('Assumption Sheet'!$M30+'Assumption Sheet'!$P30)*'Assumption Sheet'!$R30*'Assumption Sheet'!$C30))/10^7</f>
        <v>0</v>
      </c>
      <c r="AP48" s="33">
        <f>(IF(AP$1='Assumption Sheet'!$L30,('Assumption Sheet'!$M30+'Assumption Sheet'!$P30)*'Assumption Sheet'!$R30*'Assumption Sheet'!$C30,0)-IF(AP$1='Assumption Sheet'!$Y30,('Assumption Sheet'!$M30+'Assumption Sheet'!$P30)*'Assumption Sheet'!$R30*'Assumption Sheet'!$C30))/10^7</f>
        <v>0</v>
      </c>
      <c r="AQ48" s="33">
        <f>(IF(AQ$1='Assumption Sheet'!$L30,('Assumption Sheet'!$M30+'Assumption Sheet'!$P30)*'Assumption Sheet'!$R30*'Assumption Sheet'!$C30,0)-IF(AQ$1='Assumption Sheet'!$Y30,('Assumption Sheet'!$M30+'Assumption Sheet'!$P30)*'Assumption Sheet'!$R30*'Assumption Sheet'!$C30))/10^7</f>
        <v>0</v>
      </c>
      <c r="AR48" s="33">
        <f>(IF(AR$1='Assumption Sheet'!$L30,('Assumption Sheet'!$M30+'Assumption Sheet'!$P30)*'Assumption Sheet'!$R30*'Assumption Sheet'!$C30,0)-IF(AR$1='Assumption Sheet'!$Y30,('Assumption Sheet'!$M30+'Assumption Sheet'!$P30)*'Assumption Sheet'!$R30*'Assumption Sheet'!$C30))/10^7</f>
        <v>2.5342463384935199</v>
      </c>
      <c r="AS48" s="33">
        <f>(IF(AS$1='Assumption Sheet'!$L30,('Assumption Sheet'!$M30+'Assumption Sheet'!$P30)*'Assumption Sheet'!$R30*'Assumption Sheet'!$C30,0)-IF(AS$1='Assumption Sheet'!$Y30,('Assumption Sheet'!$M30+'Assumption Sheet'!$P30)*'Assumption Sheet'!$R30*'Assumption Sheet'!$C30))/10^7</f>
        <v>0</v>
      </c>
      <c r="AT48" s="33">
        <f>(IF(AT$1='Assumption Sheet'!$L30,('Assumption Sheet'!$M30+'Assumption Sheet'!$P30)*'Assumption Sheet'!$R30*'Assumption Sheet'!$C30,0)-IF(AT$1='Assumption Sheet'!$Y30,('Assumption Sheet'!$M30+'Assumption Sheet'!$P30)*'Assumption Sheet'!$R30*'Assumption Sheet'!$C30))/10^7</f>
        <v>0</v>
      </c>
      <c r="AU48" s="33">
        <f>(IF(AU$1='Assumption Sheet'!$L30,('Assumption Sheet'!$M30+'Assumption Sheet'!$P30)*'Assumption Sheet'!$R30*'Assumption Sheet'!$C30,0)-IF(AU$1='Assumption Sheet'!$Y30,('Assumption Sheet'!$M30+'Assumption Sheet'!$P30)*'Assumption Sheet'!$R30*'Assumption Sheet'!$C30))/10^7</f>
        <v>0</v>
      </c>
      <c r="AV48" s="33">
        <f>(IF(AV$1='Assumption Sheet'!$L30,('Assumption Sheet'!$M30+'Assumption Sheet'!$P30)*'Assumption Sheet'!$R30*'Assumption Sheet'!$C30,0)-IF(AV$1='Assumption Sheet'!$Y30,('Assumption Sheet'!$M30+'Assumption Sheet'!$P30)*'Assumption Sheet'!$R30*'Assumption Sheet'!$C30))/10^7</f>
        <v>0</v>
      </c>
      <c r="AW48" s="33">
        <f>(IF(AW$1='Assumption Sheet'!$L30,('Assumption Sheet'!$M30+'Assumption Sheet'!$P30)*'Assumption Sheet'!$R30*'Assumption Sheet'!$C30,0)-IF(AW$1='Assumption Sheet'!$Y30,('Assumption Sheet'!$M30+'Assumption Sheet'!$P30)*'Assumption Sheet'!$R30*'Assumption Sheet'!$C30))/10^7</f>
        <v>0</v>
      </c>
      <c r="AX48" s="33">
        <f>(IF(AX$1='Assumption Sheet'!$L30,('Assumption Sheet'!$M30+'Assumption Sheet'!$P30)*'Assumption Sheet'!$R30*'Assumption Sheet'!$C30,0)-IF(AX$1='Assumption Sheet'!$Y30,('Assumption Sheet'!$M30+'Assumption Sheet'!$P30)*'Assumption Sheet'!$R30*'Assumption Sheet'!$C30))/10^7</f>
        <v>0</v>
      </c>
      <c r="AY48" s="33">
        <f>(IF(AY$1='Assumption Sheet'!$L30,('Assumption Sheet'!$M30+'Assumption Sheet'!$P30)*'Assumption Sheet'!$R30*'Assumption Sheet'!$C30,0)-IF(AY$1='Assumption Sheet'!$Y30,('Assumption Sheet'!$M30+'Assumption Sheet'!$P30)*'Assumption Sheet'!$R30*'Assumption Sheet'!$C30))/10^7</f>
        <v>0</v>
      </c>
      <c r="AZ48" s="33">
        <f>(IF(AZ$1='Assumption Sheet'!$L30,('Assumption Sheet'!$M30+'Assumption Sheet'!$P30)*'Assumption Sheet'!$R30*'Assumption Sheet'!$C30,0)-IF(AZ$1='Assumption Sheet'!$Y30,('Assumption Sheet'!$M30+'Assumption Sheet'!$P30)*'Assumption Sheet'!$R30*'Assumption Sheet'!$C30))/10^7</f>
        <v>0</v>
      </c>
      <c r="BA48" s="33">
        <f>(IF(BA$1='Assumption Sheet'!$L30,('Assumption Sheet'!$M30+'Assumption Sheet'!$P30)*'Assumption Sheet'!$R30*'Assumption Sheet'!$C30,0)-IF(BA$1='Assumption Sheet'!$Y30,('Assumption Sheet'!$M30+'Assumption Sheet'!$P30)*'Assumption Sheet'!$R30*'Assumption Sheet'!$C30))/10^7</f>
        <v>0</v>
      </c>
      <c r="BB48" s="33">
        <f>(IF(BB$1='Assumption Sheet'!$L30,('Assumption Sheet'!$M30+'Assumption Sheet'!$P30)*'Assumption Sheet'!$R30*'Assumption Sheet'!$C30,0)-IF(BB$1='Assumption Sheet'!$Y30,('Assumption Sheet'!$M30+'Assumption Sheet'!$P30)*'Assumption Sheet'!$R30*'Assumption Sheet'!$C30))/10^7</f>
        <v>0</v>
      </c>
      <c r="BC48" s="33">
        <f>(IF(BC$1='Assumption Sheet'!$L30,('Assumption Sheet'!$M30+'Assumption Sheet'!$P30)*'Assumption Sheet'!$R30*'Assumption Sheet'!$C30,0)-IF(BC$1='Assumption Sheet'!$Y30,('Assumption Sheet'!$M30+'Assumption Sheet'!$P30)*'Assumption Sheet'!$R30*'Assumption Sheet'!$C30))/10^7</f>
        <v>0</v>
      </c>
      <c r="BD48" s="33">
        <f>(IF(BD$1='Assumption Sheet'!$L30,('Assumption Sheet'!$M30+'Assumption Sheet'!$P30)*'Assumption Sheet'!$R30*'Assumption Sheet'!$C30,0)-IF(BD$1='Assumption Sheet'!$Y30,('Assumption Sheet'!$M30+'Assumption Sheet'!$P30)*'Assumption Sheet'!$R30*'Assumption Sheet'!$C30))/10^7</f>
        <v>0</v>
      </c>
      <c r="BE48" s="33">
        <f>(IF(BE$1='Assumption Sheet'!$L30,('Assumption Sheet'!$M30+'Assumption Sheet'!$P30)*'Assumption Sheet'!$R30*'Assumption Sheet'!$C30,0)-IF(BE$1='Assumption Sheet'!$Y30,('Assumption Sheet'!$M30+'Assumption Sheet'!$P30)*'Assumption Sheet'!$R30*'Assumption Sheet'!$C30))/10^7</f>
        <v>0</v>
      </c>
      <c r="BF48" s="33">
        <f>(IF(BF$1='Assumption Sheet'!$L30,('Assumption Sheet'!$M30+'Assumption Sheet'!$P30)*'Assumption Sheet'!$R30*'Assumption Sheet'!$C30,0)-IF(BF$1='Assumption Sheet'!$Y30,('Assumption Sheet'!$M30+'Assumption Sheet'!$P30)*'Assumption Sheet'!$R30*'Assumption Sheet'!$C30))/10^7</f>
        <v>0</v>
      </c>
      <c r="BG48" s="33">
        <f>(IF(BG$1='Assumption Sheet'!$L30,('Assumption Sheet'!$M30+'Assumption Sheet'!$P30)*'Assumption Sheet'!$R30*'Assumption Sheet'!$C30,0)-IF(BG$1='Assumption Sheet'!$Y30,('Assumption Sheet'!$M30+'Assumption Sheet'!$P30)*'Assumption Sheet'!$R30*'Assumption Sheet'!$C30))/10^7</f>
        <v>0</v>
      </c>
      <c r="BH48" s="33">
        <f>(IF(BH$1='Assumption Sheet'!$L30,('Assumption Sheet'!$M30+'Assumption Sheet'!$P30)*'Assumption Sheet'!$R30*'Assumption Sheet'!$C30,0)-IF(BH$1='Assumption Sheet'!$Y30,('Assumption Sheet'!$M30+'Assumption Sheet'!$P30)*'Assumption Sheet'!$R30*'Assumption Sheet'!$C30))/10^7</f>
        <v>0</v>
      </c>
      <c r="BI48" s="33">
        <f>(IF(BI$1='Assumption Sheet'!$L30,('Assumption Sheet'!$M30+'Assumption Sheet'!$P30)*'Assumption Sheet'!$R30*'Assumption Sheet'!$C30,0)-IF(BI$1='Assumption Sheet'!$Y30,('Assumption Sheet'!$M30+'Assumption Sheet'!$P30)*'Assumption Sheet'!$R30*'Assumption Sheet'!$C30))/10^7</f>
        <v>0</v>
      </c>
      <c r="BJ48" s="33">
        <f>(IF(BJ$1='Assumption Sheet'!$L30,('Assumption Sheet'!$M30+'Assumption Sheet'!$P30)*'Assumption Sheet'!$R30*'Assumption Sheet'!$C30,0)-IF(BJ$1='Assumption Sheet'!$Y30,('Assumption Sheet'!$M30+'Assumption Sheet'!$P30)*'Assumption Sheet'!$R30*'Assumption Sheet'!$C30))/10^7</f>
        <v>0</v>
      </c>
      <c r="BK48" s="33">
        <f>(IF(BK$1='Assumption Sheet'!$L30,('Assumption Sheet'!$M30+'Assumption Sheet'!$P30)*'Assumption Sheet'!$R30*'Assumption Sheet'!$C30,0)-IF(BK$1='Assumption Sheet'!$Y30,('Assumption Sheet'!$M30+'Assumption Sheet'!$P30)*'Assumption Sheet'!$R30*'Assumption Sheet'!$C30))/10^7</f>
        <v>0</v>
      </c>
      <c r="BL48" s="33">
        <f>(IF(BL$1='Assumption Sheet'!$L30,('Assumption Sheet'!$M30+'Assumption Sheet'!$P30)*'Assumption Sheet'!$R30*'Assumption Sheet'!$C30,0)-IF(BL$1='Assumption Sheet'!$Y30,('Assumption Sheet'!$M30+'Assumption Sheet'!$P30)*'Assumption Sheet'!$R30*'Assumption Sheet'!$C30))/10^7</f>
        <v>0</v>
      </c>
      <c r="BM48" s="33">
        <f>(IF(BM$1='Assumption Sheet'!$L30,('Assumption Sheet'!$M30+'Assumption Sheet'!$P30)*'Assumption Sheet'!$R30*'Assumption Sheet'!$C30,0)-IF(BM$1='Assumption Sheet'!$Y30,('Assumption Sheet'!$M30+'Assumption Sheet'!$P30)*'Assumption Sheet'!$R30*'Assumption Sheet'!$C30))/10^7</f>
        <v>0</v>
      </c>
      <c r="BN48" s="33">
        <f>(IF(BN$1='Assumption Sheet'!$L30,('Assumption Sheet'!$M30+'Assumption Sheet'!$P30)*'Assumption Sheet'!$R30*'Assumption Sheet'!$C30,0)-IF(BN$1='Assumption Sheet'!$Y30,('Assumption Sheet'!$M30+'Assumption Sheet'!$P30)*'Assumption Sheet'!$R30*'Assumption Sheet'!$C30))/10^7</f>
        <v>0</v>
      </c>
      <c r="BO48" s="33">
        <f>(IF(BO$1='Assumption Sheet'!$L30,('Assumption Sheet'!$M30+'Assumption Sheet'!$P30)*'Assumption Sheet'!$R30*'Assumption Sheet'!$C30,0)-IF(BO$1='Assumption Sheet'!$Y30,('Assumption Sheet'!$M30+'Assumption Sheet'!$P30)*'Assumption Sheet'!$R30*'Assumption Sheet'!$C30))/10^7</f>
        <v>0</v>
      </c>
      <c r="BP48" s="33">
        <f>(IF(BP$1='Assumption Sheet'!$L30,('Assumption Sheet'!$M30+'Assumption Sheet'!$P30)*'Assumption Sheet'!$R30*'Assumption Sheet'!$C30,0)-IF(BP$1='Assumption Sheet'!$Y30,('Assumption Sheet'!$M30+'Assumption Sheet'!$P30)*'Assumption Sheet'!$R30*'Assumption Sheet'!$C30))/10^7</f>
        <v>0</v>
      </c>
      <c r="BQ48" s="33">
        <f>(IF(BQ$1='Assumption Sheet'!$L30,('Assumption Sheet'!$M30+'Assumption Sheet'!$P30)*'Assumption Sheet'!$R30*'Assumption Sheet'!$C30,0)-IF(BQ$1='Assumption Sheet'!$Y30,('Assumption Sheet'!$M30+'Assumption Sheet'!$P30)*'Assumption Sheet'!$R30*'Assumption Sheet'!$C30))/10^7</f>
        <v>0</v>
      </c>
      <c r="BR48" s="33">
        <f>(IF(BR$1='Assumption Sheet'!$L30,('Assumption Sheet'!$M30+'Assumption Sheet'!$P30)*'Assumption Sheet'!$R30*'Assumption Sheet'!$C30,0)-IF(BR$1='Assumption Sheet'!$Y30,('Assumption Sheet'!$M30+'Assumption Sheet'!$P30)*'Assumption Sheet'!$R30*'Assumption Sheet'!$C30))/10^7</f>
        <v>0</v>
      </c>
      <c r="BS48" s="33">
        <f>(IF(BS$1='Assumption Sheet'!$L30,('Assumption Sheet'!$M30+'Assumption Sheet'!$P30)*'Assumption Sheet'!$R30*'Assumption Sheet'!$C30,0)-IF(BS$1='Assumption Sheet'!$Y30,('Assumption Sheet'!$M30+'Assumption Sheet'!$P30)*'Assumption Sheet'!$R30*'Assumption Sheet'!$C30))/10^7</f>
        <v>0</v>
      </c>
      <c r="BT48" s="33">
        <f>(IF(BT$1='Assumption Sheet'!$L30,('Assumption Sheet'!$M30+'Assumption Sheet'!$P30)*'Assumption Sheet'!$R30*'Assumption Sheet'!$C30,0)-IF(BT$1='Assumption Sheet'!$Y30,('Assumption Sheet'!$M30+'Assumption Sheet'!$P30)*'Assumption Sheet'!$R30*'Assumption Sheet'!$C30))/10^7</f>
        <v>0</v>
      </c>
      <c r="BU48" s="33">
        <f>(IF(BU$1='Assumption Sheet'!$L30,('Assumption Sheet'!$M30+'Assumption Sheet'!$P30)*'Assumption Sheet'!$R30*'Assumption Sheet'!$C30,0)-IF(BU$1='Assumption Sheet'!$Y30,('Assumption Sheet'!$M30+'Assumption Sheet'!$P30)*'Assumption Sheet'!$R30*'Assumption Sheet'!$C30))/10^7</f>
        <v>0</v>
      </c>
      <c r="BV48" s="33">
        <f>(IF(BV$1='Assumption Sheet'!$L30,('Assumption Sheet'!$M30+'Assumption Sheet'!$P30)*'Assumption Sheet'!$R30*'Assumption Sheet'!$C30,0)-IF(BV$1='Assumption Sheet'!$Y30,('Assumption Sheet'!$M30+'Assumption Sheet'!$P30)*'Assumption Sheet'!$R30*'Assumption Sheet'!$C30))/10^7</f>
        <v>0</v>
      </c>
      <c r="BW48" s="33">
        <f>(IF(BW$1='Assumption Sheet'!$L30,('Assumption Sheet'!$M30+'Assumption Sheet'!$P30)*'Assumption Sheet'!$R30*'Assumption Sheet'!$C30,0)-IF(BW$1='Assumption Sheet'!$Y30,('Assumption Sheet'!$M30+'Assumption Sheet'!$P30)*'Assumption Sheet'!$R30*'Assumption Sheet'!$C30))/10^7</f>
        <v>0</v>
      </c>
      <c r="BX48" s="33">
        <f>(IF(BX$1='Assumption Sheet'!$L30,('Assumption Sheet'!$M30+'Assumption Sheet'!$P30)*'Assumption Sheet'!$R30*'Assumption Sheet'!$C30,0)-IF(BX$1='Assumption Sheet'!$Y30,('Assumption Sheet'!$M30+'Assumption Sheet'!$P30)*'Assumption Sheet'!$R30*'Assumption Sheet'!$C30))/10^7</f>
        <v>0</v>
      </c>
      <c r="BY48" s="33">
        <f>(IF(BY$1='Assumption Sheet'!$L30,('Assumption Sheet'!$M30+'Assumption Sheet'!$P30)*'Assumption Sheet'!$R30*'Assumption Sheet'!$C30,0)-IF(BY$1='Assumption Sheet'!$Y30,('Assumption Sheet'!$M30+'Assumption Sheet'!$P30)*'Assumption Sheet'!$R30*'Assumption Sheet'!$C30))/10^7</f>
        <v>0</v>
      </c>
      <c r="BZ48" s="33">
        <f>(IF(BZ$1='Assumption Sheet'!$L30,('Assumption Sheet'!$M30+'Assumption Sheet'!$P30)*'Assumption Sheet'!$R30*'Assumption Sheet'!$C30,0)-IF(BZ$1='Assumption Sheet'!$Y30,('Assumption Sheet'!$M30+'Assumption Sheet'!$P30)*'Assumption Sheet'!$R30*'Assumption Sheet'!$C30))/10^7</f>
        <v>0</v>
      </c>
      <c r="CA48" s="33">
        <f>(IF(CA$1='Assumption Sheet'!$L30,('Assumption Sheet'!$M30+'Assumption Sheet'!$P30)*'Assumption Sheet'!$R30*'Assumption Sheet'!$C30,0)-IF(CA$1='Assumption Sheet'!$Y30,('Assumption Sheet'!$M30+'Assumption Sheet'!$P30)*'Assumption Sheet'!$R30*'Assumption Sheet'!$C30))/10^7</f>
        <v>0</v>
      </c>
      <c r="CB48" s="33">
        <f>(IF(CB$1='Assumption Sheet'!$L30,('Assumption Sheet'!$M30+'Assumption Sheet'!$P30)*'Assumption Sheet'!$R30*'Assumption Sheet'!$C30,0)-IF(CB$1='Assumption Sheet'!$Y30,('Assumption Sheet'!$M30+'Assumption Sheet'!$P30)*'Assumption Sheet'!$R30*'Assumption Sheet'!$C30))/10^7</f>
        <v>0</v>
      </c>
      <c r="CC48" s="33">
        <f>(IF(CC$1='Assumption Sheet'!$L30,('Assumption Sheet'!$M30+'Assumption Sheet'!$P30)*'Assumption Sheet'!$R30*'Assumption Sheet'!$C30,0)-IF(CC$1='Assumption Sheet'!$Y30,('Assumption Sheet'!$M30+'Assumption Sheet'!$P30)*'Assumption Sheet'!$R30*'Assumption Sheet'!$C30))/10^7</f>
        <v>0</v>
      </c>
      <c r="CD48" s="33">
        <f>(IF(CD$1='Assumption Sheet'!$L30,('Assumption Sheet'!$M30+'Assumption Sheet'!$P30)*'Assumption Sheet'!$R30*'Assumption Sheet'!$C30,0)-IF(CD$1='Assumption Sheet'!$Y30,('Assumption Sheet'!$M30+'Assumption Sheet'!$P30)*'Assumption Sheet'!$R30*'Assumption Sheet'!$C30))/10^7</f>
        <v>0</v>
      </c>
      <c r="CE48" s="33">
        <f>(IF(CE$1='Assumption Sheet'!$L30,('Assumption Sheet'!$M30+'Assumption Sheet'!$P30)*'Assumption Sheet'!$R30*'Assumption Sheet'!$C30,0)-IF(CE$1='Assumption Sheet'!$Y30,('Assumption Sheet'!$M30+'Assumption Sheet'!$P30)*'Assumption Sheet'!$R30*'Assumption Sheet'!$C30))/10^7</f>
        <v>0</v>
      </c>
      <c r="CF48" s="33">
        <f>(IF(CF$1='Assumption Sheet'!$L30,('Assumption Sheet'!$M30+'Assumption Sheet'!$P30)*'Assumption Sheet'!$R30*'Assumption Sheet'!$C30,0)-IF(CF$1='Assumption Sheet'!$Y30,('Assumption Sheet'!$M30+'Assumption Sheet'!$P30)*'Assumption Sheet'!$R30*'Assumption Sheet'!$C30))/10^7</f>
        <v>0</v>
      </c>
      <c r="CG48" s="33">
        <f>(IF(CG$1='Assumption Sheet'!$L30,('Assumption Sheet'!$M30+'Assumption Sheet'!$P30)*'Assumption Sheet'!$R30*'Assumption Sheet'!$C30,0)-IF(CG$1='Assumption Sheet'!$Y30,('Assumption Sheet'!$M30+'Assumption Sheet'!$P30)*'Assumption Sheet'!$R30*'Assumption Sheet'!$C30))/10^7</f>
        <v>0</v>
      </c>
      <c r="CH48" s="33">
        <f>(IF(CH$1='Assumption Sheet'!$L30,('Assumption Sheet'!$M30+'Assumption Sheet'!$P30)*'Assumption Sheet'!$R30*'Assumption Sheet'!$C30,0)-IF(CH$1='Assumption Sheet'!$Y30,('Assumption Sheet'!$M30+'Assumption Sheet'!$P30)*'Assumption Sheet'!$R30*'Assumption Sheet'!$C30))/10^7</f>
        <v>0</v>
      </c>
      <c r="CI48" s="33">
        <f>(IF(CI$1='Assumption Sheet'!$L30,('Assumption Sheet'!$M30+'Assumption Sheet'!$P30)*'Assumption Sheet'!$R30*'Assumption Sheet'!$C30,0)-IF(CI$1='Assumption Sheet'!$Y30,('Assumption Sheet'!$M30+'Assumption Sheet'!$P30)*'Assumption Sheet'!$R30*'Assumption Sheet'!$C30))/10^7</f>
        <v>0</v>
      </c>
      <c r="CJ48" s="33">
        <f>(IF(CJ$1='Assumption Sheet'!$L30,('Assumption Sheet'!$M30+'Assumption Sheet'!$P30)*'Assumption Sheet'!$R30*'Assumption Sheet'!$C30,0)-IF(CJ$1='Assumption Sheet'!$Y30,('Assumption Sheet'!$M30+'Assumption Sheet'!$P30)*'Assumption Sheet'!$R30*'Assumption Sheet'!$C30))/10^7</f>
        <v>0</v>
      </c>
      <c r="CK48" s="33">
        <f>(IF(CK$1='Assumption Sheet'!$L30,('Assumption Sheet'!$M30+'Assumption Sheet'!$P30)*'Assumption Sheet'!$R30*'Assumption Sheet'!$C30,0)-IF(CK$1='Assumption Sheet'!$Y30,('Assumption Sheet'!$M30+'Assumption Sheet'!$P30)*'Assumption Sheet'!$R30*'Assumption Sheet'!$C30))/10^7</f>
        <v>0</v>
      </c>
      <c r="CL48" s="33">
        <f>(IF(CL$1='Assumption Sheet'!$L30,('Assumption Sheet'!$M30+'Assumption Sheet'!$P30)*'Assumption Sheet'!$R30*'Assumption Sheet'!$C30,0)-IF(CL$1='Assumption Sheet'!$Y30,('Assumption Sheet'!$M30+'Assumption Sheet'!$P30)*'Assumption Sheet'!$R30*'Assumption Sheet'!$C30))/10^7</f>
        <v>0</v>
      </c>
      <c r="CM48" s="33">
        <f>(IF(CM$1='Assumption Sheet'!$L30,('Assumption Sheet'!$M30+'Assumption Sheet'!$P30)*'Assumption Sheet'!$R30*'Assumption Sheet'!$C30,0)-IF(CM$1='Assumption Sheet'!$Y30,('Assumption Sheet'!$M30+'Assumption Sheet'!$P30)*'Assumption Sheet'!$R30*'Assumption Sheet'!$C30))/10^7</f>
        <v>0</v>
      </c>
      <c r="CN48" s="33">
        <f>(IF(CN$1='Assumption Sheet'!$L30,('Assumption Sheet'!$M30+'Assumption Sheet'!$P30)*'Assumption Sheet'!$R30*'Assumption Sheet'!$C30,0)-IF(CN$1='Assumption Sheet'!$Y30,('Assumption Sheet'!$M30+'Assumption Sheet'!$P30)*'Assumption Sheet'!$R30*'Assumption Sheet'!$C30))/10^7</f>
        <v>0</v>
      </c>
      <c r="CO48" s="33">
        <f>(IF(CO$1='Assumption Sheet'!$L30,('Assumption Sheet'!$M30+'Assumption Sheet'!$P30)*'Assumption Sheet'!$R30*'Assumption Sheet'!$C30,0)-IF(CO$1='Assumption Sheet'!$Y30,('Assumption Sheet'!$M30+'Assumption Sheet'!$P30)*'Assumption Sheet'!$R30*'Assumption Sheet'!$C30))/10^7</f>
        <v>0</v>
      </c>
      <c r="CP48" s="33">
        <f>(IF(CP$1='Assumption Sheet'!$L30,('Assumption Sheet'!$M30+'Assumption Sheet'!$P30)*'Assumption Sheet'!$R30*'Assumption Sheet'!$C30,0)-IF(CP$1='Assumption Sheet'!$Y30,('Assumption Sheet'!$M30+'Assumption Sheet'!$P30)*'Assumption Sheet'!$R30*'Assumption Sheet'!$C30))/10^7</f>
        <v>0</v>
      </c>
      <c r="CQ48" s="33">
        <f>(IF(CQ$1='Assumption Sheet'!$L30,('Assumption Sheet'!$M30+'Assumption Sheet'!$P30)*'Assumption Sheet'!$R30*'Assumption Sheet'!$C30,0)-IF(CQ$1='Assumption Sheet'!$Y30,('Assumption Sheet'!$M30+'Assumption Sheet'!$P30)*'Assumption Sheet'!$R30*'Assumption Sheet'!$C30))/10^7</f>
        <v>0</v>
      </c>
      <c r="CR48" s="33">
        <f>(IF(CR$1='Assumption Sheet'!$L30,('Assumption Sheet'!$M30+'Assumption Sheet'!$P30)*'Assumption Sheet'!$R30*'Assumption Sheet'!$C30,0)-IF(CR$1='Assumption Sheet'!$Y30,('Assumption Sheet'!$M30+'Assumption Sheet'!$P30)*'Assumption Sheet'!$R30*'Assumption Sheet'!$C30))/10^7</f>
        <v>0</v>
      </c>
      <c r="CS48" s="33">
        <f>(IF(CS$1='Assumption Sheet'!$L30,('Assumption Sheet'!$M30+'Assumption Sheet'!$P30)*'Assumption Sheet'!$R30*'Assumption Sheet'!$C30,0)-IF(CS$1='Assumption Sheet'!$Y30,('Assumption Sheet'!$M30+'Assumption Sheet'!$P30)*'Assumption Sheet'!$R30*'Assumption Sheet'!$C30))/10^7</f>
        <v>0</v>
      </c>
      <c r="CT48" s="33">
        <f>(IF(CT$1='Assumption Sheet'!$L30,('Assumption Sheet'!$M30+'Assumption Sheet'!$P30)*'Assumption Sheet'!$R30*'Assumption Sheet'!$C30,0)-IF(CT$1='Assumption Sheet'!$Y30,('Assumption Sheet'!$M30+'Assumption Sheet'!$P30)*'Assumption Sheet'!$R30*'Assumption Sheet'!$C30))/10^7</f>
        <v>0</v>
      </c>
      <c r="CU48" s="33">
        <f>(IF(CU$1='Assumption Sheet'!$L30,('Assumption Sheet'!$M30+'Assumption Sheet'!$P30)*'Assumption Sheet'!$R30*'Assumption Sheet'!$C30,0)-IF(CU$1='Assumption Sheet'!$Y30,('Assumption Sheet'!$M30+'Assumption Sheet'!$P30)*'Assumption Sheet'!$R30*'Assumption Sheet'!$C30))/10^7</f>
        <v>0</v>
      </c>
      <c r="CV48" s="33">
        <f>(IF(CV$1='Assumption Sheet'!$L30,('Assumption Sheet'!$M30+'Assumption Sheet'!$P30)*'Assumption Sheet'!$R30*'Assumption Sheet'!$C30,0)-IF(CV$1='Assumption Sheet'!$Y30,('Assumption Sheet'!$M30+'Assumption Sheet'!$P30)*'Assumption Sheet'!$R30*'Assumption Sheet'!$C30))/10^7</f>
        <v>0</v>
      </c>
      <c r="CW48" s="33">
        <f>(IF(CW$1='Assumption Sheet'!$L30,('Assumption Sheet'!$M30+'Assumption Sheet'!$P30)*'Assumption Sheet'!$R30*'Assumption Sheet'!$C30,0)-IF(CW$1='Assumption Sheet'!$Y30,('Assumption Sheet'!$M30+'Assumption Sheet'!$P30)*'Assumption Sheet'!$R30*'Assumption Sheet'!$C30))/10^7</f>
        <v>0</v>
      </c>
      <c r="CX48" s="33">
        <f>(IF(CX$1='Assumption Sheet'!$L30,('Assumption Sheet'!$M30+'Assumption Sheet'!$P30)*'Assumption Sheet'!$R30*'Assumption Sheet'!$C30,0)-IF(CX$1='Assumption Sheet'!$Y30,('Assumption Sheet'!$M30+'Assumption Sheet'!$P30)*'Assumption Sheet'!$R30*'Assumption Sheet'!$C30))/10^7</f>
        <v>0</v>
      </c>
      <c r="CY48" s="33">
        <f>(IF(CY$1='Assumption Sheet'!$L30,('Assumption Sheet'!$M30+'Assumption Sheet'!$P30)*'Assumption Sheet'!$R30*'Assumption Sheet'!$C30,0)-IF(CY$1='Assumption Sheet'!$Y30,('Assumption Sheet'!$M30+'Assumption Sheet'!$P30)*'Assumption Sheet'!$R30*'Assumption Sheet'!$C30))/10^7</f>
        <v>0</v>
      </c>
      <c r="CZ48" s="33">
        <f>(IF(CZ$1='Assumption Sheet'!$L30,('Assumption Sheet'!$M30+'Assumption Sheet'!$P30)*'Assumption Sheet'!$R30*'Assumption Sheet'!$C30,0)-IF(CZ$1='Assumption Sheet'!$Y30,('Assumption Sheet'!$M30+'Assumption Sheet'!$P30)*'Assumption Sheet'!$R30*'Assumption Sheet'!$C30))/10^7</f>
        <v>0</v>
      </c>
      <c r="DA48" s="33">
        <f>(IF(DA$1='Assumption Sheet'!$L30,('Assumption Sheet'!$M30+'Assumption Sheet'!$P30)*'Assumption Sheet'!$R30*'Assumption Sheet'!$C30,0)-IF(DA$1='Assumption Sheet'!$Y30,('Assumption Sheet'!$M30+'Assumption Sheet'!$P30)*'Assumption Sheet'!$R30*'Assumption Sheet'!$C30))/10^7</f>
        <v>0</v>
      </c>
      <c r="DB48" s="33">
        <f>(IF(DB$1='Assumption Sheet'!$L30,('Assumption Sheet'!$M30+'Assumption Sheet'!$P30)*'Assumption Sheet'!$R30*'Assumption Sheet'!$C30,0)-IF(DB$1='Assumption Sheet'!$Y30,('Assumption Sheet'!$M30+'Assumption Sheet'!$P30)*'Assumption Sheet'!$R30*'Assumption Sheet'!$C30))/10^7</f>
        <v>0</v>
      </c>
      <c r="DC48" s="33">
        <f>(IF(DC$1='Assumption Sheet'!$L30,('Assumption Sheet'!$M30+'Assumption Sheet'!$P30)*'Assumption Sheet'!$R30*'Assumption Sheet'!$C30,0)-IF(DC$1='Assumption Sheet'!$Y30,('Assumption Sheet'!$M30+'Assumption Sheet'!$P30)*'Assumption Sheet'!$R30*'Assumption Sheet'!$C30))/10^7</f>
        <v>0</v>
      </c>
      <c r="DD48" s="33">
        <f>(IF(DD$1='Assumption Sheet'!$L30,('Assumption Sheet'!$M30+'Assumption Sheet'!$P30)*'Assumption Sheet'!$R30*'Assumption Sheet'!$C30,0)-IF(DD$1='Assumption Sheet'!$Y30,('Assumption Sheet'!$M30+'Assumption Sheet'!$P30)*'Assumption Sheet'!$R30*'Assumption Sheet'!$C30))/10^7</f>
        <v>0</v>
      </c>
      <c r="DE48" s="33">
        <f>(IF(DE$1='Assumption Sheet'!$L30,('Assumption Sheet'!$M30+'Assumption Sheet'!$P30)*'Assumption Sheet'!$R30*'Assumption Sheet'!$C30,0)-IF(DE$1='Assumption Sheet'!$Y30,('Assumption Sheet'!$M30+'Assumption Sheet'!$P30)*'Assumption Sheet'!$R30*'Assumption Sheet'!$C30))/10^7</f>
        <v>0</v>
      </c>
      <c r="DF48" s="33">
        <f>(IF(DF$1='Assumption Sheet'!$L30,('Assumption Sheet'!$M30+'Assumption Sheet'!$P30)*'Assumption Sheet'!$R30*'Assumption Sheet'!$C30,0)-IF(DF$1='Assumption Sheet'!$Y30,('Assumption Sheet'!$M30+'Assumption Sheet'!$P30)*'Assumption Sheet'!$R30*'Assumption Sheet'!$C30))/10^7</f>
        <v>0</v>
      </c>
      <c r="DG48" s="33">
        <f>(IF(DG$1='Assumption Sheet'!$L30,('Assumption Sheet'!$M30+'Assumption Sheet'!$P30)*'Assumption Sheet'!$R30*'Assumption Sheet'!$C30,0)-IF(DG$1='Assumption Sheet'!$Y30,('Assumption Sheet'!$M30+'Assumption Sheet'!$P30)*'Assumption Sheet'!$R30*'Assumption Sheet'!$C30))/10^7</f>
        <v>0</v>
      </c>
      <c r="DH48" s="33">
        <f>(IF(DH$1='Assumption Sheet'!$L30,('Assumption Sheet'!$M30+'Assumption Sheet'!$P30)*'Assumption Sheet'!$R30*'Assumption Sheet'!$C30,0)-IF(DH$1='Assumption Sheet'!$Y30,('Assumption Sheet'!$M30+'Assumption Sheet'!$P30)*'Assumption Sheet'!$R30*'Assumption Sheet'!$C30))/10^7</f>
        <v>0</v>
      </c>
      <c r="DI48" s="33">
        <f>(IF(DI$1='Assumption Sheet'!$L30,('Assumption Sheet'!$M30+'Assumption Sheet'!$P30)*'Assumption Sheet'!$R30*'Assumption Sheet'!$C30,0)-IF(DI$1='Assumption Sheet'!$Y30,('Assumption Sheet'!$M30+'Assumption Sheet'!$P30)*'Assumption Sheet'!$R30*'Assumption Sheet'!$C30))/10^7</f>
        <v>0</v>
      </c>
      <c r="DJ48" s="33">
        <f>(IF(DJ$1='Assumption Sheet'!$L30,('Assumption Sheet'!$M30+'Assumption Sheet'!$P30)*'Assumption Sheet'!$R30*'Assumption Sheet'!$C30,0)-IF(DJ$1='Assumption Sheet'!$Y30,('Assumption Sheet'!$M30+'Assumption Sheet'!$P30)*'Assumption Sheet'!$R30*'Assumption Sheet'!$C30))/10^7</f>
        <v>0</v>
      </c>
      <c r="DK48" s="33">
        <f>(IF(DK$1='Assumption Sheet'!$L30,('Assumption Sheet'!$M30+'Assumption Sheet'!$P30)*'Assumption Sheet'!$R30*'Assumption Sheet'!$C30,0)-IF(DK$1='Assumption Sheet'!$Y30,('Assumption Sheet'!$M30+'Assumption Sheet'!$P30)*'Assumption Sheet'!$R30*'Assumption Sheet'!$C30))/10^7</f>
        <v>0</v>
      </c>
      <c r="DL48" s="33">
        <f>(IF(DL$1='Assumption Sheet'!$L30,('Assumption Sheet'!$M30+'Assumption Sheet'!$P30)*'Assumption Sheet'!$R30*'Assumption Sheet'!$C30,0)-IF(DL$1='Assumption Sheet'!$Y30,('Assumption Sheet'!$M30+'Assumption Sheet'!$P30)*'Assumption Sheet'!$R30*'Assumption Sheet'!$C30))/10^7</f>
        <v>0</v>
      </c>
      <c r="DM48" s="33">
        <f>(IF(DM$1='Assumption Sheet'!$L30,('Assumption Sheet'!$M30+'Assumption Sheet'!$P30)*'Assumption Sheet'!$R30*'Assumption Sheet'!$C30,0)-IF(DM$1='Assumption Sheet'!$Y30,('Assumption Sheet'!$M30+'Assumption Sheet'!$P30)*'Assumption Sheet'!$R30*'Assumption Sheet'!$C30))/10^7</f>
        <v>0</v>
      </c>
      <c r="DN48" s="33">
        <f>(IF(DN$1='Assumption Sheet'!$L30,('Assumption Sheet'!$M30+'Assumption Sheet'!$P30)*'Assumption Sheet'!$R30*'Assumption Sheet'!$C30,0)-IF(DN$1='Assumption Sheet'!$Y30,('Assumption Sheet'!$M30+'Assumption Sheet'!$P30)*'Assumption Sheet'!$R30*'Assumption Sheet'!$C30))/10^7</f>
        <v>0</v>
      </c>
      <c r="DO48" s="33">
        <f>(IF(DO$1='Assumption Sheet'!$L30,('Assumption Sheet'!$M30+'Assumption Sheet'!$P30)*'Assumption Sheet'!$R30*'Assumption Sheet'!$C30,0)-IF(DO$1='Assumption Sheet'!$Y30,('Assumption Sheet'!$M30+'Assumption Sheet'!$P30)*'Assumption Sheet'!$R30*'Assumption Sheet'!$C30))/10^7</f>
        <v>0</v>
      </c>
      <c r="DP48" s="33">
        <f>(IF(DP$1='Assumption Sheet'!$L30,('Assumption Sheet'!$M30+'Assumption Sheet'!$P30)*'Assumption Sheet'!$R30*'Assumption Sheet'!$C30,0)-IF(DP$1='Assumption Sheet'!$Y30,('Assumption Sheet'!$M30+'Assumption Sheet'!$P30)*'Assumption Sheet'!$R30*'Assumption Sheet'!$C30))/10^7</f>
        <v>0</v>
      </c>
      <c r="DQ48" s="33">
        <f>(IF(DQ$1='Assumption Sheet'!$L30,('Assumption Sheet'!$M30+'Assumption Sheet'!$P30)*'Assumption Sheet'!$R30*'Assumption Sheet'!$C30,0)-IF(DQ$1='Assumption Sheet'!$Y30,('Assumption Sheet'!$M30+'Assumption Sheet'!$P30)*'Assumption Sheet'!$R30*'Assumption Sheet'!$C30))/10^7</f>
        <v>0</v>
      </c>
      <c r="DR48" s="33">
        <f>(IF(DR$1='Assumption Sheet'!$L30,('Assumption Sheet'!$M30+'Assumption Sheet'!$P30)*'Assumption Sheet'!$R30*'Assumption Sheet'!$C30,0)-IF(DR$1='Assumption Sheet'!$Y30,('Assumption Sheet'!$M30+'Assumption Sheet'!$P30)*'Assumption Sheet'!$R30*'Assumption Sheet'!$C30))/10^7</f>
        <v>0</v>
      </c>
      <c r="DS48" s="33">
        <f>(IF(DS$1='Assumption Sheet'!$L30,('Assumption Sheet'!$M30+'Assumption Sheet'!$P30)*'Assumption Sheet'!$R30*'Assumption Sheet'!$C30,0)-IF(DS$1='Assumption Sheet'!$Y30,('Assumption Sheet'!$M30+'Assumption Sheet'!$P30)*'Assumption Sheet'!$R30*'Assumption Sheet'!$C30))/10^7</f>
        <v>0</v>
      </c>
      <c r="DT48" s="33">
        <f>(IF(DT$1='Assumption Sheet'!$L30,('Assumption Sheet'!$M30+'Assumption Sheet'!$P30)*'Assumption Sheet'!$R30*'Assumption Sheet'!$C30,0)-IF(DT$1='Assumption Sheet'!$Y30,('Assumption Sheet'!$M30+'Assumption Sheet'!$P30)*'Assumption Sheet'!$R30*'Assumption Sheet'!$C30))/10^7</f>
        <v>0</v>
      </c>
      <c r="DU48" s="33">
        <f>(IF(DU$1='Assumption Sheet'!$L30,('Assumption Sheet'!$M30+'Assumption Sheet'!$P30)*'Assumption Sheet'!$R30*'Assumption Sheet'!$C30,0)-IF(DU$1='Assumption Sheet'!$Y30,('Assumption Sheet'!$M30+'Assumption Sheet'!$P30)*'Assumption Sheet'!$R30*'Assumption Sheet'!$C30))/10^7</f>
        <v>0</v>
      </c>
      <c r="DV48" s="33">
        <f>(IF(DV$1='Assumption Sheet'!$L30,('Assumption Sheet'!$M30+'Assumption Sheet'!$P30)*'Assumption Sheet'!$R30*'Assumption Sheet'!$C30,0)-IF(DV$1='Assumption Sheet'!$Y30,('Assumption Sheet'!$M30+'Assumption Sheet'!$P30)*'Assumption Sheet'!$R30*'Assumption Sheet'!$C30))/10^7</f>
        <v>0</v>
      </c>
      <c r="DW48" s="33">
        <f>(IF(DW$1='Assumption Sheet'!$L30,('Assumption Sheet'!$M30+'Assumption Sheet'!$P30)*'Assumption Sheet'!$R30*'Assumption Sheet'!$C30,0)-IF(DW$1='Assumption Sheet'!$Y30,('Assumption Sheet'!$M30+'Assumption Sheet'!$P30)*'Assumption Sheet'!$R30*'Assumption Sheet'!$C30))/10^7</f>
        <v>0</v>
      </c>
      <c r="DX48" s="33">
        <f>(IF(DX$1='Assumption Sheet'!$L30,('Assumption Sheet'!$M30+'Assumption Sheet'!$P30)*'Assumption Sheet'!$R30*'Assumption Sheet'!$C30,0)-IF(DX$1='Assumption Sheet'!$Y30,('Assumption Sheet'!$M30+'Assumption Sheet'!$P30)*'Assumption Sheet'!$R30*'Assumption Sheet'!$C30))/10^7</f>
        <v>0</v>
      </c>
      <c r="DY48" s="33">
        <f>(IF(DY$1='Assumption Sheet'!$L30,('Assumption Sheet'!$M30+'Assumption Sheet'!$P30)*'Assumption Sheet'!$R30*'Assumption Sheet'!$C30,0)-IF(DY$1='Assumption Sheet'!$Y30,('Assumption Sheet'!$M30+'Assumption Sheet'!$P30)*'Assumption Sheet'!$R30*'Assumption Sheet'!$C30))/10^7</f>
        <v>0</v>
      </c>
      <c r="DZ48" s="33">
        <f>(IF(DZ$1='Assumption Sheet'!$L30,('Assumption Sheet'!$M30+'Assumption Sheet'!$P30)*'Assumption Sheet'!$R30*'Assumption Sheet'!$C30,0)-IF(DZ$1='Assumption Sheet'!$Y30,('Assumption Sheet'!$M30+'Assumption Sheet'!$P30)*'Assumption Sheet'!$R30*'Assumption Sheet'!$C30))/10^7</f>
        <v>0</v>
      </c>
      <c r="EA48" s="33">
        <f>(IF(EA$1='Assumption Sheet'!$L30,('Assumption Sheet'!$M30+'Assumption Sheet'!$P30)*'Assumption Sheet'!$R30*'Assumption Sheet'!$C30,0)-IF(EA$1='Assumption Sheet'!$Y30,('Assumption Sheet'!$M30+'Assumption Sheet'!$P30)*'Assumption Sheet'!$R30*'Assumption Sheet'!$C30))/10^7</f>
        <v>0</v>
      </c>
      <c r="EB48" s="33">
        <f>(IF(EB$1='Assumption Sheet'!$L30,('Assumption Sheet'!$M30+'Assumption Sheet'!$P30)*'Assumption Sheet'!$R30*'Assumption Sheet'!$C30,0)-IF(EB$1='Assumption Sheet'!$Y30,('Assumption Sheet'!$M30+'Assumption Sheet'!$P30)*'Assumption Sheet'!$R30*'Assumption Sheet'!$C30))/10^7</f>
        <v>0</v>
      </c>
      <c r="EC48" s="33">
        <f>(IF(EC$1='Assumption Sheet'!$L30,('Assumption Sheet'!$M30+'Assumption Sheet'!$P30)*'Assumption Sheet'!$R30*'Assumption Sheet'!$C30,0)-IF(EC$1='Assumption Sheet'!$Y30,('Assumption Sheet'!$M30+'Assumption Sheet'!$P30)*'Assumption Sheet'!$R30*'Assumption Sheet'!$C30))/10^7</f>
        <v>0</v>
      </c>
      <c r="ED48" s="33">
        <f>(IF(ED$1='Assumption Sheet'!$L30,('Assumption Sheet'!$M30+'Assumption Sheet'!$P30)*'Assumption Sheet'!$R30*'Assumption Sheet'!$C30,0)-IF(ED$1='Assumption Sheet'!$Y30,('Assumption Sheet'!$M30+'Assumption Sheet'!$P30)*'Assumption Sheet'!$R30*'Assumption Sheet'!$C30))/10^7</f>
        <v>0</v>
      </c>
      <c r="EE48" s="33">
        <f>(IF(EE$1='Assumption Sheet'!$L30,('Assumption Sheet'!$M30+'Assumption Sheet'!$P30)*'Assumption Sheet'!$R30*'Assumption Sheet'!$C30,0)-IF(EE$1='Assumption Sheet'!$Y30,('Assumption Sheet'!$M30+'Assumption Sheet'!$P30)*'Assumption Sheet'!$R30*'Assumption Sheet'!$C30))/10^7</f>
        <v>0</v>
      </c>
      <c r="EF48" s="33">
        <f>(IF(EF$1='Assumption Sheet'!$L30,('Assumption Sheet'!$M30+'Assumption Sheet'!$P30)*'Assumption Sheet'!$R30*'Assumption Sheet'!$C30,0)-IF(EF$1='Assumption Sheet'!$Y30,('Assumption Sheet'!$M30+'Assumption Sheet'!$P30)*'Assumption Sheet'!$R30*'Assumption Sheet'!$C30))/10^7</f>
        <v>0</v>
      </c>
      <c r="EG48" s="33">
        <f>(IF(EG$1='Assumption Sheet'!$L30,('Assumption Sheet'!$M30+'Assumption Sheet'!$P30)*'Assumption Sheet'!$R30*'Assumption Sheet'!$C30,0)-IF(EG$1='Assumption Sheet'!$Y30,('Assumption Sheet'!$M30+'Assumption Sheet'!$P30)*'Assumption Sheet'!$R30*'Assumption Sheet'!$C30))/10^7</f>
        <v>0</v>
      </c>
      <c r="EH48" s="33">
        <f>(IF(EH$1='Assumption Sheet'!$L30,('Assumption Sheet'!$M30+'Assumption Sheet'!$P30)*'Assumption Sheet'!$R30*'Assumption Sheet'!$C30,0)-IF(EH$1='Assumption Sheet'!$Y30,('Assumption Sheet'!$M30+'Assumption Sheet'!$P30)*'Assumption Sheet'!$R30*'Assumption Sheet'!$C30))/10^7</f>
        <v>0</v>
      </c>
      <c r="EI48" s="33">
        <f>(IF(EI$1='Assumption Sheet'!$L30,('Assumption Sheet'!$M30+'Assumption Sheet'!$P30)*'Assumption Sheet'!$R30*'Assumption Sheet'!$C30,0)-IF(EI$1='Assumption Sheet'!$Y30,('Assumption Sheet'!$M30+'Assumption Sheet'!$P30)*'Assumption Sheet'!$R30*'Assumption Sheet'!$C30))/10^7</f>
        <v>0</v>
      </c>
      <c r="EJ48" s="33">
        <f>(IF(EJ$1='Assumption Sheet'!$L30,('Assumption Sheet'!$M30+'Assumption Sheet'!$P30)*'Assumption Sheet'!$R30*'Assumption Sheet'!$C30,0)-IF(EJ$1='Assumption Sheet'!$Y30,('Assumption Sheet'!$M30+'Assumption Sheet'!$P30)*'Assumption Sheet'!$R30*'Assumption Sheet'!$C30))/10^7</f>
        <v>0</v>
      </c>
      <c r="EK48" s="33">
        <f>(IF(EK$1='Assumption Sheet'!$L30,('Assumption Sheet'!$M30+'Assumption Sheet'!$P30)*'Assumption Sheet'!$R30*'Assumption Sheet'!$C30,0)-IF(EK$1='Assumption Sheet'!$Y30,('Assumption Sheet'!$M30+'Assumption Sheet'!$P30)*'Assumption Sheet'!$R30*'Assumption Sheet'!$C30))/10^7</f>
        <v>0</v>
      </c>
      <c r="EL48" s="33">
        <f>(IF(EL$1='Assumption Sheet'!$L30,('Assumption Sheet'!$M30+'Assumption Sheet'!$P30)*'Assumption Sheet'!$R30*'Assumption Sheet'!$C30,0)-IF(EL$1='Assumption Sheet'!$Y30,('Assumption Sheet'!$M30+'Assumption Sheet'!$P30)*'Assumption Sheet'!$R30*'Assumption Sheet'!$C30))/10^7</f>
        <v>0</v>
      </c>
      <c r="EM48" s="33">
        <f>(IF(EM$1='Assumption Sheet'!$L30,('Assumption Sheet'!$M30+'Assumption Sheet'!$P30)*'Assumption Sheet'!$R30*'Assumption Sheet'!$C30,0)-IF(EM$1='Assumption Sheet'!$Y30,('Assumption Sheet'!$M30+'Assumption Sheet'!$P30)*'Assumption Sheet'!$R30*'Assumption Sheet'!$C30))/10^7</f>
        <v>0</v>
      </c>
      <c r="EN48" s="33">
        <f>(IF(EN$1='Assumption Sheet'!$L30,('Assumption Sheet'!$M30+'Assumption Sheet'!$P30)*'Assumption Sheet'!$R30*'Assumption Sheet'!$C30,0)-IF(EN$1='Assumption Sheet'!$Y30,('Assumption Sheet'!$M30+'Assumption Sheet'!$P30)*'Assumption Sheet'!$R30*'Assumption Sheet'!$C30))/10^7</f>
        <v>0</v>
      </c>
      <c r="EO48" s="33">
        <f>(IF(EO$1='Assumption Sheet'!$L30,('Assumption Sheet'!$M30+'Assumption Sheet'!$P30)*'Assumption Sheet'!$R30*'Assumption Sheet'!$C30,0)-IF(EO$1='Assumption Sheet'!$Y30,('Assumption Sheet'!$M30+'Assumption Sheet'!$P30)*'Assumption Sheet'!$R30*'Assumption Sheet'!$C30))/10^7</f>
        <v>0</v>
      </c>
      <c r="EP48" s="33">
        <f>(IF(EP$1='Assumption Sheet'!$L30,('Assumption Sheet'!$M30+'Assumption Sheet'!$P30)*'Assumption Sheet'!$R30*'Assumption Sheet'!$C30,0)-IF(EP$1='Assumption Sheet'!$Y30,('Assumption Sheet'!$M30+'Assumption Sheet'!$P30)*'Assumption Sheet'!$R30*'Assumption Sheet'!$C30))/10^7</f>
        <v>0</v>
      </c>
      <c r="EQ48" s="33">
        <f>(IF(EQ$1='Assumption Sheet'!$L30,('Assumption Sheet'!$M30+'Assumption Sheet'!$P30)*'Assumption Sheet'!$R30*'Assumption Sheet'!$C30,0)-IF(EQ$1='Assumption Sheet'!$Y30,('Assumption Sheet'!$M30+'Assumption Sheet'!$P30)*'Assumption Sheet'!$R30*'Assumption Sheet'!$C30))/10^7</f>
        <v>0</v>
      </c>
      <c r="ER48" s="33">
        <f>(IF(ER$1='Assumption Sheet'!$L30,('Assumption Sheet'!$M30+'Assumption Sheet'!$P30)*'Assumption Sheet'!$R30*'Assumption Sheet'!$C30,0)-IF(ER$1='Assumption Sheet'!$Y30,('Assumption Sheet'!$M30+'Assumption Sheet'!$P30)*'Assumption Sheet'!$R30*'Assumption Sheet'!$C30))/10^7</f>
        <v>0</v>
      </c>
      <c r="ES48" s="33">
        <f>(IF(ES$1='Assumption Sheet'!$L30,('Assumption Sheet'!$M30+'Assumption Sheet'!$P30)*'Assumption Sheet'!$R30*'Assumption Sheet'!$C30,0)-IF(ES$1='Assumption Sheet'!$Y30,('Assumption Sheet'!$M30+'Assumption Sheet'!$P30)*'Assumption Sheet'!$R30*'Assumption Sheet'!$C30))/10^7</f>
        <v>0</v>
      </c>
      <c r="ET48" s="33">
        <f>(IF(ET$1='Assumption Sheet'!$L30,('Assumption Sheet'!$M30+'Assumption Sheet'!$P30)*'Assumption Sheet'!$R30*'Assumption Sheet'!$C30,0)-IF(ET$1='Assumption Sheet'!$Y30,('Assumption Sheet'!$M30+'Assumption Sheet'!$P30)*'Assumption Sheet'!$R30*'Assumption Sheet'!$C30))/10^7</f>
        <v>0</v>
      </c>
      <c r="EU48" s="33">
        <f>(IF(EU$1='Assumption Sheet'!$L30,('Assumption Sheet'!$M30+'Assumption Sheet'!$P30)*'Assumption Sheet'!$R30*'Assumption Sheet'!$C30,0)-IF(EU$1='Assumption Sheet'!$Y30,('Assumption Sheet'!$M30+'Assumption Sheet'!$P30)*'Assumption Sheet'!$R30*'Assumption Sheet'!$C30))/10^7</f>
        <v>0</v>
      </c>
      <c r="EV48" s="33">
        <f>(IF(EV$1='Assumption Sheet'!$L30,('Assumption Sheet'!$M30+'Assumption Sheet'!$P30)*'Assumption Sheet'!$R30*'Assumption Sheet'!$C30,0)-IF(EV$1='Assumption Sheet'!$Y30,('Assumption Sheet'!$M30+'Assumption Sheet'!$P30)*'Assumption Sheet'!$R30*'Assumption Sheet'!$C30))/10^7</f>
        <v>0</v>
      </c>
      <c r="EW48" s="33">
        <f>(IF(EW$1='Assumption Sheet'!$L30,('Assumption Sheet'!$M30+'Assumption Sheet'!$P30)*'Assumption Sheet'!$R30*'Assumption Sheet'!$C30,0)-IF(EW$1='Assumption Sheet'!$Y30,('Assumption Sheet'!$M30+'Assumption Sheet'!$P30)*'Assumption Sheet'!$R30*'Assumption Sheet'!$C30))/10^7</f>
        <v>0</v>
      </c>
      <c r="EX48" s="33">
        <f>(IF(EX$1='Assumption Sheet'!$L30,('Assumption Sheet'!$M30+'Assumption Sheet'!$P30)*'Assumption Sheet'!$R30*'Assumption Sheet'!$C30,0)-IF(EX$1='Assumption Sheet'!$Y30,('Assumption Sheet'!$M30+'Assumption Sheet'!$P30)*'Assumption Sheet'!$R30*'Assumption Sheet'!$C30))/10^7</f>
        <v>0</v>
      </c>
      <c r="EY48" s="33">
        <f>(IF(EY$1='Assumption Sheet'!$L30,('Assumption Sheet'!$M30+'Assumption Sheet'!$P30)*'Assumption Sheet'!$R30*'Assumption Sheet'!$C30,0)-IF(EY$1='Assumption Sheet'!$Y30,('Assumption Sheet'!$M30+'Assumption Sheet'!$P30)*'Assumption Sheet'!$R30*'Assumption Sheet'!$C30))/10^7</f>
        <v>0</v>
      </c>
      <c r="EZ48" s="33">
        <f>(IF(EZ$1='Assumption Sheet'!$L30,('Assumption Sheet'!$M30+'Assumption Sheet'!$P30)*'Assumption Sheet'!$R30*'Assumption Sheet'!$C30,0)-IF(EZ$1='Assumption Sheet'!$Y30,('Assumption Sheet'!$M30+'Assumption Sheet'!$P30)*'Assumption Sheet'!$R30*'Assumption Sheet'!$C30))/10^7</f>
        <v>0</v>
      </c>
      <c r="FA48" s="33">
        <f>(IF(FA$1='Assumption Sheet'!$L30,('Assumption Sheet'!$M30+'Assumption Sheet'!$P30)*'Assumption Sheet'!$R30*'Assumption Sheet'!$C30,0)-IF(FA$1='Assumption Sheet'!$Y30,('Assumption Sheet'!$M30+'Assumption Sheet'!$P30)*'Assumption Sheet'!$R30*'Assumption Sheet'!$C30))/10^7</f>
        <v>0</v>
      </c>
      <c r="FB48" s="33">
        <f>(IF(FB$1='Assumption Sheet'!$L30,('Assumption Sheet'!$M30+'Assumption Sheet'!$P30)*'Assumption Sheet'!$R30*'Assumption Sheet'!$C30,0)-IF(FB$1='Assumption Sheet'!$Y30,('Assumption Sheet'!$M30+'Assumption Sheet'!$P30)*'Assumption Sheet'!$R30*'Assumption Sheet'!$C30))/10^7</f>
        <v>0</v>
      </c>
      <c r="FC48" s="33">
        <f>(IF(FC$1='Assumption Sheet'!$L30,('Assumption Sheet'!$M30+'Assumption Sheet'!$P30)*'Assumption Sheet'!$R30*'Assumption Sheet'!$C30,0)-IF(FC$1='Assumption Sheet'!$Y30,('Assumption Sheet'!$M30+'Assumption Sheet'!$P30)*'Assumption Sheet'!$R30*'Assumption Sheet'!$C30))/10^7</f>
        <v>0</v>
      </c>
      <c r="FD48" s="33">
        <f>(IF(FD$1='Assumption Sheet'!$L30,('Assumption Sheet'!$M30+'Assumption Sheet'!$P30)*'Assumption Sheet'!$R30*'Assumption Sheet'!$C30,0)-IF(FD$1='Assumption Sheet'!$Y30,('Assumption Sheet'!$M30+'Assumption Sheet'!$P30)*'Assumption Sheet'!$R30*'Assumption Sheet'!$C30))/10^7</f>
        <v>0</v>
      </c>
      <c r="FE48" s="33">
        <f>(IF(FE$1='Assumption Sheet'!$L30,('Assumption Sheet'!$M30+'Assumption Sheet'!$P30)*'Assumption Sheet'!$R30*'Assumption Sheet'!$C30,0)-IF(FE$1='Assumption Sheet'!$Y30,('Assumption Sheet'!$M30+'Assumption Sheet'!$P30)*'Assumption Sheet'!$R30*'Assumption Sheet'!$C30))/10^7</f>
        <v>0</v>
      </c>
      <c r="FF48" s="33">
        <f>(IF(FF$1='Assumption Sheet'!$L30,('Assumption Sheet'!$M30+'Assumption Sheet'!$P30)*'Assumption Sheet'!$R30*'Assumption Sheet'!$C30,0)-IF(FF$1='Assumption Sheet'!$Y30,('Assumption Sheet'!$M30+'Assumption Sheet'!$P30)*'Assumption Sheet'!$R30*'Assumption Sheet'!$C30))/10^7</f>
        <v>0</v>
      </c>
      <c r="FG48" s="33">
        <f>(IF(FG$1='Assumption Sheet'!$L30,('Assumption Sheet'!$M30+'Assumption Sheet'!$P30)*'Assumption Sheet'!$R30*'Assumption Sheet'!$C30,0)-IF(FG$1='Assumption Sheet'!$Y30,('Assumption Sheet'!$M30+'Assumption Sheet'!$P30)*'Assumption Sheet'!$R30*'Assumption Sheet'!$C30))/10^7</f>
        <v>0</v>
      </c>
      <c r="FH48" s="33">
        <f>(IF(FH$1='Assumption Sheet'!$L30,('Assumption Sheet'!$M30+'Assumption Sheet'!$P30)*'Assumption Sheet'!$R30*'Assumption Sheet'!$C30,0)-IF(FH$1='Assumption Sheet'!$Y30,('Assumption Sheet'!$M30+'Assumption Sheet'!$P30)*'Assumption Sheet'!$R30*'Assumption Sheet'!$C30))/10^7</f>
        <v>0</v>
      </c>
      <c r="FI48" s="33">
        <f>(IF(FI$1='Assumption Sheet'!$L30,('Assumption Sheet'!$M30+'Assumption Sheet'!$P30)*'Assumption Sheet'!$R30*'Assumption Sheet'!$C30,0)-IF(FI$1='Assumption Sheet'!$Y30,('Assumption Sheet'!$M30+'Assumption Sheet'!$P30)*'Assumption Sheet'!$R30*'Assumption Sheet'!$C30))/10^7</f>
        <v>0</v>
      </c>
      <c r="FJ48" s="33">
        <f>(IF(FJ$1='Assumption Sheet'!$L30,('Assumption Sheet'!$M30+'Assumption Sheet'!$P30)*'Assumption Sheet'!$R30*'Assumption Sheet'!$C30,0)-IF(FJ$1='Assumption Sheet'!$Y30,('Assumption Sheet'!$M30+'Assumption Sheet'!$P30)*'Assumption Sheet'!$R30*'Assumption Sheet'!$C30))/10^7</f>
        <v>0</v>
      </c>
      <c r="FK48" s="33">
        <f>(IF(FK$1='Assumption Sheet'!$L30,('Assumption Sheet'!$M30+'Assumption Sheet'!$P30)*'Assumption Sheet'!$R30*'Assumption Sheet'!$C30,0)-IF(FK$1='Assumption Sheet'!$Y30,('Assumption Sheet'!$M30+'Assumption Sheet'!$P30)*'Assumption Sheet'!$R30*'Assumption Sheet'!$C30))/10^7</f>
        <v>0</v>
      </c>
      <c r="FL48" s="33">
        <f>(IF(FL$1='Assumption Sheet'!$L30,('Assumption Sheet'!$M30+'Assumption Sheet'!$P30)*'Assumption Sheet'!$R30*'Assumption Sheet'!$C30,0)-IF(FL$1='Assumption Sheet'!$Y30,('Assumption Sheet'!$M30+'Assumption Sheet'!$P30)*'Assumption Sheet'!$R30*'Assumption Sheet'!$C30))/10^7</f>
        <v>0</v>
      </c>
      <c r="FM48" s="33">
        <f>(IF(FM$1='Assumption Sheet'!$L30,('Assumption Sheet'!$M30+'Assumption Sheet'!$P30)*'Assumption Sheet'!$R30*'Assumption Sheet'!$C30,0)-IF(FM$1='Assumption Sheet'!$Y30,('Assumption Sheet'!$M30+'Assumption Sheet'!$P30)*'Assumption Sheet'!$R30*'Assumption Sheet'!$C30))/10^7</f>
        <v>0</v>
      </c>
      <c r="FN48" s="33">
        <f>(IF(FN$1='Assumption Sheet'!$L30,('Assumption Sheet'!$M30+'Assumption Sheet'!$P30)*'Assumption Sheet'!$R30*'Assumption Sheet'!$C30,0)-IF(FN$1='Assumption Sheet'!$Y30,('Assumption Sheet'!$M30+'Assumption Sheet'!$P30)*'Assumption Sheet'!$R30*'Assumption Sheet'!$C30))/10^7</f>
        <v>0</v>
      </c>
      <c r="FO48" s="33">
        <f>(IF(FO$1='Assumption Sheet'!$L30,('Assumption Sheet'!$M30+'Assumption Sheet'!$P30)*'Assumption Sheet'!$R30*'Assumption Sheet'!$C30,0)-IF(FO$1='Assumption Sheet'!$Y30,('Assumption Sheet'!$M30+'Assumption Sheet'!$P30)*'Assumption Sheet'!$R30*'Assumption Sheet'!$C30))/10^7</f>
        <v>0</v>
      </c>
      <c r="FP48" s="33">
        <f>(IF(FP$1='Assumption Sheet'!$L30,('Assumption Sheet'!$M30+'Assumption Sheet'!$P30)*'Assumption Sheet'!$R30*'Assumption Sheet'!$C30,0)-IF(FP$1='Assumption Sheet'!$Y30,('Assumption Sheet'!$M30+'Assumption Sheet'!$P30)*'Assumption Sheet'!$R30*'Assumption Sheet'!$C30))/10^7</f>
        <v>0</v>
      </c>
      <c r="FQ48" s="33">
        <f>(IF(FQ$1='Assumption Sheet'!$L30,('Assumption Sheet'!$M30+'Assumption Sheet'!$P30)*'Assumption Sheet'!$R30*'Assumption Sheet'!$C30,0)-IF(FQ$1='Assumption Sheet'!$Y30,('Assumption Sheet'!$M30+'Assumption Sheet'!$P30)*'Assumption Sheet'!$R30*'Assumption Sheet'!$C30))/10^7</f>
        <v>0</v>
      </c>
      <c r="FR48" s="33">
        <f>(IF(FR$1='Assumption Sheet'!$L30,('Assumption Sheet'!$M30+'Assumption Sheet'!$P30)*'Assumption Sheet'!$R30*'Assumption Sheet'!$C30,0)-IF(FR$1='Assumption Sheet'!$Y30,('Assumption Sheet'!$M30+'Assumption Sheet'!$P30)*'Assumption Sheet'!$R30*'Assumption Sheet'!$C30))/10^7</f>
        <v>0</v>
      </c>
      <c r="FS48" s="33">
        <f>(IF(FS$1='Assumption Sheet'!$L30,('Assumption Sheet'!$M30+'Assumption Sheet'!$P30)*'Assumption Sheet'!$R30*'Assumption Sheet'!$C30,0)-IF(FS$1='Assumption Sheet'!$Y30,('Assumption Sheet'!$M30+'Assumption Sheet'!$P30)*'Assumption Sheet'!$R30*'Assumption Sheet'!$C30))/10^7</f>
        <v>0</v>
      </c>
      <c r="FT48" s="33">
        <f>(IF(FT$1='Assumption Sheet'!$L30,('Assumption Sheet'!$M30+'Assumption Sheet'!$P30)*'Assumption Sheet'!$R30*'Assumption Sheet'!$C30,0)-IF(FT$1='Assumption Sheet'!$Y30,('Assumption Sheet'!$M30+'Assumption Sheet'!$P30)*'Assumption Sheet'!$R30*'Assumption Sheet'!$C30))/10^7</f>
        <v>0</v>
      </c>
      <c r="FU48" s="33">
        <f>(IF(FU$1='Assumption Sheet'!$L30,('Assumption Sheet'!$M30+'Assumption Sheet'!$P30)*'Assumption Sheet'!$R30*'Assumption Sheet'!$C30,0)-IF(FU$1='Assumption Sheet'!$Y30,('Assumption Sheet'!$M30+'Assumption Sheet'!$P30)*'Assumption Sheet'!$R30*'Assumption Sheet'!$C30))/10^7</f>
        <v>0</v>
      </c>
      <c r="FV48" s="33">
        <f>(IF(FV$1='Assumption Sheet'!$L30,('Assumption Sheet'!$M30+'Assumption Sheet'!$P30)*'Assumption Sheet'!$R30*'Assumption Sheet'!$C30,0)-IF(FV$1='Assumption Sheet'!$Y30,('Assumption Sheet'!$M30+'Assumption Sheet'!$P30)*'Assumption Sheet'!$R30*'Assumption Sheet'!$C30))/10^7</f>
        <v>0</v>
      </c>
      <c r="FW48" s="33">
        <f>(IF(FW$1='Assumption Sheet'!$L30,('Assumption Sheet'!$M30+'Assumption Sheet'!$P30)*'Assumption Sheet'!$R30*'Assumption Sheet'!$C30,0)-IF(FW$1='Assumption Sheet'!$Y30,('Assumption Sheet'!$M30+'Assumption Sheet'!$P30)*'Assumption Sheet'!$R30*'Assumption Sheet'!$C30))/10^7</f>
        <v>0</v>
      </c>
      <c r="FX48" s="33">
        <f>(IF(FX$1='Assumption Sheet'!$L30,('Assumption Sheet'!$M30+'Assumption Sheet'!$P30)*'Assumption Sheet'!$R30*'Assumption Sheet'!$C30,0)-IF(FX$1='Assumption Sheet'!$Y30,('Assumption Sheet'!$M30+'Assumption Sheet'!$P30)*'Assumption Sheet'!$R30*'Assumption Sheet'!$C30))/10^7</f>
        <v>0</v>
      </c>
      <c r="FY48" s="33">
        <f>(IF(FY$1='Assumption Sheet'!$L30,('Assumption Sheet'!$M30+'Assumption Sheet'!$P30)*'Assumption Sheet'!$R30*'Assumption Sheet'!$C30,0)-IF(FY$1='Assumption Sheet'!$Y30,('Assumption Sheet'!$M30+'Assumption Sheet'!$P30)*'Assumption Sheet'!$R30*'Assumption Sheet'!$C30))/10^7</f>
        <v>0</v>
      </c>
      <c r="FZ48" s="33">
        <f>(IF(FZ$1='Assumption Sheet'!$L30,('Assumption Sheet'!$M30+'Assumption Sheet'!$P30)*'Assumption Sheet'!$R30*'Assumption Sheet'!$C30,0)-IF(FZ$1='Assumption Sheet'!$Y30,('Assumption Sheet'!$M30+'Assumption Sheet'!$P30)*'Assumption Sheet'!$R30*'Assumption Sheet'!$C30))/10^7</f>
        <v>0</v>
      </c>
      <c r="GA48" s="33">
        <f>(IF(GA$1='Assumption Sheet'!$L30,('Assumption Sheet'!$M30+'Assumption Sheet'!$P30)*'Assumption Sheet'!$R30*'Assumption Sheet'!$C30,0)-IF(GA$1='Assumption Sheet'!$Y30,('Assumption Sheet'!$M30+'Assumption Sheet'!$P30)*'Assumption Sheet'!$R30*'Assumption Sheet'!$C30))/10^7</f>
        <v>0</v>
      </c>
      <c r="GB48" s="33">
        <f>(IF(GB$1='Assumption Sheet'!$L30,('Assumption Sheet'!$M30+'Assumption Sheet'!$P30)*'Assumption Sheet'!$R30*'Assumption Sheet'!$C30,0)-IF(GB$1='Assumption Sheet'!$Y30,('Assumption Sheet'!$M30+'Assumption Sheet'!$P30)*'Assumption Sheet'!$R30*'Assumption Sheet'!$C30))/10^7</f>
        <v>0</v>
      </c>
      <c r="GC48" s="33">
        <f>(IF(GC$1='Assumption Sheet'!$L30,('Assumption Sheet'!$M30+'Assumption Sheet'!$P30)*'Assumption Sheet'!$R30*'Assumption Sheet'!$C30,0)-IF(GC$1='Assumption Sheet'!$Y30,('Assumption Sheet'!$M30+'Assumption Sheet'!$P30)*'Assumption Sheet'!$R30*'Assumption Sheet'!$C30))/10^7</f>
        <v>0</v>
      </c>
      <c r="GD48" s="33">
        <f>(IF(GD$1='Assumption Sheet'!$L30,('Assumption Sheet'!$M30+'Assumption Sheet'!$P30)*'Assumption Sheet'!$R30*'Assumption Sheet'!$C30,0)-IF(GD$1='Assumption Sheet'!$Y30,('Assumption Sheet'!$M30+'Assumption Sheet'!$P30)*'Assumption Sheet'!$R30*'Assumption Sheet'!$C30))/10^7</f>
        <v>0</v>
      </c>
      <c r="GE48" s="33">
        <f>(IF(GE$1='Assumption Sheet'!$L30,('Assumption Sheet'!$M30+'Assumption Sheet'!$P30)*'Assumption Sheet'!$R30*'Assumption Sheet'!$C30,0)-IF(GE$1='Assumption Sheet'!$Y30,('Assumption Sheet'!$M30+'Assumption Sheet'!$P30)*'Assumption Sheet'!$R30*'Assumption Sheet'!$C30))/10^7</f>
        <v>0</v>
      </c>
      <c r="GF48" s="33">
        <f>(IF(GF$1='Assumption Sheet'!$L30,('Assumption Sheet'!$M30+'Assumption Sheet'!$P30)*'Assumption Sheet'!$R30*'Assumption Sheet'!$C30,0)-IF(GF$1='Assumption Sheet'!$Y30,('Assumption Sheet'!$M30+'Assumption Sheet'!$P30)*'Assumption Sheet'!$R30*'Assumption Sheet'!$C30))/10^7</f>
        <v>0</v>
      </c>
      <c r="GG48" s="33">
        <f>(IF(GG$1='Assumption Sheet'!$L30,('Assumption Sheet'!$M30+'Assumption Sheet'!$P30)*'Assumption Sheet'!$R30*'Assumption Sheet'!$C30,0)-IF(GG$1='Assumption Sheet'!$Y30,('Assumption Sheet'!$M30+'Assumption Sheet'!$P30)*'Assumption Sheet'!$R30*'Assumption Sheet'!$C30))/10^7</f>
        <v>0</v>
      </c>
      <c r="GH48" s="33">
        <f>(IF(GH$1='Assumption Sheet'!$L30,('Assumption Sheet'!$M30+'Assumption Sheet'!$P30)*'Assumption Sheet'!$R30*'Assumption Sheet'!$C30,0)-IF(GH$1='Assumption Sheet'!$Y30,('Assumption Sheet'!$M30+'Assumption Sheet'!$P30)*'Assumption Sheet'!$R30*'Assumption Sheet'!$C30))/10^7</f>
        <v>0</v>
      </c>
      <c r="GI48" s="33">
        <f>(IF(GI$1='Assumption Sheet'!$L30,('Assumption Sheet'!$M30+'Assumption Sheet'!$P30)*'Assumption Sheet'!$R30*'Assumption Sheet'!$C30,0)-IF(GI$1='Assumption Sheet'!$Y30,('Assumption Sheet'!$M30+'Assumption Sheet'!$P30)*'Assumption Sheet'!$R30*'Assumption Sheet'!$C30))/10^7</f>
        <v>0</v>
      </c>
      <c r="GJ48" s="33">
        <f>(IF(GJ$1='Assumption Sheet'!$L30,('Assumption Sheet'!$M30+'Assumption Sheet'!$P30)*'Assumption Sheet'!$R30*'Assumption Sheet'!$C30,0)-IF(GJ$1='Assumption Sheet'!$Y30,('Assumption Sheet'!$M30+'Assumption Sheet'!$P30)*'Assumption Sheet'!$R30*'Assumption Sheet'!$C30))/10^7</f>
        <v>0</v>
      </c>
      <c r="GK48" s="33">
        <f>(IF(GK$1='Assumption Sheet'!$L30,('Assumption Sheet'!$M30+'Assumption Sheet'!$P30)*'Assumption Sheet'!$R30*'Assumption Sheet'!$C30,0)-IF(GK$1='Assumption Sheet'!$Y30,('Assumption Sheet'!$M30+'Assumption Sheet'!$P30)*'Assumption Sheet'!$R30*'Assumption Sheet'!$C30))/10^7</f>
        <v>0</v>
      </c>
      <c r="GL48" s="33">
        <f>(IF(GL$1='Assumption Sheet'!$L30,('Assumption Sheet'!$M30+'Assumption Sheet'!$P30)*'Assumption Sheet'!$R30*'Assumption Sheet'!$C30,0)-IF(GL$1='Assumption Sheet'!$Y30,('Assumption Sheet'!$M30+'Assumption Sheet'!$P30)*'Assumption Sheet'!$R30*'Assumption Sheet'!$C30))/10^7</f>
        <v>0</v>
      </c>
      <c r="GM48" s="33">
        <f>(IF(GM$1='Assumption Sheet'!$L30,('Assumption Sheet'!$M30+'Assumption Sheet'!$P30)*'Assumption Sheet'!$R30*'Assumption Sheet'!$C30,0)-IF(GM$1='Assumption Sheet'!$Y30,('Assumption Sheet'!$M30+'Assumption Sheet'!$P30)*'Assumption Sheet'!$R30*'Assumption Sheet'!$C30))/10^7</f>
        <v>0</v>
      </c>
      <c r="GN48" s="33">
        <f>(IF(GN$1='Assumption Sheet'!$L30,('Assumption Sheet'!$M30+'Assumption Sheet'!$P30)*'Assumption Sheet'!$R30*'Assumption Sheet'!$C30,0)-IF(GN$1='Assumption Sheet'!$Y30,('Assumption Sheet'!$M30+'Assumption Sheet'!$P30)*'Assumption Sheet'!$R30*'Assumption Sheet'!$C30))/10^7</f>
        <v>0</v>
      </c>
      <c r="GO48" s="33">
        <f>(IF(GO$1='Assumption Sheet'!$L30,('Assumption Sheet'!$M30+'Assumption Sheet'!$P30)*'Assumption Sheet'!$R30*'Assumption Sheet'!$C30,0)-IF(GO$1='Assumption Sheet'!$Y30,('Assumption Sheet'!$M30+'Assumption Sheet'!$P30)*'Assumption Sheet'!$R30*'Assumption Sheet'!$C30))/10^7</f>
        <v>0</v>
      </c>
      <c r="GP48" s="33">
        <f>(IF(GP$1='Assumption Sheet'!$L30,('Assumption Sheet'!$M30+'Assumption Sheet'!$P30)*'Assumption Sheet'!$R30*'Assumption Sheet'!$C30,0)-IF(GP$1='Assumption Sheet'!$Y30,('Assumption Sheet'!$M30+'Assumption Sheet'!$P30)*'Assumption Sheet'!$R30*'Assumption Sheet'!$C30))/10^7</f>
        <v>0</v>
      </c>
      <c r="GQ48" s="33">
        <f>(IF(GQ$1='Assumption Sheet'!$L30,('Assumption Sheet'!$M30+'Assumption Sheet'!$P30)*'Assumption Sheet'!$R30*'Assumption Sheet'!$C30,0)-IF(GQ$1='Assumption Sheet'!$Y30,('Assumption Sheet'!$M30+'Assumption Sheet'!$P30)*'Assumption Sheet'!$R30*'Assumption Sheet'!$C30))/10^7</f>
        <v>0</v>
      </c>
      <c r="GR48" s="33">
        <f>(IF(GR$1='Assumption Sheet'!$L30,('Assumption Sheet'!$M30+'Assumption Sheet'!$P30)*'Assumption Sheet'!$R30*'Assumption Sheet'!$C30,0)-IF(GR$1='Assumption Sheet'!$Y30,('Assumption Sheet'!$M30+'Assumption Sheet'!$P30)*'Assumption Sheet'!$R30*'Assumption Sheet'!$C30))/10^7</f>
        <v>0</v>
      </c>
      <c r="GS48" s="33">
        <f>(IF(GS$1='Assumption Sheet'!$L30,('Assumption Sheet'!$M30+'Assumption Sheet'!$P30)*'Assumption Sheet'!$R30*'Assumption Sheet'!$C30,0)-IF(GS$1='Assumption Sheet'!$Y30,('Assumption Sheet'!$M30+'Assumption Sheet'!$P30)*'Assumption Sheet'!$R30*'Assumption Sheet'!$C30))/10^7</f>
        <v>0</v>
      </c>
      <c r="GT48" s="33">
        <f>(IF(GT$1='Assumption Sheet'!$L30,('Assumption Sheet'!$M30+'Assumption Sheet'!$P30)*'Assumption Sheet'!$R30*'Assumption Sheet'!$C30,0)-IF(GT$1='Assumption Sheet'!$Y30,('Assumption Sheet'!$M30+'Assumption Sheet'!$P30)*'Assumption Sheet'!$R30*'Assumption Sheet'!$C30))/10^7</f>
        <v>0</v>
      </c>
      <c r="GU48" s="33">
        <f>(IF(GU$1='Assumption Sheet'!$L30,('Assumption Sheet'!$M30+'Assumption Sheet'!$P30)*'Assumption Sheet'!$R30*'Assumption Sheet'!$C30,0)-IF(GU$1='Assumption Sheet'!$Y30,('Assumption Sheet'!$M30+'Assumption Sheet'!$P30)*'Assumption Sheet'!$R30*'Assumption Sheet'!$C30))/10^7</f>
        <v>0</v>
      </c>
      <c r="GV48" s="33">
        <f>(IF(GV$1='Assumption Sheet'!$L30,('Assumption Sheet'!$M30+'Assumption Sheet'!$P30)*'Assumption Sheet'!$R30*'Assumption Sheet'!$C30,0)-IF(GV$1='Assumption Sheet'!$Y30,('Assumption Sheet'!$M30+'Assumption Sheet'!$P30)*'Assumption Sheet'!$R30*'Assumption Sheet'!$C30))/10^7</f>
        <v>0</v>
      </c>
      <c r="GW48" s="33">
        <f>(IF(GW$1='Assumption Sheet'!$L30,('Assumption Sheet'!$M30+'Assumption Sheet'!$P30)*'Assumption Sheet'!$R30*'Assumption Sheet'!$C30,0)-IF(GW$1='Assumption Sheet'!$Y30,('Assumption Sheet'!$M30+'Assumption Sheet'!$P30)*'Assumption Sheet'!$R30*'Assumption Sheet'!$C30))/10^7</f>
        <v>0</v>
      </c>
      <c r="GX48" s="33">
        <f>(IF(GX$1='Assumption Sheet'!$L30,('Assumption Sheet'!$M30+'Assumption Sheet'!$P30)*'Assumption Sheet'!$R30*'Assumption Sheet'!$C30,0)-IF(GX$1='Assumption Sheet'!$Y30,('Assumption Sheet'!$M30+'Assumption Sheet'!$P30)*'Assumption Sheet'!$R30*'Assumption Sheet'!$C30))/10^7</f>
        <v>0</v>
      </c>
      <c r="GY48" s="33">
        <f>(IF(GY$1='Assumption Sheet'!$L30,('Assumption Sheet'!$M30+'Assumption Sheet'!$P30)*'Assumption Sheet'!$R30*'Assumption Sheet'!$C30,0)-IF(GY$1='Assumption Sheet'!$Y30,('Assumption Sheet'!$M30+'Assumption Sheet'!$P30)*'Assumption Sheet'!$R30*'Assumption Sheet'!$C30))/10^7</f>
        <v>0</v>
      </c>
      <c r="GZ48" s="33">
        <f>(IF(GZ$1='Assumption Sheet'!$L30,('Assumption Sheet'!$M30+'Assumption Sheet'!$P30)*'Assumption Sheet'!$R30*'Assumption Sheet'!$C30,0)-IF(GZ$1='Assumption Sheet'!$Y30,('Assumption Sheet'!$M30+'Assumption Sheet'!$P30)*'Assumption Sheet'!$R30*'Assumption Sheet'!$C30))/10^7</f>
        <v>0</v>
      </c>
      <c r="HA48" s="33">
        <f>(IF(HA$1='Assumption Sheet'!$L30,('Assumption Sheet'!$M30+'Assumption Sheet'!$P30)*'Assumption Sheet'!$R30*'Assumption Sheet'!$C30,0)-IF(HA$1='Assumption Sheet'!$Y30,('Assumption Sheet'!$M30+'Assumption Sheet'!$P30)*'Assumption Sheet'!$R30*'Assumption Sheet'!$C30))/10^7</f>
        <v>0</v>
      </c>
      <c r="HB48" s="33">
        <f>(IF(HB$1='Assumption Sheet'!$L30,('Assumption Sheet'!$M30+'Assumption Sheet'!$P30)*'Assumption Sheet'!$R30*'Assumption Sheet'!$C30,0)-IF(HB$1='Assumption Sheet'!$Y30,('Assumption Sheet'!$M30+'Assumption Sheet'!$P30)*'Assumption Sheet'!$R30*'Assumption Sheet'!$C30))/10^7</f>
        <v>0</v>
      </c>
      <c r="HC48" s="33">
        <f>(IF(HC$1='Assumption Sheet'!$L30,('Assumption Sheet'!$M30+'Assumption Sheet'!$P30)*'Assumption Sheet'!$R30*'Assumption Sheet'!$C30,0)-IF(HC$1='Assumption Sheet'!$Y30,('Assumption Sheet'!$M30+'Assumption Sheet'!$P30)*'Assumption Sheet'!$R30*'Assumption Sheet'!$C30))/10^7</f>
        <v>0</v>
      </c>
      <c r="HD48" s="33">
        <f>(IF(HD$1='Assumption Sheet'!$L30,('Assumption Sheet'!$M30+'Assumption Sheet'!$P30)*'Assumption Sheet'!$R30*'Assumption Sheet'!$C30,0)-IF(HD$1='Assumption Sheet'!$Y30,('Assumption Sheet'!$M30+'Assumption Sheet'!$P30)*'Assumption Sheet'!$R30*'Assumption Sheet'!$C30))/10^7</f>
        <v>0</v>
      </c>
      <c r="HE48" s="33">
        <f>(IF(HE$1='Assumption Sheet'!$L30,('Assumption Sheet'!$M30+'Assumption Sheet'!$P30)*'Assumption Sheet'!$R30*'Assumption Sheet'!$C30,0)-IF(HE$1='Assumption Sheet'!$Y30,('Assumption Sheet'!$M30+'Assumption Sheet'!$P30)*'Assumption Sheet'!$R30*'Assumption Sheet'!$C30))/10^7</f>
        <v>0</v>
      </c>
      <c r="HF48" s="33">
        <f>(IF(HF$1='Assumption Sheet'!$L30,('Assumption Sheet'!$M30+'Assumption Sheet'!$P30)*'Assumption Sheet'!$R30*'Assumption Sheet'!$C30,0)-IF(HF$1='Assumption Sheet'!$Y30,('Assumption Sheet'!$M30+'Assumption Sheet'!$P30)*'Assumption Sheet'!$R30*'Assumption Sheet'!$C30))/10^7</f>
        <v>0</v>
      </c>
      <c r="HG48" s="33">
        <f>(IF(HG$1='Assumption Sheet'!$L30,('Assumption Sheet'!$M30+'Assumption Sheet'!$P30)*'Assumption Sheet'!$R30*'Assumption Sheet'!$C30,0)-IF(HG$1='Assumption Sheet'!$Y30,('Assumption Sheet'!$M30+'Assumption Sheet'!$P30)*'Assumption Sheet'!$R30*'Assumption Sheet'!$C30))/10^7</f>
        <v>0</v>
      </c>
      <c r="HH48" s="33">
        <f>(IF(HH$1='Assumption Sheet'!$L30,('Assumption Sheet'!$M30+'Assumption Sheet'!$P30)*'Assumption Sheet'!$R30*'Assumption Sheet'!$C30,0)-IF(HH$1='Assumption Sheet'!$Y30,('Assumption Sheet'!$M30+'Assumption Sheet'!$P30)*'Assumption Sheet'!$R30*'Assumption Sheet'!$C30))/10^7</f>
        <v>0</v>
      </c>
      <c r="HI48" s="33">
        <f>(IF(HI$1='Assumption Sheet'!$L30,('Assumption Sheet'!$M30+'Assumption Sheet'!$P30)*'Assumption Sheet'!$R30*'Assumption Sheet'!$C30,0)-IF(HI$1='Assumption Sheet'!$Y30,('Assumption Sheet'!$M30+'Assumption Sheet'!$P30)*'Assumption Sheet'!$R30*'Assumption Sheet'!$C30))/10^7</f>
        <v>0</v>
      </c>
      <c r="HJ48" s="33">
        <f>(IF(HJ$1='Assumption Sheet'!$L30,('Assumption Sheet'!$M30+'Assumption Sheet'!$P30)*'Assumption Sheet'!$R30*'Assumption Sheet'!$C30,0)-IF(HJ$1='Assumption Sheet'!$Y30,('Assumption Sheet'!$M30+'Assumption Sheet'!$P30)*'Assumption Sheet'!$R30*'Assumption Sheet'!$C30))/10^7</f>
        <v>0</v>
      </c>
      <c r="HK48" s="33">
        <f>(IF(HK$1='Assumption Sheet'!$L30,('Assumption Sheet'!$M30+'Assumption Sheet'!$P30)*'Assumption Sheet'!$R30*'Assumption Sheet'!$C30,0)-IF(HK$1='Assumption Sheet'!$Y30,('Assumption Sheet'!$M30+'Assumption Sheet'!$P30)*'Assumption Sheet'!$R30*'Assumption Sheet'!$C30))/10^7</f>
        <v>0</v>
      </c>
      <c r="HL48" s="33">
        <f>(IF(HL$1='Assumption Sheet'!$L30,('Assumption Sheet'!$M30+'Assumption Sheet'!$P30)*'Assumption Sheet'!$R30*'Assumption Sheet'!$C30,0)-IF(HL$1='Assumption Sheet'!$Y30,('Assumption Sheet'!$M30+'Assumption Sheet'!$P30)*'Assumption Sheet'!$R30*'Assumption Sheet'!$C30))/10^7</f>
        <v>0</v>
      </c>
      <c r="HM48" s="33">
        <f>(IF(HM$1='Assumption Sheet'!$L30,('Assumption Sheet'!$M30+'Assumption Sheet'!$P30)*'Assumption Sheet'!$R30*'Assumption Sheet'!$C30,0)-IF(HM$1='Assumption Sheet'!$Y30,('Assumption Sheet'!$M30+'Assumption Sheet'!$P30)*'Assumption Sheet'!$R30*'Assumption Sheet'!$C30))/10^7</f>
        <v>0</v>
      </c>
      <c r="HN48" s="33">
        <f>(IF(HN$1='Assumption Sheet'!$L30,('Assumption Sheet'!$M30+'Assumption Sheet'!$P30)*'Assumption Sheet'!$R30*'Assumption Sheet'!$C30,0)-IF(HN$1='Assumption Sheet'!$Y30,('Assumption Sheet'!$M30+'Assumption Sheet'!$P30)*'Assumption Sheet'!$R30*'Assumption Sheet'!$C30))/10^7</f>
        <v>0</v>
      </c>
      <c r="HO48" s="33">
        <f>(IF(HO$1='Assumption Sheet'!$L30,('Assumption Sheet'!$M30+'Assumption Sheet'!$P30)*'Assumption Sheet'!$R30*'Assumption Sheet'!$C30,0)-IF(HO$1='Assumption Sheet'!$Y30,('Assumption Sheet'!$M30+'Assumption Sheet'!$P30)*'Assumption Sheet'!$R30*'Assumption Sheet'!$C30))/10^7</f>
        <v>0</v>
      </c>
      <c r="HP48" s="33">
        <f>(IF(HP$1='Assumption Sheet'!$L30,('Assumption Sheet'!$M30+'Assumption Sheet'!$P30)*'Assumption Sheet'!$R30*'Assumption Sheet'!$C30,0)-IF(HP$1='Assumption Sheet'!$Y30,('Assumption Sheet'!$M30+'Assumption Sheet'!$P30)*'Assumption Sheet'!$R30*'Assumption Sheet'!$C30))/10^7</f>
        <v>0</v>
      </c>
      <c r="HQ48" s="33">
        <f>(IF(HQ$1='Assumption Sheet'!$L30,('Assumption Sheet'!$M30+'Assumption Sheet'!$P30)*'Assumption Sheet'!$R30*'Assumption Sheet'!$C30,0)-IF(HQ$1='Assumption Sheet'!$Y30,('Assumption Sheet'!$M30+'Assumption Sheet'!$P30)*'Assumption Sheet'!$R30*'Assumption Sheet'!$C30))/10^7</f>
        <v>0</v>
      </c>
      <c r="HR48" s="33">
        <f>(IF(HR$1='Assumption Sheet'!$L30,('Assumption Sheet'!$M30+'Assumption Sheet'!$P30)*'Assumption Sheet'!$R30*'Assumption Sheet'!$C30,0)-IF(HR$1='Assumption Sheet'!$Y30,('Assumption Sheet'!$M30+'Assumption Sheet'!$P30)*'Assumption Sheet'!$R30*'Assumption Sheet'!$C30))/10^7</f>
        <v>0</v>
      </c>
      <c r="HS48" s="33">
        <f>(IF(HS$1='Assumption Sheet'!$L30,('Assumption Sheet'!$M30+'Assumption Sheet'!$P30)*'Assumption Sheet'!$R30*'Assumption Sheet'!$C30,0)-IF(HS$1='Assumption Sheet'!$Y30,('Assumption Sheet'!$M30+'Assumption Sheet'!$P30)*'Assumption Sheet'!$R30*'Assumption Sheet'!$C30))/10^7</f>
        <v>0</v>
      </c>
      <c r="HT48" s="33">
        <f>(IF(HT$1='Assumption Sheet'!$L30,('Assumption Sheet'!$M30+'Assumption Sheet'!$P30)*'Assumption Sheet'!$R30*'Assumption Sheet'!$C30,0)-IF(HT$1='Assumption Sheet'!$Y30,('Assumption Sheet'!$M30+'Assumption Sheet'!$P30)*'Assumption Sheet'!$R30*'Assumption Sheet'!$C30))/10^7</f>
        <v>0</v>
      </c>
      <c r="HU48" s="33">
        <f>(IF(HU$1='Assumption Sheet'!$L30,('Assumption Sheet'!$M30+'Assumption Sheet'!$P30)*'Assumption Sheet'!$R30*'Assumption Sheet'!$C30,0)-IF(HU$1='Assumption Sheet'!$Y30,('Assumption Sheet'!$M30+'Assumption Sheet'!$P30)*'Assumption Sheet'!$R30*'Assumption Sheet'!$C30))/10^7</f>
        <v>0</v>
      </c>
      <c r="HV48" s="33">
        <f>(IF(HV$1='Assumption Sheet'!$L30,('Assumption Sheet'!$M30+'Assumption Sheet'!$P30)*'Assumption Sheet'!$R30*'Assumption Sheet'!$C30,0)-IF(HV$1='Assumption Sheet'!$Y30,('Assumption Sheet'!$M30+'Assumption Sheet'!$P30)*'Assumption Sheet'!$R30*'Assumption Sheet'!$C30))/10^7</f>
        <v>0</v>
      </c>
      <c r="HW48" s="33">
        <f>(IF(HW$1='Assumption Sheet'!$L30,('Assumption Sheet'!$M30+'Assumption Sheet'!$P30)*'Assumption Sheet'!$R30*'Assumption Sheet'!$C30,0)-IF(HW$1='Assumption Sheet'!$Y30,('Assumption Sheet'!$M30+'Assumption Sheet'!$P30)*'Assumption Sheet'!$R30*'Assumption Sheet'!$C30))/10^7</f>
        <v>0</v>
      </c>
      <c r="HX48" s="33">
        <f>(IF(HX$1='Assumption Sheet'!$L30,('Assumption Sheet'!$M30+'Assumption Sheet'!$P30)*'Assumption Sheet'!$R30*'Assumption Sheet'!$C30,0)-IF(HX$1='Assumption Sheet'!$Y30,('Assumption Sheet'!$M30+'Assumption Sheet'!$P30)*'Assumption Sheet'!$R30*'Assumption Sheet'!$C30))/10^7</f>
        <v>0</v>
      </c>
      <c r="HY48" s="33">
        <f>(IF(HY$1='Assumption Sheet'!$L30,('Assumption Sheet'!$M30+'Assumption Sheet'!$P30)*'Assumption Sheet'!$R30*'Assumption Sheet'!$C30,0)-IF(HY$1='Assumption Sheet'!$Y30,('Assumption Sheet'!$M30+'Assumption Sheet'!$P30)*'Assumption Sheet'!$R30*'Assumption Sheet'!$C30))/10^7</f>
        <v>0</v>
      </c>
      <c r="HZ48" s="33">
        <f>(IF(HZ$1='Assumption Sheet'!$L30,('Assumption Sheet'!$M30+'Assumption Sheet'!$P30)*'Assumption Sheet'!$R30*'Assumption Sheet'!$C30,0)-IF(HZ$1='Assumption Sheet'!$Y30,('Assumption Sheet'!$M30+'Assumption Sheet'!$P30)*'Assumption Sheet'!$R30*'Assumption Sheet'!$C30))/10^7</f>
        <v>0</v>
      </c>
      <c r="IA48" s="33">
        <f>(IF(IA$1='Assumption Sheet'!$L30,('Assumption Sheet'!$M30+'Assumption Sheet'!$P30)*'Assumption Sheet'!$R30*'Assumption Sheet'!$C30,0)-IF(IA$1='Assumption Sheet'!$Y30,('Assumption Sheet'!$M30+'Assumption Sheet'!$P30)*'Assumption Sheet'!$R30*'Assumption Sheet'!$C30))/10^7</f>
        <v>0</v>
      </c>
      <c r="IB48" s="33">
        <f>(IF(IB$1='Assumption Sheet'!$L30,('Assumption Sheet'!$M30+'Assumption Sheet'!$P30)*'Assumption Sheet'!$R30*'Assumption Sheet'!$C30,0)-IF(IB$1='Assumption Sheet'!$Y30,('Assumption Sheet'!$M30+'Assumption Sheet'!$P30)*'Assumption Sheet'!$R30*'Assumption Sheet'!$C30))/10^7</f>
        <v>0</v>
      </c>
      <c r="IC48" s="33">
        <f>(IF(IC$1='Assumption Sheet'!$L30,('Assumption Sheet'!$M30+'Assumption Sheet'!$P30)*'Assumption Sheet'!$R30*'Assumption Sheet'!$C30,0)-IF(IC$1='Assumption Sheet'!$Y30,('Assumption Sheet'!$M30+'Assumption Sheet'!$P30)*'Assumption Sheet'!$R30*'Assumption Sheet'!$C30))/10^7</f>
        <v>0</v>
      </c>
      <c r="ID48" s="33">
        <f>(IF(ID$1='Assumption Sheet'!$L30,('Assumption Sheet'!$M30+'Assumption Sheet'!$P30)*'Assumption Sheet'!$R30*'Assumption Sheet'!$C30,0)-IF(ID$1='Assumption Sheet'!$Y30,('Assumption Sheet'!$M30+'Assumption Sheet'!$P30)*'Assumption Sheet'!$R30*'Assumption Sheet'!$C30))/10^7</f>
        <v>0</v>
      </c>
      <c r="IE48" s="33">
        <f>(IF(IE$1='Assumption Sheet'!$L30,('Assumption Sheet'!$M30+'Assumption Sheet'!$P30)*'Assumption Sheet'!$R30*'Assumption Sheet'!$C30,0)-IF(IE$1='Assumption Sheet'!$Y30,('Assumption Sheet'!$M30+'Assumption Sheet'!$P30)*'Assumption Sheet'!$R30*'Assumption Sheet'!$C30))/10^7</f>
        <v>0</v>
      </c>
      <c r="IF48" s="33">
        <f>(IF(IF$1='Assumption Sheet'!$L30,('Assumption Sheet'!$M30+'Assumption Sheet'!$P30)*'Assumption Sheet'!$R30*'Assumption Sheet'!$C30,0)-IF(IF$1='Assumption Sheet'!$Y30,('Assumption Sheet'!$M30+'Assumption Sheet'!$P30)*'Assumption Sheet'!$R30*'Assumption Sheet'!$C30))/10^7</f>
        <v>0</v>
      </c>
      <c r="IG48" s="33">
        <f>(IF(IG$1='Assumption Sheet'!$L30,('Assumption Sheet'!$M30+'Assumption Sheet'!$P30)*'Assumption Sheet'!$R30*'Assumption Sheet'!$C30,0)-IF(IG$1='Assumption Sheet'!$Y30,('Assumption Sheet'!$M30+'Assumption Sheet'!$P30)*'Assumption Sheet'!$R30*'Assumption Sheet'!$C30))/10^7</f>
        <v>0</v>
      </c>
      <c r="IH48" s="33">
        <f>(IF(IH$1='Assumption Sheet'!$L30,('Assumption Sheet'!$M30+'Assumption Sheet'!$P30)*'Assumption Sheet'!$R30*'Assumption Sheet'!$C30,0)-IF(IH$1='Assumption Sheet'!$Y30,('Assumption Sheet'!$M30+'Assumption Sheet'!$P30)*'Assumption Sheet'!$R30*'Assumption Sheet'!$C30))/10^7</f>
        <v>0</v>
      </c>
      <c r="II48" s="33">
        <f>(IF(II$1='Assumption Sheet'!$L30,('Assumption Sheet'!$M30+'Assumption Sheet'!$P30)*'Assumption Sheet'!$R30*'Assumption Sheet'!$C30,0)-IF(II$1='Assumption Sheet'!$Y30,('Assumption Sheet'!$M30+'Assumption Sheet'!$P30)*'Assumption Sheet'!$R30*'Assumption Sheet'!$C30))/10^7</f>
        <v>0</v>
      </c>
      <c r="IJ48" s="33">
        <f>(IF(IJ$1='Assumption Sheet'!$L30,('Assumption Sheet'!$M30+'Assumption Sheet'!$P30)*'Assumption Sheet'!$R30*'Assumption Sheet'!$C30,0)-IF(IJ$1='Assumption Sheet'!$Y30,('Assumption Sheet'!$M30+'Assumption Sheet'!$P30)*'Assumption Sheet'!$R30*'Assumption Sheet'!$C30))/10^7</f>
        <v>0</v>
      </c>
      <c r="IK48" s="33">
        <f>(IF(IK$1='Assumption Sheet'!$L30,('Assumption Sheet'!$M30+'Assumption Sheet'!$P30)*'Assumption Sheet'!$R30*'Assumption Sheet'!$C30,0)-IF(IK$1='Assumption Sheet'!$Y30,('Assumption Sheet'!$M30+'Assumption Sheet'!$P30)*'Assumption Sheet'!$R30*'Assumption Sheet'!$C30))/10^7</f>
        <v>0</v>
      </c>
      <c r="IL48" s="33">
        <f>(IF(IL$1='Assumption Sheet'!$L30,('Assumption Sheet'!$M30+'Assumption Sheet'!$P30)*'Assumption Sheet'!$R30*'Assumption Sheet'!$C30,0)-IF(IL$1='Assumption Sheet'!$Y30,('Assumption Sheet'!$M30+'Assumption Sheet'!$P30)*'Assumption Sheet'!$R30*'Assumption Sheet'!$C30))/10^7</f>
        <v>0</v>
      </c>
      <c r="IM48" s="33">
        <f>(IF(IM$1='Assumption Sheet'!$L30,('Assumption Sheet'!$M30+'Assumption Sheet'!$P30)*'Assumption Sheet'!$R30*'Assumption Sheet'!$C30,0)-IF(IM$1='Assumption Sheet'!$Y30,('Assumption Sheet'!$M30+'Assumption Sheet'!$P30)*'Assumption Sheet'!$R30*'Assumption Sheet'!$C30))/10^7</f>
        <v>0</v>
      </c>
      <c r="IN48" s="33">
        <f>(IF(IN$1='Assumption Sheet'!$L30,('Assumption Sheet'!$M30+'Assumption Sheet'!$P30)*'Assumption Sheet'!$R30*'Assumption Sheet'!$C30,0)-IF(IN$1='Assumption Sheet'!$Y30,('Assumption Sheet'!$M30+'Assumption Sheet'!$P30)*'Assumption Sheet'!$R30*'Assumption Sheet'!$C30))/10^7</f>
        <v>0</v>
      </c>
      <c r="IO48" s="33">
        <f>(IF(IO$1='Assumption Sheet'!$L30,('Assumption Sheet'!$M30+'Assumption Sheet'!$P30)*'Assumption Sheet'!$R30*'Assumption Sheet'!$C30,0)-IF(IO$1='Assumption Sheet'!$Y30,('Assumption Sheet'!$M30+'Assumption Sheet'!$P30)*'Assumption Sheet'!$R30*'Assumption Sheet'!$C30))/10^7</f>
        <v>0</v>
      </c>
      <c r="IP48" s="33">
        <f>(IF(IP$1='Assumption Sheet'!$L30,('Assumption Sheet'!$M30+'Assumption Sheet'!$P30)*'Assumption Sheet'!$R30*'Assumption Sheet'!$C30,0)-IF(IP$1='Assumption Sheet'!$Y30,('Assumption Sheet'!$M30+'Assumption Sheet'!$P30)*'Assumption Sheet'!$R30*'Assumption Sheet'!$C30))/10^7</f>
        <v>0</v>
      </c>
      <c r="IQ48" s="33">
        <f>(IF(IQ$1='Assumption Sheet'!$L30,('Assumption Sheet'!$M30+'Assumption Sheet'!$P30)*'Assumption Sheet'!$R30*'Assumption Sheet'!$C30,0)-IF(IQ$1='Assumption Sheet'!$Y30,('Assumption Sheet'!$M30+'Assumption Sheet'!$P30)*'Assumption Sheet'!$R30*'Assumption Sheet'!$C30))/10^7</f>
        <v>0</v>
      </c>
      <c r="IR48" s="33">
        <f>(IF(IR$1='Assumption Sheet'!$L30,('Assumption Sheet'!$M30+'Assumption Sheet'!$P30)*'Assumption Sheet'!$R30*'Assumption Sheet'!$C30,0)-IF(IR$1='Assumption Sheet'!$Y30,('Assumption Sheet'!$M30+'Assumption Sheet'!$P30)*'Assumption Sheet'!$R30*'Assumption Sheet'!$C30))/10^7</f>
        <v>0</v>
      </c>
      <c r="IS48" s="33">
        <f>(IF(IS$1='Assumption Sheet'!$L30,('Assumption Sheet'!$M30+'Assumption Sheet'!$P30)*'Assumption Sheet'!$R30*'Assumption Sheet'!$C30,0)-IF(IS$1='Assumption Sheet'!$Y30,('Assumption Sheet'!$M30+'Assumption Sheet'!$P30)*'Assumption Sheet'!$R30*'Assumption Sheet'!$C30))/10^7</f>
        <v>0</v>
      </c>
      <c r="IT48" s="33">
        <f>(IF(IT$1='Assumption Sheet'!$L30,('Assumption Sheet'!$M30+'Assumption Sheet'!$P30)*'Assumption Sheet'!$R30*'Assumption Sheet'!$C30,0)-IF(IT$1='Assumption Sheet'!$Y30,('Assumption Sheet'!$M30+'Assumption Sheet'!$P30)*'Assumption Sheet'!$R30*'Assumption Sheet'!$C30))/10^7</f>
        <v>0</v>
      </c>
      <c r="IU48" s="33">
        <f>(IF(IU$1='Assumption Sheet'!$L30,('Assumption Sheet'!$M30+'Assumption Sheet'!$P30)*'Assumption Sheet'!$R30*'Assumption Sheet'!$C30,0)-IF(IU$1='Assumption Sheet'!$Y30,('Assumption Sheet'!$M30+'Assumption Sheet'!$P30)*'Assumption Sheet'!$R30*'Assumption Sheet'!$C30))/10^7</f>
        <v>0</v>
      </c>
      <c r="IV48" s="33">
        <f>(IF(IV$1='Assumption Sheet'!$L30,('Assumption Sheet'!$M30+'Assumption Sheet'!$P30)*'Assumption Sheet'!$R30*'Assumption Sheet'!$C30,0)-IF(IV$1='Assumption Sheet'!$Y30,('Assumption Sheet'!$M30+'Assumption Sheet'!$P30)*'Assumption Sheet'!$R30*'Assumption Sheet'!$C30))/10^7</f>
        <v>0</v>
      </c>
      <c r="IW48" s="33">
        <f>(IF(IW$1='Assumption Sheet'!$L30,('Assumption Sheet'!$M30+'Assumption Sheet'!$P30)*'Assumption Sheet'!$R30*'Assumption Sheet'!$C30,0)-IF(IW$1='Assumption Sheet'!$Y30,('Assumption Sheet'!$M30+'Assumption Sheet'!$P30)*'Assumption Sheet'!$R30*'Assumption Sheet'!$C30))/10^7</f>
        <v>0</v>
      </c>
      <c r="IX48" s="33">
        <f>(IF(IX$1='Assumption Sheet'!$L30,('Assumption Sheet'!$M30+'Assumption Sheet'!$P30)*'Assumption Sheet'!$R30*'Assumption Sheet'!$C30,0)-IF(IX$1='Assumption Sheet'!$Y30,('Assumption Sheet'!$M30+'Assumption Sheet'!$P30)*'Assumption Sheet'!$R30*'Assumption Sheet'!$C30))/10^7</f>
        <v>0</v>
      </c>
      <c r="IY48" s="33">
        <f>(IF(IY$1='Assumption Sheet'!$L30,('Assumption Sheet'!$M30+'Assumption Sheet'!$P30)*'Assumption Sheet'!$R30*'Assumption Sheet'!$C30,0)-IF(IY$1='Assumption Sheet'!$Y30,('Assumption Sheet'!$M30+'Assumption Sheet'!$P30)*'Assumption Sheet'!$R30*'Assumption Sheet'!$C30))/10^7</f>
        <v>0</v>
      </c>
      <c r="IZ48" s="33">
        <f>(IF(IZ$1='Assumption Sheet'!$L30,('Assumption Sheet'!$M30+'Assumption Sheet'!$P30)*'Assumption Sheet'!$R30*'Assumption Sheet'!$C30,0)-IF(IZ$1='Assumption Sheet'!$Y30,('Assumption Sheet'!$M30+'Assumption Sheet'!$P30)*'Assumption Sheet'!$R30*'Assumption Sheet'!$C30))/10^7</f>
        <v>0</v>
      </c>
      <c r="JA48" s="33">
        <f>(IF(JA$1='Assumption Sheet'!$L30,('Assumption Sheet'!$M30+'Assumption Sheet'!$P30)*'Assumption Sheet'!$R30*'Assumption Sheet'!$C30,0)-IF(JA$1='Assumption Sheet'!$Y30,('Assumption Sheet'!$M30+'Assumption Sheet'!$P30)*'Assumption Sheet'!$R30*'Assumption Sheet'!$C30))/10^7</f>
        <v>0</v>
      </c>
      <c r="JB48" s="33">
        <f>(IF(JB$1='Assumption Sheet'!$L30,('Assumption Sheet'!$M30+'Assumption Sheet'!$P30)*'Assumption Sheet'!$R30*'Assumption Sheet'!$C30,0)-IF(JB$1='Assumption Sheet'!$Y30,('Assumption Sheet'!$M30+'Assumption Sheet'!$P30)*'Assumption Sheet'!$R30*'Assumption Sheet'!$C30))/10^7</f>
        <v>0</v>
      </c>
      <c r="JC48" s="33">
        <f>(IF(JC$1='Assumption Sheet'!$L30,('Assumption Sheet'!$M30+'Assumption Sheet'!$P30)*'Assumption Sheet'!$R30*'Assumption Sheet'!$C30,0)-IF(JC$1='Assumption Sheet'!$Y30,('Assumption Sheet'!$M30+'Assumption Sheet'!$P30)*'Assumption Sheet'!$R30*'Assumption Sheet'!$C30))/10^7</f>
        <v>0</v>
      </c>
      <c r="JD48" s="33">
        <f>(IF(JD$1='Assumption Sheet'!$L30,('Assumption Sheet'!$M30+'Assumption Sheet'!$P30)*'Assumption Sheet'!$R30*'Assumption Sheet'!$C30,0)-IF(JD$1='Assumption Sheet'!$Y30,('Assumption Sheet'!$M30+'Assumption Sheet'!$P30)*'Assumption Sheet'!$R30*'Assumption Sheet'!$C30))/10^7</f>
        <v>0</v>
      </c>
      <c r="JE48" s="33">
        <f>(IF(JE$1='Assumption Sheet'!$L30,('Assumption Sheet'!$M30+'Assumption Sheet'!$P30)*'Assumption Sheet'!$R30*'Assumption Sheet'!$C30,0)-IF(JE$1='Assumption Sheet'!$Y30,('Assumption Sheet'!$M30+'Assumption Sheet'!$P30)*'Assumption Sheet'!$R30*'Assumption Sheet'!$C30))/10^7</f>
        <v>0</v>
      </c>
      <c r="JF48" s="33">
        <f>(IF(JF$1='Assumption Sheet'!$L30,('Assumption Sheet'!$M30+'Assumption Sheet'!$P30)*'Assumption Sheet'!$R30*'Assumption Sheet'!$C30,0)-IF(JF$1='Assumption Sheet'!$Y30,('Assumption Sheet'!$M30+'Assumption Sheet'!$P30)*'Assumption Sheet'!$R30*'Assumption Sheet'!$C30))/10^7</f>
        <v>0</v>
      </c>
      <c r="JG48" s="33">
        <f>(IF(JG$1='Assumption Sheet'!$L30,('Assumption Sheet'!$M30+'Assumption Sheet'!$P30)*'Assumption Sheet'!$R30*'Assumption Sheet'!$C30,0)-IF(JG$1='Assumption Sheet'!$Y30,('Assumption Sheet'!$M30+'Assumption Sheet'!$P30)*'Assumption Sheet'!$R30*'Assumption Sheet'!$C30))/10^7</f>
        <v>0</v>
      </c>
      <c r="JH48" s="33">
        <f>(IF(JH$1='Assumption Sheet'!$L30,('Assumption Sheet'!$M30+'Assumption Sheet'!$P30)*'Assumption Sheet'!$R30*'Assumption Sheet'!$C30,0)-IF(JH$1='Assumption Sheet'!$Y30,('Assumption Sheet'!$M30+'Assumption Sheet'!$P30)*'Assumption Sheet'!$R30*'Assumption Sheet'!$C30))/10^7</f>
        <v>0</v>
      </c>
      <c r="JI48" s="33">
        <f>(IF(JI$1='Assumption Sheet'!$L30,('Assumption Sheet'!$M30+'Assumption Sheet'!$P30)*'Assumption Sheet'!$R30*'Assumption Sheet'!$C30,0)-IF(JI$1='Assumption Sheet'!$Y30,('Assumption Sheet'!$M30+'Assumption Sheet'!$P30)*'Assumption Sheet'!$R30*'Assumption Sheet'!$C30))/10^7</f>
        <v>0</v>
      </c>
      <c r="JJ48" s="33">
        <f>(IF(JJ$1='Assumption Sheet'!$L30,('Assumption Sheet'!$M30+'Assumption Sheet'!$P30)*'Assumption Sheet'!$R30*'Assumption Sheet'!$C30,0)-IF(JJ$1='Assumption Sheet'!$Y30,('Assumption Sheet'!$M30+'Assumption Sheet'!$P30)*'Assumption Sheet'!$R30*'Assumption Sheet'!$C30))/10^7</f>
        <v>0</v>
      </c>
      <c r="JK48" s="33">
        <f>(IF(JK$1='Assumption Sheet'!$L30,('Assumption Sheet'!$M30+'Assumption Sheet'!$P30)*'Assumption Sheet'!$R30*'Assumption Sheet'!$C30,0)-IF(JK$1='Assumption Sheet'!$Y30,('Assumption Sheet'!$M30+'Assumption Sheet'!$P30)*'Assumption Sheet'!$R30*'Assumption Sheet'!$C30))/10^7</f>
        <v>0</v>
      </c>
      <c r="JL48" s="33">
        <f>(IF(JL$1='Assumption Sheet'!$L30,('Assumption Sheet'!$M30+'Assumption Sheet'!$P30)*'Assumption Sheet'!$R30*'Assumption Sheet'!$C30,0)-IF(JL$1='Assumption Sheet'!$Y30,('Assumption Sheet'!$M30+'Assumption Sheet'!$P30)*'Assumption Sheet'!$R30*'Assumption Sheet'!$C30))/10^7</f>
        <v>0</v>
      </c>
      <c r="JM48" s="33">
        <f>(IF(JM$1='Assumption Sheet'!$L30,('Assumption Sheet'!$M30+'Assumption Sheet'!$P30)*'Assumption Sheet'!$R30*'Assumption Sheet'!$C30,0)-IF(JM$1='Assumption Sheet'!$Y30,('Assumption Sheet'!$M30+'Assumption Sheet'!$P30)*'Assumption Sheet'!$R30*'Assumption Sheet'!$C30))/10^7</f>
        <v>0</v>
      </c>
      <c r="JN48" s="33">
        <f>(IF(JN$1='Assumption Sheet'!$L30,('Assumption Sheet'!$M30+'Assumption Sheet'!$P30)*'Assumption Sheet'!$R30*'Assumption Sheet'!$C30,0)-IF(JN$1='Assumption Sheet'!$Y30,('Assumption Sheet'!$M30+'Assumption Sheet'!$P30)*'Assumption Sheet'!$R30*'Assumption Sheet'!$C30))/10^7</f>
        <v>0</v>
      </c>
      <c r="JO48" s="33">
        <f>(IF(JO$1='Assumption Sheet'!$L30,('Assumption Sheet'!$M30+'Assumption Sheet'!$P30)*'Assumption Sheet'!$R30*'Assumption Sheet'!$C30,0)-IF(JO$1='Assumption Sheet'!$Y30,('Assumption Sheet'!$M30+'Assumption Sheet'!$P30)*'Assumption Sheet'!$R30*'Assumption Sheet'!$C30))/10^7</f>
        <v>0</v>
      </c>
      <c r="JP48" s="33">
        <f>(IF(JP$1='Assumption Sheet'!$L30,('Assumption Sheet'!$M30+'Assumption Sheet'!$P30)*'Assumption Sheet'!$R30*'Assumption Sheet'!$C30,0)-IF(JP$1='Assumption Sheet'!$Y30,('Assumption Sheet'!$M30+'Assumption Sheet'!$P30)*'Assumption Sheet'!$R30*'Assumption Sheet'!$C30))/10^7</f>
        <v>0</v>
      </c>
      <c r="JQ48" s="33">
        <f>(IF(JQ$1='Assumption Sheet'!$L30,('Assumption Sheet'!$M30+'Assumption Sheet'!$P30)*'Assumption Sheet'!$R30*'Assumption Sheet'!$C30,0)-IF(JQ$1='Assumption Sheet'!$Y30,('Assumption Sheet'!$M30+'Assumption Sheet'!$P30)*'Assumption Sheet'!$R30*'Assumption Sheet'!$C30))/10^7</f>
        <v>-2.5342463384935199</v>
      </c>
      <c r="JR48" s="33">
        <f>(IF(JR$1='Assumption Sheet'!$L30,('Assumption Sheet'!$M30+'Assumption Sheet'!$P30)*'Assumption Sheet'!$R30*'Assumption Sheet'!$C30,0)-IF(JR$1='Assumption Sheet'!$Y30,('Assumption Sheet'!$M30+'Assumption Sheet'!$P30)*'Assumption Sheet'!$R30*'Assumption Sheet'!$C30))/10^7</f>
        <v>0</v>
      </c>
      <c r="JS48" s="33">
        <f>(IF(JS$1='Assumption Sheet'!$L30,('Assumption Sheet'!$M30+'Assumption Sheet'!$P30)*'Assumption Sheet'!$R30*'Assumption Sheet'!$C30,0)-IF(JS$1='Assumption Sheet'!$Y30,('Assumption Sheet'!$M30+'Assumption Sheet'!$P30)*'Assumption Sheet'!$R30*'Assumption Sheet'!$C30))/10^7</f>
        <v>0</v>
      </c>
      <c r="JT48" s="33">
        <f>(IF(JT$1='Assumption Sheet'!$L30,('Assumption Sheet'!$M30+'Assumption Sheet'!$P30)*'Assumption Sheet'!$R30*'Assumption Sheet'!$C30,0)-IF(JT$1='Assumption Sheet'!$Y30,('Assumption Sheet'!$M30+'Assumption Sheet'!$P30)*'Assumption Sheet'!$R30*'Assumption Sheet'!$C30))/10^7</f>
        <v>0</v>
      </c>
      <c r="JU48" s="33">
        <f>(IF(JU$1='Assumption Sheet'!$L30,('Assumption Sheet'!$M30+'Assumption Sheet'!$P30)*'Assumption Sheet'!$R30*'Assumption Sheet'!$C30,0)-IF(JU$1='Assumption Sheet'!$Y30,('Assumption Sheet'!$M30+'Assumption Sheet'!$P30)*'Assumption Sheet'!$R30*'Assumption Sheet'!$C30))/10^7</f>
        <v>0</v>
      </c>
      <c r="JV48" s="33">
        <f>(IF(JV$1='Assumption Sheet'!$L30,('Assumption Sheet'!$M30+'Assumption Sheet'!$P30)*'Assumption Sheet'!$R30*'Assumption Sheet'!$C30,0)-IF(JV$1='Assumption Sheet'!$Y30,('Assumption Sheet'!$M30+'Assumption Sheet'!$P30)*'Assumption Sheet'!$R30*'Assumption Sheet'!$C30))/10^7</f>
        <v>0</v>
      </c>
      <c r="JW48" s="33">
        <f>(IF(JW$1='Assumption Sheet'!$L30,('Assumption Sheet'!$M30+'Assumption Sheet'!$P30)*'Assumption Sheet'!$R30*'Assumption Sheet'!$C30,0)-IF(JW$1='Assumption Sheet'!$Y30,('Assumption Sheet'!$M30+'Assumption Sheet'!$P30)*'Assumption Sheet'!$R30*'Assumption Sheet'!$C30))/10^7</f>
        <v>0</v>
      </c>
      <c r="JX48" s="33">
        <f>(IF(JX$1='Assumption Sheet'!$L30,('Assumption Sheet'!$M30+'Assumption Sheet'!$P30)*'Assumption Sheet'!$R30*'Assumption Sheet'!$C30,0)-IF(JX$1='Assumption Sheet'!$Y30,('Assumption Sheet'!$M30+'Assumption Sheet'!$P30)*'Assumption Sheet'!$R30*'Assumption Sheet'!$C30))/10^7</f>
        <v>0</v>
      </c>
      <c r="JY48" s="33">
        <f>(IF(JY$1='Assumption Sheet'!$L30,('Assumption Sheet'!$M30+'Assumption Sheet'!$P30)*'Assumption Sheet'!$R30*'Assumption Sheet'!$C30,0)-IF(JY$1='Assumption Sheet'!$Y30,('Assumption Sheet'!$M30+'Assumption Sheet'!$P30)*'Assumption Sheet'!$R30*'Assumption Sheet'!$C30))/10^7</f>
        <v>0</v>
      </c>
      <c r="JZ48" s="33">
        <f>(IF(JZ$1='Assumption Sheet'!$L30,('Assumption Sheet'!$M30+'Assumption Sheet'!$P30)*'Assumption Sheet'!$R30*'Assumption Sheet'!$C30,0)-IF(JZ$1='Assumption Sheet'!$Y30,('Assumption Sheet'!$M30+'Assumption Sheet'!$P30)*'Assumption Sheet'!$R30*'Assumption Sheet'!$C30))/10^7</f>
        <v>0</v>
      </c>
      <c r="KA48" s="33">
        <f>(IF(KA$1='Assumption Sheet'!$L30,('Assumption Sheet'!$M30+'Assumption Sheet'!$P30)*'Assumption Sheet'!$R30*'Assumption Sheet'!$C30,0)-IF(KA$1='Assumption Sheet'!$Y30,('Assumption Sheet'!$M30+'Assumption Sheet'!$P30)*'Assumption Sheet'!$R30*'Assumption Sheet'!$C30))/10^7</f>
        <v>0</v>
      </c>
      <c r="KB48" s="33">
        <f>(IF(KB$1='Assumption Sheet'!$L30,('Assumption Sheet'!$M30+'Assumption Sheet'!$P30)*'Assumption Sheet'!$R30*'Assumption Sheet'!$C30,0)-IF(KB$1='Assumption Sheet'!$Y30,('Assumption Sheet'!$M30+'Assumption Sheet'!$P30)*'Assumption Sheet'!$R30*'Assumption Sheet'!$C30))/10^7</f>
        <v>0</v>
      </c>
      <c r="KC48" s="33">
        <f>(IF(KC$1='Assumption Sheet'!$L30,('Assumption Sheet'!$M30+'Assumption Sheet'!$P30)*'Assumption Sheet'!$R30*'Assumption Sheet'!$C30,0)-IF(KC$1='Assumption Sheet'!$Y30,('Assumption Sheet'!$M30+'Assumption Sheet'!$P30)*'Assumption Sheet'!$R30*'Assumption Sheet'!$C30))/10^7</f>
        <v>0</v>
      </c>
      <c r="KD48" s="45"/>
      <c r="KE48" s="45"/>
      <c r="KF48" s="45"/>
      <c r="KG48" s="45"/>
      <c r="KH48" s="45"/>
      <c r="KI48" s="45"/>
      <c r="KJ48" s="45"/>
      <c r="KK48" s="45"/>
      <c r="KL48" s="45"/>
      <c r="KM48" s="45"/>
      <c r="KN48" s="45"/>
      <c r="KO48" s="45"/>
    </row>
    <row r="49" spans="1:301" x14ac:dyDescent="0.3">
      <c r="B49" s="1" t="str">
        <f>B40</f>
        <v>Phase 4</v>
      </c>
      <c r="C49" s="54">
        <f t="shared" ref="C49" si="148">SUM(E49:EX49)</f>
        <v>5.436752398531965</v>
      </c>
      <c r="D49" s="54"/>
      <c r="E49" s="33">
        <f>(IF(E$1='Assumption Sheet'!$L31,('Assumption Sheet'!$M31+'Assumption Sheet'!$P31)*'Assumption Sheet'!$R31*'Assumption Sheet'!$C31,0)-IF(E$1='Assumption Sheet'!$Y31,('Assumption Sheet'!$M31+'Assumption Sheet'!$P31)*'Assumption Sheet'!$R31*'Assumption Sheet'!$C31))/10^7</f>
        <v>0</v>
      </c>
      <c r="F49" s="33">
        <f>(IF(F$1='Assumption Sheet'!$L31,('Assumption Sheet'!$M31+'Assumption Sheet'!$P31)*'Assumption Sheet'!$R31*'Assumption Sheet'!$C31,0)-IF(F$1='Assumption Sheet'!$Y31,('Assumption Sheet'!$M31+'Assumption Sheet'!$P31)*'Assumption Sheet'!$R31*'Assumption Sheet'!$C31))/10^7</f>
        <v>0</v>
      </c>
      <c r="G49" s="33">
        <f>(IF(G$1='Assumption Sheet'!$L31,('Assumption Sheet'!$M31+'Assumption Sheet'!$P31)*'Assumption Sheet'!$R31*'Assumption Sheet'!$C31,0)-IF(G$1='Assumption Sheet'!$Y31,('Assumption Sheet'!$M31+'Assumption Sheet'!$P31)*'Assumption Sheet'!$R31*'Assumption Sheet'!$C31))/10^7</f>
        <v>0</v>
      </c>
      <c r="H49" s="33">
        <f>(IF(H$1='Assumption Sheet'!$L31,('Assumption Sheet'!$M31+'Assumption Sheet'!$P31)*'Assumption Sheet'!$R31*'Assumption Sheet'!$C31,0)-IF(H$1='Assumption Sheet'!$Y31,('Assumption Sheet'!$M31+'Assumption Sheet'!$P31)*'Assumption Sheet'!$R31*'Assumption Sheet'!$C31))/10^7</f>
        <v>0</v>
      </c>
      <c r="I49" s="33">
        <f>(IF(I$1='Assumption Sheet'!$L31,('Assumption Sheet'!$M31+'Assumption Sheet'!$P31)*'Assumption Sheet'!$R31*'Assumption Sheet'!$C31,0)-IF(I$1='Assumption Sheet'!$Y31,('Assumption Sheet'!$M31+'Assumption Sheet'!$P31)*'Assumption Sheet'!$R31*'Assumption Sheet'!$C31))/10^7</f>
        <v>0</v>
      </c>
      <c r="J49" s="33">
        <f>(IF(J$1='Assumption Sheet'!$L31,('Assumption Sheet'!$M31+'Assumption Sheet'!$P31)*'Assumption Sheet'!$R31*'Assumption Sheet'!$C31,0)-IF(J$1='Assumption Sheet'!$Y31,('Assumption Sheet'!$M31+'Assumption Sheet'!$P31)*'Assumption Sheet'!$R31*'Assumption Sheet'!$C31))/10^7</f>
        <v>0</v>
      </c>
      <c r="K49" s="33">
        <f>(IF(K$1='Assumption Sheet'!$L31,('Assumption Sheet'!$M31+'Assumption Sheet'!$P31)*'Assumption Sheet'!$R31*'Assumption Sheet'!$C31,0)-IF(K$1='Assumption Sheet'!$Y31,('Assumption Sheet'!$M31+'Assumption Sheet'!$P31)*'Assumption Sheet'!$R31*'Assumption Sheet'!$C31))/10^7</f>
        <v>0</v>
      </c>
      <c r="L49" s="33">
        <f>(IF(L$1='Assumption Sheet'!$L31,('Assumption Sheet'!$M31+'Assumption Sheet'!$P31)*'Assumption Sheet'!$R31*'Assumption Sheet'!$C31,0)-IF(L$1='Assumption Sheet'!$Y31,('Assumption Sheet'!$M31+'Assumption Sheet'!$P31)*'Assumption Sheet'!$R31*'Assumption Sheet'!$C31))/10^7</f>
        <v>0</v>
      </c>
      <c r="M49" s="33">
        <f>(IF(M$1='Assumption Sheet'!$L31,('Assumption Sheet'!$M31+'Assumption Sheet'!$P31)*'Assumption Sheet'!$R31*'Assumption Sheet'!$C31,0)-IF(M$1='Assumption Sheet'!$Y31,('Assumption Sheet'!$M31+'Assumption Sheet'!$P31)*'Assumption Sheet'!$R31*'Assumption Sheet'!$C31))/10^7</f>
        <v>0</v>
      </c>
      <c r="N49" s="33">
        <f>(IF(N$1='Assumption Sheet'!$L31,('Assumption Sheet'!$M31+'Assumption Sheet'!$P31)*'Assumption Sheet'!$R31*'Assumption Sheet'!$C31,0)-IF(N$1='Assumption Sheet'!$Y31,('Assumption Sheet'!$M31+'Assumption Sheet'!$P31)*'Assumption Sheet'!$R31*'Assumption Sheet'!$C31))/10^7</f>
        <v>0</v>
      </c>
      <c r="O49" s="33">
        <f>(IF(O$1='Assumption Sheet'!$L31,('Assumption Sheet'!$M31+'Assumption Sheet'!$P31)*'Assumption Sheet'!$R31*'Assumption Sheet'!$C31,0)-IF(O$1='Assumption Sheet'!$Y31,('Assumption Sheet'!$M31+'Assumption Sheet'!$P31)*'Assumption Sheet'!$R31*'Assumption Sheet'!$C31))/10^7</f>
        <v>0</v>
      </c>
      <c r="P49" s="33">
        <f>(IF(P$1='Assumption Sheet'!$L31,('Assumption Sheet'!$M31+'Assumption Sheet'!$P31)*'Assumption Sheet'!$R31*'Assumption Sheet'!$C31,0)-IF(P$1='Assumption Sheet'!$Y31,('Assumption Sheet'!$M31+'Assumption Sheet'!$P31)*'Assumption Sheet'!$R31*'Assumption Sheet'!$C31))/10^7</f>
        <v>0</v>
      </c>
      <c r="Q49" s="33">
        <f>(IF(Q$1='Assumption Sheet'!$L31,('Assumption Sheet'!$M31+'Assumption Sheet'!$P31)*'Assumption Sheet'!$R31*'Assumption Sheet'!$C31,0)-IF(Q$1='Assumption Sheet'!$Y31,('Assumption Sheet'!$M31+'Assumption Sheet'!$P31)*'Assumption Sheet'!$R31*'Assumption Sheet'!$C31))/10^7</f>
        <v>0</v>
      </c>
      <c r="R49" s="33">
        <f>(IF(R$1='Assumption Sheet'!$L31,('Assumption Sheet'!$M31+'Assumption Sheet'!$P31)*'Assumption Sheet'!$R31*'Assumption Sheet'!$C31,0)-IF(R$1='Assumption Sheet'!$Y31,('Assumption Sheet'!$M31+'Assumption Sheet'!$P31)*'Assumption Sheet'!$R31*'Assumption Sheet'!$C31))/10^7</f>
        <v>0</v>
      </c>
      <c r="S49" s="33">
        <f>(IF(S$1='Assumption Sheet'!$L31,('Assumption Sheet'!$M31+'Assumption Sheet'!$P31)*'Assumption Sheet'!$R31*'Assumption Sheet'!$C31,0)-IF(S$1='Assumption Sheet'!$Y31,('Assumption Sheet'!$M31+'Assumption Sheet'!$P31)*'Assumption Sheet'!$R31*'Assumption Sheet'!$C31))/10^7</f>
        <v>0</v>
      </c>
      <c r="T49" s="33">
        <f>(IF(T$1='Assumption Sheet'!$L31,('Assumption Sheet'!$M31+'Assumption Sheet'!$P31)*'Assumption Sheet'!$R31*'Assumption Sheet'!$C31,0)-IF(T$1='Assumption Sheet'!$Y31,('Assumption Sheet'!$M31+'Assumption Sheet'!$P31)*'Assumption Sheet'!$R31*'Assumption Sheet'!$C31))/10^7</f>
        <v>0</v>
      </c>
      <c r="U49" s="33">
        <f>(IF(U$1='Assumption Sheet'!$L31,('Assumption Sheet'!$M31+'Assumption Sheet'!$P31)*'Assumption Sheet'!$R31*'Assumption Sheet'!$C31,0)-IF(U$1='Assumption Sheet'!$Y31,('Assumption Sheet'!$M31+'Assumption Sheet'!$P31)*'Assumption Sheet'!$R31*'Assumption Sheet'!$C31))/10^7</f>
        <v>0</v>
      </c>
      <c r="V49" s="33">
        <f>(IF(V$1='Assumption Sheet'!$L31,('Assumption Sheet'!$M31+'Assumption Sheet'!$P31)*'Assumption Sheet'!$R31*'Assumption Sheet'!$C31,0)-IF(V$1='Assumption Sheet'!$Y31,('Assumption Sheet'!$M31+'Assumption Sheet'!$P31)*'Assumption Sheet'!$R31*'Assumption Sheet'!$C31))/10^7</f>
        <v>0</v>
      </c>
      <c r="W49" s="33">
        <f>(IF(W$1='Assumption Sheet'!$L31,('Assumption Sheet'!$M31+'Assumption Sheet'!$P31)*'Assumption Sheet'!$R31*'Assumption Sheet'!$C31,0)-IF(W$1='Assumption Sheet'!$Y31,('Assumption Sheet'!$M31+'Assumption Sheet'!$P31)*'Assumption Sheet'!$R31*'Assumption Sheet'!$C31))/10^7</f>
        <v>0</v>
      </c>
      <c r="X49" s="33">
        <f>(IF(X$1='Assumption Sheet'!$L31,('Assumption Sheet'!$M31+'Assumption Sheet'!$P31)*'Assumption Sheet'!$R31*'Assumption Sheet'!$C31,0)-IF(X$1='Assumption Sheet'!$Y31,('Assumption Sheet'!$M31+'Assumption Sheet'!$P31)*'Assumption Sheet'!$R31*'Assumption Sheet'!$C31))/10^7</f>
        <v>0</v>
      </c>
      <c r="Y49" s="33">
        <f>(IF(Y$1='Assumption Sheet'!$L31,('Assumption Sheet'!$M31+'Assumption Sheet'!$P31)*'Assumption Sheet'!$R31*'Assumption Sheet'!$C31,0)-IF(Y$1='Assumption Sheet'!$Y31,('Assumption Sheet'!$M31+'Assumption Sheet'!$P31)*'Assumption Sheet'!$R31*'Assumption Sheet'!$C31))/10^7</f>
        <v>0</v>
      </c>
      <c r="Z49" s="33">
        <f>(IF(Z$1='Assumption Sheet'!$L31,('Assumption Sheet'!$M31+'Assumption Sheet'!$P31)*'Assumption Sheet'!$R31*'Assumption Sheet'!$C31,0)-IF(Z$1='Assumption Sheet'!$Y31,('Assumption Sheet'!$M31+'Assumption Sheet'!$P31)*'Assumption Sheet'!$R31*'Assumption Sheet'!$C31))/10^7</f>
        <v>0</v>
      </c>
      <c r="AA49" s="33">
        <f>(IF(AA$1='Assumption Sheet'!$L31,('Assumption Sheet'!$M31+'Assumption Sheet'!$P31)*'Assumption Sheet'!$R31*'Assumption Sheet'!$C31,0)-IF(AA$1='Assumption Sheet'!$Y31,('Assumption Sheet'!$M31+'Assumption Sheet'!$P31)*'Assumption Sheet'!$R31*'Assumption Sheet'!$C31))/10^7</f>
        <v>0</v>
      </c>
      <c r="AB49" s="33">
        <f>(IF(AB$1='Assumption Sheet'!$L31,('Assumption Sheet'!$M31+'Assumption Sheet'!$P31)*'Assumption Sheet'!$R31*'Assumption Sheet'!$C31,0)-IF(AB$1='Assumption Sheet'!$Y31,('Assumption Sheet'!$M31+'Assumption Sheet'!$P31)*'Assumption Sheet'!$R31*'Assumption Sheet'!$C31))/10^7</f>
        <v>0</v>
      </c>
      <c r="AC49" s="33">
        <f>(IF(AC$1='Assumption Sheet'!$L31,('Assumption Sheet'!$M31+'Assumption Sheet'!$P31)*'Assumption Sheet'!$R31*'Assumption Sheet'!$C31,0)-IF(AC$1='Assumption Sheet'!$Y31,('Assumption Sheet'!$M31+'Assumption Sheet'!$P31)*'Assumption Sheet'!$R31*'Assumption Sheet'!$C31))/10^7</f>
        <v>0</v>
      </c>
      <c r="AD49" s="33">
        <f>(IF(AD$1='Assumption Sheet'!$L31,('Assumption Sheet'!$M31+'Assumption Sheet'!$P31)*'Assumption Sheet'!$R31*'Assumption Sheet'!$C31,0)-IF(AD$1='Assumption Sheet'!$Y31,('Assumption Sheet'!$M31+'Assumption Sheet'!$P31)*'Assumption Sheet'!$R31*'Assumption Sheet'!$C31))/10^7</f>
        <v>0</v>
      </c>
      <c r="AE49" s="33">
        <f>(IF(AE$1='Assumption Sheet'!$L31,('Assumption Sheet'!$M31+'Assumption Sheet'!$P31)*'Assumption Sheet'!$R31*'Assumption Sheet'!$C31,0)-IF(AE$1='Assumption Sheet'!$Y31,('Assumption Sheet'!$M31+'Assumption Sheet'!$P31)*'Assumption Sheet'!$R31*'Assumption Sheet'!$C31))/10^7</f>
        <v>0</v>
      </c>
      <c r="AF49" s="33">
        <f>(IF(AF$1='Assumption Sheet'!$L31,('Assumption Sheet'!$M31+'Assumption Sheet'!$P31)*'Assumption Sheet'!$R31*'Assumption Sheet'!$C31,0)-IF(AF$1='Assumption Sheet'!$Y31,('Assumption Sheet'!$M31+'Assumption Sheet'!$P31)*'Assumption Sheet'!$R31*'Assumption Sheet'!$C31))/10^7</f>
        <v>0</v>
      </c>
      <c r="AG49" s="33">
        <f>(IF(AG$1='Assumption Sheet'!$L31,('Assumption Sheet'!$M31+'Assumption Sheet'!$P31)*'Assumption Sheet'!$R31*'Assumption Sheet'!$C31,0)-IF(AG$1='Assumption Sheet'!$Y31,('Assumption Sheet'!$M31+'Assumption Sheet'!$P31)*'Assumption Sheet'!$R31*'Assumption Sheet'!$C31))/10^7</f>
        <v>0</v>
      </c>
      <c r="AH49" s="33">
        <f>(IF(AH$1='Assumption Sheet'!$L31,('Assumption Sheet'!$M31+'Assumption Sheet'!$P31)*'Assumption Sheet'!$R31*'Assumption Sheet'!$C31,0)-IF(AH$1='Assumption Sheet'!$Y31,('Assumption Sheet'!$M31+'Assumption Sheet'!$P31)*'Assumption Sheet'!$R31*'Assumption Sheet'!$C31))/10^7</f>
        <v>0</v>
      </c>
      <c r="AI49" s="33">
        <f>(IF(AI$1='Assumption Sheet'!$L31,('Assumption Sheet'!$M31+'Assumption Sheet'!$P31)*'Assumption Sheet'!$R31*'Assumption Sheet'!$C31,0)-IF(AI$1='Assumption Sheet'!$Y31,('Assumption Sheet'!$M31+'Assumption Sheet'!$P31)*'Assumption Sheet'!$R31*'Assumption Sheet'!$C31))/10^7</f>
        <v>0</v>
      </c>
      <c r="AJ49" s="33">
        <f>(IF(AJ$1='Assumption Sheet'!$L31,('Assumption Sheet'!$M31+'Assumption Sheet'!$P31)*'Assumption Sheet'!$R31*'Assumption Sheet'!$C31,0)-IF(AJ$1='Assumption Sheet'!$Y31,('Assumption Sheet'!$M31+'Assumption Sheet'!$P31)*'Assumption Sheet'!$R31*'Assumption Sheet'!$C31))/10^7</f>
        <v>0</v>
      </c>
      <c r="AK49" s="33">
        <f>(IF(AK$1='Assumption Sheet'!$L31,('Assumption Sheet'!$M31+'Assumption Sheet'!$P31)*'Assumption Sheet'!$R31*'Assumption Sheet'!$C31,0)-IF(AK$1='Assumption Sheet'!$Y31,('Assumption Sheet'!$M31+'Assumption Sheet'!$P31)*'Assumption Sheet'!$R31*'Assumption Sheet'!$C31))/10^7</f>
        <v>0</v>
      </c>
      <c r="AL49" s="33">
        <f>(IF(AL$1='Assumption Sheet'!$L31,('Assumption Sheet'!$M31+'Assumption Sheet'!$P31)*'Assumption Sheet'!$R31*'Assumption Sheet'!$C31,0)-IF(AL$1='Assumption Sheet'!$Y31,('Assumption Sheet'!$M31+'Assumption Sheet'!$P31)*'Assumption Sheet'!$R31*'Assumption Sheet'!$C31))/10^7</f>
        <v>0</v>
      </c>
      <c r="AM49" s="33">
        <f>(IF(AM$1='Assumption Sheet'!$L31,('Assumption Sheet'!$M31+'Assumption Sheet'!$P31)*'Assumption Sheet'!$R31*'Assumption Sheet'!$C31,0)-IF(AM$1='Assumption Sheet'!$Y31,('Assumption Sheet'!$M31+'Assumption Sheet'!$P31)*'Assumption Sheet'!$R31*'Assumption Sheet'!$C31))/10^7</f>
        <v>0</v>
      </c>
      <c r="AN49" s="33">
        <f>(IF(AN$1='Assumption Sheet'!$L31,('Assumption Sheet'!$M31+'Assumption Sheet'!$P31)*'Assumption Sheet'!$R31*'Assumption Sheet'!$C31,0)-IF(AN$1='Assumption Sheet'!$Y31,('Assumption Sheet'!$M31+'Assumption Sheet'!$P31)*'Assumption Sheet'!$R31*'Assumption Sheet'!$C31))/10^7</f>
        <v>0</v>
      </c>
      <c r="AO49" s="33">
        <f>(IF(AO$1='Assumption Sheet'!$L31,('Assumption Sheet'!$M31+'Assumption Sheet'!$P31)*'Assumption Sheet'!$R31*'Assumption Sheet'!$C31,0)-IF(AO$1='Assumption Sheet'!$Y31,('Assumption Sheet'!$M31+'Assumption Sheet'!$P31)*'Assumption Sheet'!$R31*'Assumption Sheet'!$C31))/10^7</f>
        <v>0</v>
      </c>
      <c r="AP49" s="33">
        <f>(IF(AP$1='Assumption Sheet'!$L31,('Assumption Sheet'!$M31+'Assumption Sheet'!$P31)*'Assumption Sheet'!$R31*'Assumption Sheet'!$C31,0)-IF(AP$1='Assumption Sheet'!$Y31,('Assumption Sheet'!$M31+'Assumption Sheet'!$P31)*'Assumption Sheet'!$R31*'Assumption Sheet'!$C31))/10^7</f>
        <v>0</v>
      </c>
      <c r="AQ49" s="33">
        <f>(IF(AQ$1='Assumption Sheet'!$L31,('Assumption Sheet'!$M31+'Assumption Sheet'!$P31)*'Assumption Sheet'!$R31*'Assumption Sheet'!$C31,0)-IF(AQ$1='Assumption Sheet'!$Y31,('Assumption Sheet'!$M31+'Assumption Sheet'!$P31)*'Assumption Sheet'!$R31*'Assumption Sheet'!$C31))/10^7</f>
        <v>0</v>
      </c>
      <c r="AR49" s="33">
        <f>(IF(AR$1='Assumption Sheet'!$L31,('Assumption Sheet'!$M31+'Assumption Sheet'!$P31)*'Assumption Sheet'!$R31*'Assumption Sheet'!$C31,0)-IF(AR$1='Assumption Sheet'!$Y31,('Assumption Sheet'!$M31+'Assumption Sheet'!$P31)*'Assumption Sheet'!$R31*'Assumption Sheet'!$C31))/10^7</f>
        <v>0</v>
      </c>
      <c r="AS49" s="33">
        <f>(IF(AS$1='Assumption Sheet'!$L31,('Assumption Sheet'!$M31+'Assumption Sheet'!$P31)*'Assumption Sheet'!$R31*'Assumption Sheet'!$C31,0)-IF(AS$1='Assumption Sheet'!$Y31,('Assumption Sheet'!$M31+'Assumption Sheet'!$P31)*'Assumption Sheet'!$R31*'Assumption Sheet'!$C31))/10^7</f>
        <v>0</v>
      </c>
      <c r="AT49" s="33">
        <f>(IF(AT$1='Assumption Sheet'!$L31,('Assumption Sheet'!$M31+'Assumption Sheet'!$P31)*'Assumption Sheet'!$R31*'Assumption Sheet'!$C31,0)-IF(AT$1='Assumption Sheet'!$Y31,('Assumption Sheet'!$M31+'Assumption Sheet'!$P31)*'Assumption Sheet'!$R31*'Assumption Sheet'!$C31))/10^7</f>
        <v>0</v>
      </c>
      <c r="AU49" s="33">
        <f>(IF(AU$1='Assumption Sheet'!$L31,('Assumption Sheet'!$M31+'Assumption Sheet'!$P31)*'Assumption Sheet'!$R31*'Assumption Sheet'!$C31,0)-IF(AU$1='Assumption Sheet'!$Y31,('Assumption Sheet'!$M31+'Assumption Sheet'!$P31)*'Assumption Sheet'!$R31*'Assumption Sheet'!$C31))/10^7</f>
        <v>0</v>
      </c>
      <c r="AV49" s="33">
        <f>(IF(AV$1='Assumption Sheet'!$L31,('Assumption Sheet'!$M31+'Assumption Sheet'!$P31)*'Assumption Sheet'!$R31*'Assumption Sheet'!$C31,0)-IF(AV$1='Assumption Sheet'!$Y31,('Assumption Sheet'!$M31+'Assumption Sheet'!$P31)*'Assumption Sheet'!$R31*'Assumption Sheet'!$C31))/10^7</f>
        <v>0</v>
      </c>
      <c r="AW49" s="33">
        <f>(IF(AW$1='Assumption Sheet'!$L31,('Assumption Sheet'!$M31+'Assumption Sheet'!$P31)*'Assumption Sheet'!$R31*'Assumption Sheet'!$C31,0)-IF(AW$1='Assumption Sheet'!$Y31,('Assumption Sheet'!$M31+'Assumption Sheet'!$P31)*'Assumption Sheet'!$R31*'Assumption Sheet'!$C31))/10^7</f>
        <v>0</v>
      </c>
      <c r="AX49" s="33">
        <f>(IF(AX$1='Assumption Sheet'!$L31,('Assumption Sheet'!$M31+'Assumption Sheet'!$P31)*'Assumption Sheet'!$R31*'Assumption Sheet'!$C31,0)-IF(AX$1='Assumption Sheet'!$Y31,('Assumption Sheet'!$M31+'Assumption Sheet'!$P31)*'Assumption Sheet'!$R31*'Assumption Sheet'!$C31))/10^7</f>
        <v>0</v>
      </c>
      <c r="AY49" s="33">
        <f>(IF(AY$1='Assumption Sheet'!$L31,('Assumption Sheet'!$M31+'Assumption Sheet'!$P31)*'Assumption Sheet'!$R31*'Assumption Sheet'!$C31,0)-IF(AY$1='Assumption Sheet'!$Y31,('Assumption Sheet'!$M31+'Assumption Sheet'!$P31)*'Assumption Sheet'!$R31*'Assumption Sheet'!$C31))/10^7</f>
        <v>0</v>
      </c>
      <c r="AZ49" s="33">
        <f>(IF(AZ$1='Assumption Sheet'!$L31,('Assumption Sheet'!$M31+'Assumption Sheet'!$P31)*'Assumption Sheet'!$R31*'Assumption Sheet'!$C31,0)-IF(AZ$1='Assumption Sheet'!$Y31,('Assumption Sheet'!$M31+'Assumption Sheet'!$P31)*'Assumption Sheet'!$R31*'Assumption Sheet'!$C31))/10^7</f>
        <v>0</v>
      </c>
      <c r="BA49" s="33">
        <f>(IF(BA$1='Assumption Sheet'!$L31,('Assumption Sheet'!$M31+'Assumption Sheet'!$P31)*'Assumption Sheet'!$R31*'Assumption Sheet'!$C31,0)-IF(BA$1='Assumption Sheet'!$Y31,('Assumption Sheet'!$M31+'Assumption Sheet'!$P31)*'Assumption Sheet'!$R31*'Assumption Sheet'!$C31))/10^7</f>
        <v>5.436752398531965</v>
      </c>
      <c r="BB49" s="33">
        <f>(IF(BB$1='Assumption Sheet'!$L31,('Assumption Sheet'!$M31+'Assumption Sheet'!$P31)*'Assumption Sheet'!$R31*'Assumption Sheet'!$C31,0)-IF(BB$1='Assumption Sheet'!$Y31,('Assumption Sheet'!$M31+'Assumption Sheet'!$P31)*'Assumption Sheet'!$R31*'Assumption Sheet'!$C31))/10^7</f>
        <v>0</v>
      </c>
      <c r="BC49" s="33">
        <f>(IF(BC$1='Assumption Sheet'!$L31,('Assumption Sheet'!$M31+'Assumption Sheet'!$P31)*'Assumption Sheet'!$R31*'Assumption Sheet'!$C31,0)-IF(BC$1='Assumption Sheet'!$Y31,('Assumption Sheet'!$M31+'Assumption Sheet'!$P31)*'Assumption Sheet'!$R31*'Assumption Sheet'!$C31))/10^7</f>
        <v>0</v>
      </c>
      <c r="BD49" s="33">
        <f>(IF(BD$1='Assumption Sheet'!$L31,('Assumption Sheet'!$M31+'Assumption Sheet'!$P31)*'Assumption Sheet'!$R31*'Assumption Sheet'!$C31,0)-IF(BD$1='Assumption Sheet'!$Y31,('Assumption Sheet'!$M31+'Assumption Sheet'!$P31)*'Assumption Sheet'!$R31*'Assumption Sheet'!$C31))/10^7</f>
        <v>0</v>
      </c>
      <c r="BE49" s="33">
        <f>(IF(BE$1='Assumption Sheet'!$L31,('Assumption Sheet'!$M31+'Assumption Sheet'!$P31)*'Assumption Sheet'!$R31*'Assumption Sheet'!$C31,0)-IF(BE$1='Assumption Sheet'!$Y31,('Assumption Sheet'!$M31+'Assumption Sheet'!$P31)*'Assumption Sheet'!$R31*'Assumption Sheet'!$C31))/10^7</f>
        <v>0</v>
      </c>
      <c r="BF49" s="33">
        <f>(IF(BF$1='Assumption Sheet'!$L31,('Assumption Sheet'!$M31+'Assumption Sheet'!$P31)*'Assumption Sheet'!$R31*'Assumption Sheet'!$C31,0)-IF(BF$1='Assumption Sheet'!$Y31,('Assumption Sheet'!$M31+'Assumption Sheet'!$P31)*'Assumption Sheet'!$R31*'Assumption Sheet'!$C31))/10^7</f>
        <v>0</v>
      </c>
      <c r="BG49" s="33">
        <f>(IF(BG$1='Assumption Sheet'!$L31,('Assumption Sheet'!$M31+'Assumption Sheet'!$P31)*'Assumption Sheet'!$R31*'Assumption Sheet'!$C31,0)-IF(BG$1='Assumption Sheet'!$Y31,('Assumption Sheet'!$M31+'Assumption Sheet'!$P31)*'Assumption Sheet'!$R31*'Assumption Sheet'!$C31))/10^7</f>
        <v>0</v>
      </c>
      <c r="BH49" s="33">
        <f>(IF(BH$1='Assumption Sheet'!$L31,('Assumption Sheet'!$M31+'Assumption Sheet'!$P31)*'Assumption Sheet'!$R31*'Assumption Sheet'!$C31,0)-IF(BH$1='Assumption Sheet'!$Y31,('Assumption Sheet'!$M31+'Assumption Sheet'!$P31)*'Assumption Sheet'!$R31*'Assumption Sheet'!$C31))/10^7</f>
        <v>0</v>
      </c>
      <c r="BI49" s="33">
        <f>(IF(BI$1='Assumption Sheet'!$L31,('Assumption Sheet'!$M31+'Assumption Sheet'!$P31)*'Assumption Sheet'!$R31*'Assumption Sheet'!$C31,0)-IF(BI$1='Assumption Sheet'!$Y31,('Assumption Sheet'!$M31+'Assumption Sheet'!$P31)*'Assumption Sheet'!$R31*'Assumption Sheet'!$C31))/10^7</f>
        <v>0</v>
      </c>
      <c r="BJ49" s="33">
        <f>(IF(BJ$1='Assumption Sheet'!$L31,('Assumption Sheet'!$M31+'Assumption Sheet'!$P31)*'Assumption Sheet'!$R31*'Assumption Sheet'!$C31,0)-IF(BJ$1='Assumption Sheet'!$Y31,('Assumption Sheet'!$M31+'Assumption Sheet'!$P31)*'Assumption Sheet'!$R31*'Assumption Sheet'!$C31))/10^7</f>
        <v>0</v>
      </c>
      <c r="BK49" s="33">
        <f>(IF(BK$1='Assumption Sheet'!$L31,('Assumption Sheet'!$M31+'Assumption Sheet'!$P31)*'Assumption Sheet'!$R31*'Assumption Sheet'!$C31,0)-IF(BK$1='Assumption Sheet'!$Y31,('Assumption Sheet'!$M31+'Assumption Sheet'!$P31)*'Assumption Sheet'!$R31*'Assumption Sheet'!$C31))/10^7</f>
        <v>0</v>
      </c>
      <c r="BL49" s="33">
        <f>(IF(BL$1='Assumption Sheet'!$L31,('Assumption Sheet'!$M31+'Assumption Sheet'!$P31)*'Assumption Sheet'!$R31*'Assumption Sheet'!$C31,0)-IF(BL$1='Assumption Sheet'!$Y31,('Assumption Sheet'!$M31+'Assumption Sheet'!$P31)*'Assumption Sheet'!$R31*'Assumption Sheet'!$C31))/10^7</f>
        <v>0</v>
      </c>
      <c r="BM49" s="33">
        <f>(IF(BM$1='Assumption Sheet'!$L31,('Assumption Sheet'!$M31+'Assumption Sheet'!$P31)*'Assumption Sheet'!$R31*'Assumption Sheet'!$C31,0)-IF(BM$1='Assumption Sheet'!$Y31,('Assumption Sheet'!$M31+'Assumption Sheet'!$P31)*'Assumption Sheet'!$R31*'Assumption Sheet'!$C31))/10^7</f>
        <v>0</v>
      </c>
      <c r="BN49" s="33">
        <f>(IF(BN$1='Assumption Sheet'!$L31,('Assumption Sheet'!$M31+'Assumption Sheet'!$P31)*'Assumption Sheet'!$R31*'Assumption Sheet'!$C31,0)-IF(BN$1='Assumption Sheet'!$Y31,('Assumption Sheet'!$M31+'Assumption Sheet'!$P31)*'Assumption Sheet'!$R31*'Assumption Sheet'!$C31))/10^7</f>
        <v>0</v>
      </c>
      <c r="BO49" s="33">
        <f>(IF(BO$1='Assumption Sheet'!$L31,('Assumption Sheet'!$M31+'Assumption Sheet'!$P31)*'Assumption Sheet'!$R31*'Assumption Sheet'!$C31,0)-IF(BO$1='Assumption Sheet'!$Y31,('Assumption Sheet'!$M31+'Assumption Sheet'!$P31)*'Assumption Sheet'!$R31*'Assumption Sheet'!$C31))/10^7</f>
        <v>0</v>
      </c>
      <c r="BP49" s="33">
        <f>(IF(BP$1='Assumption Sheet'!$L31,('Assumption Sheet'!$M31+'Assumption Sheet'!$P31)*'Assumption Sheet'!$R31*'Assumption Sheet'!$C31,0)-IF(BP$1='Assumption Sheet'!$Y31,('Assumption Sheet'!$M31+'Assumption Sheet'!$P31)*'Assumption Sheet'!$R31*'Assumption Sheet'!$C31))/10^7</f>
        <v>0</v>
      </c>
      <c r="BQ49" s="33">
        <f>(IF(BQ$1='Assumption Sheet'!$L31,('Assumption Sheet'!$M31+'Assumption Sheet'!$P31)*'Assumption Sheet'!$R31*'Assumption Sheet'!$C31,0)-IF(BQ$1='Assumption Sheet'!$Y31,('Assumption Sheet'!$M31+'Assumption Sheet'!$P31)*'Assumption Sheet'!$R31*'Assumption Sheet'!$C31))/10^7</f>
        <v>0</v>
      </c>
      <c r="BR49" s="33">
        <f>(IF(BR$1='Assumption Sheet'!$L31,('Assumption Sheet'!$M31+'Assumption Sheet'!$P31)*'Assumption Sheet'!$R31*'Assumption Sheet'!$C31,0)-IF(BR$1='Assumption Sheet'!$Y31,('Assumption Sheet'!$M31+'Assumption Sheet'!$P31)*'Assumption Sheet'!$R31*'Assumption Sheet'!$C31))/10^7</f>
        <v>0</v>
      </c>
      <c r="BS49" s="33">
        <f>(IF(BS$1='Assumption Sheet'!$L31,('Assumption Sheet'!$M31+'Assumption Sheet'!$P31)*'Assumption Sheet'!$R31*'Assumption Sheet'!$C31,0)-IF(BS$1='Assumption Sheet'!$Y31,('Assumption Sheet'!$M31+'Assumption Sheet'!$P31)*'Assumption Sheet'!$R31*'Assumption Sheet'!$C31))/10^7</f>
        <v>0</v>
      </c>
      <c r="BT49" s="33">
        <f>(IF(BT$1='Assumption Sheet'!$L31,('Assumption Sheet'!$M31+'Assumption Sheet'!$P31)*'Assumption Sheet'!$R31*'Assumption Sheet'!$C31,0)-IF(BT$1='Assumption Sheet'!$Y31,('Assumption Sheet'!$M31+'Assumption Sheet'!$P31)*'Assumption Sheet'!$R31*'Assumption Sheet'!$C31))/10^7</f>
        <v>0</v>
      </c>
      <c r="BU49" s="33">
        <f>(IF(BU$1='Assumption Sheet'!$L31,('Assumption Sheet'!$M31+'Assumption Sheet'!$P31)*'Assumption Sheet'!$R31*'Assumption Sheet'!$C31,0)-IF(BU$1='Assumption Sheet'!$Y31,('Assumption Sheet'!$M31+'Assumption Sheet'!$P31)*'Assumption Sheet'!$R31*'Assumption Sheet'!$C31))/10^7</f>
        <v>0</v>
      </c>
      <c r="BV49" s="33">
        <f>(IF(BV$1='Assumption Sheet'!$L31,('Assumption Sheet'!$M31+'Assumption Sheet'!$P31)*'Assumption Sheet'!$R31*'Assumption Sheet'!$C31,0)-IF(BV$1='Assumption Sheet'!$Y31,('Assumption Sheet'!$M31+'Assumption Sheet'!$P31)*'Assumption Sheet'!$R31*'Assumption Sheet'!$C31))/10^7</f>
        <v>0</v>
      </c>
      <c r="BW49" s="33">
        <f>(IF(BW$1='Assumption Sheet'!$L31,('Assumption Sheet'!$M31+'Assumption Sheet'!$P31)*'Assumption Sheet'!$R31*'Assumption Sheet'!$C31,0)-IF(BW$1='Assumption Sheet'!$Y31,('Assumption Sheet'!$M31+'Assumption Sheet'!$P31)*'Assumption Sheet'!$R31*'Assumption Sheet'!$C31))/10^7</f>
        <v>0</v>
      </c>
      <c r="BX49" s="33">
        <f>(IF(BX$1='Assumption Sheet'!$L31,('Assumption Sheet'!$M31+'Assumption Sheet'!$P31)*'Assumption Sheet'!$R31*'Assumption Sheet'!$C31,0)-IF(BX$1='Assumption Sheet'!$Y31,('Assumption Sheet'!$M31+'Assumption Sheet'!$P31)*'Assumption Sheet'!$R31*'Assumption Sheet'!$C31))/10^7</f>
        <v>0</v>
      </c>
      <c r="BY49" s="33">
        <f>(IF(BY$1='Assumption Sheet'!$L31,('Assumption Sheet'!$M31+'Assumption Sheet'!$P31)*'Assumption Sheet'!$R31*'Assumption Sheet'!$C31,0)-IF(BY$1='Assumption Sheet'!$Y31,('Assumption Sheet'!$M31+'Assumption Sheet'!$P31)*'Assumption Sheet'!$R31*'Assumption Sheet'!$C31))/10^7</f>
        <v>0</v>
      </c>
      <c r="BZ49" s="33">
        <f>(IF(BZ$1='Assumption Sheet'!$L31,('Assumption Sheet'!$M31+'Assumption Sheet'!$P31)*'Assumption Sheet'!$R31*'Assumption Sheet'!$C31,0)-IF(BZ$1='Assumption Sheet'!$Y31,('Assumption Sheet'!$M31+'Assumption Sheet'!$P31)*'Assumption Sheet'!$R31*'Assumption Sheet'!$C31))/10^7</f>
        <v>0</v>
      </c>
      <c r="CA49" s="33">
        <f>(IF(CA$1='Assumption Sheet'!$L31,('Assumption Sheet'!$M31+'Assumption Sheet'!$P31)*'Assumption Sheet'!$R31*'Assumption Sheet'!$C31,0)-IF(CA$1='Assumption Sheet'!$Y31,('Assumption Sheet'!$M31+'Assumption Sheet'!$P31)*'Assumption Sheet'!$R31*'Assumption Sheet'!$C31))/10^7</f>
        <v>0</v>
      </c>
      <c r="CB49" s="33">
        <f>(IF(CB$1='Assumption Sheet'!$L31,('Assumption Sheet'!$M31+'Assumption Sheet'!$P31)*'Assumption Sheet'!$R31*'Assumption Sheet'!$C31,0)-IF(CB$1='Assumption Sheet'!$Y31,('Assumption Sheet'!$M31+'Assumption Sheet'!$P31)*'Assumption Sheet'!$R31*'Assumption Sheet'!$C31))/10^7</f>
        <v>0</v>
      </c>
      <c r="CC49" s="33">
        <f>(IF(CC$1='Assumption Sheet'!$L31,('Assumption Sheet'!$M31+'Assumption Sheet'!$P31)*'Assumption Sheet'!$R31*'Assumption Sheet'!$C31,0)-IF(CC$1='Assumption Sheet'!$Y31,('Assumption Sheet'!$M31+'Assumption Sheet'!$P31)*'Assumption Sheet'!$R31*'Assumption Sheet'!$C31))/10^7</f>
        <v>0</v>
      </c>
      <c r="CD49" s="33">
        <f>(IF(CD$1='Assumption Sheet'!$L31,('Assumption Sheet'!$M31+'Assumption Sheet'!$P31)*'Assumption Sheet'!$R31*'Assumption Sheet'!$C31,0)-IF(CD$1='Assumption Sheet'!$Y31,('Assumption Sheet'!$M31+'Assumption Sheet'!$P31)*'Assumption Sheet'!$R31*'Assumption Sheet'!$C31))/10^7</f>
        <v>0</v>
      </c>
      <c r="CE49" s="33">
        <f>(IF(CE$1='Assumption Sheet'!$L31,('Assumption Sheet'!$M31+'Assumption Sheet'!$P31)*'Assumption Sheet'!$R31*'Assumption Sheet'!$C31,0)-IF(CE$1='Assumption Sheet'!$Y31,('Assumption Sheet'!$M31+'Assumption Sheet'!$P31)*'Assumption Sheet'!$R31*'Assumption Sheet'!$C31))/10^7</f>
        <v>0</v>
      </c>
      <c r="CF49" s="33">
        <f>(IF(CF$1='Assumption Sheet'!$L31,('Assumption Sheet'!$M31+'Assumption Sheet'!$P31)*'Assumption Sheet'!$R31*'Assumption Sheet'!$C31,0)-IF(CF$1='Assumption Sheet'!$Y31,('Assumption Sheet'!$M31+'Assumption Sheet'!$P31)*'Assumption Sheet'!$R31*'Assumption Sheet'!$C31))/10^7</f>
        <v>0</v>
      </c>
      <c r="CG49" s="33">
        <f>(IF(CG$1='Assumption Sheet'!$L31,('Assumption Sheet'!$M31+'Assumption Sheet'!$P31)*'Assumption Sheet'!$R31*'Assumption Sheet'!$C31,0)-IF(CG$1='Assumption Sheet'!$Y31,('Assumption Sheet'!$M31+'Assumption Sheet'!$P31)*'Assumption Sheet'!$R31*'Assumption Sheet'!$C31))/10^7</f>
        <v>0</v>
      </c>
      <c r="CH49" s="33">
        <f>(IF(CH$1='Assumption Sheet'!$L31,('Assumption Sheet'!$M31+'Assumption Sheet'!$P31)*'Assumption Sheet'!$R31*'Assumption Sheet'!$C31,0)-IF(CH$1='Assumption Sheet'!$Y31,('Assumption Sheet'!$M31+'Assumption Sheet'!$P31)*'Assumption Sheet'!$R31*'Assumption Sheet'!$C31))/10^7</f>
        <v>0</v>
      </c>
      <c r="CI49" s="33">
        <f>(IF(CI$1='Assumption Sheet'!$L31,('Assumption Sheet'!$M31+'Assumption Sheet'!$P31)*'Assumption Sheet'!$R31*'Assumption Sheet'!$C31,0)-IF(CI$1='Assumption Sheet'!$Y31,('Assumption Sheet'!$M31+'Assumption Sheet'!$P31)*'Assumption Sheet'!$R31*'Assumption Sheet'!$C31))/10^7</f>
        <v>0</v>
      </c>
      <c r="CJ49" s="33">
        <f>(IF(CJ$1='Assumption Sheet'!$L31,('Assumption Sheet'!$M31+'Assumption Sheet'!$P31)*'Assumption Sheet'!$R31*'Assumption Sheet'!$C31,0)-IF(CJ$1='Assumption Sheet'!$Y31,('Assumption Sheet'!$M31+'Assumption Sheet'!$P31)*'Assumption Sheet'!$R31*'Assumption Sheet'!$C31))/10^7</f>
        <v>0</v>
      </c>
      <c r="CK49" s="33">
        <f>(IF(CK$1='Assumption Sheet'!$L31,('Assumption Sheet'!$M31+'Assumption Sheet'!$P31)*'Assumption Sheet'!$R31*'Assumption Sheet'!$C31,0)-IF(CK$1='Assumption Sheet'!$Y31,('Assumption Sheet'!$M31+'Assumption Sheet'!$P31)*'Assumption Sheet'!$R31*'Assumption Sheet'!$C31))/10^7</f>
        <v>0</v>
      </c>
      <c r="CL49" s="33">
        <f>(IF(CL$1='Assumption Sheet'!$L31,('Assumption Sheet'!$M31+'Assumption Sheet'!$P31)*'Assumption Sheet'!$R31*'Assumption Sheet'!$C31,0)-IF(CL$1='Assumption Sheet'!$Y31,('Assumption Sheet'!$M31+'Assumption Sheet'!$P31)*'Assumption Sheet'!$R31*'Assumption Sheet'!$C31))/10^7</f>
        <v>0</v>
      </c>
      <c r="CM49" s="33">
        <f>(IF(CM$1='Assumption Sheet'!$L31,('Assumption Sheet'!$M31+'Assumption Sheet'!$P31)*'Assumption Sheet'!$R31*'Assumption Sheet'!$C31,0)-IF(CM$1='Assumption Sheet'!$Y31,('Assumption Sheet'!$M31+'Assumption Sheet'!$P31)*'Assumption Sheet'!$R31*'Assumption Sheet'!$C31))/10^7</f>
        <v>0</v>
      </c>
      <c r="CN49" s="33">
        <f>(IF(CN$1='Assumption Sheet'!$L31,('Assumption Sheet'!$M31+'Assumption Sheet'!$P31)*'Assumption Sheet'!$R31*'Assumption Sheet'!$C31,0)-IF(CN$1='Assumption Sheet'!$Y31,('Assumption Sheet'!$M31+'Assumption Sheet'!$P31)*'Assumption Sheet'!$R31*'Assumption Sheet'!$C31))/10^7</f>
        <v>0</v>
      </c>
      <c r="CO49" s="33">
        <f>(IF(CO$1='Assumption Sheet'!$L31,('Assumption Sheet'!$M31+'Assumption Sheet'!$P31)*'Assumption Sheet'!$R31*'Assumption Sheet'!$C31,0)-IF(CO$1='Assumption Sheet'!$Y31,('Assumption Sheet'!$M31+'Assumption Sheet'!$P31)*'Assumption Sheet'!$R31*'Assumption Sheet'!$C31))/10^7</f>
        <v>0</v>
      </c>
      <c r="CP49" s="33">
        <f>(IF(CP$1='Assumption Sheet'!$L31,('Assumption Sheet'!$M31+'Assumption Sheet'!$P31)*'Assumption Sheet'!$R31*'Assumption Sheet'!$C31,0)-IF(CP$1='Assumption Sheet'!$Y31,('Assumption Sheet'!$M31+'Assumption Sheet'!$P31)*'Assumption Sheet'!$R31*'Assumption Sheet'!$C31))/10^7</f>
        <v>0</v>
      </c>
      <c r="CQ49" s="33">
        <f>(IF(CQ$1='Assumption Sheet'!$L31,('Assumption Sheet'!$M31+'Assumption Sheet'!$P31)*'Assumption Sheet'!$R31*'Assumption Sheet'!$C31,0)-IF(CQ$1='Assumption Sheet'!$Y31,('Assumption Sheet'!$M31+'Assumption Sheet'!$P31)*'Assumption Sheet'!$R31*'Assumption Sheet'!$C31))/10^7</f>
        <v>0</v>
      </c>
      <c r="CR49" s="33">
        <f>(IF(CR$1='Assumption Sheet'!$L31,('Assumption Sheet'!$M31+'Assumption Sheet'!$P31)*'Assumption Sheet'!$R31*'Assumption Sheet'!$C31,0)-IF(CR$1='Assumption Sheet'!$Y31,('Assumption Sheet'!$M31+'Assumption Sheet'!$P31)*'Assumption Sheet'!$R31*'Assumption Sheet'!$C31))/10^7</f>
        <v>0</v>
      </c>
      <c r="CS49" s="33">
        <f>(IF(CS$1='Assumption Sheet'!$L31,('Assumption Sheet'!$M31+'Assumption Sheet'!$P31)*'Assumption Sheet'!$R31*'Assumption Sheet'!$C31,0)-IF(CS$1='Assumption Sheet'!$Y31,('Assumption Sheet'!$M31+'Assumption Sheet'!$P31)*'Assumption Sheet'!$R31*'Assumption Sheet'!$C31))/10^7</f>
        <v>0</v>
      </c>
      <c r="CT49" s="33">
        <f>(IF(CT$1='Assumption Sheet'!$L31,('Assumption Sheet'!$M31+'Assumption Sheet'!$P31)*'Assumption Sheet'!$R31*'Assumption Sheet'!$C31,0)-IF(CT$1='Assumption Sheet'!$Y31,('Assumption Sheet'!$M31+'Assumption Sheet'!$P31)*'Assumption Sheet'!$R31*'Assumption Sheet'!$C31))/10^7</f>
        <v>0</v>
      </c>
      <c r="CU49" s="33">
        <f>(IF(CU$1='Assumption Sheet'!$L31,('Assumption Sheet'!$M31+'Assumption Sheet'!$P31)*'Assumption Sheet'!$R31*'Assumption Sheet'!$C31,0)-IF(CU$1='Assumption Sheet'!$Y31,('Assumption Sheet'!$M31+'Assumption Sheet'!$P31)*'Assumption Sheet'!$R31*'Assumption Sheet'!$C31))/10^7</f>
        <v>0</v>
      </c>
      <c r="CV49" s="33">
        <f>(IF(CV$1='Assumption Sheet'!$L31,('Assumption Sheet'!$M31+'Assumption Sheet'!$P31)*'Assumption Sheet'!$R31*'Assumption Sheet'!$C31,0)-IF(CV$1='Assumption Sheet'!$Y31,('Assumption Sheet'!$M31+'Assumption Sheet'!$P31)*'Assumption Sheet'!$R31*'Assumption Sheet'!$C31))/10^7</f>
        <v>0</v>
      </c>
      <c r="CW49" s="33">
        <f>(IF(CW$1='Assumption Sheet'!$L31,('Assumption Sheet'!$M31+'Assumption Sheet'!$P31)*'Assumption Sheet'!$R31*'Assumption Sheet'!$C31,0)-IF(CW$1='Assumption Sheet'!$Y31,('Assumption Sheet'!$M31+'Assumption Sheet'!$P31)*'Assumption Sheet'!$R31*'Assumption Sheet'!$C31))/10^7</f>
        <v>0</v>
      </c>
      <c r="CX49" s="33">
        <f>(IF(CX$1='Assumption Sheet'!$L31,('Assumption Sheet'!$M31+'Assumption Sheet'!$P31)*'Assumption Sheet'!$R31*'Assumption Sheet'!$C31,0)-IF(CX$1='Assumption Sheet'!$Y31,('Assumption Sheet'!$M31+'Assumption Sheet'!$P31)*'Assumption Sheet'!$R31*'Assumption Sheet'!$C31))/10^7</f>
        <v>0</v>
      </c>
      <c r="CY49" s="33">
        <f>(IF(CY$1='Assumption Sheet'!$L31,('Assumption Sheet'!$M31+'Assumption Sheet'!$P31)*'Assumption Sheet'!$R31*'Assumption Sheet'!$C31,0)-IF(CY$1='Assumption Sheet'!$Y31,('Assumption Sheet'!$M31+'Assumption Sheet'!$P31)*'Assumption Sheet'!$R31*'Assumption Sheet'!$C31))/10^7</f>
        <v>0</v>
      </c>
      <c r="CZ49" s="33">
        <f>(IF(CZ$1='Assumption Sheet'!$L31,('Assumption Sheet'!$M31+'Assumption Sheet'!$P31)*'Assumption Sheet'!$R31*'Assumption Sheet'!$C31,0)-IF(CZ$1='Assumption Sheet'!$Y31,('Assumption Sheet'!$M31+'Assumption Sheet'!$P31)*'Assumption Sheet'!$R31*'Assumption Sheet'!$C31))/10^7</f>
        <v>0</v>
      </c>
      <c r="DA49" s="33">
        <f>(IF(DA$1='Assumption Sheet'!$L31,('Assumption Sheet'!$M31+'Assumption Sheet'!$P31)*'Assumption Sheet'!$R31*'Assumption Sheet'!$C31,0)-IF(DA$1='Assumption Sheet'!$Y31,('Assumption Sheet'!$M31+'Assumption Sheet'!$P31)*'Assumption Sheet'!$R31*'Assumption Sheet'!$C31))/10^7</f>
        <v>0</v>
      </c>
      <c r="DB49" s="33">
        <f>(IF(DB$1='Assumption Sheet'!$L31,('Assumption Sheet'!$M31+'Assumption Sheet'!$P31)*'Assumption Sheet'!$R31*'Assumption Sheet'!$C31,0)-IF(DB$1='Assumption Sheet'!$Y31,('Assumption Sheet'!$M31+'Assumption Sheet'!$P31)*'Assumption Sheet'!$R31*'Assumption Sheet'!$C31))/10^7</f>
        <v>0</v>
      </c>
      <c r="DC49" s="33">
        <f>(IF(DC$1='Assumption Sheet'!$L31,('Assumption Sheet'!$M31+'Assumption Sheet'!$P31)*'Assumption Sheet'!$R31*'Assumption Sheet'!$C31,0)-IF(DC$1='Assumption Sheet'!$Y31,('Assumption Sheet'!$M31+'Assumption Sheet'!$P31)*'Assumption Sheet'!$R31*'Assumption Sheet'!$C31))/10^7</f>
        <v>0</v>
      </c>
      <c r="DD49" s="33">
        <f>(IF(DD$1='Assumption Sheet'!$L31,('Assumption Sheet'!$M31+'Assumption Sheet'!$P31)*'Assumption Sheet'!$R31*'Assumption Sheet'!$C31,0)-IF(DD$1='Assumption Sheet'!$Y31,('Assumption Sheet'!$M31+'Assumption Sheet'!$P31)*'Assumption Sheet'!$R31*'Assumption Sheet'!$C31))/10^7</f>
        <v>0</v>
      </c>
      <c r="DE49" s="33">
        <f>(IF(DE$1='Assumption Sheet'!$L31,('Assumption Sheet'!$M31+'Assumption Sheet'!$P31)*'Assumption Sheet'!$R31*'Assumption Sheet'!$C31,0)-IF(DE$1='Assumption Sheet'!$Y31,('Assumption Sheet'!$M31+'Assumption Sheet'!$P31)*'Assumption Sheet'!$R31*'Assumption Sheet'!$C31))/10^7</f>
        <v>0</v>
      </c>
      <c r="DF49" s="33">
        <f>(IF(DF$1='Assumption Sheet'!$L31,('Assumption Sheet'!$M31+'Assumption Sheet'!$P31)*'Assumption Sheet'!$R31*'Assumption Sheet'!$C31,0)-IF(DF$1='Assumption Sheet'!$Y31,('Assumption Sheet'!$M31+'Assumption Sheet'!$P31)*'Assumption Sheet'!$R31*'Assumption Sheet'!$C31))/10^7</f>
        <v>0</v>
      </c>
      <c r="DG49" s="33">
        <f>(IF(DG$1='Assumption Sheet'!$L31,('Assumption Sheet'!$M31+'Assumption Sheet'!$P31)*'Assumption Sheet'!$R31*'Assumption Sheet'!$C31,0)-IF(DG$1='Assumption Sheet'!$Y31,('Assumption Sheet'!$M31+'Assumption Sheet'!$P31)*'Assumption Sheet'!$R31*'Assumption Sheet'!$C31))/10^7</f>
        <v>0</v>
      </c>
      <c r="DH49" s="33">
        <f>(IF(DH$1='Assumption Sheet'!$L31,('Assumption Sheet'!$M31+'Assumption Sheet'!$P31)*'Assumption Sheet'!$R31*'Assumption Sheet'!$C31,0)-IF(DH$1='Assumption Sheet'!$Y31,('Assumption Sheet'!$M31+'Assumption Sheet'!$P31)*'Assumption Sheet'!$R31*'Assumption Sheet'!$C31))/10^7</f>
        <v>0</v>
      </c>
      <c r="DI49" s="33">
        <f>(IF(DI$1='Assumption Sheet'!$L31,('Assumption Sheet'!$M31+'Assumption Sheet'!$P31)*'Assumption Sheet'!$R31*'Assumption Sheet'!$C31,0)-IF(DI$1='Assumption Sheet'!$Y31,('Assumption Sheet'!$M31+'Assumption Sheet'!$P31)*'Assumption Sheet'!$R31*'Assumption Sheet'!$C31))/10^7</f>
        <v>0</v>
      </c>
      <c r="DJ49" s="33">
        <f>(IF(DJ$1='Assumption Sheet'!$L31,('Assumption Sheet'!$M31+'Assumption Sheet'!$P31)*'Assumption Sheet'!$R31*'Assumption Sheet'!$C31,0)-IF(DJ$1='Assumption Sheet'!$Y31,('Assumption Sheet'!$M31+'Assumption Sheet'!$P31)*'Assumption Sheet'!$R31*'Assumption Sheet'!$C31))/10^7</f>
        <v>0</v>
      </c>
      <c r="DK49" s="33">
        <f>(IF(DK$1='Assumption Sheet'!$L31,('Assumption Sheet'!$M31+'Assumption Sheet'!$P31)*'Assumption Sheet'!$R31*'Assumption Sheet'!$C31,0)-IF(DK$1='Assumption Sheet'!$Y31,('Assumption Sheet'!$M31+'Assumption Sheet'!$P31)*'Assumption Sheet'!$R31*'Assumption Sheet'!$C31))/10^7</f>
        <v>0</v>
      </c>
      <c r="DL49" s="33">
        <f>(IF(DL$1='Assumption Sheet'!$L31,('Assumption Sheet'!$M31+'Assumption Sheet'!$P31)*'Assumption Sheet'!$R31*'Assumption Sheet'!$C31,0)-IF(DL$1='Assumption Sheet'!$Y31,('Assumption Sheet'!$M31+'Assumption Sheet'!$P31)*'Assumption Sheet'!$R31*'Assumption Sheet'!$C31))/10^7</f>
        <v>0</v>
      </c>
      <c r="DM49" s="33">
        <f>(IF(DM$1='Assumption Sheet'!$L31,('Assumption Sheet'!$M31+'Assumption Sheet'!$P31)*'Assumption Sheet'!$R31*'Assumption Sheet'!$C31,0)-IF(DM$1='Assumption Sheet'!$Y31,('Assumption Sheet'!$M31+'Assumption Sheet'!$P31)*'Assumption Sheet'!$R31*'Assumption Sheet'!$C31))/10^7</f>
        <v>0</v>
      </c>
      <c r="DN49" s="33">
        <f>(IF(DN$1='Assumption Sheet'!$L31,('Assumption Sheet'!$M31+'Assumption Sheet'!$P31)*'Assumption Sheet'!$R31*'Assumption Sheet'!$C31,0)-IF(DN$1='Assumption Sheet'!$Y31,('Assumption Sheet'!$M31+'Assumption Sheet'!$P31)*'Assumption Sheet'!$R31*'Assumption Sheet'!$C31))/10^7</f>
        <v>0</v>
      </c>
      <c r="DO49" s="33">
        <f>(IF(DO$1='Assumption Sheet'!$L31,('Assumption Sheet'!$M31+'Assumption Sheet'!$P31)*'Assumption Sheet'!$R31*'Assumption Sheet'!$C31,0)-IF(DO$1='Assumption Sheet'!$Y31,('Assumption Sheet'!$M31+'Assumption Sheet'!$P31)*'Assumption Sheet'!$R31*'Assumption Sheet'!$C31))/10^7</f>
        <v>0</v>
      </c>
      <c r="DP49" s="33">
        <f>(IF(DP$1='Assumption Sheet'!$L31,('Assumption Sheet'!$M31+'Assumption Sheet'!$P31)*'Assumption Sheet'!$R31*'Assumption Sheet'!$C31,0)-IF(DP$1='Assumption Sheet'!$Y31,('Assumption Sheet'!$M31+'Assumption Sheet'!$P31)*'Assumption Sheet'!$R31*'Assumption Sheet'!$C31))/10^7</f>
        <v>0</v>
      </c>
      <c r="DQ49" s="33">
        <f>(IF(DQ$1='Assumption Sheet'!$L31,('Assumption Sheet'!$M31+'Assumption Sheet'!$P31)*'Assumption Sheet'!$R31*'Assumption Sheet'!$C31,0)-IF(DQ$1='Assumption Sheet'!$Y31,('Assumption Sheet'!$M31+'Assumption Sheet'!$P31)*'Assumption Sheet'!$R31*'Assumption Sheet'!$C31))/10^7</f>
        <v>0</v>
      </c>
      <c r="DR49" s="33">
        <f>(IF(DR$1='Assumption Sheet'!$L31,('Assumption Sheet'!$M31+'Assumption Sheet'!$P31)*'Assumption Sheet'!$R31*'Assumption Sheet'!$C31,0)-IF(DR$1='Assumption Sheet'!$Y31,('Assumption Sheet'!$M31+'Assumption Sheet'!$P31)*'Assumption Sheet'!$R31*'Assumption Sheet'!$C31))/10^7</f>
        <v>0</v>
      </c>
      <c r="DS49" s="33">
        <f>(IF(DS$1='Assumption Sheet'!$L31,('Assumption Sheet'!$M31+'Assumption Sheet'!$P31)*'Assumption Sheet'!$R31*'Assumption Sheet'!$C31,0)-IF(DS$1='Assumption Sheet'!$Y31,('Assumption Sheet'!$M31+'Assumption Sheet'!$P31)*'Assumption Sheet'!$R31*'Assumption Sheet'!$C31))/10^7</f>
        <v>0</v>
      </c>
      <c r="DT49" s="33">
        <f>(IF(DT$1='Assumption Sheet'!$L31,('Assumption Sheet'!$M31+'Assumption Sheet'!$P31)*'Assumption Sheet'!$R31*'Assumption Sheet'!$C31,0)-IF(DT$1='Assumption Sheet'!$Y31,('Assumption Sheet'!$M31+'Assumption Sheet'!$P31)*'Assumption Sheet'!$R31*'Assumption Sheet'!$C31))/10^7</f>
        <v>0</v>
      </c>
      <c r="DU49" s="33">
        <f>(IF(DU$1='Assumption Sheet'!$L31,('Assumption Sheet'!$M31+'Assumption Sheet'!$P31)*'Assumption Sheet'!$R31*'Assumption Sheet'!$C31,0)-IF(DU$1='Assumption Sheet'!$Y31,('Assumption Sheet'!$M31+'Assumption Sheet'!$P31)*'Assumption Sheet'!$R31*'Assumption Sheet'!$C31))/10^7</f>
        <v>0</v>
      </c>
      <c r="DV49" s="33">
        <f>(IF(DV$1='Assumption Sheet'!$L31,('Assumption Sheet'!$M31+'Assumption Sheet'!$P31)*'Assumption Sheet'!$R31*'Assumption Sheet'!$C31,0)-IF(DV$1='Assumption Sheet'!$Y31,('Assumption Sheet'!$M31+'Assumption Sheet'!$P31)*'Assumption Sheet'!$R31*'Assumption Sheet'!$C31))/10^7</f>
        <v>0</v>
      </c>
      <c r="DW49" s="33">
        <f>(IF(DW$1='Assumption Sheet'!$L31,('Assumption Sheet'!$M31+'Assumption Sheet'!$P31)*'Assumption Sheet'!$R31*'Assumption Sheet'!$C31,0)-IF(DW$1='Assumption Sheet'!$Y31,('Assumption Sheet'!$M31+'Assumption Sheet'!$P31)*'Assumption Sheet'!$R31*'Assumption Sheet'!$C31))/10^7</f>
        <v>0</v>
      </c>
      <c r="DX49" s="33">
        <f>(IF(DX$1='Assumption Sheet'!$L31,('Assumption Sheet'!$M31+'Assumption Sheet'!$P31)*'Assumption Sheet'!$R31*'Assumption Sheet'!$C31,0)-IF(DX$1='Assumption Sheet'!$Y31,('Assumption Sheet'!$M31+'Assumption Sheet'!$P31)*'Assumption Sheet'!$R31*'Assumption Sheet'!$C31))/10^7</f>
        <v>0</v>
      </c>
      <c r="DY49" s="33">
        <f>(IF(DY$1='Assumption Sheet'!$L31,('Assumption Sheet'!$M31+'Assumption Sheet'!$P31)*'Assumption Sheet'!$R31*'Assumption Sheet'!$C31,0)-IF(DY$1='Assumption Sheet'!$Y31,('Assumption Sheet'!$M31+'Assumption Sheet'!$P31)*'Assumption Sheet'!$R31*'Assumption Sheet'!$C31))/10^7</f>
        <v>0</v>
      </c>
      <c r="DZ49" s="33">
        <f>(IF(DZ$1='Assumption Sheet'!$L31,('Assumption Sheet'!$M31+'Assumption Sheet'!$P31)*'Assumption Sheet'!$R31*'Assumption Sheet'!$C31,0)-IF(DZ$1='Assumption Sheet'!$Y31,('Assumption Sheet'!$M31+'Assumption Sheet'!$P31)*'Assumption Sheet'!$R31*'Assumption Sheet'!$C31))/10^7</f>
        <v>0</v>
      </c>
      <c r="EA49" s="33">
        <f>(IF(EA$1='Assumption Sheet'!$L31,('Assumption Sheet'!$M31+'Assumption Sheet'!$P31)*'Assumption Sheet'!$R31*'Assumption Sheet'!$C31,0)-IF(EA$1='Assumption Sheet'!$Y31,('Assumption Sheet'!$M31+'Assumption Sheet'!$P31)*'Assumption Sheet'!$R31*'Assumption Sheet'!$C31))/10^7</f>
        <v>0</v>
      </c>
      <c r="EB49" s="33">
        <f>(IF(EB$1='Assumption Sheet'!$L31,('Assumption Sheet'!$M31+'Assumption Sheet'!$P31)*'Assumption Sheet'!$R31*'Assumption Sheet'!$C31,0)-IF(EB$1='Assumption Sheet'!$Y31,('Assumption Sheet'!$M31+'Assumption Sheet'!$P31)*'Assumption Sheet'!$R31*'Assumption Sheet'!$C31))/10^7</f>
        <v>0</v>
      </c>
      <c r="EC49" s="33">
        <f>(IF(EC$1='Assumption Sheet'!$L31,('Assumption Sheet'!$M31+'Assumption Sheet'!$P31)*'Assumption Sheet'!$R31*'Assumption Sheet'!$C31,0)-IF(EC$1='Assumption Sheet'!$Y31,('Assumption Sheet'!$M31+'Assumption Sheet'!$P31)*'Assumption Sheet'!$R31*'Assumption Sheet'!$C31))/10^7</f>
        <v>0</v>
      </c>
      <c r="ED49" s="33">
        <f>(IF(ED$1='Assumption Sheet'!$L31,('Assumption Sheet'!$M31+'Assumption Sheet'!$P31)*'Assumption Sheet'!$R31*'Assumption Sheet'!$C31,0)-IF(ED$1='Assumption Sheet'!$Y31,('Assumption Sheet'!$M31+'Assumption Sheet'!$P31)*'Assumption Sheet'!$R31*'Assumption Sheet'!$C31))/10^7</f>
        <v>0</v>
      </c>
      <c r="EE49" s="33">
        <f>(IF(EE$1='Assumption Sheet'!$L31,('Assumption Sheet'!$M31+'Assumption Sheet'!$P31)*'Assumption Sheet'!$R31*'Assumption Sheet'!$C31,0)-IF(EE$1='Assumption Sheet'!$Y31,('Assumption Sheet'!$M31+'Assumption Sheet'!$P31)*'Assumption Sheet'!$R31*'Assumption Sheet'!$C31))/10^7</f>
        <v>0</v>
      </c>
      <c r="EF49" s="33">
        <f>(IF(EF$1='Assumption Sheet'!$L31,('Assumption Sheet'!$M31+'Assumption Sheet'!$P31)*'Assumption Sheet'!$R31*'Assumption Sheet'!$C31,0)-IF(EF$1='Assumption Sheet'!$Y31,('Assumption Sheet'!$M31+'Assumption Sheet'!$P31)*'Assumption Sheet'!$R31*'Assumption Sheet'!$C31))/10^7</f>
        <v>0</v>
      </c>
      <c r="EG49" s="33">
        <f>(IF(EG$1='Assumption Sheet'!$L31,('Assumption Sheet'!$M31+'Assumption Sheet'!$P31)*'Assumption Sheet'!$R31*'Assumption Sheet'!$C31,0)-IF(EG$1='Assumption Sheet'!$Y31,('Assumption Sheet'!$M31+'Assumption Sheet'!$P31)*'Assumption Sheet'!$R31*'Assumption Sheet'!$C31))/10^7</f>
        <v>0</v>
      </c>
      <c r="EH49" s="33">
        <f>(IF(EH$1='Assumption Sheet'!$L31,('Assumption Sheet'!$M31+'Assumption Sheet'!$P31)*'Assumption Sheet'!$R31*'Assumption Sheet'!$C31,0)-IF(EH$1='Assumption Sheet'!$Y31,('Assumption Sheet'!$M31+'Assumption Sheet'!$P31)*'Assumption Sheet'!$R31*'Assumption Sheet'!$C31))/10^7</f>
        <v>0</v>
      </c>
      <c r="EI49" s="33">
        <f>(IF(EI$1='Assumption Sheet'!$L31,('Assumption Sheet'!$M31+'Assumption Sheet'!$P31)*'Assumption Sheet'!$R31*'Assumption Sheet'!$C31,0)-IF(EI$1='Assumption Sheet'!$Y31,('Assumption Sheet'!$M31+'Assumption Sheet'!$P31)*'Assumption Sheet'!$R31*'Assumption Sheet'!$C31))/10^7</f>
        <v>0</v>
      </c>
      <c r="EJ49" s="33">
        <f>(IF(EJ$1='Assumption Sheet'!$L31,('Assumption Sheet'!$M31+'Assumption Sheet'!$P31)*'Assumption Sheet'!$R31*'Assumption Sheet'!$C31,0)-IF(EJ$1='Assumption Sheet'!$Y31,('Assumption Sheet'!$M31+'Assumption Sheet'!$P31)*'Assumption Sheet'!$R31*'Assumption Sheet'!$C31))/10^7</f>
        <v>0</v>
      </c>
      <c r="EK49" s="33">
        <f>(IF(EK$1='Assumption Sheet'!$L31,('Assumption Sheet'!$M31+'Assumption Sheet'!$P31)*'Assumption Sheet'!$R31*'Assumption Sheet'!$C31,0)-IF(EK$1='Assumption Sheet'!$Y31,('Assumption Sheet'!$M31+'Assumption Sheet'!$P31)*'Assumption Sheet'!$R31*'Assumption Sheet'!$C31))/10^7</f>
        <v>0</v>
      </c>
      <c r="EL49" s="33">
        <f>(IF(EL$1='Assumption Sheet'!$L31,('Assumption Sheet'!$M31+'Assumption Sheet'!$P31)*'Assumption Sheet'!$R31*'Assumption Sheet'!$C31,0)-IF(EL$1='Assumption Sheet'!$Y31,('Assumption Sheet'!$M31+'Assumption Sheet'!$P31)*'Assumption Sheet'!$R31*'Assumption Sheet'!$C31))/10^7</f>
        <v>0</v>
      </c>
      <c r="EM49" s="33">
        <f>(IF(EM$1='Assumption Sheet'!$L31,('Assumption Sheet'!$M31+'Assumption Sheet'!$P31)*'Assumption Sheet'!$R31*'Assumption Sheet'!$C31,0)-IF(EM$1='Assumption Sheet'!$Y31,('Assumption Sheet'!$M31+'Assumption Sheet'!$P31)*'Assumption Sheet'!$R31*'Assumption Sheet'!$C31))/10^7</f>
        <v>0</v>
      </c>
      <c r="EN49" s="33">
        <f>(IF(EN$1='Assumption Sheet'!$L31,('Assumption Sheet'!$M31+'Assumption Sheet'!$P31)*'Assumption Sheet'!$R31*'Assumption Sheet'!$C31,0)-IF(EN$1='Assumption Sheet'!$Y31,('Assumption Sheet'!$M31+'Assumption Sheet'!$P31)*'Assumption Sheet'!$R31*'Assumption Sheet'!$C31))/10^7</f>
        <v>0</v>
      </c>
      <c r="EO49" s="33">
        <f>(IF(EO$1='Assumption Sheet'!$L31,('Assumption Sheet'!$M31+'Assumption Sheet'!$P31)*'Assumption Sheet'!$R31*'Assumption Sheet'!$C31,0)-IF(EO$1='Assumption Sheet'!$Y31,('Assumption Sheet'!$M31+'Assumption Sheet'!$P31)*'Assumption Sheet'!$R31*'Assumption Sheet'!$C31))/10^7</f>
        <v>0</v>
      </c>
      <c r="EP49" s="33">
        <f>(IF(EP$1='Assumption Sheet'!$L31,('Assumption Sheet'!$M31+'Assumption Sheet'!$P31)*'Assumption Sheet'!$R31*'Assumption Sheet'!$C31,0)-IF(EP$1='Assumption Sheet'!$Y31,('Assumption Sheet'!$M31+'Assumption Sheet'!$P31)*'Assumption Sheet'!$R31*'Assumption Sheet'!$C31))/10^7</f>
        <v>0</v>
      </c>
      <c r="EQ49" s="33">
        <f>(IF(EQ$1='Assumption Sheet'!$L31,('Assumption Sheet'!$M31+'Assumption Sheet'!$P31)*'Assumption Sheet'!$R31*'Assumption Sheet'!$C31,0)-IF(EQ$1='Assumption Sheet'!$Y31,('Assumption Sheet'!$M31+'Assumption Sheet'!$P31)*'Assumption Sheet'!$R31*'Assumption Sheet'!$C31))/10^7</f>
        <v>0</v>
      </c>
      <c r="ER49" s="33">
        <f>(IF(ER$1='Assumption Sheet'!$L31,('Assumption Sheet'!$M31+'Assumption Sheet'!$P31)*'Assumption Sheet'!$R31*'Assumption Sheet'!$C31,0)-IF(ER$1='Assumption Sheet'!$Y31,('Assumption Sheet'!$M31+'Assumption Sheet'!$P31)*'Assumption Sheet'!$R31*'Assumption Sheet'!$C31))/10^7</f>
        <v>0</v>
      </c>
      <c r="ES49" s="33">
        <f>(IF(ES$1='Assumption Sheet'!$L31,('Assumption Sheet'!$M31+'Assumption Sheet'!$P31)*'Assumption Sheet'!$R31*'Assumption Sheet'!$C31,0)-IF(ES$1='Assumption Sheet'!$Y31,('Assumption Sheet'!$M31+'Assumption Sheet'!$P31)*'Assumption Sheet'!$R31*'Assumption Sheet'!$C31))/10^7</f>
        <v>0</v>
      </c>
      <c r="ET49" s="33">
        <f>(IF(ET$1='Assumption Sheet'!$L31,('Assumption Sheet'!$M31+'Assumption Sheet'!$P31)*'Assumption Sheet'!$R31*'Assumption Sheet'!$C31,0)-IF(ET$1='Assumption Sheet'!$Y31,('Assumption Sheet'!$M31+'Assumption Sheet'!$P31)*'Assumption Sheet'!$R31*'Assumption Sheet'!$C31))/10^7</f>
        <v>0</v>
      </c>
      <c r="EU49" s="33">
        <f>(IF(EU$1='Assumption Sheet'!$L31,('Assumption Sheet'!$M31+'Assumption Sheet'!$P31)*'Assumption Sheet'!$R31*'Assumption Sheet'!$C31,0)-IF(EU$1='Assumption Sheet'!$Y31,('Assumption Sheet'!$M31+'Assumption Sheet'!$P31)*'Assumption Sheet'!$R31*'Assumption Sheet'!$C31))/10^7</f>
        <v>0</v>
      </c>
      <c r="EV49" s="33">
        <f>(IF(EV$1='Assumption Sheet'!$L31,('Assumption Sheet'!$M31+'Assumption Sheet'!$P31)*'Assumption Sheet'!$R31*'Assumption Sheet'!$C31,0)-IF(EV$1='Assumption Sheet'!$Y31,('Assumption Sheet'!$M31+'Assumption Sheet'!$P31)*'Assumption Sheet'!$R31*'Assumption Sheet'!$C31))/10^7</f>
        <v>0</v>
      </c>
      <c r="EW49" s="33">
        <f>(IF(EW$1='Assumption Sheet'!$L31,('Assumption Sheet'!$M31+'Assumption Sheet'!$P31)*'Assumption Sheet'!$R31*'Assumption Sheet'!$C31,0)-IF(EW$1='Assumption Sheet'!$Y31,('Assumption Sheet'!$M31+'Assumption Sheet'!$P31)*'Assumption Sheet'!$R31*'Assumption Sheet'!$C31))/10^7</f>
        <v>0</v>
      </c>
      <c r="EX49" s="33">
        <f>(IF(EX$1='Assumption Sheet'!$L31,('Assumption Sheet'!$M31+'Assumption Sheet'!$P31)*'Assumption Sheet'!$R31*'Assumption Sheet'!$C31,0)-IF(EX$1='Assumption Sheet'!$Y31,('Assumption Sheet'!$M31+'Assumption Sheet'!$P31)*'Assumption Sheet'!$R31*'Assumption Sheet'!$C31))/10^7</f>
        <v>0</v>
      </c>
      <c r="EY49" s="33">
        <f>(IF(EY$1='Assumption Sheet'!$L31,('Assumption Sheet'!$M31+'Assumption Sheet'!$P31)*'Assumption Sheet'!$R31*'Assumption Sheet'!$C31,0)-IF(EY$1='Assumption Sheet'!$Y31,('Assumption Sheet'!$M31+'Assumption Sheet'!$P31)*'Assumption Sheet'!$R31*'Assumption Sheet'!$C31))/10^7</f>
        <v>0</v>
      </c>
      <c r="EZ49" s="33">
        <f>(IF(EZ$1='Assumption Sheet'!$L31,('Assumption Sheet'!$M31+'Assumption Sheet'!$P31)*'Assumption Sheet'!$R31*'Assumption Sheet'!$C31,0)-IF(EZ$1='Assumption Sheet'!$Y31,('Assumption Sheet'!$M31+'Assumption Sheet'!$P31)*'Assumption Sheet'!$R31*'Assumption Sheet'!$C31))/10^7</f>
        <v>0</v>
      </c>
      <c r="FA49" s="33">
        <f>(IF(FA$1='Assumption Sheet'!$L31,('Assumption Sheet'!$M31+'Assumption Sheet'!$P31)*'Assumption Sheet'!$R31*'Assumption Sheet'!$C31,0)-IF(FA$1='Assumption Sheet'!$Y31,('Assumption Sheet'!$M31+'Assumption Sheet'!$P31)*'Assumption Sheet'!$R31*'Assumption Sheet'!$C31))/10^7</f>
        <v>0</v>
      </c>
      <c r="FB49" s="33">
        <f>(IF(FB$1='Assumption Sheet'!$L31,('Assumption Sheet'!$M31+'Assumption Sheet'!$P31)*'Assumption Sheet'!$R31*'Assumption Sheet'!$C31,0)-IF(FB$1='Assumption Sheet'!$Y31,('Assumption Sheet'!$M31+'Assumption Sheet'!$P31)*'Assumption Sheet'!$R31*'Assumption Sheet'!$C31))/10^7</f>
        <v>0</v>
      </c>
      <c r="FC49" s="33">
        <f>(IF(FC$1='Assumption Sheet'!$L31,('Assumption Sheet'!$M31+'Assumption Sheet'!$P31)*'Assumption Sheet'!$R31*'Assumption Sheet'!$C31,0)-IF(FC$1='Assumption Sheet'!$Y31,('Assumption Sheet'!$M31+'Assumption Sheet'!$P31)*'Assumption Sheet'!$R31*'Assumption Sheet'!$C31))/10^7</f>
        <v>0</v>
      </c>
      <c r="FD49" s="33">
        <f>(IF(FD$1='Assumption Sheet'!$L31,('Assumption Sheet'!$M31+'Assumption Sheet'!$P31)*'Assumption Sheet'!$R31*'Assumption Sheet'!$C31,0)-IF(FD$1='Assumption Sheet'!$Y31,('Assumption Sheet'!$M31+'Assumption Sheet'!$P31)*'Assumption Sheet'!$R31*'Assumption Sheet'!$C31))/10^7</f>
        <v>0</v>
      </c>
      <c r="FE49" s="33">
        <f>(IF(FE$1='Assumption Sheet'!$L31,('Assumption Sheet'!$M31+'Assumption Sheet'!$P31)*'Assumption Sheet'!$R31*'Assumption Sheet'!$C31,0)-IF(FE$1='Assumption Sheet'!$Y31,('Assumption Sheet'!$M31+'Assumption Sheet'!$P31)*'Assumption Sheet'!$R31*'Assumption Sheet'!$C31))/10^7</f>
        <v>0</v>
      </c>
      <c r="FF49" s="33">
        <f>(IF(FF$1='Assumption Sheet'!$L31,('Assumption Sheet'!$M31+'Assumption Sheet'!$P31)*'Assumption Sheet'!$R31*'Assumption Sheet'!$C31,0)-IF(FF$1='Assumption Sheet'!$Y31,('Assumption Sheet'!$M31+'Assumption Sheet'!$P31)*'Assumption Sheet'!$R31*'Assumption Sheet'!$C31))/10^7</f>
        <v>0</v>
      </c>
      <c r="FG49" s="33">
        <f>(IF(FG$1='Assumption Sheet'!$L31,('Assumption Sheet'!$M31+'Assumption Sheet'!$P31)*'Assumption Sheet'!$R31*'Assumption Sheet'!$C31,0)-IF(FG$1='Assumption Sheet'!$Y31,('Assumption Sheet'!$M31+'Assumption Sheet'!$P31)*'Assumption Sheet'!$R31*'Assumption Sheet'!$C31))/10^7</f>
        <v>0</v>
      </c>
      <c r="FH49" s="33">
        <f>(IF(FH$1='Assumption Sheet'!$L31,('Assumption Sheet'!$M31+'Assumption Sheet'!$P31)*'Assumption Sheet'!$R31*'Assumption Sheet'!$C31,0)-IF(FH$1='Assumption Sheet'!$Y31,('Assumption Sheet'!$M31+'Assumption Sheet'!$P31)*'Assumption Sheet'!$R31*'Assumption Sheet'!$C31))/10^7</f>
        <v>0</v>
      </c>
      <c r="FI49" s="33">
        <f>(IF(FI$1='Assumption Sheet'!$L31,('Assumption Sheet'!$M31+'Assumption Sheet'!$P31)*'Assumption Sheet'!$R31*'Assumption Sheet'!$C31,0)-IF(FI$1='Assumption Sheet'!$Y31,('Assumption Sheet'!$M31+'Assumption Sheet'!$P31)*'Assumption Sheet'!$R31*'Assumption Sheet'!$C31))/10^7</f>
        <v>0</v>
      </c>
      <c r="FJ49" s="33">
        <f>(IF(FJ$1='Assumption Sheet'!$L31,('Assumption Sheet'!$M31+'Assumption Sheet'!$P31)*'Assumption Sheet'!$R31*'Assumption Sheet'!$C31,0)-IF(FJ$1='Assumption Sheet'!$Y31,('Assumption Sheet'!$M31+'Assumption Sheet'!$P31)*'Assumption Sheet'!$R31*'Assumption Sheet'!$C31))/10^7</f>
        <v>0</v>
      </c>
      <c r="FK49" s="33">
        <f>(IF(FK$1='Assumption Sheet'!$L31,('Assumption Sheet'!$M31+'Assumption Sheet'!$P31)*'Assumption Sheet'!$R31*'Assumption Sheet'!$C31,0)-IF(FK$1='Assumption Sheet'!$Y31,('Assumption Sheet'!$M31+'Assumption Sheet'!$P31)*'Assumption Sheet'!$R31*'Assumption Sheet'!$C31))/10^7</f>
        <v>0</v>
      </c>
      <c r="FL49" s="33">
        <f>(IF(FL$1='Assumption Sheet'!$L31,('Assumption Sheet'!$M31+'Assumption Sheet'!$P31)*'Assumption Sheet'!$R31*'Assumption Sheet'!$C31,0)-IF(FL$1='Assumption Sheet'!$Y31,('Assumption Sheet'!$M31+'Assumption Sheet'!$P31)*'Assumption Sheet'!$R31*'Assumption Sheet'!$C31))/10^7</f>
        <v>0</v>
      </c>
      <c r="FM49" s="33">
        <f>(IF(FM$1='Assumption Sheet'!$L31,('Assumption Sheet'!$M31+'Assumption Sheet'!$P31)*'Assumption Sheet'!$R31*'Assumption Sheet'!$C31,0)-IF(FM$1='Assumption Sheet'!$Y31,('Assumption Sheet'!$M31+'Assumption Sheet'!$P31)*'Assumption Sheet'!$R31*'Assumption Sheet'!$C31))/10^7</f>
        <v>0</v>
      </c>
      <c r="FN49" s="33">
        <f>(IF(FN$1='Assumption Sheet'!$L31,('Assumption Sheet'!$M31+'Assumption Sheet'!$P31)*'Assumption Sheet'!$R31*'Assumption Sheet'!$C31,0)-IF(FN$1='Assumption Sheet'!$Y31,('Assumption Sheet'!$M31+'Assumption Sheet'!$P31)*'Assumption Sheet'!$R31*'Assumption Sheet'!$C31))/10^7</f>
        <v>0</v>
      </c>
      <c r="FO49" s="33">
        <f>(IF(FO$1='Assumption Sheet'!$L31,('Assumption Sheet'!$M31+'Assumption Sheet'!$P31)*'Assumption Sheet'!$R31*'Assumption Sheet'!$C31,0)-IF(FO$1='Assumption Sheet'!$Y31,('Assumption Sheet'!$M31+'Assumption Sheet'!$P31)*'Assumption Sheet'!$R31*'Assumption Sheet'!$C31))/10^7</f>
        <v>0</v>
      </c>
      <c r="FP49" s="33">
        <f>(IF(FP$1='Assumption Sheet'!$L31,('Assumption Sheet'!$M31+'Assumption Sheet'!$P31)*'Assumption Sheet'!$R31*'Assumption Sheet'!$C31,0)-IF(FP$1='Assumption Sheet'!$Y31,('Assumption Sheet'!$M31+'Assumption Sheet'!$P31)*'Assumption Sheet'!$R31*'Assumption Sheet'!$C31))/10^7</f>
        <v>0</v>
      </c>
      <c r="FQ49" s="33">
        <f>(IF(FQ$1='Assumption Sheet'!$L31,('Assumption Sheet'!$M31+'Assumption Sheet'!$P31)*'Assumption Sheet'!$R31*'Assumption Sheet'!$C31,0)-IF(FQ$1='Assumption Sheet'!$Y31,('Assumption Sheet'!$M31+'Assumption Sheet'!$P31)*'Assumption Sheet'!$R31*'Assumption Sheet'!$C31))/10^7</f>
        <v>0</v>
      </c>
      <c r="FR49" s="33">
        <f>(IF(FR$1='Assumption Sheet'!$L31,('Assumption Sheet'!$M31+'Assumption Sheet'!$P31)*'Assumption Sheet'!$R31*'Assumption Sheet'!$C31,0)-IF(FR$1='Assumption Sheet'!$Y31,('Assumption Sheet'!$M31+'Assumption Sheet'!$P31)*'Assumption Sheet'!$R31*'Assumption Sheet'!$C31))/10^7</f>
        <v>0</v>
      </c>
      <c r="FS49" s="33">
        <f>(IF(FS$1='Assumption Sheet'!$L31,('Assumption Sheet'!$M31+'Assumption Sheet'!$P31)*'Assumption Sheet'!$R31*'Assumption Sheet'!$C31,0)-IF(FS$1='Assumption Sheet'!$Y31,('Assumption Sheet'!$M31+'Assumption Sheet'!$P31)*'Assumption Sheet'!$R31*'Assumption Sheet'!$C31))/10^7</f>
        <v>0</v>
      </c>
      <c r="FT49" s="33">
        <f>(IF(FT$1='Assumption Sheet'!$L31,('Assumption Sheet'!$M31+'Assumption Sheet'!$P31)*'Assumption Sheet'!$R31*'Assumption Sheet'!$C31,0)-IF(FT$1='Assumption Sheet'!$Y31,('Assumption Sheet'!$M31+'Assumption Sheet'!$P31)*'Assumption Sheet'!$R31*'Assumption Sheet'!$C31))/10^7</f>
        <v>0</v>
      </c>
      <c r="FU49" s="33">
        <f>(IF(FU$1='Assumption Sheet'!$L31,('Assumption Sheet'!$M31+'Assumption Sheet'!$P31)*'Assumption Sheet'!$R31*'Assumption Sheet'!$C31,0)-IF(FU$1='Assumption Sheet'!$Y31,('Assumption Sheet'!$M31+'Assumption Sheet'!$P31)*'Assumption Sheet'!$R31*'Assumption Sheet'!$C31))/10^7</f>
        <v>0</v>
      </c>
      <c r="FV49" s="33">
        <f>(IF(FV$1='Assumption Sheet'!$L31,('Assumption Sheet'!$M31+'Assumption Sheet'!$P31)*'Assumption Sheet'!$R31*'Assumption Sheet'!$C31,0)-IF(FV$1='Assumption Sheet'!$Y31,('Assumption Sheet'!$M31+'Assumption Sheet'!$P31)*'Assumption Sheet'!$R31*'Assumption Sheet'!$C31))/10^7</f>
        <v>0</v>
      </c>
      <c r="FW49" s="33">
        <f>(IF(FW$1='Assumption Sheet'!$L31,('Assumption Sheet'!$M31+'Assumption Sheet'!$P31)*'Assumption Sheet'!$R31*'Assumption Sheet'!$C31,0)-IF(FW$1='Assumption Sheet'!$Y31,('Assumption Sheet'!$M31+'Assumption Sheet'!$P31)*'Assumption Sheet'!$R31*'Assumption Sheet'!$C31))/10^7</f>
        <v>0</v>
      </c>
      <c r="FX49" s="33">
        <f>(IF(FX$1='Assumption Sheet'!$L31,('Assumption Sheet'!$M31+'Assumption Sheet'!$P31)*'Assumption Sheet'!$R31*'Assumption Sheet'!$C31,0)-IF(FX$1='Assumption Sheet'!$Y31,('Assumption Sheet'!$M31+'Assumption Sheet'!$P31)*'Assumption Sheet'!$R31*'Assumption Sheet'!$C31))/10^7</f>
        <v>0</v>
      </c>
      <c r="FY49" s="33">
        <f>(IF(FY$1='Assumption Sheet'!$L31,('Assumption Sheet'!$M31+'Assumption Sheet'!$P31)*'Assumption Sheet'!$R31*'Assumption Sheet'!$C31,0)-IF(FY$1='Assumption Sheet'!$Y31,('Assumption Sheet'!$M31+'Assumption Sheet'!$P31)*'Assumption Sheet'!$R31*'Assumption Sheet'!$C31))/10^7</f>
        <v>0</v>
      </c>
      <c r="FZ49" s="33">
        <f>(IF(FZ$1='Assumption Sheet'!$L31,('Assumption Sheet'!$M31+'Assumption Sheet'!$P31)*'Assumption Sheet'!$R31*'Assumption Sheet'!$C31,0)-IF(FZ$1='Assumption Sheet'!$Y31,('Assumption Sheet'!$M31+'Assumption Sheet'!$P31)*'Assumption Sheet'!$R31*'Assumption Sheet'!$C31))/10^7</f>
        <v>0</v>
      </c>
      <c r="GA49" s="33">
        <f>(IF(GA$1='Assumption Sheet'!$L31,('Assumption Sheet'!$M31+'Assumption Sheet'!$P31)*'Assumption Sheet'!$R31*'Assumption Sheet'!$C31,0)-IF(GA$1='Assumption Sheet'!$Y31,('Assumption Sheet'!$M31+'Assumption Sheet'!$P31)*'Assumption Sheet'!$R31*'Assumption Sheet'!$C31))/10^7</f>
        <v>0</v>
      </c>
      <c r="GB49" s="33">
        <f>(IF(GB$1='Assumption Sheet'!$L31,('Assumption Sheet'!$M31+'Assumption Sheet'!$P31)*'Assumption Sheet'!$R31*'Assumption Sheet'!$C31,0)-IF(GB$1='Assumption Sheet'!$Y31,('Assumption Sheet'!$M31+'Assumption Sheet'!$P31)*'Assumption Sheet'!$R31*'Assumption Sheet'!$C31))/10^7</f>
        <v>0</v>
      </c>
      <c r="GC49" s="33">
        <f>(IF(GC$1='Assumption Sheet'!$L31,('Assumption Sheet'!$M31+'Assumption Sheet'!$P31)*'Assumption Sheet'!$R31*'Assumption Sheet'!$C31,0)-IF(GC$1='Assumption Sheet'!$Y31,('Assumption Sheet'!$M31+'Assumption Sheet'!$P31)*'Assumption Sheet'!$R31*'Assumption Sheet'!$C31))/10^7</f>
        <v>0</v>
      </c>
      <c r="GD49" s="33">
        <f>(IF(GD$1='Assumption Sheet'!$L31,('Assumption Sheet'!$M31+'Assumption Sheet'!$P31)*'Assumption Sheet'!$R31*'Assumption Sheet'!$C31,0)-IF(GD$1='Assumption Sheet'!$Y31,('Assumption Sheet'!$M31+'Assumption Sheet'!$P31)*'Assumption Sheet'!$R31*'Assumption Sheet'!$C31))/10^7</f>
        <v>0</v>
      </c>
      <c r="GE49" s="33">
        <f>(IF(GE$1='Assumption Sheet'!$L31,('Assumption Sheet'!$M31+'Assumption Sheet'!$P31)*'Assumption Sheet'!$R31*'Assumption Sheet'!$C31,0)-IF(GE$1='Assumption Sheet'!$Y31,('Assumption Sheet'!$M31+'Assumption Sheet'!$P31)*'Assumption Sheet'!$R31*'Assumption Sheet'!$C31))/10^7</f>
        <v>0</v>
      </c>
      <c r="GF49" s="33">
        <f>(IF(GF$1='Assumption Sheet'!$L31,('Assumption Sheet'!$M31+'Assumption Sheet'!$P31)*'Assumption Sheet'!$R31*'Assumption Sheet'!$C31,0)-IF(GF$1='Assumption Sheet'!$Y31,('Assumption Sheet'!$M31+'Assumption Sheet'!$P31)*'Assumption Sheet'!$R31*'Assumption Sheet'!$C31))/10^7</f>
        <v>0</v>
      </c>
      <c r="GG49" s="33">
        <f>(IF(GG$1='Assumption Sheet'!$L31,('Assumption Sheet'!$M31+'Assumption Sheet'!$P31)*'Assumption Sheet'!$R31*'Assumption Sheet'!$C31,0)-IF(GG$1='Assumption Sheet'!$Y31,('Assumption Sheet'!$M31+'Assumption Sheet'!$P31)*'Assumption Sheet'!$R31*'Assumption Sheet'!$C31))/10^7</f>
        <v>0</v>
      </c>
      <c r="GH49" s="33">
        <f>(IF(GH$1='Assumption Sheet'!$L31,('Assumption Sheet'!$M31+'Assumption Sheet'!$P31)*'Assumption Sheet'!$R31*'Assumption Sheet'!$C31,0)-IF(GH$1='Assumption Sheet'!$Y31,('Assumption Sheet'!$M31+'Assumption Sheet'!$P31)*'Assumption Sheet'!$R31*'Assumption Sheet'!$C31))/10^7</f>
        <v>0</v>
      </c>
      <c r="GI49" s="33">
        <f>(IF(GI$1='Assumption Sheet'!$L31,('Assumption Sheet'!$M31+'Assumption Sheet'!$P31)*'Assumption Sheet'!$R31*'Assumption Sheet'!$C31,0)-IF(GI$1='Assumption Sheet'!$Y31,('Assumption Sheet'!$M31+'Assumption Sheet'!$P31)*'Assumption Sheet'!$R31*'Assumption Sheet'!$C31))/10^7</f>
        <v>0</v>
      </c>
      <c r="GJ49" s="33">
        <f>(IF(GJ$1='Assumption Sheet'!$L31,('Assumption Sheet'!$M31+'Assumption Sheet'!$P31)*'Assumption Sheet'!$R31*'Assumption Sheet'!$C31,0)-IF(GJ$1='Assumption Sheet'!$Y31,('Assumption Sheet'!$M31+'Assumption Sheet'!$P31)*'Assumption Sheet'!$R31*'Assumption Sheet'!$C31))/10^7</f>
        <v>0</v>
      </c>
      <c r="GK49" s="33">
        <f>(IF(GK$1='Assumption Sheet'!$L31,('Assumption Sheet'!$M31+'Assumption Sheet'!$P31)*'Assumption Sheet'!$R31*'Assumption Sheet'!$C31,0)-IF(GK$1='Assumption Sheet'!$Y31,('Assumption Sheet'!$M31+'Assumption Sheet'!$P31)*'Assumption Sheet'!$R31*'Assumption Sheet'!$C31))/10^7</f>
        <v>0</v>
      </c>
      <c r="GL49" s="33">
        <f>(IF(GL$1='Assumption Sheet'!$L31,('Assumption Sheet'!$M31+'Assumption Sheet'!$P31)*'Assumption Sheet'!$R31*'Assumption Sheet'!$C31,0)-IF(GL$1='Assumption Sheet'!$Y31,('Assumption Sheet'!$M31+'Assumption Sheet'!$P31)*'Assumption Sheet'!$R31*'Assumption Sheet'!$C31))/10^7</f>
        <v>0</v>
      </c>
      <c r="GM49" s="33">
        <f>(IF(GM$1='Assumption Sheet'!$L31,('Assumption Sheet'!$M31+'Assumption Sheet'!$P31)*'Assumption Sheet'!$R31*'Assumption Sheet'!$C31,0)-IF(GM$1='Assumption Sheet'!$Y31,('Assumption Sheet'!$M31+'Assumption Sheet'!$P31)*'Assumption Sheet'!$R31*'Assumption Sheet'!$C31))/10^7</f>
        <v>0</v>
      </c>
      <c r="GN49" s="33">
        <f>(IF(GN$1='Assumption Sheet'!$L31,('Assumption Sheet'!$M31+'Assumption Sheet'!$P31)*'Assumption Sheet'!$R31*'Assumption Sheet'!$C31,0)-IF(GN$1='Assumption Sheet'!$Y31,('Assumption Sheet'!$M31+'Assumption Sheet'!$P31)*'Assumption Sheet'!$R31*'Assumption Sheet'!$C31))/10^7</f>
        <v>0</v>
      </c>
      <c r="GO49" s="33">
        <f>(IF(GO$1='Assumption Sheet'!$L31,('Assumption Sheet'!$M31+'Assumption Sheet'!$P31)*'Assumption Sheet'!$R31*'Assumption Sheet'!$C31,0)-IF(GO$1='Assumption Sheet'!$Y31,('Assumption Sheet'!$M31+'Assumption Sheet'!$P31)*'Assumption Sheet'!$R31*'Assumption Sheet'!$C31))/10^7</f>
        <v>0</v>
      </c>
      <c r="GP49" s="33">
        <f>(IF(GP$1='Assumption Sheet'!$L31,('Assumption Sheet'!$M31+'Assumption Sheet'!$P31)*'Assumption Sheet'!$R31*'Assumption Sheet'!$C31,0)-IF(GP$1='Assumption Sheet'!$Y31,('Assumption Sheet'!$M31+'Assumption Sheet'!$P31)*'Assumption Sheet'!$R31*'Assumption Sheet'!$C31))/10^7</f>
        <v>0</v>
      </c>
      <c r="GQ49" s="33">
        <f>(IF(GQ$1='Assumption Sheet'!$L31,('Assumption Sheet'!$M31+'Assumption Sheet'!$P31)*'Assumption Sheet'!$R31*'Assumption Sheet'!$C31,0)-IF(GQ$1='Assumption Sheet'!$Y31,('Assumption Sheet'!$M31+'Assumption Sheet'!$P31)*'Assumption Sheet'!$R31*'Assumption Sheet'!$C31))/10^7</f>
        <v>0</v>
      </c>
      <c r="GR49" s="33">
        <f>(IF(GR$1='Assumption Sheet'!$L31,('Assumption Sheet'!$M31+'Assumption Sheet'!$P31)*'Assumption Sheet'!$R31*'Assumption Sheet'!$C31,0)-IF(GR$1='Assumption Sheet'!$Y31,('Assumption Sheet'!$M31+'Assumption Sheet'!$P31)*'Assumption Sheet'!$R31*'Assumption Sheet'!$C31))/10^7</f>
        <v>0</v>
      </c>
      <c r="GS49" s="33">
        <f>(IF(GS$1='Assumption Sheet'!$L31,('Assumption Sheet'!$M31+'Assumption Sheet'!$P31)*'Assumption Sheet'!$R31*'Assumption Sheet'!$C31,0)-IF(GS$1='Assumption Sheet'!$Y31,('Assumption Sheet'!$M31+'Assumption Sheet'!$P31)*'Assumption Sheet'!$R31*'Assumption Sheet'!$C31))/10^7</f>
        <v>0</v>
      </c>
      <c r="GT49" s="33">
        <f>(IF(GT$1='Assumption Sheet'!$L31,('Assumption Sheet'!$M31+'Assumption Sheet'!$P31)*'Assumption Sheet'!$R31*'Assumption Sheet'!$C31,0)-IF(GT$1='Assumption Sheet'!$Y31,('Assumption Sheet'!$M31+'Assumption Sheet'!$P31)*'Assumption Sheet'!$R31*'Assumption Sheet'!$C31))/10^7</f>
        <v>0</v>
      </c>
      <c r="GU49" s="33">
        <f>(IF(GU$1='Assumption Sheet'!$L31,('Assumption Sheet'!$M31+'Assumption Sheet'!$P31)*'Assumption Sheet'!$R31*'Assumption Sheet'!$C31,0)-IF(GU$1='Assumption Sheet'!$Y31,('Assumption Sheet'!$M31+'Assumption Sheet'!$P31)*'Assumption Sheet'!$R31*'Assumption Sheet'!$C31))/10^7</f>
        <v>0</v>
      </c>
      <c r="GV49" s="33">
        <f>(IF(GV$1='Assumption Sheet'!$L31,('Assumption Sheet'!$M31+'Assumption Sheet'!$P31)*'Assumption Sheet'!$R31*'Assumption Sheet'!$C31,0)-IF(GV$1='Assumption Sheet'!$Y31,('Assumption Sheet'!$M31+'Assumption Sheet'!$P31)*'Assumption Sheet'!$R31*'Assumption Sheet'!$C31))/10^7</f>
        <v>0</v>
      </c>
      <c r="GW49" s="33">
        <f>(IF(GW$1='Assumption Sheet'!$L31,('Assumption Sheet'!$M31+'Assumption Sheet'!$P31)*'Assumption Sheet'!$R31*'Assumption Sheet'!$C31,0)-IF(GW$1='Assumption Sheet'!$Y31,('Assumption Sheet'!$M31+'Assumption Sheet'!$P31)*'Assumption Sheet'!$R31*'Assumption Sheet'!$C31))/10^7</f>
        <v>0</v>
      </c>
      <c r="GX49" s="33">
        <f>(IF(GX$1='Assumption Sheet'!$L31,('Assumption Sheet'!$M31+'Assumption Sheet'!$P31)*'Assumption Sheet'!$R31*'Assumption Sheet'!$C31,0)-IF(GX$1='Assumption Sheet'!$Y31,('Assumption Sheet'!$M31+'Assumption Sheet'!$P31)*'Assumption Sheet'!$R31*'Assumption Sheet'!$C31))/10^7</f>
        <v>0</v>
      </c>
      <c r="GY49" s="33">
        <f>(IF(GY$1='Assumption Sheet'!$L31,('Assumption Sheet'!$M31+'Assumption Sheet'!$P31)*'Assumption Sheet'!$R31*'Assumption Sheet'!$C31,0)-IF(GY$1='Assumption Sheet'!$Y31,('Assumption Sheet'!$M31+'Assumption Sheet'!$P31)*'Assumption Sheet'!$R31*'Assumption Sheet'!$C31))/10^7</f>
        <v>0</v>
      </c>
      <c r="GZ49" s="33">
        <f>(IF(GZ$1='Assumption Sheet'!$L31,('Assumption Sheet'!$M31+'Assumption Sheet'!$P31)*'Assumption Sheet'!$R31*'Assumption Sheet'!$C31,0)-IF(GZ$1='Assumption Sheet'!$Y31,('Assumption Sheet'!$M31+'Assumption Sheet'!$P31)*'Assumption Sheet'!$R31*'Assumption Sheet'!$C31))/10^7</f>
        <v>0</v>
      </c>
      <c r="HA49" s="33">
        <f>(IF(HA$1='Assumption Sheet'!$L31,('Assumption Sheet'!$M31+'Assumption Sheet'!$P31)*'Assumption Sheet'!$R31*'Assumption Sheet'!$C31,0)-IF(HA$1='Assumption Sheet'!$Y31,('Assumption Sheet'!$M31+'Assumption Sheet'!$P31)*'Assumption Sheet'!$R31*'Assumption Sheet'!$C31))/10^7</f>
        <v>0</v>
      </c>
      <c r="HB49" s="33">
        <f>(IF(HB$1='Assumption Sheet'!$L31,('Assumption Sheet'!$M31+'Assumption Sheet'!$P31)*'Assumption Sheet'!$R31*'Assumption Sheet'!$C31,0)-IF(HB$1='Assumption Sheet'!$Y31,('Assumption Sheet'!$M31+'Assumption Sheet'!$P31)*'Assumption Sheet'!$R31*'Assumption Sheet'!$C31))/10^7</f>
        <v>0</v>
      </c>
      <c r="HC49" s="33">
        <f>(IF(HC$1='Assumption Sheet'!$L31,('Assumption Sheet'!$M31+'Assumption Sheet'!$P31)*'Assumption Sheet'!$R31*'Assumption Sheet'!$C31,0)-IF(HC$1='Assumption Sheet'!$Y31,('Assumption Sheet'!$M31+'Assumption Sheet'!$P31)*'Assumption Sheet'!$R31*'Assumption Sheet'!$C31))/10^7</f>
        <v>0</v>
      </c>
      <c r="HD49" s="33">
        <f>(IF(HD$1='Assumption Sheet'!$L31,('Assumption Sheet'!$M31+'Assumption Sheet'!$P31)*'Assumption Sheet'!$R31*'Assumption Sheet'!$C31,0)-IF(HD$1='Assumption Sheet'!$Y31,('Assumption Sheet'!$M31+'Assumption Sheet'!$P31)*'Assumption Sheet'!$R31*'Assumption Sheet'!$C31))/10^7</f>
        <v>0</v>
      </c>
      <c r="HE49" s="33">
        <f>(IF(HE$1='Assumption Sheet'!$L31,('Assumption Sheet'!$M31+'Assumption Sheet'!$P31)*'Assumption Sheet'!$R31*'Assumption Sheet'!$C31,0)-IF(HE$1='Assumption Sheet'!$Y31,('Assumption Sheet'!$M31+'Assumption Sheet'!$P31)*'Assumption Sheet'!$R31*'Assumption Sheet'!$C31))/10^7</f>
        <v>0</v>
      </c>
      <c r="HF49" s="33">
        <f>(IF(HF$1='Assumption Sheet'!$L31,('Assumption Sheet'!$M31+'Assumption Sheet'!$P31)*'Assumption Sheet'!$R31*'Assumption Sheet'!$C31,0)-IF(HF$1='Assumption Sheet'!$Y31,('Assumption Sheet'!$M31+'Assumption Sheet'!$P31)*'Assumption Sheet'!$R31*'Assumption Sheet'!$C31))/10^7</f>
        <v>0</v>
      </c>
      <c r="HG49" s="33">
        <f>(IF(HG$1='Assumption Sheet'!$L31,('Assumption Sheet'!$M31+'Assumption Sheet'!$P31)*'Assumption Sheet'!$R31*'Assumption Sheet'!$C31,0)-IF(HG$1='Assumption Sheet'!$Y31,('Assumption Sheet'!$M31+'Assumption Sheet'!$P31)*'Assumption Sheet'!$R31*'Assumption Sheet'!$C31))/10^7</f>
        <v>0</v>
      </c>
      <c r="HH49" s="33">
        <f>(IF(HH$1='Assumption Sheet'!$L31,('Assumption Sheet'!$M31+'Assumption Sheet'!$P31)*'Assumption Sheet'!$R31*'Assumption Sheet'!$C31,0)-IF(HH$1='Assumption Sheet'!$Y31,('Assumption Sheet'!$M31+'Assumption Sheet'!$P31)*'Assumption Sheet'!$R31*'Assumption Sheet'!$C31))/10^7</f>
        <v>0</v>
      </c>
      <c r="HI49" s="33">
        <f>(IF(HI$1='Assumption Sheet'!$L31,('Assumption Sheet'!$M31+'Assumption Sheet'!$P31)*'Assumption Sheet'!$R31*'Assumption Sheet'!$C31,0)-IF(HI$1='Assumption Sheet'!$Y31,('Assumption Sheet'!$M31+'Assumption Sheet'!$P31)*'Assumption Sheet'!$R31*'Assumption Sheet'!$C31))/10^7</f>
        <v>0</v>
      </c>
      <c r="HJ49" s="33">
        <f>(IF(HJ$1='Assumption Sheet'!$L31,('Assumption Sheet'!$M31+'Assumption Sheet'!$P31)*'Assumption Sheet'!$R31*'Assumption Sheet'!$C31,0)-IF(HJ$1='Assumption Sheet'!$Y31,('Assumption Sheet'!$M31+'Assumption Sheet'!$P31)*'Assumption Sheet'!$R31*'Assumption Sheet'!$C31))/10^7</f>
        <v>0</v>
      </c>
      <c r="HK49" s="33">
        <f>(IF(HK$1='Assumption Sheet'!$L31,('Assumption Sheet'!$M31+'Assumption Sheet'!$P31)*'Assumption Sheet'!$R31*'Assumption Sheet'!$C31,0)-IF(HK$1='Assumption Sheet'!$Y31,('Assumption Sheet'!$M31+'Assumption Sheet'!$P31)*'Assumption Sheet'!$R31*'Assumption Sheet'!$C31))/10^7</f>
        <v>0</v>
      </c>
      <c r="HL49" s="33">
        <f>(IF(HL$1='Assumption Sheet'!$L31,('Assumption Sheet'!$M31+'Assumption Sheet'!$P31)*'Assumption Sheet'!$R31*'Assumption Sheet'!$C31,0)-IF(HL$1='Assumption Sheet'!$Y31,('Assumption Sheet'!$M31+'Assumption Sheet'!$P31)*'Assumption Sheet'!$R31*'Assumption Sheet'!$C31))/10^7</f>
        <v>0</v>
      </c>
      <c r="HM49" s="33">
        <f>(IF(HM$1='Assumption Sheet'!$L31,('Assumption Sheet'!$M31+'Assumption Sheet'!$P31)*'Assumption Sheet'!$R31*'Assumption Sheet'!$C31,0)-IF(HM$1='Assumption Sheet'!$Y31,('Assumption Sheet'!$M31+'Assumption Sheet'!$P31)*'Assumption Sheet'!$R31*'Assumption Sheet'!$C31))/10^7</f>
        <v>0</v>
      </c>
      <c r="HN49" s="33">
        <f>(IF(HN$1='Assumption Sheet'!$L31,('Assumption Sheet'!$M31+'Assumption Sheet'!$P31)*'Assumption Sheet'!$R31*'Assumption Sheet'!$C31,0)-IF(HN$1='Assumption Sheet'!$Y31,('Assumption Sheet'!$M31+'Assumption Sheet'!$P31)*'Assumption Sheet'!$R31*'Assumption Sheet'!$C31))/10^7</f>
        <v>0</v>
      </c>
      <c r="HO49" s="33">
        <f>(IF(HO$1='Assumption Sheet'!$L31,('Assumption Sheet'!$M31+'Assumption Sheet'!$P31)*'Assumption Sheet'!$R31*'Assumption Sheet'!$C31,0)-IF(HO$1='Assumption Sheet'!$Y31,('Assumption Sheet'!$M31+'Assumption Sheet'!$P31)*'Assumption Sheet'!$R31*'Assumption Sheet'!$C31))/10^7</f>
        <v>0</v>
      </c>
      <c r="HP49" s="33">
        <f>(IF(HP$1='Assumption Sheet'!$L31,('Assumption Sheet'!$M31+'Assumption Sheet'!$P31)*'Assumption Sheet'!$R31*'Assumption Sheet'!$C31,0)-IF(HP$1='Assumption Sheet'!$Y31,('Assumption Sheet'!$M31+'Assumption Sheet'!$P31)*'Assumption Sheet'!$R31*'Assumption Sheet'!$C31))/10^7</f>
        <v>0</v>
      </c>
      <c r="HQ49" s="33">
        <f>(IF(HQ$1='Assumption Sheet'!$L31,('Assumption Sheet'!$M31+'Assumption Sheet'!$P31)*'Assumption Sheet'!$R31*'Assumption Sheet'!$C31,0)-IF(HQ$1='Assumption Sheet'!$Y31,('Assumption Sheet'!$M31+'Assumption Sheet'!$P31)*'Assumption Sheet'!$R31*'Assumption Sheet'!$C31))/10^7</f>
        <v>0</v>
      </c>
      <c r="HR49" s="33">
        <f>(IF(HR$1='Assumption Sheet'!$L31,('Assumption Sheet'!$M31+'Assumption Sheet'!$P31)*'Assumption Sheet'!$R31*'Assumption Sheet'!$C31,0)-IF(HR$1='Assumption Sheet'!$Y31,('Assumption Sheet'!$M31+'Assumption Sheet'!$P31)*'Assumption Sheet'!$R31*'Assumption Sheet'!$C31))/10^7</f>
        <v>0</v>
      </c>
      <c r="HS49" s="33">
        <f>(IF(HS$1='Assumption Sheet'!$L31,('Assumption Sheet'!$M31+'Assumption Sheet'!$P31)*'Assumption Sheet'!$R31*'Assumption Sheet'!$C31,0)-IF(HS$1='Assumption Sheet'!$Y31,('Assumption Sheet'!$M31+'Assumption Sheet'!$P31)*'Assumption Sheet'!$R31*'Assumption Sheet'!$C31))/10^7</f>
        <v>0</v>
      </c>
      <c r="HT49" s="33">
        <f>(IF(HT$1='Assumption Sheet'!$L31,('Assumption Sheet'!$M31+'Assumption Sheet'!$P31)*'Assumption Sheet'!$R31*'Assumption Sheet'!$C31,0)-IF(HT$1='Assumption Sheet'!$Y31,('Assumption Sheet'!$M31+'Assumption Sheet'!$P31)*'Assumption Sheet'!$R31*'Assumption Sheet'!$C31))/10^7</f>
        <v>0</v>
      </c>
      <c r="HU49" s="33">
        <f>(IF(HU$1='Assumption Sheet'!$L31,('Assumption Sheet'!$M31+'Assumption Sheet'!$P31)*'Assumption Sheet'!$R31*'Assumption Sheet'!$C31,0)-IF(HU$1='Assumption Sheet'!$Y31,('Assumption Sheet'!$M31+'Assumption Sheet'!$P31)*'Assumption Sheet'!$R31*'Assumption Sheet'!$C31))/10^7</f>
        <v>0</v>
      </c>
      <c r="HV49" s="33">
        <f>(IF(HV$1='Assumption Sheet'!$L31,('Assumption Sheet'!$M31+'Assumption Sheet'!$P31)*'Assumption Sheet'!$R31*'Assumption Sheet'!$C31,0)-IF(HV$1='Assumption Sheet'!$Y31,('Assumption Sheet'!$M31+'Assumption Sheet'!$P31)*'Assumption Sheet'!$R31*'Assumption Sheet'!$C31))/10^7</f>
        <v>0</v>
      </c>
      <c r="HW49" s="33">
        <f>(IF(HW$1='Assumption Sheet'!$L31,('Assumption Sheet'!$M31+'Assumption Sheet'!$P31)*'Assumption Sheet'!$R31*'Assumption Sheet'!$C31,0)-IF(HW$1='Assumption Sheet'!$Y31,('Assumption Sheet'!$M31+'Assumption Sheet'!$P31)*'Assumption Sheet'!$R31*'Assumption Sheet'!$C31))/10^7</f>
        <v>0</v>
      </c>
      <c r="HX49" s="33">
        <f>(IF(HX$1='Assumption Sheet'!$L31,('Assumption Sheet'!$M31+'Assumption Sheet'!$P31)*'Assumption Sheet'!$R31*'Assumption Sheet'!$C31,0)-IF(HX$1='Assumption Sheet'!$Y31,('Assumption Sheet'!$M31+'Assumption Sheet'!$P31)*'Assumption Sheet'!$R31*'Assumption Sheet'!$C31))/10^7</f>
        <v>0</v>
      </c>
      <c r="HY49" s="33">
        <f>(IF(HY$1='Assumption Sheet'!$L31,('Assumption Sheet'!$M31+'Assumption Sheet'!$P31)*'Assumption Sheet'!$R31*'Assumption Sheet'!$C31,0)-IF(HY$1='Assumption Sheet'!$Y31,('Assumption Sheet'!$M31+'Assumption Sheet'!$P31)*'Assumption Sheet'!$R31*'Assumption Sheet'!$C31))/10^7</f>
        <v>0</v>
      </c>
      <c r="HZ49" s="33">
        <f>(IF(HZ$1='Assumption Sheet'!$L31,('Assumption Sheet'!$M31+'Assumption Sheet'!$P31)*'Assumption Sheet'!$R31*'Assumption Sheet'!$C31,0)-IF(HZ$1='Assumption Sheet'!$Y31,('Assumption Sheet'!$M31+'Assumption Sheet'!$P31)*'Assumption Sheet'!$R31*'Assumption Sheet'!$C31))/10^7</f>
        <v>0</v>
      </c>
      <c r="IA49" s="33">
        <f>(IF(IA$1='Assumption Sheet'!$L31,('Assumption Sheet'!$M31+'Assumption Sheet'!$P31)*'Assumption Sheet'!$R31*'Assumption Sheet'!$C31,0)-IF(IA$1='Assumption Sheet'!$Y31,('Assumption Sheet'!$M31+'Assumption Sheet'!$P31)*'Assumption Sheet'!$R31*'Assumption Sheet'!$C31))/10^7</f>
        <v>0</v>
      </c>
      <c r="IB49" s="33">
        <f>(IF(IB$1='Assumption Sheet'!$L31,('Assumption Sheet'!$M31+'Assumption Sheet'!$P31)*'Assumption Sheet'!$R31*'Assumption Sheet'!$C31,0)-IF(IB$1='Assumption Sheet'!$Y31,('Assumption Sheet'!$M31+'Assumption Sheet'!$P31)*'Assumption Sheet'!$R31*'Assumption Sheet'!$C31))/10^7</f>
        <v>0</v>
      </c>
      <c r="IC49" s="33">
        <f>(IF(IC$1='Assumption Sheet'!$L31,('Assumption Sheet'!$M31+'Assumption Sheet'!$P31)*'Assumption Sheet'!$R31*'Assumption Sheet'!$C31,0)-IF(IC$1='Assumption Sheet'!$Y31,('Assumption Sheet'!$M31+'Assumption Sheet'!$P31)*'Assumption Sheet'!$R31*'Assumption Sheet'!$C31))/10^7</f>
        <v>0</v>
      </c>
      <c r="ID49" s="33">
        <f>(IF(ID$1='Assumption Sheet'!$L31,('Assumption Sheet'!$M31+'Assumption Sheet'!$P31)*'Assumption Sheet'!$R31*'Assumption Sheet'!$C31,0)-IF(ID$1='Assumption Sheet'!$Y31,('Assumption Sheet'!$M31+'Assumption Sheet'!$P31)*'Assumption Sheet'!$R31*'Assumption Sheet'!$C31))/10^7</f>
        <v>0</v>
      </c>
      <c r="IE49" s="33">
        <f>(IF(IE$1='Assumption Sheet'!$L31,('Assumption Sheet'!$M31+'Assumption Sheet'!$P31)*'Assumption Sheet'!$R31*'Assumption Sheet'!$C31,0)-IF(IE$1='Assumption Sheet'!$Y31,('Assumption Sheet'!$M31+'Assumption Sheet'!$P31)*'Assumption Sheet'!$R31*'Assumption Sheet'!$C31))/10^7</f>
        <v>0</v>
      </c>
      <c r="IF49" s="33">
        <f>(IF(IF$1='Assumption Sheet'!$L31,('Assumption Sheet'!$M31+'Assumption Sheet'!$P31)*'Assumption Sheet'!$R31*'Assumption Sheet'!$C31,0)-IF(IF$1='Assumption Sheet'!$Y31,('Assumption Sheet'!$M31+'Assumption Sheet'!$P31)*'Assumption Sheet'!$R31*'Assumption Sheet'!$C31))/10^7</f>
        <v>0</v>
      </c>
      <c r="IG49" s="33">
        <f>(IF(IG$1='Assumption Sheet'!$L31,('Assumption Sheet'!$M31+'Assumption Sheet'!$P31)*'Assumption Sheet'!$R31*'Assumption Sheet'!$C31,0)-IF(IG$1='Assumption Sheet'!$Y31,('Assumption Sheet'!$M31+'Assumption Sheet'!$P31)*'Assumption Sheet'!$R31*'Assumption Sheet'!$C31))/10^7</f>
        <v>0</v>
      </c>
      <c r="IH49" s="33">
        <f>(IF(IH$1='Assumption Sheet'!$L31,('Assumption Sheet'!$M31+'Assumption Sheet'!$P31)*'Assumption Sheet'!$R31*'Assumption Sheet'!$C31,0)-IF(IH$1='Assumption Sheet'!$Y31,('Assumption Sheet'!$M31+'Assumption Sheet'!$P31)*'Assumption Sheet'!$R31*'Assumption Sheet'!$C31))/10^7</f>
        <v>0</v>
      </c>
      <c r="II49" s="33">
        <f>(IF(II$1='Assumption Sheet'!$L31,('Assumption Sheet'!$M31+'Assumption Sheet'!$P31)*'Assumption Sheet'!$R31*'Assumption Sheet'!$C31,0)-IF(II$1='Assumption Sheet'!$Y31,('Assumption Sheet'!$M31+'Assumption Sheet'!$P31)*'Assumption Sheet'!$R31*'Assumption Sheet'!$C31))/10^7</f>
        <v>0</v>
      </c>
      <c r="IJ49" s="33">
        <f>(IF(IJ$1='Assumption Sheet'!$L31,('Assumption Sheet'!$M31+'Assumption Sheet'!$P31)*'Assumption Sheet'!$R31*'Assumption Sheet'!$C31,0)-IF(IJ$1='Assumption Sheet'!$Y31,('Assumption Sheet'!$M31+'Assumption Sheet'!$P31)*'Assumption Sheet'!$R31*'Assumption Sheet'!$C31))/10^7</f>
        <v>0</v>
      </c>
      <c r="IK49" s="33">
        <f>(IF(IK$1='Assumption Sheet'!$L31,('Assumption Sheet'!$M31+'Assumption Sheet'!$P31)*'Assumption Sheet'!$R31*'Assumption Sheet'!$C31,0)-IF(IK$1='Assumption Sheet'!$Y31,('Assumption Sheet'!$M31+'Assumption Sheet'!$P31)*'Assumption Sheet'!$R31*'Assumption Sheet'!$C31))/10^7</f>
        <v>0</v>
      </c>
      <c r="IL49" s="33">
        <f>(IF(IL$1='Assumption Sheet'!$L31,('Assumption Sheet'!$M31+'Assumption Sheet'!$P31)*'Assumption Sheet'!$R31*'Assumption Sheet'!$C31,0)-IF(IL$1='Assumption Sheet'!$Y31,('Assumption Sheet'!$M31+'Assumption Sheet'!$P31)*'Assumption Sheet'!$R31*'Assumption Sheet'!$C31))/10^7</f>
        <v>0</v>
      </c>
      <c r="IM49" s="33">
        <f>(IF(IM$1='Assumption Sheet'!$L31,('Assumption Sheet'!$M31+'Assumption Sheet'!$P31)*'Assumption Sheet'!$R31*'Assumption Sheet'!$C31,0)-IF(IM$1='Assumption Sheet'!$Y31,('Assumption Sheet'!$M31+'Assumption Sheet'!$P31)*'Assumption Sheet'!$R31*'Assumption Sheet'!$C31))/10^7</f>
        <v>0</v>
      </c>
      <c r="IN49" s="33">
        <f>(IF(IN$1='Assumption Sheet'!$L31,('Assumption Sheet'!$M31+'Assumption Sheet'!$P31)*'Assumption Sheet'!$R31*'Assumption Sheet'!$C31,0)-IF(IN$1='Assumption Sheet'!$Y31,('Assumption Sheet'!$M31+'Assumption Sheet'!$P31)*'Assumption Sheet'!$R31*'Assumption Sheet'!$C31))/10^7</f>
        <v>0</v>
      </c>
      <c r="IO49" s="33">
        <f>(IF(IO$1='Assumption Sheet'!$L31,('Assumption Sheet'!$M31+'Assumption Sheet'!$P31)*'Assumption Sheet'!$R31*'Assumption Sheet'!$C31,0)-IF(IO$1='Assumption Sheet'!$Y31,('Assumption Sheet'!$M31+'Assumption Sheet'!$P31)*'Assumption Sheet'!$R31*'Assumption Sheet'!$C31))/10^7</f>
        <v>0</v>
      </c>
      <c r="IP49" s="33">
        <f>(IF(IP$1='Assumption Sheet'!$L31,('Assumption Sheet'!$M31+'Assumption Sheet'!$P31)*'Assumption Sheet'!$R31*'Assumption Sheet'!$C31,0)-IF(IP$1='Assumption Sheet'!$Y31,('Assumption Sheet'!$M31+'Assumption Sheet'!$P31)*'Assumption Sheet'!$R31*'Assumption Sheet'!$C31))/10^7</f>
        <v>0</v>
      </c>
      <c r="IQ49" s="33">
        <f>(IF(IQ$1='Assumption Sheet'!$L31,('Assumption Sheet'!$M31+'Assumption Sheet'!$P31)*'Assumption Sheet'!$R31*'Assumption Sheet'!$C31,0)-IF(IQ$1='Assumption Sheet'!$Y31,('Assumption Sheet'!$M31+'Assumption Sheet'!$P31)*'Assumption Sheet'!$R31*'Assumption Sheet'!$C31))/10^7</f>
        <v>0</v>
      </c>
      <c r="IR49" s="33">
        <f>(IF(IR$1='Assumption Sheet'!$L31,('Assumption Sheet'!$M31+'Assumption Sheet'!$P31)*'Assumption Sheet'!$R31*'Assumption Sheet'!$C31,0)-IF(IR$1='Assumption Sheet'!$Y31,('Assumption Sheet'!$M31+'Assumption Sheet'!$P31)*'Assumption Sheet'!$R31*'Assumption Sheet'!$C31))/10^7</f>
        <v>0</v>
      </c>
      <c r="IS49" s="33">
        <f>(IF(IS$1='Assumption Sheet'!$L31,('Assumption Sheet'!$M31+'Assumption Sheet'!$P31)*'Assumption Sheet'!$R31*'Assumption Sheet'!$C31,0)-IF(IS$1='Assumption Sheet'!$Y31,('Assumption Sheet'!$M31+'Assumption Sheet'!$P31)*'Assumption Sheet'!$R31*'Assumption Sheet'!$C31))/10^7</f>
        <v>0</v>
      </c>
      <c r="IT49" s="33">
        <f>(IF(IT$1='Assumption Sheet'!$L31,('Assumption Sheet'!$M31+'Assumption Sheet'!$P31)*'Assumption Sheet'!$R31*'Assumption Sheet'!$C31,0)-IF(IT$1='Assumption Sheet'!$Y31,('Assumption Sheet'!$M31+'Assumption Sheet'!$P31)*'Assumption Sheet'!$R31*'Assumption Sheet'!$C31))/10^7</f>
        <v>0</v>
      </c>
      <c r="IU49" s="33">
        <f>(IF(IU$1='Assumption Sheet'!$L31,('Assumption Sheet'!$M31+'Assumption Sheet'!$P31)*'Assumption Sheet'!$R31*'Assumption Sheet'!$C31,0)-IF(IU$1='Assumption Sheet'!$Y31,('Assumption Sheet'!$M31+'Assumption Sheet'!$P31)*'Assumption Sheet'!$R31*'Assumption Sheet'!$C31))/10^7</f>
        <v>0</v>
      </c>
      <c r="IV49" s="33">
        <f>(IF(IV$1='Assumption Sheet'!$L31,('Assumption Sheet'!$M31+'Assumption Sheet'!$P31)*'Assumption Sheet'!$R31*'Assumption Sheet'!$C31,0)-IF(IV$1='Assumption Sheet'!$Y31,('Assumption Sheet'!$M31+'Assumption Sheet'!$P31)*'Assumption Sheet'!$R31*'Assumption Sheet'!$C31))/10^7</f>
        <v>0</v>
      </c>
      <c r="IW49" s="33">
        <f>(IF(IW$1='Assumption Sheet'!$L31,('Assumption Sheet'!$M31+'Assumption Sheet'!$P31)*'Assumption Sheet'!$R31*'Assumption Sheet'!$C31,0)-IF(IW$1='Assumption Sheet'!$Y31,('Assumption Sheet'!$M31+'Assumption Sheet'!$P31)*'Assumption Sheet'!$R31*'Assumption Sheet'!$C31))/10^7</f>
        <v>0</v>
      </c>
      <c r="IX49" s="33">
        <f>(IF(IX$1='Assumption Sheet'!$L31,('Assumption Sheet'!$M31+'Assumption Sheet'!$P31)*'Assumption Sheet'!$R31*'Assumption Sheet'!$C31,0)-IF(IX$1='Assumption Sheet'!$Y31,('Assumption Sheet'!$M31+'Assumption Sheet'!$P31)*'Assumption Sheet'!$R31*'Assumption Sheet'!$C31))/10^7</f>
        <v>0</v>
      </c>
      <c r="IY49" s="33">
        <f>(IF(IY$1='Assumption Sheet'!$L31,('Assumption Sheet'!$M31+'Assumption Sheet'!$P31)*'Assumption Sheet'!$R31*'Assumption Sheet'!$C31,0)-IF(IY$1='Assumption Sheet'!$Y31,('Assumption Sheet'!$M31+'Assumption Sheet'!$P31)*'Assumption Sheet'!$R31*'Assumption Sheet'!$C31))/10^7</f>
        <v>0</v>
      </c>
      <c r="IZ49" s="33">
        <f>(IF(IZ$1='Assumption Sheet'!$L31,('Assumption Sheet'!$M31+'Assumption Sheet'!$P31)*'Assumption Sheet'!$R31*'Assumption Sheet'!$C31,0)-IF(IZ$1='Assumption Sheet'!$Y31,('Assumption Sheet'!$M31+'Assumption Sheet'!$P31)*'Assumption Sheet'!$R31*'Assumption Sheet'!$C31))/10^7</f>
        <v>0</v>
      </c>
      <c r="JA49" s="33">
        <f>(IF(JA$1='Assumption Sheet'!$L31,('Assumption Sheet'!$M31+'Assumption Sheet'!$P31)*'Assumption Sheet'!$R31*'Assumption Sheet'!$C31,0)-IF(JA$1='Assumption Sheet'!$Y31,('Assumption Sheet'!$M31+'Assumption Sheet'!$P31)*'Assumption Sheet'!$R31*'Assumption Sheet'!$C31))/10^7</f>
        <v>0</v>
      </c>
      <c r="JB49" s="33">
        <f>(IF(JB$1='Assumption Sheet'!$L31,('Assumption Sheet'!$M31+'Assumption Sheet'!$P31)*'Assumption Sheet'!$R31*'Assumption Sheet'!$C31,0)-IF(JB$1='Assumption Sheet'!$Y31,('Assumption Sheet'!$M31+'Assumption Sheet'!$P31)*'Assumption Sheet'!$R31*'Assumption Sheet'!$C31))/10^7</f>
        <v>0</v>
      </c>
      <c r="JC49" s="33">
        <f>(IF(JC$1='Assumption Sheet'!$L31,('Assumption Sheet'!$M31+'Assumption Sheet'!$P31)*'Assumption Sheet'!$R31*'Assumption Sheet'!$C31,0)-IF(JC$1='Assumption Sheet'!$Y31,('Assumption Sheet'!$M31+'Assumption Sheet'!$P31)*'Assumption Sheet'!$R31*'Assumption Sheet'!$C31))/10^7</f>
        <v>0</v>
      </c>
      <c r="JD49" s="33">
        <f>(IF(JD$1='Assumption Sheet'!$L31,('Assumption Sheet'!$M31+'Assumption Sheet'!$P31)*'Assumption Sheet'!$R31*'Assumption Sheet'!$C31,0)-IF(JD$1='Assumption Sheet'!$Y31,('Assumption Sheet'!$M31+'Assumption Sheet'!$P31)*'Assumption Sheet'!$R31*'Assumption Sheet'!$C31))/10^7</f>
        <v>0</v>
      </c>
      <c r="JE49" s="33">
        <f>(IF(JE$1='Assumption Sheet'!$L31,('Assumption Sheet'!$M31+'Assumption Sheet'!$P31)*'Assumption Sheet'!$R31*'Assumption Sheet'!$C31,0)-IF(JE$1='Assumption Sheet'!$Y31,('Assumption Sheet'!$M31+'Assumption Sheet'!$P31)*'Assumption Sheet'!$R31*'Assumption Sheet'!$C31))/10^7</f>
        <v>0</v>
      </c>
      <c r="JF49" s="33">
        <f>(IF(JF$1='Assumption Sheet'!$L31,('Assumption Sheet'!$M31+'Assumption Sheet'!$P31)*'Assumption Sheet'!$R31*'Assumption Sheet'!$C31,0)-IF(JF$1='Assumption Sheet'!$Y31,('Assumption Sheet'!$M31+'Assumption Sheet'!$P31)*'Assumption Sheet'!$R31*'Assumption Sheet'!$C31))/10^7</f>
        <v>0</v>
      </c>
      <c r="JG49" s="33">
        <f>(IF(JG$1='Assumption Sheet'!$L31,('Assumption Sheet'!$M31+'Assumption Sheet'!$P31)*'Assumption Sheet'!$R31*'Assumption Sheet'!$C31,0)-IF(JG$1='Assumption Sheet'!$Y31,('Assumption Sheet'!$M31+'Assumption Sheet'!$P31)*'Assumption Sheet'!$R31*'Assumption Sheet'!$C31))/10^7</f>
        <v>0</v>
      </c>
      <c r="JH49" s="33">
        <f>(IF(JH$1='Assumption Sheet'!$L31,('Assumption Sheet'!$M31+'Assumption Sheet'!$P31)*'Assumption Sheet'!$R31*'Assumption Sheet'!$C31,0)-IF(JH$1='Assumption Sheet'!$Y31,('Assumption Sheet'!$M31+'Assumption Sheet'!$P31)*'Assumption Sheet'!$R31*'Assumption Sheet'!$C31))/10^7</f>
        <v>0</v>
      </c>
      <c r="JI49" s="33">
        <f>(IF(JI$1='Assumption Sheet'!$L31,('Assumption Sheet'!$M31+'Assumption Sheet'!$P31)*'Assumption Sheet'!$R31*'Assumption Sheet'!$C31,0)-IF(JI$1='Assumption Sheet'!$Y31,('Assumption Sheet'!$M31+'Assumption Sheet'!$P31)*'Assumption Sheet'!$R31*'Assumption Sheet'!$C31))/10^7</f>
        <v>0</v>
      </c>
      <c r="JJ49" s="33">
        <f>(IF(JJ$1='Assumption Sheet'!$L31,('Assumption Sheet'!$M31+'Assumption Sheet'!$P31)*'Assumption Sheet'!$R31*'Assumption Sheet'!$C31,0)-IF(JJ$1='Assumption Sheet'!$Y31,('Assumption Sheet'!$M31+'Assumption Sheet'!$P31)*'Assumption Sheet'!$R31*'Assumption Sheet'!$C31))/10^7</f>
        <v>0</v>
      </c>
      <c r="JK49" s="33">
        <f>(IF(JK$1='Assumption Sheet'!$L31,('Assumption Sheet'!$M31+'Assumption Sheet'!$P31)*'Assumption Sheet'!$R31*'Assumption Sheet'!$C31,0)-IF(JK$1='Assumption Sheet'!$Y31,('Assumption Sheet'!$M31+'Assumption Sheet'!$P31)*'Assumption Sheet'!$R31*'Assumption Sheet'!$C31))/10^7</f>
        <v>0</v>
      </c>
      <c r="JL49" s="33">
        <f>(IF(JL$1='Assumption Sheet'!$L31,('Assumption Sheet'!$M31+'Assumption Sheet'!$P31)*'Assumption Sheet'!$R31*'Assumption Sheet'!$C31,0)-IF(JL$1='Assumption Sheet'!$Y31,('Assumption Sheet'!$M31+'Assumption Sheet'!$P31)*'Assumption Sheet'!$R31*'Assumption Sheet'!$C31))/10^7</f>
        <v>0</v>
      </c>
      <c r="JM49" s="33">
        <f>(IF(JM$1='Assumption Sheet'!$L31,('Assumption Sheet'!$M31+'Assumption Sheet'!$P31)*'Assumption Sheet'!$R31*'Assumption Sheet'!$C31,0)-IF(JM$1='Assumption Sheet'!$Y31,('Assumption Sheet'!$M31+'Assumption Sheet'!$P31)*'Assumption Sheet'!$R31*'Assumption Sheet'!$C31))/10^7</f>
        <v>0</v>
      </c>
      <c r="JN49" s="33">
        <f>(IF(JN$1='Assumption Sheet'!$L31,('Assumption Sheet'!$M31+'Assumption Sheet'!$P31)*'Assumption Sheet'!$R31*'Assumption Sheet'!$C31,0)-IF(JN$1='Assumption Sheet'!$Y31,('Assumption Sheet'!$M31+'Assumption Sheet'!$P31)*'Assumption Sheet'!$R31*'Assumption Sheet'!$C31))/10^7</f>
        <v>0</v>
      </c>
      <c r="JO49" s="33">
        <f>(IF(JO$1='Assumption Sheet'!$L31,('Assumption Sheet'!$M31+'Assumption Sheet'!$P31)*'Assumption Sheet'!$R31*'Assumption Sheet'!$C31,0)-IF(JO$1='Assumption Sheet'!$Y31,('Assumption Sheet'!$M31+'Assumption Sheet'!$P31)*'Assumption Sheet'!$R31*'Assumption Sheet'!$C31))/10^7</f>
        <v>0</v>
      </c>
      <c r="JP49" s="33">
        <f>(IF(JP$1='Assumption Sheet'!$L31,('Assumption Sheet'!$M31+'Assumption Sheet'!$P31)*'Assumption Sheet'!$R31*'Assumption Sheet'!$C31,0)-IF(JP$1='Assumption Sheet'!$Y31,('Assumption Sheet'!$M31+'Assumption Sheet'!$P31)*'Assumption Sheet'!$R31*'Assumption Sheet'!$C31))/10^7</f>
        <v>0</v>
      </c>
      <c r="JQ49" s="33">
        <f>(IF(JQ$1='Assumption Sheet'!$L31,('Assumption Sheet'!$M31+'Assumption Sheet'!$P31)*'Assumption Sheet'!$R31*'Assumption Sheet'!$C31,0)-IF(JQ$1='Assumption Sheet'!$Y31,('Assumption Sheet'!$M31+'Assumption Sheet'!$P31)*'Assumption Sheet'!$R31*'Assumption Sheet'!$C31))/10^7</f>
        <v>0</v>
      </c>
      <c r="JR49" s="33">
        <f>(IF(JR$1='Assumption Sheet'!$L31,('Assumption Sheet'!$M31+'Assumption Sheet'!$P31)*'Assumption Sheet'!$R31*'Assumption Sheet'!$C31,0)-IF(JR$1='Assumption Sheet'!$Y31,('Assumption Sheet'!$M31+'Assumption Sheet'!$P31)*'Assumption Sheet'!$R31*'Assumption Sheet'!$C31))/10^7</f>
        <v>0</v>
      </c>
      <c r="JS49" s="33">
        <f>(IF(JS$1='Assumption Sheet'!$L31,('Assumption Sheet'!$M31+'Assumption Sheet'!$P31)*'Assumption Sheet'!$R31*'Assumption Sheet'!$C31,0)-IF(JS$1='Assumption Sheet'!$Y31,('Assumption Sheet'!$M31+'Assumption Sheet'!$P31)*'Assumption Sheet'!$R31*'Assumption Sheet'!$C31))/10^7</f>
        <v>0</v>
      </c>
      <c r="JT49" s="33">
        <f>(IF(JT$1='Assumption Sheet'!$L31,('Assumption Sheet'!$M31+'Assumption Sheet'!$P31)*'Assumption Sheet'!$R31*'Assumption Sheet'!$C31,0)-IF(JT$1='Assumption Sheet'!$Y31,('Assumption Sheet'!$M31+'Assumption Sheet'!$P31)*'Assumption Sheet'!$R31*'Assumption Sheet'!$C31))/10^7</f>
        <v>0</v>
      </c>
      <c r="JU49" s="33">
        <f>(IF(JU$1='Assumption Sheet'!$L31,('Assumption Sheet'!$M31+'Assumption Sheet'!$P31)*'Assumption Sheet'!$R31*'Assumption Sheet'!$C31,0)-IF(JU$1='Assumption Sheet'!$Y31,('Assumption Sheet'!$M31+'Assumption Sheet'!$P31)*'Assumption Sheet'!$R31*'Assumption Sheet'!$C31))/10^7</f>
        <v>0</v>
      </c>
      <c r="JV49" s="33">
        <f>(IF(JV$1='Assumption Sheet'!$L31,('Assumption Sheet'!$M31+'Assumption Sheet'!$P31)*'Assumption Sheet'!$R31*'Assumption Sheet'!$C31,0)-IF(JV$1='Assumption Sheet'!$Y31,('Assumption Sheet'!$M31+'Assumption Sheet'!$P31)*'Assumption Sheet'!$R31*'Assumption Sheet'!$C31))/10^7</f>
        <v>0</v>
      </c>
      <c r="JW49" s="33">
        <f>(IF(JW$1='Assumption Sheet'!$L31,('Assumption Sheet'!$M31+'Assumption Sheet'!$P31)*'Assumption Sheet'!$R31*'Assumption Sheet'!$C31,0)-IF(JW$1='Assumption Sheet'!$Y31,('Assumption Sheet'!$M31+'Assumption Sheet'!$P31)*'Assumption Sheet'!$R31*'Assumption Sheet'!$C31))/10^7</f>
        <v>0</v>
      </c>
      <c r="JX49" s="33">
        <f>(IF(JX$1='Assumption Sheet'!$L31,('Assumption Sheet'!$M31+'Assumption Sheet'!$P31)*'Assumption Sheet'!$R31*'Assumption Sheet'!$C31,0)-IF(JX$1='Assumption Sheet'!$Y31,('Assumption Sheet'!$M31+'Assumption Sheet'!$P31)*'Assumption Sheet'!$R31*'Assumption Sheet'!$C31))/10^7</f>
        <v>0</v>
      </c>
      <c r="JY49" s="33">
        <f>(IF(JY$1='Assumption Sheet'!$L31,('Assumption Sheet'!$M31+'Assumption Sheet'!$P31)*'Assumption Sheet'!$R31*'Assumption Sheet'!$C31,0)-IF(JY$1='Assumption Sheet'!$Y31,('Assumption Sheet'!$M31+'Assumption Sheet'!$P31)*'Assumption Sheet'!$R31*'Assumption Sheet'!$C31))/10^7</f>
        <v>0</v>
      </c>
      <c r="JZ49" s="33">
        <f>(IF(JZ$1='Assumption Sheet'!$L31,('Assumption Sheet'!$M31+'Assumption Sheet'!$P31)*'Assumption Sheet'!$R31*'Assumption Sheet'!$C31,0)-IF(JZ$1='Assumption Sheet'!$Y31,('Assumption Sheet'!$M31+'Assumption Sheet'!$P31)*'Assumption Sheet'!$R31*'Assumption Sheet'!$C31))/10^7</f>
        <v>-5.436752398531965</v>
      </c>
      <c r="KA49" s="33">
        <f>(IF(KA$1='Assumption Sheet'!$L31,('Assumption Sheet'!$M31+'Assumption Sheet'!$P31)*'Assumption Sheet'!$R31*'Assumption Sheet'!$C31,0)-IF(KA$1='Assumption Sheet'!$Y31,('Assumption Sheet'!$M31+'Assumption Sheet'!$P31)*'Assumption Sheet'!$R31*'Assumption Sheet'!$C31))/10^7</f>
        <v>0</v>
      </c>
      <c r="KB49" s="33">
        <f>(IF(KB$1='Assumption Sheet'!$L31,('Assumption Sheet'!$M31+'Assumption Sheet'!$P31)*'Assumption Sheet'!$R31*'Assumption Sheet'!$C31,0)-IF(KB$1='Assumption Sheet'!$Y31,('Assumption Sheet'!$M31+'Assumption Sheet'!$P31)*'Assumption Sheet'!$R31*'Assumption Sheet'!$C31))/10^7</f>
        <v>0</v>
      </c>
      <c r="KC49" s="33">
        <f>(IF(KC$1='Assumption Sheet'!$L31,('Assumption Sheet'!$M31+'Assumption Sheet'!$P31)*'Assumption Sheet'!$R31*'Assumption Sheet'!$C31,0)-IF(KC$1='Assumption Sheet'!$Y31,('Assumption Sheet'!$M31+'Assumption Sheet'!$P31)*'Assumption Sheet'!$R31*'Assumption Sheet'!$C31))/10^7</f>
        <v>0</v>
      </c>
      <c r="KD49" s="45"/>
      <c r="KE49" s="45"/>
      <c r="KF49" s="45"/>
      <c r="KG49" s="45"/>
      <c r="KH49" s="45"/>
      <c r="KI49" s="45"/>
      <c r="KJ49" s="45"/>
      <c r="KK49" s="45"/>
      <c r="KL49" s="45"/>
      <c r="KM49" s="45"/>
      <c r="KN49" s="45"/>
      <c r="KO49" s="45"/>
    </row>
    <row r="50" spans="1:301" x14ac:dyDescent="0.3">
      <c r="B50" s="1" t="str">
        <f>B41</f>
        <v>Phase 5</v>
      </c>
      <c r="C50" s="54">
        <f>SUM(E50:EX50)</f>
        <v>1.1327491372569751</v>
      </c>
      <c r="D50" s="54"/>
      <c r="E50" s="33">
        <f>(IF(E$1='Assumption Sheet'!$L32,('Assumption Sheet'!$M32+'Assumption Sheet'!$P32)*'Assumption Sheet'!$R32*'Assumption Sheet'!$C32,0)-IF(E$1='Assumption Sheet'!$Y32,('Assumption Sheet'!$M32+'Assumption Sheet'!$P32)*'Assumption Sheet'!$R32*'Assumption Sheet'!$C32))/10^7</f>
        <v>0</v>
      </c>
      <c r="F50" s="33">
        <f>(IF(F$1='Assumption Sheet'!$L32,('Assumption Sheet'!$M32+'Assumption Sheet'!$P32)*'Assumption Sheet'!$R32*'Assumption Sheet'!$C32,0)-IF(F$1='Assumption Sheet'!$Y32,('Assumption Sheet'!$M32+'Assumption Sheet'!$P32)*'Assumption Sheet'!$R32*'Assumption Sheet'!$C32))/10^7</f>
        <v>0</v>
      </c>
      <c r="G50" s="33">
        <f>(IF(G$1='Assumption Sheet'!$L32,('Assumption Sheet'!$M32+'Assumption Sheet'!$P32)*'Assumption Sheet'!$R32*'Assumption Sheet'!$C32,0)-IF(G$1='Assumption Sheet'!$Y32,('Assumption Sheet'!$M32+'Assumption Sheet'!$P32)*'Assumption Sheet'!$R32*'Assumption Sheet'!$C32))/10^7</f>
        <v>0</v>
      </c>
      <c r="H50" s="33">
        <f>(IF(H$1='Assumption Sheet'!$L32,('Assumption Sheet'!$M32+'Assumption Sheet'!$P32)*'Assumption Sheet'!$R32*'Assumption Sheet'!$C32,0)-IF(H$1='Assumption Sheet'!$Y32,('Assumption Sheet'!$M32+'Assumption Sheet'!$P32)*'Assumption Sheet'!$R32*'Assumption Sheet'!$C32))/10^7</f>
        <v>0</v>
      </c>
      <c r="I50" s="33">
        <f>(IF(I$1='Assumption Sheet'!$L32,('Assumption Sheet'!$M32+'Assumption Sheet'!$P32)*'Assumption Sheet'!$R32*'Assumption Sheet'!$C32,0)-IF(I$1='Assumption Sheet'!$Y32,('Assumption Sheet'!$M32+'Assumption Sheet'!$P32)*'Assumption Sheet'!$R32*'Assumption Sheet'!$C32))/10^7</f>
        <v>0</v>
      </c>
      <c r="J50" s="33">
        <f>(IF(J$1='Assumption Sheet'!$L32,('Assumption Sheet'!$M32+'Assumption Sheet'!$P32)*'Assumption Sheet'!$R32*'Assumption Sheet'!$C32,0)-IF(J$1='Assumption Sheet'!$Y32,('Assumption Sheet'!$M32+'Assumption Sheet'!$P32)*'Assumption Sheet'!$R32*'Assumption Sheet'!$C32))/10^7</f>
        <v>0</v>
      </c>
      <c r="K50" s="33">
        <f>(IF(K$1='Assumption Sheet'!$L32,('Assumption Sheet'!$M32+'Assumption Sheet'!$P32)*'Assumption Sheet'!$R32*'Assumption Sheet'!$C32,0)-IF(K$1='Assumption Sheet'!$Y32,('Assumption Sheet'!$M32+'Assumption Sheet'!$P32)*'Assumption Sheet'!$R32*'Assumption Sheet'!$C32))/10^7</f>
        <v>0</v>
      </c>
      <c r="L50" s="33">
        <f>(IF(L$1='Assumption Sheet'!$L32,('Assumption Sheet'!$M32+'Assumption Sheet'!$P32)*'Assumption Sheet'!$R32*'Assumption Sheet'!$C32,0)-IF(L$1='Assumption Sheet'!$Y32,('Assumption Sheet'!$M32+'Assumption Sheet'!$P32)*'Assumption Sheet'!$R32*'Assumption Sheet'!$C32))/10^7</f>
        <v>0</v>
      </c>
      <c r="M50" s="33">
        <f>(IF(M$1='Assumption Sheet'!$L32,('Assumption Sheet'!$M32+'Assumption Sheet'!$P32)*'Assumption Sheet'!$R32*'Assumption Sheet'!$C32,0)-IF(M$1='Assumption Sheet'!$Y32,('Assumption Sheet'!$M32+'Assumption Sheet'!$P32)*'Assumption Sheet'!$R32*'Assumption Sheet'!$C32))/10^7</f>
        <v>0</v>
      </c>
      <c r="N50" s="33">
        <f>(IF(N$1='Assumption Sheet'!$L32,('Assumption Sheet'!$M32+'Assumption Sheet'!$P32)*'Assumption Sheet'!$R32*'Assumption Sheet'!$C32,0)-IF(N$1='Assumption Sheet'!$Y32,('Assumption Sheet'!$M32+'Assumption Sheet'!$P32)*'Assumption Sheet'!$R32*'Assumption Sheet'!$C32))/10^7</f>
        <v>0</v>
      </c>
      <c r="O50" s="33">
        <f>(IF(O$1='Assumption Sheet'!$L32,('Assumption Sheet'!$M32+'Assumption Sheet'!$P32)*'Assumption Sheet'!$R32*'Assumption Sheet'!$C32,0)-IF(O$1='Assumption Sheet'!$Y32,('Assumption Sheet'!$M32+'Assumption Sheet'!$P32)*'Assumption Sheet'!$R32*'Assumption Sheet'!$C32))/10^7</f>
        <v>0</v>
      </c>
      <c r="P50" s="33">
        <f>(IF(P$1='Assumption Sheet'!$L32,('Assumption Sheet'!$M32+'Assumption Sheet'!$P32)*'Assumption Sheet'!$R32*'Assumption Sheet'!$C32,0)-IF(P$1='Assumption Sheet'!$Y32,('Assumption Sheet'!$M32+'Assumption Sheet'!$P32)*'Assumption Sheet'!$R32*'Assumption Sheet'!$C32))/10^7</f>
        <v>0</v>
      </c>
      <c r="Q50" s="33">
        <f>(IF(Q$1='Assumption Sheet'!$L32,('Assumption Sheet'!$M32+'Assumption Sheet'!$P32)*'Assumption Sheet'!$R32*'Assumption Sheet'!$C32,0)-IF(Q$1='Assumption Sheet'!$Y32,('Assumption Sheet'!$M32+'Assumption Sheet'!$P32)*'Assumption Sheet'!$R32*'Assumption Sheet'!$C32))/10^7</f>
        <v>0</v>
      </c>
      <c r="R50" s="33">
        <f>(IF(R$1='Assumption Sheet'!$L32,('Assumption Sheet'!$M32+'Assumption Sheet'!$P32)*'Assumption Sheet'!$R32*'Assumption Sheet'!$C32,0)-IF(R$1='Assumption Sheet'!$Y32,('Assumption Sheet'!$M32+'Assumption Sheet'!$P32)*'Assumption Sheet'!$R32*'Assumption Sheet'!$C32))/10^7</f>
        <v>0</v>
      </c>
      <c r="S50" s="33">
        <f>(IF(S$1='Assumption Sheet'!$L32,('Assumption Sheet'!$M32+'Assumption Sheet'!$P32)*'Assumption Sheet'!$R32*'Assumption Sheet'!$C32,0)-IF(S$1='Assumption Sheet'!$Y32,('Assumption Sheet'!$M32+'Assumption Sheet'!$P32)*'Assumption Sheet'!$R32*'Assumption Sheet'!$C32))/10^7</f>
        <v>0</v>
      </c>
      <c r="T50" s="33">
        <f>(IF(T$1='Assumption Sheet'!$L32,('Assumption Sheet'!$M32+'Assumption Sheet'!$P32)*'Assumption Sheet'!$R32*'Assumption Sheet'!$C32,0)-IF(T$1='Assumption Sheet'!$Y32,('Assumption Sheet'!$M32+'Assumption Sheet'!$P32)*'Assumption Sheet'!$R32*'Assumption Sheet'!$C32))/10^7</f>
        <v>0</v>
      </c>
      <c r="U50" s="33">
        <f>(IF(U$1='Assumption Sheet'!$L32,('Assumption Sheet'!$M32+'Assumption Sheet'!$P32)*'Assumption Sheet'!$R32*'Assumption Sheet'!$C32,0)-IF(U$1='Assumption Sheet'!$Y32,('Assumption Sheet'!$M32+'Assumption Sheet'!$P32)*'Assumption Sheet'!$R32*'Assumption Sheet'!$C32))/10^7</f>
        <v>0</v>
      </c>
      <c r="V50" s="33">
        <f>(IF(V$1='Assumption Sheet'!$L32,('Assumption Sheet'!$M32+'Assumption Sheet'!$P32)*'Assumption Sheet'!$R32*'Assumption Sheet'!$C32,0)-IF(V$1='Assumption Sheet'!$Y32,('Assumption Sheet'!$M32+'Assumption Sheet'!$P32)*'Assumption Sheet'!$R32*'Assumption Sheet'!$C32))/10^7</f>
        <v>0</v>
      </c>
      <c r="W50" s="33">
        <f>(IF(W$1='Assumption Sheet'!$L32,('Assumption Sheet'!$M32+'Assumption Sheet'!$P32)*'Assumption Sheet'!$R32*'Assumption Sheet'!$C32,0)-IF(W$1='Assumption Sheet'!$Y32,('Assumption Sheet'!$M32+'Assumption Sheet'!$P32)*'Assumption Sheet'!$R32*'Assumption Sheet'!$C32))/10^7</f>
        <v>0</v>
      </c>
      <c r="X50" s="33">
        <f>(IF(X$1='Assumption Sheet'!$L32,('Assumption Sheet'!$M32+'Assumption Sheet'!$P32)*'Assumption Sheet'!$R32*'Assumption Sheet'!$C32,0)-IF(X$1='Assumption Sheet'!$Y32,('Assumption Sheet'!$M32+'Assumption Sheet'!$P32)*'Assumption Sheet'!$R32*'Assumption Sheet'!$C32))/10^7</f>
        <v>0</v>
      </c>
      <c r="Y50" s="33">
        <f>(IF(Y$1='Assumption Sheet'!$L32,('Assumption Sheet'!$M32+'Assumption Sheet'!$P32)*'Assumption Sheet'!$R32*'Assumption Sheet'!$C32,0)-IF(Y$1='Assumption Sheet'!$Y32,('Assumption Sheet'!$M32+'Assumption Sheet'!$P32)*'Assumption Sheet'!$R32*'Assumption Sheet'!$C32))/10^7</f>
        <v>0</v>
      </c>
      <c r="Z50" s="33">
        <f>(IF(Z$1='Assumption Sheet'!$L32,('Assumption Sheet'!$M32+'Assumption Sheet'!$P32)*'Assumption Sheet'!$R32*'Assumption Sheet'!$C32,0)-IF(Z$1='Assumption Sheet'!$Y32,('Assumption Sheet'!$M32+'Assumption Sheet'!$P32)*'Assumption Sheet'!$R32*'Assumption Sheet'!$C32))/10^7</f>
        <v>0</v>
      </c>
      <c r="AA50" s="33">
        <f>(IF(AA$1='Assumption Sheet'!$L32,('Assumption Sheet'!$M32+'Assumption Sheet'!$P32)*'Assumption Sheet'!$R32*'Assumption Sheet'!$C32,0)-IF(AA$1='Assumption Sheet'!$Y32,('Assumption Sheet'!$M32+'Assumption Sheet'!$P32)*'Assumption Sheet'!$R32*'Assumption Sheet'!$C32))/10^7</f>
        <v>0</v>
      </c>
      <c r="AB50" s="33">
        <f>(IF(AB$1='Assumption Sheet'!$L32,('Assumption Sheet'!$M32+'Assumption Sheet'!$P32)*'Assumption Sheet'!$R32*'Assumption Sheet'!$C32,0)-IF(AB$1='Assumption Sheet'!$Y32,('Assumption Sheet'!$M32+'Assumption Sheet'!$P32)*'Assumption Sheet'!$R32*'Assumption Sheet'!$C32))/10^7</f>
        <v>0</v>
      </c>
      <c r="AC50" s="33">
        <f>(IF(AC$1='Assumption Sheet'!$L32,('Assumption Sheet'!$M32+'Assumption Sheet'!$P32)*'Assumption Sheet'!$R32*'Assumption Sheet'!$C32,0)-IF(AC$1='Assumption Sheet'!$Y32,('Assumption Sheet'!$M32+'Assumption Sheet'!$P32)*'Assumption Sheet'!$R32*'Assumption Sheet'!$C32))/10^7</f>
        <v>0</v>
      </c>
      <c r="AD50" s="33">
        <f>(IF(AD$1='Assumption Sheet'!$L32,('Assumption Sheet'!$M32+'Assumption Sheet'!$P32)*'Assumption Sheet'!$R32*'Assumption Sheet'!$C32,0)-IF(AD$1='Assumption Sheet'!$Y32,('Assumption Sheet'!$M32+'Assumption Sheet'!$P32)*'Assumption Sheet'!$R32*'Assumption Sheet'!$C32))/10^7</f>
        <v>0</v>
      </c>
      <c r="AE50" s="33">
        <f>(IF(AE$1='Assumption Sheet'!$L32,('Assumption Sheet'!$M32+'Assumption Sheet'!$P32)*'Assumption Sheet'!$R32*'Assumption Sheet'!$C32,0)-IF(AE$1='Assumption Sheet'!$Y32,('Assumption Sheet'!$M32+'Assumption Sheet'!$P32)*'Assumption Sheet'!$R32*'Assumption Sheet'!$C32))/10^7</f>
        <v>0</v>
      </c>
      <c r="AF50" s="33">
        <f>(IF(AF$1='Assumption Sheet'!$L32,('Assumption Sheet'!$M32+'Assumption Sheet'!$P32)*'Assumption Sheet'!$R32*'Assumption Sheet'!$C32,0)-IF(AF$1='Assumption Sheet'!$Y32,('Assumption Sheet'!$M32+'Assumption Sheet'!$P32)*'Assumption Sheet'!$R32*'Assumption Sheet'!$C32))/10^7</f>
        <v>0</v>
      </c>
      <c r="AG50" s="33">
        <f>(IF(AG$1='Assumption Sheet'!$L32,('Assumption Sheet'!$M32+'Assumption Sheet'!$P32)*'Assumption Sheet'!$R32*'Assumption Sheet'!$C32,0)-IF(AG$1='Assumption Sheet'!$Y32,('Assumption Sheet'!$M32+'Assumption Sheet'!$P32)*'Assumption Sheet'!$R32*'Assumption Sheet'!$C32))/10^7</f>
        <v>0</v>
      </c>
      <c r="AH50" s="33">
        <f>(IF(AH$1='Assumption Sheet'!$L32,('Assumption Sheet'!$M32+'Assumption Sheet'!$P32)*'Assumption Sheet'!$R32*'Assumption Sheet'!$C32,0)-IF(AH$1='Assumption Sheet'!$Y32,('Assumption Sheet'!$M32+'Assumption Sheet'!$P32)*'Assumption Sheet'!$R32*'Assumption Sheet'!$C32))/10^7</f>
        <v>0</v>
      </c>
      <c r="AI50" s="33">
        <f>(IF(AI$1='Assumption Sheet'!$L32,('Assumption Sheet'!$M32+'Assumption Sheet'!$P32)*'Assumption Sheet'!$R32*'Assumption Sheet'!$C32,0)-IF(AI$1='Assumption Sheet'!$Y32,('Assumption Sheet'!$M32+'Assumption Sheet'!$P32)*'Assumption Sheet'!$R32*'Assumption Sheet'!$C32))/10^7</f>
        <v>0</v>
      </c>
      <c r="AJ50" s="33">
        <f>(IF(AJ$1='Assumption Sheet'!$L32,('Assumption Sheet'!$M32+'Assumption Sheet'!$P32)*'Assumption Sheet'!$R32*'Assumption Sheet'!$C32,0)-IF(AJ$1='Assumption Sheet'!$Y32,('Assumption Sheet'!$M32+'Assumption Sheet'!$P32)*'Assumption Sheet'!$R32*'Assumption Sheet'!$C32))/10^7</f>
        <v>0</v>
      </c>
      <c r="AK50" s="33">
        <f>(IF(AK$1='Assumption Sheet'!$L32,('Assumption Sheet'!$M32+'Assumption Sheet'!$P32)*'Assumption Sheet'!$R32*'Assumption Sheet'!$C32,0)-IF(AK$1='Assumption Sheet'!$Y32,('Assumption Sheet'!$M32+'Assumption Sheet'!$P32)*'Assumption Sheet'!$R32*'Assumption Sheet'!$C32))/10^7</f>
        <v>0</v>
      </c>
      <c r="AL50" s="33">
        <f>(IF(AL$1='Assumption Sheet'!$L32,('Assumption Sheet'!$M32+'Assumption Sheet'!$P32)*'Assumption Sheet'!$R32*'Assumption Sheet'!$C32,0)-IF(AL$1='Assumption Sheet'!$Y32,('Assumption Sheet'!$M32+'Assumption Sheet'!$P32)*'Assumption Sheet'!$R32*'Assumption Sheet'!$C32))/10^7</f>
        <v>0</v>
      </c>
      <c r="AM50" s="33">
        <f>(IF(AM$1='Assumption Sheet'!$L32,('Assumption Sheet'!$M32+'Assumption Sheet'!$P32)*'Assumption Sheet'!$R32*'Assumption Sheet'!$C32,0)-IF(AM$1='Assumption Sheet'!$Y32,('Assumption Sheet'!$M32+'Assumption Sheet'!$P32)*'Assumption Sheet'!$R32*'Assumption Sheet'!$C32))/10^7</f>
        <v>0</v>
      </c>
      <c r="AN50" s="33">
        <f>(IF(AN$1='Assumption Sheet'!$L32,('Assumption Sheet'!$M32+'Assumption Sheet'!$P32)*'Assumption Sheet'!$R32*'Assumption Sheet'!$C32,0)-IF(AN$1='Assumption Sheet'!$Y32,('Assumption Sheet'!$M32+'Assumption Sheet'!$P32)*'Assumption Sheet'!$R32*'Assumption Sheet'!$C32))/10^7</f>
        <v>0</v>
      </c>
      <c r="AO50" s="33">
        <f>(IF(AO$1='Assumption Sheet'!$L32,('Assumption Sheet'!$M32+'Assumption Sheet'!$P32)*'Assumption Sheet'!$R32*'Assumption Sheet'!$C32,0)-IF(AO$1='Assumption Sheet'!$Y32,('Assumption Sheet'!$M32+'Assumption Sheet'!$P32)*'Assumption Sheet'!$R32*'Assumption Sheet'!$C32))/10^7</f>
        <v>0</v>
      </c>
      <c r="AP50" s="33">
        <f>(IF(AP$1='Assumption Sheet'!$L32,('Assumption Sheet'!$M32+'Assumption Sheet'!$P32)*'Assumption Sheet'!$R32*'Assumption Sheet'!$C32,0)-IF(AP$1='Assumption Sheet'!$Y32,('Assumption Sheet'!$M32+'Assumption Sheet'!$P32)*'Assumption Sheet'!$R32*'Assumption Sheet'!$C32))/10^7</f>
        <v>0</v>
      </c>
      <c r="AQ50" s="33">
        <f>(IF(AQ$1='Assumption Sheet'!$L32,('Assumption Sheet'!$M32+'Assumption Sheet'!$P32)*'Assumption Sheet'!$R32*'Assumption Sheet'!$C32,0)-IF(AQ$1='Assumption Sheet'!$Y32,('Assumption Sheet'!$M32+'Assumption Sheet'!$P32)*'Assumption Sheet'!$R32*'Assumption Sheet'!$C32))/10^7</f>
        <v>0</v>
      </c>
      <c r="AR50" s="33">
        <f>(IF(AR$1='Assumption Sheet'!$L32,('Assumption Sheet'!$M32+'Assumption Sheet'!$P32)*'Assumption Sheet'!$R32*'Assumption Sheet'!$C32,0)-IF(AR$1='Assumption Sheet'!$Y32,('Assumption Sheet'!$M32+'Assumption Sheet'!$P32)*'Assumption Sheet'!$R32*'Assumption Sheet'!$C32))/10^7</f>
        <v>0</v>
      </c>
      <c r="AS50" s="33">
        <f>(IF(AS$1='Assumption Sheet'!$L32,('Assumption Sheet'!$M32+'Assumption Sheet'!$P32)*'Assumption Sheet'!$R32*'Assumption Sheet'!$C32,0)-IF(AS$1='Assumption Sheet'!$Y32,('Assumption Sheet'!$M32+'Assumption Sheet'!$P32)*'Assumption Sheet'!$R32*'Assumption Sheet'!$C32))/10^7</f>
        <v>0</v>
      </c>
      <c r="AT50" s="33">
        <f>(IF(AT$1='Assumption Sheet'!$L32,('Assumption Sheet'!$M32+'Assumption Sheet'!$P32)*'Assumption Sheet'!$R32*'Assumption Sheet'!$C32,0)-IF(AT$1='Assumption Sheet'!$Y32,('Assumption Sheet'!$M32+'Assumption Sheet'!$P32)*'Assumption Sheet'!$R32*'Assumption Sheet'!$C32))/10^7</f>
        <v>0</v>
      </c>
      <c r="AU50" s="33">
        <f>(IF(AU$1='Assumption Sheet'!$L32,('Assumption Sheet'!$M32+'Assumption Sheet'!$P32)*'Assumption Sheet'!$R32*'Assumption Sheet'!$C32,0)-IF(AU$1='Assumption Sheet'!$Y32,('Assumption Sheet'!$M32+'Assumption Sheet'!$P32)*'Assumption Sheet'!$R32*'Assumption Sheet'!$C32))/10^7</f>
        <v>0</v>
      </c>
      <c r="AV50" s="33">
        <f>(IF(AV$1='Assumption Sheet'!$L32,('Assumption Sheet'!$M32+'Assumption Sheet'!$P32)*'Assumption Sheet'!$R32*'Assumption Sheet'!$C32,0)-IF(AV$1='Assumption Sheet'!$Y32,('Assumption Sheet'!$M32+'Assumption Sheet'!$P32)*'Assumption Sheet'!$R32*'Assumption Sheet'!$C32))/10^7</f>
        <v>0</v>
      </c>
      <c r="AW50" s="33">
        <f>(IF(AW$1='Assumption Sheet'!$L32,('Assumption Sheet'!$M32+'Assumption Sheet'!$P32)*'Assumption Sheet'!$R32*'Assumption Sheet'!$C32,0)-IF(AW$1='Assumption Sheet'!$Y32,('Assumption Sheet'!$M32+'Assumption Sheet'!$P32)*'Assumption Sheet'!$R32*'Assumption Sheet'!$C32))/10^7</f>
        <v>0</v>
      </c>
      <c r="AX50" s="33">
        <f>(IF(AX$1='Assumption Sheet'!$L32,('Assumption Sheet'!$M32+'Assumption Sheet'!$P32)*'Assumption Sheet'!$R32*'Assumption Sheet'!$C32,0)-IF(AX$1='Assumption Sheet'!$Y32,('Assumption Sheet'!$M32+'Assumption Sheet'!$P32)*'Assumption Sheet'!$R32*'Assumption Sheet'!$C32))/10^7</f>
        <v>0</v>
      </c>
      <c r="AY50" s="33">
        <f>(IF(AY$1='Assumption Sheet'!$L32,('Assumption Sheet'!$M32+'Assumption Sheet'!$P32)*'Assumption Sheet'!$R32*'Assumption Sheet'!$C32,0)-IF(AY$1='Assumption Sheet'!$Y32,('Assumption Sheet'!$M32+'Assumption Sheet'!$P32)*'Assumption Sheet'!$R32*'Assumption Sheet'!$C32))/10^7</f>
        <v>0</v>
      </c>
      <c r="AZ50" s="33">
        <f>(IF(AZ$1='Assumption Sheet'!$L32,('Assumption Sheet'!$M32+'Assumption Sheet'!$P32)*'Assumption Sheet'!$R32*'Assumption Sheet'!$C32,0)-IF(AZ$1='Assumption Sheet'!$Y32,('Assumption Sheet'!$M32+'Assumption Sheet'!$P32)*'Assumption Sheet'!$R32*'Assumption Sheet'!$C32))/10^7</f>
        <v>0</v>
      </c>
      <c r="BA50" s="33">
        <f>(IF(BA$1='Assumption Sheet'!$L32,('Assumption Sheet'!$M32+'Assumption Sheet'!$P32)*'Assumption Sheet'!$R32*'Assumption Sheet'!$C32,0)-IF(BA$1='Assumption Sheet'!$Y32,('Assumption Sheet'!$M32+'Assumption Sheet'!$P32)*'Assumption Sheet'!$R32*'Assumption Sheet'!$C32))/10^7</f>
        <v>0</v>
      </c>
      <c r="BB50" s="33">
        <f>(IF(BB$1='Assumption Sheet'!$L32,('Assumption Sheet'!$M32+'Assumption Sheet'!$P32)*'Assumption Sheet'!$R32*'Assumption Sheet'!$C32,0)-IF(BB$1='Assumption Sheet'!$Y32,('Assumption Sheet'!$M32+'Assumption Sheet'!$P32)*'Assumption Sheet'!$R32*'Assumption Sheet'!$C32))/10^7</f>
        <v>0</v>
      </c>
      <c r="BC50" s="33">
        <f>(IF(BC$1='Assumption Sheet'!$L32,('Assumption Sheet'!$M32+'Assumption Sheet'!$P32)*'Assumption Sheet'!$R32*'Assumption Sheet'!$C32,0)-IF(BC$1='Assumption Sheet'!$Y32,('Assumption Sheet'!$M32+'Assumption Sheet'!$P32)*'Assumption Sheet'!$R32*'Assumption Sheet'!$C32))/10^7</f>
        <v>0</v>
      </c>
      <c r="BD50" s="33">
        <f>(IF(BD$1='Assumption Sheet'!$L32,('Assumption Sheet'!$M32+'Assumption Sheet'!$P32)*'Assumption Sheet'!$R32*'Assumption Sheet'!$C32,0)-IF(BD$1='Assumption Sheet'!$Y32,('Assumption Sheet'!$M32+'Assumption Sheet'!$P32)*'Assumption Sheet'!$R32*'Assumption Sheet'!$C32))/10^7</f>
        <v>0</v>
      </c>
      <c r="BE50" s="33">
        <f>(IF(BE$1='Assumption Sheet'!$L32,('Assumption Sheet'!$M32+'Assumption Sheet'!$P32)*'Assumption Sheet'!$R32*'Assumption Sheet'!$C32,0)-IF(BE$1='Assumption Sheet'!$Y32,('Assumption Sheet'!$M32+'Assumption Sheet'!$P32)*'Assumption Sheet'!$R32*'Assumption Sheet'!$C32))/10^7</f>
        <v>0</v>
      </c>
      <c r="BF50" s="33">
        <f>(IF(BF$1='Assumption Sheet'!$L32,('Assumption Sheet'!$M32+'Assumption Sheet'!$P32)*'Assumption Sheet'!$R32*'Assumption Sheet'!$C32,0)-IF(BF$1='Assumption Sheet'!$Y32,('Assumption Sheet'!$M32+'Assumption Sheet'!$P32)*'Assumption Sheet'!$R32*'Assumption Sheet'!$C32))/10^7</f>
        <v>0</v>
      </c>
      <c r="BG50" s="33">
        <f>(IF(BG$1='Assumption Sheet'!$L32,('Assumption Sheet'!$M32+'Assumption Sheet'!$P32)*'Assumption Sheet'!$R32*'Assumption Sheet'!$C32,0)-IF(BG$1='Assumption Sheet'!$Y32,('Assumption Sheet'!$M32+'Assumption Sheet'!$P32)*'Assumption Sheet'!$R32*'Assumption Sheet'!$C32))/10^7</f>
        <v>0</v>
      </c>
      <c r="BH50" s="33">
        <f>(IF(BH$1='Assumption Sheet'!$L32,('Assumption Sheet'!$M32+'Assumption Sheet'!$P32)*'Assumption Sheet'!$R32*'Assumption Sheet'!$C32,0)-IF(BH$1='Assumption Sheet'!$Y32,('Assumption Sheet'!$M32+'Assumption Sheet'!$P32)*'Assumption Sheet'!$R32*'Assumption Sheet'!$C32))/10^7</f>
        <v>0</v>
      </c>
      <c r="BI50" s="33">
        <f>(IF(BI$1='Assumption Sheet'!$L32,('Assumption Sheet'!$M32+'Assumption Sheet'!$P32)*'Assumption Sheet'!$R32*'Assumption Sheet'!$C32,0)-IF(BI$1='Assumption Sheet'!$Y32,('Assumption Sheet'!$M32+'Assumption Sheet'!$P32)*'Assumption Sheet'!$R32*'Assumption Sheet'!$C32))/10^7</f>
        <v>0</v>
      </c>
      <c r="BJ50" s="33">
        <f>(IF(BJ$1='Assumption Sheet'!$L32,('Assumption Sheet'!$M32+'Assumption Sheet'!$P32)*'Assumption Sheet'!$R32*'Assumption Sheet'!$C32,0)-IF(BJ$1='Assumption Sheet'!$Y32,('Assumption Sheet'!$M32+'Assumption Sheet'!$P32)*'Assumption Sheet'!$R32*'Assumption Sheet'!$C32))/10^7</f>
        <v>1.1327491372569751</v>
      </c>
      <c r="BK50" s="33">
        <f>(IF(BK$1='Assumption Sheet'!$L32,('Assumption Sheet'!$M32+'Assumption Sheet'!$P32)*'Assumption Sheet'!$R32*'Assumption Sheet'!$C32,0)-IF(BK$1='Assumption Sheet'!$Y32,('Assumption Sheet'!$M32+'Assumption Sheet'!$P32)*'Assumption Sheet'!$R32*'Assumption Sheet'!$C32))/10^7</f>
        <v>0</v>
      </c>
      <c r="BL50" s="33">
        <f>(IF(BL$1='Assumption Sheet'!$L32,('Assumption Sheet'!$M32+'Assumption Sheet'!$P32)*'Assumption Sheet'!$R32*'Assumption Sheet'!$C32,0)-IF(BL$1='Assumption Sheet'!$Y32,('Assumption Sheet'!$M32+'Assumption Sheet'!$P32)*'Assumption Sheet'!$R32*'Assumption Sheet'!$C32))/10^7</f>
        <v>0</v>
      </c>
      <c r="BM50" s="33">
        <f>(IF(BM$1='Assumption Sheet'!$L32,('Assumption Sheet'!$M32+'Assumption Sheet'!$P32)*'Assumption Sheet'!$R32*'Assumption Sheet'!$C32,0)-IF(BM$1='Assumption Sheet'!$Y32,('Assumption Sheet'!$M32+'Assumption Sheet'!$P32)*'Assumption Sheet'!$R32*'Assumption Sheet'!$C32))/10^7</f>
        <v>0</v>
      </c>
      <c r="BN50" s="33">
        <f>(IF(BN$1='Assumption Sheet'!$L32,('Assumption Sheet'!$M32+'Assumption Sheet'!$P32)*'Assumption Sheet'!$R32*'Assumption Sheet'!$C32,0)-IF(BN$1='Assumption Sheet'!$Y32,('Assumption Sheet'!$M32+'Assumption Sheet'!$P32)*'Assumption Sheet'!$R32*'Assumption Sheet'!$C32))/10^7</f>
        <v>0</v>
      </c>
      <c r="BO50" s="33">
        <f>(IF(BO$1='Assumption Sheet'!$L32,('Assumption Sheet'!$M32+'Assumption Sheet'!$P32)*'Assumption Sheet'!$R32*'Assumption Sheet'!$C32,0)-IF(BO$1='Assumption Sheet'!$Y32,('Assumption Sheet'!$M32+'Assumption Sheet'!$P32)*'Assumption Sheet'!$R32*'Assumption Sheet'!$C32))/10^7</f>
        <v>0</v>
      </c>
      <c r="BP50" s="33">
        <f>(IF(BP$1='Assumption Sheet'!$L32,('Assumption Sheet'!$M32+'Assumption Sheet'!$P32)*'Assumption Sheet'!$R32*'Assumption Sheet'!$C32,0)-IF(BP$1='Assumption Sheet'!$Y32,('Assumption Sheet'!$M32+'Assumption Sheet'!$P32)*'Assumption Sheet'!$R32*'Assumption Sheet'!$C32))/10^7</f>
        <v>0</v>
      </c>
      <c r="BQ50" s="33">
        <f>(IF(BQ$1='Assumption Sheet'!$L32,('Assumption Sheet'!$M32+'Assumption Sheet'!$P32)*'Assumption Sheet'!$R32*'Assumption Sheet'!$C32,0)-IF(BQ$1='Assumption Sheet'!$Y32,('Assumption Sheet'!$M32+'Assumption Sheet'!$P32)*'Assumption Sheet'!$R32*'Assumption Sheet'!$C32))/10^7</f>
        <v>0</v>
      </c>
      <c r="BR50" s="33">
        <f>(IF(BR$1='Assumption Sheet'!$L32,('Assumption Sheet'!$M32+'Assumption Sheet'!$P32)*'Assumption Sheet'!$R32*'Assumption Sheet'!$C32,0)-IF(BR$1='Assumption Sheet'!$Y32,('Assumption Sheet'!$M32+'Assumption Sheet'!$P32)*'Assumption Sheet'!$R32*'Assumption Sheet'!$C32))/10^7</f>
        <v>0</v>
      </c>
      <c r="BS50" s="33">
        <f>(IF(BS$1='Assumption Sheet'!$L32,('Assumption Sheet'!$M32+'Assumption Sheet'!$P32)*'Assumption Sheet'!$R32*'Assumption Sheet'!$C32,0)-IF(BS$1='Assumption Sheet'!$Y32,('Assumption Sheet'!$M32+'Assumption Sheet'!$P32)*'Assumption Sheet'!$R32*'Assumption Sheet'!$C32))/10^7</f>
        <v>0</v>
      </c>
      <c r="BT50" s="33">
        <f>(IF(BT$1='Assumption Sheet'!$L32,('Assumption Sheet'!$M32+'Assumption Sheet'!$P32)*'Assumption Sheet'!$R32*'Assumption Sheet'!$C32,0)-IF(BT$1='Assumption Sheet'!$Y32,('Assumption Sheet'!$M32+'Assumption Sheet'!$P32)*'Assumption Sheet'!$R32*'Assumption Sheet'!$C32))/10^7</f>
        <v>0</v>
      </c>
      <c r="BU50" s="33">
        <f>(IF(BU$1='Assumption Sheet'!$L32,('Assumption Sheet'!$M32+'Assumption Sheet'!$P32)*'Assumption Sheet'!$R32*'Assumption Sheet'!$C32,0)-IF(BU$1='Assumption Sheet'!$Y32,('Assumption Sheet'!$M32+'Assumption Sheet'!$P32)*'Assumption Sheet'!$R32*'Assumption Sheet'!$C32))/10^7</f>
        <v>0</v>
      </c>
      <c r="BV50" s="33">
        <f>(IF(BV$1='Assumption Sheet'!$L32,('Assumption Sheet'!$M32+'Assumption Sheet'!$P32)*'Assumption Sheet'!$R32*'Assumption Sheet'!$C32,0)-IF(BV$1='Assumption Sheet'!$Y32,('Assumption Sheet'!$M32+'Assumption Sheet'!$P32)*'Assumption Sheet'!$R32*'Assumption Sheet'!$C32))/10^7</f>
        <v>0</v>
      </c>
      <c r="BW50" s="33">
        <f>(IF(BW$1='Assumption Sheet'!$L32,('Assumption Sheet'!$M32+'Assumption Sheet'!$P32)*'Assumption Sheet'!$R32*'Assumption Sheet'!$C32,0)-IF(BW$1='Assumption Sheet'!$Y32,('Assumption Sheet'!$M32+'Assumption Sheet'!$P32)*'Assumption Sheet'!$R32*'Assumption Sheet'!$C32))/10^7</f>
        <v>0</v>
      </c>
      <c r="BX50" s="33">
        <f>(IF(BX$1='Assumption Sheet'!$L32,('Assumption Sheet'!$M32+'Assumption Sheet'!$P32)*'Assumption Sheet'!$R32*'Assumption Sheet'!$C32,0)-IF(BX$1='Assumption Sheet'!$Y32,('Assumption Sheet'!$M32+'Assumption Sheet'!$P32)*'Assumption Sheet'!$R32*'Assumption Sheet'!$C32))/10^7</f>
        <v>0</v>
      </c>
      <c r="BY50" s="33">
        <f>(IF(BY$1='Assumption Sheet'!$L32,('Assumption Sheet'!$M32+'Assumption Sheet'!$P32)*'Assumption Sheet'!$R32*'Assumption Sheet'!$C32,0)-IF(BY$1='Assumption Sheet'!$Y32,('Assumption Sheet'!$M32+'Assumption Sheet'!$P32)*'Assumption Sheet'!$R32*'Assumption Sheet'!$C32))/10^7</f>
        <v>0</v>
      </c>
      <c r="BZ50" s="33">
        <f>(IF(BZ$1='Assumption Sheet'!$L32,('Assumption Sheet'!$M32+'Assumption Sheet'!$P32)*'Assumption Sheet'!$R32*'Assumption Sheet'!$C32,0)-IF(BZ$1='Assumption Sheet'!$Y32,('Assumption Sheet'!$M32+'Assumption Sheet'!$P32)*'Assumption Sheet'!$R32*'Assumption Sheet'!$C32))/10^7</f>
        <v>0</v>
      </c>
      <c r="CA50" s="33">
        <f>(IF(CA$1='Assumption Sheet'!$L32,('Assumption Sheet'!$M32+'Assumption Sheet'!$P32)*'Assumption Sheet'!$R32*'Assumption Sheet'!$C32,0)-IF(CA$1='Assumption Sheet'!$Y32,('Assumption Sheet'!$M32+'Assumption Sheet'!$P32)*'Assumption Sheet'!$R32*'Assumption Sheet'!$C32))/10^7</f>
        <v>0</v>
      </c>
      <c r="CB50" s="33">
        <f>(IF(CB$1='Assumption Sheet'!$L32,('Assumption Sheet'!$M32+'Assumption Sheet'!$P32)*'Assumption Sheet'!$R32*'Assumption Sheet'!$C32,0)-IF(CB$1='Assumption Sheet'!$Y32,('Assumption Sheet'!$M32+'Assumption Sheet'!$P32)*'Assumption Sheet'!$R32*'Assumption Sheet'!$C32))/10^7</f>
        <v>0</v>
      </c>
      <c r="CC50" s="33">
        <f>(IF(CC$1='Assumption Sheet'!$L32,('Assumption Sheet'!$M32+'Assumption Sheet'!$P32)*'Assumption Sheet'!$R32*'Assumption Sheet'!$C32,0)-IF(CC$1='Assumption Sheet'!$Y32,('Assumption Sheet'!$M32+'Assumption Sheet'!$P32)*'Assumption Sheet'!$R32*'Assumption Sheet'!$C32))/10^7</f>
        <v>0</v>
      </c>
      <c r="CD50" s="33">
        <f>(IF(CD$1='Assumption Sheet'!$L32,('Assumption Sheet'!$M32+'Assumption Sheet'!$P32)*'Assumption Sheet'!$R32*'Assumption Sheet'!$C32,0)-IF(CD$1='Assumption Sheet'!$Y32,('Assumption Sheet'!$M32+'Assumption Sheet'!$P32)*'Assumption Sheet'!$R32*'Assumption Sheet'!$C32))/10^7</f>
        <v>0</v>
      </c>
      <c r="CE50" s="33">
        <f>(IF(CE$1='Assumption Sheet'!$L32,('Assumption Sheet'!$M32+'Assumption Sheet'!$P32)*'Assumption Sheet'!$R32*'Assumption Sheet'!$C32,0)-IF(CE$1='Assumption Sheet'!$Y32,('Assumption Sheet'!$M32+'Assumption Sheet'!$P32)*'Assumption Sheet'!$R32*'Assumption Sheet'!$C32))/10^7</f>
        <v>0</v>
      </c>
      <c r="CF50" s="33">
        <f>(IF(CF$1='Assumption Sheet'!$L32,('Assumption Sheet'!$M32+'Assumption Sheet'!$P32)*'Assumption Sheet'!$R32*'Assumption Sheet'!$C32,0)-IF(CF$1='Assumption Sheet'!$Y32,('Assumption Sheet'!$M32+'Assumption Sheet'!$P32)*'Assumption Sheet'!$R32*'Assumption Sheet'!$C32))/10^7</f>
        <v>0</v>
      </c>
      <c r="CG50" s="33">
        <f>(IF(CG$1='Assumption Sheet'!$L32,('Assumption Sheet'!$M32+'Assumption Sheet'!$P32)*'Assumption Sheet'!$R32*'Assumption Sheet'!$C32,0)-IF(CG$1='Assumption Sheet'!$Y32,('Assumption Sheet'!$M32+'Assumption Sheet'!$P32)*'Assumption Sheet'!$R32*'Assumption Sheet'!$C32))/10^7</f>
        <v>0</v>
      </c>
      <c r="CH50" s="33">
        <f>(IF(CH$1='Assumption Sheet'!$L32,('Assumption Sheet'!$M32+'Assumption Sheet'!$P32)*'Assumption Sheet'!$R32*'Assumption Sheet'!$C32,0)-IF(CH$1='Assumption Sheet'!$Y32,('Assumption Sheet'!$M32+'Assumption Sheet'!$P32)*'Assumption Sheet'!$R32*'Assumption Sheet'!$C32))/10^7</f>
        <v>0</v>
      </c>
      <c r="CI50" s="33">
        <f>(IF(CI$1='Assumption Sheet'!$L32,('Assumption Sheet'!$M32+'Assumption Sheet'!$P32)*'Assumption Sheet'!$R32*'Assumption Sheet'!$C32,0)-IF(CI$1='Assumption Sheet'!$Y32,('Assumption Sheet'!$M32+'Assumption Sheet'!$P32)*'Assumption Sheet'!$R32*'Assumption Sheet'!$C32))/10^7</f>
        <v>0</v>
      </c>
      <c r="CJ50" s="33">
        <f>(IF(CJ$1='Assumption Sheet'!$L32,('Assumption Sheet'!$M32+'Assumption Sheet'!$P32)*'Assumption Sheet'!$R32*'Assumption Sheet'!$C32,0)-IF(CJ$1='Assumption Sheet'!$Y32,('Assumption Sheet'!$M32+'Assumption Sheet'!$P32)*'Assumption Sheet'!$R32*'Assumption Sheet'!$C32))/10^7</f>
        <v>0</v>
      </c>
      <c r="CK50" s="33">
        <f>(IF(CK$1='Assumption Sheet'!$L32,('Assumption Sheet'!$M32+'Assumption Sheet'!$P32)*'Assumption Sheet'!$R32*'Assumption Sheet'!$C32,0)-IF(CK$1='Assumption Sheet'!$Y32,('Assumption Sheet'!$M32+'Assumption Sheet'!$P32)*'Assumption Sheet'!$R32*'Assumption Sheet'!$C32))/10^7</f>
        <v>0</v>
      </c>
      <c r="CL50" s="33">
        <f>(IF(CL$1='Assumption Sheet'!$L32,('Assumption Sheet'!$M32+'Assumption Sheet'!$P32)*'Assumption Sheet'!$R32*'Assumption Sheet'!$C32,0)-IF(CL$1='Assumption Sheet'!$Y32,('Assumption Sheet'!$M32+'Assumption Sheet'!$P32)*'Assumption Sheet'!$R32*'Assumption Sheet'!$C32))/10^7</f>
        <v>0</v>
      </c>
      <c r="CM50" s="33">
        <f>(IF(CM$1='Assumption Sheet'!$L32,('Assumption Sheet'!$M32+'Assumption Sheet'!$P32)*'Assumption Sheet'!$R32*'Assumption Sheet'!$C32,0)-IF(CM$1='Assumption Sheet'!$Y32,('Assumption Sheet'!$M32+'Assumption Sheet'!$P32)*'Assumption Sheet'!$R32*'Assumption Sheet'!$C32))/10^7</f>
        <v>0</v>
      </c>
      <c r="CN50" s="33">
        <f>(IF(CN$1='Assumption Sheet'!$L32,('Assumption Sheet'!$M32+'Assumption Sheet'!$P32)*'Assumption Sheet'!$R32*'Assumption Sheet'!$C32,0)-IF(CN$1='Assumption Sheet'!$Y32,('Assumption Sheet'!$M32+'Assumption Sheet'!$P32)*'Assumption Sheet'!$R32*'Assumption Sheet'!$C32))/10^7</f>
        <v>0</v>
      </c>
      <c r="CO50" s="33">
        <f>(IF(CO$1='Assumption Sheet'!$L32,('Assumption Sheet'!$M32+'Assumption Sheet'!$P32)*'Assumption Sheet'!$R32*'Assumption Sheet'!$C32,0)-IF(CO$1='Assumption Sheet'!$Y32,('Assumption Sheet'!$M32+'Assumption Sheet'!$P32)*'Assumption Sheet'!$R32*'Assumption Sheet'!$C32))/10^7</f>
        <v>0</v>
      </c>
      <c r="CP50" s="33">
        <f>(IF(CP$1='Assumption Sheet'!$L32,('Assumption Sheet'!$M32+'Assumption Sheet'!$P32)*'Assumption Sheet'!$R32*'Assumption Sheet'!$C32,0)-IF(CP$1='Assumption Sheet'!$Y32,('Assumption Sheet'!$M32+'Assumption Sheet'!$P32)*'Assumption Sheet'!$R32*'Assumption Sheet'!$C32))/10^7</f>
        <v>0</v>
      </c>
      <c r="CQ50" s="33">
        <f>(IF(CQ$1='Assumption Sheet'!$L32,('Assumption Sheet'!$M32+'Assumption Sheet'!$P32)*'Assumption Sheet'!$R32*'Assumption Sheet'!$C32,0)-IF(CQ$1='Assumption Sheet'!$Y32,('Assumption Sheet'!$M32+'Assumption Sheet'!$P32)*'Assumption Sheet'!$R32*'Assumption Sheet'!$C32))/10^7</f>
        <v>0</v>
      </c>
      <c r="CR50" s="33">
        <f>(IF(CR$1='Assumption Sheet'!$L32,('Assumption Sheet'!$M32+'Assumption Sheet'!$P32)*'Assumption Sheet'!$R32*'Assumption Sheet'!$C32,0)-IF(CR$1='Assumption Sheet'!$Y32,('Assumption Sheet'!$M32+'Assumption Sheet'!$P32)*'Assumption Sheet'!$R32*'Assumption Sheet'!$C32))/10^7</f>
        <v>0</v>
      </c>
      <c r="CS50" s="33">
        <f>(IF(CS$1='Assumption Sheet'!$L32,('Assumption Sheet'!$M32+'Assumption Sheet'!$P32)*'Assumption Sheet'!$R32*'Assumption Sheet'!$C32,0)-IF(CS$1='Assumption Sheet'!$Y32,('Assumption Sheet'!$M32+'Assumption Sheet'!$P32)*'Assumption Sheet'!$R32*'Assumption Sheet'!$C32))/10^7</f>
        <v>0</v>
      </c>
      <c r="CT50" s="33">
        <f>(IF(CT$1='Assumption Sheet'!$L32,('Assumption Sheet'!$M32+'Assumption Sheet'!$P32)*'Assumption Sheet'!$R32*'Assumption Sheet'!$C32,0)-IF(CT$1='Assumption Sheet'!$Y32,('Assumption Sheet'!$M32+'Assumption Sheet'!$P32)*'Assumption Sheet'!$R32*'Assumption Sheet'!$C32))/10^7</f>
        <v>0</v>
      </c>
      <c r="CU50" s="33">
        <f>(IF(CU$1='Assumption Sheet'!$L32,('Assumption Sheet'!$M32+'Assumption Sheet'!$P32)*'Assumption Sheet'!$R32*'Assumption Sheet'!$C32,0)-IF(CU$1='Assumption Sheet'!$Y32,('Assumption Sheet'!$M32+'Assumption Sheet'!$P32)*'Assumption Sheet'!$R32*'Assumption Sheet'!$C32))/10^7</f>
        <v>0</v>
      </c>
      <c r="CV50" s="33">
        <f>(IF(CV$1='Assumption Sheet'!$L32,('Assumption Sheet'!$M32+'Assumption Sheet'!$P32)*'Assumption Sheet'!$R32*'Assumption Sheet'!$C32,0)-IF(CV$1='Assumption Sheet'!$Y32,('Assumption Sheet'!$M32+'Assumption Sheet'!$P32)*'Assumption Sheet'!$R32*'Assumption Sheet'!$C32))/10^7</f>
        <v>0</v>
      </c>
      <c r="CW50" s="33">
        <f>(IF(CW$1='Assumption Sheet'!$L32,('Assumption Sheet'!$M32+'Assumption Sheet'!$P32)*'Assumption Sheet'!$R32*'Assumption Sheet'!$C32,0)-IF(CW$1='Assumption Sheet'!$Y32,('Assumption Sheet'!$M32+'Assumption Sheet'!$P32)*'Assumption Sheet'!$R32*'Assumption Sheet'!$C32))/10^7</f>
        <v>0</v>
      </c>
      <c r="CX50" s="33">
        <f>(IF(CX$1='Assumption Sheet'!$L32,('Assumption Sheet'!$M32+'Assumption Sheet'!$P32)*'Assumption Sheet'!$R32*'Assumption Sheet'!$C32,0)-IF(CX$1='Assumption Sheet'!$Y32,('Assumption Sheet'!$M32+'Assumption Sheet'!$P32)*'Assumption Sheet'!$R32*'Assumption Sheet'!$C32))/10^7</f>
        <v>0</v>
      </c>
      <c r="CY50" s="33">
        <f>(IF(CY$1='Assumption Sheet'!$L32,('Assumption Sheet'!$M32+'Assumption Sheet'!$P32)*'Assumption Sheet'!$R32*'Assumption Sheet'!$C32,0)-IF(CY$1='Assumption Sheet'!$Y32,('Assumption Sheet'!$M32+'Assumption Sheet'!$P32)*'Assumption Sheet'!$R32*'Assumption Sheet'!$C32))/10^7</f>
        <v>0</v>
      </c>
      <c r="CZ50" s="33">
        <f>(IF(CZ$1='Assumption Sheet'!$L32,('Assumption Sheet'!$M32+'Assumption Sheet'!$P32)*'Assumption Sheet'!$R32*'Assumption Sheet'!$C32,0)-IF(CZ$1='Assumption Sheet'!$Y32,('Assumption Sheet'!$M32+'Assumption Sheet'!$P32)*'Assumption Sheet'!$R32*'Assumption Sheet'!$C32))/10^7</f>
        <v>0</v>
      </c>
      <c r="DA50" s="33">
        <f>(IF(DA$1='Assumption Sheet'!$L32,('Assumption Sheet'!$M32+'Assumption Sheet'!$P32)*'Assumption Sheet'!$R32*'Assumption Sheet'!$C32,0)-IF(DA$1='Assumption Sheet'!$Y32,('Assumption Sheet'!$M32+'Assumption Sheet'!$P32)*'Assumption Sheet'!$R32*'Assumption Sheet'!$C32))/10^7</f>
        <v>0</v>
      </c>
      <c r="DB50" s="33">
        <f>(IF(DB$1='Assumption Sheet'!$L32,('Assumption Sheet'!$M32+'Assumption Sheet'!$P32)*'Assumption Sheet'!$R32*'Assumption Sheet'!$C32,0)-IF(DB$1='Assumption Sheet'!$Y32,('Assumption Sheet'!$M32+'Assumption Sheet'!$P32)*'Assumption Sheet'!$R32*'Assumption Sheet'!$C32))/10^7</f>
        <v>0</v>
      </c>
      <c r="DC50" s="33">
        <f>(IF(DC$1='Assumption Sheet'!$L32,('Assumption Sheet'!$M32+'Assumption Sheet'!$P32)*'Assumption Sheet'!$R32*'Assumption Sheet'!$C32,0)-IF(DC$1='Assumption Sheet'!$Y32,('Assumption Sheet'!$M32+'Assumption Sheet'!$P32)*'Assumption Sheet'!$R32*'Assumption Sheet'!$C32))/10^7</f>
        <v>0</v>
      </c>
      <c r="DD50" s="33">
        <f>(IF(DD$1='Assumption Sheet'!$L32,('Assumption Sheet'!$M32+'Assumption Sheet'!$P32)*'Assumption Sheet'!$R32*'Assumption Sheet'!$C32,0)-IF(DD$1='Assumption Sheet'!$Y32,('Assumption Sheet'!$M32+'Assumption Sheet'!$P32)*'Assumption Sheet'!$R32*'Assumption Sheet'!$C32))/10^7</f>
        <v>0</v>
      </c>
      <c r="DE50" s="33">
        <f>(IF(DE$1='Assumption Sheet'!$L32,('Assumption Sheet'!$M32+'Assumption Sheet'!$P32)*'Assumption Sheet'!$R32*'Assumption Sheet'!$C32,0)-IF(DE$1='Assumption Sheet'!$Y32,('Assumption Sheet'!$M32+'Assumption Sheet'!$P32)*'Assumption Sheet'!$R32*'Assumption Sheet'!$C32))/10^7</f>
        <v>0</v>
      </c>
      <c r="DF50" s="33">
        <f>(IF(DF$1='Assumption Sheet'!$L32,('Assumption Sheet'!$M32+'Assumption Sheet'!$P32)*'Assumption Sheet'!$R32*'Assumption Sheet'!$C32,0)-IF(DF$1='Assumption Sheet'!$Y32,('Assumption Sheet'!$M32+'Assumption Sheet'!$P32)*'Assumption Sheet'!$R32*'Assumption Sheet'!$C32))/10^7</f>
        <v>0</v>
      </c>
      <c r="DG50" s="33">
        <f>(IF(DG$1='Assumption Sheet'!$L32,('Assumption Sheet'!$M32+'Assumption Sheet'!$P32)*'Assumption Sheet'!$R32*'Assumption Sheet'!$C32,0)-IF(DG$1='Assumption Sheet'!$Y32,('Assumption Sheet'!$M32+'Assumption Sheet'!$P32)*'Assumption Sheet'!$R32*'Assumption Sheet'!$C32))/10^7</f>
        <v>0</v>
      </c>
      <c r="DH50" s="33">
        <f>(IF(DH$1='Assumption Sheet'!$L32,('Assumption Sheet'!$M32+'Assumption Sheet'!$P32)*'Assumption Sheet'!$R32*'Assumption Sheet'!$C32,0)-IF(DH$1='Assumption Sheet'!$Y32,('Assumption Sheet'!$M32+'Assumption Sheet'!$P32)*'Assumption Sheet'!$R32*'Assumption Sheet'!$C32))/10^7</f>
        <v>0</v>
      </c>
      <c r="DI50" s="33">
        <f>(IF(DI$1='Assumption Sheet'!$L32,('Assumption Sheet'!$M32+'Assumption Sheet'!$P32)*'Assumption Sheet'!$R32*'Assumption Sheet'!$C32,0)-IF(DI$1='Assumption Sheet'!$Y32,('Assumption Sheet'!$M32+'Assumption Sheet'!$P32)*'Assumption Sheet'!$R32*'Assumption Sheet'!$C32))/10^7</f>
        <v>0</v>
      </c>
      <c r="DJ50" s="33">
        <f>(IF(DJ$1='Assumption Sheet'!$L32,('Assumption Sheet'!$M32+'Assumption Sheet'!$P32)*'Assumption Sheet'!$R32*'Assumption Sheet'!$C32,0)-IF(DJ$1='Assumption Sheet'!$Y32,('Assumption Sheet'!$M32+'Assumption Sheet'!$P32)*'Assumption Sheet'!$R32*'Assumption Sheet'!$C32))/10^7</f>
        <v>0</v>
      </c>
      <c r="DK50" s="33">
        <f>(IF(DK$1='Assumption Sheet'!$L32,('Assumption Sheet'!$M32+'Assumption Sheet'!$P32)*'Assumption Sheet'!$R32*'Assumption Sheet'!$C32,0)-IF(DK$1='Assumption Sheet'!$Y32,('Assumption Sheet'!$M32+'Assumption Sheet'!$P32)*'Assumption Sheet'!$R32*'Assumption Sheet'!$C32))/10^7</f>
        <v>0</v>
      </c>
      <c r="DL50" s="33">
        <f>(IF(DL$1='Assumption Sheet'!$L32,('Assumption Sheet'!$M32+'Assumption Sheet'!$P32)*'Assumption Sheet'!$R32*'Assumption Sheet'!$C32,0)-IF(DL$1='Assumption Sheet'!$Y32,('Assumption Sheet'!$M32+'Assumption Sheet'!$P32)*'Assumption Sheet'!$R32*'Assumption Sheet'!$C32))/10^7</f>
        <v>0</v>
      </c>
      <c r="DM50" s="33">
        <f>(IF(DM$1='Assumption Sheet'!$L32,('Assumption Sheet'!$M32+'Assumption Sheet'!$P32)*'Assumption Sheet'!$R32*'Assumption Sheet'!$C32,0)-IF(DM$1='Assumption Sheet'!$Y32,('Assumption Sheet'!$M32+'Assumption Sheet'!$P32)*'Assumption Sheet'!$R32*'Assumption Sheet'!$C32))/10^7</f>
        <v>0</v>
      </c>
      <c r="DN50" s="33">
        <f>(IF(DN$1='Assumption Sheet'!$L32,('Assumption Sheet'!$M32+'Assumption Sheet'!$P32)*'Assumption Sheet'!$R32*'Assumption Sheet'!$C32,0)-IF(DN$1='Assumption Sheet'!$Y32,('Assumption Sheet'!$M32+'Assumption Sheet'!$P32)*'Assumption Sheet'!$R32*'Assumption Sheet'!$C32))/10^7</f>
        <v>0</v>
      </c>
      <c r="DO50" s="33">
        <f>(IF(DO$1='Assumption Sheet'!$L32,('Assumption Sheet'!$M32+'Assumption Sheet'!$P32)*'Assumption Sheet'!$R32*'Assumption Sheet'!$C32,0)-IF(DO$1='Assumption Sheet'!$Y32,('Assumption Sheet'!$M32+'Assumption Sheet'!$P32)*'Assumption Sheet'!$R32*'Assumption Sheet'!$C32))/10^7</f>
        <v>0</v>
      </c>
      <c r="DP50" s="33">
        <f>(IF(DP$1='Assumption Sheet'!$L32,('Assumption Sheet'!$M32+'Assumption Sheet'!$P32)*'Assumption Sheet'!$R32*'Assumption Sheet'!$C32,0)-IF(DP$1='Assumption Sheet'!$Y32,('Assumption Sheet'!$M32+'Assumption Sheet'!$P32)*'Assumption Sheet'!$R32*'Assumption Sheet'!$C32))/10^7</f>
        <v>0</v>
      </c>
      <c r="DQ50" s="33">
        <f>(IF(DQ$1='Assumption Sheet'!$L32,('Assumption Sheet'!$M32+'Assumption Sheet'!$P32)*'Assumption Sheet'!$R32*'Assumption Sheet'!$C32,0)-IF(DQ$1='Assumption Sheet'!$Y32,('Assumption Sheet'!$M32+'Assumption Sheet'!$P32)*'Assumption Sheet'!$R32*'Assumption Sheet'!$C32))/10^7</f>
        <v>0</v>
      </c>
      <c r="DR50" s="33">
        <f>(IF(DR$1='Assumption Sheet'!$L32,('Assumption Sheet'!$M32+'Assumption Sheet'!$P32)*'Assumption Sheet'!$R32*'Assumption Sheet'!$C32,0)-IF(DR$1='Assumption Sheet'!$Y32,('Assumption Sheet'!$M32+'Assumption Sheet'!$P32)*'Assumption Sheet'!$R32*'Assumption Sheet'!$C32))/10^7</f>
        <v>0</v>
      </c>
      <c r="DS50" s="33">
        <f>(IF(DS$1='Assumption Sheet'!$L32,('Assumption Sheet'!$M32+'Assumption Sheet'!$P32)*'Assumption Sheet'!$R32*'Assumption Sheet'!$C32,0)-IF(DS$1='Assumption Sheet'!$Y32,('Assumption Sheet'!$M32+'Assumption Sheet'!$P32)*'Assumption Sheet'!$R32*'Assumption Sheet'!$C32))/10^7</f>
        <v>0</v>
      </c>
      <c r="DT50" s="33">
        <f>(IF(DT$1='Assumption Sheet'!$L32,('Assumption Sheet'!$M32+'Assumption Sheet'!$P32)*'Assumption Sheet'!$R32*'Assumption Sheet'!$C32,0)-IF(DT$1='Assumption Sheet'!$Y32,('Assumption Sheet'!$M32+'Assumption Sheet'!$P32)*'Assumption Sheet'!$R32*'Assumption Sheet'!$C32))/10^7</f>
        <v>0</v>
      </c>
      <c r="DU50" s="33">
        <f>(IF(DU$1='Assumption Sheet'!$L32,('Assumption Sheet'!$M32+'Assumption Sheet'!$P32)*'Assumption Sheet'!$R32*'Assumption Sheet'!$C32,0)-IF(DU$1='Assumption Sheet'!$Y32,('Assumption Sheet'!$M32+'Assumption Sheet'!$P32)*'Assumption Sheet'!$R32*'Assumption Sheet'!$C32))/10^7</f>
        <v>0</v>
      </c>
      <c r="DV50" s="33">
        <f>(IF(DV$1='Assumption Sheet'!$L32,('Assumption Sheet'!$M32+'Assumption Sheet'!$P32)*'Assumption Sheet'!$R32*'Assumption Sheet'!$C32,0)-IF(DV$1='Assumption Sheet'!$Y32,('Assumption Sheet'!$M32+'Assumption Sheet'!$P32)*'Assumption Sheet'!$R32*'Assumption Sheet'!$C32))/10^7</f>
        <v>0</v>
      </c>
      <c r="DW50" s="33">
        <f>(IF(DW$1='Assumption Sheet'!$L32,('Assumption Sheet'!$M32+'Assumption Sheet'!$P32)*'Assumption Sheet'!$R32*'Assumption Sheet'!$C32,0)-IF(DW$1='Assumption Sheet'!$Y32,('Assumption Sheet'!$M32+'Assumption Sheet'!$P32)*'Assumption Sheet'!$R32*'Assumption Sheet'!$C32))/10^7</f>
        <v>0</v>
      </c>
      <c r="DX50" s="33">
        <f>(IF(DX$1='Assumption Sheet'!$L32,('Assumption Sheet'!$M32+'Assumption Sheet'!$P32)*'Assumption Sheet'!$R32*'Assumption Sheet'!$C32,0)-IF(DX$1='Assumption Sheet'!$Y32,('Assumption Sheet'!$M32+'Assumption Sheet'!$P32)*'Assumption Sheet'!$R32*'Assumption Sheet'!$C32))/10^7</f>
        <v>0</v>
      </c>
      <c r="DY50" s="33">
        <f>(IF(DY$1='Assumption Sheet'!$L32,('Assumption Sheet'!$M32+'Assumption Sheet'!$P32)*'Assumption Sheet'!$R32*'Assumption Sheet'!$C32,0)-IF(DY$1='Assumption Sheet'!$Y32,('Assumption Sheet'!$M32+'Assumption Sheet'!$P32)*'Assumption Sheet'!$R32*'Assumption Sheet'!$C32))/10^7</f>
        <v>0</v>
      </c>
      <c r="DZ50" s="33">
        <f>(IF(DZ$1='Assumption Sheet'!$L32,('Assumption Sheet'!$M32+'Assumption Sheet'!$P32)*'Assumption Sheet'!$R32*'Assumption Sheet'!$C32,0)-IF(DZ$1='Assumption Sheet'!$Y32,('Assumption Sheet'!$M32+'Assumption Sheet'!$P32)*'Assumption Sheet'!$R32*'Assumption Sheet'!$C32))/10^7</f>
        <v>0</v>
      </c>
      <c r="EA50" s="33">
        <f>(IF(EA$1='Assumption Sheet'!$L32,('Assumption Sheet'!$M32+'Assumption Sheet'!$P32)*'Assumption Sheet'!$R32*'Assumption Sheet'!$C32,0)-IF(EA$1='Assumption Sheet'!$Y32,('Assumption Sheet'!$M32+'Assumption Sheet'!$P32)*'Assumption Sheet'!$R32*'Assumption Sheet'!$C32))/10^7</f>
        <v>0</v>
      </c>
      <c r="EB50" s="33">
        <f>(IF(EB$1='Assumption Sheet'!$L32,('Assumption Sheet'!$M32+'Assumption Sheet'!$P32)*'Assumption Sheet'!$R32*'Assumption Sheet'!$C32,0)-IF(EB$1='Assumption Sheet'!$Y32,('Assumption Sheet'!$M32+'Assumption Sheet'!$P32)*'Assumption Sheet'!$R32*'Assumption Sheet'!$C32))/10^7</f>
        <v>0</v>
      </c>
      <c r="EC50" s="33">
        <f>(IF(EC$1='Assumption Sheet'!$L32,('Assumption Sheet'!$M32+'Assumption Sheet'!$P32)*'Assumption Sheet'!$R32*'Assumption Sheet'!$C32,0)-IF(EC$1='Assumption Sheet'!$Y32,('Assumption Sheet'!$M32+'Assumption Sheet'!$P32)*'Assumption Sheet'!$R32*'Assumption Sheet'!$C32))/10^7</f>
        <v>0</v>
      </c>
      <c r="ED50" s="33">
        <f>(IF(ED$1='Assumption Sheet'!$L32,('Assumption Sheet'!$M32+'Assumption Sheet'!$P32)*'Assumption Sheet'!$R32*'Assumption Sheet'!$C32,0)-IF(ED$1='Assumption Sheet'!$Y32,('Assumption Sheet'!$M32+'Assumption Sheet'!$P32)*'Assumption Sheet'!$R32*'Assumption Sheet'!$C32))/10^7</f>
        <v>0</v>
      </c>
      <c r="EE50" s="33">
        <f>(IF(EE$1='Assumption Sheet'!$L32,('Assumption Sheet'!$M32+'Assumption Sheet'!$P32)*'Assumption Sheet'!$R32*'Assumption Sheet'!$C32,0)-IF(EE$1='Assumption Sheet'!$Y32,('Assumption Sheet'!$M32+'Assumption Sheet'!$P32)*'Assumption Sheet'!$R32*'Assumption Sheet'!$C32))/10^7</f>
        <v>0</v>
      </c>
      <c r="EF50" s="33">
        <f>(IF(EF$1='Assumption Sheet'!$L32,('Assumption Sheet'!$M32+'Assumption Sheet'!$P32)*'Assumption Sheet'!$R32*'Assumption Sheet'!$C32,0)-IF(EF$1='Assumption Sheet'!$Y32,('Assumption Sheet'!$M32+'Assumption Sheet'!$P32)*'Assumption Sheet'!$R32*'Assumption Sheet'!$C32))/10^7</f>
        <v>0</v>
      </c>
      <c r="EG50" s="33">
        <f>(IF(EG$1='Assumption Sheet'!$L32,('Assumption Sheet'!$M32+'Assumption Sheet'!$P32)*'Assumption Sheet'!$R32*'Assumption Sheet'!$C32,0)-IF(EG$1='Assumption Sheet'!$Y32,('Assumption Sheet'!$M32+'Assumption Sheet'!$P32)*'Assumption Sheet'!$R32*'Assumption Sheet'!$C32))/10^7</f>
        <v>0</v>
      </c>
      <c r="EH50" s="33">
        <f>(IF(EH$1='Assumption Sheet'!$L32,('Assumption Sheet'!$M32+'Assumption Sheet'!$P32)*'Assumption Sheet'!$R32*'Assumption Sheet'!$C32,0)-IF(EH$1='Assumption Sheet'!$Y32,('Assumption Sheet'!$M32+'Assumption Sheet'!$P32)*'Assumption Sheet'!$R32*'Assumption Sheet'!$C32))/10^7</f>
        <v>0</v>
      </c>
      <c r="EI50" s="33">
        <f>(IF(EI$1='Assumption Sheet'!$L32,('Assumption Sheet'!$M32+'Assumption Sheet'!$P32)*'Assumption Sheet'!$R32*'Assumption Sheet'!$C32,0)-IF(EI$1='Assumption Sheet'!$Y32,('Assumption Sheet'!$M32+'Assumption Sheet'!$P32)*'Assumption Sheet'!$R32*'Assumption Sheet'!$C32))/10^7</f>
        <v>0</v>
      </c>
      <c r="EJ50" s="33">
        <f>(IF(EJ$1='Assumption Sheet'!$L32,('Assumption Sheet'!$M32+'Assumption Sheet'!$P32)*'Assumption Sheet'!$R32*'Assumption Sheet'!$C32,0)-IF(EJ$1='Assumption Sheet'!$Y32,('Assumption Sheet'!$M32+'Assumption Sheet'!$P32)*'Assumption Sheet'!$R32*'Assumption Sheet'!$C32))/10^7</f>
        <v>0</v>
      </c>
      <c r="EK50" s="33">
        <f>(IF(EK$1='Assumption Sheet'!$L32,('Assumption Sheet'!$M32+'Assumption Sheet'!$P32)*'Assumption Sheet'!$R32*'Assumption Sheet'!$C32,0)-IF(EK$1='Assumption Sheet'!$Y32,('Assumption Sheet'!$M32+'Assumption Sheet'!$P32)*'Assumption Sheet'!$R32*'Assumption Sheet'!$C32))/10^7</f>
        <v>0</v>
      </c>
      <c r="EL50" s="33">
        <f>(IF(EL$1='Assumption Sheet'!$L32,('Assumption Sheet'!$M32+'Assumption Sheet'!$P32)*'Assumption Sheet'!$R32*'Assumption Sheet'!$C32,0)-IF(EL$1='Assumption Sheet'!$Y32,('Assumption Sheet'!$M32+'Assumption Sheet'!$P32)*'Assumption Sheet'!$R32*'Assumption Sheet'!$C32))/10^7</f>
        <v>0</v>
      </c>
      <c r="EM50" s="33">
        <f>(IF(EM$1='Assumption Sheet'!$L32,('Assumption Sheet'!$M32+'Assumption Sheet'!$P32)*'Assumption Sheet'!$R32*'Assumption Sheet'!$C32,0)-IF(EM$1='Assumption Sheet'!$Y32,('Assumption Sheet'!$M32+'Assumption Sheet'!$P32)*'Assumption Sheet'!$R32*'Assumption Sheet'!$C32))/10^7</f>
        <v>0</v>
      </c>
      <c r="EN50" s="33">
        <f>(IF(EN$1='Assumption Sheet'!$L32,('Assumption Sheet'!$M32+'Assumption Sheet'!$P32)*'Assumption Sheet'!$R32*'Assumption Sheet'!$C32,0)-IF(EN$1='Assumption Sheet'!$Y32,('Assumption Sheet'!$M32+'Assumption Sheet'!$P32)*'Assumption Sheet'!$R32*'Assumption Sheet'!$C32))/10^7</f>
        <v>0</v>
      </c>
      <c r="EO50" s="33">
        <f>(IF(EO$1='Assumption Sheet'!$L32,('Assumption Sheet'!$M32+'Assumption Sheet'!$P32)*'Assumption Sheet'!$R32*'Assumption Sheet'!$C32,0)-IF(EO$1='Assumption Sheet'!$Y32,('Assumption Sheet'!$M32+'Assumption Sheet'!$P32)*'Assumption Sheet'!$R32*'Assumption Sheet'!$C32))/10^7</f>
        <v>0</v>
      </c>
      <c r="EP50" s="33">
        <f>(IF(EP$1='Assumption Sheet'!$L32,('Assumption Sheet'!$M32+'Assumption Sheet'!$P32)*'Assumption Sheet'!$R32*'Assumption Sheet'!$C32,0)-IF(EP$1='Assumption Sheet'!$Y32,('Assumption Sheet'!$M32+'Assumption Sheet'!$P32)*'Assumption Sheet'!$R32*'Assumption Sheet'!$C32))/10^7</f>
        <v>0</v>
      </c>
      <c r="EQ50" s="33">
        <f>(IF(EQ$1='Assumption Sheet'!$L32,('Assumption Sheet'!$M32+'Assumption Sheet'!$P32)*'Assumption Sheet'!$R32*'Assumption Sheet'!$C32,0)-IF(EQ$1='Assumption Sheet'!$Y32,('Assumption Sheet'!$M32+'Assumption Sheet'!$P32)*'Assumption Sheet'!$R32*'Assumption Sheet'!$C32))/10^7</f>
        <v>0</v>
      </c>
      <c r="ER50" s="33">
        <f>(IF(ER$1='Assumption Sheet'!$L32,('Assumption Sheet'!$M32+'Assumption Sheet'!$P32)*'Assumption Sheet'!$R32*'Assumption Sheet'!$C32,0)-IF(ER$1='Assumption Sheet'!$Y32,('Assumption Sheet'!$M32+'Assumption Sheet'!$P32)*'Assumption Sheet'!$R32*'Assumption Sheet'!$C32))/10^7</f>
        <v>0</v>
      </c>
      <c r="ES50" s="33">
        <f>(IF(ES$1='Assumption Sheet'!$L32,('Assumption Sheet'!$M32+'Assumption Sheet'!$P32)*'Assumption Sheet'!$R32*'Assumption Sheet'!$C32,0)-IF(ES$1='Assumption Sheet'!$Y32,('Assumption Sheet'!$M32+'Assumption Sheet'!$P32)*'Assumption Sheet'!$R32*'Assumption Sheet'!$C32))/10^7</f>
        <v>0</v>
      </c>
      <c r="ET50" s="33">
        <f>(IF(ET$1='Assumption Sheet'!$L32,('Assumption Sheet'!$M32+'Assumption Sheet'!$P32)*'Assumption Sheet'!$R32*'Assumption Sheet'!$C32,0)-IF(ET$1='Assumption Sheet'!$Y32,('Assumption Sheet'!$M32+'Assumption Sheet'!$P32)*'Assumption Sheet'!$R32*'Assumption Sheet'!$C32))/10^7</f>
        <v>0</v>
      </c>
      <c r="EU50" s="33">
        <f>(IF(EU$1='Assumption Sheet'!$L32,('Assumption Sheet'!$M32+'Assumption Sheet'!$P32)*'Assumption Sheet'!$R32*'Assumption Sheet'!$C32,0)-IF(EU$1='Assumption Sheet'!$Y32,('Assumption Sheet'!$M32+'Assumption Sheet'!$P32)*'Assumption Sheet'!$R32*'Assumption Sheet'!$C32))/10^7</f>
        <v>0</v>
      </c>
      <c r="EV50" s="33">
        <f>(IF(EV$1='Assumption Sheet'!$L32,('Assumption Sheet'!$M32+'Assumption Sheet'!$P32)*'Assumption Sheet'!$R32*'Assumption Sheet'!$C32,0)-IF(EV$1='Assumption Sheet'!$Y32,('Assumption Sheet'!$M32+'Assumption Sheet'!$P32)*'Assumption Sheet'!$R32*'Assumption Sheet'!$C32))/10^7</f>
        <v>0</v>
      </c>
      <c r="EW50" s="33">
        <f>(IF(EW$1='Assumption Sheet'!$L32,('Assumption Sheet'!$M32+'Assumption Sheet'!$P32)*'Assumption Sheet'!$R32*'Assumption Sheet'!$C32,0)-IF(EW$1='Assumption Sheet'!$Y32,('Assumption Sheet'!$M32+'Assumption Sheet'!$P32)*'Assumption Sheet'!$R32*'Assumption Sheet'!$C32))/10^7</f>
        <v>0</v>
      </c>
      <c r="EX50" s="33">
        <f>(IF(EX$1='Assumption Sheet'!$L32,('Assumption Sheet'!$M32+'Assumption Sheet'!$P32)*'Assumption Sheet'!$R32*'Assumption Sheet'!$C32,0)-IF(EX$1='Assumption Sheet'!$Y32,('Assumption Sheet'!$M32+'Assumption Sheet'!$P32)*'Assumption Sheet'!$R32*'Assumption Sheet'!$C32))/10^7</f>
        <v>0</v>
      </c>
      <c r="EY50" s="33">
        <f>(IF(EY$1='Assumption Sheet'!$L32,('Assumption Sheet'!$M32+'Assumption Sheet'!$P32)*'Assumption Sheet'!$R32*'Assumption Sheet'!$C32,0)-IF(EY$1='Assumption Sheet'!$Y32,('Assumption Sheet'!$M32+'Assumption Sheet'!$P32)*'Assumption Sheet'!$R32*'Assumption Sheet'!$C32))/10^7</f>
        <v>0</v>
      </c>
      <c r="EZ50" s="33">
        <f>(IF(EZ$1='Assumption Sheet'!$L32,('Assumption Sheet'!$M32+'Assumption Sheet'!$P32)*'Assumption Sheet'!$R32*'Assumption Sheet'!$C32,0)-IF(EZ$1='Assumption Sheet'!$Y32,('Assumption Sheet'!$M32+'Assumption Sheet'!$P32)*'Assumption Sheet'!$R32*'Assumption Sheet'!$C32))/10^7</f>
        <v>0</v>
      </c>
      <c r="FA50" s="33">
        <f>(IF(FA$1='Assumption Sheet'!$L32,('Assumption Sheet'!$M32+'Assumption Sheet'!$P32)*'Assumption Sheet'!$R32*'Assumption Sheet'!$C32,0)-IF(FA$1='Assumption Sheet'!$Y32,('Assumption Sheet'!$M32+'Assumption Sheet'!$P32)*'Assumption Sheet'!$R32*'Assumption Sheet'!$C32))/10^7</f>
        <v>0</v>
      </c>
      <c r="FB50" s="33">
        <f>(IF(FB$1='Assumption Sheet'!$L32,('Assumption Sheet'!$M32+'Assumption Sheet'!$P32)*'Assumption Sheet'!$R32*'Assumption Sheet'!$C32,0)-IF(FB$1='Assumption Sheet'!$Y32,('Assumption Sheet'!$M32+'Assumption Sheet'!$P32)*'Assumption Sheet'!$R32*'Assumption Sheet'!$C32))/10^7</f>
        <v>0</v>
      </c>
      <c r="FC50" s="33">
        <f>(IF(FC$1='Assumption Sheet'!$L32,('Assumption Sheet'!$M32+'Assumption Sheet'!$P32)*'Assumption Sheet'!$R32*'Assumption Sheet'!$C32,0)-IF(FC$1='Assumption Sheet'!$Y32,('Assumption Sheet'!$M32+'Assumption Sheet'!$P32)*'Assumption Sheet'!$R32*'Assumption Sheet'!$C32))/10^7</f>
        <v>0</v>
      </c>
      <c r="FD50" s="33">
        <f>(IF(FD$1='Assumption Sheet'!$L32,('Assumption Sheet'!$M32+'Assumption Sheet'!$P32)*'Assumption Sheet'!$R32*'Assumption Sheet'!$C32,0)-IF(FD$1='Assumption Sheet'!$Y32,('Assumption Sheet'!$M32+'Assumption Sheet'!$P32)*'Assumption Sheet'!$R32*'Assumption Sheet'!$C32))/10^7</f>
        <v>0</v>
      </c>
      <c r="FE50" s="33">
        <f>(IF(FE$1='Assumption Sheet'!$L32,('Assumption Sheet'!$M32+'Assumption Sheet'!$P32)*'Assumption Sheet'!$R32*'Assumption Sheet'!$C32,0)-IF(FE$1='Assumption Sheet'!$Y32,('Assumption Sheet'!$M32+'Assumption Sheet'!$P32)*'Assumption Sheet'!$R32*'Assumption Sheet'!$C32))/10^7</f>
        <v>0</v>
      </c>
      <c r="FF50" s="33">
        <f>(IF(FF$1='Assumption Sheet'!$L32,('Assumption Sheet'!$M32+'Assumption Sheet'!$P32)*'Assumption Sheet'!$R32*'Assumption Sheet'!$C32,0)-IF(FF$1='Assumption Sheet'!$Y32,('Assumption Sheet'!$M32+'Assumption Sheet'!$P32)*'Assumption Sheet'!$R32*'Assumption Sheet'!$C32))/10^7</f>
        <v>0</v>
      </c>
      <c r="FG50" s="33">
        <f>(IF(FG$1='Assumption Sheet'!$L32,('Assumption Sheet'!$M32+'Assumption Sheet'!$P32)*'Assumption Sheet'!$R32*'Assumption Sheet'!$C32,0)-IF(FG$1='Assumption Sheet'!$Y32,('Assumption Sheet'!$M32+'Assumption Sheet'!$P32)*'Assumption Sheet'!$R32*'Assumption Sheet'!$C32))/10^7</f>
        <v>0</v>
      </c>
      <c r="FH50" s="33">
        <f>(IF(FH$1='Assumption Sheet'!$L32,('Assumption Sheet'!$M32+'Assumption Sheet'!$P32)*'Assumption Sheet'!$R32*'Assumption Sheet'!$C32,0)-IF(FH$1='Assumption Sheet'!$Y32,('Assumption Sheet'!$M32+'Assumption Sheet'!$P32)*'Assumption Sheet'!$R32*'Assumption Sheet'!$C32))/10^7</f>
        <v>0</v>
      </c>
      <c r="FI50" s="33">
        <f>(IF(FI$1='Assumption Sheet'!$L32,('Assumption Sheet'!$M32+'Assumption Sheet'!$P32)*'Assumption Sheet'!$R32*'Assumption Sheet'!$C32,0)-IF(FI$1='Assumption Sheet'!$Y32,('Assumption Sheet'!$M32+'Assumption Sheet'!$P32)*'Assumption Sheet'!$R32*'Assumption Sheet'!$C32))/10^7</f>
        <v>0</v>
      </c>
      <c r="FJ50" s="33">
        <f>(IF(FJ$1='Assumption Sheet'!$L32,('Assumption Sheet'!$M32+'Assumption Sheet'!$P32)*'Assumption Sheet'!$R32*'Assumption Sheet'!$C32,0)-IF(FJ$1='Assumption Sheet'!$Y32,('Assumption Sheet'!$M32+'Assumption Sheet'!$P32)*'Assumption Sheet'!$R32*'Assumption Sheet'!$C32))/10^7</f>
        <v>0</v>
      </c>
      <c r="FK50" s="33">
        <f>(IF(FK$1='Assumption Sheet'!$L32,('Assumption Sheet'!$M32+'Assumption Sheet'!$P32)*'Assumption Sheet'!$R32*'Assumption Sheet'!$C32,0)-IF(FK$1='Assumption Sheet'!$Y32,('Assumption Sheet'!$M32+'Assumption Sheet'!$P32)*'Assumption Sheet'!$R32*'Assumption Sheet'!$C32))/10^7</f>
        <v>0</v>
      </c>
      <c r="FL50" s="33">
        <f>(IF(FL$1='Assumption Sheet'!$L32,('Assumption Sheet'!$M32+'Assumption Sheet'!$P32)*'Assumption Sheet'!$R32*'Assumption Sheet'!$C32,0)-IF(FL$1='Assumption Sheet'!$Y32,('Assumption Sheet'!$M32+'Assumption Sheet'!$P32)*'Assumption Sheet'!$R32*'Assumption Sheet'!$C32))/10^7</f>
        <v>0</v>
      </c>
      <c r="FM50" s="33">
        <f>(IF(FM$1='Assumption Sheet'!$L32,('Assumption Sheet'!$M32+'Assumption Sheet'!$P32)*'Assumption Sheet'!$R32*'Assumption Sheet'!$C32,0)-IF(FM$1='Assumption Sheet'!$Y32,('Assumption Sheet'!$M32+'Assumption Sheet'!$P32)*'Assumption Sheet'!$R32*'Assumption Sheet'!$C32))/10^7</f>
        <v>0</v>
      </c>
      <c r="FN50" s="33">
        <f>(IF(FN$1='Assumption Sheet'!$L32,('Assumption Sheet'!$M32+'Assumption Sheet'!$P32)*'Assumption Sheet'!$R32*'Assumption Sheet'!$C32,0)-IF(FN$1='Assumption Sheet'!$Y32,('Assumption Sheet'!$M32+'Assumption Sheet'!$P32)*'Assumption Sheet'!$R32*'Assumption Sheet'!$C32))/10^7</f>
        <v>0</v>
      </c>
      <c r="FO50" s="33">
        <f>(IF(FO$1='Assumption Sheet'!$L32,('Assumption Sheet'!$M32+'Assumption Sheet'!$P32)*'Assumption Sheet'!$R32*'Assumption Sheet'!$C32,0)-IF(FO$1='Assumption Sheet'!$Y32,('Assumption Sheet'!$M32+'Assumption Sheet'!$P32)*'Assumption Sheet'!$R32*'Assumption Sheet'!$C32))/10^7</f>
        <v>0</v>
      </c>
      <c r="FP50" s="33">
        <f>(IF(FP$1='Assumption Sheet'!$L32,('Assumption Sheet'!$M32+'Assumption Sheet'!$P32)*'Assumption Sheet'!$R32*'Assumption Sheet'!$C32,0)-IF(FP$1='Assumption Sheet'!$Y32,('Assumption Sheet'!$M32+'Assumption Sheet'!$P32)*'Assumption Sheet'!$R32*'Assumption Sheet'!$C32))/10^7</f>
        <v>0</v>
      </c>
      <c r="FQ50" s="33">
        <f>(IF(FQ$1='Assumption Sheet'!$L32,('Assumption Sheet'!$M32+'Assumption Sheet'!$P32)*'Assumption Sheet'!$R32*'Assumption Sheet'!$C32,0)-IF(FQ$1='Assumption Sheet'!$Y32,('Assumption Sheet'!$M32+'Assumption Sheet'!$P32)*'Assumption Sheet'!$R32*'Assumption Sheet'!$C32))/10^7</f>
        <v>0</v>
      </c>
      <c r="FR50" s="33">
        <f>(IF(FR$1='Assumption Sheet'!$L32,('Assumption Sheet'!$M32+'Assumption Sheet'!$P32)*'Assumption Sheet'!$R32*'Assumption Sheet'!$C32,0)-IF(FR$1='Assumption Sheet'!$Y32,('Assumption Sheet'!$M32+'Assumption Sheet'!$P32)*'Assumption Sheet'!$R32*'Assumption Sheet'!$C32))/10^7</f>
        <v>0</v>
      </c>
      <c r="FS50" s="33">
        <f>(IF(FS$1='Assumption Sheet'!$L32,('Assumption Sheet'!$M32+'Assumption Sheet'!$P32)*'Assumption Sheet'!$R32*'Assumption Sheet'!$C32,0)-IF(FS$1='Assumption Sheet'!$Y32,('Assumption Sheet'!$M32+'Assumption Sheet'!$P32)*'Assumption Sheet'!$R32*'Assumption Sheet'!$C32))/10^7</f>
        <v>0</v>
      </c>
      <c r="FT50" s="33">
        <f>(IF(FT$1='Assumption Sheet'!$L32,('Assumption Sheet'!$M32+'Assumption Sheet'!$P32)*'Assumption Sheet'!$R32*'Assumption Sheet'!$C32,0)-IF(FT$1='Assumption Sheet'!$Y32,('Assumption Sheet'!$M32+'Assumption Sheet'!$P32)*'Assumption Sheet'!$R32*'Assumption Sheet'!$C32))/10^7</f>
        <v>0</v>
      </c>
      <c r="FU50" s="33">
        <f>(IF(FU$1='Assumption Sheet'!$L32,('Assumption Sheet'!$M32+'Assumption Sheet'!$P32)*'Assumption Sheet'!$R32*'Assumption Sheet'!$C32,0)-IF(FU$1='Assumption Sheet'!$Y32,('Assumption Sheet'!$M32+'Assumption Sheet'!$P32)*'Assumption Sheet'!$R32*'Assumption Sheet'!$C32))/10^7</f>
        <v>0</v>
      </c>
      <c r="FV50" s="33">
        <f>(IF(FV$1='Assumption Sheet'!$L32,('Assumption Sheet'!$M32+'Assumption Sheet'!$P32)*'Assumption Sheet'!$R32*'Assumption Sheet'!$C32,0)-IF(FV$1='Assumption Sheet'!$Y32,('Assumption Sheet'!$M32+'Assumption Sheet'!$P32)*'Assumption Sheet'!$R32*'Assumption Sheet'!$C32))/10^7</f>
        <v>0</v>
      </c>
      <c r="FW50" s="33">
        <f>(IF(FW$1='Assumption Sheet'!$L32,('Assumption Sheet'!$M32+'Assumption Sheet'!$P32)*'Assumption Sheet'!$R32*'Assumption Sheet'!$C32,0)-IF(FW$1='Assumption Sheet'!$Y32,('Assumption Sheet'!$M32+'Assumption Sheet'!$P32)*'Assumption Sheet'!$R32*'Assumption Sheet'!$C32))/10^7</f>
        <v>0</v>
      </c>
      <c r="FX50" s="33">
        <f>(IF(FX$1='Assumption Sheet'!$L32,('Assumption Sheet'!$M32+'Assumption Sheet'!$P32)*'Assumption Sheet'!$R32*'Assumption Sheet'!$C32,0)-IF(FX$1='Assumption Sheet'!$Y32,('Assumption Sheet'!$M32+'Assumption Sheet'!$P32)*'Assumption Sheet'!$R32*'Assumption Sheet'!$C32))/10^7</f>
        <v>0</v>
      </c>
      <c r="FY50" s="33">
        <f>(IF(FY$1='Assumption Sheet'!$L32,('Assumption Sheet'!$M32+'Assumption Sheet'!$P32)*'Assumption Sheet'!$R32*'Assumption Sheet'!$C32,0)-IF(FY$1='Assumption Sheet'!$Y32,('Assumption Sheet'!$M32+'Assumption Sheet'!$P32)*'Assumption Sheet'!$R32*'Assumption Sheet'!$C32))/10^7</f>
        <v>0</v>
      </c>
      <c r="FZ50" s="33">
        <f>(IF(FZ$1='Assumption Sheet'!$L32,('Assumption Sheet'!$M32+'Assumption Sheet'!$P32)*'Assumption Sheet'!$R32*'Assumption Sheet'!$C32,0)-IF(FZ$1='Assumption Sheet'!$Y32,('Assumption Sheet'!$M32+'Assumption Sheet'!$P32)*'Assumption Sheet'!$R32*'Assumption Sheet'!$C32))/10^7</f>
        <v>0</v>
      </c>
      <c r="GA50" s="33">
        <f>(IF(GA$1='Assumption Sheet'!$L32,('Assumption Sheet'!$M32+'Assumption Sheet'!$P32)*'Assumption Sheet'!$R32*'Assumption Sheet'!$C32,0)-IF(GA$1='Assumption Sheet'!$Y32,('Assumption Sheet'!$M32+'Assumption Sheet'!$P32)*'Assumption Sheet'!$R32*'Assumption Sheet'!$C32))/10^7</f>
        <v>0</v>
      </c>
      <c r="GB50" s="33">
        <f>(IF(GB$1='Assumption Sheet'!$L32,('Assumption Sheet'!$M32+'Assumption Sheet'!$P32)*'Assumption Sheet'!$R32*'Assumption Sheet'!$C32,0)-IF(GB$1='Assumption Sheet'!$Y32,('Assumption Sheet'!$M32+'Assumption Sheet'!$P32)*'Assumption Sheet'!$R32*'Assumption Sheet'!$C32))/10^7</f>
        <v>0</v>
      </c>
      <c r="GC50" s="33">
        <f>(IF(GC$1='Assumption Sheet'!$L32,('Assumption Sheet'!$M32+'Assumption Sheet'!$P32)*'Assumption Sheet'!$R32*'Assumption Sheet'!$C32,0)-IF(GC$1='Assumption Sheet'!$Y32,('Assumption Sheet'!$M32+'Assumption Sheet'!$P32)*'Assumption Sheet'!$R32*'Assumption Sheet'!$C32))/10^7</f>
        <v>0</v>
      </c>
      <c r="GD50" s="33">
        <f>(IF(GD$1='Assumption Sheet'!$L32,('Assumption Sheet'!$M32+'Assumption Sheet'!$P32)*'Assumption Sheet'!$R32*'Assumption Sheet'!$C32,0)-IF(GD$1='Assumption Sheet'!$Y32,('Assumption Sheet'!$M32+'Assumption Sheet'!$P32)*'Assumption Sheet'!$R32*'Assumption Sheet'!$C32))/10^7</f>
        <v>0</v>
      </c>
      <c r="GE50" s="33">
        <f>(IF(GE$1='Assumption Sheet'!$L32,('Assumption Sheet'!$M32+'Assumption Sheet'!$P32)*'Assumption Sheet'!$R32*'Assumption Sheet'!$C32,0)-IF(GE$1='Assumption Sheet'!$Y32,('Assumption Sheet'!$M32+'Assumption Sheet'!$P32)*'Assumption Sheet'!$R32*'Assumption Sheet'!$C32))/10^7</f>
        <v>0</v>
      </c>
      <c r="GF50" s="33">
        <f>(IF(GF$1='Assumption Sheet'!$L32,('Assumption Sheet'!$M32+'Assumption Sheet'!$P32)*'Assumption Sheet'!$R32*'Assumption Sheet'!$C32,0)-IF(GF$1='Assumption Sheet'!$Y32,('Assumption Sheet'!$M32+'Assumption Sheet'!$P32)*'Assumption Sheet'!$R32*'Assumption Sheet'!$C32))/10^7</f>
        <v>0</v>
      </c>
      <c r="GG50" s="33">
        <f>(IF(GG$1='Assumption Sheet'!$L32,('Assumption Sheet'!$M32+'Assumption Sheet'!$P32)*'Assumption Sheet'!$R32*'Assumption Sheet'!$C32,0)-IF(GG$1='Assumption Sheet'!$Y32,('Assumption Sheet'!$M32+'Assumption Sheet'!$P32)*'Assumption Sheet'!$R32*'Assumption Sheet'!$C32))/10^7</f>
        <v>0</v>
      </c>
      <c r="GH50" s="33">
        <f>(IF(GH$1='Assumption Sheet'!$L32,('Assumption Sheet'!$M32+'Assumption Sheet'!$P32)*'Assumption Sheet'!$R32*'Assumption Sheet'!$C32,0)-IF(GH$1='Assumption Sheet'!$Y32,('Assumption Sheet'!$M32+'Assumption Sheet'!$P32)*'Assumption Sheet'!$R32*'Assumption Sheet'!$C32))/10^7</f>
        <v>0</v>
      </c>
      <c r="GI50" s="33">
        <f>(IF(GI$1='Assumption Sheet'!$L32,('Assumption Sheet'!$M32+'Assumption Sheet'!$P32)*'Assumption Sheet'!$R32*'Assumption Sheet'!$C32,0)-IF(GI$1='Assumption Sheet'!$Y32,('Assumption Sheet'!$M32+'Assumption Sheet'!$P32)*'Assumption Sheet'!$R32*'Assumption Sheet'!$C32))/10^7</f>
        <v>0</v>
      </c>
      <c r="GJ50" s="33">
        <f>(IF(GJ$1='Assumption Sheet'!$L32,('Assumption Sheet'!$M32+'Assumption Sheet'!$P32)*'Assumption Sheet'!$R32*'Assumption Sheet'!$C32,0)-IF(GJ$1='Assumption Sheet'!$Y32,('Assumption Sheet'!$M32+'Assumption Sheet'!$P32)*'Assumption Sheet'!$R32*'Assumption Sheet'!$C32))/10^7</f>
        <v>0</v>
      </c>
      <c r="GK50" s="33">
        <f>(IF(GK$1='Assumption Sheet'!$L32,('Assumption Sheet'!$M32+'Assumption Sheet'!$P32)*'Assumption Sheet'!$R32*'Assumption Sheet'!$C32,0)-IF(GK$1='Assumption Sheet'!$Y32,('Assumption Sheet'!$M32+'Assumption Sheet'!$P32)*'Assumption Sheet'!$R32*'Assumption Sheet'!$C32))/10^7</f>
        <v>0</v>
      </c>
      <c r="GL50" s="33">
        <f>(IF(GL$1='Assumption Sheet'!$L32,('Assumption Sheet'!$M32+'Assumption Sheet'!$P32)*'Assumption Sheet'!$R32*'Assumption Sheet'!$C32,0)-IF(GL$1='Assumption Sheet'!$Y32,('Assumption Sheet'!$M32+'Assumption Sheet'!$P32)*'Assumption Sheet'!$R32*'Assumption Sheet'!$C32))/10^7</f>
        <v>0</v>
      </c>
      <c r="GM50" s="33">
        <f>(IF(GM$1='Assumption Sheet'!$L32,('Assumption Sheet'!$M32+'Assumption Sheet'!$P32)*'Assumption Sheet'!$R32*'Assumption Sheet'!$C32,0)-IF(GM$1='Assumption Sheet'!$Y32,('Assumption Sheet'!$M32+'Assumption Sheet'!$P32)*'Assumption Sheet'!$R32*'Assumption Sheet'!$C32))/10^7</f>
        <v>0</v>
      </c>
      <c r="GN50" s="33">
        <f>(IF(GN$1='Assumption Sheet'!$L32,('Assumption Sheet'!$M32+'Assumption Sheet'!$P32)*'Assumption Sheet'!$R32*'Assumption Sheet'!$C32,0)-IF(GN$1='Assumption Sheet'!$Y32,('Assumption Sheet'!$M32+'Assumption Sheet'!$P32)*'Assumption Sheet'!$R32*'Assumption Sheet'!$C32))/10^7</f>
        <v>0</v>
      </c>
      <c r="GO50" s="33">
        <f>(IF(GO$1='Assumption Sheet'!$L32,('Assumption Sheet'!$M32+'Assumption Sheet'!$P32)*'Assumption Sheet'!$R32*'Assumption Sheet'!$C32,0)-IF(GO$1='Assumption Sheet'!$Y32,('Assumption Sheet'!$M32+'Assumption Sheet'!$P32)*'Assumption Sheet'!$R32*'Assumption Sheet'!$C32))/10^7</f>
        <v>0</v>
      </c>
      <c r="GP50" s="33">
        <f>(IF(GP$1='Assumption Sheet'!$L32,('Assumption Sheet'!$M32+'Assumption Sheet'!$P32)*'Assumption Sheet'!$R32*'Assumption Sheet'!$C32,0)-IF(GP$1='Assumption Sheet'!$Y32,('Assumption Sheet'!$M32+'Assumption Sheet'!$P32)*'Assumption Sheet'!$R32*'Assumption Sheet'!$C32))/10^7</f>
        <v>0</v>
      </c>
      <c r="GQ50" s="33">
        <f>(IF(GQ$1='Assumption Sheet'!$L32,('Assumption Sheet'!$M32+'Assumption Sheet'!$P32)*'Assumption Sheet'!$R32*'Assumption Sheet'!$C32,0)-IF(GQ$1='Assumption Sheet'!$Y32,('Assumption Sheet'!$M32+'Assumption Sheet'!$P32)*'Assumption Sheet'!$R32*'Assumption Sheet'!$C32))/10^7</f>
        <v>0</v>
      </c>
      <c r="GR50" s="33">
        <f>(IF(GR$1='Assumption Sheet'!$L32,('Assumption Sheet'!$M32+'Assumption Sheet'!$P32)*'Assumption Sheet'!$R32*'Assumption Sheet'!$C32,0)-IF(GR$1='Assumption Sheet'!$Y32,('Assumption Sheet'!$M32+'Assumption Sheet'!$P32)*'Assumption Sheet'!$R32*'Assumption Sheet'!$C32))/10^7</f>
        <v>0</v>
      </c>
      <c r="GS50" s="33">
        <f>(IF(GS$1='Assumption Sheet'!$L32,('Assumption Sheet'!$M32+'Assumption Sheet'!$P32)*'Assumption Sheet'!$R32*'Assumption Sheet'!$C32,0)-IF(GS$1='Assumption Sheet'!$Y32,('Assumption Sheet'!$M32+'Assumption Sheet'!$P32)*'Assumption Sheet'!$R32*'Assumption Sheet'!$C32))/10^7</f>
        <v>0</v>
      </c>
      <c r="GT50" s="33">
        <f>(IF(GT$1='Assumption Sheet'!$L32,('Assumption Sheet'!$M32+'Assumption Sheet'!$P32)*'Assumption Sheet'!$R32*'Assumption Sheet'!$C32,0)-IF(GT$1='Assumption Sheet'!$Y32,('Assumption Sheet'!$M32+'Assumption Sheet'!$P32)*'Assumption Sheet'!$R32*'Assumption Sheet'!$C32))/10^7</f>
        <v>0</v>
      </c>
      <c r="GU50" s="33">
        <f>(IF(GU$1='Assumption Sheet'!$L32,('Assumption Sheet'!$M32+'Assumption Sheet'!$P32)*'Assumption Sheet'!$R32*'Assumption Sheet'!$C32,0)-IF(GU$1='Assumption Sheet'!$Y32,('Assumption Sheet'!$M32+'Assumption Sheet'!$P32)*'Assumption Sheet'!$R32*'Assumption Sheet'!$C32))/10^7</f>
        <v>0</v>
      </c>
      <c r="GV50" s="33">
        <f>(IF(GV$1='Assumption Sheet'!$L32,('Assumption Sheet'!$M32+'Assumption Sheet'!$P32)*'Assumption Sheet'!$R32*'Assumption Sheet'!$C32,0)-IF(GV$1='Assumption Sheet'!$Y32,('Assumption Sheet'!$M32+'Assumption Sheet'!$P32)*'Assumption Sheet'!$R32*'Assumption Sheet'!$C32))/10^7</f>
        <v>0</v>
      </c>
      <c r="GW50" s="33">
        <f>(IF(GW$1='Assumption Sheet'!$L32,('Assumption Sheet'!$M32+'Assumption Sheet'!$P32)*'Assumption Sheet'!$R32*'Assumption Sheet'!$C32,0)-IF(GW$1='Assumption Sheet'!$Y32,('Assumption Sheet'!$M32+'Assumption Sheet'!$P32)*'Assumption Sheet'!$R32*'Assumption Sheet'!$C32))/10^7</f>
        <v>0</v>
      </c>
      <c r="GX50" s="33">
        <f>(IF(GX$1='Assumption Sheet'!$L32,('Assumption Sheet'!$M32+'Assumption Sheet'!$P32)*'Assumption Sheet'!$R32*'Assumption Sheet'!$C32,0)-IF(GX$1='Assumption Sheet'!$Y32,('Assumption Sheet'!$M32+'Assumption Sheet'!$P32)*'Assumption Sheet'!$R32*'Assumption Sheet'!$C32))/10^7</f>
        <v>0</v>
      </c>
      <c r="GY50" s="33">
        <f>(IF(GY$1='Assumption Sheet'!$L32,('Assumption Sheet'!$M32+'Assumption Sheet'!$P32)*'Assumption Sheet'!$R32*'Assumption Sheet'!$C32,0)-IF(GY$1='Assumption Sheet'!$Y32,('Assumption Sheet'!$M32+'Assumption Sheet'!$P32)*'Assumption Sheet'!$R32*'Assumption Sheet'!$C32))/10^7</f>
        <v>0</v>
      </c>
      <c r="GZ50" s="33">
        <f>(IF(GZ$1='Assumption Sheet'!$L32,('Assumption Sheet'!$M32+'Assumption Sheet'!$P32)*'Assumption Sheet'!$R32*'Assumption Sheet'!$C32,0)-IF(GZ$1='Assumption Sheet'!$Y32,('Assumption Sheet'!$M32+'Assumption Sheet'!$P32)*'Assumption Sheet'!$R32*'Assumption Sheet'!$C32))/10^7</f>
        <v>0</v>
      </c>
      <c r="HA50" s="33">
        <f>(IF(HA$1='Assumption Sheet'!$L32,('Assumption Sheet'!$M32+'Assumption Sheet'!$P32)*'Assumption Sheet'!$R32*'Assumption Sheet'!$C32,0)-IF(HA$1='Assumption Sheet'!$Y32,('Assumption Sheet'!$M32+'Assumption Sheet'!$P32)*'Assumption Sheet'!$R32*'Assumption Sheet'!$C32))/10^7</f>
        <v>0</v>
      </c>
      <c r="HB50" s="33">
        <f>(IF(HB$1='Assumption Sheet'!$L32,('Assumption Sheet'!$M32+'Assumption Sheet'!$P32)*'Assumption Sheet'!$R32*'Assumption Sheet'!$C32,0)-IF(HB$1='Assumption Sheet'!$Y32,('Assumption Sheet'!$M32+'Assumption Sheet'!$P32)*'Assumption Sheet'!$R32*'Assumption Sheet'!$C32))/10^7</f>
        <v>0</v>
      </c>
      <c r="HC50" s="33">
        <f>(IF(HC$1='Assumption Sheet'!$L32,('Assumption Sheet'!$M32+'Assumption Sheet'!$P32)*'Assumption Sheet'!$R32*'Assumption Sheet'!$C32,0)-IF(HC$1='Assumption Sheet'!$Y32,('Assumption Sheet'!$M32+'Assumption Sheet'!$P32)*'Assumption Sheet'!$R32*'Assumption Sheet'!$C32))/10^7</f>
        <v>0</v>
      </c>
      <c r="HD50" s="33">
        <f>(IF(HD$1='Assumption Sheet'!$L32,('Assumption Sheet'!$M32+'Assumption Sheet'!$P32)*'Assumption Sheet'!$R32*'Assumption Sheet'!$C32,0)-IF(HD$1='Assumption Sheet'!$Y32,('Assumption Sheet'!$M32+'Assumption Sheet'!$P32)*'Assumption Sheet'!$R32*'Assumption Sheet'!$C32))/10^7</f>
        <v>0</v>
      </c>
      <c r="HE50" s="33">
        <f>(IF(HE$1='Assumption Sheet'!$L32,('Assumption Sheet'!$M32+'Assumption Sheet'!$P32)*'Assumption Sheet'!$R32*'Assumption Sheet'!$C32,0)-IF(HE$1='Assumption Sheet'!$Y32,('Assumption Sheet'!$M32+'Assumption Sheet'!$P32)*'Assumption Sheet'!$R32*'Assumption Sheet'!$C32))/10^7</f>
        <v>0</v>
      </c>
      <c r="HF50" s="33">
        <f>(IF(HF$1='Assumption Sheet'!$L32,('Assumption Sheet'!$M32+'Assumption Sheet'!$P32)*'Assumption Sheet'!$R32*'Assumption Sheet'!$C32,0)-IF(HF$1='Assumption Sheet'!$Y32,('Assumption Sheet'!$M32+'Assumption Sheet'!$P32)*'Assumption Sheet'!$R32*'Assumption Sheet'!$C32))/10^7</f>
        <v>0</v>
      </c>
      <c r="HG50" s="33">
        <f>(IF(HG$1='Assumption Sheet'!$L32,('Assumption Sheet'!$M32+'Assumption Sheet'!$P32)*'Assumption Sheet'!$R32*'Assumption Sheet'!$C32,0)-IF(HG$1='Assumption Sheet'!$Y32,('Assumption Sheet'!$M32+'Assumption Sheet'!$P32)*'Assumption Sheet'!$R32*'Assumption Sheet'!$C32))/10^7</f>
        <v>0</v>
      </c>
      <c r="HH50" s="33">
        <f>(IF(HH$1='Assumption Sheet'!$L32,('Assumption Sheet'!$M32+'Assumption Sheet'!$P32)*'Assumption Sheet'!$R32*'Assumption Sheet'!$C32,0)-IF(HH$1='Assumption Sheet'!$Y32,('Assumption Sheet'!$M32+'Assumption Sheet'!$P32)*'Assumption Sheet'!$R32*'Assumption Sheet'!$C32))/10^7</f>
        <v>0</v>
      </c>
      <c r="HI50" s="33">
        <f>(IF(HI$1='Assumption Sheet'!$L32,('Assumption Sheet'!$M32+'Assumption Sheet'!$P32)*'Assumption Sheet'!$R32*'Assumption Sheet'!$C32,0)-IF(HI$1='Assumption Sheet'!$Y32,('Assumption Sheet'!$M32+'Assumption Sheet'!$P32)*'Assumption Sheet'!$R32*'Assumption Sheet'!$C32))/10^7</f>
        <v>0</v>
      </c>
      <c r="HJ50" s="33">
        <f>(IF(HJ$1='Assumption Sheet'!$L32,('Assumption Sheet'!$M32+'Assumption Sheet'!$P32)*'Assumption Sheet'!$R32*'Assumption Sheet'!$C32,0)-IF(HJ$1='Assumption Sheet'!$Y32,('Assumption Sheet'!$M32+'Assumption Sheet'!$P32)*'Assumption Sheet'!$R32*'Assumption Sheet'!$C32))/10^7</f>
        <v>0</v>
      </c>
      <c r="HK50" s="33">
        <f>(IF(HK$1='Assumption Sheet'!$L32,('Assumption Sheet'!$M32+'Assumption Sheet'!$P32)*'Assumption Sheet'!$R32*'Assumption Sheet'!$C32,0)-IF(HK$1='Assumption Sheet'!$Y32,('Assumption Sheet'!$M32+'Assumption Sheet'!$P32)*'Assumption Sheet'!$R32*'Assumption Sheet'!$C32))/10^7</f>
        <v>0</v>
      </c>
      <c r="HL50" s="33">
        <f>(IF(HL$1='Assumption Sheet'!$L32,('Assumption Sheet'!$M32+'Assumption Sheet'!$P32)*'Assumption Sheet'!$R32*'Assumption Sheet'!$C32,0)-IF(HL$1='Assumption Sheet'!$Y32,('Assumption Sheet'!$M32+'Assumption Sheet'!$P32)*'Assumption Sheet'!$R32*'Assumption Sheet'!$C32))/10^7</f>
        <v>0</v>
      </c>
      <c r="HM50" s="33">
        <f>(IF(HM$1='Assumption Sheet'!$L32,('Assumption Sheet'!$M32+'Assumption Sheet'!$P32)*'Assumption Sheet'!$R32*'Assumption Sheet'!$C32,0)-IF(HM$1='Assumption Sheet'!$Y32,('Assumption Sheet'!$M32+'Assumption Sheet'!$P32)*'Assumption Sheet'!$R32*'Assumption Sheet'!$C32))/10^7</f>
        <v>0</v>
      </c>
      <c r="HN50" s="33">
        <f>(IF(HN$1='Assumption Sheet'!$L32,('Assumption Sheet'!$M32+'Assumption Sheet'!$P32)*'Assumption Sheet'!$R32*'Assumption Sheet'!$C32,0)-IF(HN$1='Assumption Sheet'!$Y32,('Assumption Sheet'!$M32+'Assumption Sheet'!$P32)*'Assumption Sheet'!$R32*'Assumption Sheet'!$C32))/10^7</f>
        <v>0</v>
      </c>
      <c r="HO50" s="33">
        <f>(IF(HO$1='Assumption Sheet'!$L32,('Assumption Sheet'!$M32+'Assumption Sheet'!$P32)*'Assumption Sheet'!$R32*'Assumption Sheet'!$C32,0)-IF(HO$1='Assumption Sheet'!$Y32,('Assumption Sheet'!$M32+'Assumption Sheet'!$P32)*'Assumption Sheet'!$R32*'Assumption Sheet'!$C32))/10^7</f>
        <v>0</v>
      </c>
      <c r="HP50" s="33">
        <f>(IF(HP$1='Assumption Sheet'!$L32,('Assumption Sheet'!$M32+'Assumption Sheet'!$P32)*'Assumption Sheet'!$R32*'Assumption Sheet'!$C32,0)-IF(HP$1='Assumption Sheet'!$Y32,('Assumption Sheet'!$M32+'Assumption Sheet'!$P32)*'Assumption Sheet'!$R32*'Assumption Sheet'!$C32))/10^7</f>
        <v>0</v>
      </c>
      <c r="HQ50" s="33">
        <f>(IF(HQ$1='Assumption Sheet'!$L32,('Assumption Sheet'!$M32+'Assumption Sheet'!$P32)*'Assumption Sheet'!$R32*'Assumption Sheet'!$C32,0)-IF(HQ$1='Assumption Sheet'!$Y32,('Assumption Sheet'!$M32+'Assumption Sheet'!$P32)*'Assumption Sheet'!$R32*'Assumption Sheet'!$C32))/10^7</f>
        <v>0</v>
      </c>
      <c r="HR50" s="33">
        <f>(IF(HR$1='Assumption Sheet'!$L32,('Assumption Sheet'!$M32+'Assumption Sheet'!$P32)*'Assumption Sheet'!$R32*'Assumption Sheet'!$C32,0)-IF(HR$1='Assumption Sheet'!$Y32,('Assumption Sheet'!$M32+'Assumption Sheet'!$P32)*'Assumption Sheet'!$R32*'Assumption Sheet'!$C32))/10^7</f>
        <v>0</v>
      </c>
      <c r="HS50" s="33">
        <f>(IF(HS$1='Assumption Sheet'!$L32,('Assumption Sheet'!$M32+'Assumption Sheet'!$P32)*'Assumption Sheet'!$R32*'Assumption Sheet'!$C32,0)-IF(HS$1='Assumption Sheet'!$Y32,('Assumption Sheet'!$M32+'Assumption Sheet'!$P32)*'Assumption Sheet'!$R32*'Assumption Sheet'!$C32))/10^7</f>
        <v>0</v>
      </c>
      <c r="HT50" s="33">
        <f>(IF(HT$1='Assumption Sheet'!$L32,('Assumption Sheet'!$M32+'Assumption Sheet'!$P32)*'Assumption Sheet'!$R32*'Assumption Sheet'!$C32,0)-IF(HT$1='Assumption Sheet'!$Y32,('Assumption Sheet'!$M32+'Assumption Sheet'!$P32)*'Assumption Sheet'!$R32*'Assumption Sheet'!$C32))/10^7</f>
        <v>0</v>
      </c>
      <c r="HU50" s="33">
        <f>(IF(HU$1='Assumption Sheet'!$L32,('Assumption Sheet'!$M32+'Assumption Sheet'!$P32)*'Assumption Sheet'!$R32*'Assumption Sheet'!$C32,0)-IF(HU$1='Assumption Sheet'!$Y32,('Assumption Sheet'!$M32+'Assumption Sheet'!$P32)*'Assumption Sheet'!$R32*'Assumption Sheet'!$C32))/10^7</f>
        <v>0</v>
      </c>
      <c r="HV50" s="33">
        <f>(IF(HV$1='Assumption Sheet'!$L32,('Assumption Sheet'!$M32+'Assumption Sheet'!$P32)*'Assumption Sheet'!$R32*'Assumption Sheet'!$C32,0)-IF(HV$1='Assumption Sheet'!$Y32,('Assumption Sheet'!$M32+'Assumption Sheet'!$P32)*'Assumption Sheet'!$R32*'Assumption Sheet'!$C32))/10^7</f>
        <v>0</v>
      </c>
      <c r="HW50" s="33">
        <f>(IF(HW$1='Assumption Sheet'!$L32,('Assumption Sheet'!$M32+'Assumption Sheet'!$P32)*'Assumption Sheet'!$R32*'Assumption Sheet'!$C32,0)-IF(HW$1='Assumption Sheet'!$Y32,('Assumption Sheet'!$M32+'Assumption Sheet'!$P32)*'Assumption Sheet'!$R32*'Assumption Sheet'!$C32))/10^7</f>
        <v>0</v>
      </c>
      <c r="HX50" s="33">
        <f>(IF(HX$1='Assumption Sheet'!$L32,('Assumption Sheet'!$M32+'Assumption Sheet'!$P32)*'Assumption Sheet'!$R32*'Assumption Sheet'!$C32,0)-IF(HX$1='Assumption Sheet'!$Y32,('Assumption Sheet'!$M32+'Assumption Sheet'!$P32)*'Assumption Sheet'!$R32*'Assumption Sheet'!$C32))/10^7</f>
        <v>0</v>
      </c>
      <c r="HY50" s="33">
        <f>(IF(HY$1='Assumption Sheet'!$L32,('Assumption Sheet'!$M32+'Assumption Sheet'!$P32)*'Assumption Sheet'!$R32*'Assumption Sheet'!$C32,0)-IF(HY$1='Assumption Sheet'!$Y32,('Assumption Sheet'!$M32+'Assumption Sheet'!$P32)*'Assumption Sheet'!$R32*'Assumption Sheet'!$C32))/10^7</f>
        <v>0</v>
      </c>
      <c r="HZ50" s="33">
        <f>(IF(HZ$1='Assumption Sheet'!$L32,('Assumption Sheet'!$M32+'Assumption Sheet'!$P32)*'Assumption Sheet'!$R32*'Assumption Sheet'!$C32,0)-IF(HZ$1='Assumption Sheet'!$Y32,('Assumption Sheet'!$M32+'Assumption Sheet'!$P32)*'Assumption Sheet'!$R32*'Assumption Sheet'!$C32))/10^7</f>
        <v>0</v>
      </c>
      <c r="IA50" s="33">
        <f>(IF(IA$1='Assumption Sheet'!$L32,('Assumption Sheet'!$M32+'Assumption Sheet'!$P32)*'Assumption Sheet'!$R32*'Assumption Sheet'!$C32,0)-IF(IA$1='Assumption Sheet'!$Y32,('Assumption Sheet'!$M32+'Assumption Sheet'!$P32)*'Assumption Sheet'!$R32*'Assumption Sheet'!$C32))/10^7</f>
        <v>0</v>
      </c>
      <c r="IB50" s="33">
        <f>(IF(IB$1='Assumption Sheet'!$L32,('Assumption Sheet'!$M32+'Assumption Sheet'!$P32)*'Assumption Sheet'!$R32*'Assumption Sheet'!$C32,0)-IF(IB$1='Assumption Sheet'!$Y32,('Assumption Sheet'!$M32+'Assumption Sheet'!$P32)*'Assumption Sheet'!$R32*'Assumption Sheet'!$C32))/10^7</f>
        <v>0</v>
      </c>
      <c r="IC50" s="33">
        <f>(IF(IC$1='Assumption Sheet'!$L32,('Assumption Sheet'!$M32+'Assumption Sheet'!$P32)*'Assumption Sheet'!$R32*'Assumption Sheet'!$C32,0)-IF(IC$1='Assumption Sheet'!$Y32,('Assumption Sheet'!$M32+'Assumption Sheet'!$P32)*'Assumption Sheet'!$R32*'Assumption Sheet'!$C32))/10^7</f>
        <v>0</v>
      </c>
      <c r="ID50" s="33">
        <f>(IF(ID$1='Assumption Sheet'!$L32,('Assumption Sheet'!$M32+'Assumption Sheet'!$P32)*'Assumption Sheet'!$R32*'Assumption Sheet'!$C32,0)-IF(ID$1='Assumption Sheet'!$Y32,('Assumption Sheet'!$M32+'Assumption Sheet'!$P32)*'Assumption Sheet'!$R32*'Assumption Sheet'!$C32))/10^7</f>
        <v>0</v>
      </c>
      <c r="IE50" s="33">
        <f>(IF(IE$1='Assumption Sheet'!$L32,('Assumption Sheet'!$M32+'Assumption Sheet'!$P32)*'Assumption Sheet'!$R32*'Assumption Sheet'!$C32,0)-IF(IE$1='Assumption Sheet'!$Y32,('Assumption Sheet'!$M32+'Assumption Sheet'!$P32)*'Assumption Sheet'!$R32*'Assumption Sheet'!$C32))/10^7</f>
        <v>0</v>
      </c>
      <c r="IF50" s="33">
        <f>(IF(IF$1='Assumption Sheet'!$L32,('Assumption Sheet'!$M32+'Assumption Sheet'!$P32)*'Assumption Sheet'!$R32*'Assumption Sheet'!$C32,0)-IF(IF$1='Assumption Sheet'!$Y32,('Assumption Sheet'!$M32+'Assumption Sheet'!$P32)*'Assumption Sheet'!$R32*'Assumption Sheet'!$C32))/10^7</f>
        <v>0</v>
      </c>
      <c r="IG50" s="33">
        <f>(IF(IG$1='Assumption Sheet'!$L32,('Assumption Sheet'!$M32+'Assumption Sheet'!$P32)*'Assumption Sheet'!$R32*'Assumption Sheet'!$C32,0)-IF(IG$1='Assumption Sheet'!$Y32,('Assumption Sheet'!$M32+'Assumption Sheet'!$P32)*'Assumption Sheet'!$R32*'Assumption Sheet'!$C32))/10^7</f>
        <v>0</v>
      </c>
      <c r="IH50" s="33">
        <f>(IF(IH$1='Assumption Sheet'!$L32,('Assumption Sheet'!$M32+'Assumption Sheet'!$P32)*'Assumption Sheet'!$R32*'Assumption Sheet'!$C32,0)-IF(IH$1='Assumption Sheet'!$Y32,('Assumption Sheet'!$M32+'Assumption Sheet'!$P32)*'Assumption Sheet'!$R32*'Assumption Sheet'!$C32))/10^7</f>
        <v>0</v>
      </c>
      <c r="II50" s="33">
        <f>(IF(II$1='Assumption Sheet'!$L32,('Assumption Sheet'!$M32+'Assumption Sheet'!$P32)*'Assumption Sheet'!$R32*'Assumption Sheet'!$C32,0)-IF(II$1='Assumption Sheet'!$Y32,('Assumption Sheet'!$M32+'Assumption Sheet'!$P32)*'Assumption Sheet'!$R32*'Assumption Sheet'!$C32))/10^7</f>
        <v>0</v>
      </c>
      <c r="IJ50" s="33">
        <f>(IF(IJ$1='Assumption Sheet'!$L32,('Assumption Sheet'!$M32+'Assumption Sheet'!$P32)*'Assumption Sheet'!$R32*'Assumption Sheet'!$C32,0)-IF(IJ$1='Assumption Sheet'!$Y32,('Assumption Sheet'!$M32+'Assumption Sheet'!$P32)*'Assumption Sheet'!$R32*'Assumption Sheet'!$C32))/10^7</f>
        <v>0</v>
      </c>
      <c r="IK50" s="33">
        <f>(IF(IK$1='Assumption Sheet'!$L32,('Assumption Sheet'!$M32+'Assumption Sheet'!$P32)*'Assumption Sheet'!$R32*'Assumption Sheet'!$C32,0)-IF(IK$1='Assumption Sheet'!$Y32,('Assumption Sheet'!$M32+'Assumption Sheet'!$P32)*'Assumption Sheet'!$R32*'Assumption Sheet'!$C32))/10^7</f>
        <v>0</v>
      </c>
      <c r="IL50" s="33">
        <f>(IF(IL$1='Assumption Sheet'!$L32,('Assumption Sheet'!$M32+'Assumption Sheet'!$P32)*'Assumption Sheet'!$R32*'Assumption Sheet'!$C32,0)-IF(IL$1='Assumption Sheet'!$Y32,('Assumption Sheet'!$M32+'Assumption Sheet'!$P32)*'Assumption Sheet'!$R32*'Assumption Sheet'!$C32))/10^7</f>
        <v>0</v>
      </c>
      <c r="IM50" s="33">
        <f>(IF(IM$1='Assumption Sheet'!$L32,('Assumption Sheet'!$M32+'Assumption Sheet'!$P32)*'Assumption Sheet'!$R32*'Assumption Sheet'!$C32,0)-IF(IM$1='Assumption Sheet'!$Y32,('Assumption Sheet'!$M32+'Assumption Sheet'!$P32)*'Assumption Sheet'!$R32*'Assumption Sheet'!$C32))/10^7</f>
        <v>0</v>
      </c>
      <c r="IN50" s="33">
        <f>(IF(IN$1='Assumption Sheet'!$L32,('Assumption Sheet'!$M32+'Assumption Sheet'!$P32)*'Assumption Sheet'!$R32*'Assumption Sheet'!$C32,0)-IF(IN$1='Assumption Sheet'!$Y32,('Assumption Sheet'!$M32+'Assumption Sheet'!$P32)*'Assumption Sheet'!$R32*'Assumption Sheet'!$C32))/10^7</f>
        <v>0</v>
      </c>
      <c r="IO50" s="33">
        <f>(IF(IO$1='Assumption Sheet'!$L32,('Assumption Sheet'!$M32+'Assumption Sheet'!$P32)*'Assumption Sheet'!$R32*'Assumption Sheet'!$C32,0)-IF(IO$1='Assumption Sheet'!$Y32,('Assumption Sheet'!$M32+'Assumption Sheet'!$P32)*'Assumption Sheet'!$R32*'Assumption Sheet'!$C32))/10^7</f>
        <v>0</v>
      </c>
      <c r="IP50" s="33">
        <f>(IF(IP$1='Assumption Sheet'!$L32,('Assumption Sheet'!$M32+'Assumption Sheet'!$P32)*'Assumption Sheet'!$R32*'Assumption Sheet'!$C32,0)-IF(IP$1='Assumption Sheet'!$Y32,('Assumption Sheet'!$M32+'Assumption Sheet'!$P32)*'Assumption Sheet'!$R32*'Assumption Sheet'!$C32))/10^7</f>
        <v>0</v>
      </c>
      <c r="IQ50" s="33">
        <f>(IF(IQ$1='Assumption Sheet'!$L32,('Assumption Sheet'!$M32+'Assumption Sheet'!$P32)*'Assumption Sheet'!$R32*'Assumption Sheet'!$C32,0)-IF(IQ$1='Assumption Sheet'!$Y32,('Assumption Sheet'!$M32+'Assumption Sheet'!$P32)*'Assumption Sheet'!$R32*'Assumption Sheet'!$C32))/10^7</f>
        <v>0</v>
      </c>
      <c r="IR50" s="33">
        <f>(IF(IR$1='Assumption Sheet'!$L32,('Assumption Sheet'!$M32+'Assumption Sheet'!$P32)*'Assumption Sheet'!$R32*'Assumption Sheet'!$C32,0)-IF(IR$1='Assumption Sheet'!$Y32,('Assumption Sheet'!$M32+'Assumption Sheet'!$P32)*'Assumption Sheet'!$R32*'Assumption Sheet'!$C32))/10^7</f>
        <v>0</v>
      </c>
      <c r="IS50" s="33">
        <f>(IF(IS$1='Assumption Sheet'!$L32,('Assumption Sheet'!$M32+'Assumption Sheet'!$P32)*'Assumption Sheet'!$R32*'Assumption Sheet'!$C32,0)-IF(IS$1='Assumption Sheet'!$Y32,('Assumption Sheet'!$M32+'Assumption Sheet'!$P32)*'Assumption Sheet'!$R32*'Assumption Sheet'!$C32))/10^7</f>
        <v>0</v>
      </c>
      <c r="IT50" s="33">
        <f>(IF(IT$1='Assumption Sheet'!$L32,('Assumption Sheet'!$M32+'Assumption Sheet'!$P32)*'Assumption Sheet'!$R32*'Assumption Sheet'!$C32,0)-IF(IT$1='Assumption Sheet'!$Y32,('Assumption Sheet'!$M32+'Assumption Sheet'!$P32)*'Assumption Sheet'!$R32*'Assumption Sheet'!$C32))/10^7</f>
        <v>0</v>
      </c>
      <c r="IU50" s="33">
        <f>(IF(IU$1='Assumption Sheet'!$L32,('Assumption Sheet'!$M32+'Assumption Sheet'!$P32)*'Assumption Sheet'!$R32*'Assumption Sheet'!$C32,0)-IF(IU$1='Assumption Sheet'!$Y32,('Assumption Sheet'!$M32+'Assumption Sheet'!$P32)*'Assumption Sheet'!$R32*'Assumption Sheet'!$C32))/10^7</f>
        <v>0</v>
      </c>
      <c r="IV50" s="33">
        <f>(IF(IV$1='Assumption Sheet'!$L32,('Assumption Sheet'!$M32+'Assumption Sheet'!$P32)*'Assumption Sheet'!$R32*'Assumption Sheet'!$C32,0)-IF(IV$1='Assumption Sheet'!$Y32,('Assumption Sheet'!$M32+'Assumption Sheet'!$P32)*'Assumption Sheet'!$R32*'Assumption Sheet'!$C32))/10^7</f>
        <v>0</v>
      </c>
      <c r="IW50" s="33">
        <f>(IF(IW$1='Assumption Sheet'!$L32,('Assumption Sheet'!$M32+'Assumption Sheet'!$P32)*'Assumption Sheet'!$R32*'Assumption Sheet'!$C32,0)-IF(IW$1='Assumption Sheet'!$Y32,('Assumption Sheet'!$M32+'Assumption Sheet'!$P32)*'Assumption Sheet'!$R32*'Assumption Sheet'!$C32))/10^7</f>
        <v>0</v>
      </c>
      <c r="IX50" s="33">
        <f>(IF(IX$1='Assumption Sheet'!$L32,('Assumption Sheet'!$M32+'Assumption Sheet'!$P32)*'Assumption Sheet'!$R32*'Assumption Sheet'!$C32,0)-IF(IX$1='Assumption Sheet'!$Y32,('Assumption Sheet'!$M32+'Assumption Sheet'!$P32)*'Assumption Sheet'!$R32*'Assumption Sheet'!$C32))/10^7</f>
        <v>0</v>
      </c>
      <c r="IY50" s="33">
        <f>(IF(IY$1='Assumption Sheet'!$L32,('Assumption Sheet'!$M32+'Assumption Sheet'!$P32)*'Assumption Sheet'!$R32*'Assumption Sheet'!$C32,0)-IF(IY$1='Assumption Sheet'!$Y32,('Assumption Sheet'!$M32+'Assumption Sheet'!$P32)*'Assumption Sheet'!$R32*'Assumption Sheet'!$C32))/10^7</f>
        <v>0</v>
      </c>
      <c r="IZ50" s="33">
        <f>(IF(IZ$1='Assumption Sheet'!$L32,('Assumption Sheet'!$M32+'Assumption Sheet'!$P32)*'Assumption Sheet'!$R32*'Assumption Sheet'!$C32,0)-IF(IZ$1='Assumption Sheet'!$Y32,('Assumption Sheet'!$M32+'Assumption Sheet'!$P32)*'Assumption Sheet'!$R32*'Assumption Sheet'!$C32))/10^7</f>
        <v>0</v>
      </c>
      <c r="JA50" s="33">
        <f>(IF(JA$1='Assumption Sheet'!$L32,('Assumption Sheet'!$M32+'Assumption Sheet'!$P32)*'Assumption Sheet'!$R32*'Assumption Sheet'!$C32,0)-IF(JA$1='Assumption Sheet'!$Y32,('Assumption Sheet'!$M32+'Assumption Sheet'!$P32)*'Assumption Sheet'!$R32*'Assumption Sheet'!$C32))/10^7</f>
        <v>0</v>
      </c>
      <c r="JB50" s="33">
        <f>(IF(JB$1='Assumption Sheet'!$L32,('Assumption Sheet'!$M32+'Assumption Sheet'!$P32)*'Assumption Sheet'!$R32*'Assumption Sheet'!$C32,0)-IF(JB$1='Assumption Sheet'!$Y32,('Assumption Sheet'!$M32+'Assumption Sheet'!$P32)*'Assumption Sheet'!$R32*'Assumption Sheet'!$C32))/10^7</f>
        <v>0</v>
      </c>
      <c r="JC50" s="33">
        <f>(IF(JC$1='Assumption Sheet'!$L32,('Assumption Sheet'!$M32+'Assumption Sheet'!$P32)*'Assumption Sheet'!$R32*'Assumption Sheet'!$C32,0)-IF(JC$1='Assumption Sheet'!$Y32,('Assumption Sheet'!$M32+'Assumption Sheet'!$P32)*'Assumption Sheet'!$R32*'Assumption Sheet'!$C32))/10^7</f>
        <v>0</v>
      </c>
      <c r="JD50" s="33">
        <f>(IF(JD$1='Assumption Sheet'!$L32,('Assumption Sheet'!$M32+'Assumption Sheet'!$P32)*'Assumption Sheet'!$R32*'Assumption Sheet'!$C32,0)-IF(JD$1='Assumption Sheet'!$Y32,('Assumption Sheet'!$M32+'Assumption Sheet'!$P32)*'Assumption Sheet'!$R32*'Assumption Sheet'!$C32))/10^7</f>
        <v>0</v>
      </c>
      <c r="JE50" s="33">
        <f>(IF(JE$1='Assumption Sheet'!$L32,('Assumption Sheet'!$M32+'Assumption Sheet'!$P32)*'Assumption Sheet'!$R32*'Assumption Sheet'!$C32,0)-IF(JE$1='Assumption Sheet'!$Y32,('Assumption Sheet'!$M32+'Assumption Sheet'!$P32)*'Assumption Sheet'!$R32*'Assumption Sheet'!$C32))/10^7</f>
        <v>0</v>
      </c>
      <c r="JF50" s="33">
        <f>(IF(JF$1='Assumption Sheet'!$L32,('Assumption Sheet'!$M32+'Assumption Sheet'!$P32)*'Assumption Sheet'!$R32*'Assumption Sheet'!$C32,0)-IF(JF$1='Assumption Sheet'!$Y32,('Assumption Sheet'!$M32+'Assumption Sheet'!$P32)*'Assumption Sheet'!$R32*'Assumption Sheet'!$C32))/10^7</f>
        <v>0</v>
      </c>
      <c r="JG50" s="33">
        <f>(IF(JG$1='Assumption Sheet'!$L32,('Assumption Sheet'!$M32+'Assumption Sheet'!$P32)*'Assumption Sheet'!$R32*'Assumption Sheet'!$C32,0)-IF(JG$1='Assumption Sheet'!$Y32,('Assumption Sheet'!$M32+'Assumption Sheet'!$P32)*'Assumption Sheet'!$R32*'Assumption Sheet'!$C32))/10^7</f>
        <v>0</v>
      </c>
      <c r="JH50" s="33">
        <f>(IF(JH$1='Assumption Sheet'!$L32,('Assumption Sheet'!$M32+'Assumption Sheet'!$P32)*'Assumption Sheet'!$R32*'Assumption Sheet'!$C32,0)-IF(JH$1='Assumption Sheet'!$Y32,('Assumption Sheet'!$M32+'Assumption Sheet'!$P32)*'Assumption Sheet'!$R32*'Assumption Sheet'!$C32))/10^7</f>
        <v>0</v>
      </c>
      <c r="JI50" s="33">
        <f>(IF(JI$1='Assumption Sheet'!$L32,('Assumption Sheet'!$M32+'Assumption Sheet'!$P32)*'Assumption Sheet'!$R32*'Assumption Sheet'!$C32,0)-IF(JI$1='Assumption Sheet'!$Y32,('Assumption Sheet'!$M32+'Assumption Sheet'!$P32)*'Assumption Sheet'!$R32*'Assumption Sheet'!$C32))/10^7</f>
        <v>0</v>
      </c>
      <c r="JJ50" s="33">
        <f>(IF(JJ$1='Assumption Sheet'!$L32,('Assumption Sheet'!$M32+'Assumption Sheet'!$P32)*'Assumption Sheet'!$R32*'Assumption Sheet'!$C32,0)-IF(JJ$1='Assumption Sheet'!$Y32,('Assumption Sheet'!$M32+'Assumption Sheet'!$P32)*'Assumption Sheet'!$R32*'Assumption Sheet'!$C32))/10^7</f>
        <v>0</v>
      </c>
      <c r="JK50" s="33">
        <f>(IF(JK$1='Assumption Sheet'!$L32,('Assumption Sheet'!$M32+'Assumption Sheet'!$P32)*'Assumption Sheet'!$R32*'Assumption Sheet'!$C32,0)-IF(JK$1='Assumption Sheet'!$Y32,('Assumption Sheet'!$M32+'Assumption Sheet'!$P32)*'Assumption Sheet'!$R32*'Assumption Sheet'!$C32))/10^7</f>
        <v>0</v>
      </c>
      <c r="JL50" s="33">
        <f>(IF(JL$1='Assumption Sheet'!$L32,('Assumption Sheet'!$M32+'Assumption Sheet'!$P32)*'Assumption Sheet'!$R32*'Assumption Sheet'!$C32,0)-IF(JL$1='Assumption Sheet'!$Y32,('Assumption Sheet'!$M32+'Assumption Sheet'!$P32)*'Assumption Sheet'!$R32*'Assumption Sheet'!$C32))/10^7</f>
        <v>0</v>
      </c>
      <c r="JM50" s="33">
        <f>(IF(JM$1='Assumption Sheet'!$L32,('Assumption Sheet'!$M32+'Assumption Sheet'!$P32)*'Assumption Sheet'!$R32*'Assumption Sheet'!$C32,0)-IF(JM$1='Assumption Sheet'!$Y32,('Assumption Sheet'!$M32+'Assumption Sheet'!$P32)*'Assumption Sheet'!$R32*'Assumption Sheet'!$C32))/10^7</f>
        <v>0</v>
      </c>
      <c r="JN50" s="33">
        <f>(IF(JN$1='Assumption Sheet'!$L32,('Assumption Sheet'!$M32+'Assumption Sheet'!$P32)*'Assumption Sheet'!$R32*'Assumption Sheet'!$C32,0)-IF(JN$1='Assumption Sheet'!$Y32,('Assumption Sheet'!$M32+'Assumption Sheet'!$P32)*'Assumption Sheet'!$R32*'Assumption Sheet'!$C32))/10^7</f>
        <v>0</v>
      </c>
      <c r="JO50" s="33">
        <f>(IF(JO$1='Assumption Sheet'!$L32,('Assumption Sheet'!$M32+'Assumption Sheet'!$P32)*'Assumption Sheet'!$R32*'Assumption Sheet'!$C32,0)-IF(JO$1='Assumption Sheet'!$Y32,('Assumption Sheet'!$M32+'Assumption Sheet'!$P32)*'Assumption Sheet'!$R32*'Assumption Sheet'!$C32))/10^7</f>
        <v>0</v>
      </c>
      <c r="JP50" s="33">
        <f>(IF(JP$1='Assumption Sheet'!$L32,('Assumption Sheet'!$M32+'Assumption Sheet'!$P32)*'Assumption Sheet'!$R32*'Assumption Sheet'!$C32,0)-IF(JP$1='Assumption Sheet'!$Y32,('Assumption Sheet'!$M32+'Assumption Sheet'!$P32)*'Assumption Sheet'!$R32*'Assumption Sheet'!$C32))/10^7</f>
        <v>0</v>
      </c>
      <c r="JQ50" s="33">
        <f>(IF(JQ$1='Assumption Sheet'!$L32,('Assumption Sheet'!$M32+'Assumption Sheet'!$P32)*'Assumption Sheet'!$R32*'Assumption Sheet'!$C32,0)-IF(JQ$1='Assumption Sheet'!$Y32,('Assumption Sheet'!$M32+'Assumption Sheet'!$P32)*'Assumption Sheet'!$R32*'Assumption Sheet'!$C32))/10^7</f>
        <v>0</v>
      </c>
      <c r="JR50" s="33">
        <f>(IF(JR$1='Assumption Sheet'!$L32,('Assumption Sheet'!$M32+'Assumption Sheet'!$P32)*'Assumption Sheet'!$R32*'Assumption Sheet'!$C32,0)-IF(JR$1='Assumption Sheet'!$Y32,('Assumption Sheet'!$M32+'Assumption Sheet'!$P32)*'Assumption Sheet'!$R32*'Assumption Sheet'!$C32))/10^7</f>
        <v>0</v>
      </c>
      <c r="JS50" s="33">
        <f>(IF(JS$1='Assumption Sheet'!$L32,('Assumption Sheet'!$M32+'Assumption Sheet'!$P32)*'Assumption Sheet'!$R32*'Assumption Sheet'!$C32,0)-IF(JS$1='Assumption Sheet'!$Y32,('Assumption Sheet'!$M32+'Assumption Sheet'!$P32)*'Assumption Sheet'!$R32*'Assumption Sheet'!$C32))/10^7</f>
        <v>0</v>
      </c>
      <c r="JT50" s="33">
        <f>(IF(JT$1='Assumption Sheet'!$L32,('Assumption Sheet'!$M32+'Assumption Sheet'!$P32)*'Assumption Sheet'!$R32*'Assumption Sheet'!$C32,0)-IF(JT$1='Assumption Sheet'!$Y32,('Assumption Sheet'!$M32+'Assumption Sheet'!$P32)*'Assumption Sheet'!$R32*'Assumption Sheet'!$C32))/10^7</f>
        <v>0</v>
      </c>
      <c r="JU50" s="33">
        <f>(IF(JU$1='Assumption Sheet'!$L32,('Assumption Sheet'!$M32+'Assumption Sheet'!$P32)*'Assumption Sheet'!$R32*'Assumption Sheet'!$C32,0)-IF(JU$1='Assumption Sheet'!$Y32,('Assumption Sheet'!$M32+'Assumption Sheet'!$P32)*'Assumption Sheet'!$R32*'Assumption Sheet'!$C32))/10^7</f>
        <v>0</v>
      </c>
      <c r="JV50" s="33">
        <f>(IF(JV$1='Assumption Sheet'!$L32,('Assumption Sheet'!$M32+'Assumption Sheet'!$P32)*'Assumption Sheet'!$R32*'Assumption Sheet'!$C32,0)-IF(JV$1='Assumption Sheet'!$Y32,('Assumption Sheet'!$M32+'Assumption Sheet'!$P32)*'Assumption Sheet'!$R32*'Assumption Sheet'!$C32))/10^7</f>
        <v>0</v>
      </c>
      <c r="JW50" s="33">
        <f>(IF(JW$1='Assumption Sheet'!$L32,('Assumption Sheet'!$M32+'Assumption Sheet'!$P32)*'Assumption Sheet'!$R32*'Assumption Sheet'!$C32,0)-IF(JW$1='Assumption Sheet'!$Y32,('Assumption Sheet'!$M32+'Assumption Sheet'!$P32)*'Assumption Sheet'!$R32*'Assumption Sheet'!$C32))/10^7</f>
        <v>0</v>
      </c>
      <c r="JX50" s="33">
        <f>(IF(JX$1='Assumption Sheet'!$L32,('Assumption Sheet'!$M32+'Assumption Sheet'!$P32)*'Assumption Sheet'!$R32*'Assumption Sheet'!$C32,0)-IF(JX$1='Assumption Sheet'!$Y32,('Assumption Sheet'!$M32+'Assumption Sheet'!$P32)*'Assumption Sheet'!$R32*'Assumption Sheet'!$C32))/10^7</f>
        <v>0</v>
      </c>
      <c r="JY50" s="33">
        <f>(IF(JY$1='Assumption Sheet'!$L32,('Assumption Sheet'!$M32+'Assumption Sheet'!$P32)*'Assumption Sheet'!$R32*'Assumption Sheet'!$C32,0)-IF(JY$1='Assumption Sheet'!$Y32,('Assumption Sheet'!$M32+'Assumption Sheet'!$P32)*'Assumption Sheet'!$R32*'Assumption Sheet'!$C32))/10^7</f>
        <v>0</v>
      </c>
      <c r="JZ50" s="33">
        <f>(IF(JZ$1='Assumption Sheet'!$L32,('Assumption Sheet'!$M32+'Assumption Sheet'!$P32)*'Assumption Sheet'!$R32*'Assumption Sheet'!$C32,0)-IF(JZ$1='Assumption Sheet'!$Y32,('Assumption Sheet'!$M32+'Assumption Sheet'!$P32)*'Assumption Sheet'!$R32*'Assumption Sheet'!$C32))/10^7</f>
        <v>0</v>
      </c>
      <c r="KA50" s="33">
        <f>(IF(KA$1='Assumption Sheet'!$L32,('Assumption Sheet'!$M32+'Assumption Sheet'!$P32)*'Assumption Sheet'!$R32*'Assumption Sheet'!$C32,0)-IF(KA$1='Assumption Sheet'!$Y32,('Assumption Sheet'!$M32+'Assumption Sheet'!$P32)*'Assumption Sheet'!$R32*'Assumption Sheet'!$C32))/10^7</f>
        <v>0</v>
      </c>
      <c r="KB50" s="33">
        <f>(IF(KB$1='Assumption Sheet'!$L32,('Assumption Sheet'!$M32+'Assumption Sheet'!$P32)*'Assumption Sheet'!$R32*'Assumption Sheet'!$C32,0)-IF(KB$1='Assumption Sheet'!$Y32,('Assumption Sheet'!$M32+'Assumption Sheet'!$P32)*'Assumption Sheet'!$R32*'Assumption Sheet'!$C32))/10^7</f>
        <v>0</v>
      </c>
      <c r="KC50" s="33">
        <f>(IF(KC$1='Assumption Sheet'!$L32,('Assumption Sheet'!$M32+'Assumption Sheet'!$P32)*'Assumption Sheet'!$R32*'Assumption Sheet'!$C32,0)-IF(KC$1='Assumption Sheet'!$Y32,('Assumption Sheet'!$M32+'Assumption Sheet'!$P32)*'Assumption Sheet'!$R32*'Assumption Sheet'!$C32))/10^7</f>
        <v>0</v>
      </c>
      <c r="KD50" s="45"/>
      <c r="KE50" s="45"/>
      <c r="KF50" s="45"/>
      <c r="KG50" s="45"/>
      <c r="KH50" s="45"/>
      <c r="KI50" s="45"/>
      <c r="KJ50" s="45"/>
      <c r="KK50" s="45"/>
      <c r="KL50" s="45"/>
      <c r="KM50" s="45"/>
      <c r="KN50" s="45"/>
      <c r="KO50" s="45"/>
    </row>
    <row r="51" spans="1:301" s="428" customFormat="1" x14ac:dyDescent="0.3">
      <c r="A51" s="429"/>
      <c r="C51" s="190">
        <f>SUM(E51:EX51)</f>
        <v>18.321979404397727</v>
      </c>
      <c r="E51" s="460">
        <f t="shared" ref="E51:BP51" si="149">SUM(E46:E50)</f>
        <v>0</v>
      </c>
      <c r="F51" s="460">
        <f t="shared" si="149"/>
        <v>0</v>
      </c>
      <c r="G51" s="460">
        <f t="shared" si="149"/>
        <v>0</v>
      </c>
      <c r="H51" s="460">
        <f t="shared" si="149"/>
        <v>0</v>
      </c>
      <c r="I51" s="460">
        <f t="shared" si="149"/>
        <v>0</v>
      </c>
      <c r="J51" s="460">
        <f t="shared" si="149"/>
        <v>0</v>
      </c>
      <c r="K51" s="460">
        <f t="shared" si="149"/>
        <v>0</v>
      </c>
      <c r="L51" s="460">
        <f t="shared" si="149"/>
        <v>0</v>
      </c>
      <c r="M51" s="460">
        <f t="shared" si="149"/>
        <v>0</v>
      </c>
      <c r="N51" s="460">
        <f t="shared" si="149"/>
        <v>0</v>
      </c>
      <c r="O51" s="460">
        <f t="shared" si="149"/>
        <v>0</v>
      </c>
      <c r="P51" s="460">
        <f t="shared" si="149"/>
        <v>0</v>
      </c>
      <c r="Q51" s="460">
        <f t="shared" si="149"/>
        <v>0</v>
      </c>
      <c r="R51" s="460">
        <f t="shared" si="149"/>
        <v>0</v>
      </c>
      <c r="S51" s="460">
        <f t="shared" si="149"/>
        <v>0</v>
      </c>
      <c r="T51" s="460">
        <f t="shared" si="149"/>
        <v>0</v>
      </c>
      <c r="U51" s="460">
        <f t="shared" si="149"/>
        <v>0</v>
      </c>
      <c r="V51" s="460">
        <f t="shared" si="149"/>
        <v>0</v>
      </c>
      <c r="W51" s="460">
        <f t="shared" si="149"/>
        <v>3.1387119227698497</v>
      </c>
      <c r="X51" s="460">
        <f t="shared" si="149"/>
        <v>0</v>
      </c>
      <c r="Y51" s="460">
        <f t="shared" si="149"/>
        <v>0</v>
      </c>
      <c r="Z51" s="460">
        <f t="shared" si="149"/>
        <v>0</v>
      </c>
      <c r="AA51" s="460">
        <f t="shared" si="149"/>
        <v>0</v>
      </c>
      <c r="AB51" s="460">
        <f t="shared" si="149"/>
        <v>0</v>
      </c>
      <c r="AC51" s="460">
        <f t="shared" si="149"/>
        <v>0</v>
      </c>
      <c r="AD51" s="460">
        <f t="shared" si="149"/>
        <v>0</v>
      </c>
      <c r="AE51" s="460">
        <f t="shared" si="149"/>
        <v>0</v>
      </c>
      <c r="AF51" s="460">
        <f t="shared" si="149"/>
        <v>0</v>
      </c>
      <c r="AG51" s="460">
        <f t="shared" si="149"/>
        <v>0</v>
      </c>
      <c r="AH51" s="460">
        <f t="shared" si="149"/>
        <v>0</v>
      </c>
      <c r="AI51" s="460">
        <f t="shared" si="149"/>
        <v>6.0795196073454152</v>
      </c>
      <c r="AJ51" s="460">
        <f t="shared" si="149"/>
        <v>0</v>
      </c>
      <c r="AK51" s="460">
        <f t="shared" si="149"/>
        <v>0</v>
      </c>
      <c r="AL51" s="460">
        <f t="shared" si="149"/>
        <v>0</v>
      </c>
      <c r="AM51" s="460">
        <f t="shared" si="149"/>
        <v>0</v>
      </c>
      <c r="AN51" s="460">
        <f t="shared" si="149"/>
        <v>0</v>
      </c>
      <c r="AO51" s="460">
        <f t="shared" si="149"/>
        <v>0</v>
      </c>
      <c r="AP51" s="460">
        <f t="shared" si="149"/>
        <v>0</v>
      </c>
      <c r="AQ51" s="460">
        <f t="shared" si="149"/>
        <v>0</v>
      </c>
      <c r="AR51" s="460">
        <f t="shared" si="149"/>
        <v>2.5342463384935199</v>
      </c>
      <c r="AS51" s="460">
        <f t="shared" si="149"/>
        <v>0</v>
      </c>
      <c r="AT51" s="460">
        <f t="shared" si="149"/>
        <v>0</v>
      </c>
      <c r="AU51" s="460">
        <f t="shared" si="149"/>
        <v>0</v>
      </c>
      <c r="AV51" s="460">
        <f t="shared" si="149"/>
        <v>0</v>
      </c>
      <c r="AW51" s="460">
        <f t="shared" si="149"/>
        <v>0</v>
      </c>
      <c r="AX51" s="460">
        <f t="shared" si="149"/>
        <v>0</v>
      </c>
      <c r="AY51" s="460">
        <f t="shared" si="149"/>
        <v>0</v>
      </c>
      <c r="AZ51" s="460">
        <f t="shared" si="149"/>
        <v>0</v>
      </c>
      <c r="BA51" s="460">
        <f t="shared" si="149"/>
        <v>5.436752398531965</v>
      </c>
      <c r="BB51" s="460">
        <f t="shared" si="149"/>
        <v>0</v>
      </c>
      <c r="BC51" s="460">
        <f t="shared" si="149"/>
        <v>0</v>
      </c>
      <c r="BD51" s="460">
        <f t="shared" si="149"/>
        <v>0</v>
      </c>
      <c r="BE51" s="460">
        <f t="shared" si="149"/>
        <v>0</v>
      </c>
      <c r="BF51" s="460">
        <f t="shared" si="149"/>
        <v>0</v>
      </c>
      <c r="BG51" s="460">
        <f t="shared" si="149"/>
        <v>0</v>
      </c>
      <c r="BH51" s="460">
        <f t="shared" si="149"/>
        <v>0</v>
      </c>
      <c r="BI51" s="460">
        <f t="shared" si="149"/>
        <v>0</v>
      </c>
      <c r="BJ51" s="460">
        <f t="shared" si="149"/>
        <v>1.1327491372569751</v>
      </c>
      <c r="BK51" s="460">
        <f t="shared" si="149"/>
        <v>0</v>
      </c>
      <c r="BL51" s="460">
        <f t="shared" si="149"/>
        <v>0</v>
      </c>
      <c r="BM51" s="460">
        <f t="shared" si="149"/>
        <v>0</v>
      </c>
      <c r="BN51" s="460">
        <f t="shared" si="149"/>
        <v>0</v>
      </c>
      <c r="BO51" s="460">
        <f t="shared" si="149"/>
        <v>0</v>
      </c>
      <c r="BP51" s="460">
        <f t="shared" si="149"/>
        <v>0</v>
      </c>
      <c r="BQ51" s="460">
        <f t="shared" ref="BQ51:EB51" si="150">SUM(BQ46:BQ50)</f>
        <v>0</v>
      </c>
      <c r="BR51" s="460">
        <f t="shared" si="150"/>
        <v>0</v>
      </c>
      <c r="BS51" s="460">
        <f t="shared" si="150"/>
        <v>0</v>
      </c>
      <c r="BT51" s="460">
        <f t="shared" si="150"/>
        <v>0</v>
      </c>
      <c r="BU51" s="460">
        <f t="shared" si="150"/>
        <v>0</v>
      </c>
      <c r="BV51" s="460">
        <f t="shared" si="150"/>
        <v>0</v>
      </c>
      <c r="BW51" s="460">
        <f t="shared" si="150"/>
        <v>0</v>
      </c>
      <c r="BX51" s="460">
        <f t="shared" si="150"/>
        <v>0</v>
      </c>
      <c r="BY51" s="460">
        <f t="shared" si="150"/>
        <v>0</v>
      </c>
      <c r="BZ51" s="460">
        <f t="shared" si="150"/>
        <v>0</v>
      </c>
      <c r="CA51" s="460">
        <f t="shared" si="150"/>
        <v>0</v>
      </c>
      <c r="CB51" s="460">
        <f t="shared" si="150"/>
        <v>0</v>
      </c>
      <c r="CC51" s="460">
        <f t="shared" si="150"/>
        <v>0</v>
      </c>
      <c r="CD51" s="460">
        <f t="shared" si="150"/>
        <v>0</v>
      </c>
      <c r="CE51" s="460">
        <f t="shared" si="150"/>
        <v>0</v>
      </c>
      <c r="CF51" s="460">
        <f t="shared" si="150"/>
        <v>0</v>
      </c>
      <c r="CG51" s="460">
        <f t="shared" si="150"/>
        <v>0</v>
      </c>
      <c r="CH51" s="460">
        <f t="shared" si="150"/>
        <v>0</v>
      </c>
      <c r="CI51" s="460">
        <f t="shared" si="150"/>
        <v>0</v>
      </c>
      <c r="CJ51" s="460">
        <f t="shared" si="150"/>
        <v>0</v>
      </c>
      <c r="CK51" s="460">
        <f t="shared" si="150"/>
        <v>0</v>
      </c>
      <c r="CL51" s="460">
        <f t="shared" si="150"/>
        <v>0</v>
      </c>
      <c r="CM51" s="460">
        <f t="shared" si="150"/>
        <v>0</v>
      </c>
      <c r="CN51" s="460">
        <f t="shared" si="150"/>
        <v>0</v>
      </c>
      <c r="CO51" s="460">
        <f t="shared" si="150"/>
        <v>0</v>
      </c>
      <c r="CP51" s="460">
        <f t="shared" si="150"/>
        <v>0</v>
      </c>
      <c r="CQ51" s="460">
        <f t="shared" si="150"/>
        <v>0</v>
      </c>
      <c r="CR51" s="460">
        <f t="shared" si="150"/>
        <v>0</v>
      </c>
      <c r="CS51" s="460">
        <f t="shared" si="150"/>
        <v>0</v>
      </c>
      <c r="CT51" s="460">
        <f t="shared" si="150"/>
        <v>0</v>
      </c>
      <c r="CU51" s="460">
        <f t="shared" si="150"/>
        <v>0</v>
      </c>
      <c r="CV51" s="460">
        <f t="shared" si="150"/>
        <v>0</v>
      </c>
      <c r="CW51" s="460">
        <f t="shared" si="150"/>
        <v>0</v>
      </c>
      <c r="CX51" s="460">
        <f t="shared" si="150"/>
        <v>0</v>
      </c>
      <c r="CY51" s="460">
        <f t="shared" si="150"/>
        <v>0</v>
      </c>
      <c r="CZ51" s="460">
        <f t="shared" si="150"/>
        <v>0</v>
      </c>
      <c r="DA51" s="460">
        <f t="shared" si="150"/>
        <v>0</v>
      </c>
      <c r="DB51" s="460">
        <f t="shared" si="150"/>
        <v>0</v>
      </c>
      <c r="DC51" s="460">
        <f t="shared" si="150"/>
        <v>0</v>
      </c>
      <c r="DD51" s="460">
        <f t="shared" si="150"/>
        <v>0</v>
      </c>
      <c r="DE51" s="460">
        <f t="shared" si="150"/>
        <v>0</v>
      </c>
      <c r="DF51" s="460">
        <f t="shared" si="150"/>
        <v>0</v>
      </c>
      <c r="DG51" s="460">
        <f t="shared" si="150"/>
        <v>0</v>
      </c>
      <c r="DH51" s="460">
        <f t="shared" si="150"/>
        <v>0</v>
      </c>
      <c r="DI51" s="460">
        <f t="shared" si="150"/>
        <v>0</v>
      </c>
      <c r="DJ51" s="460">
        <f t="shared" si="150"/>
        <v>0</v>
      </c>
      <c r="DK51" s="460">
        <f t="shared" si="150"/>
        <v>0</v>
      </c>
      <c r="DL51" s="460">
        <f t="shared" si="150"/>
        <v>0</v>
      </c>
      <c r="DM51" s="460">
        <f t="shared" si="150"/>
        <v>0</v>
      </c>
      <c r="DN51" s="460">
        <f t="shared" si="150"/>
        <v>0</v>
      </c>
      <c r="DO51" s="460">
        <f t="shared" si="150"/>
        <v>0</v>
      </c>
      <c r="DP51" s="460">
        <f t="shared" si="150"/>
        <v>0</v>
      </c>
      <c r="DQ51" s="460">
        <f t="shared" si="150"/>
        <v>0</v>
      </c>
      <c r="DR51" s="460">
        <f t="shared" si="150"/>
        <v>0</v>
      </c>
      <c r="DS51" s="460">
        <f t="shared" si="150"/>
        <v>0</v>
      </c>
      <c r="DT51" s="460">
        <f t="shared" si="150"/>
        <v>0</v>
      </c>
      <c r="DU51" s="460">
        <f t="shared" si="150"/>
        <v>0</v>
      </c>
      <c r="DV51" s="460">
        <f t="shared" si="150"/>
        <v>0</v>
      </c>
      <c r="DW51" s="460">
        <f t="shared" si="150"/>
        <v>0</v>
      </c>
      <c r="DX51" s="460">
        <f t="shared" si="150"/>
        <v>0</v>
      </c>
      <c r="DY51" s="460">
        <f t="shared" si="150"/>
        <v>0</v>
      </c>
      <c r="DZ51" s="460">
        <f t="shared" si="150"/>
        <v>0</v>
      </c>
      <c r="EA51" s="460">
        <f t="shared" si="150"/>
        <v>0</v>
      </c>
      <c r="EB51" s="460">
        <f t="shared" si="150"/>
        <v>0</v>
      </c>
      <c r="EC51" s="460">
        <f t="shared" ref="EC51:GN51" si="151">SUM(EC46:EC50)</f>
        <v>0</v>
      </c>
      <c r="ED51" s="460">
        <f t="shared" si="151"/>
        <v>0</v>
      </c>
      <c r="EE51" s="460">
        <f t="shared" si="151"/>
        <v>0</v>
      </c>
      <c r="EF51" s="460">
        <f t="shared" si="151"/>
        <v>0</v>
      </c>
      <c r="EG51" s="460">
        <f t="shared" si="151"/>
        <v>0</v>
      </c>
      <c r="EH51" s="460">
        <f t="shared" si="151"/>
        <v>0</v>
      </c>
      <c r="EI51" s="460">
        <f t="shared" si="151"/>
        <v>0</v>
      </c>
      <c r="EJ51" s="460">
        <f t="shared" si="151"/>
        <v>0</v>
      </c>
      <c r="EK51" s="460">
        <f t="shared" si="151"/>
        <v>0</v>
      </c>
      <c r="EL51" s="460">
        <f t="shared" si="151"/>
        <v>0</v>
      </c>
      <c r="EM51" s="460">
        <f t="shared" si="151"/>
        <v>0</v>
      </c>
      <c r="EN51" s="460">
        <f t="shared" si="151"/>
        <v>0</v>
      </c>
      <c r="EO51" s="460">
        <f t="shared" si="151"/>
        <v>0</v>
      </c>
      <c r="EP51" s="460">
        <f t="shared" si="151"/>
        <v>0</v>
      </c>
      <c r="EQ51" s="460">
        <f t="shared" si="151"/>
        <v>0</v>
      </c>
      <c r="ER51" s="460">
        <f t="shared" si="151"/>
        <v>0</v>
      </c>
      <c r="ES51" s="460">
        <f t="shared" si="151"/>
        <v>0</v>
      </c>
      <c r="ET51" s="460">
        <f t="shared" si="151"/>
        <v>0</v>
      </c>
      <c r="EU51" s="460">
        <f t="shared" si="151"/>
        <v>0</v>
      </c>
      <c r="EV51" s="460">
        <f t="shared" si="151"/>
        <v>0</v>
      </c>
      <c r="EW51" s="460">
        <f t="shared" si="151"/>
        <v>0</v>
      </c>
      <c r="EX51" s="460">
        <f t="shared" si="151"/>
        <v>0</v>
      </c>
      <c r="EY51" s="460">
        <f t="shared" si="151"/>
        <v>0</v>
      </c>
      <c r="EZ51" s="460">
        <f t="shared" si="151"/>
        <v>0</v>
      </c>
      <c r="FA51" s="460">
        <f t="shared" si="151"/>
        <v>0</v>
      </c>
      <c r="FB51" s="460">
        <f t="shared" si="151"/>
        <v>0</v>
      </c>
      <c r="FC51" s="460">
        <f t="shared" si="151"/>
        <v>0</v>
      </c>
      <c r="FD51" s="460">
        <f t="shared" si="151"/>
        <v>0</v>
      </c>
      <c r="FE51" s="460">
        <f t="shared" si="151"/>
        <v>0</v>
      </c>
      <c r="FF51" s="460">
        <f t="shared" si="151"/>
        <v>0</v>
      </c>
      <c r="FG51" s="460">
        <f t="shared" si="151"/>
        <v>0</v>
      </c>
      <c r="FH51" s="460">
        <f t="shared" si="151"/>
        <v>0</v>
      </c>
      <c r="FI51" s="460">
        <f t="shared" si="151"/>
        <v>0</v>
      </c>
      <c r="FJ51" s="460">
        <f t="shared" si="151"/>
        <v>0</v>
      </c>
      <c r="FK51" s="460">
        <f t="shared" si="151"/>
        <v>0</v>
      </c>
      <c r="FL51" s="460">
        <f t="shared" si="151"/>
        <v>0</v>
      </c>
      <c r="FM51" s="460">
        <f t="shared" si="151"/>
        <v>0</v>
      </c>
      <c r="FN51" s="460">
        <f t="shared" si="151"/>
        <v>0</v>
      </c>
      <c r="FO51" s="460">
        <f t="shared" si="151"/>
        <v>0</v>
      </c>
      <c r="FP51" s="460">
        <f t="shared" si="151"/>
        <v>0</v>
      </c>
      <c r="FQ51" s="460">
        <f t="shared" si="151"/>
        <v>0</v>
      </c>
      <c r="FR51" s="460">
        <f t="shared" si="151"/>
        <v>0</v>
      </c>
      <c r="FS51" s="460">
        <f t="shared" si="151"/>
        <v>0</v>
      </c>
      <c r="FT51" s="460">
        <f t="shared" si="151"/>
        <v>0</v>
      </c>
      <c r="FU51" s="460">
        <f t="shared" si="151"/>
        <v>0</v>
      </c>
      <c r="FV51" s="460">
        <f t="shared" si="151"/>
        <v>0</v>
      </c>
      <c r="FW51" s="460">
        <f t="shared" si="151"/>
        <v>0</v>
      </c>
      <c r="FX51" s="460">
        <f t="shared" si="151"/>
        <v>0</v>
      </c>
      <c r="FY51" s="460">
        <f t="shared" si="151"/>
        <v>0</v>
      </c>
      <c r="FZ51" s="460">
        <f t="shared" si="151"/>
        <v>0</v>
      </c>
      <c r="GA51" s="460">
        <f t="shared" si="151"/>
        <v>0</v>
      </c>
      <c r="GB51" s="460">
        <f t="shared" si="151"/>
        <v>0</v>
      </c>
      <c r="GC51" s="460">
        <f t="shared" si="151"/>
        <v>0</v>
      </c>
      <c r="GD51" s="460">
        <f t="shared" si="151"/>
        <v>0</v>
      </c>
      <c r="GE51" s="460">
        <f t="shared" si="151"/>
        <v>0</v>
      </c>
      <c r="GF51" s="460">
        <f t="shared" si="151"/>
        <v>0</v>
      </c>
      <c r="GG51" s="460">
        <f t="shared" si="151"/>
        <v>0</v>
      </c>
      <c r="GH51" s="460">
        <f t="shared" si="151"/>
        <v>0</v>
      </c>
      <c r="GI51" s="460">
        <f t="shared" si="151"/>
        <v>0</v>
      </c>
      <c r="GJ51" s="460">
        <f t="shared" si="151"/>
        <v>0</v>
      </c>
      <c r="GK51" s="460">
        <f t="shared" si="151"/>
        <v>0</v>
      </c>
      <c r="GL51" s="460">
        <f t="shared" si="151"/>
        <v>0</v>
      </c>
      <c r="GM51" s="460">
        <f t="shared" si="151"/>
        <v>0</v>
      </c>
      <c r="GN51" s="460">
        <f t="shared" si="151"/>
        <v>0</v>
      </c>
      <c r="GO51" s="460">
        <f t="shared" ref="GO51:IZ51" si="152">SUM(GO46:GO50)</f>
        <v>0</v>
      </c>
      <c r="GP51" s="460">
        <f t="shared" si="152"/>
        <v>0</v>
      </c>
      <c r="GQ51" s="460">
        <f t="shared" si="152"/>
        <v>0</v>
      </c>
      <c r="GR51" s="460">
        <f t="shared" si="152"/>
        <v>0</v>
      </c>
      <c r="GS51" s="460">
        <f t="shared" si="152"/>
        <v>0</v>
      </c>
      <c r="GT51" s="460">
        <f t="shared" si="152"/>
        <v>0</v>
      </c>
      <c r="GU51" s="460">
        <f t="shared" si="152"/>
        <v>0</v>
      </c>
      <c r="GV51" s="460">
        <f t="shared" si="152"/>
        <v>0</v>
      </c>
      <c r="GW51" s="460">
        <f t="shared" si="152"/>
        <v>0</v>
      </c>
      <c r="GX51" s="460">
        <f t="shared" si="152"/>
        <v>0</v>
      </c>
      <c r="GY51" s="460">
        <f t="shared" si="152"/>
        <v>0</v>
      </c>
      <c r="GZ51" s="460">
        <f t="shared" si="152"/>
        <v>0</v>
      </c>
      <c r="HA51" s="460">
        <f t="shared" si="152"/>
        <v>0</v>
      </c>
      <c r="HB51" s="460">
        <f t="shared" si="152"/>
        <v>0</v>
      </c>
      <c r="HC51" s="460">
        <f t="shared" si="152"/>
        <v>0</v>
      </c>
      <c r="HD51" s="460">
        <f t="shared" si="152"/>
        <v>0</v>
      </c>
      <c r="HE51" s="460">
        <f t="shared" si="152"/>
        <v>0</v>
      </c>
      <c r="HF51" s="460">
        <f t="shared" si="152"/>
        <v>0</v>
      </c>
      <c r="HG51" s="460">
        <f t="shared" si="152"/>
        <v>0</v>
      </c>
      <c r="HH51" s="460">
        <f t="shared" si="152"/>
        <v>0</v>
      </c>
      <c r="HI51" s="460">
        <f t="shared" si="152"/>
        <v>0</v>
      </c>
      <c r="HJ51" s="460">
        <f t="shared" si="152"/>
        <v>0</v>
      </c>
      <c r="HK51" s="460">
        <f t="shared" si="152"/>
        <v>0</v>
      </c>
      <c r="HL51" s="460">
        <f t="shared" si="152"/>
        <v>0</v>
      </c>
      <c r="HM51" s="460">
        <f t="shared" si="152"/>
        <v>0</v>
      </c>
      <c r="HN51" s="460">
        <f t="shared" si="152"/>
        <v>0</v>
      </c>
      <c r="HO51" s="460">
        <f t="shared" si="152"/>
        <v>0</v>
      </c>
      <c r="HP51" s="460">
        <f t="shared" si="152"/>
        <v>0</v>
      </c>
      <c r="HQ51" s="460">
        <f t="shared" si="152"/>
        <v>0</v>
      </c>
      <c r="HR51" s="460">
        <f t="shared" si="152"/>
        <v>0</v>
      </c>
      <c r="HS51" s="460">
        <f t="shared" si="152"/>
        <v>0</v>
      </c>
      <c r="HT51" s="460">
        <f t="shared" si="152"/>
        <v>0</v>
      </c>
      <c r="HU51" s="460">
        <f t="shared" si="152"/>
        <v>0</v>
      </c>
      <c r="HV51" s="460">
        <f t="shared" si="152"/>
        <v>0</v>
      </c>
      <c r="HW51" s="460">
        <f t="shared" si="152"/>
        <v>0</v>
      </c>
      <c r="HX51" s="460">
        <f t="shared" si="152"/>
        <v>0</v>
      </c>
      <c r="HY51" s="460">
        <f t="shared" si="152"/>
        <v>0</v>
      </c>
      <c r="HZ51" s="460">
        <f t="shared" si="152"/>
        <v>0</v>
      </c>
      <c r="IA51" s="460">
        <f t="shared" si="152"/>
        <v>0</v>
      </c>
      <c r="IB51" s="460">
        <f t="shared" si="152"/>
        <v>0</v>
      </c>
      <c r="IC51" s="460">
        <f t="shared" si="152"/>
        <v>0</v>
      </c>
      <c r="ID51" s="460">
        <f t="shared" si="152"/>
        <v>0</v>
      </c>
      <c r="IE51" s="460">
        <f t="shared" si="152"/>
        <v>0</v>
      </c>
      <c r="IF51" s="460">
        <f t="shared" si="152"/>
        <v>0</v>
      </c>
      <c r="IG51" s="460">
        <f t="shared" si="152"/>
        <v>0</v>
      </c>
      <c r="IH51" s="460">
        <f t="shared" si="152"/>
        <v>0</v>
      </c>
      <c r="II51" s="460">
        <f t="shared" si="152"/>
        <v>0</v>
      </c>
      <c r="IJ51" s="460">
        <f t="shared" si="152"/>
        <v>0</v>
      </c>
      <c r="IK51" s="460">
        <f t="shared" si="152"/>
        <v>0</v>
      </c>
      <c r="IL51" s="460">
        <f t="shared" si="152"/>
        <v>0</v>
      </c>
      <c r="IM51" s="460">
        <f t="shared" si="152"/>
        <v>0</v>
      </c>
      <c r="IN51" s="460">
        <f t="shared" si="152"/>
        <v>0</v>
      </c>
      <c r="IO51" s="460">
        <f t="shared" si="152"/>
        <v>0</v>
      </c>
      <c r="IP51" s="460">
        <f t="shared" si="152"/>
        <v>0</v>
      </c>
      <c r="IQ51" s="460">
        <f t="shared" si="152"/>
        <v>0</v>
      </c>
      <c r="IR51" s="460">
        <f t="shared" si="152"/>
        <v>0</v>
      </c>
      <c r="IS51" s="460">
        <f t="shared" si="152"/>
        <v>0</v>
      </c>
      <c r="IT51" s="460">
        <f t="shared" si="152"/>
        <v>0</v>
      </c>
      <c r="IU51" s="460">
        <f t="shared" si="152"/>
        <v>0</v>
      </c>
      <c r="IV51" s="460">
        <f t="shared" si="152"/>
        <v>-3.1387119227698497</v>
      </c>
      <c r="IW51" s="460">
        <f t="shared" si="152"/>
        <v>0</v>
      </c>
      <c r="IX51" s="460">
        <f t="shared" si="152"/>
        <v>0</v>
      </c>
      <c r="IY51" s="460">
        <f t="shared" si="152"/>
        <v>0</v>
      </c>
      <c r="IZ51" s="460">
        <f t="shared" si="152"/>
        <v>0</v>
      </c>
      <c r="JA51" s="460">
        <f t="shared" ref="JA51:KC51" si="153">SUM(JA46:JA50)</f>
        <v>0</v>
      </c>
      <c r="JB51" s="460">
        <f t="shared" si="153"/>
        <v>0</v>
      </c>
      <c r="JC51" s="460">
        <f t="shared" si="153"/>
        <v>0</v>
      </c>
      <c r="JD51" s="460">
        <f t="shared" si="153"/>
        <v>0</v>
      </c>
      <c r="JE51" s="460">
        <f t="shared" si="153"/>
        <v>0</v>
      </c>
      <c r="JF51" s="460">
        <f t="shared" si="153"/>
        <v>0</v>
      </c>
      <c r="JG51" s="460">
        <f t="shared" si="153"/>
        <v>0</v>
      </c>
      <c r="JH51" s="460">
        <f t="shared" si="153"/>
        <v>-6.0795196073454152</v>
      </c>
      <c r="JI51" s="460">
        <f t="shared" si="153"/>
        <v>0</v>
      </c>
      <c r="JJ51" s="460">
        <f t="shared" si="153"/>
        <v>0</v>
      </c>
      <c r="JK51" s="460">
        <f t="shared" si="153"/>
        <v>0</v>
      </c>
      <c r="JL51" s="460">
        <f t="shared" si="153"/>
        <v>0</v>
      </c>
      <c r="JM51" s="460">
        <f t="shared" si="153"/>
        <v>0</v>
      </c>
      <c r="JN51" s="460">
        <f t="shared" si="153"/>
        <v>0</v>
      </c>
      <c r="JO51" s="460">
        <f t="shared" si="153"/>
        <v>0</v>
      </c>
      <c r="JP51" s="460">
        <f t="shared" si="153"/>
        <v>0</v>
      </c>
      <c r="JQ51" s="460">
        <f t="shared" si="153"/>
        <v>-2.5342463384935199</v>
      </c>
      <c r="JR51" s="460">
        <f t="shared" si="153"/>
        <v>0</v>
      </c>
      <c r="JS51" s="460">
        <f t="shared" si="153"/>
        <v>0</v>
      </c>
      <c r="JT51" s="460">
        <f t="shared" si="153"/>
        <v>0</v>
      </c>
      <c r="JU51" s="460">
        <f t="shared" si="153"/>
        <v>0</v>
      </c>
      <c r="JV51" s="460">
        <f t="shared" si="153"/>
        <v>0</v>
      </c>
      <c r="JW51" s="460">
        <f t="shared" si="153"/>
        <v>0</v>
      </c>
      <c r="JX51" s="460">
        <f t="shared" si="153"/>
        <v>0</v>
      </c>
      <c r="JY51" s="460">
        <f t="shared" si="153"/>
        <v>0</v>
      </c>
      <c r="JZ51" s="460">
        <f t="shared" si="153"/>
        <v>-5.436752398531965</v>
      </c>
      <c r="KA51" s="460">
        <f t="shared" si="153"/>
        <v>0</v>
      </c>
      <c r="KB51" s="460">
        <f t="shared" si="153"/>
        <v>0</v>
      </c>
      <c r="KC51" s="460">
        <f t="shared" si="153"/>
        <v>0</v>
      </c>
      <c r="KD51" s="481"/>
      <c r="KE51" s="481"/>
      <c r="KF51" s="481"/>
      <c r="KG51" s="481"/>
      <c r="KH51" s="481"/>
      <c r="KI51" s="481"/>
      <c r="KJ51" s="481"/>
      <c r="KK51" s="481"/>
      <c r="KL51" s="481"/>
      <c r="KM51" s="481"/>
      <c r="KN51" s="481"/>
      <c r="KO51" s="481"/>
    </row>
    <row r="53" spans="1:301" x14ac:dyDescent="0.3">
      <c r="B53" s="39" t="s">
        <v>44</v>
      </c>
    </row>
    <row r="54" spans="1:301" x14ac:dyDescent="0.3">
      <c r="C54" s="54"/>
      <c r="D54" s="54"/>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row>
    <row r="55" spans="1:301" x14ac:dyDescent="0.3">
      <c r="B55" s="1" t="str">
        <f>B46</f>
        <v>Phase 1</v>
      </c>
      <c r="C55" s="272">
        <f>SUM(E55:EX55)</f>
        <v>1.0462373075899498</v>
      </c>
      <c r="D55" s="272"/>
      <c r="E55" s="33">
        <f>(IF(E$1='Assumption Sheet'!$L28,('Assumption Sheet'!$M28+'Assumption Sheet'!$P28)*'Assumption Sheet'!$S28*'Assumption Sheet'!$C28,0))/10^7</f>
        <v>0</v>
      </c>
      <c r="F55" s="33">
        <f>(IF(F$1='Assumption Sheet'!$L28,('Assumption Sheet'!$M28+'Assumption Sheet'!$P28)*'Assumption Sheet'!$S28*'Assumption Sheet'!$C28,0))/10^7</f>
        <v>0</v>
      </c>
      <c r="G55" s="33">
        <f>(IF(G$1='Assumption Sheet'!$L28,('Assumption Sheet'!$M28+'Assumption Sheet'!$P28)*'Assumption Sheet'!$S28*'Assumption Sheet'!$C28,0))/10^7</f>
        <v>0</v>
      </c>
      <c r="H55" s="33">
        <f>(IF(H$1='Assumption Sheet'!$L28,('Assumption Sheet'!$M28+'Assumption Sheet'!$P28)*'Assumption Sheet'!$S28*'Assumption Sheet'!$C28,0))/10^7</f>
        <v>0</v>
      </c>
      <c r="I55" s="33">
        <f>(IF(I$1='Assumption Sheet'!$L28,('Assumption Sheet'!$M28+'Assumption Sheet'!$P28)*'Assumption Sheet'!$S28*'Assumption Sheet'!$C28,0))/10^7</f>
        <v>0</v>
      </c>
      <c r="J55" s="33">
        <f>(IF(J$1='Assumption Sheet'!$L28,('Assumption Sheet'!$M28+'Assumption Sheet'!$P28)*'Assumption Sheet'!$S28*'Assumption Sheet'!$C28,0))/10^7</f>
        <v>0</v>
      </c>
      <c r="K55" s="33">
        <f>(IF(K$1='Assumption Sheet'!$L28,('Assumption Sheet'!$M28+'Assumption Sheet'!$P28)*'Assumption Sheet'!$S28*'Assumption Sheet'!$C28,0))/10^7</f>
        <v>0</v>
      </c>
      <c r="L55" s="33">
        <f>(IF(L$1='Assumption Sheet'!$L28,('Assumption Sheet'!$M28+'Assumption Sheet'!$P28)*'Assumption Sheet'!$S28*'Assumption Sheet'!$C28,0))/10^7</f>
        <v>0</v>
      </c>
      <c r="M55" s="33">
        <f>(IF(M$1='Assumption Sheet'!$L28,('Assumption Sheet'!$M28+'Assumption Sheet'!$P28)*'Assumption Sheet'!$S28*'Assumption Sheet'!$C28,0))/10^7</f>
        <v>0</v>
      </c>
      <c r="N55" s="33">
        <f>(IF(N$1='Assumption Sheet'!$L28,('Assumption Sheet'!$M28+'Assumption Sheet'!$P28)*'Assumption Sheet'!$S28*'Assumption Sheet'!$C28,0))/10^7</f>
        <v>0</v>
      </c>
      <c r="O55" s="33">
        <f>(IF(O$1='Assumption Sheet'!$L28,('Assumption Sheet'!$M28+'Assumption Sheet'!$P28)*'Assumption Sheet'!$S28*'Assumption Sheet'!$C28,0))/10^7</f>
        <v>0</v>
      </c>
      <c r="P55" s="33">
        <f>(IF(P$1='Assumption Sheet'!$L28,('Assumption Sheet'!$M28+'Assumption Sheet'!$P28)*'Assumption Sheet'!$S28*'Assumption Sheet'!$C28,0))/10^7</f>
        <v>0</v>
      </c>
      <c r="Q55" s="33">
        <f>(IF(Q$1='Assumption Sheet'!$L28,('Assumption Sheet'!$M28+'Assumption Sheet'!$P28)*'Assumption Sheet'!$S28*'Assumption Sheet'!$C28,0))/10^7</f>
        <v>0</v>
      </c>
      <c r="R55" s="33">
        <f>(IF(R$1='Assumption Sheet'!$L28,('Assumption Sheet'!$M28+'Assumption Sheet'!$P28)*'Assumption Sheet'!$S28*'Assumption Sheet'!$C28,0))/10^7</f>
        <v>0</v>
      </c>
      <c r="S55" s="33">
        <f>(IF(S$1='Assumption Sheet'!$L28,('Assumption Sheet'!$M28+'Assumption Sheet'!$P28)*'Assumption Sheet'!$S28*'Assumption Sheet'!$C28,0))/10^7</f>
        <v>0</v>
      </c>
      <c r="T55" s="33">
        <f>(IF(T$1='Assumption Sheet'!$L28,('Assumption Sheet'!$M28+'Assumption Sheet'!$P28)*'Assumption Sheet'!$S28*'Assumption Sheet'!$C28,0))/10^7</f>
        <v>0</v>
      </c>
      <c r="U55" s="33">
        <f>(IF(U$1='Assumption Sheet'!$L28,('Assumption Sheet'!$M28+'Assumption Sheet'!$P28)*'Assumption Sheet'!$S28*'Assumption Sheet'!$C28,0))/10^7</f>
        <v>0</v>
      </c>
      <c r="V55" s="33">
        <f>(IF(V$1='Assumption Sheet'!$L28,('Assumption Sheet'!$M28+'Assumption Sheet'!$P28)*'Assumption Sheet'!$S28*'Assumption Sheet'!$C28,0))/10^7</f>
        <v>0</v>
      </c>
      <c r="W55" s="33">
        <f>(IF(W$1='Assumption Sheet'!$L28,('Assumption Sheet'!$M28+'Assumption Sheet'!$P28)*'Assumption Sheet'!$S28*'Assumption Sheet'!$C28,0))/10^7</f>
        <v>1.0462373075899498</v>
      </c>
      <c r="X55" s="33">
        <f>(IF(X$1='Assumption Sheet'!$L28,('Assumption Sheet'!$M28+'Assumption Sheet'!$P28)*'Assumption Sheet'!$S28*'Assumption Sheet'!$C28,0))/10^7</f>
        <v>0</v>
      </c>
      <c r="Y55" s="33">
        <f>(IF(Y$1='Assumption Sheet'!$L28,('Assumption Sheet'!$M28+'Assumption Sheet'!$P28)*'Assumption Sheet'!$S28*'Assumption Sheet'!$C28,0))/10^7</f>
        <v>0</v>
      </c>
      <c r="Z55" s="33">
        <f>(IF(Z$1='Assumption Sheet'!$L28,('Assumption Sheet'!$M28+'Assumption Sheet'!$P28)*'Assumption Sheet'!$S28*'Assumption Sheet'!$C28,0))/10^7</f>
        <v>0</v>
      </c>
      <c r="AA55" s="33">
        <f>(IF(AA$1='Assumption Sheet'!$L28,('Assumption Sheet'!$M28+'Assumption Sheet'!$P28)*'Assumption Sheet'!$S28*'Assumption Sheet'!$C28,0))/10^7</f>
        <v>0</v>
      </c>
      <c r="AB55" s="33">
        <f>(IF(AB$1='Assumption Sheet'!$L28,('Assumption Sheet'!$M28+'Assumption Sheet'!$P28)*'Assumption Sheet'!$S28*'Assumption Sheet'!$C28,0))/10^7</f>
        <v>0</v>
      </c>
      <c r="AC55" s="33">
        <f>(IF(AC$1='Assumption Sheet'!$L28,('Assumption Sheet'!$M28+'Assumption Sheet'!$P28)*'Assumption Sheet'!$S28*'Assumption Sheet'!$C28,0))/10^7</f>
        <v>0</v>
      </c>
      <c r="AD55" s="33">
        <f>(IF(AD$1='Assumption Sheet'!$L28,('Assumption Sheet'!$M28+'Assumption Sheet'!$P28)*'Assumption Sheet'!$S28*'Assumption Sheet'!$C28,0))/10^7</f>
        <v>0</v>
      </c>
      <c r="AE55" s="33">
        <f>(IF(AE$1='Assumption Sheet'!$L28,('Assumption Sheet'!$M28+'Assumption Sheet'!$P28)*'Assumption Sheet'!$S28*'Assumption Sheet'!$C28,0))/10^7</f>
        <v>0</v>
      </c>
      <c r="AF55" s="33">
        <f>(IF(AF$1='Assumption Sheet'!$L28,('Assumption Sheet'!$M28+'Assumption Sheet'!$P28)*'Assumption Sheet'!$S28*'Assumption Sheet'!$C28,0))/10^7</f>
        <v>0</v>
      </c>
      <c r="AG55" s="33">
        <f>(IF(AG$1='Assumption Sheet'!$L28,('Assumption Sheet'!$M28+'Assumption Sheet'!$P28)*'Assumption Sheet'!$S28*'Assumption Sheet'!$C28,0))/10^7</f>
        <v>0</v>
      </c>
      <c r="AH55" s="33">
        <f>(IF(AH$1='Assumption Sheet'!$L28,('Assumption Sheet'!$M28+'Assumption Sheet'!$P28)*'Assumption Sheet'!$S28*'Assumption Sheet'!$C28,0))/10^7</f>
        <v>0</v>
      </c>
      <c r="AI55" s="33">
        <f>(IF(AI$1='Assumption Sheet'!$L28,('Assumption Sheet'!$M28+'Assumption Sheet'!$P28)*'Assumption Sheet'!$S28*'Assumption Sheet'!$C28,0))/10^7</f>
        <v>0</v>
      </c>
      <c r="AJ55" s="33">
        <f>(IF(AJ$1='Assumption Sheet'!$L28,('Assumption Sheet'!$M28+'Assumption Sheet'!$P28)*'Assumption Sheet'!$S28*'Assumption Sheet'!$C28,0))/10^7</f>
        <v>0</v>
      </c>
      <c r="AK55" s="33">
        <f>(IF(AK$1='Assumption Sheet'!$L28,('Assumption Sheet'!$M28+'Assumption Sheet'!$P28)*'Assumption Sheet'!$S28*'Assumption Sheet'!$C28,0))/10^7</f>
        <v>0</v>
      </c>
      <c r="AL55" s="33">
        <f>(IF(AL$1='Assumption Sheet'!$L28,('Assumption Sheet'!$M28+'Assumption Sheet'!$P28)*'Assumption Sheet'!$S28*'Assumption Sheet'!$C28,0))/10^7</f>
        <v>0</v>
      </c>
      <c r="AM55" s="33">
        <f>(IF(AM$1='Assumption Sheet'!$L28,('Assumption Sheet'!$M28+'Assumption Sheet'!$P28)*'Assumption Sheet'!$S28*'Assumption Sheet'!$C28,0))/10^7</f>
        <v>0</v>
      </c>
      <c r="AN55" s="33">
        <f>(IF(AN$1='Assumption Sheet'!$L28,('Assumption Sheet'!$M28+'Assumption Sheet'!$P28)*'Assumption Sheet'!$S28*'Assumption Sheet'!$C28,0))/10^7</f>
        <v>0</v>
      </c>
      <c r="AO55" s="33">
        <f>(IF(AO$1='Assumption Sheet'!$L28,('Assumption Sheet'!$M28+'Assumption Sheet'!$P28)*'Assumption Sheet'!$S28*'Assumption Sheet'!$C28,0))/10^7</f>
        <v>0</v>
      </c>
      <c r="AP55" s="33">
        <f>(IF(AP$1='Assumption Sheet'!$L28,('Assumption Sheet'!$M28+'Assumption Sheet'!$P28)*'Assumption Sheet'!$S28*'Assumption Sheet'!$C28,0))/10^7</f>
        <v>0</v>
      </c>
      <c r="AQ55" s="33">
        <f>(IF(AQ$1='Assumption Sheet'!$L28,('Assumption Sheet'!$M28+'Assumption Sheet'!$P28)*'Assumption Sheet'!$S28*'Assumption Sheet'!$C28,0))/10^7</f>
        <v>0</v>
      </c>
      <c r="AR55" s="33">
        <f>(IF(AR$1='Assumption Sheet'!$L28,('Assumption Sheet'!$M28+'Assumption Sheet'!$P28)*'Assumption Sheet'!$S28*'Assumption Sheet'!$C28,0))/10^7</f>
        <v>0</v>
      </c>
      <c r="AS55" s="33">
        <f>(IF(AS$1='Assumption Sheet'!$L28,('Assumption Sheet'!$M28+'Assumption Sheet'!$P28)*'Assumption Sheet'!$S28*'Assumption Sheet'!$C28,0))/10^7</f>
        <v>0</v>
      </c>
      <c r="AT55" s="33">
        <f>(IF(AT$1='Assumption Sheet'!$L28,('Assumption Sheet'!$M28+'Assumption Sheet'!$P28)*'Assumption Sheet'!$S28*'Assumption Sheet'!$C28,0))/10^7</f>
        <v>0</v>
      </c>
      <c r="AU55" s="33">
        <f>(IF(AU$1='Assumption Sheet'!$L28,('Assumption Sheet'!$M28+'Assumption Sheet'!$P28)*'Assumption Sheet'!$S28*'Assumption Sheet'!$C28,0))/10^7</f>
        <v>0</v>
      </c>
      <c r="AV55" s="33">
        <f>(IF(AV$1='Assumption Sheet'!$L28,('Assumption Sheet'!$M28+'Assumption Sheet'!$P28)*'Assumption Sheet'!$S28*'Assumption Sheet'!$C28,0))/10^7</f>
        <v>0</v>
      </c>
      <c r="AW55" s="33">
        <f>(IF(AW$1='Assumption Sheet'!$L28,('Assumption Sheet'!$M28+'Assumption Sheet'!$P28)*'Assumption Sheet'!$S28*'Assumption Sheet'!$C28,0))/10^7</f>
        <v>0</v>
      </c>
      <c r="AX55" s="33">
        <f>(IF(AX$1='Assumption Sheet'!$L28,('Assumption Sheet'!$M28+'Assumption Sheet'!$P28)*'Assumption Sheet'!$S28*'Assumption Sheet'!$C28,0))/10^7</f>
        <v>0</v>
      </c>
      <c r="AY55" s="33">
        <f>(IF(AY$1='Assumption Sheet'!$L28,('Assumption Sheet'!$M28+'Assumption Sheet'!$P28)*'Assumption Sheet'!$S28*'Assumption Sheet'!$C28,0))/10^7</f>
        <v>0</v>
      </c>
      <c r="AZ55" s="33">
        <f>(IF(AZ$1='Assumption Sheet'!$L28,('Assumption Sheet'!$M28+'Assumption Sheet'!$P28)*'Assumption Sheet'!$S28*'Assumption Sheet'!$C28,0))/10^7</f>
        <v>0</v>
      </c>
      <c r="BA55" s="33">
        <f>(IF(BA$1='Assumption Sheet'!$L28,('Assumption Sheet'!$M28+'Assumption Sheet'!$P28)*'Assumption Sheet'!$S28*'Assumption Sheet'!$C28,0))/10^7</f>
        <v>0</v>
      </c>
      <c r="BB55" s="33">
        <f>(IF(BB$1='Assumption Sheet'!$L28,('Assumption Sheet'!$M28+'Assumption Sheet'!$P28)*'Assumption Sheet'!$S28*'Assumption Sheet'!$C28,0))/10^7</f>
        <v>0</v>
      </c>
      <c r="BC55" s="33">
        <f>(IF(BC$1='Assumption Sheet'!$L28,('Assumption Sheet'!$M28+'Assumption Sheet'!$P28)*'Assumption Sheet'!$S28*'Assumption Sheet'!$C28,0))/10^7</f>
        <v>0</v>
      </c>
      <c r="BD55" s="33">
        <f>(IF(BD$1='Assumption Sheet'!$L28,('Assumption Sheet'!$M28+'Assumption Sheet'!$P28)*'Assumption Sheet'!$S28*'Assumption Sheet'!$C28,0))/10^7</f>
        <v>0</v>
      </c>
      <c r="BE55" s="33">
        <f>(IF(BE$1='Assumption Sheet'!$L28,('Assumption Sheet'!$M28+'Assumption Sheet'!$P28)*'Assumption Sheet'!$S28*'Assumption Sheet'!$C28,0))/10^7</f>
        <v>0</v>
      </c>
      <c r="BF55" s="33">
        <f>(IF(BF$1='Assumption Sheet'!$L28,('Assumption Sheet'!$M28+'Assumption Sheet'!$P28)*'Assumption Sheet'!$S28*'Assumption Sheet'!$C28,0))/10^7</f>
        <v>0</v>
      </c>
      <c r="BG55" s="33">
        <f>(IF(BG$1='Assumption Sheet'!$L28,('Assumption Sheet'!$M28+'Assumption Sheet'!$P28)*'Assumption Sheet'!$S28*'Assumption Sheet'!$C28,0))/10^7</f>
        <v>0</v>
      </c>
      <c r="BH55" s="33">
        <f>(IF(BH$1='Assumption Sheet'!$L28,('Assumption Sheet'!$M28+'Assumption Sheet'!$P28)*'Assumption Sheet'!$S28*'Assumption Sheet'!$C28,0))/10^7</f>
        <v>0</v>
      </c>
      <c r="BI55" s="33">
        <f>(IF(BI$1='Assumption Sheet'!$L28,('Assumption Sheet'!$M28+'Assumption Sheet'!$P28)*'Assumption Sheet'!$S28*'Assumption Sheet'!$C28,0))/10^7</f>
        <v>0</v>
      </c>
      <c r="BJ55" s="33">
        <f>(IF(BJ$1='Assumption Sheet'!$L28,('Assumption Sheet'!$M28+'Assumption Sheet'!$P28)*'Assumption Sheet'!$S28*'Assumption Sheet'!$C28,0))/10^7</f>
        <v>0</v>
      </c>
      <c r="BK55" s="33">
        <f>(IF(BK$1='Assumption Sheet'!$L28,('Assumption Sheet'!$M28+'Assumption Sheet'!$P28)*'Assumption Sheet'!$S28*'Assumption Sheet'!$C28,0))/10^7</f>
        <v>0</v>
      </c>
      <c r="BL55" s="33">
        <f>(IF(BL$1='Assumption Sheet'!$L28,('Assumption Sheet'!$M28+'Assumption Sheet'!$P28)*'Assumption Sheet'!$S28*'Assumption Sheet'!$C28,0))/10^7</f>
        <v>0</v>
      </c>
      <c r="BM55" s="33">
        <f>(IF(BM$1='Assumption Sheet'!$L28,('Assumption Sheet'!$M28+'Assumption Sheet'!$P28)*'Assumption Sheet'!$S28*'Assumption Sheet'!$C28,0))/10^7</f>
        <v>0</v>
      </c>
      <c r="BN55" s="33">
        <f>(IF(BN$1='Assumption Sheet'!$L28,('Assumption Sheet'!$M28+'Assumption Sheet'!$P28)*'Assumption Sheet'!$S28*'Assumption Sheet'!$C28,0))/10^7</f>
        <v>0</v>
      </c>
      <c r="BO55" s="33">
        <f>(IF(BO$1='Assumption Sheet'!$L28,('Assumption Sheet'!$M28+'Assumption Sheet'!$P28)*'Assumption Sheet'!$S28*'Assumption Sheet'!$C28,0))/10^7</f>
        <v>0</v>
      </c>
      <c r="BP55" s="33">
        <f>(IF(BP$1='Assumption Sheet'!$L28,('Assumption Sheet'!$M28+'Assumption Sheet'!$P28)*'Assumption Sheet'!$S28*'Assumption Sheet'!$C28,0))/10^7</f>
        <v>0</v>
      </c>
      <c r="BQ55" s="33">
        <f>(IF(BQ$1='Assumption Sheet'!$L28,('Assumption Sheet'!$M28+'Assumption Sheet'!$P28)*'Assumption Sheet'!$S28*'Assumption Sheet'!$C28,0))/10^7</f>
        <v>0</v>
      </c>
      <c r="BR55" s="33">
        <f>(IF(BR$1='Assumption Sheet'!$L28,('Assumption Sheet'!$M28+'Assumption Sheet'!$P28)*'Assumption Sheet'!$S28*'Assumption Sheet'!$C28,0))/10^7</f>
        <v>0</v>
      </c>
      <c r="BS55" s="33">
        <f>(IF(BS$1='Assumption Sheet'!$L28,('Assumption Sheet'!$M28+'Assumption Sheet'!$P28)*'Assumption Sheet'!$S28*'Assumption Sheet'!$C28,0))/10^7</f>
        <v>0</v>
      </c>
      <c r="BT55" s="33">
        <f>(IF(BT$1='Assumption Sheet'!$L28,('Assumption Sheet'!$M28+'Assumption Sheet'!$P28)*'Assumption Sheet'!$S28*'Assumption Sheet'!$C28,0))/10^7</f>
        <v>0</v>
      </c>
      <c r="BU55" s="33">
        <f>(IF(BU$1='Assumption Sheet'!$L28,('Assumption Sheet'!$M28+'Assumption Sheet'!$P28)*'Assumption Sheet'!$S28*'Assumption Sheet'!$C28,0))/10^7</f>
        <v>0</v>
      </c>
      <c r="BV55" s="33">
        <f>(IF(BV$1='Assumption Sheet'!$L28,('Assumption Sheet'!$M28+'Assumption Sheet'!$P28)*'Assumption Sheet'!$S28*'Assumption Sheet'!$C28,0))/10^7</f>
        <v>0</v>
      </c>
      <c r="BW55" s="33">
        <f>(IF(BW$1='Assumption Sheet'!$L28,('Assumption Sheet'!$M28+'Assumption Sheet'!$P28)*'Assumption Sheet'!$S28*'Assumption Sheet'!$C28,0))/10^7</f>
        <v>0</v>
      </c>
      <c r="BX55" s="33">
        <f>(IF(BX$1='Assumption Sheet'!$L28,('Assumption Sheet'!$M28+'Assumption Sheet'!$P28)*'Assumption Sheet'!$S28*'Assumption Sheet'!$C28,0))/10^7</f>
        <v>0</v>
      </c>
      <c r="BY55" s="33">
        <f>(IF(BY$1='Assumption Sheet'!$L28,('Assumption Sheet'!$M28+'Assumption Sheet'!$P28)*'Assumption Sheet'!$S28*'Assumption Sheet'!$C28,0))/10^7</f>
        <v>0</v>
      </c>
      <c r="BZ55" s="33">
        <f>(IF(BZ$1='Assumption Sheet'!$L28,('Assumption Sheet'!$M28+'Assumption Sheet'!$P28)*'Assumption Sheet'!$S28*'Assumption Sheet'!$C28,0))/10^7</f>
        <v>0</v>
      </c>
      <c r="CA55" s="33">
        <f>(IF(CA$1='Assumption Sheet'!$L28,('Assumption Sheet'!$M28+'Assumption Sheet'!$P28)*'Assumption Sheet'!$S28*'Assumption Sheet'!$C28,0))/10^7</f>
        <v>0</v>
      </c>
      <c r="CB55" s="33">
        <f>(IF(CB$1='Assumption Sheet'!$L28,('Assumption Sheet'!$M28+'Assumption Sheet'!$P28)*'Assumption Sheet'!$S28*'Assumption Sheet'!$C28,0))/10^7</f>
        <v>0</v>
      </c>
      <c r="CC55" s="33">
        <f>(IF(CC$1='Assumption Sheet'!$L28,('Assumption Sheet'!$M28+'Assumption Sheet'!$P28)*'Assumption Sheet'!$S28*'Assumption Sheet'!$C28,0))/10^7</f>
        <v>0</v>
      </c>
      <c r="CD55" s="33">
        <f>(IF(CD$1='Assumption Sheet'!$L28,('Assumption Sheet'!$M28+'Assumption Sheet'!$P28)*'Assumption Sheet'!$S28*'Assumption Sheet'!$C28,0))/10^7</f>
        <v>0</v>
      </c>
      <c r="CE55" s="33">
        <f>(IF(CE$1='Assumption Sheet'!$L28,('Assumption Sheet'!$M28+'Assumption Sheet'!$P28)*'Assumption Sheet'!$S28*'Assumption Sheet'!$C28,0))/10^7</f>
        <v>0</v>
      </c>
      <c r="CF55" s="33">
        <f>(IF(CF$1='Assumption Sheet'!$L28,('Assumption Sheet'!$M28+'Assumption Sheet'!$P28)*'Assumption Sheet'!$S28*'Assumption Sheet'!$C28,0))/10^7</f>
        <v>0</v>
      </c>
      <c r="CG55" s="33">
        <f>(IF(CG$1='Assumption Sheet'!$L28,('Assumption Sheet'!$M28+'Assumption Sheet'!$P28)*'Assumption Sheet'!$S28*'Assumption Sheet'!$C28,0))/10^7</f>
        <v>0</v>
      </c>
      <c r="CH55" s="33">
        <f>(IF(CH$1='Assumption Sheet'!$L28,('Assumption Sheet'!$M28+'Assumption Sheet'!$P28)*'Assumption Sheet'!$S28*'Assumption Sheet'!$C28,0))/10^7</f>
        <v>0</v>
      </c>
      <c r="CI55" s="33">
        <f>(IF(CI$1='Assumption Sheet'!$L28,('Assumption Sheet'!$M28+'Assumption Sheet'!$P28)*'Assumption Sheet'!$S28*'Assumption Sheet'!$C28,0))/10^7</f>
        <v>0</v>
      </c>
      <c r="CJ55" s="33">
        <f>(IF(CJ$1='Assumption Sheet'!$L28,('Assumption Sheet'!$M28+'Assumption Sheet'!$P28)*'Assumption Sheet'!$S28*'Assumption Sheet'!$C28,0))/10^7</f>
        <v>0</v>
      </c>
      <c r="CK55" s="33">
        <f>(IF(CK$1='Assumption Sheet'!$L28,('Assumption Sheet'!$M28+'Assumption Sheet'!$P28)*'Assumption Sheet'!$S28*'Assumption Sheet'!$C28,0))/10^7</f>
        <v>0</v>
      </c>
      <c r="CL55" s="33">
        <f>(IF(CL$1='Assumption Sheet'!$L28,('Assumption Sheet'!$M28+'Assumption Sheet'!$P28)*'Assumption Sheet'!$S28*'Assumption Sheet'!$C28,0))/10^7</f>
        <v>0</v>
      </c>
      <c r="CM55" s="33">
        <f>(IF(CM$1='Assumption Sheet'!$L28,('Assumption Sheet'!$M28+'Assumption Sheet'!$P28)*'Assumption Sheet'!$S28*'Assumption Sheet'!$C28,0))/10^7</f>
        <v>0</v>
      </c>
      <c r="CN55" s="33">
        <f>(IF(CN$1='Assumption Sheet'!$L28,('Assumption Sheet'!$M28+'Assumption Sheet'!$P28)*'Assumption Sheet'!$S28*'Assumption Sheet'!$C28,0))/10^7</f>
        <v>0</v>
      </c>
      <c r="CO55" s="33">
        <f>(IF(CO$1='Assumption Sheet'!$L28,('Assumption Sheet'!$M28+'Assumption Sheet'!$P28)*'Assumption Sheet'!$S28*'Assumption Sheet'!$C28,0))/10^7</f>
        <v>0</v>
      </c>
      <c r="CP55" s="33">
        <f>(IF(CP$1='Assumption Sheet'!$L28,('Assumption Sheet'!$M28+'Assumption Sheet'!$P28)*'Assumption Sheet'!$S28*'Assumption Sheet'!$C28,0))/10^7</f>
        <v>0</v>
      </c>
      <c r="CQ55" s="33">
        <f>(IF(CQ$1='Assumption Sheet'!$L28,('Assumption Sheet'!$M28+'Assumption Sheet'!$P28)*'Assumption Sheet'!$S28*'Assumption Sheet'!$C28,0))/10^7</f>
        <v>0</v>
      </c>
      <c r="CR55" s="33">
        <f>(IF(CR$1='Assumption Sheet'!$L28,('Assumption Sheet'!$M28+'Assumption Sheet'!$P28)*'Assumption Sheet'!$S28*'Assumption Sheet'!$C28,0))/10^7</f>
        <v>0</v>
      </c>
      <c r="CS55" s="33">
        <f>(IF(CS$1='Assumption Sheet'!$L28,('Assumption Sheet'!$M28+'Assumption Sheet'!$P28)*'Assumption Sheet'!$S28*'Assumption Sheet'!$C28,0))/10^7</f>
        <v>0</v>
      </c>
      <c r="CT55" s="33">
        <f>(IF(CT$1='Assumption Sheet'!$L28,('Assumption Sheet'!$M28+'Assumption Sheet'!$P28)*'Assumption Sheet'!$S28*'Assumption Sheet'!$C28,0))/10^7</f>
        <v>0</v>
      </c>
      <c r="CU55" s="33">
        <f>(IF(CU$1='Assumption Sheet'!$L28,('Assumption Sheet'!$M28+'Assumption Sheet'!$P28)*'Assumption Sheet'!$S28*'Assumption Sheet'!$C28,0))/10^7</f>
        <v>0</v>
      </c>
      <c r="CV55" s="33">
        <f>(IF(CV$1='Assumption Sheet'!$L28,('Assumption Sheet'!$M28+'Assumption Sheet'!$P28)*'Assumption Sheet'!$S28*'Assumption Sheet'!$C28,0))/10^7</f>
        <v>0</v>
      </c>
      <c r="CW55" s="33">
        <f>(IF(CW$1='Assumption Sheet'!$L28,('Assumption Sheet'!$M28+'Assumption Sheet'!$P28)*'Assumption Sheet'!$S28*'Assumption Sheet'!$C28,0))/10^7</f>
        <v>0</v>
      </c>
      <c r="CX55" s="33">
        <f>(IF(CX$1='Assumption Sheet'!$L28,('Assumption Sheet'!$M28+'Assumption Sheet'!$P28)*'Assumption Sheet'!$S28*'Assumption Sheet'!$C28,0))/10^7</f>
        <v>0</v>
      </c>
      <c r="CY55" s="33">
        <f>(IF(CY$1='Assumption Sheet'!$L28,('Assumption Sheet'!$M28+'Assumption Sheet'!$P28)*'Assumption Sheet'!$S28*'Assumption Sheet'!$C28,0))/10^7</f>
        <v>0</v>
      </c>
      <c r="CZ55" s="33">
        <f>(IF(CZ$1='Assumption Sheet'!$L28,('Assumption Sheet'!$M28+'Assumption Sheet'!$P28)*'Assumption Sheet'!$S28*'Assumption Sheet'!$C28,0))/10^7</f>
        <v>0</v>
      </c>
      <c r="DA55" s="33">
        <f>(IF(DA$1='Assumption Sheet'!$L28,('Assumption Sheet'!$M28+'Assumption Sheet'!$P28)*'Assumption Sheet'!$S28*'Assumption Sheet'!$C28,0))/10^7</f>
        <v>0</v>
      </c>
      <c r="DB55" s="33">
        <f>(IF(DB$1='Assumption Sheet'!$L28,('Assumption Sheet'!$M28+'Assumption Sheet'!$P28)*'Assumption Sheet'!$S28*'Assumption Sheet'!$C28,0))/10^7</f>
        <v>0</v>
      </c>
      <c r="DC55" s="33">
        <f>(IF(DC$1='Assumption Sheet'!$L28,('Assumption Sheet'!$M28+'Assumption Sheet'!$P28)*'Assumption Sheet'!$S28*'Assumption Sheet'!$C28,0))/10^7</f>
        <v>0</v>
      </c>
      <c r="DD55" s="33">
        <f>(IF(DD$1='Assumption Sheet'!$L28,('Assumption Sheet'!$M28+'Assumption Sheet'!$P28)*'Assumption Sheet'!$S28*'Assumption Sheet'!$C28,0))/10^7</f>
        <v>0</v>
      </c>
      <c r="DE55" s="33">
        <f>(IF(DE$1='Assumption Sheet'!$L28,('Assumption Sheet'!$M28+'Assumption Sheet'!$P28)*'Assumption Sheet'!$S28*'Assumption Sheet'!$C28,0))/10^7</f>
        <v>0</v>
      </c>
      <c r="DF55" s="33">
        <f>(IF(DF$1='Assumption Sheet'!$L28,('Assumption Sheet'!$M28+'Assumption Sheet'!$P28)*'Assumption Sheet'!$S28*'Assumption Sheet'!$C28,0))/10^7</f>
        <v>0</v>
      </c>
      <c r="DG55" s="33">
        <f>(IF(DG$1='Assumption Sheet'!$L28,('Assumption Sheet'!$M28+'Assumption Sheet'!$P28)*'Assumption Sheet'!$S28*'Assumption Sheet'!$C28,0))/10^7</f>
        <v>0</v>
      </c>
      <c r="DH55" s="33">
        <f>(IF(DH$1='Assumption Sheet'!$L28,('Assumption Sheet'!$M28+'Assumption Sheet'!$P28)*'Assumption Sheet'!$S28*'Assumption Sheet'!$C28,0))/10^7</f>
        <v>0</v>
      </c>
      <c r="DI55" s="33">
        <f>(IF(DI$1='Assumption Sheet'!$L28,('Assumption Sheet'!$M28+'Assumption Sheet'!$P28)*'Assumption Sheet'!$S28*'Assumption Sheet'!$C28,0))/10^7</f>
        <v>0</v>
      </c>
      <c r="DJ55" s="33">
        <f>(IF(DJ$1='Assumption Sheet'!$L28,('Assumption Sheet'!$M28+'Assumption Sheet'!$P28)*'Assumption Sheet'!$S28*'Assumption Sheet'!$C28,0))/10^7</f>
        <v>0</v>
      </c>
      <c r="DK55" s="33">
        <f>(IF(DK$1='Assumption Sheet'!$L28,('Assumption Sheet'!$M28+'Assumption Sheet'!$P28)*'Assumption Sheet'!$S28*'Assumption Sheet'!$C28,0))/10^7</f>
        <v>0</v>
      </c>
      <c r="DL55" s="33">
        <f>(IF(DL$1='Assumption Sheet'!$L28,('Assumption Sheet'!$M28+'Assumption Sheet'!$P28)*'Assumption Sheet'!$S28*'Assumption Sheet'!$C28,0))/10^7</f>
        <v>0</v>
      </c>
      <c r="DM55" s="33">
        <f>(IF(DM$1='Assumption Sheet'!$L28,('Assumption Sheet'!$M28+'Assumption Sheet'!$P28)*'Assumption Sheet'!$S28*'Assumption Sheet'!$C28,0))/10^7</f>
        <v>0</v>
      </c>
      <c r="DN55" s="33">
        <f>(IF(DN$1='Assumption Sheet'!$L28,('Assumption Sheet'!$M28+'Assumption Sheet'!$P28)*'Assumption Sheet'!$S28*'Assumption Sheet'!$C28,0))/10^7</f>
        <v>0</v>
      </c>
      <c r="DO55" s="33">
        <f>(IF(DO$1='Assumption Sheet'!$L28,('Assumption Sheet'!$M28+'Assumption Sheet'!$P28)*'Assumption Sheet'!$S28*'Assumption Sheet'!$C28,0))/10^7</f>
        <v>0</v>
      </c>
      <c r="DP55" s="33">
        <f>(IF(DP$1='Assumption Sheet'!$L28,('Assumption Sheet'!$M28+'Assumption Sheet'!$P28)*'Assumption Sheet'!$S28*'Assumption Sheet'!$C28,0))/10^7</f>
        <v>0</v>
      </c>
      <c r="DQ55" s="33">
        <f>(IF(DQ$1='Assumption Sheet'!$L28,('Assumption Sheet'!$M28+'Assumption Sheet'!$P28)*'Assumption Sheet'!$S28*'Assumption Sheet'!$C28,0))/10^7</f>
        <v>0</v>
      </c>
      <c r="DR55" s="33">
        <f>(IF(DR$1='Assumption Sheet'!$L28,('Assumption Sheet'!$M28+'Assumption Sheet'!$P28)*'Assumption Sheet'!$S28*'Assumption Sheet'!$C28,0))/10^7</f>
        <v>0</v>
      </c>
      <c r="DS55" s="33">
        <f>(IF(DS$1='Assumption Sheet'!$L28,('Assumption Sheet'!$M28+'Assumption Sheet'!$P28)*'Assumption Sheet'!$S28*'Assumption Sheet'!$C28,0))/10^7</f>
        <v>0</v>
      </c>
      <c r="DT55" s="33">
        <f>(IF(DT$1='Assumption Sheet'!$L28,('Assumption Sheet'!$M28+'Assumption Sheet'!$P28)*'Assumption Sheet'!$S28*'Assumption Sheet'!$C28,0))/10^7</f>
        <v>0</v>
      </c>
      <c r="DU55" s="33">
        <f>(IF(DU$1='Assumption Sheet'!$L28,('Assumption Sheet'!$M28+'Assumption Sheet'!$P28)*'Assumption Sheet'!$S28*'Assumption Sheet'!$C28,0))/10^7</f>
        <v>0</v>
      </c>
      <c r="DV55" s="33">
        <f>(IF(DV$1='Assumption Sheet'!$L28,('Assumption Sheet'!$M28+'Assumption Sheet'!$P28)*'Assumption Sheet'!$S28*'Assumption Sheet'!$C28,0))/10^7</f>
        <v>0</v>
      </c>
      <c r="DW55" s="33">
        <f>(IF(DW$1='Assumption Sheet'!$L28,('Assumption Sheet'!$M28+'Assumption Sheet'!$P28)*'Assumption Sheet'!$S28*'Assumption Sheet'!$C28,0))/10^7</f>
        <v>0</v>
      </c>
      <c r="DX55" s="33">
        <f>(IF(DX$1='Assumption Sheet'!$L28,('Assumption Sheet'!$M28+'Assumption Sheet'!$P28)*'Assumption Sheet'!$S28*'Assumption Sheet'!$C28,0))/10^7</f>
        <v>0</v>
      </c>
      <c r="DY55" s="33">
        <f>(IF(DY$1='Assumption Sheet'!$L28,('Assumption Sheet'!$M28+'Assumption Sheet'!$P28)*'Assumption Sheet'!$S28*'Assumption Sheet'!$C28,0))/10^7</f>
        <v>0</v>
      </c>
      <c r="DZ55" s="33">
        <f>(IF(DZ$1='Assumption Sheet'!$L28,('Assumption Sheet'!$M28+'Assumption Sheet'!$P28)*'Assumption Sheet'!$S28*'Assumption Sheet'!$C28,0))/10^7</f>
        <v>0</v>
      </c>
      <c r="EA55" s="33">
        <f>(IF(EA$1='Assumption Sheet'!$L28,('Assumption Sheet'!$M28+'Assumption Sheet'!$P28)*'Assumption Sheet'!$S28*'Assumption Sheet'!$C28,0))/10^7</f>
        <v>0</v>
      </c>
      <c r="EB55" s="33">
        <f>(IF(EB$1='Assumption Sheet'!$L28,('Assumption Sheet'!$M28+'Assumption Sheet'!$P28)*'Assumption Sheet'!$S28*'Assumption Sheet'!$C28,0))/10^7</f>
        <v>0</v>
      </c>
      <c r="EC55" s="33">
        <f>(IF(EC$1='Assumption Sheet'!$L28,('Assumption Sheet'!$M28+'Assumption Sheet'!$P28)*'Assumption Sheet'!$S28*'Assumption Sheet'!$C28,0))/10^7</f>
        <v>0</v>
      </c>
      <c r="ED55" s="33">
        <f>(IF(ED$1='Assumption Sheet'!$L28,('Assumption Sheet'!$M28+'Assumption Sheet'!$P28)*'Assumption Sheet'!$S28*'Assumption Sheet'!$C28,0))/10^7</f>
        <v>0</v>
      </c>
      <c r="EE55" s="33">
        <f>(IF(EE$1='Assumption Sheet'!$L28,('Assumption Sheet'!$M28+'Assumption Sheet'!$P28)*'Assumption Sheet'!$S28*'Assumption Sheet'!$C28,0))/10^7</f>
        <v>0</v>
      </c>
      <c r="EF55" s="33">
        <f>(IF(EF$1='Assumption Sheet'!$L28,('Assumption Sheet'!$M28+'Assumption Sheet'!$P28)*'Assumption Sheet'!$S28*'Assumption Sheet'!$C28,0))/10^7</f>
        <v>0</v>
      </c>
      <c r="EG55" s="33">
        <f>(IF(EG$1='Assumption Sheet'!$L28,('Assumption Sheet'!$M28+'Assumption Sheet'!$P28)*'Assumption Sheet'!$S28*'Assumption Sheet'!$C28,0))/10^7</f>
        <v>0</v>
      </c>
      <c r="EH55" s="33">
        <f>(IF(EH$1='Assumption Sheet'!$L28,('Assumption Sheet'!$M28+'Assumption Sheet'!$P28)*'Assumption Sheet'!$S28*'Assumption Sheet'!$C28,0))/10^7</f>
        <v>0</v>
      </c>
      <c r="EI55" s="33">
        <f>(IF(EI$1='Assumption Sheet'!$L28,('Assumption Sheet'!$M28+'Assumption Sheet'!$P28)*'Assumption Sheet'!$S28*'Assumption Sheet'!$C28,0))/10^7</f>
        <v>0</v>
      </c>
      <c r="EJ55" s="33">
        <f>(IF(EJ$1='Assumption Sheet'!$L28,('Assumption Sheet'!$M28+'Assumption Sheet'!$P28)*'Assumption Sheet'!$S28*'Assumption Sheet'!$C28,0))/10^7</f>
        <v>0</v>
      </c>
      <c r="EK55" s="33">
        <f>(IF(EK$1='Assumption Sheet'!$L28,('Assumption Sheet'!$M28+'Assumption Sheet'!$P28)*'Assumption Sheet'!$S28*'Assumption Sheet'!$C28,0))/10^7</f>
        <v>0</v>
      </c>
      <c r="EL55" s="33">
        <f>(IF(EL$1='Assumption Sheet'!$L28,('Assumption Sheet'!$M28+'Assumption Sheet'!$P28)*'Assumption Sheet'!$S28*'Assumption Sheet'!$C28,0))/10^7</f>
        <v>0</v>
      </c>
      <c r="EM55" s="33">
        <f>(IF(EM$1='Assumption Sheet'!$L28,('Assumption Sheet'!$M28+'Assumption Sheet'!$P28)*'Assumption Sheet'!$S28*'Assumption Sheet'!$C28,0))/10^7</f>
        <v>0</v>
      </c>
      <c r="EN55" s="33">
        <f>(IF(EN$1='Assumption Sheet'!$L28,('Assumption Sheet'!$M28+'Assumption Sheet'!$P28)*'Assumption Sheet'!$S28*'Assumption Sheet'!$C28,0))/10^7</f>
        <v>0</v>
      </c>
      <c r="EO55" s="33">
        <f>(IF(EO$1='Assumption Sheet'!$L28,('Assumption Sheet'!$M28+'Assumption Sheet'!$P28)*'Assumption Sheet'!$S28*'Assumption Sheet'!$C28,0))/10^7</f>
        <v>0</v>
      </c>
      <c r="EP55" s="33">
        <f>(IF(EP$1='Assumption Sheet'!$L28,('Assumption Sheet'!$M28+'Assumption Sheet'!$P28)*'Assumption Sheet'!$S28*'Assumption Sheet'!$C28,0))/10^7</f>
        <v>0</v>
      </c>
      <c r="EQ55" s="33">
        <f>(IF(EQ$1='Assumption Sheet'!$L28,('Assumption Sheet'!$M28+'Assumption Sheet'!$P28)*'Assumption Sheet'!$S28*'Assumption Sheet'!$C28,0))/10^7</f>
        <v>0</v>
      </c>
      <c r="ER55" s="33">
        <f>(IF(ER$1='Assumption Sheet'!$L28,('Assumption Sheet'!$M28+'Assumption Sheet'!$P28)*'Assumption Sheet'!$S28*'Assumption Sheet'!$C28,0))/10^7</f>
        <v>0</v>
      </c>
      <c r="ES55" s="33">
        <f>(IF(ES$1='Assumption Sheet'!$L28,('Assumption Sheet'!$M28+'Assumption Sheet'!$P28)*'Assumption Sheet'!$S28*'Assumption Sheet'!$C28,0))/10^7</f>
        <v>0</v>
      </c>
      <c r="ET55" s="33">
        <f>(IF(ET$1='Assumption Sheet'!$L28,('Assumption Sheet'!$M28+'Assumption Sheet'!$P28)*'Assumption Sheet'!$S28*'Assumption Sheet'!$C28,0))/10^7</f>
        <v>0</v>
      </c>
      <c r="EU55" s="33">
        <f>(IF(EU$1='Assumption Sheet'!$L28,('Assumption Sheet'!$M28+'Assumption Sheet'!$P28)*'Assumption Sheet'!$S28*'Assumption Sheet'!$C28,0))/10^7</f>
        <v>0</v>
      </c>
      <c r="EV55" s="33">
        <f>(IF(EV$1='Assumption Sheet'!$L28,('Assumption Sheet'!$M28+'Assumption Sheet'!$P28)*'Assumption Sheet'!$S28*'Assumption Sheet'!$C28,0))/10^7</f>
        <v>0</v>
      </c>
      <c r="EW55" s="33">
        <f>(IF(EW$1='Assumption Sheet'!$L28,('Assumption Sheet'!$M28+'Assumption Sheet'!$P28)*'Assumption Sheet'!$S28*'Assumption Sheet'!$C28,0))/10^7</f>
        <v>0</v>
      </c>
      <c r="EX55" s="33">
        <f>(IF(EX$1='Assumption Sheet'!$L28,('Assumption Sheet'!$M28+'Assumption Sheet'!$P28)*'Assumption Sheet'!$S28*'Assumption Sheet'!$C28,0))/10^7</f>
        <v>0</v>
      </c>
      <c r="EY55" s="33">
        <f>(IF(EY$1='Assumption Sheet'!$L28,('Assumption Sheet'!$M28+'Assumption Sheet'!$P28)*'Assumption Sheet'!$S28*'Assumption Sheet'!$C28,0))/10^7</f>
        <v>0</v>
      </c>
      <c r="EZ55" s="33">
        <f>(IF(EZ$1='Assumption Sheet'!$L28,('Assumption Sheet'!$M28+'Assumption Sheet'!$P28)*'Assumption Sheet'!$S28*'Assumption Sheet'!$C28,0))/10^7</f>
        <v>0</v>
      </c>
      <c r="FA55" s="33">
        <f>(IF(FA$1='Assumption Sheet'!$L28,('Assumption Sheet'!$M28+'Assumption Sheet'!$P28)*'Assumption Sheet'!$S28*'Assumption Sheet'!$C28,0))/10^7</f>
        <v>0</v>
      </c>
      <c r="FB55" s="33">
        <f>(IF(FB$1='Assumption Sheet'!$L28,('Assumption Sheet'!$M28+'Assumption Sheet'!$P28)*'Assumption Sheet'!$S28*'Assumption Sheet'!$C28,0))/10^7</f>
        <v>0</v>
      </c>
      <c r="FC55" s="33">
        <f>(IF(FC$1='Assumption Sheet'!$L28,('Assumption Sheet'!$M28+'Assumption Sheet'!$P28)*'Assumption Sheet'!$S28*'Assumption Sheet'!$C28,0))/10^7</f>
        <v>0</v>
      </c>
      <c r="FD55" s="33">
        <f>(IF(FD$1='Assumption Sheet'!$L28,('Assumption Sheet'!$M28+'Assumption Sheet'!$P28)*'Assumption Sheet'!$S28*'Assumption Sheet'!$C28,0))/10^7</f>
        <v>0</v>
      </c>
      <c r="FE55" s="33">
        <f>(IF(FE$1='Assumption Sheet'!$L28,('Assumption Sheet'!$M28+'Assumption Sheet'!$P28)*'Assumption Sheet'!$S28*'Assumption Sheet'!$C28,0))/10^7</f>
        <v>0</v>
      </c>
      <c r="FF55" s="33">
        <f>(IF(FF$1='Assumption Sheet'!$L28,('Assumption Sheet'!$M28+'Assumption Sheet'!$P28)*'Assumption Sheet'!$S28*'Assumption Sheet'!$C28,0))/10^7</f>
        <v>0</v>
      </c>
      <c r="FG55" s="33">
        <f>(IF(FG$1='Assumption Sheet'!$L28,('Assumption Sheet'!$M28+'Assumption Sheet'!$P28)*'Assumption Sheet'!$S28*'Assumption Sheet'!$C28,0))/10^7</f>
        <v>0</v>
      </c>
      <c r="FH55" s="33">
        <f>(IF(FH$1='Assumption Sheet'!$L28,('Assumption Sheet'!$M28+'Assumption Sheet'!$P28)*'Assumption Sheet'!$S28*'Assumption Sheet'!$C28,0))/10^7</f>
        <v>0</v>
      </c>
      <c r="FI55" s="33">
        <f>(IF(FI$1='Assumption Sheet'!$L28,('Assumption Sheet'!$M28+'Assumption Sheet'!$P28)*'Assumption Sheet'!$S28*'Assumption Sheet'!$C28,0))/10^7</f>
        <v>0</v>
      </c>
      <c r="FJ55" s="33">
        <f>(IF(FJ$1='Assumption Sheet'!$L28,('Assumption Sheet'!$M28+'Assumption Sheet'!$P28)*'Assumption Sheet'!$S28*'Assumption Sheet'!$C28,0))/10^7</f>
        <v>0</v>
      </c>
      <c r="FK55" s="33">
        <f>(IF(FK$1='Assumption Sheet'!$L28,('Assumption Sheet'!$M28+'Assumption Sheet'!$P28)*'Assumption Sheet'!$S28*'Assumption Sheet'!$C28,0))/10^7</f>
        <v>0</v>
      </c>
      <c r="FL55" s="33">
        <f>(IF(FL$1='Assumption Sheet'!$L28,('Assumption Sheet'!$M28+'Assumption Sheet'!$P28)*'Assumption Sheet'!$S28*'Assumption Sheet'!$C28,0))/10^7</f>
        <v>0</v>
      </c>
      <c r="FM55" s="33">
        <f>(IF(FM$1='Assumption Sheet'!$L28,('Assumption Sheet'!$M28+'Assumption Sheet'!$P28)*'Assumption Sheet'!$S28*'Assumption Sheet'!$C28,0))/10^7</f>
        <v>0</v>
      </c>
      <c r="FN55" s="33">
        <f>(IF(FN$1='Assumption Sheet'!$L28,('Assumption Sheet'!$M28+'Assumption Sheet'!$P28)*'Assumption Sheet'!$S28*'Assumption Sheet'!$C28,0))/10^7</f>
        <v>0</v>
      </c>
      <c r="FO55" s="33">
        <f>(IF(FO$1='Assumption Sheet'!$L28,('Assumption Sheet'!$M28+'Assumption Sheet'!$P28)*'Assumption Sheet'!$S28*'Assumption Sheet'!$C28,0))/10^7</f>
        <v>0</v>
      </c>
      <c r="FP55" s="33">
        <f>(IF(FP$1='Assumption Sheet'!$L28,('Assumption Sheet'!$M28+'Assumption Sheet'!$P28)*'Assumption Sheet'!$S28*'Assumption Sheet'!$C28,0))/10^7</f>
        <v>0</v>
      </c>
      <c r="FQ55" s="33">
        <f>(IF(FQ$1='Assumption Sheet'!$L28,('Assumption Sheet'!$M28+'Assumption Sheet'!$P28)*'Assumption Sheet'!$S28*'Assumption Sheet'!$C28,0))/10^7</f>
        <v>0</v>
      </c>
      <c r="FR55" s="33">
        <f>(IF(FR$1='Assumption Sheet'!$L28,('Assumption Sheet'!$M28+'Assumption Sheet'!$P28)*'Assumption Sheet'!$S28*'Assumption Sheet'!$C28,0))/10^7</f>
        <v>0</v>
      </c>
      <c r="FS55" s="33">
        <f>(IF(FS$1='Assumption Sheet'!$L28,('Assumption Sheet'!$M28+'Assumption Sheet'!$P28)*'Assumption Sheet'!$S28*'Assumption Sheet'!$C28,0))/10^7</f>
        <v>0</v>
      </c>
      <c r="FT55" s="33">
        <f>(IF(FT$1='Assumption Sheet'!$L28,('Assumption Sheet'!$M28+'Assumption Sheet'!$P28)*'Assumption Sheet'!$S28*'Assumption Sheet'!$C28,0))/10^7</f>
        <v>0</v>
      </c>
      <c r="FU55" s="33">
        <f>(IF(FU$1='Assumption Sheet'!$L28,('Assumption Sheet'!$M28+'Assumption Sheet'!$P28)*'Assumption Sheet'!$S28*'Assumption Sheet'!$C28,0))/10^7</f>
        <v>0</v>
      </c>
      <c r="FV55" s="33">
        <f>(IF(FV$1='Assumption Sheet'!$L28,('Assumption Sheet'!$M28+'Assumption Sheet'!$P28)*'Assumption Sheet'!$S28*'Assumption Sheet'!$C28,0))/10^7</f>
        <v>0</v>
      </c>
      <c r="FW55" s="33">
        <f>(IF(FW$1='Assumption Sheet'!$L28,('Assumption Sheet'!$M28+'Assumption Sheet'!$P28)*'Assumption Sheet'!$S28*'Assumption Sheet'!$C28,0))/10^7</f>
        <v>0</v>
      </c>
      <c r="FX55" s="33">
        <f>(IF(FX$1='Assumption Sheet'!$L28,('Assumption Sheet'!$M28+'Assumption Sheet'!$P28)*'Assumption Sheet'!$S28*'Assumption Sheet'!$C28,0))/10^7</f>
        <v>0</v>
      </c>
      <c r="FY55" s="33">
        <f>(IF(FY$1='Assumption Sheet'!$L28,('Assumption Sheet'!$M28+'Assumption Sheet'!$P28)*'Assumption Sheet'!$S28*'Assumption Sheet'!$C28,0))/10^7</f>
        <v>0</v>
      </c>
      <c r="FZ55" s="33">
        <f>(IF(FZ$1='Assumption Sheet'!$L28,('Assumption Sheet'!$M28+'Assumption Sheet'!$P28)*'Assumption Sheet'!$S28*'Assumption Sheet'!$C28,0))/10^7</f>
        <v>0</v>
      </c>
      <c r="GA55" s="33">
        <f>(IF(GA$1='Assumption Sheet'!$L28,('Assumption Sheet'!$M28+'Assumption Sheet'!$P28)*'Assumption Sheet'!$S28*'Assumption Sheet'!$C28,0))/10^7</f>
        <v>0</v>
      </c>
      <c r="GB55" s="33">
        <f>(IF(GB$1='Assumption Sheet'!$L28,('Assumption Sheet'!$M28+'Assumption Sheet'!$P28)*'Assumption Sheet'!$S28*'Assumption Sheet'!$C28,0))/10^7</f>
        <v>0</v>
      </c>
      <c r="GC55" s="33">
        <f>(IF(GC$1='Assumption Sheet'!$L28,('Assumption Sheet'!$M28+'Assumption Sheet'!$P28)*'Assumption Sheet'!$S28*'Assumption Sheet'!$C28,0))/10^7</f>
        <v>0</v>
      </c>
      <c r="GD55" s="33">
        <f>(IF(GD$1='Assumption Sheet'!$L28,('Assumption Sheet'!$M28+'Assumption Sheet'!$P28)*'Assumption Sheet'!$S28*'Assumption Sheet'!$C28,0))/10^7</f>
        <v>0</v>
      </c>
      <c r="GE55" s="33">
        <f>(IF(GE$1='Assumption Sheet'!$L28,('Assumption Sheet'!$M28+'Assumption Sheet'!$P28)*'Assumption Sheet'!$S28*'Assumption Sheet'!$C28,0))/10^7</f>
        <v>0</v>
      </c>
      <c r="GF55" s="33">
        <f>(IF(GF$1='Assumption Sheet'!$L28,('Assumption Sheet'!$M28+'Assumption Sheet'!$P28)*'Assumption Sheet'!$S28*'Assumption Sheet'!$C28,0))/10^7</f>
        <v>0</v>
      </c>
      <c r="GG55" s="33">
        <f>(IF(GG$1='Assumption Sheet'!$L28,('Assumption Sheet'!$M28+'Assumption Sheet'!$P28)*'Assumption Sheet'!$S28*'Assumption Sheet'!$C28,0))/10^7</f>
        <v>0</v>
      </c>
      <c r="GH55" s="33">
        <f>(IF(GH$1='Assumption Sheet'!$L28,('Assumption Sheet'!$M28+'Assumption Sheet'!$P28)*'Assumption Sheet'!$S28*'Assumption Sheet'!$C28,0))/10^7</f>
        <v>0</v>
      </c>
      <c r="GI55" s="33">
        <f>(IF(GI$1='Assumption Sheet'!$L28,('Assumption Sheet'!$M28+'Assumption Sheet'!$P28)*'Assumption Sheet'!$S28*'Assumption Sheet'!$C28,0))/10^7</f>
        <v>0</v>
      </c>
      <c r="GJ55" s="33">
        <f>(IF(GJ$1='Assumption Sheet'!$L28,('Assumption Sheet'!$M28+'Assumption Sheet'!$P28)*'Assumption Sheet'!$S28*'Assumption Sheet'!$C28,0))/10^7</f>
        <v>0</v>
      </c>
      <c r="GK55" s="33">
        <f>(IF(GK$1='Assumption Sheet'!$L28,('Assumption Sheet'!$M28+'Assumption Sheet'!$P28)*'Assumption Sheet'!$S28*'Assumption Sheet'!$C28,0))/10^7</f>
        <v>0</v>
      </c>
      <c r="GL55" s="33">
        <f>(IF(GL$1='Assumption Sheet'!$L28,('Assumption Sheet'!$M28+'Assumption Sheet'!$P28)*'Assumption Sheet'!$S28*'Assumption Sheet'!$C28,0))/10^7</f>
        <v>0</v>
      </c>
      <c r="GM55" s="33">
        <f>(IF(GM$1='Assumption Sheet'!$L28,('Assumption Sheet'!$M28+'Assumption Sheet'!$P28)*'Assumption Sheet'!$S28*'Assumption Sheet'!$C28,0))/10^7</f>
        <v>0</v>
      </c>
      <c r="GN55" s="33">
        <f>(IF(GN$1='Assumption Sheet'!$L28,('Assumption Sheet'!$M28+'Assumption Sheet'!$P28)*'Assumption Sheet'!$S28*'Assumption Sheet'!$C28,0))/10^7</f>
        <v>0</v>
      </c>
      <c r="GO55" s="33">
        <f>(IF(GO$1='Assumption Sheet'!$L28,('Assumption Sheet'!$M28+'Assumption Sheet'!$P28)*'Assumption Sheet'!$S28*'Assumption Sheet'!$C28,0))/10^7</f>
        <v>0</v>
      </c>
      <c r="GP55" s="33">
        <f>(IF(GP$1='Assumption Sheet'!$L28,('Assumption Sheet'!$M28+'Assumption Sheet'!$P28)*'Assumption Sheet'!$S28*'Assumption Sheet'!$C28,0))/10^7</f>
        <v>0</v>
      </c>
      <c r="GQ55" s="33">
        <f>(IF(GQ$1='Assumption Sheet'!$L28,('Assumption Sheet'!$M28+'Assumption Sheet'!$P28)*'Assumption Sheet'!$S28*'Assumption Sheet'!$C28,0))/10^7</f>
        <v>0</v>
      </c>
      <c r="GR55" s="33">
        <f>(IF(GR$1='Assumption Sheet'!$L28,('Assumption Sheet'!$M28+'Assumption Sheet'!$P28)*'Assumption Sheet'!$S28*'Assumption Sheet'!$C28,0))/10^7</f>
        <v>0</v>
      </c>
      <c r="GS55" s="33">
        <f>(IF(GS$1='Assumption Sheet'!$L28,('Assumption Sheet'!$M28+'Assumption Sheet'!$P28)*'Assumption Sheet'!$S28*'Assumption Sheet'!$C28,0))/10^7</f>
        <v>0</v>
      </c>
      <c r="GT55" s="33">
        <f>(IF(GT$1='Assumption Sheet'!$L28,('Assumption Sheet'!$M28+'Assumption Sheet'!$P28)*'Assumption Sheet'!$S28*'Assumption Sheet'!$C28,0))/10^7</f>
        <v>0</v>
      </c>
      <c r="GU55" s="33">
        <f>(IF(GU$1='Assumption Sheet'!$L28,('Assumption Sheet'!$M28+'Assumption Sheet'!$P28)*'Assumption Sheet'!$S28*'Assumption Sheet'!$C28,0))/10^7</f>
        <v>0</v>
      </c>
      <c r="GV55" s="33">
        <f>(IF(GV$1='Assumption Sheet'!$L28,('Assumption Sheet'!$M28+'Assumption Sheet'!$P28)*'Assumption Sheet'!$S28*'Assumption Sheet'!$C28,0))/10^7</f>
        <v>0</v>
      </c>
      <c r="GW55" s="33">
        <f>(IF(GW$1='Assumption Sheet'!$L28,('Assumption Sheet'!$M28+'Assumption Sheet'!$P28)*'Assumption Sheet'!$S28*'Assumption Sheet'!$C28,0))/10^7</f>
        <v>0</v>
      </c>
      <c r="GX55" s="33">
        <f>(IF(GX$1='Assumption Sheet'!$L28,('Assumption Sheet'!$M28+'Assumption Sheet'!$P28)*'Assumption Sheet'!$S28*'Assumption Sheet'!$C28,0))/10^7</f>
        <v>0</v>
      </c>
      <c r="GY55" s="33">
        <f>(IF(GY$1='Assumption Sheet'!$L28,('Assumption Sheet'!$M28+'Assumption Sheet'!$P28)*'Assumption Sheet'!$S28*'Assumption Sheet'!$C28,0))/10^7</f>
        <v>0</v>
      </c>
      <c r="GZ55" s="33">
        <f>(IF(GZ$1='Assumption Sheet'!$L28,('Assumption Sheet'!$M28+'Assumption Sheet'!$P28)*'Assumption Sheet'!$S28*'Assumption Sheet'!$C28,0))/10^7</f>
        <v>0</v>
      </c>
      <c r="HA55" s="33">
        <f>(IF(HA$1='Assumption Sheet'!$L28,('Assumption Sheet'!$M28+'Assumption Sheet'!$P28)*'Assumption Sheet'!$S28*'Assumption Sheet'!$C28,0))/10^7</f>
        <v>0</v>
      </c>
      <c r="HB55" s="33">
        <f>(IF(HB$1='Assumption Sheet'!$L28,('Assumption Sheet'!$M28+'Assumption Sheet'!$P28)*'Assumption Sheet'!$S28*'Assumption Sheet'!$C28,0))/10^7</f>
        <v>0</v>
      </c>
      <c r="HC55" s="33">
        <f>(IF(HC$1='Assumption Sheet'!$L28,('Assumption Sheet'!$M28+'Assumption Sheet'!$P28)*'Assumption Sheet'!$S28*'Assumption Sheet'!$C28,0))/10^7</f>
        <v>0</v>
      </c>
      <c r="HD55" s="33">
        <f>(IF(HD$1='Assumption Sheet'!$L28,('Assumption Sheet'!$M28+'Assumption Sheet'!$P28)*'Assumption Sheet'!$S28*'Assumption Sheet'!$C28,0))/10^7</f>
        <v>0</v>
      </c>
      <c r="HE55" s="33">
        <f>(IF(HE$1='Assumption Sheet'!$L28,('Assumption Sheet'!$M28+'Assumption Sheet'!$P28)*'Assumption Sheet'!$S28*'Assumption Sheet'!$C28,0))/10^7</f>
        <v>0</v>
      </c>
      <c r="HF55" s="33">
        <f>(IF(HF$1='Assumption Sheet'!$L28,('Assumption Sheet'!$M28+'Assumption Sheet'!$P28)*'Assumption Sheet'!$S28*'Assumption Sheet'!$C28,0))/10^7</f>
        <v>0</v>
      </c>
      <c r="HG55" s="33">
        <f>(IF(HG$1='Assumption Sheet'!$L28,('Assumption Sheet'!$M28+'Assumption Sheet'!$P28)*'Assumption Sheet'!$S28*'Assumption Sheet'!$C28,0))/10^7</f>
        <v>0</v>
      </c>
      <c r="HH55" s="33">
        <f>(IF(HH$1='Assumption Sheet'!$L28,('Assumption Sheet'!$M28+'Assumption Sheet'!$P28)*'Assumption Sheet'!$S28*'Assumption Sheet'!$C28,0))/10^7</f>
        <v>0</v>
      </c>
      <c r="HI55" s="33">
        <f>(IF(HI$1='Assumption Sheet'!$L28,('Assumption Sheet'!$M28+'Assumption Sheet'!$P28)*'Assumption Sheet'!$S28*'Assumption Sheet'!$C28,0))/10^7</f>
        <v>0</v>
      </c>
      <c r="HJ55" s="33">
        <f>(IF(HJ$1='Assumption Sheet'!$L28,('Assumption Sheet'!$M28+'Assumption Sheet'!$P28)*'Assumption Sheet'!$S28*'Assumption Sheet'!$C28,0))/10^7</f>
        <v>0</v>
      </c>
      <c r="HK55" s="33">
        <f>(IF(HK$1='Assumption Sheet'!$L28,('Assumption Sheet'!$M28+'Assumption Sheet'!$P28)*'Assumption Sheet'!$S28*'Assumption Sheet'!$C28,0))/10^7</f>
        <v>0</v>
      </c>
      <c r="HL55" s="33">
        <f>(IF(HL$1='Assumption Sheet'!$L28,('Assumption Sheet'!$M28+'Assumption Sheet'!$P28)*'Assumption Sheet'!$S28*'Assumption Sheet'!$C28,0))/10^7</f>
        <v>0</v>
      </c>
      <c r="HM55" s="33">
        <f>(IF(HM$1='Assumption Sheet'!$L28,('Assumption Sheet'!$M28+'Assumption Sheet'!$P28)*'Assumption Sheet'!$S28*'Assumption Sheet'!$C28,0))/10^7</f>
        <v>0</v>
      </c>
      <c r="HN55" s="33">
        <f>(IF(HN$1='Assumption Sheet'!$L28,('Assumption Sheet'!$M28+'Assumption Sheet'!$P28)*'Assumption Sheet'!$S28*'Assumption Sheet'!$C28,0))/10^7</f>
        <v>0</v>
      </c>
      <c r="HO55" s="33">
        <f>(IF(HO$1='Assumption Sheet'!$L28,('Assumption Sheet'!$M28+'Assumption Sheet'!$P28)*'Assumption Sheet'!$S28*'Assumption Sheet'!$C28,0))/10^7</f>
        <v>0</v>
      </c>
      <c r="HP55" s="33">
        <f>(IF(HP$1='Assumption Sheet'!$L28,('Assumption Sheet'!$M28+'Assumption Sheet'!$P28)*'Assumption Sheet'!$S28*'Assumption Sheet'!$C28,0))/10^7</f>
        <v>0</v>
      </c>
      <c r="HQ55" s="33">
        <f>(IF(HQ$1='Assumption Sheet'!$L28,('Assumption Sheet'!$M28+'Assumption Sheet'!$P28)*'Assumption Sheet'!$S28*'Assumption Sheet'!$C28,0))/10^7</f>
        <v>0</v>
      </c>
      <c r="HR55" s="33">
        <f>(IF(HR$1='Assumption Sheet'!$L28,('Assumption Sheet'!$M28+'Assumption Sheet'!$P28)*'Assumption Sheet'!$S28*'Assumption Sheet'!$C28,0))/10^7</f>
        <v>0</v>
      </c>
      <c r="HS55" s="33">
        <f>(IF(HS$1='Assumption Sheet'!$L28,('Assumption Sheet'!$M28+'Assumption Sheet'!$P28)*'Assumption Sheet'!$S28*'Assumption Sheet'!$C28,0))/10^7</f>
        <v>0</v>
      </c>
      <c r="HT55" s="33">
        <f>(IF(HT$1='Assumption Sheet'!$L28,('Assumption Sheet'!$M28+'Assumption Sheet'!$P28)*'Assumption Sheet'!$S28*'Assumption Sheet'!$C28,0))/10^7</f>
        <v>0</v>
      </c>
      <c r="HU55" s="33">
        <f>(IF(HU$1='Assumption Sheet'!$L28,('Assumption Sheet'!$M28+'Assumption Sheet'!$P28)*'Assumption Sheet'!$S28*'Assumption Sheet'!$C28,0))/10^7</f>
        <v>0</v>
      </c>
      <c r="HV55" s="33">
        <f>(IF(HV$1='Assumption Sheet'!$L28,('Assumption Sheet'!$M28+'Assumption Sheet'!$P28)*'Assumption Sheet'!$S28*'Assumption Sheet'!$C28,0))/10^7</f>
        <v>0</v>
      </c>
      <c r="HW55" s="33">
        <f>(IF(HW$1='Assumption Sheet'!$L28,('Assumption Sheet'!$M28+'Assumption Sheet'!$P28)*'Assumption Sheet'!$S28*'Assumption Sheet'!$C28,0))/10^7</f>
        <v>0</v>
      </c>
      <c r="HX55" s="33">
        <f>(IF(HX$1='Assumption Sheet'!$L28,('Assumption Sheet'!$M28+'Assumption Sheet'!$P28)*'Assumption Sheet'!$S28*'Assumption Sheet'!$C28,0))/10^7</f>
        <v>0</v>
      </c>
      <c r="HY55" s="33">
        <f>(IF(HY$1='Assumption Sheet'!$L28,('Assumption Sheet'!$M28+'Assumption Sheet'!$P28)*'Assumption Sheet'!$S28*'Assumption Sheet'!$C28,0))/10^7</f>
        <v>0</v>
      </c>
      <c r="HZ55" s="33">
        <f>(IF(HZ$1='Assumption Sheet'!$L28,('Assumption Sheet'!$M28+'Assumption Sheet'!$P28)*'Assumption Sheet'!$S28*'Assumption Sheet'!$C28,0))/10^7</f>
        <v>0</v>
      </c>
      <c r="IA55" s="33">
        <f>(IF(IA$1='Assumption Sheet'!$L28,('Assumption Sheet'!$M28+'Assumption Sheet'!$P28)*'Assumption Sheet'!$S28*'Assumption Sheet'!$C28,0))/10^7</f>
        <v>0</v>
      </c>
      <c r="IB55" s="33">
        <f>(IF(IB$1='Assumption Sheet'!$L28,('Assumption Sheet'!$M28+'Assumption Sheet'!$P28)*'Assumption Sheet'!$S28*'Assumption Sheet'!$C28,0))/10^7</f>
        <v>0</v>
      </c>
      <c r="IC55" s="33">
        <f>(IF(IC$1='Assumption Sheet'!$L28,('Assumption Sheet'!$M28+'Assumption Sheet'!$P28)*'Assumption Sheet'!$S28*'Assumption Sheet'!$C28,0))/10^7</f>
        <v>0</v>
      </c>
      <c r="ID55" s="33">
        <f>(IF(ID$1='Assumption Sheet'!$L28,('Assumption Sheet'!$M28+'Assumption Sheet'!$P28)*'Assumption Sheet'!$S28*'Assumption Sheet'!$C28,0))/10^7</f>
        <v>0</v>
      </c>
      <c r="IE55" s="33">
        <f>(IF(IE$1='Assumption Sheet'!$L28,('Assumption Sheet'!$M28+'Assumption Sheet'!$P28)*'Assumption Sheet'!$S28*'Assumption Sheet'!$C28,0))/10^7</f>
        <v>0</v>
      </c>
      <c r="IF55" s="33">
        <f>(IF(IF$1='Assumption Sheet'!$L28,('Assumption Sheet'!$M28+'Assumption Sheet'!$P28)*'Assumption Sheet'!$S28*'Assumption Sheet'!$C28,0))/10^7</f>
        <v>0</v>
      </c>
      <c r="IG55" s="33">
        <f>(IF(IG$1='Assumption Sheet'!$L28,('Assumption Sheet'!$M28+'Assumption Sheet'!$P28)*'Assumption Sheet'!$S28*'Assumption Sheet'!$C28,0))/10^7</f>
        <v>0</v>
      </c>
      <c r="IH55" s="33">
        <f>(IF(IH$1='Assumption Sheet'!$L28,('Assumption Sheet'!$M28+'Assumption Sheet'!$P28)*'Assumption Sheet'!$S28*'Assumption Sheet'!$C28,0))/10^7</f>
        <v>0</v>
      </c>
      <c r="II55" s="33">
        <f>(IF(II$1='Assumption Sheet'!$L28,('Assumption Sheet'!$M28+'Assumption Sheet'!$P28)*'Assumption Sheet'!$S28*'Assumption Sheet'!$C28,0))/10^7</f>
        <v>0</v>
      </c>
      <c r="IJ55" s="33">
        <f>(IF(IJ$1='Assumption Sheet'!$L28,('Assumption Sheet'!$M28+'Assumption Sheet'!$P28)*'Assumption Sheet'!$S28*'Assumption Sheet'!$C28,0))/10^7</f>
        <v>0</v>
      </c>
      <c r="IK55" s="33">
        <f>(IF(IK$1='Assumption Sheet'!$L28,('Assumption Sheet'!$M28+'Assumption Sheet'!$P28)*'Assumption Sheet'!$S28*'Assumption Sheet'!$C28,0))/10^7</f>
        <v>0</v>
      </c>
      <c r="IL55" s="33">
        <f>(IF(IL$1='Assumption Sheet'!$L28,('Assumption Sheet'!$M28+'Assumption Sheet'!$P28)*'Assumption Sheet'!$S28*'Assumption Sheet'!$C28,0))/10^7</f>
        <v>0</v>
      </c>
      <c r="IM55" s="33">
        <f>(IF(IM$1='Assumption Sheet'!$L28,('Assumption Sheet'!$M28+'Assumption Sheet'!$P28)*'Assumption Sheet'!$S28*'Assumption Sheet'!$C28,0))/10^7</f>
        <v>0</v>
      </c>
      <c r="IN55" s="33">
        <f>(IF(IN$1='Assumption Sheet'!$L28,('Assumption Sheet'!$M28+'Assumption Sheet'!$P28)*'Assumption Sheet'!$S28*'Assumption Sheet'!$C28,0))/10^7</f>
        <v>0</v>
      </c>
      <c r="IO55" s="33">
        <f>(IF(IO$1='Assumption Sheet'!$L28,('Assumption Sheet'!$M28+'Assumption Sheet'!$P28)*'Assumption Sheet'!$S28*'Assumption Sheet'!$C28,0))/10^7</f>
        <v>0</v>
      </c>
      <c r="IP55" s="33">
        <f>(IF(IP$1='Assumption Sheet'!$L28,('Assumption Sheet'!$M28+'Assumption Sheet'!$P28)*'Assumption Sheet'!$S28*'Assumption Sheet'!$C28,0))/10^7</f>
        <v>0</v>
      </c>
      <c r="IQ55" s="33">
        <f>(IF(IQ$1='Assumption Sheet'!$L28,('Assumption Sheet'!$M28+'Assumption Sheet'!$P28)*'Assumption Sheet'!$S28*'Assumption Sheet'!$C28,0))/10^7</f>
        <v>0</v>
      </c>
      <c r="IR55" s="33">
        <f>(IF(IR$1='Assumption Sheet'!$L28,('Assumption Sheet'!$M28+'Assumption Sheet'!$P28)*'Assumption Sheet'!$S28*'Assumption Sheet'!$C28,0))/10^7</f>
        <v>0</v>
      </c>
      <c r="IS55" s="33">
        <f>(IF(IS$1='Assumption Sheet'!$L28,('Assumption Sheet'!$M28+'Assumption Sheet'!$P28)*'Assumption Sheet'!$S28*'Assumption Sheet'!$C28,0))/10^7</f>
        <v>0</v>
      </c>
      <c r="IT55" s="33">
        <f>(IF(IT$1='Assumption Sheet'!$L28,('Assumption Sheet'!$M28+'Assumption Sheet'!$P28)*'Assumption Sheet'!$S28*'Assumption Sheet'!$C28,0))/10^7</f>
        <v>0</v>
      </c>
      <c r="IU55" s="33">
        <f>(IF(IU$1='Assumption Sheet'!$L28,('Assumption Sheet'!$M28+'Assumption Sheet'!$P28)*'Assumption Sheet'!$S28*'Assumption Sheet'!$C28,0))/10^7</f>
        <v>0</v>
      </c>
      <c r="IV55" s="33">
        <f>(IF(IV$1='Assumption Sheet'!$L28,('Assumption Sheet'!$M28+'Assumption Sheet'!$P28)*'Assumption Sheet'!$S28*'Assumption Sheet'!$C28,0))/10^7</f>
        <v>0</v>
      </c>
      <c r="IW55" s="33">
        <f>(IF(IW$1='Assumption Sheet'!$L28,('Assumption Sheet'!$M28+'Assumption Sheet'!$P28)*'Assumption Sheet'!$S28*'Assumption Sheet'!$C28,0))/10^7</f>
        <v>0</v>
      </c>
      <c r="IX55" s="33">
        <f>(IF(IX$1='Assumption Sheet'!$L28,('Assumption Sheet'!$M28+'Assumption Sheet'!$P28)*'Assumption Sheet'!$S28*'Assumption Sheet'!$C28,0))/10^7</f>
        <v>0</v>
      </c>
      <c r="IY55" s="33">
        <f>(IF(IY$1='Assumption Sheet'!$L28,('Assumption Sheet'!$M28+'Assumption Sheet'!$P28)*'Assumption Sheet'!$S28*'Assumption Sheet'!$C28,0))/10^7</f>
        <v>0</v>
      </c>
      <c r="IZ55" s="33">
        <f>(IF(IZ$1='Assumption Sheet'!$L28,('Assumption Sheet'!$M28+'Assumption Sheet'!$P28)*'Assumption Sheet'!$S28*'Assumption Sheet'!$C28,0))/10^7</f>
        <v>0</v>
      </c>
      <c r="JA55" s="33">
        <f>(IF(JA$1='Assumption Sheet'!$L28,('Assumption Sheet'!$M28+'Assumption Sheet'!$P28)*'Assumption Sheet'!$S28*'Assumption Sheet'!$C28,0))/10^7</f>
        <v>0</v>
      </c>
      <c r="JB55" s="33">
        <f>(IF(JB$1='Assumption Sheet'!$L28,('Assumption Sheet'!$M28+'Assumption Sheet'!$P28)*'Assumption Sheet'!$S28*'Assumption Sheet'!$C28,0))/10^7</f>
        <v>0</v>
      </c>
      <c r="JC55" s="33">
        <f>(IF(JC$1='Assumption Sheet'!$L28,('Assumption Sheet'!$M28+'Assumption Sheet'!$P28)*'Assumption Sheet'!$S28*'Assumption Sheet'!$C28,0))/10^7</f>
        <v>0</v>
      </c>
      <c r="JD55" s="33">
        <f>(IF(JD$1='Assumption Sheet'!$L28,('Assumption Sheet'!$M28+'Assumption Sheet'!$P28)*'Assumption Sheet'!$S28*'Assumption Sheet'!$C28,0))/10^7</f>
        <v>0</v>
      </c>
      <c r="JE55" s="33">
        <f>(IF(JE$1='Assumption Sheet'!$L28,('Assumption Sheet'!$M28+'Assumption Sheet'!$P28)*'Assumption Sheet'!$S28*'Assumption Sheet'!$C28,0))/10^7</f>
        <v>0</v>
      </c>
      <c r="JF55" s="33">
        <f>(IF(JF$1='Assumption Sheet'!$L28,('Assumption Sheet'!$M28+'Assumption Sheet'!$P28)*'Assumption Sheet'!$S28*'Assumption Sheet'!$C28,0))/10^7</f>
        <v>0</v>
      </c>
      <c r="JG55" s="33">
        <f>(IF(JG$1='Assumption Sheet'!$L28,('Assumption Sheet'!$M28+'Assumption Sheet'!$P28)*'Assumption Sheet'!$S28*'Assumption Sheet'!$C28,0))/10^7</f>
        <v>0</v>
      </c>
      <c r="JH55" s="33">
        <f>(IF(JH$1='Assumption Sheet'!$L28,('Assumption Sheet'!$M28+'Assumption Sheet'!$P28)*'Assumption Sheet'!$S28*'Assumption Sheet'!$C28,0))/10^7</f>
        <v>0</v>
      </c>
      <c r="JI55" s="33">
        <f>(IF(JI$1='Assumption Sheet'!$L28,('Assumption Sheet'!$M28+'Assumption Sheet'!$P28)*'Assumption Sheet'!$S28*'Assumption Sheet'!$C28,0))/10^7</f>
        <v>0</v>
      </c>
      <c r="JJ55" s="33">
        <f>(IF(JJ$1='Assumption Sheet'!$L28,('Assumption Sheet'!$M28+'Assumption Sheet'!$P28)*'Assumption Sheet'!$S28*'Assumption Sheet'!$C28,0))/10^7</f>
        <v>0</v>
      </c>
      <c r="JK55" s="33">
        <f>(IF(JK$1='Assumption Sheet'!$L28,('Assumption Sheet'!$M28+'Assumption Sheet'!$P28)*'Assumption Sheet'!$S28*'Assumption Sheet'!$C28,0))/10^7</f>
        <v>0</v>
      </c>
      <c r="JL55" s="33">
        <f>(IF(JL$1='Assumption Sheet'!$L28,('Assumption Sheet'!$M28+'Assumption Sheet'!$P28)*'Assumption Sheet'!$S28*'Assumption Sheet'!$C28,0))/10^7</f>
        <v>0</v>
      </c>
      <c r="JM55" s="33">
        <f>(IF(JM$1='Assumption Sheet'!$L28,('Assumption Sheet'!$M28+'Assumption Sheet'!$P28)*'Assumption Sheet'!$S28*'Assumption Sheet'!$C28,0))/10^7</f>
        <v>0</v>
      </c>
      <c r="JN55" s="33">
        <f>(IF(JN$1='Assumption Sheet'!$L28,('Assumption Sheet'!$M28+'Assumption Sheet'!$P28)*'Assumption Sheet'!$S28*'Assumption Sheet'!$C28,0))/10^7</f>
        <v>0</v>
      </c>
      <c r="JO55" s="33">
        <f>(IF(JO$1='Assumption Sheet'!$L28,('Assumption Sheet'!$M28+'Assumption Sheet'!$P28)*'Assumption Sheet'!$S28*'Assumption Sheet'!$C28,0))/10^7</f>
        <v>0</v>
      </c>
      <c r="JP55" s="33">
        <f>(IF(JP$1='Assumption Sheet'!$L28,('Assumption Sheet'!$M28+'Assumption Sheet'!$P28)*'Assumption Sheet'!$S28*'Assumption Sheet'!$C28,0))/10^7</f>
        <v>0</v>
      </c>
      <c r="JQ55" s="33">
        <f>(IF(JQ$1='Assumption Sheet'!$L28,('Assumption Sheet'!$M28+'Assumption Sheet'!$P28)*'Assumption Sheet'!$S28*'Assumption Sheet'!$C28,0))/10^7</f>
        <v>0</v>
      </c>
      <c r="JR55" s="33">
        <f>(IF(JR$1='Assumption Sheet'!$L28,('Assumption Sheet'!$M28+'Assumption Sheet'!$P28)*'Assumption Sheet'!$S28*'Assumption Sheet'!$C28,0))/10^7</f>
        <v>0</v>
      </c>
      <c r="JS55" s="33">
        <f>(IF(JS$1='Assumption Sheet'!$L28,('Assumption Sheet'!$M28+'Assumption Sheet'!$P28)*'Assumption Sheet'!$S28*'Assumption Sheet'!$C28,0))/10^7</f>
        <v>0</v>
      </c>
      <c r="JT55" s="33">
        <f>(IF(JT$1='Assumption Sheet'!$L28,('Assumption Sheet'!$M28+'Assumption Sheet'!$P28)*'Assumption Sheet'!$S28*'Assumption Sheet'!$C28,0))/10^7</f>
        <v>0</v>
      </c>
      <c r="JU55" s="33">
        <f>(IF(JU$1='Assumption Sheet'!$L28,('Assumption Sheet'!$M28+'Assumption Sheet'!$P28)*'Assumption Sheet'!$S28*'Assumption Sheet'!$C28,0))/10^7</f>
        <v>0</v>
      </c>
      <c r="JV55" s="33">
        <f>(IF(JV$1='Assumption Sheet'!$L28,('Assumption Sheet'!$M28+'Assumption Sheet'!$P28)*'Assumption Sheet'!$S28*'Assumption Sheet'!$C28,0))/10^7</f>
        <v>0</v>
      </c>
      <c r="JW55" s="33">
        <f>(IF(JW$1='Assumption Sheet'!$L28,('Assumption Sheet'!$M28+'Assumption Sheet'!$P28)*'Assumption Sheet'!$S28*'Assumption Sheet'!$C28,0))/10^7</f>
        <v>0</v>
      </c>
      <c r="JX55" s="33">
        <f>(IF(JX$1='Assumption Sheet'!$L28,('Assumption Sheet'!$M28+'Assumption Sheet'!$P28)*'Assumption Sheet'!$S28*'Assumption Sheet'!$C28,0))/10^7</f>
        <v>0</v>
      </c>
      <c r="JY55" s="33">
        <f>(IF(JY$1='Assumption Sheet'!$L28,('Assumption Sheet'!$M28+'Assumption Sheet'!$P28)*'Assumption Sheet'!$S28*'Assumption Sheet'!$C28,0))/10^7</f>
        <v>0</v>
      </c>
      <c r="JZ55" s="33">
        <f>(IF(JZ$1='Assumption Sheet'!$L28,('Assumption Sheet'!$M28+'Assumption Sheet'!$P28)*'Assumption Sheet'!$S28*'Assumption Sheet'!$C28,0))/10^7</f>
        <v>0</v>
      </c>
      <c r="KA55" s="33">
        <f>(IF(KA$1='Assumption Sheet'!$L28,('Assumption Sheet'!$M28+'Assumption Sheet'!$P28)*'Assumption Sheet'!$S28*'Assumption Sheet'!$C28,0))/10^7</f>
        <v>0</v>
      </c>
      <c r="KB55" s="33">
        <f>(IF(KB$1='Assumption Sheet'!$L28,('Assumption Sheet'!$M28+'Assumption Sheet'!$P28)*'Assumption Sheet'!$S28*'Assumption Sheet'!$C28,0))/10^7</f>
        <v>0</v>
      </c>
      <c r="KC55" s="33">
        <f>(IF(KC$1='Assumption Sheet'!$L28,('Assumption Sheet'!$M28+'Assumption Sheet'!$P28)*'Assumption Sheet'!$S28*'Assumption Sheet'!$C28,0))/10^7</f>
        <v>0</v>
      </c>
      <c r="KD55" s="45"/>
      <c r="KE55" s="45"/>
      <c r="KF55" s="45"/>
      <c r="KG55" s="45"/>
      <c r="KH55" s="45"/>
      <c r="KI55" s="45"/>
      <c r="KJ55" s="45"/>
      <c r="KK55" s="45"/>
      <c r="KL55" s="45"/>
      <c r="KM55" s="45"/>
      <c r="KN55" s="45"/>
      <c r="KO55" s="45"/>
    </row>
    <row r="56" spans="1:301" x14ac:dyDescent="0.3">
      <c r="B56" s="1" t="str">
        <f>B47</f>
        <v>Phase 2</v>
      </c>
      <c r="C56" s="272">
        <f>SUM(E56:EX56)</f>
        <v>2.0265065357818051</v>
      </c>
      <c r="D56" s="272"/>
      <c r="E56" s="33">
        <f>(IF(E$1='Assumption Sheet'!$L29,('Assumption Sheet'!$M29+'Assumption Sheet'!$P29)*'Assumption Sheet'!$S29*'Assumption Sheet'!$C29,0))/10^7</f>
        <v>0</v>
      </c>
      <c r="F56" s="33">
        <f>(IF(F$1='Assumption Sheet'!$L29,('Assumption Sheet'!$M29+'Assumption Sheet'!$P29)*'Assumption Sheet'!$S29*'Assumption Sheet'!$C29,0))/10^7</f>
        <v>0</v>
      </c>
      <c r="G56" s="33">
        <f>(IF(G$1='Assumption Sheet'!$L29,('Assumption Sheet'!$M29+'Assumption Sheet'!$P29)*'Assumption Sheet'!$S29*'Assumption Sheet'!$C29,0))/10^7</f>
        <v>0</v>
      </c>
      <c r="H56" s="33">
        <f>(IF(H$1='Assumption Sheet'!$L29,('Assumption Sheet'!$M29+'Assumption Sheet'!$P29)*'Assumption Sheet'!$S29*'Assumption Sheet'!$C29,0))/10^7</f>
        <v>0</v>
      </c>
      <c r="I56" s="33">
        <f>(IF(I$1='Assumption Sheet'!$L29,('Assumption Sheet'!$M29+'Assumption Sheet'!$P29)*'Assumption Sheet'!$S29*'Assumption Sheet'!$C29,0))/10^7</f>
        <v>0</v>
      </c>
      <c r="J56" s="33">
        <f>(IF(J$1='Assumption Sheet'!$L29,('Assumption Sheet'!$M29+'Assumption Sheet'!$P29)*'Assumption Sheet'!$S29*'Assumption Sheet'!$C29,0))/10^7</f>
        <v>0</v>
      </c>
      <c r="K56" s="33">
        <f>(IF(K$1='Assumption Sheet'!$L29,('Assumption Sheet'!$M29+'Assumption Sheet'!$P29)*'Assumption Sheet'!$S29*'Assumption Sheet'!$C29,0))/10^7</f>
        <v>0</v>
      </c>
      <c r="L56" s="33">
        <f>(IF(L$1='Assumption Sheet'!$L29,('Assumption Sheet'!$M29+'Assumption Sheet'!$P29)*'Assumption Sheet'!$S29*'Assumption Sheet'!$C29,0))/10^7</f>
        <v>0</v>
      </c>
      <c r="M56" s="33">
        <f>(IF(M$1='Assumption Sheet'!$L29,('Assumption Sheet'!$M29+'Assumption Sheet'!$P29)*'Assumption Sheet'!$S29*'Assumption Sheet'!$C29,0))/10^7</f>
        <v>0</v>
      </c>
      <c r="N56" s="33">
        <f>(IF(N$1='Assumption Sheet'!$L29,('Assumption Sheet'!$M29+'Assumption Sheet'!$P29)*'Assumption Sheet'!$S29*'Assumption Sheet'!$C29,0))/10^7</f>
        <v>0</v>
      </c>
      <c r="O56" s="33">
        <f>(IF(O$1='Assumption Sheet'!$L29,('Assumption Sheet'!$M29+'Assumption Sheet'!$P29)*'Assumption Sheet'!$S29*'Assumption Sheet'!$C29,0))/10^7</f>
        <v>0</v>
      </c>
      <c r="P56" s="33">
        <f>(IF(P$1='Assumption Sheet'!$L29,('Assumption Sheet'!$M29+'Assumption Sheet'!$P29)*'Assumption Sheet'!$S29*'Assumption Sheet'!$C29,0))/10^7</f>
        <v>0</v>
      </c>
      <c r="Q56" s="33">
        <f>(IF(Q$1='Assumption Sheet'!$L29,('Assumption Sheet'!$M29+'Assumption Sheet'!$P29)*'Assumption Sheet'!$S29*'Assumption Sheet'!$C29,0))/10^7</f>
        <v>0</v>
      </c>
      <c r="R56" s="33">
        <f>(IF(R$1='Assumption Sheet'!$L29,('Assumption Sheet'!$M29+'Assumption Sheet'!$P29)*'Assumption Sheet'!$S29*'Assumption Sheet'!$C29,0))/10^7</f>
        <v>0</v>
      </c>
      <c r="S56" s="33">
        <f>(IF(S$1='Assumption Sheet'!$L29,('Assumption Sheet'!$M29+'Assumption Sheet'!$P29)*'Assumption Sheet'!$S29*'Assumption Sheet'!$C29,0))/10^7</f>
        <v>0</v>
      </c>
      <c r="T56" s="33">
        <f>(IF(T$1='Assumption Sheet'!$L29,('Assumption Sheet'!$M29+'Assumption Sheet'!$P29)*'Assumption Sheet'!$S29*'Assumption Sheet'!$C29,0))/10^7</f>
        <v>0</v>
      </c>
      <c r="U56" s="33">
        <f>(IF(U$1='Assumption Sheet'!$L29,('Assumption Sheet'!$M29+'Assumption Sheet'!$P29)*'Assumption Sheet'!$S29*'Assumption Sheet'!$C29,0))/10^7</f>
        <v>0</v>
      </c>
      <c r="V56" s="33">
        <f>(IF(V$1='Assumption Sheet'!$L29,('Assumption Sheet'!$M29+'Assumption Sheet'!$P29)*'Assumption Sheet'!$S29*'Assumption Sheet'!$C29,0))/10^7</f>
        <v>0</v>
      </c>
      <c r="W56" s="33">
        <f>(IF(W$1='Assumption Sheet'!$L29,('Assumption Sheet'!$M29+'Assumption Sheet'!$P29)*'Assumption Sheet'!$S29*'Assumption Sheet'!$C29,0))/10^7</f>
        <v>0</v>
      </c>
      <c r="X56" s="33">
        <f>(IF(X$1='Assumption Sheet'!$L29,('Assumption Sheet'!$M29+'Assumption Sheet'!$P29)*'Assumption Sheet'!$S29*'Assumption Sheet'!$C29,0))/10^7</f>
        <v>0</v>
      </c>
      <c r="Y56" s="33">
        <f>(IF(Y$1='Assumption Sheet'!$L29,('Assumption Sheet'!$M29+'Assumption Sheet'!$P29)*'Assumption Sheet'!$S29*'Assumption Sheet'!$C29,0))/10^7</f>
        <v>0</v>
      </c>
      <c r="Z56" s="33">
        <f>(IF(Z$1='Assumption Sheet'!$L29,('Assumption Sheet'!$M29+'Assumption Sheet'!$P29)*'Assumption Sheet'!$S29*'Assumption Sheet'!$C29,0))/10^7</f>
        <v>0</v>
      </c>
      <c r="AA56" s="33">
        <f>(IF(AA$1='Assumption Sheet'!$L29,('Assumption Sheet'!$M29+'Assumption Sheet'!$P29)*'Assumption Sheet'!$S29*'Assumption Sheet'!$C29,0))/10^7</f>
        <v>0</v>
      </c>
      <c r="AB56" s="33">
        <f>(IF(AB$1='Assumption Sheet'!$L29,('Assumption Sheet'!$M29+'Assumption Sheet'!$P29)*'Assumption Sheet'!$S29*'Assumption Sheet'!$C29,0))/10^7</f>
        <v>0</v>
      </c>
      <c r="AC56" s="33">
        <f>(IF(AC$1='Assumption Sheet'!$L29,('Assumption Sheet'!$M29+'Assumption Sheet'!$P29)*'Assumption Sheet'!$S29*'Assumption Sheet'!$C29,0))/10^7</f>
        <v>0</v>
      </c>
      <c r="AD56" s="33">
        <f>(IF(AD$1='Assumption Sheet'!$L29,('Assumption Sheet'!$M29+'Assumption Sheet'!$P29)*'Assumption Sheet'!$S29*'Assumption Sheet'!$C29,0))/10^7</f>
        <v>0</v>
      </c>
      <c r="AE56" s="33">
        <f>(IF(AE$1='Assumption Sheet'!$L29,('Assumption Sheet'!$M29+'Assumption Sheet'!$P29)*'Assumption Sheet'!$S29*'Assumption Sheet'!$C29,0))/10^7</f>
        <v>0</v>
      </c>
      <c r="AF56" s="33">
        <f>(IF(AF$1='Assumption Sheet'!$L29,('Assumption Sheet'!$M29+'Assumption Sheet'!$P29)*'Assumption Sheet'!$S29*'Assumption Sheet'!$C29,0))/10^7</f>
        <v>0</v>
      </c>
      <c r="AG56" s="33">
        <f>(IF(AG$1='Assumption Sheet'!$L29,('Assumption Sheet'!$M29+'Assumption Sheet'!$P29)*'Assumption Sheet'!$S29*'Assumption Sheet'!$C29,0))/10^7</f>
        <v>0</v>
      </c>
      <c r="AH56" s="33">
        <f>(IF(AH$1='Assumption Sheet'!$L29,('Assumption Sheet'!$M29+'Assumption Sheet'!$P29)*'Assumption Sheet'!$S29*'Assumption Sheet'!$C29,0))/10^7</f>
        <v>0</v>
      </c>
      <c r="AI56" s="33">
        <f>(IF(AI$1='Assumption Sheet'!$L29,('Assumption Sheet'!$M29+'Assumption Sheet'!$P29)*'Assumption Sheet'!$S29*'Assumption Sheet'!$C29,0))/10^7</f>
        <v>2.0265065357818051</v>
      </c>
      <c r="AJ56" s="33">
        <f>(IF(AJ$1='Assumption Sheet'!$L29,('Assumption Sheet'!$M29+'Assumption Sheet'!$P29)*'Assumption Sheet'!$S29*'Assumption Sheet'!$C29,0))/10^7</f>
        <v>0</v>
      </c>
      <c r="AK56" s="33">
        <f>(IF(AK$1='Assumption Sheet'!$L29,('Assumption Sheet'!$M29+'Assumption Sheet'!$P29)*'Assumption Sheet'!$S29*'Assumption Sheet'!$C29,0))/10^7</f>
        <v>0</v>
      </c>
      <c r="AL56" s="33">
        <f>(IF(AL$1='Assumption Sheet'!$L29,('Assumption Sheet'!$M29+'Assumption Sheet'!$P29)*'Assumption Sheet'!$S29*'Assumption Sheet'!$C29,0))/10^7</f>
        <v>0</v>
      </c>
      <c r="AM56" s="33">
        <f>(IF(AM$1='Assumption Sheet'!$L29,('Assumption Sheet'!$M29+'Assumption Sheet'!$P29)*'Assumption Sheet'!$S29*'Assumption Sheet'!$C29,0))/10^7</f>
        <v>0</v>
      </c>
      <c r="AN56" s="33">
        <f>(IF(AN$1='Assumption Sheet'!$L29,('Assumption Sheet'!$M29+'Assumption Sheet'!$P29)*'Assumption Sheet'!$S29*'Assumption Sheet'!$C29,0))/10^7</f>
        <v>0</v>
      </c>
      <c r="AO56" s="33">
        <f>(IF(AO$1='Assumption Sheet'!$L29,('Assumption Sheet'!$M29+'Assumption Sheet'!$P29)*'Assumption Sheet'!$S29*'Assumption Sheet'!$C29,0))/10^7</f>
        <v>0</v>
      </c>
      <c r="AP56" s="33">
        <f>(IF(AP$1='Assumption Sheet'!$L29,('Assumption Sheet'!$M29+'Assumption Sheet'!$P29)*'Assumption Sheet'!$S29*'Assumption Sheet'!$C29,0))/10^7</f>
        <v>0</v>
      </c>
      <c r="AQ56" s="33">
        <f>(IF(AQ$1='Assumption Sheet'!$L29,('Assumption Sheet'!$M29+'Assumption Sheet'!$P29)*'Assumption Sheet'!$S29*'Assumption Sheet'!$C29,0))/10^7</f>
        <v>0</v>
      </c>
      <c r="AR56" s="33">
        <f>(IF(AR$1='Assumption Sheet'!$L29,('Assumption Sheet'!$M29+'Assumption Sheet'!$P29)*'Assumption Sheet'!$S29*'Assumption Sheet'!$C29,0))/10^7</f>
        <v>0</v>
      </c>
      <c r="AS56" s="33">
        <f>(IF(AS$1='Assumption Sheet'!$L29,('Assumption Sheet'!$M29+'Assumption Sheet'!$P29)*'Assumption Sheet'!$S29*'Assumption Sheet'!$C29,0))/10^7</f>
        <v>0</v>
      </c>
      <c r="AT56" s="33">
        <f>(IF(AT$1='Assumption Sheet'!$L29,('Assumption Sheet'!$M29+'Assumption Sheet'!$P29)*'Assumption Sheet'!$S29*'Assumption Sheet'!$C29,0))/10^7</f>
        <v>0</v>
      </c>
      <c r="AU56" s="33">
        <f>(IF(AU$1='Assumption Sheet'!$L29,('Assumption Sheet'!$M29+'Assumption Sheet'!$P29)*'Assumption Sheet'!$S29*'Assumption Sheet'!$C29,0))/10^7</f>
        <v>0</v>
      </c>
      <c r="AV56" s="33">
        <f>(IF(AV$1='Assumption Sheet'!$L29,('Assumption Sheet'!$M29+'Assumption Sheet'!$P29)*'Assumption Sheet'!$S29*'Assumption Sheet'!$C29,0))/10^7</f>
        <v>0</v>
      </c>
      <c r="AW56" s="33">
        <f>(IF(AW$1='Assumption Sheet'!$L29,('Assumption Sheet'!$M29+'Assumption Sheet'!$P29)*'Assumption Sheet'!$S29*'Assumption Sheet'!$C29,0))/10^7</f>
        <v>0</v>
      </c>
      <c r="AX56" s="33">
        <f>(IF(AX$1='Assumption Sheet'!$L29,('Assumption Sheet'!$M29+'Assumption Sheet'!$P29)*'Assumption Sheet'!$S29*'Assumption Sheet'!$C29,0))/10^7</f>
        <v>0</v>
      </c>
      <c r="AY56" s="33">
        <f>(IF(AY$1='Assumption Sheet'!$L29,('Assumption Sheet'!$M29+'Assumption Sheet'!$P29)*'Assumption Sheet'!$S29*'Assumption Sheet'!$C29,0))/10^7</f>
        <v>0</v>
      </c>
      <c r="AZ56" s="33">
        <f>(IF(AZ$1='Assumption Sheet'!$L29,('Assumption Sheet'!$M29+'Assumption Sheet'!$P29)*'Assumption Sheet'!$S29*'Assumption Sheet'!$C29,0))/10^7</f>
        <v>0</v>
      </c>
      <c r="BA56" s="33">
        <f>(IF(BA$1='Assumption Sheet'!$L29,('Assumption Sheet'!$M29+'Assumption Sheet'!$P29)*'Assumption Sheet'!$S29*'Assumption Sheet'!$C29,0))/10^7</f>
        <v>0</v>
      </c>
      <c r="BB56" s="33">
        <f>(IF(BB$1='Assumption Sheet'!$L29,('Assumption Sheet'!$M29+'Assumption Sheet'!$P29)*'Assumption Sheet'!$S29*'Assumption Sheet'!$C29,0))/10^7</f>
        <v>0</v>
      </c>
      <c r="BC56" s="33">
        <f>(IF(BC$1='Assumption Sheet'!$L29,('Assumption Sheet'!$M29+'Assumption Sheet'!$P29)*'Assumption Sheet'!$S29*'Assumption Sheet'!$C29,0))/10^7</f>
        <v>0</v>
      </c>
      <c r="BD56" s="33">
        <f>(IF(BD$1='Assumption Sheet'!$L29,('Assumption Sheet'!$M29+'Assumption Sheet'!$P29)*'Assumption Sheet'!$S29*'Assumption Sheet'!$C29,0))/10^7</f>
        <v>0</v>
      </c>
      <c r="BE56" s="33">
        <f>(IF(BE$1='Assumption Sheet'!$L29,('Assumption Sheet'!$M29+'Assumption Sheet'!$P29)*'Assumption Sheet'!$S29*'Assumption Sheet'!$C29,0))/10^7</f>
        <v>0</v>
      </c>
      <c r="BF56" s="33">
        <f>(IF(BF$1='Assumption Sheet'!$L29,('Assumption Sheet'!$M29+'Assumption Sheet'!$P29)*'Assumption Sheet'!$S29*'Assumption Sheet'!$C29,0))/10^7</f>
        <v>0</v>
      </c>
      <c r="BG56" s="33">
        <f>(IF(BG$1='Assumption Sheet'!$L29,('Assumption Sheet'!$M29+'Assumption Sheet'!$P29)*'Assumption Sheet'!$S29*'Assumption Sheet'!$C29,0))/10^7</f>
        <v>0</v>
      </c>
      <c r="BH56" s="33">
        <f>(IF(BH$1='Assumption Sheet'!$L29,('Assumption Sheet'!$M29+'Assumption Sheet'!$P29)*'Assumption Sheet'!$S29*'Assumption Sheet'!$C29,0))/10^7</f>
        <v>0</v>
      </c>
      <c r="BI56" s="33">
        <f>(IF(BI$1='Assumption Sheet'!$L29,('Assumption Sheet'!$M29+'Assumption Sheet'!$P29)*'Assumption Sheet'!$S29*'Assumption Sheet'!$C29,0))/10^7</f>
        <v>0</v>
      </c>
      <c r="BJ56" s="33">
        <f>(IF(BJ$1='Assumption Sheet'!$L29,('Assumption Sheet'!$M29+'Assumption Sheet'!$P29)*'Assumption Sheet'!$S29*'Assumption Sheet'!$C29,0))/10^7</f>
        <v>0</v>
      </c>
      <c r="BK56" s="33">
        <f>(IF(BK$1='Assumption Sheet'!$L29,('Assumption Sheet'!$M29+'Assumption Sheet'!$P29)*'Assumption Sheet'!$S29*'Assumption Sheet'!$C29,0))/10^7</f>
        <v>0</v>
      </c>
      <c r="BL56" s="33">
        <f>(IF(BL$1='Assumption Sheet'!$L29,('Assumption Sheet'!$M29+'Assumption Sheet'!$P29)*'Assumption Sheet'!$S29*'Assumption Sheet'!$C29,0))/10^7</f>
        <v>0</v>
      </c>
      <c r="BM56" s="33">
        <f>(IF(BM$1='Assumption Sheet'!$L29,('Assumption Sheet'!$M29+'Assumption Sheet'!$P29)*'Assumption Sheet'!$S29*'Assumption Sheet'!$C29,0))/10^7</f>
        <v>0</v>
      </c>
      <c r="BN56" s="33">
        <f>(IF(BN$1='Assumption Sheet'!$L29,('Assumption Sheet'!$M29+'Assumption Sheet'!$P29)*'Assumption Sheet'!$S29*'Assumption Sheet'!$C29,0))/10^7</f>
        <v>0</v>
      </c>
      <c r="BO56" s="33">
        <f>(IF(BO$1='Assumption Sheet'!$L29,('Assumption Sheet'!$M29+'Assumption Sheet'!$P29)*'Assumption Sheet'!$S29*'Assumption Sheet'!$C29,0))/10^7</f>
        <v>0</v>
      </c>
      <c r="BP56" s="33">
        <f>(IF(BP$1='Assumption Sheet'!$L29,('Assumption Sheet'!$M29+'Assumption Sheet'!$P29)*'Assumption Sheet'!$S29*'Assumption Sheet'!$C29,0))/10^7</f>
        <v>0</v>
      </c>
      <c r="BQ56" s="33">
        <f>(IF(BQ$1='Assumption Sheet'!$L29,('Assumption Sheet'!$M29+'Assumption Sheet'!$P29)*'Assumption Sheet'!$S29*'Assumption Sheet'!$C29,0))/10^7</f>
        <v>0</v>
      </c>
      <c r="BR56" s="33">
        <f>(IF(BR$1='Assumption Sheet'!$L29,('Assumption Sheet'!$M29+'Assumption Sheet'!$P29)*'Assumption Sheet'!$S29*'Assumption Sheet'!$C29,0))/10^7</f>
        <v>0</v>
      </c>
      <c r="BS56" s="33">
        <f>(IF(BS$1='Assumption Sheet'!$L29,('Assumption Sheet'!$M29+'Assumption Sheet'!$P29)*'Assumption Sheet'!$S29*'Assumption Sheet'!$C29,0))/10^7</f>
        <v>0</v>
      </c>
      <c r="BT56" s="33">
        <f>(IF(BT$1='Assumption Sheet'!$L29,('Assumption Sheet'!$M29+'Assumption Sheet'!$P29)*'Assumption Sheet'!$S29*'Assumption Sheet'!$C29,0))/10^7</f>
        <v>0</v>
      </c>
      <c r="BU56" s="33">
        <f>(IF(BU$1='Assumption Sheet'!$L29,('Assumption Sheet'!$M29+'Assumption Sheet'!$P29)*'Assumption Sheet'!$S29*'Assumption Sheet'!$C29,0))/10^7</f>
        <v>0</v>
      </c>
      <c r="BV56" s="33">
        <f>(IF(BV$1='Assumption Sheet'!$L29,('Assumption Sheet'!$M29+'Assumption Sheet'!$P29)*'Assumption Sheet'!$S29*'Assumption Sheet'!$C29,0))/10^7</f>
        <v>0</v>
      </c>
      <c r="BW56" s="33">
        <f>(IF(BW$1='Assumption Sheet'!$L29,('Assumption Sheet'!$M29+'Assumption Sheet'!$P29)*'Assumption Sheet'!$S29*'Assumption Sheet'!$C29,0))/10^7</f>
        <v>0</v>
      </c>
      <c r="BX56" s="33">
        <f>(IF(BX$1='Assumption Sheet'!$L29,('Assumption Sheet'!$M29+'Assumption Sheet'!$P29)*'Assumption Sheet'!$S29*'Assumption Sheet'!$C29,0))/10^7</f>
        <v>0</v>
      </c>
      <c r="BY56" s="33">
        <f>(IF(BY$1='Assumption Sheet'!$L29,('Assumption Sheet'!$M29+'Assumption Sheet'!$P29)*'Assumption Sheet'!$S29*'Assumption Sheet'!$C29,0))/10^7</f>
        <v>0</v>
      </c>
      <c r="BZ56" s="33">
        <f>(IF(BZ$1='Assumption Sheet'!$L29,('Assumption Sheet'!$M29+'Assumption Sheet'!$P29)*'Assumption Sheet'!$S29*'Assumption Sheet'!$C29,0))/10^7</f>
        <v>0</v>
      </c>
      <c r="CA56" s="33">
        <f>(IF(CA$1='Assumption Sheet'!$L29,('Assumption Sheet'!$M29+'Assumption Sheet'!$P29)*'Assumption Sheet'!$S29*'Assumption Sheet'!$C29,0))/10^7</f>
        <v>0</v>
      </c>
      <c r="CB56" s="33">
        <f>(IF(CB$1='Assumption Sheet'!$L29,('Assumption Sheet'!$M29+'Assumption Sheet'!$P29)*'Assumption Sheet'!$S29*'Assumption Sheet'!$C29,0))/10^7</f>
        <v>0</v>
      </c>
      <c r="CC56" s="33">
        <f>(IF(CC$1='Assumption Sheet'!$L29,('Assumption Sheet'!$M29+'Assumption Sheet'!$P29)*'Assumption Sheet'!$S29*'Assumption Sheet'!$C29,0))/10^7</f>
        <v>0</v>
      </c>
      <c r="CD56" s="33">
        <f>(IF(CD$1='Assumption Sheet'!$L29,('Assumption Sheet'!$M29+'Assumption Sheet'!$P29)*'Assumption Sheet'!$S29*'Assumption Sheet'!$C29,0))/10^7</f>
        <v>0</v>
      </c>
      <c r="CE56" s="33">
        <f>(IF(CE$1='Assumption Sheet'!$L29,('Assumption Sheet'!$M29+'Assumption Sheet'!$P29)*'Assumption Sheet'!$S29*'Assumption Sheet'!$C29,0))/10^7</f>
        <v>0</v>
      </c>
      <c r="CF56" s="33">
        <f>(IF(CF$1='Assumption Sheet'!$L29,('Assumption Sheet'!$M29+'Assumption Sheet'!$P29)*'Assumption Sheet'!$S29*'Assumption Sheet'!$C29,0))/10^7</f>
        <v>0</v>
      </c>
      <c r="CG56" s="33">
        <f>(IF(CG$1='Assumption Sheet'!$L29,('Assumption Sheet'!$M29+'Assumption Sheet'!$P29)*'Assumption Sheet'!$S29*'Assumption Sheet'!$C29,0))/10^7</f>
        <v>0</v>
      </c>
      <c r="CH56" s="33">
        <f>(IF(CH$1='Assumption Sheet'!$L29,('Assumption Sheet'!$M29+'Assumption Sheet'!$P29)*'Assumption Sheet'!$S29*'Assumption Sheet'!$C29,0))/10^7</f>
        <v>0</v>
      </c>
      <c r="CI56" s="33">
        <f>(IF(CI$1='Assumption Sheet'!$L29,('Assumption Sheet'!$M29+'Assumption Sheet'!$P29)*'Assumption Sheet'!$S29*'Assumption Sheet'!$C29,0))/10^7</f>
        <v>0</v>
      </c>
      <c r="CJ56" s="33">
        <f>(IF(CJ$1='Assumption Sheet'!$L29,('Assumption Sheet'!$M29+'Assumption Sheet'!$P29)*'Assumption Sheet'!$S29*'Assumption Sheet'!$C29,0))/10^7</f>
        <v>0</v>
      </c>
      <c r="CK56" s="33">
        <f>(IF(CK$1='Assumption Sheet'!$L29,('Assumption Sheet'!$M29+'Assumption Sheet'!$P29)*'Assumption Sheet'!$S29*'Assumption Sheet'!$C29,0))/10^7</f>
        <v>0</v>
      </c>
      <c r="CL56" s="33">
        <f>(IF(CL$1='Assumption Sheet'!$L29,('Assumption Sheet'!$M29+'Assumption Sheet'!$P29)*'Assumption Sheet'!$S29*'Assumption Sheet'!$C29,0))/10^7</f>
        <v>0</v>
      </c>
      <c r="CM56" s="33">
        <f>(IF(CM$1='Assumption Sheet'!$L29,('Assumption Sheet'!$M29+'Assumption Sheet'!$P29)*'Assumption Sheet'!$S29*'Assumption Sheet'!$C29,0))/10^7</f>
        <v>0</v>
      </c>
      <c r="CN56" s="33">
        <f>(IF(CN$1='Assumption Sheet'!$L29,('Assumption Sheet'!$M29+'Assumption Sheet'!$P29)*'Assumption Sheet'!$S29*'Assumption Sheet'!$C29,0))/10^7</f>
        <v>0</v>
      </c>
      <c r="CO56" s="33">
        <f>(IF(CO$1='Assumption Sheet'!$L29,('Assumption Sheet'!$M29+'Assumption Sheet'!$P29)*'Assumption Sheet'!$S29*'Assumption Sheet'!$C29,0))/10^7</f>
        <v>0</v>
      </c>
      <c r="CP56" s="33">
        <f>(IF(CP$1='Assumption Sheet'!$L29,('Assumption Sheet'!$M29+'Assumption Sheet'!$P29)*'Assumption Sheet'!$S29*'Assumption Sheet'!$C29,0))/10^7</f>
        <v>0</v>
      </c>
      <c r="CQ56" s="33">
        <f>(IF(CQ$1='Assumption Sheet'!$L29,('Assumption Sheet'!$M29+'Assumption Sheet'!$P29)*'Assumption Sheet'!$S29*'Assumption Sheet'!$C29,0))/10^7</f>
        <v>0</v>
      </c>
      <c r="CR56" s="33">
        <f>(IF(CR$1='Assumption Sheet'!$L29,('Assumption Sheet'!$M29+'Assumption Sheet'!$P29)*'Assumption Sheet'!$S29*'Assumption Sheet'!$C29,0))/10^7</f>
        <v>0</v>
      </c>
      <c r="CS56" s="33">
        <f>(IF(CS$1='Assumption Sheet'!$L29,('Assumption Sheet'!$M29+'Assumption Sheet'!$P29)*'Assumption Sheet'!$S29*'Assumption Sheet'!$C29,0))/10^7</f>
        <v>0</v>
      </c>
      <c r="CT56" s="33">
        <f>(IF(CT$1='Assumption Sheet'!$L29,('Assumption Sheet'!$M29+'Assumption Sheet'!$P29)*'Assumption Sheet'!$S29*'Assumption Sheet'!$C29,0))/10^7</f>
        <v>0</v>
      </c>
      <c r="CU56" s="33">
        <f>(IF(CU$1='Assumption Sheet'!$L29,('Assumption Sheet'!$M29+'Assumption Sheet'!$P29)*'Assumption Sheet'!$S29*'Assumption Sheet'!$C29,0))/10^7</f>
        <v>0</v>
      </c>
      <c r="CV56" s="33">
        <f>(IF(CV$1='Assumption Sheet'!$L29,('Assumption Sheet'!$M29+'Assumption Sheet'!$P29)*'Assumption Sheet'!$S29*'Assumption Sheet'!$C29,0))/10^7</f>
        <v>0</v>
      </c>
      <c r="CW56" s="33">
        <f>(IF(CW$1='Assumption Sheet'!$L29,('Assumption Sheet'!$M29+'Assumption Sheet'!$P29)*'Assumption Sheet'!$S29*'Assumption Sheet'!$C29,0))/10^7</f>
        <v>0</v>
      </c>
      <c r="CX56" s="33">
        <f>(IF(CX$1='Assumption Sheet'!$L29,('Assumption Sheet'!$M29+'Assumption Sheet'!$P29)*'Assumption Sheet'!$S29*'Assumption Sheet'!$C29,0))/10^7</f>
        <v>0</v>
      </c>
      <c r="CY56" s="33">
        <f>(IF(CY$1='Assumption Sheet'!$L29,('Assumption Sheet'!$M29+'Assumption Sheet'!$P29)*'Assumption Sheet'!$S29*'Assumption Sheet'!$C29,0))/10^7</f>
        <v>0</v>
      </c>
      <c r="CZ56" s="33">
        <f>(IF(CZ$1='Assumption Sheet'!$L29,('Assumption Sheet'!$M29+'Assumption Sheet'!$P29)*'Assumption Sheet'!$S29*'Assumption Sheet'!$C29,0))/10^7</f>
        <v>0</v>
      </c>
      <c r="DA56" s="33">
        <f>(IF(DA$1='Assumption Sheet'!$L29,('Assumption Sheet'!$M29+'Assumption Sheet'!$P29)*'Assumption Sheet'!$S29*'Assumption Sheet'!$C29,0))/10^7</f>
        <v>0</v>
      </c>
      <c r="DB56" s="33">
        <f>(IF(DB$1='Assumption Sheet'!$L29,('Assumption Sheet'!$M29+'Assumption Sheet'!$P29)*'Assumption Sheet'!$S29*'Assumption Sheet'!$C29,0))/10^7</f>
        <v>0</v>
      </c>
      <c r="DC56" s="33">
        <f>(IF(DC$1='Assumption Sheet'!$L29,('Assumption Sheet'!$M29+'Assumption Sheet'!$P29)*'Assumption Sheet'!$S29*'Assumption Sheet'!$C29,0))/10^7</f>
        <v>0</v>
      </c>
      <c r="DD56" s="33">
        <f>(IF(DD$1='Assumption Sheet'!$L29,('Assumption Sheet'!$M29+'Assumption Sheet'!$P29)*'Assumption Sheet'!$S29*'Assumption Sheet'!$C29,0))/10^7</f>
        <v>0</v>
      </c>
      <c r="DE56" s="33">
        <f>(IF(DE$1='Assumption Sheet'!$L29,('Assumption Sheet'!$M29+'Assumption Sheet'!$P29)*'Assumption Sheet'!$S29*'Assumption Sheet'!$C29,0))/10^7</f>
        <v>0</v>
      </c>
      <c r="DF56" s="33">
        <f>(IF(DF$1='Assumption Sheet'!$L29,('Assumption Sheet'!$M29+'Assumption Sheet'!$P29)*'Assumption Sheet'!$S29*'Assumption Sheet'!$C29,0))/10^7</f>
        <v>0</v>
      </c>
      <c r="DG56" s="33">
        <f>(IF(DG$1='Assumption Sheet'!$L29,('Assumption Sheet'!$M29+'Assumption Sheet'!$P29)*'Assumption Sheet'!$S29*'Assumption Sheet'!$C29,0))/10^7</f>
        <v>0</v>
      </c>
      <c r="DH56" s="33">
        <f>(IF(DH$1='Assumption Sheet'!$L29,('Assumption Sheet'!$M29+'Assumption Sheet'!$P29)*'Assumption Sheet'!$S29*'Assumption Sheet'!$C29,0))/10^7</f>
        <v>0</v>
      </c>
      <c r="DI56" s="33">
        <f>(IF(DI$1='Assumption Sheet'!$L29,('Assumption Sheet'!$M29+'Assumption Sheet'!$P29)*'Assumption Sheet'!$S29*'Assumption Sheet'!$C29,0))/10^7</f>
        <v>0</v>
      </c>
      <c r="DJ56" s="33">
        <f>(IF(DJ$1='Assumption Sheet'!$L29,('Assumption Sheet'!$M29+'Assumption Sheet'!$P29)*'Assumption Sheet'!$S29*'Assumption Sheet'!$C29,0))/10^7</f>
        <v>0</v>
      </c>
      <c r="DK56" s="33">
        <f>(IF(DK$1='Assumption Sheet'!$L29,('Assumption Sheet'!$M29+'Assumption Sheet'!$P29)*'Assumption Sheet'!$S29*'Assumption Sheet'!$C29,0))/10^7</f>
        <v>0</v>
      </c>
      <c r="DL56" s="33">
        <f>(IF(DL$1='Assumption Sheet'!$L29,('Assumption Sheet'!$M29+'Assumption Sheet'!$P29)*'Assumption Sheet'!$S29*'Assumption Sheet'!$C29,0))/10^7</f>
        <v>0</v>
      </c>
      <c r="DM56" s="33">
        <f>(IF(DM$1='Assumption Sheet'!$L29,('Assumption Sheet'!$M29+'Assumption Sheet'!$P29)*'Assumption Sheet'!$S29*'Assumption Sheet'!$C29,0))/10^7</f>
        <v>0</v>
      </c>
      <c r="DN56" s="33">
        <f>(IF(DN$1='Assumption Sheet'!$L29,('Assumption Sheet'!$M29+'Assumption Sheet'!$P29)*'Assumption Sheet'!$S29*'Assumption Sheet'!$C29,0))/10^7</f>
        <v>0</v>
      </c>
      <c r="DO56" s="33">
        <f>(IF(DO$1='Assumption Sheet'!$L29,('Assumption Sheet'!$M29+'Assumption Sheet'!$P29)*'Assumption Sheet'!$S29*'Assumption Sheet'!$C29,0))/10^7</f>
        <v>0</v>
      </c>
      <c r="DP56" s="33">
        <f>(IF(DP$1='Assumption Sheet'!$L29,('Assumption Sheet'!$M29+'Assumption Sheet'!$P29)*'Assumption Sheet'!$S29*'Assumption Sheet'!$C29,0))/10^7</f>
        <v>0</v>
      </c>
      <c r="DQ56" s="33">
        <f>(IF(DQ$1='Assumption Sheet'!$L29,('Assumption Sheet'!$M29+'Assumption Sheet'!$P29)*'Assumption Sheet'!$S29*'Assumption Sheet'!$C29,0))/10^7</f>
        <v>0</v>
      </c>
      <c r="DR56" s="33">
        <f>(IF(DR$1='Assumption Sheet'!$L29,('Assumption Sheet'!$M29+'Assumption Sheet'!$P29)*'Assumption Sheet'!$S29*'Assumption Sheet'!$C29,0))/10^7</f>
        <v>0</v>
      </c>
      <c r="DS56" s="33">
        <f>(IF(DS$1='Assumption Sheet'!$L29,('Assumption Sheet'!$M29+'Assumption Sheet'!$P29)*'Assumption Sheet'!$S29*'Assumption Sheet'!$C29,0))/10^7</f>
        <v>0</v>
      </c>
      <c r="DT56" s="33">
        <f>(IF(DT$1='Assumption Sheet'!$L29,('Assumption Sheet'!$M29+'Assumption Sheet'!$P29)*'Assumption Sheet'!$S29*'Assumption Sheet'!$C29,0))/10^7</f>
        <v>0</v>
      </c>
      <c r="DU56" s="33">
        <f>(IF(DU$1='Assumption Sheet'!$L29,('Assumption Sheet'!$M29+'Assumption Sheet'!$P29)*'Assumption Sheet'!$S29*'Assumption Sheet'!$C29,0))/10^7</f>
        <v>0</v>
      </c>
      <c r="DV56" s="33">
        <f>(IF(DV$1='Assumption Sheet'!$L29,('Assumption Sheet'!$M29+'Assumption Sheet'!$P29)*'Assumption Sheet'!$S29*'Assumption Sheet'!$C29,0))/10^7</f>
        <v>0</v>
      </c>
      <c r="DW56" s="33">
        <f>(IF(DW$1='Assumption Sheet'!$L29,('Assumption Sheet'!$M29+'Assumption Sheet'!$P29)*'Assumption Sheet'!$S29*'Assumption Sheet'!$C29,0))/10^7</f>
        <v>0</v>
      </c>
      <c r="DX56" s="33">
        <f>(IF(DX$1='Assumption Sheet'!$L29,('Assumption Sheet'!$M29+'Assumption Sheet'!$P29)*'Assumption Sheet'!$S29*'Assumption Sheet'!$C29,0))/10^7</f>
        <v>0</v>
      </c>
      <c r="DY56" s="33">
        <f>(IF(DY$1='Assumption Sheet'!$L29,('Assumption Sheet'!$M29+'Assumption Sheet'!$P29)*'Assumption Sheet'!$S29*'Assumption Sheet'!$C29,0))/10^7</f>
        <v>0</v>
      </c>
      <c r="DZ56" s="33">
        <f>(IF(DZ$1='Assumption Sheet'!$L29,('Assumption Sheet'!$M29+'Assumption Sheet'!$P29)*'Assumption Sheet'!$S29*'Assumption Sheet'!$C29,0))/10^7</f>
        <v>0</v>
      </c>
      <c r="EA56" s="33">
        <f>(IF(EA$1='Assumption Sheet'!$L29,('Assumption Sheet'!$M29+'Assumption Sheet'!$P29)*'Assumption Sheet'!$S29*'Assumption Sheet'!$C29,0))/10^7</f>
        <v>0</v>
      </c>
      <c r="EB56" s="33">
        <f>(IF(EB$1='Assumption Sheet'!$L29,('Assumption Sheet'!$M29+'Assumption Sheet'!$P29)*'Assumption Sheet'!$S29*'Assumption Sheet'!$C29,0))/10^7</f>
        <v>0</v>
      </c>
      <c r="EC56" s="33">
        <f>(IF(EC$1='Assumption Sheet'!$L29,('Assumption Sheet'!$M29+'Assumption Sheet'!$P29)*'Assumption Sheet'!$S29*'Assumption Sheet'!$C29,0))/10^7</f>
        <v>0</v>
      </c>
      <c r="ED56" s="33">
        <f>(IF(ED$1='Assumption Sheet'!$L29,('Assumption Sheet'!$M29+'Assumption Sheet'!$P29)*'Assumption Sheet'!$S29*'Assumption Sheet'!$C29,0))/10^7</f>
        <v>0</v>
      </c>
      <c r="EE56" s="33">
        <f>(IF(EE$1='Assumption Sheet'!$L29,('Assumption Sheet'!$M29+'Assumption Sheet'!$P29)*'Assumption Sheet'!$S29*'Assumption Sheet'!$C29,0))/10^7</f>
        <v>0</v>
      </c>
      <c r="EF56" s="33">
        <f>(IF(EF$1='Assumption Sheet'!$L29,('Assumption Sheet'!$M29+'Assumption Sheet'!$P29)*'Assumption Sheet'!$S29*'Assumption Sheet'!$C29,0))/10^7</f>
        <v>0</v>
      </c>
      <c r="EG56" s="33">
        <f>(IF(EG$1='Assumption Sheet'!$L29,('Assumption Sheet'!$M29+'Assumption Sheet'!$P29)*'Assumption Sheet'!$S29*'Assumption Sheet'!$C29,0))/10^7</f>
        <v>0</v>
      </c>
      <c r="EH56" s="33">
        <f>(IF(EH$1='Assumption Sheet'!$L29,('Assumption Sheet'!$M29+'Assumption Sheet'!$P29)*'Assumption Sheet'!$S29*'Assumption Sheet'!$C29,0))/10^7</f>
        <v>0</v>
      </c>
      <c r="EI56" s="33">
        <f>(IF(EI$1='Assumption Sheet'!$L29,('Assumption Sheet'!$M29+'Assumption Sheet'!$P29)*'Assumption Sheet'!$S29*'Assumption Sheet'!$C29,0))/10^7</f>
        <v>0</v>
      </c>
      <c r="EJ56" s="33">
        <f>(IF(EJ$1='Assumption Sheet'!$L29,('Assumption Sheet'!$M29+'Assumption Sheet'!$P29)*'Assumption Sheet'!$S29*'Assumption Sheet'!$C29,0))/10^7</f>
        <v>0</v>
      </c>
      <c r="EK56" s="33">
        <f>(IF(EK$1='Assumption Sheet'!$L29,('Assumption Sheet'!$M29+'Assumption Sheet'!$P29)*'Assumption Sheet'!$S29*'Assumption Sheet'!$C29,0))/10^7</f>
        <v>0</v>
      </c>
      <c r="EL56" s="33">
        <f>(IF(EL$1='Assumption Sheet'!$L29,('Assumption Sheet'!$M29+'Assumption Sheet'!$P29)*'Assumption Sheet'!$S29*'Assumption Sheet'!$C29,0))/10^7</f>
        <v>0</v>
      </c>
      <c r="EM56" s="33">
        <f>(IF(EM$1='Assumption Sheet'!$L29,('Assumption Sheet'!$M29+'Assumption Sheet'!$P29)*'Assumption Sheet'!$S29*'Assumption Sheet'!$C29,0))/10^7</f>
        <v>0</v>
      </c>
      <c r="EN56" s="33">
        <f>(IF(EN$1='Assumption Sheet'!$L29,('Assumption Sheet'!$M29+'Assumption Sheet'!$P29)*'Assumption Sheet'!$S29*'Assumption Sheet'!$C29,0))/10^7</f>
        <v>0</v>
      </c>
      <c r="EO56" s="33">
        <f>(IF(EO$1='Assumption Sheet'!$L29,('Assumption Sheet'!$M29+'Assumption Sheet'!$P29)*'Assumption Sheet'!$S29*'Assumption Sheet'!$C29,0))/10^7</f>
        <v>0</v>
      </c>
      <c r="EP56" s="33">
        <f>(IF(EP$1='Assumption Sheet'!$L29,('Assumption Sheet'!$M29+'Assumption Sheet'!$P29)*'Assumption Sheet'!$S29*'Assumption Sheet'!$C29,0))/10^7</f>
        <v>0</v>
      </c>
      <c r="EQ56" s="33">
        <f>(IF(EQ$1='Assumption Sheet'!$L29,('Assumption Sheet'!$M29+'Assumption Sheet'!$P29)*'Assumption Sheet'!$S29*'Assumption Sheet'!$C29,0))/10^7</f>
        <v>0</v>
      </c>
      <c r="ER56" s="33">
        <f>(IF(ER$1='Assumption Sheet'!$L29,('Assumption Sheet'!$M29+'Assumption Sheet'!$P29)*'Assumption Sheet'!$S29*'Assumption Sheet'!$C29,0))/10^7</f>
        <v>0</v>
      </c>
      <c r="ES56" s="33">
        <f>(IF(ES$1='Assumption Sheet'!$L29,('Assumption Sheet'!$M29+'Assumption Sheet'!$P29)*'Assumption Sheet'!$S29*'Assumption Sheet'!$C29,0))/10^7</f>
        <v>0</v>
      </c>
      <c r="ET56" s="33">
        <f>(IF(ET$1='Assumption Sheet'!$L29,('Assumption Sheet'!$M29+'Assumption Sheet'!$P29)*'Assumption Sheet'!$S29*'Assumption Sheet'!$C29,0))/10^7</f>
        <v>0</v>
      </c>
      <c r="EU56" s="33">
        <f>(IF(EU$1='Assumption Sheet'!$L29,('Assumption Sheet'!$M29+'Assumption Sheet'!$P29)*'Assumption Sheet'!$S29*'Assumption Sheet'!$C29,0))/10^7</f>
        <v>0</v>
      </c>
      <c r="EV56" s="33">
        <f>(IF(EV$1='Assumption Sheet'!$L29,('Assumption Sheet'!$M29+'Assumption Sheet'!$P29)*'Assumption Sheet'!$S29*'Assumption Sheet'!$C29,0))/10^7</f>
        <v>0</v>
      </c>
      <c r="EW56" s="33">
        <f>(IF(EW$1='Assumption Sheet'!$L29,('Assumption Sheet'!$M29+'Assumption Sheet'!$P29)*'Assumption Sheet'!$S29*'Assumption Sheet'!$C29,0))/10^7</f>
        <v>0</v>
      </c>
      <c r="EX56" s="33">
        <f>(IF(EX$1='Assumption Sheet'!$L29,('Assumption Sheet'!$M29+'Assumption Sheet'!$P29)*'Assumption Sheet'!$S29*'Assumption Sheet'!$C29,0))/10^7</f>
        <v>0</v>
      </c>
      <c r="EY56" s="33">
        <f>(IF(EY$1='Assumption Sheet'!$L29,('Assumption Sheet'!$M29+'Assumption Sheet'!$P29)*'Assumption Sheet'!$S29*'Assumption Sheet'!$C29,0))/10^7</f>
        <v>0</v>
      </c>
      <c r="EZ56" s="33">
        <f>(IF(EZ$1='Assumption Sheet'!$L29,('Assumption Sheet'!$M29+'Assumption Sheet'!$P29)*'Assumption Sheet'!$S29*'Assumption Sheet'!$C29,0))/10^7</f>
        <v>0</v>
      </c>
      <c r="FA56" s="33">
        <f>(IF(FA$1='Assumption Sheet'!$L29,('Assumption Sheet'!$M29+'Assumption Sheet'!$P29)*'Assumption Sheet'!$S29*'Assumption Sheet'!$C29,0))/10^7</f>
        <v>0</v>
      </c>
      <c r="FB56" s="33">
        <f>(IF(FB$1='Assumption Sheet'!$L29,('Assumption Sheet'!$M29+'Assumption Sheet'!$P29)*'Assumption Sheet'!$S29*'Assumption Sheet'!$C29,0))/10^7</f>
        <v>0</v>
      </c>
      <c r="FC56" s="33">
        <f>(IF(FC$1='Assumption Sheet'!$L29,('Assumption Sheet'!$M29+'Assumption Sheet'!$P29)*'Assumption Sheet'!$S29*'Assumption Sheet'!$C29,0))/10^7</f>
        <v>0</v>
      </c>
      <c r="FD56" s="33">
        <f>(IF(FD$1='Assumption Sheet'!$L29,('Assumption Sheet'!$M29+'Assumption Sheet'!$P29)*'Assumption Sheet'!$S29*'Assumption Sheet'!$C29,0))/10^7</f>
        <v>0</v>
      </c>
      <c r="FE56" s="33">
        <f>(IF(FE$1='Assumption Sheet'!$L29,('Assumption Sheet'!$M29+'Assumption Sheet'!$P29)*'Assumption Sheet'!$S29*'Assumption Sheet'!$C29,0))/10^7</f>
        <v>0</v>
      </c>
      <c r="FF56" s="33">
        <f>(IF(FF$1='Assumption Sheet'!$L29,('Assumption Sheet'!$M29+'Assumption Sheet'!$P29)*'Assumption Sheet'!$S29*'Assumption Sheet'!$C29,0))/10^7</f>
        <v>0</v>
      </c>
      <c r="FG56" s="33">
        <f>(IF(FG$1='Assumption Sheet'!$L29,('Assumption Sheet'!$M29+'Assumption Sheet'!$P29)*'Assumption Sheet'!$S29*'Assumption Sheet'!$C29,0))/10^7</f>
        <v>0</v>
      </c>
      <c r="FH56" s="33">
        <f>(IF(FH$1='Assumption Sheet'!$L29,('Assumption Sheet'!$M29+'Assumption Sheet'!$P29)*'Assumption Sheet'!$S29*'Assumption Sheet'!$C29,0))/10^7</f>
        <v>0</v>
      </c>
      <c r="FI56" s="33">
        <f>(IF(FI$1='Assumption Sheet'!$L29,('Assumption Sheet'!$M29+'Assumption Sheet'!$P29)*'Assumption Sheet'!$S29*'Assumption Sheet'!$C29,0))/10^7</f>
        <v>0</v>
      </c>
      <c r="FJ56" s="33">
        <f>(IF(FJ$1='Assumption Sheet'!$L29,('Assumption Sheet'!$M29+'Assumption Sheet'!$P29)*'Assumption Sheet'!$S29*'Assumption Sheet'!$C29,0))/10^7</f>
        <v>0</v>
      </c>
      <c r="FK56" s="33">
        <f>(IF(FK$1='Assumption Sheet'!$L29,('Assumption Sheet'!$M29+'Assumption Sheet'!$P29)*'Assumption Sheet'!$S29*'Assumption Sheet'!$C29,0))/10^7</f>
        <v>0</v>
      </c>
      <c r="FL56" s="33">
        <f>(IF(FL$1='Assumption Sheet'!$L29,('Assumption Sheet'!$M29+'Assumption Sheet'!$P29)*'Assumption Sheet'!$S29*'Assumption Sheet'!$C29,0))/10^7</f>
        <v>0</v>
      </c>
      <c r="FM56" s="33">
        <f>(IF(FM$1='Assumption Sheet'!$L29,('Assumption Sheet'!$M29+'Assumption Sheet'!$P29)*'Assumption Sheet'!$S29*'Assumption Sheet'!$C29,0))/10^7</f>
        <v>0</v>
      </c>
      <c r="FN56" s="33">
        <f>(IF(FN$1='Assumption Sheet'!$L29,('Assumption Sheet'!$M29+'Assumption Sheet'!$P29)*'Assumption Sheet'!$S29*'Assumption Sheet'!$C29,0))/10^7</f>
        <v>0</v>
      </c>
      <c r="FO56" s="33">
        <f>(IF(FO$1='Assumption Sheet'!$L29,('Assumption Sheet'!$M29+'Assumption Sheet'!$P29)*'Assumption Sheet'!$S29*'Assumption Sheet'!$C29,0))/10^7</f>
        <v>0</v>
      </c>
      <c r="FP56" s="33">
        <f>(IF(FP$1='Assumption Sheet'!$L29,('Assumption Sheet'!$M29+'Assumption Sheet'!$P29)*'Assumption Sheet'!$S29*'Assumption Sheet'!$C29,0))/10^7</f>
        <v>0</v>
      </c>
      <c r="FQ56" s="33">
        <f>(IF(FQ$1='Assumption Sheet'!$L29,('Assumption Sheet'!$M29+'Assumption Sheet'!$P29)*'Assumption Sheet'!$S29*'Assumption Sheet'!$C29,0))/10^7</f>
        <v>0</v>
      </c>
      <c r="FR56" s="33">
        <f>(IF(FR$1='Assumption Sheet'!$L29,('Assumption Sheet'!$M29+'Assumption Sheet'!$P29)*'Assumption Sheet'!$S29*'Assumption Sheet'!$C29,0))/10^7</f>
        <v>0</v>
      </c>
      <c r="FS56" s="33">
        <f>(IF(FS$1='Assumption Sheet'!$L29,('Assumption Sheet'!$M29+'Assumption Sheet'!$P29)*'Assumption Sheet'!$S29*'Assumption Sheet'!$C29,0))/10^7</f>
        <v>0</v>
      </c>
      <c r="FT56" s="33">
        <f>(IF(FT$1='Assumption Sheet'!$L29,('Assumption Sheet'!$M29+'Assumption Sheet'!$P29)*'Assumption Sheet'!$S29*'Assumption Sheet'!$C29,0))/10^7</f>
        <v>0</v>
      </c>
      <c r="FU56" s="33">
        <f>(IF(FU$1='Assumption Sheet'!$L29,('Assumption Sheet'!$M29+'Assumption Sheet'!$P29)*'Assumption Sheet'!$S29*'Assumption Sheet'!$C29,0))/10^7</f>
        <v>0</v>
      </c>
      <c r="FV56" s="33">
        <f>(IF(FV$1='Assumption Sheet'!$L29,('Assumption Sheet'!$M29+'Assumption Sheet'!$P29)*'Assumption Sheet'!$S29*'Assumption Sheet'!$C29,0))/10^7</f>
        <v>0</v>
      </c>
      <c r="FW56" s="33">
        <f>(IF(FW$1='Assumption Sheet'!$L29,('Assumption Sheet'!$M29+'Assumption Sheet'!$P29)*'Assumption Sheet'!$S29*'Assumption Sheet'!$C29,0))/10^7</f>
        <v>0</v>
      </c>
      <c r="FX56" s="33">
        <f>(IF(FX$1='Assumption Sheet'!$L29,('Assumption Sheet'!$M29+'Assumption Sheet'!$P29)*'Assumption Sheet'!$S29*'Assumption Sheet'!$C29,0))/10^7</f>
        <v>0</v>
      </c>
      <c r="FY56" s="33">
        <f>(IF(FY$1='Assumption Sheet'!$L29,('Assumption Sheet'!$M29+'Assumption Sheet'!$P29)*'Assumption Sheet'!$S29*'Assumption Sheet'!$C29,0))/10^7</f>
        <v>0</v>
      </c>
      <c r="FZ56" s="33">
        <f>(IF(FZ$1='Assumption Sheet'!$L29,('Assumption Sheet'!$M29+'Assumption Sheet'!$P29)*'Assumption Sheet'!$S29*'Assumption Sheet'!$C29,0))/10^7</f>
        <v>0</v>
      </c>
      <c r="GA56" s="33">
        <f>(IF(GA$1='Assumption Sheet'!$L29,('Assumption Sheet'!$M29+'Assumption Sheet'!$P29)*'Assumption Sheet'!$S29*'Assumption Sheet'!$C29,0))/10^7</f>
        <v>0</v>
      </c>
      <c r="GB56" s="33">
        <f>(IF(GB$1='Assumption Sheet'!$L29,('Assumption Sheet'!$M29+'Assumption Sheet'!$P29)*'Assumption Sheet'!$S29*'Assumption Sheet'!$C29,0))/10^7</f>
        <v>0</v>
      </c>
      <c r="GC56" s="33">
        <f>(IF(GC$1='Assumption Sheet'!$L29,('Assumption Sheet'!$M29+'Assumption Sheet'!$P29)*'Assumption Sheet'!$S29*'Assumption Sheet'!$C29,0))/10^7</f>
        <v>0</v>
      </c>
      <c r="GD56" s="33">
        <f>(IF(GD$1='Assumption Sheet'!$L29,('Assumption Sheet'!$M29+'Assumption Sheet'!$P29)*'Assumption Sheet'!$S29*'Assumption Sheet'!$C29,0))/10^7</f>
        <v>0</v>
      </c>
      <c r="GE56" s="33">
        <f>(IF(GE$1='Assumption Sheet'!$L29,('Assumption Sheet'!$M29+'Assumption Sheet'!$P29)*'Assumption Sheet'!$S29*'Assumption Sheet'!$C29,0))/10^7</f>
        <v>0</v>
      </c>
      <c r="GF56" s="33">
        <f>(IF(GF$1='Assumption Sheet'!$L29,('Assumption Sheet'!$M29+'Assumption Sheet'!$P29)*'Assumption Sheet'!$S29*'Assumption Sheet'!$C29,0))/10^7</f>
        <v>0</v>
      </c>
      <c r="GG56" s="33">
        <f>(IF(GG$1='Assumption Sheet'!$L29,('Assumption Sheet'!$M29+'Assumption Sheet'!$P29)*'Assumption Sheet'!$S29*'Assumption Sheet'!$C29,0))/10^7</f>
        <v>0</v>
      </c>
      <c r="GH56" s="33">
        <f>(IF(GH$1='Assumption Sheet'!$L29,('Assumption Sheet'!$M29+'Assumption Sheet'!$P29)*'Assumption Sheet'!$S29*'Assumption Sheet'!$C29,0))/10^7</f>
        <v>0</v>
      </c>
      <c r="GI56" s="33">
        <f>(IF(GI$1='Assumption Sheet'!$L29,('Assumption Sheet'!$M29+'Assumption Sheet'!$P29)*'Assumption Sheet'!$S29*'Assumption Sheet'!$C29,0))/10^7</f>
        <v>0</v>
      </c>
      <c r="GJ56" s="33">
        <f>(IF(GJ$1='Assumption Sheet'!$L29,('Assumption Sheet'!$M29+'Assumption Sheet'!$P29)*'Assumption Sheet'!$S29*'Assumption Sheet'!$C29,0))/10^7</f>
        <v>0</v>
      </c>
      <c r="GK56" s="33">
        <f>(IF(GK$1='Assumption Sheet'!$L29,('Assumption Sheet'!$M29+'Assumption Sheet'!$P29)*'Assumption Sheet'!$S29*'Assumption Sheet'!$C29,0))/10^7</f>
        <v>0</v>
      </c>
      <c r="GL56" s="33">
        <f>(IF(GL$1='Assumption Sheet'!$L29,('Assumption Sheet'!$M29+'Assumption Sheet'!$P29)*'Assumption Sheet'!$S29*'Assumption Sheet'!$C29,0))/10^7</f>
        <v>0</v>
      </c>
      <c r="GM56" s="33">
        <f>(IF(GM$1='Assumption Sheet'!$L29,('Assumption Sheet'!$M29+'Assumption Sheet'!$P29)*'Assumption Sheet'!$S29*'Assumption Sheet'!$C29,0))/10^7</f>
        <v>0</v>
      </c>
      <c r="GN56" s="33">
        <f>(IF(GN$1='Assumption Sheet'!$L29,('Assumption Sheet'!$M29+'Assumption Sheet'!$P29)*'Assumption Sheet'!$S29*'Assumption Sheet'!$C29,0))/10^7</f>
        <v>0</v>
      </c>
      <c r="GO56" s="33">
        <f>(IF(GO$1='Assumption Sheet'!$L29,('Assumption Sheet'!$M29+'Assumption Sheet'!$P29)*'Assumption Sheet'!$S29*'Assumption Sheet'!$C29,0))/10^7</f>
        <v>0</v>
      </c>
      <c r="GP56" s="33">
        <f>(IF(GP$1='Assumption Sheet'!$L29,('Assumption Sheet'!$M29+'Assumption Sheet'!$P29)*'Assumption Sheet'!$S29*'Assumption Sheet'!$C29,0))/10^7</f>
        <v>0</v>
      </c>
      <c r="GQ56" s="33">
        <f>(IF(GQ$1='Assumption Sheet'!$L29,('Assumption Sheet'!$M29+'Assumption Sheet'!$P29)*'Assumption Sheet'!$S29*'Assumption Sheet'!$C29,0))/10^7</f>
        <v>0</v>
      </c>
      <c r="GR56" s="33">
        <f>(IF(GR$1='Assumption Sheet'!$L29,('Assumption Sheet'!$M29+'Assumption Sheet'!$P29)*'Assumption Sheet'!$S29*'Assumption Sheet'!$C29,0))/10^7</f>
        <v>0</v>
      </c>
      <c r="GS56" s="33">
        <f>(IF(GS$1='Assumption Sheet'!$L29,('Assumption Sheet'!$M29+'Assumption Sheet'!$P29)*'Assumption Sheet'!$S29*'Assumption Sheet'!$C29,0))/10^7</f>
        <v>0</v>
      </c>
      <c r="GT56" s="33">
        <f>(IF(GT$1='Assumption Sheet'!$L29,('Assumption Sheet'!$M29+'Assumption Sheet'!$P29)*'Assumption Sheet'!$S29*'Assumption Sheet'!$C29,0))/10^7</f>
        <v>0</v>
      </c>
      <c r="GU56" s="33">
        <f>(IF(GU$1='Assumption Sheet'!$L29,('Assumption Sheet'!$M29+'Assumption Sheet'!$P29)*'Assumption Sheet'!$S29*'Assumption Sheet'!$C29,0))/10^7</f>
        <v>0</v>
      </c>
      <c r="GV56" s="33">
        <f>(IF(GV$1='Assumption Sheet'!$L29,('Assumption Sheet'!$M29+'Assumption Sheet'!$P29)*'Assumption Sheet'!$S29*'Assumption Sheet'!$C29,0))/10^7</f>
        <v>0</v>
      </c>
      <c r="GW56" s="33">
        <f>(IF(GW$1='Assumption Sheet'!$L29,('Assumption Sheet'!$M29+'Assumption Sheet'!$P29)*'Assumption Sheet'!$S29*'Assumption Sheet'!$C29,0))/10^7</f>
        <v>0</v>
      </c>
      <c r="GX56" s="33">
        <f>(IF(GX$1='Assumption Sheet'!$L29,('Assumption Sheet'!$M29+'Assumption Sheet'!$P29)*'Assumption Sheet'!$S29*'Assumption Sheet'!$C29,0))/10^7</f>
        <v>0</v>
      </c>
      <c r="GY56" s="33">
        <f>(IF(GY$1='Assumption Sheet'!$L29,('Assumption Sheet'!$M29+'Assumption Sheet'!$P29)*'Assumption Sheet'!$S29*'Assumption Sheet'!$C29,0))/10^7</f>
        <v>0</v>
      </c>
      <c r="GZ56" s="33">
        <f>(IF(GZ$1='Assumption Sheet'!$L29,('Assumption Sheet'!$M29+'Assumption Sheet'!$P29)*'Assumption Sheet'!$S29*'Assumption Sheet'!$C29,0))/10^7</f>
        <v>0</v>
      </c>
      <c r="HA56" s="33">
        <f>(IF(HA$1='Assumption Sheet'!$L29,('Assumption Sheet'!$M29+'Assumption Sheet'!$P29)*'Assumption Sheet'!$S29*'Assumption Sheet'!$C29,0))/10^7</f>
        <v>0</v>
      </c>
      <c r="HB56" s="33">
        <f>(IF(HB$1='Assumption Sheet'!$L29,('Assumption Sheet'!$M29+'Assumption Sheet'!$P29)*'Assumption Sheet'!$S29*'Assumption Sheet'!$C29,0))/10^7</f>
        <v>0</v>
      </c>
      <c r="HC56" s="33">
        <f>(IF(HC$1='Assumption Sheet'!$L29,('Assumption Sheet'!$M29+'Assumption Sheet'!$P29)*'Assumption Sheet'!$S29*'Assumption Sheet'!$C29,0))/10^7</f>
        <v>0</v>
      </c>
      <c r="HD56" s="33">
        <f>(IF(HD$1='Assumption Sheet'!$L29,('Assumption Sheet'!$M29+'Assumption Sheet'!$P29)*'Assumption Sheet'!$S29*'Assumption Sheet'!$C29,0))/10^7</f>
        <v>0</v>
      </c>
      <c r="HE56" s="33">
        <f>(IF(HE$1='Assumption Sheet'!$L29,('Assumption Sheet'!$M29+'Assumption Sheet'!$P29)*'Assumption Sheet'!$S29*'Assumption Sheet'!$C29,0))/10^7</f>
        <v>0</v>
      </c>
      <c r="HF56" s="33">
        <f>(IF(HF$1='Assumption Sheet'!$L29,('Assumption Sheet'!$M29+'Assumption Sheet'!$P29)*'Assumption Sheet'!$S29*'Assumption Sheet'!$C29,0))/10^7</f>
        <v>0</v>
      </c>
      <c r="HG56" s="33">
        <f>(IF(HG$1='Assumption Sheet'!$L29,('Assumption Sheet'!$M29+'Assumption Sheet'!$P29)*'Assumption Sheet'!$S29*'Assumption Sheet'!$C29,0))/10^7</f>
        <v>0</v>
      </c>
      <c r="HH56" s="33">
        <f>(IF(HH$1='Assumption Sheet'!$L29,('Assumption Sheet'!$M29+'Assumption Sheet'!$P29)*'Assumption Sheet'!$S29*'Assumption Sheet'!$C29,0))/10^7</f>
        <v>0</v>
      </c>
      <c r="HI56" s="33">
        <f>(IF(HI$1='Assumption Sheet'!$L29,('Assumption Sheet'!$M29+'Assumption Sheet'!$P29)*'Assumption Sheet'!$S29*'Assumption Sheet'!$C29,0))/10^7</f>
        <v>0</v>
      </c>
      <c r="HJ56" s="33">
        <f>(IF(HJ$1='Assumption Sheet'!$L29,('Assumption Sheet'!$M29+'Assumption Sheet'!$P29)*'Assumption Sheet'!$S29*'Assumption Sheet'!$C29,0))/10^7</f>
        <v>0</v>
      </c>
      <c r="HK56" s="33">
        <f>(IF(HK$1='Assumption Sheet'!$L29,('Assumption Sheet'!$M29+'Assumption Sheet'!$P29)*'Assumption Sheet'!$S29*'Assumption Sheet'!$C29,0))/10^7</f>
        <v>0</v>
      </c>
      <c r="HL56" s="33">
        <f>(IF(HL$1='Assumption Sheet'!$L29,('Assumption Sheet'!$M29+'Assumption Sheet'!$P29)*'Assumption Sheet'!$S29*'Assumption Sheet'!$C29,0))/10^7</f>
        <v>0</v>
      </c>
      <c r="HM56" s="33">
        <f>(IF(HM$1='Assumption Sheet'!$L29,('Assumption Sheet'!$M29+'Assumption Sheet'!$P29)*'Assumption Sheet'!$S29*'Assumption Sheet'!$C29,0))/10^7</f>
        <v>0</v>
      </c>
      <c r="HN56" s="33">
        <f>(IF(HN$1='Assumption Sheet'!$L29,('Assumption Sheet'!$M29+'Assumption Sheet'!$P29)*'Assumption Sheet'!$S29*'Assumption Sheet'!$C29,0))/10^7</f>
        <v>0</v>
      </c>
      <c r="HO56" s="33">
        <f>(IF(HO$1='Assumption Sheet'!$L29,('Assumption Sheet'!$M29+'Assumption Sheet'!$P29)*'Assumption Sheet'!$S29*'Assumption Sheet'!$C29,0))/10^7</f>
        <v>0</v>
      </c>
      <c r="HP56" s="33">
        <f>(IF(HP$1='Assumption Sheet'!$L29,('Assumption Sheet'!$M29+'Assumption Sheet'!$P29)*'Assumption Sheet'!$S29*'Assumption Sheet'!$C29,0))/10^7</f>
        <v>0</v>
      </c>
      <c r="HQ56" s="33">
        <f>(IF(HQ$1='Assumption Sheet'!$L29,('Assumption Sheet'!$M29+'Assumption Sheet'!$P29)*'Assumption Sheet'!$S29*'Assumption Sheet'!$C29,0))/10^7</f>
        <v>0</v>
      </c>
      <c r="HR56" s="33">
        <f>(IF(HR$1='Assumption Sheet'!$L29,('Assumption Sheet'!$M29+'Assumption Sheet'!$P29)*'Assumption Sheet'!$S29*'Assumption Sheet'!$C29,0))/10^7</f>
        <v>0</v>
      </c>
      <c r="HS56" s="33">
        <f>(IF(HS$1='Assumption Sheet'!$L29,('Assumption Sheet'!$M29+'Assumption Sheet'!$P29)*'Assumption Sheet'!$S29*'Assumption Sheet'!$C29,0))/10^7</f>
        <v>0</v>
      </c>
      <c r="HT56" s="33">
        <f>(IF(HT$1='Assumption Sheet'!$L29,('Assumption Sheet'!$M29+'Assumption Sheet'!$P29)*'Assumption Sheet'!$S29*'Assumption Sheet'!$C29,0))/10^7</f>
        <v>0</v>
      </c>
      <c r="HU56" s="33">
        <f>(IF(HU$1='Assumption Sheet'!$L29,('Assumption Sheet'!$M29+'Assumption Sheet'!$P29)*'Assumption Sheet'!$S29*'Assumption Sheet'!$C29,0))/10^7</f>
        <v>0</v>
      </c>
      <c r="HV56" s="33">
        <f>(IF(HV$1='Assumption Sheet'!$L29,('Assumption Sheet'!$M29+'Assumption Sheet'!$P29)*'Assumption Sheet'!$S29*'Assumption Sheet'!$C29,0))/10^7</f>
        <v>0</v>
      </c>
      <c r="HW56" s="33">
        <f>(IF(HW$1='Assumption Sheet'!$L29,('Assumption Sheet'!$M29+'Assumption Sheet'!$P29)*'Assumption Sheet'!$S29*'Assumption Sheet'!$C29,0))/10^7</f>
        <v>0</v>
      </c>
      <c r="HX56" s="33">
        <f>(IF(HX$1='Assumption Sheet'!$L29,('Assumption Sheet'!$M29+'Assumption Sheet'!$P29)*'Assumption Sheet'!$S29*'Assumption Sheet'!$C29,0))/10^7</f>
        <v>0</v>
      </c>
      <c r="HY56" s="33">
        <f>(IF(HY$1='Assumption Sheet'!$L29,('Assumption Sheet'!$M29+'Assumption Sheet'!$P29)*'Assumption Sheet'!$S29*'Assumption Sheet'!$C29,0))/10^7</f>
        <v>0</v>
      </c>
      <c r="HZ56" s="33">
        <f>(IF(HZ$1='Assumption Sheet'!$L29,('Assumption Sheet'!$M29+'Assumption Sheet'!$P29)*'Assumption Sheet'!$S29*'Assumption Sheet'!$C29,0))/10^7</f>
        <v>0</v>
      </c>
      <c r="IA56" s="33">
        <f>(IF(IA$1='Assumption Sheet'!$L29,('Assumption Sheet'!$M29+'Assumption Sheet'!$P29)*'Assumption Sheet'!$S29*'Assumption Sheet'!$C29,0))/10^7</f>
        <v>0</v>
      </c>
      <c r="IB56" s="33">
        <f>(IF(IB$1='Assumption Sheet'!$L29,('Assumption Sheet'!$M29+'Assumption Sheet'!$P29)*'Assumption Sheet'!$S29*'Assumption Sheet'!$C29,0))/10^7</f>
        <v>0</v>
      </c>
      <c r="IC56" s="33">
        <f>(IF(IC$1='Assumption Sheet'!$L29,('Assumption Sheet'!$M29+'Assumption Sheet'!$P29)*'Assumption Sheet'!$S29*'Assumption Sheet'!$C29,0))/10^7</f>
        <v>0</v>
      </c>
      <c r="ID56" s="33">
        <f>(IF(ID$1='Assumption Sheet'!$L29,('Assumption Sheet'!$M29+'Assumption Sheet'!$P29)*'Assumption Sheet'!$S29*'Assumption Sheet'!$C29,0))/10^7</f>
        <v>0</v>
      </c>
      <c r="IE56" s="33">
        <f>(IF(IE$1='Assumption Sheet'!$L29,('Assumption Sheet'!$M29+'Assumption Sheet'!$P29)*'Assumption Sheet'!$S29*'Assumption Sheet'!$C29,0))/10^7</f>
        <v>0</v>
      </c>
      <c r="IF56" s="33">
        <f>(IF(IF$1='Assumption Sheet'!$L29,('Assumption Sheet'!$M29+'Assumption Sheet'!$P29)*'Assumption Sheet'!$S29*'Assumption Sheet'!$C29,0))/10^7</f>
        <v>0</v>
      </c>
      <c r="IG56" s="33">
        <f>(IF(IG$1='Assumption Sheet'!$L29,('Assumption Sheet'!$M29+'Assumption Sheet'!$P29)*'Assumption Sheet'!$S29*'Assumption Sheet'!$C29,0))/10^7</f>
        <v>0</v>
      </c>
      <c r="IH56" s="33">
        <f>(IF(IH$1='Assumption Sheet'!$L29,('Assumption Sheet'!$M29+'Assumption Sheet'!$P29)*'Assumption Sheet'!$S29*'Assumption Sheet'!$C29,0))/10^7</f>
        <v>0</v>
      </c>
      <c r="II56" s="33">
        <f>(IF(II$1='Assumption Sheet'!$L29,('Assumption Sheet'!$M29+'Assumption Sheet'!$P29)*'Assumption Sheet'!$S29*'Assumption Sheet'!$C29,0))/10^7</f>
        <v>0</v>
      </c>
      <c r="IJ56" s="33">
        <f>(IF(IJ$1='Assumption Sheet'!$L29,('Assumption Sheet'!$M29+'Assumption Sheet'!$P29)*'Assumption Sheet'!$S29*'Assumption Sheet'!$C29,0))/10^7</f>
        <v>0</v>
      </c>
      <c r="IK56" s="33">
        <f>(IF(IK$1='Assumption Sheet'!$L29,('Assumption Sheet'!$M29+'Assumption Sheet'!$P29)*'Assumption Sheet'!$S29*'Assumption Sheet'!$C29,0))/10^7</f>
        <v>0</v>
      </c>
      <c r="IL56" s="33">
        <f>(IF(IL$1='Assumption Sheet'!$L29,('Assumption Sheet'!$M29+'Assumption Sheet'!$P29)*'Assumption Sheet'!$S29*'Assumption Sheet'!$C29,0))/10^7</f>
        <v>0</v>
      </c>
      <c r="IM56" s="33">
        <f>(IF(IM$1='Assumption Sheet'!$L29,('Assumption Sheet'!$M29+'Assumption Sheet'!$P29)*'Assumption Sheet'!$S29*'Assumption Sheet'!$C29,0))/10^7</f>
        <v>0</v>
      </c>
      <c r="IN56" s="33">
        <f>(IF(IN$1='Assumption Sheet'!$L29,('Assumption Sheet'!$M29+'Assumption Sheet'!$P29)*'Assumption Sheet'!$S29*'Assumption Sheet'!$C29,0))/10^7</f>
        <v>0</v>
      </c>
      <c r="IO56" s="33">
        <f>(IF(IO$1='Assumption Sheet'!$L29,('Assumption Sheet'!$M29+'Assumption Sheet'!$P29)*'Assumption Sheet'!$S29*'Assumption Sheet'!$C29,0))/10^7</f>
        <v>0</v>
      </c>
      <c r="IP56" s="33">
        <f>(IF(IP$1='Assumption Sheet'!$L29,('Assumption Sheet'!$M29+'Assumption Sheet'!$P29)*'Assumption Sheet'!$S29*'Assumption Sheet'!$C29,0))/10^7</f>
        <v>0</v>
      </c>
      <c r="IQ56" s="33">
        <f>(IF(IQ$1='Assumption Sheet'!$L29,('Assumption Sheet'!$M29+'Assumption Sheet'!$P29)*'Assumption Sheet'!$S29*'Assumption Sheet'!$C29,0))/10^7</f>
        <v>0</v>
      </c>
      <c r="IR56" s="33">
        <f>(IF(IR$1='Assumption Sheet'!$L29,('Assumption Sheet'!$M29+'Assumption Sheet'!$P29)*'Assumption Sheet'!$S29*'Assumption Sheet'!$C29,0))/10^7</f>
        <v>0</v>
      </c>
      <c r="IS56" s="33">
        <f>(IF(IS$1='Assumption Sheet'!$L29,('Assumption Sheet'!$M29+'Assumption Sheet'!$P29)*'Assumption Sheet'!$S29*'Assumption Sheet'!$C29,0))/10^7</f>
        <v>0</v>
      </c>
      <c r="IT56" s="33">
        <f>(IF(IT$1='Assumption Sheet'!$L29,('Assumption Sheet'!$M29+'Assumption Sheet'!$P29)*'Assumption Sheet'!$S29*'Assumption Sheet'!$C29,0))/10^7</f>
        <v>0</v>
      </c>
      <c r="IU56" s="33">
        <f>(IF(IU$1='Assumption Sheet'!$L29,('Assumption Sheet'!$M29+'Assumption Sheet'!$P29)*'Assumption Sheet'!$S29*'Assumption Sheet'!$C29,0))/10^7</f>
        <v>0</v>
      </c>
      <c r="IV56" s="33">
        <f>(IF(IV$1='Assumption Sheet'!$L29,('Assumption Sheet'!$M29+'Assumption Sheet'!$P29)*'Assumption Sheet'!$S29*'Assumption Sheet'!$C29,0))/10^7</f>
        <v>0</v>
      </c>
      <c r="IW56" s="33">
        <f>(IF(IW$1='Assumption Sheet'!$L29,('Assumption Sheet'!$M29+'Assumption Sheet'!$P29)*'Assumption Sheet'!$S29*'Assumption Sheet'!$C29,0))/10^7</f>
        <v>0</v>
      </c>
      <c r="IX56" s="33">
        <f>(IF(IX$1='Assumption Sheet'!$L29,('Assumption Sheet'!$M29+'Assumption Sheet'!$P29)*'Assumption Sheet'!$S29*'Assumption Sheet'!$C29,0))/10^7</f>
        <v>0</v>
      </c>
      <c r="IY56" s="33">
        <f>(IF(IY$1='Assumption Sheet'!$L29,('Assumption Sheet'!$M29+'Assumption Sheet'!$P29)*'Assumption Sheet'!$S29*'Assumption Sheet'!$C29,0))/10^7</f>
        <v>0</v>
      </c>
      <c r="IZ56" s="33">
        <f>(IF(IZ$1='Assumption Sheet'!$L29,('Assumption Sheet'!$M29+'Assumption Sheet'!$P29)*'Assumption Sheet'!$S29*'Assumption Sheet'!$C29,0))/10^7</f>
        <v>0</v>
      </c>
      <c r="JA56" s="33">
        <f>(IF(JA$1='Assumption Sheet'!$L29,('Assumption Sheet'!$M29+'Assumption Sheet'!$P29)*'Assumption Sheet'!$S29*'Assumption Sheet'!$C29,0))/10^7</f>
        <v>0</v>
      </c>
      <c r="JB56" s="33">
        <f>(IF(JB$1='Assumption Sheet'!$L29,('Assumption Sheet'!$M29+'Assumption Sheet'!$P29)*'Assumption Sheet'!$S29*'Assumption Sheet'!$C29,0))/10^7</f>
        <v>0</v>
      </c>
      <c r="JC56" s="33">
        <f>(IF(JC$1='Assumption Sheet'!$L29,('Assumption Sheet'!$M29+'Assumption Sheet'!$P29)*'Assumption Sheet'!$S29*'Assumption Sheet'!$C29,0))/10^7</f>
        <v>0</v>
      </c>
      <c r="JD56" s="33">
        <f>(IF(JD$1='Assumption Sheet'!$L29,('Assumption Sheet'!$M29+'Assumption Sheet'!$P29)*'Assumption Sheet'!$S29*'Assumption Sheet'!$C29,0))/10^7</f>
        <v>0</v>
      </c>
      <c r="JE56" s="33">
        <f>(IF(JE$1='Assumption Sheet'!$L29,('Assumption Sheet'!$M29+'Assumption Sheet'!$P29)*'Assumption Sheet'!$S29*'Assumption Sheet'!$C29,0))/10^7</f>
        <v>0</v>
      </c>
      <c r="JF56" s="33">
        <f>(IF(JF$1='Assumption Sheet'!$L29,('Assumption Sheet'!$M29+'Assumption Sheet'!$P29)*'Assumption Sheet'!$S29*'Assumption Sheet'!$C29,0))/10^7</f>
        <v>0</v>
      </c>
      <c r="JG56" s="33">
        <f>(IF(JG$1='Assumption Sheet'!$L29,('Assumption Sheet'!$M29+'Assumption Sheet'!$P29)*'Assumption Sheet'!$S29*'Assumption Sheet'!$C29,0))/10^7</f>
        <v>0</v>
      </c>
      <c r="JH56" s="33">
        <f>(IF(JH$1='Assumption Sheet'!$L29,('Assumption Sheet'!$M29+'Assumption Sheet'!$P29)*'Assumption Sheet'!$S29*'Assumption Sheet'!$C29,0))/10^7</f>
        <v>0</v>
      </c>
      <c r="JI56" s="33">
        <f>(IF(JI$1='Assumption Sheet'!$L29,('Assumption Sheet'!$M29+'Assumption Sheet'!$P29)*'Assumption Sheet'!$S29*'Assumption Sheet'!$C29,0))/10^7</f>
        <v>0</v>
      </c>
      <c r="JJ56" s="33">
        <f>(IF(JJ$1='Assumption Sheet'!$L29,('Assumption Sheet'!$M29+'Assumption Sheet'!$P29)*'Assumption Sheet'!$S29*'Assumption Sheet'!$C29,0))/10^7</f>
        <v>0</v>
      </c>
      <c r="JK56" s="33">
        <f>(IF(JK$1='Assumption Sheet'!$L29,('Assumption Sheet'!$M29+'Assumption Sheet'!$P29)*'Assumption Sheet'!$S29*'Assumption Sheet'!$C29,0))/10^7</f>
        <v>0</v>
      </c>
      <c r="JL56" s="33">
        <f>(IF(JL$1='Assumption Sheet'!$L29,('Assumption Sheet'!$M29+'Assumption Sheet'!$P29)*'Assumption Sheet'!$S29*'Assumption Sheet'!$C29,0))/10^7</f>
        <v>0</v>
      </c>
      <c r="JM56" s="33">
        <f>(IF(JM$1='Assumption Sheet'!$L29,('Assumption Sheet'!$M29+'Assumption Sheet'!$P29)*'Assumption Sheet'!$S29*'Assumption Sheet'!$C29,0))/10^7</f>
        <v>0</v>
      </c>
      <c r="JN56" s="33">
        <f>(IF(JN$1='Assumption Sheet'!$L29,('Assumption Sheet'!$M29+'Assumption Sheet'!$P29)*'Assumption Sheet'!$S29*'Assumption Sheet'!$C29,0))/10^7</f>
        <v>0</v>
      </c>
      <c r="JO56" s="33">
        <f>(IF(JO$1='Assumption Sheet'!$L29,('Assumption Sheet'!$M29+'Assumption Sheet'!$P29)*'Assumption Sheet'!$S29*'Assumption Sheet'!$C29,0))/10^7</f>
        <v>0</v>
      </c>
      <c r="JP56" s="33">
        <f>(IF(JP$1='Assumption Sheet'!$L29,('Assumption Sheet'!$M29+'Assumption Sheet'!$P29)*'Assumption Sheet'!$S29*'Assumption Sheet'!$C29,0))/10^7</f>
        <v>0</v>
      </c>
      <c r="JQ56" s="33">
        <f>(IF(JQ$1='Assumption Sheet'!$L29,('Assumption Sheet'!$M29+'Assumption Sheet'!$P29)*'Assumption Sheet'!$S29*'Assumption Sheet'!$C29,0))/10^7</f>
        <v>0</v>
      </c>
      <c r="JR56" s="33">
        <f>(IF(JR$1='Assumption Sheet'!$L29,('Assumption Sheet'!$M29+'Assumption Sheet'!$P29)*'Assumption Sheet'!$S29*'Assumption Sheet'!$C29,0))/10^7</f>
        <v>0</v>
      </c>
      <c r="JS56" s="33">
        <f>(IF(JS$1='Assumption Sheet'!$L29,('Assumption Sheet'!$M29+'Assumption Sheet'!$P29)*'Assumption Sheet'!$S29*'Assumption Sheet'!$C29,0))/10^7</f>
        <v>0</v>
      </c>
      <c r="JT56" s="33">
        <f>(IF(JT$1='Assumption Sheet'!$L29,('Assumption Sheet'!$M29+'Assumption Sheet'!$P29)*'Assumption Sheet'!$S29*'Assumption Sheet'!$C29,0))/10^7</f>
        <v>0</v>
      </c>
      <c r="JU56" s="33">
        <f>(IF(JU$1='Assumption Sheet'!$L29,('Assumption Sheet'!$M29+'Assumption Sheet'!$P29)*'Assumption Sheet'!$S29*'Assumption Sheet'!$C29,0))/10^7</f>
        <v>0</v>
      </c>
      <c r="JV56" s="33">
        <f>(IF(JV$1='Assumption Sheet'!$L29,('Assumption Sheet'!$M29+'Assumption Sheet'!$P29)*'Assumption Sheet'!$S29*'Assumption Sheet'!$C29,0))/10^7</f>
        <v>0</v>
      </c>
      <c r="JW56" s="33">
        <f>(IF(JW$1='Assumption Sheet'!$L29,('Assumption Sheet'!$M29+'Assumption Sheet'!$P29)*'Assumption Sheet'!$S29*'Assumption Sheet'!$C29,0))/10^7</f>
        <v>0</v>
      </c>
      <c r="JX56" s="33">
        <f>(IF(JX$1='Assumption Sheet'!$L29,('Assumption Sheet'!$M29+'Assumption Sheet'!$P29)*'Assumption Sheet'!$S29*'Assumption Sheet'!$C29,0))/10^7</f>
        <v>0</v>
      </c>
      <c r="JY56" s="33">
        <f>(IF(JY$1='Assumption Sheet'!$L29,('Assumption Sheet'!$M29+'Assumption Sheet'!$P29)*'Assumption Sheet'!$S29*'Assumption Sheet'!$C29,0))/10^7</f>
        <v>0</v>
      </c>
      <c r="JZ56" s="33">
        <f>(IF(JZ$1='Assumption Sheet'!$L29,('Assumption Sheet'!$M29+'Assumption Sheet'!$P29)*'Assumption Sheet'!$S29*'Assumption Sheet'!$C29,0))/10^7</f>
        <v>0</v>
      </c>
      <c r="KA56" s="33">
        <f>(IF(KA$1='Assumption Sheet'!$L29,('Assumption Sheet'!$M29+'Assumption Sheet'!$P29)*'Assumption Sheet'!$S29*'Assumption Sheet'!$C29,0))/10^7</f>
        <v>0</v>
      </c>
      <c r="KB56" s="33">
        <f>(IF(KB$1='Assumption Sheet'!$L29,('Assumption Sheet'!$M29+'Assumption Sheet'!$P29)*'Assumption Sheet'!$S29*'Assumption Sheet'!$C29,0))/10^7</f>
        <v>0</v>
      </c>
      <c r="KC56" s="33">
        <f>(IF(KC$1='Assumption Sheet'!$L29,('Assumption Sheet'!$M29+'Assumption Sheet'!$P29)*'Assumption Sheet'!$S29*'Assumption Sheet'!$C29,0))/10^7</f>
        <v>0</v>
      </c>
      <c r="KD56" s="45"/>
      <c r="KE56" s="45"/>
      <c r="KF56" s="45"/>
      <c r="KG56" s="45"/>
      <c r="KH56" s="45"/>
      <c r="KI56" s="45"/>
      <c r="KJ56" s="45"/>
      <c r="KK56" s="45"/>
      <c r="KL56" s="45"/>
      <c r="KM56" s="45"/>
      <c r="KN56" s="45"/>
      <c r="KO56" s="45"/>
    </row>
    <row r="57" spans="1:301" x14ac:dyDescent="0.3">
      <c r="B57" s="1" t="str">
        <f>B48</f>
        <v>Phase 3</v>
      </c>
      <c r="C57" s="272">
        <f>SUM(E57:EX57)</f>
        <v>0.84474877949784011</v>
      </c>
      <c r="D57" s="272"/>
      <c r="E57" s="33">
        <f>(IF(E$1='Assumption Sheet'!$L30,('Assumption Sheet'!$M30+'Assumption Sheet'!$P30)*'Assumption Sheet'!$S30*'Assumption Sheet'!$C30,0))/10^7</f>
        <v>0</v>
      </c>
      <c r="F57" s="33">
        <f>(IF(F$1='Assumption Sheet'!$L30,('Assumption Sheet'!$M30+'Assumption Sheet'!$P30)*'Assumption Sheet'!$S30*'Assumption Sheet'!$C30,0))/10^7</f>
        <v>0</v>
      </c>
      <c r="G57" s="33">
        <f>(IF(G$1='Assumption Sheet'!$L30,('Assumption Sheet'!$M30+'Assumption Sheet'!$P30)*'Assumption Sheet'!$S30*'Assumption Sheet'!$C30,0))/10^7</f>
        <v>0</v>
      </c>
      <c r="H57" s="33">
        <f>(IF(H$1='Assumption Sheet'!$L30,('Assumption Sheet'!$M30+'Assumption Sheet'!$P30)*'Assumption Sheet'!$S30*'Assumption Sheet'!$C30,0))/10^7</f>
        <v>0</v>
      </c>
      <c r="I57" s="33">
        <f>(IF(I$1='Assumption Sheet'!$L30,('Assumption Sheet'!$M30+'Assumption Sheet'!$P30)*'Assumption Sheet'!$S30*'Assumption Sheet'!$C30,0))/10^7</f>
        <v>0</v>
      </c>
      <c r="J57" s="33">
        <f>(IF(J$1='Assumption Sheet'!$L30,('Assumption Sheet'!$M30+'Assumption Sheet'!$P30)*'Assumption Sheet'!$S30*'Assumption Sheet'!$C30,0))/10^7</f>
        <v>0</v>
      </c>
      <c r="K57" s="33">
        <f>(IF(K$1='Assumption Sheet'!$L30,('Assumption Sheet'!$M30+'Assumption Sheet'!$P30)*'Assumption Sheet'!$S30*'Assumption Sheet'!$C30,0))/10^7</f>
        <v>0</v>
      </c>
      <c r="L57" s="33">
        <f>(IF(L$1='Assumption Sheet'!$L30,('Assumption Sheet'!$M30+'Assumption Sheet'!$P30)*'Assumption Sheet'!$S30*'Assumption Sheet'!$C30,0))/10^7</f>
        <v>0</v>
      </c>
      <c r="M57" s="33">
        <f>(IF(M$1='Assumption Sheet'!$L30,('Assumption Sheet'!$M30+'Assumption Sheet'!$P30)*'Assumption Sheet'!$S30*'Assumption Sheet'!$C30,0))/10^7</f>
        <v>0</v>
      </c>
      <c r="N57" s="33">
        <f>(IF(N$1='Assumption Sheet'!$L30,('Assumption Sheet'!$M30+'Assumption Sheet'!$P30)*'Assumption Sheet'!$S30*'Assumption Sheet'!$C30,0))/10^7</f>
        <v>0</v>
      </c>
      <c r="O57" s="33">
        <f>(IF(O$1='Assumption Sheet'!$L30,('Assumption Sheet'!$M30+'Assumption Sheet'!$P30)*'Assumption Sheet'!$S30*'Assumption Sheet'!$C30,0))/10^7</f>
        <v>0</v>
      </c>
      <c r="P57" s="33">
        <f>(IF(P$1='Assumption Sheet'!$L30,('Assumption Sheet'!$M30+'Assumption Sheet'!$P30)*'Assumption Sheet'!$S30*'Assumption Sheet'!$C30,0))/10^7</f>
        <v>0</v>
      </c>
      <c r="Q57" s="33">
        <f>(IF(Q$1='Assumption Sheet'!$L30,('Assumption Sheet'!$M30+'Assumption Sheet'!$P30)*'Assumption Sheet'!$S30*'Assumption Sheet'!$C30,0))/10^7</f>
        <v>0</v>
      </c>
      <c r="R57" s="33">
        <f>(IF(R$1='Assumption Sheet'!$L30,('Assumption Sheet'!$M30+'Assumption Sheet'!$P30)*'Assumption Sheet'!$S30*'Assumption Sheet'!$C30,0))/10^7</f>
        <v>0</v>
      </c>
      <c r="S57" s="33">
        <f>(IF(S$1='Assumption Sheet'!$L30,('Assumption Sheet'!$M30+'Assumption Sheet'!$P30)*'Assumption Sheet'!$S30*'Assumption Sheet'!$C30,0))/10^7</f>
        <v>0</v>
      </c>
      <c r="T57" s="33">
        <f>(IF(T$1='Assumption Sheet'!$L30,('Assumption Sheet'!$M30+'Assumption Sheet'!$P30)*'Assumption Sheet'!$S30*'Assumption Sheet'!$C30,0))/10^7</f>
        <v>0</v>
      </c>
      <c r="U57" s="33">
        <f>(IF(U$1='Assumption Sheet'!$L30,('Assumption Sheet'!$M30+'Assumption Sheet'!$P30)*'Assumption Sheet'!$S30*'Assumption Sheet'!$C30,0))/10^7</f>
        <v>0</v>
      </c>
      <c r="V57" s="33">
        <f>(IF(V$1='Assumption Sheet'!$L30,('Assumption Sheet'!$M30+'Assumption Sheet'!$P30)*'Assumption Sheet'!$S30*'Assumption Sheet'!$C30,0))/10^7</f>
        <v>0</v>
      </c>
      <c r="W57" s="33">
        <f>(IF(W$1='Assumption Sheet'!$L30,('Assumption Sheet'!$M30+'Assumption Sheet'!$P30)*'Assumption Sheet'!$S30*'Assumption Sheet'!$C30,0))/10^7</f>
        <v>0</v>
      </c>
      <c r="X57" s="33">
        <f>(IF(X$1='Assumption Sheet'!$L30,('Assumption Sheet'!$M30+'Assumption Sheet'!$P30)*'Assumption Sheet'!$S30*'Assumption Sheet'!$C30,0))/10^7</f>
        <v>0</v>
      </c>
      <c r="Y57" s="33">
        <f>(IF(Y$1='Assumption Sheet'!$L30,('Assumption Sheet'!$M30+'Assumption Sheet'!$P30)*'Assumption Sheet'!$S30*'Assumption Sheet'!$C30,0))/10^7</f>
        <v>0</v>
      </c>
      <c r="Z57" s="33">
        <f>(IF(Z$1='Assumption Sheet'!$L30,('Assumption Sheet'!$M30+'Assumption Sheet'!$P30)*'Assumption Sheet'!$S30*'Assumption Sheet'!$C30,0))/10^7</f>
        <v>0</v>
      </c>
      <c r="AA57" s="33">
        <f>(IF(AA$1='Assumption Sheet'!$L30,('Assumption Sheet'!$M30+'Assumption Sheet'!$P30)*'Assumption Sheet'!$S30*'Assumption Sheet'!$C30,0))/10^7</f>
        <v>0</v>
      </c>
      <c r="AB57" s="33">
        <f>(IF(AB$1='Assumption Sheet'!$L30,('Assumption Sheet'!$M30+'Assumption Sheet'!$P30)*'Assumption Sheet'!$S30*'Assumption Sheet'!$C30,0))/10^7</f>
        <v>0</v>
      </c>
      <c r="AC57" s="33">
        <f>(IF(AC$1='Assumption Sheet'!$L30,('Assumption Sheet'!$M30+'Assumption Sheet'!$P30)*'Assumption Sheet'!$S30*'Assumption Sheet'!$C30,0))/10^7</f>
        <v>0</v>
      </c>
      <c r="AD57" s="33">
        <f>(IF(AD$1='Assumption Sheet'!$L30,('Assumption Sheet'!$M30+'Assumption Sheet'!$P30)*'Assumption Sheet'!$S30*'Assumption Sheet'!$C30,0))/10^7</f>
        <v>0</v>
      </c>
      <c r="AE57" s="33">
        <f>(IF(AE$1='Assumption Sheet'!$L30,('Assumption Sheet'!$M30+'Assumption Sheet'!$P30)*'Assumption Sheet'!$S30*'Assumption Sheet'!$C30,0))/10^7</f>
        <v>0</v>
      </c>
      <c r="AF57" s="33">
        <f>(IF(AF$1='Assumption Sheet'!$L30,('Assumption Sheet'!$M30+'Assumption Sheet'!$P30)*'Assumption Sheet'!$S30*'Assumption Sheet'!$C30,0))/10^7</f>
        <v>0</v>
      </c>
      <c r="AG57" s="33">
        <f>(IF(AG$1='Assumption Sheet'!$L30,('Assumption Sheet'!$M30+'Assumption Sheet'!$P30)*'Assumption Sheet'!$S30*'Assumption Sheet'!$C30,0))/10^7</f>
        <v>0</v>
      </c>
      <c r="AH57" s="33">
        <f>(IF(AH$1='Assumption Sheet'!$L30,('Assumption Sheet'!$M30+'Assumption Sheet'!$P30)*'Assumption Sheet'!$S30*'Assumption Sheet'!$C30,0))/10^7</f>
        <v>0</v>
      </c>
      <c r="AI57" s="33">
        <f>(IF(AI$1='Assumption Sheet'!$L30,('Assumption Sheet'!$M30+'Assumption Sheet'!$P30)*'Assumption Sheet'!$S30*'Assumption Sheet'!$C30,0))/10^7</f>
        <v>0</v>
      </c>
      <c r="AJ57" s="33">
        <f>(IF(AJ$1='Assumption Sheet'!$L30,('Assumption Sheet'!$M30+'Assumption Sheet'!$P30)*'Assumption Sheet'!$S30*'Assumption Sheet'!$C30,0))/10^7</f>
        <v>0</v>
      </c>
      <c r="AK57" s="33">
        <f>(IF(AK$1='Assumption Sheet'!$L30,('Assumption Sheet'!$M30+'Assumption Sheet'!$P30)*'Assumption Sheet'!$S30*'Assumption Sheet'!$C30,0))/10^7</f>
        <v>0</v>
      </c>
      <c r="AL57" s="33">
        <f>(IF(AL$1='Assumption Sheet'!$L30,('Assumption Sheet'!$M30+'Assumption Sheet'!$P30)*'Assumption Sheet'!$S30*'Assumption Sheet'!$C30,0))/10^7</f>
        <v>0</v>
      </c>
      <c r="AM57" s="33">
        <f>(IF(AM$1='Assumption Sheet'!$L30,('Assumption Sheet'!$M30+'Assumption Sheet'!$P30)*'Assumption Sheet'!$S30*'Assumption Sheet'!$C30,0))/10^7</f>
        <v>0</v>
      </c>
      <c r="AN57" s="33">
        <f>(IF(AN$1='Assumption Sheet'!$L30,('Assumption Sheet'!$M30+'Assumption Sheet'!$P30)*'Assumption Sheet'!$S30*'Assumption Sheet'!$C30,0))/10^7</f>
        <v>0</v>
      </c>
      <c r="AO57" s="33">
        <f>(IF(AO$1='Assumption Sheet'!$L30,('Assumption Sheet'!$M30+'Assumption Sheet'!$P30)*'Assumption Sheet'!$S30*'Assumption Sheet'!$C30,0))/10^7</f>
        <v>0</v>
      </c>
      <c r="AP57" s="33">
        <f>(IF(AP$1='Assumption Sheet'!$L30,('Assumption Sheet'!$M30+'Assumption Sheet'!$P30)*'Assumption Sheet'!$S30*'Assumption Sheet'!$C30,0))/10^7</f>
        <v>0</v>
      </c>
      <c r="AQ57" s="33">
        <f>(IF(AQ$1='Assumption Sheet'!$L30,('Assumption Sheet'!$M30+'Assumption Sheet'!$P30)*'Assumption Sheet'!$S30*'Assumption Sheet'!$C30,0))/10^7</f>
        <v>0</v>
      </c>
      <c r="AR57" s="33">
        <f>(IF(AR$1='Assumption Sheet'!$L30,('Assumption Sheet'!$M30+'Assumption Sheet'!$P30)*'Assumption Sheet'!$S30*'Assumption Sheet'!$C30,0))/10^7</f>
        <v>0.84474877949784011</v>
      </c>
      <c r="AS57" s="33">
        <f>(IF(AS$1='Assumption Sheet'!$L30,('Assumption Sheet'!$M30+'Assumption Sheet'!$P30)*'Assumption Sheet'!$S30*'Assumption Sheet'!$C30,0))/10^7</f>
        <v>0</v>
      </c>
      <c r="AT57" s="33">
        <f>(IF(AT$1='Assumption Sheet'!$L30,('Assumption Sheet'!$M30+'Assumption Sheet'!$P30)*'Assumption Sheet'!$S30*'Assumption Sheet'!$C30,0))/10^7</f>
        <v>0</v>
      </c>
      <c r="AU57" s="33">
        <f>(IF(AU$1='Assumption Sheet'!$L30,('Assumption Sheet'!$M30+'Assumption Sheet'!$P30)*'Assumption Sheet'!$S30*'Assumption Sheet'!$C30,0))/10^7</f>
        <v>0</v>
      </c>
      <c r="AV57" s="33">
        <f>(IF(AV$1='Assumption Sheet'!$L30,('Assumption Sheet'!$M30+'Assumption Sheet'!$P30)*'Assumption Sheet'!$S30*'Assumption Sheet'!$C30,0))/10^7</f>
        <v>0</v>
      </c>
      <c r="AW57" s="33">
        <f>(IF(AW$1='Assumption Sheet'!$L30,('Assumption Sheet'!$M30+'Assumption Sheet'!$P30)*'Assumption Sheet'!$S30*'Assumption Sheet'!$C30,0))/10^7</f>
        <v>0</v>
      </c>
      <c r="AX57" s="33">
        <f>(IF(AX$1='Assumption Sheet'!$L30,('Assumption Sheet'!$M30+'Assumption Sheet'!$P30)*'Assumption Sheet'!$S30*'Assumption Sheet'!$C30,0))/10^7</f>
        <v>0</v>
      </c>
      <c r="AY57" s="33">
        <f>(IF(AY$1='Assumption Sheet'!$L30,('Assumption Sheet'!$M30+'Assumption Sheet'!$P30)*'Assumption Sheet'!$S30*'Assumption Sheet'!$C30,0))/10^7</f>
        <v>0</v>
      </c>
      <c r="AZ57" s="33">
        <f>(IF(AZ$1='Assumption Sheet'!$L30,('Assumption Sheet'!$M30+'Assumption Sheet'!$P30)*'Assumption Sheet'!$S30*'Assumption Sheet'!$C30,0))/10^7</f>
        <v>0</v>
      </c>
      <c r="BA57" s="33">
        <f>(IF(BA$1='Assumption Sheet'!$L30,('Assumption Sheet'!$M30+'Assumption Sheet'!$P30)*'Assumption Sheet'!$S30*'Assumption Sheet'!$C30,0))/10^7</f>
        <v>0</v>
      </c>
      <c r="BB57" s="33">
        <f>(IF(BB$1='Assumption Sheet'!$L30,('Assumption Sheet'!$M30+'Assumption Sheet'!$P30)*'Assumption Sheet'!$S30*'Assumption Sheet'!$C30,0))/10^7</f>
        <v>0</v>
      </c>
      <c r="BC57" s="33">
        <f>(IF(BC$1='Assumption Sheet'!$L30,('Assumption Sheet'!$M30+'Assumption Sheet'!$P30)*'Assumption Sheet'!$S30*'Assumption Sheet'!$C30,0))/10^7</f>
        <v>0</v>
      </c>
      <c r="BD57" s="33">
        <f>(IF(BD$1='Assumption Sheet'!$L30,('Assumption Sheet'!$M30+'Assumption Sheet'!$P30)*'Assumption Sheet'!$S30*'Assumption Sheet'!$C30,0))/10^7</f>
        <v>0</v>
      </c>
      <c r="BE57" s="33">
        <f>(IF(BE$1='Assumption Sheet'!$L30,('Assumption Sheet'!$M30+'Assumption Sheet'!$P30)*'Assumption Sheet'!$S30*'Assumption Sheet'!$C30,0))/10^7</f>
        <v>0</v>
      </c>
      <c r="BF57" s="33">
        <f>(IF(BF$1='Assumption Sheet'!$L30,('Assumption Sheet'!$M30+'Assumption Sheet'!$P30)*'Assumption Sheet'!$S30*'Assumption Sheet'!$C30,0))/10^7</f>
        <v>0</v>
      </c>
      <c r="BG57" s="33">
        <f>(IF(BG$1='Assumption Sheet'!$L30,('Assumption Sheet'!$M30+'Assumption Sheet'!$P30)*'Assumption Sheet'!$S30*'Assumption Sheet'!$C30,0))/10^7</f>
        <v>0</v>
      </c>
      <c r="BH57" s="33">
        <f>(IF(BH$1='Assumption Sheet'!$L30,('Assumption Sheet'!$M30+'Assumption Sheet'!$P30)*'Assumption Sheet'!$S30*'Assumption Sheet'!$C30,0))/10^7</f>
        <v>0</v>
      </c>
      <c r="BI57" s="33">
        <f>(IF(BI$1='Assumption Sheet'!$L30,('Assumption Sheet'!$M30+'Assumption Sheet'!$P30)*'Assumption Sheet'!$S30*'Assumption Sheet'!$C30,0))/10^7</f>
        <v>0</v>
      </c>
      <c r="BJ57" s="33">
        <f>(IF(BJ$1='Assumption Sheet'!$L30,('Assumption Sheet'!$M30+'Assumption Sheet'!$P30)*'Assumption Sheet'!$S30*'Assumption Sheet'!$C30,0))/10^7</f>
        <v>0</v>
      </c>
      <c r="BK57" s="33">
        <f>(IF(BK$1='Assumption Sheet'!$L30,('Assumption Sheet'!$M30+'Assumption Sheet'!$P30)*'Assumption Sheet'!$S30*'Assumption Sheet'!$C30,0))/10^7</f>
        <v>0</v>
      </c>
      <c r="BL57" s="33">
        <f>(IF(BL$1='Assumption Sheet'!$L30,('Assumption Sheet'!$M30+'Assumption Sheet'!$P30)*'Assumption Sheet'!$S30*'Assumption Sheet'!$C30,0))/10^7</f>
        <v>0</v>
      </c>
      <c r="BM57" s="33">
        <f>(IF(BM$1='Assumption Sheet'!$L30,('Assumption Sheet'!$M30+'Assumption Sheet'!$P30)*'Assumption Sheet'!$S30*'Assumption Sheet'!$C30,0))/10^7</f>
        <v>0</v>
      </c>
      <c r="BN57" s="33">
        <f>(IF(BN$1='Assumption Sheet'!$L30,('Assumption Sheet'!$M30+'Assumption Sheet'!$P30)*'Assumption Sheet'!$S30*'Assumption Sheet'!$C30,0))/10^7</f>
        <v>0</v>
      </c>
      <c r="BO57" s="33">
        <f>(IF(BO$1='Assumption Sheet'!$L30,('Assumption Sheet'!$M30+'Assumption Sheet'!$P30)*'Assumption Sheet'!$S30*'Assumption Sheet'!$C30,0))/10^7</f>
        <v>0</v>
      </c>
      <c r="BP57" s="33">
        <f>(IF(BP$1='Assumption Sheet'!$L30,('Assumption Sheet'!$M30+'Assumption Sheet'!$P30)*'Assumption Sheet'!$S30*'Assumption Sheet'!$C30,0))/10^7</f>
        <v>0</v>
      </c>
      <c r="BQ57" s="33">
        <f>(IF(BQ$1='Assumption Sheet'!$L30,('Assumption Sheet'!$M30+'Assumption Sheet'!$P30)*'Assumption Sheet'!$S30*'Assumption Sheet'!$C30,0))/10^7</f>
        <v>0</v>
      </c>
      <c r="BR57" s="33">
        <f>(IF(BR$1='Assumption Sheet'!$L30,('Assumption Sheet'!$M30+'Assumption Sheet'!$P30)*'Assumption Sheet'!$S30*'Assumption Sheet'!$C30,0))/10^7</f>
        <v>0</v>
      </c>
      <c r="BS57" s="33">
        <f>(IF(BS$1='Assumption Sheet'!$L30,('Assumption Sheet'!$M30+'Assumption Sheet'!$P30)*'Assumption Sheet'!$S30*'Assumption Sheet'!$C30,0))/10^7</f>
        <v>0</v>
      </c>
      <c r="BT57" s="33">
        <f>(IF(BT$1='Assumption Sheet'!$L30,('Assumption Sheet'!$M30+'Assumption Sheet'!$P30)*'Assumption Sheet'!$S30*'Assumption Sheet'!$C30,0))/10^7</f>
        <v>0</v>
      </c>
      <c r="BU57" s="33">
        <f>(IF(BU$1='Assumption Sheet'!$L30,('Assumption Sheet'!$M30+'Assumption Sheet'!$P30)*'Assumption Sheet'!$S30*'Assumption Sheet'!$C30,0))/10^7</f>
        <v>0</v>
      </c>
      <c r="BV57" s="33">
        <f>(IF(BV$1='Assumption Sheet'!$L30,('Assumption Sheet'!$M30+'Assumption Sheet'!$P30)*'Assumption Sheet'!$S30*'Assumption Sheet'!$C30,0))/10^7</f>
        <v>0</v>
      </c>
      <c r="BW57" s="33">
        <f>(IF(BW$1='Assumption Sheet'!$L30,('Assumption Sheet'!$M30+'Assumption Sheet'!$P30)*'Assumption Sheet'!$S30*'Assumption Sheet'!$C30,0))/10^7</f>
        <v>0</v>
      </c>
      <c r="BX57" s="33">
        <f>(IF(BX$1='Assumption Sheet'!$L30,('Assumption Sheet'!$M30+'Assumption Sheet'!$P30)*'Assumption Sheet'!$S30*'Assumption Sheet'!$C30,0))/10^7</f>
        <v>0</v>
      </c>
      <c r="BY57" s="33">
        <f>(IF(BY$1='Assumption Sheet'!$L30,('Assumption Sheet'!$M30+'Assumption Sheet'!$P30)*'Assumption Sheet'!$S30*'Assumption Sheet'!$C30,0))/10^7</f>
        <v>0</v>
      </c>
      <c r="BZ57" s="33">
        <f>(IF(BZ$1='Assumption Sheet'!$L30,('Assumption Sheet'!$M30+'Assumption Sheet'!$P30)*'Assumption Sheet'!$S30*'Assumption Sheet'!$C30,0))/10^7</f>
        <v>0</v>
      </c>
      <c r="CA57" s="33">
        <f>(IF(CA$1='Assumption Sheet'!$L30,('Assumption Sheet'!$M30+'Assumption Sheet'!$P30)*'Assumption Sheet'!$S30*'Assumption Sheet'!$C30,0))/10^7</f>
        <v>0</v>
      </c>
      <c r="CB57" s="33">
        <f>(IF(CB$1='Assumption Sheet'!$L30,('Assumption Sheet'!$M30+'Assumption Sheet'!$P30)*'Assumption Sheet'!$S30*'Assumption Sheet'!$C30,0))/10^7</f>
        <v>0</v>
      </c>
      <c r="CC57" s="33">
        <f>(IF(CC$1='Assumption Sheet'!$L30,('Assumption Sheet'!$M30+'Assumption Sheet'!$P30)*'Assumption Sheet'!$S30*'Assumption Sheet'!$C30,0))/10^7</f>
        <v>0</v>
      </c>
      <c r="CD57" s="33">
        <f>(IF(CD$1='Assumption Sheet'!$L30,('Assumption Sheet'!$M30+'Assumption Sheet'!$P30)*'Assumption Sheet'!$S30*'Assumption Sheet'!$C30,0))/10^7</f>
        <v>0</v>
      </c>
      <c r="CE57" s="33">
        <f>(IF(CE$1='Assumption Sheet'!$L30,('Assumption Sheet'!$M30+'Assumption Sheet'!$P30)*'Assumption Sheet'!$S30*'Assumption Sheet'!$C30,0))/10^7</f>
        <v>0</v>
      </c>
      <c r="CF57" s="33">
        <f>(IF(CF$1='Assumption Sheet'!$L30,('Assumption Sheet'!$M30+'Assumption Sheet'!$P30)*'Assumption Sheet'!$S30*'Assumption Sheet'!$C30,0))/10^7</f>
        <v>0</v>
      </c>
      <c r="CG57" s="33">
        <f>(IF(CG$1='Assumption Sheet'!$L30,('Assumption Sheet'!$M30+'Assumption Sheet'!$P30)*'Assumption Sheet'!$S30*'Assumption Sheet'!$C30,0))/10^7</f>
        <v>0</v>
      </c>
      <c r="CH57" s="33">
        <f>(IF(CH$1='Assumption Sheet'!$L30,('Assumption Sheet'!$M30+'Assumption Sheet'!$P30)*'Assumption Sheet'!$S30*'Assumption Sheet'!$C30,0))/10^7</f>
        <v>0</v>
      </c>
      <c r="CI57" s="33">
        <f>(IF(CI$1='Assumption Sheet'!$L30,('Assumption Sheet'!$M30+'Assumption Sheet'!$P30)*'Assumption Sheet'!$S30*'Assumption Sheet'!$C30,0))/10^7</f>
        <v>0</v>
      </c>
      <c r="CJ57" s="33">
        <f>(IF(CJ$1='Assumption Sheet'!$L30,('Assumption Sheet'!$M30+'Assumption Sheet'!$P30)*'Assumption Sheet'!$S30*'Assumption Sheet'!$C30,0))/10^7</f>
        <v>0</v>
      </c>
      <c r="CK57" s="33">
        <f>(IF(CK$1='Assumption Sheet'!$L30,('Assumption Sheet'!$M30+'Assumption Sheet'!$P30)*'Assumption Sheet'!$S30*'Assumption Sheet'!$C30,0))/10^7</f>
        <v>0</v>
      </c>
      <c r="CL57" s="33">
        <f>(IF(CL$1='Assumption Sheet'!$L30,('Assumption Sheet'!$M30+'Assumption Sheet'!$P30)*'Assumption Sheet'!$S30*'Assumption Sheet'!$C30,0))/10^7</f>
        <v>0</v>
      </c>
      <c r="CM57" s="33">
        <f>(IF(CM$1='Assumption Sheet'!$L30,('Assumption Sheet'!$M30+'Assumption Sheet'!$P30)*'Assumption Sheet'!$S30*'Assumption Sheet'!$C30,0))/10^7</f>
        <v>0</v>
      </c>
      <c r="CN57" s="33">
        <f>(IF(CN$1='Assumption Sheet'!$L30,('Assumption Sheet'!$M30+'Assumption Sheet'!$P30)*'Assumption Sheet'!$S30*'Assumption Sheet'!$C30,0))/10^7</f>
        <v>0</v>
      </c>
      <c r="CO57" s="33">
        <f>(IF(CO$1='Assumption Sheet'!$L30,('Assumption Sheet'!$M30+'Assumption Sheet'!$P30)*'Assumption Sheet'!$S30*'Assumption Sheet'!$C30,0))/10^7</f>
        <v>0</v>
      </c>
      <c r="CP57" s="33">
        <f>(IF(CP$1='Assumption Sheet'!$L30,('Assumption Sheet'!$M30+'Assumption Sheet'!$P30)*'Assumption Sheet'!$S30*'Assumption Sheet'!$C30,0))/10^7</f>
        <v>0</v>
      </c>
      <c r="CQ57" s="33">
        <f>(IF(CQ$1='Assumption Sheet'!$L30,('Assumption Sheet'!$M30+'Assumption Sheet'!$P30)*'Assumption Sheet'!$S30*'Assumption Sheet'!$C30,0))/10^7</f>
        <v>0</v>
      </c>
      <c r="CR57" s="33">
        <f>(IF(CR$1='Assumption Sheet'!$L30,('Assumption Sheet'!$M30+'Assumption Sheet'!$P30)*'Assumption Sheet'!$S30*'Assumption Sheet'!$C30,0))/10^7</f>
        <v>0</v>
      </c>
      <c r="CS57" s="33">
        <f>(IF(CS$1='Assumption Sheet'!$L30,('Assumption Sheet'!$M30+'Assumption Sheet'!$P30)*'Assumption Sheet'!$S30*'Assumption Sheet'!$C30,0))/10^7</f>
        <v>0</v>
      </c>
      <c r="CT57" s="33">
        <f>(IF(CT$1='Assumption Sheet'!$L30,('Assumption Sheet'!$M30+'Assumption Sheet'!$P30)*'Assumption Sheet'!$S30*'Assumption Sheet'!$C30,0))/10^7</f>
        <v>0</v>
      </c>
      <c r="CU57" s="33">
        <f>(IF(CU$1='Assumption Sheet'!$L30,('Assumption Sheet'!$M30+'Assumption Sheet'!$P30)*'Assumption Sheet'!$S30*'Assumption Sheet'!$C30,0))/10^7</f>
        <v>0</v>
      </c>
      <c r="CV57" s="33">
        <f>(IF(CV$1='Assumption Sheet'!$L30,('Assumption Sheet'!$M30+'Assumption Sheet'!$P30)*'Assumption Sheet'!$S30*'Assumption Sheet'!$C30,0))/10^7</f>
        <v>0</v>
      </c>
      <c r="CW57" s="33">
        <f>(IF(CW$1='Assumption Sheet'!$L30,('Assumption Sheet'!$M30+'Assumption Sheet'!$P30)*'Assumption Sheet'!$S30*'Assumption Sheet'!$C30,0))/10^7</f>
        <v>0</v>
      </c>
      <c r="CX57" s="33">
        <f>(IF(CX$1='Assumption Sheet'!$L30,('Assumption Sheet'!$M30+'Assumption Sheet'!$P30)*'Assumption Sheet'!$S30*'Assumption Sheet'!$C30,0))/10^7</f>
        <v>0</v>
      </c>
      <c r="CY57" s="33">
        <f>(IF(CY$1='Assumption Sheet'!$L30,('Assumption Sheet'!$M30+'Assumption Sheet'!$P30)*'Assumption Sheet'!$S30*'Assumption Sheet'!$C30,0))/10^7</f>
        <v>0</v>
      </c>
      <c r="CZ57" s="33">
        <f>(IF(CZ$1='Assumption Sheet'!$L30,('Assumption Sheet'!$M30+'Assumption Sheet'!$P30)*'Assumption Sheet'!$S30*'Assumption Sheet'!$C30,0))/10^7</f>
        <v>0</v>
      </c>
      <c r="DA57" s="33">
        <f>(IF(DA$1='Assumption Sheet'!$L30,('Assumption Sheet'!$M30+'Assumption Sheet'!$P30)*'Assumption Sheet'!$S30*'Assumption Sheet'!$C30,0))/10^7</f>
        <v>0</v>
      </c>
      <c r="DB57" s="33">
        <f>(IF(DB$1='Assumption Sheet'!$L30,('Assumption Sheet'!$M30+'Assumption Sheet'!$P30)*'Assumption Sheet'!$S30*'Assumption Sheet'!$C30,0))/10^7</f>
        <v>0</v>
      </c>
      <c r="DC57" s="33">
        <f>(IF(DC$1='Assumption Sheet'!$L30,('Assumption Sheet'!$M30+'Assumption Sheet'!$P30)*'Assumption Sheet'!$S30*'Assumption Sheet'!$C30,0))/10^7</f>
        <v>0</v>
      </c>
      <c r="DD57" s="33">
        <f>(IF(DD$1='Assumption Sheet'!$L30,('Assumption Sheet'!$M30+'Assumption Sheet'!$P30)*'Assumption Sheet'!$S30*'Assumption Sheet'!$C30,0))/10^7</f>
        <v>0</v>
      </c>
      <c r="DE57" s="33">
        <f>(IF(DE$1='Assumption Sheet'!$L30,('Assumption Sheet'!$M30+'Assumption Sheet'!$P30)*'Assumption Sheet'!$S30*'Assumption Sheet'!$C30,0))/10^7</f>
        <v>0</v>
      </c>
      <c r="DF57" s="33">
        <f>(IF(DF$1='Assumption Sheet'!$L30,('Assumption Sheet'!$M30+'Assumption Sheet'!$P30)*'Assumption Sheet'!$S30*'Assumption Sheet'!$C30,0))/10^7</f>
        <v>0</v>
      </c>
      <c r="DG57" s="33">
        <f>(IF(DG$1='Assumption Sheet'!$L30,('Assumption Sheet'!$M30+'Assumption Sheet'!$P30)*'Assumption Sheet'!$S30*'Assumption Sheet'!$C30,0))/10^7</f>
        <v>0</v>
      </c>
      <c r="DH57" s="33">
        <f>(IF(DH$1='Assumption Sheet'!$L30,('Assumption Sheet'!$M30+'Assumption Sheet'!$P30)*'Assumption Sheet'!$S30*'Assumption Sheet'!$C30,0))/10^7</f>
        <v>0</v>
      </c>
      <c r="DI57" s="33">
        <f>(IF(DI$1='Assumption Sheet'!$L30,('Assumption Sheet'!$M30+'Assumption Sheet'!$P30)*'Assumption Sheet'!$S30*'Assumption Sheet'!$C30,0))/10^7</f>
        <v>0</v>
      </c>
      <c r="DJ57" s="33">
        <f>(IF(DJ$1='Assumption Sheet'!$L30,('Assumption Sheet'!$M30+'Assumption Sheet'!$P30)*'Assumption Sheet'!$S30*'Assumption Sheet'!$C30,0))/10^7</f>
        <v>0</v>
      </c>
      <c r="DK57" s="33">
        <f>(IF(DK$1='Assumption Sheet'!$L30,('Assumption Sheet'!$M30+'Assumption Sheet'!$P30)*'Assumption Sheet'!$S30*'Assumption Sheet'!$C30,0))/10^7</f>
        <v>0</v>
      </c>
      <c r="DL57" s="33">
        <f>(IF(DL$1='Assumption Sheet'!$L30,('Assumption Sheet'!$M30+'Assumption Sheet'!$P30)*'Assumption Sheet'!$S30*'Assumption Sheet'!$C30,0))/10^7</f>
        <v>0</v>
      </c>
      <c r="DM57" s="33">
        <f>(IF(DM$1='Assumption Sheet'!$L30,('Assumption Sheet'!$M30+'Assumption Sheet'!$P30)*'Assumption Sheet'!$S30*'Assumption Sheet'!$C30,0))/10^7</f>
        <v>0</v>
      </c>
      <c r="DN57" s="33">
        <f>(IF(DN$1='Assumption Sheet'!$L30,('Assumption Sheet'!$M30+'Assumption Sheet'!$P30)*'Assumption Sheet'!$S30*'Assumption Sheet'!$C30,0))/10^7</f>
        <v>0</v>
      </c>
      <c r="DO57" s="33">
        <f>(IF(DO$1='Assumption Sheet'!$L30,('Assumption Sheet'!$M30+'Assumption Sheet'!$P30)*'Assumption Sheet'!$S30*'Assumption Sheet'!$C30,0))/10^7</f>
        <v>0</v>
      </c>
      <c r="DP57" s="33">
        <f>(IF(DP$1='Assumption Sheet'!$L30,('Assumption Sheet'!$M30+'Assumption Sheet'!$P30)*'Assumption Sheet'!$S30*'Assumption Sheet'!$C30,0))/10^7</f>
        <v>0</v>
      </c>
      <c r="DQ57" s="33">
        <f>(IF(DQ$1='Assumption Sheet'!$L30,('Assumption Sheet'!$M30+'Assumption Sheet'!$P30)*'Assumption Sheet'!$S30*'Assumption Sheet'!$C30,0))/10^7</f>
        <v>0</v>
      </c>
      <c r="DR57" s="33">
        <f>(IF(DR$1='Assumption Sheet'!$L30,('Assumption Sheet'!$M30+'Assumption Sheet'!$P30)*'Assumption Sheet'!$S30*'Assumption Sheet'!$C30,0))/10^7</f>
        <v>0</v>
      </c>
      <c r="DS57" s="33">
        <f>(IF(DS$1='Assumption Sheet'!$L30,('Assumption Sheet'!$M30+'Assumption Sheet'!$P30)*'Assumption Sheet'!$S30*'Assumption Sheet'!$C30,0))/10^7</f>
        <v>0</v>
      </c>
      <c r="DT57" s="33">
        <f>(IF(DT$1='Assumption Sheet'!$L30,('Assumption Sheet'!$M30+'Assumption Sheet'!$P30)*'Assumption Sheet'!$S30*'Assumption Sheet'!$C30,0))/10^7</f>
        <v>0</v>
      </c>
      <c r="DU57" s="33">
        <f>(IF(DU$1='Assumption Sheet'!$L30,('Assumption Sheet'!$M30+'Assumption Sheet'!$P30)*'Assumption Sheet'!$S30*'Assumption Sheet'!$C30,0))/10^7</f>
        <v>0</v>
      </c>
      <c r="DV57" s="33">
        <f>(IF(DV$1='Assumption Sheet'!$L30,('Assumption Sheet'!$M30+'Assumption Sheet'!$P30)*'Assumption Sheet'!$S30*'Assumption Sheet'!$C30,0))/10^7</f>
        <v>0</v>
      </c>
      <c r="DW57" s="33">
        <f>(IF(DW$1='Assumption Sheet'!$L30,('Assumption Sheet'!$M30+'Assumption Sheet'!$P30)*'Assumption Sheet'!$S30*'Assumption Sheet'!$C30,0))/10^7</f>
        <v>0</v>
      </c>
      <c r="DX57" s="33">
        <f>(IF(DX$1='Assumption Sheet'!$L30,('Assumption Sheet'!$M30+'Assumption Sheet'!$P30)*'Assumption Sheet'!$S30*'Assumption Sheet'!$C30,0))/10^7</f>
        <v>0</v>
      </c>
      <c r="DY57" s="33">
        <f>(IF(DY$1='Assumption Sheet'!$L30,('Assumption Sheet'!$M30+'Assumption Sheet'!$P30)*'Assumption Sheet'!$S30*'Assumption Sheet'!$C30,0))/10^7</f>
        <v>0</v>
      </c>
      <c r="DZ57" s="33">
        <f>(IF(DZ$1='Assumption Sheet'!$L30,('Assumption Sheet'!$M30+'Assumption Sheet'!$P30)*'Assumption Sheet'!$S30*'Assumption Sheet'!$C30,0))/10^7</f>
        <v>0</v>
      </c>
      <c r="EA57" s="33">
        <f>(IF(EA$1='Assumption Sheet'!$L30,('Assumption Sheet'!$M30+'Assumption Sheet'!$P30)*'Assumption Sheet'!$S30*'Assumption Sheet'!$C30,0))/10^7</f>
        <v>0</v>
      </c>
      <c r="EB57" s="33">
        <f>(IF(EB$1='Assumption Sheet'!$L30,('Assumption Sheet'!$M30+'Assumption Sheet'!$P30)*'Assumption Sheet'!$S30*'Assumption Sheet'!$C30,0))/10^7</f>
        <v>0</v>
      </c>
      <c r="EC57" s="33">
        <f>(IF(EC$1='Assumption Sheet'!$L30,('Assumption Sheet'!$M30+'Assumption Sheet'!$P30)*'Assumption Sheet'!$S30*'Assumption Sheet'!$C30,0))/10^7</f>
        <v>0</v>
      </c>
      <c r="ED57" s="33">
        <f>(IF(ED$1='Assumption Sheet'!$L30,('Assumption Sheet'!$M30+'Assumption Sheet'!$P30)*'Assumption Sheet'!$S30*'Assumption Sheet'!$C30,0))/10^7</f>
        <v>0</v>
      </c>
      <c r="EE57" s="33">
        <f>(IF(EE$1='Assumption Sheet'!$L30,('Assumption Sheet'!$M30+'Assumption Sheet'!$P30)*'Assumption Sheet'!$S30*'Assumption Sheet'!$C30,0))/10^7</f>
        <v>0</v>
      </c>
      <c r="EF57" s="33">
        <f>(IF(EF$1='Assumption Sheet'!$L30,('Assumption Sheet'!$M30+'Assumption Sheet'!$P30)*'Assumption Sheet'!$S30*'Assumption Sheet'!$C30,0))/10^7</f>
        <v>0</v>
      </c>
      <c r="EG57" s="33">
        <f>(IF(EG$1='Assumption Sheet'!$L30,('Assumption Sheet'!$M30+'Assumption Sheet'!$P30)*'Assumption Sheet'!$S30*'Assumption Sheet'!$C30,0))/10^7</f>
        <v>0</v>
      </c>
      <c r="EH57" s="33">
        <f>(IF(EH$1='Assumption Sheet'!$L30,('Assumption Sheet'!$M30+'Assumption Sheet'!$P30)*'Assumption Sheet'!$S30*'Assumption Sheet'!$C30,0))/10^7</f>
        <v>0</v>
      </c>
      <c r="EI57" s="33">
        <f>(IF(EI$1='Assumption Sheet'!$L30,('Assumption Sheet'!$M30+'Assumption Sheet'!$P30)*'Assumption Sheet'!$S30*'Assumption Sheet'!$C30,0))/10^7</f>
        <v>0</v>
      </c>
      <c r="EJ57" s="33">
        <f>(IF(EJ$1='Assumption Sheet'!$L30,('Assumption Sheet'!$M30+'Assumption Sheet'!$P30)*'Assumption Sheet'!$S30*'Assumption Sheet'!$C30,0))/10^7</f>
        <v>0</v>
      </c>
      <c r="EK57" s="33">
        <f>(IF(EK$1='Assumption Sheet'!$L30,('Assumption Sheet'!$M30+'Assumption Sheet'!$P30)*'Assumption Sheet'!$S30*'Assumption Sheet'!$C30,0))/10^7</f>
        <v>0</v>
      </c>
      <c r="EL57" s="33">
        <f>(IF(EL$1='Assumption Sheet'!$L30,('Assumption Sheet'!$M30+'Assumption Sheet'!$P30)*'Assumption Sheet'!$S30*'Assumption Sheet'!$C30,0))/10^7</f>
        <v>0</v>
      </c>
      <c r="EM57" s="33">
        <f>(IF(EM$1='Assumption Sheet'!$L30,('Assumption Sheet'!$M30+'Assumption Sheet'!$P30)*'Assumption Sheet'!$S30*'Assumption Sheet'!$C30,0))/10^7</f>
        <v>0</v>
      </c>
      <c r="EN57" s="33">
        <f>(IF(EN$1='Assumption Sheet'!$L30,('Assumption Sheet'!$M30+'Assumption Sheet'!$P30)*'Assumption Sheet'!$S30*'Assumption Sheet'!$C30,0))/10^7</f>
        <v>0</v>
      </c>
      <c r="EO57" s="33">
        <f>(IF(EO$1='Assumption Sheet'!$L30,('Assumption Sheet'!$M30+'Assumption Sheet'!$P30)*'Assumption Sheet'!$S30*'Assumption Sheet'!$C30,0))/10^7</f>
        <v>0</v>
      </c>
      <c r="EP57" s="33">
        <f>(IF(EP$1='Assumption Sheet'!$L30,('Assumption Sheet'!$M30+'Assumption Sheet'!$P30)*'Assumption Sheet'!$S30*'Assumption Sheet'!$C30,0))/10^7</f>
        <v>0</v>
      </c>
      <c r="EQ57" s="33">
        <f>(IF(EQ$1='Assumption Sheet'!$L30,('Assumption Sheet'!$M30+'Assumption Sheet'!$P30)*'Assumption Sheet'!$S30*'Assumption Sheet'!$C30,0))/10^7</f>
        <v>0</v>
      </c>
      <c r="ER57" s="33">
        <f>(IF(ER$1='Assumption Sheet'!$L30,('Assumption Sheet'!$M30+'Assumption Sheet'!$P30)*'Assumption Sheet'!$S30*'Assumption Sheet'!$C30,0))/10^7</f>
        <v>0</v>
      </c>
      <c r="ES57" s="33">
        <f>(IF(ES$1='Assumption Sheet'!$L30,('Assumption Sheet'!$M30+'Assumption Sheet'!$P30)*'Assumption Sheet'!$S30*'Assumption Sheet'!$C30,0))/10^7</f>
        <v>0</v>
      </c>
      <c r="ET57" s="33">
        <f>(IF(ET$1='Assumption Sheet'!$L30,('Assumption Sheet'!$M30+'Assumption Sheet'!$P30)*'Assumption Sheet'!$S30*'Assumption Sheet'!$C30,0))/10^7</f>
        <v>0</v>
      </c>
      <c r="EU57" s="33">
        <f>(IF(EU$1='Assumption Sheet'!$L30,('Assumption Sheet'!$M30+'Assumption Sheet'!$P30)*'Assumption Sheet'!$S30*'Assumption Sheet'!$C30,0))/10^7</f>
        <v>0</v>
      </c>
      <c r="EV57" s="33">
        <f>(IF(EV$1='Assumption Sheet'!$L30,('Assumption Sheet'!$M30+'Assumption Sheet'!$P30)*'Assumption Sheet'!$S30*'Assumption Sheet'!$C30,0))/10^7</f>
        <v>0</v>
      </c>
      <c r="EW57" s="33">
        <f>(IF(EW$1='Assumption Sheet'!$L30,('Assumption Sheet'!$M30+'Assumption Sheet'!$P30)*'Assumption Sheet'!$S30*'Assumption Sheet'!$C30,0))/10^7</f>
        <v>0</v>
      </c>
      <c r="EX57" s="33">
        <f>(IF(EX$1='Assumption Sheet'!$L30,('Assumption Sheet'!$M30+'Assumption Sheet'!$P30)*'Assumption Sheet'!$S30*'Assumption Sheet'!$C30,0))/10^7</f>
        <v>0</v>
      </c>
      <c r="EY57" s="33">
        <f>(IF(EY$1='Assumption Sheet'!$L30,('Assumption Sheet'!$M30+'Assumption Sheet'!$P30)*'Assumption Sheet'!$S30*'Assumption Sheet'!$C30,0))/10^7</f>
        <v>0</v>
      </c>
      <c r="EZ57" s="33">
        <f>(IF(EZ$1='Assumption Sheet'!$L30,('Assumption Sheet'!$M30+'Assumption Sheet'!$P30)*'Assumption Sheet'!$S30*'Assumption Sheet'!$C30,0))/10^7</f>
        <v>0</v>
      </c>
      <c r="FA57" s="33">
        <f>(IF(FA$1='Assumption Sheet'!$L30,('Assumption Sheet'!$M30+'Assumption Sheet'!$P30)*'Assumption Sheet'!$S30*'Assumption Sheet'!$C30,0))/10^7</f>
        <v>0</v>
      </c>
      <c r="FB57" s="33">
        <f>(IF(FB$1='Assumption Sheet'!$L30,('Assumption Sheet'!$M30+'Assumption Sheet'!$P30)*'Assumption Sheet'!$S30*'Assumption Sheet'!$C30,0))/10^7</f>
        <v>0</v>
      </c>
      <c r="FC57" s="33">
        <f>(IF(FC$1='Assumption Sheet'!$L30,('Assumption Sheet'!$M30+'Assumption Sheet'!$P30)*'Assumption Sheet'!$S30*'Assumption Sheet'!$C30,0))/10^7</f>
        <v>0</v>
      </c>
      <c r="FD57" s="33">
        <f>(IF(FD$1='Assumption Sheet'!$L30,('Assumption Sheet'!$M30+'Assumption Sheet'!$P30)*'Assumption Sheet'!$S30*'Assumption Sheet'!$C30,0))/10^7</f>
        <v>0</v>
      </c>
      <c r="FE57" s="33">
        <f>(IF(FE$1='Assumption Sheet'!$L30,('Assumption Sheet'!$M30+'Assumption Sheet'!$P30)*'Assumption Sheet'!$S30*'Assumption Sheet'!$C30,0))/10^7</f>
        <v>0</v>
      </c>
      <c r="FF57" s="33">
        <f>(IF(FF$1='Assumption Sheet'!$L30,('Assumption Sheet'!$M30+'Assumption Sheet'!$P30)*'Assumption Sheet'!$S30*'Assumption Sheet'!$C30,0))/10^7</f>
        <v>0</v>
      </c>
      <c r="FG57" s="33">
        <f>(IF(FG$1='Assumption Sheet'!$L30,('Assumption Sheet'!$M30+'Assumption Sheet'!$P30)*'Assumption Sheet'!$S30*'Assumption Sheet'!$C30,0))/10^7</f>
        <v>0</v>
      </c>
      <c r="FH57" s="33">
        <f>(IF(FH$1='Assumption Sheet'!$L30,('Assumption Sheet'!$M30+'Assumption Sheet'!$P30)*'Assumption Sheet'!$S30*'Assumption Sheet'!$C30,0))/10^7</f>
        <v>0</v>
      </c>
      <c r="FI57" s="33">
        <f>(IF(FI$1='Assumption Sheet'!$L30,('Assumption Sheet'!$M30+'Assumption Sheet'!$P30)*'Assumption Sheet'!$S30*'Assumption Sheet'!$C30,0))/10^7</f>
        <v>0</v>
      </c>
      <c r="FJ57" s="33">
        <f>(IF(FJ$1='Assumption Sheet'!$L30,('Assumption Sheet'!$M30+'Assumption Sheet'!$P30)*'Assumption Sheet'!$S30*'Assumption Sheet'!$C30,0))/10^7</f>
        <v>0</v>
      </c>
      <c r="FK57" s="33">
        <f>(IF(FK$1='Assumption Sheet'!$L30,('Assumption Sheet'!$M30+'Assumption Sheet'!$P30)*'Assumption Sheet'!$S30*'Assumption Sheet'!$C30,0))/10^7</f>
        <v>0</v>
      </c>
      <c r="FL57" s="33">
        <f>(IF(FL$1='Assumption Sheet'!$L30,('Assumption Sheet'!$M30+'Assumption Sheet'!$P30)*'Assumption Sheet'!$S30*'Assumption Sheet'!$C30,0))/10^7</f>
        <v>0</v>
      </c>
      <c r="FM57" s="33">
        <f>(IF(FM$1='Assumption Sheet'!$L30,('Assumption Sheet'!$M30+'Assumption Sheet'!$P30)*'Assumption Sheet'!$S30*'Assumption Sheet'!$C30,0))/10^7</f>
        <v>0</v>
      </c>
      <c r="FN57" s="33">
        <f>(IF(FN$1='Assumption Sheet'!$L30,('Assumption Sheet'!$M30+'Assumption Sheet'!$P30)*'Assumption Sheet'!$S30*'Assumption Sheet'!$C30,0))/10^7</f>
        <v>0</v>
      </c>
      <c r="FO57" s="33">
        <f>(IF(FO$1='Assumption Sheet'!$L30,('Assumption Sheet'!$M30+'Assumption Sheet'!$P30)*'Assumption Sheet'!$S30*'Assumption Sheet'!$C30,0))/10^7</f>
        <v>0</v>
      </c>
      <c r="FP57" s="33">
        <f>(IF(FP$1='Assumption Sheet'!$L30,('Assumption Sheet'!$M30+'Assumption Sheet'!$P30)*'Assumption Sheet'!$S30*'Assumption Sheet'!$C30,0))/10^7</f>
        <v>0</v>
      </c>
      <c r="FQ57" s="33">
        <f>(IF(FQ$1='Assumption Sheet'!$L30,('Assumption Sheet'!$M30+'Assumption Sheet'!$P30)*'Assumption Sheet'!$S30*'Assumption Sheet'!$C30,0))/10^7</f>
        <v>0</v>
      </c>
      <c r="FR57" s="33">
        <f>(IF(FR$1='Assumption Sheet'!$L30,('Assumption Sheet'!$M30+'Assumption Sheet'!$P30)*'Assumption Sheet'!$S30*'Assumption Sheet'!$C30,0))/10^7</f>
        <v>0</v>
      </c>
      <c r="FS57" s="33">
        <f>(IF(FS$1='Assumption Sheet'!$L30,('Assumption Sheet'!$M30+'Assumption Sheet'!$P30)*'Assumption Sheet'!$S30*'Assumption Sheet'!$C30,0))/10^7</f>
        <v>0</v>
      </c>
      <c r="FT57" s="33">
        <f>(IF(FT$1='Assumption Sheet'!$L30,('Assumption Sheet'!$M30+'Assumption Sheet'!$P30)*'Assumption Sheet'!$S30*'Assumption Sheet'!$C30,0))/10^7</f>
        <v>0</v>
      </c>
      <c r="FU57" s="33">
        <f>(IF(FU$1='Assumption Sheet'!$L30,('Assumption Sheet'!$M30+'Assumption Sheet'!$P30)*'Assumption Sheet'!$S30*'Assumption Sheet'!$C30,0))/10^7</f>
        <v>0</v>
      </c>
      <c r="FV57" s="33">
        <f>(IF(FV$1='Assumption Sheet'!$L30,('Assumption Sheet'!$M30+'Assumption Sheet'!$P30)*'Assumption Sheet'!$S30*'Assumption Sheet'!$C30,0))/10^7</f>
        <v>0</v>
      </c>
      <c r="FW57" s="33">
        <f>(IF(FW$1='Assumption Sheet'!$L30,('Assumption Sheet'!$M30+'Assumption Sheet'!$P30)*'Assumption Sheet'!$S30*'Assumption Sheet'!$C30,0))/10^7</f>
        <v>0</v>
      </c>
      <c r="FX57" s="33">
        <f>(IF(FX$1='Assumption Sheet'!$L30,('Assumption Sheet'!$M30+'Assumption Sheet'!$P30)*'Assumption Sheet'!$S30*'Assumption Sheet'!$C30,0))/10^7</f>
        <v>0</v>
      </c>
      <c r="FY57" s="33">
        <f>(IF(FY$1='Assumption Sheet'!$L30,('Assumption Sheet'!$M30+'Assumption Sheet'!$P30)*'Assumption Sheet'!$S30*'Assumption Sheet'!$C30,0))/10^7</f>
        <v>0</v>
      </c>
      <c r="FZ57" s="33">
        <f>(IF(FZ$1='Assumption Sheet'!$L30,('Assumption Sheet'!$M30+'Assumption Sheet'!$P30)*'Assumption Sheet'!$S30*'Assumption Sheet'!$C30,0))/10^7</f>
        <v>0</v>
      </c>
      <c r="GA57" s="33">
        <f>(IF(GA$1='Assumption Sheet'!$L30,('Assumption Sheet'!$M30+'Assumption Sheet'!$P30)*'Assumption Sheet'!$S30*'Assumption Sheet'!$C30,0))/10^7</f>
        <v>0</v>
      </c>
      <c r="GB57" s="33">
        <f>(IF(GB$1='Assumption Sheet'!$L30,('Assumption Sheet'!$M30+'Assumption Sheet'!$P30)*'Assumption Sheet'!$S30*'Assumption Sheet'!$C30,0))/10^7</f>
        <v>0</v>
      </c>
      <c r="GC57" s="33">
        <f>(IF(GC$1='Assumption Sheet'!$L30,('Assumption Sheet'!$M30+'Assumption Sheet'!$P30)*'Assumption Sheet'!$S30*'Assumption Sheet'!$C30,0))/10^7</f>
        <v>0</v>
      </c>
      <c r="GD57" s="33">
        <f>(IF(GD$1='Assumption Sheet'!$L30,('Assumption Sheet'!$M30+'Assumption Sheet'!$P30)*'Assumption Sheet'!$S30*'Assumption Sheet'!$C30,0))/10^7</f>
        <v>0</v>
      </c>
      <c r="GE57" s="33">
        <f>(IF(GE$1='Assumption Sheet'!$L30,('Assumption Sheet'!$M30+'Assumption Sheet'!$P30)*'Assumption Sheet'!$S30*'Assumption Sheet'!$C30,0))/10^7</f>
        <v>0</v>
      </c>
      <c r="GF57" s="33">
        <f>(IF(GF$1='Assumption Sheet'!$L30,('Assumption Sheet'!$M30+'Assumption Sheet'!$P30)*'Assumption Sheet'!$S30*'Assumption Sheet'!$C30,0))/10^7</f>
        <v>0</v>
      </c>
      <c r="GG57" s="33">
        <f>(IF(GG$1='Assumption Sheet'!$L30,('Assumption Sheet'!$M30+'Assumption Sheet'!$P30)*'Assumption Sheet'!$S30*'Assumption Sheet'!$C30,0))/10^7</f>
        <v>0</v>
      </c>
      <c r="GH57" s="33">
        <f>(IF(GH$1='Assumption Sheet'!$L30,('Assumption Sheet'!$M30+'Assumption Sheet'!$P30)*'Assumption Sheet'!$S30*'Assumption Sheet'!$C30,0))/10^7</f>
        <v>0</v>
      </c>
      <c r="GI57" s="33">
        <f>(IF(GI$1='Assumption Sheet'!$L30,('Assumption Sheet'!$M30+'Assumption Sheet'!$P30)*'Assumption Sheet'!$S30*'Assumption Sheet'!$C30,0))/10^7</f>
        <v>0</v>
      </c>
      <c r="GJ57" s="33">
        <f>(IF(GJ$1='Assumption Sheet'!$L30,('Assumption Sheet'!$M30+'Assumption Sheet'!$P30)*'Assumption Sheet'!$S30*'Assumption Sheet'!$C30,0))/10^7</f>
        <v>0</v>
      </c>
      <c r="GK57" s="33">
        <f>(IF(GK$1='Assumption Sheet'!$L30,('Assumption Sheet'!$M30+'Assumption Sheet'!$P30)*'Assumption Sheet'!$S30*'Assumption Sheet'!$C30,0))/10^7</f>
        <v>0</v>
      </c>
      <c r="GL57" s="33">
        <f>(IF(GL$1='Assumption Sheet'!$L30,('Assumption Sheet'!$M30+'Assumption Sheet'!$P30)*'Assumption Sheet'!$S30*'Assumption Sheet'!$C30,0))/10^7</f>
        <v>0</v>
      </c>
      <c r="GM57" s="33">
        <f>(IF(GM$1='Assumption Sheet'!$L30,('Assumption Sheet'!$M30+'Assumption Sheet'!$P30)*'Assumption Sheet'!$S30*'Assumption Sheet'!$C30,0))/10^7</f>
        <v>0</v>
      </c>
      <c r="GN57" s="33">
        <f>(IF(GN$1='Assumption Sheet'!$L30,('Assumption Sheet'!$M30+'Assumption Sheet'!$P30)*'Assumption Sheet'!$S30*'Assumption Sheet'!$C30,0))/10^7</f>
        <v>0</v>
      </c>
      <c r="GO57" s="33">
        <f>(IF(GO$1='Assumption Sheet'!$L30,('Assumption Sheet'!$M30+'Assumption Sheet'!$P30)*'Assumption Sheet'!$S30*'Assumption Sheet'!$C30,0))/10^7</f>
        <v>0</v>
      </c>
      <c r="GP57" s="33">
        <f>(IF(GP$1='Assumption Sheet'!$L30,('Assumption Sheet'!$M30+'Assumption Sheet'!$P30)*'Assumption Sheet'!$S30*'Assumption Sheet'!$C30,0))/10^7</f>
        <v>0</v>
      </c>
      <c r="GQ57" s="33">
        <f>(IF(GQ$1='Assumption Sheet'!$L30,('Assumption Sheet'!$M30+'Assumption Sheet'!$P30)*'Assumption Sheet'!$S30*'Assumption Sheet'!$C30,0))/10^7</f>
        <v>0</v>
      </c>
      <c r="GR57" s="33">
        <f>(IF(GR$1='Assumption Sheet'!$L30,('Assumption Sheet'!$M30+'Assumption Sheet'!$P30)*'Assumption Sheet'!$S30*'Assumption Sheet'!$C30,0))/10^7</f>
        <v>0</v>
      </c>
      <c r="GS57" s="33">
        <f>(IF(GS$1='Assumption Sheet'!$L30,('Assumption Sheet'!$M30+'Assumption Sheet'!$P30)*'Assumption Sheet'!$S30*'Assumption Sheet'!$C30,0))/10^7</f>
        <v>0</v>
      </c>
      <c r="GT57" s="33">
        <f>(IF(GT$1='Assumption Sheet'!$L30,('Assumption Sheet'!$M30+'Assumption Sheet'!$P30)*'Assumption Sheet'!$S30*'Assumption Sheet'!$C30,0))/10^7</f>
        <v>0</v>
      </c>
      <c r="GU57" s="33">
        <f>(IF(GU$1='Assumption Sheet'!$L30,('Assumption Sheet'!$M30+'Assumption Sheet'!$P30)*'Assumption Sheet'!$S30*'Assumption Sheet'!$C30,0))/10^7</f>
        <v>0</v>
      </c>
      <c r="GV57" s="33">
        <f>(IF(GV$1='Assumption Sheet'!$L30,('Assumption Sheet'!$M30+'Assumption Sheet'!$P30)*'Assumption Sheet'!$S30*'Assumption Sheet'!$C30,0))/10^7</f>
        <v>0</v>
      </c>
      <c r="GW57" s="33">
        <f>(IF(GW$1='Assumption Sheet'!$L30,('Assumption Sheet'!$M30+'Assumption Sheet'!$P30)*'Assumption Sheet'!$S30*'Assumption Sheet'!$C30,0))/10^7</f>
        <v>0</v>
      </c>
      <c r="GX57" s="33">
        <f>(IF(GX$1='Assumption Sheet'!$L30,('Assumption Sheet'!$M30+'Assumption Sheet'!$P30)*'Assumption Sheet'!$S30*'Assumption Sheet'!$C30,0))/10^7</f>
        <v>0</v>
      </c>
      <c r="GY57" s="33">
        <f>(IF(GY$1='Assumption Sheet'!$L30,('Assumption Sheet'!$M30+'Assumption Sheet'!$P30)*'Assumption Sheet'!$S30*'Assumption Sheet'!$C30,0))/10^7</f>
        <v>0</v>
      </c>
      <c r="GZ57" s="33">
        <f>(IF(GZ$1='Assumption Sheet'!$L30,('Assumption Sheet'!$M30+'Assumption Sheet'!$P30)*'Assumption Sheet'!$S30*'Assumption Sheet'!$C30,0))/10^7</f>
        <v>0</v>
      </c>
      <c r="HA57" s="33">
        <f>(IF(HA$1='Assumption Sheet'!$L30,('Assumption Sheet'!$M30+'Assumption Sheet'!$P30)*'Assumption Sheet'!$S30*'Assumption Sheet'!$C30,0))/10^7</f>
        <v>0</v>
      </c>
      <c r="HB57" s="33">
        <f>(IF(HB$1='Assumption Sheet'!$L30,('Assumption Sheet'!$M30+'Assumption Sheet'!$P30)*'Assumption Sheet'!$S30*'Assumption Sheet'!$C30,0))/10^7</f>
        <v>0</v>
      </c>
      <c r="HC57" s="33">
        <f>(IF(HC$1='Assumption Sheet'!$L30,('Assumption Sheet'!$M30+'Assumption Sheet'!$P30)*'Assumption Sheet'!$S30*'Assumption Sheet'!$C30,0))/10^7</f>
        <v>0</v>
      </c>
      <c r="HD57" s="33">
        <f>(IF(HD$1='Assumption Sheet'!$L30,('Assumption Sheet'!$M30+'Assumption Sheet'!$P30)*'Assumption Sheet'!$S30*'Assumption Sheet'!$C30,0))/10^7</f>
        <v>0</v>
      </c>
      <c r="HE57" s="33">
        <f>(IF(HE$1='Assumption Sheet'!$L30,('Assumption Sheet'!$M30+'Assumption Sheet'!$P30)*'Assumption Sheet'!$S30*'Assumption Sheet'!$C30,0))/10^7</f>
        <v>0</v>
      </c>
      <c r="HF57" s="33">
        <f>(IF(HF$1='Assumption Sheet'!$L30,('Assumption Sheet'!$M30+'Assumption Sheet'!$P30)*'Assumption Sheet'!$S30*'Assumption Sheet'!$C30,0))/10^7</f>
        <v>0</v>
      </c>
      <c r="HG57" s="33">
        <f>(IF(HG$1='Assumption Sheet'!$L30,('Assumption Sheet'!$M30+'Assumption Sheet'!$P30)*'Assumption Sheet'!$S30*'Assumption Sheet'!$C30,0))/10^7</f>
        <v>0</v>
      </c>
      <c r="HH57" s="33">
        <f>(IF(HH$1='Assumption Sheet'!$L30,('Assumption Sheet'!$M30+'Assumption Sheet'!$P30)*'Assumption Sheet'!$S30*'Assumption Sheet'!$C30,0))/10^7</f>
        <v>0</v>
      </c>
      <c r="HI57" s="33">
        <f>(IF(HI$1='Assumption Sheet'!$L30,('Assumption Sheet'!$M30+'Assumption Sheet'!$P30)*'Assumption Sheet'!$S30*'Assumption Sheet'!$C30,0))/10^7</f>
        <v>0</v>
      </c>
      <c r="HJ57" s="33">
        <f>(IF(HJ$1='Assumption Sheet'!$L30,('Assumption Sheet'!$M30+'Assumption Sheet'!$P30)*'Assumption Sheet'!$S30*'Assumption Sheet'!$C30,0))/10^7</f>
        <v>0</v>
      </c>
      <c r="HK57" s="33">
        <f>(IF(HK$1='Assumption Sheet'!$L30,('Assumption Sheet'!$M30+'Assumption Sheet'!$P30)*'Assumption Sheet'!$S30*'Assumption Sheet'!$C30,0))/10^7</f>
        <v>0</v>
      </c>
      <c r="HL57" s="33">
        <f>(IF(HL$1='Assumption Sheet'!$L30,('Assumption Sheet'!$M30+'Assumption Sheet'!$P30)*'Assumption Sheet'!$S30*'Assumption Sheet'!$C30,0))/10^7</f>
        <v>0</v>
      </c>
      <c r="HM57" s="33">
        <f>(IF(HM$1='Assumption Sheet'!$L30,('Assumption Sheet'!$M30+'Assumption Sheet'!$P30)*'Assumption Sheet'!$S30*'Assumption Sheet'!$C30,0))/10^7</f>
        <v>0</v>
      </c>
      <c r="HN57" s="33">
        <f>(IF(HN$1='Assumption Sheet'!$L30,('Assumption Sheet'!$M30+'Assumption Sheet'!$P30)*'Assumption Sheet'!$S30*'Assumption Sheet'!$C30,0))/10^7</f>
        <v>0</v>
      </c>
      <c r="HO57" s="33">
        <f>(IF(HO$1='Assumption Sheet'!$L30,('Assumption Sheet'!$M30+'Assumption Sheet'!$P30)*'Assumption Sheet'!$S30*'Assumption Sheet'!$C30,0))/10^7</f>
        <v>0</v>
      </c>
      <c r="HP57" s="33">
        <f>(IF(HP$1='Assumption Sheet'!$L30,('Assumption Sheet'!$M30+'Assumption Sheet'!$P30)*'Assumption Sheet'!$S30*'Assumption Sheet'!$C30,0))/10^7</f>
        <v>0</v>
      </c>
      <c r="HQ57" s="33">
        <f>(IF(HQ$1='Assumption Sheet'!$L30,('Assumption Sheet'!$M30+'Assumption Sheet'!$P30)*'Assumption Sheet'!$S30*'Assumption Sheet'!$C30,0))/10^7</f>
        <v>0</v>
      </c>
      <c r="HR57" s="33">
        <f>(IF(HR$1='Assumption Sheet'!$L30,('Assumption Sheet'!$M30+'Assumption Sheet'!$P30)*'Assumption Sheet'!$S30*'Assumption Sheet'!$C30,0))/10^7</f>
        <v>0</v>
      </c>
      <c r="HS57" s="33">
        <f>(IF(HS$1='Assumption Sheet'!$L30,('Assumption Sheet'!$M30+'Assumption Sheet'!$P30)*'Assumption Sheet'!$S30*'Assumption Sheet'!$C30,0))/10^7</f>
        <v>0</v>
      </c>
      <c r="HT57" s="33">
        <f>(IF(HT$1='Assumption Sheet'!$L30,('Assumption Sheet'!$M30+'Assumption Sheet'!$P30)*'Assumption Sheet'!$S30*'Assumption Sheet'!$C30,0))/10^7</f>
        <v>0</v>
      </c>
      <c r="HU57" s="33">
        <f>(IF(HU$1='Assumption Sheet'!$L30,('Assumption Sheet'!$M30+'Assumption Sheet'!$P30)*'Assumption Sheet'!$S30*'Assumption Sheet'!$C30,0))/10^7</f>
        <v>0</v>
      </c>
      <c r="HV57" s="33">
        <f>(IF(HV$1='Assumption Sheet'!$L30,('Assumption Sheet'!$M30+'Assumption Sheet'!$P30)*'Assumption Sheet'!$S30*'Assumption Sheet'!$C30,0))/10^7</f>
        <v>0</v>
      </c>
      <c r="HW57" s="33">
        <f>(IF(HW$1='Assumption Sheet'!$L30,('Assumption Sheet'!$M30+'Assumption Sheet'!$P30)*'Assumption Sheet'!$S30*'Assumption Sheet'!$C30,0))/10^7</f>
        <v>0</v>
      </c>
      <c r="HX57" s="33">
        <f>(IF(HX$1='Assumption Sheet'!$L30,('Assumption Sheet'!$M30+'Assumption Sheet'!$P30)*'Assumption Sheet'!$S30*'Assumption Sheet'!$C30,0))/10^7</f>
        <v>0</v>
      </c>
      <c r="HY57" s="33">
        <f>(IF(HY$1='Assumption Sheet'!$L30,('Assumption Sheet'!$M30+'Assumption Sheet'!$P30)*'Assumption Sheet'!$S30*'Assumption Sheet'!$C30,0))/10^7</f>
        <v>0</v>
      </c>
      <c r="HZ57" s="33">
        <f>(IF(HZ$1='Assumption Sheet'!$L30,('Assumption Sheet'!$M30+'Assumption Sheet'!$P30)*'Assumption Sheet'!$S30*'Assumption Sheet'!$C30,0))/10^7</f>
        <v>0</v>
      </c>
      <c r="IA57" s="33">
        <f>(IF(IA$1='Assumption Sheet'!$L30,('Assumption Sheet'!$M30+'Assumption Sheet'!$P30)*'Assumption Sheet'!$S30*'Assumption Sheet'!$C30,0))/10^7</f>
        <v>0</v>
      </c>
      <c r="IB57" s="33">
        <f>(IF(IB$1='Assumption Sheet'!$L30,('Assumption Sheet'!$M30+'Assumption Sheet'!$P30)*'Assumption Sheet'!$S30*'Assumption Sheet'!$C30,0))/10^7</f>
        <v>0</v>
      </c>
      <c r="IC57" s="33">
        <f>(IF(IC$1='Assumption Sheet'!$L30,('Assumption Sheet'!$M30+'Assumption Sheet'!$P30)*'Assumption Sheet'!$S30*'Assumption Sheet'!$C30,0))/10^7</f>
        <v>0</v>
      </c>
      <c r="ID57" s="33">
        <f>(IF(ID$1='Assumption Sheet'!$L30,('Assumption Sheet'!$M30+'Assumption Sheet'!$P30)*'Assumption Sheet'!$S30*'Assumption Sheet'!$C30,0))/10^7</f>
        <v>0</v>
      </c>
      <c r="IE57" s="33">
        <f>(IF(IE$1='Assumption Sheet'!$L30,('Assumption Sheet'!$M30+'Assumption Sheet'!$P30)*'Assumption Sheet'!$S30*'Assumption Sheet'!$C30,0))/10^7</f>
        <v>0</v>
      </c>
      <c r="IF57" s="33">
        <f>(IF(IF$1='Assumption Sheet'!$L30,('Assumption Sheet'!$M30+'Assumption Sheet'!$P30)*'Assumption Sheet'!$S30*'Assumption Sheet'!$C30,0))/10^7</f>
        <v>0</v>
      </c>
      <c r="IG57" s="33">
        <f>(IF(IG$1='Assumption Sheet'!$L30,('Assumption Sheet'!$M30+'Assumption Sheet'!$P30)*'Assumption Sheet'!$S30*'Assumption Sheet'!$C30,0))/10^7</f>
        <v>0</v>
      </c>
      <c r="IH57" s="33">
        <f>(IF(IH$1='Assumption Sheet'!$L30,('Assumption Sheet'!$M30+'Assumption Sheet'!$P30)*'Assumption Sheet'!$S30*'Assumption Sheet'!$C30,0))/10^7</f>
        <v>0</v>
      </c>
      <c r="II57" s="33">
        <f>(IF(II$1='Assumption Sheet'!$L30,('Assumption Sheet'!$M30+'Assumption Sheet'!$P30)*'Assumption Sheet'!$S30*'Assumption Sheet'!$C30,0))/10^7</f>
        <v>0</v>
      </c>
      <c r="IJ57" s="33">
        <f>(IF(IJ$1='Assumption Sheet'!$L30,('Assumption Sheet'!$M30+'Assumption Sheet'!$P30)*'Assumption Sheet'!$S30*'Assumption Sheet'!$C30,0))/10^7</f>
        <v>0</v>
      </c>
      <c r="IK57" s="33">
        <f>(IF(IK$1='Assumption Sheet'!$L30,('Assumption Sheet'!$M30+'Assumption Sheet'!$P30)*'Assumption Sheet'!$S30*'Assumption Sheet'!$C30,0))/10^7</f>
        <v>0</v>
      </c>
      <c r="IL57" s="33">
        <f>(IF(IL$1='Assumption Sheet'!$L30,('Assumption Sheet'!$M30+'Assumption Sheet'!$P30)*'Assumption Sheet'!$S30*'Assumption Sheet'!$C30,0))/10^7</f>
        <v>0</v>
      </c>
      <c r="IM57" s="33">
        <f>(IF(IM$1='Assumption Sheet'!$L30,('Assumption Sheet'!$M30+'Assumption Sheet'!$P30)*'Assumption Sheet'!$S30*'Assumption Sheet'!$C30,0))/10^7</f>
        <v>0</v>
      </c>
      <c r="IN57" s="33">
        <f>(IF(IN$1='Assumption Sheet'!$L30,('Assumption Sheet'!$M30+'Assumption Sheet'!$P30)*'Assumption Sheet'!$S30*'Assumption Sheet'!$C30,0))/10^7</f>
        <v>0</v>
      </c>
      <c r="IO57" s="33">
        <f>(IF(IO$1='Assumption Sheet'!$L30,('Assumption Sheet'!$M30+'Assumption Sheet'!$P30)*'Assumption Sheet'!$S30*'Assumption Sheet'!$C30,0))/10^7</f>
        <v>0</v>
      </c>
      <c r="IP57" s="33">
        <f>(IF(IP$1='Assumption Sheet'!$L30,('Assumption Sheet'!$M30+'Assumption Sheet'!$P30)*'Assumption Sheet'!$S30*'Assumption Sheet'!$C30,0))/10^7</f>
        <v>0</v>
      </c>
      <c r="IQ57" s="33">
        <f>(IF(IQ$1='Assumption Sheet'!$L30,('Assumption Sheet'!$M30+'Assumption Sheet'!$P30)*'Assumption Sheet'!$S30*'Assumption Sheet'!$C30,0))/10^7</f>
        <v>0</v>
      </c>
      <c r="IR57" s="33">
        <f>(IF(IR$1='Assumption Sheet'!$L30,('Assumption Sheet'!$M30+'Assumption Sheet'!$P30)*'Assumption Sheet'!$S30*'Assumption Sheet'!$C30,0))/10^7</f>
        <v>0</v>
      </c>
      <c r="IS57" s="33">
        <f>(IF(IS$1='Assumption Sheet'!$L30,('Assumption Sheet'!$M30+'Assumption Sheet'!$P30)*'Assumption Sheet'!$S30*'Assumption Sheet'!$C30,0))/10^7</f>
        <v>0</v>
      </c>
      <c r="IT57" s="33">
        <f>(IF(IT$1='Assumption Sheet'!$L30,('Assumption Sheet'!$M30+'Assumption Sheet'!$P30)*'Assumption Sheet'!$S30*'Assumption Sheet'!$C30,0))/10^7</f>
        <v>0</v>
      </c>
      <c r="IU57" s="33">
        <f>(IF(IU$1='Assumption Sheet'!$L30,('Assumption Sheet'!$M30+'Assumption Sheet'!$P30)*'Assumption Sheet'!$S30*'Assumption Sheet'!$C30,0))/10^7</f>
        <v>0</v>
      </c>
      <c r="IV57" s="33">
        <f>(IF(IV$1='Assumption Sheet'!$L30,('Assumption Sheet'!$M30+'Assumption Sheet'!$P30)*'Assumption Sheet'!$S30*'Assumption Sheet'!$C30,0))/10^7</f>
        <v>0</v>
      </c>
      <c r="IW57" s="33">
        <f>(IF(IW$1='Assumption Sheet'!$L30,('Assumption Sheet'!$M30+'Assumption Sheet'!$P30)*'Assumption Sheet'!$S30*'Assumption Sheet'!$C30,0))/10^7</f>
        <v>0</v>
      </c>
      <c r="IX57" s="33">
        <f>(IF(IX$1='Assumption Sheet'!$L30,('Assumption Sheet'!$M30+'Assumption Sheet'!$P30)*'Assumption Sheet'!$S30*'Assumption Sheet'!$C30,0))/10^7</f>
        <v>0</v>
      </c>
      <c r="IY57" s="33">
        <f>(IF(IY$1='Assumption Sheet'!$L30,('Assumption Sheet'!$M30+'Assumption Sheet'!$P30)*'Assumption Sheet'!$S30*'Assumption Sheet'!$C30,0))/10^7</f>
        <v>0</v>
      </c>
      <c r="IZ57" s="33">
        <f>(IF(IZ$1='Assumption Sheet'!$L30,('Assumption Sheet'!$M30+'Assumption Sheet'!$P30)*'Assumption Sheet'!$S30*'Assumption Sheet'!$C30,0))/10^7</f>
        <v>0</v>
      </c>
      <c r="JA57" s="33">
        <f>(IF(JA$1='Assumption Sheet'!$L30,('Assumption Sheet'!$M30+'Assumption Sheet'!$P30)*'Assumption Sheet'!$S30*'Assumption Sheet'!$C30,0))/10^7</f>
        <v>0</v>
      </c>
      <c r="JB57" s="33">
        <f>(IF(JB$1='Assumption Sheet'!$L30,('Assumption Sheet'!$M30+'Assumption Sheet'!$P30)*'Assumption Sheet'!$S30*'Assumption Sheet'!$C30,0))/10^7</f>
        <v>0</v>
      </c>
      <c r="JC57" s="33">
        <f>(IF(JC$1='Assumption Sheet'!$L30,('Assumption Sheet'!$M30+'Assumption Sheet'!$P30)*'Assumption Sheet'!$S30*'Assumption Sheet'!$C30,0))/10^7</f>
        <v>0</v>
      </c>
      <c r="JD57" s="33">
        <f>(IF(JD$1='Assumption Sheet'!$L30,('Assumption Sheet'!$M30+'Assumption Sheet'!$P30)*'Assumption Sheet'!$S30*'Assumption Sheet'!$C30,0))/10^7</f>
        <v>0</v>
      </c>
      <c r="JE57" s="33">
        <f>(IF(JE$1='Assumption Sheet'!$L30,('Assumption Sheet'!$M30+'Assumption Sheet'!$P30)*'Assumption Sheet'!$S30*'Assumption Sheet'!$C30,0))/10^7</f>
        <v>0</v>
      </c>
      <c r="JF57" s="33">
        <f>(IF(JF$1='Assumption Sheet'!$L30,('Assumption Sheet'!$M30+'Assumption Sheet'!$P30)*'Assumption Sheet'!$S30*'Assumption Sheet'!$C30,0))/10^7</f>
        <v>0</v>
      </c>
      <c r="JG57" s="33">
        <f>(IF(JG$1='Assumption Sheet'!$L30,('Assumption Sheet'!$M30+'Assumption Sheet'!$P30)*'Assumption Sheet'!$S30*'Assumption Sheet'!$C30,0))/10^7</f>
        <v>0</v>
      </c>
      <c r="JH57" s="33">
        <f>(IF(JH$1='Assumption Sheet'!$L30,('Assumption Sheet'!$M30+'Assumption Sheet'!$P30)*'Assumption Sheet'!$S30*'Assumption Sheet'!$C30,0))/10^7</f>
        <v>0</v>
      </c>
      <c r="JI57" s="33">
        <f>(IF(JI$1='Assumption Sheet'!$L30,('Assumption Sheet'!$M30+'Assumption Sheet'!$P30)*'Assumption Sheet'!$S30*'Assumption Sheet'!$C30,0))/10^7</f>
        <v>0</v>
      </c>
      <c r="JJ57" s="33">
        <f>(IF(JJ$1='Assumption Sheet'!$L30,('Assumption Sheet'!$M30+'Assumption Sheet'!$P30)*'Assumption Sheet'!$S30*'Assumption Sheet'!$C30,0))/10^7</f>
        <v>0</v>
      </c>
      <c r="JK57" s="33">
        <f>(IF(JK$1='Assumption Sheet'!$L30,('Assumption Sheet'!$M30+'Assumption Sheet'!$P30)*'Assumption Sheet'!$S30*'Assumption Sheet'!$C30,0))/10^7</f>
        <v>0</v>
      </c>
      <c r="JL57" s="33">
        <f>(IF(JL$1='Assumption Sheet'!$L30,('Assumption Sheet'!$M30+'Assumption Sheet'!$P30)*'Assumption Sheet'!$S30*'Assumption Sheet'!$C30,0))/10^7</f>
        <v>0</v>
      </c>
      <c r="JM57" s="33">
        <f>(IF(JM$1='Assumption Sheet'!$L30,('Assumption Sheet'!$M30+'Assumption Sheet'!$P30)*'Assumption Sheet'!$S30*'Assumption Sheet'!$C30,0))/10^7</f>
        <v>0</v>
      </c>
      <c r="JN57" s="33">
        <f>(IF(JN$1='Assumption Sheet'!$L30,('Assumption Sheet'!$M30+'Assumption Sheet'!$P30)*'Assumption Sheet'!$S30*'Assumption Sheet'!$C30,0))/10^7</f>
        <v>0</v>
      </c>
      <c r="JO57" s="33">
        <f>(IF(JO$1='Assumption Sheet'!$L30,('Assumption Sheet'!$M30+'Assumption Sheet'!$P30)*'Assumption Sheet'!$S30*'Assumption Sheet'!$C30,0))/10^7</f>
        <v>0</v>
      </c>
      <c r="JP57" s="33">
        <f>(IF(JP$1='Assumption Sheet'!$L30,('Assumption Sheet'!$M30+'Assumption Sheet'!$P30)*'Assumption Sheet'!$S30*'Assumption Sheet'!$C30,0))/10^7</f>
        <v>0</v>
      </c>
      <c r="JQ57" s="33">
        <f>(IF(JQ$1='Assumption Sheet'!$L30,('Assumption Sheet'!$M30+'Assumption Sheet'!$P30)*'Assumption Sheet'!$S30*'Assumption Sheet'!$C30,0))/10^7</f>
        <v>0</v>
      </c>
      <c r="JR57" s="33">
        <f>(IF(JR$1='Assumption Sheet'!$L30,('Assumption Sheet'!$M30+'Assumption Sheet'!$P30)*'Assumption Sheet'!$S30*'Assumption Sheet'!$C30,0))/10^7</f>
        <v>0</v>
      </c>
      <c r="JS57" s="33">
        <f>(IF(JS$1='Assumption Sheet'!$L30,('Assumption Sheet'!$M30+'Assumption Sheet'!$P30)*'Assumption Sheet'!$S30*'Assumption Sheet'!$C30,0))/10^7</f>
        <v>0</v>
      </c>
      <c r="JT57" s="33">
        <f>(IF(JT$1='Assumption Sheet'!$L30,('Assumption Sheet'!$M30+'Assumption Sheet'!$P30)*'Assumption Sheet'!$S30*'Assumption Sheet'!$C30,0))/10^7</f>
        <v>0</v>
      </c>
      <c r="JU57" s="33">
        <f>(IF(JU$1='Assumption Sheet'!$L30,('Assumption Sheet'!$M30+'Assumption Sheet'!$P30)*'Assumption Sheet'!$S30*'Assumption Sheet'!$C30,0))/10^7</f>
        <v>0</v>
      </c>
      <c r="JV57" s="33">
        <f>(IF(JV$1='Assumption Sheet'!$L30,('Assumption Sheet'!$M30+'Assumption Sheet'!$P30)*'Assumption Sheet'!$S30*'Assumption Sheet'!$C30,0))/10^7</f>
        <v>0</v>
      </c>
      <c r="JW57" s="33">
        <f>(IF(JW$1='Assumption Sheet'!$L30,('Assumption Sheet'!$M30+'Assumption Sheet'!$P30)*'Assumption Sheet'!$S30*'Assumption Sheet'!$C30,0))/10^7</f>
        <v>0</v>
      </c>
      <c r="JX57" s="33">
        <f>(IF(JX$1='Assumption Sheet'!$L30,('Assumption Sheet'!$M30+'Assumption Sheet'!$P30)*'Assumption Sheet'!$S30*'Assumption Sheet'!$C30,0))/10^7</f>
        <v>0</v>
      </c>
      <c r="JY57" s="33">
        <f>(IF(JY$1='Assumption Sheet'!$L30,('Assumption Sheet'!$M30+'Assumption Sheet'!$P30)*'Assumption Sheet'!$S30*'Assumption Sheet'!$C30,0))/10^7</f>
        <v>0</v>
      </c>
      <c r="JZ57" s="33">
        <f>(IF(JZ$1='Assumption Sheet'!$L30,('Assumption Sheet'!$M30+'Assumption Sheet'!$P30)*'Assumption Sheet'!$S30*'Assumption Sheet'!$C30,0))/10^7</f>
        <v>0</v>
      </c>
      <c r="KA57" s="33">
        <f>(IF(KA$1='Assumption Sheet'!$L30,('Assumption Sheet'!$M30+'Assumption Sheet'!$P30)*'Assumption Sheet'!$S30*'Assumption Sheet'!$C30,0))/10^7</f>
        <v>0</v>
      </c>
      <c r="KB57" s="33">
        <f>(IF(KB$1='Assumption Sheet'!$L30,('Assumption Sheet'!$M30+'Assumption Sheet'!$P30)*'Assumption Sheet'!$S30*'Assumption Sheet'!$C30,0))/10^7</f>
        <v>0</v>
      </c>
      <c r="KC57" s="33">
        <f>(IF(KC$1='Assumption Sheet'!$L30,('Assumption Sheet'!$M30+'Assumption Sheet'!$P30)*'Assumption Sheet'!$S30*'Assumption Sheet'!$C30,0))/10^7</f>
        <v>0</v>
      </c>
      <c r="KD57" s="45"/>
      <c r="KE57" s="45"/>
      <c r="KF57" s="45"/>
      <c r="KG57" s="45"/>
      <c r="KH57" s="45"/>
      <c r="KI57" s="45"/>
      <c r="KJ57" s="45"/>
      <c r="KK57" s="45"/>
      <c r="KL57" s="45"/>
      <c r="KM57" s="45"/>
      <c r="KN57" s="45"/>
      <c r="KO57" s="45"/>
    </row>
    <row r="58" spans="1:301" x14ac:dyDescent="0.3">
      <c r="B58" s="1" t="str">
        <f>B49</f>
        <v>Phase 4</v>
      </c>
      <c r="C58" s="272">
        <f t="shared" ref="C58:C59" si="154">SUM(E58:EX58)</f>
        <v>1.8122507995106552</v>
      </c>
      <c r="D58" s="272"/>
      <c r="E58" s="33">
        <f>(IF(E$1='Assumption Sheet'!$L31,('Assumption Sheet'!$M31+'Assumption Sheet'!$P31)*'Assumption Sheet'!$S31*'Assumption Sheet'!$C31,0))/10^7</f>
        <v>0</v>
      </c>
      <c r="F58" s="33">
        <f>(IF(F$1='Assumption Sheet'!$L31,('Assumption Sheet'!$M31+'Assumption Sheet'!$P31)*'Assumption Sheet'!$S31*'Assumption Sheet'!$C31,0))/10^7</f>
        <v>0</v>
      </c>
      <c r="G58" s="33">
        <f>(IF(G$1='Assumption Sheet'!$L31,('Assumption Sheet'!$M31+'Assumption Sheet'!$P31)*'Assumption Sheet'!$S31*'Assumption Sheet'!$C31,0))/10^7</f>
        <v>0</v>
      </c>
      <c r="H58" s="33">
        <f>(IF(H$1='Assumption Sheet'!$L31,('Assumption Sheet'!$M31+'Assumption Sheet'!$P31)*'Assumption Sheet'!$S31*'Assumption Sheet'!$C31,0))/10^7</f>
        <v>0</v>
      </c>
      <c r="I58" s="33">
        <f>(IF(I$1='Assumption Sheet'!$L31,('Assumption Sheet'!$M31+'Assumption Sheet'!$P31)*'Assumption Sheet'!$S31*'Assumption Sheet'!$C31,0))/10^7</f>
        <v>0</v>
      </c>
      <c r="J58" s="33">
        <f>(IF(J$1='Assumption Sheet'!$L31,('Assumption Sheet'!$M31+'Assumption Sheet'!$P31)*'Assumption Sheet'!$S31*'Assumption Sheet'!$C31,0))/10^7</f>
        <v>0</v>
      </c>
      <c r="K58" s="33">
        <f>(IF(K$1='Assumption Sheet'!$L31,('Assumption Sheet'!$M31+'Assumption Sheet'!$P31)*'Assumption Sheet'!$S31*'Assumption Sheet'!$C31,0))/10^7</f>
        <v>0</v>
      </c>
      <c r="L58" s="33">
        <f>(IF(L$1='Assumption Sheet'!$L31,('Assumption Sheet'!$M31+'Assumption Sheet'!$P31)*'Assumption Sheet'!$S31*'Assumption Sheet'!$C31,0))/10^7</f>
        <v>0</v>
      </c>
      <c r="M58" s="33">
        <f>(IF(M$1='Assumption Sheet'!$L31,('Assumption Sheet'!$M31+'Assumption Sheet'!$P31)*'Assumption Sheet'!$S31*'Assumption Sheet'!$C31,0))/10^7</f>
        <v>0</v>
      </c>
      <c r="N58" s="33">
        <f>(IF(N$1='Assumption Sheet'!$L31,('Assumption Sheet'!$M31+'Assumption Sheet'!$P31)*'Assumption Sheet'!$S31*'Assumption Sheet'!$C31,0))/10^7</f>
        <v>0</v>
      </c>
      <c r="O58" s="33">
        <f>(IF(O$1='Assumption Sheet'!$L31,('Assumption Sheet'!$M31+'Assumption Sheet'!$P31)*'Assumption Sheet'!$S31*'Assumption Sheet'!$C31,0))/10^7</f>
        <v>0</v>
      </c>
      <c r="P58" s="33">
        <f>(IF(P$1='Assumption Sheet'!$L31,('Assumption Sheet'!$M31+'Assumption Sheet'!$P31)*'Assumption Sheet'!$S31*'Assumption Sheet'!$C31,0))/10^7</f>
        <v>0</v>
      </c>
      <c r="Q58" s="33">
        <f>(IF(Q$1='Assumption Sheet'!$L31,('Assumption Sheet'!$M31+'Assumption Sheet'!$P31)*'Assumption Sheet'!$S31*'Assumption Sheet'!$C31,0))/10^7</f>
        <v>0</v>
      </c>
      <c r="R58" s="33">
        <f>(IF(R$1='Assumption Sheet'!$L31,('Assumption Sheet'!$M31+'Assumption Sheet'!$P31)*'Assumption Sheet'!$S31*'Assumption Sheet'!$C31,0))/10^7</f>
        <v>0</v>
      </c>
      <c r="S58" s="33">
        <f>(IF(S$1='Assumption Sheet'!$L31,('Assumption Sheet'!$M31+'Assumption Sheet'!$P31)*'Assumption Sheet'!$S31*'Assumption Sheet'!$C31,0))/10^7</f>
        <v>0</v>
      </c>
      <c r="T58" s="33">
        <f>(IF(T$1='Assumption Sheet'!$L31,('Assumption Sheet'!$M31+'Assumption Sheet'!$P31)*'Assumption Sheet'!$S31*'Assumption Sheet'!$C31,0))/10^7</f>
        <v>0</v>
      </c>
      <c r="U58" s="33">
        <f>(IF(U$1='Assumption Sheet'!$L31,('Assumption Sheet'!$M31+'Assumption Sheet'!$P31)*'Assumption Sheet'!$S31*'Assumption Sheet'!$C31,0))/10^7</f>
        <v>0</v>
      </c>
      <c r="V58" s="33">
        <f>(IF(V$1='Assumption Sheet'!$L31,('Assumption Sheet'!$M31+'Assumption Sheet'!$P31)*'Assumption Sheet'!$S31*'Assumption Sheet'!$C31,0))/10^7</f>
        <v>0</v>
      </c>
      <c r="W58" s="33">
        <f>(IF(W$1='Assumption Sheet'!$L31,('Assumption Sheet'!$M31+'Assumption Sheet'!$P31)*'Assumption Sheet'!$S31*'Assumption Sheet'!$C31,0))/10^7</f>
        <v>0</v>
      </c>
      <c r="X58" s="33">
        <f>(IF(X$1='Assumption Sheet'!$L31,('Assumption Sheet'!$M31+'Assumption Sheet'!$P31)*'Assumption Sheet'!$S31*'Assumption Sheet'!$C31,0))/10^7</f>
        <v>0</v>
      </c>
      <c r="Y58" s="33">
        <f>(IF(Y$1='Assumption Sheet'!$L31,('Assumption Sheet'!$M31+'Assumption Sheet'!$P31)*'Assumption Sheet'!$S31*'Assumption Sheet'!$C31,0))/10^7</f>
        <v>0</v>
      </c>
      <c r="Z58" s="33">
        <f>(IF(Z$1='Assumption Sheet'!$L31,('Assumption Sheet'!$M31+'Assumption Sheet'!$P31)*'Assumption Sheet'!$S31*'Assumption Sheet'!$C31,0))/10^7</f>
        <v>0</v>
      </c>
      <c r="AA58" s="33">
        <f>(IF(AA$1='Assumption Sheet'!$L31,('Assumption Sheet'!$M31+'Assumption Sheet'!$P31)*'Assumption Sheet'!$S31*'Assumption Sheet'!$C31,0))/10^7</f>
        <v>0</v>
      </c>
      <c r="AB58" s="33">
        <f>(IF(AB$1='Assumption Sheet'!$L31,('Assumption Sheet'!$M31+'Assumption Sheet'!$P31)*'Assumption Sheet'!$S31*'Assumption Sheet'!$C31,0))/10^7</f>
        <v>0</v>
      </c>
      <c r="AC58" s="33">
        <f>(IF(AC$1='Assumption Sheet'!$L31,('Assumption Sheet'!$M31+'Assumption Sheet'!$P31)*'Assumption Sheet'!$S31*'Assumption Sheet'!$C31,0))/10^7</f>
        <v>0</v>
      </c>
      <c r="AD58" s="33">
        <f>(IF(AD$1='Assumption Sheet'!$L31,('Assumption Sheet'!$M31+'Assumption Sheet'!$P31)*'Assumption Sheet'!$S31*'Assumption Sheet'!$C31,0))/10^7</f>
        <v>0</v>
      </c>
      <c r="AE58" s="33">
        <f>(IF(AE$1='Assumption Sheet'!$L31,('Assumption Sheet'!$M31+'Assumption Sheet'!$P31)*'Assumption Sheet'!$S31*'Assumption Sheet'!$C31,0))/10^7</f>
        <v>0</v>
      </c>
      <c r="AF58" s="33">
        <f>(IF(AF$1='Assumption Sheet'!$L31,('Assumption Sheet'!$M31+'Assumption Sheet'!$P31)*'Assumption Sheet'!$S31*'Assumption Sheet'!$C31,0))/10^7</f>
        <v>0</v>
      </c>
      <c r="AG58" s="33">
        <f>(IF(AG$1='Assumption Sheet'!$L31,('Assumption Sheet'!$M31+'Assumption Sheet'!$P31)*'Assumption Sheet'!$S31*'Assumption Sheet'!$C31,0))/10^7</f>
        <v>0</v>
      </c>
      <c r="AH58" s="33">
        <f>(IF(AH$1='Assumption Sheet'!$L31,('Assumption Sheet'!$M31+'Assumption Sheet'!$P31)*'Assumption Sheet'!$S31*'Assumption Sheet'!$C31,0))/10^7</f>
        <v>0</v>
      </c>
      <c r="AI58" s="33">
        <f>(IF(AI$1='Assumption Sheet'!$L31,('Assumption Sheet'!$M31+'Assumption Sheet'!$P31)*'Assumption Sheet'!$S31*'Assumption Sheet'!$C31,0))/10^7</f>
        <v>0</v>
      </c>
      <c r="AJ58" s="33">
        <f>(IF(AJ$1='Assumption Sheet'!$L31,('Assumption Sheet'!$M31+'Assumption Sheet'!$P31)*'Assumption Sheet'!$S31*'Assumption Sheet'!$C31,0))/10^7</f>
        <v>0</v>
      </c>
      <c r="AK58" s="33">
        <f>(IF(AK$1='Assumption Sheet'!$L31,('Assumption Sheet'!$M31+'Assumption Sheet'!$P31)*'Assumption Sheet'!$S31*'Assumption Sheet'!$C31,0))/10^7</f>
        <v>0</v>
      </c>
      <c r="AL58" s="33">
        <f>(IF(AL$1='Assumption Sheet'!$L31,('Assumption Sheet'!$M31+'Assumption Sheet'!$P31)*'Assumption Sheet'!$S31*'Assumption Sheet'!$C31,0))/10^7</f>
        <v>0</v>
      </c>
      <c r="AM58" s="33">
        <f>(IF(AM$1='Assumption Sheet'!$L31,('Assumption Sheet'!$M31+'Assumption Sheet'!$P31)*'Assumption Sheet'!$S31*'Assumption Sheet'!$C31,0))/10^7</f>
        <v>0</v>
      </c>
      <c r="AN58" s="33">
        <f>(IF(AN$1='Assumption Sheet'!$L31,('Assumption Sheet'!$M31+'Assumption Sheet'!$P31)*'Assumption Sheet'!$S31*'Assumption Sheet'!$C31,0))/10^7</f>
        <v>0</v>
      </c>
      <c r="AO58" s="33">
        <f>(IF(AO$1='Assumption Sheet'!$L31,('Assumption Sheet'!$M31+'Assumption Sheet'!$P31)*'Assumption Sheet'!$S31*'Assumption Sheet'!$C31,0))/10^7</f>
        <v>0</v>
      </c>
      <c r="AP58" s="33">
        <f>(IF(AP$1='Assumption Sheet'!$L31,('Assumption Sheet'!$M31+'Assumption Sheet'!$P31)*'Assumption Sheet'!$S31*'Assumption Sheet'!$C31,0))/10^7</f>
        <v>0</v>
      </c>
      <c r="AQ58" s="33">
        <f>(IF(AQ$1='Assumption Sheet'!$L31,('Assumption Sheet'!$M31+'Assumption Sheet'!$P31)*'Assumption Sheet'!$S31*'Assumption Sheet'!$C31,0))/10^7</f>
        <v>0</v>
      </c>
      <c r="AR58" s="33">
        <f>(IF(AR$1='Assumption Sheet'!$L31,('Assumption Sheet'!$M31+'Assumption Sheet'!$P31)*'Assumption Sheet'!$S31*'Assumption Sheet'!$C31,0))/10^7</f>
        <v>0</v>
      </c>
      <c r="AS58" s="33">
        <f>(IF(AS$1='Assumption Sheet'!$L31,('Assumption Sheet'!$M31+'Assumption Sheet'!$P31)*'Assumption Sheet'!$S31*'Assumption Sheet'!$C31,0))/10^7</f>
        <v>0</v>
      </c>
      <c r="AT58" s="33">
        <f>(IF(AT$1='Assumption Sheet'!$L31,('Assumption Sheet'!$M31+'Assumption Sheet'!$P31)*'Assumption Sheet'!$S31*'Assumption Sheet'!$C31,0))/10^7</f>
        <v>0</v>
      </c>
      <c r="AU58" s="33">
        <f>(IF(AU$1='Assumption Sheet'!$L31,('Assumption Sheet'!$M31+'Assumption Sheet'!$P31)*'Assumption Sheet'!$S31*'Assumption Sheet'!$C31,0))/10^7</f>
        <v>0</v>
      </c>
      <c r="AV58" s="33">
        <f>(IF(AV$1='Assumption Sheet'!$L31,('Assumption Sheet'!$M31+'Assumption Sheet'!$P31)*'Assumption Sheet'!$S31*'Assumption Sheet'!$C31,0))/10^7</f>
        <v>0</v>
      </c>
      <c r="AW58" s="33">
        <f>(IF(AW$1='Assumption Sheet'!$L31,('Assumption Sheet'!$M31+'Assumption Sheet'!$P31)*'Assumption Sheet'!$S31*'Assumption Sheet'!$C31,0))/10^7</f>
        <v>0</v>
      </c>
      <c r="AX58" s="33">
        <f>(IF(AX$1='Assumption Sheet'!$L31,('Assumption Sheet'!$M31+'Assumption Sheet'!$P31)*'Assumption Sheet'!$S31*'Assumption Sheet'!$C31,0))/10^7</f>
        <v>0</v>
      </c>
      <c r="AY58" s="33">
        <f>(IF(AY$1='Assumption Sheet'!$L31,('Assumption Sheet'!$M31+'Assumption Sheet'!$P31)*'Assumption Sheet'!$S31*'Assumption Sheet'!$C31,0))/10^7</f>
        <v>0</v>
      </c>
      <c r="AZ58" s="33">
        <f>(IF(AZ$1='Assumption Sheet'!$L31,('Assumption Sheet'!$M31+'Assumption Sheet'!$P31)*'Assumption Sheet'!$S31*'Assumption Sheet'!$C31,0))/10^7</f>
        <v>0</v>
      </c>
      <c r="BA58" s="33">
        <f>(IF(BA$1='Assumption Sheet'!$L31,('Assumption Sheet'!$M31+'Assumption Sheet'!$P31)*'Assumption Sheet'!$S31*'Assumption Sheet'!$C31,0))/10^7</f>
        <v>1.8122507995106552</v>
      </c>
      <c r="BB58" s="33">
        <f>(IF(BB$1='Assumption Sheet'!$L31,('Assumption Sheet'!$M31+'Assumption Sheet'!$P31)*'Assumption Sheet'!$S31*'Assumption Sheet'!$C31,0))/10^7</f>
        <v>0</v>
      </c>
      <c r="BC58" s="33">
        <f>(IF(BC$1='Assumption Sheet'!$L31,('Assumption Sheet'!$M31+'Assumption Sheet'!$P31)*'Assumption Sheet'!$S31*'Assumption Sheet'!$C31,0))/10^7</f>
        <v>0</v>
      </c>
      <c r="BD58" s="33">
        <f>(IF(BD$1='Assumption Sheet'!$L31,('Assumption Sheet'!$M31+'Assumption Sheet'!$P31)*'Assumption Sheet'!$S31*'Assumption Sheet'!$C31,0))/10^7</f>
        <v>0</v>
      </c>
      <c r="BE58" s="33">
        <f>(IF(BE$1='Assumption Sheet'!$L31,('Assumption Sheet'!$M31+'Assumption Sheet'!$P31)*'Assumption Sheet'!$S31*'Assumption Sheet'!$C31,0))/10^7</f>
        <v>0</v>
      </c>
      <c r="BF58" s="33">
        <f>(IF(BF$1='Assumption Sheet'!$L31,('Assumption Sheet'!$M31+'Assumption Sheet'!$P31)*'Assumption Sheet'!$S31*'Assumption Sheet'!$C31,0))/10^7</f>
        <v>0</v>
      </c>
      <c r="BG58" s="33">
        <f>(IF(BG$1='Assumption Sheet'!$L31,('Assumption Sheet'!$M31+'Assumption Sheet'!$P31)*'Assumption Sheet'!$S31*'Assumption Sheet'!$C31,0))/10^7</f>
        <v>0</v>
      </c>
      <c r="BH58" s="33">
        <f>(IF(BH$1='Assumption Sheet'!$L31,('Assumption Sheet'!$M31+'Assumption Sheet'!$P31)*'Assumption Sheet'!$S31*'Assumption Sheet'!$C31,0))/10^7</f>
        <v>0</v>
      </c>
      <c r="BI58" s="33">
        <f>(IF(BI$1='Assumption Sheet'!$L31,('Assumption Sheet'!$M31+'Assumption Sheet'!$P31)*'Assumption Sheet'!$S31*'Assumption Sheet'!$C31,0))/10^7</f>
        <v>0</v>
      </c>
      <c r="BJ58" s="33">
        <f>(IF(BJ$1='Assumption Sheet'!$L31,('Assumption Sheet'!$M31+'Assumption Sheet'!$P31)*'Assumption Sheet'!$S31*'Assumption Sheet'!$C31,0))/10^7</f>
        <v>0</v>
      </c>
      <c r="BK58" s="33">
        <f>(IF(BK$1='Assumption Sheet'!$L31,('Assumption Sheet'!$M31+'Assumption Sheet'!$P31)*'Assumption Sheet'!$S31*'Assumption Sheet'!$C31,0))/10^7</f>
        <v>0</v>
      </c>
      <c r="BL58" s="33">
        <f>(IF(BL$1='Assumption Sheet'!$L31,('Assumption Sheet'!$M31+'Assumption Sheet'!$P31)*'Assumption Sheet'!$S31*'Assumption Sheet'!$C31,0))/10^7</f>
        <v>0</v>
      </c>
      <c r="BM58" s="33">
        <f>(IF(BM$1='Assumption Sheet'!$L31,('Assumption Sheet'!$M31+'Assumption Sheet'!$P31)*'Assumption Sheet'!$S31*'Assumption Sheet'!$C31,0))/10^7</f>
        <v>0</v>
      </c>
      <c r="BN58" s="33">
        <f>(IF(BN$1='Assumption Sheet'!$L31,('Assumption Sheet'!$M31+'Assumption Sheet'!$P31)*'Assumption Sheet'!$S31*'Assumption Sheet'!$C31,0))/10^7</f>
        <v>0</v>
      </c>
      <c r="BO58" s="33">
        <f>(IF(BO$1='Assumption Sheet'!$L31,('Assumption Sheet'!$M31+'Assumption Sheet'!$P31)*'Assumption Sheet'!$S31*'Assumption Sheet'!$C31,0))/10^7</f>
        <v>0</v>
      </c>
      <c r="BP58" s="33">
        <f>(IF(BP$1='Assumption Sheet'!$L31,('Assumption Sheet'!$M31+'Assumption Sheet'!$P31)*'Assumption Sheet'!$S31*'Assumption Sheet'!$C31,0))/10^7</f>
        <v>0</v>
      </c>
      <c r="BQ58" s="33">
        <f>(IF(BQ$1='Assumption Sheet'!$L31,('Assumption Sheet'!$M31+'Assumption Sheet'!$P31)*'Assumption Sheet'!$S31*'Assumption Sheet'!$C31,0))/10^7</f>
        <v>0</v>
      </c>
      <c r="BR58" s="33">
        <f>(IF(BR$1='Assumption Sheet'!$L31,('Assumption Sheet'!$M31+'Assumption Sheet'!$P31)*'Assumption Sheet'!$S31*'Assumption Sheet'!$C31,0))/10^7</f>
        <v>0</v>
      </c>
      <c r="BS58" s="33">
        <f>(IF(BS$1='Assumption Sheet'!$L31,('Assumption Sheet'!$M31+'Assumption Sheet'!$P31)*'Assumption Sheet'!$S31*'Assumption Sheet'!$C31,0))/10^7</f>
        <v>0</v>
      </c>
      <c r="BT58" s="33">
        <f>(IF(BT$1='Assumption Sheet'!$L31,('Assumption Sheet'!$M31+'Assumption Sheet'!$P31)*'Assumption Sheet'!$S31*'Assumption Sheet'!$C31,0))/10^7</f>
        <v>0</v>
      </c>
      <c r="BU58" s="33">
        <f>(IF(BU$1='Assumption Sheet'!$L31,('Assumption Sheet'!$M31+'Assumption Sheet'!$P31)*'Assumption Sheet'!$S31*'Assumption Sheet'!$C31,0))/10^7</f>
        <v>0</v>
      </c>
      <c r="BV58" s="33">
        <f>(IF(BV$1='Assumption Sheet'!$L31,('Assumption Sheet'!$M31+'Assumption Sheet'!$P31)*'Assumption Sheet'!$S31*'Assumption Sheet'!$C31,0))/10^7</f>
        <v>0</v>
      </c>
      <c r="BW58" s="33">
        <f>(IF(BW$1='Assumption Sheet'!$L31,('Assumption Sheet'!$M31+'Assumption Sheet'!$P31)*'Assumption Sheet'!$S31*'Assumption Sheet'!$C31,0))/10^7</f>
        <v>0</v>
      </c>
      <c r="BX58" s="33">
        <f>(IF(BX$1='Assumption Sheet'!$L31,('Assumption Sheet'!$M31+'Assumption Sheet'!$P31)*'Assumption Sheet'!$S31*'Assumption Sheet'!$C31,0))/10^7</f>
        <v>0</v>
      </c>
      <c r="BY58" s="33">
        <f>(IF(BY$1='Assumption Sheet'!$L31,('Assumption Sheet'!$M31+'Assumption Sheet'!$P31)*'Assumption Sheet'!$S31*'Assumption Sheet'!$C31,0))/10^7</f>
        <v>0</v>
      </c>
      <c r="BZ58" s="33">
        <f>(IF(BZ$1='Assumption Sheet'!$L31,('Assumption Sheet'!$M31+'Assumption Sheet'!$P31)*'Assumption Sheet'!$S31*'Assumption Sheet'!$C31,0))/10^7</f>
        <v>0</v>
      </c>
      <c r="CA58" s="33">
        <f>(IF(CA$1='Assumption Sheet'!$L31,('Assumption Sheet'!$M31+'Assumption Sheet'!$P31)*'Assumption Sheet'!$S31*'Assumption Sheet'!$C31,0))/10^7</f>
        <v>0</v>
      </c>
      <c r="CB58" s="33">
        <f>(IF(CB$1='Assumption Sheet'!$L31,('Assumption Sheet'!$M31+'Assumption Sheet'!$P31)*'Assumption Sheet'!$S31*'Assumption Sheet'!$C31,0))/10^7</f>
        <v>0</v>
      </c>
      <c r="CC58" s="33">
        <f>(IF(CC$1='Assumption Sheet'!$L31,('Assumption Sheet'!$M31+'Assumption Sheet'!$P31)*'Assumption Sheet'!$S31*'Assumption Sheet'!$C31,0))/10^7</f>
        <v>0</v>
      </c>
      <c r="CD58" s="33">
        <f>(IF(CD$1='Assumption Sheet'!$L31,('Assumption Sheet'!$M31+'Assumption Sheet'!$P31)*'Assumption Sheet'!$S31*'Assumption Sheet'!$C31,0))/10^7</f>
        <v>0</v>
      </c>
      <c r="CE58" s="33">
        <f>(IF(CE$1='Assumption Sheet'!$L31,('Assumption Sheet'!$M31+'Assumption Sheet'!$P31)*'Assumption Sheet'!$S31*'Assumption Sheet'!$C31,0))/10^7</f>
        <v>0</v>
      </c>
      <c r="CF58" s="33">
        <f>(IF(CF$1='Assumption Sheet'!$L31,('Assumption Sheet'!$M31+'Assumption Sheet'!$P31)*'Assumption Sheet'!$S31*'Assumption Sheet'!$C31,0))/10^7</f>
        <v>0</v>
      </c>
      <c r="CG58" s="33">
        <f>(IF(CG$1='Assumption Sheet'!$L31,('Assumption Sheet'!$M31+'Assumption Sheet'!$P31)*'Assumption Sheet'!$S31*'Assumption Sheet'!$C31,0))/10^7</f>
        <v>0</v>
      </c>
      <c r="CH58" s="33">
        <f>(IF(CH$1='Assumption Sheet'!$L31,('Assumption Sheet'!$M31+'Assumption Sheet'!$P31)*'Assumption Sheet'!$S31*'Assumption Sheet'!$C31,0))/10^7</f>
        <v>0</v>
      </c>
      <c r="CI58" s="33">
        <f>(IF(CI$1='Assumption Sheet'!$L31,('Assumption Sheet'!$M31+'Assumption Sheet'!$P31)*'Assumption Sheet'!$S31*'Assumption Sheet'!$C31,0))/10^7</f>
        <v>0</v>
      </c>
      <c r="CJ58" s="33">
        <f>(IF(CJ$1='Assumption Sheet'!$L31,('Assumption Sheet'!$M31+'Assumption Sheet'!$P31)*'Assumption Sheet'!$S31*'Assumption Sheet'!$C31,0))/10^7</f>
        <v>0</v>
      </c>
      <c r="CK58" s="33">
        <f>(IF(CK$1='Assumption Sheet'!$L31,('Assumption Sheet'!$M31+'Assumption Sheet'!$P31)*'Assumption Sheet'!$S31*'Assumption Sheet'!$C31,0))/10^7</f>
        <v>0</v>
      </c>
      <c r="CL58" s="33">
        <f>(IF(CL$1='Assumption Sheet'!$L31,('Assumption Sheet'!$M31+'Assumption Sheet'!$P31)*'Assumption Sheet'!$S31*'Assumption Sheet'!$C31,0))/10^7</f>
        <v>0</v>
      </c>
      <c r="CM58" s="33">
        <f>(IF(CM$1='Assumption Sheet'!$L31,('Assumption Sheet'!$M31+'Assumption Sheet'!$P31)*'Assumption Sheet'!$S31*'Assumption Sheet'!$C31,0))/10^7</f>
        <v>0</v>
      </c>
      <c r="CN58" s="33">
        <f>(IF(CN$1='Assumption Sheet'!$L31,('Assumption Sheet'!$M31+'Assumption Sheet'!$P31)*'Assumption Sheet'!$S31*'Assumption Sheet'!$C31,0))/10^7</f>
        <v>0</v>
      </c>
      <c r="CO58" s="33">
        <f>(IF(CO$1='Assumption Sheet'!$L31,('Assumption Sheet'!$M31+'Assumption Sheet'!$P31)*'Assumption Sheet'!$S31*'Assumption Sheet'!$C31,0))/10^7</f>
        <v>0</v>
      </c>
      <c r="CP58" s="33">
        <f>(IF(CP$1='Assumption Sheet'!$L31,('Assumption Sheet'!$M31+'Assumption Sheet'!$P31)*'Assumption Sheet'!$S31*'Assumption Sheet'!$C31,0))/10^7</f>
        <v>0</v>
      </c>
      <c r="CQ58" s="33">
        <f>(IF(CQ$1='Assumption Sheet'!$L31,('Assumption Sheet'!$M31+'Assumption Sheet'!$P31)*'Assumption Sheet'!$S31*'Assumption Sheet'!$C31,0))/10^7</f>
        <v>0</v>
      </c>
      <c r="CR58" s="33">
        <f>(IF(CR$1='Assumption Sheet'!$L31,('Assumption Sheet'!$M31+'Assumption Sheet'!$P31)*'Assumption Sheet'!$S31*'Assumption Sheet'!$C31,0))/10^7</f>
        <v>0</v>
      </c>
      <c r="CS58" s="33">
        <f>(IF(CS$1='Assumption Sheet'!$L31,('Assumption Sheet'!$M31+'Assumption Sheet'!$P31)*'Assumption Sheet'!$S31*'Assumption Sheet'!$C31,0))/10^7</f>
        <v>0</v>
      </c>
      <c r="CT58" s="33">
        <f>(IF(CT$1='Assumption Sheet'!$L31,('Assumption Sheet'!$M31+'Assumption Sheet'!$P31)*'Assumption Sheet'!$S31*'Assumption Sheet'!$C31,0))/10^7</f>
        <v>0</v>
      </c>
      <c r="CU58" s="33">
        <f>(IF(CU$1='Assumption Sheet'!$L31,('Assumption Sheet'!$M31+'Assumption Sheet'!$P31)*'Assumption Sheet'!$S31*'Assumption Sheet'!$C31,0))/10^7</f>
        <v>0</v>
      </c>
      <c r="CV58" s="33">
        <f>(IF(CV$1='Assumption Sheet'!$L31,('Assumption Sheet'!$M31+'Assumption Sheet'!$P31)*'Assumption Sheet'!$S31*'Assumption Sheet'!$C31,0))/10^7</f>
        <v>0</v>
      </c>
      <c r="CW58" s="33">
        <f>(IF(CW$1='Assumption Sheet'!$L31,('Assumption Sheet'!$M31+'Assumption Sheet'!$P31)*'Assumption Sheet'!$S31*'Assumption Sheet'!$C31,0))/10^7</f>
        <v>0</v>
      </c>
      <c r="CX58" s="33">
        <f>(IF(CX$1='Assumption Sheet'!$L31,('Assumption Sheet'!$M31+'Assumption Sheet'!$P31)*'Assumption Sheet'!$S31*'Assumption Sheet'!$C31,0))/10^7</f>
        <v>0</v>
      </c>
      <c r="CY58" s="33">
        <f>(IF(CY$1='Assumption Sheet'!$L31,('Assumption Sheet'!$M31+'Assumption Sheet'!$P31)*'Assumption Sheet'!$S31*'Assumption Sheet'!$C31,0))/10^7</f>
        <v>0</v>
      </c>
      <c r="CZ58" s="33">
        <f>(IF(CZ$1='Assumption Sheet'!$L31,('Assumption Sheet'!$M31+'Assumption Sheet'!$P31)*'Assumption Sheet'!$S31*'Assumption Sheet'!$C31,0))/10^7</f>
        <v>0</v>
      </c>
      <c r="DA58" s="33">
        <f>(IF(DA$1='Assumption Sheet'!$L31,('Assumption Sheet'!$M31+'Assumption Sheet'!$P31)*'Assumption Sheet'!$S31*'Assumption Sheet'!$C31,0))/10^7</f>
        <v>0</v>
      </c>
      <c r="DB58" s="33">
        <f>(IF(DB$1='Assumption Sheet'!$L31,('Assumption Sheet'!$M31+'Assumption Sheet'!$P31)*'Assumption Sheet'!$S31*'Assumption Sheet'!$C31,0))/10^7</f>
        <v>0</v>
      </c>
      <c r="DC58" s="33">
        <f>(IF(DC$1='Assumption Sheet'!$L31,('Assumption Sheet'!$M31+'Assumption Sheet'!$P31)*'Assumption Sheet'!$S31*'Assumption Sheet'!$C31,0))/10^7</f>
        <v>0</v>
      </c>
      <c r="DD58" s="33">
        <f>(IF(DD$1='Assumption Sheet'!$L31,('Assumption Sheet'!$M31+'Assumption Sheet'!$P31)*'Assumption Sheet'!$S31*'Assumption Sheet'!$C31,0))/10^7</f>
        <v>0</v>
      </c>
      <c r="DE58" s="33">
        <f>(IF(DE$1='Assumption Sheet'!$L31,('Assumption Sheet'!$M31+'Assumption Sheet'!$P31)*'Assumption Sheet'!$S31*'Assumption Sheet'!$C31,0))/10^7</f>
        <v>0</v>
      </c>
      <c r="DF58" s="33">
        <f>(IF(DF$1='Assumption Sheet'!$L31,('Assumption Sheet'!$M31+'Assumption Sheet'!$P31)*'Assumption Sheet'!$S31*'Assumption Sheet'!$C31,0))/10^7</f>
        <v>0</v>
      </c>
      <c r="DG58" s="33">
        <f>(IF(DG$1='Assumption Sheet'!$L31,('Assumption Sheet'!$M31+'Assumption Sheet'!$P31)*'Assumption Sheet'!$S31*'Assumption Sheet'!$C31,0))/10^7</f>
        <v>0</v>
      </c>
      <c r="DH58" s="33">
        <f>(IF(DH$1='Assumption Sheet'!$L31,('Assumption Sheet'!$M31+'Assumption Sheet'!$P31)*'Assumption Sheet'!$S31*'Assumption Sheet'!$C31,0))/10^7</f>
        <v>0</v>
      </c>
      <c r="DI58" s="33">
        <f>(IF(DI$1='Assumption Sheet'!$L31,('Assumption Sheet'!$M31+'Assumption Sheet'!$P31)*'Assumption Sheet'!$S31*'Assumption Sheet'!$C31,0))/10^7</f>
        <v>0</v>
      </c>
      <c r="DJ58" s="33">
        <f>(IF(DJ$1='Assumption Sheet'!$L31,('Assumption Sheet'!$M31+'Assumption Sheet'!$P31)*'Assumption Sheet'!$S31*'Assumption Sheet'!$C31,0))/10^7</f>
        <v>0</v>
      </c>
      <c r="DK58" s="33">
        <f>(IF(DK$1='Assumption Sheet'!$L31,('Assumption Sheet'!$M31+'Assumption Sheet'!$P31)*'Assumption Sheet'!$S31*'Assumption Sheet'!$C31,0))/10^7</f>
        <v>0</v>
      </c>
      <c r="DL58" s="33">
        <f>(IF(DL$1='Assumption Sheet'!$L31,('Assumption Sheet'!$M31+'Assumption Sheet'!$P31)*'Assumption Sheet'!$S31*'Assumption Sheet'!$C31,0))/10^7</f>
        <v>0</v>
      </c>
      <c r="DM58" s="33">
        <f>(IF(DM$1='Assumption Sheet'!$L31,('Assumption Sheet'!$M31+'Assumption Sheet'!$P31)*'Assumption Sheet'!$S31*'Assumption Sheet'!$C31,0))/10^7</f>
        <v>0</v>
      </c>
      <c r="DN58" s="33">
        <f>(IF(DN$1='Assumption Sheet'!$L31,('Assumption Sheet'!$M31+'Assumption Sheet'!$P31)*'Assumption Sheet'!$S31*'Assumption Sheet'!$C31,0))/10^7</f>
        <v>0</v>
      </c>
      <c r="DO58" s="33">
        <f>(IF(DO$1='Assumption Sheet'!$L31,('Assumption Sheet'!$M31+'Assumption Sheet'!$P31)*'Assumption Sheet'!$S31*'Assumption Sheet'!$C31,0))/10^7</f>
        <v>0</v>
      </c>
      <c r="DP58" s="33">
        <f>(IF(DP$1='Assumption Sheet'!$L31,('Assumption Sheet'!$M31+'Assumption Sheet'!$P31)*'Assumption Sheet'!$S31*'Assumption Sheet'!$C31,0))/10^7</f>
        <v>0</v>
      </c>
      <c r="DQ58" s="33">
        <f>(IF(DQ$1='Assumption Sheet'!$L31,('Assumption Sheet'!$M31+'Assumption Sheet'!$P31)*'Assumption Sheet'!$S31*'Assumption Sheet'!$C31,0))/10^7</f>
        <v>0</v>
      </c>
      <c r="DR58" s="33">
        <f>(IF(DR$1='Assumption Sheet'!$L31,('Assumption Sheet'!$M31+'Assumption Sheet'!$P31)*'Assumption Sheet'!$S31*'Assumption Sheet'!$C31,0))/10^7</f>
        <v>0</v>
      </c>
      <c r="DS58" s="33">
        <f>(IF(DS$1='Assumption Sheet'!$L31,('Assumption Sheet'!$M31+'Assumption Sheet'!$P31)*'Assumption Sheet'!$S31*'Assumption Sheet'!$C31,0))/10^7</f>
        <v>0</v>
      </c>
      <c r="DT58" s="33">
        <f>(IF(DT$1='Assumption Sheet'!$L31,('Assumption Sheet'!$M31+'Assumption Sheet'!$P31)*'Assumption Sheet'!$S31*'Assumption Sheet'!$C31,0))/10^7</f>
        <v>0</v>
      </c>
      <c r="DU58" s="33">
        <f>(IF(DU$1='Assumption Sheet'!$L31,('Assumption Sheet'!$M31+'Assumption Sheet'!$P31)*'Assumption Sheet'!$S31*'Assumption Sheet'!$C31,0))/10^7</f>
        <v>0</v>
      </c>
      <c r="DV58" s="33">
        <f>(IF(DV$1='Assumption Sheet'!$L31,('Assumption Sheet'!$M31+'Assumption Sheet'!$P31)*'Assumption Sheet'!$S31*'Assumption Sheet'!$C31,0))/10^7</f>
        <v>0</v>
      </c>
      <c r="DW58" s="33">
        <f>(IF(DW$1='Assumption Sheet'!$L31,('Assumption Sheet'!$M31+'Assumption Sheet'!$P31)*'Assumption Sheet'!$S31*'Assumption Sheet'!$C31,0))/10^7</f>
        <v>0</v>
      </c>
      <c r="DX58" s="33">
        <f>(IF(DX$1='Assumption Sheet'!$L31,('Assumption Sheet'!$M31+'Assumption Sheet'!$P31)*'Assumption Sheet'!$S31*'Assumption Sheet'!$C31,0))/10^7</f>
        <v>0</v>
      </c>
      <c r="DY58" s="33">
        <f>(IF(DY$1='Assumption Sheet'!$L31,('Assumption Sheet'!$M31+'Assumption Sheet'!$P31)*'Assumption Sheet'!$S31*'Assumption Sheet'!$C31,0))/10^7</f>
        <v>0</v>
      </c>
      <c r="DZ58" s="33">
        <f>(IF(DZ$1='Assumption Sheet'!$L31,('Assumption Sheet'!$M31+'Assumption Sheet'!$P31)*'Assumption Sheet'!$S31*'Assumption Sheet'!$C31,0))/10^7</f>
        <v>0</v>
      </c>
      <c r="EA58" s="33">
        <f>(IF(EA$1='Assumption Sheet'!$L31,('Assumption Sheet'!$M31+'Assumption Sheet'!$P31)*'Assumption Sheet'!$S31*'Assumption Sheet'!$C31,0))/10^7</f>
        <v>0</v>
      </c>
      <c r="EB58" s="33">
        <f>(IF(EB$1='Assumption Sheet'!$L31,('Assumption Sheet'!$M31+'Assumption Sheet'!$P31)*'Assumption Sheet'!$S31*'Assumption Sheet'!$C31,0))/10^7</f>
        <v>0</v>
      </c>
      <c r="EC58" s="33">
        <f>(IF(EC$1='Assumption Sheet'!$L31,('Assumption Sheet'!$M31+'Assumption Sheet'!$P31)*'Assumption Sheet'!$S31*'Assumption Sheet'!$C31,0))/10^7</f>
        <v>0</v>
      </c>
      <c r="ED58" s="33">
        <f>(IF(ED$1='Assumption Sheet'!$L31,('Assumption Sheet'!$M31+'Assumption Sheet'!$P31)*'Assumption Sheet'!$S31*'Assumption Sheet'!$C31,0))/10^7</f>
        <v>0</v>
      </c>
      <c r="EE58" s="33">
        <f>(IF(EE$1='Assumption Sheet'!$L31,('Assumption Sheet'!$M31+'Assumption Sheet'!$P31)*'Assumption Sheet'!$S31*'Assumption Sheet'!$C31,0))/10^7</f>
        <v>0</v>
      </c>
      <c r="EF58" s="33">
        <f>(IF(EF$1='Assumption Sheet'!$L31,('Assumption Sheet'!$M31+'Assumption Sheet'!$P31)*'Assumption Sheet'!$S31*'Assumption Sheet'!$C31,0))/10^7</f>
        <v>0</v>
      </c>
      <c r="EG58" s="33">
        <f>(IF(EG$1='Assumption Sheet'!$L31,('Assumption Sheet'!$M31+'Assumption Sheet'!$P31)*'Assumption Sheet'!$S31*'Assumption Sheet'!$C31,0))/10^7</f>
        <v>0</v>
      </c>
      <c r="EH58" s="33">
        <f>(IF(EH$1='Assumption Sheet'!$L31,('Assumption Sheet'!$M31+'Assumption Sheet'!$P31)*'Assumption Sheet'!$S31*'Assumption Sheet'!$C31,0))/10^7</f>
        <v>0</v>
      </c>
      <c r="EI58" s="33">
        <f>(IF(EI$1='Assumption Sheet'!$L31,('Assumption Sheet'!$M31+'Assumption Sheet'!$P31)*'Assumption Sheet'!$S31*'Assumption Sheet'!$C31,0))/10^7</f>
        <v>0</v>
      </c>
      <c r="EJ58" s="33">
        <f>(IF(EJ$1='Assumption Sheet'!$L31,('Assumption Sheet'!$M31+'Assumption Sheet'!$P31)*'Assumption Sheet'!$S31*'Assumption Sheet'!$C31,0))/10^7</f>
        <v>0</v>
      </c>
      <c r="EK58" s="33">
        <f>(IF(EK$1='Assumption Sheet'!$L31,('Assumption Sheet'!$M31+'Assumption Sheet'!$P31)*'Assumption Sheet'!$S31*'Assumption Sheet'!$C31,0))/10^7</f>
        <v>0</v>
      </c>
      <c r="EL58" s="33">
        <f>(IF(EL$1='Assumption Sheet'!$L31,('Assumption Sheet'!$M31+'Assumption Sheet'!$P31)*'Assumption Sheet'!$S31*'Assumption Sheet'!$C31,0))/10^7</f>
        <v>0</v>
      </c>
      <c r="EM58" s="33">
        <f>(IF(EM$1='Assumption Sheet'!$L31,('Assumption Sheet'!$M31+'Assumption Sheet'!$P31)*'Assumption Sheet'!$S31*'Assumption Sheet'!$C31,0))/10^7</f>
        <v>0</v>
      </c>
      <c r="EN58" s="33">
        <f>(IF(EN$1='Assumption Sheet'!$L31,('Assumption Sheet'!$M31+'Assumption Sheet'!$P31)*'Assumption Sheet'!$S31*'Assumption Sheet'!$C31,0))/10^7</f>
        <v>0</v>
      </c>
      <c r="EO58" s="33">
        <f>(IF(EO$1='Assumption Sheet'!$L31,('Assumption Sheet'!$M31+'Assumption Sheet'!$P31)*'Assumption Sheet'!$S31*'Assumption Sheet'!$C31,0))/10^7</f>
        <v>0</v>
      </c>
      <c r="EP58" s="33">
        <f>(IF(EP$1='Assumption Sheet'!$L31,('Assumption Sheet'!$M31+'Assumption Sheet'!$P31)*'Assumption Sheet'!$S31*'Assumption Sheet'!$C31,0))/10^7</f>
        <v>0</v>
      </c>
      <c r="EQ58" s="33">
        <f>(IF(EQ$1='Assumption Sheet'!$L31,('Assumption Sheet'!$M31+'Assumption Sheet'!$P31)*'Assumption Sheet'!$S31*'Assumption Sheet'!$C31,0))/10^7</f>
        <v>0</v>
      </c>
      <c r="ER58" s="33">
        <f>(IF(ER$1='Assumption Sheet'!$L31,('Assumption Sheet'!$M31+'Assumption Sheet'!$P31)*'Assumption Sheet'!$S31*'Assumption Sheet'!$C31,0))/10^7</f>
        <v>0</v>
      </c>
      <c r="ES58" s="33">
        <f>(IF(ES$1='Assumption Sheet'!$L31,('Assumption Sheet'!$M31+'Assumption Sheet'!$P31)*'Assumption Sheet'!$S31*'Assumption Sheet'!$C31,0))/10^7</f>
        <v>0</v>
      </c>
      <c r="ET58" s="33">
        <f>(IF(ET$1='Assumption Sheet'!$L31,('Assumption Sheet'!$M31+'Assumption Sheet'!$P31)*'Assumption Sheet'!$S31*'Assumption Sheet'!$C31,0))/10^7</f>
        <v>0</v>
      </c>
      <c r="EU58" s="33">
        <f>(IF(EU$1='Assumption Sheet'!$L31,('Assumption Sheet'!$M31+'Assumption Sheet'!$P31)*'Assumption Sheet'!$S31*'Assumption Sheet'!$C31,0))/10^7</f>
        <v>0</v>
      </c>
      <c r="EV58" s="33">
        <f>(IF(EV$1='Assumption Sheet'!$L31,('Assumption Sheet'!$M31+'Assumption Sheet'!$P31)*'Assumption Sheet'!$S31*'Assumption Sheet'!$C31,0))/10^7</f>
        <v>0</v>
      </c>
      <c r="EW58" s="33">
        <f>(IF(EW$1='Assumption Sheet'!$L31,('Assumption Sheet'!$M31+'Assumption Sheet'!$P31)*'Assumption Sheet'!$S31*'Assumption Sheet'!$C31,0))/10^7</f>
        <v>0</v>
      </c>
      <c r="EX58" s="33">
        <f>(IF(EX$1='Assumption Sheet'!$L31,('Assumption Sheet'!$M31+'Assumption Sheet'!$P31)*'Assumption Sheet'!$S31*'Assumption Sheet'!$C31,0))/10^7</f>
        <v>0</v>
      </c>
      <c r="EY58" s="33">
        <f>(IF(EY$1='Assumption Sheet'!$L31,('Assumption Sheet'!$M31+'Assumption Sheet'!$P31)*'Assumption Sheet'!$S31*'Assumption Sheet'!$C31,0))/10^7</f>
        <v>0</v>
      </c>
      <c r="EZ58" s="33">
        <f>(IF(EZ$1='Assumption Sheet'!$L31,('Assumption Sheet'!$M31+'Assumption Sheet'!$P31)*'Assumption Sheet'!$S31*'Assumption Sheet'!$C31,0))/10^7</f>
        <v>0</v>
      </c>
      <c r="FA58" s="33">
        <f>(IF(FA$1='Assumption Sheet'!$L31,('Assumption Sheet'!$M31+'Assumption Sheet'!$P31)*'Assumption Sheet'!$S31*'Assumption Sheet'!$C31,0))/10^7</f>
        <v>0</v>
      </c>
      <c r="FB58" s="33">
        <f>(IF(FB$1='Assumption Sheet'!$L31,('Assumption Sheet'!$M31+'Assumption Sheet'!$P31)*'Assumption Sheet'!$S31*'Assumption Sheet'!$C31,0))/10^7</f>
        <v>0</v>
      </c>
      <c r="FC58" s="33">
        <f>(IF(FC$1='Assumption Sheet'!$L31,('Assumption Sheet'!$M31+'Assumption Sheet'!$P31)*'Assumption Sheet'!$S31*'Assumption Sheet'!$C31,0))/10^7</f>
        <v>0</v>
      </c>
      <c r="FD58" s="33">
        <f>(IF(FD$1='Assumption Sheet'!$L31,('Assumption Sheet'!$M31+'Assumption Sheet'!$P31)*'Assumption Sheet'!$S31*'Assumption Sheet'!$C31,0))/10^7</f>
        <v>0</v>
      </c>
      <c r="FE58" s="33">
        <f>(IF(FE$1='Assumption Sheet'!$L31,('Assumption Sheet'!$M31+'Assumption Sheet'!$P31)*'Assumption Sheet'!$S31*'Assumption Sheet'!$C31,0))/10^7</f>
        <v>0</v>
      </c>
      <c r="FF58" s="33">
        <f>(IF(FF$1='Assumption Sheet'!$L31,('Assumption Sheet'!$M31+'Assumption Sheet'!$P31)*'Assumption Sheet'!$S31*'Assumption Sheet'!$C31,0))/10^7</f>
        <v>0</v>
      </c>
      <c r="FG58" s="33">
        <f>(IF(FG$1='Assumption Sheet'!$L31,('Assumption Sheet'!$M31+'Assumption Sheet'!$P31)*'Assumption Sheet'!$S31*'Assumption Sheet'!$C31,0))/10^7</f>
        <v>0</v>
      </c>
      <c r="FH58" s="33">
        <f>(IF(FH$1='Assumption Sheet'!$L31,('Assumption Sheet'!$M31+'Assumption Sheet'!$P31)*'Assumption Sheet'!$S31*'Assumption Sheet'!$C31,0))/10^7</f>
        <v>0</v>
      </c>
      <c r="FI58" s="33">
        <f>(IF(FI$1='Assumption Sheet'!$L31,('Assumption Sheet'!$M31+'Assumption Sheet'!$P31)*'Assumption Sheet'!$S31*'Assumption Sheet'!$C31,0))/10^7</f>
        <v>0</v>
      </c>
      <c r="FJ58" s="33">
        <f>(IF(FJ$1='Assumption Sheet'!$L31,('Assumption Sheet'!$M31+'Assumption Sheet'!$P31)*'Assumption Sheet'!$S31*'Assumption Sheet'!$C31,0))/10^7</f>
        <v>0</v>
      </c>
      <c r="FK58" s="33">
        <f>(IF(FK$1='Assumption Sheet'!$L31,('Assumption Sheet'!$M31+'Assumption Sheet'!$P31)*'Assumption Sheet'!$S31*'Assumption Sheet'!$C31,0))/10^7</f>
        <v>0</v>
      </c>
      <c r="FL58" s="33">
        <f>(IF(FL$1='Assumption Sheet'!$L31,('Assumption Sheet'!$M31+'Assumption Sheet'!$P31)*'Assumption Sheet'!$S31*'Assumption Sheet'!$C31,0))/10^7</f>
        <v>0</v>
      </c>
      <c r="FM58" s="33">
        <f>(IF(FM$1='Assumption Sheet'!$L31,('Assumption Sheet'!$M31+'Assumption Sheet'!$P31)*'Assumption Sheet'!$S31*'Assumption Sheet'!$C31,0))/10^7</f>
        <v>0</v>
      </c>
      <c r="FN58" s="33">
        <f>(IF(FN$1='Assumption Sheet'!$L31,('Assumption Sheet'!$M31+'Assumption Sheet'!$P31)*'Assumption Sheet'!$S31*'Assumption Sheet'!$C31,0))/10^7</f>
        <v>0</v>
      </c>
      <c r="FO58" s="33">
        <f>(IF(FO$1='Assumption Sheet'!$L31,('Assumption Sheet'!$M31+'Assumption Sheet'!$P31)*'Assumption Sheet'!$S31*'Assumption Sheet'!$C31,0))/10^7</f>
        <v>0</v>
      </c>
      <c r="FP58" s="33">
        <f>(IF(FP$1='Assumption Sheet'!$L31,('Assumption Sheet'!$M31+'Assumption Sheet'!$P31)*'Assumption Sheet'!$S31*'Assumption Sheet'!$C31,0))/10^7</f>
        <v>0</v>
      </c>
      <c r="FQ58" s="33">
        <f>(IF(FQ$1='Assumption Sheet'!$L31,('Assumption Sheet'!$M31+'Assumption Sheet'!$P31)*'Assumption Sheet'!$S31*'Assumption Sheet'!$C31,0))/10^7</f>
        <v>0</v>
      </c>
      <c r="FR58" s="33">
        <f>(IF(FR$1='Assumption Sheet'!$L31,('Assumption Sheet'!$M31+'Assumption Sheet'!$P31)*'Assumption Sheet'!$S31*'Assumption Sheet'!$C31,0))/10^7</f>
        <v>0</v>
      </c>
      <c r="FS58" s="33">
        <f>(IF(FS$1='Assumption Sheet'!$L31,('Assumption Sheet'!$M31+'Assumption Sheet'!$P31)*'Assumption Sheet'!$S31*'Assumption Sheet'!$C31,0))/10^7</f>
        <v>0</v>
      </c>
      <c r="FT58" s="33">
        <f>(IF(FT$1='Assumption Sheet'!$L31,('Assumption Sheet'!$M31+'Assumption Sheet'!$P31)*'Assumption Sheet'!$S31*'Assumption Sheet'!$C31,0))/10^7</f>
        <v>0</v>
      </c>
      <c r="FU58" s="33">
        <f>(IF(FU$1='Assumption Sheet'!$L31,('Assumption Sheet'!$M31+'Assumption Sheet'!$P31)*'Assumption Sheet'!$S31*'Assumption Sheet'!$C31,0))/10^7</f>
        <v>0</v>
      </c>
      <c r="FV58" s="33">
        <f>(IF(FV$1='Assumption Sheet'!$L31,('Assumption Sheet'!$M31+'Assumption Sheet'!$P31)*'Assumption Sheet'!$S31*'Assumption Sheet'!$C31,0))/10^7</f>
        <v>0</v>
      </c>
      <c r="FW58" s="33">
        <f>(IF(FW$1='Assumption Sheet'!$L31,('Assumption Sheet'!$M31+'Assumption Sheet'!$P31)*'Assumption Sheet'!$S31*'Assumption Sheet'!$C31,0))/10^7</f>
        <v>0</v>
      </c>
      <c r="FX58" s="33">
        <f>(IF(FX$1='Assumption Sheet'!$L31,('Assumption Sheet'!$M31+'Assumption Sheet'!$P31)*'Assumption Sheet'!$S31*'Assumption Sheet'!$C31,0))/10^7</f>
        <v>0</v>
      </c>
      <c r="FY58" s="33">
        <f>(IF(FY$1='Assumption Sheet'!$L31,('Assumption Sheet'!$M31+'Assumption Sheet'!$P31)*'Assumption Sheet'!$S31*'Assumption Sheet'!$C31,0))/10^7</f>
        <v>0</v>
      </c>
      <c r="FZ58" s="33">
        <f>(IF(FZ$1='Assumption Sheet'!$L31,('Assumption Sheet'!$M31+'Assumption Sheet'!$P31)*'Assumption Sheet'!$S31*'Assumption Sheet'!$C31,0))/10^7</f>
        <v>0</v>
      </c>
      <c r="GA58" s="33">
        <f>(IF(GA$1='Assumption Sheet'!$L31,('Assumption Sheet'!$M31+'Assumption Sheet'!$P31)*'Assumption Sheet'!$S31*'Assumption Sheet'!$C31,0))/10^7</f>
        <v>0</v>
      </c>
      <c r="GB58" s="33">
        <f>(IF(GB$1='Assumption Sheet'!$L31,('Assumption Sheet'!$M31+'Assumption Sheet'!$P31)*'Assumption Sheet'!$S31*'Assumption Sheet'!$C31,0))/10^7</f>
        <v>0</v>
      </c>
      <c r="GC58" s="33">
        <f>(IF(GC$1='Assumption Sheet'!$L31,('Assumption Sheet'!$M31+'Assumption Sheet'!$P31)*'Assumption Sheet'!$S31*'Assumption Sheet'!$C31,0))/10^7</f>
        <v>0</v>
      </c>
      <c r="GD58" s="33">
        <f>(IF(GD$1='Assumption Sheet'!$L31,('Assumption Sheet'!$M31+'Assumption Sheet'!$P31)*'Assumption Sheet'!$S31*'Assumption Sheet'!$C31,0))/10^7</f>
        <v>0</v>
      </c>
      <c r="GE58" s="33">
        <f>(IF(GE$1='Assumption Sheet'!$L31,('Assumption Sheet'!$M31+'Assumption Sheet'!$P31)*'Assumption Sheet'!$S31*'Assumption Sheet'!$C31,0))/10^7</f>
        <v>0</v>
      </c>
      <c r="GF58" s="33">
        <f>(IF(GF$1='Assumption Sheet'!$L31,('Assumption Sheet'!$M31+'Assumption Sheet'!$P31)*'Assumption Sheet'!$S31*'Assumption Sheet'!$C31,0))/10^7</f>
        <v>0</v>
      </c>
      <c r="GG58" s="33">
        <f>(IF(GG$1='Assumption Sheet'!$L31,('Assumption Sheet'!$M31+'Assumption Sheet'!$P31)*'Assumption Sheet'!$S31*'Assumption Sheet'!$C31,0))/10^7</f>
        <v>0</v>
      </c>
      <c r="GH58" s="33">
        <f>(IF(GH$1='Assumption Sheet'!$L31,('Assumption Sheet'!$M31+'Assumption Sheet'!$P31)*'Assumption Sheet'!$S31*'Assumption Sheet'!$C31,0))/10^7</f>
        <v>0</v>
      </c>
      <c r="GI58" s="33">
        <f>(IF(GI$1='Assumption Sheet'!$L31,('Assumption Sheet'!$M31+'Assumption Sheet'!$P31)*'Assumption Sheet'!$S31*'Assumption Sheet'!$C31,0))/10^7</f>
        <v>0</v>
      </c>
      <c r="GJ58" s="33">
        <f>(IF(GJ$1='Assumption Sheet'!$L31,('Assumption Sheet'!$M31+'Assumption Sheet'!$P31)*'Assumption Sheet'!$S31*'Assumption Sheet'!$C31,0))/10^7</f>
        <v>0</v>
      </c>
      <c r="GK58" s="33">
        <f>(IF(GK$1='Assumption Sheet'!$L31,('Assumption Sheet'!$M31+'Assumption Sheet'!$P31)*'Assumption Sheet'!$S31*'Assumption Sheet'!$C31,0))/10^7</f>
        <v>0</v>
      </c>
      <c r="GL58" s="33">
        <f>(IF(GL$1='Assumption Sheet'!$L31,('Assumption Sheet'!$M31+'Assumption Sheet'!$P31)*'Assumption Sheet'!$S31*'Assumption Sheet'!$C31,0))/10^7</f>
        <v>0</v>
      </c>
      <c r="GM58" s="33">
        <f>(IF(GM$1='Assumption Sheet'!$L31,('Assumption Sheet'!$M31+'Assumption Sheet'!$P31)*'Assumption Sheet'!$S31*'Assumption Sheet'!$C31,0))/10^7</f>
        <v>0</v>
      </c>
      <c r="GN58" s="33">
        <f>(IF(GN$1='Assumption Sheet'!$L31,('Assumption Sheet'!$M31+'Assumption Sheet'!$P31)*'Assumption Sheet'!$S31*'Assumption Sheet'!$C31,0))/10^7</f>
        <v>0</v>
      </c>
      <c r="GO58" s="33">
        <f>(IF(GO$1='Assumption Sheet'!$L31,('Assumption Sheet'!$M31+'Assumption Sheet'!$P31)*'Assumption Sheet'!$S31*'Assumption Sheet'!$C31,0))/10^7</f>
        <v>0</v>
      </c>
      <c r="GP58" s="33">
        <f>(IF(GP$1='Assumption Sheet'!$L31,('Assumption Sheet'!$M31+'Assumption Sheet'!$P31)*'Assumption Sheet'!$S31*'Assumption Sheet'!$C31,0))/10^7</f>
        <v>0</v>
      </c>
      <c r="GQ58" s="33">
        <f>(IF(GQ$1='Assumption Sheet'!$L31,('Assumption Sheet'!$M31+'Assumption Sheet'!$P31)*'Assumption Sheet'!$S31*'Assumption Sheet'!$C31,0))/10^7</f>
        <v>0</v>
      </c>
      <c r="GR58" s="33">
        <f>(IF(GR$1='Assumption Sheet'!$L31,('Assumption Sheet'!$M31+'Assumption Sheet'!$P31)*'Assumption Sheet'!$S31*'Assumption Sheet'!$C31,0))/10^7</f>
        <v>0</v>
      </c>
      <c r="GS58" s="33">
        <f>(IF(GS$1='Assumption Sheet'!$L31,('Assumption Sheet'!$M31+'Assumption Sheet'!$P31)*'Assumption Sheet'!$S31*'Assumption Sheet'!$C31,0))/10^7</f>
        <v>0</v>
      </c>
      <c r="GT58" s="33">
        <f>(IF(GT$1='Assumption Sheet'!$L31,('Assumption Sheet'!$M31+'Assumption Sheet'!$P31)*'Assumption Sheet'!$S31*'Assumption Sheet'!$C31,0))/10^7</f>
        <v>0</v>
      </c>
      <c r="GU58" s="33">
        <f>(IF(GU$1='Assumption Sheet'!$L31,('Assumption Sheet'!$M31+'Assumption Sheet'!$P31)*'Assumption Sheet'!$S31*'Assumption Sheet'!$C31,0))/10^7</f>
        <v>0</v>
      </c>
      <c r="GV58" s="33">
        <f>(IF(GV$1='Assumption Sheet'!$L31,('Assumption Sheet'!$M31+'Assumption Sheet'!$P31)*'Assumption Sheet'!$S31*'Assumption Sheet'!$C31,0))/10^7</f>
        <v>0</v>
      </c>
      <c r="GW58" s="33">
        <f>(IF(GW$1='Assumption Sheet'!$L31,('Assumption Sheet'!$M31+'Assumption Sheet'!$P31)*'Assumption Sheet'!$S31*'Assumption Sheet'!$C31,0))/10^7</f>
        <v>0</v>
      </c>
      <c r="GX58" s="33">
        <f>(IF(GX$1='Assumption Sheet'!$L31,('Assumption Sheet'!$M31+'Assumption Sheet'!$P31)*'Assumption Sheet'!$S31*'Assumption Sheet'!$C31,0))/10^7</f>
        <v>0</v>
      </c>
      <c r="GY58" s="33">
        <f>(IF(GY$1='Assumption Sheet'!$L31,('Assumption Sheet'!$M31+'Assumption Sheet'!$P31)*'Assumption Sheet'!$S31*'Assumption Sheet'!$C31,0))/10^7</f>
        <v>0</v>
      </c>
      <c r="GZ58" s="33">
        <f>(IF(GZ$1='Assumption Sheet'!$L31,('Assumption Sheet'!$M31+'Assumption Sheet'!$P31)*'Assumption Sheet'!$S31*'Assumption Sheet'!$C31,0))/10^7</f>
        <v>0</v>
      </c>
      <c r="HA58" s="33">
        <f>(IF(HA$1='Assumption Sheet'!$L31,('Assumption Sheet'!$M31+'Assumption Sheet'!$P31)*'Assumption Sheet'!$S31*'Assumption Sheet'!$C31,0))/10^7</f>
        <v>0</v>
      </c>
      <c r="HB58" s="33">
        <f>(IF(HB$1='Assumption Sheet'!$L31,('Assumption Sheet'!$M31+'Assumption Sheet'!$P31)*'Assumption Sheet'!$S31*'Assumption Sheet'!$C31,0))/10^7</f>
        <v>0</v>
      </c>
      <c r="HC58" s="33">
        <f>(IF(HC$1='Assumption Sheet'!$L31,('Assumption Sheet'!$M31+'Assumption Sheet'!$P31)*'Assumption Sheet'!$S31*'Assumption Sheet'!$C31,0))/10^7</f>
        <v>0</v>
      </c>
      <c r="HD58" s="33">
        <f>(IF(HD$1='Assumption Sheet'!$L31,('Assumption Sheet'!$M31+'Assumption Sheet'!$P31)*'Assumption Sheet'!$S31*'Assumption Sheet'!$C31,0))/10^7</f>
        <v>0</v>
      </c>
      <c r="HE58" s="33">
        <f>(IF(HE$1='Assumption Sheet'!$L31,('Assumption Sheet'!$M31+'Assumption Sheet'!$P31)*'Assumption Sheet'!$S31*'Assumption Sheet'!$C31,0))/10^7</f>
        <v>0</v>
      </c>
      <c r="HF58" s="33">
        <f>(IF(HF$1='Assumption Sheet'!$L31,('Assumption Sheet'!$M31+'Assumption Sheet'!$P31)*'Assumption Sheet'!$S31*'Assumption Sheet'!$C31,0))/10^7</f>
        <v>0</v>
      </c>
      <c r="HG58" s="33">
        <f>(IF(HG$1='Assumption Sheet'!$L31,('Assumption Sheet'!$M31+'Assumption Sheet'!$P31)*'Assumption Sheet'!$S31*'Assumption Sheet'!$C31,0))/10^7</f>
        <v>0</v>
      </c>
      <c r="HH58" s="33">
        <f>(IF(HH$1='Assumption Sheet'!$L31,('Assumption Sheet'!$M31+'Assumption Sheet'!$P31)*'Assumption Sheet'!$S31*'Assumption Sheet'!$C31,0))/10^7</f>
        <v>0</v>
      </c>
      <c r="HI58" s="33">
        <f>(IF(HI$1='Assumption Sheet'!$L31,('Assumption Sheet'!$M31+'Assumption Sheet'!$P31)*'Assumption Sheet'!$S31*'Assumption Sheet'!$C31,0))/10^7</f>
        <v>0</v>
      </c>
      <c r="HJ58" s="33">
        <f>(IF(HJ$1='Assumption Sheet'!$L31,('Assumption Sheet'!$M31+'Assumption Sheet'!$P31)*'Assumption Sheet'!$S31*'Assumption Sheet'!$C31,0))/10^7</f>
        <v>0</v>
      </c>
      <c r="HK58" s="33">
        <f>(IF(HK$1='Assumption Sheet'!$L31,('Assumption Sheet'!$M31+'Assumption Sheet'!$P31)*'Assumption Sheet'!$S31*'Assumption Sheet'!$C31,0))/10^7</f>
        <v>0</v>
      </c>
      <c r="HL58" s="33">
        <f>(IF(HL$1='Assumption Sheet'!$L31,('Assumption Sheet'!$M31+'Assumption Sheet'!$P31)*'Assumption Sheet'!$S31*'Assumption Sheet'!$C31,0))/10^7</f>
        <v>0</v>
      </c>
      <c r="HM58" s="33">
        <f>(IF(HM$1='Assumption Sheet'!$L31,('Assumption Sheet'!$M31+'Assumption Sheet'!$P31)*'Assumption Sheet'!$S31*'Assumption Sheet'!$C31,0))/10^7</f>
        <v>0</v>
      </c>
      <c r="HN58" s="33">
        <f>(IF(HN$1='Assumption Sheet'!$L31,('Assumption Sheet'!$M31+'Assumption Sheet'!$P31)*'Assumption Sheet'!$S31*'Assumption Sheet'!$C31,0))/10^7</f>
        <v>0</v>
      </c>
      <c r="HO58" s="33">
        <f>(IF(HO$1='Assumption Sheet'!$L31,('Assumption Sheet'!$M31+'Assumption Sheet'!$P31)*'Assumption Sheet'!$S31*'Assumption Sheet'!$C31,0))/10^7</f>
        <v>0</v>
      </c>
      <c r="HP58" s="33">
        <f>(IF(HP$1='Assumption Sheet'!$L31,('Assumption Sheet'!$M31+'Assumption Sheet'!$P31)*'Assumption Sheet'!$S31*'Assumption Sheet'!$C31,0))/10^7</f>
        <v>0</v>
      </c>
      <c r="HQ58" s="33">
        <f>(IF(HQ$1='Assumption Sheet'!$L31,('Assumption Sheet'!$M31+'Assumption Sheet'!$P31)*'Assumption Sheet'!$S31*'Assumption Sheet'!$C31,0))/10^7</f>
        <v>0</v>
      </c>
      <c r="HR58" s="33">
        <f>(IF(HR$1='Assumption Sheet'!$L31,('Assumption Sheet'!$M31+'Assumption Sheet'!$P31)*'Assumption Sheet'!$S31*'Assumption Sheet'!$C31,0))/10^7</f>
        <v>0</v>
      </c>
      <c r="HS58" s="33">
        <f>(IF(HS$1='Assumption Sheet'!$L31,('Assumption Sheet'!$M31+'Assumption Sheet'!$P31)*'Assumption Sheet'!$S31*'Assumption Sheet'!$C31,0))/10^7</f>
        <v>0</v>
      </c>
      <c r="HT58" s="33">
        <f>(IF(HT$1='Assumption Sheet'!$L31,('Assumption Sheet'!$M31+'Assumption Sheet'!$P31)*'Assumption Sheet'!$S31*'Assumption Sheet'!$C31,0))/10^7</f>
        <v>0</v>
      </c>
      <c r="HU58" s="33">
        <f>(IF(HU$1='Assumption Sheet'!$L31,('Assumption Sheet'!$M31+'Assumption Sheet'!$P31)*'Assumption Sheet'!$S31*'Assumption Sheet'!$C31,0))/10^7</f>
        <v>0</v>
      </c>
      <c r="HV58" s="33">
        <f>(IF(HV$1='Assumption Sheet'!$L31,('Assumption Sheet'!$M31+'Assumption Sheet'!$P31)*'Assumption Sheet'!$S31*'Assumption Sheet'!$C31,0))/10^7</f>
        <v>0</v>
      </c>
      <c r="HW58" s="33">
        <f>(IF(HW$1='Assumption Sheet'!$L31,('Assumption Sheet'!$M31+'Assumption Sheet'!$P31)*'Assumption Sheet'!$S31*'Assumption Sheet'!$C31,0))/10^7</f>
        <v>0</v>
      </c>
      <c r="HX58" s="33">
        <f>(IF(HX$1='Assumption Sheet'!$L31,('Assumption Sheet'!$M31+'Assumption Sheet'!$P31)*'Assumption Sheet'!$S31*'Assumption Sheet'!$C31,0))/10^7</f>
        <v>0</v>
      </c>
      <c r="HY58" s="33">
        <f>(IF(HY$1='Assumption Sheet'!$L31,('Assumption Sheet'!$M31+'Assumption Sheet'!$P31)*'Assumption Sheet'!$S31*'Assumption Sheet'!$C31,0))/10^7</f>
        <v>0</v>
      </c>
      <c r="HZ58" s="33">
        <f>(IF(HZ$1='Assumption Sheet'!$L31,('Assumption Sheet'!$M31+'Assumption Sheet'!$P31)*'Assumption Sheet'!$S31*'Assumption Sheet'!$C31,0))/10^7</f>
        <v>0</v>
      </c>
      <c r="IA58" s="33">
        <f>(IF(IA$1='Assumption Sheet'!$L31,('Assumption Sheet'!$M31+'Assumption Sheet'!$P31)*'Assumption Sheet'!$S31*'Assumption Sheet'!$C31,0))/10^7</f>
        <v>0</v>
      </c>
      <c r="IB58" s="33">
        <f>(IF(IB$1='Assumption Sheet'!$L31,('Assumption Sheet'!$M31+'Assumption Sheet'!$P31)*'Assumption Sheet'!$S31*'Assumption Sheet'!$C31,0))/10^7</f>
        <v>0</v>
      </c>
      <c r="IC58" s="33">
        <f>(IF(IC$1='Assumption Sheet'!$L31,('Assumption Sheet'!$M31+'Assumption Sheet'!$P31)*'Assumption Sheet'!$S31*'Assumption Sheet'!$C31,0))/10^7</f>
        <v>0</v>
      </c>
      <c r="ID58" s="33">
        <f>(IF(ID$1='Assumption Sheet'!$L31,('Assumption Sheet'!$M31+'Assumption Sheet'!$P31)*'Assumption Sheet'!$S31*'Assumption Sheet'!$C31,0))/10^7</f>
        <v>0</v>
      </c>
      <c r="IE58" s="33">
        <f>(IF(IE$1='Assumption Sheet'!$L31,('Assumption Sheet'!$M31+'Assumption Sheet'!$P31)*'Assumption Sheet'!$S31*'Assumption Sheet'!$C31,0))/10^7</f>
        <v>0</v>
      </c>
      <c r="IF58" s="33">
        <f>(IF(IF$1='Assumption Sheet'!$L31,('Assumption Sheet'!$M31+'Assumption Sheet'!$P31)*'Assumption Sheet'!$S31*'Assumption Sheet'!$C31,0))/10^7</f>
        <v>0</v>
      </c>
      <c r="IG58" s="33">
        <f>(IF(IG$1='Assumption Sheet'!$L31,('Assumption Sheet'!$M31+'Assumption Sheet'!$P31)*'Assumption Sheet'!$S31*'Assumption Sheet'!$C31,0))/10^7</f>
        <v>0</v>
      </c>
      <c r="IH58" s="33">
        <f>(IF(IH$1='Assumption Sheet'!$L31,('Assumption Sheet'!$M31+'Assumption Sheet'!$P31)*'Assumption Sheet'!$S31*'Assumption Sheet'!$C31,0))/10^7</f>
        <v>0</v>
      </c>
      <c r="II58" s="33">
        <f>(IF(II$1='Assumption Sheet'!$L31,('Assumption Sheet'!$M31+'Assumption Sheet'!$P31)*'Assumption Sheet'!$S31*'Assumption Sheet'!$C31,0))/10^7</f>
        <v>0</v>
      </c>
      <c r="IJ58" s="33">
        <f>(IF(IJ$1='Assumption Sheet'!$L31,('Assumption Sheet'!$M31+'Assumption Sheet'!$P31)*'Assumption Sheet'!$S31*'Assumption Sheet'!$C31,0))/10^7</f>
        <v>0</v>
      </c>
      <c r="IK58" s="33">
        <f>(IF(IK$1='Assumption Sheet'!$L31,('Assumption Sheet'!$M31+'Assumption Sheet'!$P31)*'Assumption Sheet'!$S31*'Assumption Sheet'!$C31,0))/10^7</f>
        <v>0</v>
      </c>
      <c r="IL58" s="33">
        <f>(IF(IL$1='Assumption Sheet'!$L31,('Assumption Sheet'!$M31+'Assumption Sheet'!$P31)*'Assumption Sheet'!$S31*'Assumption Sheet'!$C31,0))/10^7</f>
        <v>0</v>
      </c>
      <c r="IM58" s="33">
        <f>(IF(IM$1='Assumption Sheet'!$L31,('Assumption Sheet'!$M31+'Assumption Sheet'!$P31)*'Assumption Sheet'!$S31*'Assumption Sheet'!$C31,0))/10^7</f>
        <v>0</v>
      </c>
      <c r="IN58" s="33">
        <f>(IF(IN$1='Assumption Sheet'!$L31,('Assumption Sheet'!$M31+'Assumption Sheet'!$P31)*'Assumption Sheet'!$S31*'Assumption Sheet'!$C31,0))/10^7</f>
        <v>0</v>
      </c>
      <c r="IO58" s="33">
        <f>(IF(IO$1='Assumption Sheet'!$L31,('Assumption Sheet'!$M31+'Assumption Sheet'!$P31)*'Assumption Sheet'!$S31*'Assumption Sheet'!$C31,0))/10^7</f>
        <v>0</v>
      </c>
      <c r="IP58" s="33">
        <f>(IF(IP$1='Assumption Sheet'!$L31,('Assumption Sheet'!$M31+'Assumption Sheet'!$P31)*'Assumption Sheet'!$S31*'Assumption Sheet'!$C31,0))/10^7</f>
        <v>0</v>
      </c>
      <c r="IQ58" s="33">
        <f>(IF(IQ$1='Assumption Sheet'!$L31,('Assumption Sheet'!$M31+'Assumption Sheet'!$P31)*'Assumption Sheet'!$S31*'Assumption Sheet'!$C31,0))/10^7</f>
        <v>0</v>
      </c>
      <c r="IR58" s="33">
        <f>(IF(IR$1='Assumption Sheet'!$L31,('Assumption Sheet'!$M31+'Assumption Sheet'!$P31)*'Assumption Sheet'!$S31*'Assumption Sheet'!$C31,0))/10^7</f>
        <v>0</v>
      </c>
      <c r="IS58" s="33">
        <f>(IF(IS$1='Assumption Sheet'!$L31,('Assumption Sheet'!$M31+'Assumption Sheet'!$P31)*'Assumption Sheet'!$S31*'Assumption Sheet'!$C31,0))/10^7</f>
        <v>0</v>
      </c>
      <c r="IT58" s="33">
        <f>(IF(IT$1='Assumption Sheet'!$L31,('Assumption Sheet'!$M31+'Assumption Sheet'!$P31)*'Assumption Sheet'!$S31*'Assumption Sheet'!$C31,0))/10^7</f>
        <v>0</v>
      </c>
      <c r="IU58" s="33">
        <f>(IF(IU$1='Assumption Sheet'!$L31,('Assumption Sheet'!$M31+'Assumption Sheet'!$P31)*'Assumption Sheet'!$S31*'Assumption Sheet'!$C31,0))/10^7</f>
        <v>0</v>
      </c>
      <c r="IV58" s="33">
        <f>(IF(IV$1='Assumption Sheet'!$L31,('Assumption Sheet'!$M31+'Assumption Sheet'!$P31)*'Assumption Sheet'!$S31*'Assumption Sheet'!$C31,0))/10^7</f>
        <v>0</v>
      </c>
      <c r="IW58" s="33">
        <f>(IF(IW$1='Assumption Sheet'!$L31,('Assumption Sheet'!$M31+'Assumption Sheet'!$P31)*'Assumption Sheet'!$S31*'Assumption Sheet'!$C31,0))/10^7</f>
        <v>0</v>
      </c>
      <c r="IX58" s="33">
        <f>(IF(IX$1='Assumption Sheet'!$L31,('Assumption Sheet'!$M31+'Assumption Sheet'!$P31)*'Assumption Sheet'!$S31*'Assumption Sheet'!$C31,0))/10^7</f>
        <v>0</v>
      </c>
      <c r="IY58" s="33">
        <f>(IF(IY$1='Assumption Sheet'!$L31,('Assumption Sheet'!$M31+'Assumption Sheet'!$P31)*'Assumption Sheet'!$S31*'Assumption Sheet'!$C31,0))/10^7</f>
        <v>0</v>
      </c>
      <c r="IZ58" s="33">
        <f>(IF(IZ$1='Assumption Sheet'!$L31,('Assumption Sheet'!$M31+'Assumption Sheet'!$P31)*'Assumption Sheet'!$S31*'Assumption Sheet'!$C31,0))/10^7</f>
        <v>0</v>
      </c>
      <c r="JA58" s="33">
        <f>(IF(JA$1='Assumption Sheet'!$L31,('Assumption Sheet'!$M31+'Assumption Sheet'!$P31)*'Assumption Sheet'!$S31*'Assumption Sheet'!$C31,0))/10^7</f>
        <v>0</v>
      </c>
      <c r="JB58" s="33">
        <f>(IF(JB$1='Assumption Sheet'!$L31,('Assumption Sheet'!$M31+'Assumption Sheet'!$P31)*'Assumption Sheet'!$S31*'Assumption Sheet'!$C31,0))/10^7</f>
        <v>0</v>
      </c>
      <c r="JC58" s="33">
        <f>(IF(JC$1='Assumption Sheet'!$L31,('Assumption Sheet'!$M31+'Assumption Sheet'!$P31)*'Assumption Sheet'!$S31*'Assumption Sheet'!$C31,0))/10^7</f>
        <v>0</v>
      </c>
      <c r="JD58" s="33">
        <f>(IF(JD$1='Assumption Sheet'!$L31,('Assumption Sheet'!$M31+'Assumption Sheet'!$P31)*'Assumption Sheet'!$S31*'Assumption Sheet'!$C31,0))/10^7</f>
        <v>0</v>
      </c>
      <c r="JE58" s="33">
        <f>(IF(JE$1='Assumption Sheet'!$L31,('Assumption Sheet'!$M31+'Assumption Sheet'!$P31)*'Assumption Sheet'!$S31*'Assumption Sheet'!$C31,0))/10^7</f>
        <v>0</v>
      </c>
      <c r="JF58" s="33">
        <f>(IF(JF$1='Assumption Sheet'!$L31,('Assumption Sheet'!$M31+'Assumption Sheet'!$P31)*'Assumption Sheet'!$S31*'Assumption Sheet'!$C31,0))/10^7</f>
        <v>0</v>
      </c>
      <c r="JG58" s="33">
        <f>(IF(JG$1='Assumption Sheet'!$L31,('Assumption Sheet'!$M31+'Assumption Sheet'!$P31)*'Assumption Sheet'!$S31*'Assumption Sheet'!$C31,0))/10^7</f>
        <v>0</v>
      </c>
      <c r="JH58" s="33">
        <f>(IF(JH$1='Assumption Sheet'!$L31,('Assumption Sheet'!$M31+'Assumption Sheet'!$P31)*'Assumption Sheet'!$S31*'Assumption Sheet'!$C31,0))/10^7</f>
        <v>0</v>
      </c>
      <c r="JI58" s="33">
        <f>(IF(JI$1='Assumption Sheet'!$L31,('Assumption Sheet'!$M31+'Assumption Sheet'!$P31)*'Assumption Sheet'!$S31*'Assumption Sheet'!$C31,0))/10^7</f>
        <v>0</v>
      </c>
      <c r="JJ58" s="33">
        <f>(IF(JJ$1='Assumption Sheet'!$L31,('Assumption Sheet'!$M31+'Assumption Sheet'!$P31)*'Assumption Sheet'!$S31*'Assumption Sheet'!$C31,0))/10^7</f>
        <v>0</v>
      </c>
      <c r="JK58" s="33">
        <f>(IF(JK$1='Assumption Sheet'!$L31,('Assumption Sheet'!$M31+'Assumption Sheet'!$P31)*'Assumption Sheet'!$S31*'Assumption Sheet'!$C31,0))/10^7</f>
        <v>0</v>
      </c>
      <c r="JL58" s="33">
        <f>(IF(JL$1='Assumption Sheet'!$L31,('Assumption Sheet'!$M31+'Assumption Sheet'!$P31)*'Assumption Sheet'!$S31*'Assumption Sheet'!$C31,0))/10^7</f>
        <v>0</v>
      </c>
      <c r="JM58" s="33">
        <f>(IF(JM$1='Assumption Sheet'!$L31,('Assumption Sheet'!$M31+'Assumption Sheet'!$P31)*'Assumption Sheet'!$S31*'Assumption Sheet'!$C31,0))/10^7</f>
        <v>0</v>
      </c>
      <c r="JN58" s="33">
        <f>(IF(JN$1='Assumption Sheet'!$L31,('Assumption Sheet'!$M31+'Assumption Sheet'!$P31)*'Assumption Sheet'!$S31*'Assumption Sheet'!$C31,0))/10^7</f>
        <v>0</v>
      </c>
      <c r="JO58" s="33">
        <f>(IF(JO$1='Assumption Sheet'!$L31,('Assumption Sheet'!$M31+'Assumption Sheet'!$P31)*'Assumption Sheet'!$S31*'Assumption Sheet'!$C31,0))/10^7</f>
        <v>0</v>
      </c>
      <c r="JP58" s="33">
        <f>(IF(JP$1='Assumption Sheet'!$L31,('Assumption Sheet'!$M31+'Assumption Sheet'!$P31)*'Assumption Sheet'!$S31*'Assumption Sheet'!$C31,0))/10^7</f>
        <v>0</v>
      </c>
      <c r="JQ58" s="33">
        <f>(IF(JQ$1='Assumption Sheet'!$L31,('Assumption Sheet'!$M31+'Assumption Sheet'!$P31)*'Assumption Sheet'!$S31*'Assumption Sheet'!$C31,0))/10^7</f>
        <v>0</v>
      </c>
      <c r="JR58" s="33">
        <f>(IF(JR$1='Assumption Sheet'!$L31,('Assumption Sheet'!$M31+'Assumption Sheet'!$P31)*'Assumption Sheet'!$S31*'Assumption Sheet'!$C31,0))/10^7</f>
        <v>0</v>
      </c>
      <c r="JS58" s="33">
        <f>(IF(JS$1='Assumption Sheet'!$L31,('Assumption Sheet'!$M31+'Assumption Sheet'!$P31)*'Assumption Sheet'!$S31*'Assumption Sheet'!$C31,0))/10^7</f>
        <v>0</v>
      </c>
      <c r="JT58" s="33">
        <f>(IF(JT$1='Assumption Sheet'!$L31,('Assumption Sheet'!$M31+'Assumption Sheet'!$P31)*'Assumption Sheet'!$S31*'Assumption Sheet'!$C31,0))/10^7</f>
        <v>0</v>
      </c>
      <c r="JU58" s="33">
        <f>(IF(JU$1='Assumption Sheet'!$L31,('Assumption Sheet'!$M31+'Assumption Sheet'!$P31)*'Assumption Sheet'!$S31*'Assumption Sheet'!$C31,0))/10^7</f>
        <v>0</v>
      </c>
      <c r="JV58" s="33">
        <f>(IF(JV$1='Assumption Sheet'!$L31,('Assumption Sheet'!$M31+'Assumption Sheet'!$P31)*'Assumption Sheet'!$S31*'Assumption Sheet'!$C31,0))/10^7</f>
        <v>0</v>
      </c>
      <c r="JW58" s="33">
        <f>(IF(JW$1='Assumption Sheet'!$L31,('Assumption Sheet'!$M31+'Assumption Sheet'!$P31)*'Assumption Sheet'!$S31*'Assumption Sheet'!$C31,0))/10^7</f>
        <v>0</v>
      </c>
      <c r="JX58" s="33">
        <f>(IF(JX$1='Assumption Sheet'!$L31,('Assumption Sheet'!$M31+'Assumption Sheet'!$P31)*'Assumption Sheet'!$S31*'Assumption Sheet'!$C31,0))/10^7</f>
        <v>0</v>
      </c>
      <c r="JY58" s="33">
        <f>(IF(JY$1='Assumption Sheet'!$L31,('Assumption Sheet'!$M31+'Assumption Sheet'!$P31)*'Assumption Sheet'!$S31*'Assumption Sheet'!$C31,0))/10^7</f>
        <v>0</v>
      </c>
      <c r="JZ58" s="33">
        <f>(IF(JZ$1='Assumption Sheet'!$L31,('Assumption Sheet'!$M31+'Assumption Sheet'!$P31)*'Assumption Sheet'!$S31*'Assumption Sheet'!$C31,0))/10^7</f>
        <v>0</v>
      </c>
      <c r="KA58" s="33">
        <f>(IF(KA$1='Assumption Sheet'!$L31,('Assumption Sheet'!$M31+'Assumption Sheet'!$P31)*'Assumption Sheet'!$S31*'Assumption Sheet'!$C31,0))/10^7</f>
        <v>0</v>
      </c>
      <c r="KB58" s="33">
        <f>(IF(KB$1='Assumption Sheet'!$L31,('Assumption Sheet'!$M31+'Assumption Sheet'!$P31)*'Assumption Sheet'!$S31*'Assumption Sheet'!$C31,0))/10^7</f>
        <v>0</v>
      </c>
      <c r="KC58" s="33">
        <f>(IF(KC$1='Assumption Sheet'!$L31,('Assumption Sheet'!$M31+'Assumption Sheet'!$P31)*'Assumption Sheet'!$S31*'Assumption Sheet'!$C31,0))/10^7</f>
        <v>0</v>
      </c>
      <c r="KD58" s="45"/>
      <c r="KE58" s="45"/>
      <c r="KF58" s="45"/>
      <c r="KG58" s="45"/>
      <c r="KH58" s="45"/>
      <c r="KI58" s="45"/>
      <c r="KJ58" s="45"/>
      <c r="KK58" s="45"/>
      <c r="KL58" s="45"/>
      <c r="KM58" s="45"/>
      <c r="KN58" s="45"/>
      <c r="KO58" s="45"/>
    </row>
    <row r="59" spans="1:301" x14ac:dyDescent="0.3">
      <c r="B59" s="1" t="str">
        <f>B50</f>
        <v>Phase 5</v>
      </c>
      <c r="C59" s="272">
        <f t="shared" si="154"/>
        <v>0.37758304575232499</v>
      </c>
      <c r="D59" s="272"/>
      <c r="E59" s="33">
        <f>(IF(E$1='Assumption Sheet'!$L32,('Assumption Sheet'!$M32+'Assumption Sheet'!$P32)*'Assumption Sheet'!$S32*'Assumption Sheet'!$C32,0))/10^7</f>
        <v>0</v>
      </c>
      <c r="F59" s="33">
        <f>(IF(F$1='Assumption Sheet'!$L32,('Assumption Sheet'!$M32+'Assumption Sheet'!$P32)*'Assumption Sheet'!$S32*'Assumption Sheet'!$C32,0))/10^7</f>
        <v>0</v>
      </c>
      <c r="G59" s="33">
        <f>(IF(G$1='Assumption Sheet'!$L32,('Assumption Sheet'!$M32+'Assumption Sheet'!$P32)*'Assumption Sheet'!$S32*'Assumption Sheet'!$C32,0))/10^7</f>
        <v>0</v>
      </c>
      <c r="H59" s="33">
        <f>(IF(H$1='Assumption Sheet'!$L32,('Assumption Sheet'!$M32+'Assumption Sheet'!$P32)*'Assumption Sheet'!$S32*'Assumption Sheet'!$C32,0))/10^7</f>
        <v>0</v>
      </c>
      <c r="I59" s="33">
        <f>(IF(I$1='Assumption Sheet'!$L32,('Assumption Sheet'!$M32+'Assumption Sheet'!$P32)*'Assumption Sheet'!$S32*'Assumption Sheet'!$C32,0))/10^7</f>
        <v>0</v>
      </c>
      <c r="J59" s="33">
        <f>(IF(J$1='Assumption Sheet'!$L32,('Assumption Sheet'!$M32+'Assumption Sheet'!$P32)*'Assumption Sheet'!$S32*'Assumption Sheet'!$C32,0))/10^7</f>
        <v>0</v>
      </c>
      <c r="K59" s="33">
        <f>(IF(K$1='Assumption Sheet'!$L32,('Assumption Sheet'!$M32+'Assumption Sheet'!$P32)*'Assumption Sheet'!$S32*'Assumption Sheet'!$C32,0))/10^7</f>
        <v>0</v>
      </c>
      <c r="L59" s="33">
        <f>(IF(L$1='Assumption Sheet'!$L32,('Assumption Sheet'!$M32+'Assumption Sheet'!$P32)*'Assumption Sheet'!$S32*'Assumption Sheet'!$C32,0))/10^7</f>
        <v>0</v>
      </c>
      <c r="M59" s="33">
        <f>(IF(M$1='Assumption Sheet'!$L32,('Assumption Sheet'!$M32+'Assumption Sheet'!$P32)*'Assumption Sheet'!$S32*'Assumption Sheet'!$C32,0))/10^7</f>
        <v>0</v>
      </c>
      <c r="N59" s="33">
        <f>(IF(N$1='Assumption Sheet'!$L32,('Assumption Sheet'!$M32+'Assumption Sheet'!$P32)*'Assumption Sheet'!$S32*'Assumption Sheet'!$C32,0))/10^7</f>
        <v>0</v>
      </c>
      <c r="O59" s="33">
        <f>(IF(O$1='Assumption Sheet'!$L32,('Assumption Sheet'!$M32+'Assumption Sheet'!$P32)*'Assumption Sheet'!$S32*'Assumption Sheet'!$C32,0))/10^7</f>
        <v>0</v>
      </c>
      <c r="P59" s="33">
        <f>(IF(P$1='Assumption Sheet'!$L32,('Assumption Sheet'!$M32+'Assumption Sheet'!$P32)*'Assumption Sheet'!$S32*'Assumption Sheet'!$C32,0))/10^7</f>
        <v>0</v>
      </c>
      <c r="Q59" s="33">
        <f>(IF(Q$1='Assumption Sheet'!$L32,('Assumption Sheet'!$M32+'Assumption Sheet'!$P32)*'Assumption Sheet'!$S32*'Assumption Sheet'!$C32,0))/10^7</f>
        <v>0</v>
      </c>
      <c r="R59" s="33">
        <f>(IF(R$1='Assumption Sheet'!$L32,('Assumption Sheet'!$M32+'Assumption Sheet'!$P32)*'Assumption Sheet'!$S32*'Assumption Sheet'!$C32,0))/10^7</f>
        <v>0</v>
      </c>
      <c r="S59" s="33">
        <f>(IF(S$1='Assumption Sheet'!$L32,('Assumption Sheet'!$M32+'Assumption Sheet'!$P32)*'Assumption Sheet'!$S32*'Assumption Sheet'!$C32,0))/10^7</f>
        <v>0</v>
      </c>
      <c r="T59" s="33">
        <f>(IF(T$1='Assumption Sheet'!$L32,('Assumption Sheet'!$M32+'Assumption Sheet'!$P32)*'Assumption Sheet'!$S32*'Assumption Sheet'!$C32,0))/10^7</f>
        <v>0</v>
      </c>
      <c r="U59" s="33">
        <f>(IF(U$1='Assumption Sheet'!$L32,('Assumption Sheet'!$M32+'Assumption Sheet'!$P32)*'Assumption Sheet'!$S32*'Assumption Sheet'!$C32,0))/10^7</f>
        <v>0</v>
      </c>
      <c r="V59" s="33">
        <f>(IF(V$1='Assumption Sheet'!$L32,('Assumption Sheet'!$M32+'Assumption Sheet'!$P32)*'Assumption Sheet'!$S32*'Assumption Sheet'!$C32,0))/10^7</f>
        <v>0</v>
      </c>
      <c r="W59" s="33">
        <f>(IF(W$1='Assumption Sheet'!$L32,('Assumption Sheet'!$M32+'Assumption Sheet'!$P32)*'Assumption Sheet'!$S32*'Assumption Sheet'!$C32,0))/10^7</f>
        <v>0</v>
      </c>
      <c r="X59" s="33">
        <f>(IF(X$1='Assumption Sheet'!$L32,('Assumption Sheet'!$M32+'Assumption Sheet'!$P32)*'Assumption Sheet'!$S32*'Assumption Sheet'!$C32,0))/10^7</f>
        <v>0</v>
      </c>
      <c r="Y59" s="33">
        <f>(IF(Y$1='Assumption Sheet'!$L32,('Assumption Sheet'!$M32+'Assumption Sheet'!$P32)*'Assumption Sheet'!$S32*'Assumption Sheet'!$C32,0))/10^7</f>
        <v>0</v>
      </c>
      <c r="Z59" s="33">
        <f>(IF(Z$1='Assumption Sheet'!$L32,('Assumption Sheet'!$M32+'Assumption Sheet'!$P32)*'Assumption Sheet'!$S32*'Assumption Sheet'!$C32,0))/10^7</f>
        <v>0</v>
      </c>
      <c r="AA59" s="33">
        <f>(IF(AA$1='Assumption Sheet'!$L32,('Assumption Sheet'!$M32+'Assumption Sheet'!$P32)*'Assumption Sheet'!$S32*'Assumption Sheet'!$C32,0))/10^7</f>
        <v>0</v>
      </c>
      <c r="AB59" s="33">
        <f>(IF(AB$1='Assumption Sheet'!$L32,('Assumption Sheet'!$M32+'Assumption Sheet'!$P32)*'Assumption Sheet'!$S32*'Assumption Sheet'!$C32,0))/10^7</f>
        <v>0</v>
      </c>
      <c r="AC59" s="33">
        <f>(IF(AC$1='Assumption Sheet'!$L32,('Assumption Sheet'!$M32+'Assumption Sheet'!$P32)*'Assumption Sheet'!$S32*'Assumption Sheet'!$C32,0))/10^7</f>
        <v>0</v>
      </c>
      <c r="AD59" s="33">
        <f>(IF(AD$1='Assumption Sheet'!$L32,('Assumption Sheet'!$M32+'Assumption Sheet'!$P32)*'Assumption Sheet'!$S32*'Assumption Sheet'!$C32,0))/10^7</f>
        <v>0</v>
      </c>
      <c r="AE59" s="33">
        <f>(IF(AE$1='Assumption Sheet'!$L32,('Assumption Sheet'!$M32+'Assumption Sheet'!$P32)*'Assumption Sheet'!$S32*'Assumption Sheet'!$C32,0))/10^7</f>
        <v>0</v>
      </c>
      <c r="AF59" s="33">
        <f>(IF(AF$1='Assumption Sheet'!$L32,('Assumption Sheet'!$M32+'Assumption Sheet'!$P32)*'Assumption Sheet'!$S32*'Assumption Sheet'!$C32,0))/10^7</f>
        <v>0</v>
      </c>
      <c r="AG59" s="33">
        <f>(IF(AG$1='Assumption Sheet'!$L32,('Assumption Sheet'!$M32+'Assumption Sheet'!$P32)*'Assumption Sheet'!$S32*'Assumption Sheet'!$C32,0))/10^7</f>
        <v>0</v>
      </c>
      <c r="AH59" s="33">
        <f>(IF(AH$1='Assumption Sheet'!$L32,('Assumption Sheet'!$M32+'Assumption Sheet'!$P32)*'Assumption Sheet'!$S32*'Assumption Sheet'!$C32,0))/10^7</f>
        <v>0</v>
      </c>
      <c r="AI59" s="33">
        <f>(IF(AI$1='Assumption Sheet'!$L32,('Assumption Sheet'!$M32+'Assumption Sheet'!$P32)*'Assumption Sheet'!$S32*'Assumption Sheet'!$C32,0))/10^7</f>
        <v>0</v>
      </c>
      <c r="AJ59" s="33">
        <f>(IF(AJ$1='Assumption Sheet'!$L32,('Assumption Sheet'!$M32+'Assumption Sheet'!$P32)*'Assumption Sheet'!$S32*'Assumption Sheet'!$C32,0))/10^7</f>
        <v>0</v>
      </c>
      <c r="AK59" s="33">
        <f>(IF(AK$1='Assumption Sheet'!$L32,('Assumption Sheet'!$M32+'Assumption Sheet'!$P32)*'Assumption Sheet'!$S32*'Assumption Sheet'!$C32,0))/10^7</f>
        <v>0</v>
      </c>
      <c r="AL59" s="33">
        <f>(IF(AL$1='Assumption Sheet'!$L32,('Assumption Sheet'!$M32+'Assumption Sheet'!$P32)*'Assumption Sheet'!$S32*'Assumption Sheet'!$C32,0))/10^7</f>
        <v>0</v>
      </c>
      <c r="AM59" s="33">
        <f>(IF(AM$1='Assumption Sheet'!$L32,('Assumption Sheet'!$M32+'Assumption Sheet'!$P32)*'Assumption Sheet'!$S32*'Assumption Sheet'!$C32,0))/10^7</f>
        <v>0</v>
      </c>
      <c r="AN59" s="33">
        <f>(IF(AN$1='Assumption Sheet'!$L32,('Assumption Sheet'!$M32+'Assumption Sheet'!$P32)*'Assumption Sheet'!$S32*'Assumption Sheet'!$C32,0))/10^7</f>
        <v>0</v>
      </c>
      <c r="AO59" s="33">
        <f>(IF(AO$1='Assumption Sheet'!$L32,('Assumption Sheet'!$M32+'Assumption Sheet'!$P32)*'Assumption Sheet'!$S32*'Assumption Sheet'!$C32,0))/10^7</f>
        <v>0</v>
      </c>
      <c r="AP59" s="33">
        <f>(IF(AP$1='Assumption Sheet'!$L32,('Assumption Sheet'!$M32+'Assumption Sheet'!$P32)*'Assumption Sheet'!$S32*'Assumption Sheet'!$C32,0))/10^7</f>
        <v>0</v>
      </c>
      <c r="AQ59" s="33">
        <f>(IF(AQ$1='Assumption Sheet'!$L32,('Assumption Sheet'!$M32+'Assumption Sheet'!$P32)*'Assumption Sheet'!$S32*'Assumption Sheet'!$C32,0))/10^7</f>
        <v>0</v>
      </c>
      <c r="AR59" s="33">
        <f>(IF(AR$1='Assumption Sheet'!$L32,('Assumption Sheet'!$M32+'Assumption Sheet'!$P32)*'Assumption Sheet'!$S32*'Assumption Sheet'!$C32,0))/10^7</f>
        <v>0</v>
      </c>
      <c r="AS59" s="33">
        <f>(IF(AS$1='Assumption Sheet'!$L32,('Assumption Sheet'!$M32+'Assumption Sheet'!$P32)*'Assumption Sheet'!$S32*'Assumption Sheet'!$C32,0))/10^7</f>
        <v>0</v>
      </c>
      <c r="AT59" s="33">
        <f>(IF(AT$1='Assumption Sheet'!$L32,('Assumption Sheet'!$M32+'Assumption Sheet'!$P32)*'Assumption Sheet'!$S32*'Assumption Sheet'!$C32,0))/10^7</f>
        <v>0</v>
      </c>
      <c r="AU59" s="33">
        <f>(IF(AU$1='Assumption Sheet'!$L32,('Assumption Sheet'!$M32+'Assumption Sheet'!$P32)*'Assumption Sheet'!$S32*'Assumption Sheet'!$C32,0))/10^7</f>
        <v>0</v>
      </c>
      <c r="AV59" s="33">
        <f>(IF(AV$1='Assumption Sheet'!$L32,('Assumption Sheet'!$M32+'Assumption Sheet'!$P32)*'Assumption Sheet'!$S32*'Assumption Sheet'!$C32,0))/10^7</f>
        <v>0</v>
      </c>
      <c r="AW59" s="33">
        <f>(IF(AW$1='Assumption Sheet'!$L32,('Assumption Sheet'!$M32+'Assumption Sheet'!$P32)*'Assumption Sheet'!$S32*'Assumption Sheet'!$C32,0))/10^7</f>
        <v>0</v>
      </c>
      <c r="AX59" s="33">
        <f>(IF(AX$1='Assumption Sheet'!$L32,('Assumption Sheet'!$M32+'Assumption Sheet'!$P32)*'Assumption Sheet'!$S32*'Assumption Sheet'!$C32,0))/10^7</f>
        <v>0</v>
      </c>
      <c r="AY59" s="33">
        <f>(IF(AY$1='Assumption Sheet'!$L32,('Assumption Sheet'!$M32+'Assumption Sheet'!$P32)*'Assumption Sheet'!$S32*'Assumption Sheet'!$C32,0))/10^7</f>
        <v>0</v>
      </c>
      <c r="AZ59" s="33">
        <f>(IF(AZ$1='Assumption Sheet'!$L32,('Assumption Sheet'!$M32+'Assumption Sheet'!$P32)*'Assumption Sheet'!$S32*'Assumption Sheet'!$C32,0))/10^7</f>
        <v>0</v>
      </c>
      <c r="BA59" s="33">
        <f>(IF(BA$1='Assumption Sheet'!$L32,('Assumption Sheet'!$M32+'Assumption Sheet'!$P32)*'Assumption Sheet'!$S32*'Assumption Sheet'!$C32,0))/10^7</f>
        <v>0</v>
      </c>
      <c r="BB59" s="33">
        <f>(IF(BB$1='Assumption Sheet'!$L32,('Assumption Sheet'!$M32+'Assumption Sheet'!$P32)*'Assumption Sheet'!$S32*'Assumption Sheet'!$C32,0))/10^7</f>
        <v>0</v>
      </c>
      <c r="BC59" s="33">
        <f>(IF(BC$1='Assumption Sheet'!$L32,('Assumption Sheet'!$M32+'Assumption Sheet'!$P32)*'Assumption Sheet'!$S32*'Assumption Sheet'!$C32,0))/10^7</f>
        <v>0</v>
      </c>
      <c r="BD59" s="33">
        <f>(IF(BD$1='Assumption Sheet'!$L32,('Assumption Sheet'!$M32+'Assumption Sheet'!$P32)*'Assumption Sheet'!$S32*'Assumption Sheet'!$C32,0))/10^7</f>
        <v>0</v>
      </c>
      <c r="BE59" s="33">
        <f>(IF(BE$1='Assumption Sheet'!$L32,('Assumption Sheet'!$M32+'Assumption Sheet'!$P32)*'Assumption Sheet'!$S32*'Assumption Sheet'!$C32,0))/10^7</f>
        <v>0</v>
      </c>
      <c r="BF59" s="33">
        <f>(IF(BF$1='Assumption Sheet'!$L32,('Assumption Sheet'!$M32+'Assumption Sheet'!$P32)*'Assumption Sheet'!$S32*'Assumption Sheet'!$C32,0))/10^7</f>
        <v>0</v>
      </c>
      <c r="BG59" s="33">
        <f>(IF(BG$1='Assumption Sheet'!$L32,('Assumption Sheet'!$M32+'Assumption Sheet'!$P32)*'Assumption Sheet'!$S32*'Assumption Sheet'!$C32,0))/10^7</f>
        <v>0</v>
      </c>
      <c r="BH59" s="33">
        <f>(IF(BH$1='Assumption Sheet'!$L32,('Assumption Sheet'!$M32+'Assumption Sheet'!$P32)*'Assumption Sheet'!$S32*'Assumption Sheet'!$C32,0))/10^7</f>
        <v>0</v>
      </c>
      <c r="BI59" s="33">
        <f>(IF(BI$1='Assumption Sheet'!$L32,('Assumption Sheet'!$M32+'Assumption Sheet'!$P32)*'Assumption Sheet'!$S32*'Assumption Sheet'!$C32,0))/10^7</f>
        <v>0</v>
      </c>
      <c r="BJ59" s="33">
        <f>(IF(BJ$1='Assumption Sheet'!$L32,('Assumption Sheet'!$M32+'Assumption Sheet'!$P32)*'Assumption Sheet'!$S32*'Assumption Sheet'!$C32,0))/10^7</f>
        <v>0.37758304575232499</v>
      </c>
      <c r="BK59" s="33">
        <f>(IF(BK$1='Assumption Sheet'!$L32,('Assumption Sheet'!$M32+'Assumption Sheet'!$P32)*'Assumption Sheet'!$S32*'Assumption Sheet'!$C32,0))/10^7</f>
        <v>0</v>
      </c>
      <c r="BL59" s="33">
        <f>(IF(BL$1='Assumption Sheet'!$L32,('Assumption Sheet'!$M32+'Assumption Sheet'!$P32)*'Assumption Sheet'!$S32*'Assumption Sheet'!$C32,0))/10^7</f>
        <v>0</v>
      </c>
      <c r="BM59" s="33">
        <f>(IF(BM$1='Assumption Sheet'!$L32,('Assumption Sheet'!$M32+'Assumption Sheet'!$P32)*'Assumption Sheet'!$S32*'Assumption Sheet'!$C32,0))/10^7</f>
        <v>0</v>
      </c>
      <c r="BN59" s="33">
        <f>(IF(BN$1='Assumption Sheet'!$L32,('Assumption Sheet'!$M32+'Assumption Sheet'!$P32)*'Assumption Sheet'!$S32*'Assumption Sheet'!$C32,0))/10^7</f>
        <v>0</v>
      </c>
      <c r="BO59" s="33">
        <f>(IF(BO$1='Assumption Sheet'!$L32,('Assumption Sheet'!$M32+'Assumption Sheet'!$P32)*'Assumption Sheet'!$S32*'Assumption Sheet'!$C32,0))/10^7</f>
        <v>0</v>
      </c>
      <c r="BP59" s="33">
        <f>(IF(BP$1='Assumption Sheet'!$L32,('Assumption Sheet'!$M32+'Assumption Sheet'!$P32)*'Assumption Sheet'!$S32*'Assumption Sheet'!$C32,0))/10^7</f>
        <v>0</v>
      </c>
      <c r="BQ59" s="33">
        <f>(IF(BQ$1='Assumption Sheet'!$L32,('Assumption Sheet'!$M32+'Assumption Sheet'!$P32)*'Assumption Sheet'!$S32*'Assumption Sheet'!$C32,0))/10^7</f>
        <v>0</v>
      </c>
      <c r="BR59" s="33">
        <f>(IF(BR$1='Assumption Sheet'!$L32,('Assumption Sheet'!$M32+'Assumption Sheet'!$P32)*'Assumption Sheet'!$S32*'Assumption Sheet'!$C32,0))/10^7</f>
        <v>0</v>
      </c>
      <c r="BS59" s="33">
        <f>(IF(BS$1='Assumption Sheet'!$L32,('Assumption Sheet'!$M32+'Assumption Sheet'!$P32)*'Assumption Sheet'!$S32*'Assumption Sheet'!$C32,0))/10^7</f>
        <v>0</v>
      </c>
      <c r="BT59" s="33">
        <f>(IF(BT$1='Assumption Sheet'!$L32,('Assumption Sheet'!$M32+'Assumption Sheet'!$P32)*'Assumption Sheet'!$S32*'Assumption Sheet'!$C32,0))/10^7</f>
        <v>0</v>
      </c>
      <c r="BU59" s="33">
        <f>(IF(BU$1='Assumption Sheet'!$L32,('Assumption Sheet'!$M32+'Assumption Sheet'!$P32)*'Assumption Sheet'!$S32*'Assumption Sheet'!$C32,0))/10^7</f>
        <v>0</v>
      </c>
      <c r="BV59" s="33">
        <f>(IF(BV$1='Assumption Sheet'!$L32,('Assumption Sheet'!$M32+'Assumption Sheet'!$P32)*'Assumption Sheet'!$S32*'Assumption Sheet'!$C32,0))/10^7</f>
        <v>0</v>
      </c>
      <c r="BW59" s="33">
        <f>(IF(BW$1='Assumption Sheet'!$L32,('Assumption Sheet'!$M32+'Assumption Sheet'!$P32)*'Assumption Sheet'!$S32*'Assumption Sheet'!$C32,0))/10^7</f>
        <v>0</v>
      </c>
      <c r="BX59" s="33">
        <f>(IF(BX$1='Assumption Sheet'!$L32,('Assumption Sheet'!$M32+'Assumption Sheet'!$P32)*'Assumption Sheet'!$S32*'Assumption Sheet'!$C32,0))/10^7</f>
        <v>0</v>
      </c>
      <c r="BY59" s="33">
        <f>(IF(BY$1='Assumption Sheet'!$L32,('Assumption Sheet'!$M32+'Assumption Sheet'!$P32)*'Assumption Sheet'!$S32*'Assumption Sheet'!$C32,0))/10^7</f>
        <v>0</v>
      </c>
      <c r="BZ59" s="33">
        <f>(IF(BZ$1='Assumption Sheet'!$L32,('Assumption Sheet'!$M32+'Assumption Sheet'!$P32)*'Assumption Sheet'!$S32*'Assumption Sheet'!$C32,0))/10^7</f>
        <v>0</v>
      </c>
      <c r="CA59" s="33">
        <f>(IF(CA$1='Assumption Sheet'!$L32,('Assumption Sheet'!$M32+'Assumption Sheet'!$P32)*'Assumption Sheet'!$S32*'Assumption Sheet'!$C32,0))/10^7</f>
        <v>0</v>
      </c>
      <c r="CB59" s="33">
        <f>(IF(CB$1='Assumption Sheet'!$L32,('Assumption Sheet'!$M32+'Assumption Sheet'!$P32)*'Assumption Sheet'!$S32*'Assumption Sheet'!$C32,0))/10^7</f>
        <v>0</v>
      </c>
      <c r="CC59" s="33">
        <f>(IF(CC$1='Assumption Sheet'!$L32,('Assumption Sheet'!$M32+'Assumption Sheet'!$P32)*'Assumption Sheet'!$S32*'Assumption Sheet'!$C32,0))/10^7</f>
        <v>0</v>
      </c>
      <c r="CD59" s="33">
        <f>(IF(CD$1='Assumption Sheet'!$L32,('Assumption Sheet'!$M32+'Assumption Sheet'!$P32)*'Assumption Sheet'!$S32*'Assumption Sheet'!$C32,0))/10^7</f>
        <v>0</v>
      </c>
      <c r="CE59" s="33">
        <f>(IF(CE$1='Assumption Sheet'!$L32,('Assumption Sheet'!$M32+'Assumption Sheet'!$P32)*'Assumption Sheet'!$S32*'Assumption Sheet'!$C32,0))/10^7</f>
        <v>0</v>
      </c>
      <c r="CF59" s="33">
        <f>(IF(CF$1='Assumption Sheet'!$L32,('Assumption Sheet'!$M32+'Assumption Sheet'!$P32)*'Assumption Sheet'!$S32*'Assumption Sheet'!$C32,0))/10^7</f>
        <v>0</v>
      </c>
      <c r="CG59" s="33">
        <f>(IF(CG$1='Assumption Sheet'!$L32,('Assumption Sheet'!$M32+'Assumption Sheet'!$P32)*'Assumption Sheet'!$S32*'Assumption Sheet'!$C32,0))/10^7</f>
        <v>0</v>
      </c>
      <c r="CH59" s="33">
        <f>(IF(CH$1='Assumption Sheet'!$L32,('Assumption Sheet'!$M32+'Assumption Sheet'!$P32)*'Assumption Sheet'!$S32*'Assumption Sheet'!$C32,0))/10^7</f>
        <v>0</v>
      </c>
      <c r="CI59" s="33">
        <f>(IF(CI$1='Assumption Sheet'!$L32,('Assumption Sheet'!$M32+'Assumption Sheet'!$P32)*'Assumption Sheet'!$S32*'Assumption Sheet'!$C32,0))/10^7</f>
        <v>0</v>
      </c>
      <c r="CJ59" s="33">
        <f>(IF(CJ$1='Assumption Sheet'!$L32,('Assumption Sheet'!$M32+'Assumption Sheet'!$P32)*'Assumption Sheet'!$S32*'Assumption Sheet'!$C32,0))/10^7</f>
        <v>0</v>
      </c>
      <c r="CK59" s="33">
        <f>(IF(CK$1='Assumption Sheet'!$L32,('Assumption Sheet'!$M32+'Assumption Sheet'!$P32)*'Assumption Sheet'!$S32*'Assumption Sheet'!$C32,0))/10^7</f>
        <v>0</v>
      </c>
      <c r="CL59" s="33">
        <f>(IF(CL$1='Assumption Sheet'!$L32,('Assumption Sheet'!$M32+'Assumption Sheet'!$P32)*'Assumption Sheet'!$S32*'Assumption Sheet'!$C32,0))/10^7</f>
        <v>0</v>
      </c>
      <c r="CM59" s="33">
        <f>(IF(CM$1='Assumption Sheet'!$L32,('Assumption Sheet'!$M32+'Assumption Sheet'!$P32)*'Assumption Sheet'!$S32*'Assumption Sheet'!$C32,0))/10^7</f>
        <v>0</v>
      </c>
      <c r="CN59" s="33">
        <f>(IF(CN$1='Assumption Sheet'!$L32,('Assumption Sheet'!$M32+'Assumption Sheet'!$P32)*'Assumption Sheet'!$S32*'Assumption Sheet'!$C32,0))/10^7</f>
        <v>0</v>
      </c>
      <c r="CO59" s="33">
        <f>(IF(CO$1='Assumption Sheet'!$L32,('Assumption Sheet'!$M32+'Assumption Sheet'!$P32)*'Assumption Sheet'!$S32*'Assumption Sheet'!$C32,0))/10^7</f>
        <v>0</v>
      </c>
      <c r="CP59" s="33">
        <f>(IF(CP$1='Assumption Sheet'!$L32,('Assumption Sheet'!$M32+'Assumption Sheet'!$P32)*'Assumption Sheet'!$S32*'Assumption Sheet'!$C32,0))/10^7</f>
        <v>0</v>
      </c>
      <c r="CQ59" s="33">
        <f>(IF(CQ$1='Assumption Sheet'!$L32,('Assumption Sheet'!$M32+'Assumption Sheet'!$P32)*'Assumption Sheet'!$S32*'Assumption Sheet'!$C32,0))/10^7</f>
        <v>0</v>
      </c>
      <c r="CR59" s="33">
        <f>(IF(CR$1='Assumption Sheet'!$L32,('Assumption Sheet'!$M32+'Assumption Sheet'!$P32)*'Assumption Sheet'!$S32*'Assumption Sheet'!$C32,0))/10^7</f>
        <v>0</v>
      </c>
      <c r="CS59" s="33">
        <f>(IF(CS$1='Assumption Sheet'!$L32,('Assumption Sheet'!$M32+'Assumption Sheet'!$P32)*'Assumption Sheet'!$S32*'Assumption Sheet'!$C32,0))/10^7</f>
        <v>0</v>
      </c>
      <c r="CT59" s="33">
        <f>(IF(CT$1='Assumption Sheet'!$L32,('Assumption Sheet'!$M32+'Assumption Sheet'!$P32)*'Assumption Sheet'!$S32*'Assumption Sheet'!$C32,0))/10^7</f>
        <v>0</v>
      </c>
      <c r="CU59" s="33">
        <f>(IF(CU$1='Assumption Sheet'!$L32,('Assumption Sheet'!$M32+'Assumption Sheet'!$P32)*'Assumption Sheet'!$S32*'Assumption Sheet'!$C32,0))/10^7</f>
        <v>0</v>
      </c>
      <c r="CV59" s="33">
        <f>(IF(CV$1='Assumption Sheet'!$L32,('Assumption Sheet'!$M32+'Assumption Sheet'!$P32)*'Assumption Sheet'!$S32*'Assumption Sheet'!$C32,0))/10^7</f>
        <v>0</v>
      </c>
      <c r="CW59" s="33">
        <f>(IF(CW$1='Assumption Sheet'!$L32,('Assumption Sheet'!$M32+'Assumption Sheet'!$P32)*'Assumption Sheet'!$S32*'Assumption Sheet'!$C32,0))/10^7</f>
        <v>0</v>
      </c>
      <c r="CX59" s="33">
        <f>(IF(CX$1='Assumption Sheet'!$L32,('Assumption Sheet'!$M32+'Assumption Sheet'!$P32)*'Assumption Sheet'!$S32*'Assumption Sheet'!$C32,0))/10^7</f>
        <v>0</v>
      </c>
      <c r="CY59" s="33">
        <f>(IF(CY$1='Assumption Sheet'!$L32,('Assumption Sheet'!$M32+'Assumption Sheet'!$P32)*'Assumption Sheet'!$S32*'Assumption Sheet'!$C32,0))/10^7</f>
        <v>0</v>
      </c>
      <c r="CZ59" s="33">
        <f>(IF(CZ$1='Assumption Sheet'!$L32,('Assumption Sheet'!$M32+'Assumption Sheet'!$P32)*'Assumption Sheet'!$S32*'Assumption Sheet'!$C32,0))/10^7</f>
        <v>0</v>
      </c>
      <c r="DA59" s="33">
        <f>(IF(DA$1='Assumption Sheet'!$L32,('Assumption Sheet'!$M32+'Assumption Sheet'!$P32)*'Assumption Sheet'!$S32*'Assumption Sheet'!$C32,0))/10^7</f>
        <v>0</v>
      </c>
      <c r="DB59" s="33">
        <f>(IF(DB$1='Assumption Sheet'!$L32,('Assumption Sheet'!$M32+'Assumption Sheet'!$P32)*'Assumption Sheet'!$S32*'Assumption Sheet'!$C32,0))/10^7</f>
        <v>0</v>
      </c>
      <c r="DC59" s="33">
        <f>(IF(DC$1='Assumption Sheet'!$L32,('Assumption Sheet'!$M32+'Assumption Sheet'!$P32)*'Assumption Sheet'!$S32*'Assumption Sheet'!$C32,0))/10^7</f>
        <v>0</v>
      </c>
      <c r="DD59" s="33">
        <f>(IF(DD$1='Assumption Sheet'!$L32,('Assumption Sheet'!$M32+'Assumption Sheet'!$P32)*'Assumption Sheet'!$S32*'Assumption Sheet'!$C32,0))/10^7</f>
        <v>0</v>
      </c>
      <c r="DE59" s="33">
        <f>(IF(DE$1='Assumption Sheet'!$L32,('Assumption Sheet'!$M32+'Assumption Sheet'!$P32)*'Assumption Sheet'!$S32*'Assumption Sheet'!$C32,0))/10^7</f>
        <v>0</v>
      </c>
      <c r="DF59" s="33">
        <f>(IF(DF$1='Assumption Sheet'!$L32,('Assumption Sheet'!$M32+'Assumption Sheet'!$P32)*'Assumption Sheet'!$S32*'Assumption Sheet'!$C32,0))/10^7</f>
        <v>0</v>
      </c>
      <c r="DG59" s="33">
        <f>(IF(DG$1='Assumption Sheet'!$L32,('Assumption Sheet'!$M32+'Assumption Sheet'!$P32)*'Assumption Sheet'!$S32*'Assumption Sheet'!$C32,0))/10^7</f>
        <v>0</v>
      </c>
      <c r="DH59" s="33">
        <f>(IF(DH$1='Assumption Sheet'!$L32,('Assumption Sheet'!$M32+'Assumption Sheet'!$P32)*'Assumption Sheet'!$S32*'Assumption Sheet'!$C32,0))/10^7</f>
        <v>0</v>
      </c>
      <c r="DI59" s="33">
        <f>(IF(DI$1='Assumption Sheet'!$L32,('Assumption Sheet'!$M32+'Assumption Sheet'!$P32)*'Assumption Sheet'!$S32*'Assumption Sheet'!$C32,0))/10^7</f>
        <v>0</v>
      </c>
      <c r="DJ59" s="33">
        <f>(IF(DJ$1='Assumption Sheet'!$L32,('Assumption Sheet'!$M32+'Assumption Sheet'!$P32)*'Assumption Sheet'!$S32*'Assumption Sheet'!$C32,0))/10^7</f>
        <v>0</v>
      </c>
      <c r="DK59" s="33">
        <f>(IF(DK$1='Assumption Sheet'!$L32,('Assumption Sheet'!$M32+'Assumption Sheet'!$P32)*'Assumption Sheet'!$S32*'Assumption Sheet'!$C32,0))/10^7</f>
        <v>0</v>
      </c>
      <c r="DL59" s="33">
        <f>(IF(DL$1='Assumption Sheet'!$L32,('Assumption Sheet'!$M32+'Assumption Sheet'!$P32)*'Assumption Sheet'!$S32*'Assumption Sheet'!$C32,0))/10^7</f>
        <v>0</v>
      </c>
      <c r="DM59" s="33">
        <f>(IF(DM$1='Assumption Sheet'!$L32,('Assumption Sheet'!$M32+'Assumption Sheet'!$P32)*'Assumption Sheet'!$S32*'Assumption Sheet'!$C32,0))/10^7</f>
        <v>0</v>
      </c>
      <c r="DN59" s="33">
        <f>(IF(DN$1='Assumption Sheet'!$L32,('Assumption Sheet'!$M32+'Assumption Sheet'!$P32)*'Assumption Sheet'!$S32*'Assumption Sheet'!$C32,0))/10^7</f>
        <v>0</v>
      </c>
      <c r="DO59" s="33">
        <f>(IF(DO$1='Assumption Sheet'!$L32,('Assumption Sheet'!$M32+'Assumption Sheet'!$P32)*'Assumption Sheet'!$S32*'Assumption Sheet'!$C32,0))/10^7</f>
        <v>0</v>
      </c>
      <c r="DP59" s="33">
        <f>(IF(DP$1='Assumption Sheet'!$L32,('Assumption Sheet'!$M32+'Assumption Sheet'!$P32)*'Assumption Sheet'!$S32*'Assumption Sheet'!$C32,0))/10^7</f>
        <v>0</v>
      </c>
      <c r="DQ59" s="33">
        <f>(IF(DQ$1='Assumption Sheet'!$L32,('Assumption Sheet'!$M32+'Assumption Sheet'!$P32)*'Assumption Sheet'!$S32*'Assumption Sheet'!$C32,0))/10^7</f>
        <v>0</v>
      </c>
      <c r="DR59" s="33">
        <f>(IF(DR$1='Assumption Sheet'!$L32,('Assumption Sheet'!$M32+'Assumption Sheet'!$P32)*'Assumption Sheet'!$S32*'Assumption Sheet'!$C32,0))/10^7</f>
        <v>0</v>
      </c>
      <c r="DS59" s="33">
        <f>(IF(DS$1='Assumption Sheet'!$L32,('Assumption Sheet'!$M32+'Assumption Sheet'!$P32)*'Assumption Sheet'!$S32*'Assumption Sheet'!$C32,0))/10^7</f>
        <v>0</v>
      </c>
      <c r="DT59" s="33">
        <f>(IF(DT$1='Assumption Sheet'!$L32,('Assumption Sheet'!$M32+'Assumption Sheet'!$P32)*'Assumption Sheet'!$S32*'Assumption Sheet'!$C32,0))/10^7</f>
        <v>0</v>
      </c>
      <c r="DU59" s="33">
        <f>(IF(DU$1='Assumption Sheet'!$L32,('Assumption Sheet'!$M32+'Assumption Sheet'!$P32)*'Assumption Sheet'!$S32*'Assumption Sheet'!$C32,0))/10^7</f>
        <v>0</v>
      </c>
      <c r="DV59" s="33">
        <f>(IF(DV$1='Assumption Sheet'!$L32,('Assumption Sheet'!$M32+'Assumption Sheet'!$P32)*'Assumption Sheet'!$S32*'Assumption Sheet'!$C32,0))/10^7</f>
        <v>0</v>
      </c>
      <c r="DW59" s="33">
        <f>(IF(DW$1='Assumption Sheet'!$L32,('Assumption Sheet'!$M32+'Assumption Sheet'!$P32)*'Assumption Sheet'!$S32*'Assumption Sheet'!$C32,0))/10^7</f>
        <v>0</v>
      </c>
      <c r="DX59" s="33">
        <f>(IF(DX$1='Assumption Sheet'!$L32,('Assumption Sheet'!$M32+'Assumption Sheet'!$P32)*'Assumption Sheet'!$S32*'Assumption Sheet'!$C32,0))/10^7</f>
        <v>0</v>
      </c>
      <c r="DY59" s="33">
        <f>(IF(DY$1='Assumption Sheet'!$L32,('Assumption Sheet'!$M32+'Assumption Sheet'!$P32)*'Assumption Sheet'!$S32*'Assumption Sheet'!$C32,0))/10^7</f>
        <v>0</v>
      </c>
      <c r="DZ59" s="33">
        <f>(IF(DZ$1='Assumption Sheet'!$L32,('Assumption Sheet'!$M32+'Assumption Sheet'!$P32)*'Assumption Sheet'!$S32*'Assumption Sheet'!$C32,0))/10^7</f>
        <v>0</v>
      </c>
      <c r="EA59" s="33">
        <f>(IF(EA$1='Assumption Sheet'!$L32,('Assumption Sheet'!$M32+'Assumption Sheet'!$P32)*'Assumption Sheet'!$S32*'Assumption Sheet'!$C32,0))/10^7</f>
        <v>0</v>
      </c>
      <c r="EB59" s="33">
        <f>(IF(EB$1='Assumption Sheet'!$L32,('Assumption Sheet'!$M32+'Assumption Sheet'!$P32)*'Assumption Sheet'!$S32*'Assumption Sheet'!$C32,0))/10^7</f>
        <v>0</v>
      </c>
      <c r="EC59" s="33">
        <f>(IF(EC$1='Assumption Sheet'!$L32,('Assumption Sheet'!$M32+'Assumption Sheet'!$P32)*'Assumption Sheet'!$S32*'Assumption Sheet'!$C32,0))/10^7</f>
        <v>0</v>
      </c>
      <c r="ED59" s="33">
        <f>(IF(ED$1='Assumption Sheet'!$L32,('Assumption Sheet'!$M32+'Assumption Sheet'!$P32)*'Assumption Sheet'!$S32*'Assumption Sheet'!$C32,0))/10^7</f>
        <v>0</v>
      </c>
      <c r="EE59" s="33">
        <f>(IF(EE$1='Assumption Sheet'!$L32,('Assumption Sheet'!$M32+'Assumption Sheet'!$P32)*'Assumption Sheet'!$S32*'Assumption Sheet'!$C32,0))/10^7</f>
        <v>0</v>
      </c>
      <c r="EF59" s="33">
        <f>(IF(EF$1='Assumption Sheet'!$L32,('Assumption Sheet'!$M32+'Assumption Sheet'!$P32)*'Assumption Sheet'!$S32*'Assumption Sheet'!$C32,0))/10^7</f>
        <v>0</v>
      </c>
      <c r="EG59" s="33">
        <f>(IF(EG$1='Assumption Sheet'!$L32,('Assumption Sheet'!$M32+'Assumption Sheet'!$P32)*'Assumption Sheet'!$S32*'Assumption Sheet'!$C32,0))/10^7</f>
        <v>0</v>
      </c>
      <c r="EH59" s="33">
        <f>(IF(EH$1='Assumption Sheet'!$L32,('Assumption Sheet'!$M32+'Assumption Sheet'!$P32)*'Assumption Sheet'!$S32*'Assumption Sheet'!$C32,0))/10^7</f>
        <v>0</v>
      </c>
      <c r="EI59" s="33">
        <f>(IF(EI$1='Assumption Sheet'!$L32,('Assumption Sheet'!$M32+'Assumption Sheet'!$P32)*'Assumption Sheet'!$S32*'Assumption Sheet'!$C32,0))/10^7</f>
        <v>0</v>
      </c>
      <c r="EJ59" s="33">
        <f>(IF(EJ$1='Assumption Sheet'!$L32,('Assumption Sheet'!$M32+'Assumption Sheet'!$P32)*'Assumption Sheet'!$S32*'Assumption Sheet'!$C32,0))/10^7</f>
        <v>0</v>
      </c>
      <c r="EK59" s="33">
        <f>(IF(EK$1='Assumption Sheet'!$L32,('Assumption Sheet'!$M32+'Assumption Sheet'!$P32)*'Assumption Sheet'!$S32*'Assumption Sheet'!$C32,0))/10^7</f>
        <v>0</v>
      </c>
      <c r="EL59" s="33">
        <f>(IF(EL$1='Assumption Sheet'!$L32,('Assumption Sheet'!$M32+'Assumption Sheet'!$P32)*'Assumption Sheet'!$S32*'Assumption Sheet'!$C32,0))/10^7</f>
        <v>0</v>
      </c>
      <c r="EM59" s="33">
        <f>(IF(EM$1='Assumption Sheet'!$L32,('Assumption Sheet'!$M32+'Assumption Sheet'!$P32)*'Assumption Sheet'!$S32*'Assumption Sheet'!$C32,0))/10^7</f>
        <v>0</v>
      </c>
      <c r="EN59" s="33">
        <f>(IF(EN$1='Assumption Sheet'!$L32,('Assumption Sheet'!$M32+'Assumption Sheet'!$P32)*'Assumption Sheet'!$S32*'Assumption Sheet'!$C32,0))/10^7</f>
        <v>0</v>
      </c>
      <c r="EO59" s="33">
        <f>(IF(EO$1='Assumption Sheet'!$L32,('Assumption Sheet'!$M32+'Assumption Sheet'!$P32)*'Assumption Sheet'!$S32*'Assumption Sheet'!$C32,0))/10^7</f>
        <v>0</v>
      </c>
      <c r="EP59" s="33">
        <f>(IF(EP$1='Assumption Sheet'!$L32,('Assumption Sheet'!$M32+'Assumption Sheet'!$P32)*'Assumption Sheet'!$S32*'Assumption Sheet'!$C32,0))/10^7</f>
        <v>0</v>
      </c>
      <c r="EQ59" s="33">
        <f>(IF(EQ$1='Assumption Sheet'!$L32,('Assumption Sheet'!$M32+'Assumption Sheet'!$P32)*'Assumption Sheet'!$S32*'Assumption Sheet'!$C32,0))/10^7</f>
        <v>0</v>
      </c>
      <c r="ER59" s="33">
        <f>(IF(ER$1='Assumption Sheet'!$L32,('Assumption Sheet'!$M32+'Assumption Sheet'!$P32)*'Assumption Sheet'!$S32*'Assumption Sheet'!$C32,0))/10^7</f>
        <v>0</v>
      </c>
      <c r="ES59" s="33">
        <f>(IF(ES$1='Assumption Sheet'!$L32,('Assumption Sheet'!$M32+'Assumption Sheet'!$P32)*'Assumption Sheet'!$S32*'Assumption Sheet'!$C32,0))/10^7</f>
        <v>0</v>
      </c>
      <c r="ET59" s="33">
        <f>(IF(ET$1='Assumption Sheet'!$L32,('Assumption Sheet'!$M32+'Assumption Sheet'!$P32)*'Assumption Sheet'!$S32*'Assumption Sheet'!$C32,0))/10^7</f>
        <v>0</v>
      </c>
      <c r="EU59" s="33">
        <f>(IF(EU$1='Assumption Sheet'!$L32,('Assumption Sheet'!$M32+'Assumption Sheet'!$P32)*'Assumption Sheet'!$S32*'Assumption Sheet'!$C32,0))/10^7</f>
        <v>0</v>
      </c>
      <c r="EV59" s="33">
        <f>(IF(EV$1='Assumption Sheet'!$L32,('Assumption Sheet'!$M32+'Assumption Sheet'!$P32)*'Assumption Sheet'!$S32*'Assumption Sheet'!$C32,0))/10^7</f>
        <v>0</v>
      </c>
      <c r="EW59" s="33">
        <f>(IF(EW$1='Assumption Sheet'!$L32,('Assumption Sheet'!$M32+'Assumption Sheet'!$P32)*'Assumption Sheet'!$S32*'Assumption Sheet'!$C32,0))/10^7</f>
        <v>0</v>
      </c>
      <c r="EX59" s="33">
        <f>(IF(EX$1='Assumption Sheet'!$L32,('Assumption Sheet'!$M32+'Assumption Sheet'!$P32)*'Assumption Sheet'!$S32*'Assumption Sheet'!$C32,0))/10^7</f>
        <v>0</v>
      </c>
      <c r="EY59" s="33">
        <f>(IF(EY$1='Assumption Sheet'!$L32,('Assumption Sheet'!$M32+'Assumption Sheet'!$P32)*'Assumption Sheet'!$S32*'Assumption Sheet'!$C32,0))/10^7</f>
        <v>0</v>
      </c>
      <c r="EZ59" s="33">
        <f>(IF(EZ$1='Assumption Sheet'!$L32,('Assumption Sheet'!$M32+'Assumption Sheet'!$P32)*'Assumption Sheet'!$S32*'Assumption Sheet'!$C32,0))/10^7</f>
        <v>0</v>
      </c>
      <c r="FA59" s="33">
        <f>(IF(FA$1='Assumption Sheet'!$L32,('Assumption Sheet'!$M32+'Assumption Sheet'!$P32)*'Assumption Sheet'!$S32*'Assumption Sheet'!$C32,0))/10^7</f>
        <v>0</v>
      </c>
      <c r="FB59" s="33">
        <f>(IF(FB$1='Assumption Sheet'!$L32,('Assumption Sheet'!$M32+'Assumption Sheet'!$P32)*'Assumption Sheet'!$S32*'Assumption Sheet'!$C32,0))/10^7</f>
        <v>0</v>
      </c>
      <c r="FC59" s="33">
        <f>(IF(FC$1='Assumption Sheet'!$L32,('Assumption Sheet'!$M32+'Assumption Sheet'!$P32)*'Assumption Sheet'!$S32*'Assumption Sheet'!$C32,0))/10^7</f>
        <v>0</v>
      </c>
      <c r="FD59" s="33">
        <f>(IF(FD$1='Assumption Sheet'!$L32,('Assumption Sheet'!$M32+'Assumption Sheet'!$P32)*'Assumption Sheet'!$S32*'Assumption Sheet'!$C32,0))/10^7</f>
        <v>0</v>
      </c>
      <c r="FE59" s="33">
        <f>(IF(FE$1='Assumption Sheet'!$L32,('Assumption Sheet'!$M32+'Assumption Sheet'!$P32)*'Assumption Sheet'!$S32*'Assumption Sheet'!$C32,0))/10^7</f>
        <v>0</v>
      </c>
      <c r="FF59" s="33">
        <f>(IF(FF$1='Assumption Sheet'!$L32,('Assumption Sheet'!$M32+'Assumption Sheet'!$P32)*'Assumption Sheet'!$S32*'Assumption Sheet'!$C32,0))/10^7</f>
        <v>0</v>
      </c>
      <c r="FG59" s="33">
        <f>(IF(FG$1='Assumption Sheet'!$L32,('Assumption Sheet'!$M32+'Assumption Sheet'!$P32)*'Assumption Sheet'!$S32*'Assumption Sheet'!$C32,0))/10^7</f>
        <v>0</v>
      </c>
      <c r="FH59" s="33">
        <f>(IF(FH$1='Assumption Sheet'!$L32,('Assumption Sheet'!$M32+'Assumption Sheet'!$P32)*'Assumption Sheet'!$S32*'Assumption Sheet'!$C32,0))/10^7</f>
        <v>0</v>
      </c>
      <c r="FI59" s="33">
        <f>(IF(FI$1='Assumption Sheet'!$L32,('Assumption Sheet'!$M32+'Assumption Sheet'!$P32)*'Assumption Sheet'!$S32*'Assumption Sheet'!$C32,0))/10^7</f>
        <v>0</v>
      </c>
      <c r="FJ59" s="33">
        <f>(IF(FJ$1='Assumption Sheet'!$L32,('Assumption Sheet'!$M32+'Assumption Sheet'!$P32)*'Assumption Sheet'!$S32*'Assumption Sheet'!$C32,0))/10^7</f>
        <v>0</v>
      </c>
      <c r="FK59" s="33">
        <f>(IF(FK$1='Assumption Sheet'!$L32,('Assumption Sheet'!$M32+'Assumption Sheet'!$P32)*'Assumption Sheet'!$S32*'Assumption Sheet'!$C32,0))/10^7</f>
        <v>0</v>
      </c>
      <c r="FL59" s="33">
        <f>(IF(FL$1='Assumption Sheet'!$L32,('Assumption Sheet'!$M32+'Assumption Sheet'!$P32)*'Assumption Sheet'!$S32*'Assumption Sheet'!$C32,0))/10^7</f>
        <v>0</v>
      </c>
      <c r="FM59" s="33">
        <f>(IF(FM$1='Assumption Sheet'!$L32,('Assumption Sheet'!$M32+'Assumption Sheet'!$P32)*'Assumption Sheet'!$S32*'Assumption Sheet'!$C32,0))/10^7</f>
        <v>0</v>
      </c>
      <c r="FN59" s="33">
        <f>(IF(FN$1='Assumption Sheet'!$L32,('Assumption Sheet'!$M32+'Assumption Sheet'!$P32)*'Assumption Sheet'!$S32*'Assumption Sheet'!$C32,0))/10^7</f>
        <v>0</v>
      </c>
      <c r="FO59" s="33">
        <f>(IF(FO$1='Assumption Sheet'!$L32,('Assumption Sheet'!$M32+'Assumption Sheet'!$P32)*'Assumption Sheet'!$S32*'Assumption Sheet'!$C32,0))/10^7</f>
        <v>0</v>
      </c>
      <c r="FP59" s="33">
        <f>(IF(FP$1='Assumption Sheet'!$L32,('Assumption Sheet'!$M32+'Assumption Sheet'!$P32)*'Assumption Sheet'!$S32*'Assumption Sheet'!$C32,0))/10^7</f>
        <v>0</v>
      </c>
      <c r="FQ59" s="33">
        <f>(IF(FQ$1='Assumption Sheet'!$L32,('Assumption Sheet'!$M32+'Assumption Sheet'!$P32)*'Assumption Sheet'!$S32*'Assumption Sheet'!$C32,0))/10^7</f>
        <v>0</v>
      </c>
      <c r="FR59" s="33">
        <f>(IF(FR$1='Assumption Sheet'!$L32,('Assumption Sheet'!$M32+'Assumption Sheet'!$P32)*'Assumption Sheet'!$S32*'Assumption Sheet'!$C32,0))/10^7</f>
        <v>0</v>
      </c>
      <c r="FS59" s="33">
        <f>(IF(FS$1='Assumption Sheet'!$L32,('Assumption Sheet'!$M32+'Assumption Sheet'!$P32)*'Assumption Sheet'!$S32*'Assumption Sheet'!$C32,0))/10^7</f>
        <v>0</v>
      </c>
      <c r="FT59" s="33">
        <f>(IF(FT$1='Assumption Sheet'!$L32,('Assumption Sheet'!$M32+'Assumption Sheet'!$P32)*'Assumption Sheet'!$S32*'Assumption Sheet'!$C32,0))/10^7</f>
        <v>0</v>
      </c>
      <c r="FU59" s="33">
        <f>(IF(FU$1='Assumption Sheet'!$L32,('Assumption Sheet'!$M32+'Assumption Sheet'!$P32)*'Assumption Sheet'!$S32*'Assumption Sheet'!$C32,0))/10^7</f>
        <v>0</v>
      </c>
      <c r="FV59" s="33">
        <f>(IF(FV$1='Assumption Sheet'!$L32,('Assumption Sheet'!$M32+'Assumption Sheet'!$P32)*'Assumption Sheet'!$S32*'Assumption Sheet'!$C32,0))/10^7</f>
        <v>0</v>
      </c>
      <c r="FW59" s="33">
        <f>(IF(FW$1='Assumption Sheet'!$L32,('Assumption Sheet'!$M32+'Assumption Sheet'!$P32)*'Assumption Sheet'!$S32*'Assumption Sheet'!$C32,0))/10^7</f>
        <v>0</v>
      </c>
      <c r="FX59" s="33">
        <f>(IF(FX$1='Assumption Sheet'!$L32,('Assumption Sheet'!$M32+'Assumption Sheet'!$P32)*'Assumption Sheet'!$S32*'Assumption Sheet'!$C32,0))/10^7</f>
        <v>0</v>
      </c>
      <c r="FY59" s="33">
        <f>(IF(FY$1='Assumption Sheet'!$L32,('Assumption Sheet'!$M32+'Assumption Sheet'!$P32)*'Assumption Sheet'!$S32*'Assumption Sheet'!$C32,0))/10^7</f>
        <v>0</v>
      </c>
      <c r="FZ59" s="33">
        <f>(IF(FZ$1='Assumption Sheet'!$L32,('Assumption Sheet'!$M32+'Assumption Sheet'!$P32)*'Assumption Sheet'!$S32*'Assumption Sheet'!$C32,0))/10^7</f>
        <v>0</v>
      </c>
      <c r="GA59" s="33">
        <f>(IF(GA$1='Assumption Sheet'!$L32,('Assumption Sheet'!$M32+'Assumption Sheet'!$P32)*'Assumption Sheet'!$S32*'Assumption Sheet'!$C32,0))/10^7</f>
        <v>0</v>
      </c>
      <c r="GB59" s="33">
        <f>(IF(GB$1='Assumption Sheet'!$L32,('Assumption Sheet'!$M32+'Assumption Sheet'!$P32)*'Assumption Sheet'!$S32*'Assumption Sheet'!$C32,0))/10^7</f>
        <v>0</v>
      </c>
      <c r="GC59" s="33">
        <f>(IF(GC$1='Assumption Sheet'!$L32,('Assumption Sheet'!$M32+'Assumption Sheet'!$P32)*'Assumption Sheet'!$S32*'Assumption Sheet'!$C32,0))/10^7</f>
        <v>0</v>
      </c>
      <c r="GD59" s="33">
        <f>(IF(GD$1='Assumption Sheet'!$L32,('Assumption Sheet'!$M32+'Assumption Sheet'!$P32)*'Assumption Sheet'!$S32*'Assumption Sheet'!$C32,0))/10^7</f>
        <v>0</v>
      </c>
      <c r="GE59" s="33">
        <f>(IF(GE$1='Assumption Sheet'!$L32,('Assumption Sheet'!$M32+'Assumption Sheet'!$P32)*'Assumption Sheet'!$S32*'Assumption Sheet'!$C32,0))/10^7</f>
        <v>0</v>
      </c>
      <c r="GF59" s="33">
        <f>(IF(GF$1='Assumption Sheet'!$L32,('Assumption Sheet'!$M32+'Assumption Sheet'!$P32)*'Assumption Sheet'!$S32*'Assumption Sheet'!$C32,0))/10^7</f>
        <v>0</v>
      </c>
      <c r="GG59" s="33">
        <f>(IF(GG$1='Assumption Sheet'!$L32,('Assumption Sheet'!$M32+'Assumption Sheet'!$P32)*'Assumption Sheet'!$S32*'Assumption Sheet'!$C32,0))/10^7</f>
        <v>0</v>
      </c>
      <c r="GH59" s="33">
        <f>(IF(GH$1='Assumption Sheet'!$L32,('Assumption Sheet'!$M32+'Assumption Sheet'!$P32)*'Assumption Sheet'!$S32*'Assumption Sheet'!$C32,0))/10^7</f>
        <v>0</v>
      </c>
      <c r="GI59" s="33">
        <f>(IF(GI$1='Assumption Sheet'!$L32,('Assumption Sheet'!$M32+'Assumption Sheet'!$P32)*'Assumption Sheet'!$S32*'Assumption Sheet'!$C32,0))/10^7</f>
        <v>0</v>
      </c>
      <c r="GJ59" s="33">
        <f>(IF(GJ$1='Assumption Sheet'!$L32,('Assumption Sheet'!$M32+'Assumption Sheet'!$P32)*'Assumption Sheet'!$S32*'Assumption Sheet'!$C32,0))/10^7</f>
        <v>0</v>
      </c>
      <c r="GK59" s="33">
        <f>(IF(GK$1='Assumption Sheet'!$L32,('Assumption Sheet'!$M32+'Assumption Sheet'!$P32)*'Assumption Sheet'!$S32*'Assumption Sheet'!$C32,0))/10^7</f>
        <v>0</v>
      </c>
      <c r="GL59" s="33">
        <f>(IF(GL$1='Assumption Sheet'!$L32,('Assumption Sheet'!$M32+'Assumption Sheet'!$P32)*'Assumption Sheet'!$S32*'Assumption Sheet'!$C32,0))/10^7</f>
        <v>0</v>
      </c>
      <c r="GM59" s="33">
        <f>(IF(GM$1='Assumption Sheet'!$L32,('Assumption Sheet'!$M32+'Assumption Sheet'!$P32)*'Assumption Sheet'!$S32*'Assumption Sheet'!$C32,0))/10^7</f>
        <v>0</v>
      </c>
      <c r="GN59" s="33">
        <f>(IF(GN$1='Assumption Sheet'!$L32,('Assumption Sheet'!$M32+'Assumption Sheet'!$P32)*'Assumption Sheet'!$S32*'Assumption Sheet'!$C32,0))/10^7</f>
        <v>0</v>
      </c>
      <c r="GO59" s="33">
        <f>(IF(GO$1='Assumption Sheet'!$L32,('Assumption Sheet'!$M32+'Assumption Sheet'!$P32)*'Assumption Sheet'!$S32*'Assumption Sheet'!$C32,0))/10^7</f>
        <v>0</v>
      </c>
      <c r="GP59" s="33">
        <f>(IF(GP$1='Assumption Sheet'!$L32,('Assumption Sheet'!$M32+'Assumption Sheet'!$P32)*'Assumption Sheet'!$S32*'Assumption Sheet'!$C32,0))/10^7</f>
        <v>0</v>
      </c>
      <c r="GQ59" s="33">
        <f>(IF(GQ$1='Assumption Sheet'!$L32,('Assumption Sheet'!$M32+'Assumption Sheet'!$P32)*'Assumption Sheet'!$S32*'Assumption Sheet'!$C32,0))/10^7</f>
        <v>0</v>
      </c>
      <c r="GR59" s="33">
        <f>(IF(GR$1='Assumption Sheet'!$L32,('Assumption Sheet'!$M32+'Assumption Sheet'!$P32)*'Assumption Sheet'!$S32*'Assumption Sheet'!$C32,0))/10^7</f>
        <v>0</v>
      </c>
      <c r="GS59" s="33">
        <f>(IF(GS$1='Assumption Sheet'!$L32,('Assumption Sheet'!$M32+'Assumption Sheet'!$P32)*'Assumption Sheet'!$S32*'Assumption Sheet'!$C32,0))/10^7</f>
        <v>0</v>
      </c>
      <c r="GT59" s="33">
        <f>(IF(GT$1='Assumption Sheet'!$L32,('Assumption Sheet'!$M32+'Assumption Sheet'!$P32)*'Assumption Sheet'!$S32*'Assumption Sheet'!$C32,0))/10^7</f>
        <v>0</v>
      </c>
      <c r="GU59" s="33">
        <f>(IF(GU$1='Assumption Sheet'!$L32,('Assumption Sheet'!$M32+'Assumption Sheet'!$P32)*'Assumption Sheet'!$S32*'Assumption Sheet'!$C32,0))/10^7</f>
        <v>0</v>
      </c>
      <c r="GV59" s="33">
        <f>(IF(GV$1='Assumption Sheet'!$L32,('Assumption Sheet'!$M32+'Assumption Sheet'!$P32)*'Assumption Sheet'!$S32*'Assumption Sheet'!$C32,0))/10^7</f>
        <v>0</v>
      </c>
      <c r="GW59" s="33">
        <f>(IF(GW$1='Assumption Sheet'!$L32,('Assumption Sheet'!$M32+'Assumption Sheet'!$P32)*'Assumption Sheet'!$S32*'Assumption Sheet'!$C32,0))/10^7</f>
        <v>0</v>
      </c>
      <c r="GX59" s="33">
        <f>(IF(GX$1='Assumption Sheet'!$L32,('Assumption Sheet'!$M32+'Assumption Sheet'!$P32)*'Assumption Sheet'!$S32*'Assumption Sheet'!$C32,0))/10^7</f>
        <v>0</v>
      </c>
      <c r="GY59" s="33">
        <f>(IF(GY$1='Assumption Sheet'!$L32,('Assumption Sheet'!$M32+'Assumption Sheet'!$P32)*'Assumption Sheet'!$S32*'Assumption Sheet'!$C32,0))/10^7</f>
        <v>0</v>
      </c>
      <c r="GZ59" s="33">
        <f>(IF(GZ$1='Assumption Sheet'!$L32,('Assumption Sheet'!$M32+'Assumption Sheet'!$P32)*'Assumption Sheet'!$S32*'Assumption Sheet'!$C32,0))/10^7</f>
        <v>0</v>
      </c>
      <c r="HA59" s="33">
        <f>(IF(HA$1='Assumption Sheet'!$L32,('Assumption Sheet'!$M32+'Assumption Sheet'!$P32)*'Assumption Sheet'!$S32*'Assumption Sheet'!$C32,0))/10^7</f>
        <v>0</v>
      </c>
      <c r="HB59" s="33">
        <f>(IF(HB$1='Assumption Sheet'!$L32,('Assumption Sheet'!$M32+'Assumption Sheet'!$P32)*'Assumption Sheet'!$S32*'Assumption Sheet'!$C32,0))/10^7</f>
        <v>0</v>
      </c>
      <c r="HC59" s="33">
        <f>(IF(HC$1='Assumption Sheet'!$L32,('Assumption Sheet'!$M32+'Assumption Sheet'!$P32)*'Assumption Sheet'!$S32*'Assumption Sheet'!$C32,0))/10^7</f>
        <v>0</v>
      </c>
      <c r="HD59" s="33">
        <f>(IF(HD$1='Assumption Sheet'!$L32,('Assumption Sheet'!$M32+'Assumption Sheet'!$P32)*'Assumption Sheet'!$S32*'Assumption Sheet'!$C32,0))/10^7</f>
        <v>0</v>
      </c>
      <c r="HE59" s="33">
        <f>(IF(HE$1='Assumption Sheet'!$L32,('Assumption Sheet'!$M32+'Assumption Sheet'!$P32)*'Assumption Sheet'!$S32*'Assumption Sheet'!$C32,0))/10^7</f>
        <v>0</v>
      </c>
      <c r="HF59" s="33">
        <f>(IF(HF$1='Assumption Sheet'!$L32,('Assumption Sheet'!$M32+'Assumption Sheet'!$P32)*'Assumption Sheet'!$S32*'Assumption Sheet'!$C32,0))/10^7</f>
        <v>0</v>
      </c>
      <c r="HG59" s="33">
        <f>(IF(HG$1='Assumption Sheet'!$L32,('Assumption Sheet'!$M32+'Assumption Sheet'!$P32)*'Assumption Sheet'!$S32*'Assumption Sheet'!$C32,0))/10^7</f>
        <v>0</v>
      </c>
      <c r="HH59" s="33">
        <f>(IF(HH$1='Assumption Sheet'!$L32,('Assumption Sheet'!$M32+'Assumption Sheet'!$P32)*'Assumption Sheet'!$S32*'Assumption Sheet'!$C32,0))/10^7</f>
        <v>0</v>
      </c>
      <c r="HI59" s="33">
        <f>(IF(HI$1='Assumption Sheet'!$L32,('Assumption Sheet'!$M32+'Assumption Sheet'!$P32)*'Assumption Sheet'!$S32*'Assumption Sheet'!$C32,0))/10^7</f>
        <v>0</v>
      </c>
      <c r="HJ59" s="33">
        <f>(IF(HJ$1='Assumption Sheet'!$L32,('Assumption Sheet'!$M32+'Assumption Sheet'!$P32)*'Assumption Sheet'!$S32*'Assumption Sheet'!$C32,0))/10^7</f>
        <v>0</v>
      </c>
      <c r="HK59" s="33">
        <f>(IF(HK$1='Assumption Sheet'!$L32,('Assumption Sheet'!$M32+'Assumption Sheet'!$P32)*'Assumption Sheet'!$S32*'Assumption Sheet'!$C32,0))/10^7</f>
        <v>0</v>
      </c>
      <c r="HL59" s="33">
        <f>(IF(HL$1='Assumption Sheet'!$L32,('Assumption Sheet'!$M32+'Assumption Sheet'!$P32)*'Assumption Sheet'!$S32*'Assumption Sheet'!$C32,0))/10^7</f>
        <v>0</v>
      </c>
      <c r="HM59" s="33">
        <f>(IF(HM$1='Assumption Sheet'!$L32,('Assumption Sheet'!$M32+'Assumption Sheet'!$P32)*'Assumption Sheet'!$S32*'Assumption Sheet'!$C32,0))/10^7</f>
        <v>0</v>
      </c>
      <c r="HN59" s="33">
        <f>(IF(HN$1='Assumption Sheet'!$L32,('Assumption Sheet'!$M32+'Assumption Sheet'!$P32)*'Assumption Sheet'!$S32*'Assumption Sheet'!$C32,0))/10^7</f>
        <v>0</v>
      </c>
      <c r="HO59" s="33">
        <f>(IF(HO$1='Assumption Sheet'!$L32,('Assumption Sheet'!$M32+'Assumption Sheet'!$P32)*'Assumption Sheet'!$S32*'Assumption Sheet'!$C32,0))/10^7</f>
        <v>0</v>
      </c>
      <c r="HP59" s="33">
        <f>(IF(HP$1='Assumption Sheet'!$L32,('Assumption Sheet'!$M32+'Assumption Sheet'!$P32)*'Assumption Sheet'!$S32*'Assumption Sheet'!$C32,0))/10^7</f>
        <v>0</v>
      </c>
      <c r="HQ59" s="33">
        <f>(IF(HQ$1='Assumption Sheet'!$L32,('Assumption Sheet'!$M32+'Assumption Sheet'!$P32)*'Assumption Sheet'!$S32*'Assumption Sheet'!$C32,0))/10^7</f>
        <v>0</v>
      </c>
      <c r="HR59" s="33">
        <f>(IF(HR$1='Assumption Sheet'!$L32,('Assumption Sheet'!$M32+'Assumption Sheet'!$P32)*'Assumption Sheet'!$S32*'Assumption Sheet'!$C32,0))/10^7</f>
        <v>0</v>
      </c>
      <c r="HS59" s="33">
        <f>(IF(HS$1='Assumption Sheet'!$L32,('Assumption Sheet'!$M32+'Assumption Sheet'!$P32)*'Assumption Sheet'!$S32*'Assumption Sheet'!$C32,0))/10^7</f>
        <v>0</v>
      </c>
      <c r="HT59" s="33">
        <f>(IF(HT$1='Assumption Sheet'!$L32,('Assumption Sheet'!$M32+'Assumption Sheet'!$P32)*'Assumption Sheet'!$S32*'Assumption Sheet'!$C32,0))/10^7</f>
        <v>0</v>
      </c>
      <c r="HU59" s="33">
        <f>(IF(HU$1='Assumption Sheet'!$L32,('Assumption Sheet'!$M32+'Assumption Sheet'!$P32)*'Assumption Sheet'!$S32*'Assumption Sheet'!$C32,0))/10^7</f>
        <v>0</v>
      </c>
      <c r="HV59" s="33">
        <f>(IF(HV$1='Assumption Sheet'!$L32,('Assumption Sheet'!$M32+'Assumption Sheet'!$P32)*'Assumption Sheet'!$S32*'Assumption Sheet'!$C32,0))/10^7</f>
        <v>0</v>
      </c>
      <c r="HW59" s="33">
        <f>(IF(HW$1='Assumption Sheet'!$L32,('Assumption Sheet'!$M32+'Assumption Sheet'!$P32)*'Assumption Sheet'!$S32*'Assumption Sheet'!$C32,0))/10^7</f>
        <v>0</v>
      </c>
      <c r="HX59" s="33">
        <f>(IF(HX$1='Assumption Sheet'!$L32,('Assumption Sheet'!$M32+'Assumption Sheet'!$P32)*'Assumption Sheet'!$S32*'Assumption Sheet'!$C32,0))/10^7</f>
        <v>0</v>
      </c>
      <c r="HY59" s="33">
        <f>(IF(HY$1='Assumption Sheet'!$L32,('Assumption Sheet'!$M32+'Assumption Sheet'!$P32)*'Assumption Sheet'!$S32*'Assumption Sheet'!$C32,0))/10^7</f>
        <v>0</v>
      </c>
      <c r="HZ59" s="33">
        <f>(IF(HZ$1='Assumption Sheet'!$L32,('Assumption Sheet'!$M32+'Assumption Sheet'!$P32)*'Assumption Sheet'!$S32*'Assumption Sheet'!$C32,0))/10^7</f>
        <v>0</v>
      </c>
      <c r="IA59" s="33">
        <f>(IF(IA$1='Assumption Sheet'!$L32,('Assumption Sheet'!$M32+'Assumption Sheet'!$P32)*'Assumption Sheet'!$S32*'Assumption Sheet'!$C32,0))/10^7</f>
        <v>0</v>
      </c>
      <c r="IB59" s="33">
        <f>(IF(IB$1='Assumption Sheet'!$L32,('Assumption Sheet'!$M32+'Assumption Sheet'!$P32)*'Assumption Sheet'!$S32*'Assumption Sheet'!$C32,0))/10^7</f>
        <v>0</v>
      </c>
      <c r="IC59" s="33">
        <f>(IF(IC$1='Assumption Sheet'!$L32,('Assumption Sheet'!$M32+'Assumption Sheet'!$P32)*'Assumption Sheet'!$S32*'Assumption Sheet'!$C32,0))/10^7</f>
        <v>0</v>
      </c>
      <c r="ID59" s="33">
        <f>(IF(ID$1='Assumption Sheet'!$L32,('Assumption Sheet'!$M32+'Assumption Sheet'!$P32)*'Assumption Sheet'!$S32*'Assumption Sheet'!$C32,0))/10^7</f>
        <v>0</v>
      </c>
      <c r="IE59" s="33">
        <f>(IF(IE$1='Assumption Sheet'!$L32,('Assumption Sheet'!$M32+'Assumption Sheet'!$P32)*'Assumption Sheet'!$S32*'Assumption Sheet'!$C32,0))/10^7</f>
        <v>0</v>
      </c>
      <c r="IF59" s="33">
        <f>(IF(IF$1='Assumption Sheet'!$L32,('Assumption Sheet'!$M32+'Assumption Sheet'!$P32)*'Assumption Sheet'!$S32*'Assumption Sheet'!$C32,0))/10^7</f>
        <v>0</v>
      </c>
      <c r="IG59" s="33">
        <f>(IF(IG$1='Assumption Sheet'!$L32,('Assumption Sheet'!$M32+'Assumption Sheet'!$P32)*'Assumption Sheet'!$S32*'Assumption Sheet'!$C32,0))/10^7</f>
        <v>0</v>
      </c>
      <c r="IH59" s="33">
        <f>(IF(IH$1='Assumption Sheet'!$L32,('Assumption Sheet'!$M32+'Assumption Sheet'!$P32)*'Assumption Sheet'!$S32*'Assumption Sheet'!$C32,0))/10^7</f>
        <v>0</v>
      </c>
      <c r="II59" s="33">
        <f>(IF(II$1='Assumption Sheet'!$L32,('Assumption Sheet'!$M32+'Assumption Sheet'!$P32)*'Assumption Sheet'!$S32*'Assumption Sheet'!$C32,0))/10^7</f>
        <v>0</v>
      </c>
      <c r="IJ59" s="33">
        <f>(IF(IJ$1='Assumption Sheet'!$L32,('Assumption Sheet'!$M32+'Assumption Sheet'!$P32)*'Assumption Sheet'!$S32*'Assumption Sheet'!$C32,0))/10^7</f>
        <v>0</v>
      </c>
      <c r="IK59" s="33">
        <f>(IF(IK$1='Assumption Sheet'!$L32,('Assumption Sheet'!$M32+'Assumption Sheet'!$P32)*'Assumption Sheet'!$S32*'Assumption Sheet'!$C32,0))/10^7</f>
        <v>0</v>
      </c>
      <c r="IL59" s="33">
        <f>(IF(IL$1='Assumption Sheet'!$L32,('Assumption Sheet'!$M32+'Assumption Sheet'!$P32)*'Assumption Sheet'!$S32*'Assumption Sheet'!$C32,0))/10^7</f>
        <v>0</v>
      </c>
      <c r="IM59" s="33">
        <f>(IF(IM$1='Assumption Sheet'!$L32,('Assumption Sheet'!$M32+'Assumption Sheet'!$P32)*'Assumption Sheet'!$S32*'Assumption Sheet'!$C32,0))/10^7</f>
        <v>0</v>
      </c>
      <c r="IN59" s="33">
        <f>(IF(IN$1='Assumption Sheet'!$L32,('Assumption Sheet'!$M32+'Assumption Sheet'!$P32)*'Assumption Sheet'!$S32*'Assumption Sheet'!$C32,0))/10^7</f>
        <v>0</v>
      </c>
      <c r="IO59" s="33">
        <f>(IF(IO$1='Assumption Sheet'!$L32,('Assumption Sheet'!$M32+'Assumption Sheet'!$P32)*'Assumption Sheet'!$S32*'Assumption Sheet'!$C32,0))/10^7</f>
        <v>0</v>
      </c>
      <c r="IP59" s="33">
        <f>(IF(IP$1='Assumption Sheet'!$L32,('Assumption Sheet'!$M32+'Assumption Sheet'!$P32)*'Assumption Sheet'!$S32*'Assumption Sheet'!$C32,0))/10^7</f>
        <v>0</v>
      </c>
      <c r="IQ59" s="33">
        <f>(IF(IQ$1='Assumption Sheet'!$L32,('Assumption Sheet'!$M32+'Assumption Sheet'!$P32)*'Assumption Sheet'!$S32*'Assumption Sheet'!$C32,0))/10^7</f>
        <v>0</v>
      </c>
      <c r="IR59" s="33">
        <f>(IF(IR$1='Assumption Sheet'!$L32,('Assumption Sheet'!$M32+'Assumption Sheet'!$P32)*'Assumption Sheet'!$S32*'Assumption Sheet'!$C32,0))/10^7</f>
        <v>0</v>
      </c>
      <c r="IS59" s="33">
        <f>(IF(IS$1='Assumption Sheet'!$L32,('Assumption Sheet'!$M32+'Assumption Sheet'!$P32)*'Assumption Sheet'!$S32*'Assumption Sheet'!$C32,0))/10^7</f>
        <v>0</v>
      </c>
      <c r="IT59" s="33">
        <f>(IF(IT$1='Assumption Sheet'!$L32,('Assumption Sheet'!$M32+'Assumption Sheet'!$P32)*'Assumption Sheet'!$S32*'Assumption Sheet'!$C32,0))/10^7</f>
        <v>0</v>
      </c>
      <c r="IU59" s="33">
        <f>(IF(IU$1='Assumption Sheet'!$L32,('Assumption Sheet'!$M32+'Assumption Sheet'!$P32)*'Assumption Sheet'!$S32*'Assumption Sheet'!$C32,0))/10^7</f>
        <v>0</v>
      </c>
      <c r="IV59" s="33">
        <f>(IF(IV$1='Assumption Sheet'!$L32,('Assumption Sheet'!$M32+'Assumption Sheet'!$P32)*'Assumption Sheet'!$S32*'Assumption Sheet'!$C32,0))/10^7</f>
        <v>0</v>
      </c>
      <c r="IW59" s="33">
        <f>(IF(IW$1='Assumption Sheet'!$L32,('Assumption Sheet'!$M32+'Assumption Sheet'!$P32)*'Assumption Sheet'!$S32*'Assumption Sheet'!$C32,0))/10^7</f>
        <v>0</v>
      </c>
      <c r="IX59" s="33">
        <f>(IF(IX$1='Assumption Sheet'!$L32,('Assumption Sheet'!$M32+'Assumption Sheet'!$P32)*'Assumption Sheet'!$S32*'Assumption Sheet'!$C32,0))/10^7</f>
        <v>0</v>
      </c>
      <c r="IY59" s="33">
        <f>(IF(IY$1='Assumption Sheet'!$L32,('Assumption Sheet'!$M32+'Assumption Sheet'!$P32)*'Assumption Sheet'!$S32*'Assumption Sheet'!$C32,0))/10^7</f>
        <v>0</v>
      </c>
      <c r="IZ59" s="33">
        <f>(IF(IZ$1='Assumption Sheet'!$L32,('Assumption Sheet'!$M32+'Assumption Sheet'!$P32)*'Assumption Sheet'!$S32*'Assumption Sheet'!$C32,0))/10^7</f>
        <v>0</v>
      </c>
      <c r="JA59" s="33">
        <f>(IF(JA$1='Assumption Sheet'!$L32,('Assumption Sheet'!$M32+'Assumption Sheet'!$P32)*'Assumption Sheet'!$S32*'Assumption Sheet'!$C32,0))/10^7</f>
        <v>0</v>
      </c>
      <c r="JB59" s="33">
        <f>(IF(JB$1='Assumption Sheet'!$L32,('Assumption Sheet'!$M32+'Assumption Sheet'!$P32)*'Assumption Sheet'!$S32*'Assumption Sheet'!$C32,0))/10^7</f>
        <v>0</v>
      </c>
      <c r="JC59" s="33">
        <f>(IF(JC$1='Assumption Sheet'!$L32,('Assumption Sheet'!$M32+'Assumption Sheet'!$P32)*'Assumption Sheet'!$S32*'Assumption Sheet'!$C32,0))/10^7</f>
        <v>0</v>
      </c>
      <c r="JD59" s="33">
        <f>(IF(JD$1='Assumption Sheet'!$L32,('Assumption Sheet'!$M32+'Assumption Sheet'!$P32)*'Assumption Sheet'!$S32*'Assumption Sheet'!$C32,0))/10^7</f>
        <v>0</v>
      </c>
      <c r="JE59" s="33">
        <f>(IF(JE$1='Assumption Sheet'!$L32,('Assumption Sheet'!$M32+'Assumption Sheet'!$P32)*'Assumption Sheet'!$S32*'Assumption Sheet'!$C32,0))/10^7</f>
        <v>0</v>
      </c>
      <c r="JF59" s="33">
        <f>(IF(JF$1='Assumption Sheet'!$L32,('Assumption Sheet'!$M32+'Assumption Sheet'!$P32)*'Assumption Sheet'!$S32*'Assumption Sheet'!$C32,0))/10^7</f>
        <v>0</v>
      </c>
      <c r="JG59" s="33">
        <f>(IF(JG$1='Assumption Sheet'!$L32,('Assumption Sheet'!$M32+'Assumption Sheet'!$P32)*'Assumption Sheet'!$S32*'Assumption Sheet'!$C32,0))/10^7</f>
        <v>0</v>
      </c>
      <c r="JH59" s="33">
        <f>(IF(JH$1='Assumption Sheet'!$L32,('Assumption Sheet'!$M32+'Assumption Sheet'!$P32)*'Assumption Sheet'!$S32*'Assumption Sheet'!$C32,0))/10^7</f>
        <v>0</v>
      </c>
      <c r="JI59" s="33">
        <f>(IF(JI$1='Assumption Sheet'!$L32,('Assumption Sheet'!$M32+'Assumption Sheet'!$P32)*'Assumption Sheet'!$S32*'Assumption Sheet'!$C32,0))/10^7</f>
        <v>0</v>
      </c>
      <c r="JJ59" s="33">
        <f>(IF(JJ$1='Assumption Sheet'!$L32,('Assumption Sheet'!$M32+'Assumption Sheet'!$P32)*'Assumption Sheet'!$S32*'Assumption Sheet'!$C32,0))/10^7</f>
        <v>0</v>
      </c>
      <c r="JK59" s="33">
        <f>(IF(JK$1='Assumption Sheet'!$L32,('Assumption Sheet'!$M32+'Assumption Sheet'!$P32)*'Assumption Sheet'!$S32*'Assumption Sheet'!$C32,0))/10^7</f>
        <v>0</v>
      </c>
      <c r="JL59" s="33">
        <f>(IF(JL$1='Assumption Sheet'!$L32,('Assumption Sheet'!$M32+'Assumption Sheet'!$P32)*'Assumption Sheet'!$S32*'Assumption Sheet'!$C32,0))/10^7</f>
        <v>0</v>
      </c>
      <c r="JM59" s="33">
        <f>(IF(JM$1='Assumption Sheet'!$L32,('Assumption Sheet'!$M32+'Assumption Sheet'!$P32)*'Assumption Sheet'!$S32*'Assumption Sheet'!$C32,0))/10^7</f>
        <v>0</v>
      </c>
      <c r="JN59" s="33">
        <f>(IF(JN$1='Assumption Sheet'!$L32,('Assumption Sheet'!$M32+'Assumption Sheet'!$P32)*'Assumption Sheet'!$S32*'Assumption Sheet'!$C32,0))/10^7</f>
        <v>0</v>
      </c>
      <c r="JO59" s="33">
        <f>(IF(JO$1='Assumption Sheet'!$L32,('Assumption Sheet'!$M32+'Assumption Sheet'!$P32)*'Assumption Sheet'!$S32*'Assumption Sheet'!$C32,0))/10^7</f>
        <v>0</v>
      </c>
      <c r="JP59" s="33">
        <f>(IF(JP$1='Assumption Sheet'!$L32,('Assumption Sheet'!$M32+'Assumption Sheet'!$P32)*'Assumption Sheet'!$S32*'Assumption Sheet'!$C32,0))/10^7</f>
        <v>0</v>
      </c>
      <c r="JQ59" s="33">
        <f>(IF(JQ$1='Assumption Sheet'!$L32,('Assumption Sheet'!$M32+'Assumption Sheet'!$P32)*'Assumption Sheet'!$S32*'Assumption Sheet'!$C32,0))/10^7</f>
        <v>0</v>
      </c>
      <c r="JR59" s="33">
        <f>(IF(JR$1='Assumption Sheet'!$L32,('Assumption Sheet'!$M32+'Assumption Sheet'!$P32)*'Assumption Sheet'!$S32*'Assumption Sheet'!$C32,0))/10^7</f>
        <v>0</v>
      </c>
      <c r="JS59" s="33">
        <f>(IF(JS$1='Assumption Sheet'!$L32,('Assumption Sheet'!$M32+'Assumption Sheet'!$P32)*'Assumption Sheet'!$S32*'Assumption Sheet'!$C32,0))/10^7</f>
        <v>0</v>
      </c>
      <c r="JT59" s="33">
        <f>(IF(JT$1='Assumption Sheet'!$L32,('Assumption Sheet'!$M32+'Assumption Sheet'!$P32)*'Assumption Sheet'!$S32*'Assumption Sheet'!$C32,0))/10^7</f>
        <v>0</v>
      </c>
      <c r="JU59" s="33">
        <f>(IF(JU$1='Assumption Sheet'!$L32,('Assumption Sheet'!$M32+'Assumption Sheet'!$P32)*'Assumption Sheet'!$S32*'Assumption Sheet'!$C32,0))/10^7</f>
        <v>0</v>
      </c>
      <c r="JV59" s="33">
        <f>(IF(JV$1='Assumption Sheet'!$L32,('Assumption Sheet'!$M32+'Assumption Sheet'!$P32)*'Assumption Sheet'!$S32*'Assumption Sheet'!$C32,0))/10^7</f>
        <v>0</v>
      </c>
      <c r="JW59" s="33">
        <f>(IF(JW$1='Assumption Sheet'!$L32,('Assumption Sheet'!$M32+'Assumption Sheet'!$P32)*'Assumption Sheet'!$S32*'Assumption Sheet'!$C32,0))/10^7</f>
        <v>0</v>
      </c>
      <c r="JX59" s="33">
        <f>(IF(JX$1='Assumption Sheet'!$L32,('Assumption Sheet'!$M32+'Assumption Sheet'!$P32)*'Assumption Sheet'!$S32*'Assumption Sheet'!$C32,0))/10^7</f>
        <v>0</v>
      </c>
      <c r="JY59" s="33">
        <f>(IF(JY$1='Assumption Sheet'!$L32,('Assumption Sheet'!$M32+'Assumption Sheet'!$P32)*'Assumption Sheet'!$S32*'Assumption Sheet'!$C32,0))/10^7</f>
        <v>0</v>
      </c>
      <c r="JZ59" s="33">
        <f>(IF(JZ$1='Assumption Sheet'!$L32,('Assumption Sheet'!$M32+'Assumption Sheet'!$P32)*'Assumption Sheet'!$S32*'Assumption Sheet'!$C32,0))/10^7</f>
        <v>0</v>
      </c>
      <c r="KA59" s="33">
        <f>(IF(KA$1='Assumption Sheet'!$L32,('Assumption Sheet'!$M32+'Assumption Sheet'!$P32)*'Assumption Sheet'!$S32*'Assumption Sheet'!$C32,0))/10^7</f>
        <v>0</v>
      </c>
      <c r="KB59" s="33">
        <f>(IF(KB$1='Assumption Sheet'!$L32,('Assumption Sheet'!$M32+'Assumption Sheet'!$P32)*'Assumption Sheet'!$S32*'Assumption Sheet'!$C32,0))/10^7</f>
        <v>0</v>
      </c>
      <c r="KC59" s="33">
        <f>(IF(KC$1='Assumption Sheet'!$L32,('Assumption Sheet'!$M32+'Assumption Sheet'!$P32)*'Assumption Sheet'!$S32*'Assumption Sheet'!$C32,0))/10^7</f>
        <v>0</v>
      </c>
      <c r="KD59" s="45"/>
      <c r="KE59" s="45"/>
      <c r="KF59" s="45"/>
      <c r="KG59" s="45"/>
      <c r="KH59" s="45"/>
      <c r="KI59" s="45"/>
      <c r="KJ59" s="45"/>
      <c r="KK59" s="45"/>
      <c r="KL59" s="45"/>
      <c r="KM59" s="45"/>
      <c r="KN59" s="45"/>
      <c r="KO59" s="45"/>
    </row>
    <row r="60" spans="1:301" s="428" customFormat="1" x14ac:dyDescent="0.3">
      <c r="A60" s="429"/>
      <c r="C60" s="460">
        <f t="shared" ref="C60" si="155">SUM(E60:EX60)</f>
        <v>6.107326468132575</v>
      </c>
      <c r="D60" s="462"/>
      <c r="E60" s="460">
        <f t="shared" ref="E60:BP60" si="156">SUM(E55:E59)</f>
        <v>0</v>
      </c>
      <c r="F60" s="460">
        <f t="shared" si="156"/>
        <v>0</v>
      </c>
      <c r="G60" s="460">
        <f t="shared" si="156"/>
        <v>0</v>
      </c>
      <c r="H60" s="460">
        <f t="shared" si="156"/>
        <v>0</v>
      </c>
      <c r="I60" s="460">
        <f t="shared" si="156"/>
        <v>0</v>
      </c>
      <c r="J60" s="460">
        <f t="shared" si="156"/>
        <v>0</v>
      </c>
      <c r="K60" s="460">
        <f t="shared" si="156"/>
        <v>0</v>
      </c>
      <c r="L60" s="460">
        <f t="shared" si="156"/>
        <v>0</v>
      </c>
      <c r="M60" s="460">
        <f t="shared" si="156"/>
        <v>0</v>
      </c>
      <c r="N60" s="460">
        <f t="shared" si="156"/>
        <v>0</v>
      </c>
      <c r="O60" s="460">
        <f t="shared" si="156"/>
        <v>0</v>
      </c>
      <c r="P60" s="460">
        <f t="shared" si="156"/>
        <v>0</v>
      </c>
      <c r="Q60" s="460">
        <f t="shared" si="156"/>
        <v>0</v>
      </c>
      <c r="R60" s="460">
        <f t="shared" si="156"/>
        <v>0</v>
      </c>
      <c r="S60" s="460">
        <f t="shared" si="156"/>
        <v>0</v>
      </c>
      <c r="T60" s="460">
        <f t="shared" si="156"/>
        <v>0</v>
      </c>
      <c r="U60" s="460">
        <f t="shared" si="156"/>
        <v>0</v>
      </c>
      <c r="V60" s="460">
        <f t="shared" si="156"/>
        <v>0</v>
      </c>
      <c r="W60" s="460">
        <f t="shared" si="156"/>
        <v>1.0462373075899498</v>
      </c>
      <c r="X60" s="460">
        <f t="shared" si="156"/>
        <v>0</v>
      </c>
      <c r="Y60" s="460">
        <f t="shared" si="156"/>
        <v>0</v>
      </c>
      <c r="Z60" s="460">
        <f t="shared" si="156"/>
        <v>0</v>
      </c>
      <c r="AA60" s="460">
        <f t="shared" si="156"/>
        <v>0</v>
      </c>
      <c r="AB60" s="460">
        <f t="shared" si="156"/>
        <v>0</v>
      </c>
      <c r="AC60" s="460">
        <f t="shared" si="156"/>
        <v>0</v>
      </c>
      <c r="AD60" s="460">
        <f t="shared" si="156"/>
        <v>0</v>
      </c>
      <c r="AE60" s="460">
        <f t="shared" si="156"/>
        <v>0</v>
      </c>
      <c r="AF60" s="460">
        <f t="shared" si="156"/>
        <v>0</v>
      </c>
      <c r="AG60" s="460">
        <f t="shared" si="156"/>
        <v>0</v>
      </c>
      <c r="AH60" s="460">
        <f t="shared" si="156"/>
        <v>0</v>
      </c>
      <c r="AI60" s="460">
        <f t="shared" si="156"/>
        <v>2.0265065357818051</v>
      </c>
      <c r="AJ60" s="460">
        <f t="shared" si="156"/>
        <v>0</v>
      </c>
      <c r="AK60" s="460">
        <f t="shared" si="156"/>
        <v>0</v>
      </c>
      <c r="AL60" s="460">
        <f t="shared" si="156"/>
        <v>0</v>
      </c>
      <c r="AM60" s="460">
        <f t="shared" si="156"/>
        <v>0</v>
      </c>
      <c r="AN60" s="460">
        <f t="shared" si="156"/>
        <v>0</v>
      </c>
      <c r="AO60" s="460">
        <f t="shared" si="156"/>
        <v>0</v>
      </c>
      <c r="AP60" s="460">
        <f t="shared" si="156"/>
        <v>0</v>
      </c>
      <c r="AQ60" s="460">
        <f t="shared" si="156"/>
        <v>0</v>
      </c>
      <c r="AR60" s="460">
        <f t="shared" si="156"/>
        <v>0.84474877949784011</v>
      </c>
      <c r="AS60" s="460">
        <f t="shared" si="156"/>
        <v>0</v>
      </c>
      <c r="AT60" s="460">
        <f t="shared" si="156"/>
        <v>0</v>
      </c>
      <c r="AU60" s="460">
        <f t="shared" si="156"/>
        <v>0</v>
      </c>
      <c r="AV60" s="460">
        <f t="shared" si="156"/>
        <v>0</v>
      </c>
      <c r="AW60" s="460">
        <f t="shared" si="156"/>
        <v>0</v>
      </c>
      <c r="AX60" s="460">
        <f t="shared" si="156"/>
        <v>0</v>
      </c>
      <c r="AY60" s="460">
        <f t="shared" si="156"/>
        <v>0</v>
      </c>
      <c r="AZ60" s="460">
        <f t="shared" si="156"/>
        <v>0</v>
      </c>
      <c r="BA60" s="460">
        <f t="shared" si="156"/>
        <v>1.8122507995106552</v>
      </c>
      <c r="BB60" s="460">
        <f t="shared" si="156"/>
        <v>0</v>
      </c>
      <c r="BC60" s="460">
        <f t="shared" si="156"/>
        <v>0</v>
      </c>
      <c r="BD60" s="460">
        <f t="shared" si="156"/>
        <v>0</v>
      </c>
      <c r="BE60" s="460">
        <f t="shared" si="156"/>
        <v>0</v>
      </c>
      <c r="BF60" s="460">
        <f t="shared" si="156"/>
        <v>0</v>
      </c>
      <c r="BG60" s="460">
        <f t="shared" si="156"/>
        <v>0</v>
      </c>
      <c r="BH60" s="460">
        <f t="shared" si="156"/>
        <v>0</v>
      </c>
      <c r="BI60" s="460">
        <f t="shared" si="156"/>
        <v>0</v>
      </c>
      <c r="BJ60" s="460">
        <f t="shared" si="156"/>
        <v>0.37758304575232499</v>
      </c>
      <c r="BK60" s="460">
        <f t="shared" si="156"/>
        <v>0</v>
      </c>
      <c r="BL60" s="460">
        <f t="shared" si="156"/>
        <v>0</v>
      </c>
      <c r="BM60" s="460">
        <f t="shared" si="156"/>
        <v>0</v>
      </c>
      <c r="BN60" s="460">
        <f t="shared" si="156"/>
        <v>0</v>
      </c>
      <c r="BO60" s="460">
        <f t="shared" si="156"/>
        <v>0</v>
      </c>
      <c r="BP60" s="460">
        <f t="shared" si="156"/>
        <v>0</v>
      </c>
      <c r="BQ60" s="460">
        <f t="shared" ref="BQ60:EB60" si="157">SUM(BQ55:BQ59)</f>
        <v>0</v>
      </c>
      <c r="BR60" s="460">
        <f t="shared" si="157"/>
        <v>0</v>
      </c>
      <c r="BS60" s="460">
        <f t="shared" si="157"/>
        <v>0</v>
      </c>
      <c r="BT60" s="460">
        <f t="shared" si="157"/>
        <v>0</v>
      </c>
      <c r="BU60" s="460">
        <f t="shared" si="157"/>
        <v>0</v>
      </c>
      <c r="BV60" s="460">
        <f t="shared" si="157"/>
        <v>0</v>
      </c>
      <c r="BW60" s="460">
        <f t="shared" si="157"/>
        <v>0</v>
      </c>
      <c r="BX60" s="460">
        <f t="shared" si="157"/>
        <v>0</v>
      </c>
      <c r="BY60" s="460">
        <f t="shared" si="157"/>
        <v>0</v>
      </c>
      <c r="BZ60" s="460">
        <f t="shared" si="157"/>
        <v>0</v>
      </c>
      <c r="CA60" s="460">
        <f t="shared" si="157"/>
        <v>0</v>
      </c>
      <c r="CB60" s="460">
        <f t="shared" si="157"/>
        <v>0</v>
      </c>
      <c r="CC60" s="460">
        <f t="shared" si="157"/>
        <v>0</v>
      </c>
      <c r="CD60" s="460">
        <f t="shared" si="157"/>
        <v>0</v>
      </c>
      <c r="CE60" s="460">
        <f t="shared" si="157"/>
        <v>0</v>
      </c>
      <c r="CF60" s="460">
        <f t="shared" si="157"/>
        <v>0</v>
      </c>
      <c r="CG60" s="460">
        <f t="shared" si="157"/>
        <v>0</v>
      </c>
      <c r="CH60" s="460">
        <f t="shared" si="157"/>
        <v>0</v>
      </c>
      <c r="CI60" s="460">
        <f t="shared" si="157"/>
        <v>0</v>
      </c>
      <c r="CJ60" s="460">
        <f t="shared" si="157"/>
        <v>0</v>
      </c>
      <c r="CK60" s="460">
        <f t="shared" si="157"/>
        <v>0</v>
      </c>
      <c r="CL60" s="460">
        <f t="shared" si="157"/>
        <v>0</v>
      </c>
      <c r="CM60" s="460">
        <f t="shared" si="157"/>
        <v>0</v>
      </c>
      <c r="CN60" s="460">
        <f t="shared" si="157"/>
        <v>0</v>
      </c>
      <c r="CO60" s="460">
        <f t="shared" si="157"/>
        <v>0</v>
      </c>
      <c r="CP60" s="460">
        <f t="shared" si="157"/>
        <v>0</v>
      </c>
      <c r="CQ60" s="460">
        <f t="shared" si="157"/>
        <v>0</v>
      </c>
      <c r="CR60" s="460">
        <f t="shared" si="157"/>
        <v>0</v>
      </c>
      <c r="CS60" s="460">
        <f t="shared" si="157"/>
        <v>0</v>
      </c>
      <c r="CT60" s="460">
        <f t="shared" si="157"/>
        <v>0</v>
      </c>
      <c r="CU60" s="460">
        <f t="shared" si="157"/>
        <v>0</v>
      </c>
      <c r="CV60" s="460">
        <f t="shared" si="157"/>
        <v>0</v>
      </c>
      <c r="CW60" s="460">
        <f t="shared" si="157"/>
        <v>0</v>
      </c>
      <c r="CX60" s="460">
        <f t="shared" si="157"/>
        <v>0</v>
      </c>
      <c r="CY60" s="460">
        <f t="shared" si="157"/>
        <v>0</v>
      </c>
      <c r="CZ60" s="460">
        <f t="shared" si="157"/>
        <v>0</v>
      </c>
      <c r="DA60" s="460">
        <f t="shared" si="157"/>
        <v>0</v>
      </c>
      <c r="DB60" s="460">
        <f t="shared" si="157"/>
        <v>0</v>
      </c>
      <c r="DC60" s="460">
        <f t="shared" si="157"/>
        <v>0</v>
      </c>
      <c r="DD60" s="460">
        <f t="shared" si="157"/>
        <v>0</v>
      </c>
      <c r="DE60" s="460">
        <f t="shared" si="157"/>
        <v>0</v>
      </c>
      <c r="DF60" s="460">
        <f t="shared" si="157"/>
        <v>0</v>
      </c>
      <c r="DG60" s="460">
        <f t="shared" si="157"/>
        <v>0</v>
      </c>
      <c r="DH60" s="460">
        <f t="shared" si="157"/>
        <v>0</v>
      </c>
      <c r="DI60" s="460">
        <f t="shared" si="157"/>
        <v>0</v>
      </c>
      <c r="DJ60" s="460">
        <f t="shared" si="157"/>
        <v>0</v>
      </c>
      <c r="DK60" s="460">
        <f t="shared" si="157"/>
        <v>0</v>
      </c>
      <c r="DL60" s="460">
        <f t="shared" si="157"/>
        <v>0</v>
      </c>
      <c r="DM60" s="460">
        <f t="shared" si="157"/>
        <v>0</v>
      </c>
      <c r="DN60" s="460">
        <f t="shared" si="157"/>
        <v>0</v>
      </c>
      <c r="DO60" s="460">
        <f t="shared" si="157"/>
        <v>0</v>
      </c>
      <c r="DP60" s="460">
        <f t="shared" si="157"/>
        <v>0</v>
      </c>
      <c r="DQ60" s="460">
        <f t="shared" si="157"/>
        <v>0</v>
      </c>
      <c r="DR60" s="460">
        <f t="shared" si="157"/>
        <v>0</v>
      </c>
      <c r="DS60" s="460">
        <f t="shared" si="157"/>
        <v>0</v>
      </c>
      <c r="DT60" s="460">
        <f t="shared" si="157"/>
        <v>0</v>
      </c>
      <c r="DU60" s="460">
        <f t="shared" si="157"/>
        <v>0</v>
      </c>
      <c r="DV60" s="460">
        <f t="shared" si="157"/>
        <v>0</v>
      </c>
      <c r="DW60" s="460">
        <f t="shared" si="157"/>
        <v>0</v>
      </c>
      <c r="DX60" s="460">
        <f t="shared" si="157"/>
        <v>0</v>
      </c>
      <c r="DY60" s="460">
        <f t="shared" si="157"/>
        <v>0</v>
      </c>
      <c r="DZ60" s="460">
        <f t="shared" si="157"/>
        <v>0</v>
      </c>
      <c r="EA60" s="460">
        <f t="shared" si="157"/>
        <v>0</v>
      </c>
      <c r="EB60" s="460">
        <f t="shared" si="157"/>
        <v>0</v>
      </c>
      <c r="EC60" s="460">
        <f t="shared" ref="EC60:GN60" si="158">SUM(EC55:EC59)</f>
        <v>0</v>
      </c>
      <c r="ED60" s="460">
        <f t="shared" si="158"/>
        <v>0</v>
      </c>
      <c r="EE60" s="460">
        <f t="shared" si="158"/>
        <v>0</v>
      </c>
      <c r="EF60" s="460">
        <f t="shared" si="158"/>
        <v>0</v>
      </c>
      <c r="EG60" s="460">
        <f t="shared" si="158"/>
        <v>0</v>
      </c>
      <c r="EH60" s="460">
        <f t="shared" si="158"/>
        <v>0</v>
      </c>
      <c r="EI60" s="460">
        <f t="shared" si="158"/>
        <v>0</v>
      </c>
      <c r="EJ60" s="460">
        <f t="shared" si="158"/>
        <v>0</v>
      </c>
      <c r="EK60" s="460">
        <f t="shared" si="158"/>
        <v>0</v>
      </c>
      <c r="EL60" s="460">
        <f t="shared" si="158"/>
        <v>0</v>
      </c>
      <c r="EM60" s="460">
        <f t="shared" si="158"/>
        <v>0</v>
      </c>
      <c r="EN60" s="460">
        <f t="shared" si="158"/>
        <v>0</v>
      </c>
      <c r="EO60" s="460">
        <f t="shared" si="158"/>
        <v>0</v>
      </c>
      <c r="EP60" s="460">
        <f t="shared" si="158"/>
        <v>0</v>
      </c>
      <c r="EQ60" s="460">
        <f t="shared" si="158"/>
        <v>0</v>
      </c>
      <c r="ER60" s="460">
        <f t="shared" si="158"/>
        <v>0</v>
      </c>
      <c r="ES60" s="460">
        <f t="shared" si="158"/>
        <v>0</v>
      </c>
      <c r="ET60" s="460">
        <f t="shared" si="158"/>
        <v>0</v>
      </c>
      <c r="EU60" s="460">
        <f t="shared" si="158"/>
        <v>0</v>
      </c>
      <c r="EV60" s="460">
        <f t="shared" si="158"/>
        <v>0</v>
      </c>
      <c r="EW60" s="460">
        <f t="shared" si="158"/>
        <v>0</v>
      </c>
      <c r="EX60" s="460">
        <f t="shared" si="158"/>
        <v>0</v>
      </c>
      <c r="EY60" s="460">
        <f t="shared" si="158"/>
        <v>0</v>
      </c>
      <c r="EZ60" s="460">
        <f t="shared" si="158"/>
        <v>0</v>
      </c>
      <c r="FA60" s="460">
        <f t="shared" si="158"/>
        <v>0</v>
      </c>
      <c r="FB60" s="460">
        <f t="shared" si="158"/>
        <v>0</v>
      </c>
      <c r="FC60" s="460">
        <f t="shared" si="158"/>
        <v>0</v>
      </c>
      <c r="FD60" s="460">
        <f t="shared" si="158"/>
        <v>0</v>
      </c>
      <c r="FE60" s="460">
        <f t="shared" si="158"/>
        <v>0</v>
      </c>
      <c r="FF60" s="460">
        <f t="shared" si="158"/>
        <v>0</v>
      </c>
      <c r="FG60" s="460">
        <f t="shared" si="158"/>
        <v>0</v>
      </c>
      <c r="FH60" s="460">
        <f t="shared" si="158"/>
        <v>0</v>
      </c>
      <c r="FI60" s="460">
        <f t="shared" si="158"/>
        <v>0</v>
      </c>
      <c r="FJ60" s="460">
        <f t="shared" si="158"/>
        <v>0</v>
      </c>
      <c r="FK60" s="460">
        <f t="shared" si="158"/>
        <v>0</v>
      </c>
      <c r="FL60" s="460">
        <f t="shared" si="158"/>
        <v>0</v>
      </c>
      <c r="FM60" s="460">
        <f t="shared" si="158"/>
        <v>0</v>
      </c>
      <c r="FN60" s="460">
        <f t="shared" si="158"/>
        <v>0</v>
      </c>
      <c r="FO60" s="460">
        <f t="shared" si="158"/>
        <v>0</v>
      </c>
      <c r="FP60" s="460">
        <f t="shared" si="158"/>
        <v>0</v>
      </c>
      <c r="FQ60" s="460">
        <f t="shared" si="158"/>
        <v>0</v>
      </c>
      <c r="FR60" s="460">
        <f t="shared" si="158"/>
        <v>0</v>
      </c>
      <c r="FS60" s="460">
        <f t="shared" si="158"/>
        <v>0</v>
      </c>
      <c r="FT60" s="460">
        <f t="shared" si="158"/>
        <v>0</v>
      </c>
      <c r="FU60" s="460">
        <f t="shared" si="158"/>
        <v>0</v>
      </c>
      <c r="FV60" s="460">
        <f t="shared" si="158"/>
        <v>0</v>
      </c>
      <c r="FW60" s="460">
        <f t="shared" si="158"/>
        <v>0</v>
      </c>
      <c r="FX60" s="460">
        <f t="shared" si="158"/>
        <v>0</v>
      </c>
      <c r="FY60" s="460">
        <f t="shared" si="158"/>
        <v>0</v>
      </c>
      <c r="FZ60" s="460">
        <f t="shared" si="158"/>
        <v>0</v>
      </c>
      <c r="GA60" s="460">
        <f t="shared" si="158"/>
        <v>0</v>
      </c>
      <c r="GB60" s="460">
        <f t="shared" si="158"/>
        <v>0</v>
      </c>
      <c r="GC60" s="460">
        <f t="shared" si="158"/>
        <v>0</v>
      </c>
      <c r="GD60" s="460">
        <f t="shared" si="158"/>
        <v>0</v>
      </c>
      <c r="GE60" s="460">
        <f t="shared" si="158"/>
        <v>0</v>
      </c>
      <c r="GF60" s="460">
        <f t="shared" si="158"/>
        <v>0</v>
      </c>
      <c r="GG60" s="460">
        <f t="shared" si="158"/>
        <v>0</v>
      </c>
      <c r="GH60" s="460">
        <f t="shared" si="158"/>
        <v>0</v>
      </c>
      <c r="GI60" s="460">
        <f t="shared" si="158"/>
        <v>0</v>
      </c>
      <c r="GJ60" s="460">
        <f t="shared" si="158"/>
        <v>0</v>
      </c>
      <c r="GK60" s="460">
        <f t="shared" si="158"/>
        <v>0</v>
      </c>
      <c r="GL60" s="460">
        <f t="shared" si="158"/>
        <v>0</v>
      </c>
      <c r="GM60" s="460">
        <f t="shared" si="158"/>
        <v>0</v>
      </c>
      <c r="GN60" s="460">
        <f t="shared" si="158"/>
        <v>0</v>
      </c>
      <c r="GO60" s="460">
        <f t="shared" ref="GO60:IZ60" si="159">SUM(GO55:GO59)</f>
        <v>0</v>
      </c>
      <c r="GP60" s="460">
        <f t="shared" si="159"/>
        <v>0</v>
      </c>
      <c r="GQ60" s="460">
        <f t="shared" si="159"/>
        <v>0</v>
      </c>
      <c r="GR60" s="460">
        <f t="shared" si="159"/>
        <v>0</v>
      </c>
      <c r="GS60" s="460">
        <f t="shared" si="159"/>
        <v>0</v>
      </c>
      <c r="GT60" s="460">
        <f t="shared" si="159"/>
        <v>0</v>
      </c>
      <c r="GU60" s="460">
        <f t="shared" si="159"/>
        <v>0</v>
      </c>
      <c r="GV60" s="460">
        <f t="shared" si="159"/>
        <v>0</v>
      </c>
      <c r="GW60" s="460">
        <f t="shared" si="159"/>
        <v>0</v>
      </c>
      <c r="GX60" s="460">
        <f t="shared" si="159"/>
        <v>0</v>
      </c>
      <c r="GY60" s="460">
        <f t="shared" si="159"/>
        <v>0</v>
      </c>
      <c r="GZ60" s="460">
        <f t="shared" si="159"/>
        <v>0</v>
      </c>
      <c r="HA60" s="460">
        <f t="shared" si="159"/>
        <v>0</v>
      </c>
      <c r="HB60" s="460">
        <f t="shared" si="159"/>
        <v>0</v>
      </c>
      <c r="HC60" s="460">
        <f t="shared" si="159"/>
        <v>0</v>
      </c>
      <c r="HD60" s="460">
        <f t="shared" si="159"/>
        <v>0</v>
      </c>
      <c r="HE60" s="460">
        <f t="shared" si="159"/>
        <v>0</v>
      </c>
      <c r="HF60" s="460">
        <f t="shared" si="159"/>
        <v>0</v>
      </c>
      <c r="HG60" s="460">
        <f t="shared" si="159"/>
        <v>0</v>
      </c>
      <c r="HH60" s="460">
        <f t="shared" si="159"/>
        <v>0</v>
      </c>
      <c r="HI60" s="460">
        <f t="shared" si="159"/>
        <v>0</v>
      </c>
      <c r="HJ60" s="460">
        <f t="shared" si="159"/>
        <v>0</v>
      </c>
      <c r="HK60" s="460">
        <f t="shared" si="159"/>
        <v>0</v>
      </c>
      <c r="HL60" s="460">
        <f t="shared" si="159"/>
        <v>0</v>
      </c>
      <c r="HM60" s="460">
        <f t="shared" si="159"/>
        <v>0</v>
      </c>
      <c r="HN60" s="460">
        <f t="shared" si="159"/>
        <v>0</v>
      </c>
      <c r="HO60" s="460">
        <f t="shared" si="159"/>
        <v>0</v>
      </c>
      <c r="HP60" s="460">
        <f t="shared" si="159"/>
        <v>0</v>
      </c>
      <c r="HQ60" s="460">
        <f t="shared" si="159"/>
        <v>0</v>
      </c>
      <c r="HR60" s="460">
        <f t="shared" si="159"/>
        <v>0</v>
      </c>
      <c r="HS60" s="460">
        <f t="shared" si="159"/>
        <v>0</v>
      </c>
      <c r="HT60" s="460">
        <f t="shared" si="159"/>
        <v>0</v>
      </c>
      <c r="HU60" s="460">
        <f t="shared" si="159"/>
        <v>0</v>
      </c>
      <c r="HV60" s="460">
        <f t="shared" si="159"/>
        <v>0</v>
      </c>
      <c r="HW60" s="460">
        <f t="shared" si="159"/>
        <v>0</v>
      </c>
      <c r="HX60" s="460">
        <f t="shared" si="159"/>
        <v>0</v>
      </c>
      <c r="HY60" s="460">
        <f t="shared" si="159"/>
        <v>0</v>
      </c>
      <c r="HZ60" s="460">
        <f t="shared" si="159"/>
        <v>0</v>
      </c>
      <c r="IA60" s="460">
        <f t="shared" si="159"/>
        <v>0</v>
      </c>
      <c r="IB60" s="460">
        <f t="shared" si="159"/>
        <v>0</v>
      </c>
      <c r="IC60" s="460">
        <f t="shared" si="159"/>
        <v>0</v>
      </c>
      <c r="ID60" s="460">
        <f t="shared" si="159"/>
        <v>0</v>
      </c>
      <c r="IE60" s="460">
        <f t="shared" si="159"/>
        <v>0</v>
      </c>
      <c r="IF60" s="460">
        <f t="shared" si="159"/>
        <v>0</v>
      </c>
      <c r="IG60" s="460">
        <f t="shared" si="159"/>
        <v>0</v>
      </c>
      <c r="IH60" s="460">
        <f t="shared" si="159"/>
        <v>0</v>
      </c>
      <c r="II60" s="460">
        <f t="shared" si="159"/>
        <v>0</v>
      </c>
      <c r="IJ60" s="460">
        <f t="shared" si="159"/>
        <v>0</v>
      </c>
      <c r="IK60" s="460">
        <f t="shared" si="159"/>
        <v>0</v>
      </c>
      <c r="IL60" s="460">
        <f t="shared" si="159"/>
        <v>0</v>
      </c>
      <c r="IM60" s="460">
        <f t="shared" si="159"/>
        <v>0</v>
      </c>
      <c r="IN60" s="460">
        <f t="shared" si="159"/>
        <v>0</v>
      </c>
      <c r="IO60" s="460">
        <f t="shared" si="159"/>
        <v>0</v>
      </c>
      <c r="IP60" s="460">
        <f t="shared" si="159"/>
        <v>0</v>
      </c>
      <c r="IQ60" s="460">
        <f t="shared" si="159"/>
        <v>0</v>
      </c>
      <c r="IR60" s="460">
        <f t="shared" si="159"/>
        <v>0</v>
      </c>
      <c r="IS60" s="460">
        <f t="shared" si="159"/>
        <v>0</v>
      </c>
      <c r="IT60" s="460">
        <f t="shared" si="159"/>
        <v>0</v>
      </c>
      <c r="IU60" s="460">
        <f t="shared" si="159"/>
        <v>0</v>
      </c>
      <c r="IV60" s="460">
        <f t="shared" si="159"/>
        <v>0</v>
      </c>
      <c r="IW60" s="460">
        <f t="shared" si="159"/>
        <v>0</v>
      </c>
      <c r="IX60" s="460">
        <f t="shared" si="159"/>
        <v>0</v>
      </c>
      <c r="IY60" s="460">
        <f t="shared" si="159"/>
        <v>0</v>
      </c>
      <c r="IZ60" s="460">
        <f t="shared" si="159"/>
        <v>0</v>
      </c>
      <c r="JA60" s="460">
        <f t="shared" ref="JA60:KC60" si="160">SUM(JA55:JA59)</f>
        <v>0</v>
      </c>
      <c r="JB60" s="460">
        <f t="shared" si="160"/>
        <v>0</v>
      </c>
      <c r="JC60" s="460">
        <f t="shared" si="160"/>
        <v>0</v>
      </c>
      <c r="JD60" s="460">
        <f t="shared" si="160"/>
        <v>0</v>
      </c>
      <c r="JE60" s="460">
        <f t="shared" si="160"/>
        <v>0</v>
      </c>
      <c r="JF60" s="460">
        <f t="shared" si="160"/>
        <v>0</v>
      </c>
      <c r="JG60" s="460">
        <f t="shared" si="160"/>
        <v>0</v>
      </c>
      <c r="JH60" s="460">
        <f t="shared" si="160"/>
        <v>0</v>
      </c>
      <c r="JI60" s="460">
        <f t="shared" si="160"/>
        <v>0</v>
      </c>
      <c r="JJ60" s="460">
        <f t="shared" si="160"/>
        <v>0</v>
      </c>
      <c r="JK60" s="460">
        <f t="shared" si="160"/>
        <v>0</v>
      </c>
      <c r="JL60" s="460">
        <f t="shared" si="160"/>
        <v>0</v>
      </c>
      <c r="JM60" s="460">
        <f t="shared" si="160"/>
        <v>0</v>
      </c>
      <c r="JN60" s="460">
        <f t="shared" si="160"/>
        <v>0</v>
      </c>
      <c r="JO60" s="460">
        <f t="shared" si="160"/>
        <v>0</v>
      </c>
      <c r="JP60" s="460">
        <f t="shared" si="160"/>
        <v>0</v>
      </c>
      <c r="JQ60" s="460">
        <f t="shared" si="160"/>
        <v>0</v>
      </c>
      <c r="JR60" s="460">
        <f t="shared" si="160"/>
        <v>0</v>
      </c>
      <c r="JS60" s="460">
        <f t="shared" si="160"/>
        <v>0</v>
      </c>
      <c r="JT60" s="460">
        <f t="shared" si="160"/>
        <v>0</v>
      </c>
      <c r="JU60" s="460">
        <f t="shared" si="160"/>
        <v>0</v>
      </c>
      <c r="JV60" s="460">
        <f t="shared" si="160"/>
        <v>0</v>
      </c>
      <c r="JW60" s="460">
        <f t="shared" si="160"/>
        <v>0</v>
      </c>
      <c r="JX60" s="460">
        <f t="shared" si="160"/>
        <v>0</v>
      </c>
      <c r="JY60" s="460">
        <f t="shared" si="160"/>
        <v>0</v>
      </c>
      <c r="JZ60" s="460">
        <f t="shared" si="160"/>
        <v>0</v>
      </c>
      <c r="KA60" s="460">
        <f t="shared" si="160"/>
        <v>0</v>
      </c>
      <c r="KB60" s="460">
        <f t="shared" si="160"/>
        <v>0</v>
      </c>
      <c r="KC60" s="460">
        <f t="shared" si="160"/>
        <v>0</v>
      </c>
      <c r="KD60" s="481"/>
      <c r="KE60" s="481"/>
      <c r="KF60" s="481"/>
      <c r="KG60" s="481"/>
      <c r="KH60" s="481"/>
      <c r="KI60" s="481"/>
      <c r="KJ60" s="481"/>
      <c r="KK60" s="481"/>
      <c r="KL60" s="481"/>
      <c r="KM60" s="481"/>
      <c r="KN60" s="481"/>
      <c r="KO60" s="481"/>
    </row>
    <row r="68" spans="2:253" x14ac:dyDescent="0.3">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7"/>
      <c r="GD68" s="77"/>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7"/>
      <c r="HN68" s="77"/>
      <c r="HO68" s="77"/>
      <c r="HP68" s="77"/>
      <c r="HQ68" s="77"/>
      <c r="HR68" s="77"/>
      <c r="HS68" s="77"/>
      <c r="HT68" s="77"/>
      <c r="HU68" s="77"/>
      <c r="HV68" s="77"/>
      <c r="HW68" s="77"/>
      <c r="HX68" s="77"/>
      <c r="HY68" s="77"/>
      <c r="HZ68" s="77"/>
      <c r="IA68" s="77"/>
      <c r="IB68" s="77"/>
      <c r="IC68" s="77"/>
      <c r="ID68" s="77"/>
      <c r="IE68" s="77"/>
      <c r="IF68" s="77"/>
      <c r="IG68" s="77"/>
      <c r="IH68" s="77"/>
      <c r="II68" s="77"/>
      <c r="IJ68" s="77"/>
      <c r="IK68" s="77"/>
      <c r="IL68" s="77"/>
      <c r="IM68" s="77"/>
      <c r="IN68" s="77"/>
      <c r="IO68" s="77"/>
      <c r="IP68" s="77"/>
      <c r="IQ68" s="77"/>
      <c r="IR68" s="77"/>
      <c r="IS68" s="77"/>
    </row>
    <row r="69" spans="2:253" x14ac:dyDescent="0.3">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c r="GL69" s="52"/>
      <c r="GM69" s="52"/>
      <c r="GN69" s="52"/>
      <c r="GO69" s="52"/>
      <c r="GP69" s="52"/>
      <c r="GQ69" s="52"/>
      <c r="GR69" s="52"/>
      <c r="GS69" s="52"/>
      <c r="GT69" s="52"/>
      <c r="GU69" s="52"/>
      <c r="GV69" s="52"/>
      <c r="GW69" s="52"/>
      <c r="GX69" s="52"/>
      <c r="GY69" s="52"/>
      <c r="GZ69" s="52"/>
      <c r="HA69" s="52"/>
      <c r="HB69" s="52"/>
      <c r="HC69" s="52"/>
      <c r="HD69" s="52"/>
      <c r="HE69" s="52"/>
      <c r="HF69" s="52"/>
      <c r="HG69" s="52"/>
      <c r="HH69" s="52"/>
      <c r="HI69" s="52"/>
      <c r="HJ69" s="52"/>
      <c r="HK69" s="52"/>
      <c r="HL69" s="52"/>
      <c r="HM69" s="52"/>
      <c r="HN69" s="52"/>
      <c r="HO69" s="52"/>
      <c r="HP69" s="52"/>
      <c r="HQ69" s="52"/>
      <c r="HR69" s="52"/>
      <c r="HS69" s="52"/>
      <c r="HT69" s="52"/>
      <c r="HU69" s="52"/>
      <c r="HV69" s="52"/>
      <c r="HW69" s="52"/>
      <c r="HX69" s="52"/>
      <c r="HY69" s="52"/>
      <c r="HZ69" s="52"/>
      <c r="IA69" s="52"/>
      <c r="IB69" s="52"/>
      <c r="IC69" s="52"/>
      <c r="ID69" s="52"/>
      <c r="IE69" s="52"/>
      <c r="IF69" s="52"/>
      <c r="IG69" s="52"/>
      <c r="IH69" s="52"/>
      <c r="II69" s="52"/>
      <c r="IJ69" s="52"/>
      <c r="IK69" s="52"/>
      <c r="IL69" s="52"/>
      <c r="IM69" s="52"/>
      <c r="IN69" s="52"/>
      <c r="IO69" s="52"/>
      <c r="IP69" s="52"/>
      <c r="IQ69" s="52"/>
      <c r="IR69" s="52"/>
      <c r="IS69" s="52"/>
    </row>
    <row r="70" spans="2:253" x14ac:dyDescent="0.3">
      <c r="E70" s="52"/>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c r="DV70" s="52"/>
      <c r="DW70" s="52"/>
      <c r="DX70" s="52"/>
      <c r="DY70" s="52"/>
      <c r="DZ70" s="52"/>
      <c r="EA70" s="52"/>
      <c r="EB70" s="52"/>
      <c r="EC70" s="52"/>
      <c r="ED70" s="52"/>
      <c r="EE70" s="52"/>
      <c r="EF70" s="52"/>
      <c r="EG70" s="52"/>
      <c r="EH70" s="52"/>
      <c r="EI70" s="52"/>
      <c r="EJ70" s="52"/>
      <c r="EK70" s="52"/>
      <c r="EL70" s="52"/>
      <c r="EM70" s="52"/>
      <c r="EN70" s="52"/>
      <c r="EO70" s="52"/>
      <c r="EP70" s="52"/>
      <c r="EQ70" s="52"/>
      <c r="ER70" s="52"/>
      <c r="ES70" s="52"/>
      <c r="ET70" s="52"/>
      <c r="EU70" s="52"/>
      <c r="EV70" s="52"/>
      <c r="EW70" s="52"/>
      <c r="EX70" s="52"/>
      <c r="EY70" s="52"/>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c r="GL70" s="52"/>
      <c r="GM70" s="52"/>
      <c r="GN70" s="52"/>
      <c r="GO70" s="52"/>
      <c r="GP70" s="52"/>
      <c r="GQ70" s="52"/>
      <c r="GR70" s="52"/>
      <c r="GS70" s="52"/>
      <c r="GT70" s="52"/>
      <c r="GU70" s="52"/>
      <c r="GV70" s="52"/>
      <c r="GW70" s="52"/>
      <c r="GX70" s="52"/>
      <c r="GY70" s="52"/>
      <c r="GZ70" s="52"/>
      <c r="HA70" s="52"/>
      <c r="HB70" s="52"/>
      <c r="HC70" s="52"/>
      <c r="HD70" s="52"/>
      <c r="HE70" s="52"/>
      <c r="HF70" s="52"/>
      <c r="HG70" s="52"/>
      <c r="HH70" s="52"/>
      <c r="HI70" s="52"/>
      <c r="HJ70" s="52"/>
      <c r="HK70" s="52"/>
      <c r="HL70" s="52"/>
      <c r="HM70" s="52"/>
      <c r="HN70" s="52"/>
      <c r="HO70" s="52"/>
      <c r="HP70" s="52"/>
      <c r="HQ70" s="52"/>
      <c r="HR70" s="52"/>
      <c r="HS70" s="52"/>
      <c r="HT70" s="52"/>
      <c r="HU70" s="52"/>
      <c r="HV70" s="52"/>
      <c r="HW70" s="52"/>
      <c r="HX70" s="52"/>
      <c r="HY70" s="52"/>
      <c r="HZ70" s="52"/>
      <c r="IA70" s="52"/>
      <c r="IB70" s="52"/>
      <c r="IC70" s="52"/>
      <c r="ID70" s="52"/>
      <c r="IE70" s="52"/>
      <c r="IF70" s="52"/>
      <c r="IG70" s="52"/>
      <c r="IH70" s="52"/>
      <c r="II70" s="52"/>
      <c r="IJ70" s="52"/>
      <c r="IK70" s="52"/>
      <c r="IL70" s="52"/>
      <c r="IM70" s="52"/>
      <c r="IN70" s="52"/>
      <c r="IO70" s="52"/>
      <c r="IP70" s="52"/>
      <c r="IQ70" s="52"/>
      <c r="IR70" s="52"/>
      <c r="IS70" s="52"/>
    </row>
    <row r="71" spans="2:253" x14ac:dyDescent="0.3">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c r="DV71" s="52"/>
      <c r="DW71" s="52"/>
      <c r="DX71" s="52"/>
      <c r="DY71" s="52"/>
      <c r="DZ71" s="52"/>
      <c r="EA71" s="52"/>
      <c r="EB71" s="52"/>
      <c r="EC71" s="52"/>
      <c r="ED71" s="52"/>
      <c r="EE71" s="52"/>
      <c r="EF71" s="52"/>
      <c r="EG71" s="52"/>
      <c r="EH71" s="52"/>
      <c r="EI71" s="52"/>
      <c r="EJ71" s="52"/>
      <c r="EK71" s="52"/>
      <c r="EL71" s="52"/>
      <c r="EM71" s="52"/>
      <c r="EN71" s="52"/>
      <c r="EO71" s="52"/>
      <c r="EP71" s="52"/>
      <c r="EQ71" s="52"/>
      <c r="ER71" s="52"/>
      <c r="ES71" s="52"/>
      <c r="ET71" s="52"/>
      <c r="EU71" s="52"/>
      <c r="EV71" s="52"/>
      <c r="EW71" s="52"/>
      <c r="EX71" s="52"/>
      <c r="EY71" s="52"/>
      <c r="EZ71" s="52"/>
      <c r="FA71" s="52"/>
      <c r="FB71" s="52"/>
      <c r="FC71" s="52"/>
      <c r="FD71" s="52"/>
      <c r="FE71" s="52"/>
      <c r="FF71" s="52"/>
      <c r="FG71" s="52"/>
      <c r="FH71" s="52"/>
      <c r="FI71" s="52"/>
      <c r="FJ71" s="52"/>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c r="HB71" s="52"/>
      <c r="HC71" s="52"/>
      <c r="HD71" s="52"/>
      <c r="HE71" s="52"/>
      <c r="HF71" s="52"/>
      <c r="HG71" s="52"/>
      <c r="HH71" s="52"/>
      <c r="HI71" s="52"/>
      <c r="HJ71" s="52"/>
      <c r="HK71" s="52"/>
      <c r="HL71" s="52"/>
      <c r="HM71" s="52"/>
      <c r="HN71" s="52"/>
      <c r="HO71" s="52"/>
      <c r="HP71" s="52"/>
      <c r="HQ71" s="52"/>
      <c r="HR71" s="52"/>
      <c r="HS71" s="52"/>
      <c r="HT71" s="52"/>
      <c r="HU71" s="52"/>
      <c r="HV71" s="52"/>
      <c r="HW71" s="52"/>
      <c r="HX71" s="52"/>
      <c r="HY71" s="52"/>
      <c r="HZ71" s="52"/>
      <c r="IA71" s="52"/>
      <c r="IB71" s="52"/>
      <c r="IC71" s="52"/>
      <c r="ID71" s="52"/>
      <c r="IE71" s="52"/>
      <c r="IF71" s="52"/>
      <c r="IG71" s="52"/>
      <c r="IH71" s="52"/>
      <c r="II71" s="52"/>
      <c r="IJ71" s="52"/>
      <c r="IK71" s="52"/>
      <c r="IL71" s="52"/>
      <c r="IM71" s="52"/>
      <c r="IN71" s="52"/>
      <c r="IO71" s="52"/>
      <c r="IP71" s="52"/>
      <c r="IQ71" s="52"/>
      <c r="IR71" s="52"/>
      <c r="IS71" s="52"/>
    </row>
    <row r="72" spans="2:253" x14ac:dyDescent="0.3">
      <c r="B72" s="50"/>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c r="FA72" s="52"/>
      <c r="FB72" s="52"/>
      <c r="FC72" s="52"/>
      <c r="FD72" s="52"/>
      <c r="FE72" s="52"/>
      <c r="FF72" s="52"/>
      <c r="FG72" s="52"/>
      <c r="FH72" s="52"/>
      <c r="FI72" s="52"/>
      <c r="FJ72" s="52"/>
      <c r="FK72" s="52"/>
      <c r="FL72" s="52"/>
      <c r="FM72" s="52"/>
      <c r="FN72" s="52"/>
      <c r="FO72" s="52"/>
      <c r="FP72" s="52"/>
      <c r="FQ72" s="52"/>
      <c r="FR72" s="52"/>
      <c r="FS72" s="52"/>
      <c r="FT72" s="52"/>
      <c r="FU72" s="52"/>
      <c r="FV72" s="52"/>
      <c r="FW72" s="52"/>
      <c r="FX72" s="52"/>
      <c r="FY72" s="52"/>
      <c r="FZ72" s="52"/>
      <c r="GA72" s="52"/>
      <c r="GB72" s="52"/>
      <c r="GC72" s="52"/>
      <c r="GD72" s="52"/>
      <c r="GE72" s="52"/>
      <c r="GF72" s="52"/>
      <c r="GG72" s="52"/>
      <c r="GH72" s="52"/>
      <c r="GI72" s="52"/>
      <c r="GJ72" s="52"/>
      <c r="GK72" s="52"/>
      <c r="GL72" s="52"/>
      <c r="GM72" s="52"/>
      <c r="GN72" s="52"/>
      <c r="GO72" s="52"/>
      <c r="GP72" s="52"/>
      <c r="GQ72" s="52"/>
      <c r="GR72" s="52"/>
      <c r="GS72" s="52"/>
      <c r="GT72" s="52"/>
      <c r="GU72" s="52"/>
      <c r="GV72" s="52"/>
      <c r="GW72" s="52"/>
      <c r="GX72" s="52"/>
      <c r="GY72" s="52"/>
      <c r="GZ72" s="52"/>
      <c r="HA72" s="52"/>
      <c r="HB72" s="52"/>
      <c r="HC72" s="52"/>
      <c r="HD72" s="52"/>
      <c r="HE72" s="52"/>
      <c r="HF72" s="52"/>
      <c r="HG72" s="52"/>
      <c r="HH72" s="52"/>
      <c r="HI72" s="52"/>
      <c r="HJ72" s="52"/>
      <c r="HK72" s="52"/>
      <c r="HL72" s="52"/>
      <c r="HM72" s="52"/>
      <c r="HN72" s="52"/>
      <c r="HO72" s="52"/>
      <c r="HP72" s="52"/>
      <c r="HQ72" s="52"/>
      <c r="HR72" s="52"/>
      <c r="HS72" s="52"/>
      <c r="HT72" s="52"/>
      <c r="HU72" s="52"/>
      <c r="HV72" s="52"/>
      <c r="HW72" s="52"/>
      <c r="HX72" s="52"/>
      <c r="HY72" s="52"/>
      <c r="HZ72" s="52"/>
      <c r="IA72" s="52"/>
      <c r="IB72" s="52"/>
      <c r="IC72" s="52"/>
      <c r="ID72" s="52"/>
      <c r="IE72" s="52"/>
      <c r="IF72" s="52"/>
      <c r="IG72" s="52"/>
      <c r="IH72" s="52"/>
      <c r="II72" s="52"/>
      <c r="IJ72" s="52"/>
      <c r="IK72" s="52"/>
      <c r="IL72" s="52"/>
      <c r="IM72" s="52"/>
      <c r="IN72" s="52"/>
      <c r="IO72" s="52"/>
      <c r="IP72" s="52"/>
      <c r="IQ72" s="52"/>
      <c r="IR72" s="52"/>
      <c r="IS72" s="52"/>
    </row>
    <row r="73" spans="2:253" x14ac:dyDescent="0.3">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c r="DK73" s="54"/>
      <c r="DL73" s="54"/>
      <c r="DM73" s="54"/>
      <c r="DN73" s="54"/>
      <c r="DO73" s="54"/>
      <c r="DP73" s="54"/>
      <c r="DQ73" s="54"/>
      <c r="DR73" s="54"/>
      <c r="DS73" s="54"/>
      <c r="DT73" s="54"/>
      <c r="DU73" s="54"/>
      <c r="DV73" s="54"/>
      <c r="DW73" s="54"/>
      <c r="DX73" s="54"/>
      <c r="DY73" s="54"/>
      <c r="DZ73" s="54"/>
      <c r="EA73" s="54"/>
      <c r="EB73" s="54"/>
      <c r="EC73" s="54"/>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54"/>
      <c r="FI73" s="54"/>
      <c r="FJ73" s="54"/>
      <c r="FK73" s="54"/>
      <c r="FL73" s="54"/>
      <c r="FM73" s="54"/>
      <c r="FN73" s="54"/>
      <c r="FO73" s="54"/>
      <c r="FP73" s="54"/>
      <c r="FQ73" s="54"/>
      <c r="FR73" s="54"/>
      <c r="FS73" s="54"/>
      <c r="FT73" s="54"/>
      <c r="FU73" s="54"/>
      <c r="FV73" s="54"/>
      <c r="FW73" s="54"/>
      <c r="FX73" s="54"/>
      <c r="FY73" s="54"/>
      <c r="FZ73" s="54"/>
      <c r="GA73" s="54"/>
      <c r="GB73" s="54"/>
      <c r="GC73" s="54"/>
      <c r="GD73" s="54"/>
      <c r="GE73" s="54"/>
      <c r="GF73" s="54"/>
      <c r="GG73" s="54"/>
      <c r="GH73" s="54"/>
      <c r="GI73" s="54"/>
      <c r="GJ73" s="54"/>
      <c r="GK73" s="54"/>
      <c r="GL73" s="54"/>
      <c r="GM73" s="54"/>
      <c r="GN73" s="54"/>
      <c r="GO73" s="54"/>
      <c r="GP73" s="54"/>
      <c r="GQ73" s="54"/>
      <c r="GR73" s="54"/>
      <c r="GS73" s="54"/>
      <c r="GT73" s="54"/>
      <c r="GU73" s="54"/>
      <c r="GV73" s="54"/>
      <c r="GW73" s="54"/>
      <c r="GX73" s="54"/>
      <c r="GY73" s="54"/>
      <c r="GZ73" s="54"/>
      <c r="HA73" s="54"/>
      <c r="HB73" s="54"/>
      <c r="HC73" s="54"/>
      <c r="HD73" s="54"/>
      <c r="HE73" s="54"/>
      <c r="HF73" s="54"/>
      <c r="HG73" s="54"/>
      <c r="HH73" s="54"/>
      <c r="HI73" s="54"/>
      <c r="HJ73" s="54"/>
      <c r="HK73" s="54"/>
      <c r="HL73" s="54"/>
      <c r="HM73" s="54"/>
      <c r="HN73" s="54"/>
      <c r="HO73" s="54"/>
      <c r="HP73" s="54"/>
      <c r="HQ73" s="54"/>
      <c r="HR73" s="54"/>
      <c r="HS73" s="54"/>
      <c r="HT73" s="54"/>
      <c r="HU73" s="54"/>
      <c r="HV73" s="54"/>
      <c r="HW73" s="54"/>
      <c r="HX73" s="54"/>
      <c r="HY73" s="54"/>
      <c r="HZ73" s="54"/>
      <c r="IA73" s="54"/>
      <c r="IB73" s="54"/>
      <c r="IC73" s="54"/>
      <c r="ID73" s="54"/>
      <c r="IE73" s="54"/>
      <c r="IF73" s="54"/>
      <c r="IG73" s="54"/>
      <c r="IH73" s="54"/>
      <c r="II73" s="54"/>
      <c r="IJ73" s="54"/>
      <c r="IK73" s="54"/>
      <c r="IL73" s="54"/>
      <c r="IM73" s="54"/>
      <c r="IN73" s="54"/>
      <c r="IO73" s="54"/>
      <c r="IP73" s="54"/>
      <c r="IQ73" s="54"/>
      <c r="IR73" s="54"/>
      <c r="IS73" s="54"/>
    </row>
    <row r="74" spans="2:253" x14ac:dyDescent="0.3">
      <c r="B74" s="53"/>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c r="GF74" s="52"/>
      <c r="GG74" s="52"/>
      <c r="GH74" s="52"/>
      <c r="GI74" s="52"/>
      <c r="GJ74" s="52"/>
      <c r="GK74" s="52"/>
      <c r="GL74" s="52"/>
      <c r="GM74" s="52"/>
      <c r="GN74" s="52"/>
      <c r="GO74" s="52"/>
      <c r="GP74" s="52"/>
      <c r="GQ74" s="52"/>
      <c r="GR74" s="52"/>
      <c r="GS74" s="52"/>
      <c r="GT74" s="52"/>
      <c r="GU74" s="52"/>
      <c r="GV74" s="52"/>
      <c r="GW74" s="52"/>
      <c r="GX74" s="52"/>
      <c r="GY74" s="52"/>
      <c r="GZ74" s="52"/>
      <c r="HA74" s="52"/>
      <c r="HB74" s="52"/>
      <c r="HC74" s="52"/>
      <c r="HD74" s="52"/>
      <c r="HE74" s="52"/>
      <c r="HF74" s="52"/>
      <c r="HG74" s="52"/>
      <c r="HH74" s="52"/>
      <c r="HI74" s="52"/>
      <c r="HJ74" s="52"/>
      <c r="HK74" s="52"/>
      <c r="HL74" s="52"/>
      <c r="HM74" s="52"/>
      <c r="HN74" s="52"/>
      <c r="HO74" s="52"/>
      <c r="HP74" s="52"/>
      <c r="HQ74" s="52"/>
      <c r="HR74" s="52"/>
      <c r="HS74" s="52"/>
      <c r="HT74" s="52"/>
      <c r="HU74" s="52"/>
      <c r="HV74" s="52"/>
      <c r="HW74" s="52"/>
      <c r="HX74" s="52"/>
      <c r="HY74" s="52"/>
      <c r="HZ74" s="52"/>
      <c r="IA74" s="52"/>
      <c r="IB74" s="52"/>
      <c r="IC74" s="52"/>
      <c r="ID74" s="52"/>
      <c r="IE74" s="52"/>
      <c r="IF74" s="52"/>
      <c r="IG74" s="52"/>
      <c r="IH74" s="52"/>
      <c r="II74" s="52"/>
      <c r="IJ74" s="52"/>
      <c r="IK74" s="52"/>
      <c r="IL74" s="52"/>
      <c r="IM74" s="52"/>
      <c r="IN74" s="52"/>
      <c r="IO74" s="52"/>
      <c r="IP74" s="52"/>
      <c r="IQ74" s="52"/>
      <c r="IR74" s="52"/>
      <c r="IS74" s="52"/>
    </row>
    <row r="75" spans="2:253" x14ac:dyDescent="0.3">
      <c r="B75" s="50"/>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c r="DJ75" s="52"/>
      <c r="DK75" s="52"/>
      <c r="DL75" s="52"/>
      <c r="DM75" s="52"/>
      <c r="DN75" s="52"/>
      <c r="DO75" s="52"/>
      <c r="DP75" s="52"/>
      <c r="DQ75" s="52"/>
      <c r="DR75" s="52"/>
      <c r="DS75" s="52"/>
      <c r="DT75" s="52"/>
      <c r="DU75" s="52"/>
      <c r="DV75" s="52"/>
      <c r="DW75" s="52"/>
      <c r="DX75" s="52"/>
      <c r="DY75" s="52"/>
      <c r="DZ75" s="52"/>
      <c r="EA75" s="52"/>
      <c r="EB75" s="52"/>
      <c r="EC75" s="52"/>
      <c r="ED75" s="52"/>
      <c r="EE75" s="52"/>
      <c r="EF75" s="52"/>
      <c r="EG75" s="52"/>
      <c r="EH75" s="52"/>
      <c r="EI75" s="52"/>
      <c r="EJ75" s="52"/>
      <c r="EK75" s="52"/>
      <c r="EL75" s="52"/>
      <c r="EM75" s="52"/>
      <c r="EN75" s="52"/>
      <c r="EO75" s="52"/>
      <c r="EP75" s="52"/>
      <c r="EQ75" s="52"/>
      <c r="ER75" s="52"/>
      <c r="ES75" s="52"/>
      <c r="ET75" s="52"/>
      <c r="EU75" s="52"/>
      <c r="EV75" s="52"/>
      <c r="EW75" s="52"/>
      <c r="EX75" s="52"/>
      <c r="EY75" s="52"/>
      <c r="EZ75" s="52"/>
      <c r="FA75" s="52"/>
      <c r="FB75" s="52"/>
      <c r="FC75" s="52"/>
      <c r="FD75" s="52"/>
      <c r="FE75" s="52"/>
      <c r="FF75" s="52"/>
      <c r="FG75" s="52"/>
      <c r="FH75" s="52"/>
      <c r="FI75" s="52"/>
      <c r="FJ75" s="52"/>
      <c r="FK75" s="52"/>
      <c r="FL75" s="52"/>
      <c r="FM75" s="52"/>
      <c r="FN75" s="52"/>
      <c r="FO75" s="52"/>
      <c r="FP75" s="52"/>
      <c r="FQ75" s="52"/>
      <c r="FR75" s="52"/>
      <c r="FS75" s="52"/>
      <c r="FT75" s="52"/>
      <c r="FU75" s="52"/>
      <c r="FV75" s="52"/>
      <c r="FW75" s="52"/>
      <c r="FX75" s="52"/>
      <c r="FY75" s="52"/>
      <c r="FZ75" s="52"/>
      <c r="GA75" s="52"/>
      <c r="GB75" s="52"/>
      <c r="GC75" s="52"/>
      <c r="GD75" s="52"/>
      <c r="GE75" s="52"/>
      <c r="GF75" s="52"/>
      <c r="GG75" s="52"/>
      <c r="GH75" s="52"/>
      <c r="GI75" s="52"/>
      <c r="GJ75" s="52"/>
      <c r="GK75" s="52"/>
      <c r="GL75" s="52"/>
      <c r="GM75" s="52"/>
      <c r="GN75" s="52"/>
      <c r="GO75" s="52"/>
      <c r="GP75" s="52"/>
      <c r="GQ75" s="52"/>
      <c r="GR75" s="52"/>
      <c r="GS75" s="52"/>
      <c r="GT75" s="52"/>
      <c r="GU75" s="52"/>
      <c r="GV75" s="52"/>
      <c r="GW75" s="52"/>
      <c r="GX75" s="52"/>
      <c r="GY75" s="52"/>
      <c r="GZ75" s="52"/>
      <c r="HA75" s="52"/>
      <c r="HB75" s="52"/>
      <c r="HC75" s="52"/>
      <c r="HD75" s="52"/>
      <c r="HE75" s="52"/>
      <c r="HF75" s="52"/>
      <c r="HG75" s="52"/>
      <c r="HH75" s="52"/>
      <c r="HI75" s="52"/>
      <c r="HJ75" s="52"/>
      <c r="HK75" s="52"/>
      <c r="HL75" s="52"/>
      <c r="HM75" s="52"/>
      <c r="HN75" s="52"/>
      <c r="HO75" s="52"/>
      <c r="HP75" s="52"/>
      <c r="HQ75" s="52"/>
      <c r="HR75" s="52"/>
      <c r="HS75" s="52"/>
      <c r="HT75" s="52"/>
      <c r="HU75" s="52"/>
      <c r="HV75" s="52"/>
      <c r="HW75" s="52"/>
      <c r="HX75" s="52"/>
      <c r="HY75" s="52"/>
      <c r="HZ75" s="52"/>
      <c r="IA75" s="52"/>
      <c r="IB75" s="52"/>
      <c r="IC75" s="52"/>
      <c r="ID75" s="52"/>
      <c r="IE75" s="52"/>
      <c r="IF75" s="52"/>
      <c r="IG75" s="52"/>
      <c r="IH75" s="52"/>
      <c r="II75" s="52"/>
      <c r="IJ75" s="52"/>
      <c r="IK75" s="52"/>
      <c r="IL75" s="52"/>
      <c r="IM75" s="52"/>
      <c r="IN75" s="52"/>
      <c r="IO75" s="52"/>
      <c r="IP75" s="52"/>
      <c r="IQ75" s="52"/>
      <c r="IR75" s="52"/>
      <c r="IS75" s="52"/>
    </row>
    <row r="76" spans="2:253" x14ac:dyDescent="0.3">
      <c r="B76" s="50"/>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c r="DJ76" s="52"/>
      <c r="DK76" s="52"/>
      <c r="DL76" s="52"/>
      <c r="DM76" s="52"/>
      <c r="DN76" s="52"/>
      <c r="DO76" s="52"/>
      <c r="DP76" s="52"/>
      <c r="DQ76" s="52"/>
      <c r="DR76" s="52"/>
      <c r="DS76" s="52"/>
      <c r="DT76" s="52"/>
      <c r="DU76" s="52"/>
      <c r="DV76" s="52"/>
      <c r="DW76" s="52"/>
      <c r="DX76" s="52"/>
      <c r="DY76" s="52"/>
      <c r="DZ76" s="52"/>
      <c r="EA76" s="52"/>
      <c r="EB76" s="52"/>
      <c r="EC76" s="52"/>
      <c r="ED76" s="52"/>
      <c r="EE76" s="52"/>
      <c r="EF76" s="52"/>
      <c r="EG76" s="52"/>
      <c r="EH76" s="52"/>
      <c r="EI76" s="52"/>
      <c r="EJ76" s="52"/>
      <c r="EK76" s="52"/>
      <c r="EL76" s="52"/>
      <c r="EM76" s="52"/>
      <c r="EN76" s="52"/>
      <c r="EO76" s="52"/>
      <c r="EP76" s="52"/>
      <c r="EQ76" s="52"/>
      <c r="ER76" s="52"/>
      <c r="ES76" s="52"/>
      <c r="ET76" s="52"/>
      <c r="EU76" s="52"/>
      <c r="EV76" s="52"/>
      <c r="EW76" s="52"/>
      <c r="EX76" s="52"/>
      <c r="EY76" s="52"/>
      <c r="EZ76" s="52"/>
      <c r="FA76" s="52"/>
      <c r="FB76" s="52"/>
      <c r="FC76" s="52"/>
      <c r="FD76" s="52"/>
      <c r="FE76" s="52"/>
      <c r="FF76" s="52"/>
      <c r="FG76" s="52"/>
      <c r="FH76" s="52"/>
      <c r="FI76" s="52"/>
      <c r="FJ76" s="52"/>
      <c r="FK76" s="52"/>
      <c r="FL76" s="52"/>
      <c r="FM76" s="52"/>
      <c r="FN76" s="52"/>
      <c r="FO76" s="52"/>
      <c r="FP76" s="52"/>
      <c r="FQ76" s="52"/>
      <c r="FR76" s="52"/>
      <c r="FS76" s="52"/>
      <c r="FT76" s="52"/>
      <c r="FU76" s="52"/>
      <c r="FV76" s="52"/>
      <c r="FW76" s="52"/>
      <c r="FX76" s="52"/>
      <c r="FY76" s="52"/>
      <c r="FZ76" s="52"/>
      <c r="GA76" s="52"/>
      <c r="GB76" s="52"/>
      <c r="GC76" s="52"/>
      <c r="GD76" s="52"/>
      <c r="GE76" s="52"/>
      <c r="GF76" s="52"/>
      <c r="GG76" s="52"/>
      <c r="GH76" s="52"/>
      <c r="GI76" s="52"/>
      <c r="GJ76" s="52"/>
      <c r="GK76" s="52"/>
      <c r="GL76" s="52"/>
      <c r="GM76" s="52"/>
      <c r="GN76" s="52"/>
      <c r="GO76" s="52"/>
      <c r="GP76" s="52"/>
      <c r="GQ76" s="52"/>
      <c r="GR76" s="52"/>
      <c r="GS76" s="52"/>
      <c r="GT76" s="52"/>
      <c r="GU76" s="52"/>
      <c r="GV76" s="52"/>
      <c r="GW76" s="52"/>
      <c r="GX76" s="52"/>
      <c r="GY76" s="52"/>
      <c r="GZ76" s="52"/>
      <c r="HA76" s="52"/>
      <c r="HB76" s="52"/>
      <c r="HC76" s="52"/>
      <c r="HD76" s="52"/>
      <c r="HE76" s="52"/>
      <c r="HF76" s="52"/>
      <c r="HG76" s="52"/>
      <c r="HH76" s="52"/>
      <c r="HI76" s="52"/>
      <c r="HJ76" s="52"/>
      <c r="HK76" s="52"/>
      <c r="HL76" s="52"/>
      <c r="HM76" s="52"/>
      <c r="HN76" s="52"/>
      <c r="HO76" s="52"/>
      <c r="HP76" s="52"/>
      <c r="HQ76" s="52"/>
      <c r="HR76" s="52"/>
      <c r="HS76" s="52"/>
      <c r="HT76" s="52"/>
      <c r="HU76" s="52"/>
      <c r="HV76" s="52"/>
      <c r="HW76" s="52"/>
      <c r="HX76" s="52"/>
      <c r="HY76" s="52"/>
      <c r="HZ76" s="52"/>
      <c r="IA76" s="52"/>
      <c r="IB76" s="52"/>
      <c r="IC76" s="52"/>
      <c r="ID76" s="52"/>
      <c r="IE76" s="52"/>
      <c r="IF76" s="52"/>
      <c r="IG76" s="52"/>
      <c r="IH76" s="52"/>
      <c r="II76" s="52"/>
      <c r="IJ76" s="52"/>
      <c r="IK76" s="52"/>
      <c r="IL76" s="52"/>
      <c r="IM76" s="52"/>
      <c r="IN76" s="52"/>
      <c r="IO76" s="52"/>
      <c r="IP76" s="52"/>
      <c r="IQ76" s="52"/>
      <c r="IR76" s="52"/>
      <c r="IS76" s="52"/>
    </row>
    <row r="77" spans="2:253" x14ac:dyDescent="0.3">
      <c r="B77" s="50"/>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c r="DI77" s="52"/>
      <c r="DJ77" s="52"/>
      <c r="DK77" s="52"/>
      <c r="DL77" s="52"/>
      <c r="DM77" s="52"/>
      <c r="DN77" s="52"/>
      <c r="DO77" s="52"/>
      <c r="DP77" s="52"/>
      <c r="DQ77" s="52"/>
      <c r="DR77" s="52"/>
      <c r="DS77" s="52"/>
      <c r="DT77" s="52"/>
      <c r="DU77" s="52"/>
      <c r="DV77" s="52"/>
      <c r="DW77" s="52"/>
      <c r="DX77" s="52"/>
      <c r="DY77" s="52"/>
      <c r="DZ77" s="52"/>
      <c r="EA77" s="52"/>
      <c r="EB77" s="52"/>
      <c r="EC77" s="52"/>
      <c r="ED77" s="52"/>
      <c r="EE77" s="52"/>
      <c r="EF77" s="52"/>
      <c r="EG77" s="52"/>
      <c r="EH77" s="52"/>
      <c r="EI77" s="52"/>
      <c r="EJ77" s="52"/>
      <c r="EK77" s="52"/>
      <c r="EL77" s="52"/>
      <c r="EM77" s="52"/>
      <c r="EN77" s="52"/>
      <c r="EO77" s="52"/>
      <c r="EP77" s="52"/>
      <c r="EQ77" s="52"/>
      <c r="ER77" s="52"/>
      <c r="ES77" s="52"/>
      <c r="ET77" s="52"/>
      <c r="EU77" s="52"/>
      <c r="EV77" s="52"/>
      <c r="EW77" s="52"/>
      <c r="EX77" s="52"/>
      <c r="EY77" s="52"/>
      <c r="EZ77" s="52"/>
      <c r="FA77" s="52"/>
      <c r="FB77" s="52"/>
      <c r="FC77" s="52"/>
      <c r="FD77" s="52"/>
      <c r="FE77" s="52"/>
      <c r="FF77" s="52"/>
      <c r="FG77" s="52"/>
      <c r="FH77" s="52"/>
      <c r="FI77" s="52"/>
      <c r="FJ77" s="52"/>
      <c r="FK77" s="52"/>
      <c r="FL77" s="52"/>
      <c r="FM77" s="52"/>
      <c r="FN77" s="52"/>
      <c r="FO77" s="52"/>
      <c r="FP77" s="52"/>
      <c r="FQ77" s="52"/>
      <c r="FR77" s="52"/>
      <c r="FS77" s="52"/>
      <c r="FT77" s="52"/>
      <c r="FU77" s="52"/>
      <c r="FV77" s="52"/>
      <c r="FW77" s="52"/>
      <c r="FX77" s="52"/>
      <c r="FY77" s="52"/>
      <c r="FZ77" s="52"/>
      <c r="GA77" s="52"/>
      <c r="GB77" s="52"/>
      <c r="GC77" s="52"/>
      <c r="GD77" s="52"/>
      <c r="GE77" s="52"/>
      <c r="GF77" s="52"/>
      <c r="GG77" s="52"/>
      <c r="GH77" s="52"/>
      <c r="GI77" s="52"/>
      <c r="GJ77" s="52"/>
      <c r="GK77" s="52"/>
      <c r="GL77" s="52"/>
      <c r="GM77" s="52"/>
      <c r="GN77" s="52"/>
      <c r="GO77" s="52"/>
      <c r="GP77" s="52"/>
      <c r="GQ77" s="52"/>
      <c r="GR77" s="52"/>
      <c r="GS77" s="52"/>
      <c r="GT77" s="52"/>
      <c r="GU77" s="52"/>
      <c r="GV77" s="52"/>
      <c r="GW77" s="52"/>
      <c r="GX77" s="52"/>
      <c r="GY77" s="52"/>
      <c r="GZ77" s="52"/>
      <c r="HA77" s="52"/>
      <c r="HB77" s="52"/>
      <c r="HC77" s="52"/>
      <c r="HD77" s="52"/>
      <c r="HE77" s="52"/>
      <c r="HF77" s="52"/>
      <c r="HG77" s="52"/>
      <c r="HH77" s="52"/>
      <c r="HI77" s="52"/>
      <c r="HJ77" s="52"/>
      <c r="HK77" s="52"/>
      <c r="HL77" s="52"/>
      <c r="HM77" s="52"/>
      <c r="HN77" s="52"/>
      <c r="HO77" s="52"/>
      <c r="HP77" s="52"/>
      <c r="HQ77" s="52"/>
      <c r="HR77" s="52"/>
      <c r="HS77" s="52"/>
      <c r="HT77" s="52"/>
      <c r="HU77" s="52"/>
      <c r="HV77" s="52"/>
      <c r="HW77" s="52"/>
      <c r="HX77" s="52"/>
      <c r="HY77" s="52"/>
      <c r="HZ77" s="52"/>
      <c r="IA77" s="52"/>
      <c r="IB77" s="52"/>
      <c r="IC77" s="52"/>
      <c r="ID77" s="52"/>
      <c r="IE77" s="52"/>
      <c r="IF77" s="52"/>
      <c r="IG77" s="52"/>
      <c r="IH77" s="52"/>
      <c r="II77" s="52"/>
      <c r="IJ77" s="52"/>
      <c r="IK77" s="52"/>
      <c r="IL77" s="52"/>
      <c r="IM77" s="52"/>
      <c r="IN77" s="52"/>
      <c r="IO77" s="52"/>
      <c r="IP77" s="52"/>
      <c r="IQ77" s="52"/>
      <c r="IR77" s="52"/>
      <c r="IS77" s="5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B3672-DFE5-4072-9414-3F3F7DFFF0BB}">
  <dimension ref="A2:JL80"/>
  <sheetViews>
    <sheetView showGridLines="0" topLeftCell="A10" zoomScale="70" zoomScaleNormal="70" workbookViewId="0">
      <selection activeCell="G49" sqref="G49"/>
    </sheetView>
  </sheetViews>
  <sheetFormatPr defaultRowHeight="13.8" x14ac:dyDescent="0.3"/>
  <cols>
    <col min="1" max="1" width="8.77734375" style="1" bestFit="1" customWidth="1"/>
    <col min="2" max="2" width="23.44140625" style="1" bestFit="1" customWidth="1"/>
    <col min="3" max="3" width="9.77734375" style="1" bestFit="1" customWidth="1"/>
    <col min="4" max="8" width="9.33203125" style="1" bestFit="1" customWidth="1"/>
    <col min="9" max="9" width="9.5546875" style="1" customWidth="1"/>
    <col min="10" max="269" width="9.33203125" style="1" bestFit="1" customWidth="1"/>
    <col min="270" max="270" width="8.88671875" style="1" bestFit="1" customWidth="1"/>
    <col min="271" max="16384" width="8.88671875" style="1"/>
  </cols>
  <sheetData>
    <row r="2" spans="2:11" x14ac:dyDescent="0.3">
      <c r="B2" s="1" t="s">
        <v>401</v>
      </c>
      <c r="C2" s="45"/>
    </row>
    <row r="3" spans="2:11" x14ac:dyDescent="0.3">
      <c r="B3" s="488" t="s">
        <v>350</v>
      </c>
      <c r="C3" s="489"/>
      <c r="I3" s="39" t="s">
        <v>564</v>
      </c>
    </row>
    <row r="4" spans="2:11" x14ac:dyDescent="0.3">
      <c r="B4" s="169" t="str">
        <f>'LRD_Phase-wise'!B7</f>
        <v>Area</v>
      </c>
      <c r="C4" s="457">
        <f>'LRD_Phase-wise'!C325</f>
        <v>1489591.82149575</v>
      </c>
      <c r="I4" s="1" t="s">
        <v>566</v>
      </c>
      <c r="K4" s="52">
        <f>Ratios!C77*70%</f>
        <v>342.06333210151394</v>
      </c>
    </row>
    <row r="5" spans="2:11" x14ac:dyDescent="0.3">
      <c r="B5" s="169" t="str">
        <f>'LRD_Phase-wise'!B8</f>
        <v>Rate</v>
      </c>
      <c r="C5" s="490">
        <f>'Assumption Sheet'!Q28*'Assumption Sheet'!I12</f>
        <v>20.5</v>
      </c>
      <c r="I5" s="1" t="s">
        <v>590</v>
      </c>
      <c r="K5" s="52">
        <f>70%*SUM(AS30:HQ30)</f>
        <v>580.85747437880946</v>
      </c>
    </row>
    <row r="6" spans="2:11" x14ac:dyDescent="0.3">
      <c r="B6" s="169" t="s">
        <v>394</v>
      </c>
      <c r="C6" s="491">
        <f>'Assumption Sheet'!G50</f>
        <v>4.0000000000000001E-3</v>
      </c>
      <c r="I6" s="1" t="s">
        <v>567</v>
      </c>
      <c r="K6" s="33">
        <f>XNPV(C17,AS30:HQ30,AS25:HQ25)*95%</f>
        <v>422.14470798538076</v>
      </c>
    </row>
    <row r="7" spans="2:11" x14ac:dyDescent="0.3">
      <c r="B7" s="169" t="s">
        <v>503</v>
      </c>
      <c r="C7" s="244">
        <f ca="1">C16*C6</f>
        <v>1.200001789876554</v>
      </c>
      <c r="K7" s="272">
        <f>MIN(K4:K6)</f>
        <v>342.06333210151394</v>
      </c>
    </row>
    <row r="8" spans="2:11" x14ac:dyDescent="0.3">
      <c r="B8" s="169" t="str">
        <f>'LRD_Phase-wise'!B9</f>
        <v>Rent Start Date</v>
      </c>
      <c r="C8" s="492" t="s">
        <v>352</v>
      </c>
      <c r="K8" s="52"/>
    </row>
    <row r="9" spans="2:11" x14ac:dyDescent="0.3">
      <c r="B9" s="169" t="str">
        <f>'LRD_Phase-wise'!B12</f>
        <v>Escalation frequency</v>
      </c>
      <c r="C9" s="492" t="s">
        <v>352</v>
      </c>
      <c r="K9" s="52"/>
    </row>
    <row r="10" spans="2:11" x14ac:dyDescent="0.3">
      <c r="B10" s="169" t="str">
        <f>'LRD_Phase-wise'!B13</f>
        <v>Escalation %</v>
      </c>
      <c r="C10" s="492" t="s">
        <v>352</v>
      </c>
    </row>
    <row r="11" spans="2:11" x14ac:dyDescent="0.3">
      <c r="B11" s="169" t="str">
        <f>'LRD_Phase-wise'!B14</f>
        <v>TDS</v>
      </c>
      <c r="C11" s="493">
        <v>0.05</v>
      </c>
    </row>
    <row r="12" spans="2:11" x14ac:dyDescent="0.3">
      <c r="B12" s="169" t="str">
        <f>'LRD_Phase-wise'!B15</f>
        <v>Margin</v>
      </c>
      <c r="C12" s="493">
        <v>0.05</v>
      </c>
    </row>
    <row r="13" spans="2:11" ht="15.6" x14ac:dyDescent="0.45">
      <c r="B13" s="494" t="s">
        <v>353</v>
      </c>
      <c r="C13" s="495">
        <f>'Assumption Sheet'!B16+1</f>
        <v>47300</v>
      </c>
    </row>
    <row r="14" spans="2:11" x14ac:dyDescent="0.3">
      <c r="B14" s="169" t="s">
        <v>448</v>
      </c>
      <c r="C14" s="495">
        <f>EOMONTH(C13,IF(MOD(MONTH(C13),3)=0,0,3-MOD(MONTH(C13),3)))</f>
        <v>47391</v>
      </c>
    </row>
    <row r="15" spans="2:11" x14ac:dyDescent="0.3">
      <c r="B15" s="169" t="s">
        <v>449</v>
      </c>
      <c r="C15" s="495">
        <f>DATE(IF(MONTH(C14)&gt;=4,YEAR(C14)+1,YEAR(C14)),3,31)</f>
        <v>47573</v>
      </c>
    </row>
    <row r="16" spans="2:11" ht="15.6" x14ac:dyDescent="0.45">
      <c r="B16" s="494" t="s">
        <v>354</v>
      </c>
      <c r="C16" s="452">
        <f ca="1">MIN('CF_Debt Schedule'!C11,'LRD_Phase-wise'!C324)</f>
        <v>300.00044746913852</v>
      </c>
      <c r="D16" s="52"/>
    </row>
    <row r="17" spans="2:272" x14ac:dyDescent="0.3">
      <c r="B17" s="169" t="str">
        <f>'LRD_Phase-wise'!B17</f>
        <v>Rate of Interest</v>
      </c>
      <c r="C17" s="605">
        <f>'Assumption Sheet'!G43</f>
        <v>8.5000000000000006E-2</v>
      </c>
    </row>
    <row r="18" spans="2:272" x14ac:dyDescent="0.3">
      <c r="B18" s="169" t="str">
        <f>'LRD_Phase-wise'!B18</f>
        <v>Repayment</v>
      </c>
      <c r="C18" s="496" t="str">
        <f>'LRD_Phase-wise'!C18</f>
        <v>Monthly</v>
      </c>
      <c r="I18" s="630"/>
    </row>
    <row r="19" spans="2:272" x14ac:dyDescent="0.3">
      <c r="B19" s="169" t="str">
        <f>'LRD_Phase-wise'!B19</f>
        <v>Tenor in years</v>
      </c>
      <c r="C19" s="497">
        <v>15</v>
      </c>
    </row>
    <row r="20" spans="2:272" x14ac:dyDescent="0.3">
      <c r="B20" s="437" t="s">
        <v>431</v>
      </c>
      <c r="C20" s="498">
        <f>EOMONTH(C13,C19*12)</f>
        <v>52809</v>
      </c>
    </row>
    <row r="22" spans="2:272" ht="14.4" thickBot="1" x14ac:dyDescent="0.35">
      <c r="B22" s="499" t="str">
        <f>'LRD_Phase-wise'!B330</f>
        <v>Monthly Net Rent</v>
      </c>
      <c r="C22" s="471"/>
      <c r="D22" s="471"/>
      <c r="E22" s="471"/>
      <c r="F22" s="471"/>
      <c r="G22" s="471"/>
      <c r="H22" s="471"/>
      <c r="I22" s="471"/>
      <c r="J22" s="471"/>
      <c r="K22" s="471"/>
      <c r="L22" s="471"/>
      <c r="M22" s="471"/>
      <c r="N22" s="471"/>
      <c r="O22" s="471"/>
      <c r="P22" s="471"/>
      <c r="Q22" s="471"/>
      <c r="R22" s="471"/>
      <c r="S22" s="471"/>
      <c r="T22" s="471"/>
      <c r="U22" s="471"/>
      <c r="V22" s="471"/>
      <c r="W22" s="471"/>
      <c r="X22" s="471"/>
      <c r="Y22" s="471"/>
      <c r="Z22" s="471"/>
      <c r="AA22" s="471"/>
      <c r="AB22" s="471"/>
      <c r="AC22" s="471"/>
      <c r="AD22" s="471"/>
      <c r="AE22" s="471"/>
      <c r="AF22" s="471"/>
      <c r="AG22" s="471"/>
      <c r="AH22" s="471"/>
      <c r="AI22" s="471"/>
      <c r="AJ22" s="471"/>
      <c r="AK22" s="471"/>
      <c r="AL22" s="471"/>
      <c r="AM22" s="471"/>
      <c r="AN22" s="471"/>
      <c r="AO22" s="471"/>
      <c r="AP22" s="471"/>
      <c r="AQ22" s="471"/>
      <c r="AR22" s="471"/>
      <c r="AS22" s="471"/>
      <c r="AT22" s="471"/>
      <c r="AU22" s="471"/>
      <c r="AV22" s="471"/>
      <c r="AW22" s="471"/>
      <c r="AX22" s="471"/>
      <c r="AY22" s="471"/>
      <c r="AZ22" s="471"/>
      <c r="BA22" s="471"/>
      <c r="BB22" s="471"/>
      <c r="BC22" s="471"/>
      <c r="BD22" s="471"/>
      <c r="BE22" s="471"/>
      <c r="BF22" s="471"/>
      <c r="BG22" s="471"/>
      <c r="BH22" s="471"/>
      <c r="BI22" s="471"/>
      <c r="BJ22" s="471"/>
      <c r="BK22" s="471"/>
      <c r="BL22" s="471"/>
      <c r="BM22" s="471"/>
      <c r="BN22" s="471"/>
      <c r="BO22" s="471"/>
      <c r="BP22" s="471"/>
      <c r="BQ22" s="471"/>
      <c r="BR22" s="471"/>
      <c r="BS22" s="471"/>
      <c r="BT22" s="471"/>
      <c r="BU22" s="471"/>
      <c r="BV22" s="471"/>
      <c r="BW22" s="471"/>
      <c r="BX22" s="471"/>
      <c r="BY22" s="471"/>
      <c r="BZ22" s="471"/>
      <c r="CA22" s="471"/>
      <c r="CB22" s="471"/>
      <c r="CC22" s="471"/>
      <c r="CD22" s="471"/>
      <c r="CE22" s="471"/>
      <c r="CF22" s="471"/>
      <c r="CG22" s="471"/>
      <c r="CH22" s="471"/>
      <c r="CI22" s="471"/>
      <c r="CJ22" s="471"/>
      <c r="CK22" s="471"/>
      <c r="CL22" s="471"/>
      <c r="CM22" s="471"/>
      <c r="CN22" s="471"/>
      <c r="CO22" s="471"/>
      <c r="CP22" s="471"/>
      <c r="CQ22" s="471"/>
      <c r="CR22" s="471"/>
      <c r="CS22" s="471"/>
      <c r="CT22" s="471"/>
      <c r="CU22" s="471"/>
      <c r="CV22" s="471"/>
      <c r="CW22" s="471"/>
      <c r="CX22" s="471"/>
      <c r="CY22" s="471"/>
      <c r="CZ22" s="471"/>
      <c r="DA22" s="471"/>
      <c r="DB22" s="471"/>
      <c r="DC22" s="471"/>
      <c r="DD22" s="471"/>
      <c r="DE22" s="471"/>
      <c r="DF22" s="471"/>
      <c r="DG22" s="471"/>
      <c r="DH22" s="471"/>
      <c r="DI22" s="471"/>
      <c r="DJ22" s="471"/>
      <c r="DK22" s="471"/>
      <c r="DL22" s="471"/>
      <c r="DM22" s="471"/>
      <c r="DN22" s="471"/>
      <c r="DO22" s="471"/>
      <c r="DP22" s="471"/>
      <c r="DQ22" s="471"/>
      <c r="DR22" s="471"/>
      <c r="DS22" s="471"/>
      <c r="DT22" s="471"/>
      <c r="DU22" s="471"/>
      <c r="DV22" s="471"/>
      <c r="DW22" s="471"/>
      <c r="DX22" s="471"/>
      <c r="DY22" s="471"/>
      <c r="DZ22" s="471"/>
      <c r="EA22" s="471"/>
      <c r="EB22" s="471"/>
      <c r="EC22" s="471"/>
      <c r="ED22" s="471"/>
      <c r="EE22" s="471"/>
      <c r="EF22" s="471"/>
      <c r="EG22" s="471"/>
      <c r="EH22" s="471"/>
      <c r="EI22" s="471"/>
      <c r="EJ22" s="471"/>
      <c r="EK22" s="471"/>
      <c r="EL22" s="471"/>
      <c r="EM22" s="471"/>
      <c r="EN22" s="471"/>
      <c r="EO22" s="471"/>
      <c r="EP22" s="471"/>
      <c r="EQ22" s="471"/>
      <c r="ER22" s="471"/>
      <c r="ES22" s="471"/>
      <c r="ET22" s="471"/>
      <c r="EU22" s="471"/>
      <c r="EV22" s="471"/>
      <c r="EW22" s="471"/>
      <c r="EX22" s="471"/>
      <c r="EY22" s="471"/>
      <c r="EZ22" s="471"/>
      <c r="FA22" s="471"/>
      <c r="FB22" s="471"/>
      <c r="FC22" s="471"/>
      <c r="FD22" s="471"/>
      <c r="FE22" s="471"/>
      <c r="FF22" s="471"/>
      <c r="FG22" s="471"/>
      <c r="FH22" s="471"/>
      <c r="FI22" s="471"/>
      <c r="FJ22" s="471"/>
      <c r="FK22" s="471"/>
      <c r="FL22" s="471"/>
      <c r="FM22" s="471"/>
      <c r="FN22" s="471"/>
      <c r="FO22" s="471"/>
      <c r="FP22" s="471"/>
      <c r="FQ22" s="471"/>
      <c r="FR22" s="471"/>
      <c r="FS22" s="471"/>
      <c r="FT22" s="471"/>
      <c r="FU22" s="471"/>
      <c r="FV22" s="471"/>
      <c r="FW22" s="471"/>
      <c r="FX22" s="471"/>
      <c r="FY22" s="471"/>
      <c r="FZ22" s="471"/>
      <c r="GA22" s="471"/>
      <c r="GB22" s="471"/>
      <c r="GC22" s="471"/>
      <c r="GD22" s="471"/>
      <c r="GE22" s="471"/>
      <c r="GF22" s="471"/>
      <c r="GG22" s="471"/>
      <c r="GH22" s="471"/>
      <c r="GI22" s="471"/>
      <c r="GJ22" s="471"/>
      <c r="GK22" s="471"/>
      <c r="GL22" s="471"/>
      <c r="GM22" s="471"/>
      <c r="GN22" s="471"/>
      <c r="GO22" s="471"/>
      <c r="GP22" s="471"/>
      <c r="GQ22" s="471"/>
      <c r="GR22" s="471"/>
      <c r="GS22" s="471"/>
      <c r="GT22" s="471"/>
      <c r="GU22" s="471"/>
      <c r="GV22" s="471"/>
      <c r="GW22" s="471"/>
      <c r="GX22" s="471"/>
      <c r="GY22" s="471"/>
      <c r="GZ22" s="471"/>
      <c r="HA22" s="471"/>
      <c r="HB22" s="471"/>
      <c r="HC22" s="471"/>
      <c r="HD22" s="471"/>
      <c r="HE22" s="471"/>
      <c r="HF22" s="471"/>
      <c r="HG22" s="471"/>
      <c r="HH22" s="471"/>
      <c r="HI22" s="471"/>
      <c r="HJ22" s="471"/>
      <c r="HK22" s="471"/>
      <c r="HL22" s="471"/>
      <c r="HM22" s="471"/>
      <c r="HN22" s="471"/>
      <c r="HO22" s="471"/>
      <c r="HP22" s="471"/>
      <c r="HQ22" s="471"/>
      <c r="HR22" s="471"/>
      <c r="HS22" s="471"/>
      <c r="HT22" s="471"/>
      <c r="HU22" s="471"/>
      <c r="HV22" s="471"/>
      <c r="HW22" s="471"/>
      <c r="HX22" s="471"/>
      <c r="HY22" s="471"/>
      <c r="HZ22" s="471"/>
      <c r="IA22" s="471"/>
      <c r="IB22" s="471"/>
      <c r="IC22" s="471"/>
      <c r="ID22" s="471"/>
      <c r="IE22" s="471"/>
      <c r="IF22" s="471"/>
      <c r="IG22" s="471"/>
      <c r="IH22" s="471"/>
      <c r="II22" s="471"/>
      <c r="IJ22" s="471"/>
      <c r="IK22" s="471"/>
      <c r="IL22" s="471"/>
      <c r="IM22" s="471"/>
      <c r="IN22" s="471"/>
      <c r="IO22" s="471"/>
      <c r="IP22" s="471"/>
      <c r="IQ22" s="471"/>
      <c r="IR22" s="471"/>
      <c r="IS22" s="471"/>
      <c r="IT22" s="471"/>
      <c r="IU22" s="471"/>
      <c r="IV22" s="471"/>
      <c r="IW22" s="471"/>
      <c r="IX22" s="471"/>
      <c r="IY22" s="471"/>
      <c r="IZ22" s="471"/>
      <c r="JA22" s="471"/>
      <c r="JB22" s="471"/>
      <c r="JC22" s="471"/>
      <c r="JD22" s="471"/>
      <c r="JE22" s="471"/>
      <c r="JF22" s="471"/>
      <c r="JG22" s="471"/>
      <c r="JH22" s="471"/>
      <c r="JI22" s="471"/>
      <c r="JJ22" s="500"/>
    </row>
    <row r="23" spans="2:272" ht="14.4" thickTop="1" x14ac:dyDescent="0.3">
      <c r="B23" s="169" t="str">
        <f>'LRD_Phase-wise'!B331</f>
        <v>Year End</v>
      </c>
      <c r="C23" s="387">
        <f>EOMONTH(C24,MOD(15-MONTH(C24),12))</f>
        <v>46112</v>
      </c>
      <c r="D23" s="387">
        <f t="shared" ref="D23:BO23" si="0">EOMONTH(D24,MOD(15-MONTH(D24),12))</f>
        <v>46112</v>
      </c>
      <c r="E23" s="387">
        <f t="shared" si="0"/>
        <v>46112</v>
      </c>
      <c r="F23" s="387">
        <f t="shared" si="0"/>
        <v>46477</v>
      </c>
      <c r="G23" s="387">
        <f t="shared" si="0"/>
        <v>46477</v>
      </c>
      <c r="H23" s="387">
        <f t="shared" si="0"/>
        <v>46477</v>
      </c>
      <c r="I23" s="387">
        <f t="shared" si="0"/>
        <v>46477</v>
      </c>
      <c r="J23" s="387">
        <f t="shared" si="0"/>
        <v>46477</v>
      </c>
      <c r="K23" s="387">
        <f t="shared" si="0"/>
        <v>46477</v>
      </c>
      <c r="L23" s="387">
        <f t="shared" si="0"/>
        <v>46477</v>
      </c>
      <c r="M23" s="387">
        <f t="shared" si="0"/>
        <v>46477</v>
      </c>
      <c r="N23" s="387">
        <f t="shared" si="0"/>
        <v>46477</v>
      </c>
      <c r="O23" s="387">
        <f t="shared" si="0"/>
        <v>46477</v>
      </c>
      <c r="P23" s="387">
        <f t="shared" si="0"/>
        <v>46477</v>
      </c>
      <c r="Q23" s="387">
        <f t="shared" si="0"/>
        <v>46477</v>
      </c>
      <c r="R23" s="387">
        <f t="shared" si="0"/>
        <v>46843</v>
      </c>
      <c r="S23" s="387">
        <f t="shared" si="0"/>
        <v>46843</v>
      </c>
      <c r="T23" s="387">
        <f t="shared" si="0"/>
        <v>46843</v>
      </c>
      <c r="U23" s="387">
        <f t="shared" si="0"/>
        <v>46843</v>
      </c>
      <c r="V23" s="387">
        <f t="shared" si="0"/>
        <v>46843</v>
      </c>
      <c r="W23" s="387">
        <f t="shared" si="0"/>
        <v>46843</v>
      </c>
      <c r="X23" s="387">
        <f t="shared" si="0"/>
        <v>46843</v>
      </c>
      <c r="Y23" s="387">
        <f t="shared" si="0"/>
        <v>46843</v>
      </c>
      <c r="Z23" s="387">
        <f t="shared" si="0"/>
        <v>46843</v>
      </c>
      <c r="AA23" s="387">
        <f t="shared" si="0"/>
        <v>46843</v>
      </c>
      <c r="AB23" s="387">
        <f t="shared" si="0"/>
        <v>46843</v>
      </c>
      <c r="AC23" s="387">
        <f t="shared" si="0"/>
        <v>46843</v>
      </c>
      <c r="AD23" s="387">
        <f t="shared" si="0"/>
        <v>47208</v>
      </c>
      <c r="AE23" s="387">
        <f t="shared" si="0"/>
        <v>47208</v>
      </c>
      <c r="AF23" s="387">
        <f t="shared" si="0"/>
        <v>47208</v>
      </c>
      <c r="AG23" s="387">
        <f t="shared" si="0"/>
        <v>47208</v>
      </c>
      <c r="AH23" s="387">
        <f t="shared" si="0"/>
        <v>47208</v>
      </c>
      <c r="AI23" s="387">
        <f t="shared" si="0"/>
        <v>47208</v>
      </c>
      <c r="AJ23" s="387">
        <f t="shared" si="0"/>
        <v>47208</v>
      </c>
      <c r="AK23" s="387">
        <f t="shared" si="0"/>
        <v>47208</v>
      </c>
      <c r="AL23" s="387">
        <f t="shared" si="0"/>
        <v>47208</v>
      </c>
      <c r="AM23" s="387">
        <f t="shared" si="0"/>
        <v>47208</v>
      </c>
      <c r="AN23" s="387">
        <f t="shared" si="0"/>
        <v>47208</v>
      </c>
      <c r="AO23" s="387">
        <f t="shared" si="0"/>
        <v>47208</v>
      </c>
      <c r="AP23" s="387">
        <f t="shared" si="0"/>
        <v>47573</v>
      </c>
      <c r="AQ23" s="387">
        <f t="shared" si="0"/>
        <v>47573</v>
      </c>
      <c r="AR23" s="387">
        <f t="shared" si="0"/>
        <v>47573</v>
      </c>
      <c r="AS23" s="387">
        <f t="shared" si="0"/>
        <v>47573</v>
      </c>
      <c r="AT23" s="387">
        <f t="shared" si="0"/>
        <v>47573</v>
      </c>
      <c r="AU23" s="387">
        <f t="shared" si="0"/>
        <v>47573</v>
      </c>
      <c r="AV23" s="387">
        <f t="shared" si="0"/>
        <v>47573</v>
      </c>
      <c r="AW23" s="387">
        <f t="shared" si="0"/>
        <v>47573</v>
      </c>
      <c r="AX23" s="387">
        <f t="shared" si="0"/>
        <v>47573</v>
      </c>
      <c r="AY23" s="387">
        <f t="shared" si="0"/>
        <v>47573</v>
      </c>
      <c r="AZ23" s="387">
        <f t="shared" si="0"/>
        <v>47573</v>
      </c>
      <c r="BA23" s="387">
        <f t="shared" si="0"/>
        <v>47573</v>
      </c>
      <c r="BB23" s="387">
        <f t="shared" si="0"/>
        <v>47938</v>
      </c>
      <c r="BC23" s="387">
        <f t="shared" si="0"/>
        <v>47938</v>
      </c>
      <c r="BD23" s="387">
        <f t="shared" si="0"/>
        <v>47938</v>
      </c>
      <c r="BE23" s="387">
        <f t="shared" si="0"/>
        <v>47938</v>
      </c>
      <c r="BF23" s="387">
        <f t="shared" si="0"/>
        <v>47938</v>
      </c>
      <c r="BG23" s="387">
        <f t="shared" si="0"/>
        <v>47938</v>
      </c>
      <c r="BH23" s="387">
        <f t="shared" si="0"/>
        <v>47938</v>
      </c>
      <c r="BI23" s="387">
        <f t="shared" si="0"/>
        <v>47938</v>
      </c>
      <c r="BJ23" s="387">
        <f t="shared" si="0"/>
        <v>47938</v>
      </c>
      <c r="BK23" s="387">
        <f t="shared" si="0"/>
        <v>47938</v>
      </c>
      <c r="BL23" s="387">
        <f t="shared" si="0"/>
        <v>47938</v>
      </c>
      <c r="BM23" s="387">
        <f t="shared" si="0"/>
        <v>47938</v>
      </c>
      <c r="BN23" s="387">
        <f t="shared" si="0"/>
        <v>48304</v>
      </c>
      <c r="BO23" s="387">
        <f t="shared" si="0"/>
        <v>48304</v>
      </c>
      <c r="BP23" s="387">
        <f t="shared" ref="BP23:EA23" si="1">EOMONTH(BP24,MOD(15-MONTH(BP24),12))</f>
        <v>48304</v>
      </c>
      <c r="BQ23" s="387">
        <f t="shared" si="1"/>
        <v>48304</v>
      </c>
      <c r="BR23" s="387">
        <f t="shared" si="1"/>
        <v>48304</v>
      </c>
      <c r="BS23" s="387">
        <f t="shared" si="1"/>
        <v>48304</v>
      </c>
      <c r="BT23" s="387">
        <f t="shared" si="1"/>
        <v>48304</v>
      </c>
      <c r="BU23" s="387">
        <f t="shared" si="1"/>
        <v>48304</v>
      </c>
      <c r="BV23" s="387">
        <f t="shared" si="1"/>
        <v>48304</v>
      </c>
      <c r="BW23" s="387">
        <f t="shared" si="1"/>
        <v>48304</v>
      </c>
      <c r="BX23" s="387">
        <f t="shared" si="1"/>
        <v>48304</v>
      </c>
      <c r="BY23" s="387">
        <f t="shared" si="1"/>
        <v>48304</v>
      </c>
      <c r="BZ23" s="387">
        <f t="shared" si="1"/>
        <v>48669</v>
      </c>
      <c r="CA23" s="387">
        <f t="shared" si="1"/>
        <v>48669</v>
      </c>
      <c r="CB23" s="387">
        <f t="shared" si="1"/>
        <v>48669</v>
      </c>
      <c r="CC23" s="387">
        <f t="shared" si="1"/>
        <v>48669</v>
      </c>
      <c r="CD23" s="387">
        <f t="shared" si="1"/>
        <v>48669</v>
      </c>
      <c r="CE23" s="387">
        <f t="shared" si="1"/>
        <v>48669</v>
      </c>
      <c r="CF23" s="387">
        <f t="shared" si="1"/>
        <v>48669</v>
      </c>
      <c r="CG23" s="387">
        <f t="shared" si="1"/>
        <v>48669</v>
      </c>
      <c r="CH23" s="387">
        <f t="shared" si="1"/>
        <v>48669</v>
      </c>
      <c r="CI23" s="387">
        <f t="shared" si="1"/>
        <v>48669</v>
      </c>
      <c r="CJ23" s="387">
        <f t="shared" si="1"/>
        <v>48669</v>
      </c>
      <c r="CK23" s="387">
        <f t="shared" si="1"/>
        <v>48669</v>
      </c>
      <c r="CL23" s="387">
        <f t="shared" si="1"/>
        <v>49034</v>
      </c>
      <c r="CM23" s="387">
        <f t="shared" si="1"/>
        <v>49034</v>
      </c>
      <c r="CN23" s="387">
        <f t="shared" si="1"/>
        <v>49034</v>
      </c>
      <c r="CO23" s="387">
        <f t="shared" si="1"/>
        <v>49034</v>
      </c>
      <c r="CP23" s="387">
        <f t="shared" si="1"/>
        <v>49034</v>
      </c>
      <c r="CQ23" s="387">
        <f t="shared" si="1"/>
        <v>49034</v>
      </c>
      <c r="CR23" s="387">
        <f t="shared" si="1"/>
        <v>49034</v>
      </c>
      <c r="CS23" s="387">
        <f t="shared" si="1"/>
        <v>49034</v>
      </c>
      <c r="CT23" s="387">
        <f t="shared" si="1"/>
        <v>49034</v>
      </c>
      <c r="CU23" s="387">
        <f t="shared" si="1"/>
        <v>49034</v>
      </c>
      <c r="CV23" s="387">
        <f t="shared" si="1"/>
        <v>49034</v>
      </c>
      <c r="CW23" s="387">
        <f t="shared" si="1"/>
        <v>49034</v>
      </c>
      <c r="CX23" s="387">
        <f t="shared" si="1"/>
        <v>49399</v>
      </c>
      <c r="CY23" s="387">
        <f t="shared" si="1"/>
        <v>49399</v>
      </c>
      <c r="CZ23" s="387">
        <f t="shared" si="1"/>
        <v>49399</v>
      </c>
      <c r="DA23" s="387">
        <f t="shared" si="1"/>
        <v>49399</v>
      </c>
      <c r="DB23" s="387">
        <f t="shared" si="1"/>
        <v>49399</v>
      </c>
      <c r="DC23" s="387">
        <f t="shared" si="1"/>
        <v>49399</v>
      </c>
      <c r="DD23" s="387">
        <f t="shared" si="1"/>
        <v>49399</v>
      </c>
      <c r="DE23" s="387">
        <f t="shared" si="1"/>
        <v>49399</v>
      </c>
      <c r="DF23" s="387">
        <f t="shared" si="1"/>
        <v>49399</v>
      </c>
      <c r="DG23" s="387">
        <f t="shared" si="1"/>
        <v>49399</v>
      </c>
      <c r="DH23" s="387">
        <f t="shared" si="1"/>
        <v>49399</v>
      </c>
      <c r="DI23" s="387">
        <f t="shared" si="1"/>
        <v>49399</v>
      </c>
      <c r="DJ23" s="387">
        <f t="shared" si="1"/>
        <v>49765</v>
      </c>
      <c r="DK23" s="387">
        <f t="shared" si="1"/>
        <v>49765</v>
      </c>
      <c r="DL23" s="387">
        <f t="shared" si="1"/>
        <v>49765</v>
      </c>
      <c r="DM23" s="387">
        <f t="shared" si="1"/>
        <v>49765</v>
      </c>
      <c r="DN23" s="387">
        <f t="shared" si="1"/>
        <v>49765</v>
      </c>
      <c r="DO23" s="387">
        <f t="shared" si="1"/>
        <v>49765</v>
      </c>
      <c r="DP23" s="387">
        <f t="shared" si="1"/>
        <v>49765</v>
      </c>
      <c r="DQ23" s="387">
        <f t="shared" si="1"/>
        <v>49765</v>
      </c>
      <c r="DR23" s="387">
        <f t="shared" si="1"/>
        <v>49765</v>
      </c>
      <c r="DS23" s="387">
        <f t="shared" si="1"/>
        <v>49765</v>
      </c>
      <c r="DT23" s="387">
        <f t="shared" si="1"/>
        <v>49765</v>
      </c>
      <c r="DU23" s="387">
        <f t="shared" si="1"/>
        <v>49765</v>
      </c>
      <c r="DV23" s="387">
        <f t="shared" si="1"/>
        <v>50130</v>
      </c>
      <c r="DW23" s="387">
        <f t="shared" si="1"/>
        <v>50130</v>
      </c>
      <c r="DX23" s="387">
        <f t="shared" si="1"/>
        <v>50130</v>
      </c>
      <c r="DY23" s="387">
        <f t="shared" si="1"/>
        <v>50130</v>
      </c>
      <c r="DZ23" s="387">
        <f t="shared" si="1"/>
        <v>50130</v>
      </c>
      <c r="EA23" s="387">
        <f t="shared" si="1"/>
        <v>50130</v>
      </c>
      <c r="EB23" s="387">
        <f t="shared" ref="EB23:GM23" si="2">EOMONTH(EB24,MOD(15-MONTH(EB24),12))</f>
        <v>50130</v>
      </c>
      <c r="EC23" s="387">
        <f t="shared" si="2"/>
        <v>50130</v>
      </c>
      <c r="ED23" s="387">
        <f t="shared" si="2"/>
        <v>50130</v>
      </c>
      <c r="EE23" s="387">
        <f t="shared" si="2"/>
        <v>50130</v>
      </c>
      <c r="EF23" s="387">
        <f t="shared" si="2"/>
        <v>50130</v>
      </c>
      <c r="EG23" s="387">
        <f t="shared" si="2"/>
        <v>50130</v>
      </c>
      <c r="EH23" s="387">
        <f t="shared" si="2"/>
        <v>50495</v>
      </c>
      <c r="EI23" s="387">
        <f t="shared" si="2"/>
        <v>50495</v>
      </c>
      <c r="EJ23" s="387">
        <f t="shared" si="2"/>
        <v>50495</v>
      </c>
      <c r="EK23" s="387">
        <f t="shared" si="2"/>
        <v>50495</v>
      </c>
      <c r="EL23" s="387">
        <f t="shared" si="2"/>
        <v>50495</v>
      </c>
      <c r="EM23" s="387">
        <f t="shared" si="2"/>
        <v>50495</v>
      </c>
      <c r="EN23" s="387">
        <f t="shared" si="2"/>
        <v>50495</v>
      </c>
      <c r="EO23" s="387">
        <f t="shared" si="2"/>
        <v>50495</v>
      </c>
      <c r="EP23" s="387">
        <f t="shared" si="2"/>
        <v>50495</v>
      </c>
      <c r="EQ23" s="387">
        <f t="shared" si="2"/>
        <v>50495</v>
      </c>
      <c r="ER23" s="387">
        <f t="shared" si="2"/>
        <v>50495</v>
      </c>
      <c r="ES23" s="387">
        <f t="shared" si="2"/>
        <v>50495</v>
      </c>
      <c r="ET23" s="387">
        <f t="shared" si="2"/>
        <v>50860</v>
      </c>
      <c r="EU23" s="387">
        <f t="shared" si="2"/>
        <v>50860</v>
      </c>
      <c r="EV23" s="387">
        <f t="shared" si="2"/>
        <v>50860</v>
      </c>
      <c r="EW23" s="387">
        <f t="shared" si="2"/>
        <v>50860</v>
      </c>
      <c r="EX23" s="387">
        <f t="shared" si="2"/>
        <v>50860</v>
      </c>
      <c r="EY23" s="387">
        <f t="shared" si="2"/>
        <v>50860</v>
      </c>
      <c r="EZ23" s="387">
        <f t="shared" si="2"/>
        <v>50860</v>
      </c>
      <c r="FA23" s="387">
        <f t="shared" si="2"/>
        <v>50860</v>
      </c>
      <c r="FB23" s="387">
        <f t="shared" si="2"/>
        <v>50860</v>
      </c>
      <c r="FC23" s="387">
        <f t="shared" si="2"/>
        <v>50860</v>
      </c>
      <c r="FD23" s="387">
        <f t="shared" si="2"/>
        <v>50860</v>
      </c>
      <c r="FE23" s="387">
        <f t="shared" si="2"/>
        <v>50860</v>
      </c>
      <c r="FF23" s="387">
        <f t="shared" si="2"/>
        <v>51226</v>
      </c>
      <c r="FG23" s="387">
        <f t="shared" si="2"/>
        <v>51226</v>
      </c>
      <c r="FH23" s="387">
        <f t="shared" si="2"/>
        <v>51226</v>
      </c>
      <c r="FI23" s="387">
        <f t="shared" si="2"/>
        <v>51226</v>
      </c>
      <c r="FJ23" s="387">
        <f t="shared" si="2"/>
        <v>51226</v>
      </c>
      <c r="FK23" s="387">
        <f t="shared" si="2"/>
        <v>51226</v>
      </c>
      <c r="FL23" s="387">
        <f t="shared" si="2"/>
        <v>51226</v>
      </c>
      <c r="FM23" s="387">
        <f t="shared" si="2"/>
        <v>51226</v>
      </c>
      <c r="FN23" s="387">
        <f t="shared" si="2"/>
        <v>51226</v>
      </c>
      <c r="FO23" s="387">
        <f t="shared" si="2"/>
        <v>51226</v>
      </c>
      <c r="FP23" s="387">
        <f t="shared" si="2"/>
        <v>51226</v>
      </c>
      <c r="FQ23" s="387">
        <f t="shared" si="2"/>
        <v>51226</v>
      </c>
      <c r="FR23" s="387">
        <f t="shared" si="2"/>
        <v>51591</v>
      </c>
      <c r="FS23" s="387">
        <f t="shared" si="2"/>
        <v>51591</v>
      </c>
      <c r="FT23" s="387">
        <f t="shared" si="2"/>
        <v>51591</v>
      </c>
      <c r="FU23" s="387">
        <f t="shared" si="2"/>
        <v>51591</v>
      </c>
      <c r="FV23" s="387">
        <f t="shared" si="2"/>
        <v>51591</v>
      </c>
      <c r="FW23" s="387">
        <f t="shared" si="2"/>
        <v>51591</v>
      </c>
      <c r="FX23" s="387">
        <f t="shared" si="2"/>
        <v>51591</v>
      </c>
      <c r="FY23" s="387">
        <f t="shared" si="2"/>
        <v>51591</v>
      </c>
      <c r="FZ23" s="387">
        <f t="shared" si="2"/>
        <v>51591</v>
      </c>
      <c r="GA23" s="387">
        <f t="shared" si="2"/>
        <v>51591</v>
      </c>
      <c r="GB23" s="387">
        <f t="shared" si="2"/>
        <v>51591</v>
      </c>
      <c r="GC23" s="387">
        <f t="shared" si="2"/>
        <v>51591</v>
      </c>
      <c r="GD23" s="387">
        <f t="shared" si="2"/>
        <v>51956</v>
      </c>
      <c r="GE23" s="387">
        <f t="shared" si="2"/>
        <v>51956</v>
      </c>
      <c r="GF23" s="387">
        <f t="shared" si="2"/>
        <v>51956</v>
      </c>
      <c r="GG23" s="387">
        <f t="shared" si="2"/>
        <v>51956</v>
      </c>
      <c r="GH23" s="387">
        <f t="shared" si="2"/>
        <v>51956</v>
      </c>
      <c r="GI23" s="387">
        <f t="shared" si="2"/>
        <v>51956</v>
      </c>
      <c r="GJ23" s="387">
        <f t="shared" si="2"/>
        <v>51956</v>
      </c>
      <c r="GK23" s="387">
        <f t="shared" si="2"/>
        <v>51956</v>
      </c>
      <c r="GL23" s="387">
        <f t="shared" si="2"/>
        <v>51956</v>
      </c>
      <c r="GM23" s="387">
        <f t="shared" si="2"/>
        <v>51956</v>
      </c>
      <c r="GN23" s="387">
        <f t="shared" ref="GN23:IY23" si="3">EOMONTH(GN24,MOD(15-MONTH(GN24),12))</f>
        <v>51956</v>
      </c>
      <c r="GO23" s="387">
        <f t="shared" si="3"/>
        <v>51956</v>
      </c>
      <c r="GP23" s="387">
        <f t="shared" si="3"/>
        <v>52321</v>
      </c>
      <c r="GQ23" s="387">
        <f t="shared" si="3"/>
        <v>52321</v>
      </c>
      <c r="GR23" s="387">
        <f t="shared" si="3"/>
        <v>52321</v>
      </c>
      <c r="GS23" s="387">
        <f t="shared" si="3"/>
        <v>52321</v>
      </c>
      <c r="GT23" s="387">
        <f t="shared" si="3"/>
        <v>52321</v>
      </c>
      <c r="GU23" s="387">
        <f t="shared" si="3"/>
        <v>52321</v>
      </c>
      <c r="GV23" s="387">
        <f t="shared" si="3"/>
        <v>52321</v>
      </c>
      <c r="GW23" s="387">
        <f t="shared" si="3"/>
        <v>52321</v>
      </c>
      <c r="GX23" s="387">
        <f t="shared" si="3"/>
        <v>52321</v>
      </c>
      <c r="GY23" s="387">
        <f t="shared" si="3"/>
        <v>52321</v>
      </c>
      <c r="GZ23" s="387">
        <f t="shared" si="3"/>
        <v>52321</v>
      </c>
      <c r="HA23" s="387">
        <f t="shared" si="3"/>
        <v>52321</v>
      </c>
      <c r="HB23" s="387">
        <f t="shared" si="3"/>
        <v>52687</v>
      </c>
      <c r="HC23" s="387">
        <f t="shared" si="3"/>
        <v>52687</v>
      </c>
      <c r="HD23" s="387">
        <f t="shared" si="3"/>
        <v>52687</v>
      </c>
      <c r="HE23" s="387">
        <f t="shared" si="3"/>
        <v>52687</v>
      </c>
      <c r="HF23" s="387">
        <f t="shared" si="3"/>
        <v>52687</v>
      </c>
      <c r="HG23" s="387">
        <f t="shared" si="3"/>
        <v>52687</v>
      </c>
      <c r="HH23" s="387">
        <f t="shared" si="3"/>
        <v>52687</v>
      </c>
      <c r="HI23" s="387">
        <f t="shared" si="3"/>
        <v>52687</v>
      </c>
      <c r="HJ23" s="387">
        <f t="shared" si="3"/>
        <v>52687</v>
      </c>
      <c r="HK23" s="387">
        <f t="shared" si="3"/>
        <v>52687</v>
      </c>
      <c r="HL23" s="387">
        <f t="shared" si="3"/>
        <v>52687</v>
      </c>
      <c r="HM23" s="387">
        <f t="shared" si="3"/>
        <v>52687</v>
      </c>
      <c r="HN23" s="387">
        <f t="shared" si="3"/>
        <v>53052</v>
      </c>
      <c r="HO23" s="387">
        <f t="shared" si="3"/>
        <v>53052</v>
      </c>
      <c r="HP23" s="387">
        <f t="shared" si="3"/>
        <v>53052</v>
      </c>
      <c r="HQ23" s="387">
        <f t="shared" si="3"/>
        <v>53052</v>
      </c>
      <c r="HR23" s="387">
        <f t="shared" si="3"/>
        <v>53052</v>
      </c>
      <c r="HS23" s="387">
        <f t="shared" si="3"/>
        <v>53052</v>
      </c>
      <c r="HT23" s="387">
        <f t="shared" si="3"/>
        <v>53052</v>
      </c>
      <c r="HU23" s="387">
        <f t="shared" si="3"/>
        <v>53052</v>
      </c>
      <c r="HV23" s="387">
        <f t="shared" si="3"/>
        <v>53052</v>
      </c>
      <c r="HW23" s="387">
        <f t="shared" si="3"/>
        <v>53052</v>
      </c>
      <c r="HX23" s="387">
        <f t="shared" si="3"/>
        <v>53052</v>
      </c>
      <c r="HY23" s="387">
        <f t="shared" si="3"/>
        <v>53052</v>
      </c>
      <c r="HZ23" s="387">
        <f t="shared" si="3"/>
        <v>53417</v>
      </c>
      <c r="IA23" s="387">
        <f t="shared" si="3"/>
        <v>53417</v>
      </c>
      <c r="IB23" s="387">
        <f t="shared" si="3"/>
        <v>53417</v>
      </c>
      <c r="IC23" s="387">
        <f t="shared" si="3"/>
        <v>53417</v>
      </c>
      <c r="ID23" s="387">
        <f t="shared" si="3"/>
        <v>53417</v>
      </c>
      <c r="IE23" s="387">
        <f t="shared" si="3"/>
        <v>53417</v>
      </c>
      <c r="IF23" s="387">
        <f t="shared" si="3"/>
        <v>53417</v>
      </c>
      <c r="IG23" s="387">
        <f t="shared" si="3"/>
        <v>53417</v>
      </c>
      <c r="IH23" s="387">
        <f t="shared" si="3"/>
        <v>53417</v>
      </c>
      <c r="II23" s="387">
        <f t="shared" si="3"/>
        <v>53417</v>
      </c>
      <c r="IJ23" s="387">
        <f t="shared" si="3"/>
        <v>53417</v>
      </c>
      <c r="IK23" s="387">
        <f t="shared" si="3"/>
        <v>53417</v>
      </c>
      <c r="IL23" s="387">
        <f t="shared" si="3"/>
        <v>53782</v>
      </c>
      <c r="IM23" s="387">
        <f t="shared" si="3"/>
        <v>53782</v>
      </c>
      <c r="IN23" s="387">
        <f t="shared" si="3"/>
        <v>53782</v>
      </c>
      <c r="IO23" s="387">
        <f t="shared" si="3"/>
        <v>53782</v>
      </c>
      <c r="IP23" s="387">
        <f t="shared" si="3"/>
        <v>53782</v>
      </c>
      <c r="IQ23" s="387">
        <f t="shared" si="3"/>
        <v>53782</v>
      </c>
      <c r="IR23" s="387">
        <f t="shared" si="3"/>
        <v>53782</v>
      </c>
      <c r="IS23" s="387">
        <f t="shared" si="3"/>
        <v>53782</v>
      </c>
      <c r="IT23" s="387">
        <f t="shared" si="3"/>
        <v>53782</v>
      </c>
      <c r="IU23" s="387">
        <f t="shared" si="3"/>
        <v>53782</v>
      </c>
      <c r="IV23" s="387">
        <f t="shared" si="3"/>
        <v>53782</v>
      </c>
      <c r="IW23" s="387">
        <f t="shared" si="3"/>
        <v>53782</v>
      </c>
      <c r="IX23" s="387">
        <f t="shared" si="3"/>
        <v>54148</v>
      </c>
      <c r="IY23" s="387">
        <f t="shared" si="3"/>
        <v>54148</v>
      </c>
      <c r="IZ23" s="387">
        <f t="shared" ref="IZ23:JI23" si="4">EOMONTH(IZ24,MOD(15-MONTH(IZ24),12))</f>
        <v>54148</v>
      </c>
      <c r="JA23" s="387">
        <f t="shared" si="4"/>
        <v>54148</v>
      </c>
      <c r="JB23" s="387">
        <f t="shared" si="4"/>
        <v>54148</v>
      </c>
      <c r="JC23" s="387">
        <f t="shared" si="4"/>
        <v>54148</v>
      </c>
      <c r="JD23" s="387">
        <f t="shared" si="4"/>
        <v>54148</v>
      </c>
      <c r="JE23" s="387">
        <f t="shared" si="4"/>
        <v>54148</v>
      </c>
      <c r="JF23" s="387">
        <f t="shared" si="4"/>
        <v>54148</v>
      </c>
      <c r="JG23" s="387">
        <f t="shared" si="4"/>
        <v>54148</v>
      </c>
      <c r="JH23" s="387">
        <f t="shared" si="4"/>
        <v>54148</v>
      </c>
      <c r="JI23" s="387">
        <f t="shared" si="4"/>
        <v>54148</v>
      </c>
      <c r="JJ23" s="246"/>
    </row>
    <row r="24" spans="2:272" x14ac:dyDescent="0.3">
      <c r="B24" s="169" t="s">
        <v>571</v>
      </c>
      <c r="C24" s="501">
        <v>46112</v>
      </c>
      <c r="D24" s="501">
        <v>46112</v>
      </c>
      <c r="E24" s="501">
        <v>46112</v>
      </c>
      <c r="F24" s="501">
        <f>EOMONTH(C24,3)</f>
        <v>46203</v>
      </c>
      <c r="G24" s="501">
        <f t="shared" ref="G24:BR24" si="5">EOMONTH(D24,3)</f>
        <v>46203</v>
      </c>
      <c r="H24" s="501">
        <f t="shared" si="5"/>
        <v>46203</v>
      </c>
      <c r="I24" s="501">
        <f t="shared" si="5"/>
        <v>46295</v>
      </c>
      <c r="J24" s="501">
        <f t="shared" si="5"/>
        <v>46295</v>
      </c>
      <c r="K24" s="501">
        <f t="shared" si="5"/>
        <v>46295</v>
      </c>
      <c r="L24" s="501">
        <f t="shared" si="5"/>
        <v>46387</v>
      </c>
      <c r="M24" s="501">
        <f t="shared" si="5"/>
        <v>46387</v>
      </c>
      <c r="N24" s="501">
        <f t="shared" si="5"/>
        <v>46387</v>
      </c>
      <c r="O24" s="501">
        <f t="shared" si="5"/>
        <v>46477</v>
      </c>
      <c r="P24" s="501">
        <f t="shared" si="5"/>
        <v>46477</v>
      </c>
      <c r="Q24" s="501">
        <f t="shared" si="5"/>
        <v>46477</v>
      </c>
      <c r="R24" s="501">
        <f t="shared" si="5"/>
        <v>46568</v>
      </c>
      <c r="S24" s="501">
        <f t="shared" si="5"/>
        <v>46568</v>
      </c>
      <c r="T24" s="501">
        <f t="shared" si="5"/>
        <v>46568</v>
      </c>
      <c r="U24" s="501">
        <f t="shared" si="5"/>
        <v>46660</v>
      </c>
      <c r="V24" s="501">
        <f t="shared" si="5"/>
        <v>46660</v>
      </c>
      <c r="W24" s="501">
        <f t="shared" si="5"/>
        <v>46660</v>
      </c>
      <c r="X24" s="501">
        <f t="shared" si="5"/>
        <v>46752</v>
      </c>
      <c r="Y24" s="501">
        <f t="shared" si="5"/>
        <v>46752</v>
      </c>
      <c r="Z24" s="501">
        <f t="shared" si="5"/>
        <v>46752</v>
      </c>
      <c r="AA24" s="501">
        <f t="shared" si="5"/>
        <v>46843</v>
      </c>
      <c r="AB24" s="501">
        <f t="shared" si="5"/>
        <v>46843</v>
      </c>
      <c r="AC24" s="501">
        <f t="shared" si="5"/>
        <v>46843</v>
      </c>
      <c r="AD24" s="501">
        <f t="shared" si="5"/>
        <v>46934</v>
      </c>
      <c r="AE24" s="501">
        <f t="shared" si="5"/>
        <v>46934</v>
      </c>
      <c r="AF24" s="501">
        <f t="shared" si="5"/>
        <v>46934</v>
      </c>
      <c r="AG24" s="501">
        <f t="shared" si="5"/>
        <v>47026</v>
      </c>
      <c r="AH24" s="501">
        <f t="shared" si="5"/>
        <v>47026</v>
      </c>
      <c r="AI24" s="501">
        <f t="shared" si="5"/>
        <v>47026</v>
      </c>
      <c r="AJ24" s="501">
        <f t="shared" si="5"/>
        <v>47118</v>
      </c>
      <c r="AK24" s="501">
        <f t="shared" si="5"/>
        <v>47118</v>
      </c>
      <c r="AL24" s="501">
        <f t="shared" si="5"/>
        <v>47118</v>
      </c>
      <c r="AM24" s="501">
        <f t="shared" si="5"/>
        <v>47208</v>
      </c>
      <c r="AN24" s="501">
        <f t="shared" si="5"/>
        <v>47208</v>
      </c>
      <c r="AO24" s="501">
        <f t="shared" si="5"/>
        <v>47208</v>
      </c>
      <c r="AP24" s="501">
        <f t="shared" si="5"/>
        <v>47299</v>
      </c>
      <c r="AQ24" s="501">
        <f t="shared" si="5"/>
        <v>47299</v>
      </c>
      <c r="AR24" s="501">
        <f t="shared" si="5"/>
        <v>47299</v>
      </c>
      <c r="AS24" s="501">
        <f t="shared" si="5"/>
        <v>47391</v>
      </c>
      <c r="AT24" s="501">
        <f t="shared" si="5"/>
        <v>47391</v>
      </c>
      <c r="AU24" s="501">
        <f t="shared" si="5"/>
        <v>47391</v>
      </c>
      <c r="AV24" s="501">
        <f t="shared" si="5"/>
        <v>47483</v>
      </c>
      <c r="AW24" s="501">
        <f t="shared" si="5"/>
        <v>47483</v>
      </c>
      <c r="AX24" s="501">
        <f t="shared" si="5"/>
        <v>47483</v>
      </c>
      <c r="AY24" s="501">
        <f t="shared" si="5"/>
        <v>47573</v>
      </c>
      <c r="AZ24" s="501">
        <f t="shared" si="5"/>
        <v>47573</v>
      </c>
      <c r="BA24" s="501">
        <f t="shared" si="5"/>
        <v>47573</v>
      </c>
      <c r="BB24" s="501">
        <f t="shared" si="5"/>
        <v>47664</v>
      </c>
      <c r="BC24" s="501">
        <f t="shared" si="5"/>
        <v>47664</v>
      </c>
      <c r="BD24" s="501">
        <f t="shared" si="5"/>
        <v>47664</v>
      </c>
      <c r="BE24" s="501">
        <f t="shared" si="5"/>
        <v>47756</v>
      </c>
      <c r="BF24" s="501">
        <f t="shared" si="5"/>
        <v>47756</v>
      </c>
      <c r="BG24" s="501">
        <f t="shared" si="5"/>
        <v>47756</v>
      </c>
      <c r="BH24" s="501">
        <f t="shared" si="5"/>
        <v>47848</v>
      </c>
      <c r="BI24" s="501">
        <f t="shared" si="5"/>
        <v>47848</v>
      </c>
      <c r="BJ24" s="501">
        <f t="shared" si="5"/>
        <v>47848</v>
      </c>
      <c r="BK24" s="501">
        <f t="shared" si="5"/>
        <v>47938</v>
      </c>
      <c r="BL24" s="501">
        <f t="shared" si="5"/>
        <v>47938</v>
      </c>
      <c r="BM24" s="501">
        <f t="shared" si="5"/>
        <v>47938</v>
      </c>
      <c r="BN24" s="501">
        <f t="shared" si="5"/>
        <v>48029</v>
      </c>
      <c r="BO24" s="501">
        <f t="shared" si="5"/>
        <v>48029</v>
      </c>
      <c r="BP24" s="501">
        <f t="shared" si="5"/>
        <v>48029</v>
      </c>
      <c r="BQ24" s="501">
        <f t="shared" si="5"/>
        <v>48121</v>
      </c>
      <c r="BR24" s="501">
        <f t="shared" si="5"/>
        <v>48121</v>
      </c>
      <c r="BS24" s="501">
        <f t="shared" ref="BS24:ED24" si="6">EOMONTH(BP24,3)</f>
        <v>48121</v>
      </c>
      <c r="BT24" s="501">
        <f t="shared" si="6"/>
        <v>48213</v>
      </c>
      <c r="BU24" s="501">
        <f t="shared" si="6"/>
        <v>48213</v>
      </c>
      <c r="BV24" s="501">
        <f t="shared" si="6"/>
        <v>48213</v>
      </c>
      <c r="BW24" s="501">
        <f t="shared" si="6"/>
        <v>48304</v>
      </c>
      <c r="BX24" s="501">
        <f t="shared" si="6"/>
        <v>48304</v>
      </c>
      <c r="BY24" s="501">
        <f t="shared" si="6"/>
        <v>48304</v>
      </c>
      <c r="BZ24" s="501">
        <f t="shared" si="6"/>
        <v>48395</v>
      </c>
      <c r="CA24" s="501">
        <f t="shared" si="6"/>
        <v>48395</v>
      </c>
      <c r="CB24" s="501">
        <f t="shared" si="6"/>
        <v>48395</v>
      </c>
      <c r="CC24" s="501">
        <f t="shared" si="6"/>
        <v>48487</v>
      </c>
      <c r="CD24" s="501">
        <f t="shared" si="6"/>
        <v>48487</v>
      </c>
      <c r="CE24" s="501">
        <f t="shared" si="6"/>
        <v>48487</v>
      </c>
      <c r="CF24" s="501">
        <f t="shared" si="6"/>
        <v>48579</v>
      </c>
      <c r="CG24" s="501">
        <f t="shared" si="6"/>
        <v>48579</v>
      </c>
      <c r="CH24" s="501">
        <f t="shared" si="6"/>
        <v>48579</v>
      </c>
      <c r="CI24" s="501">
        <f t="shared" si="6"/>
        <v>48669</v>
      </c>
      <c r="CJ24" s="501">
        <f t="shared" si="6"/>
        <v>48669</v>
      </c>
      <c r="CK24" s="501">
        <f t="shared" si="6"/>
        <v>48669</v>
      </c>
      <c r="CL24" s="501">
        <f t="shared" si="6"/>
        <v>48760</v>
      </c>
      <c r="CM24" s="501">
        <f t="shared" si="6"/>
        <v>48760</v>
      </c>
      <c r="CN24" s="501">
        <f t="shared" si="6"/>
        <v>48760</v>
      </c>
      <c r="CO24" s="501">
        <f t="shared" si="6"/>
        <v>48852</v>
      </c>
      <c r="CP24" s="501">
        <f t="shared" si="6"/>
        <v>48852</v>
      </c>
      <c r="CQ24" s="501">
        <f t="shared" si="6"/>
        <v>48852</v>
      </c>
      <c r="CR24" s="501">
        <f t="shared" si="6"/>
        <v>48944</v>
      </c>
      <c r="CS24" s="501">
        <f t="shared" si="6"/>
        <v>48944</v>
      </c>
      <c r="CT24" s="501">
        <f t="shared" si="6"/>
        <v>48944</v>
      </c>
      <c r="CU24" s="501">
        <f t="shared" si="6"/>
        <v>49034</v>
      </c>
      <c r="CV24" s="501">
        <f t="shared" si="6"/>
        <v>49034</v>
      </c>
      <c r="CW24" s="501">
        <f t="shared" si="6"/>
        <v>49034</v>
      </c>
      <c r="CX24" s="501">
        <f t="shared" si="6"/>
        <v>49125</v>
      </c>
      <c r="CY24" s="501">
        <f t="shared" si="6"/>
        <v>49125</v>
      </c>
      <c r="CZ24" s="501">
        <f t="shared" si="6"/>
        <v>49125</v>
      </c>
      <c r="DA24" s="501">
        <f t="shared" si="6"/>
        <v>49217</v>
      </c>
      <c r="DB24" s="501">
        <f t="shared" si="6"/>
        <v>49217</v>
      </c>
      <c r="DC24" s="501">
        <f t="shared" si="6"/>
        <v>49217</v>
      </c>
      <c r="DD24" s="501">
        <f t="shared" si="6"/>
        <v>49309</v>
      </c>
      <c r="DE24" s="501">
        <f t="shared" si="6"/>
        <v>49309</v>
      </c>
      <c r="DF24" s="501">
        <f t="shared" si="6"/>
        <v>49309</v>
      </c>
      <c r="DG24" s="501">
        <f t="shared" si="6"/>
        <v>49399</v>
      </c>
      <c r="DH24" s="501">
        <f t="shared" si="6"/>
        <v>49399</v>
      </c>
      <c r="DI24" s="501">
        <f t="shared" si="6"/>
        <v>49399</v>
      </c>
      <c r="DJ24" s="501">
        <f t="shared" si="6"/>
        <v>49490</v>
      </c>
      <c r="DK24" s="501">
        <f t="shared" si="6"/>
        <v>49490</v>
      </c>
      <c r="DL24" s="501">
        <f t="shared" si="6"/>
        <v>49490</v>
      </c>
      <c r="DM24" s="501">
        <f t="shared" si="6"/>
        <v>49582</v>
      </c>
      <c r="DN24" s="501">
        <f t="shared" si="6"/>
        <v>49582</v>
      </c>
      <c r="DO24" s="501">
        <f t="shared" si="6"/>
        <v>49582</v>
      </c>
      <c r="DP24" s="501">
        <f t="shared" si="6"/>
        <v>49674</v>
      </c>
      <c r="DQ24" s="501">
        <f t="shared" si="6"/>
        <v>49674</v>
      </c>
      <c r="DR24" s="501">
        <f t="shared" si="6"/>
        <v>49674</v>
      </c>
      <c r="DS24" s="501">
        <f t="shared" si="6"/>
        <v>49765</v>
      </c>
      <c r="DT24" s="501">
        <f t="shared" si="6"/>
        <v>49765</v>
      </c>
      <c r="DU24" s="501">
        <f t="shared" si="6"/>
        <v>49765</v>
      </c>
      <c r="DV24" s="501">
        <f t="shared" si="6"/>
        <v>49856</v>
      </c>
      <c r="DW24" s="501">
        <f t="shared" si="6"/>
        <v>49856</v>
      </c>
      <c r="DX24" s="501">
        <f t="shared" si="6"/>
        <v>49856</v>
      </c>
      <c r="DY24" s="501">
        <f t="shared" si="6"/>
        <v>49948</v>
      </c>
      <c r="DZ24" s="501">
        <f t="shared" si="6"/>
        <v>49948</v>
      </c>
      <c r="EA24" s="501">
        <f t="shared" si="6"/>
        <v>49948</v>
      </c>
      <c r="EB24" s="501">
        <f t="shared" si="6"/>
        <v>50040</v>
      </c>
      <c r="EC24" s="501">
        <f t="shared" si="6"/>
        <v>50040</v>
      </c>
      <c r="ED24" s="501">
        <f t="shared" si="6"/>
        <v>50040</v>
      </c>
      <c r="EE24" s="501">
        <f t="shared" ref="EE24:GP24" si="7">EOMONTH(EB24,3)</f>
        <v>50130</v>
      </c>
      <c r="EF24" s="501">
        <f t="shared" si="7"/>
        <v>50130</v>
      </c>
      <c r="EG24" s="501">
        <f t="shared" si="7"/>
        <v>50130</v>
      </c>
      <c r="EH24" s="501">
        <f t="shared" si="7"/>
        <v>50221</v>
      </c>
      <c r="EI24" s="501">
        <f t="shared" si="7"/>
        <v>50221</v>
      </c>
      <c r="EJ24" s="501">
        <f t="shared" si="7"/>
        <v>50221</v>
      </c>
      <c r="EK24" s="501">
        <f t="shared" si="7"/>
        <v>50313</v>
      </c>
      <c r="EL24" s="501">
        <f t="shared" si="7"/>
        <v>50313</v>
      </c>
      <c r="EM24" s="501">
        <f t="shared" si="7"/>
        <v>50313</v>
      </c>
      <c r="EN24" s="501">
        <f t="shared" si="7"/>
        <v>50405</v>
      </c>
      <c r="EO24" s="501">
        <f t="shared" si="7"/>
        <v>50405</v>
      </c>
      <c r="EP24" s="501">
        <f t="shared" si="7"/>
        <v>50405</v>
      </c>
      <c r="EQ24" s="501">
        <f t="shared" si="7"/>
        <v>50495</v>
      </c>
      <c r="ER24" s="501">
        <f t="shared" si="7"/>
        <v>50495</v>
      </c>
      <c r="ES24" s="501">
        <f t="shared" si="7"/>
        <v>50495</v>
      </c>
      <c r="ET24" s="501">
        <f t="shared" si="7"/>
        <v>50586</v>
      </c>
      <c r="EU24" s="501">
        <f t="shared" si="7"/>
        <v>50586</v>
      </c>
      <c r="EV24" s="501">
        <f t="shared" si="7"/>
        <v>50586</v>
      </c>
      <c r="EW24" s="501">
        <f t="shared" si="7"/>
        <v>50678</v>
      </c>
      <c r="EX24" s="501">
        <f t="shared" si="7"/>
        <v>50678</v>
      </c>
      <c r="EY24" s="501">
        <f t="shared" si="7"/>
        <v>50678</v>
      </c>
      <c r="EZ24" s="501">
        <f t="shared" si="7"/>
        <v>50770</v>
      </c>
      <c r="FA24" s="501">
        <f t="shared" si="7"/>
        <v>50770</v>
      </c>
      <c r="FB24" s="501">
        <f t="shared" si="7"/>
        <v>50770</v>
      </c>
      <c r="FC24" s="501">
        <f t="shared" si="7"/>
        <v>50860</v>
      </c>
      <c r="FD24" s="501">
        <f t="shared" si="7"/>
        <v>50860</v>
      </c>
      <c r="FE24" s="501">
        <f t="shared" si="7"/>
        <v>50860</v>
      </c>
      <c r="FF24" s="501">
        <f t="shared" si="7"/>
        <v>50951</v>
      </c>
      <c r="FG24" s="501">
        <f t="shared" si="7"/>
        <v>50951</v>
      </c>
      <c r="FH24" s="501">
        <f t="shared" si="7"/>
        <v>50951</v>
      </c>
      <c r="FI24" s="501">
        <f t="shared" si="7"/>
        <v>51043</v>
      </c>
      <c r="FJ24" s="501">
        <f t="shared" si="7"/>
        <v>51043</v>
      </c>
      <c r="FK24" s="501">
        <f t="shared" si="7"/>
        <v>51043</v>
      </c>
      <c r="FL24" s="501">
        <f t="shared" si="7"/>
        <v>51135</v>
      </c>
      <c r="FM24" s="501">
        <f t="shared" si="7"/>
        <v>51135</v>
      </c>
      <c r="FN24" s="501">
        <f t="shared" si="7"/>
        <v>51135</v>
      </c>
      <c r="FO24" s="501">
        <f t="shared" si="7"/>
        <v>51226</v>
      </c>
      <c r="FP24" s="501">
        <f t="shared" si="7"/>
        <v>51226</v>
      </c>
      <c r="FQ24" s="501">
        <f t="shared" si="7"/>
        <v>51226</v>
      </c>
      <c r="FR24" s="501">
        <f t="shared" si="7"/>
        <v>51317</v>
      </c>
      <c r="FS24" s="501">
        <f t="shared" si="7"/>
        <v>51317</v>
      </c>
      <c r="FT24" s="501">
        <f t="shared" si="7"/>
        <v>51317</v>
      </c>
      <c r="FU24" s="501">
        <f t="shared" si="7"/>
        <v>51409</v>
      </c>
      <c r="FV24" s="501">
        <f t="shared" si="7"/>
        <v>51409</v>
      </c>
      <c r="FW24" s="501">
        <f t="shared" si="7"/>
        <v>51409</v>
      </c>
      <c r="FX24" s="501">
        <f t="shared" si="7"/>
        <v>51501</v>
      </c>
      <c r="FY24" s="501">
        <f t="shared" si="7"/>
        <v>51501</v>
      </c>
      <c r="FZ24" s="501">
        <f t="shared" si="7"/>
        <v>51501</v>
      </c>
      <c r="GA24" s="501">
        <f t="shared" si="7"/>
        <v>51591</v>
      </c>
      <c r="GB24" s="501">
        <f t="shared" si="7"/>
        <v>51591</v>
      </c>
      <c r="GC24" s="501">
        <f t="shared" si="7"/>
        <v>51591</v>
      </c>
      <c r="GD24" s="501">
        <f t="shared" si="7"/>
        <v>51682</v>
      </c>
      <c r="GE24" s="501">
        <f t="shared" si="7"/>
        <v>51682</v>
      </c>
      <c r="GF24" s="501">
        <f t="shared" si="7"/>
        <v>51682</v>
      </c>
      <c r="GG24" s="501">
        <f t="shared" si="7"/>
        <v>51774</v>
      </c>
      <c r="GH24" s="501">
        <f t="shared" si="7"/>
        <v>51774</v>
      </c>
      <c r="GI24" s="501">
        <f t="shared" si="7"/>
        <v>51774</v>
      </c>
      <c r="GJ24" s="501">
        <f t="shared" si="7"/>
        <v>51866</v>
      </c>
      <c r="GK24" s="501">
        <f t="shared" si="7"/>
        <v>51866</v>
      </c>
      <c r="GL24" s="501">
        <f t="shared" si="7"/>
        <v>51866</v>
      </c>
      <c r="GM24" s="501">
        <f t="shared" si="7"/>
        <v>51956</v>
      </c>
      <c r="GN24" s="501">
        <f t="shared" si="7"/>
        <v>51956</v>
      </c>
      <c r="GO24" s="501">
        <f t="shared" si="7"/>
        <v>51956</v>
      </c>
      <c r="GP24" s="501">
        <f t="shared" si="7"/>
        <v>52047</v>
      </c>
      <c r="GQ24" s="501">
        <f t="shared" ref="GQ24:JB24" si="8">EOMONTH(GN24,3)</f>
        <v>52047</v>
      </c>
      <c r="GR24" s="501">
        <f t="shared" si="8"/>
        <v>52047</v>
      </c>
      <c r="GS24" s="501">
        <f t="shared" si="8"/>
        <v>52139</v>
      </c>
      <c r="GT24" s="501">
        <f t="shared" si="8"/>
        <v>52139</v>
      </c>
      <c r="GU24" s="501">
        <f t="shared" si="8"/>
        <v>52139</v>
      </c>
      <c r="GV24" s="501">
        <f t="shared" si="8"/>
        <v>52231</v>
      </c>
      <c r="GW24" s="501">
        <f t="shared" si="8"/>
        <v>52231</v>
      </c>
      <c r="GX24" s="501">
        <f t="shared" si="8"/>
        <v>52231</v>
      </c>
      <c r="GY24" s="501">
        <f t="shared" si="8"/>
        <v>52321</v>
      </c>
      <c r="GZ24" s="501">
        <f t="shared" si="8"/>
        <v>52321</v>
      </c>
      <c r="HA24" s="501">
        <f t="shared" si="8"/>
        <v>52321</v>
      </c>
      <c r="HB24" s="501">
        <f t="shared" si="8"/>
        <v>52412</v>
      </c>
      <c r="HC24" s="501">
        <f t="shared" si="8"/>
        <v>52412</v>
      </c>
      <c r="HD24" s="501">
        <f t="shared" si="8"/>
        <v>52412</v>
      </c>
      <c r="HE24" s="501">
        <f t="shared" si="8"/>
        <v>52504</v>
      </c>
      <c r="HF24" s="501">
        <f t="shared" si="8"/>
        <v>52504</v>
      </c>
      <c r="HG24" s="501">
        <f t="shared" si="8"/>
        <v>52504</v>
      </c>
      <c r="HH24" s="501">
        <f t="shared" si="8"/>
        <v>52596</v>
      </c>
      <c r="HI24" s="501">
        <f t="shared" si="8"/>
        <v>52596</v>
      </c>
      <c r="HJ24" s="501">
        <f t="shared" si="8"/>
        <v>52596</v>
      </c>
      <c r="HK24" s="501">
        <f t="shared" si="8"/>
        <v>52687</v>
      </c>
      <c r="HL24" s="501">
        <f t="shared" si="8"/>
        <v>52687</v>
      </c>
      <c r="HM24" s="501">
        <f t="shared" si="8"/>
        <v>52687</v>
      </c>
      <c r="HN24" s="501">
        <f t="shared" si="8"/>
        <v>52778</v>
      </c>
      <c r="HO24" s="501">
        <f t="shared" si="8"/>
        <v>52778</v>
      </c>
      <c r="HP24" s="501">
        <f t="shared" si="8"/>
        <v>52778</v>
      </c>
      <c r="HQ24" s="501">
        <f t="shared" si="8"/>
        <v>52870</v>
      </c>
      <c r="HR24" s="501">
        <f t="shared" si="8"/>
        <v>52870</v>
      </c>
      <c r="HS24" s="501">
        <f t="shared" si="8"/>
        <v>52870</v>
      </c>
      <c r="HT24" s="501">
        <f t="shared" si="8"/>
        <v>52962</v>
      </c>
      <c r="HU24" s="501">
        <f t="shared" si="8"/>
        <v>52962</v>
      </c>
      <c r="HV24" s="501">
        <f t="shared" si="8"/>
        <v>52962</v>
      </c>
      <c r="HW24" s="501">
        <f t="shared" si="8"/>
        <v>53052</v>
      </c>
      <c r="HX24" s="501">
        <f t="shared" si="8"/>
        <v>53052</v>
      </c>
      <c r="HY24" s="501">
        <f t="shared" si="8"/>
        <v>53052</v>
      </c>
      <c r="HZ24" s="501">
        <f t="shared" si="8"/>
        <v>53143</v>
      </c>
      <c r="IA24" s="501">
        <f t="shared" si="8"/>
        <v>53143</v>
      </c>
      <c r="IB24" s="501">
        <f t="shared" si="8"/>
        <v>53143</v>
      </c>
      <c r="IC24" s="501">
        <f t="shared" si="8"/>
        <v>53235</v>
      </c>
      <c r="ID24" s="501">
        <f t="shared" si="8"/>
        <v>53235</v>
      </c>
      <c r="IE24" s="501">
        <f t="shared" si="8"/>
        <v>53235</v>
      </c>
      <c r="IF24" s="501">
        <f t="shared" si="8"/>
        <v>53327</v>
      </c>
      <c r="IG24" s="501">
        <f t="shared" si="8"/>
        <v>53327</v>
      </c>
      <c r="IH24" s="501">
        <f t="shared" si="8"/>
        <v>53327</v>
      </c>
      <c r="II24" s="501">
        <f t="shared" si="8"/>
        <v>53417</v>
      </c>
      <c r="IJ24" s="501">
        <f t="shared" si="8"/>
        <v>53417</v>
      </c>
      <c r="IK24" s="501">
        <f t="shared" si="8"/>
        <v>53417</v>
      </c>
      <c r="IL24" s="501">
        <f t="shared" si="8"/>
        <v>53508</v>
      </c>
      <c r="IM24" s="501">
        <f t="shared" si="8"/>
        <v>53508</v>
      </c>
      <c r="IN24" s="501">
        <f t="shared" si="8"/>
        <v>53508</v>
      </c>
      <c r="IO24" s="501">
        <f t="shared" si="8"/>
        <v>53600</v>
      </c>
      <c r="IP24" s="501">
        <f t="shared" si="8"/>
        <v>53600</v>
      </c>
      <c r="IQ24" s="501">
        <f t="shared" si="8"/>
        <v>53600</v>
      </c>
      <c r="IR24" s="501">
        <f t="shared" si="8"/>
        <v>53692</v>
      </c>
      <c r="IS24" s="501">
        <f t="shared" si="8"/>
        <v>53692</v>
      </c>
      <c r="IT24" s="501">
        <f t="shared" si="8"/>
        <v>53692</v>
      </c>
      <c r="IU24" s="501">
        <f t="shared" si="8"/>
        <v>53782</v>
      </c>
      <c r="IV24" s="501">
        <f t="shared" si="8"/>
        <v>53782</v>
      </c>
      <c r="IW24" s="501">
        <f t="shared" si="8"/>
        <v>53782</v>
      </c>
      <c r="IX24" s="501">
        <f t="shared" si="8"/>
        <v>53873</v>
      </c>
      <c r="IY24" s="501">
        <f t="shared" si="8"/>
        <v>53873</v>
      </c>
      <c r="IZ24" s="501">
        <f t="shared" si="8"/>
        <v>53873</v>
      </c>
      <c r="JA24" s="501">
        <f t="shared" si="8"/>
        <v>53965</v>
      </c>
      <c r="JB24" s="501">
        <f t="shared" si="8"/>
        <v>53965</v>
      </c>
      <c r="JC24" s="501">
        <f t="shared" ref="JC24:JI24" si="9">EOMONTH(IZ24,3)</f>
        <v>53965</v>
      </c>
      <c r="JD24" s="501">
        <f t="shared" si="9"/>
        <v>54057</v>
      </c>
      <c r="JE24" s="501">
        <f t="shared" si="9"/>
        <v>54057</v>
      </c>
      <c r="JF24" s="501">
        <f t="shared" si="9"/>
        <v>54057</v>
      </c>
      <c r="JG24" s="501">
        <f t="shared" si="9"/>
        <v>54148</v>
      </c>
      <c r="JH24" s="501">
        <f t="shared" si="9"/>
        <v>54148</v>
      </c>
      <c r="JI24" s="501">
        <f t="shared" si="9"/>
        <v>54148</v>
      </c>
      <c r="JJ24" s="246"/>
    </row>
    <row r="25" spans="2:272" x14ac:dyDescent="0.3">
      <c r="B25" s="169" t="str">
        <f>'LRD_Phase-wise'!B332</f>
        <v>Month end</v>
      </c>
      <c r="C25" s="501">
        <f>'LRD_Phase-wise'!C332</f>
        <v>46053</v>
      </c>
      <c r="D25" s="501">
        <f>'LRD_Phase-wise'!D332</f>
        <v>46081</v>
      </c>
      <c r="E25" s="501">
        <f>'LRD_Phase-wise'!E332</f>
        <v>46112</v>
      </c>
      <c r="F25" s="501">
        <f>'LRD_Phase-wise'!F332</f>
        <v>46142</v>
      </c>
      <c r="G25" s="501">
        <f>'LRD_Phase-wise'!G332</f>
        <v>46173</v>
      </c>
      <c r="H25" s="501">
        <f>'LRD_Phase-wise'!H332</f>
        <v>46203</v>
      </c>
      <c r="I25" s="501">
        <f>'LRD_Phase-wise'!I332</f>
        <v>46234</v>
      </c>
      <c r="J25" s="501">
        <f>'LRD_Phase-wise'!J332</f>
        <v>46265</v>
      </c>
      <c r="K25" s="501">
        <f>'LRD_Phase-wise'!K332</f>
        <v>46295</v>
      </c>
      <c r="L25" s="501">
        <f>'LRD_Phase-wise'!L332</f>
        <v>46326</v>
      </c>
      <c r="M25" s="501">
        <f>'LRD_Phase-wise'!M332</f>
        <v>46356</v>
      </c>
      <c r="N25" s="501">
        <f>'LRD_Phase-wise'!N332</f>
        <v>46387</v>
      </c>
      <c r="O25" s="501">
        <f>'LRD_Phase-wise'!O332</f>
        <v>46418</v>
      </c>
      <c r="P25" s="501">
        <f>'LRD_Phase-wise'!P332</f>
        <v>46446</v>
      </c>
      <c r="Q25" s="501">
        <f>'LRD_Phase-wise'!Q332</f>
        <v>46477</v>
      </c>
      <c r="R25" s="501">
        <f>'LRD_Phase-wise'!R332</f>
        <v>46507</v>
      </c>
      <c r="S25" s="501">
        <f>'LRD_Phase-wise'!S332</f>
        <v>46538</v>
      </c>
      <c r="T25" s="501">
        <f>'LRD_Phase-wise'!T332</f>
        <v>46568</v>
      </c>
      <c r="U25" s="501">
        <f>'LRD_Phase-wise'!U332</f>
        <v>46599</v>
      </c>
      <c r="V25" s="501">
        <f>'LRD_Phase-wise'!V332</f>
        <v>46630</v>
      </c>
      <c r="W25" s="501">
        <f>'LRD_Phase-wise'!W332</f>
        <v>46660</v>
      </c>
      <c r="X25" s="501">
        <f>'LRD_Phase-wise'!X332</f>
        <v>46691</v>
      </c>
      <c r="Y25" s="501">
        <f>'LRD_Phase-wise'!Y332</f>
        <v>46721</v>
      </c>
      <c r="Z25" s="501">
        <f>'LRD_Phase-wise'!Z332</f>
        <v>46752</v>
      </c>
      <c r="AA25" s="501">
        <f>'LRD_Phase-wise'!AA332</f>
        <v>46783</v>
      </c>
      <c r="AB25" s="501">
        <f>'LRD_Phase-wise'!AB332</f>
        <v>46812</v>
      </c>
      <c r="AC25" s="501">
        <f>'LRD_Phase-wise'!AC332</f>
        <v>46843</v>
      </c>
      <c r="AD25" s="501">
        <f>'LRD_Phase-wise'!AD332</f>
        <v>46873</v>
      </c>
      <c r="AE25" s="501">
        <f>'LRD_Phase-wise'!AE332</f>
        <v>46904</v>
      </c>
      <c r="AF25" s="501">
        <f>'LRD_Phase-wise'!AF332</f>
        <v>46934</v>
      </c>
      <c r="AG25" s="501">
        <f>'LRD_Phase-wise'!AG332</f>
        <v>46965</v>
      </c>
      <c r="AH25" s="501">
        <f>'LRD_Phase-wise'!AH332</f>
        <v>46996</v>
      </c>
      <c r="AI25" s="501">
        <f>'LRD_Phase-wise'!AI332</f>
        <v>47026</v>
      </c>
      <c r="AJ25" s="501">
        <f>'LRD_Phase-wise'!AJ332</f>
        <v>47057</v>
      </c>
      <c r="AK25" s="501">
        <f>'LRD_Phase-wise'!AK332</f>
        <v>47087</v>
      </c>
      <c r="AL25" s="501">
        <f>'LRD_Phase-wise'!AL332</f>
        <v>47118</v>
      </c>
      <c r="AM25" s="501">
        <f>'LRD_Phase-wise'!AM332</f>
        <v>47149</v>
      </c>
      <c r="AN25" s="501">
        <f>'LRD_Phase-wise'!AN332</f>
        <v>47177</v>
      </c>
      <c r="AO25" s="501">
        <f>'LRD_Phase-wise'!AO332</f>
        <v>47208</v>
      </c>
      <c r="AP25" s="501">
        <f>'LRD_Phase-wise'!AP332</f>
        <v>47238</v>
      </c>
      <c r="AQ25" s="501">
        <f>'LRD_Phase-wise'!AQ332</f>
        <v>47269</v>
      </c>
      <c r="AR25" s="501">
        <f>'LRD_Phase-wise'!AR332</f>
        <v>47299</v>
      </c>
      <c r="AS25" s="501">
        <f>'LRD_Phase-wise'!AS332</f>
        <v>47330</v>
      </c>
      <c r="AT25" s="501">
        <f>'LRD_Phase-wise'!AT332</f>
        <v>47361</v>
      </c>
      <c r="AU25" s="501">
        <f>'LRD_Phase-wise'!AU332</f>
        <v>47391</v>
      </c>
      <c r="AV25" s="501">
        <f>'LRD_Phase-wise'!AV332</f>
        <v>47422</v>
      </c>
      <c r="AW25" s="501">
        <f>'LRD_Phase-wise'!AW332</f>
        <v>47452</v>
      </c>
      <c r="AX25" s="501">
        <f>'LRD_Phase-wise'!AX332</f>
        <v>47483</v>
      </c>
      <c r="AY25" s="501">
        <f>'LRD_Phase-wise'!AY332</f>
        <v>47514</v>
      </c>
      <c r="AZ25" s="501">
        <f>'LRD_Phase-wise'!AZ332</f>
        <v>47542</v>
      </c>
      <c r="BA25" s="501">
        <f>'LRD_Phase-wise'!BA332</f>
        <v>47573</v>
      </c>
      <c r="BB25" s="501">
        <f>'LRD_Phase-wise'!BB332</f>
        <v>47603</v>
      </c>
      <c r="BC25" s="501">
        <f>'LRD_Phase-wise'!BC332</f>
        <v>47634</v>
      </c>
      <c r="BD25" s="501">
        <f>'LRD_Phase-wise'!BD332</f>
        <v>47664</v>
      </c>
      <c r="BE25" s="501">
        <f>'LRD_Phase-wise'!BE332</f>
        <v>47695</v>
      </c>
      <c r="BF25" s="501">
        <f>'LRD_Phase-wise'!BF332</f>
        <v>47726</v>
      </c>
      <c r="BG25" s="501">
        <f>'LRD_Phase-wise'!BG332</f>
        <v>47756</v>
      </c>
      <c r="BH25" s="501">
        <f>'LRD_Phase-wise'!BH332</f>
        <v>47787</v>
      </c>
      <c r="BI25" s="501">
        <f>'LRD_Phase-wise'!BI332</f>
        <v>47817</v>
      </c>
      <c r="BJ25" s="501">
        <f>'LRD_Phase-wise'!BJ332</f>
        <v>47848</v>
      </c>
      <c r="BK25" s="501">
        <f>'LRD_Phase-wise'!BK332</f>
        <v>47879</v>
      </c>
      <c r="BL25" s="501">
        <f>'LRD_Phase-wise'!BL332</f>
        <v>47907</v>
      </c>
      <c r="BM25" s="501">
        <f>'LRD_Phase-wise'!BM332</f>
        <v>47938</v>
      </c>
      <c r="BN25" s="501">
        <f>'LRD_Phase-wise'!BN332</f>
        <v>47968</v>
      </c>
      <c r="BO25" s="501">
        <f>'LRD_Phase-wise'!BO332</f>
        <v>47999</v>
      </c>
      <c r="BP25" s="501">
        <f>'LRD_Phase-wise'!BP332</f>
        <v>48029</v>
      </c>
      <c r="BQ25" s="501">
        <f>'LRD_Phase-wise'!BQ332</f>
        <v>48060</v>
      </c>
      <c r="BR25" s="501">
        <f>'LRD_Phase-wise'!BR332</f>
        <v>48091</v>
      </c>
      <c r="BS25" s="501">
        <f>'LRD_Phase-wise'!BS332</f>
        <v>48121</v>
      </c>
      <c r="BT25" s="501">
        <f>'LRD_Phase-wise'!BT332</f>
        <v>48152</v>
      </c>
      <c r="BU25" s="501">
        <f>'LRD_Phase-wise'!BU332</f>
        <v>48182</v>
      </c>
      <c r="BV25" s="501">
        <f>'LRD_Phase-wise'!BV332</f>
        <v>48213</v>
      </c>
      <c r="BW25" s="501">
        <f>'LRD_Phase-wise'!BW332</f>
        <v>48244</v>
      </c>
      <c r="BX25" s="501">
        <f>'LRD_Phase-wise'!BX332</f>
        <v>48273</v>
      </c>
      <c r="BY25" s="501">
        <f>'LRD_Phase-wise'!BY332</f>
        <v>48304</v>
      </c>
      <c r="BZ25" s="501">
        <f>'LRD_Phase-wise'!BZ332</f>
        <v>48334</v>
      </c>
      <c r="CA25" s="501">
        <f>'LRD_Phase-wise'!CA332</f>
        <v>48365</v>
      </c>
      <c r="CB25" s="501">
        <f>'LRD_Phase-wise'!CB332</f>
        <v>48395</v>
      </c>
      <c r="CC25" s="501">
        <f>'LRD_Phase-wise'!CC332</f>
        <v>48426</v>
      </c>
      <c r="CD25" s="501">
        <f>'LRD_Phase-wise'!CD332</f>
        <v>48457</v>
      </c>
      <c r="CE25" s="501">
        <f>'LRD_Phase-wise'!CE332</f>
        <v>48487</v>
      </c>
      <c r="CF25" s="501">
        <f>'LRD_Phase-wise'!CF332</f>
        <v>48518</v>
      </c>
      <c r="CG25" s="501">
        <f>'LRD_Phase-wise'!CG332</f>
        <v>48548</v>
      </c>
      <c r="CH25" s="501">
        <f>'LRD_Phase-wise'!CH332</f>
        <v>48579</v>
      </c>
      <c r="CI25" s="501">
        <f>'LRD_Phase-wise'!CI332</f>
        <v>48610</v>
      </c>
      <c r="CJ25" s="501">
        <f>'LRD_Phase-wise'!CJ332</f>
        <v>48638</v>
      </c>
      <c r="CK25" s="501">
        <f>'LRD_Phase-wise'!CK332</f>
        <v>48669</v>
      </c>
      <c r="CL25" s="501">
        <f>'LRD_Phase-wise'!CL332</f>
        <v>48699</v>
      </c>
      <c r="CM25" s="501">
        <f>'LRD_Phase-wise'!CM332</f>
        <v>48730</v>
      </c>
      <c r="CN25" s="501">
        <f>'LRD_Phase-wise'!CN332</f>
        <v>48760</v>
      </c>
      <c r="CO25" s="501">
        <f>'LRD_Phase-wise'!CO332</f>
        <v>48791</v>
      </c>
      <c r="CP25" s="501">
        <f>'LRD_Phase-wise'!CP332</f>
        <v>48822</v>
      </c>
      <c r="CQ25" s="501">
        <f>'LRD_Phase-wise'!CQ332</f>
        <v>48852</v>
      </c>
      <c r="CR25" s="501">
        <f>'LRD_Phase-wise'!CR332</f>
        <v>48883</v>
      </c>
      <c r="CS25" s="501">
        <f>'LRD_Phase-wise'!CS332</f>
        <v>48913</v>
      </c>
      <c r="CT25" s="501">
        <f>'LRD_Phase-wise'!CT332</f>
        <v>48944</v>
      </c>
      <c r="CU25" s="501">
        <f>'LRD_Phase-wise'!CU332</f>
        <v>48975</v>
      </c>
      <c r="CV25" s="501">
        <f>'LRD_Phase-wise'!CV332</f>
        <v>49003</v>
      </c>
      <c r="CW25" s="501">
        <f>'LRD_Phase-wise'!CW332</f>
        <v>49034</v>
      </c>
      <c r="CX25" s="501">
        <f>'LRD_Phase-wise'!CX332</f>
        <v>49064</v>
      </c>
      <c r="CY25" s="501">
        <f>'LRD_Phase-wise'!CY332</f>
        <v>49095</v>
      </c>
      <c r="CZ25" s="501">
        <f>'LRD_Phase-wise'!CZ332</f>
        <v>49125</v>
      </c>
      <c r="DA25" s="501">
        <f>'LRD_Phase-wise'!DA332</f>
        <v>49156</v>
      </c>
      <c r="DB25" s="501">
        <f>'LRD_Phase-wise'!DB332</f>
        <v>49187</v>
      </c>
      <c r="DC25" s="501">
        <f>'LRD_Phase-wise'!DC332</f>
        <v>49217</v>
      </c>
      <c r="DD25" s="501">
        <f>'LRD_Phase-wise'!DD332</f>
        <v>49248</v>
      </c>
      <c r="DE25" s="501">
        <f>'LRD_Phase-wise'!DE332</f>
        <v>49278</v>
      </c>
      <c r="DF25" s="501">
        <f>'LRD_Phase-wise'!DF332</f>
        <v>49309</v>
      </c>
      <c r="DG25" s="501">
        <f>'LRD_Phase-wise'!DG332</f>
        <v>49340</v>
      </c>
      <c r="DH25" s="501">
        <f>'LRD_Phase-wise'!DH332</f>
        <v>49368</v>
      </c>
      <c r="DI25" s="501">
        <f>'LRD_Phase-wise'!DI332</f>
        <v>49399</v>
      </c>
      <c r="DJ25" s="501">
        <f>'LRD_Phase-wise'!DJ332</f>
        <v>49429</v>
      </c>
      <c r="DK25" s="501">
        <f>'LRD_Phase-wise'!DK332</f>
        <v>49460</v>
      </c>
      <c r="DL25" s="501">
        <f>'LRD_Phase-wise'!DL332</f>
        <v>49490</v>
      </c>
      <c r="DM25" s="501">
        <f>'LRD_Phase-wise'!DM332</f>
        <v>49521</v>
      </c>
      <c r="DN25" s="501">
        <f>'LRD_Phase-wise'!DN332</f>
        <v>49552</v>
      </c>
      <c r="DO25" s="501">
        <f>'LRD_Phase-wise'!DO332</f>
        <v>49582</v>
      </c>
      <c r="DP25" s="501">
        <f>'LRD_Phase-wise'!DP332</f>
        <v>49613</v>
      </c>
      <c r="DQ25" s="501">
        <f>'LRD_Phase-wise'!DQ332</f>
        <v>49643</v>
      </c>
      <c r="DR25" s="501">
        <f>'LRD_Phase-wise'!DR332</f>
        <v>49674</v>
      </c>
      <c r="DS25" s="501">
        <f>'LRD_Phase-wise'!DS332</f>
        <v>49705</v>
      </c>
      <c r="DT25" s="501">
        <f>'LRD_Phase-wise'!DT332</f>
        <v>49734</v>
      </c>
      <c r="DU25" s="501">
        <f>'LRD_Phase-wise'!DU332</f>
        <v>49765</v>
      </c>
      <c r="DV25" s="501">
        <f>'LRD_Phase-wise'!DV332</f>
        <v>49795</v>
      </c>
      <c r="DW25" s="501">
        <f>'LRD_Phase-wise'!DW332</f>
        <v>49826</v>
      </c>
      <c r="DX25" s="501">
        <f>'LRD_Phase-wise'!DX332</f>
        <v>49856</v>
      </c>
      <c r="DY25" s="501">
        <f>'LRD_Phase-wise'!DY332</f>
        <v>49887</v>
      </c>
      <c r="DZ25" s="501">
        <f>'LRD_Phase-wise'!DZ332</f>
        <v>49918</v>
      </c>
      <c r="EA25" s="501">
        <f>'LRD_Phase-wise'!EA332</f>
        <v>49948</v>
      </c>
      <c r="EB25" s="501">
        <f>'LRD_Phase-wise'!EB332</f>
        <v>49979</v>
      </c>
      <c r="EC25" s="501">
        <f>'LRD_Phase-wise'!EC332</f>
        <v>50009</v>
      </c>
      <c r="ED25" s="501">
        <f>'LRD_Phase-wise'!ED332</f>
        <v>50040</v>
      </c>
      <c r="EE25" s="501">
        <f>'LRD_Phase-wise'!EE332</f>
        <v>50071</v>
      </c>
      <c r="EF25" s="501">
        <f>'LRD_Phase-wise'!EF332</f>
        <v>50099</v>
      </c>
      <c r="EG25" s="501">
        <f>'LRD_Phase-wise'!EG332</f>
        <v>50130</v>
      </c>
      <c r="EH25" s="501">
        <f>'LRD_Phase-wise'!EH332</f>
        <v>50160</v>
      </c>
      <c r="EI25" s="501">
        <f>'LRD_Phase-wise'!EI332</f>
        <v>50191</v>
      </c>
      <c r="EJ25" s="501">
        <f>'LRD_Phase-wise'!EJ332</f>
        <v>50221</v>
      </c>
      <c r="EK25" s="501">
        <f>'LRD_Phase-wise'!EK332</f>
        <v>50252</v>
      </c>
      <c r="EL25" s="501">
        <f>'LRD_Phase-wise'!EL332</f>
        <v>50283</v>
      </c>
      <c r="EM25" s="501">
        <f>'LRD_Phase-wise'!EM332</f>
        <v>50313</v>
      </c>
      <c r="EN25" s="501">
        <f>'LRD_Phase-wise'!EN332</f>
        <v>50344</v>
      </c>
      <c r="EO25" s="501">
        <f>'LRD_Phase-wise'!EO332</f>
        <v>50374</v>
      </c>
      <c r="EP25" s="501">
        <f>'LRD_Phase-wise'!EP332</f>
        <v>50405</v>
      </c>
      <c r="EQ25" s="501">
        <f>'LRD_Phase-wise'!EQ332</f>
        <v>50436</v>
      </c>
      <c r="ER25" s="501">
        <f>'LRD_Phase-wise'!ER332</f>
        <v>50464</v>
      </c>
      <c r="ES25" s="501">
        <f>'LRD_Phase-wise'!ES332</f>
        <v>50495</v>
      </c>
      <c r="ET25" s="501">
        <f>'LRD_Phase-wise'!ET332</f>
        <v>50525</v>
      </c>
      <c r="EU25" s="501">
        <f>'LRD_Phase-wise'!EU332</f>
        <v>50556</v>
      </c>
      <c r="EV25" s="501">
        <f>'LRD_Phase-wise'!EV332</f>
        <v>50586</v>
      </c>
      <c r="EW25" s="501">
        <f>'LRD_Phase-wise'!EW332</f>
        <v>50617</v>
      </c>
      <c r="EX25" s="501">
        <f>'LRD_Phase-wise'!EX332</f>
        <v>50648</v>
      </c>
      <c r="EY25" s="501">
        <f>'LRD_Phase-wise'!EY332</f>
        <v>50678</v>
      </c>
      <c r="EZ25" s="501">
        <f>'LRD_Phase-wise'!EZ332</f>
        <v>50709</v>
      </c>
      <c r="FA25" s="501">
        <f>'LRD_Phase-wise'!FA332</f>
        <v>50739</v>
      </c>
      <c r="FB25" s="501">
        <f>'LRD_Phase-wise'!FB332</f>
        <v>50770</v>
      </c>
      <c r="FC25" s="501">
        <f>'LRD_Phase-wise'!FC332</f>
        <v>50801</v>
      </c>
      <c r="FD25" s="501">
        <f>'LRD_Phase-wise'!FD332</f>
        <v>50829</v>
      </c>
      <c r="FE25" s="501">
        <f>'LRD_Phase-wise'!FE332</f>
        <v>50860</v>
      </c>
      <c r="FF25" s="501">
        <f>'LRD_Phase-wise'!FF332</f>
        <v>50890</v>
      </c>
      <c r="FG25" s="501">
        <f>'LRD_Phase-wise'!FG332</f>
        <v>50921</v>
      </c>
      <c r="FH25" s="501">
        <f>'LRD_Phase-wise'!FH332</f>
        <v>50951</v>
      </c>
      <c r="FI25" s="501">
        <f>'LRD_Phase-wise'!FI332</f>
        <v>50982</v>
      </c>
      <c r="FJ25" s="501">
        <f>'LRD_Phase-wise'!FJ332</f>
        <v>51013</v>
      </c>
      <c r="FK25" s="501">
        <f>'LRD_Phase-wise'!FK332</f>
        <v>51043</v>
      </c>
      <c r="FL25" s="501">
        <f>'LRD_Phase-wise'!FL332</f>
        <v>51074</v>
      </c>
      <c r="FM25" s="501">
        <f>'LRD_Phase-wise'!FM332</f>
        <v>51104</v>
      </c>
      <c r="FN25" s="501">
        <f>'LRD_Phase-wise'!FN332</f>
        <v>51135</v>
      </c>
      <c r="FO25" s="501">
        <f>'LRD_Phase-wise'!FO332</f>
        <v>51166</v>
      </c>
      <c r="FP25" s="501">
        <f>'LRD_Phase-wise'!FP332</f>
        <v>51195</v>
      </c>
      <c r="FQ25" s="501">
        <f>'LRD_Phase-wise'!FQ332</f>
        <v>51226</v>
      </c>
      <c r="FR25" s="501">
        <f>'LRD_Phase-wise'!FR332</f>
        <v>51256</v>
      </c>
      <c r="FS25" s="501">
        <f>'LRD_Phase-wise'!FS332</f>
        <v>51287</v>
      </c>
      <c r="FT25" s="501">
        <f>'LRD_Phase-wise'!FT332</f>
        <v>51317</v>
      </c>
      <c r="FU25" s="501">
        <f>'LRD_Phase-wise'!FU332</f>
        <v>51348</v>
      </c>
      <c r="FV25" s="501">
        <f>'LRD_Phase-wise'!FV332</f>
        <v>51379</v>
      </c>
      <c r="FW25" s="501">
        <f>'LRD_Phase-wise'!FW332</f>
        <v>51409</v>
      </c>
      <c r="FX25" s="501">
        <f>'LRD_Phase-wise'!FX332</f>
        <v>51440</v>
      </c>
      <c r="FY25" s="501">
        <f>'LRD_Phase-wise'!FY332</f>
        <v>51470</v>
      </c>
      <c r="FZ25" s="501">
        <f>'LRD_Phase-wise'!FZ332</f>
        <v>51501</v>
      </c>
      <c r="GA25" s="501">
        <f>'LRD_Phase-wise'!GA332</f>
        <v>51532</v>
      </c>
      <c r="GB25" s="501">
        <f>'LRD_Phase-wise'!GB332</f>
        <v>51560</v>
      </c>
      <c r="GC25" s="501">
        <f>'LRD_Phase-wise'!GC332</f>
        <v>51591</v>
      </c>
      <c r="GD25" s="501">
        <f>'LRD_Phase-wise'!GD332</f>
        <v>51621</v>
      </c>
      <c r="GE25" s="501">
        <f>'LRD_Phase-wise'!GE332</f>
        <v>51652</v>
      </c>
      <c r="GF25" s="501">
        <f>'LRD_Phase-wise'!GF332</f>
        <v>51682</v>
      </c>
      <c r="GG25" s="501">
        <f>'LRD_Phase-wise'!GG332</f>
        <v>51713</v>
      </c>
      <c r="GH25" s="501">
        <f>'LRD_Phase-wise'!GH332</f>
        <v>51744</v>
      </c>
      <c r="GI25" s="501">
        <f>'LRD_Phase-wise'!GI332</f>
        <v>51774</v>
      </c>
      <c r="GJ25" s="501">
        <f>'LRD_Phase-wise'!GJ332</f>
        <v>51805</v>
      </c>
      <c r="GK25" s="501">
        <f>'LRD_Phase-wise'!GK332</f>
        <v>51835</v>
      </c>
      <c r="GL25" s="501">
        <f>'LRD_Phase-wise'!GL332</f>
        <v>51866</v>
      </c>
      <c r="GM25" s="501">
        <f>'LRD_Phase-wise'!GM332</f>
        <v>51897</v>
      </c>
      <c r="GN25" s="501">
        <f>'LRD_Phase-wise'!GN332</f>
        <v>51925</v>
      </c>
      <c r="GO25" s="501">
        <f>'LRD_Phase-wise'!GO332</f>
        <v>51956</v>
      </c>
      <c r="GP25" s="501">
        <f>'LRD_Phase-wise'!GP332</f>
        <v>51986</v>
      </c>
      <c r="GQ25" s="501">
        <f>'LRD_Phase-wise'!GQ332</f>
        <v>52017</v>
      </c>
      <c r="GR25" s="501">
        <f>'LRD_Phase-wise'!GR332</f>
        <v>52047</v>
      </c>
      <c r="GS25" s="501">
        <f>'LRD_Phase-wise'!GS332</f>
        <v>52078</v>
      </c>
      <c r="GT25" s="501">
        <f>'LRD_Phase-wise'!GT332</f>
        <v>52109</v>
      </c>
      <c r="GU25" s="501">
        <f>'LRD_Phase-wise'!GU332</f>
        <v>52139</v>
      </c>
      <c r="GV25" s="501">
        <f>'LRD_Phase-wise'!GV332</f>
        <v>52170</v>
      </c>
      <c r="GW25" s="501">
        <f>'LRD_Phase-wise'!GW332</f>
        <v>52200</v>
      </c>
      <c r="GX25" s="501">
        <f>'LRD_Phase-wise'!GX332</f>
        <v>52231</v>
      </c>
      <c r="GY25" s="501">
        <f>'LRD_Phase-wise'!GY332</f>
        <v>52262</v>
      </c>
      <c r="GZ25" s="501">
        <f>'LRD_Phase-wise'!GZ332</f>
        <v>52290</v>
      </c>
      <c r="HA25" s="501">
        <f>'LRD_Phase-wise'!HA332</f>
        <v>52321</v>
      </c>
      <c r="HB25" s="501">
        <f>'LRD_Phase-wise'!HB332</f>
        <v>52351</v>
      </c>
      <c r="HC25" s="501">
        <f>'LRD_Phase-wise'!HC332</f>
        <v>52382</v>
      </c>
      <c r="HD25" s="501">
        <f>'LRD_Phase-wise'!HD332</f>
        <v>52412</v>
      </c>
      <c r="HE25" s="501">
        <f>'LRD_Phase-wise'!HE332</f>
        <v>52443</v>
      </c>
      <c r="HF25" s="501">
        <f>'LRD_Phase-wise'!HF332</f>
        <v>52474</v>
      </c>
      <c r="HG25" s="501">
        <f>'LRD_Phase-wise'!HG332</f>
        <v>52504</v>
      </c>
      <c r="HH25" s="501">
        <f>'LRD_Phase-wise'!HH332</f>
        <v>52535</v>
      </c>
      <c r="HI25" s="501">
        <f>'LRD_Phase-wise'!HI332</f>
        <v>52565</v>
      </c>
      <c r="HJ25" s="501">
        <f>'LRD_Phase-wise'!HJ332</f>
        <v>52596</v>
      </c>
      <c r="HK25" s="501">
        <f>'LRD_Phase-wise'!HK332</f>
        <v>52627</v>
      </c>
      <c r="HL25" s="501">
        <f>'LRD_Phase-wise'!HL332</f>
        <v>52656</v>
      </c>
      <c r="HM25" s="501">
        <f>'LRD_Phase-wise'!HM332</f>
        <v>52687</v>
      </c>
      <c r="HN25" s="501">
        <f>'LRD_Phase-wise'!HN332</f>
        <v>52717</v>
      </c>
      <c r="HO25" s="501">
        <f>'LRD_Phase-wise'!HO332</f>
        <v>52748</v>
      </c>
      <c r="HP25" s="501">
        <f>'LRD_Phase-wise'!HP332</f>
        <v>52778</v>
      </c>
      <c r="HQ25" s="501">
        <f>'LRD_Phase-wise'!HQ332</f>
        <v>52809</v>
      </c>
      <c r="HR25" s="501">
        <f>'LRD_Phase-wise'!HR332</f>
        <v>52840</v>
      </c>
      <c r="HS25" s="501">
        <f>'LRD_Phase-wise'!HS332</f>
        <v>52870</v>
      </c>
      <c r="HT25" s="501">
        <f>'LRD_Phase-wise'!HT332</f>
        <v>52901</v>
      </c>
      <c r="HU25" s="501">
        <f>'LRD_Phase-wise'!HU332</f>
        <v>52931</v>
      </c>
      <c r="HV25" s="501">
        <f>'LRD_Phase-wise'!HV332</f>
        <v>52962</v>
      </c>
      <c r="HW25" s="501">
        <f>'LRD_Phase-wise'!HW332</f>
        <v>52993</v>
      </c>
      <c r="HX25" s="501">
        <f>'LRD_Phase-wise'!HX332</f>
        <v>53021</v>
      </c>
      <c r="HY25" s="501">
        <f>'LRD_Phase-wise'!HY332</f>
        <v>53052</v>
      </c>
      <c r="HZ25" s="501">
        <f>'LRD_Phase-wise'!HZ332</f>
        <v>53082</v>
      </c>
      <c r="IA25" s="501">
        <f>'LRD_Phase-wise'!IA332</f>
        <v>53113</v>
      </c>
      <c r="IB25" s="501">
        <f>'LRD_Phase-wise'!IB332</f>
        <v>53143</v>
      </c>
      <c r="IC25" s="501">
        <f>'LRD_Phase-wise'!IC332</f>
        <v>53174</v>
      </c>
      <c r="ID25" s="501">
        <f>'LRD_Phase-wise'!ID332</f>
        <v>53205</v>
      </c>
      <c r="IE25" s="501">
        <f>'LRD_Phase-wise'!IE332</f>
        <v>53235</v>
      </c>
      <c r="IF25" s="501">
        <f>'LRD_Phase-wise'!IF332</f>
        <v>53266</v>
      </c>
      <c r="IG25" s="501">
        <f>'LRD_Phase-wise'!IG332</f>
        <v>53296</v>
      </c>
      <c r="IH25" s="501">
        <f>'LRD_Phase-wise'!IH332</f>
        <v>53327</v>
      </c>
      <c r="II25" s="501">
        <f>'LRD_Phase-wise'!II332</f>
        <v>53358</v>
      </c>
      <c r="IJ25" s="501">
        <f>'LRD_Phase-wise'!IJ332</f>
        <v>53386</v>
      </c>
      <c r="IK25" s="501">
        <f>'LRD_Phase-wise'!IK332</f>
        <v>53417</v>
      </c>
      <c r="IL25" s="501">
        <f>'LRD_Phase-wise'!IL332</f>
        <v>53447</v>
      </c>
      <c r="IM25" s="501">
        <f>'LRD_Phase-wise'!IM332</f>
        <v>53478</v>
      </c>
      <c r="IN25" s="501">
        <f>'LRD_Phase-wise'!IN332</f>
        <v>53508</v>
      </c>
      <c r="IO25" s="501">
        <f>'LRD_Phase-wise'!IO332</f>
        <v>53539</v>
      </c>
      <c r="IP25" s="501">
        <f>'LRD_Phase-wise'!IP332</f>
        <v>53570</v>
      </c>
      <c r="IQ25" s="501">
        <f>'LRD_Phase-wise'!IQ332</f>
        <v>53600</v>
      </c>
      <c r="IR25" s="501">
        <f>'LRD_Phase-wise'!IR332</f>
        <v>53631</v>
      </c>
      <c r="IS25" s="501">
        <f>'LRD_Phase-wise'!IS332</f>
        <v>53661</v>
      </c>
      <c r="IT25" s="501">
        <f>'LRD_Phase-wise'!IT332</f>
        <v>53692</v>
      </c>
      <c r="IU25" s="501">
        <f>'LRD_Phase-wise'!IU332</f>
        <v>53723</v>
      </c>
      <c r="IV25" s="501">
        <f>'LRD_Phase-wise'!IV332</f>
        <v>53751</v>
      </c>
      <c r="IW25" s="501">
        <f>'LRD_Phase-wise'!IW332</f>
        <v>53782</v>
      </c>
      <c r="IX25" s="501">
        <f>'LRD_Phase-wise'!IX332</f>
        <v>53812</v>
      </c>
      <c r="IY25" s="501">
        <f>'LRD_Phase-wise'!IY332</f>
        <v>53843</v>
      </c>
      <c r="IZ25" s="501">
        <f>'LRD_Phase-wise'!IZ332</f>
        <v>53873</v>
      </c>
      <c r="JA25" s="501">
        <f>'LRD_Phase-wise'!JA332</f>
        <v>53904</v>
      </c>
      <c r="JB25" s="501">
        <f>'LRD_Phase-wise'!JB332</f>
        <v>53935</v>
      </c>
      <c r="JC25" s="501">
        <f>'LRD_Phase-wise'!JC332</f>
        <v>53965</v>
      </c>
      <c r="JD25" s="501">
        <f>'LRD_Phase-wise'!JD332</f>
        <v>53996</v>
      </c>
      <c r="JE25" s="501">
        <f>'LRD_Phase-wise'!JE332</f>
        <v>54026</v>
      </c>
      <c r="JF25" s="501">
        <f>'LRD_Phase-wise'!JF332</f>
        <v>54057</v>
      </c>
      <c r="JG25" s="501">
        <f>'LRD_Phase-wise'!JG332</f>
        <v>54088</v>
      </c>
      <c r="JH25" s="501">
        <f>'LRD_Phase-wise'!JH332</f>
        <v>54117</v>
      </c>
      <c r="JI25" s="501">
        <f>'LRD_Phase-wise'!JI332</f>
        <v>54148</v>
      </c>
      <c r="JJ25" s="502"/>
    </row>
    <row r="26" spans="2:272" x14ac:dyDescent="0.3">
      <c r="B26" s="292" t="str">
        <f>'LRD_Phase-wise'!B333</f>
        <v>Particulars</v>
      </c>
      <c r="C26" s="503">
        <f>C25</f>
        <v>46053</v>
      </c>
      <c r="D26" s="503">
        <f t="shared" ref="D26:BO26" si="10">D25</f>
        <v>46081</v>
      </c>
      <c r="E26" s="503">
        <f t="shared" si="10"/>
        <v>46112</v>
      </c>
      <c r="F26" s="503">
        <f t="shared" si="10"/>
        <v>46142</v>
      </c>
      <c r="G26" s="503">
        <f t="shared" si="10"/>
        <v>46173</v>
      </c>
      <c r="H26" s="503">
        <f t="shared" si="10"/>
        <v>46203</v>
      </c>
      <c r="I26" s="503">
        <f t="shared" si="10"/>
        <v>46234</v>
      </c>
      <c r="J26" s="503">
        <f t="shared" si="10"/>
        <v>46265</v>
      </c>
      <c r="K26" s="503">
        <f t="shared" si="10"/>
        <v>46295</v>
      </c>
      <c r="L26" s="503">
        <f t="shared" si="10"/>
        <v>46326</v>
      </c>
      <c r="M26" s="503">
        <f t="shared" si="10"/>
        <v>46356</v>
      </c>
      <c r="N26" s="503">
        <f t="shared" si="10"/>
        <v>46387</v>
      </c>
      <c r="O26" s="503">
        <f t="shared" si="10"/>
        <v>46418</v>
      </c>
      <c r="P26" s="503">
        <f t="shared" si="10"/>
        <v>46446</v>
      </c>
      <c r="Q26" s="503">
        <f t="shared" si="10"/>
        <v>46477</v>
      </c>
      <c r="R26" s="503">
        <f t="shared" si="10"/>
        <v>46507</v>
      </c>
      <c r="S26" s="503">
        <f t="shared" si="10"/>
        <v>46538</v>
      </c>
      <c r="T26" s="503">
        <f t="shared" si="10"/>
        <v>46568</v>
      </c>
      <c r="U26" s="503">
        <f t="shared" si="10"/>
        <v>46599</v>
      </c>
      <c r="V26" s="503">
        <f t="shared" si="10"/>
        <v>46630</v>
      </c>
      <c r="W26" s="503">
        <f t="shared" si="10"/>
        <v>46660</v>
      </c>
      <c r="X26" s="503">
        <f t="shared" si="10"/>
        <v>46691</v>
      </c>
      <c r="Y26" s="503">
        <f t="shared" si="10"/>
        <v>46721</v>
      </c>
      <c r="Z26" s="503">
        <f t="shared" si="10"/>
        <v>46752</v>
      </c>
      <c r="AA26" s="503">
        <f t="shared" si="10"/>
        <v>46783</v>
      </c>
      <c r="AB26" s="503">
        <f t="shared" si="10"/>
        <v>46812</v>
      </c>
      <c r="AC26" s="503">
        <f t="shared" si="10"/>
        <v>46843</v>
      </c>
      <c r="AD26" s="503">
        <f t="shared" si="10"/>
        <v>46873</v>
      </c>
      <c r="AE26" s="503">
        <f t="shared" si="10"/>
        <v>46904</v>
      </c>
      <c r="AF26" s="503">
        <f t="shared" si="10"/>
        <v>46934</v>
      </c>
      <c r="AG26" s="503">
        <f t="shared" si="10"/>
        <v>46965</v>
      </c>
      <c r="AH26" s="503">
        <f t="shared" si="10"/>
        <v>46996</v>
      </c>
      <c r="AI26" s="503">
        <f t="shared" si="10"/>
        <v>47026</v>
      </c>
      <c r="AJ26" s="503">
        <f t="shared" si="10"/>
        <v>47057</v>
      </c>
      <c r="AK26" s="503">
        <f t="shared" si="10"/>
        <v>47087</v>
      </c>
      <c r="AL26" s="503">
        <f t="shared" si="10"/>
        <v>47118</v>
      </c>
      <c r="AM26" s="503">
        <f t="shared" si="10"/>
        <v>47149</v>
      </c>
      <c r="AN26" s="503">
        <f t="shared" si="10"/>
        <v>47177</v>
      </c>
      <c r="AO26" s="503">
        <f t="shared" si="10"/>
        <v>47208</v>
      </c>
      <c r="AP26" s="503">
        <f t="shared" si="10"/>
        <v>47238</v>
      </c>
      <c r="AQ26" s="503">
        <f t="shared" si="10"/>
        <v>47269</v>
      </c>
      <c r="AR26" s="503">
        <f t="shared" si="10"/>
        <v>47299</v>
      </c>
      <c r="AS26" s="503">
        <f t="shared" si="10"/>
        <v>47330</v>
      </c>
      <c r="AT26" s="503">
        <f t="shared" si="10"/>
        <v>47361</v>
      </c>
      <c r="AU26" s="503">
        <f t="shared" si="10"/>
        <v>47391</v>
      </c>
      <c r="AV26" s="503">
        <f t="shared" si="10"/>
        <v>47422</v>
      </c>
      <c r="AW26" s="503">
        <f t="shared" si="10"/>
        <v>47452</v>
      </c>
      <c r="AX26" s="503">
        <f t="shared" si="10"/>
        <v>47483</v>
      </c>
      <c r="AY26" s="503">
        <f t="shared" si="10"/>
        <v>47514</v>
      </c>
      <c r="AZ26" s="503">
        <f t="shared" si="10"/>
        <v>47542</v>
      </c>
      <c r="BA26" s="503">
        <f t="shared" si="10"/>
        <v>47573</v>
      </c>
      <c r="BB26" s="503">
        <f t="shared" si="10"/>
        <v>47603</v>
      </c>
      <c r="BC26" s="503">
        <f t="shared" si="10"/>
        <v>47634</v>
      </c>
      <c r="BD26" s="503">
        <f t="shared" si="10"/>
        <v>47664</v>
      </c>
      <c r="BE26" s="503">
        <f t="shared" si="10"/>
        <v>47695</v>
      </c>
      <c r="BF26" s="503">
        <f t="shared" si="10"/>
        <v>47726</v>
      </c>
      <c r="BG26" s="503">
        <f t="shared" si="10"/>
        <v>47756</v>
      </c>
      <c r="BH26" s="503">
        <f t="shared" si="10"/>
        <v>47787</v>
      </c>
      <c r="BI26" s="503">
        <f t="shared" si="10"/>
        <v>47817</v>
      </c>
      <c r="BJ26" s="503">
        <f t="shared" si="10"/>
        <v>47848</v>
      </c>
      <c r="BK26" s="503">
        <f t="shared" si="10"/>
        <v>47879</v>
      </c>
      <c r="BL26" s="503">
        <f t="shared" si="10"/>
        <v>47907</v>
      </c>
      <c r="BM26" s="503">
        <f t="shared" si="10"/>
        <v>47938</v>
      </c>
      <c r="BN26" s="503">
        <f t="shared" si="10"/>
        <v>47968</v>
      </c>
      <c r="BO26" s="503">
        <f t="shared" si="10"/>
        <v>47999</v>
      </c>
      <c r="BP26" s="503">
        <f t="shared" ref="BP26:EA26" si="11">BP25</f>
        <v>48029</v>
      </c>
      <c r="BQ26" s="503">
        <f t="shared" si="11"/>
        <v>48060</v>
      </c>
      <c r="BR26" s="503">
        <f t="shared" si="11"/>
        <v>48091</v>
      </c>
      <c r="BS26" s="503">
        <f t="shared" si="11"/>
        <v>48121</v>
      </c>
      <c r="BT26" s="503">
        <f t="shared" si="11"/>
        <v>48152</v>
      </c>
      <c r="BU26" s="503">
        <f t="shared" si="11"/>
        <v>48182</v>
      </c>
      <c r="BV26" s="503">
        <f t="shared" si="11"/>
        <v>48213</v>
      </c>
      <c r="BW26" s="503">
        <f t="shared" si="11"/>
        <v>48244</v>
      </c>
      <c r="BX26" s="503">
        <f t="shared" si="11"/>
        <v>48273</v>
      </c>
      <c r="BY26" s="503">
        <f t="shared" si="11"/>
        <v>48304</v>
      </c>
      <c r="BZ26" s="503">
        <f t="shared" si="11"/>
        <v>48334</v>
      </c>
      <c r="CA26" s="503">
        <f t="shared" si="11"/>
        <v>48365</v>
      </c>
      <c r="CB26" s="503">
        <f t="shared" si="11"/>
        <v>48395</v>
      </c>
      <c r="CC26" s="503">
        <f t="shared" si="11"/>
        <v>48426</v>
      </c>
      <c r="CD26" s="503">
        <f t="shared" si="11"/>
        <v>48457</v>
      </c>
      <c r="CE26" s="503">
        <f t="shared" si="11"/>
        <v>48487</v>
      </c>
      <c r="CF26" s="503">
        <f t="shared" si="11"/>
        <v>48518</v>
      </c>
      <c r="CG26" s="503">
        <f t="shared" si="11"/>
        <v>48548</v>
      </c>
      <c r="CH26" s="503">
        <f t="shared" si="11"/>
        <v>48579</v>
      </c>
      <c r="CI26" s="503">
        <f t="shared" si="11"/>
        <v>48610</v>
      </c>
      <c r="CJ26" s="503">
        <f t="shared" si="11"/>
        <v>48638</v>
      </c>
      <c r="CK26" s="503">
        <f t="shared" si="11"/>
        <v>48669</v>
      </c>
      <c r="CL26" s="503">
        <f t="shared" si="11"/>
        <v>48699</v>
      </c>
      <c r="CM26" s="503">
        <f t="shared" si="11"/>
        <v>48730</v>
      </c>
      <c r="CN26" s="503">
        <f t="shared" si="11"/>
        <v>48760</v>
      </c>
      <c r="CO26" s="503">
        <f t="shared" si="11"/>
        <v>48791</v>
      </c>
      <c r="CP26" s="503">
        <f t="shared" si="11"/>
        <v>48822</v>
      </c>
      <c r="CQ26" s="503">
        <f t="shared" si="11"/>
        <v>48852</v>
      </c>
      <c r="CR26" s="503">
        <f t="shared" si="11"/>
        <v>48883</v>
      </c>
      <c r="CS26" s="503">
        <f t="shared" si="11"/>
        <v>48913</v>
      </c>
      <c r="CT26" s="503">
        <f t="shared" si="11"/>
        <v>48944</v>
      </c>
      <c r="CU26" s="503">
        <f t="shared" si="11"/>
        <v>48975</v>
      </c>
      <c r="CV26" s="503">
        <f t="shared" si="11"/>
        <v>49003</v>
      </c>
      <c r="CW26" s="503">
        <f t="shared" si="11"/>
        <v>49034</v>
      </c>
      <c r="CX26" s="503">
        <f t="shared" si="11"/>
        <v>49064</v>
      </c>
      <c r="CY26" s="503">
        <f t="shared" si="11"/>
        <v>49095</v>
      </c>
      <c r="CZ26" s="503">
        <f t="shared" si="11"/>
        <v>49125</v>
      </c>
      <c r="DA26" s="503">
        <f t="shared" si="11"/>
        <v>49156</v>
      </c>
      <c r="DB26" s="503">
        <f t="shared" si="11"/>
        <v>49187</v>
      </c>
      <c r="DC26" s="503">
        <f t="shared" si="11"/>
        <v>49217</v>
      </c>
      <c r="DD26" s="503">
        <f t="shared" si="11"/>
        <v>49248</v>
      </c>
      <c r="DE26" s="503">
        <f t="shared" si="11"/>
        <v>49278</v>
      </c>
      <c r="DF26" s="503">
        <f t="shared" si="11"/>
        <v>49309</v>
      </c>
      <c r="DG26" s="503">
        <f t="shared" si="11"/>
        <v>49340</v>
      </c>
      <c r="DH26" s="503">
        <f t="shared" si="11"/>
        <v>49368</v>
      </c>
      <c r="DI26" s="503">
        <f t="shared" si="11"/>
        <v>49399</v>
      </c>
      <c r="DJ26" s="503">
        <f t="shared" si="11"/>
        <v>49429</v>
      </c>
      <c r="DK26" s="503">
        <f t="shared" si="11"/>
        <v>49460</v>
      </c>
      <c r="DL26" s="503">
        <f t="shared" si="11"/>
        <v>49490</v>
      </c>
      <c r="DM26" s="503">
        <f t="shared" si="11"/>
        <v>49521</v>
      </c>
      <c r="DN26" s="503">
        <f t="shared" si="11"/>
        <v>49552</v>
      </c>
      <c r="DO26" s="503">
        <f t="shared" si="11"/>
        <v>49582</v>
      </c>
      <c r="DP26" s="503">
        <f t="shared" si="11"/>
        <v>49613</v>
      </c>
      <c r="DQ26" s="503">
        <f t="shared" si="11"/>
        <v>49643</v>
      </c>
      <c r="DR26" s="503">
        <f t="shared" si="11"/>
        <v>49674</v>
      </c>
      <c r="DS26" s="503">
        <f t="shared" si="11"/>
        <v>49705</v>
      </c>
      <c r="DT26" s="503">
        <f t="shared" si="11"/>
        <v>49734</v>
      </c>
      <c r="DU26" s="503">
        <f t="shared" si="11"/>
        <v>49765</v>
      </c>
      <c r="DV26" s="503">
        <f t="shared" si="11"/>
        <v>49795</v>
      </c>
      <c r="DW26" s="503">
        <f t="shared" si="11"/>
        <v>49826</v>
      </c>
      <c r="DX26" s="503">
        <f t="shared" si="11"/>
        <v>49856</v>
      </c>
      <c r="DY26" s="503">
        <f t="shared" si="11"/>
        <v>49887</v>
      </c>
      <c r="DZ26" s="503">
        <f t="shared" si="11"/>
        <v>49918</v>
      </c>
      <c r="EA26" s="503">
        <f t="shared" si="11"/>
        <v>49948</v>
      </c>
      <c r="EB26" s="503">
        <f t="shared" ref="EB26:GM26" si="12">EB25</f>
        <v>49979</v>
      </c>
      <c r="EC26" s="503">
        <f t="shared" si="12"/>
        <v>50009</v>
      </c>
      <c r="ED26" s="503">
        <f t="shared" si="12"/>
        <v>50040</v>
      </c>
      <c r="EE26" s="503">
        <f t="shared" si="12"/>
        <v>50071</v>
      </c>
      <c r="EF26" s="503">
        <f t="shared" si="12"/>
        <v>50099</v>
      </c>
      <c r="EG26" s="503">
        <f t="shared" si="12"/>
        <v>50130</v>
      </c>
      <c r="EH26" s="503">
        <f t="shared" si="12"/>
        <v>50160</v>
      </c>
      <c r="EI26" s="503">
        <f t="shared" si="12"/>
        <v>50191</v>
      </c>
      <c r="EJ26" s="503">
        <f t="shared" si="12"/>
        <v>50221</v>
      </c>
      <c r="EK26" s="503">
        <f t="shared" si="12"/>
        <v>50252</v>
      </c>
      <c r="EL26" s="503">
        <f t="shared" si="12"/>
        <v>50283</v>
      </c>
      <c r="EM26" s="503">
        <f t="shared" si="12"/>
        <v>50313</v>
      </c>
      <c r="EN26" s="503">
        <f t="shared" si="12"/>
        <v>50344</v>
      </c>
      <c r="EO26" s="503">
        <f t="shared" si="12"/>
        <v>50374</v>
      </c>
      <c r="EP26" s="503">
        <f t="shared" si="12"/>
        <v>50405</v>
      </c>
      <c r="EQ26" s="503">
        <f t="shared" si="12"/>
        <v>50436</v>
      </c>
      <c r="ER26" s="503">
        <f t="shared" si="12"/>
        <v>50464</v>
      </c>
      <c r="ES26" s="503">
        <f t="shared" si="12"/>
        <v>50495</v>
      </c>
      <c r="ET26" s="503">
        <f t="shared" si="12"/>
        <v>50525</v>
      </c>
      <c r="EU26" s="503">
        <f t="shared" si="12"/>
        <v>50556</v>
      </c>
      <c r="EV26" s="503">
        <f t="shared" si="12"/>
        <v>50586</v>
      </c>
      <c r="EW26" s="503">
        <f t="shared" si="12"/>
        <v>50617</v>
      </c>
      <c r="EX26" s="503">
        <f t="shared" si="12"/>
        <v>50648</v>
      </c>
      <c r="EY26" s="503">
        <f t="shared" si="12"/>
        <v>50678</v>
      </c>
      <c r="EZ26" s="503">
        <f t="shared" si="12"/>
        <v>50709</v>
      </c>
      <c r="FA26" s="503">
        <f t="shared" si="12"/>
        <v>50739</v>
      </c>
      <c r="FB26" s="503">
        <f t="shared" si="12"/>
        <v>50770</v>
      </c>
      <c r="FC26" s="503">
        <f t="shared" si="12"/>
        <v>50801</v>
      </c>
      <c r="FD26" s="503">
        <f t="shared" si="12"/>
        <v>50829</v>
      </c>
      <c r="FE26" s="503">
        <f t="shared" si="12"/>
        <v>50860</v>
      </c>
      <c r="FF26" s="503">
        <f t="shared" si="12"/>
        <v>50890</v>
      </c>
      <c r="FG26" s="503">
        <f t="shared" si="12"/>
        <v>50921</v>
      </c>
      <c r="FH26" s="503">
        <f t="shared" si="12"/>
        <v>50951</v>
      </c>
      <c r="FI26" s="503">
        <f t="shared" si="12"/>
        <v>50982</v>
      </c>
      <c r="FJ26" s="503">
        <f t="shared" si="12"/>
        <v>51013</v>
      </c>
      <c r="FK26" s="503">
        <f t="shared" si="12"/>
        <v>51043</v>
      </c>
      <c r="FL26" s="503">
        <f t="shared" si="12"/>
        <v>51074</v>
      </c>
      <c r="FM26" s="503">
        <f t="shared" si="12"/>
        <v>51104</v>
      </c>
      <c r="FN26" s="503">
        <f t="shared" si="12"/>
        <v>51135</v>
      </c>
      <c r="FO26" s="503">
        <f t="shared" si="12"/>
        <v>51166</v>
      </c>
      <c r="FP26" s="503">
        <f t="shared" si="12"/>
        <v>51195</v>
      </c>
      <c r="FQ26" s="503">
        <f t="shared" si="12"/>
        <v>51226</v>
      </c>
      <c r="FR26" s="503">
        <f t="shared" si="12"/>
        <v>51256</v>
      </c>
      <c r="FS26" s="503">
        <f t="shared" si="12"/>
        <v>51287</v>
      </c>
      <c r="FT26" s="503">
        <f t="shared" si="12"/>
        <v>51317</v>
      </c>
      <c r="FU26" s="503">
        <f t="shared" si="12"/>
        <v>51348</v>
      </c>
      <c r="FV26" s="503">
        <f t="shared" si="12"/>
        <v>51379</v>
      </c>
      <c r="FW26" s="503">
        <f t="shared" si="12"/>
        <v>51409</v>
      </c>
      <c r="FX26" s="503">
        <f t="shared" si="12"/>
        <v>51440</v>
      </c>
      <c r="FY26" s="503">
        <f t="shared" si="12"/>
        <v>51470</v>
      </c>
      <c r="FZ26" s="503">
        <f t="shared" si="12"/>
        <v>51501</v>
      </c>
      <c r="GA26" s="503">
        <f t="shared" si="12"/>
        <v>51532</v>
      </c>
      <c r="GB26" s="503">
        <f t="shared" si="12"/>
        <v>51560</v>
      </c>
      <c r="GC26" s="503">
        <f t="shared" si="12"/>
        <v>51591</v>
      </c>
      <c r="GD26" s="503">
        <f t="shared" si="12"/>
        <v>51621</v>
      </c>
      <c r="GE26" s="503">
        <f t="shared" si="12"/>
        <v>51652</v>
      </c>
      <c r="GF26" s="503">
        <f t="shared" si="12"/>
        <v>51682</v>
      </c>
      <c r="GG26" s="503">
        <f t="shared" si="12"/>
        <v>51713</v>
      </c>
      <c r="GH26" s="503">
        <f t="shared" si="12"/>
        <v>51744</v>
      </c>
      <c r="GI26" s="503">
        <f t="shared" si="12"/>
        <v>51774</v>
      </c>
      <c r="GJ26" s="503">
        <f t="shared" si="12"/>
        <v>51805</v>
      </c>
      <c r="GK26" s="503">
        <f t="shared" si="12"/>
        <v>51835</v>
      </c>
      <c r="GL26" s="503">
        <f t="shared" si="12"/>
        <v>51866</v>
      </c>
      <c r="GM26" s="503">
        <f t="shared" si="12"/>
        <v>51897</v>
      </c>
      <c r="GN26" s="503">
        <f t="shared" ref="GN26:IY26" si="13">GN25</f>
        <v>51925</v>
      </c>
      <c r="GO26" s="503">
        <f t="shared" si="13"/>
        <v>51956</v>
      </c>
      <c r="GP26" s="503">
        <f t="shared" si="13"/>
        <v>51986</v>
      </c>
      <c r="GQ26" s="503">
        <f t="shared" si="13"/>
        <v>52017</v>
      </c>
      <c r="GR26" s="503">
        <f t="shared" si="13"/>
        <v>52047</v>
      </c>
      <c r="GS26" s="503">
        <f t="shared" si="13"/>
        <v>52078</v>
      </c>
      <c r="GT26" s="503">
        <f t="shared" si="13"/>
        <v>52109</v>
      </c>
      <c r="GU26" s="503">
        <f t="shared" si="13"/>
        <v>52139</v>
      </c>
      <c r="GV26" s="503">
        <f t="shared" si="13"/>
        <v>52170</v>
      </c>
      <c r="GW26" s="503">
        <f t="shared" si="13"/>
        <v>52200</v>
      </c>
      <c r="GX26" s="503">
        <f t="shared" si="13"/>
        <v>52231</v>
      </c>
      <c r="GY26" s="503">
        <f t="shared" si="13"/>
        <v>52262</v>
      </c>
      <c r="GZ26" s="503">
        <f t="shared" si="13"/>
        <v>52290</v>
      </c>
      <c r="HA26" s="503">
        <f t="shared" si="13"/>
        <v>52321</v>
      </c>
      <c r="HB26" s="503">
        <f t="shared" si="13"/>
        <v>52351</v>
      </c>
      <c r="HC26" s="503">
        <f t="shared" si="13"/>
        <v>52382</v>
      </c>
      <c r="HD26" s="503">
        <f t="shared" si="13"/>
        <v>52412</v>
      </c>
      <c r="HE26" s="503">
        <f t="shared" si="13"/>
        <v>52443</v>
      </c>
      <c r="HF26" s="503">
        <f t="shared" si="13"/>
        <v>52474</v>
      </c>
      <c r="HG26" s="503">
        <f t="shared" si="13"/>
        <v>52504</v>
      </c>
      <c r="HH26" s="503">
        <f t="shared" si="13"/>
        <v>52535</v>
      </c>
      <c r="HI26" s="503">
        <f t="shared" si="13"/>
        <v>52565</v>
      </c>
      <c r="HJ26" s="503">
        <f t="shared" si="13"/>
        <v>52596</v>
      </c>
      <c r="HK26" s="503">
        <f t="shared" si="13"/>
        <v>52627</v>
      </c>
      <c r="HL26" s="503">
        <f t="shared" si="13"/>
        <v>52656</v>
      </c>
      <c r="HM26" s="503">
        <f t="shared" si="13"/>
        <v>52687</v>
      </c>
      <c r="HN26" s="503">
        <f t="shared" si="13"/>
        <v>52717</v>
      </c>
      <c r="HO26" s="503">
        <f t="shared" si="13"/>
        <v>52748</v>
      </c>
      <c r="HP26" s="503">
        <f t="shared" si="13"/>
        <v>52778</v>
      </c>
      <c r="HQ26" s="503">
        <f t="shared" si="13"/>
        <v>52809</v>
      </c>
      <c r="HR26" s="503">
        <f t="shared" si="13"/>
        <v>52840</v>
      </c>
      <c r="HS26" s="503">
        <f t="shared" si="13"/>
        <v>52870</v>
      </c>
      <c r="HT26" s="503">
        <f t="shared" si="13"/>
        <v>52901</v>
      </c>
      <c r="HU26" s="503">
        <f t="shared" si="13"/>
        <v>52931</v>
      </c>
      <c r="HV26" s="503">
        <f t="shared" si="13"/>
        <v>52962</v>
      </c>
      <c r="HW26" s="503">
        <f t="shared" si="13"/>
        <v>52993</v>
      </c>
      <c r="HX26" s="503">
        <f t="shared" si="13"/>
        <v>53021</v>
      </c>
      <c r="HY26" s="503">
        <f t="shared" si="13"/>
        <v>53052</v>
      </c>
      <c r="HZ26" s="503">
        <f t="shared" si="13"/>
        <v>53082</v>
      </c>
      <c r="IA26" s="503">
        <f t="shared" si="13"/>
        <v>53113</v>
      </c>
      <c r="IB26" s="503">
        <f t="shared" si="13"/>
        <v>53143</v>
      </c>
      <c r="IC26" s="503">
        <f t="shared" si="13"/>
        <v>53174</v>
      </c>
      <c r="ID26" s="503">
        <f t="shared" si="13"/>
        <v>53205</v>
      </c>
      <c r="IE26" s="503">
        <f t="shared" si="13"/>
        <v>53235</v>
      </c>
      <c r="IF26" s="503">
        <f t="shared" si="13"/>
        <v>53266</v>
      </c>
      <c r="IG26" s="503">
        <f t="shared" si="13"/>
        <v>53296</v>
      </c>
      <c r="IH26" s="503">
        <f t="shared" si="13"/>
        <v>53327</v>
      </c>
      <c r="II26" s="503">
        <f t="shared" si="13"/>
        <v>53358</v>
      </c>
      <c r="IJ26" s="503">
        <f t="shared" si="13"/>
        <v>53386</v>
      </c>
      <c r="IK26" s="503">
        <f t="shared" si="13"/>
        <v>53417</v>
      </c>
      <c r="IL26" s="503">
        <f t="shared" si="13"/>
        <v>53447</v>
      </c>
      <c r="IM26" s="503">
        <f t="shared" si="13"/>
        <v>53478</v>
      </c>
      <c r="IN26" s="503">
        <f t="shared" si="13"/>
        <v>53508</v>
      </c>
      <c r="IO26" s="503">
        <f t="shared" si="13"/>
        <v>53539</v>
      </c>
      <c r="IP26" s="503">
        <f t="shared" si="13"/>
        <v>53570</v>
      </c>
      <c r="IQ26" s="503">
        <f t="shared" si="13"/>
        <v>53600</v>
      </c>
      <c r="IR26" s="503">
        <f t="shared" si="13"/>
        <v>53631</v>
      </c>
      <c r="IS26" s="503">
        <f t="shared" si="13"/>
        <v>53661</v>
      </c>
      <c r="IT26" s="503">
        <f t="shared" si="13"/>
        <v>53692</v>
      </c>
      <c r="IU26" s="503">
        <f t="shared" si="13"/>
        <v>53723</v>
      </c>
      <c r="IV26" s="503">
        <f t="shared" si="13"/>
        <v>53751</v>
      </c>
      <c r="IW26" s="503">
        <f t="shared" si="13"/>
        <v>53782</v>
      </c>
      <c r="IX26" s="503">
        <f t="shared" si="13"/>
        <v>53812</v>
      </c>
      <c r="IY26" s="503">
        <f t="shared" si="13"/>
        <v>53843</v>
      </c>
      <c r="IZ26" s="503">
        <f t="shared" ref="IZ26:JI26" si="14">IZ25</f>
        <v>53873</v>
      </c>
      <c r="JA26" s="503">
        <f t="shared" si="14"/>
        <v>53904</v>
      </c>
      <c r="JB26" s="503">
        <f t="shared" si="14"/>
        <v>53935</v>
      </c>
      <c r="JC26" s="503">
        <f t="shared" si="14"/>
        <v>53965</v>
      </c>
      <c r="JD26" s="503">
        <f t="shared" si="14"/>
        <v>53996</v>
      </c>
      <c r="JE26" s="503">
        <f t="shared" si="14"/>
        <v>54026</v>
      </c>
      <c r="JF26" s="503">
        <f t="shared" si="14"/>
        <v>54057</v>
      </c>
      <c r="JG26" s="503">
        <f t="shared" si="14"/>
        <v>54088</v>
      </c>
      <c r="JH26" s="503">
        <f t="shared" si="14"/>
        <v>54117</v>
      </c>
      <c r="JI26" s="503">
        <f t="shared" si="14"/>
        <v>54148</v>
      </c>
      <c r="JJ26" s="504" t="s">
        <v>21</v>
      </c>
    </row>
    <row r="27" spans="2:272" x14ac:dyDescent="0.3">
      <c r="B27" s="169" t="str">
        <f>'LRD_Phase-wise'!B334</f>
        <v>Gross Rent + CAM</v>
      </c>
      <c r="C27" s="52">
        <f>Leasing!W33+Leasing!W42</f>
        <v>0.54863663690692488</v>
      </c>
      <c r="D27" s="52">
        <f>Leasing!X33+Leasing!X42</f>
        <v>0.54863663690692488</v>
      </c>
      <c r="E27" s="52">
        <f>Leasing!Y33+Leasing!Y42</f>
        <v>0.54863663690692488</v>
      </c>
      <c r="F27" s="52">
        <f>Leasing!Z33+Leasing!Z42</f>
        <v>0.54863663690692488</v>
      </c>
      <c r="G27" s="52">
        <f>Leasing!AA33+Leasing!AA42</f>
        <v>0.54863663690692488</v>
      </c>
      <c r="H27" s="52">
        <f>Leasing!AB33+Leasing!AB42</f>
        <v>0.54863663690692488</v>
      </c>
      <c r="I27" s="52">
        <f>Leasing!AC33+Leasing!AC42</f>
        <v>0.54863663690692488</v>
      </c>
      <c r="J27" s="52">
        <f>Leasing!AD33+Leasing!AD42</f>
        <v>0.54863663690692488</v>
      </c>
      <c r="K27" s="52">
        <f>Leasing!AE33+Leasing!AE42</f>
        <v>0.54863663690692488</v>
      </c>
      <c r="L27" s="52">
        <f>Leasing!AF33+Leasing!AF42</f>
        <v>0.54863663690692488</v>
      </c>
      <c r="M27" s="52">
        <f>Leasing!AG33+Leasing!AG42</f>
        <v>0.54863663690692488</v>
      </c>
      <c r="N27" s="52">
        <f>Leasing!AH33+Leasing!AH42</f>
        <v>0.54863663690692488</v>
      </c>
      <c r="O27" s="52">
        <f>Leasing!AI33+Leasing!AI42</f>
        <v>1.6387487253207786</v>
      </c>
      <c r="P27" s="52">
        <f>Leasing!AJ33+Leasing!AJ42</f>
        <v>1.6387487253207786</v>
      </c>
      <c r="Q27" s="52">
        <f>Leasing!AK33+Leasing!AK42</f>
        <v>1.6387487253207786</v>
      </c>
      <c r="R27" s="52">
        <f>Leasing!AL33+Leasing!AL42</f>
        <v>1.6387487253207786</v>
      </c>
      <c r="S27" s="52">
        <f>Leasing!AM33+Leasing!AM42</f>
        <v>1.6387487253207786</v>
      </c>
      <c r="T27" s="52">
        <f>Leasing!AN33+Leasing!AN42</f>
        <v>1.6387487253207786</v>
      </c>
      <c r="U27" s="52">
        <f>Leasing!AO33+Leasing!AO42</f>
        <v>1.6387487253207786</v>
      </c>
      <c r="V27" s="52">
        <f>Leasing!AP33+Leasing!AP42</f>
        <v>1.6387487253207786</v>
      </c>
      <c r="W27" s="52">
        <f>Leasing!AQ33+Leasing!AQ42</f>
        <v>1.6387487253207786</v>
      </c>
      <c r="X27" s="52">
        <f>Leasing!AR33+Leasing!AR42</f>
        <v>2.081726743837939</v>
      </c>
      <c r="Y27" s="52">
        <f>Leasing!AS33+Leasing!AS42</f>
        <v>2.081726743837939</v>
      </c>
      <c r="Z27" s="52">
        <f>Leasing!AT33+Leasing!AT42</f>
        <v>2.081726743837939</v>
      </c>
      <c r="AA27" s="52">
        <f>Leasing!AU33+Leasing!AU42</f>
        <v>2.1636641801039778</v>
      </c>
      <c r="AB27" s="52">
        <f>Leasing!AV33+Leasing!AV42</f>
        <v>2.1636641801039778</v>
      </c>
      <c r="AC27" s="52">
        <f>Leasing!AW33+Leasing!AW42</f>
        <v>2.1636641801039778</v>
      </c>
      <c r="AD27" s="52">
        <f>Leasing!AX33+Leasing!AX42</f>
        <v>2.1636641801039778</v>
      </c>
      <c r="AE27" s="52">
        <f>Leasing!AY33+Leasing!AY42</f>
        <v>2.1636641801039778</v>
      </c>
      <c r="AF27" s="52">
        <f>Leasing!AZ33+Leasing!AZ42</f>
        <v>2.1636641801039778</v>
      </c>
      <c r="AG27" s="52">
        <f>Leasing!BA33+Leasing!BA42</f>
        <v>3.1139908188717604</v>
      </c>
      <c r="AH27" s="52">
        <f>Leasing!BB33+Leasing!BB42</f>
        <v>3.1139908188717604</v>
      </c>
      <c r="AI27" s="52">
        <f>Leasing!BC33+Leasing!BC42</f>
        <v>3.1139908188717604</v>
      </c>
      <c r="AJ27" s="52">
        <f>Leasing!BD33+Leasing!BD42</f>
        <v>3.1361397197976184</v>
      </c>
      <c r="AK27" s="52">
        <f>Leasing!BE33+Leasing!BE42</f>
        <v>3.1361397197976184</v>
      </c>
      <c r="AL27" s="52">
        <f>Leasing!BF33+Leasing!BF42</f>
        <v>3.1361397197976184</v>
      </c>
      <c r="AM27" s="52">
        <f>Leasing!BG33+Leasing!BG42</f>
        <v>3.2221740278769588</v>
      </c>
      <c r="AN27" s="52">
        <f>Leasing!BH33+Leasing!BH42</f>
        <v>3.2221740278769588</v>
      </c>
      <c r="AO27" s="52">
        <f>Leasing!BI33+Leasing!BI42</f>
        <v>3.2221740278769588</v>
      </c>
      <c r="AP27" s="52">
        <f>Leasing!BJ33+Leasing!BJ42</f>
        <v>3.4201748933324465</v>
      </c>
      <c r="AQ27" s="52">
        <f>Leasing!BK33+Leasing!BK42</f>
        <v>3.4201748933324465</v>
      </c>
      <c r="AR27" s="52">
        <f>Leasing!BL33+Leasing!BL42</f>
        <v>3.4201748933324465</v>
      </c>
      <c r="AS27" s="52">
        <f>Leasing!BM33+Leasing!BM42</f>
        <v>3.4676912252708356</v>
      </c>
      <c r="AT27" s="52">
        <f>Leasing!BN33+Leasing!BN42</f>
        <v>3.4676912252708356</v>
      </c>
      <c r="AU27" s="52">
        <f>Leasing!BO33+Leasing!BO42</f>
        <v>3.4676912252708356</v>
      </c>
      <c r="AV27" s="52">
        <f>Leasing!BP33+Leasing!BP42</f>
        <v>3.4909475712429869</v>
      </c>
      <c r="AW27" s="52">
        <f>Leasing!BQ33+Leasing!BQ42</f>
        <v>3.4909475712429869</v>
      </c>
      <c r="AX27" s="52">
        <f>Leasing!BR33+Leasing!BR42</f>
        <v>3.4909475712429869</v>
      </c>
      <c r="AY27" s="52">
        <f>Leasing!BS33+Leasing!BS42</f>
        <v>3.5812835947262949</v>
      </c>
      <c r="AZ27" s="52">
        <f>Leasing!BT33+Leasing!BT42</f>
        <v>3.5812835947262949</v>
      </c>
      <c r="BA27" s="52">
        <f>Leasing!BU33+Leasing!BU42</f>
        <v>3.5812835947262949</v>
      </c>
      <c r="BB27" s="52">
        <f>Leasing!BV33+Leasing!BV42</f>
        <v>3.5911836379990696</v>
      </c>
      <c r="BC27" s="52">
        <f>Leasing!BW33+Leasing!BW42</f>
        <v>3.5911836379990696</v>
      </c>
      <c r="BD27" s="52">
        <f>Leasing!BX33+Leasing!BX42</f>
        <v>3.5911836379990696</v>
      </c>
      <c r="BE27" s="52">
        <f>Leasing!BY33+Leasing!BY42</f>
        <v>3.6410757865343779</v>
      </c>
      <c r="BF27" s="52">
        <f>Leasing!BZ33+Leasing!BZ42</f>
        <v>3.6410757865343779</v>
      </c>
      <c r="BG27" s="52">
        <f>Leasing!CA33+Leasing!CA42</f>
        <v>3.6410757865343779</v>
      </c>
      <c r="BH27" s="52">
        <f>Leasing!CB33+Leasing!CB42</f>
        <v>3.6654949498051366</v>
      </c>
      <c r="BI27" s="52">
        <f>Leasing!CC33+Leasing!CC42</f>
        <v>3.6654949498051366</v>
      </c>
      <c r="BJ27" s="52">
        <f>Leasing!CD33+Leasing!CD42</f>
        <v>3.6654949498051366</v>
      </c>
      <c r="BK27" s="52">
        <f>Leasing!CE33+Leasing!CE42</f>
        <v>3.7603477744626099</v>
      </c>
      <c r="BL27" s="52">
        <f>Leasing!CF33+Leasing!CF42</f>
        <v>3.7603477744626099</v>
      </c>
      <c r="BM27" s="52">
        <f>Leasing!CG33+Leasing!CG42</f>
        <v>3.7603477744626099</v>
      </c>
      <c r="BN27" s="52">
        <f>Leasing!CH33+Leasing!CH42</f>
        <v>3.7707428198990227</v>
      </c>
      <c r="BO27" s="52">
        <f>Leasing!CI33+Leasing!CI42</f>
        <v>3.7707428198990227</v>
      </c>
      <c r="BP27" s="52">
        <f>Leasing!CJ33+Leasing!CJ42</f>
        <v>3.7707428198990227</v>
      </c>
      <c r="BQ27" s="52">
        <f>Leasing!CK33+Leasing!CK42</f>
        <v>3.8231295758610973</v>
      </c>
      <c r="BR27" s="52">
        <f>Leasing!CL33+Leasing!CL42</f>
        <v>3.8231295758610973</v>
      </c>
      <c r="BS27" s="52">
        <f>Leasing!CM33+Leasing!CM42</f>
        <v>3.8231295758610973</v>
      </c>
      <c r="BT27" s="52">
        <f>Leasing!CN33+Leasing!CN42</f>
        <v>3.8487696972953933</v>
      </c>
      <c r="BU27" s="52">
        <f>Leasing!CO33+Leasing!CO42</f>
        <v>3.8487696972953933</v>
      </c>
      <c r="BV27" s="52">
        <f>Leasing!CP33+Leasing!CP42</f>
        <v>3.8487696972953933</v>
      </c>
      <c r="BW27" s="52">
        <f>Leasing!CQ33+Leasing!CQ42</f>
        <v>3.9483651631857413</v>
      </c>
      <c r="BX27" s="52">
        <f>Leasing!CR33+Leasing!CR42</f>
        <v>3.9483651631857413</v>
      </c>
      <c r="BY27" s="52">
        <f>Leasing!CS33+Leasing!CS42</f>
        <v>3.9483651631857413</v>
      </c>
      <c r="BZ27" s="52">
        <f>Leasing!CT33+Leasing!CT42</f>
        <v>3.959279960893975</v>
      </c>
      <c r="CA27" s="52">
        <f>Leasing!CU33+Leasing!CU42</f>
        <v>3.959279960893975</v>
      </c>
      <c r="CB27" s="52">
        <f>Leasing!CV33+Leasing!CV42</f>
        <v>3.959279960893975</v>
      </c>
      <c r="CC27" s="52">
        <f>Leasing!CW33+Leasing!CW42</f>
        <v>4.0142860546541526</v>
      </c>
      <c r="CD27" s="52">
        <f>Leasing!CX33+Leasing!CX42</f>
        <v>4.0142860546541526</v>
      </c>
      <c r="CE27" s="52">
        <f>Leasing!CY33+Leasing!CY42</f>
        <v>4.0142860546541526</v>
      </c>
      <c r="CF27" s="52">
        <f>Leasing!CZ33+Leasing!CZ42</f>
        <v>4.0412081821601635</v>
      </c>
      <c r="CG27" s="52">
        <f>Leasing!DA33+Leasing!DA42</f>
        <v>4.0412081821601635</v>
      </c>
      <c r="CH27" s="52">
        <f>Leasing!DB33+Leasing!DB42</f>
        <v>4.0412081821601635</v>
      </c>
      <c r="CI27" s="52">
        <f>Leasing!DC33+Leasing!DC42</f>
        <v>4.145783421345028</v>
      </c>
      <c r="CJ27" s="52">
        <f>Leasing!DD33+Leasing!DD42</f>
        <v>4.145783421345028</v>
      </c>
      <c r="CK27" s="52">
        <f>Leasing!DE33+Leasing!DE42</f>
        <v>4.145783421345028</v>
      </c>
      <c r="CL27" s="52">
        <f>Leasing!DF33+Leasing!DF42</f>
        <v>4.1572439589386727</v>
      </c>
      <c r="CM27" s="52">
        <f>Leasing!DG33+Leasing!DG42</f>
        <v>4.1572439589386727</v>
      </c>
      <c r="CN27" s="52">
        <f>Leasing!DH33+Leasing!DH42</f>
        <v>4.1572439589386727</v>
      </c>
      <c r="CO27" s="52">
        <f>Leasing!DI33+Leasing!DI42</f>
        <v>4.2150003573868604</v>
      </c>
      <c r="CP27" s="52">
        <f>Leasing!DJ33+Leasing!DJ42</f>
        <v>4.2150003573868604</v>
      </c>
      <c r="CQ27" s="52">
        <f>Leasing!DK33+Leasing!DK42</f>
        <v>4.2150003573868604</v>
      </c>
      <c r="CR27" s="52">
        <f>Leasing!DL33+Leasing!DL42</f>
        <v>4.2432685912681718</v>
      </c>
      <c r="CS27" s="52">
        <f>Leasing!DM33+Leasing!DM42</f>
        <v>4.2432685912681718</v>
      </c>
      <c r="CT27" s="52">
        <f>Leasing!DN33+Leasing!DN42</f>
        <v>4.2432685912681718</v>
      </c>
      <c r="CU27" s="52">
        <f>Leasing!DO33+Leasing!DO42</f>
        <v>4.3530725924122802</v>
      </c>
      <c r="CV27" s="52">
        <f>Leasing!DP33+Leasing!DP42</f>
        <v>4.3530725924122802</v>
      </c>
      <c r="CW27" s="52">
        <f>Leasing!DQ33+Leasing!DQ42</f>
        <v>4.3530725924122802</v>
      </c>
      <c r="CX27" s="52">
        <f>Leasing!DR33+Leasing!DR42</f>
        <v>4.3651061568856075</v>
      </c>
      <c r="CY27" s="52">
        <f>Leasing!DS33+Leasing!DS42</f>
        <v>4.3651061568856075</v>
      </c>
      <c r="CZ27" s="52">
        <f>Leasing!DT33+Leasing!DT42</f>
        <v>4.3651061568856075</v>
      </c>
      <c r="DA27" s="52">
        <f>Leasing!DU33+Leasing!DU42</f>
        <v>4.4257503752562037</v>
      </c>
      <c r="DB27" s="52">
        <f>Leasing!DV33+Leasing!DV42</f>
        <v>4.4257503752562037</v>
      </c>
      <c r="DC27" s="52">
        <f>Leasing!DW33+Leasing!DW42</f>
        <v>4.4257503752562037</v>
      </c>
      <c r="DD27" s="52">
        <f>Leasing!DX33+Leasing!DX42</f>
        <v>4.455432020831581</v>
      </c>
      <c r="DE27" s="52">
        <f>Leasing!DY33+Leasing!DY42</f>
        <v>4.455432020831581</v>
      </c>
      <c r="DF27" s="52">
        <f>Leasing!DZ33+Leasing!DZ42</f>
        <v>4.455432020831581</v>
      </c>
      <c r="DG27" s="52">
        <f>Leasing!EA33+Leasing!EA42</f>
        <v>4.570726222032893</v>
      </c>
      <c r="DH27" s="52">
        <f>Leasing!EB33+Leasing!EB42</f>
        <v>4.570726222032893</v>
      </c>
      <c r="DI27" s="52">
        <f>Leasing!EC33+Leasing!EC42</f>
        <v>4.570726222032893</v>
      </c>
      <c r="DJ27" s="52">
        <f>Leasing!ED33+Leasing!ED42</f>
        <v>4.5833614647298866</v>
      </c>
      <c r="DK27" s="52">
        <f>Leasing!EE33+Leasing!EE42</f>
        <v>4.5833614647298866</v>
      </c>
      <c r="DL27" s="52">
        <f>Leasing!EF33+Leasing!EF42</f>
        <v>4.5833614647298866</v>
      </c>
      <c r="DM27" s="52">
        <f>Leasing!EG33+Leasing!EG42</f>
        <v>4.6470378940190136</v>
      </c>
      <c r="DN27" s="52">
        <f>Leasing!EH33+Leasing!EH42</f>
        <v>4.6470378940190136</v>
      </c>
      <c r="DO27" s="52">
        <f>Leasing!EI33+Leasing!EI42</f>
        <v>4.6470378940190136</v>
      </c>
      <c r="DP27" s="52">
        <f>Leasing!EJ33+Leasing!EJ42</f>
        <v>4.6782036218731591</v>
      </c>
      <c r="DQ27" s="52">
        <f>Leasing!EK33+Leasing!EK42</f>
        <v>4.6782036218731591</v>
      </c>
      <c r="DR27" s="52">
        <f>Leasing!EL33+Leasing!EL42</f>
        <v>4.6782036218731591</v>
      </c>
      <c r="DS27" s="52">
        <f>Leasing!EM33+Leasing!EM42</f>
        <v>4.7992625331345389</v>
      </c>
      <c r="DT27" s="52">
        <f>Leasing!EN33+Leasing!EN42</f>
        <v>4.7992625331345389</v>
      </c>
      <c r="DU27" s="52">
        <f>Leasing!EO33+Leasing!EO42</f>
        <v>4.7992625331345389</v>
      </c>
      <c r="DV27" s="52">
        <f>Leasing!EP33+Leasing!EP42</f>
        <v>4.8125295379663822</v>
      </c>
      <c r="DW27" s="52">
        <f>Leasing!EQ33+Leasing!EQ42</f>
        <v>4.8125295379663822</v>
      </c>
      <c r="DX27" s="52">
        <f>Leasing!ER33+Leasing!ER42</f>
        <v>4.8125295379663822</v>
      </c>
      <c r="DY27" s="52">
        <f>Leasing!ES33+Leasing!ES42</f>
        <v>4.8793897887199638</v>
      </c>
      <c r="DZ27" s="52">
        <f>Leasing!ET33+Leasing!ET42</f>
        <v>4.8793897887199638</v>
      </c>
      <c r="EA27" s="52">
        <f>Leasing!EU33+Leasing!EU42</f>
        <v>4.8793897887199638</v>
      </c>
      <c r="EB27" s="52">
        <f>Leasing!EV33+Leasing!EV42</f>
        <v>4.9121138029668172</v>
      </c>
      <c r="EC27" s="52">
        <f>Leasing!EW33+Leasing!EW42</f>
        <v>4.9121138029668172</v>
      </c>
      <c r="ED27" s="52">
        <f>Leasing!EX33+Leasing!EX42</f>
        <v>4.9121138029668172</v>
      </c>
      <c r="EE27" s="52">
        <f>Leasing!EY33+Leasing!EY42</f>
        <v>5.0392256597912652</v>
      </c>
      <c r="EF27" s="52">
        <f>Leasing!EZ33+Leasing!EZ42</f>
        <v>5.0392256597912652</v>
      </c>
      <c r="EG27" s="52">
        <f>Leasing!FA33+Leasing!FA42</f>
        <v>5.0392256597912652</v>
      </c>
      <c r="EH27" s="52">
        <f>Leasing!FB33+Leasing!FB42</f>
        <v>5.0531560148647019</v>
      </c>
      <c r="EI27" s="52">
        <f>Leasing!FC33+Leasing!FC42</f>
        <v>5.0531560148647019</v>
      </c>
      <c r="EJ27" s="52">
        <f>Leasing!FD33+Leasing!FD42</f>
        <v>5.0531560148647019</v>
      </c>
      <c r="EK27" s="52">
        <f>Leasing!FE33+Leasing!FE42</f>
        <v>5.123359278155962</v>
      </c>
      <c r="EL27" s="52">
        <f>Leasing!FF33+Leasing!FF42</f>
        <v>5.123359278155962</v>
      </c>
      <c r="EM27" s="52">
        <f>Leasing!FG33+Leasing!FG42</f>
        <v>5.123359278155962</v>
      </c>
      <c r="EN27" s="52">
        <f>Leasing!FH33+Leasing!FH42</f>
        <v>5.1577194931151595</v>
      </c>
      <c r="EO27" s="52">
        <f>Leasing!FI33+Leasing!FI42</f>
        <v>5.1577194931151595</v>
      </c>
      <c r="EP27" s="52">
        <f>Leasing!FJ33+Leasing!FJ42</f>
        <v>5.1577194931151595</v>
      </c>
      <c r="EQ27" s="52">
        <f>Leasing!FK33+Leasing!FK42</f>
        <v>5.29118694278083</v>
      </c>
      <c r="ER27" s="52">
        <f>Leasing!FL33+Leasing!FL42</f>
        <v>5.29118694278083</v>
      </c>
      <c r="ES27" s="52">
        <f>Leasing!FM33+Leasing!FM42</f>
        <v>5.29118694278083</v>
      </c>
      <c r="ET27" s="52">
        <f>Leasing!FN33+Leasing!FN42</f>
        <v>5.3058138156079373</v>
      </c>
      <c r="EU27" s="52">
        <f>Leasing!FO33+Leasing!FO42</f>
        <v>5.3058138156079373</v>
      </c>
      <c r="EV27" s="52">
        <f>Leasing!FP33+Leasing!FP42</f>
        <v>5.3058138156079373</v>
      </c>
      <c r="EW27" s="52">
        <f>Leasing!FQ33+Leasing!FQ42</f>
        <v>5.3795272420637614</v>
      </c>
      <c r="EX27" s="52">
        <f>Leasing!FR33+Leasing!FR42</f>
        <v>5.3795272420637614</v>
      </c>
      <c r="EY27" s="52">
        <f>Leasing!FS33+Leasing!FS42</f>
        <v>5.3795272420637614</v>
      </c>
      <c r="EZ27" s="52">
        <f>Leasing!FT33+Leasing!FT42</f>
        <v>5.4156054677709182</v>
      </c>
      <c r="FA27" s="52">
        <f>Leasing!FU33+Leasing!FU42</f>
        <v>5.4156054677709182</v>
      </c>
      <c r="FB27" s="52">
        <f>Leasing!FV33+Leasing!FV42</f>
        <v>5.4156054677709182</v>
      </c>
      <c r="FC27" s="52">
        <f>Leasing!FW33+Leasing!FW42</f>
        <v>5.5557462899198713</v>
      </c>
      <c r="FD27" s="52">
        <f>Leasing!FX33+Leasing!FX42</f>
        <v>5.5557462899198713</v>
      </c>
      <c r="FE27" s="52">
        <f>Leasing!FY33+Leasing!FY42</f>
        <v>5.5557462899198713</v>
      </c>
      <c r="FF27" s="52">
        <f>Leasing!FZ33+Leasing!FZ42</f>
        <v>5.5711045063883349</v>
      </c>
      <c r="FG27" s="52">
        <f>Leasing!GA33+Leasing!GA42</f>
        <v>5.5711045063883349</v>
      </c>
      <c r="FH27" s="52">
        <f>Leasing!GB33+Leasing!GB42</f>
        <v>5.5711045063883349</v>
      </c>
      <c r="FI27" s="52">
        <f>Leasing!GC33+Leasing!GC42</f>
        <v>5.6485036041669501</v>
      </c>
      <c r="FJ27" s="52">
        <f>Leasing!GD33+Leasing!GD42</f>
        <v>5.6485036041669501</v>
      </c>
      <c r="FK27" s="52">
        <f>Leasing!GE33+Leasing!GE42</f>
        <v>5.6485036041669501</v>
      </c>
      <c r="FL27" s="52">
        <f>Leasing!GF33+Leasing!GF42</f>
        <v>5.686385741159464</v>
      </c>
      <c r="FM27" s="52">
        <f>Leasing!GG33+Leasing!GG42</f>
        <v>5.686385741159464</v>
      </c>
      <c r="FN27" s="52">
        <f>Leasing!GH33+Leasing!GH42</f>
        <v>5.686385741159464</v>
      </c>
      <c r="FO27" s="52">
        <f>Leasing!GI33+Leasing!GI42</f>
        <v>5.8335336044158659</v>
      </c>
      <c r="FP27" s="52">
        <f>Leasing!GJ33+Leasing!GJ42</f>
        <v>5.8335336044158659</v>
      </c>
      <c r="FQ27" s="52">
        <f>Leasing!GK33+Leasing!GK42</f>
        <v>5.8335336044158659</v>
      </c>
      <c r="FR27" s="52">
        <f>Leasing!GL33+Leasing!GL42</f>
        <v>5.8496597317077512</v>
      </c>
      <c r="FS27" s="52">
        <f>Leasing!GM33+Leasing!GM42</f>
        <v>5.8496597317077512</v>
      </c>
      <c r="FT27" s="52">
        <f>Leasing!GN33+Leasing!GN42</f>
        <v>5.8496597317077512</v>
      </c>
      <c r="FU27" s="52">
        <f>Leasing!GO33+Leasing!GO42</f>
        <v>5.9309287843752978</v>
      </c>
      <c r="FV27" s="52">
        <f>Leasing!GP33+Leasing!GP42</f>
        <v>5.9309287843752978</v>
      </c>
      <c r="FW27" s="52">
        <f>Leasing!GQ33+Leasing!GQ42</f>
        <v>5.9309287843752978</v>
      </c>
      <c r="FX27" s="52">
        <f>Leasing!GR33+Leasing!GR42</f>
        <v>5.970705028217437</v>
      </c>
      <c r="FY27" s="52">
        <f>Leasing!GS33+Leasing!GS42</f>
        <v>5.970705028217437</v>
      </c>
      <c r="FZ27" s="52">
        <f>Leasing!GT33+Leasing!GT42</f>
        <v>5.970705028217437</v>
      </c>
      <c r="GA27" s="52">
        <f>Leasing!GU33+Leasing!GU42</f>
        <v>6.1252102846366583</v>
      </c>
      <c r="GB27" s="52">
        <f>Leasing!GV33+Leasing!GV42</f>
        <v>6.1252102846366583</v>
      </c>
      <c r="GC27" s="52">
        <f>Leasing!GW33+Leasing!GW42</f>
        <v>6.1252102846366583</v>
      </c>
      <c r="GD27" s="52">
        <f>Leasing!GX33+Leasing!GX42</f>
        <v>6.1421427182931403</v>
      </c>
      <c r="GE27" s="52">
        <f>Leasing!GY33+Leasing!GY42</f>
        <v>6.1421427182931403</v>
      </c>
      <c r="GF27" s="52">
        <f>Leasing!GZ33+Leasing!GZ42</f>
        <v>6.1421427182931403</v>
      </c>
      <c r="GG27" s="52">
        <f>Leasing!HA33+Leasing!HA42</f>
        <v>6.2274752235940625</v>
      </c>
      <c r="GH27" s="52">
        <f>Leasing!HB33+Leasing!HB42</f>
        <v>6.2274752235940625</v>
      </c>
      <c r="GI27" s="52">
        <f>Leasing!HC33+Leasing!HC42</f>
        <v>6.2274752235940625</v>
      </c>
      <c r="GJ27" s="52">
        <f>Leasing!HD33+Leasing!HD42</f>
        <v>6.2692402796283107</v>
      </c>
      <c r="GK27" s="52">
        <f>Leasing!HE33+Leasing!HE42</f>
        <v>6.2692402796283107</v>
      </c>
      <c r="GL27" s="52">
        <f>Leasing!HF33+Leasing!HF42</f>
        <v>6.2692402796283107</v>
      </c>
      <c r="GM27" s="52">
        <f>Leasing!HG33+Leasing!HG42</f>
        <v>6.4314707988684914</v>
      </c>
      <c r="GN27" s="52">
        <f>Leasing!HH33+Leasing!HH42</f>
        <v>6.4314707988684914</v>
      </c>
      <c r="GO27" s="52">
        <f>Leasing!HI33+Leasing!HI42</f>
        <v>6.4314707988684914</v>
      </c>
      <c r="GP27" s="52">
        <f>Leasing!HJ33+Leasing!HJ42</f>
        <v>6.4492498542077952</v>
      </c>
      <c r="GQ27" s="52">
        <f>Leasing!HK33+Leasing!HK42</f>
        <v>6.4492498542077952</v>
      </c>
      <c r="GR27" s="52">
        <f>Leasing!HL33+Leasing!HL42</f>
        <v>6.4492498542077952</v>
      </c>
      <c r="GS27" s="52">
        <f>Leasing!HM33+Leasing!HM42</f>
        <v>6.5388489847737654</v>
      </c>
      <c r="GT27" s="52">
        <f>Leasing!HN33+Leasing!HN42</f>
        <v>6.5388489847737654</v>
      </c>
      <c r="GU27" s="52">
        <f>Leasing!HO33+Leasing!HO42</f>
        <v>6.5388489847737654</v>
      </c>
      <c r="GV27" s="52">
        <f>Leasing!HP33+Leasing!HP42</f>
        <v>6.5827022936097253</v>
      </c>
      <c r="GW27" s="52">
        <f>Leasing!HQ33+Leasing!HQ42</f>
        <v>6.5827022936097253</v>
      </c>
      <c r="GX27" s="52">
        <f>Leasing!HR33+Leasing!HR42</f>
        <v>6.5827022936097253</v>
      </c>
      <c r="GY27" s="52">
        <f>Leasing!HS33+Leasing!HS42</f>
        <v>6.7530443388119163</v>
      </c>
      <c r="GZ27" s="52">
        <f>Leasing!HT33+Leasing!HT42</f>
        <v>6.7530443388119163</v>
      </c>
      <c r="HA27" s="52">
        <f>Leasing!HU33+Leasing!HU42</f>
        <v>6.7530443388119163</v>
      </c>
      <c r="HB27" s="52">
        <f>Leasing!HV33+Leasing!HV42</f>
        <v>6.7717123469181866</v>
      </c>
      <c r="HC27" s="52">
        <f>Leasing!HW33+Leasing!HW42</f>
        <v>6.7717123469181866</v>
      </c>
      <c r="HD27" s="52">
        <f>Leasing!HX33+Leasing!HX42</f>
        <v>6.7717123469181866</v>
      </c>
      <c r="HE27" s="52">
        <f>Leasing!HY33+Leasing!HY42</f>
        <v>6.865791434012456</v>
      </c>
      <c r="HF27" s="52">
        <f>Leasing!HZ33+Leasing!HZ42</f>
        <v>6.865791434012456</v>
      </c>
      <c r="HG27" s="52">
        <f>Leasing!IA33+Leasing!IA42</f>
        <v>6.865791434012456</v>
      </c>
      <c r="HH27" s="52">
        <f>Leasing!IB33+Leasing!IB42</f>
        <v>6.9118374082902125</v>
      </c>
      <c r="HI27" s="52">
        <f>Leasing!IC33+Leasing!IC42</f>
        <v>6.9118374082902125</v>
      </c>
      <c r="HJ27" s="52">
        <f>Leasing!ID33+Leasing!ID42</f>
        <v>6.9118374082902125</v>
      </c>
      <c r="HK27" s="52">
        <f>Leasing!IE33+Leasing!IE42</f>
        <v>7.0906965557525128</v>
      </c>
      <c r="HL27" s="52">
        <f>Leasing!IF33+Leasing!IF42</f>
        <v>7.0906965557525128</v>
      </c>
      <c r="HM27" s="52">
        <f>Leasing!IG33+Leasing!IG42</f>
        <v>7.0906965557525128</v>
      </c>
      <c r="HN27" s="52">
        <f>Leasing!IH33+Leasing!IH42</f>
        <v>7.1102979642640962</v>
      </c>
      <c r="HO27" s="52">
        <f>Leasing!II33+Leasing!II42</f>
        <v>7.1102979642640962</v>
      </c>
      <c r="HP27" s="52">
        <f>Leasing!IJ33+Leasing!IJ42</f>
        <v>7.1102979642640962</v>
      </c>
      <c r="HQ27" s="52">
        <f>Leasing!IK33+Leasing!IK42</f>
        <v>7.2090810057130774</v>
      </c>
      <c r="HR27" s="52">
        <f>Leasing!IL33+Leasing!IL42</f>
        <v>7.2090810057130774</v>
      </c>
      <c r="HS27" s="52">
        <f>Leasing!IM33+Leasing!IM42</f>
        <v>7.2090810057130774</v>
      </c>
      <c r="HT27" s="52">
        <f>Leasing!IN33+Leasing!IN42</f>
        <v>7.2574292787047225</v>
      </c>
      <c r="HU27" s="52">
        <f>Leasing!IO33+Leasing!IO42</f>
        <v>7.2574292787047225</v>
      </c>
      <c r="HV27" s="52">
        <f>Leasing!IP33+Leasing!IP42</f>
        <v>7.2574292787047225</v>
      </c>
      <c r="HW27" s="52">
        <f>Leasing!IQ33+Leasing!IQ42</f>
        <v>7.445231383540138</v>
      </c>
      <c r="HX27" s="52">
        <f>Leasing!IR33+Leasing!IR42</f>
        <v>7.445231383540138</v>
      </c>
      <c r="HY27" s="52">
        <f>Leasing!IS33+Leasing!IS42</f>
        <v>7.445231383540138</v>
      </c>
      <c r="HZ27" s="52">
        <f>Leasing!IT33+Leasing!IT42</f>
        <v>7.4658128624773008</v>
      </c>
      <c r="IA27" s="52">
        <f>Leasing!IU33+Leasing!IU42</f>
        <v>7.4658128624773008</v>
      </c>
      <c r="IB27" s="52">
        <f>Leasing!IV33+Leasing!IV42</f>
        <v>7.4658128624773008</v>
      </c>
      <c r="IC27" s="52">
        <f>Leasing!IW33+Leasing!IW42</f>
        <v>6.247640271586878</v>
      </c>
      <c r="ID27" s="52">
        <f>Leasing!IX33+Leasing!IX42</f>
        <v>6.247640271586878</v>
      </c>
      <c r="IE27" s="52">
        <f>Leasing!IY33+Leasing!IY42</f>
        <v>6.247640271586878</v>
      </c>
      <c r="IF27" s="52">
        <f>Leasing!IZ33+Leasing!IZ42</f>
        <v>6.2984059582281047</v>
      </c>
      <c r="IG27" s="52">
        <f>Leasing!JA33+Leasing!JA42</f>
        <v>6.2984059582281047</v>
      </c>
      <c r="IH27" s="52">
        <f>Leasing!JB33+Leasing!JB42</f>
        <v>6.2984059582281047</v>
      </c>
      <c r="II27" s="52">
        <f>Leasing!JC33+Leasing!JC42</f>
        <v>6.4295034290846989</v>
      </c>
      <c r="IJ27" s="52">
        <f>Leasing!JD33+Leasing!JD42</f>
        <v>6.4295034290846989</v>
      </c>
      <c r="IK27" s="52">
        <f>Leasing!JE33+Leasing!JE42</f>
        <v>6.4295034290846989</v>
      </c>
      <c r="IL27" s="52">
        <f>Leasing!JF33+Leasing!JF42</f>
        <v>6.45111398196872</v>
      </c>
      <c r="IM27" s="52">
        <f>Leasing!JG33+Leasing!JG42</f>
        <v>6.45111398196872</v>
      </c>
      <c r="IN27" s="52">
        <f>Leasing!JH33+Leasing!JH42</f>
        <v>6.45111398196872</v>
      </c>
      <c r="IO27" s="52">
        <f>Leasing!JI33+Leasing!JI42</f>
        <v>3.9995817419043003</v>
      </c>
      <c r="IP27" s="52">
        <f>Leasing!JJ33+Leasing!JJ42</f>
        <v>3.9995817419043003</v>
      </c>
      <c r="IQ27" s="52">
        <f>Leasing!JK33+Leasing!JK42</f>
        <v>3.9995817419043003</v>
      </c>
      <c r="IR27" s="52">
        <f>Leasing!JL33+Leasing!JL42</f>
        <v>4.0528857128775879</v>
      </c>
      <c r="IS27" s="52">
        <f>Leasing!JM33+Leasing!JM42</f>
        <v>4.0528857128775879</v>
      </c>
      <c r="IT27" s="52">
        <f>Leasing!JN33+Leasing!JN42</f>
        <v>4.0528857128775879</v>
      </c>
      <c r="IU27" s="52">
        <f>Leasing!JO33+Leasing!JO42</f>
        <v>4.0625160301139163</v>
      </c>
      <c r="IV27" s="52">
        <f>Leasing!JP33+Leasing!JP42</f>
        <v>4.0625160301139163</v>
      </c>
      <c r="IW27" s="52">
        <f>Leasing!JQ33+Leasing!JQ42</f>
        <v>4.0625160301139163</v>
      </c>
      <c r="IX27" s="52">
        <f>Leasing!JR33+Leasing!JR42</f>
        <v>3.0178880639444374</v>
      </c>
      <c r="IY27" s="52">
        <f>Leasing!JS33+Leasing!JS42</f>
        <v>3.0178880639444374</v>
      </c>
      <c r="IZ27" s="52">
        <f>Leasing!JT33+Leasing!JT42</f>
        <v>3.0178880639444374</v>
      </c>
      <c r="JA27" s="52">
        <f>Leasing!JU33+Leasing!JU42</f>
        <v>3.1322417823018149</v>
      </c>
      <c r="JB27" s="52">
        <f>Leasing!JV33+Leasing!JV42</f>
        <v>3.1322417823018149</v>
      </c>
      <c r="JC27" s="52">
        <f>Leasing!JW33+Leasing!JW42</f>
        <v>3.1322417823018149</v>
      </c>
      <c r="JD27" s="52">
        <f>Leasing!JX33+Leasing!JX42</f>
        <v>3.1348449994888825</v>
      </c>
      <c r="JE27" s="52">
        <f>Leasing!JY33+Leasing!JY42</f>
        <v>3.1348449994888825</v>
      </c>
      <c r="JF27" s="52">
        <f>Leasing!JZ33+Leasing!JZ42</f>
        <v>3.1348449994888825</v>
      </c>
      <c r="JG27" s="52">
        <f>Leasing!KA33+Leasing!KA42</f>
        <v>0.85522307664047115</v>
      </c>
      <c r="JH27" s="52">
        <f>Leasing!KB33+Leasing!KB42</f>
        <v>0.85522307664047115</v>
      </c>
      <c r="JI27" s="52">
        <f>Leasing!KC33+Leasing!KC42</f>
        <v>0.85522307664047115</v>
      </c>
      <c r="JJ27" s="452">
        <f>SUM(C27:JI27)</f>
        <v>1225.2020906700332</v>
      </c>
    </row>
    <row r="28" spans="2:272" x14ac:dyDescent="0.3">
      <c r="B28" s="169" t="str">
        <f>'LRD_Phase-wise'!B335</f>
        <v>Less: TDS</v>
      </c>
      <c r="C28" s="52">
        <f t="shared" ref="C28:BN28" si="15">C27*$C$11</f>
        <v>2.7431831845346245E-2</v>
      </c>
      <c r="D28" s="52">
        <f t="shared" si="15"/>
        <v>2.7431831845346245E-2</v>
      </c>
      <c r="E28" s="52">
        <f t="shared" si="15"/>
        <v>2.7431831845346245E-2</v>
      </c>
      <c r="F28" s="52">
        <f t="shared" si="15"/>
        <v>2.7431831845346245E-2</v>
      </c>
      <c r="G28" s="52">
        <f t="shared" si="15"/>
        <v>2.7431831845346245E-2</v>
      </c>
      <c r="H28" s="52">
        <f t="shared" si="15"/>
        <v>2.7431831845346245E-2</v>
      </c>
      <c r="I28" s="52">
        <f t="shared" si="15"/>
        <v>2.7431831845346245E-2</v>
      </c>
      <c r="J28" s="52">
        <f t="shared" si="15"/>
        <v>2.7431831845346245E-2</v>
      </c>
      <c r="K28" s="52">
        <f t="shared" si="15"/>
        <v>2.7431831845346245E-2</v>
      </c>
      <c r="L28" s="52">
        <f t="shared" si="15"/>
        <v>2.7431831845346245E-2</v>
      </c>
      <c r="M28" s="52">
        <f t="shared" si="15"/>
        <v>2.7431831845346245E-2</v>
      </c>
      <c r="N28" s="52">
        <f t="shared" si="15"/>
        <v>2.7431831845346245E-2</v>
      </c>
      <c r="O28" s="52">
        <f t="shared" si="15"/>
        <v>8.1937436266038943E-2</v>
      </c>
      <c r="P28" s="52">
        <f t="shared" si="15"/>
        <v>8.1937436266038943E-2</v>
      </c>
      <c r="Q28" s="52">
        <f t="shared" si="15"/>
        <v>8.1937436266038943E-2</v>
      </c>
      <c r="R28" s="52">
        <f t="shared" si="15"/>
        <v>8.1937436266038943E-2</v>
      </c>
      <c r="S28" s="52">
        <f t="shared" si="15"/>
        <v>8.1937436266038943E-2</v>
      </c>
      <c r="T28" s="52">
        <f t="shared" si="15"/>
        <v>8.1937436266038943E-2</v>
      </c>
      <c r="U28" s="52">
        <f t="shared" si="15"/>
        <v>8.1937436266038943E-2</v>
      </c>
      <c r="V28" s="52">
        <f t="shared" si="15"/>
        <v>8.1937436266038943E-2</v>
      </c>
      <c r="W28" s="52">
        <f t="shared" si="15"/>
        <v>8.1937436266038943E-2</v>
      </c>
      <c r="X28" s="52">
        <f t="shared" si="15"/>
        <v>0.10408633719189696</v>
      </c>
      <c r="Y28" s="52">
        <f t="shared" si="15"/>
        <v>0.10408633719189696</v>
      </c>
      <c r="Z28" s="52">
        <f t="shared" si="15"/>
        <v>0.10408633719189696</v>
      </c>
      <c r="AA28" s="52">
        <f t="shared" si="15"/>
        <v>0.1081832090051989</v>
      </c>
      <c r="AB28" s="52">
        <f t="shared" si="15"/>
        <v>0.1081832090051989</v>
      </c>
      <c r="AC28" s="52">
        <f t="shared" si="15"/>
        <v>0.1081832090051989</v>
      </c>
      <c r="AD28" s="52">
        <f t="shared" si="15"/>
        <v>0.1081832090051989</v>
      </c>
      <c r="AE28" s="52">
        <f t="shared" si="15"/>
        <v>0.1081832090051989</v>
      </c>
      <c r="AF28" s="52">
        <f t="shared" si="15"/>
        <v>0.1081832090051989</v>
      </c>
      <c r="AG28" s="52">
        <f t="shared" si="15"/>
        <v>0.15569954094358804</v>
      </c>
      <c r="AH28" s="52">
        <f t="shared" si="15"/>
        <v>0.15569954094358804</v>
      </c>
      <c r="AI28" s="52">
        <f t="shared" si="15"/>
        <v>0.15569954094358804</v>
      </c>
      <c r="AJ28" s="52">
        <f t="shared" si="15"/>
        <v>0.15680698598988094</v>
      </c>
      <c r="AK28" s="52">
        <f t="shared" si="15"/>
        <v>0.15680698598988094</v>
      </c>
      <c r="AL28" s="52">
        <f t="shared" si="15"/>
        <v>0.15680698598988094</v>
      </c>
      <c r="AM28" s="52">
        <f t="shared" si="15"/>
        <v>0.16110870139384795</v>
      </c>
      <c r="AN28" s="52">
        <f t="shared" si="15"/>
        <v>0.16110870139384795</v>
      </c>
      <c r="AO28" s="52">
        <f t="shared" si="15"/>
        <v>0.16110870139384795</v>
      </c>
      <c r="AP28" s="52">
        <f t="shared" si="15"/>
        <v>0.17100874466662233</v>
      </c>
      <c r="AQ28" s="52">
        <f t="shared" si="15"/>
        <v>0.17100874466662233</v>
      </c>
      <c r="AR28" s="52">
        <f t="shared" si="15"/>
        <v>0.17100874466662233</v>
      </c>
      <c r="AS28" s="52">
        <f t="shared" si="15"/>
        <v>0.17338456126354179</v>
      </c>
      <c r="AT28" s="52">
        <f t="shared" si="15"/>
        <v>0.17338456126354179</v>
      </c>
      <c r="AU28" s="52">
        <f t="shared" si="15"/>
        <v>0.17338456126354179</v>
      </c>
      <c r="AV28" s="52">
        <f t="shared" si="15"/>
        <v>0.17454737856214936</v>
      </c>
      <c r="AW28" s="52">
        <f t="shared" si="15"/>
        <v>0.17454737856214936</v>
      </c>
      <c r="AX28" s="52">
        <f t="shared" si="15"/>
        <v>0.17454737856214936</v>
      </c>
      <c r="AY28" s="52">
        <f t="shared" si="15"/>
        <v>0.17906417973631475</v>
      </c>
      <c r="AZ28" s="52">
        <f t="shared" si="15"/>
        <v>0.17906417973631475</v>
      </c>
      <c r="BA28" s="52">
        <f t="shared" si="15"/>
        <v>0.17906417973631475</v>
      </c>
      <c r="BB28" s="52">
        <f t="shared" si="15"/>
        <v>0.17955918189995348</v>
      </c>
      <c r="BC28" s="52">
        <f t="shared" si="15"/>
        <v>0.17955918189995348</v>
      </c>
      <c r="BD28" s="52">
        <f t="shared" si="15"/>
        <v>0.17955918189995348</v>
      </c>
      <c r="BE28" s="52">
        <f t="shared" si="15"/>
        <v>0.1820537893267189</v>
      </c>
      <c r="BF28" s="52">
        <f t="shared" si="15"/>
        <v>0.1820537893267189</v>
      </c>
      <c r="BG28" s="52">
        <f t="shared" si="15"/>
        <v>0.1820537893267189</v>
      </c>
      <c r="BH28" s="52">
        <f t="shared" si="15"/>
        <v>0.18327474749025685</v>
      </c>
      <c r="BI28" s="52">
        <f t="shared" si="15"/>
        <v>0.18327474749025685</v>
      </c>
      <c r="BJ28" s="52">
        <f t="shared" si="15"/>
        <v>0.18327474749025685</v>
      </c>
      <c r="BK28" s="52">
        <f t="shared" si="15"/>
        <v>0.18801738872313051</v>
      </c>
      <c r="BL28" s="52">
        <f t="shared" si="15"/>
        <v>0.18801738872313051</v>
      </c>
      <c r="BM28" s="52">
        <f t="shared" si="15"/>
        <v>0.18801738872313051</v>
      </c>
      <c r="BN28" s="52">
        <f t="shared" si="15"/>
        <v>0.18853714099495114</v>
      </c>
      <c r="BO28" s="52">
        <f t="shared" ref="BO28:DZ28" si="16">BO27*$C$11</f>
        <v>0.18853714099495114</v>
      </c>
      <c r="BP28" s="52">
        <f t="shared" si="16"/>
        <v>0.18853714099495114</v>
      </c>
      <c r="BQ28" s="52">
        <f t="shared" si="16"/>
        <v>0.19115647879305486</v>
      </c>
      <c r="BR28" s="52">
        <f t="shared" si="16"/>
        <v>0.19115647879305486</v>
      </c>
      <c r="BS28" s="52">
        <f t="shared" si="16"/>
        <v>0.19115647879305486</v>
      </c>
      <c r="BT28" s="52">
        <f t="shared" si="16"/>
        <v>0.19243848486476967</v>
      </c>
      <c r="BU28" s="52">
        <f t="shared" si="16"/>
        <v>0.19243848486476967</v>
      </c>
      <c r="BV28" s="52">
        <f t="shared" si="16"/>
        <v>0.19243848486476967</v>
      </c>
      <c r="BW28" s="52">
        <f t="shared" si="16"/>
        <v>0.19741825815928707</v>
      </c>
      <c r="BX28" s="52">
        <f t="shared" si="16"/>
        <v>0.19741825815928707</v>
      </c>
      <c r="BY28" s="52">
        <f t="shared" si="16"/>
        <v>0.19741825815928707</v>
      </c>
      <c r="BZ28" s="52">
        <f t="shared" si="16"/>
        <v>0.19796399804469877</v>
      </c>
      <c r="CA28" s="52">
        <f t="shared" si="16"/>
        <v>0.19796399804469877</v>
      </c>
      <c r="CB28" s="52">
        <f t="shared" si="16"/>
        <v>0.19796399804469877</v>
      </c>
      <c r="CC28" s="52">
        <f t="shared" si="16"/>
        <v>0.20071430273270763</v>
      </c>
      <c r="CD28" s="52">
        <f t="shared" si="16"/>
        <v>0.20071430273270763</v>
      </c>
      <c r="CE28" s="52">
        <f t="shared" si="16"/>
        <v>0.20071430273270763</v>
      </c>
      <c r="CF28" s="52">
        <f t="shared" si="16"/>
        <v>0.20206040910800818</v>
      </c>
      <c r="CG28" s="52">
        <f t="shared" si="16"/>
        <v>0.20206040910800818</v>
      </c>
      <c r="CH28" s="52">
        <f t="shared" si="16"/>
        <v>0.20206040910800818</v>
      </c>
      <c r="CI28" s="52">
        <f t="shared" si="16"/>
        <v>0.20728917106725142</v>
      </c>
      <c r="CJ28" s="52">
        <f t="shared" si="16"/>
        <v>0.20728917106725142</v>
      </c>
      <c r="CK28" s="52">
        <f t="shared" si="16"/>
        <v>0.20728917106725142</v>
      </c>
      <c r="CL28" s="52">
        <f t="shared" si="16"/>
        <v>0.20786219794693364</v>
      </c>
      <c r="CM28" s="52">
        <f t="shared" si="16"/>
        <v>0.20786219794693364</v>
      </c>
      <c r="CN28" s="52">
        <f t="shared" si="16"/>
        <v>0.20786219794693364</v>
      </c>
      <c r="CO28" s="52">
        <f t="shared" si="16"/>
        <v>0.21075001786934303</v>
      </c>
      <c r="CP28" s="52">
        <f t="shared" si="16"/>
        <v>0.21075001786934303</v>
      </c>
      <c r="CQ28" s="52">
        <f t="shared" si="16"/>
        <v>0.21075001786934303</v>
      </c>
      <c r="CR28" s="52">
        <f t="shared" si="16"/>
        <v>0.21216342956340861</v>
      </c>
      <c r="CS28" s="52">
        <f t="shared" si="16"/>
        <v>0.21216342956340861</v>
      </c>
      <c r="CT28" s="52">
        <f t="shared" si="16"/>
        <v>0.21216342956340861</v>
      </c>
      <c r="CU28" s="52">
        <f t="shared" si="16"/>
        <v>0.21765362962061402</v>
      </c>
      <c r="CV28" s="52">
        <f t="shared" si="16"/>
        <v>0.21765362962061402</v>
      </c>
      <c r="CW28" s="52">
        <f t="shared" si="16"/>
        <v>0.21765362962061402</v>
      </c>
      <c r="CX28" s="52">
        <f t="shared" si="16"/>
        <v>0.21825530784428038</v>
      </c>
      <c r="CY28" s="52">
        <f t="shared" si="16"/>
        <v>0.21825530784428038</v>
      </c>
      <c r="CZ28" s="52">
        <f t="shared" si="16"/>
        <v>0.21825530784428038</v>
      </c>
      <c r="DA28" s="52">
        <f t="shared" si="16"/>
        <v>0.22128751876281019</v>
      </c>
      <c r="DB28" s="52">
        <f t="shared" si="16"/>
        <v>0.22128751876281019</v>
      </c>
      <c r="DC28" s="52">
        <f t="shared" si="16"/>
        <v>0.22128751876281019</v>
      </c>
      <c r="DD28" s="52">
        <f t="shared" si="16"/>
        <v>0.22277160104157906</v>
      </c>
      <c r="DE28" s="52">
        <f t="shared" si="16"/>
        <v>0.22277160104157906</v>
      </c>
      <c r="DF28" s="52">
        <f t="shared" si="16"/>
        <v>0.22277160104157906</v>
      </c>
      <c r="DG28" s="52">
        <f t="shared" si="16"/>
        <v>0.22853631110164466</v>
      </c>
      <c r="DH28" s="52">
        <f t="shared" si="16"/>
        <v>0.22853631110164466</v>
      </c>
      <c r="DI28" s="52">
        <f t="shared" si="16"/>
        <v>0.22853631110164466</v>
      </c>
      <c r="DJ28" s="52">
        <f t="shared" si="16"/>
        <v>0.22916807323649435</v>
      </c>
      <c r="DK28" s="52">
        <f t="shared" si="16"/>
        <v>0.22916807323649435</v>
      </c>
      <c r="DL28" s="52">
        <f t="shared" si="16"/>
        <v>0.22916807323649435</v>
      </c>
      <c r="DM28" s="52">
        <f t="shared" si="16"/>
        <v>0.23235189470095069</v>
      </c>
      <c r="DN28" s="52">
        <f t="shared" si="16"/>
        <v>0.23235189470095069</v>
      </c>
      <c r="DO28" s="52">
        <f t="shared" si="16"/>
        <v>0.23235189470095069</v>
      </c>
      <c r="DP28" s="52">
        <f t="shared" si="16"/>
        <v>0.23391018109365797</v>
      </c>
      <c r="DQ28" s="52">
        <f t="shared" si="16"/>
        <v>0.23391018109365797</v>
      </c>
      <c r="DR28" s="52">
        <f t="shared" si="16"/>
        <v>0.23391018109365797</v>
      </c>
      <c r="DS28" s="52">
        <f t="shared" si="16"/>
        <v>0.23996312665672695</v>
      </c>
      <c r="DT28" s="52">
        <f t="shared" si="16"/>
        <v>0.23996312665672695</v>
      </c>
      <c r="DU28" s="52">
        <f t="shared" si="16"/>
        <v>0.23996312665672695</v>
      </c>
      <c r="DV28" s="52">
        <f t="shared" si="16"/>
        <v>0.24062647689831912</v>
      </c>
      <c r="DW28" s="52">
        <f t="shared" si="16"/>
        <v>0.24062647689831912</v>
      </c>
      <c r="DX28" s="52">
        <f t="shared" si="16"/>
        <v>0.24062647689831912</v>
      </c>
      <c r="DY28" s="52">
        <f t="shared" si="16"/>
        <v>0.24396948943599819</v>
      </c>
      <c r="DZ28" s="52">
        <f t="shared" si="16"/>
        <v>0.24396948943599819</v>
      </c>
      <c r="EA28" s="52">
        <f t="shared" ref="EA28:GL28" si="17">EA27*$C$11</f>
        <v>0.24396948943599819</v>
      </c>
      <c r="EB28" s="52">
        <f t="shared" si="17"/>
        <v>0.24560569014834088</v>
      </c>
      <c r="EC28" s="52">
        <f t="shared" si="17"/>
        <v>0.24560569014834088</v>
      </c>
      <c r="ED28" s="52">
        <f t="shared" si="17"/>
        <v>0.24560569014834088</v>
      </c>
      <c r="EE28" s="52">
        <f t="shared" si="17"/>
        <v>0.25196128298956327</v>
      </c>
      <c r="EF28" s="52">
        <f t="shared" si="17"/>
        <v>0.25196128298956327</v>
      </c>
      <c r="EG28" s="52">
        <f t="shared" si="17"/>
        <v>0.25196128298956327</v>
      </c>
      <c r="EH28" s="52">
        <f t="shared" si="17"/>
        <v>0.25265780074323513</v>
      </c>
      <c r="EI28" s="52">
        <f t="shared" si="17"/>
        <v>0.25265780074323513</v>
      </c>
      <c r="EJ28" s="52">
        <f t="shared" si="17"/>
        <v>0.25265780074323513</v>
      </c>
      <c r="EK28" s="52">
        <f t="shared" si="17"/>
        <v>0.25616796390779811</v>
      </c>
      <c r="EL28" s="52">
        <f t="shared" si="17"/>
        <v>0.25616796390779811</v>
      </c>
      <c r="EM28" s="52">
        <f t="shared" si="17"/>
        <v>0.25616796390779811</v>
      </c>
      <c r="EN28" s="52">
        <f t="shared" si="17"/>
        <v>0.25788597465575797</v>
      </c>
      <c r="EO28" s="52">
        <f t="shared" si="17"/>
        <v>0.25788597465575797</v>
      </c>
      <c r="EP28" s="52">
        <f t="shared" si="17"/>
        <v>0.25788597465575797</v>
      </c>
      <c r="EQ28" s="52">
        <f t="shared" si="17"/>
        <v>0.2645593471390415</v>
      </c>
      <c r="ER28" s="52">
        <f t="shared" si="17"/>
        <v>0.2645593471390415</v>
      </c>
      <c r="ES28" s="52">
        <f t="shared" si="17"/>
        <v>0.2645593471390415</v>
      </c>
      <c r="ET28" s="52">
        <f t="shared" si="17"/>
        <v>0.26529069078039685</v>
      </c>
      <c r="EU28" s="52">
        <f t="shared" si="17"/>
        <v>0.26529069078039685</v>
      </c>
      <c r="EV28" s="52">
        <f t="shared" si="17"/>
        <v>0.26529069078039685</v>
      </c>
      <c r="EW28" s="52">
        <f t="shared" si="17"/>
        <v>0.26897636210318809</v>
      </c>
      <c r="EX28" s="52">
        <f t="shared" si="17"/>
        <v>0.26897636210318809</v>
      </c>
      <c r="EY28" s="52">
        <f t="shared" si="17"/>
        <v>0.26897636210318809</v>
      </c>
      <c r="EZ28" s="52">
        <f t="shared" si="17"/>
        <v>0.27078027338854593</v>
      </c>
      <c r="FA28" s="52">
        <f t="shared" si="17"/>
        <v>0.27078027338854593</v>
      </c>
      <c r="FB28" s="52">
        <f t="shared" si="17"/>
        <v>0.27078027338854593</v>
      </c>
      <c r="FC28" s="52">
        <f t="shared" si="17"/>
        <v>0.27778731449599359</v>
      </c>
      <c r="FD28" s="52">
        <f t="shared" si="17"/>
        <v>0.27778731449599359</v>
      </c>
      <c r="FE28" s="52">
        <f t="shared" si="17"/>
        <v>0.27778731449599359</v>
      </c>
      <c r="FF28" s="52">
        <f t="shared" si="17"/>
        <v>0.27855522531941673</v>
      </c>
      <c r="FG28" s="52">
        <f t="shared" si="17"/>
        <v>0.27855522531941673</v>
      </c>
      <c r="FH28" s="52">
        <f t="shared" si="17"/>
        <v>0.27855522531941673</v>
      </c>
      <c r="FI28" s="52">
        <f t="shared" si="17"/>
        <v>0.2824251802083475</v>
      </c>
      <c r="FJ28" s="52">
        <f t="shared" si="17"/>
        <v>0.2824251802083475</v>
      </c>
      <c r="FK28" s="52">
        <f t="shared" si="17"/>
        <v>0.2824251802083475</v>
      </c>
      <c r="FL28" s="52">
        <f t="shared" si="17"/>
        <v>0.28431928705797321</v>
      </c>
      <c r="FM28" s="52">
        <f t="shared" si="17"/>
        <v>0.28431928705797321</v>
      </c>
      <c r="FN28" s="52">
        <f t="shared" si="17"/>
        <v>0.28431928705797321</v>
      </c>
      <c r="FO28" s="52">
        <f t="shared" si="17"/>
        <v>0.29167668022079329</v>
      </c>
      <c r="FP28" s="52">
        <f t="shared" si="17"/>
        <v>0.29167668022079329</v>
      </c>
      <c r="FQ28" s="52">
        <f t="shared" si="17"/>
        <v>0.29167668022079329</v>
      </c>
      <c r="FR28" s="52">
        <f t="shared" si="17"/>
        <v>0.29248298658538757</v>
      </c>
      <c r="FS28" s="52">
        <f t="shared" si="17"/>
        <v>0.29248298658538757</v>
      </c>
      <c r="FT28" s="52">
        <f t="shared" si="17"/>
        <v>0.29248298658538757</v>
      </c>
      <c r="FU28" s="52">
        <f t="shared" si="17"/>
        <v>0.29654643921876489</v>
      </c>
      <c r="FV28" s="52">
        <f t="shared" si="17"/>
        <v>0.29654643921876489</v>
      </c>
      <c r="FW28" s="52">
        <f t="shared" si="17"/>
        <v>0.29654643921876489</v>
      </c>
      <c r="FX28" s="52">
        <f t="shared" si="17"/>
        <v>0.29853525141087184</v>
      </c>
      <c r="FY28" s="52">
        <f t="shared" si="17"/>
        <v>0.29853525141087184</v>
      </c>
      <c r="FZ28" s="52">
        <f t="shared" si="17"/>
        <v>0.29853525141087184</v>
      </c>
      <c r="GA28" s="52">
        <f t="shared" si="17"/>
        <v>0.30626051423183293</v>
      </c>
      <c r="GB28" s="52">
        <f t="shared" si="17"/>
        <v>0.30626051423183293</v>
      </c>
      <c r="GC28" s="52">
        <f t="shared" si="17"/>
        <v>0.30626051423183293</v>
      </c>
      <c r="GD28" s="52">
        <f t="shared" si="17"/>
        <v>0.30710713591465705</v>
      </c>
      <c r="GE28" s="52">
        <f t="shared" si="17"/>
        <v>0.30710713591465705</v>
      </c>
      <c r="GF28" s="52">
        <f t="shared" si="17"/>
        <v>0.30710713591465705</v>
      </c>
      <c r="GG28" s="52">
        <f t="shared" si="17"/>
        <v>0.31137376117970317</v>
      </c>
      <c r="GH28" s="52">
        <f t="shared" si="17"/>
        <v>0.31137376117970317</v>
      </c>
      <c r="GI28" s="52">
        <f t="shared" si="17"/>
        <v>0.31137376117970317</v>
      </c>
      <c r="GJ28" s="52">
        <f t="shared" si="17"/>
        <v>0.31346201398141554</v>
      </c>
      <c r="GK28" s="52">
        <f t="shared" si="17"/>
        <v>0.31346201398141554</v>
      </c>
      <c r="GL28" s="52">
        <f t="shared" si="17"/>
        <v>0.31346201398141554</v>
      </c>
      <c r="GM28" s="52">
        <f t="shared" ref="GM28:IX28" si="18">GM27*$C$11</f>
        <v>0.32157353994342458</v>
      </c>
      <c r="GN28" s="52">
        <f t="shared" si="18"/>
        <v>0.32157353994342458</v>
      </c>
      <c r="GO28" s="52">
        <f t="shared" si="18"/>
        <v>0.32157353994342458</v>
      </c>
      <c r="GP28" s="52">
        <f t="shared" si="18"/>
        <v>0.32246249271038979</v>
      </c>
      <c r="GQ28" s="52">
        <f t="shared" si="18"/>
        <v>0.32246249271038979</v>
      </c>
      <c r="GR28" s="52">
        <f t="shared" si="18"/>
        <v>0.32246249271038979</v>
      </c>
      <c r="GS28" s="52">
        <f t="shared" si="18"/>
        <v>0.32694244923868832</v>
      </c>
      <c r="GT28" s="52">
        <f t="shared" si="18"/>
        <v>0.32694244923868832</v>
      </c>
      <c r="GU28" s="52">
        <f t="shared" si="18"/>
        <v>0.32694244923868832</v>
      </c>
      <c r="GV28" s="52">
        <f t="shared" si="18"/>
        <v>0.32913511468048628</v>
      </c>
      <c r="GW28" s="52">
        <f t="shared" si="18"/>
        <v>0.32913511468048628</v>
      </c>
      <c r="GX28" s="52">
        <f t="shared" si="18"/>
        <v>0.32913511468048628</v>
      </c>
      <c r="GY28" s="52">
        <f t="shared" si="18"/>
        <v>0.33765221694059583</v>
      </c>
      <c r="GZ28" s="52">
        <f t="shared" si="18"/>
        <v>0.33765221694059583</v>
      </c>
      <c r="HA28" s="52">
        <f t="shared" si="18"/>
        <v>0.33765221694059583</v>
      </c>
      <c r="HB28" s="52">
        <f t="shared" si="18"/>
        <v>0.33858561734590936</v>
      </c>
      <c r="HC28" s="52">
        <f t="shared" si="18"/>
        <v>0.33858561734590936</v>
      </c>
      <c r="HD28" s="52">
        <f t="shared" si="18"/>
        <v>0.33858561734590936</v>
      </c>
      <c r="HE28" s="52">
        <f t="shared" si="18"/>
        <v>0.3432895717006228</v>
      </c>
      <c r="HF28" s="52">
        <f t="shared" si="18"/>
        <v>0.3432895717006228</v>
      </c>
      <c r="HG28" s="52">
        <f t="shared" si="18"/>
        <v>0.3432895717006228</v>
      </c>
      <c r="HH28" s="52">
        <f t="shared" si="18"/>
        <v>0.34559187041451067</v>
      </c>
      <c r="HI28" s="52">
        <f t="shared" si="18"/>
        <v>0.34559187041451067</v>
      </c>
      <c r="HJ28" s="52">
        <f t="shared" si="18"/>
        <v>0.34559187041451067</v>
      </c>
      <c r="HK28" s="52">
        <f t="shared" si="18"/>
        <v>0.35453482778762568</v>
      </c>
      <c r="HL28" s="52">
        <f t="shared" si="18"/>
        <v>0.35453482778762568</v>
      </c>
      <c r="HM28" s="52">
        <f t="shared" si="18"/>
        <v>0.35453482778762568</v>
      </c>
      <c r="HN28" s="52">
        <f t="shared" si="18"/>
        <v>0.35551489821320481</v>
      </c>
      <c r="HO28" s="52">
        <f t="shared" si="18"/>
        <v>0.35551489821320481</v>
      </c>
      <c r="HP28" s="52">
        <f t="shared" si="18"/>
        <v>0.35551489821320481</v>
      </c>
      <c r="HQ28" s="52">
        <f t="shared" si="18"/>
        <v>0.36045405028565392</v>
      </c>
      <c r="HR28" s="52">
        <f t="shared" si="18"/>
        <v>0.36045405028565392</v>
      </c>
      <c r="HS28" s="52">
        <f t="shared" si="18"/>
        <v>0.36045405028565392</v>
      </c>
      <c r="HT28" s="52">
        <f t="shared" si="18"/>
        <v>0.36287146393523617</v>
      </c>
      <c r="HU28" s="52">
        <f t="shared" si="18"/>
        <v>0.36287146393523617</v>
      </c>
      <c r="HV28" s="52">
        <f t="shared" si="18"/>
        <v>0.36287146393523617</v>
      </c>
      <c r="HW28" s="52">
        <f t="shared" si="18"/>
        <v>0.37226156917700692</v>
      </c>
      <c r="HX28" s="52">
        <f t="shared" si="18"/>
        <v>0.37226156917700692</v>
      </c>
      <c r="HY28" s="52">
        <f t="shared" si="18"/>
        <v>0.37226156917700692</v>
      </c>
      <c r="HZ28" s="52">
        <f t="shared" si="18"/>
        <v>0.37329064312386506</v>
      </c>
      <c r="IA28" s="52">
        <f t="shared" si="18"/>
        <v>0.37329064312386506</v>
      </c>
      <c r="IB28" s="52">
        <f t="shared" si="18"/>
        <v>0.37329064312386506</v>
      </c>
      <c r="IC28" s="52">
        <f t="shared" si="18"/>
        <v>0.31238201357934392</v>
      </c>
      <c r="ID28" s="52">
        <f t="shared" si="18"/>
        <v>0.31238201357934392</v>
      </c>
      <c r="IE28" s="52">
        <f t="shared" si="18"/>
        <v>0.31238201357934392</v>
      </c>
      <c r="IF28" s="52">
        <f t="shared" si="18"/>
        <v>0.31492029791140524</v>
      </c>
      <c r="IG28" s="52">
        <f t="shared" si="18"/>
        <v>0.31492029791140524</v>
      </c>
      <c r="IH28" s="52">
        <f t="shared" si="18"/>
        <v>0.31492029791140524</v>
      </c>
      <c r="II28" s="52">
        <f t="shared" si="18"/>
        <v>0.32147517145423499</v>
      </c>
      <c r="IJ28" s="52">
        <f t="shared" si="18"/>
        <v>0.32147517145423499</v>
      </c>
      <c r="IK28" s="52">
        <f t="shared" si="18"/>
        <v>0.32147517145423499</v>
      </c>
      <c r="IL28" s="52">
        <f t="shared" si="18"/>
        <v>0.32255569909843601</v>
      </c>
      <c r="IM28" s="52">
        <f t="shared" si="18"/>
        <v>0.32255569909843601</v>
      </c>
      <c r="IN28" s="52">
        <f t="shared" si="18"/>
        <v>0.32255569909843601</v>
      </c>
      <c r="IO28" s="52">
        <f t="shared" si="18"/>
        <v>0.19997908709521503</v>
      </c>
      <c r="IP28" s="52">
        <f t="shared" si="18"/>
        <v>0.19997908709521503</v>
      </c>
      <c r="IQ28" s="52">
        <f t="shared" si="18"/>
        <v>0.19997908709521503</v>
      </c>
      <c r="IR28" s="52">
        <f t="shared" si="18"/>
        <v>0.2026442856438794</v>
      </c>
      <c r="IS28" s="52">
        <f t="shared" si="18"/>
        <v>0.2026442856438794</v>
      </c>
      <c r="IT28" s="52">
        <f t="shared" si="18"/>
        <v>0.2026442856438794</v>
      </c>
      <c r="IU28" s="52">
        <f t="shared" si="18"/>
        <v>0.20312580150569581</v>
      </c>
      <c r="IV28" s="52">
        <f t="shared" si="18"/>
        <v>0.20312580150569581</v>
      </c>
      <c r="IW28" s="52">
        <f t="shared" si="18"/>
        <v>0.20312580150569581</v>
      </c>
      <c r="IX28" s="52">
        <f t="shared" si="18"/>
        <v>0.15089440319722189</v>
      </c>
      <c r="IY28" s="52">
        <f t="shared" ref="IY28:JI28" si="19">IY27*$C$11</f>
        <v>0.15089440319722189</v>
      </c>
      <c r="IZ28" s="52">
        <f t="shared" si="19"/>
        <v>0.15089440319722189</v>
      </c>
      <c r="JA28" s="52">
        <f t="shared" si="19"/>
        <v>0.15661208911509075</v>
      </c>
      <c r="JB28" s="52">
        <f t="shared" si="19"/>
        <v>0.15661208911509075</v>
      </c>
      <c r="JC28" s="52">
        <f t="shared" si="19"/>
        <v>0.15661208911509075</v>
      </c>
      <c r="JD28" s="52">
        <f t="shared" si="19"/>
        <v>0.15674224997444414</v>
      </c>
      <c r="JE28" s="52">
        <f t="shared" si="19"/>
        <v>0.15674224997444414</v>
      </c>
      <c r="JF28" s="52">
        <f t="shared" si="19"/>
        <v>0.15674224997444414</v>
      </c>
      <c r="JG28" s="52">
        <f t="shared" si="19"/>
        <v>4.2761153832023557E-2</v>
      </c>
      <c r="JH28" s="52">
        <f t="shared" si="19"/>
        <v>4.2761153832023557E-2</v>
      </c>
      <c r="JI28" s="52">
        <f t="shared" si="19"/>
        <v>4.2761153832023557E-2</v>
      </c>
      <c r="JJ28" s="452">
        <f t="shared" ref="JJ28:JJ30" si="20">SUM(C28:JI28)</f>
        <v>61.260104533501561</v>
      </c>
    </row>
    <row r="29" spans="2:272" x14ac:dyDescent="0.3">
      <c r="B29" s="169" t="str">
        <f>'LRD_Phase-wise'!B336</f>
        <v>Less: Margin</v>
      </c>
      <c r="C29" s="52">
        <f t="shared" ref="C29:BN29" si="21">C27*$C$12</f>
        <v>2.7431831845346245E-2</v>
      </c>
      <c r="D29" s="52">
        <f t="shared" si="21"/>
        <v>2.7431831845346245E-2</v>
      </c>
      <c r="E29" s="52">
        <f t="shared" si="21"/>
        <v>2.7431831845346245E-2</v>
      </c>
      <c r="F29" s="52">
        <f t="shared" si="21"/>
        <v>2.7431831845346245E-2</v>
      </c>
      <c r="G29" s="52">
        <f t="shared" si="21"/>
        <v>2.7431831845346245E-2</v>
      </c>
      <c r="H29" s="52">
        <f t="shared" si="21"/>
        <v>2.7431831845346245E-2</v>
      </c>
      <c r="I29" s="52">
        <f t="shared" si="21"/>
        <v>2.7431831845346245E-2</v>
      </c>
      <c r="J29" s="52">
        <f t="shared" si="21"/>
        <v>2.7431831845346245E-2</v>
      </c>
      <c r="K29" s="52">
        <f t="shared" si="21"/>
        <v>2.7431831845346245E-2</v>
      </c>
      <c r="L29" s="52">
        <f t="shared" si="21"/>
        <v>2.7431831845346245E-2</v>
      </c>
      <c r="M29" s="52">
        <f t="shared" si="21"/>
        <v>2.7431831845346245E-2</v>
      </c>
      <c r="N29" s="52">
        <f t="shared" si="21"/>
        <v>2.7431831845346245E-2</v>
      </c>
      <c r="O29" s="52">
        <f t="shared" si="21"/>
        <v>8.1937436266038943E-2</v>
      </c>
      <c r="P29" s="52">
        <f t="shared" si="21"/>
        <v>8.1937436266038943E-2</v>
      </c>
      <c r="Q29" s="52">
        <f t="shared" si="21"/>
        <v>8.1937436266038943E-2</v>
      </c>
      <c r="R29" s="52">
        <f t="shared" si="21"/>
        <v>8.1937436266038943E-2</v>
      </c>
      <c r="S29" s="52">
        <f t="shared" si="21"/>
        <v>8.1937436266038943E-2</v>
      </c>
      <c r="T29" s="52">
        <f t="shared" si="21"/>
        <v>8.1937436266038943E-2</v>
      </c>
      <c r="U29" s="52">
        <f t="shared" si="21"/>
        <v>8.1937436266038943E-2</v>
      </c>
      <c r="V29" s="52">
        <f t="shared" si="21"/>
        <v>8.1937436266038943E-2</v>
      </c>
      <c r="W29" s="52">
        <f t="shared" si="21"/>
        <v>8.1937436266038943E-2</v>
      </c>
      <c r="X29" s="52">
        <f t="shared" si="21"/>
        <v>0.10408633719189696</v>
      </c>
      <c r="Y29" s="52">
        <f t="shared" si="21"/>
        <v>0.10408633719189696</v>
      </c>
      <c r="Z29" s="52">
        <f t="shared" si="21"/>
        <v>0.10408633719189696</v>
      </c>
      <c r="AA29" s="52">
        <f t="shared" si="21"/>
        <v>0.1081832090051989</v>
      </c>
      <c r="AB29" s="52">
        <f t="shared" si="21"/>
        <v>0.1081832090051989</v>
      </c>
      <c r="AC29" s="52">
        <f t="shared" si="21"/>
        <v>0.1081832090051989</v>
      </c>
      <c r="AD29" s="52">
        <f t="shared" si="21"/>
        <v>0.1081832090051989</v>
      </c>
      <c r="AE29" s="52">
        <f t="shared" si="21"/>
        <v>0.1081832090051989</v>
      </c>
      <c r="AF29" s="52">
        <f t="shared" si="21"/>
        <v>0.1081832090051989</v>
      </c>
      <c r="AG29" s="52">
        <f t="shared" si="21"/>
        <v>0.15569954094358804</v>
      </c>
      <c r="AH29" s="52">
        <f t="shared" si="21"/>
        <v>0.15569954094358804</v>
      </c>
      <c r="AI29" s="52">
        <f t="shared" si="21"/>
        <v>0.15569954094358804</v>
      </c>
      <c r="AJ29" s="52">
        <f t="shared" si="21"/>
        <v>0.15680698598988094</v>
      </c>
      <c r="AK29" s="52">
        <f t="shared" si="21"/>
        <v>0.15680698598988094</v>
      </c>
      <c r="AL29" s="52">
        <f t="shared" si="21"/>
        <v>0.15680698598988094</v>
      </c>
      <c r="AM29" s="52">
        <f t="shared" si="21"/>
        <v>0.16110870139384795</v>
      </c>
      <c r="AN29" s="52">
        <f t="shared" si="21"/>
        <v>0.16110870139384795</v>
      </c>
      <c r="AO29" s="52">
        <f t="shared" si="21"/>
        <v>0.16110870139384795</v>
      </c>
      <c r="AP29" s="52">
        <f t="shared" si="21"/>
        <v>0.17100874466662233</v>
      </c>
      <c r="AQ29" s="52">
        <f t="shared" si="21"/>
        <v>0.17100874466662233</v>
      </c>
      <c r="AR29" s="52">
        <f t="shared" si="21"/>
        <v>0.17100874466662233</v>
      </c>
      <c r="AS29" s="52">
        <f t="shared" si="21"/>
        <v>0.17338456126354179</v>
      </c>
      <c r="AT29" s="52">
        <f t="shared" si="21"/>
        <v>0.17338456126354179</v>
      </c>
      <c r="AU29" s="52">
        <f t="shared" si="21"/>
        <v>0.17338456126354179</v>
      </c>
      <c r="AV29" s="52">
        <f t="shared" si="21"/>
        <v>0.17454737856214936</v>
      </c>
      <c r="AW29" s="52">
        <f t="shared" si="21"/>
        <v>0.17454737856214936</v>
      </c>
      <c r="AX29" s="52">
        <f t="shared" si="21"/>
        <v>0.17454737856214936</v>
      </c>
      <c r="AY29" s="52">
        <f t="shared" si="21"/>
        <v>0.17906417973631475</v>
      </c>
      <c r="AZ29" s="52">
        <f t="shared" si="21"/>
        <v>0.17906417973631475</v>
      </c>
      <c r="BA29" s="52">
        <f t="shared" si="21"/>
        <v>0.17906417973631475</v>
      </c>
      <c r="BB29" s="52">
        <f t="shared" si="21"/>
        <v>0.17955918189995348</v>
      </c>
      <c r="BC29" s="52">
        <f t="shared" si="21"/>
        <v>0.17955918189995348</v>
      </c>
      <c r="BD29" s="52">
        <f t="shared" si="21"/>
        <v>0.17955918189995348</v>
      </c>
      <c r="BE29" s="52">
        <f t="shared" si="21"/>
        <v>0.1820537893267189</v>
      </c>
      <c r="BF29" s="52">
        <f t="shared" si="21"/>
        <v>0.1820537893267189</v>
      </c>
      <c r="BG29" s="52">
        <f t="shared" si="21"/>
        <v>0.1820537893267189</v>
      </c>
      <c r="BH29" s="52">
        <f t="shared" si="21"/>
        <v>0.18327474749025685</v>
      </c>
      <c r="BI29" s="52">
        <f t="shared" si="21"/>
        <v>0.18327474749025685</v>
      </c>
      <c r="BJ29" s="52">
        <f t="shared" si="21"/>
        <v>0.18327474749025685</v>
      </c>
      <c r="BK29" s="52">
        <f t="shared" si="21"/>
        <v>0.18801738872313051</v>
      </c>
      <c r="BL29" s="52">
        <f t="shared" si="21"/>
        <v>0.18801738872313051</v>
      </c>
      <c r="BM29" s="52">
        <f t="shared" si="21"/>
        <v>0.18801738872313051</v>
      </c>
      <c r="BN29" s="52">
        <f t="shared" si="21"/>
        <v>0.18853714099495114</v>
      </c>
      <c r="BO29" s="52">
        <f t="shared" ref="BO29:DZ29" si="22">BO27*$C$12</f>
        <v>0.18853714099495114</v>
      </c>
      <c r="BP29" s="52">
        <f t="shared" si="22"/>
        <v>0.18853714099495114</v>
      </c>
      <c r="BQ29" s="52">
        <f t="shared" si="22"/>
        <v>0.19115647879305486</v>
      </c>
      <c r="BR29" s="52">
        <f t="shared" si="22"/>
        <v>0.19115647879305486</v>
      </c>
      <c r="BS29" s="52">
        <f t="shared" si="22"/>
        <v>0.19115647879305486</v>
      </c>
      <c r="BT29" s="52">
        <f t="shared" si="22"/>
        <v>0.19243848486476967</v>
      </c>
      <c r="BU29" s="52">
        <f t="shared" si="22"/>
        <v>0.19243848486476967</v>
      </c>
      <c r="BV29" s="52">
        <f t="shared" si="22"/>
        <v>0.19243848486476967</v>
      </c>
      <c r="BW29" s="52">
        <f t="shared" si="22"/>
        <v>0.19741825815928707</v>
      </c>
      <c r="BX29" s="52">
        <f t="shared" si="22"/>
        <v>0.19741825815928707</v>
      </c>
      <c r="BY29" s="52">
        <f t="shared" si="22"/>
        <v>0.19741825815928707</v>
      </c>
      <c r="BZ29" s="52">
        <f t="shared" si="22"/>
        <v>0.19796399804469877</v>
      </c>
      <c r="CA29" s="52">
        <f t="shared" si="22"/>
        <v>0.19796399804469877</v>
      </c>
      <c r="CB29" s="52">
        <f t="shared" si="22"/>
        <v>0.19796399804469877</v>
      </c>
      <c r="CC29" s="52">
        <f t="shared" si="22"/>
        <v>0.20071430273270763</v>
      </c>
      <c r="CD29" s="52">
        <f t="shared" si="22"/>
        <v>0.20071430273270763</v>
      </c>
      <c r="CE29" s="52">
        <f t="shared" si="22"/>
        <v>0.20071430273270763</v>
      </c>
      <c r="CF29" s="52">
        <f t="shared" si="22"/>
        <v>0.20206040910800818</v>
      </c>
      <c r="CG29" s="52">
        <f t="shared" si="22"/>
        <v>0.20206040910800818</v>
      </c>
      <c r="CH29" s="52">
        <f t="shared" si="22"/>
        <v>0.20206040910800818</v>
      </c>
      <c r="CI29" s="52">
        <f t="shared" si="22"/>
        <v>0.20728917106725142</v>
      </c>
      <c r="CJ29" s="52">
        <f t="shared" si="22"/>
        <v>0.20728917106725142</v>
      </c>
      <c r="CK29" s="52">
        <f t="shared" si="22"/>
        <v>0.20728917106725142</v>
      </c>
      <c r="CL29" s="52">
        <f t="shared" si="22"/>
        <v>0.20786219794693364</v>
      </c>
      <c r="CM29" s="52">
        <f t="shared" si="22"/>
        <v>0.20786219794693364</v>
      </c>
      <c r="CN29" s="52">
        <f t="shared" si="22"/>
        <v>0.20786219794693364</v>
      </c>
      <c r="CO29" s="52">
        <f t="shared" si="22"/>
        <v>0.21075001786934303</v>
      </c>
      <c r="CP29" s="52">
        <f t="shared" si="22"/>
        <v>0.21075001786934303</v>
      </c>
      <c r="CQ29" s="52">
        <f t="shared" si="22"/>
        <v>0.21075001786934303</v>
      </c>
      <c r="CR29" s="52">
        <f t="shared" si="22"/>
        <v>0.21216342956340861</v>
      </c>
      <c r="CS29" s="52">
        <f t="shared" si="22"/>
        <v>0.21216342956340861</v>
      </c>
      <c r="CT29" s="52">
        <f t="shared" si="22"/>
        <v>0.21216342956340861</v>
      </c>
      <c r="CU29" s="52">
        <f t="shared" si="22"/>
        <v>0.21765362962061402</v>
      </c>
      <c r="CV29" s="52">
        <f t="shared" si="22"/>
        <v>0.21765362962061402</v>
      </c>
      <c r="CW29" s="52">
        <f t="shared" si="22"/>
        <v>0.21765362962061402</v>
      </c>
      <c r="CX29" s="52">
        <f t="shared" si="22"/>
        <v>0.21825530784428038</v>
      </c>
      <c r="CY29" s="52">
        <f t="shared" si="22"/>
        <v>0.21825530784428038</v>
      </c>
      <c r="CZ29" s="52">
        <f t="shared" si="22"/>
        <v>0.21825530784428038</v>
      </c>
      <c r="DA29" s="52">
        <f t="shared" si="22"/>
        <v>0.22128751876281019</v>
      </c>
      <c r="DB29" s="52">
        <f t="shared" si="22"/>
        <v>0.22128751876281019</v>
      </c>
      <c r="DC29" s="52">
        <f t="shared" si="22"/>
        <v>0.22128751876281019</v>
      </c>
      <c r="DD29" s="52">
        <f t="shared" si="22"/>
        <v>0.22277160104157906</v>
      </c>
      <c r="DE29" s="52">
        <f t="shared" si="22"/>
        <v>0.22277160104157906</v>
      </c>
      <c r="DF29" s="52">
        <f t="shared" si="22"/>
        <v>0.22277160104157906</v>
      </c>
      <c r="DG29" s="52">
        <f t="shared" si="22"/>
        <v>0.22853631110164466</v>
      </c>
      <c r="DH29" s="52">
        <f t="shared" si="22"/>
        <v>0.22853631110164466</v>
      </c>
      <c r="DI29" s="52">
        <f t="shared" si="22"/>
        <v>0.22853631110164466</v>
      </c>
      <c r="DJ29" s="52">
        <f t="shared" si="22"/>
        <v>0.22916807323649435</v>
      </c>
      <c r="DK29" s="52">
        <f t="shared" si="22"/>
        <v>0.22916807323649435</v>
      </c>
      <c r="DL29" s="52">
        <f t="shared" si="22"/>
        <v>0.22916807323649435</v>
      </c>
      <c r="DM29" s="52">
        <f t="shared" si="22"/>
        <v>0.23235189470095069</v>
      </c>
      <c r="DN29" s="52">
        <f t="shared" si="22"/>
        <v>0.23235189470095069</v>
      </c>
      <c r="DO29" s="52">
        <f t="shared" si="22"/>
        <v>0.23235189470095069</v>
      </c>
      <c r="DP29" s="52">
        <f t="shared" si="22"/>
        <v>0.23391018109365797</v>
      </c>
      <c r="DQ29" s="52">
        <f t="shared" si="22"/>
        <v>0.23391018109365797</v>
      </c>
      <c r="DR29" s="52">
        <f t="shared" si="22"/>
        <v>0.23391018109365797</v>
      </c>
      <c r="DS29" s="52">
        <f t="shared" si="22"/>
        <v>0.23996312665672695</v>
      </c>
      <c r="DT29" s="52">
        <f t="shared" si="22"/>
        <v>0.23996312665672695</v>
      </c>
      <c r="DU29" s="52">
        <f t="shared" si="22"/>
        <v>0.23996312665672695</v>
      </c>
      <c r="DV29" s="52">
        <f t="shared" si="22"/>
        <v>0.24062647689831912</v>
      </c>
      <c r="DW29" s="52">
        <f t="shared" si="22"/>
        <v>0.24062647689831912</v>
      </c>
      <c r="DX29" s="52">
        <f t="shared" si="22"/>
        <v>0.24062647689831912</v>
      </c>
      <c r="DY29" s="52">
        <f t="shared" si="22"/>
        <v>0.24396948943599819</v>
      </c>
      <c r="DZ29" s="52">
        <f t="shared" si="22"/>
        <v>0.24396948943599819</v>
      </c>
      <c r="EA29" s="52">
        <f t="shared" ref="EA29:GL29" si="23">EA27*$C$12</f>
        <v>0.24396948943599819</v>
      </c>
      <c r="EB29" s="52">
        <f t="shared" si="23"/>
        <v>0.24560569014834088</v>
      </c>
      <c r="EC29" s="52">
        <f t="shared" si="23"/>
        <v>0.24560569014834088</v>
      </c>
      <c r="ED29" s="52">
        <f t="shared" si="23"/>
        <v>0.24560569014834088</v>
      </c>
      <c r="EE29" s="52">
        <f t="shared" si="23"/>
        <v>0.25196128298956327</v>
      </c>
      <c r="EF29" s="52">
        <f t="shared" si="23"/>
        <v>0.25196128298956327</v>
      </c>
      <c r="EG29" s="52">
        <f t="shared" si="23"/>
        <v>0.25196128298956327</v>
      </c>
      <c r="EH29" s="52">
        <f t="shared" si="23"/>
        <v>0.25265780074323513</v>
      </c>
      <c r="EI29" s="52">
        <f t="shared" si="23"/>
        <v>0.25265780074323513</v>
      </c>
      <c r="EJ29" s="52">
        <f t="shared" si="23"/>
        <v>0.25265780074323513</v>
      </c>
      <c r="EK29" s="52">
        <f t="shared" si="23"/>
        <v>0.25616796390779811</v>
      </c>
      <c r="EL29" s="52">
        <f t="shared" si="23"/>
        <v>0.25616796390779811</v>
      </c>
      <c r="EM29" s="52">
        <f t="shared" si="23"/>
        <v>0.25616796390779811</v>
      </c>
      <c r="EN29" s="52">
        <f t="shared" si="23"/>
        <v>0.25788597465575797</v>
      </c>
      <c r="EO29" s="52">
        <f t="shared" si="23"/>
        <v>0.25788597465575797</v>
      </c>
      <c r="EP29" s="52">
        <f t="shared" si="23"/>
        <v>0.25788597465575797</v>
      </c>
      <c r="EQ29" s="52">
        <f t="shared" si="23"/>
        <v>0.2645593471390415</v>
      </c>
      <c r="ER29" s="52">
        <f t="shared" si="23"/>
        <v>0.2645593471390415</v>
      </c>
      <c r="ES29" s="52">
        <f t="shared" si="23"/>
        <v>0.2645593471390415</v>
      </c>
      <c r="ET29" s="52">
        <f t="shared" si="23"/>
        <v>0.26529069078039685</v>
      </c>
      <c r="EU29" s="52">
        <f t="shared" si="23"/>
        <v>0.26529069078039685</v>
      </c>
      <c r="EV29" s="52">
        <f t="shared" si="23"/>
        <v>0.26529069078039685</v>
      </c>
      <c r="EW29" s="52">
        <f t="shared" si="23"/>
        <v>0.26897636210318809</v>
      </c>
      <c r="EX29" s="52">
        <f t="shared" si="23"/>
        <v>0.26897636210318809</v>
      </c>
      <c r="EY29" s="52">
        <f t="shared" si="23"/>
        <v>0.26897636210318809</v>
      </c>
      <c r="EZ29" s="52">
        <f t="shared" si="23"/>
        <v>0.27078027338854593</v>
      </c>
      <c r="FA29" s="52">
        <f t="shared" si="23"/>
        <v>0.27078027338854593</v>
      </c>
      <c r="FB29" s="52">
        <f t="shared" si="23"/>
        <v>0.27078027338854593</v>
      </c>
      <c r="FC29" s="52">
        <f t="shared" si="23"/>
        <v>0.27778731449599359</v>
      </c>
      <c r="FD29" s="52">
        <f t="shared" si="23"/>
        <v>0.27778731449599359</v>
      </c>
      <c r="FE29" s="52">
        <f t="shared" si="23"/>
        <v>0.27778731449599359</v>
      </c>
      <c r="FF29" s="52">
        <f t="shared" si="23"/>
        <v>0.27855522531941673</v>
      </c>
      <c r="FG29" s="52">
        <f t="shared" si="23"/>
        <v>0.27855522531941673</v>
      </c>
      <c r="FH29" s="52">
        <f t="shared" si="23"/>
        <v>0.27855522531941673</v>
      </c>
      <c r="FI29" s="52">
        <f t="shared" si="23"/>
        <v>0.2824251802083475</v>
      </c>
      <c r="FJ29" s="52">
        <f t="shared" si="23"/>
        <v>0.2824251802083475</v>
      </c>
      <c r="FK29" s="52">
        <f t="shared" si="23"/>
        <v>0.2824251802083475</v>
      </c>
      <c r="FL29" s="52">
        <f t="shared" si="23"/>
        <v>0.28431928705797321</v>
      </c>
      <c r="FM29" s="52">
        <f t="shared" si="23"/>
        <v>0.28431928705797321</v>
      </c>
      <c r="FN29" s="52">
        <f t="shared" si="23"/>
        <v>0.28431928705797321</v>
      </c>
      <c r="FO29" s="52">
        <f t="shared" si="23"/>
        <v>0.29167668022079329</v>
      </c>
      <c r="FP29" s="52">
        <f t="shared" si="23"/>
        <v>0.29167668022079329</v>
      </c>
      <c r="FQ29" s="52">
        <f t="shared" si="23"/>
        <v>0.29167668022079329</v>
      </c>
      <c r="FR29" s="52">
        <f t="shared" si="23"/>
        <v>0.29248298658538757</v>
      </c>
      <c r="FS29" s="52">
        <f t="shared" si="23"/>
        <v>0.29248298658538757</v>
      </c>
      <c r="FT29" s="52">
        <f t="shared" si="23"/>
        <v>0.29248298658538757</v>
      </c>
      <c r="FU29" s="52">
        <f t="shared" si="23"/>
        <v>0.29654643921876489</v>
      </c>
      <c r="FV29" s="52">
        <f t="shared" si="23"/>
        <v>0.29654643921876489</v>
      </c>
      <c r="FW29" s="52">
        <f t="shared" si="23"/>
        <v>0.29654643921876489</v>
      </c>
      <c r="FX29" s="52">
        <f t="shared" si="23"/>
        <v>0.29853525141087184</v>
      </c>
      <c r="FY29" s="52">
        <f t="shared" si="23"/>
        <v>0.29853525141087184</v>
      </c>
      <c r="FZ29" s="52">
        <f t="shared" si="23"/>
        <v>0.29853525141087184</v>
      </c>
      <c r="GA29" s="52">
        <f t="shared" si="23"/>
        <v>0.30626051423183293</v>
      </c>
      <c r="GB29" s="52">
        <f t="shared" si="23"/>
        <v>0.30626051423183293</v>
      </c>
      <c r="GC29" s="52">
        <f t="shared" si="23"/>
        <v>0.30626051423183293</v>
      </c>
      <c r="GD29" s="52">
        <f t="shared" si="23"/>
        <v>0.30710713591465705</v>
      </c>
      <c r="GE29" s="52">
        <f t="shared" si="23"/>
        <v>0.30710713591465705</v>
      </c>
      <c r="GF29" s="52">
        <f t="shared" si="23"/>
        <v>0.30710713591465705</v>
      </c>
      <c r="GG29" s="52">
        <f t="shared" si="23"/>
        <v>0.31137376117970317</v>
      </c>
      <c r="GH29" s="52">
        <f t="shared" si="23"/>
        <v>0.31137376117970317</v>
      </c>
      <c r="GI29" s="52">
        <f t="shared" si="23"/>
        <v>0.31137376117970317</v>
      </c>
      <c r="GJ29" s="52">
        <f t="shared" si="23"/>
        <v>0.31346201398141554</v>
      </c>
      <c r="GK29" s="52">
        <f t="shared" si="23"/>
        <v>0.31346201398141554</v>
      </c>
      <c r="GL29" s="52">
        <f t="shared" si="23"/>
        <v>0.31346201398141554</v>
      </c>
      <c r="GM29" s="52">
        <f t="shared" ref="GM29:IX29" si="24">GM27*$C$12</f>
        <v>0.32157353994342458</v>
      </c>
      <c r="GN29" s="52">
        <f t="shared" si="24"/>
        <v>0.32157353994342458</v>
      </c>
      <c r="GO29" s="52">
        <f t="shared" si="24"/>
        <v>0.32157353994342458</v>
      </c>
      <c r="GP29" s="52">
        <f t="shared" si="24"/>
        <v>0.32246249271038979</v>
      </c>
      <c r="GQ29" s="52">
        <f t="shared" si="24"/>
        <v>0.32246249271038979</v>
      </c>
      <c r="GR29" s="52">
        <f t="shared" si="24"/>
        <v>0.32246249271038979</v>
      </c>
      <c r="GS29" s="52">
        <f t="shared" si="24"/>
        <v>0.32694244923868832</v>
      </c>
      <c r="GT29" s="52">
        <f t="shared" si="24"/>
        <v>0.32694244923868832</v>
      </c>
      <c r="GU29" s="52">
        <f t="shared" si="24"/>
        <v>0.32694244923868832</v>
      </c>
      <c r="GV29" s="52">
        <f t="shared" si="24"/>
        <v>0.32913511468048628</v>
      </c>
      <c r="GW29" s="52">
        <f t="shared" si="24"/>
        <v>0.32913511468048628</v>
      </c>
      <c r="GX29" s="52">
        <f t="shared" si="24"/>
        <v>0.32913511468048628</v>
      </c>
      <c r="GY29" s="52">
        <f t="shared" si="24"/>
        <v>0.33765221694059583</v>
      </c>
      <c r="GZ29" s="52">
        <f t="shared" si="24"/>
        <v>0.33765221694059583</v>
      </c>
      <c r="HA29" s="52">
        <f t="shared" si="24"/>
        <v>0.33765221694059583</v>
      </c>
      <c r="HB29" s="52">
        <f t="shared" si="24"/>
        <v>0.33858561734590936</v>
      </c>
      <c r="HC29" s="52">
        <f t="shared" si="24"/>
        <v>0.33858561734590936</v>
      </c>
      <c r="HD29" s="52">
        <f t="shared" si="24"/>
        <v>0.33858561734590936</v>
      </c>
      <c r="HE29" s="52">
        <f t="shared" si="24"/>
        <v>0.3432895717006228</v>
      </c>
      <c r="HF29" s="52">
        <f t="shared" si="24"/>
        <v>0.3432895717006228</v>
      </c>
      <c r="HG29" s="52">
        <f t="shared" si="24"/>
        <v>0.3432895717006228</v>
      </c>
      <c r="HH29" s="52">
        <f t="shared" si="24"/>
        <v>0.34559187041451067</v>
      </c>
      <c r="HI29" s="52">
        <f t="shared" si="24"/>
        <v>0.34559187041451067</v>
      </c>
      <c r="HJ29" s="52">
        <f t="shared" si="24"/>
        <v>0.34559187041451067</v>
      </c>
      <c r="HK29" s="52">
        <f t="shared" si="24"/>
        <v>0.35453482778762568</v>
      </c>
      <c r="HL29" s="52">
        <f t="shared" si="24"/>
        <v>0.35453482778762568</v>
      </c>
      <c r="HM29" s="52">
        <f t="shared" si="24"/>
        <v>0.35453482778762568</v>
      </c>
      <c r="HN29" s="52">
        <f t="shared" si="24"/>
        <v>0.35551489821320481</v>
      </c>
      <c r="HO29" s="52">
        <f t="shared" si="24"/>
        <v>0.35551489821320481</v>
      </c>
      <c r="HP29" s="52">
        <f t="shared" si="24"/>
        <v>0.35551489821320481</v>
      </c>
      <c r="HQ29" s="52">
        <f t="shared" si="24"/>
        <v>0.36045405028565392</v>
      </c>
      <c r="HR29" s="52">
        <f t="shared" si="24"/>
        <v>0.36045405028565392</v>
      </c>
      <c r="HS29" s="52">
        <f t="shared" si="24"/>
        <v>0.36045405028565392</v>
      </c>
      <c r="HT29" s="52">
        <f t="shared" si="24"/>
        <v>0.36287146393523617</v>
      </c>
      <c r="HU29" s="52">
        <f t="shared" si="24"/>
        <v>0.36287146393523617</v>
      </c>
      <c r="HV29" s="52">
        <f t="shared" si="24"/>
        <v>0.36287146393523617</v>
      </c>
      <c r="HW29" s="52">
        <f t="shared" si="24"/>
        <v>0.37226156917700692</v>
      </c>
      <c r="HX29" s="52">
        <f t="shared" si="24"/>
        <v>0.37226156917700692</v>
      </c>
      <c r="HY29" s="52">
        <f t="shared" si="24"/>
        <v>0.37226156917700692</v>
      </c>
      <c r="HZ29" s="52">
        <f t="shared" si="24"/>
        <v>0.37329064312386506</v>
      </c>
      <c r="IA29" s="52">
        <f t="shared" si="24"/>
        <v>0.37329064312386506</v>
      </c>
      <c r="IB29" s="52">
        <f t="shared" si="24"/>
        <v>0.37329064312386506</v>
      </c>
      <c r="IC29" s="52">
        <f t="shared" si="24"/>
        <v>0.31238201357934392</v>
      </c>
      <c r="ID29" s="52">
        <f t="shared" si="24"/>
        <v>0.31238201357934392</v>
      </c>
      <c r="IE29" s="52">
        <f t="shared" si="24"/>
        <v>0.31238201357934392</v>
      </c>
      <c r="IF29" s="52">
        <f t="shared" si="24"/>
        <v>0.31492029791140524</v>
      </c>
      <c r="IG29" s="52">
        <f t="shared" si="24"/>
        <v>0.31492029791140524</v>
      </c>
      <c r="IH29" s="52">
        <f t="shared" si="24"/>
        <v>0.31492029791140524</v>
      </c>
      <c r="II29" s="52">
        <f t="shared" si="24"/>
        <v>0.32147517145423499</v>
      </c>
      <c r="IJ29" s="52">
        <f t="shared" si="24"/>
        <v>0.32147517145423499</v>
      </c>
      <c r="IK29" s="52">
        <f t="shared" si="24"/>
        <v>0.32147517145423499</v>
      </c>
      <c r="IL29" s="52">
        <f t="shared" si="24"/>
        <v>0.32255569909843601</v>
      </c>
      <c r="IM29" s="52">
        <f t="shared" si="24"/>
        <v>0.32255569909843601</v>
      </c>
      <c r="IN29" s="52">
        <f t="shared" si="24"/>
        <v>0.32255569909843601</v>
      </c>
      <c r="IO29" s="52">
        <f t="shared" si="24"/>
        <v>0.19997908709521503</v>
      </c>
      <c r="IP29" s="52">
        <f t="shared" si="24"/>
        <v>0.19997908709521503</v>
      </c>
      <c r="IQ29" s="52">
        <f t="shared" si="24"/>
        <v>0.19997908709521503</v>
      </c>
      <c r="IR29" s="52">
        <f t="shared" si="24"/>
        <v>0.2026442856438794</v>
      </c>
      <c r="IS29" s="52">
        <f t="shared" si="24"/>
        <v>0.2026442856438794</v>
      </c>
      <c r="IT29" s="52">
        <f t="shared" si="24"/>
        <v>0.2026442856438794</v>
      </c>
      <c r="IU29" s="52">
        <f t="shared" si="24"/>
        <v>0.20312580150569581</v>
      </c>
      <c r="IV29" s="52">
        <f t="shared" si="24"/>
        <v>0.20312580150569581</v>
      </c>
      <c r="IW29" s="52">
        <f t="shared" si="24"/>
        <v>0.20312580150569581</v>
      </c>
      <c r="IX29" s="52">
        <f t="shared" si="24"/>
        <v>0.15089440319722189</v>
      </c>
      <c r="IY29" s="52">
        <f t="shared" ref="IY29:JI29" si="25">IY27*$C$12</f>
        <v>0.15089440319722189</v>
      </c>
      <c r="IZ29" s="52">
        <f t="shared" si="25"/>
        <v>0.15089440319722189</v>
      </c>
      <c r="JA29" s="52">
        <f t="shared" si="25"/>
        <v>0.15661208911509075</v>
      </c>
      <c r="JB29" s="52">
        <f t="shared" si="25"/>
        <v>0.15661208911509075</v>
      </c>
      <c r="JC29" s="52">
        <f t="shared" si="25"/>
        <v>0.15661208911509075</v>
      </c>
      <c r="JD29" s="52">
        <f t="shared" si="25"/>
        <v>0.15674224997444414</v>
      </c>
      <c r="JE29" s="52">
        <f t="shared" si="25"/>
        <v>0.15674224997444414</v>
      </c>
      <c r="JF29" s="52">
        <f t="shared" si="25"/>
        <v>0.15674224997444414</v>
      </c>
      <c r="JG29" s="52">
        <f t="shared" si="25"/>
        <v>4.2761153832023557E-2</v>
      </c>
      <c r="JH29" s="52">
        <f t="shared" si="25"/>
        <v>4.2761153832023557E-2</v>
      </c>
      <c r="JI29" s="52">
        <f t="shared" si="25"/>
        <v>4.2761153832023557E-2</v>
      </c>
      <c r="JJ29" s="452">
        <f t="shared" si="20"/>
        <v>61.260104533501561</v>
      </c>
      <c r="JL29" s="52"/>
    </row>
    <row r="30" spans="2:272" x14ac:dyDescent="0.3">
      <c r="B30" s="163" t="str">
        <f>'LRD_Phase-wise'!B337</f>
        <v>Net Rent</v>
      </c>
      <c r="C30" s="190">
        <f t="shared" ref="C30:BN30" si="26">C27-C28-C29</f>
        <v>0.49377297321623237</v>
      </c>
      <c r="D30" s="190">
        <f t="shared" si="26"/>
        <v>0.49377297321623237</v>
      </c>
      <c r="E30" s="190">
        <f t="shared" si="26"/>
        <v>0.49377297321623237</v>
      </c>
      <c r="F30" s="190">
        <f t="shared" si="26"/>
        <v>0.49377297321623237</v>
      </c>
      <c r="G30" s="190">
        <f t="shared" si="26"/>
        <v>0.49377297321623237</v>
      </c>
      <c r="H30" s="190">
        <f t="shared" si="26"/>
        <v>0.49377297321623237</v>
      </c>
      <c r="I30" s="190">
        <f t="shared" si="26"/>
        <v>0.49377297321623237</v>
      </c>
      <c r="J30" s="190">
        <f t="shared" si="26"/>
        <v>0.49377297321623237</v>
      </c>
      <c r="K30" s="190">
        <f t="shared" si="26"/>
        <v>0.49377297321623237</v>
      </c>
      <c r="L30" s="190">
        <f t="shared" si="26"/>
        <v>0.49377297321623237</v>
      </c>
      <c r="M30" s="190">
        <f t="shared" si="26"/>
        <v>0.49377297321623237</v>
      </c>
      <c r="N30" s="190">
        <f t="shared" si="26"/>
        <v>0.49377297321623237</v>
      </c>
      <c r="O30" s="190">
        <f t="shared" si="26"/>
        <v>1.4748738527887006</v>
      </c>
      <c r="P30" s="190">
        <f t="shared" si="26"/>
        <v>1.4748738527887006</v>
      </c>
      <c r="Q30" s="190">
        <f t="shared" si="26"/>
        <v>1.4748738527887006</v>
      </c>
      <c r="R30" s="190">
        <f t="shared" si="26"/>
        <v>1.4748738527887006</v>
      </c>
      <c r="S30" s="190">
        <f t="shared" si="26"/>
        <v>1.4748738527887006</v>
      </c>
      <c r="T30" s="190">
        <f t="shared" si="26"/>
        <v>1.4748738527887006</v>
      </c>
      <c r="U30" s="190">
        <f t="shared" si="26"/>
        <v>1.4748738527887006</v>
      </c>
      <c r="V30" s="190">
        <f t="shared" si="26"/>
        <v>1.4748738527887006</v>
      </c>
      <c r="W30" s="190">
        <f t="shared" si="26"/>
        <v>1.4748738527887006</v>
      </c>
      <c r="X30" s="190">
        <f t="shared" si="26"/>
        <v>1.873554069454145</v>
      </c>
      <c r="Y30" s="190">
        <f t="shared" si="26"/>
        <v>1.873554069454145</v>
      </c>
      <c r="Z30" s="190">
        <f t="shared" si="26"/>
        <v>1.873554069454145</v>
      </c>
      <c r="AA30" s="190">
        <f t="shared" si="26"/>
        <v>1.9472977620935801</v>
      </c>
      <c r="AB30" s="190">
        <f t="shared" si="26"/>
        <v>1.9472977620935801</v>
      </c>
      <c r="AC30" s="190">
        <f t="shared" si="26"/>
        <v>1.9472977620935801</v>
      </c>
      <c r="AD30" s="190">
        <f t="shared" si="26"/>
        <v>1.9472977620935801</v>
      </c>
      <c r="AE30" s="190">
        <f t="shared" si="26"/>
        <v>1.9472977620935801</v>
      </c>
      <c r="AF30" s="190">
        <f t="shared" si="26"/>
        <v>1.9472977620935801</v>
      </c>
      <c r="AG30" s="190">
        <f t="shared" si="26"/>
        <v>2.8025917369845845</v>
      </c>
      <c r="AH30" s="190">
        <f t="shared" si="26"/>
        <v>2.8025917369845845</v>
      </c>
      <c r="AI30" s="190">
        <f t="shared" si="26"/>
        <v>2.8025917369845845</v>
      </c>
      <c r="AJ30" s="190">
        <f t="shared" si="26"/>
        <v>2.8225257478178567</v>
      </c>
      <c r="AK30" s="190">
        <f t="shared" si="26"/>
        <v>2.8225257478178567</v>
      </c>
      <c r="AL30" s="190">
        <f t="shared" si="26"/>
        <v>2.8225257478178567</v>
      </c>
      <c r="AM30" s="190">
        <f t="shared" si="26"/>
        <v>2.899956625089263</v>
      </c>
      <c r="AN30" s="190">
        <f t="shared" si="26"/>
        <v>2.899956625089263</v>
      </c>
      <c r="AO30" s="190">
        <f t="shared" si="26"/>
        <v>2.899956625089263</v>
      </c>
      <c r="AP30" s="190">
        <f t="shared" si="26"/>
        <v>3.0781574039992021</v>
      </c>
      <c r="AQ30" s="190">
        <f t="shared" si="26"/>
        <v>3.0781574039992021</v>
      </c>
      <c r="AR30" s="190">
        <f t="shared" si="26"/>
        <v>3.0781574039992021</v>
      </c>
      <c r="AS30" s="190">
        <f t="shared" si="26"/>
        <v>3.1209221027437519</v>
      </c>
      <c r="AT30" s="190">
        <f t="shared" si="26"/>
        <v>3.1209221027437519</v>
      </c>
      <c r="AU30" s="190">
        <f t="shared" si="26"/>
        <v>3.1209221027437519</v>
      </c>
      <c r="AV30" s="190">
        <f t="shared" si="26"/>
        <v>3.1418528141186886</v>
      </c>
      <c r="AW30" s="190">
        <f t="shared" si="26"/>
        <v>3.1418528141186886</v>
      </c>
      <c r="AX30" s="190">
        <f t="shared" si="26"/>
        <v>3.1418528141186886</v>
      </c>
      <c r="AY30" s="190">
        <f t="shared" si="26"/>
        <v>3.2231552352536657</v>
      </c>
      <c r="AZ30" s="190">
        <f t="shared" si="26"/>
        <v>3.2231552352536657</v>
      </c>
      <c r="BA30" s="190">
        <f t="shared" si="26"/>
        <v>3.2231552352536657</v>
      </c>
      <c r="BB30" s="190">
        <f t="shared" si="26"/>
        <v>3.2320652741991625</v>
      </c>
      <c r="BC30" s="190">
        <f t="shared" si="26"/>
        <v>3.2320652741991625</v>
      </c>
      <c r="BD30" s="190">
        <f t="shared" si="26"/>
        <v>3.2320652741991625</v>
      </c>
      <c r="BE30" s="190">
        <f t="shared" si="26"/>
        <v>3.2769682078809401</v>
      </c>
      <c r="BF30" s="190">
        <f t="shared" si="26"/>
        <v>3.2769682078809401</v>
      </c>
      <c r="BG30" s="190">
        <f t="shared" si="26"/>
        <v>3.2769682078809401</v>
      </c>
      <c r="BH30" s="190">
        <f t="shared" si="26"/>
        <v>3.2989454548246231</v>
      </c>
      <c r="BI30" s="190">
        <f t="shared" si="26"/>
        <v>3.2989454548246231</v>
      </c>
      <c r="BJ30" s="190">
        <f t="shared" si="26"/>
        <v>3.2989454548246231</v>
      </c>
      <c r="BK30" s="190">
        <f t="shared" si="26"/>
        <v>3.384312997016349</v>
      </c>
      <c r="BL30" s="190">
        <f t="shared" si="26"/>
        <v>3.384312997016349</v>
      </c>
      <c r="BM30" s="190">
        <f t="shared" si="26"/>
        <v>3.384312997016349</v>
      </c>
      <c r="BN30" s="190">
        <f t="shared" si="26"/>
        <v>3.3936685379091207</v>
      </c>
      <c r="BO30" s="190">
        <f t="shared" ref="BO30:DZ30" si="27">BO27-BO28-BO29</f>
        <v>3.3936685379091207</v>
      </c>
      <c r="BP30" s="190">
        <f t="shared" si="27"/>
        <v>3.3936685379091207</v>
      </c>
      <c r="BQ30" s="190">
        <f t="shared" si="27"/>
        <v>3.4408166182749875</v>
      </c>
      <c r="BR30" s="190">
        <f t="shared" si="27"/>
        <v>3.4408166182749875</v>
      </c>
      <c r="BS30" s="190">
        <f t="shared" si="27"/>
        <v>3.4408166182749875</v>
      </c>
      <c r="BT30" s="190">
        <f t="shared" si="27"/>
        <v>3.4638927275658538</v>
      </c>
      <c r="BU30" s="190">
        <f t="shared" si="27"/>
        <v>3.4638927275658538</v>
      </c>
      <c r="BV30" s="190">
        <f t="shared" si="27"/>
        <v>3.4638927275658538</v>
      </c>
      <c r="BW30" s="190">
        <f t="shared" si="27"/>
        <v>3.553528646867167</v>
      </c>
      <c r="BX30" s="190">
        <f t="shared" si="27"/>
        <v>3.553528646867167</v>
      </c>
      <c r="BY30" s="190">
        <f t="shared" si="27"/>
        <v>3.553528646867167</v>
      </c>
      <c r="BZ30" s="190">
        <f t="shared" si="27"/>
        <v>3.5633519648045775</v>
      </c>
      <c r="CA30" s="190">
        <f t="shared" si="27"/>
        <v>3.5633519648045775</v>
      </c>
      <c r="CB30" s="190">
        <f t="shared" si="27"/>
        <v>3.5633519648045775</v>
      </c>
      <c r="CC30" s="190">
        <f t="shared" si="27"/>
        <v>3.6128574491887369</v>
      </c>
      <c r="CD30" s="190">
        <f t="shared" si="27"/>
        <v>3.6128574491887369</v>
      </c>
      <c r="CE30" s="190">
        <f t="shared" si="27"/>
        <v>3.6128574491887369</v>
      </c>
      <c r="CF30" s="190">
        <f t="shared" si="27"/>
        <v>3.637087363944147</v>
      </c>
      <c r="CG30" s="190">
        <f t="shared" si="27"/>
        <v>3.637087363944147</v>
      </c>
      <c r="CH30" s="190">
        <f t="shared" si="27"/>
        <v>3.637087363944147</v>
      </c>
      <c r="CI30" s="190">
        <f t="shared" si="27"/>
        <v>3.7312050792105254</v>
      </c>
      <c r="CJ30" s="190">
        <f t="shared" si="27"/>
        <v>3.7312050792105254</v>
      </c>
      <c r="CK30" s="190">
        <f t="shared" si="27"/>
        <v>3.7312050792105254</v>
      </c>
      <c r="CL30" s="190">
        <f t="shared" si="27"/>
        <v>3.7415195630448057</v>
      </c>
      <c r="CM30" s="190">
        <f t="shared" si="27"/>
        <v>3.7415195630448057</v>
      </c>
      <c r="CN30" s="190">
        <f t="shared" si="27"/>
        <v>3.7415195630448057</v>
      </c>
      <c r="CO30" s="190">
        <f t="shared" si="27"/>
        <v>3.7935003216481742</v>
      </c>
      <c r="CP30" s="190">
        <f t="shared" si="27"/>
        <v>3.7935003216481742</v>
      </c>
      <c r="CQ30" s="190">
        <f t="shared" si="27"/>
        <v>3.7935003216481742</v>
      </c>
      <c r="CR30" s="190">
        <f t="shared" si="27"/>
        <v>3.8189417321413548</v>
      </c>
      <c r="CS30" s="190">
        <f t="shared" si="27"/>
        <v>3.8189417321413548</v>
      </c>
      <c r="CT30" s="190">
        <f t="shared" si="27"/>
        <v>3.8189417321413548</v>
      </c>
      <c r="CU30" s="190">
        <f t="shared" si="27"/>
        <v>3.9177653331710522</v>
      </c>
      <c r="CV30" s="190">
        <f t="shared" si="27"/>
        <v>3.9177653331710522</v>
      </c>
      <c r="CW30" s="190">
        <f t="shared" si="27"/>
        <v>3.9177653331710522</v>
      </c>
      <c r="CX30" s="190">
        <f t="shared" si="27"/>
        <v>3.9285955411970463</v>
      </c>
      <c r="CY30" s="190">
        <f t="shared" si="27"/>
        <v>3.9285955411970463</v>
      </c>
      <c r="CZ30" s="190">
        <f t="shared" si="27"/>
        <v>3.9285955411970463</v>
      </c>
      <c r="DA30" s="190">
        <f t="shared" si="27"/>
        <v>3.9831753377305836</v>
      </c>
      <c r="DB30" s="190">
        <f t="shared" si="27"/>
        <v>3.9831753377305836</v>
      </c>
      <c r="DC30" s="190">
        <f t="shared" si="27"/>
        <v>3.9831753377305836</v>
      </c>
      <c r="DD30" s="190">
        <f t="shared" si="27"/>
        <v>4.009888818748423</v>
      </c>
      <c r="DE30" s="190">
        <f t="shared" si="27"/>
        <v>4.009888818748423</v>
      </c>
      <c r="DF30" s="190">
        <f t="shared" si="27"/>
        <v>4.009888818748423</v>
      </c>
      <c r="DG30" s="190">
        <f t="shared" si="27"/>
        <v>4.1136535998296031</v>
      </c>
      <c r="DH30" s="190">
        <f t="shared" si="27"/>
        <v>4.1136535998296031</v>
      </c>
      <c r="DI30" s="190">
        <f t="shared" si="27"/>
        <v>4.1136535998296031</v>
      </c>
      <c r="DJ30" s="190">
        <f t="shared" si="27"/>
        <v>4.1250253182568972</v>
      </c>
      <c r="DK30" s="190">
        <f t="shared" si="27"/>
        <v>4.1250253182568972</v>
      </c>
      <c r="DL30" s="190">
        <f t="shared" si="27"/>
        <v>4.1250253182568972</v>
      </c>
      <c r="DM30" s="190">
        <f t="shared" si="27"/>
        <v>4.1823341046171114</v>
      </c>
      <c r="DN30" s="190">
        <f t="shared" si="27"/>
        <v>4.1823341046171114</v>
      </c>
      <c r="DO30" s="190">
        <f t="shared" si="27"/>
        <v>4.1823341046171114</v>
      </c>
      <c r="DP30" s="190">
        <f t="shared" si="27"/>
        <v>4.2103832596858428</v>
      </c>
      <c r="DQ30" s="190">
        <f t="shared" si="27"/>
        <v>4.2103832596858428</v>
      </c>
      <c r="DR30" s="190">
        <f t="shared" si="27"/>
        <v>4.2103832596858428</v>
      </c>
      <c r="DS30" s="190">
        <f t="shared" si="27"/>
        <v>4.3193362798210844</v>
      </c>
      <c r="DT30" s="190">
        <f t="shared" si="27"/>
        <v>4.3193362798210844</v>
      </c>
      <c r="DU30" s="190">
        <f t="shared" si="27"/>
        <v>4.3193362798210844</v>
      </c>
      <c r="DV30" s="190">
        <f t="shared" si="27"/>
        <v>4.3312765841697445</v>
      </c>
      <c r="DW30" s="190">
        <f t="shared" si="27"/>
        <v>4.3312765841697445</v>
      </c>
      <c r="DX30" s="190">
        <f t="shared" si="27"/>
        <v>4.3312765841697445</v>
      </c>
      <c r="DY30" s="190">
        <f t="shared" si="27"/>
        <v>4.3914508098479672</v>
      </c>
      <c r="DZ30" s="190">
        <f t="shared" si="27"/>
        <v>4.3914508098479672</v>
      </c>
      <c r="EA30" s="190">
        <f t="shared" ref="EA30:GL30" si="28">EA27-EA28-EA29</f>
        <v>4.3914508098479672</v>
      </c>
      <c r="EB30" s="190">
        <f t="shared" si="28"/>
        <v>4.4209024226701361</v>
      </c>
      <c r="EC30" s="190">
        <f t="shared" si="28"/>
        <v>4.4209024226701361</v>
      </c>
      <c r="ED30" s="190">
        <f t="shared" si="28"/>
        <v>4.4209024226701361</v>
      </c>
      <c r="EE30" s="190">
        <f t="shared" si="28"/>
        <v>4.5353030938121393</v>
      </c>
      <c r="EF30" s="190">
        <f t="shared" si="28"/>
        <v>4.5353030938121393</v>
      </c>
      <c r="EG30" s="190">
        <f t="shared" si="28"/>
        <v>4.5353030938121393</v>
      </c>
      <c r="EH30" s="190">
        <f t="shared" si="28"/>
        <v>4.5478404133782311</v>
      </c>
      <c r="EI30" s="190">
        <f t="shared" si="28"/>
        <v>4.5478404133782311</v>
      </c>
      <c r="EJ30" s="190">
        <f t="shared" si="28"/>
        <v>4.5478404133782311</v>
      </c>
      <c r="EK30" s="190">
        <f t="shared" si="28"/>
        <v>4.611023350340365</v>
      </c>
      <c r="EL30" s="190">
        <f t="shared" si="28"/>
        <v>4.611023350340365</v>
      </c>
      <c r="EM30" s="190">
        <f t="shared" si="28"/>
        <v>4.611023350340365</v>
      </c>
      <c r="EN30" s="190">
        <f t="shared" si="28"/>
        <v>4.6419475438036439</v>
      </c>
      <c r="EO30" s="190">
        <f t="shared" si="28"/>
        <v>4.6419475438036439</v>
      </c>
      <c r="EP30" s="190">
        <f t="shared" si="28"/>
        <v>4.6419475438036439</v>
      </c>
      <c r="EQ30" s="190">
        <f t="shared" si="28"/>
        <v>4.7620682485027475</v>
      </c>
      <c r="ER30" s="190">
        <f t="shared" si="28"/>
        <v>4.7620682485027475</v>
      </c>
      <c r="ES30" s="190">
        <f t="shared" si="28"/>
        <v>4.7620682485027475</v>
      </c>
      <c r="ET30" s="190">
        <f t="shared" si="28"/>
        <v>4.7752324340471439</v>
      </c>
      <c r="EU30" s="190">
        <f t="shared" si="28"/>
        <v>4.7752324340471439</v>
      </c>
      <c r="EV30" s="190">
        <f t="shared" si="28"/>
        <v>4.7752324340471439</v>
      </c>
      <c r="EW30" s="190">
        <f t="shared" si="28"/>
        <v>4.8415745178573859</v>
      </c>
      <c r="EX30" s="190">
        <f t="shared" si="28"/>
        <v>4.8415745178573859</v>
      </c>
      <c r="EY30" s="190">
        <f t="shared" si="28"/>
        <v>4.8415745178573859</v>
      </c>
      <c r="EZ30" s="190">
        <f t="shared" si="28"/>
        <v>4.8740449209938266</v>
      </c>
      <c r="FA30" s="190">
        <f t="shared" si="28"/>
        <v>4.8740449209938266</v>
      </c>
      <c r="FB30" s="190">
        <f t="shared" si="28"/>
        <v>4.8740449209938266</v>
      </c>
      <c r="FC30" s="190">
        <f t="shared" si="28"/>
        <v>5.0001716609278839</v>
      </c>
      <c r="FD30" s="190">
        <f t="shared" si="28"/>
        <v>5.0001716609278839</v>
      </c>
      <c r="FE30" s="190">
        <f t="shared" si="28"/>
        <v>5.0001716609278839</v>
      </c>
      <c r="FF30" s="190">
        <f t="shared" si="28"/>
        <v>5.0139940557495022</v>
      </c>
      <c r="FG30" s="190">
        <f t="shared" si="28"/>
        <v>5.0139940557495022</v>
      </c>
      <c r="FH30" s="190">
        <f t="shared" si="28"/>
        <v>5.0139940557495022</v>
      </c>
      <c r="FI30" s="190">
        <f t="shared" si="28"/>
        <v>5.0836532437502546</v>
      </c>
      <c r="FJ30" s="190">
        <f t="shared" si="28"/>
        <v>5.0836532437502546</v>
      </c>
      <c r="FK30" s="190">
        <f t="shared" si="28"/>
        <v>5.0836532437502546</v>
      </c>
      <c r="FL30" s="190">
        <f t="shared" si="28"/>
        <v>5.1177471670435182</v>
      </c>
      <c r="FM30" s="190">
        <f t="shared" si="28"/>
        <v>5.1177471670435182</v>
      </c>
      <c r="FN30" s="190">
        <f t="shared" si="28"/>
        <v>5.1177471670435182</v>
      </c>
      <c r="FO30" s="190">
        <f t="shared" si="28"/>
        <v>5.2501802439742793</v>
      </c>
      <c r="FP30" s="190">
        <f t="shared" si="28"/>
        <v>5.2501802439742793</v>
      </c>
      <c r="FQ30" s="190">
        <f t="shared" si="28"/>
        <v>5.2501802439742793</v>
      </c>
      <c r="FR30" s="190">
        <f t="shared" si="28"/>
        <v>5.2646937585369766</v>
      </c>
      <c r="FS30" s="190">
        <f t="shared" si="28"/>
        <v>5.2646937585369766</v>
      </c>
      <c r="FT30" s="190">
        <f t="shared" si="28"/>
        <v>5.2646937585369766</v>
      </c>
      <c r="FU30" s="190">
        <f t="shared" si="28"/>
        <v>5.3378359059377685</v>
      </c>
      <c r="FV30" s="190">
        <f t="shared" si="28"/>
        <v>5.3378359059377685</v>
      </c>
      <c r="FW30" s="190">
        <f t="shared" si="28"/>
        <v>5.3378359059377685</v>
      </c>
      <c r="FX30" s="190">
        <f t="shared" si="28"/>
        <v>5.3736345253956932</v>
      </c>
      <c r="FY30" s="190">
        <f t="shared" si="28"/>
        <v>5.3736345253956932</v>
      </c>
      <c r="FZ30" s="190">
        <f t="shared" si="28"/>
        <v>5.3736345253956932</v>
      </c>
      <c r="GA30" s="190">
        <f t="shared" si="28"/>
        <v>5.5126892561729921</v>
      </c>
      <c r="GB30" s="190">
        <f t="shared" si="28"/>
        <v>5.5126892561729921</v>
      </c>
      <c r="GC30" s="190">
        <f t="shared" si="28"/>
        <v>5.5126892561729921</v>
      </c>
      <c r="GD30" s="190">
        <f t="shared" si="28"/>
        <v>5.527928446463827</v>
      </c>
      <c r="GE30" s="190">
        <f t="shared" si="28"/>
        <v>5.527928446463827</v>
      </c>
      <c r="GF30" s="190">
        <f t="shared" si="28"/>
        <v>5.527928446463827</v>
      </c>
      <c r="GG30" s="190">
        <f t="shared" si="28"/>
        <v>5.6047277012346566</v>
      </c>
      <c r="GH30" s="190">
        <f t="shared" si="28"/>
        <v>5.6047277012346566</v>
      </c>
      <c r="GI30" s="190">
        <f t="shared" si="28"/>
        <v>5.6047277012346566</v>
      </c>
      <c r="GJ30" s="190">
        <f t="shared" si="28"/>
        <v>5.6423162516654797</v>
      </c>
      <c r="GK30" s="190">
        <f t="shared" si="28"/>
        <v>5.6423162516654797</v>
      </c>
      <c r="GL30" s="190">
        <f t="shared" si="28"/>
        <v>5.6423162516654797</v>
      </c>
      <c r="GM30" s="190">
        <f t="shared" ref="GM30:IX30" si="29">GM27-GM28-GM29</f>
        <v>5.7883237189816414</v>
      </c>
      <c r="GN30" s="190">
        <f t="shared" si="29"/>
        <v>5.7883237189816414</v>
      </c>
      <c r="GO30" s="190">
        <f t="shared" si="29"/>
        <v>5.7883237189816414</v>
      </c>
      <c r="GP30" s="190">
        <f t="shared" si="29"/>
        <v>5.8043248687870159</v>
      </c>
      <c r="GQ30" s="190">
        <f t="shared" si="29"/>
        <v>5.8043248687870159</v>
      </c>
      <c r="GR30" s="190">
        <f t="shared" si="29"/>
        <v>5.8043248687870159</v>
      </c>
      <c r="GS30" s="190">
        <f t="shared" si="29"/>
        <v>5.8849640862963888</v>
      </c>
      <c r="GT30" s="190">
        <f t="shared" si="29"/>
        <v>5.8849640862963888</v>
      </c>
      <c r="GU30" s="190">
        <f t="shared" si="29"/>
        <v>5.8849640862963888</v>
      </c>
      <c r="GV30" s="190">
        <f t="shared" si="29"/>
        <v>5.9244320642487525</v>
      </c>
      <c r="GW30" s="190">
        <f t="shared" si="29"/>
        <v>5.9244320642487525</v>
      </c>
      <c r="GX30" s="190">
        <f t="shared" si="29"/>
        <v>5.9244320642487525</v>
      </c>
      <c r="GY30" s="190">
        <f t="shared" si="29"/>
        <v>6.0777399049307252</v>
      </c>
      <c r="GZ30" s="190">
        <f t="shared" si="29"/>
        <v>6.0777399049307252</v>
      </c>
      <c r="HA30" s="190">
        <f t="shared" si="29"/>
        <v>6.0777399049307252</v>
      </c>
      <c r="HB30" s="190">
        <f t="shared" si="29"/>
        <v>6.0945411122263673</v>
      </c>
      <c r="HC30" s="190">
        <f t="shared" si="29"/>
        <v>6.0945411122263673</v>
      </c>
      <c r="HD30" s="190">
        <f t="shared" si="29"/>
        <v>6.0945411122263673</v>
      </c>
      <c r="HE30" s="190">
        <f t="shared" si="29"/>
        <v>6.1792122906112095</v>
      </c>
      <c r="HF30" s="190">
        <f t="shared" si="29"/>
        <v>6.1792122906112095</v>
      </c>
      <c r="HG30" s="190">
        <f t="shared" si="29"/>
        <v>6.1792122906112095</v>
      </c>
      <c r="HH30" s="190">
        <f t="shared" si="29"/>
        <v>6.2206536674611908</v>
      </c>
      <c r="HI30" s="190">
        <f t="shared" si="29"/>
        <v>6.2206536674611908</v>
      </c>
      <c r="HJ30" s="190">
        <f t="shared" si="29"/>
        <v>6.2206536674611908</v>
      </c>
      <c r="HK30" s="190">
        <f t="shared" si="29"/>
        <v>6.3816269001772614</v>
      </c>
      <c r="HL30" s="190">
        <f t="shared" si="29"/>
        <v>6.3816269001772614</v>
      </c>
      <c r="HM30" s="190">
        <f t="shared" si="29"/>
        <v>6.3816269001772614</v>
      </c>
      <c r="HN30" s="190">
        <f t="shared" si="29"/>
        <v>6.399268167837687</v>
      </c>
      <c r="HO30" s="190">
        <f t="shared" si="29"/>
        <v>6.399268167837687</v>
      </c>
      <c r="HP30" s="190">
        <f t="shared" si="29"/>
        <v>6.399268167837687</v>
      </c>
      <c r="HQ30" s="190">
        <f t="shared" si="29"/>
        <v>6.48817290514177</v>
      </c>
      <c r="HR30" s="190">
        <f t="shared" si="29"/>
        <v>6.48817290514177</v>
      </c>
      <c r="HS30" s="190">
        <f t="shared" si="29"/>
        <v>6.48817290514177</v>
      </c>
      <c r="HT30" s="190">
        <f t="shared" si="29"/>
        <v>6.5316863508342502</v>
      </c>
      <c r="HU30" s="190">
        <f t="shared" si="29"/>
        <v>6.5316863508342502</v>
      </c>
      <c r="HV30" s="190">
        <f t="shared" si="29"/>
        <v>6.5316863508342502</v>
      </c>
      <c r="HW30" s="190">
        <f t="shared" si="29"/>
        <v>6.7007082451861244</v>
      </c>
      <c r="HX30" s="190">
        <f t="shared" si="29"/>
        <v>6.7007082451861244</v>
      </c>
      <c r="HY30" s="190">
        <f t="shared" si="29"/>
        <v>6.7007082451861244</v>
      </c>
      <c r="HZ30" s="190">
        <f t="shared" si="29"/>
        <v>6.7192315762295705</v>
      </c>
      <c r="IA30" s="190">
        <f t="shared" si="29"/>
        <v>6.7192315762295705</v>
      </c>
      <c r="IB30" s="190">
        <f t="shared" si="29"/>
        <v>6.7192315762295705</v>
      </c>
      <c r="IC30" s="190">
        <f t="shared" si="29"/>
        <v>5.6228762444281895</v>
      </c>
      <c r="ID30" s="190">
        <f t="shared" si="29"/>
        <v>5.6228762444281895</v>
      </c>
      <c r="IE30" s="190">
        <f t="shared" si="29"/>
        <v>5.6228762444281895</v>
      </c>
      <c r="IF30" s="190">
        <f t="shared" si="29"/>
        <v>5.6685653624052934</v>
      </c>
      <c r="IG30" s="190">
        <f t="shared" si="29"/>
        <v>5.6685653624052934</v>
      </c>
      <c r="IH30" s="190">
        <f t="shared" si="29"/>
        <v>5.6685653624052934</v>
      </c>
      <c r="II30" s="190">
        <f t="shared" si="29"/>
        <v>5.7865530861762284</v>
      </c>
      <c r="IJ30" s="190">
        <f t="shared" si="29"/>
        <v>5.7865530861762284</v>
      </c>
      <c r="IK30" s="190">
        <f t="shared" si="29"/>
        <v>5.7865530861762284</v>
      </c>
      <c r="IL30" s="190">
        <f t="shared" si="29"/>
        <v>5.8060025837718472</v>
      </c>
      <c r="IM30" s="190">
        <f t="shared" si="29"/>
        <v>5.8060025837718472</v>
      </c>
      <c r="IN30" s="190">
        <f t="shared" si="29"/>
        <v>5.8060025837718472</v>
      </c>
      <c r="IO30" s="190">
        <f t="shared" si="29"/>
        <v>3.5996235677138704</v>
      </c>
      <c r="IP30" s="190">
        <f t="shared" si="29"/>
        <v>3.5996235677138704</v>
      </c>
      <c r="IQ30" s="190">
        <f t="shared" si="29"/>
        <v>3.5996235677138704</v>
      </c>
      <c r="IR30" s="190">
        <f t="shared" si="29"/>
        <v>3.647597141589829</v>
      </c>
      <c r="IS30" s="190">
        <f t="shared" si="29"/>
        <v>3.647597141589829</v>
      </c>
      <c r="IT30" s="190">
        <f t="shared" si="29"/>
        <v>3.647597141589829</v>
      </c>
      <c r="IU30" s="190">
        <f t="shared" si="29"/>
        <v>3.6562644271025251</v>
      </c>
      <c r="IV30" s="190">
        <f t="shared" si="29"/>
        <v>3.6562644271025251</v>
      </c>
      <c r="IW30" s="190">
        <f t="shared" si="29"/>
        <v>3.6562644271025251</v>
      </c>
      <c r="IX30" s="190">
        <f t="shared" si="29"/>
        <v>2.7160992575499936</v>
      </c>
      <c r="IY30" s="190">
        <f t="shared" ref="IY30:JI30" si="30">IY27-IY28-IY29</f>
        <v>2.7160992575499936</v>
      </c>
      <c r="IZ30" s="190">
        <f t="shared" si="30"/>
        <v>2.7160992575499936</v>
      </c>
      <c r="JA30" s="190">
        <f t="shared" si="30"/>
        <v>2.8190176040716333</v>
      </c>
      <c r="JB30" s="190">
        <f t="shared" si="30"/>
        <v>2.8190176040716333</v>
      </c>
      <c r="JC30" s="190">
        <f t="shared" si="30"/>
        <v>2.8190176040716333</v>
      </c>
      <c r="JD30" s="190">
        <f t="shared" si="30"/>
        <v>2.8213604995399941</v>
      </c>
      <c r="JE30" s="190">
        <f t="shared" si="30"/>
        <v>2.8213604995399941</v>
      </c>
      <c r="JF30" s="190">
        <f t="shared" si="30"/>
        <v>2.8213604995399941</v>
      </c>
      <c r="JG30" s="190">
        <f t="shared" si="30"/>
        <v>0.76970076897642392</v>
      </c>
      <c r="JH30" s="190">
        <f t="shared" si="30"/>
        <v>0.76970076897642392</v>
      </c>
      <c r="JI30" s="190">
        <f t="shared" si="30"/>
        <v>0.76970076897642392</v>
      </c>
      <c r="JJ30" s="461">
        <f t="shared" si="20"/>
        <v>1102.68188160303</v>
      </c>
    </row>
    <row r="32" spans="2:272" ht="14.4" thickBot="1" x14ac:dyDescent="0.35">
      <c r="B32" s="499" t="s">
        <v>328</v>
      </c>
      <c r="C32" s="471"/>
      <c r="D32" s="471"/>
      <c r="E32" s="471"/>
      <c r="F32" s="471"/>
      <c r="G32" s="471"/>
      <c r="H32" s="471"/>
      <c r="I32" s="471"/>
      <c r="J32" s="471"/>
      <c r="K32" s="471"/>
      <c r="L32" s="471"/>
      <c r="M32" s="471"/>
      <c r="N32" s="471"/>
      <c r="O32" s="471"/>
      <c r="P32" s="471"/>
      <c r="Q32" s="471"/>
      <c r="R32" s="471"/>
      <c r="S32" s="471"/>
      <c r="T32" s="471"/>
      <c r="U32" s="471"/>
      <c r="V32" s="471"/>
      <c r="W32" s="471"/>
      <c r="X32" s="471"/>
      <c r="Y32" s="500"/>
    </row>
    <row r="33" spans="1:27" ht="14.4" thickTop="1" x14ac:dyDescent="0.3">
      <c r="B33" s="169"/>
      <c r="C33" s="476">
        <f>'LRD_Phase-wise'!C33</f>
        <v>46112</v>
      </c>
      <c r="D33" s="476">
        <f>'LRD_Phase-wise'!D33</f>
        <v>46477</v>
      </c>
      <c r="E33" s="476">
        <f>'LRD_Phase-wise'!E33</f>
        <v>46843</v>
      </c>
      <c r="F33" s="476">
        <f>'LRD_Phase-wise'!F33</f>
        <v>47208</v>
      </c>
      <c r="G33" s="476">
        <f>'LRD_Phase-wise'!G33</f>
        <v>47573</v>
      </c>
      <c r="H33" s="476">
        <f>'LRD_Phase-wise'!H33</f>
        <v>47938</v>
      </c>
      <c r="I33" s="476">
        <f>'LRD_Phase-wise'!I33</f>
        <v>48304</v>
      </c>
      <c r="J33" s="476">
        <f>'LRD_Phase-wise'!J33</f>
        <v>48669</v>
      </c>
      <c r="K33" s="476">
        <f>'LRD_Phase-wise'!K33</f>
        <v>49034</v>
      </c>
      <c r="L33" s="476">
        <f>'LRD_Phase-wise'!L33</f>
        <v>49399</v>
      </c>
      <c r="M33" s="476">
        <f>'LRD_Phase-wise'!M33</f>
        <v>49765</v>
      </c>
      <c r="N33" s="476">
        <f>'LRD_Phase-wise'!N33</f>
        <v>50130</v>
      </c>
      <c r="O33" s="476">
        <f>'LRD_Phase-wise'!O33</f>
        <v>50495</v>
      </c>
      <c r="P33" s="476">
        <f>'LRD_Phase-wise'!P33</f>
        <v>50860</v>
      </c>
      <c r="Q33" s="476">
        <f>'LRD_Phase-wise'!Q33</f>
        <v>51226</v>
      </c>
      <c r="R33" s="476">
        <f>'LRD_Phase-wise'!R33</f>
        <v>51591</v>
      </c>
      <c r="S33" s="476">
        <f>'LRD_Phase-wise'!S33</f>
        <v>51956</v>
      </c>
      <c r="T33" s="476">
        <f>'LRD_Phase-wise'!T33</f>
        <v>52321</v>
      </c>
      <c r="U33" s="476">
        <f>'LRD_Phase-wise'!U33</f>
        <v>52687</v>
      </c>
      <c r="V33" s="476">
        <f>'LRD_Phase-wise'!V33</f>
        <v>53052</v>
      </c>
      <c r="W33" s="476">
        <f>'LRD_Phase-wise'!W33</f>
        <v>53417</v>
      </c>
      <c r="X33" s="476">
        <f>'LRD_Phase-wise'!X33</f>
        <v>53782</v>
      </c>
      <c r="Y33" s="505">
        <f>'LRD_Phase-wise'!Y33</f>
        <v>54148</v>
      </c>
    </row>
    <row r="34" spans="1:27" x14ac:dyDescent="0.3">
      <c r="A34" s="52"/>
      <c r="B34" s="169" t="s">
        <v>572</v>
      </c>
      <c r="C34" s="258">
        <f t="shared" ref="C34:Y34" si="31">SUMIFS(27:27,23:23,C33)</f>
        <v>1.6459099107207746</v>
      </c>
      <c r="D34" s="258">
        <f t="shared" si="31"/>
        <v>9.8539759081246601</v>
      </c>
      <c r="E34" s="258">
        <f t="shared" si="31"/>
        <v>22.568665123750424</v>
      </c>
      <c r="F34" s="258">
        <f t="shared" si="31"/>
        <v>34.907906239950947</v>
      </c>
      <c r="G34" s="258">
        <f t="shared" si="31"/>
        <v>41.880291853717694</v>
      </c>
      <c r="H34" s="258">
        <f t="shared" si="31"/>
        <v>43.974306446403581</v>
      </c>
      <c r="I34" s="258">
        <f t="shared" si="31"/>
        <v>46.173021768723764</v>
      </c>
      <c r="J34" s="258">
        <f t="shared" si="31"/>
        <v>48.481672857159964</v>
      </c>
      <c r="K34" s="258">
        <f t="shared" si="31"/>
        <v>50.905756500017958</v>
      </c>
      <c r="L34" s="258">
        <f t="shared" si="31"/>
        <v>53.451044325018863</v>
      </c>
      <c r="M34" s="258">
        <f t="shared" si="31"/>
        <v>56.123596541269791</v>
      </c>
      <c r="N34" s="258">
        <f t="shared" si="31"/>
        <v>58.929776368333272</v>
      </c>
      <c r="O34" s="258">
        <f t="shared" si="31"/>
        <v>61.876265186749968</v>
      </c>
      <c r="P34" s="258">
        <f t="shared" si="31"/>
        <v>64.97007844608747</v>
      </c>
      <c r="Q34" s="258">
        <f t="shared" si="31"/>
        <v>68.218582368391836</v>
      </c>
      <c r="R34" s="258">
        <f t="shared" si="31"/>
        <v>71.629511486811424</v>
      </c>
      <c r="S34" s="258">
        <f t="shared" si="31"/>
        <v>75.210987061152025</v>
      </c>
      <c r="T34" s="258">
        <f t="shared" si="31"/>
        <v>78.971536414209609</v>
      </c>
      <c r="U34" s="258">
        <f t="shared" si="31"/>
        <v>82.920113234920109</v>
      </c>
      <c r="V34" s="258">
        <f t="shared" si="31"/>
        <v>87.066118896666083</v>
      </c>
      <c r="W34" s="258">
        <f t="shared" si="31"/>
        <v>79.324087564130949</v>
      </c>
      <c r="X34" s="258">
        <f t="shared" si="31"/>
        <v>55.698292400593587</v>
      </c>
      <c r="Y34" s="246">
        <f t="shared" si="31"/>
        <v>30.420593767126821</v>
      </c>
      <c r="AA34" s="52"/>
    </row>
    <row r="35" spans="1:27" x14ac:dyDescent="0.3">
      <c r="A35" s="52"/>
      <c r="B35" s="169" t="s">
        <v>573</v>
      </c>
      <c r="C35" s="258">
        <f>SUMIFS(29:29,23:23,C33)+SUMIFS(28:28,23:23,C33)*(1+'Assumption Sheet'!$I$14)</f>
        <v>0.16459099107207747</v>
      </c>
      <c r="D35" s="258">
        <f>SUMIFS(29:29,23:23,D33)+SUMIFS(28:28,23:23,D33)*(1+'Assumption Sheet'!$I$14)</f>
        <v>0.98539759081246614</v>
      </c>
      <c r="E35" s="258">
        <f>SUMIFS(29:29,23:23,E33)+SUMIFS(28:28,23:23,E33)*(1+'Assumption Sheet'!$I$14)</f>
        <v>2.2568665123750424</v>
      </c>
      <c r="F35" s="258">
        <f>SUMIFS(29:29,23:23,F33)+SUMIFS(28:28,23:23,F33)*(1+'Assumption Sheet'!$I$14)</f>
        <v>3.4907906239950948</v>
      </c>
      <c r="G35" s="258">
        <f>SUMIFS(29:29,23:23,G33)+SUMIFS(28:28,23:23,G33)*(1+'Assumption Sheet'!$I$14)</f>
        <v>4.1880291853717706</v>
      </c>
      <c r="H35" s="258">
        <f>SUMIFS(29:29,23:23,H33)+SUMIFS(28:28,23:23,H33)*(1+'Assumption Sheet'!$I$14)</f>
        <v>4.3974306446403579</v>
      </c>
      <c r="I35" s="258">
        <f>SUMIFS(29:29,23:23,I33)+SUMIFS(28:28,23:23,I33)*(1+'Assumption Sheet'!$I$14)</f>
        <v>4.6173021768723777</v>
      </c>
      <c r="J35" s="258">
        <f>SUMIFS(29:29,23:23,J33)+SUMIFS(28:28,23:23,J33)*(1+'Assumption Sheet'!$I$14)</f>
        <v>4.8481672857159959</v>
      </c>
      <c r="K35" s="258">
        <f>SUMIFS(29:29,23:23,K33)+SUMIFS(28:28,23:23,K33)*(1+'Assumption Sheet'!$I$14)</f>
        <v>5.0905756500017976</v>
      </c>
      <c r="L35" s="258">
        <f>SUMIFS(29:29,23:23,L33)+SUMIFS(28:28,23:23,L33)*(1+'Assumption Sheet'!$I$14)</f>
        <v>5.3451044325018851</v>
      </c>
      <c r="M35" s="258">
        <f>SUMIFS(29:29,23:23,M33)+SUMIFS(28:28,23:23,M33)*(1+'Assumption Sheet'!$I$14)</f>
        <v>5.6123596541269789</v>
      </c>
      <c r="N35" s="258">
        <f>SUMIFS(29:29,23:23,N33)+SUMIFS(28:28,23:23,N33)*(1+'Assumption Sheet'!$I$14)</f>
        <v>5.8929776368333302</v>
      </c>
      <c r="O35" s="258">
        <f>SUMIFS(29:29,23:23,O33)+SUMIFS(28:28,23:23,O33)*(1+'Assumption Sheet'!$I$14)</f>
        <v>6.1876265186749944</v>
      </c>
      <c r="P35" s="258">
        <f>SUMIFS(29:29,23:23,P33)+SUMIFS(28:28,23:23,P33)*(1+'Assumption Sheet'!$I$14)</f>
        <v>6.4970078446087474</v>
      </c>
      <c r="Q35" s="258">
        <f>SUMIFS(29:29,23:23,Q33)+SUMIFS(28:28,23:23,Q33)*(1+'Assumption Sheet'!$I$14)</f>
        <v>6.8218582368391845</v>
      </c>
      <c r="R35" s="258">
        <f>SUMIFS(29:29,23:23,R33)+SUMIFS(28:28,23:23,R33)*(1+'Assumption Sheet'!$I$14)</f>
        <v>7.1629511486811444</v>
      </c>
      <c r="S35" s="258">
        <f>SUMIFS(29:29,23:23,S33)+SUMIFS(28:28,23:23,S33)*(1+'Assumption Sheet'!$I$14)</f>
        <v>7.5210987061152013</v>
      </c>
      <c r="T35" s="258">
        <f>SUMIFS(29:29,23:23,T33)+SUMIFS(28:28,23:23,T33)*(1+'Assumption Sheet'!$I$14)</f>
        <v>7.8971536414209629</v>
      </c>
      <c r="U35" s="258">
        <f>SUMIFS(29:29,23:23,U33)+SUMIFS(28:28,23:23,U33)*(1+'Assumption Sheet'!$I$14)</f>
        <v>8.2920113234920123</v>
      </c>
      <c r="V35" s="258">
        <f>SUMIFS(29:29,23:23,V33)+SUMIFS(28:28,23:23,V33)*(1+'Assumption Sheet'!$I$14)</f>
        <v>8.7066118896666111</v>
      </c>
      <c r="W35" s="258">
        <f>SUMIFS(29:29,23:23,W33)+SUMIFS(28:28,23:23,W33)*(1+'Assumption Sheet'!$I$14)</f>
        <v>7.9324087564130945</v>
      </c>
      <c r="X35" s="258">
        <f>SUMIFS(29:29,23:23,X33)+SUMIFS(28:28,23:23,X33)*(1+'Assumption Sheet'!$I$14)</f>
        <v>5.5698292400593559</v>
      </c>
      <c r="Y35" s="246">
        <f>SUMIFS(29:29,23:23,Y33)+SUMIFS(28:28,23:23,Y33)*(1+'Assumption Sheet'!$I$14)</f>
        <v>3.0420593767126825</v>
      </c>
      <c r="AA35" s="52"/>
    </row>
    <row r="36" spans="1:27" x14ac:dyDescent="0.3">
      <c r="A36" s="52"/>
      <c r="B36" s="163" t="s">
        <v>299</v>
      </c>
      <c r="C36" s="460">
        <f>C34-C35</f>
        <v>1.4813189196486971</v>
      </c>
      <c r="D36" s="460">
        <f t="shared" ref="D36:Y36" si="32">D34-D35</f>
        <v>8.8685783173121937</v>
      </c>
      <c r="E36" s="460">
        <f t="shared" si="32"/>
        <v>20.31179861137538</v>
      </c>
      <c r="F36" s="460">
        <f t="shared" si="32"/>
        <v>31.417115615955851</v>
      </c>
      <c r="G36" s="460">
        <f t="shared" si="32"/>
        <v>37.692262668345926</v>
      </c>
      <c r="H36" s="460">
        <f t="shared" si="32"/>
        <v>39.576875801763222</v>
      </c>
      <c r="I36" s="460">
        <f t="shared" si="32"/>
        <v>41.555719591851386</v>
      </c>
      <c r="J36" s="460">
        <f t="shared" si="32"/>
        <v>43.633505571443969</v>
      </c>
      <c r="K36" s="460">
        <f t="shared" si="32"/>
        <v>45.815180850016162</v>
      </c>
      <c r="L36" s="460">
        <f t="shared" si="32"/>
        <v>48.105939892516979</v>
      </c>
      <c r="M36" s="460">
        <f t="shared" si="32"/>
        <v>50.511236887142815</v>
      </c>
      <c r="N36" s="460">
        <f t="shared" si="32"/>
        <v>53.036798731499943</v>
      </c>
      <c r="O36" s="460">
        <f t="shared" si="32"/>
        <v>55.688638668074972</v>
      </c>
      <c r="P36" s="460">
        <f t="shared" si="32"/>
        <v>58.473070601478724</v>
      </c>
      <c r="Q36" s="460">
        <f t="shared" si="32"/>
        <v>61.396724131552652</v>
      </c>
      <c r="R36" s="460">
        <f t="shared" si="32"/>
        <v>64.466560338130279</v>
      </c>
      <c r="S36" s="460">
        <f t="shared" si="32"/>
        <v>67.689888355036828</v>
      </c>
      <c r="T36" s="460">
        <f t="shared" si="32"/>
        <v>71.074382772788653</v>
      </c>
      <c r="U36" s="460">
        <f t="shared" si="32"/>
        <v>74.628101911428104</v>
      </c>
      <c r="V36" s="460">
        <f t="shared" si="32"/>
        <v>78.359507006999479</v>
      </c>
      <c r="W36" s="460">
        <f t="shared" si="32"/>
        <v>71.391678807717852</v>
      </c>
      <c r="X36" s="460">
        <f t="shared" si="32"/>
        <v>50.128463160534231</v>
      </c>
      <c r="Y36" s="461">
        <f t="shared" si="32"/>
        <v>27.378534390414138</v>
      </c>
      <c r="AA36" s="52"/>
    </row>
    <row r="37" spans="1:27" x14ac:dyDescent="0.3">
      <c r="C37" s="33"/>
    </row>
    <row r="38" spans="1:27" x14ac:dyDescent="0.3">
      <c r="B38" s="470"/>
      <c r="C38" s="471"/>
      <c r="D38" s="471"/>
      <c r="E38" s="471"/>
      <c r="F38" s="507">
        <v>0</v>
      </c>
      <c r="G38" s="507">
        <f>G41</f>
        <v>9</v>
      </c>
      <c r="H38" s="507">
        <f>G38+H41</f>
        <v>21</v>
      </c>
      <c r="I38" s="507">
        <f t="shared" ref="I38:V38" si="33">H38+I41</f>
        <v>33</v>
      </c>
      <c r="J38" s="507">
        <f t="shared" si="33"/>
        <v>45</v>
      </c>
      <c r="K38" s="507">
        <f t="shared" si="33"/>
        <v>57</v>
      </c>
      <c r="L38" s="507">
        <f t="shared" si="33"/>
        <v>69</v>
      </c>
      <c r="M38" s="507">
        <f t="shared" si="33"/>
        <v>81</v>
      </c>
      <c r="N38" s="507">
        <f t="shared" si="33"/>
        <v>93</v>
      </c>
      <c r="O38" s="507">
        <f t="shared" si="33"/>
        <v>105</v>
      </c>
      <c r="P38" s="507">
        <f t="shared" si="33"/>
        <v>117</v>
      </c>
      <c r="Q38" s="507">
        <f t="shared" si="33"/>
        <v>129</v>
      </c>
      <c r="R38" s="507">
        <f t="shared" si="33"/>
        <v>141</v>
      </c>
      <c r="S38" s="507">
        <f t="shared" si="33"/>
        <v>153</v>
      </c>
      <c r="T38" s="507">
        <f t="shared" si="33"/>
        <v>165</v>
      </c>
      <c r="U38" s="507">
        <f t="shared" si="33"/>
        <v>177</v>
      </c>
      <c r="V38" s="508">
        <f t="shared" si="33"/>
        <v>180</v>
      </c>
    </row>
    <row r="39" spans="1:27" ht="14.4" thickBot="1" x14ac:dyDescent="0.35">
      <c r="B39" s="499" t="s">
        <v>426</v>
      </c>
      <c r="F39" s="1">
        <v>1</v>
      </c>
      <c r="G39" s="1">
        <f t="shared" ref="G39:T39" si="34">F39+1</f>
        <v>2</v>
      </c>
      <c r="H39" s="1">
        <f t="shared" si="34"/>
        <v>3</v>
      </c>
      <c r="I39" s="1">
        <f t="shared" si="34"/>
        <v>4</v>
      </c>
      <c r="J39" s="1">
        <f t="shared" si="34"/>
        <v>5</v>
      </c>
      <c r="K39" s="1">
        <f t="shared" si="34"/>
        <v>6</v>
      </c>
      <c r="L39" s="1">
        <f t="shared" si="34"/>
        <v>7</v>
      </c>
      <c r="M39" s="1">
        <f t="shared" si="34"/>
        <v>8</v>
      </c>
      <c r="N39" s="1">
        <f t="shared" si="34"/>
        <v>9</v>
      </c>
      <c r="O39" s="1">
        <f t="shared" si="34"/>
        <v>10</v>
      </c>
      <c r="P39" s="1">
        <f t="shared" si="34"/>
        <v>11</v>
      </c>
      <c r="Q39" s="1">
        <f t="shared" si="34"/>
        <v>12</v>
      </c>
      <c r="R39" s="1">
        <f t="shared" si="34"/>
        <v>13</v>
      </c>
      <c r="S39" s="1">
        <f t="shared" si="34"/>
        <v>14</v>
      </c>
      <c r="T39" s="1">
        <f t="shared" si="34"/>
        <v>15</v>
      </c>
      <c r="U39" s="1">
        <f>T39+1</f>
        <v>16</v>
      </c>
      <c r="V39" s="377">
        <f>U39+1</f>
        <v>17</v>
      </c>
    </row>
    <row r="40" spans="1:27" ht="14.4" thickTop="1" x14ac:dyDescent="0.3">
      <c r="B40" s="169"/>
      <c r="C40" s="476">
        <f>'LRD_Phase-wise'!C293</f>
        <v>46112</v>
      </c>
      <c r="D40" s="476">
        <f>EOMONTH(C40,12)</f>
        <v>46477</v>
      </c>
      <c r="E40" s="476">
        <f t="shared" ref="E40:T40" si="35">EOMONTH(D40,12)</f>
        <v>46843</v>
      </c>
      <c r="F40" s="476">
        <f t="shared" si="35"/>
        <v>47208</v>
      </c>
      <c r="G40" s="476">
        <f t="shared" si="35"/>
        <v>47573</v>
      </c>
      <c r="H40" s="476">
        <f t="shared" si="35"/>
        <v>47938</v>
      </c>
      <c r="I40" s="476">
        <f t="shared" si="35"/>
        <v>48304</v>
      </c>
      <c r="J40" s="476">
        <f t="shared" si="35"/>
        <v>48669</v>
      </c>
      <c r="K40" s="476">
        <f t="shared" si="35"/>
        <v>49034</v>
      </c>
      <c r="L40" s="476">
        <f t="shared" si="35"/>
        <v>49399</v>
      </c>
      <c r="M40" s="476">
        <f t="shared" si="35"/>
        <v>49765</v>
      </c>
      <c r="N40" s="476">
        <f t="shared" si="35"/>
        <v>50130</v>
      </c>
      <c r="O40" s="476">
        <f t="shared" si="35"/>
        <v>50495</v>
      </c>
      <c r="P40" s="476">
        <f t="shared" si="35"/>
        <v>50860</v>
      </c>
      <c r="Q40" s="476">
        <f t="shared" si="35"/>
        <v>51226</v>
      </c>
      <c r="R40" s="476">
        <f t="shared" si="35"/>
        <v>51591</v>
      </c>
      <c r="S40" s="476">
        <f t="shared" si="35"/>
        <v>51956</v>
      </c>
      <c r="T40" s="476">
        <f t="shared" si="35"/>
        <v>52321</v>
      </c>
      <c r="U40" s="476">
        <f>EOMONTH(T40,12)</f>
        <v>52687</v>
      </c>
      <c r="V40" s="505">
        <f>EOMONTH(U40,12)</f>
        <v>53052</v>
      </c>
    </row>
    <row r="41" spans="1:27" x14ac:dyDescent="0.3">
      <c r="B41" s="470" t="s">
        <v>355</v>
      </c>
      <c r="C41" s="471"/>
      <c r="D41" s="471"/>
      <c r="E41" s="471"/>
      <c r="F41" s="471"/>
      <c r="G41" s="507">
        <v>9</v>
      </c>
      <c r="H41" s="507">
        <f t="shared" ref="H41:S41" si="36">COUNTIF(23:23,H40)</f>
        <v>12</v>
      </c>
      <c r="I41" s="507">
        <f t="shared" si="36"/>
        <v>12</v>
      </c>
      <c r="J41" s="507">
        <f t="shared" si="36"/>
        <v>12</v>
      </c>
      <c r="K41" s="507">
        <f t="shared" si="36"/>
        <v>12</v>
      </c>
      <c r="L41" s="507">
        <f t="shared" si="36"/>
        <v>12</v>
      </c>
      <c r="M41" s="507">
        <f t="shared" si="36"/>
        <v>12</v>
      </c>
      <c r="N41" s="507">
        <f t="shared" si="36"/>
        <v>12</v>
      </c>
      <c r="O41" s="507">
        <f t="shared" si="36"/>
        <v>12</v>
      </c>
      <c r="P41" s="507">
        <f t="shared" si="36"/>
        <v>12</v>
      </c>
      <c r="Q41" s="507">
        <f t="shared" si="36"/>
        <v>12</v>
      </c>
      <c r="R41" s="507">
        <f t="shared" si="36"/>
        <v>12</v>
      </c>
      <c r="S41" s="507">
        <f t="shared" si="36"/>
        <v>12</v>
      </c>
      <c r="T41" s="507">
        <v>12</v>
      </c>
      <c r="U41" s="507">
        <v>12</v>
      </c>
      <c r="V41" s="508">
        <v>3</v>
      </c>
    </row>
    <row r="42" spans="1:27" x14ac:dyDescent="0.3">
      <c r="A42" s="509">
        <f>SUM(G42:P42)+Q42*3/12</f>
        <v>0.5149999999999999</v>
      </c>
      <c r="B42" s="437" t="s">
        <v>333</v>
      </c>
      <c r="C42" s="510"/>
      <c r="D42" s="510"/>
      <c r="E42" s="510"/>
      <c r="F42" s="510"/>
      <c r="G42" s="511">
        <v>5.0000000000000001E-3</v>
      </c>
      <c r="H42" s="511">
        <v>1.7500000000000002E-2</v>
      </c>
      <c r="I42" s="511">
        <v>2.5000000000000001E-2</v>
      </c>
      <c r="J42" s="511">
        <v>3.2500000000000001E-2</v>
      </c>
      <c r="K42" s="511">
        <v>4.2500000000000003E-2</v>
      </c>
      <c r="L42" s="511">
        <v>5.2499999999999998E-2</v>
      </c>
      <c r="M42" s="511">
        <v>6.25E-2</v>
      </c>
      <c r="N42" s="511">
        <v>7.4999999999999997E-2</v>
      </c>
      <c r="O42" s="511">
        <v>0.09</v>
      </c>
      <c r="P42" s="511">
        <v>0.09</v>
      </c>
      <c r="Q42" s="511">
        <v>0.09</v>
      </c>
      <c r="R42" s="511">
        <v>0.09</v>
      </c>
      <c r="S42" s="511">
        <v>0.1</v>
      </c>
      <c r="T42" s="511">
        <v>0.1</v>
      </c>
      <c r="U42" s="511">
        <v>0.1</v>
      </c>
      <c r="V42" s="512">
        <f>1-SUM(E42:U42)</f>
        <v>2.7500000000000191E-2</v>
      </c>
    </row>
    <row r="45" spans="1:27" ht="14.4" thickBot="1" x14ac:dyDescent="0.35">
      <c r="B45" s="499" t="s">
        <v>340</v>
      </c>
      <c r="C45" s="428"/>
      <c r="D45" s="428"/>
      <c r="E45" s="428"/>
      <c r="F45" s="428"/>
      <c r="G45" s="428"/>
      <c r="H45" s="428"/>
      <c r="I45" s="428"/>
      <c r="J45" s="428"/>
      <c r="K45" s="428"/>
      <c r="L45" s="428"/>
      <c r="M45" s="428"/>
      <c r="N45" s="428"/>
      <c r="O45" s="428"/>
      <c r="P45" s="428"/>
      <c r="Q45" s="428"/>
      <c r="R45" s="428"/>
      <c r="S45" s="428"/>
      <c r="T45" s="428"/>
      <c r="U45" s="428"/>
      <c r="V45" s="430"/>
    </row>
    <row r="46" spans="1:27" ht="14.4" thickTop="1" x14ac:dyDescent="0.3">
      <c r="B46" s="429"/>
      <c r="C46" s="513">
        <f>C40</f>
        <v>46112</v>
      </c>
      <c r="D46" s="513">
        <f t="shared" ref="D46:T46" si="37">D40</f>
        <v>46477</v>
      </c>
      <c r="E46" s="513">
        <f t="shared" si="37"/>
        <v>46843</v>
      </c>
      <c r="F46" s="513">
        <f t="shared" si="37"/>
        <v>47208</v>
      </c>
      <c r="G46" s="513">
        <f t="shared" si="37"/>
        <v>47573</v>
      </c>
      <c r="H46" s="513">
        <f t="shared" si="37"/>
        <v>47938</v>
      </c>
      <c r="I46" s="513">
        <f t="shared" si="37"/>
        <v>48304</v>
      </c>
      <c r="J46" s="513">
        <f t="shared" si="37"/>
        <v>48669</v>
      </c>
      <c r="K46" s="513">
        <f t="shared" si="37"/>
        <v>49034</v>
      </c>
      <c r="L46" s="513">
        <f t="shared" si="37"/>
        <v>49399</v>
      </c>
      <c r="M46" s="513">
        <f t="shared" si="37"/>
        <v>49765</v>
      </c>
      <c r="N46" s="513">
        <f t="shared" si="37"/>
        <v>50130</v>
      </c>
      <c r="O46" s="513">
        <f t="shared" si="37"/>
        <v>50495</v>
      </c>
      <c r="P46" s="513">
        <f t="shared" si="37"/>
        <v>50860</v>
      </c>
      <c r="Q46" s="513">
        <f t="shared" si="37"/>
        <v>51226</v>
      </c>
      <c r="R46" s="513">
        <f t="shared" si="37"/>
        <v>51591</v>
      </c>
      <c r="S46" s="513">
        <f t="shared" si="37"/>
        <v>51956</v>
      </c>
      <c r="T46" s="513">
        <f t="shared" si="37"/>
        <v>52321</v>
      </c>
      <c r="U46" s="513">
        <f>U40</f>
        <v>52687</v>
      </c>
      <c r="V46" s="514">
        <f>V40</f>
        <v>53052</v>
      </c>
    </row>
    <row r="47" spans="1:27" x14ac:dyDescent="0.3">
      <c r="B47" s="169" t="s">
        <v>341</v>
      </c>
      <c r="C47" s="258">
        <v>0</v>
      </c>
      <c r="D47" s="33">
        <f t="shared" ref="D47:V47" ca="1" si="38">C50</f>
        <v>0</v>
      </c>
      <c r="E47" s="33">
        <f t="shared" ca="1" si="38"/>
        <v>0</v>
      </c>
      <c r="F47" s="33">
        <f t="shared" ca="1" si="38"/>
        <v>0</v>
      </c>
      <c r="G47" s="33">
        <f t="shared" ca="1" si="38"/>
        <v>0</v>
      </c>
      <c r="H47" s="33">
        <f t="shared" ca="1" si="38"/>
        <v>298.50044523179281</v>
      </c>
      <c r="I47" s="33">
        <f t="shared" ca="1" si="38"/>
        <v>293.25043740108288</v>
      </c>
      <c r="J47" s="33">
        <f t="shared" ca="1" si="38"/>
        <v>285.75042621435443</v>
      </c>
      <c r="K47" s="33">
        <f t="shared" ca="1" si="38"/>
        <v>276.00041167160742</v>
      </c>
      <c r="L47" s="33">
        <f t="shared" ca="1" si="38"/>
        <v>263.25039265416905</v>
      </c>
      <c r="M47" s="33">
        <f t="shared" ca="1" si="38"/>
        <v>247.50036916203928</v>
      </c>
      <c r="N47" s="33">
        <f t="shared" ca="1" si="38"/>
        <v>228.75034119521811</v>
      </c>
      <c r="O47" s="33">
        <f t="shared" ca="1" si="38"/>
        <v>206.25030763503273</v>
      </c>
      <c r="P47" s="33">
        <f t="shared" ca="1" si="38"/>
        <v>179.25026736281026</v>
      </c>
      <c r="Q47" s="33">
        <f t="shared" ca="1" si="38"/>
        <v>152.2502270905878</v>
      </c>
      <c r="R47" s="33">
        <f t="shared" ca="1" si="38"/>
        <v>125.25018681836534</v>
      </c>
      <c r="S47" s="33">
        <f t="shared" ca="1" si="38"/>
        <v>98.250146546142872</v>
      </c>
      <c r="T47" s="33">
        <f t="shared" ca="1" si="38"/>
        <v>68.250101799229014</v>
      </c>
      <c r="U47" s="33">
        <f t="shared" ca="1" si="38"/>
        <v>38.250057052315157</v>
      </c>
      <c r="V47" s="246">
        <f t="shared" ca="1" si="38"/>
        <v>8.2500123054013024</v>
      </c>
    </row>
    <row r="48" spans="1:27" x14ac:dyDescent="0.3">
      <c r="B48" s="169" t="s">
        <v>165</v>
      </c>
      <c r="C48" s="258">
        <f>IF(C46=$E$33,$C$16,0)</f>
        <v>0</v>
      </c>
      <c r="D48" s="258">
        <f>IF(D46=$E$33,$C$16,0)*0</f>
        <v>0</v>
      </c>
      <c r="E48" s="258">
        <v>0</v>
      </c>
      <c r="F48" s="258"/>
      <c r="G48" s="258">
        <f ca="1">C16</f>
        <v>300.00044746913852</v>
      </c>
      <c r="H48" s="258">
        <f t="shared" ref="H48:V48" si="39">IF(H46=$E$33,$C$16,0)</f>
        <v>0</v>
      </c>
      <c r="I48" s="258">
        <f t="shared" si="39"/>
        <v>0</v>
      </c>
      <c r="J48" s="258">
        <f t="shared" si="39"/>
        <v>0</v>
      </c>
      <c r="K48" s="258">
        <f t="shared" si="39"/>
        <v>0</v>
      </c>
      <c r="L48" s="258">
        <f t="shared" si="39"/>
        <v>0</v>
      </c>
      <c r="M48" s="258">
        <f t="shared" si="39"/>
        <v>0</v>
      </c>
      <c r="N48" s="258">
        <f t="shared" si="39"/>
        <v>0</v>
      </c>
      <c r="O48" s="258">
        <f t="shared" si="39"/>
        <v>0</v>
      </c>
      <c r="P48" s="258">
        <f t="shared" si="39"/>
        <v>0</v>
      </c>
      <c r="Q48" s="258">
        <f t="shared" si="39"/>
        <v>0</v>
      </c>
      <c r="R48" s="258">
        <f t="shared" si="39"/>
        <v>0</v>
      </c>
      <c r="S48" s="258">
        <f t="shared" si="39"/>
        <v>0</v>
      </c>
      <c r="T48" s="258">
        <f t="shared" si="39"/>
        <v>0</v>
      </c>
      <c r="U48" s="258">
        <f t="shared" si="39"/>
        <v>0</v>
      </c>
      <c r="V48" s="246">
        <f t="shared" si="39"/>
        <v>0</v>
      </c>
    </row>
    <row r="49" spans="1:22" x14ac:dyDescent="0.3">
      <c r="B49" s="169" t="s">
        <v>342</v>
      </c>
      <c r="C49" s="33">
        <f t="shared" ref="C49:V49" ca="1" si="40">$C$16*C42</f>
        <v>0</v>
      </c>
      <c r="D49" s="33">
        <f t="shared" ca="1" si="40"/>
        <v>0</v>
      </c>
      <c r="E49" s="33">
        <f t="shared" ca="1" si="40"/>
        <v>0</v>
      </c>
      <c r="F49" s="33">
        <f t="shared" ca="1" si="40"/>
        <v>0</v>
      </c>
      <c r="G49" s="33">
        <f t="shared" ca="1" si="40"/>
        <v>1.5000022373456927</v>
      </c>
      <c r="H49" s="33">
        <f t="shared" ca="1" si="40"/>
        <v>5.2500078307099249</v>
      </c>
      <c r="I49" s="33">
        <f t="shared" ca="1" si="40"/>
        <v>7.5000111867284636</v>
      </c>
      <c r="J49" s="33">
        <f t="shared" ca="1" si="40"/>
        <v>9.7500145427470031</v>
      </c>
      <c r="K49" s="33">
        <f t="shared" ca="1" si="40"/>
        <v>12.750019017438389</v>
      </c>
      <c r="L49" s="33">
        <f t="shared" ca="1" si="40"/>
        <v>15.750023492129772</v>
      </c>
      <c r="M49" s="33">
        <f t="shared" ca="1" si="40"/>
        <v>18.750027966821158</v>
      </c>
      <c r="N49" s="33">
        <f t="shared" ca="1" si="40"/>
        <v>22.50003356018539</v>
      </c>
      <c r="O49" s="33">
        <f t="shared" ca="1" si="40"/>
        <v>27.000040272222467</v>
      </c>
      <c r="P49" s="33">
        <f t="shared" ca="1" si="40"/>
        <v>27.000040272222467</v>
      </c>
      <c r="Q49" s="33">
        <f t="shared" ca="1" si="40"/>
        <v>27.000040272222467</v>
      </c>
      <c r="R49" s="33">
        <f t="shared" ca="1" si="40"/>
        <v>27.000040272222467</v>
      </c>
      <c r="S49" s="33">
        <f t="shared" ca="1" si="40"/>
        <v>30.000044746913854</v>
      </c>
      <c r="T49" s="33">
        <f t="shared" ca="1" si="40"/>
        <v>30.000044746913854</v>
      </c>
      <c r="U49" s="33">
        <f t="shared" ca="1" si="40"/>
        <v>30.000044746913854</v>
      </c>
      <c r="V49" s="246">
        <f t="shared" ca="1" si="40"/>
        <v>8.2500123054013663</v>
      </c>
    </row>
    <row r="50" spans="1:22" x14ac:dyDescent="0.3">
      <c r="B50" s="163" t="s">
        <v>343</v>
      </c>
      <c r="C50" s="460">
        <f t="shared" ref="C50:V50" ca="1" si="41">C47+C48-C49</f>
        <v>0</v>
      </c>
      <c r="D50" s="460">
        <f t="shared" ca="1" si="41"/>
        <v>0</v>
      </c>
      <c r="E50" s="460">
        <f t="shared" ca="1" si="41"/>
        <v>0</v>
      </c>
      <c r="F50" s="460">
        <f t="shared" ca="1" si="41"/>
        <v>0</v>
      </c>
      <c r="G50" s="460">
        <f t="shared" ca="1" si="41"/>
        <v>298.50044523179281</v>
      </c>
      <c r="H50" s="460">
        <f t="shared" ca="1" si="41"/>
        <v>293.25043740108288</v>
      </c>
      <c r="I50" s="460">
        <f t="shared" ca="1" si="41"/>
        <v>285.75042621435443</v>
      </c>
      <c r="J50" s="460">
        <f t="shared" ca="1" si="41"/>
        <v>276.00041167160742</v>
      </c>
      <c r="K50" s="460">
        <f t="shared" ca="1" si="41"/>
        <v>263.25039265416905</v>
      </c>
      <c r="L50" s="460">
        <f t="shared" ca="1" si="41"/>
        <v>247.50036916203928</v>
      </c>
      <c r="M50" s="460">
        <f t="shared" ca="1" si="41"/>
        <v>228.75034119521811</v>
      </c>
      <c r="N50" s="460">
        <f t="shared" ca="1" si="41"/>
        <v>206.25030763503273</v>
      </c>
      <c r="O50" s="460">
        <f t="shared" ca="1" si="41"/>
        <v>179.25026736281026</v>
      </c>
      <c r="P50" s="460">
        <f t="shared" ca="1" si="41"/>
        <v>152.2502270905878</v>
      </c>
      <c r="Q50" s="460">
        <f t="shared" ca="1" si="41"/>
        <v>125.25018681836534</v>
      </c>
      <c r="R50" s="460">
        <f t="shared" ca="1" si="41"/>
        <v>98.250146546142872</v>
      </c>
      <c r="S50" s="460">
        <f t="shared" ca="1" si="41"/>
        <v>68.250101799229014</v>
      </c>
      <c r="T50" s="460">
        <f t="shared" ca="1" si="41"/>
        <v>38.250057052315157</v>
      </c>
      <c r="U50" s="460">
        <f t="shared" ca="1" si="41"/>
        <v>8.2500123054013024</v>
      </c>
      <c r="V50" s="461">
        <f t="shared" ca="1" si="41"/>
        <v>-6.3948846218409017E-14</v>
      </c>
    </row>
    <row r="51" spans="1:22" x14ac:dyDescent="0.3">
      <c r="B51" s="436" t="s">
        <v>51</v>
      </c>
      <c r="C51" s="515">
        <f ca="1">AVERAGE(C50,C47)*$C$17</f>
        <v>0</v>
      </c>
      <c r="D51" s="515">
        <f ca="1">AVERAGE(D50,D47)*$C$17</f>
        <v>0</v>
      </c>
      <c r="E51" s="515">
        <f ca="1">AVERAGE(E50,E47)*$C$17*E41/12</f>
        <v>0</v>
      </c>
      <c r="F51" s="515">
        <f ca="1">AVERAGE(F50,F48)*$C$17*F41/12</f>
        <v>0</v>
      </c>
      <c r="G51" s="515">
        <f ca="1">AVERAGE(G50,G48)*$C$17*G41/12</f>
        <v>19.077215954842188</v>
      </c>
      <c r="H51" s="515">
        <f t="shared" ref="H51:V51" ca="1" si="42">AVERAGE(H50,H47)*$C$17*H41/12</f>
        <v>25.149412511897214</v>
      </c>
      <c r="I51" s="515">
        <f t="shared" ca="1" si="42"/>
        <v>24.607536703656091</v>
      </c>
      <c r="J51" s="515">
        <f t="shared" ca="1" si="42"/>
        <v>23.87441061015338</v>
      </c>
      <c r="K51" s="515">
        <f t="shared" ca="1" si="42"/>
        <v>22.918159183845503</v>
      </c>
      <c r="L51" s="515">
        <f t="shared" ca="1" si="42"/>
        <v>21.706907377188855</v>
      </c>
      <c r="M51" s="515">
        <f t="shared" ca="1" si="42"/>
        <v>20.240655190183439</v>
      </c>
      <c r="N51" s="515">
        <f t="shared" ca="1" si="42"/>
        <v>18.487527575285661</v>
      </c>
      <c r="O51" s="515">
        <f t="shared" ca="1" si="42"/>
        <v>16.383774437408327</v>
      </c>
      <c r="P51" s="515">
        <f t="shared" ca="1" si="42"/>
        <v>14.088771014269419</v>
      </c>
      <c r="Q51" s="515">
        <f t="shared" ca="1" si="42"/>
        <v>11.793767591130509</v>
      </c>
      <c r="R51" s="515">
        <f t="shared" ca="1" si="42"/>
        <v>9.4987641679915988</v>
      </c>
      <c r="S51" s="515">
        <f t="shared" ca="1" si="42"/>
        <v>7.0762605546783055</v>
      </c>
      <c r="T51" s="515">
        <f t="shared" ca="1" si="42"/>
        <v>4.526256751190628</v>
      </c>
      <c r="U51" s="515">
        <f t="shared" ca="1" si="42"/>
        <v>1.9762529477029496</v>
      </c>
      <c r="V51" s="516">
        <f t="shared" ca="1" si="42"/>
        <v>8.7656380744888171E-2</v>
      </c>
    </row>
    <row r="54" spans="1:22" ht="14.4" thickBot="1" x14ac:dyDescent="0.35">
      <c r="B54" s="499" t="s">
        <v>427</v>
      </c>
      <c r="C54" s="471"/>
      <c r="D54" s="471"/>
      <c r="E54" s="471"/>
      <c r="F54" s="471"/>
      <c r="G54" s="471"/>
      <c r="H54" s="471"/>
      <c r="I54" s="471"/>
      <c r="J54" s="471"/>
      <c r="K54" s="471"/>
      <c r="L54" s="471"/>
      <c r="M54" s="471"/>
      <c r="N54" s="471"/>
      <c r="O54" s="471"/>
      <c r="P54" s="471"/>
      <c r="Q54" s="471"/>
      <c r="R54" s="471"/>
      <c r="S54" s="471"/>
      <c r="T54" s="471"/>
      <c r="U54" s="471"/>
      <c r="V54" s="500"/>
    </row>
    <row r="55" spans="1:22" ht="14.4" thickTop="1" x14ac:dyDescent="0.3">
      <c r="B55" s="429"/>
      <c r="C55" s="513">
        <f>C46</f>
        <v>46112</v>
      </c>
      <c r="D55" s="513">
        <f t="shared" ref="D55:T55" si="43">D46</f>
        <v>46477</v>
      </c>
      <c r="E55" s="513">
        <f t="shared" si="43"/>
        <v>46843</v>
      </c>
      <c r="F55" s="513">
        <f t="shared" si="43"/>
        <v>47208</v>
      </c>
      <c r="G55" s="513">
        <f t="shared" si="43"/>
        <v>47573</v>
      </c>
      <c r="H55" s="513">
        <f t="shared" si="43"/>
        <v>47938</v>
      </c>
      <c r="I55" s="513">
        <f t="shared" si="43"/>
        <v>48304</v>
      </c>
      <c r="J55" s="513">
        <f t="shared" si="43"/>
        <v>48669</v>
      </c>
      <c r="K55" s="513">
        <f t="shared" si="43"/>
        <v>49034</v>
      </c>
      <c r="L55" s="513">
        <f t="shared" si="43"/>
        <v>49399</v>
      </c>
      <c r="M55" s="513">
        <f t="shared" si="43"/>
        <v>49765</v>
      </c>
      <c r="N55" s="513">
        <f t="shared" si="43"/>
        <v>50130</v>
      </c>
      <c r="O55" s="513">
        <f t="shared" si="43"/>
        <v>50495</v>
      </c>
      <c r="P55" s="513">
        <f t="shared" si="43"/>
        <v>50860</v>
      </c>
      <c r="Q55" s="513">
        <f t="shared" si="43"/>
        <v>51226</v>
      </c>
      <c r="R55" s="513">
        <f t="shared" si="43"/>
        <v>51591</v>
      </c>
      <c r="S55" s="513">
        <f t="shared" si="43"/>
        <v>51956</v>
      </c>
      <c r="T55" s="513">
        <f t="shared" si="43"/>
        <v>52321</v>
      </c>
      <c r="U55" s="513">
        <f t="shared" ref="U55:V55" si="44">U46</f>
        <v>52687</v>
      </c>
      <c r="V55" s="514">
        <f t="shared" si="44"/>
        <v>53052</v>
      </c>
    </row>
    <row r="56" spans="1:22" x14ac:dyDescent="0.3">
      <c r="A56" s="52"/>
      <c r="B56" s="169" t="s">
        <v>345</v>
      </c>
      <c r="C56" s="33">
        <f>C36</f>
        <v>1.4813189196486971</v>
      </c>
      <c r="D56" s="33">
        <f t="shared" ref="D56:U56" si="45">D36</f>
        <v>8.8685783173121937</v>
      </c>
      <c r="E56" s="33">
        <f t="shared" si="45"/>
        <v>20.31179861137538</v>
      </c>
      <c r="F56" s="33">
        <f t="shared" si="45"/>
        <v>31.417115615955851</v>
      </c>
      <c r="G56" s="33">
        <f>G36*G41/12</f>
        <v>28.269197001259442</v>
      </c>
      <c r="H56" s="33">
        <f t="shared" si="45"/>
        <v>39.576875801763222</v>
      </c>
      <c r="I56" s="33">
        <f t="shared" si="45"/>
        <v>41.555719591851386</v>
      </c>
      <c r="J56" s="33">
        <f t="shared" si="45"/>
        <v>43.633505571443969</v>
      </c>
      <c r="K56" s="33">
        <f t="shared" si="45"/>
        <v>45.815180850016162</v>
      </c>
      <c r="L56" s="33">
        <f t="shared" si="45"/>
        <v>48.105939892516979</v>
      </c>
      <c r="M56" s="33">
        <f t="shared" si="45"/>
        <v>50.511236887142815</v>
      </c>
      <c r="N56" s="33">
        <f t="shared" si="45"/>
        <v>53.036798731499943</v>
      </c>
      <c r="O56" s="33">
        <f t="shared" si="45"/>
        <v>55.688638668074972</v>
      </c>
      <c r="P56" s="33">
        <f t="shared" si="45"/>
        <v>58.473070601478724</v>
      </c>
      <c r="Q56" s="33">
        <f t="shared" si="45"/>
        <v>61.396724131552652</v>
      </c>
      <c r="R56" s="33">
        <f>R36</f>
        <v>64.466560338130279</v>
      </c>
      <c r="S56" s="33">
        <f t="shared" si="45"/>
        <v>67.689888355036828</v>
      </c>
      <c r="T56" s="33">
        <f t="shared" si="45"/>
        <v>71.074382772788653</v>
      </c>
      <c r="U56" s="33">
        <f t="shared" si="45"/>
        <v>74.628101911428104</v>
      </c>
      <c r="V56" s="246">
        <f>V36*V41/12</f>
        <v>19.58987675174987</v>
      </c>
    </row>
    <row r="57" spans="1:22" x14ac:dyDescent="0.3">
      <c r="A57" s="52"/>
      <c r="B57" s="169" t="s">
        <v>300</v>
      </c>
      <c r="C57" s="33">
        <f t="shared" ref="C57:V57" ca="1" si="46">C49+C51</f>
        <v>0</v>
      </c>
      <c r="D57" s="33">
        <f t="shared" ca="1" si="46"/>
        <v>0</v>
      </c>
      <c r="E57" s="33">
        <f t="shared" ca="1" si="46"/>
        <v>0</v>
      </c>
      <c r="F57" s="33">
        <f t="shared" ca="1" si="46"/>
        <v>0</v>
      </c>
      <c r="G57" s="33">
        <f t="shared" ca="1" si="46"/>
        <v>20.577218192187882</v>
      </c>
      <c r="H57" s="33">
        <f t="shared" ca="1" si="46"/>
        <v>30.39942034260714</v>
      </c>
      <c r="I57" s="33">
        <f t="shared" ca="1" si="46"/>
        <v>32.107547890384552</v>
      </c>
      <c r="J57" s="33">
        <f t="shared" ca="1" si="46"/>
        <v>33.624425152900386</v>
      </c>
      <c r="K57" s="33">
        <f t="shared" ca="1" si="46"/>
        <v>35.668178201283894</v>
      </c>
      <c r="L57" s="33">
        <f t="shared" ca="1" si="46"/>
        <v>37.456930869318626</v>
      </c>
      <c r="M57" s="33">
        <f t="shared" ca="1" si="46"/>
        <v>38.990683157004597</v>
      </c>
      <c r="N57" s="33">
        <f t="shared" ca="1" si="46"/>
        <v>40.987561135471054</v>
      </c>
      <c r="O57" s="33">
        <f t="shared" ca="1" si="46"/>
        <v>43.383814709630798</v>
      </c>
      <c r="P57" s="33">
        <f t="shared" ca="1" si="46"/>
        <v>41.08881128649189</v>
      </c>
      <c r="Q57" s="33">
        <f t="shared" ca="1" si="46"/>
        <v>38.793807863352974</v>
      </c>
      <c r="R57" s="33">
        <f t="shared" ca="1" si="46"/>
        <v>36.498804440214066</v>
      </c>
      <c r="S57" s="33">
        <f t="shared" ca="1" si="46"/>
        <v>37.076305301592157</v>
      </c>
      <c r="T57" s="33">
        <f t="shared" ca="1" si="46"/>
        <v>34.52630149810448</v>
      </c>
      <c r="U57" s="33">
        <f t="shared" ca="1" si="46"/>
        <v>31.976297694616804</v>
      </c>
      <c r="V57" s="246">
        <f t="shared" ca="1" si="46"/>
        <v>8.3376686861462552</v>
      </c>
    </row>
    <row r="58" spans="1:22" x14ac:dyDescent="0.3">
      <c r="A58" s="52"/>
      <c r="B58" s="432" t="s">
        <v>190</v>
      </c>
      <c r="C58" s="517">
        <f t="shared" ref="C58:V58" ca="1" si="47">IFERROR(C56/C57,0)</f>
        <v>0</v>
      </c>
      <c r="D58" s="517">
        <f t="shared" ca="1" si="47"/>
        <v>0</v>
      </c>
      <c r="E58" s="517">
        <f t="shared" ca="1" si="47"/>
        <v>0</v>
      </c>
      <c r="F58" s="517">
        <f t="shared" ca="1" si="47"/>
        <v>0</v>
      </c>
      <c r="G58" s="517">
        <f t="shared" ca="1" si="47"/>
        <v>1.373810431382402</v>
      </c>
      <c r="H58" s="517">
        <f t="shared" ca="1" si="47"/>
        <v>1.3018957386596339</v>
      </c>
      <c r="I58" s="517">
        <f t="shared" ca="1" si="47"/>
        <v>1.2942663741785256</v>
      </c>
      <c r="J58" s="517">
        <f t="shared" ca="1" si="47"/>
        <v>1.297672908102645</v>
      </c>
      <c r="K58" s="517">
        <f t="shared" ca="1" si="47"/>
        <v>1.2844833451114424</v>
      </c>
      <c r="L58" s="517">
        <f t="shared" ca="1" si="47"/>
        <v>1.2843000954977086</v>
      </c>
      <c r="M58" s="517">
        <f t="shared" ca="1" si="47"/>
        <v>1.2954693992856745</v>
      </c>
      <c r="N58" s="517">
        <f t="shared" ca="1" si="47"/>
        <v>1.2939730313839375</v>
      </c>
      <c r="O58" s="517">
        <f t="shared" ca="1" si="47"/>
        <v>1.2836270632446856</v>
      </c>
      <c r="P58" s="517">
        <f t="shared" ca="1" si="47"/>
        <v>1.4230898575715667</v>
      </c>
      <c r="Q58" s="517">
        <f t="shared" ca="1" si="47"/>
        <v>1.5826423729224011</v>
      </c>
      <c r="R58" s="517">
        <f t="shared" ca="1" si="47"/>
        <v>1.7662649866717712</v>
      </c>
      <c r="S58" s="517">
        <f t="shared" ca="1" si="47"/>
        <v>1.8256913088945257</v>
      </c>
      <c r="T58" s="517">
        <f t="shared" ca="1" si="47"/>
        <v>2.0585576702066013</v>
      </c>
      <c r="U58" s="517">
        <f t="shared" ca="1" si="47"/>
        <v>2.3338568656117968</v>
      </c>
      <c r="V58" s="518">
        <f t="shared" ca="1" si="47"/>
        <v>2.3495628681312457</v>
      </c>
    </row>
    <row r="60" spans="1:22" x14ac:dyDescent="0.3">
      <c r="C60" s="561"/>
    </row>
    <row r="61" spans="1:22" x14ac:dyDescent="0.3">
      <c r="B61" s="519" t="s">
        <v>347</v>
      </c>
      <c r="C61" s="520">
        <f ca="1">SUM(G56:V56)/SUM(G57:V57)</f>
        <v>1.5208147050188874</v>
      </c>
    </row>
    <row r="62" spans="1:22" x14ac:dyDescent="0.3">
      <c r="B62" s="296" t="s">
        <v>346</v>
      </c>
      <c r="C62" s="607">
        <f ca="1">MIN(G58:V58)</f>
        <v>1.2836270632446856</v>
      </c>
    </row>
    <row r="63" spans="1:22" x14ac:dyDescent="0.3">
      <c r="B63" s="299" t="s">
        <v>553</v>
      </c>
      <c r="C63" s="521">
        <f ca="1">MAX(G58:V58)</f>
        <v>2.3495628681312457</v>
      </c>
    </row>
    <row r="66" spans="2:22" ht="14.4" thickBot="1" x14ac:dyDescent="0.35">
      <c r="B66" s="499" t="s">
        <v>497</v>
      </c>
      <c r="C66" s="522">
        <f t="shared" ref="C66:V66" si="48">C55</f>
        <v>46112</v>
      </c>
      <c r="D66" s="522">
        <f t="shared" si="48"/>
        <v>46477</v>
      </c>
      <c r="E66" s="522">
        <f t="shared" si="48"/>
        <v>46843</v>
      </c>
      <c r="F66" s="522">
        <f t="shared" si="48"/>
        <v>47208</v>
      </c>
      <c r="G66" s="522">
        <f t="shared" si="48"/>
        <v>47573</v>
      </c>
      <c r="H66" s="522">
        <f t="shared" si="48"/>
        <v>47938</v>
      </c>
      <c r="I66" s="522">
        <f t="shared" si="48"/>
        <v>48304</v>
      </c>
      <c r="J66" s="522">
        <f t="shared" si="48"/>
        <v>48669</v>
      </c>
      <c r="K66" s="522">
        <f t="shared" si="48"/>
        <v>49034</v>
      </c>
      <c r="L66" s="522">
        <f t="shared" si="48"/>
        <v>49399</v>
      </c>
      <c r="M66" s="522">
        <f t="shared" si="48"/>
        <v>49765</v>
      </c>
      <c r="N66" s="522">
        <f t="shared" si="48"/>
        <v>50130</v>
      </c>
      <c r="O66" s="522">
        <f t="shared" si="48"/>
        <v>50495</v>
      </c>
      <c r="P66" s="522">
        <f t="shared" si="48"/>
        <v>50860</v>
      </c>
      <c r="Q66" s="522">
        <f t="shared" si="48"/>
        <v>51226</v>
      </c>
      <c r="R66" s="522">
        <f t="shared" si="48"/>
        <v>51591</v>
      </c>
      <c r="S66" s="522">
        <f t="shared" si="48"/>
        <v>51956</v>
      </c>
      <c r="T66" s="522">
        <f t="shared" si="48"/>
        <v>52321</v>
      </c>
      <c r="U66" s="522">
        <f t="shared" si="48"/>
        <v>52687</v>
      </c>
      <c r="V66" s="523">
        <f t="shared" si="48"/>
        <v>53052</v>
      </c>
    </row>
    <row r="67" spans="2:22" ht="14.4" thickTop="1" x14ac:dyDescent="0.3">
      <c r="B67" s="169" t="s">
        <v>453</v>
      </c>
      <c r="C67" s="258">
        <v>0</v>
      </c>
      <c r="D67" s="258">
        <f t="shared" ref="D67:V67" ca="1" si="49">C69</f>
        <v>0</v>
      </c>
      <c r="E67" s="258">
        <f t="shared" ca="1" si="49"/>
        <v>0</v>
      </c>
      <c r="F67" s="258">
        <f t="shared" ca="1" si="49"/>
        <v>0</v>
      </c>
      <c r="G67" s="258">
        <f t="shared" ca="1" si="49"/>
        <v>5.1443045480469705</v>
      </c>
      <c r="H67" s="258">
        <f t="shared" ca="1" si="49"/>
        <v>7.599855085651785</v>
      </c>
      <c r="I67" s="258">
        <f t="shared" ca="1" si="49"/>
        <v>8.026886972596138</v>
      </c>
      <c r="J67" s="258">
        <f t="shared" ca="1" si="49"/>
        <v>8.4061062882250965</v>
      </c>
      <c r="K67" s="258">
        <f t="shared" ca="1" si="49"/>
        <v>8.9170445503209734</v>
      </c>
      <c r="L67" s="258">
        <f t="shared" ca="1" si="49"/>
        <v>9.3642327173296565</v>
      </c>
      <c r="M67" s="258">
        <f t="shared" ca="1" si="49"/>
        <v>9.7476707892511492</v>
      </c>
      <c r="N67" s="258">
        <f t="shared" ca="1" si="49"/>
        <v>10.246890283867764</v>
      </c>
      <c r="O67" s="258">
        <f t="shared" ca="1" si="49"/>
        <v>10.845953677407699</v>
      </c>
      <c r="P67" s="258">
        <f t="shared" ca="1" si="49"/>
        <v>10.272202821622972</v>
      </c>
      <c r="Q67" s="258">
        <f t="shared" ca="1" si="49"/>
        <v>9.6984519658382435</v>
      </c>
      <c r="R67" s="258">
        <f t="shared" ca="1" si="49"/>
        <v>9.1247011100535165</v>
      </c>
      <c r="S67" s="258">
        <f t="shared" ca="1" si="49"/>
        <v>9.2690763253980393</v>
      </c>
      <c r="T67" s="258">
        <f t="shared" ca="1" si="49"/>
        <v>8.6315753745261201</v>
      </c>
      <c r="U67" s="258">
        <f t="shared" ca="1" si="49"/>
        <v>7.994074423654201</v>
      </c>
      <c r="V67" s="246">
        <f t="shared" ca="1" si="49"/>
        <v>2.0844171715365638</v>
      </c>
    </row>
    <row r="68" spans="2:22" x14ac:dyDescent="0.3">
      <c r="B68" s="169" t="s">
        <v>498</v>
      </c>
      <c r="C68" s="33">
        <f ca="1">IF(D57&gt;0,D57/4,0)</f>
        <v>0</v>
      </c>
      <c r="D68" s="33">
        <f ca="1">IF(E57&gt;0,E57/4,0)</f>
        <v>0</v>
      </c>
      <c r="E68" s="33">
        <f ca="1">IF(F57&gt;0,F57/4,0)</f>
        <v>0</v>
      </c>
      <c r="F68" s="33">
        <f ca="1">IF(G57&gt;0,G57/4,0)</f>
        <v>5.1443045480469705</v>
      </c>
      <c r="G68" s="33">
        <f t="shared" ref="G68:V68" ca="1" si="50">IF(H57&gt;0,H57/4,0)-F69</f>
        <v>2.4555505376048146</v>
      </c>
      <c r="H68" s="33">
        <f t="shared" ca="1" si="50"/>
        <v>0.42703188694435301</v>
      </c>
      <c r="I68" s="33">
        <f t="shared" ca="1" si="50"/>
        <v>0.3792193156289585</v>
      </c>
      <c r="J68" s="33">
        <f t="shared" ca="1" si="50"/>
        <v>0.51093826209587689</v>
      </c>
      <c r="K68" s="33">
        <f t="shared" ca="1" si="50"/>
        <v>0.44718816700868302</v>
      </c>
      <c r="L68" s="33">
        <f t="shared" ca="1" si="50"/>
        <v>0.38343807192149271</v>
      </c>
      <c r="M68" s="33">
        <f t="shared" ca="1" si="50"/>
        <v>0.49921949461661441</v>
      </c>
      <c r="N68" s="33">
        <f t="shared" ca="1" si="50"/>
        <v>0.59906339353993587</v>
      </c>
      <c r="O68" s="33">
        <f t="shared" ca="1" si="50"/>
        <v>-0.57375085578472707</v>
      </c>
      <c r="P68" s="33">
        <f t="shared" ca="1" si="50"/>
        <v>-0.57375085578472884</v>
      </c>
      <c r="Q68" s="33">
        <f t="shared" ca="1" si="50"/>
        <v>-0.57375085578472707</v>
      </c>
      <c r="R68" s="33">
        <f t="shared" ca="1" si="50"/>
        <v>0.1443752153445228</v>
      </c>
      <c r="S68" s="33">
        <f t="shared" ca="1" si="50"/>
        <v>-0.63750095087191916</v>
      </c>
      <c r="T68" s="33">
        <f t="shared" ca="1" si="50"/>
        <v>-0.63750095087191916</v>
      </c>
      <c r="U68" s="33">
        <f t="shared" ca="1" si="50"/>
        <v>-5.9096572521176371</v>
      </c>
      <c r="V68" s="246">
        <f t="shared" ca="1" si="50"/>
        <v>-2.0844171715365638</v>
      </c>
    </row>
    <row r="69" spans="2:22" x14ac:dyDescent="0.3">
      <c r="B69" s="163" t="s">
        <v>167</v>
      </c>
      <c r="C69" s="460">
        <f t="shared" ref="C69:V69" ca="1" si="51">C67+C68</f>
        <v>0</v>
      </c>
      <c r="D69" s="460">
        <f t="shared" ca="1" si="51"/>
        <v>0</v>
      </c>
      <c r="E69" s="460">
        <f t="shared" ca="1" si="51"/>
        <v>0</v>
      </c>
      <c r="F69" s="460">
        <f t="shared" ca="1" si="51"/>
        <v>5.1443045480469705</v>
      </c>
      <c r="G69" s="460">
        <f t="shared" ca="1" si="51"/>
        <v>7.599855085651785</v>
      </c>
      <c r="H69" s="460">
        <f t="shared" ca="1" si="51"/>
        <v>8.026886972596138</v>
      </c>
      <c r="I69" s="460">
        <f t="shared" ca="1" si="51"/>
        <v>8.4061062882250965</v>
      </c>
      <c r="J69" s="460">
        <f t="shared" ca="1" si="51"/>
        <v>8.9170445503209734</v>
      </c>
      <c r="K69" s="460">
        <f t="shared" ca="1" si="51"/>
        <v>9.3642327173296565</v>
      </c>
      <c r="L69" s="460">
        <f t="shared" ca="1" si="51"/>
        <v>9.7476707892511492</v>
      </c>
      <c r="M69" s="460">
        <f t="shared" ca="1" si="51"/>
        <v>10.246890283867764</v>
      </c>
      <c r="N69" s="460">
        <f t="shared" ca="1" si="51"/>
        <v>10.845953677407699</v>
      </c>
      <c r="O69" s="460">
        <f t="shared" ca="1" si="51"/>
        <v>10.272202821622972</v>
      </c>
      <c r="P69" s="460">
        <f t="shared" ca="1" si="51"/>
        <v>9.6984519658382435</v>
      </c>
      <c r="Q69" s="460">
        <f t="shared" ca="1" si="51"/>
        <v>9.1247011100535165</v>
      </c>
      <c r="R69" s="460">
        <f t="shared" ca="1" si="51"/>
        <v>9.2690763253980393</v>
      </c>
      <c r="S69" s="460">
        <f t="shared" ca="1" si="51"/>
        <v>8.6315753745261201</v>
      </c>
      <c r="T69" s="460">
        <f t="shared" ca="1" si="51"/>
        <v>7.994074423654201</v>
      </c>
      <c r="U69" s="460">
        <f t="shared" ca="1" si="51"/>
        <v>2.0844171715365638</v>
      </c>
      <c r="V69" s="461">
        <f t="shared" ca="1" si="51"/>
        <v>0</v>
      </c>
    </row>
    <row r="72" spans="2:22" x14ac:dyDescent="0.3">
      <c r="G72" s="1">
        <v>1</v>
      </c>
      <c r="H72" s="1">
        <v>2</v>
      </c>
      <c r="I72" s="1">
        <v>3</v>
      </c>
      <c r="J72" s="1">
        <v>4</v>
      </c>
      <c r="K72" s="1">
        <v>5</v>
      </c>
      <c r="L72" s="1">
        <v>6</v>
      </c>
      <c r="M72" s="1">
        <v>7</v>
      </c>
      <c r="N72" s="1">
        <v>8</v>
      </c>
      <c r="O72" s="1">
        <v>9</v>
      </c>
      <c r="P72" s="1">
        <v>10</v>
      </c>
      <c r="Q72" s="1">
        <v>11</v>
      </c>
      <c r="R72" s="1">
        <v>12</v>
      </c>
      <c r="S72" s="1">
        <v>12</v>
      </c>
      <c r="T72" s="1">
        <v>13</v>
      </c>
      <c r="U72" s="1">
        <v>14</v>
      </c>
      <c r="V72" s="1">
        <v>15</v>
      </c>
    </row>
    <row r="73" spans="2:22" x14ac:dyDescent="0.3">
      <c r="G73" s="52">
        <f>G56/(1+$C$17)^G72</f>
        <v>26.054559448165385</v>
      </c>
      <c r="H73" s="52">
        <f t="shared" ref="H73:V73" si="52">H56/(1+$C$17)^H72</f>
        <v>33.618786384729532</v>
      </c>
      <c r="I73" s="52">
        <f t="shared" si="52"/>
        <v>32.534309404576966</v>
      </c>
      <c r="J73" s="52">
        <f t="shared" si="52"/>
        <v>31.484815552816436</v>
      </c>
      <c r="K73" s="52">
        <f t="shared" si="52"/>
        <v>30.469176341435258</v>
      </c>
      <c r="L73" s="52">
        <f t="shared" si="52"/>
        <v>29.486299685259933</v>
      </c>
      <c r="M73" s="52">
        <f t="shared" si="52"/>
        <v>28.535128727670891</v>
      </c>
      <c r="N73" s="52">
        <f t="shared" si="52"/>
        <v>27.614640704197633</v>
      </c>
      <c r="O73" s="52">
        <f t="shared" si="52"/>
        <v>26.723845842771922</v>
      </c>
      <c r="P73" s="52">
        <f t="shared" si="52"/>
        <v>25.861786299456696</v>
      </c>
      <c r="Q73" s="52">
        <f t="shared" si="52"/>
        <v>25.027535128506479</v>
      </c>
      <c r="R73" s="52">
        <f t="shared" si="52"/>
        <v>24.220195285651435</v>
      </c>
      <c r="S73" s="52">
        <f t="shared" si="52"/>
        <v>25.431205049934018</v>
      </c>
      <c r="T73" s="52">
        <f t="shared" si="52"/>
        <v>24.610843596710332</v>
      </c>
      <c r="U73" s="52">
        <f t="shared" si="52"/>
        <v>23.816945416171297</v>
      </c>
      <c r="V73" s="52">
        <f t="shared" si="52"/>
        <v>5.7621642135898279</v>
      </c>
    </row>
    <row r="80" spans="2:22" x14ac:dyDescent="0.3">
      <c r="C80" s="52">
        <f>C56-'LRD_Phase-wise'!C351</f>
        <v>0</v>
      </c>
      <c r="D80" s="52">
        <f>D56-'LRD_Phase-wise'!D351</f>
        <v>0</v>
      </c>
      <c r="E80" s="52">
        <f>E56-'LRD_Phase-wise'!E351</f>
        <v>0</v>
      </c>
      <c r="F80" s="52">
        <f>F56-'LRD_Phase-wise'!F351</f>
        <v>0</v>
      </c>
      <c r="G80" s="52">
        <f>G56-'LRD_Phase-wise'!G351</f>
        <v>-9.4230656670864832</v>
      </c>
      <c r="H80" s="52">
        <f>H56-'LRD_Phase-wise'!H351</f>
        <v>0</v>
      </c>
      <c r="I80" s="52">
        <f>I56-'LRD_Phase-wise'!I351</f>
        <v>0</v>
      </c>
      <c r="J80" s="52">
        <f>J56-'LRD_Phase-wise'!J351</f>
        <v>0</v>
      </c>
      <c r="K80" s="52">
        <f>K56-'LRD_Phase-wise'!K351</f>
        <v>0</v>
      </c>
      <c r="L80" s="52">
        <f>L56-'LRD_Phase-wise'!L351</f>
        <v>0</v>
      </c>
      <c r="M80" s="52">
        <f>M56-'LRD_Phase-wise'!M351</f>
        <v>0</v>
      </c>
      <c r="N80" s="52">
        <f>N56-'LRD_Phase-wise'!N351</f>
        <v>0</v>
      </c>
      <c r="O80" s="52">
        <f>O56-'LRD_Phase-wise'!O351</f>
        <v>0</v>
      </c>
      <c r="P80" s="52">
        <f>P56-'LRD_Phase-wise'!P351</f>
        <v>0</v>
      </c>
      <c r="Q80" s="52">
        <f>Q56-'LRD_Phase-wise'!Q351</f>
        <v>0</v>
      </c>
      <c r="R80" s="52">
        <f>R56-'LRD_Phase-wise'!R351</f>
        <v>2.9695715145831159</v>
      </c>
      <c r="S80" s="52">
        <f>S56-'LRD_Phase-wise'!S351</f>
        <v>18.224103910393872</v>
      </c>
      <c r="T80" s="52">
        <f>T56-'LRD_Phase-wise'!T351</f>
        <v>42.108366573859897</v>
      </c>
      <c r="U80" s="52">
        <f>U56-'LRD_Phase-wise'!U351</f>
        <v>65.123416818469707</v>
      </c>
      <c r="V80" s="52">
        <f>V56-'LRD_Phase-wise'!V351</f>
        <v>19.219410130880942</v>
      </c>
    </row>
  </sheetData>
  <pageMargins left="0.7" right="0.7" top="0.75" bottom="0.75" header="0.3" footer="0.3"/>
  <ignoredErrors>
    <ignoredError sqref="F51 G56 H51:U5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03FED-26F3-49B6-8362-ABF4BA2A0685}">
  <sheetPr>
    <tabColor rgb="FFC00000"/>
  </sheetPr>
  <dimension ref="A2:KX362"/>
  <sheetViews>
    <sheetView showGridLines="0" tabSelected="1" zoomScale="70" zoomScaleNormal="70" workbookViewId="0">
      <selection activeCell="C15" sqref="C15"/>
    </sheetView>
  </sheetViews>
  <sheetFormatPr defaultRowHeight="13.8" x14ac:dyDescent="0.3"/>
  <cols>
    <col min="1" max="1" width="9" style="524" customWidth="1"/>
    <col min="2" max="2" width="31.88671875" style="1" customWidth="1"/>
    <col min="3" max="3" width="12.77734375" style="1" bestFit="1" customWidth="1"/>
    <col min="4" max="4" width="9.33203125" style="1" bestFit="1" customWidth="1"/>
    <col min="5" max="6" width="9.21875" style="1" bestFit="1" customWidth="1"/>
    <col min="7" max="7" width="9.5546875" style="1" bestFit="1" customWidth="1"/>
    <col min="8" max="8" width="9.44140625" style="1" bestFit="1" customWidth="1"/>
    <col min="9" max="9" width="7.33203125" style="1" bestFit="1" customWidth="1"/>
    <col min="10" max="10" width="9.88671875" style="1" bestFit="1" customWidth="1"/>
    <col min="11" max="11" width="10.5546875" style="1" customWidth="1"/>
    <col min="12" max="12" width="9.21875" style="1" bestFit="1" customWidth="1"/>
    <col min="13" max="13" width="9.44140625" style="1" bestFit="1" customWidth="1"/>
    <col min="14" max="14" width="9.88671875" style="1" bestFit="1" customWidth="1"/>
    <col min="15" max="15" width="9.21875" style="1" bestFit="1" customWidth="1"/>
    <col min="16" max="16" width="10.109375" style="1" bestFit="1" customWidth="1"/>
    <col min="17" max="17" width="9.21875" style="1" bestFit="1" customWidth="1"/>
    <col min="18" max="18" width="8.77734375" style="1" bestFit="1" customWidth="1"/>
    <col min="19" max="19" width="9.5546875" style="1" bestFit="1" customWidth="1"/>
    <col min="20" max="21" width="9.44140625" style="1" bestFit="1" customWidth="1"/>
    <col min="22" max="22" width="9.88671875" style="1" bestFit="1" customWidth="1"/>
    <col min="23" max="23" width="9.6640625" style="1" bestFit="1" customWidth="1"/>
    <col min="24" max="24" width="9.21875" style="1" bestFit="1" customWidth="1"/>
    <col min="25" max="25" width="9.44140625" style="1" bestFit="1" customWidth="1"/>
    <col min="26" max="26" width="9.88671875" style="1" bestFit="1" customWidth="1"/>
    <col min="27" max="27" width="9.21875" style="1" bestFit="1" customWidth="1"/>
    <col min="28" max="28" width="10.109375" style="1" bestFit="1" customWidth="1"/>
    <col min="29" max="29" width="9.21875" style="1" bestFit="1" customWidth="1"/>
    <col min="30" max="30" width="8.77734375" style="1" bestFit="1" customWidth="1"/>
    <col min="31" max="31" width="9.5546875" style="1" bestFit="1" customWidth="1"/>
    <col min="32" max="33" width="9.44140625" style="1" bestFit="1" customWidth="1"/>
    <col min="34" max="34" width="9.88671875" style="1" bestFit="1" customWidth="1"/>
    <col min="35" max="35" width="9.77734375" style="1" bestFit="1" customWidth="1"/>
    <col min="36" max="36" width="9.21875" style="1" bestFit="1" customWidth="1"/>
    <col min="37" max="37" width="9.44140625" style="1" bestFit="1" customWidth="1"/>
    <col min="38" max="38" width="9.88671875" style="1" bestFit="1" customWidth="1"/>
    <col min="39" max="39" width="9.21875" style="1" bestFit="1" customWidth="1"/>
    <col min="40" max="40" width="10.109375" style="1" bestFit="1" customWidth="1"/>
    <col min="41" max="41" width="9.21875" style="1" bestFit="1" customWidth="1"/>
    <col min="42" max="42" width="8.77734375" style="1" bestFit="1" customWidth="1"/>
    <col min="43" max="43" width="9.5546875" style="1" bestFit="1" customWidth="1"/>
    <col min="44" max="45" width="9.44140625" style="1" bestFit="1" customWidth="1"/>
    <col min="46" max="46" width="9.88671875" style="1" bestFit="1" customWidth="1"/>
    <col min="47" max="47" width="9.6640625" style="1" bestFit="1" customWidth="1"/>
    <col min="48" max="48" width="9.21875" style="1" bestFit="1" customWidth="1"/>
    <col min="49" max="49" width="9.44140625" style="1" bestFit="1" customWidth="1"/>
    <col min="50" max="50" width="9.88671875" style="1" bestFit="1" customWidth="1"/>
    <col min="51" max="51" width="9.21875" style="1" bestFit="1" customWidth="1"/>
    <col min="52" max="52" width="10.109375" style="1" bestFit="1" customWidth="1"/>
    <col min="53" max="53" width="9.21875" style="1" bestFit="1" customWidth="1"/>
    <col min="54" max="54" width="8.77734375" style="1" bestFit="1" customWidth="1"/>
    <col min="55" max="55" width="9.5546875" style="1" bestFit="1" customWidth="1"/>
    <col min="56" max="57" width="9.44140625" style="1" bestFit="1" customWidth="1"/>
    <col min="58" max="58" width="9.88671875" style="1" bestFit="1" customWidth="1"/>
    <col min="59" max="59" width="9.6640625" style="1" bestFit="1" customWidth="1"/>
    <col min="60" max="60" width="9.21875" style="1" bestFit="1" customWidth="1"/>
    <col min="61" max="61" width="9.44140625" style="1" bestFit="1" customWidth="1"/>
    <col min="62" max="62" width="9.88671875" style="1" bestFit="1" customWidth="1"/>
    <col min="63" max="63" width="9.21875" style="1" bestFit="1" customWidth="1"/>
    <col min="64" max="64" width="10.109375" style="1" bestFit="1" customWidth="1"/>
    <col min="65" max="65" width="9.21875" style="1" bestFit="1" customWidth="1"/>
    <col min="66" max="66" width="8.77734375" style="1" bestFit="1" customWidth="1"/>
    <col min="67" max="67" width="9.5546875" style="1" bestFit="1" customWidth="1"/>
    <col min="68" max="69" width="9.44140625" style="1" bestFit="1" customWidth="1"/>
    <col min="70" max="70" width="9.88671875" style="1" bestFit="1" customWidth="1"/>
    <col min="71" max="71" width="9.6640625" style="1" bestFit="1" customWidth="1"/>
    <col min="72" max="72" width="9.21875" style="1" bestFit="1" customWidth="1"/>
    <col min="73" max="73" width="9.44140625" style="1" bestFit="1" customWidth="1"/>
    <col min="74" max="74" width="9.88671875" style="1" bestFit="1" customWidth="1"/>
    <col min="75" max="75" width="9.21875" style="1" bestFit="1" customWidth="1"/>
    <col min="76" max="76" width="10.109375" style="1" bestFit="1" customWidth="1"/>
    <col min="77" max="77" width="9.21875" style="1" bestFit="1" customWidth="1"/>
    <col min="78" max="78" width="8.77734375" style="1" bestFit="1" customWidth="1"/>
    <col min="79" max="79" width="9.5546875" style="1" bestFit="1" customWidth="1"/>
    <col min="80" max="81" width="9.44140625" style="1" bestFit="1" customWidth="1"/>
    <col min="82" max="82" width="9.88671875" style="1" bestFit="1" customWidth="1"/>
    <col min="83" max="83" width="9.6640625" style="1" bestFit="1" customWidth="1"/>
    <col min="84" max="84" width="9.21875" style="1" bestFit="1" customWidth="1"/>
    <col min="85" max="85" width="9.44140625" style="1" bestFit="1" customWidth="1"/>
    <col min="86" max="86" width="9.88671875" style="1" bestFit="1" customWidth="1"/>
    <col min="87" max="87" width="9.21875" style="1" bestFit="1" customWidth="1"/>
    <col min="88" max="88" width="10.109375" style="1" bestFit="1" customWidth="1"/>
    <col min="89" max="89" width="9.21875" style="1" bestFit="1" customWidth="1"/>
    <col min="90" max="90" width="8.77734375" style="1" bestFit="1" customWidth="1"/>
    <col min="91" max="91" width="9.5546875" style="1" bestFit="1" customWidth="1"/>
    <col min="92" max="93" width="9.44140625" style="1" bestFit="1" customWidth="1"/>
    <col min="94" max="94" width="9.88671875" style="1" bestFit="1" customWidth="1"/>
    <col min="95" max="95" width="9.6640625" style="1" bestFit="1" customWidth="1"/>
    <col min="96" max="96" width="9.21875" style="1" bestFit="1" customWidth="1"/>
    <col min="97" max="97" width="9.44140625" style="1" bestFit="1" customWidth="1"/>
    <col min="98" max="98" width="9.88671875" style="1" bestFit="1" customWidth="1"/>
    <col min="99" max="99" width="9.21875" style="1" bestFit="1" customWidth="1"/>
    <col min="100" max="100" width="10.109375" style="1" bestFit="1" customWidth="1"/>
    <col min="101" max="101" width="9.21875" style="1" bestFit="1" customWidth="1"/>
    <col min="102" max="102" width="8.77734375" style="1" bestFit="1" customWidth="1"/>
    <col min="103" max="103" width="9.5546875" style="1" bestFit="1" customWidth="1"/>
    <col min="104" max="105" width="9.44140625" style="1" bestFit="1" customWidth="1"/>
    <col min="106" max="106" width="9.88671875" style="1" bestFit="1" customWidth="1"/>
    <col min="107" max="107" width="9.6640625" style="1" bestFit="1" customWidth="1"/>
    <col min="108" max="108" width="9.21875" style="1" bestFit="1" customWidth="1"/>
    <col min="109" max="109" width="9.44140625" style="1" bestFit="1" customWidth="1"/>
    <col min="110" max="110" width="9.88671875" style="1" bestFit="1" customWidth="1"/>
    <col min="111" max="111" width="9.21875" style="1" bestFit="1" customWidth="1"/>
    <col min="112" max="112" width="10.109375" style="1" bestFit="1" customWidth="1"/>
    <col min="113" max="113" width="9.21875" style="1" bestFit="1" customWidth="1"/>
    <col min="114" max="114" width="8.77734375" style="1" bestFit="1" customWidth="1"/>
    <col min="115" max="115" width="9.5546875" style="1" bestFit="1" customWidth="1"/>
    <col min="116" max="117" width="9.44140625" style="1" bestFit="1" customWidth="1"/>
    <col min="118" max="118" width="9.88671875" style="1" bestFit="1" customWidth="1"/>
    <col min="119" max="119" width="9.6640625" style="1" bestFit="1" customWidth="1"/>
    <col min="120" max="120" width="9.21875" style="1" bestFit="1" customWidth="1"/>
    <col min="121" max="121" width="9.44140625" style="1" bestFit="1" customWidth="1"/>
    <col min="122" max="122" width="9.88671875" style="1" bestFit="1" customWidth="1"/>
    <col min="123" max="123" width="9.21875" style="1" bestFit="1" customWidth="1"/>
    <col min="124" max="124" width="10.109375" style="1" bestFit="1" customWidth="1"/>
    <col min="125" max="125" width="9.21875" style="1" bestFit="1" customWidth="1"/>
    <col min="126" max="126" width="8.77734375" style="1" bestFit="1" customWidth="1"/>
    <col min="127" max="127" width="9.5546875" style="1" bestFit="1" customWidth="1"/>
    <col min="128" max="129" width="9.44140625" style="1" bestFit="1" customWidth="1"/>
    <col min="130" max="130" width="9.88671875" style="1" bestFit="1" customWidth="1"/>
    <col min="131" max="131" width="9.6640625" style="1" bestFit="1" customWidth="1"/>
    <col min="132" max="132" width="9.21875" style="1" bestFit="1" customWidth="1"/>
    <col min="133" max="133" width="9.44140625" style="1" bestFit="1" customWidth="1"/>
    <col min="134" max="134" width="9.88671875" style="1" bestFit="1" customWidth="1"/>
    <col min="135" max="135" width="9.21875" style="1" bestFit="1" customWidth="1"/>
    <col min="136" max="136" width="10.109375" style="1" bestFit="1" customWidth="1"/>
    <col min="137" max="137" width="9.21875" style="1" bestFit="1" customWidth="1"/>
    <col min="138" max="138" width="8.77734375" style="1" bestFit="1" customWidth="1"/>
    <col min="139" max="139" width="9.5546875" style="1" bestFit="1" customWidth="1"/>
    <col min="140" max="141" width="9.44140625" style="1" bestFit="1" customWidth="1"/>
    <col min="142" max="142" width="9.88671875" style="1" bestFit="1" customWidth="1"/>
    <col min="143" max="143" width="9.6640625" style="1" bestFit="1" customWidth="1"/>
    <col min="144" max="144" width="9.21875" style="1" bestFit="1" customWidth="1"/>
    <col min="145" max="145" width="9.44140625" style="1" bestFit="1" customWidth="1"/>
    <col min="146" max="146" width="9.88671875" style="1" bestFit="1" customWidth="1"/>
    <col min="147" max="147" width="9.21875" style="1" bestFit="1" customWidth="1"/>
    <col min="148" max="148" width="10.109375" style="1" bestFit="1" customWidth="1"/>
    <col min="149" max="149" width="9.21875" style="1" bestFit="1" customWidth="1"/>
    <col min="150" max="150" width="8.77734375" style="1" bestFit="1" customWidth="1"/>
    <col min="151" max="151" width="9.5546875" style="1" bestFit="1" customWidth="1"/>
    <col min="152" max="153" width="9.44140625" style="1" bestFit="1" customWidth="1"/>
    <col min="154" max="154" width="9.88671875" style="1" bestFit="1" customWidth="1"/>
    <col min="155" max="155" width="9.6640625" style="1" bestFit="1" customWidth="1"/>
    <col min="156" max="156" width="9.21875" style="1" bestFit="1" customWidth="1"/>
    <col min="157" max="157" width="9.44140625" style="1" bestFit="1" customWidth="1"/>
    <col min="158" max="158" width="9.88671875" style="1" bestFit="1" customWidth="1"/>
    <col min="159" max="159" width="9.21875" style="1" bestFit="1" customWidth="1"/>
    <col min="160" max="160" width="10.109375" style="1" bestFit="1" customWidth="1"/>
    <col min="161" max="161" width="9.21875" style="1" bestFit="1" customWidth="1"/>
    <col min="162" max="162" width="8.77734375" style="1" bestFit="1" customWidth="1"/>
    <col min="163" max="163" width="9.5546875" style="1" bestFit="1" customWidth="1"/>
    <col min="164" max="165" width="9.44140625" style="1" bestFit="1" customWidth="1"/>
    <col min="166" max="166" width="9.88671875" style="1" bestFit="1" customWidth="1"/>
    <col min="167" max="167" width="9.6640625" style="1" bestFit="1" customWidth="1"/>
    <col min="168" max="168" width="9.21875" style="1" bestFit="1" customWidth="1"/>
    <col min="169" max="169" width="9.44140625" style="1" bestFit="1" customWidth="1"/>
    <col min="170" max="170" width="9.88671875" style="1" bestFit="1" customWidth="1"/>
    <col min="171" max="171" width="9.21875" style="1" bestFit="1" customWidth="1"/>
    <col min="172" max="172" width="10.109375" style="1" bestFit="1" customWidth="1"/>
    <col min="173" max="173" width="9.21875" style="1" bestFit="1" customWidth="1"/>
    <col min="174" max="174" width="8.77734375" style="1" bestFit="1" customWidth="1"/>
    <col min="175" max="175" width="9.5546875" style="1" bestFit="1" customWidth="1"/>
    <col min="176" max="177" width="9.44140625" style="1" bestFit="1" customWidth="1"/>
    <col min="178" max="178" width="9.88671875" style="1" bestFit="1" customWidth="1"/>
    <col min="179" max="179" width="9.6640625" style="1" bestFit="1" customWidth="1"/>
    <col min="180" max="180" width="9.21875" style="1" bestFit="1" customWidth="1"/>
    <col min="181" max="181" width="9.44140625" style="1" bestFit="1" customWidth="1"/>
    <col min="182" max="182" width="9.88671875" style="1" bestFit="1" customWidth="1"/>
    <col min="183" max="183" width="9.21875" style="1" bestFit="1" customWidth="1"/>
    <col min="184" max="184" width="10.109375" style="1" bestFit="1" customWidth="1"/>
    <col min="185" max="185" width="9.21875" style="1" bestFit="1" customWidth="1"/>
    <col min="186" max="186" width="8.77734375" style="1" bestFit="1" customWidth="1"/>
    <col min="187" max="187" width="9.5546875" style="1" bestFit="1" customWidth="1"/>
    <col min="188" max="189" width="9.44140625" style="1" bestFit="1" customWidth="1"/>
    <col min="190" max="190" width="9.88671875" style="1" bestFit="1" customWidth="1"/>
    <col min="191" max="191" width="9.6640625" style="1" bestFit="1" customWidth="1"/>
    <col min="192" max="192" width="9.21875" style="1" bestFit="1" customWidth="1"/>
    <col min="193" max="193" width="9.44140625" style="1" bestFit="1" customWidth="1"/>
    <col min="194" max="194" width="9.88671875" style="1" bestFit="1" customWidth="1"/>
    <col min="195" max="195" width="9.21875" style="1" bestFit="1" customWidth="1"/>
    <col min="196" max="196" width="10.109375" style="1" bestFit="1" customWidth="1"/>
    <col min="197" max="197" width="9.21875" style="1" bestFit="1" customWidth="1"/>
    <col min="198" max="198" width="8.77734375" style="1" bestFit="1" customWidth="1"/>
    <col min="199" max="199" width="9.5546875" style="1" bestFit="1" customWidth="1"/>
    <col min="200" max="201" width="9.44140625" style="1" bestFit="1" customWidth="1"/>
    <col min="202" max="202" width="9.88671875" style="1" bestFit="1" customWidth="1"/>
    <col min="203" max="203" width="9.6640625" style="1" bestFit="1" customWidth="1"/>
    <col min="204" max="204" width="9.21875" style="1" bestFit="1" customWidth="1"/>
    <col min="205" max="205" width="9.44140625" style="1" bestFit="1" customWidth="1"/>
    <col min="206" max="206" width="9.88671875" style="1" bestFit="1" customWidth="1"/>
    <col min="207" max="207" width="9.21875" style="1" bestFit="1" customWidth="1"/>
    <col min="208" max="208" width="10.109375" style="1" bestFit="1" customWidth="1"/>
    <col min="209" max="209" width="9.21875" style="1" bestFit="1" customWidth="1"/>
    <col min="210" max="210" width="8.77734375" style="1" bestFit="1" customWidth="1"/>
    <col min="211" max="211" width="9.5546875" style="1" bestFit="1" customWidth="1"/>
    <col min="212" max="213" width="9.44140625" style="1" bestFit="1" customWidth="1"/>
    <col min="214" max="214" width="9.88671875" style="1" bestFit="1" customWidth="1"/>
    <col min="215" max="215" width="9.6640625" style="1" bestFit="1" customWidth="1"/>
    <col min="216" max="216" width="9.21875" style="1" bestFit="1" customWidth="1"/>
    <col min="217" max="217" width="9.44140625" style="1" bestFit="1" customWidth="1"/>
    <col min="218" max="218" width="9.88671875" style="1" bestFit="1" customWidth="1"/>
    <col min="219" max="219" width="9.21875" style="1" bestFit="1" customWidth="1"/>
    <col min="220" max="220" width="10.109375" style="1" bestFit="1" customWidth="1"/>
    <col min="221" max="221" width="9.21875" style="1" bestFit="1" customWidth="1"/>
    <col min="222" max="222" width="8.77734375" style="1" bestFit="1" customWidth="1"/>
    <col min="223" max="223" width="9.5546875" style="1" bestFit="1" customWidth="1"/>
    <col min="224" max="225" width="9.44140625" style="1" bestFit="1" customWidth="1"/>
    <col min="226" max="226" width="9.88671875" style="1" bestFit="1" customWidth="1"/>
    <col min="227" max="227" width="9.6640625" style="1" bestFit="1" customWidth="1"/>
    <col min="228" max="228" width="9.21875" style="1" bestFit="1" customWidth="1"/>
    <col min="229" max="229" width="9.44140625" style="1" bestFit="1" customWidth="1"/>
    <col min="230" max="230" width="9.88671875" style="1" bestFit="1" customWidth="1"/>
    <col min="231" max="231" width="9.21875" style="1" bestFit="1" customWidth="1"/>
    <col min="232" max="232" width="10.109375" style="1" bestFit="1" customWidth="1"/>
    <col min="233" max="233" width="9.21875" style="1" bestFit="1" customWidth="1"/>
    <col min="234" max="234" width="8.77734375" style="1" bestFit="1" customWidth="1"/>
    <col min="235" max="235" width="9.5546875" style="1" bestFit="1" customWidth="1"/>
    <col min="236" max="237" width="9.44140625" style="1" bestFit="1" customWidth="1"/>
    <col min="238" max="238" width="9.88671875" style="1" bestFit="1" customWidth="1"/>
    <col min="239" max="239" width="9.6640625" style="1" bestFit="1" customWidth="1"/>
    <col min="240" max="240" width="9.21875" style="1" bestFit="1" customWidth="1"/>
    <col min="241" max="241" width="9.44140625" style="1" bestFit="1" customWidth="1"/>
    <col min="242" max="242" width="9.88671875" style="1" bestFit="1" customWidth="1"/>
    <col min="243" max="243" width="9.21875" style="1" bestFit="1" customWidth="1"/>
    <col min="244" max="244" width="10.109375" style="1" bestFit="1" customWidth="1"/>
    <col min="245" max="245" width="9.21875" style="1" bestFit="1" customWidth="1"/>
    <col min="246" max="246" width="8.77734375" style="1" bestFit="1" customWidth="1"/>
    <col min="247" max="247" width="9.5546875" style="1" bestFit="1" customWidth="1"/>
    <col min="248" max="249" width="9.44140625" style="1" bestFit="1" customWidth="1"/>
    <col min="250" max="250" width="9.88671875" style="1" bestFit="1" customWidth="1"/>
    <col min="251" max="251" width="9.6640625" style="1" bestFit="1" customWidth="1"/>
    <col min="252" max="252" width="9.21875" style="1" bestFit="1" customWidth="1"/>
    <col min="253" max="253" width="9.44140625" style="1" bestFit="1" customWidth="1"/>
    <col min="254" max="254" width="9.88671875" style="1" bestFit="1" customWidth="1"/>
    <col min="255" max="255" width="9.21875" style="1" bestFit="1" customWidth="1"/>
    <col min="256" max="256" width="10.109375" style="1" bestFit="1" customWidth="1"/>
    <col min="257" max="257" width="9.21875" style="1" bestFit="1" customWidth="1"/>
    <col min="258" max="258" width="8.77734375" style="1" bestFit="1" customWidth="1"/>
    <col min="259" max="259" width="9.5546875" style="1" bestFit="1" customWidth="1"/>
    <col min="260" max="261" width="9.44140625" style="1" bestFit="1" customWidth="1"/>
    <col min="262" max="262" width="9.88671875" style="1" bestFit="1" customWidth="1"/>
    <col min="263" max="263" width="9.6640625" style="1" bestFit="1" customWidth="1"/>
    <col min="264" max="264" width="9.21875" style="1" bestFit="1" customWidth="1"/>
    <col min="265" max="265" width="9.44140625" style="1" bestFit="1" customWidth="1"/>
    <col min="266" max="266" width="9.88671875" style="1" bestFit="1" customWidth="1"/>
    <col min="267" max="267" width="9.21875" style="1" bestFit="1" customWidth="1"/>
    <col min="268" max="268" width="10.109375" style="1" bestFit="1" customWidth="1"/>
    <col min="269" max="269" width="9.21875" style="1" bestFit="1" customWidth="1"/>
    <col min="270" max="275" width="9.21875" style="1" customWidth="1"/>
    <col min="276" max="276" width="10.21875" style="1" bestFit="1" customWidth="1"/>
    <col min="277" max="290" width="8.88671875" style="1"/>
    <col min="291" max="291" width="9.44140625" style="1" bestFit="1" customWidth="1"/>
    <col min="292" max="309" width="8.88671875" style="1"/>
    <col min="310" max="310" width="10.109375" style="1" bestFit="1" customWidth="1"/>
    <col min="311" max="16384" width="8.88671875" style="1"/>
  </cols>
  <sheetData>
    <row r="2" spans="1:12" x14ac:dyDescent="0.3">
      <c r="B2" s="525" t="s">
        <v>522</v>
      </c>
      <c r="K2" s="526" t="s">
        <v>430</v>
      </c>
      <c r="L2" s="527"/>
    </row>
    <row r="3" spans="1:12" x14ac:dyDescent="0.3">
      <c r="B3" s="528" t="s">
        <v>320</v>
      </c>
      <c r="K3" s="169" t="s">
        <v>230</v>
      </c>
      <c r="L3" s="246">
        <f>F6</f>
        <v>65.605787965713773</v>
      </c>
    </row>
    <row r="4" spans="1:12" x14ac:dyDescent="0.3">
      <c r="B4" s="528" t="s">
        <v>321</v>
      </c>
      <c r="K4" s="169" t="s">
        <v>231</v>
      </c>
      <c r="L4" s="246">
        <f>F67</f>
        <v>127.06742946780426</v>
      </c>
    </row>
    <row r="5" spans="1:12" x14ac:dyDescent="0.3">
      <c r="K5" s="169" t="s">
        <v>232</v>
      </c>
      <c r="L5" s="246">
        <f>F131</f>
        <v>52.956649848649214</v>
      </c>
    </row>
    <row r="6" spans="1:12" x14ac:dyDescent="0.3">
      <c r="A6" s="524">
        <v>1</v>
      </c>
      <c r="B6" s="529" t="s">
        <v>230</v>
      </c>
      <c r="C6" s="530"/>
      <c r="E6" s="1" t="s">
        <v>403</v>
      </c>
      <c r="F6" s="45">
        <f>XNPV(C17,C29:GA29,C24:GA24)*95%</f>
        <v>65.605787965713773</v>
      </c>
      <c r="K6" s="169" t="s">
        <v>234</v>
      </c>
      <c r="L6" s="246">
        <f>F195</f>
        <v>113.61054093861193</v>
      </c>
    </row>
    <row r="7" spans="1:12" x14ac:dyDescent="0.3">
      <c r="B7" s="169" t="s">
        <v>14</v>
      </c>
      <c r="C7" s="531">
        <f>'Assumption Sheet'!C28</f>
        <v>255179.83111949998</v>
      </c>
      <c r="K7" s="169" t="s">
        <v>259</v>
      </c>
      <c r="L7" s="246">
        <f>F260</f>
        <v>23.666046084802559</v>
      </c>
    </row>
    <row r="8" spans="1:12" x14ac:dyDescent="0.3">
      <c r="B8" s="169" t="s">
        <v>322</v>
      </c>
      <c r="C8" s="532">
        <f>'Assumption Sheet'!Q28</f>
        <v>20.5</v>
      </c>
      <c r="K8" s="163" t="s">
        <v>21</v>
      </c>
      <c r="L8" s="461">
        <f>SUM(L3:L7)</f>
        <v>382.90645430558175</v>
      </c>
    </row>
    <row r="9" spans="1:12" x14ac:dyDescent="0.3">
      <c r="B9" s="169" t="s">
        <v>106</v>
      </c>
      <c r="C9" s="495">
        <f>'Assumption Sheet'!K28</f>
        <v>46023</v>
      </c>
      <c r="D9" s="77"/>
      <c r="E9" s="77"/>
    </row>
    <row r="10" spans="1:12" x14ac:dyDescent="0.3">
      <c r="B10" s="169" t="s">
        <v>447</v>
      </c>
      <c r="C10" s="495">
        <f>EOMONTH(C9,IF(MOD(MONTH(C9),3)=0,0,3-MOD(MONTH(C9),3)))</f>
        <v>46112</v>
      </c>
      <c r="D10" s="77"/>
      <c r="E10" s="77"/>
    </row>
    <row r="11" spans="1:12" x14ac:dyDescent="0.3">
      <c r="B11" s="169" t="s">
        <v>446</v>
      </c>
      <c r="C11" s="495">
        <f>DATE(IF(MONTH(C10)&gt;=4,YEAR(C10)+1,YEAR(C10)),3,31)</f>
        <v>46112</v>
      </c>
      <c r="D11" s="77"/>
      <c r="E11" s="77"/>
    </row>
    <row r="12" spans="1:12" x14ac:dyDescent="0.3">
      <c r="B12" s="169" t="s">
        <v>323</v>
      </c>
      <c r="C12" s="492" t="s">
        <v>324</v>
      </c>
    </row>
    <row r="13" spans="1:12" x14ac:dyDescent="0.3">
      <c r="B13" s="169" t="s">
        <v>325</v>
      </c>
      <c r="C13" s="493">
        <v>0.05</v>
      </c>
    </row>
    <row r="14" spans="1:12" x14ac:dyDescent="0.3">
      <c r="B14" s="169" t="s">
        <v>297</v>
      </c>
      <c r="C14" s="493">
        <v>0.05</v>
      </c>
    </row>
    <row r="15" spans="1:12" x14ac:dyDescent="0.3">
      <c r="B15" s="169" t="s">
        <v>298</v>
      </c>
      <c r="C15" s="493">
        <v>0.05</v>
      </c>
    </row>
    <row r="16" spans="1:12" ht="15.6" x14ac:dyDescent="0.45">
      <c r="B16" s="494" t="s">
        <v>336</v>
      </c>
      <c r="C16" s="533">
        <f ca="1">'Cost &amp; Means'!M33*10*0+53</f>
        <v>53</v>
      </c>
      <c r="D16" s="45"/>
      <c r="E16" s="52"/>
      <c r="I16" s="33"/>
      <c r="J16" s="53"/>
    </row>
    <row r="17" spans="1:310" x14ac:dyDescent="0.3">
      <c r="B17" s="169" t="s">
        <v>337</v>
      </c>
      <c r="C17" s="604">
        <v>8.5000000000000006E-2</v>
      </c>
      <c r="J17" s="52"/>
    </row>
    <row r="18" spans="1:310" x14ac:dyDescent="0.3">
      <c r="B18" s="169" t="s">
        <v>296</v>
      </c>
      <c r="C18" s="492" t="s">
        <v>338</v>
      </c>
      <c r="I18" s="638"/>
      <c r="J18" s="53"/>
    </row>
    <row r="19" spans="1:310" x14ac:dyDescent="0.3">
      <c r="B19" s="169" t="s">
        <v>339</v>
      </c>
      <c r="C19" s="534">
        <v>15</v>
      </c>
    </row>
    <row r="20" spans="1:310" x14ac:dyDescent="0.3">
      <c r="B20" s="437" t="s">
        <v>286</v>
      </c>
      <c r="C20" s="498">
        <f>EOMONTH(C9,C19*12)</f>
        <v>51532</v>
      </c>
    </row>
    <row r="21" spans="1:310" x14ac:dyDescent="0.3">
      <c r="F21" s="33"/>
    </row>
    <row r="22" spans="1:310" x14ac:dyDescent="0.3">
      <c r="B22" s="535" t="s">
        <v>331</v>
      </c>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c r="AL22" s="428"/>
      <c r="AM22" s="428"/>
      <c r="AN22" s="428"/>
      <c r="AO22" s="428"/>
      <c r="AP22" s="428"/>
      <c r="AQ22" s="428"/>
      <c r="AR22" s="428"/>
      <c r="AS22" s="428"/>
      <c r="AT22" s="428"/>
      <c r="AU22" s="428"/>
      <c r="AV22" s="428"/>
      <c r="AW22" s="428"/>
      <c r="AX22" s="428"/>
      <c r="AY22" s="428"/>
      <c r="AZ22" s="428"/>
      <c r="BA22" s="428"/>
      <c r="BB22" s="428"/>
      <c r="BC22" s="428"/>
      <c r="BD22" s="428"/>
      <c r="BE22" s="428"/>
      <c r="BF22" s="428"/>
      <c r="BG22" s="428"/>
      <c r="BH22" s="428"/>
      <c r="BI22" s="428"/>
      <c r="BJ22" s="428"/>
      <c r="BK22" s="428"/>
      <c r="BL22" s="428"/>
      <c r="BM22" s="428"/>
      <c r="BN22" s="428"/>
      <c r="BO22" s="428"/>
      <c r="BP22" s="428"/>
      <c r="BQ22" s="428"/>
      <c r="BR22" s="428"/>
      <c r="BS22" s="428"/>
      <c r="BT22" s="428"/>
      <c r="BU22" s="428"/>
      <c r="BV22" s="428"/>
      <c r="BW22" s="428"/>
      <c r="BX22" s="428"/>
      <c r="BY22" s="428"/>
      <c r="BZ22" s="428"/>
      <c r="CA22" s="428"/>
      <c r="CB22" s="428"/>
      <c r="CC22" s="428"/>
      <c r="CD22" s="428"/>
      <c r="CE22" s="428"/>
      <c r="CF22" s="428"/>
      <c r="CG22" s="428"/>
      <c r="CH22" s="428"/>
      <c r="CI22" s="428"/>
      <c r="CJ22" s="428"/>
      <c r="CK22" s="428"/>
      <c r="CL22" s="428"/>
      <c r="CM22" s="428"/>
      <c r="CN22" s="428"/>
      <c r="CO22" s="428"/>
      <c r="CP22" s="428"/>
      <c r="CQ22" s="428"/>
      <c r="CR22" s="428"/>
      <c r="CS22" s="428"/>
      <c r="CT22" s="428"/>
      <c r="CU22" s="428"/>
      <c r="CV22" s="428"/>
      <c r="CW22" s="428"/>
      <c r="CX22" s="428"/>
      <c r="CY22" s="428"/>
      <c r="CZ22" s="428"/>
      <c r="DA22" s="428"/>
      <c r="DB22" s="428"/>
      <c r="DC22" s="428"/>
      <c r="DD22" s="428"/>
      <c r="DE22" s="428"/>
      <c r="DF22" s="428"/>
      <c r="DG22" s="428"/>
      <c r="DH22" s="428"/>
      <c r="DI22" s="428"/>
      <c r="DJ22" s="428"/>
      <c r="DK22" s="428"/>
      <c r="DL22" s="428"/>
      <c r="DM22" s="428"/>
      <c r="DN22" s="428"/>
      <c r="DO22" s="428"/>
      <c r="DP22" s="428"/>
      <c r="DQ22" s="428"/>
      <c r="DR22" s="428"/>
      <c r="DS22" s="428"/>
      <c r="DT22" s="428"/>
      <c r="DU22" s="428"/>
      <c r="DV22" s="428"/>
      <c r="DW22" s="428"/>
      <c r="DX22" s="428"/>
      <c r="DY22" s="428"/>
      <c r="DZ22" s="428"/>
      <c r="EA22" s="428"/>
      <c r="EB22" s="428"/>
      <c r="EC22" s="428"/>
      <c r="ED22" s="428"/>
      <c r="EE22" s="428"/>
      <c r="EF22" s="428"/>
      <c r="EG22" s="428"/>
      <c r="EH22" s="428"/>
      <c r="EI22" s="428"/>
      <c r="EJ22" s="428"/>
      <c r="EK22" s="428"/>
      <c r="EL22" s="428"/>
      <c r="EM22" s="428"/>
      <c r="EN22" s="428"/>
      <c r="EO22" s="428"/>
      <c r="EP22" s="428"/>
      <c r="EQ22" s="428"/>
      <c r="ER22" s="428"/>
      <c r="ES22" s="428"/>
      <c r="ET22" s="428"/>
      <c r="EU22" s="428"/>
      <c r="EV22" s="428"/>
      <c r="EW22" s="428"/>
      <c r="EX22" s="428"/>
      <c r="EY22" s="428"/>
      <c r="EZ22" s="428"/>
      <c r="FA22" s="428"/>
      <c r="FB22" s="428"/>
      <c r="FC22" s="428"/>
      <c r="FD22" s="428"/>
      <c r="FE22" s="428"/>
      <c r="FF22" s="428"/>
      <c r="FG22" s="428"/>
      <c r="FH22" s="428"/>
      <c r="FI22" s="428"/>
      <c r="FJ22" s="428"/>
      <c r="FK22" s="428"/>
      <c r="FL22" s="428"/>
      <c r="FM22" s="428"/>
      <c r="FN22" s="428"/>
      <c r="FO22" s="428"/>
      <c r="FP22" s="428"/>
      <c r="FQ22" s="428"/>
      <c r="FR22" s="428"/>
      <c r="FS22" s="428"/>
      <c r="FT22" s="428"/>
      <c r="FU22" s="428"/>
      <c r="FV22" s="428"/>
      <c r="FW22" s="428"/>
      <c r="FX22" s="428"/>
      <c r="FY22" s="428"/>
      <c r="FZ22" s="428"/>
      <c r="GA22" s="428"/>
      <c r="GB22" s="428"/>
      <c r="GC22" s="428"/>
      <c r="GD22" s="428"/>
      <c r="GE22" s="428"/>
      <c r="GF22" s="428"/>
      <c r="GG22" s="428"/>
      <c r="GH22" s="428"/>
      <c r="GI22" s="428"/>
      <c r="GJ22" s="428"/>
      <c r="GK22" s="428"/>
      <c r="GL22" s="428"/>
      <c r="GM22" s="428"/>
      <c r="GN22" s="428"/>
      <c r="GO22" s="428"/>
      <c r="GP22" s="428"/>
      <c r="GQ22" s="428"/>
      <c r="GR22" s="428"/>
      <c r="GS22" s="428"/>
      <c r="GT22" s="428"/>
      <c r="GU22" s="428"/>
      <c r="GV22" s="428"/>
      <c r="GW22" s="428"/>
      <c r="GX22" s="428"/>
      <c r="GY22" s="428"/>
      <c r="GZ22" s="428"/>
      <c r="HA22" s="428"/>
      <c r="HB22" s="428"/>
      <c r="HC22" s="428"/>
      <c r="HD22" s="428"/>
      <c r="HE22" s="428"/>
      <c r="HF22" s="428"/>
      <c r="HG22" s="428"/>
      <c r="HH22" s="428"/>
      <c r="HI22" s="428"/>
      <c r="HJ22" s="428"/>
      <c r="HK22" s="428"/>
      <c r="HL22" s="428"/>
      <c r="HM22" s="428"/>
      <c r="HN22" s="428"/>
      <c r="HO22" s="428"/>
      <c r="HP22" s="428"/>
      <c r="HQ22" s="428"/>
      <c r="HR22" s="428"/>
      <c r="HS22" s="428"/>
      <c r="HT22" s="428"/>
      <c r="HU22" s="428"/>
      <c r="HV22" s="428"/>
      <c r="HW22" s="428"/>
      <c r="HX22" s="428"/>
      <c r="HY22" s="428"/>
      <c r="HZ22" s="428"/>
      <c r="IA22" s="428"/>
      <c r="IB22" s="428"/>
      <c r="IC22" s="428"/>
      <c r="ID22" s="428"/>
      <c r="IE22" s="428"/>
      <c r="IF22" s="428"/>
      <c r="IG22" s="428"/>
      <c r="IH22" s="428"/>
      <c r="II22" s="428"/>
      <c r="IJ22" s="428"/>
      <c r="IK22" s="428"/>
      <c r="IL22" s="428"/>
      <c r="IM22" s="428"/>
      <c r="IN22" s="428"/>
      <c r="IO22" s="428"/>
      <c r="IP22" s="428"/>
      <c r="IQ22" s="428"/>
      <c r="IR22" s="428"/>
      <c r="IS22" s="428"/>
      <c r="IT22" s="428"/>
      <c r="IU22" s="428"/>
      <c r="IV22" s="428"/>
      <c r="IW22" s="428"/>
      <c r="IX22" s="428"/>
      <c r="IY22" s="428"/>
      <c r="IZ22" s="428"/>
      <c r="JA22" s="428"/>
      <c r="JB22" s="428"/>
      <c r="JC22" s="428"/>
      <c r="JD22" s="428"/>
      <c r="JE22" s="428"/>
      <c r="JF22" s="428"/>
      <c r="JG22" s="428"/>
      <c r="JH22" s="428"/>
      <c r="JI22" s="428"/>
      <c r="JJ22" s="428"/>
      <c r="JK22" s="428"/>
      <c r="JL22" s="428"/>
      <c r="JM22" s="428"/>
      <c r="JN22" s="428"/>
      <c r="JO22" s="428"/>
      <c r="JP22" s="174"/>
    </row>
    <row r="23" spans="1:310" x14ac:dyDescent="0.3">
      <c r="B23" s="169" t="s">
        <v>330</v>
      </c>
      <c r="C23" s="501">
        <f>IF(MONTH(C24)&gt;3,DATE(YEAR(C24)+1,3,31),DATE(YEAR(C24),3,31))</f>
        <v>46112</v>
      </c>
      <c r="D23" s="501">
        <f t="shared" ref="D23:BO23" si="0">IF(MONTH(D24)&gt;3,DATE(YEAR(D24)+1,3,31),DATE(YEAR(D24),3,31))</f>
        <v>46112</v>
      </c>
      <c r="E23" s="501">
        <f t="shared" si="0"/>
        <v>46112</v>
      </c>
      <c r="F23" s="501">
        <f t="shared" si="0"/>
        <v>46477</v>
      </c>
      <c r="G23" s="501">
        <f t="shared" si="0"/>
        <v>46477</v>
      </c>
      <c r="H23" s="501">
        <f t="shared" si="0"/>
        <v>46477</v>
      </c>
      <c r="I23" s="501">
        <f t="shared" si="0"/>
        <v>46477</v>
      </c>
      <c r="J23" s="501">
        <f t="shared" si="0"/>
        <v>46477</v>
      </c>
      <c r="K23" s="501">
        <f t="shared" si="0"/>
        <v>46477</v>
      </c>
      <c r="L23" s="501">
        <f t="shared" si="0"/>
        <v>46477</v>
      </c>
      <c r="M23" s="501">
        <f t="shared" si="0"/>
        <v>46477</v>
      </c>
      <c r="N23" s="501">
        <f t="shared" si="0"/>
        <v>46477</v>
      </c>
      <c r="O23" s="501">
        <f t="shared" si="0"/>
        <v>46477</v>
      </c>
      <c r="P23" s="501">
        <f t="shared" si="0"/>
        <v>46477</v>
      </c>
      <c r="Q23" s="501">
        <f t="shared" si="0"/>
        <v>46477</v>
      </c>
      <c r="R23" s="501">
        <f t="shared" si="0"/>
        <v>46843</v>
      </c>
      <c r="S23" s="501">
        <f t="shared" si="0"/>
        <v>46843</v>
      </c>
      <c r="T23" s="501">
        <f t="shared" si="0"/>
        <v>46843</v>
      </c>
      <c r="U23" s="501">
        <f t="shared" si="0"/>
        <v>46843</v>
      </c>
      <c r="V23" s="501">
        <f t="shared" si="0"/>
        <v>46843</v>
      </c>
      <c r="W23" s="501">
        <f t="shared" si="0"/>
        <v>46843</v>
      </c>
      <c r="X23" s="501">
        <f t="shared" si="0"/>
        <v>46843</v>
      </c>
      <c r="Y23" s="501">
        <f t="shared" si="0"/>
        <v>46843</v>
      </c>
      <c r="Z23" s="501">
        <f t="shared" si="0"/>
        <v>46843</v>
      </c>
      <c r="AA23" s="501">
        <f t="shared" si="0"/>
        <v>46843</v>
      </c>
      <c r="AB23" s="501">
        <f t="shared" si="0"/>
        <v>46843</v>
      </c>
      <c r="AC23" s="501">
        <f t="shared" si="0"/>
        <v>46843</v>
      </c>
      <c r="AD23" s="501">
        <f t="shared" si="0"/>
        <v>47208</v>
      </c>
      <c r="AE23" s="501">
        <f t="shared" si="0"/>
        <v>47208</v>
      </c>
      <c r="AF23" s="501">
        <f t="shared" si="0"/>
        <v>47208</v>
      </c>
      <c r="AG23" s="501">
        <f t="shared" si="0"/>
        <v>47208</v>
      </c>
      <c r="AH23" s="501">
        <f t="shared" si="0"/>
        <v>47208</v>
      </c>
      <c r="AI23" s="501">
        <f t="shared" si="0"/>
        <v>47208</v>
      </c>
      <c r="AJ23" s="501">
        <f t="shared" si="0"/>
        <v>47208</v>
      </c>
      <c r="AK23" s="501">
        <f t="shared" si="0"/>
        <v>47208</v>
      </c>
      <c r="AL23" s="501">
        <f t="shared" si="0"/>
        <v>47208</v>
      </c>
      <c r="AM23" s="501">
        <f t="shared" si="0"/>
        <v>47208</v>
      </c>
      <c r="AN23" s="501">
        <f t="shared" si="0"/>
        <v>47208</v>
      </c>
      <c r="AO23" s="501">
        <f t="shared" si="0"/>
        <v>47208</v>
      </c>
      <c r="AP23" s="501">
        <f t="shared" si="0"/>
        <v>47573</v>
      </c>
      <c r="AQ23" s="501">
        <f t="shared" si="0"/>
        <v>47573</v>
      </c>
      <c r="AR23" s="501">
        <f t="shared" si="0"/>
        <v>47573</v>
      </c>
      <c r="AS23" s="501">
        <f t="shared" si="0"/>
        <v>47573</v>
      </c>
      <c r="AT23" s="501">
        <f t="shared" si="0"/>
        <v>47573</v>
      </c>
      <c r="AU23" s="501">
        <f t="shared" si="0"/>
        <v>47573</v>
      </c>
      <c r="AV23" s="501">
        <f t="shared" si="0"/>
        <v>47573</v>
      </c>
      <c r="AW23" s="501">
        <f t="shared" si="0"/>
        <v>47573</v>
      </c>
      <c r="AX23" s="501">
        <f t="shared" si="0"/>
        <v>47573</v>
      </c>
      <c r="AY23" s="501">
        <f t="shared" si="0"/>
        <v>47573</v>
      </c>
      <c r="AZ23" s="501">
        <f t="shared" si="0"/>
        <v>47573</v>
      </c>
      <c r="BA23" s="501">
        <f t="shared" si="0"/>
        <v>47573</v>
      </c>
      <c r="BB23" s="501">
        <f t="shared" si="0"/>
        <v>47938</v>
      </c>
      <c r="BC23" s="501">
        <f t="shared" si="0"/>
        <v>47938</v>
      </c>
      <c r="BD23" s="501">
        <f t="shared" si="0"/>
        <v>47938</v>
      </c>
      <c r="BE23" s="501">
        <f t="shared" si="0"/>
        <v>47938</v>
      </c>
      <c r="BF23" s="501">
        <f t="shared" si="0"/>
        <v>47938</v>
      </c>
      <c r="BG23" s="501">
        <f t="shared" si="0"/>
        <v>47938</v>
      </c>
      <c r="BH23" s="501">
        <f t="shared" si="0"/>
        <v>47938</v>
      </c>
      <c r="BI23" s="501">
        <f t="shared" si="0"/>
        <v>47938</v>
      </c>
      <c r="BJ23" s="501">
        <f t="shared" si="0"/>
        <v>47938</v>
      </c>
      <c r="BK23" s="501">
        <f t="shared" si="0"/>
        <v>47938</v>
      </c>
      <c r="BL23" s="501">
        <f t="shared" si="0"/>
        <v>47938</v>
      </c>
      <c r="BM23" s="501">
        <f t="shared" si="0"/>
        <v>47938</v>
      </c>
      <c r="BN23" s="501">
        <f t="shared" si="0"/>
        <v>48304</v>
      </c>
      <c r="BO23" s="501">
        <f t="shared" si="0"/>
        <v>48304</v>
      </c>
      <c r="BP23" s="501">
        <f t="shared" ref="BP23:EA23" si="1">IF(MONTH(BP24)&gt;3,DATE(YEAR(BP24)+1,3,31),DATE(YEAR(BP24),3,31))</f>
        <v>48304</v>
      </c>
      <c r="BQ23" s="501">
        <f t="shared" si="1"/>
        <v>48304</v>
      </c>
      <c r="BR23" s="501">
        <f t="shared" si="1"/>
        <v>48304</v>
      </c>
      <c r="BS23" s="501">
        <f t="shared" si="1"/>
        <v>48304</v>
      </c>
      <c r="BT23" s="501">
        <f t="shared" si="1"/>
        <v>48304</v>
      </c>
      <c r="BU23" s="501">
        <f t="shared" si="1"/>
        <v>48304</v>
      </c>
      <c r="BV23" s="501">
        <f t="shared" si="1"/>
        <v>48304</v>
      </c>
      <c r="BW23" s="501">
        <f t="shared" si="1"/>
        <v>48304</v>
      </c>
      <c r="BX23" s="501">
        <f t="shared" si="1"/>
        <v>48304</v>
      </c>
      <c r="BY23" s="501">
        <f t="shared" si="1"/>
        <v>48304</v>
      </c>
      <c r="BZ23" s="501">
        <f t="shared" si="1"/>
        <v>48669</v>
      </c>
      <c r="CA23" s="501">
        <f t="shared" si="1"/>
        <v>48669</v>
      </c>
      <c r="CB23" s="501">
        <f t="shared" si="1"/>
        <v>48669</v>
      </c>
      <c r="CC23" s="501">
        <f t="shared" si="1"/>
        <v>48669</v>
      </c>
      <c r="CD23" s="501">
        <f t="shared" si="1"/>
        <v>48669</v>
      </c>
      <c r="CE23" s="501">
        <f t="shared" si="1"/>
        <v>48669</v>
      </c>
      <c r="CF23" s="501">
        <f t="shared" si="1"/>
        <v>48669</v>
      </c>
      <c r="CG23" s="501">
        <f t="shared" si="1"/>
        <v>48669</v>
      </c>
      <c r="CH23" s="501">
        <f t="shared" si="1"/>
        <v>48669</v>
      </c>
      <c r="CI23" s="501">
        <f t="shared" si="1"/>
        <v>48669</v>
      </c>
      <c r="CJ23" s="501">
        <f t="shared" si="1"/>
        <v>48669</v>
      </c>
      <c r="CK23" s="501">
        <f t="shared" si="1"/>
        <v>48669</v>
      </c>
      <c r="CL23" s="501">
        <f t="shared" si="1"/>
        <v>49034</v>
      </c>
      <c r="CM23" s="501">
        <f t="shared" si="1"/>
        <v>49034</v>
      </c>
      <c r="CN23" s="501">
        <f t="shared" si="1"/>
        <v>49034</v>
      </c>
      <c r="CO23" s="501">
        <f t="shared" si="1"/>
        <v>49034</v>
      </c>
      <c r="CP23" s="501">
        <f t="shared" si="1"/>
        <v>49034</v>
      </c>
      <c r="CQ23" s="501">
        <f t="shared" si="1"/>
        <v>49034</v>
      </c>
      <c r="CR23" s="501">
        <f t="shared" si="1"/>
        <v>49034</v>
      </c>
      <c r="CS23" s="501">
        <f t="shared" si="1"/>
        <v>49034</v>
      </c>
      <c r="CT23" s="501">
        <f t="shared" si="1"/>
        <v>49034</v>
      </c>
      <c r="CU23" s="501">
        <f t="shared" si="1"/>
        <v>49034</v>
      </c>
      <c r="CV23" s="501">
        <f t="shared" si="1"/>
        <v>49034</v>
      </c>
      <c r="CW23" s="501">
        <f t="shared" si="1"/>
        <v>49034</v>
      </c>
      <c r="CX23" s="501">
        <f t="shared" si="1"/>
        <v>49399</v>
      </c>
      <c r="CY23" s="501">
        <f t="shared" si="1"/>
        <v>49399</v>
      </c>
      <c r="CZ23" s="501">
        <f t="shared" si="1"/>
        <v>49399</v>
      </c>
      <c r="DA23" s="501">
        <f t="shared" si="1"/>
        <v>49399</v>
      </c>
      <c r="DB23" s="501">
        <f t="shared" si="1"/>
        <v>49399</v>
      </c>
      <c r="DC23" s="501">
        <f t="shared" si="1"/>
        <v>49399</v>
      </c>
      <c r="DD23" s="501">
        <f t="shared" si="1"/>
        <v>49399</v>
      </c>
      <c r="DE23" s="501">
        <f t="shared" si="1"/>
        <v>49399</v>
      </c>
      <c r="DF23" s="501">
        <f t="shared" si="1"/>
        <v>49399</v>
      </c>
      <c r="DG23" s="501">
        <f t="shared" si="1"/>
        <v>49399</v>
      </c>
      <c r="DH23" s="501">
        <f t="shared" si="1"/>
        <v>49399</v>
      </c>
      <c r="DI23" s="501">
        <f t="shared" si="1"/>
        <v>49399</v>
      </c>
      <c r="DJ23" s="501">
        <f t="shared" si="1"/>
        <v>49765</v>
      </c>
      <c r="DK23" s="501">
        <f t="shared" si="1"/>
        <v>49765</v>
      </c>
      <c r="DL23" s="501">
        <f t="shared" si="1"/>
        <v>49765</v>
      </c>
      <c r="DM23" s="501">
        <f t="shared" si="1"/>
        <v>49765</v>
      </c>
      <c r="DN23" s="501">
        <f t="shared" si="1"/>
        <v>49765</v>
      </c>
      <c r="DO23" s="501">
        <f t="shared" si="1"/>
        <v>49765</v>
      </c>
      <c r="DP23" s="501">
        <f t="shared" si="1"/>
        <v>49765</v>
      </c>
      <c r="DQ23" s="501">
        <f t="shared" si="1"/>
        <v>49765</v>
      </c>
      <c r="DR23" s="501">
        <f t="shared" si="1"/>
        <v>49765</v>
      </c>
      <c r="DS23" s="501">
        <f t="shared" si="1"/>
        <v>49765</v>
      </c>
      <c r="DT23" s="501">
        <f t="shared" si="1"/>
        <v>49765</v>
      </c>
      <c r="DU23" s="501">
        <f t="shared" si="1"/>
        <v>49765</v>
      </c>
      <c r="DV23" s="501">
        <f t="shared" si="1"/>
        <v>50130</v>
      </c>
      <c r="DW23" s="501">
        <f t="shared" si="1"/>
        <v>50130</v>
      </c>
      <c r="DX23" s="501">
        <f t="shared" si="1"/>
        <v>50130</v>
      </c>
      <c r="DY23" s="501">
        <f t="shared" si="1"/>
        <v>50130</v>
      </c>
      <c r="DZ23" s="501">
        <f t="shared" si="1"/>
        <v>50130</v>
      </c>
      <c r="EA23" s="501">
        <f t="shared" si="1"/>
        <v>50130</v>
      </c>
      <c r="EB23" s="501">
        <f t="shared" ref="EB23:GM23" si="2">IF(MONTH(EB24)&gt;3,DATE(YEAR(EB24)+1,3,31),DATE(YEAR(EB24),3,31))</f>
        <v>50130</v>
      </c>
      <c r="EC23" s="501">
        <f t="shared" si="2"/>
        <v>50130</v>
      </c>
      <c r="ED23" s="501">
        <f t="shared" si="2"/>
        <v>50130</v>
      </c>
      <c r="EE23" s="501">
        <f t="shared" si="2"/>
        <v>50130</v>
      </c>
      <c r="EF23" s="501">
        <f t="shared" si="2"/>
        <v>50130</v>
      </c>
      <c r="EG23" s="501">
        <f t="shared" si="2"/>
        <v>50130</v>
      </c>
      <c r="EH23" s="501">
        <f t="shared" si="2"/>
        <v>50495</v>
      </c>
      <c r="EI23" s="501">
        <f t="shared" si="2"/>
        <v>50495</v>
      </c>
      <c r="EJ23" s="501">
        <f t="shared" si="2"/>
        <v>50495</v>
      </c>
      <c r="EK23" s="501">
        <f t="shared" si="2"/>
        <v>50495</v>
      </c>
      <c r="EL23" s="501">
        <f t="shared" si="2"/>
        <v>50495</v>
      </c>
      <c r="EM23" s="501">
        <f t="shared" si="2"/>
        <v>50495</v>
      </c>
      <c r="EN23" s="501">
        <f t="shared" si="2"/>
        <v>50495</v>
      </c>
      <c r="EO23" s="501">
        <f t="shared" si="2"/>
        <v>50495</v>
      </c>
      <c r="EP23" s="501">
        <f t="shared" si="2"/>
        <v>50495</v>
      </c>
      <c r="EQ23" s="501">
        <f t="shared" si="2"/>
        <v>50495</v>
      </c>
      <c r="ER23" s="501">
        <f t="shared" si="2"/>
        <v>50495</v>
      </c>
      <c r="ES23" s="501">
        <f t="shared" si="2"/>
        <v>50495</v>
      </c>
      <c r="ET23" s="501">
        <f t="shared" si="2"/>
        <v>50860</v>
      </c>
      <c r="EU23" s="501">
        <f t="shared" si="2"/>
        <v>50860</v>
      </c>
      <c r="EV23" s="501">
        <f t="shared" si="2"/>
        <v>50860</v>
      </c>
      <c r="EW23" s="501">
        <f t="shared" si="2"/>
        <v>50860</v>
      </c>
      <c r="EX23" s="501">
        <f t="shared" si="2"/>
        <v>50860</v>
      </c>
      <c r="EY23" s="501">
        <f t="shared" si="2"/>
        <v>50860</v>
      </c>
      <c r="EZ23" s="501">
        <f t="shared" si="2"/>
        <v>50860</v>
      </c>
      <c r="FA23" s="501">
        <f t="shared" si="2"/>
        <v>50860</v>
      </c>
      <c r="FB23" s="501">
        <f t="shared" si="2"/>
        <v>50860</v>
      </c>
      <c r="FC23" s="501">
        <f t="shared" si="2"/>
        <v>50860</v>
      </c>
      <c r="FD23" s="501">
        <f t="shared" si="2"/>
        <v>50860</v>
      </c>
      <c r="FE23" s="501">
        <f t="shared" si="2"/>
        <v>50860</v>
      </c>
      <c r="FF23" s="501">
        <f t="shared" si="2"/>
        <v>51226</v>
      </c>
      <c r="FG23" s="501">
        <f t="shared" si="2"/>
        <v>51226</v>
      </c>
      <c r="FH23" s="501">
        <f t="shared" si="2"/>
        <v>51226</v>
      </c>
      <c r="FI23" s="501">
        <f t="shared" si="2"/>
        <v>51226</v>
      </c>
      <c r="FJ23" s="501">
        <f t="shared" si="2"/>
        <v>51226</v>
      </c>
      <c r="FK23" s="501">
        <f t="shared" si="2"/>
        <v>51226</v>
      </c>
      <c r="FL23" s="501">
        <f t="shared" si="2"/>
        <v>51226</v>
      </c>
      <c r="FM23" s="501">
        <f t="shared" si="2"/>
        <v>51226</v>
      </c>
      <c r="FN23" s="501">
        <f t="shared" si="2"/>
        <v>51226</v>
      </c>
      <c r="FO23" s="501">
        <f t="shared" si="2"/>
        <v>51226</v>
      </c>
      <c r="FP23" s="501">
        <f t="shared" si="2"/>
        <v>51226</v>
      </c>
      <c r="FQ23" s="501">
        <f t="shared" si="2"/>
        <v>51226</v>
      </c>
      <c r="FR23" s="501">
        <f t="shared" si="2"/>
        <v>51591</v>
      </c>
      <c r="FS23" s="501">
        <f t="shared" si="2"/>
        <v>51591</v>
      </c>
      <c r="FT23" s="501">
        <f t="shared" si="2"/>
        <v>51591</v>
      </c>
      <c r="FU23" s="501">
        <f t="shared" si="2"/>
        <v>51591</v>
      </c>
      <c r="FV23" s="501">
        <f t="shared" si="2"/>
        <v>51591</v>
      </c>
      <c r="FW23" s="501">
        <f t="shared" si="2"/>
        <v>51591</v>
      </c>
      <c r="FX23" s="501">
        <f t="shared" si="2"/>
        <v>51591</v>
      </c>
      <c r="FY23" s="501">
        <f t="shared" si="2"/>
        <v>51591</v>
      </c>
      <c r="FZ23" s="501">
        <f t="shared" si="2"/>
        <v>51591</v>
      </c>
      <c r="GA23" s="501">
        <f t="shared" si="2"/>
        <v>51591</v>
      </c>
      <c r="GB23" s="501">
        <f t="shared" si="2"/>
        <v>51591</v>
      </c>
      <c r="GC23" s="501">
        <f t="shared" si="2"/>
        <v>51591</v>
      </c>
      <c r="GD23" s="501">
        <f t="shared" si="2"/>
        <v>51956</v>
      </c>
      <c r="GE23" s="501">
        <f t="shared" si="2"/>
        <v>51956</v>
      </c>
      <c r="GF23" s="501">
        <f t="shared" si="2"/>
        <v>51956</v>
      </c>
      <c r="GG23" s="501">
        <f t="shared" si="2"/>
        <v>51956</v>
      </c>
      <c r="GH23" s="501">
        <f t="shared" si="2"/>
        <v>51956</v>
      </c>
      <c r="GI23" s="501">
        <f t="shared" si="2"/>
        <v>51956</v>
      </c>
      <c r="GJ23" s="501">
        <f t="shared" si="2"/>
        <v>51956</v>
      </c>
      <c r="GK23" s="501">
        <f t="shared" si="2"/>
        <v>51956</v>
      </c>
      <c r="GL23" s="501">
        <f t="shared" si="2"/>
        <v>51956</v>
      </c>
      <c r="GM23" s="501">
        <f t="shared" si="2"/>
        <v>51956</v>
      </c>
      <c r="GN23" s="501">
        <f t="shared" ref="GN23:IY23" si="3">IF(MONTH(GN24)&gt;3,DATE(YEAR(GN24)+1,3,31),DATE(YEAR(GN24),3,31))</f>
        <v>51956</v>
      </c>
      <c r="GO23" s="501">
        <f t="shared" si="3"/>
        <v>51956</v>
      </c>
      <c r="GP23" s="501">
        <f t="shared" si="3"/>
        <v>52321</v>
      </c>
      <c r="GQ23" s="501">
        <f t="shared" si="3"/>
        <v>52321</v>
      </c>
      <c r="GR23" s="501">
        <f t="shared" si="3"/>
        <v>52321</v>
      </c>
      <c r="GS23" s="501">
        <f t="shared" si="3"/>
        <v>52321</v>
      </c>
      <c r="GT23" s="501">
        <f t="shared" si="3"/>
        <v>52321</v>
      </c>
      <c r="GU23" s="501">
        <f t="shared" si="3"/>
        <v>52321</v>
      </c>
      <c r="GV23" s="501">
        <f t="shared" si="3"/>
        <v>52321</v>
      </c>
      <c r="GW23" s="501">
        <f t="shared" si="3"/>
        <v>52321</v>
      </c>
      <c r="GX23" s="501">
        <f t="shared" si="3"/>
        <v>52321</v>
      </c>
      <c r="GY23" s="501">
        <f t="shared" si="3"/>
        <v>52321</v>
      </c>
      <c r="GZ23" s="501">
        <f t="shared" si="3"/>
        <v>52321</v>
      </c>
      <c r="HA23" s="501">
        <f t="shared" si="3"/>
        <v>52321</v>
      </c>
      <c r="HB23" s="501">
        <f t="shared" si="3"/>
        <v>52687</v>
      </c>
      <c r="HC23" s="501">
        <f t="shared" si="3"/>
        <v>52687</v>
      </c>
      <c r="HD23" s="501">
        <f t="shared" si="3"/>
        <v>52687</v>
      </c>
      <c r="HE23" s="501">
        <f t="shared" si="3"/>
        <v>52687</v>
      </c>
      <c r="HF23" s="501">
        <f t="shared" si="3"/>
        <v>52687</v>
      </c>
      <c r="HG23" s="501">
        <f t="shared" si="3"/>
        <v>52687</v>
      </c>
      <c r="HH23" s="501">
        <f t="shared" si="3"/>
        <v>52687</v>
      </c>
      <c r="HI23" s="501">
        <f t="shared" si="3"/>
        <v>52687</v>
      </c>
      <c r="HJ23" s="501">
        <f t="shared" si="3"/>
        <v>52687</v>
      </c>
      <c r="HK23" s="501">
        <f t="shared" si="3"/>
        <v>52687</v>
      </c>
      <c r="HL23" s="501">
        <f t="shared" si="3"/>
        <v>52687</v>
      </c>
      <c r="HM23" s="501">
        <f t="shared" si="3"/>
        <v>52687</v>
      </c>
      <c r="HN23" s="501">
        <f t="shared" si="3"/>
        <v>53052</v>
      </c>
      <c r="HO23" s="501">
        <f t="shared" si="3"/>
        <v>53052</v>
      </c>
      <c r="HP23" s="501">
        <f t="shared" si="3"/>
        <v>53052</v>
      </c>
      <c r="HQ23" s="501">
        <f t="shared" si="3"/>
        <v>53052</v>
      </c>
      <c r="HR23" s="501">
        <f t="shared" si="3"/>
        <v>53052</v>
      </c>
      <c r="HS23" s="501">
        <f t="shared" si="3"/>
        <v>53052</v>
      </c>
      <c r="HT23" s="501">
        <f t="shared" si="3"/>
        <v>53052</v>
      </c>
      <c r="HU23" s="501">
        <f t="shared" si="3"/>
        <v>53052</v>
      </c>
      <c r="HV23" s="501">
        <f t="shared" si="3"/>
        <v>53052</v>
      </c>
      <c r="HW23" s="501">
        <f t="shared" si="3"/>
        <v>53052</v>
      </c>
      <c r="HX23" s="501">
        <f t="shared" si="3"/>
        <v>53052</v>
      </c>
      <c r="HY23" s="501">
        <f t="shared" si="3"/>
        <v>53052</v>
      </c>
      <c r="HZ23" s="501">
        <f t="shared" si="3"/>
        <v>53417</v>
      </c>
      <c r="IA23" s="501">
        <f t="shared" si="3"/>
        <v>53417</v>
      </c>
      <c r="IB23" s="501">
        <f t="shared" si="3"/>
        <v>53417</v>
      </c>
      <c r="IC23" s="501">
        <f t="shared" si="3"/>
        <v>53417</v>
      </c>
      <c r="ID23" s="501">
        <f t="shared" si="3"/>
        <v>53417</v>
      </c>
      <c r="IE23" s="501">
        <f t="shared" si="3"/>
        <v>53417</v>
      </c>
      <c r="IF23" s="501">
        <f t="shared" si="3"/>
        <v>53417</v>
      </c>
      <c r="IG23" s="501">
        <f t="shared" si="3"/>
        <v>53417</v>
      </c>
      <c r="IH23" s="501">
        <f t="shared" si="3"/>
        <v>53417</v>
      </c>
      <c r="II23" s="501">
        <f t="shared" si="3"/>
        <v>53417</v>
      </c>
      <c r="IJ23" s="501">
        <f t="shared" si="3"/>
        <v>53417</v>
      </c>
      <c r="IK23" s="501">
        <f t="shared" si="3"/>
        <v>53417</v>
      </c>
      <c r="IL23" s="501">
        <f t="shared" si="3"/>
        <v>53782</v>
      </c>
      <c r="IM23" s="501">
        <f t="shared" si="3"/>
        <v>53782</v>
      </c>
      <c r="IN23" s="501">
        <f t="shared" si="3"/>
        <v>53782</v>
      </c>
      <c r="IO23" s="501">
        <f t="shared" si="3"/>
        <v>53782</v>
      </c>
      <c r="IP23" s="501">
        <f t="shared" si="3"/>
        <v>53782</v>
      </c>
      <c r="IQ23" s="501">
        <f t="shared" si="3"/>
        <v>53782</v>
      </c>
      <c r="IR23" s="501">
        <f t="shared" si="3"/>
        <v>53782</v>
      </c>
      <c r="IS23" s="501">
        <f t="shared" si="3"/>
        <v>53782</v>
      </c>
      <c r="IT23" s="501">
        <f t="shared" si="3"/>
        <v>53782</v>
      </c>
      <c r="IU23" s="501">
        <f t="shared" si="3"/>
        <v>53782</v>
      </c>
      <c r="IV23" s="501">
        <f t="shared" si="3"/>
        <v>53782</v>
      </c>
      <c r="IW23" s="501">
        <f t="shared" si="3"/>
        <v>53782</v>
      </c>
      <c r="IX23" s="501">
        <f t="shared" si="3"/>
        <v>54148</v>
      </c>
      <c r="IY23" s="501">
        <f t="shared" si="3"/>
        <v>54148</v>
      </c>
      <c r="IZ23" s="501">
        <f t="shared" ref="IZ23:JO23" si="4">IF(MONTH(IZ24)&gt;3,DATE(YEAR(IZ24)+1,3,31),DATE(YEAR(IZ24),3,31))</f>
        <v>54148</v>
      </c>
      <c r="JA23" s="501">
        <f t="shared" si="4"/>
        <v>54148</v>
      </c>
      <c r="JB23" s="501">
        <f t="shared" si="4"/>
        <v>54148</v>
      </c>
      <c r="JC23" s="501">
        <f t="shared" si="4"/>
        <v>54148</v>
      </c>
      <c r="JD23" s="501">
        <f t="shared" si="4"/>
        <v>54148</v>
      </c>
      <c r="JE23" s="501">
        <f t="shared" si="4"/>
        <v>54148</v>
      </c>
      <c r="JF23" s="501">
        <f t="shared" si="4"/>
        <v>54148</v>
      </c>
      <c r="JG23" s="501">
        <f t="shared" si="4"/>
        <v>54148</v>
      </c>
      <c r="JH23" s="501">
        <f t="shared" si="4"/>
        <v>54148</v>
      </c>
      <c r="JI23" s="501">
        <f t="shared" si="4"/>
        <v>54148</v>
      </c>
      <c r="JJ23" s="501">
        <f t="shared" si="4"/>
        <v>54513</v>
      </c>
      <c r="JK23" s="501">
        <f t="shared" si="4"/>
        <v>54513</v>
      </c>
      <c r="JL23" s="501">
        <f t="shared" si="4"/>
        <v>54513</v>
      </c>
      <c r="JM23" s="501">
        <f t="shared" si="4"/>
        <v>54513</v>
      </c>
      <c r="JN23" s="501">
        <f t="shared" si="4"/>
        <v>54513</v>
      </c>
      <c r="JO23" s="501">
        <f t="shared" si="4"/>
        <v>54513</v>
      </c>
      <c r="JP23" s="536"/>
    </row>
    <row r="24" spans="1:310" x14ac:dyDescent="0.3">
      <c r="B24" s="169" t="s">
        <v>329</v>
      </c>
      <c r="C24" s="501">
        <f>EOMONTH(C9,0)</f>
        <v>46053</v>
      </c>
      <c r="D24" s="501">
        <f>EOMONTH(C24,1)</f>
        <v>46081</v>
      </c>
      <c r="E24" s="501">
        <f t="shared" ref="E24:BP25" si="5">EOMONTH(D24,1)</f>
        <v>46112</v>
      </c>
      <c r="F24" s="501">
        <f t="shared" si="5"/>
        <v>46142</v>
      </c>
      <c r="G24" s="501">
        <f t="shared" si="5"/>
        <v>46173</v>
      </c>
      <c r="H24" s="501">
        <f t="shared" si="5"/>
        <v>46203</v>
      </c>
      <c r="I24" s="501">
        <f t="shared" si="5"/>
        <v>46234</v>
      </c>
      <c r="J24" s="501">
        <f t="shared" si="5"/>
        <v>46265</v>
      </c>
      <c r="K24" s="501">
        <f t="shared" si="5"/>
        <v>46295</v>
      </c>
      <c r="L24" s="501">
        <f t="shared" si="5"/>
        <v>46326</v>
      </c>
      <c r="M24" s="501">
        <f t="shared" si="5"/>
        <v>46356</v>
      </c>
      <c r="N24" s="501">
        <f t="shared" si="5"/>
        <v>46387</v>
      </c>
      <c r="O24" s="501">
        <f t="shared" si="5"/>
        <v>46418</v>
      </c>
      <c r="P24" s="501">
        <f t="shared" si="5"/>
        <v>46446</v>
      </c>
      <c r="Q24" s="501">
        <f t="shared" si="5"/>
        <v>46477</v>
      </c>
      <c r="R24" s="501">
        <f t="shared" si="5"/>
        <v>46507</v>
      </c>
      <c r="S24" s="501">
        <f t="shared" si="5"/>
        <v>46538</v>
      </c>
      <c r="T24" s="501">
        <f t="shared" si="5"/>
        <v>46568</v>
      </c>
      <c r="U24" s="501">
        <f t="shared" si="5"/>
        <v>46599</v>
      </c>
      <c r="V24" s="501">
        <f t="shared" si="5"/>
        <v>46630</v>
      </c>
      <c r="W24" s="501">
        <f t="shared" si="5"/>
        <v>46660</v>
      </c>
      <c r="X24" s="501">
        <f t="shared" si="5"/>
        <v>46691</v>
      </c>
      <c r="Y24" s="501">
        <f t="shared" si="5"/>
        <v>46721</v>
      </c>
      <c r="Z24" s="501">
        <f t="shared" si="5"/>
        <v>46752</v>
      </c>
      <c r="AA24" s="501">
        <f t="shared" si="5"/>
        <v>46783</v>
      </c>
      <c r="AB24" s="501">
        <f t="shared" si="5"/>
        <v>46812</v>
      </c>
      <c r="AC24" s="501">
        <f t="shared" si="5"/>
        <v>46843</v>
      </c>
      <c r="AD24" s="501">
        <f t="shared" si="5"/>
        <v>46873</v>
      </c>
      <c r="AE24" s="501">
        <f t="shared" si="5"/>
        <v>46904</v>
      </c>
      <c r="AF24" s="501">
        <f t="shared" si="5"/>
        <v>46934</v>
      </c>
      <c r="AG24" s="501">
        <f t="shared" si="5"/>
        <v>46965</v>
      </c>
      <c r="AH24" s="501">
        <f t="shared" si="5"/>
        <v>46996</v>
      </c>
      <c r="AI24" s="501">
        <f t="shared" si="5"/>
        <v>47026</v>
      </c>
      <c r="AJ24" s="501">
        <f t="shared" si="5"/>
        <v>47057</v>
      </c>
      <c r="AK24" s="501">
        <f t="shared" si="5"/>
        <v>47087</v>
      </c>
      <c r="AL24" s="501">
        <f t="shared" si="5"/>
        <v>47118</v>
      </c>
      <c r="AM24" s="501">
        <f t="shared" si="5"/>
        <v>47149</v>
      </c>
      <c r="AN24" s="501">
        <f t="shared" si="5"/>
        <v>47177</v>
      </c>
      <c r="AO24" s="501">
        <f t="shared" si="5"/>
        <v>47208</v>
      </c>
      <c r="AP24" s="501">
        <f t="shared" si="5"/>
        <v>47238</v>
      </c>
      <c r="AQ24" s="501">
        <f t="shared" si="5"/>
        <v>47269</v>
      </c>
      <c r="AR24" s="501">
        <f t="shared" si="5"/>
        <v>47299</v>
      </c>
      <c r="AS24" s="501">
        <f t="shared" si="5"/>
        <v>47330</v>
      </c>
      <c r="AT24" s="501">
        <f t="shared" si="5"/>
        <v>47361</v>
      </c>
      <c r="AU24" s="501">
        <f t="shared" si="5"/>
        <v>47391</v>
      </c>
      <c r="AV24" s="501">
        <f t="shared" si="5"/>
        <v>47422</v>
      </c>
      <c r="AW24" s="501">
        <f t="shared" si="5"/>
        <v>47452</v>
      </c>
      <c r="AX24" s="501">
        <f t="shared" si="5"/>
        <v>47483</v>
      </c>
      <c r="AY24" s="501">
        <f t="shared" si="5"/>
        <v>47514</v>
      </c>
      <c r="AZ24" s="501">
        <f t="shared" si="5"/>
        <v>47542</v>
      </c>
      <c r="BA24" s="501">
        <f t="shared" si="5"/>
        <v>47573</v>
      </c>
      <c r="BB24" s="501">
        <f t="shared" si="5"/>
        <v>47603</v>
      </c>
      <c r="BC24" s="501">
        <f t="shared" si="5"/>
        <v>47634</v>
      </c>
      <c r="BD24" s="501">
        <f t="shared" si="5"/>
        <v>47664</v>
      </c>
      <c r="BE24" s="501">
        <f t="shared" si="5"/>
        <v>47695</v>
      </c>
      <c r="BF24" s="501">
        <f t="shared" si="5"/>
        <v>47726</v>
      </c>
      <c r="BG24" s="501">
        <f t="shared" si="5"/>
        <v>47756</v>
      </c>
      <c r="BH24" s="501">
        <f t="shared" si="5"/>
        <v>47787</v>
      </c>
      <c r="BI24" s="501">
        <f t="shared" si="5"/>
        <v>47817</v>
      </c>
      <c r="BJ24" s="501">
        <f t="shared" si="5"/>
        <v>47848</v>
      </c>
      <c r="BK24" s="501">
        <f t="shared" si="5"/>
        <v>47879</v>
      </c>
      <c r="BL24" s="501">
        <f t="shared" si="5"/>
        <v>47907</v>
      </c>
      <c r="BM24" s="501">
        <f t="shared" si="5"/>
        <v>47938</v>
      </c>
      <c r="BN24" s="501">
        <f t="shared" si="5"/>
        <v>47968</v>
      </c>
      <c r="BO24" s="501">
        <f t="shared" si="5"/>
        <v>47999</v>
      </c>
      <c r="BP24" s="501">
        <f t="shared" si="5"/>
        <v>48029</v>
      </c>
      <c r="BQ24" s="501">
        <f t="shared" ref="BQ24:EB25" si="6">EOMONTH(BP24,1)</f>
        <v>48060</v>
      </c>
      <c r="BR24" s="501">
        <f t="shared" si="6"/>
        <v>48091</v>
      </c>
      <c r="BS24" s="501">
        <f t="shared" si="6"/>
        <v>48121</v>
      </c>
      <c r="BT24" s="501">
        <f t="shared" si="6"/>
        <v>48152</v>
      </c>
      <c r="BU24" s="501">
        <f t="shared" si="6"/>
        <v>48182</v>
      </c>
      <c r="BV24" s="501">
        <f t="shared" si="6"/>
        <v>48213</v>
      </c>
      <c r="BW24" s="501">
        <f t="shared" si="6"/>
        <v>48244</v>
      </c>
      <c r="BX24" s="501">
        <f t="shared" si="6"/>
        <v>48273</v>
      </c>
      <c r="BY24" s="501">
        <f t="shared" si="6"/>
        <v>48304</v>
      </c>
      <c r="BZ24" s="501">
        <f t="shared" si="6"/>
        <v>48334</v>
      </c>
      <c r="CA24" s="501">
        <f t="shared" si="6"/>
        <v>48365</v>
      </c>
      <c r="CB24" s="501">
        <f t="shared" si="6"/>
        <v>48395</v>
      </c>
      <c r="CC24" s="501">
        <f t="shared" si="6"/>
        <v>48426</v>
      </c>
      <c r="CD24" s="501">
        <f t="shared" si="6"/>
        <v>48457</v>
      </c>
      <c r="CE24" s="501">
        <f t="shared" si="6"/>
        <v>48487</v>
      </c>
      <c r="CF24" s="501">
        <f t="shared" si="6"/>
        <v>48518</v>
      </c>
      <c r="CG24" s="501">
        <f t="shared" si="6"/>
        <v>48548</v>
      </c>
      <c r="CH24" s="501">
        <f t="shared" si="6"/>
        <v>48579</v>
      </c>
      <c r="CI24" s="501">
        <f t="shared" si="6"/>
        <v>48610</v>
      </c>
      <c r="CJ24" s="501">
        <f t="shared" si="6"/>
        <v>48638</v>
      </c>
      <c r="CK24" s="501">
        <f t="shared" si="6"/>
        <v>48669</v>
      </c>
      <c r="CL24" s="501">
        <f t="shared" si="6"/>
        <v>48699</v>
      </c>
      <c r="CM24" s="501">
        <f t="shared" si="6"/>
        <v>48730</v>
      </c>
      <c r="CN24" s="501">
        <f t="shared" si="6"/>
        <v>48760</v>
      </c>
      <c r="CO24" s="501">
        <f t="shared" si="6"/>
        <v>48791</v>
      </c>
      <c r="CP24" s="501">
        <f t="shared" si="6"/>
        <v>48822</v>
      </c>
      <c r="CQ24" s="501">
        <f t="shared" si="6"/>
        <v>48852</v>
      </c>
      <c r="CR24" s="501">
        <f t="shared" si="6"/>
        <v>48883</v>
      </c>
      <c r="CS24" s="501">
        <f t="shared" si="6"/>
        <v>48913</v>
      </c>
      <c r="CT24" s="501">
        <f t="shared" si="6"/>
        <v>48944</v>
      </c>
      <c r="CU24" s="501">
        <f t="shared" si="6"/>
        <v>48975</v>
      </c>
      <c r="CV24" s="501">
        <f t="shared" si="6"/>
        <v>49003</v>
      </c>
      <c r="CW24" s="501">
        <f t="shared" si="6"/>
        <v>49034</v>
      </c>
      <c r="CX24" s="501">
        <f t="shared" si="6"/>
        <v>49064</v>
      </c>
      <c r="CY24" s="501">
        <f t="shared" si="6"/>
        <v>49095</v>
      </c>
      <c r="CZ24" s="501">
        <f t="shared" si="6"/>
        <v>49125</v>
      </c>
      <c r="DA24" s="501">
        <f t="shared" si="6"/>
        <v>49156</v>
      </c>
      <c r="DB24" s="501">
        <f t="shared" si="6"/>
        <v>49187</v>
      </c>
      <c r="DC24" s="501">
        <f t="shared" si="6"/>
        <v>49217</v>
      </c>
      <c r="DD24" s="501">
        <f t="shared" si="6"/>
        <v>49248</v>
      </c>
      <c r="DE24" s="501">
        <f t="shared" si="6"/>
        <v>49278</v>
      </c>
      <c r="DF24" s="501">
        <f t="shared" si="6"/>
        <v>49309</v>
      </c>
      <c r="DG24" s="501">
        <f t="shared" si="6"/>
        <v>49340</v>
      </c>
      <c r="DH24" s="501">
        <f t="shared" si="6"/>
        <v>49368</v>
      </c>
      <c r="DI24" s="501">
        <f t="shared" si="6"/>
        <v>49399</v>
      </c>
      <c r="DJ24" s="501">
        <f t="shared" si="6"/>
        <v>49429</v>
      </c>
      <c r="DK24" s="501">
        <f t="shared" si="6"/>
        <v>49460</v>
      </c>
      <c r="DL24" s="501">
        <f t="shared" si="6"/>
        <v>49490</v>
      </c>
      <c r="DM24" s="501">
        <f t="shared" si="6"/>
        <v>49521</v>
      </c>
      <c r="DN24" s="501">
        <f t="shared" si="6"/>
        <v>49552</v>
      </c>
      <c r="DO24" s="501">
        <f t="shared" si="6"/>
        <v>49582</v>
      </c>
      <c r="DP24" s="501">
        <f t="shared" si="6"/>
        <v>49613</v>
      </c>
      <c r="DQ24" s="501">
        <f t="shared" si="6"/>
        <v>49643</v>
      </c>
      <c r="DR24" s="501">
        <f t="shared" si="6"/>
        <v>49674</v>
      </c>
      <c r="DS24" s="501">
        <f t="shared" si="6"/>
        <v>49705</v>
      </c>
      <c r="DT24" s="501">
        <f t="shared" si="6"/>
        <v>49734</v>
      </c>
      <c r="DU24" s="501">
        <f t="shared" si="6"/>
        <v>49765</v>
      </c>
      <c r="DV24" s="501">
        <f t="shared" si="6"/>
        <v>49795</v>
      </c>
      <c r="DW24" s="501">
        <f t="shared" si="6"/>
        <v>49826</v>
      </c>
      <c r="DX24" s="501">
        <f t="shared" si="6"/>
        <v>49856</v>
      </c>
      <c r="DY24" s="501">
        <f t="shared" si="6"/>
        <v>49887</v>
      </c>
      <c r="DZ24" s="501">
        <f t="shared" si="6"/>
        <v>49918</v>
      </c>
      <c r="EA24" s="501">
        <f t="shared" si="6"/>
        <v>49948</v>
      </c>
      <c r="EB24" s="501">
        <f t="shared" si="6"/>
        <v>49979</v>
      </c>
      <c r="EC24" s="501">
        <f t="shared" ref="EC24:GN25" si="7">EOMONTH(EB24,1)</f>
        <v>50009</v>
      </c>
      <c r="ED24" s="501">
        <f t="shared" si="7"/>
        <v>50040</v>
      </c>
      <c r="EE24" s="501">
        <f t="shared" si="7"/>
        <v>50071</v>
      </c>
      <c r="EF24" s="501">
        <f t="shared" si="7"/>
        <v>50099</v>
      </c>
      <c r="EG24" s="501">
        <f t="shared" si="7"/>
        <v>50130</v>
      </c>
      <c r="EH24" s="501">
        <f t="shared" si="7"/>
        <v>50160</v>
      </c>
      <c r="EI24" s="501">
        <f t="shared" si="7"/>
        <v>50191</v>
      </c>
      <c r="EJ24" s="501">
        <f t="shared" si="7"/>
        <v>50221</v>
      </c>
      <c r="EK24" s="501">
        <f t="shared" si="7"/>
        <v>50252</v>
      </c>
      <c r="EL24" s="501">
        <f t="shared" si="7"/>
        <v>50283</v>
      </c>
      <c r="EM24" s="501">
        <f t="shared" si="7"/>
        <v>50313</v>
      </c>
      <c r="EN24" s="501">
        <f t="shared" si="7"/>
        <v>50344</v>
      </c>
      <c r="EO24" s="501">
        <f t="shared" si="7"/>
        <v>50374</v>
      </c>
      <c r="EP24" s="501">
        <f t="shared" si="7"/>
        <v>50405</v>
      </c>
      <c r="EQ24" s="501">
        <f t="shared" si="7"/>
        <v>50436</v>
      </c>
      <c r="ER24" s="501">
        <f t="shared" si="7"/>
        <v>50464</v>
      </c>
      <c r="ES24" s="501">
        <f t="shared" si="7"/>
        <v>50495</v>
      </c>
      <c r="ET24" s="501">
        <f t="shared" si="7"/>
        <v>50525</v>
      </c>
      <c r="EU24" s="501">
        <f t="shared" si="7"/>
        <v>50556</v>
      </c>
      <c r="EV24" s="501">
        <f t="shared" si="7"/>
        <v>50586</v>
      </c>
      <c r="EW24" s="501">
        <f t="shared" si="7"/>
        <v>50617</v>
      </c>
      <c r="EX24" s="501">
        <f t="shared" si="7"/>
        <v>50648</v>
      </c>
      <c r="EY24" s="501">
        <f t="shared" si="7"/>
        <v>50678</v>
      </c>
      <c r="EZ24" s="501">
        <f t="shared" si="7"/>
        <v>50709</v>
      </c>
      <c r="FA24" s="501">
        <f t="shared" si="7"/>
        <v>50739</v>
      </c>
      <c r="FB24" s="501">
        <f t="shared" si="7"/>
        <v>50770</v>
      </c>
      <c r="FC24" s="501">
        <f t="shared" si="7"/>
        <v>50801</v>
      </c>
      <c r="FD24" s="501">
        <f t="shared" si="7"/>
        <v>50829</v>
      </c>
      <c r="FE24" s="501">
        <f t="shared" si="7"/>
        <v>50860</v>
      </c>
      <c r="FF24" s="501">
        <f t="shared" si="7"/>
        <v>50890</v>
      </c>
      <c r="FG24" s="501">
        <f t="shared" si="7"/>
        <v>50921</v>
      </c>
      <c r="FH24" s="501">
        <f t="shared" si="7"/>
        <v>50951</v>
      </c>
      <c r="FI24" s="501">
        <f t="shared" si="7"/>
        <v>50982</v>
      </c>
      <c r="FJ24" s="501">
        <f t="shared" si="7"/>
        <v>51013</v>
      </c>
      <c r="FK24" s="501">
        <f t="shared" si="7"/>
        <v>51043</v>
      </c>
      <c r="FL24" s="501">
        <f t="shared" si="7"/>
        <v>51074</v>
      </c>
      <c r="FM24" s="501">
        <f t="shared" si="7"/>
        <v>51104</v>
      </c>
      <c r="FN24" s="501">
        <f t="shared" si="7"/>
        <v>51135</v>
      </c>
      <c r="FO24" s="501">
        <f t="shared" si="7"/>
        <v>51166</v>
      </c>
      <c r="FP24" s="501">
        <f t="shared" si="7"/>
        <v>51195</v>
      </c>
      <c r="FQ24" s="501">
        <f t="shared" si="7"/>
        <v>51226</v>
      </c>
      <c r="FR24" s="501">
        <f t="shared" si="7"/>
        <v>51256</v>
      </c>
      <c r="FS24" s="501">
        <f t="shared" si="7"/>
        <v>51287</v>
      </c>
      <c r="FT24" s="501">
        <f t="shared" si="7"/>
        <v>51317</v>
      </c>
      <c r="FU24" s="501">
        <f t="shared" si="7"/>
        <v>51348</v>
      </c>
      <c r="FV24" s="501">
        <f t="shared" si="7"/>
        <v>51379</v>
      </c>
      <c r="FW24" s="501">
        <f t="shared" si="7"/>
        <v>51409</v>
      </c>
      <c r="FX24" s="501">
        <f t="shared" si="7"/>
        <v>51440</v>
      </c>
      <c r="FY24" s="501">
        <f t="shared" si="7"/>
        <v>51470</v>
      </c>
      <c r="FZ24" s="501">
        <f t="shared" si="7"/>
        <v>51501</v>
      </c>
      <c r="GA24" s="501">
        <f t="shared" si="7"/>
        <v>51532</v>
      </c>
      <c r="GB24" s="501">
        <f t="shared" si="7"/>
        <v>51560</v>
      </c>
      <c r="GC24" s="501">
        <f t="shared" si="7"/>
        <v>51591</v>
      </c>
      <c r="GD24" s="501">
        <f t="shared" si="7"/>
        <v>51621</v>
      </c>
      <c r="GE24" s="501">
        <f t="shared" si="7"/>
        <v>51652</v>
      </c>
      <c r="GF24" s="501">
        <f t="shared" si="7"/>
        <v>51682</v>
      </c>
      <c r="GG24" s="501">
        <f t="shared" si="7"/>
        <v>51713</v>
      </c>
      <c r="GH24" s="501">
        <f t="shared" si="7"/>
        <v>51744</v>
      </c>
      <c r="GI24" s="501">
        <f t="shared" si="7"/>
        <v>51774</v>
      </c>
      <c r="GJ24" s="501">
        <f t="shared" si="7"/>
        <v>51805</v>
      </c>
      <c r="GK24" s="501">
        <f t="shared" si="7"/>
        <v>51835</v>
      </c>
      <c r="GL24" s="501">
        <f t="shared" si="7"/>
        <v>51866</v>
      </c>
      <c r="GM24" s="501">
        <f t="shared" si="7"/>
        <v>51897</v>
      </c>
      <c r="GN24" s="501">
        <f t="shared" si="7"/>
        <v>51925</v>
      </c>
      <c r="GO24" s="501">
        <f t="shared" ref="GO24:IZ25" si="8">EOMONTH(GN24,1)</f>
        <v>51956</v>
      </c>
      <c r="GP24" s="501">
        <f t="shared" si="8"/>
        <v>51986</v>
      </c>
      <c r="GQ24" s="501">
        <f t="shared" si="8"/>
        <v>52017</v>
      </c>
      <c r="GR24" s="501">
        <f t="shared" si="8"/>
        <v>52047</v>
      </c>
      <c r="GS24" s="501">
        <f t="shared" si="8"/>
        <v>52078</v>
      </c>
      <c r="GT24" s="501">
        <f t="shared" si="8"/>
        <v>52109</v>
      </c>
      <c r="GU24" s="501">
        <f t="shared" si="8"/>
        <v>52139</v>
      </c>
      <c r="GV24" s="501">
        <f t="shared" si="8"/>
        <v>52170</v>
      </c>
      <c r="GW24" s="501">
        <f t="shared" si="8"/>
        <v>52200</v>
      </c>
      <c r="GX24" s="501">
        <f t="shared" si="8"/>
        <v>52231</v>
      </c>
      <c r="GY24" s="501">
        <f t="shared" si="8"/>
        <v>52262</v>
      </c>
      <c r="GZ24" s="501">
        <f t="shared" si="8"/>
        <v>52290</v>
      </c>
      <c r="HA24" s="501">
        <f t="shared" si="8"/>
        <v>52321</v>
      </c>
      <c r="HB24" s="501">
        <f t="shared" si="8"/>
        <v>52351</v>
      </c>
      <c r="HC24" s="501">
        <f t="shared" si="8"/>
        <v>52382</v>
      </c>
      <c r="HD24" s="501">
        <f t="shared" si="8"/>
        <v>52412</v>
      </c>
      <c r="HE24" s="501">
        <f t="shared" si="8"/>
        <v>52443</v>
      </c>
      <c r="HF24" s="501">
        <f t="shared" si="8"/>
        <v>52474</v>
      </c>
      <c r="HG24" s="501">
        <f t="shared" si="8"/>
        <v>52504</v>
      </c>
      <c r="HH24" s="501">
        <f t="shared" si="8"/>
        <v>52535</v>
      </c>
      <c r="HI24" s="501">
        <f t="shared" si="8"/>
        <v>52565</v>
      </c>
      <c r="HJ24" s="501">
        <f t="shared" si="8"/>
        <v>52596</v>
      </c>
      <c r="HK24" s="501">
        <f t="shared" si="8"/>
        <v>52627</v>
      </c>
      <c r="HL24" s="501">
        <f t="shared" si="8"/>
        <v>52656</v>
      </c>
      <c r="HM24" s="501">
        <f t="shared" si="8"/>
        <v>52687</v>
      </c>
      <c r="HN24" s="501">
        <f t="shared" si="8"/>
        <v>52717</v>
      </c>
      <c r="HO24" s="501">
        <f t="shared" si="8"/>
        <v>52748</v>
      </c>
      <c r="HP24" s="501">
        <f t="shared" si="8"/>
        <v>52778</v>
      </c>
      <c r="HQ24" s="501">
        <f t="shared" si="8"/>
        <v>52809</v>
      </c>
      <c r="HR24" s="501">
        <f t="shared" si="8"/>
        <v>52840</v>
      </c>
      <c r="HS24" s="501">
        <f t="shared" si="8"/>
        <v>52870</v>
      </c>
      <c r="HT24" s="501">
        <f t="shared" si="8"/>
        <v>52901</v>
      </c>
      <c r="HU24" s="501">
        <f t="shared" si="8"/>
        <v>52931</v>
      </c>
      <c r="HV24" s="501">
        <f t="shared" si="8"/>
        <v>52962</v>
      </c>
      <c r="HW24" s="501">
        <f t="shared" si="8"/>
        <v>52993</v>
      </c>
      <c r="HX24" s="501">
        <f t="shared" si="8"/>
        <v>53021</v>
      </c>
      <c r="HY24" s="501">
        <f t="shared" si="8"/>
        <v>53052</v>
      </c>
      <c r="HZ24" s="501">
        <f t="shared" si="8"/>
        <v>53082</v>
      </c>
      <c r="IA24" s="501">
        <f t="shared" si="8"/>
        <v>53113</v>
      </c>
      <c r="IB24" s="501">
        <f t="shared" si="8"/>
        <v>53143</v>
      </c>
      <c r="IC24" s="501">
        <f t="shared" si="8"/>
        <v>53174</v>
      </c>
      <c r="ID24" s="501">
        <f t="shared" si="8"/>
        <v>53205</v>
      </c>
      <c r="IE24" s="501">
        <f t="shared" si="8"/>
        <v>53235</v>
      </c>
      <c r="IF24" s="501">
        <f t="shared" si="8"/>
        <v>53266</v>
      </c>
      <c r="IG24" s="501">
        <f t="shared" si="8"/>
        <v>53296</v>
      </c>
      <c r="IH24" s="501">
        <f t="shared" si="8"/>
        <v>53327</v>
      </c>
      <c r="II24" s="501">
        <f t="shared" si="8"/>
        <v>53358</v>
      </c>
      <c r="IJ24" s="501">
        <f t="shared" si="8"/>
        <v>53386</v>
      </c>
      <c r="IK24" s="501">
        <f t="shared" si="8"/>
        <v>53417</v>
      </c>
      <c r="IL24" s="501">
        <f t="shared" si="8"/>
        <v>53447</v>
      </c>
      <c r="IM24" s="501">
        <f t="shared" si="8"/>
        <v>53478</v>
      </c>
      <c r="IN24" s="501">
        <f t="shared" si="8"/>
        <v>53508</v>
      </c>
      <c r="IO24" s="501">
        <f t="shared" si="8"/>
        <v>53539</v>
      </c>
      <c r="IP24" s="501">
        <f t="shared" si="8"/>
        <v>53570</v>
      </c>
      <c r="IQ24" s="501">
        <f t="shared" si="8"/>
        <v>53600</v>
      </c>
      <c r="IR24" s="501">
        <f t="shared" si="8"/>
        <v>53631</v>
      </c>
      <c r="IS24" s="501">
        <f t="shared" si="8"/>
        <v>53661</v>
      </c>
      <c r="IT24" s="501">
        <f t="shared" si="8"/>
        <v>53692</v>
      </c>
      <c r="IU24" s="501">
        <f t="shared" si="8"/>
        <v>53723</v>
      </c>
      <c r="IV24" s="501">
        <f t="shared" si="8"/>
        <v>53751</v>
      </c>
      <c r="IW24" s="501">
        <f t="shared" si="8"/>
        <v>53782</v>
      </c>
      <c r="IX24" s="501">
        <f t="shared" si="8"/>
        <v>53812</v>
      </c>
      <c r="IY24" s="501">
        <f t="shared" si="8"/>
        <v>53843</v>
      </c>
      <c r="IZ24" s="501">
        <f t="shared" si="8"/>
        <v>53873</v>
      </c>
      <c r="JA24" s="501">
        <f t="shared" ref="JA24:JI25" si="9">EOMONTH(IZ24,1)</f>
        <v>53904</v>
      </c>
      <c r="JB24" s="501">
        <f t="shared" si="9"/>
        <v>53935</v>
      </c>
      <c r="JC24" s="501">
        <f t="shared" si="9"/>
        <v>53965</v>
      </c>
      <c r="JD24" s="501">
        <f t="shared" si="9"/>
        <v>53996</v>
      </c>
      <c r="JE24" s="501">
        <f t="shared" si="9"/>
        <v>54026</v>
      </c>
      <c r="JF24" s="501">
        <f t="shared" si="9"/>
        <v>54057</v>
      </c>
      <c r="JG24" s="501">
        <f t="shared" si="9"/>
        <v>54088</v>
      </c>
      <c r="JH24" s="501">
        <f t="shared" si="9"/>
        <v>54117</v>
      </c>
      <c r="JI24" s="501">
        <f t="shared" si="9"/>
        <v>54148</v>
      </c>
      <c r="JJ24" s="501">
        <f t="shared" ref="JJ24:JJ25" si="10">EOMONTH(JI24,1)</f>
        <v>54178</v>
      </c>
      <c r="JK24" s="501">
        <f t="shared" ref="JK24:JK25" si="11">EOMONTH(JJ24,1)</f>
        <v>54209</v>
      </c>
      <c r="JL24" s="501">
        <f t="shared" ref="JL24:JL25" si="12">EOMONTH(JK24,1)</f>
        <v>54239</v>
      </c>
      <c r="JM24" s="501">
        <f t="shared" ref="JM24:JM25" si="13">EOMONTH(JL24,1)</f>
        <v>54270</v>
      </c>
      <c r="JN24" s="501">
        <f t="shared" ref="JN24:JN25" si="14">EOMONTH(JM24,1)</f>
        <v>54301</v>
      </c>
      <c r="JO24" s="501">
        <f t="shared" ref="JO24:JO25" si="15">EOMONTH(JN24,1)</f>
        <v>54331</v>
      </c>
      <c r="JP24" s="537"/>
    </row>
    <row r="25" spans="1:310" x14ac:dyDescent="0.3">
      <c r="B25" s="292" t="s">
        <v>208</v>
      </c>
      <c r="C25" s="503">
        <f>C24</f>
        <v>46053</v>
      </c>
      <c r="D25" s="503">
        <f>EOMONTH(C25,1)</f>
        <v>46081</v>
      </c>
      <c r="E25" s="503">
        <f t="shared" si="5"/>
        <v>46112</v>
      </c>
      <c r="F25" s="503">
        <f t="shared" si="5"/>
        <v>46142</v>
      </c>
      <c r="G25" s="503">
        <f t="shared" si="5"/>
        <v>46173</v>
      </c>
      <c r="H25" s="503">
        <f t="shared" si="5"/>
        <v>46203</v>
      </c>
      <c r="I25" s="503">
        <f t="shared" si="5"/>
        <v>46234</v>
      </c>
      <c r="J25" s="503">
        <f t="shared" si="5"/>
        <v>46265</v>
      </c>
      <c r="K25" s="503">
        <f t="shared" si="5"/>
        <v>46295</v>
      </c>
      <c r="L25" s="503">
        <f t="shared" si="5"/>
        <v>46326</v>
      </c>
      <c r="M25" s="503">
        <f t="shared" si="5"/>
        <v>46356</v>
      </c>
      <c r="N25" s="503">
        <f t="shared" si="5"/>
        <v>46387</v>
      </c>
      <c r="O25" s="503">
        <f t="shared" si="5"/>
        <v>46418</v>
      </c>
      <c r="P25" s="503">
        <f t="shared" si="5"/>
        <v>46446</v>
      </c>
      <c r="Q25" s="503">
        <f t="shared" si="5"/>
        <v>46477</v>
      </c>
      <c r="R25" s="503">
        <f t="shared" si="5"/>
        <v>46507</v>
      </c>
      <c r="S25" s="503">
        <f t="shared" si="5"/>
        <v>46538</v>
      </c>
      <c r="T25" s="503">
        <f t="shared" si="5"/>
        <v>46568</v>
      </c>
      <c r="U25" s="503">
        <f t="shared" si="5"/>
        <v>46599</v>
      </c>
      <c r="V25" s="503">
        <f t="shared" si="5"/>
        <v>46630</v>
      </c>
      <c r="W25" s="503">
        <f t="shared" si="5"/>
        <v>46660</v>
      </c>
      <c r="X25" s="503">
        <f t="shared" si="5"/>
        <v>46691</v>
      </c>
      <c r="Y25" s="503">
        <f t="shared" si="5"/>
        <v>46721</v>
      </c>
      <c r="Z25" s="503">
        <f t="shared" si="5"/>
        <v>46752</v>
      </c>
      <c r="AA25" s="503">
        <f t="shared" si="5"/>
        <v>46783</v>
      </c>
      <c r="AB25" s="503">
        <f t="shared" si="5"/>
        <v>46812</v>
      </c>
      <c r="AC25" s="503">
        <f t="shared" si="5"/>
        <v>46843</v>
      </c>
      <c r="AD25" s="503">
        <f t="shared" si="5"/>
        <v>46873</v>
      </c>
      <c r="AE25" s="503">
        <f t="shared" si="5"/>
        <v>46904</v>
      </c>
      <c r="AF25" s="503">
        <f t="shared" si="5"/>
        <v>46934</v>
      </c>
      <c r="AG25" s="503">
        <f t="shared" si="5"/>
        <v>46965</v>
      </c>
      <c r="AH25" s="503">
        <f t="shared" si="5"/>
        <v>46996</v>
      </c>
      <c r="AI25" s="503">
        <f t="shared" si="5"/>
        <v>47026</v>
      </c>
      <c r="AJ25" s="503">
        <f t="shared" si="5"/>
        <v>47057</v>
      </c>
      <c r="AK25" s="503">
        <f t="shared" si="5"/>
        <v>47087</v>
      </c>
      <c r="AL25" s="503">
        <f t="shared" si="5"/>
        <v>47118</v>
      </c>
      <c r="AM25" s="503">
        <f t="shared" si="5"/>
        <v>47149</v>
      </c>
      <c r="AN25" s="503">
        <f t="shared" si="5"/>
        <v>47177</v>
      </c>
      <c r="AO25" s="503">
        <f t="shared" si="5"/>
        <v>47208</v>
      </c>
      <c r="AP25" s="503">
        <f t="shared" si="5"/>
        <v>47238</v>
      </c>
      <c r="AQ25" s="503">
        <f t="shared" si="5"/>
        <v>47269</v>
      </c>
      <c r="AR25" s="503">
        <f t="shared" si="5"/>
        <v>47299</v>
      </c>
      <c r="AS25" s="503">
        <f t="shared" si="5"/>
        <v>47330</v>
      </c>
      <c r="AT25" s="503">
        <f t="shared" si="5"/>
        <v>47361</v>
      </c>
      <c r="AU25" s="503">
        <f t="shared" si="5"/>
        <v>47391</v>
      </c>
      <c r="AV25" s="503">
        <f t="shared" si="5"/>
        <v>47422</v>
      </c>
      <c r="AW25" s="503">
        <f t="shared" si="5"/>
        <v>47452</v>
      </c>
      <c r="AX25" s="503">
        <f t="shared" si="5"/>
        <v>47483</v>
      </c>
      <c r="AY25" s="503">
        <f t="shared" si="5"/>
        <v>47514</v>
      </c>
      <c r="AZ25" s="503">
        <f t="shared" si="5"/>
        <v>47542</v>
      </c>
      <c r="BA25" s="503">
        <f t="shared" si="5"/>
        <v>47573</v>
      </c>
      <c r="BB25" s="503">
        <f t="shared" si="5"/>
        <v>47603</v>
      </c>
      <c r="BC25" s="503">
        <f t="shared" si="5"/>
        <v>47634</v>
      </c>
      <c r="BD25" s="503">
        <f t="shared" si="5"/>
        <v>47664</v>
      </c>
      <c r="BE25" s="503">
        <f t="shared" si="5"/>
        <v>47695</v>
      </c>
      <c r="BF25" s="503">
        <f t="shared" si="5"/>
        <v>47726</v>
      </c>
      <c r="BG25" s="503">
        <f t="shared" si="5"/>
        <v>47756</v>
      </c>
      <c r="BH25" s="503">
        <f t="shared" si="5"/>
        <v>47787</v>
      </c>
      <c r="BI25" s="503">
        <f t="shared" si="5"/>
        <v>47817</v>
      </c>
      <c r="BJ25" s="503">
        <f t="shared" si="5"/>
        <v>47848</v>
      </c>
      <c r="BK25" s="503">
        <f t="shared" si="5"/>
        <v>47879</v>
      </c>
      <c r="BL25" s="503">
        <f t="shared" si="5"/>
        <v>47907</v>
      </c>
      <c r="BM25" s="503">
        <f t="shared" si="5"/>
        <v>47938</v>
      </c>
      <c r="BN25" s="503">
        <f t="shared" si="5"/>
        <v>47968</v>
      </c>
      <c r="BO25" s="503">
        <f t="shared" si="5"/>
        <v>47999</v>
      </c>
      <c r="BP25" s="503">
        <f t="shared" si="5"/>
        <v>48029</v>
      </c>
      <c r="BQ25" s="503">
        <f t="shared" si="6"/>
        <v>48060</v>
      </c>
      <c r="BR25" s="503">
        <f t="shared" si="6"/>
        <v>48091</v>
      </c>
      <c r="BS25" s="503">
        <f t="shared" si="6"/>
        <v>48121</v>
      </c>
      <c r="BT25" s="503">
        <f t="shared" si="6"/>
        <v>48152</v>
      </c>
      <c r="BU25" s="503">
        <f t="shared" si="6"/>
        <v>48182</v>
      </c>
      <c r="BV25" s="503">
        <f t="shared" si="6"/>
        <v>48213</v>
      </c>
      <c r="BW25" s="503">
        <f t="shared" si="6"/>
        <v>48244</v>
      </c>
      <c r="BX25" s="503">
        <f t="shared" si="6"/>
        <v>48273</v>
      </c>
      <c r="BY25" s="503">
        <f t="shared" si="6"/>
        <v>48304</v>
      </c>
      <c r="BZ25" s="503">
        <f t="shared" si="6"/>
        <v>48334</v>
      </c>
      <c r="CA25" s="503">
        <f t="shared" si="6"/>
        <v>48365</v>
      </c>
      <c r="CB25" s="503">
        <f t="shared" si="6"/>
        <v>48395</v>
      </c>
      <c r="CC25" s="503">
        <f t="shared" si="6"/>
        <v>48426</v>
      </c>
      <c r="CD25" s="503">
        <f t="shared" si="6"/>
        <v>48457</v>
      </c>
      <c r="CE25" s="503">
        <f t="shared" si="6"/>
        <v>48487</v>
      </c>
      <c r="CF25" s="503">
        <f t="shared" si="6"/>
        <v>48518</v>
      </c>
      <c r="CG25" s="503">
        <f t="shared" si="6"/>
        <v>48548</v>
      </c>
      <c r="CH25" s="503">
        <f t="shared" si="6"/>
        <v>48579</v>
      </c>
      <c r="CI25" s="503">
        <f t="shared" si="6"/>
        <v>48610</v>
      </c>
      <c r="CJ25" s="503">
        <f t="shared" si="6"/>
        <v>48638</v>
      </c>
      <c r="CK25" s="503">
        <f t="shared" si="6"/>
        <v>48669</v>
      </c>
      <c r="CL25" s="503">
        <f t="shared" si="6"/>
        <v>48699</v>
      </c>
      <c r="CM25" s="503">
        <f t="shared" si="6"/>
        <v>48730</v>
      </c>
      <c r="CN25" s="503">
        <f t="shared" si="6"/>
        <v>48760</v>
      </c>
      <c r="CO25" s="503">
        <f t="shared" si="6"/>
        <v>48791</v>
      </c>
      <c r="CP25" s="503">
        <f t="shared" si="6"/>
        <v>48822</v>
      </c>
      <c r="CQ25" s="503">
        <f t="shared" si="6"/>
        <v>48852</v>
      </c>
      <c r="CR25" s="503">
        <f t="shared" si="6"/>
        <v>48883</v>
      </c>
      <c r="CS25" s="503">
        <f t="shared" si="6"/>
        <v>48913</v>
      </c>
      <c r="CT25" s="503">
        <f t="shared" si="6"/>
        <v>48944</v>
      </c>
      <c r="CU25" s="503">
        <f t="shared" si="6"/>
        <v>48975</v>
      </c>
      <c r="CV25" s="503">
        <f t="shared" si="6"/>
        <v>49003</v>
      </c>
      <c r="CW25" s="503">
        <f t="shared" si="6"/>
        <v>49034</v>
      </c>
      <c r="CX25" s="503">
        <f t="shared" si="6"/>
        <v>49064</v>
      </c>
      <c r="CY25" s="503">
        <f t="shared" si="6"/>
        <v>49095</v>
      </c>
      <c r="CZ25" s="503">
        <f t="shared" si="6"/>
        <v>49125</v>
      </c>
      <c r="DA25" s="503">
        <f t="shared" si="6"/>
        <v>49156</v>
      </c>
      <c r="DB25" s="503">
        <f t="shared" si="6"/>
        <v>49187</v>
      </c>
      <c r="DC25" s="503">
        <f t="shared" si="6"/>
        <v>49217</v>
      </c>
      <c r="DD25" s="503">
        <f t="shared" si="6"/>
        <v>49248</v>
      </c>
      <c r="DE25" s="503">
        <f t="shared" si="6"/>
        <v>49278</v>
      </c>
      <c r="DF25" s="503">
        <f t="shared" si="6"/>
        <v>49309</v>
      </c>
      <c r="DG25" s="503">
        <f t="shared" si="6"/>
        <v>49340</v>
      </c>
      <c r="DH25" s="503">
        <f t="shared" si="6"/>
        <v>49368</v>
      </c>
      <c r="DI25" s="503">
        <f t="shared" si="6"/>
        <v>49399</v>
      </c>
      <c r="DJ25" s="503">
        <f t="shared" si="6"/>
        <v>49429</v>
      </c>
      <c r="DK25" s="503">
        <f t="shared" si="6"/>
        <v>49460</v>
      </c>
      <c r="DL25" s="503">
        <f t="shared" si="6"/>
        <v>49490</v>
      </c>
      <c r="DM25" s="503">
        <f t="shared" si="6"/>
        <v>49521</v>
      </c>
      <c r="DN25" s="503">
        <f t="shared" si="6"/>
        <v>49552</v>
      </c>
      <c r="DO25" s="503">
        <f t="shared" si="6"/>
        <v>49582</v>
      </c>
      <c r="DP25" s="503">
        <f t="shared" si="6"/>
        <v>49613</v>
      </c>
      <c r="DQ25" s="503">
        <f t="shared" si="6"/>
        <v>49643</v>
      </c>
      <c r="DR25" s="503">
        <f t="shared" si="6"/>
        <v>49674</v>
      </c>
      <c r="DS25" s="503">
        <f t="shared" si="6"/>
        <v>49705</v>
      </c>
      <c r="DT25" s="503">
        <f t="shared" si="6"/>
        <v>49734</v>
      </c>
      <c r="DU25" s="503">
        <f t="shared" si="6"/>
        <v>49765</v>
      </c>
      <c r="DV25" s="503">
        <f t="shared" si="6"/>
        <v>49795</v>
      </c>
      <c r="DW25" s="503">
        <f t="shared" si="6"/>
        <v>49826</v>
      </c>
      <c r="DX25" s="503">
        <f t="shared" si="6"/>
        <v>49856</v>
      </c>
      <c r="DY25" s="503">
        <f t="shared" si="6"/>
        <v>49887</v>
      </c>
      <c r="DZ25" s="503">
        <f t="shared" si="6"/>
        <v>49918</v>
      </c>
      <c r="EA25" s="503">
        <f t="shared" si="6"/>
        <v>49948</v>
      </c>
      <c r="EB25" s="503">
        <f t="shared" si="6"/>
        <v>49979</v>
      </c>
      <c r="EC25" s="503">
        <f t="shared" si="7"/>
        <v>50009</v>
      </c>
      <c r="ED25" s="503">
        <f t="shared" si="7"/>
        <v>50040</v>
      </c>
      <c r="EE25" s="503">
        <f t="shared" si="7"/>
        <v>50071</v>
      </c>
      <c r="EF25" s="503">
        <f t="shared" si="7"/>
        <v>50099</v>
      </c>
      <c r="EG25" s="503">
        <f t="shared" si="7"/>
        <v>50130</v>
      </c>
      <c r="EH25" s="503">
        <f t="shared" si="7"/>
        <v>50160</v>
      </c>
      <c r="EI25" s="503">
        <f t="shared" si="7"/>
        <v>50191</v>
      </c>
      <c r="EJ25" s="503">
        <f t="shared" si="7"/>
        <v>50221</v>
      </c>
      <c r="EK25" s="503">
        <f t="shared" si="7"/>
        <v>50252</v>
      </c>
      <c r="EL25" s="503">
        <f t="shared" si="7"/>
        <v>50283</v>
      </c>
      <c r="EM25" s="503">
        <f t="shared" si="7"/>
        <v>50313</v>
      </c>
      <c r="EN25" s="503">
        <f t="shared" si="7"/>
        <v>50344</v>
      </c>
      <c r="EO25" s="503">
        <f t="shared" si="7"/>
        <v>50374</v>
      </c>
      <c r="EP25" s="503">
        <f t="shared" si="7"/>
        <v>50405</v>
      </c>
      <c r="EQ25" s="503">
        <f t="shared" si="7"/>
        <v>50436</v>
      </c>
      <c r="ER25" s="503">
        <f t="shared" si="7"/>
        <v>50464</v>
      </c>
      <c r="ES25" s="503">
        <f t="shared" si="7"/>
        <v>50495</v>
      </c>
      <c r="ET25" s="503">
        <f t="shared" si="7"/>
        <v>50525</v>
      </c>
      <c r="EU25" s="503">
        <f t="shared" si="7"/>
        <v>50556</v>
      </c>
      <c r="EV25" s="503">
        <f t="shared" si="7"/>
        <v>50586</v>
      </c>
      <c r="EW25" s="503">
        <f t="shared" si="7"/>
        <v>50617</v>
      </c>
      <c r="EX25" s="503">
        <f t="shared" si="7"/>
        <v>50648</v>
      </c>
      <c r="EY25" s="503">
        <f t="shared" si="7"/>
        <v>50678</v>
      </c>
      <c r="EZ25" s="503">
        <f t="shared" si="7"/>
        <v>50709</v>
      </c>
      <c r="FA25" s="503">
        <f t="shared" si="7"/>
        <v>50739</v>
      </c>
      <c r="FB25" s="503">
        <f t="shared" si="7"/>
        <v>50770</v>
      </c>
      <c r="FC25" s="503">
        <f t="shared" si="7"/>
        <v>50801</v>
      </c>
      <c r="FD25" s="503">
        <f t="shared" si="7"/>
        <v>50829</v>
      </c>
      <c r="FE25" s="503">
        <f t="shared" si="7"/>
        <v>50860</v>
      </c>
      <c r="FF25" s="503">
        <f t="shared" si="7"/>
        <v>50890</v>
      </c>
      <c r="FG25" s="503">
        <f t="shared" si="7"/>
        <v>50921</v>
      </c>
      <c r="FH25" s="503">
        <f t="shared" si="7"/>
        <v>50951</v>
      </c>
      <c r="FI25" s="503">
        <f t="shared" si="7"/>
        <v>50982</v>
      </c>
      <c r="FJ25" s="503">
        <f t="shared" si="7"/>
        <v>51013</v>
      </c>
      <c r="FK25" s="503">
        <f t="shared" si="7"/>
        <v>51043</v>
      </c>
      <c r="FL25" s="503">
        <f t="shared" si="7"/>
        <v>51074</v>
      </c>
      <c r="FM25" s="503">
        <f t="shared" si="7"/>
        <v>51104</v>
      </c>
      <c r="FN25" s="503">
        <f t="shared" si="7"/>
        <v>51135</v>
      </c>
      <c r="FO25" s="503">
        <f t="shared" si="7"/>
        <v>51166</v>
      </c>
      <c r="FP25" s="503">
        <f t="shared" si="7"/>
        <v>51195</v>
      </c>
      <c r="FQ25" s="503">
        <f t="shared" si="7"/>
        <v>51226</v>
      </c>
      <c r="FR25" s="503">
        <f t="shared" si="7"/>
        <v>51256</v>
      </c>
      <c r="FS25" s="503">
        <f t="shared" si="7"/>
        <v>51287</v>
      </c>
      <c r="FT25" s="503">
        <f t="shared" si="7"/>
        <v>51317</v>
      </c>
      <c r="FU25" s="503">
        <f t="shared" si="7"/>
        <v>51348</v>
      </c>
      <c r="FV25" s="503">
        <f t="shared" si="7"/>
        <v>51379</v>
      </c>
      <c r="FW25" s="503">
        <f t="shared" si="7"/>
        <v>51409</v>
      </c>
      <c r="FX25" s="503">
        <f t="shared" si="7"/>
        <v>51440</v>
      </c>
      <c r="FY25" s="503">
        <f t="shared" si="7"/>
        <v>51470</v>
      </c>
      <c r="FZ25" s="503">
        <f t="shared" si="7"/>
        <v>51501</v>
      </c>
      <c r="GA25" s="503">
        <f t="shared" si="7"/>
        <v>51532</v>
      </c>
      <c r="GB25" s="503">
        <f t="shared" si="7"/>
        <v>51560</v>
      </c>
      <c r="GC25" s="503">
        <f t="shared" si="7"/>
        <v>51591</v>
      </c>
      <c r="GD25" s="503">
        <f t="shared" si="7"/>
        <v>51621</v>
      </c>
      <c r="GE25" s="503">
        <f t="shared" si="7"/>
        <v>51652</v>
      </c>
      <c r="GF25" s="503">
        <f t="shared" si="7"/>
        <v>51682</v>
      </c>
      <c r="GG25" s="503">
        <f t="shared" si="7"/>
        <v>51713</v>
      </c>
      <c r="GH25" s="503">
        <f t="shared" si="7"/>
        <v>51744</v>
      </c>
      <c r="GI25" s="503">
        <f t="shared" si="7"/>
        <v>51774</v>
      </c>
      <c r="GJ25" s="503">
        <f t="shared" si="7"/>
        <v>51805</v>
      </c>
      <c r="GK25" s="503">
        <f t="shared" si="7"/>
        <v>51835</v>
      </c>
      <c r="GL25" s="503">
        <f t="shared" si="7"/>
        <v>51866</v>
      </c>
      <c r="GM25" s="503">
        <f t="shared" si="7"/>
        <v>51897</v>
      </c>
      <c r="GN25" s="503">
        <f t="shared" si="7"/>
        <v>51925</v>
      </c>
      <c r="GO25" s="503">
        <f t="shared" si="8"/>
        <v>51956</v>
      </c>
      <c r="GP25" s="503">
        <f t="shared" si="8"/>
        <v>51986</v>
      </c>
      <c r="GQ25" s="503">
        <f t="shared" si="8"/>
        <v>52017</v>
      </c>
      <c r="GR25" s="503">
        <f t="shared" si="8"/>
        <v>52047</v>
      </c>
      <c r="GS25" s="503">
        <f t="shared" si="8"/>
        <v>52078</v>
      </c>
      <c r="GT25" s="503">
        <f t="shared" si="8"/>
        <v>52109</v>
      </c>
      <c r="GU25" s="503">
        <f t="shared" si="8"/>
        <v>52139</v>
      </c>
      <c r="GV25" s="503">
        <f t="shared" si="8"/>
        <v>52170</v>
      </c>
      <c r="GW25" s="503">
        <f t="shared" si="8"/>
        <v>52200</v>
      </c>
      <c r="GX25" s="503">
        <f t="shared" si="8"/>
        <v>52231</v>
      </c>
      <c r="GY25" s="503">
        <f t="shared" si="8"/>
        <v>52262</v>
      </c>
      <c r="GZ25" s="503">
        <f t="shared" si="8"/>
        <v>52290</v>
      </c>
      <c r="HA25" s="503">
        <f t="shared" si="8"/>
        <v>52321</v>
      </c>
      <c r="HB25" s="503">
        <f t="shared" si="8"/>
        <v>52351</v>
      </c>
      <c r="HC25" s="503">
        <f t="shared" si="8"/>
        <v>52382</v>
      </c>
      <c r="HD25" s="503">
        <f t="shared" si="8"/>
        <v>52412</v>
      </c>
      <c r="HE25" s="503">
        <f t="shared" si="8"/>
        <v>52443</v>
      </c>
      <c r="HF25" s="503">
        <f t="shared" si="8"/>
        <v>52474</v>
      </c>
      <c r="HG25" s="503">
        <f t="shared" si="8"/>
        <v>52504</v>
      </c>
      <c r="HH25" s="503">
        <f t="shared" si="8"/>
        <v>52535</v>
      </c>
      <c r="HI25" s="503">
        <f t="shared" si="8"/>
        <v>52565</v>
      </c>
      <c r="HJ25" s="503">
        <f t="shared" si="8"/>
        <v>52596</v>
      </c>
      <c r="HK25" s="503">
        <f t="shared" si="8"/>
        <v>52627</v>
      </c>
      <c r="HL25" s="503">
        <f t="shared" si="8"/>
        <v>52656</v>
      </c>
      <c r="HM25" s="503">
        <f t="shared" si="8"/>
        <v>52687</v>
      </c>
      <c r="HN25" s="503">
        <f t="shared" si="8"/>
        <v>52717</v>
      </c>
      <c r="HO25" s="503">
        <f t="shared" si="8"/>
        <v>52748</v>
      </c>
      <c r="HP25" s="503">
        <f t="shared" si="8"/>
        <v>52778</v>
      </c>
      <c r="HQ25" s="503">
        <f t="shared" si="8"/>
        <v>52809</v>
      </c>
      <c r="HR25" s="503">
        <f t="shared" si="8"/>
        <v>52840</v>
      </c>
      <c r="HS25" s="503">
        <f t="shared" si="8"/>
        <v>52870</v>
      </c>
      <c r="HT25" s="503">
        <f t="shared" si="8"/>
        <v>52901</v>
      </c>
      <c r="HU25" s="503">
        <f t="shared" si="8"/>
        <v>52931</v>
      </c>
      <c r="HV25" s="503">
        <f t="shared" si="8"/>
        <v>52962</v>
      </c>
      <c r="HW25" s="503">
        <f t="shared" si="8"/>
        <v>52993</v>
      </c>
      <c r="HX25" s="503">
        <f t="shared" si="8"/>
        <v>53021</v>
      </c>
      <c r="HY25" s="503">
        <f t="shared" si="8"/>
        <v>53052</v>
      </c>
      <c r="HZ25" s="503">
        <f t="shared" si="8"/>
        <v>53082</v>
      </c>
      <c r="IA25" s="503">
        <f t="shared" si="8"/>
        <v>53113</v>
      </c>
      <c r="IB25" s="503">
        <f t="shared" si="8"/>
        <v>53143</v>
      </c>
      <c r="IC25" s="503">
        <f t="shared" si="8"/>
        <v>53174</v>
      </c>
      <c r="ID25" s="503">
        <f t="shared" si="8"/>
        <v>53205</v>
      </c>
      <c r="IE25" s="503">
        <f t="shared" si="8"/>
        <v>53235</v>
      </c>
      <c r="IF25" s="503">
        <f t="shared" si="8"/>
        <v>53266</v>
      </c>
      <c r="IG25" s="503">
        <f t="shared" si="8"/>
        <v>53296</v>
      </c>
      <c r="IH25" s="503">
        <f t="shared" si="8"/>
        <v>53327</v>
      </c>
      <c r="II25" s="503">
        <f t="shared" si="8"/>
        <v>53358</v>
      </c>
      <c r="IJ25" s="503">
        <f t="shared" si="8"/>
        <v>53386</v>
      </c>
      <c r="IK25" s="503">
        <f t="shared" si="8"/>
        <v>53417</v>
      </c>
      <c r="IL25" s="503">
        <f t="shared" si="8"/>
        <v>53447</v>
      </c>
      <c r="IM25" s="503">
        <f t="shared" si="8"/>
        <v>53478</v>
      </c>
      <c r="IN25" s="503">
        <f t="shared" si="8"/>
        <v>53508</v>
      </c>
      <c r="IO25" s="503">
        <f t="shared" si="8"/>
        <v>53539</v>
      </c>
      <c r="IP25" s="503">
        <f t="shared" si="8"/>
        <v>53570</v>
      </c>
      <c r="IQ25" s="503">
        <f t="shared" si="8"/>
        <v>53600</v>
      </c>
      <c r="IR25" s="503">
        <f t="shared" si="8"/>
        <v>53631</v>
      </c>
      <c r="IS25" s="503">
        <f t="shared" si="8"/>
        <v>53661</v>
      </c>
      <c r="IT25" s="503">
        <f t="shared" si="8"/>
        <v>53692</v>
      </c>
      <c r="IU25" s="503">
        <f t="shared" si="8"/>
        <v>53723</v>
      </c>
      <c r="IV25" s="503">
        <f t="shared" si="8"/>
        <v>53751</v>
      </c>
      <c r="IW25" s="503">
        <f t="shared" si="8"/>
        <v>53782</v>
      </c>
      <c r="IX25" s="503">
        <f t="shared" si="8"/>
        <v>53812</v>
      </c>
      <c r="IY25" s="503">
        <f t="shared" si="8"/>
        <v>53843</v>
      </c>
      <c r="IZ25" s="503">
        <f t="shared" si="8"/>
        <v>53873</v>
      </c>
      <c r="JA25" s="503">
        <f t="shared" si="9"/>
        <v>53904</v>
      </c>
      <c r="JB25" s="503">
        <f t="shared" si="9"/>
        <v>53935</v>
      </c>
      <c r="JC25" s="503">
        <f t="shared" si="9"/>
        <v>53965</v>
      </c>
      <c r="JD25" s="503">
        <f t="shared" si="9"/>
        <v>53996</v>
      </c>
      <c r="JE25" s="503">
        <f t="shared" si="9"/>
        <v>54026</v>
      </c>
      <c r="JF25" s="503">
        <f t="shared" si="9"/>
        <v>54057</v>
      </c>
      <c r="JG25" s="503">
        <f t="shared" si="9"/>
        <v>54088</v>
      </c>
      <c r="JH25" s="503">
        <f t="shared" si="9"/>
        <v>54117</v>
      </c>
      <c r="JI25" s="503">
        <f t="shared" si="9"/>
        <v>54148</v>
      </c>
      <c r="JJ25" s="503">
        <f t="shared" si="10"/>
        <v>54178</v>
      </c>
      <c r="JK25" s="503">
        <f t="shared" si="11"/>
        <v>54209</v>
      </c>
      <c r="JL25" s="503">
        <f t="shared" si="12"/>
        <v>54239</v>
      </c>
      <c r="JM25" s="503">
        <f t="shared" si="13"/>
        <v>54270</v>
      </c>
      <c r="JN25" s="503">
        <f t="shared" si="14"/>
        <v>54301</v>
      </c>
      <c r="JO25" s="503">
        <f t="shared" si="15"/>
        <v>54331</v>
      </c>
      <c r="JP25" s="538" t="s">
        <v>137</v>
      </c>
      <c r="JQ25" s="77"/>
      <c r="JR25" s="77"/>
      <c r="JS25" s="77"/>
      <c r="JT25" s="77"/>
      <c r="JU25" s="77"/>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row>
    <row r="26" spans="1:310" x14ac:dyDescent="0.3">
      <c r="B26" s="169" t="s">
        <v>349</v>
      </c>
      <c r="C26" s="52">
        <f>SUMIFS(Leasing!28:28,Leasing!1:1,C24)+SUMIFS(Leasing!37:37,Leasing!1:1,C24)</f>
        <v>0.54863663690692488</v>
      </c>
      <c r="D26" s="52">
        <f>SUMIFS(Leasing!28:28,Leasing!1:1,D24)+SUMIFS(Leasing!37:37,Leasing!1:1,D24)</f>
        <v>0.54863663690692488</v>
      </c>
      <c r="E26" s="52">
        <f>SUMIFS(Leasing!28:28,Leasing!1:1,E24)+SUMIFS(Leasing!37:37,Leasing!1:1,E24)</f>
        <v>0.54863663690692488</v>
      </c>
      <c r="F26" s="52">
        <f>SUMIFS(Leasing!28:28,Leasing!1:1,F24)+SUMIFS(Leasing!37:37,Leasing!1:1,F24)</f>
        <v>0.54863663690692488</v>
      </c>
      <c r="G26" s="52">
        <f>SUMIFS(Leasing!28:28,Leasing!1:1,G24)+SUMIFS(Leasing!37:37,Leasing!1:1,G24)</f>
        <v>0.54863663690692488</v>
      </c>
      <c r="H26" s="52">
        <f>SUMIFS(Leasing!28:28,Leasing!1:1,H24)+SUMIFS(Leasing!37:37,Leasing!1:1,H24)</f>
        <v>0.54863663690692488</v>
      </c>
      <c r="I26" s="52">
        <f>SUMIFS(Leasing!28:28,Leasing!1:1,I24)+SUMIFS(Leasing!37:37,Leasing!1:1,I24)</f>
        <v>0.54863663690692488</v>
      </c>
      <c r="J26" s="52">
        <f>SUMIFS(Leasing!28:28,Leasing!1:1,J24)+SUMIFS(Leasing!37:37,Leasing!1:1,J24)</f>
        <v>0.54863663690692488</v>
      </c>
      <c r="K26" s="52">
        <f>SUMIFS(Leasing!28:28,Leasing!1:1,K24)+SUMIFS(Leasing!37:37,Leasing!1:1,K24)</f>
        <v>0.54863663690692488</v>
      </c>
      <c r="L26" s="52">
        <f>SUMIFS(Leasing!28:28,Leasing!1:1,L24)+SUMIFS(Leasing!37:37,Leasing!1:1,L24)</f>
        <v>0.54863663690692488</v>
      </c>
      <c r="M26" s="52">
        <f>SUMIFS(Leasing!28:28,Leasing!1:1,M24)+SUMIFS(Leasing!37:37,Leasing!1:1,M24)</f>
        <v>0.54863663690692488</v>
      </c>
      <c r="N26" s="52">
        <f>SUMIFS(Leasing!28:28,Leasing!1:1,N24)+SUMIFS(Leasing!37:37,Leasing!1:1,N24)</f>
        <v>0.54863663690692488</v>
      </c>
      <c r="O26" s="52">
        <f>SUMIFS(Leasing!28:28,Leasing!1:1,O24)+SUMIFS(Leasing!37:37,Leasing!1:1,O24)</f>
        <v>0.57606846875227125</v>
      </c>
      <c r="P26" s="52">
        <f>SUMIFS(Leasing!28:28,Leasing!1:1,P24)+SUMIFS(Leasing!37:37,Leasing!1:1,P24)</f>
        <v>0.57606846875227125</v>
      </c>
      <c r="Q26" s="52">
        <f>SUMIFS(Leasing!28:28,Leasing!1:1,Q24)+SUMIFS(Leasing!37:37,Leasing!1:1,Q24)</f>
        <v>0.57606846875227125</v>
      </c>
      <c r="R26" s="52">
        <f>SUMIFS(Leasing!28:28,Leasing!1:1,R24)+SUMIFS(Leasing!37:37,Leasing!1:1,R24)</f>
        <v>0.57606846875227125</v>
      </c>
      <c r="S26" s="52">
        <f>SUMIFS(Leasing!28:28,Leasing!1:1,S24)+SUMIFS(Leasing!37:37,Leasing!1:1,S24)</f>
        <v>0.57606846875227125</v>
      </c>
      <c r="T26" s="52">
        <f>SUMIFS(Leasing!28:28,Leasing!1:1,T24)+SUMIFS(Leasing!37:37,Leasing!1:1,T24)</f>
        <v>0.57606846875227125</v>
      </c>
      <c r="U26" s="52">
        <f>SUMIFS(Leasing!28:28,Leasing!1:1,U24)+SUMIFS(Leasing!37:37,Leasing!1:1,U24)</f>
        <v>0.57606846875227125</v>
      </c>
      <c r="V26" s="52">
        <f>SUMIFS(Leasing!28:28,Leasing!1:1,V24)+SUMIFS(Leasing!37:37,Leasing!1:1,V24)</f>
        <v>0.57606846875227125</v>
      </c>
      <c r="W26" s="52">
        <f>SUMIFS(Leasing!28:28,Leasing!1:1,W24)+SUMIFS(Leasing!37:37,Leasing!1:1,W24)</f>
        <v>0.57606846875227125</v>
      </c>
      <c r="X26" s="52">
        <f>SUMIFS(Leasing!28:28,Leasing!1:1,X24)+SUMIFS(Leasing!37:37,Leasing!1:1,X24)</f>
        <v>0.57606846875227125</v>
      </c>
      <c r="Y26" s="52">
        <f>SUMIFS(Leasing!28:28,Leasing!1:1,Y24)+SUMIFS(Leasing!37:37,Leasing!1:1,Y24)</f>
        <v>0.57606846875227125</v>
      </c>
      <c r="Z26" s="52">
        <f>SUMIFS(Leasing!28:28,Leasing!1:1,Z24)+SUMIFS(Leasing!37:37,Leasing!1:1,Z24)</f>
        <v>0.57606846875227125</v>
      </c>
      <c r="AA26" s="52">
        <f>SUMIFS(Leasing!28:28,Leasing!1:1,AA24)+SUMIFS(Leasing!37:37,Leasing!1:1,AA24)</f>
        <v>0.6048718921898848</v>
      </c>
      <c r="AB26" s="52">
        <f>SUMIFS(Leasing!28:28,Leasing!1:1,AB24)+SUMIFS(Leasing!37:37,Leasing!1:1,AB24)</f>
        <v>0.6048718921898848</v>
      </c>
      <c r="AC26" s="52">
        <f>SUMIFS(Leasing!28:28,Leasing!1:1,AC24)+SUMIFS(Leasing!37:37,Leasing!1:1,AC24)</f>
        <v>0.6048718921898848</v>
      </c>
      <c r="AD26" s="52">
        <f>SUMIFS(Leasing!28:28,Leasing!1:1,AD24)+SUMIFS(Leasing!37:37,Leasing!1:1,AD24)</f>
        <v>0.6048718921898848</v>
      </c>
      <c r="AE26" s="52">
        <f>SUMIFS(Leasing!28:28,Leasing!1:1,AE24)+SUMIFS(Leasing!37:37,Leasing!1:1,AE24)</f>
        <v>0.6048718921898848</v>
      </c>
      <c r="AF26" s="52">
        <f>SUMIFS(Leasing!28:28,Leasing!1:1,AF24)+SUMIFS(Leasing!37:37,Leasing!1:1,AF24)</f>
        <v>0.6048718921898848</v>
      </c>
      <c r="AG26" s="52">
        <f>SUMIFS(Leasing!28:28,Leasing!1:1,AG24)+SUMIFS(Leasing!37:37,Leasing!1:1,AG24)</f>
        <v>0.6048718921898848</v>
      </c>
      <c r="AH26" s="52">
        <f>SUMIFS(Leasing!28:28,Leasing!1:1,AH24)+SUMIFS(Leasing!37:37,Leasing!1:1,AH24)</f>
        <v>0.6048718921898848</v>
      </c>
      <c r="AI26" s="52">
        <f>SUMIFS(Leasing!28:28,Leasing!1:1,AI24)+SUMIFS(Leasing!37:37,Leasing!1:1,AI24)</f>
        <v>0.6048718921898848</v>
      </c>
      <c r="AJ26" s="52">
        <f>SUMIFS(Leasing!28:28,Leasing!1:1,AJ24)+SUMIFS(Leasing!37:37,Leasing!1:1,AJ24)</f>
        <v>0.6048718921898848</v>
      </c>
      <c r="AK26" s="52">
        <f>SUMIFS(Leasing!28:28,Leasing!1:1,AK24)+SUMIFS(Leasing!37:37,Leasing!1:1,AK24)</f>
        <v>0.6048718921898848</v>
      </c>
      <c r="AL26" s="52">
        <f>SUMIFS(Leasing!28:28,Leasing!1:1,AL24)+SUMIFS(Leasing!37:37,Leasing!1:1,AL24)</f>
        <v>0.6048718921898848</v>
      </c>
      <c r="AM26" s="52">
        <f>SUMIFS(Leasing!28:28,Leasing!1:1,AM24)+SUMIFS(Leasing!37:37,Leasing!1:1,AM24)</f>
        <v>0.63511548679937924</v>
      </c>
      <c r="AN26" s="52">
        <f>SUMIFS(Leasing!28:28,Leasing!1:1,AN24)+SUMIFS(Leasing!37:37,Leasing!1:1,AN24)</f>
        <v>0.63511548679937924</v>
      </c>
      <c r="AO26" s="52">
        <f>SUMIFS(Leasing!28:28,Leasing!1:1,AO24)+SUMIFS(Leasing!37:37,Leasing!1:1,AO24)</f>
        <v>0.63511548679937924</v>
      </c>
      <c r="AP26" s="52">
        <f>SUMIFS(Leasing!28:28,Leasing!1:1,AP24)+SUMIFS(Leasing!37:37,Leasing!1:1,AP24)</f>
        <v>0.63511548679937924</v>
      </c>
      <c r="AQ26" s="52">
        <f>SUMIFS(Leasing!28:28,Leasing!1:1,AQ24)+SUMIFS(Leasing!37:37,Leasing!1:1,AQ24)</f>
        <v>0.63511548679937924</v>
      </c>
      <c r="AR26" s="52">
        <f>SUMIFS(Leasing!28:28,Leasing!1:1,AR24)+SUMIFS(Leasing!37:37,Leasing!1:1,AR24)</f>
        <v>0.63511548679937924</v>
      </c>
      <c r="AS26" s="52">
        <f>SUMIFS(Leasing!28:28,Leasing!1:1,AS24)+SUMIFS(Leasing!37:37,Leasing!1:1,AS24)</f>
        <v>0.63511548679937924</v>
      </c>
      <c r="AT26" s="52">
        <f>SUMIFS(Leasing!28:28,Leasing!1:1,AT24)+SUMIFS(Leasing!37:37,Leasing!1:1,AT24)</f>
        <v>0.63511548679937924</v>
      </c>
      <c r="AU26" s="52">
        <f>SUMIFS(Leasing!28:28,Leasing!1:1,AU24)+SUMIFS(Leasing!37:37,Leasing!1:1,AU24)</f>
        <v>0.63511548679937924</v>
      </c>
      <c r="AV26" s="52">
        <f>SUMIFS(Leasing!28:28,Leasing!1:1,AV24)+SUMIFS(Leasing!37:37,Leasing!1:1,AV24)</f>
        <v>0.63511548679937924</v>
      </c>
      <c r="AW26" s="52">
        <f>SUMIFS(Leasing!28:28,Leasing!1:1,AW24)+SUMIFS(Leasing!37:37,Leasing!1:1,AW24)</f>
        <v>0.63511548679937924</v>
      </c>
      <c r="AX26" s="52">
        <f>SUMIFS(Leasing!28:28,Leasing!1:1,AX24)+SUMIFS(Leasing!37:37,Leasing!1:1,AX24)</f>
        <v>0.63511548679937924</v>
      </c>
      <c r="AY26" s="52">
        <f>SUMIFS(Leasing!28:28,Leasing!1:1,AY24)+SUMIFS(Leasing!37:37,Leasing!1:1,AY24)</f>
        <v>0.66687126113934814</v>
      </c>
      <c r="AZ26" s="52">
        <f>SUMIFS(Leasing!28:28,Leasing!1:1,AZ24)+SUMIFS(Leasing!37:37,Leasing!1:1,AZ24)</f>
        <v>0.66687126113934814</v>
      </c>
      <c r="BA26" s="52">
        <f>SUMIFS(Leasing!28:28,Leasing!1:1,BA24)+SUMIFS(Leasing!37:37,Leasing!1:1,BA24)</f>
        <v>0.66687126113934814</v>
      </c>
      <c r="BB26" s="52">
        <f>SUMIFS(Leasing!28:28,Leasing!1:1,BB24)+SUMIFS(Leasing!37:37,Leasing!1:1,BB24)</f>
        <v>0.66687126113934814</v>
      </c>
      <c r="BC26" s="52">
        <f>SUMIFS(Leasing!28:28,Leasing!1:1,BC24)+SUMIFS(Leasing!37:37,Leasing!1:1,BC24)</f>
        <v>0.66687126113934814</v>
      </c>
      <c r="BD26" s="52">
        <f>SUMIFS(Leasing!28:28,Leasing!1:1,BD24)+SUMIFS(Leasing!37:37,Leasing!1:1,BD24)</f>
        <v>0.66687126113934814</v>
      </c>
      <c r="BE26" s="52">
        <f>SUMIFS(Leasing!28:28,Leasing!1:1,BE24)+SUMIFS(Leasing!37:37,Leasing!1:1,BE24)</f>
        <v>0.66687126113934814</v>
      </c>
      <c r="BF26" s="52">
        <f>SUMIFS(Leasing!28:28,Leasing!1:1,BF24)+SUMIFS(Leasing!37:37,Leasing!1:1,BF24)</f>
        <v>0.66687126113934814</v>
      </c>
      <c r="BG26" s="52">
        <f>SUMIFS(Leasing!28:28,Leasing!1:1,BG24)+SUMIFS(Leasing!37:37,Leasing!1:1,BG24)</f>
        <v>0.66687126113934814</v>
      </c>
      <c r="BH26" s="52">
        <f>SUMIFS(Leasing!28:28,Leasing!1:1,BH24)+SUMIFS(Leasing!37:37,Leasing!1:1,BH24)</f>
        <v>0.66687126113934814</v>
      </c>
      <c r="BI26" s="52">
        <f>SUMIFS(Leasing!28:28,Leasing!1:1,BI24)+SUMIFS(Leasing!37:37,Leasing!1:1,BI24)</f>
        <v>0.66687126113934814</v>
      </c>
      <c r="BJ26" s="52">
        <f>SUMIFS(Leasing!28:28,Leasing!1:1,BJ24)+SUMIFS(Leasing!37:37,Leasing!1:1,BJ24)</f>
        <v>0.66687126113934814</v>
      </c>
      <c r="BK26" s="52">
        <f>SUMIFS(Leasing!28:28,Leasing!1:1,BK24)+SUMIFS(Leasing!37:37,Leasing!1:1,BK24)</f>
        <v>0.70021482419631553</v>
      </c>
      <c r="BL26" s="52">
        <f>SUMIFS(Leasing!28:28,Leasing!1:1,BL24)+SUMIFS(Leasing!37:37,Leasing!1:1,BL24)</f>
        <v>0.70021482419631553</v>
      </c>
      <c r="BM26" s="52">
        <f>SUMIFS(Leasing!28:28,Leasing!1:1,BM24)+SUMIFS(Leasing!37:37,Leasing!1:1,BM24)</f>
        <v>0.70021482419631553</v>
      </c>
      <c r="BN26" s="52">
        <f>SUMIFS(Leasing!28:28,Leasing!1:1,BN24)+SUMIFS(Leasing!37:37,Leasing!1:1,BN24)</f>
        <v>0.70021482419631553</v>
      </c>
      <c r="BO26" s="52">
        <f>SUMIFS(Leasing!28:28,Leasing!1:1,BO24)+SUMIFS(Leasing!37:37,Leasing!1:1,BO24)</f>
        <v>0.70021482419631553</v>
      </c>
      <c r="BP26" s="52">
        <f>SUMIFS(Leasing!28:28,Leasing!1:1,BP24)+SUMIFS(Leasing!37:37,Leasing!1:1,BP24)</f>
        <v>0.70021482419631553</v>
      </c>
      <c r="BQ26" s="52">
        <f>SUMIFS(Leasing!28:28,Leasing!1:1,BQ24)+SUMIFS(Leasing!37:37,Leasing!1:1,BQ24)</f>
        <v>0.70021482419631553</v>
      </c>
      <c r="BR26" s="52">
        <f>SUMIFS(Leasing!28:28,Leasing!1:1,BR24)+SUMIFS(Leasing!37:37,Leasing!1:1,BR24)</f>
        <v>0.70021482419631553</v>
      </c>
      <c r="BS26" s="52">
        <f>SUMIFS(Leasing!28:28,Leasing!1:1,BS24)+SUMIFS(Leasing!37:37,Leasing!1:1,BS24)</f>
        <v>0.70021482419631553</v>
      </c>
      <c r="BT26" s="52">
        <f>SUMIFS(Leasing!28:28,Leasing!1:1,BT24)+SUMIFS(Leasing!37:37,Leasing!1:1,BT24)</f>
        <v>0.70021482419631553</v>
      </c>
      <c r="BU26" s="52">
        <f>SUMIFS(Leasing!28:28,Leasing!1:1,BU24)+SUMIFS(Leasing!37:37,Leasing!1:1,BU24)</f>
        <v>0.70021482419631553</v>
      </c>
      <c r="BV26" s="52">
        <f>SUMIFS(Leasing!28:28,Leasing!1:1,BV24)+SUMIFS(Leasing!37:37,Leasing!1:1,BV24)</f>
        <v>0.70021482419631553</v>
      </c>
      <c r="BW26" s="52">
        <f>SUMIFS(Leasing!28:28,Leasing!1:1,BW24)+SUMIFS(Leasing!37:37,Leasing!1:1,BW24)</f>
        <v>0.73522556540613127</v>
      </c>
      <c r="BX26" s="52">
        <f>SUMIFS(Leasing!28:28,Leasing!1:1,BX24)+SUMIFS(Leasing!37:37,Leasing!1:1,BX24)</f>
        <v>0.73522556540613127</v>
      </c>
      <c r="BY26" s="52">
        <f>SUMIFS(Leasing!28:28,Leasing!1:1,BY24)+SUMIFS(Leasing!37:37,Leasing!1:1,BY24)</f>
        <v>0.73522556540613127</v>
      </c>
      <c r="BZ26" s="52">
        <f>SUMIFS(Leasing!28:28,Leasing!1:1,BZ24)+SUMIFS(Leasing!37:37,Leasing!1:1,BZ24)</f>
        <v>0.73522556540613127</v>
      </c>
      <c r="CA26" s="52">
        <f>SUMIFS(Leasing!28:28,Leasing!1:1,CA24)+SUMIFS(Leasing!37:37,Leasing!1:1,CA24)</f>
        <v>0.73522556540613127</v>
      </c>
      <c r="CB26" s="52">
        <f>SUMIFS(Leasing!28:28,Leasing!1:1,CB24)+SUMIFS(Leasing!37:37,Leasing!1:1,CB24)</f>
        <v>0.73522556540613127</v>
      </c>
      <c r="CC26" s="52">
        <f>SUMIFS(Leasing!28:28,Leasing!1:1,CC24)+SUMIFS(Leasing!37:37,Leasing!1:1,CC24)</f>
        <v>0.73522556540613127</v>
      </c>
      <c r="CD26" s="52">
        <f>SUMIFS(Leasing!28:28,Leasing!1:1,CD24)+SUMIFS(Leasing!37:37,Leasing!1:1,CD24)</f>
        <v>0.73522556540613127</v>
      </c>
      <c r="CE26" s="52">
        <f>SUMIFS(Leasing!28:28,Leasing!1:1,CE24)+SUMIFS(Leasing!37:37,Leasing!1:1,CE24)</f>
        <v>0.73522556540613127</v>
      </c>
      <c r="CF26" s="52">
        <f>SUMIFS(Leasing!28:28,Leasing!1:1,CF24)+SUMIFS(Leasing!37:37,Leasing!1:1,CF24)</f>
        <v>0.73522556540613127</v>
      </c>
      <c r="CG26" s="52">
        <f>SUMIFS(Leasing!28:28,Leasing!1:1,CG24)+SUMIFS(Leasing!37:37,Leasing!1:1,CG24)</f>
        <v>0.73522556540613127</v>
      </c>
      <c r="CH26" s="52">
        <f>SUMIFS(Leasing!28:28,Leasing!1:1,CH24)+SUMIFS(Leasing!37:37,Leasing!1:1,CH24)</f>
        <v>0.73522556540613127</v>
      </c>
      <c r="CI26" s="52">
        <f>SUMIFS(Leasing!28:28,Leasing!1:1,CI24)+SUMIFS(Leasing!37:37,Leasing!1:1,CI24)</f>
        <v>0.77198684367643788</v>
      </c>
      <c r="CJ26" s="52">
        <f>SUMIFS(Leasing!28:28,Leasing!1:1,CJ24)+SUMIFS(Leasing!37:37,Leasing!1:1,CJ24)</f>
        <v>0.77198684367643788</v>
      </c>
      <c r="CK26" s="52">
        <f>SUMIFS(Leasing!28:28,Leasing!1:1,CK24)+SUMIFS(Leasing!37:37,Leasing!1:1,CK24)</f>
        <v>0.77198684367643788</v>
      </c>
      <c r="CL26" s="52">
        <f>SUMIFS(Leasing!28:28,Leasing!1:1,CL24)+SUMIFS(Leasing!37:37,Leasing!1:1,CL24)</f>
        <v>0.77198684367643788</v>
      </c>
      <c r="CM26" s="52">
        <f>SUMIFS(Leasing!28:28,Leasing!1:1,CM24)+SUMIFS(Leasing!37:37,Leasing!1:1,CM24)</f>
        <v>0.77198684367643788</v>
      </c>
      <c r="CN26" s="52">
        <f>SUMIFS(Leasing!28:28,Leasing!1:1,CN24)+SUMIFS(Leasing!37:37,Leasing!1:1,CN24)</f>
        <v>0.77198684367643788</v>
      </c>
      <c r="CO26" s="52">
        <f>SUMIFS(Leasing!28:28,Leasing!1:1,CO24)+SUMIFS(Leasing!37:37,Leasing!1:1,CO24)</f>
        <v>0.77198684367643788</v>
      </c>
      <c r="CP26" s="52">
        <f>SUMIFS(Leasing!28:28,Leasing!1:1,CP24)+SUMIFS(Leasing!37:37,Leasing!1:1,CP24)</f>
        <v>0.77198684367643788</v>
      </c>
      <c r="CQ26" s="52">
        <f>SUMIFS(Leasing!28:28,Leasing!1:1,CQ24)+SUMIFS(Leasing!37:37,Leasing!1:1,CQ24)</f>
        <v>0.77198684367643788</v>
      </c>
      <c r="CR26" s="52">
        <f>SUMIFS(Leasing!28:28,Leasing!1:1,CR24)+SUMIFS(Leasing!37:37,Leasing!1:1,CR24)</f>
        <v>0.77198684367643788</v>
      </c>
      <c r="CS26" s="52">
        <f>SUMIFS(Leasing!28:28,Leasing!1:1,CS24)+SUMIFS(Leasing!37:37,Leasing!1:1,CS24)</f>
        <v>0.77198684367643788</v>
      </c>
      <c r="CT26" s="52">
        <f>SUMIFS(Leasing!28:28,Leasing!1:1,CT24)+SUMIFS(Leasing!37:37,Leasing!1:1,CT24)</f>
        <v>0.77198684367643788</v>
      </c>
      <c r="CU26" s="52">
        <f>SUMIFS(Leasing!28:28,Leasing!1:1,CU24)+SUMIFS(Leasing!37:37,Leasing!1:1,CU24)</f>
        <v>0.81058618586025988</v>
      </c>
      <c r="CV26" s="52">
        <f>SUMIFS(Leasing!28:28,Leasing!1:1,CV24)+SUMIFS(Leasing!37:37,Leasing!1:1,CV24)</f>
        <v>0.81058618586025988</v>
      </c>
      <c r="CW26" s="52">
        <f>SUMIFS(Leasing!28:28,Leasing!1:1,CW24)+SUMIFS(Leasing!37:37,Leasing!1:1,CW24)</f>
        <v>0.81058618586025988</v>
      </c>
      <c r="CX26" s="52">
        <f>SUMIFS(Leasing!28:28,Leasing!1:1,CX24)+SUMIFS(Leasing!37:37,Leasing!1:1,CX24)</f>
        <v>0.81058618586025988</v>
      </c>
      <c r="CY26" s="52">
        <f>SUMIFS(Leasing!28:28,Leasing!1:1,CY24)+SUMIFS(Leasing!37:37,Leasing!1:1,CY24)</f>
        <v>0.81058618586025988</v>
      </c>
      <c r="CZ26" s="52">
        <f>SUMIFS(Leasing!28:28,Leasing!1:1,CZ24)+SUMIFS(Leasing!37:37,Leasing!1:1,CZ24)</f>
        <v>0.81058618586025988</v>
      </c>
      <c r="DA26" s="52">
        <f>SUMIFS(Leasing!28:28,Leasing!1:1,DA24)+SUMIFS(Leasing!37:37,Leasing!1:1,DA24)</f>
        <v>0.81058618586025988</v>
      </c>
      <c r="DB26" s="52">
        <f>SUMIFS(Leasing!28:28,Leasing!1:1,DB24)+SUMIFS(Leasing!37:37,Leasing!1:1,DB24)</f>
        <v>0.81058618586025988</v>
      </c>
      <c r="DC26" s="52">
        <f>SUMIFS(Leasing!28:28,Leasing!1:1,DC24)+SUMIFS(Leasing!37:37,Leasing!1:1,DC24)</f>
        <v>0.81058618586025988</v>
      </c>
      <c r="DD26" s="52">
        <f>SUMIFS(Leasing!28:28,Leasing!1:1,DD24)+SUMIFS(Leasing!37:37,Leasing!1:1,DD24)</f>
        <v>0.81058618586025988</v>
      </c>
      <c r="DE26" s="52">
        <f>SUMIFS(Leasing!28:28,Leasing!1:1,DE24)+SUMIFS(Leasing!37:37,Leasing!1:1,DE24)</f>
        <v>0.81058618586025988</v>
      </c>
      <c r="DF26" s="52">
        <f>SUMIFS(Leasing!28:28,Leasing!1:1,DF24)+SUMIFS(Leasing!37:37,Leasing!1:1,DF24)</f>
        <v>0.81058618586025988</v>
      </c>
      <c r="DG26" s="52">
        <f>SUMIFS(Leasing!28:28,Leasing!1:1,DG24)+SUMIFS(Leasing!37:37,Leasing!1:1,DG24)</f>
        <v>0.85111549515327289</v>
      </c>
      <c r="DH26" s="52">
        <f>SUMIFS(Leasing!28:28,Leasing!1:1,DH24)+SUMIFS(Leasing!37:37,Leasing!1:1,DH24)</f>
        <v>0.85111549515327289</v>
      </c>
      <c r="DI26" s="52">
        <f>SUMIFS(Leasing!28:28,Leasing!1:1,DI24)+SUMIFS(Leasing!37:37,Leasing!1:1,DI24)</f>
        <v>0.85111549515327289</v>
      </c>
      <c r="DJ26" s="52">
        <f>SUMIFS(Leasing!28:28,Leasing!1:1,DJ24)+SUMIFS(Leasing!37:37,Leasing!1:1,DJ24)</f>
        <v>0.85111549515327289</v>
      </c>
      <c r="DK26" s="52">
        <f>SUMIFS(Leasing!28:28,Leasing!1:1,DK24)+SUMIFS(Leasing!37:37,Leasing!1:1,DK24)</f>
        <v>0.85111549515327289</v>
      </c>
      <c r="DL26" s="52">
        <f>SUMIFS(Leasing!28:28,Leasing!1:1,DL24)+SUMIFS(Leasing!37:37,Leasing!1:1,DL24)</f>
        <v>0.85111549515327289</v>
      </c>
      <c r="DM26" s="52">
        <f>SUMIFS(Leasing!28:28,Leasing!1:1,DM24)+SUMIFS(Leasing!37:37,Leasing!1:1,DM24)</f>
        <v>0.85111549515327289</v>
      </c>
      <c r="DN26" s="52">
        <f>SUMIFS(Leasing!28:28,Leasing!1:1,DN24)+SUMIFS(Leasing!37:37,Leasing!1:1,DN24)</f>
        <v>0.85111549515327289</v>
      </c>
      <c r="DO26" s="52">
        <f>SUMIFS(Leasing!28:28,Leasing!1:1,DO24)+SUMIFS(Leasing!37:37,Leasing!1:1,DO24)</f>
        <v>0.85111549515327289</v>
      </c>
      <c r="DP26" s="52">
        <f>SUMIFS(Leasing!28:28,Leasing!1:1,DP24)+SUMIFS(Leasing!37:37,Leasing!1:1,DP24)</f>
        <v>0.85111549515327289</v>
      </c>
      <c r="DQ26" s="52">
        <f>SUMIFS(Leasing!28:28,Leasing!1:1,DQ24)+SUMIFS(Leasing!37:37,Leasing!1:1,DQ24)</f>
        <v>0.85111549515327289</v>
      </c>
      <c r="DR26" s="52">
        <f>SUMIFS(Leasing!28:28,Leasing!1:1,DR24)+SUMIFS(Leasing!37:37,Leasing!1:1,DR24)</f>
        <v>0.85111549515327289</v>
      </c>
      <c r="DS26" s="52">
        <f>SUMIFS(Leasing!28:28,Leasing!1:1,DS24)+SUMIFS(Leasing!37:37,Leasing!1:1,DS24)</f>
        <v>0.89367126991093659</v>
      </c>
      <c r="DT26" s="52">
        <f>SUMIFS(Leasing!28:28,Leasing!1:1,DT24)+SUMIFS(Leasing!37:37,Leasing!1:1,DT24)</f>
        <v>0.89367126991093659</v>
      </c>
      <c r="DU26" s="52">
        <f>SUMIFS(Leasing!28:28,Leasing!1:1,DU24)+SUMIFS(Leasing!37:37,Leasing!1:1,DU24)</f>
        <v>0.89367126991093659</v>
      </c>
      <c r="DV26" s="52">
        <f>SUMIFS(Leasing!28:28,Leasing!1:1,DV24)+SUMIFS(Leasing!37:37,Leasing!1:1,DV24)</f>
        <v>0.89367126991093659</v>
      </c>
      <c r="DW26" s="52">
        <f>SUMIFS(Leasing!28:28,Leasing!1:1,DW24)+SUMIFS(Leasing!37:37,Leasing!1:1,DW24)</f>
        <v>0.89367126991093659</v>
      </c>
      <c r="DX26" s="52">
        <f>SUMIFS(Leasing!28:28,Leasing!1:1,DX24)+SUMIFS(Leasing!37:37,Leasing!1:1,DX24)</f>
        <v>0.89367126991093659</v>
      </c>
      <c r="DY26" s="52">
        <f>SUMIFS(Leasing!28:28,Leasing!1:1,DY24)+SUMIFS(Leasing!37:37,Leasing!1:1,DY24)</f>
        <v>0.89367126991093659</v>
      </c>
      <c r="DZ26" s="52">
        <f>SUMIFS(Leasing!28:28,Leasing!1:1,DZ24)+SUMIFS(Leasing!37:37,Leasing!1:1,DZ24)</f>
        <v>0.89367126991093659</v>
      </c>
      <c r="EA26" s="52">
        <f>SUMIFS(Leasing!28:28,Leasing!1:1,EA24)+SUMIFS(Leasing!37:37,Leasing!1:1,EA24)</f>
        <v>0.89367126991093659</v>
      </c>
      <c r="EB26" s="52">
        <f>SUMIFS(Leasing!28:28,Leasing!1:1,EB24)+SUMIFS(Leasing!37:37,Leasing!1:1,EB24)</f>
        <v>0.89367126991093659</v>
      </c>
      <c r="EC26" s="52">
        <f>SUMIFS(Leasing!28:28,Leasing!1:1,EC24)+SUMIFS(Leasing!37:37,Leasing!1:1,EC24)</f>
        <v>0.89367126991093659</v>
      </c>
      <c r="ED26" s="52">
        <f>SUMIFS(Leasing!28:28,Leasing!1:1,ED24)+SUMIFS(Leasing!37:37,Leasing!1:1,ED24)</f>
        <v>0.89367126991093659</v>
      </c>
      <c r="EE26" s="52">
        <f>SUMIFS(Leasing!28:28,Leasing!1:1,EE24)+SUMIFS(Leasing!37:37,Leasing!1:1,EE24)</f>
        <v>0.93835483340648362</v>
      </c>
      <c r="EF26" s="52">
        <f>SUMIFS(Leasing!28:28,Leasing!1:1,EF24)+SUMIFS(Leasing!37:37,Leasing!1:1,EF24)</f>
        <v>0.93835483340648362</v>
      </c>
      <c r="EG26" s="52">
        <f>SUMIFS(Leasing!28:28,Leasing!1:1,EG24)+SUMIFS(Leasing!37:37,Leasing!1:1,EG24)</f>
        <v>0.93835483340648362</v>
      </c>
      <c r="EH26" s="52">
        <f>SUMIFS(Leasing!28:28,Leasing!1:1,EH24)+SUMIFS(Leasing!37:37,Leasing!1:1,EH24)</f>
        <v>0.93835483340648362</v>
      </c>
      <c r="EI26" s="52">
        <f>SUMIFS(Leasing!28:28,Leasing!1:1,EI24)+SUMIFS(Leasing!37:37,Leasing!1:1,EI24)</f>
        <v>0.93835483340648362</v>
      </c>
      <c r="EJ26" s="52">
        <f>SUMIFS(Leasing!28:28,Leasing!1:1,EJ24)+SUMIFS(Leasing!37:37,Leasing!1:1,EJ24)</f>
        <v>0.93835483340648362</v>
      </c>
      <c r="EK26" s="52">
        <f>SUMIFS(Leasing!28:28,Leasing!1:1,EK24)+SUMIFS(Leasing!37:37,Leasing!1:1,EK24)</f>
        <v>0.93835483340648362</v>
      </c>
      <c r="EL26" s="52">
        <f>SUMIFS(Leasing!28:28,Leasing!1:1,EL24)+SUMIFS(Leasing!37:37,Leasing!1:1,EL24)</f>
        <v>0.93835483340648362</v>
      </c>
      <c r="EM26" s="52">
        <f>SUMIFS(Leasing!28:28,Leasing!1:1,EM24)+SUMIFS(Leasing!37:37,Leasing!1:1,EM24)</f>
        <v>0.93835483340648362</v>
      </c>
      <c r="EN26" s="52">
        <f>SUMIFS(Leasing!28:28,Leasing!1:1,EN24)+SUMIFS(Leasing!37:37,Leasing!1:1,EN24)</f>
        <v>0.93835483340648362</v>
      </c>
      <c r="EO26" s="52">
        <f>SUMIFS(Leasing!28:28,Leasing!1:1,EO24)+SUMIFS(Leasing!37:37,Leasing!1:1,EO24)</f>
        <v>0.93835483340648362</v>
      </c>
      <c r="EP26" s="52">
        <f>SUMIFS(Leasing!28:28,Leasing!1:1,EP24)+SUMIFS(Leasing!37:37,Leasing!1:1,EP24)</f>
        <v>0.93835483340648362</v>
      </c>
      <c r="EQ26" s="52">
        <f>SUMIFS(Leasing!28:28,Leasing!1:1,EQ24)+SUMIFS(Leasing!37:37,Leasing!1:1,EQ24)</f>
        <v>0.98527257507680788</v>
      </c>
      <c r="ER26" s="52">
        <f>SUMIFS(Leasing!28:28,Leasing!1:1,ER24)+SUMIFS(Leasing!37:37,Leasing!1:1,ER24)</f>
        <v>0.98527257507680788</v>
      </c>
      <c r="ES26" s="52">
        <f>SUMIFS(Leasing!28:28,Leasing!1:1,ES24)+SUMIFS(Leasing!37:37,Leasing!1:1,ES24)</f>
        <v>0.98527257507680788</v>
      </c>
      <c r="ET26" s="52">
        <f>SUMIFS(Leasing!28:28,Leasing!1:1,ET24)+SUMIFS(Leasing!37:37,Leasing!1:1,ET24)</f>
        <v>0.98527257507680788</v>
      </c>
      <c r="EU26" s="52">
        <f>SUMIFS(Leasing!28:28,Leasing!1:1,EU24)+SUMIFS(Leasing!37:37,Leasing!1:1,EU24)</f>
        <v>0.98527257507680788</v>
      </c>
      <c r="EV26" s="52">
        <f>SUMIFS(Leasing!28:28,Leasing!1:1,EV24)+SUMIFS(Leasing!37:37,Leasing!1:1,EV24)</f>
        <v>0.98527257507680788</v>
      </c>
      <c r="EW26" s="52">
        <f>SUMIFS(Leasing!28:28,Leasing!1:1,EW24)+SUMIFS(Leasing!37:37,Leasing!1:1,EW24)</f>
        <v>0.98527257507680788</v>
      </c>
      <c r="EX26" s="52">
        <f>SUMIFS(Leasing!28:28,Leasing!1:1,EX24)+SUMIFS(Leasing!37:37,Leasing!1:1,EX24)</f>
        <v>0.98527257507680788</v>
      </c>
      <c r="EY26" s="52">
        <f>SUMIFS(Leasing!28:28,Leasing!1:1,EY24)+SUMIFS(Leasing!37:37,Leasing!1:1,EY24)</f>
        <v>0.98527257507680788</v>
      </c>
      <c r="EZ26" s="52">
        <f>SUMIFS(Leasing!28:28,Leasing!1:1,EZ24)+SUMIFS(Leasing!37:37,Leasing!1:1,EZ24)</f>
        <v>0.98527257507680788</v>
      </c>
      <c r="FA26" s="52">
        <f>SUMIFS(Leasing!28:28,Leasing!1:1,FA24)+SUMIFS(Leasing!37:37,Leasing!1:1,FA24)</f>
        <v>0.98527257507680788</v>
      </c>
      <c r="FB26" s="52">
        <f>SUMIFS(Leasing!28:28,Leasing!1:1,FB24)+SUMIFS(Leasing!37:37,Leasing!1:1,FB24)</f>
        <v>0.98527257507680788</v>
      </c>
      <c r="FC26" s="52">
        <f>SUMIFS(Leasing!28:28,Leasing!1:1,FC24)+SUMIFS(Leasing!37:37,Leasing!1:1,FC24)</f>
        <v>1.034536203830648</v>
      </c>
      <c r="FD26" s="52">
        <f>SUMIFS(Leasing!28:28,Leasing!1:1,FD24)+SUMIFS(Leasing!37:37,Leasing!1:1,FD24)</f>
        <v>1.034536203830648</v>
      </c>
      <c r="FE26" s="52">
        <f>SUMIFS(Leasing!28:28,Leasing!1:1,FE24)+SUMIFS(Leasing!37:37,Leasing!1:1,FE24)</f>
        <v>1.034536203830648</v>
      </c>
      <c r="FF26" s="52">
        <f>SUMIFS(Leasing!28:28,Leasing!1:1,FF24)+SUMIFS(Leasing!37:37,Leasing!1:1,FF24)</f>
        <v>1.034536203830648</v>
      </c>
      <c r="FG26" s="52">
        <f>SUMIFS(Leasing!28:28,Leasing!1:1,FG24)+SUMIFS(Leasing!37:37,Leasing!1:1,FG24)</f>
        <v>1.034536203830648</v>
      </c>
      <c r="FH26" s="52">
        <f>SUMIFS(Leasing!28:28,Leasing!1:1,FH24)+SUMIFS(Leasing!37:37,Leasing!1:1,FH24)</f>
        <v>1.034536203830648</v>
      </c>
      <c r="FI26" s="52">
        <f>SUMIFS(Leasing!28:28,Leasing!1:1,FI24)+SUMIFS(Leasing!37:37,Leasing!1:1,FI24)</f>
        <v>1.034536203830648</v>
      </c>
      <c r="FJ26" s="52">
        <f>SUMIFS(Leasing!28:28,Leasing!1:1,FJ24)+SUMIFS(Leasing!37:37,Leasing!1:1,FJ24)</f>
        <v>1.034536203830648</v>
      </c>
      <c r="FK26" s="52">
        <f>SUMIFS(Leasing!28:28,Leasing!1:1,FK24)+SUMIFS(Leasing!37:37,Leasing!1:1,FK24)</f>
        <v>1.034536203830648</v>
      </c>
      <c r="FL26" s="52">
        <f>SUMIFS(Leasing!28:28,Leasing!1:1,FL24)+SUMIFS(Leasing!37:37,Leasing!1:1,FL24)</f>
        <v>1.034536203830648</v>
      </c>
      <c r="FM26" s="52">
        <f>SUMIFS(Leasing!28:28,Leasing!1:1,FM24)+SUMIFS(Leasing!37:37,Leasing!1:1,FM24)</f>
        <v>1.034536203830648</v>
      </c>
      <c r="FN26" s="52">
        <f>SUMIFS(Leasing!28:28,Leasing!1:1,FN24)+SUMIFS(Leasing!37:37,Leasing!1:1,FN24)</f>
        <v>1.034536203830648</v>
      </c>
      <c r="FO26" s="52">
        <f>SUMIFS(Leasing!28:28,Leasing!1:1,FO24)+SUMIFS(Leasing!37:37,Leasing!1:1,FO24)</f>
        <v>1.0862630140221807</v>
      </c>
      <c r="FP26" s="52">
        <f>SUMIFS(Leasing!28:28,Leasing!1:1,FP24)+SUMIFS(Leasing!37:37,Leasing!1:1,FP24)</f>
        <v>1.0862630140221807</v>
      </c>
      <c r="FQ26" s="52">
        <f>SUMIFS(Leasing!28:28,Leasing!1:1,FQ24)+SUMIFS(Leasing!37:37,Leasing!1:1,FQ24)</f>
        <v>1.0862630140221807</v>
      </c>
      <c r="FR26" s="52">
        <f>SUMIFS(Leasing!28:28,Leasing!1:1,FR24)+SUMIFS(Leasing!37:37,Leasing!1:1,FR24)</f>
        <v>1.0862630140221807</v>
      </c>
      <c r="FS26" s="52">
        <f>SUMIFS(Leasing!28:28,Leasing!1:1,FS24)+SUMIFS(Leasing!37:37,Leasing!1:1,FS24)</f>
        <v>1.0862630140221807</v>
      </c>
      <c r="FT26" s="52">
        <f>SUMIFS(Leasing!28:28,Leasing!1:1,FT24)+SUMIFS(Leasing!37:37,Leasing!1:1,FT24)</f>
        <v>1.0862630140221807</v>
      </c>
      <c r="FU26" s="52">
        <f>SUMIFS(Leasing!28:28,Leasing!1:1,FU24)+SUMIFS(Leasing!37:37,Leasing!1:1,FU24)</f>
        <v>1.0862630140221807</v>
      </c>
      <c r="FV26" s="52">
        <f>SUMIFS(Leasing!28:28,Leasing!1:1,FV24)+SUMIFS(Leasing!37:37,Leasing!1:1,FV24)</f>
        <v>1.0862630140221807</v>
      </c>
      <c r="FW26" s="52">
        <f>SUMIFS(Leasing!28:28,Leasing!1:1,FW24)+SUMIFS(Leasing!37:37,Leasing!1:1,FW24)</f>
        <v>1.0862630140221807</v>
      </c>
      <c r="FX26" s="52">
        <f>SUMIFS(Leasing!28:28,Leasing!1:1,FX24)+SUMIFS(Leasing!37:37,Leasing!1:1,FX24)</f>
        <v>1.0862630140221807</v>
      </c>
      <c r="FY26" s="52">
        <f>SUMIFS(Leasing!28:28,Leasing!1:1,FY24)+SUMIFS(Leasing!37:37,Leasing!1:1,FY24)</f>
        <v>1.0862630140221807</v>
      </c>
      <c r="FZ26" s="52">
        <f>SUMIFS(Leasing!28:28,Leasing!1:1,FZ24)+SUMIFS(Leasing!37:37,Leasing!1:1,FZ24)</f>
        <v>1.0862630140221807</v>
      </c>
      <c r="GA26" s="52">
        <f>SUMIFS(Leasing!28:28,Leasing!1:1,GA24)+SUMIFS(Leasing!37:37,Leasing!1:1,GA24)</f>
        <v>1.1405761647232897</v>
      </c>
      <c r="GB26" s="52">
        <f>SUMIFS(Leasing!28:28,Leasing!1:1,GB24)+SUMIFS(Leasing!37:37,Leasing!1:1,GB24)</f>
        <v>1.1405761647232897</v>
      </c>
      <c r="GC26" s="52">
        <f>SUMIFS(Leasing!28:28,Leasing!1:1,GC24)+SUMIFS(Leasing!37:37,Leasing!1:1,GC24)</f>
        <v>1.1405761647232897</v>
      </c>
      <c r="GD26" s="52">
        <f>SUMIFS(Leasing!28:28,Leasing!1:1,GD24)+SUMIFS(Leasing!37:37,Leasing!1:1,GD24)</f>
        <v>1.1405761647232897</v>
      </c>
      <c r="GE26" s="52">
        <f>SUMIFS(Leasing!28:28,Leasing!1:1,GE24)+SUMIFS(Leasing!37:37,Leasing!1:1,GE24)</f>
        <v>1.1405761647232897</v>
      </c>
      <c r="GF26" s="52">
        <f>SUMIFS(Leasing!28:28,Leasing!1:1,GF24)+SUMIFS(Leasing!37:37,Leasing!1:1,GF24)</f>
        <v>1.1405761647232897</v>
      </c>
      <c r="GG26" s="52">
        <f>SUMIFS(Leasing!28:28,Leasing!1:1,GG24)+SUMIFS(Leasing!37:37,Leasing!1:1,GG24)</f>
        <v>1.1405761647232897</v>
      </c>
      <c r="GH26" s="52">
        <f>SUMIFS(Leasing!28:28,Leasing!1:1,GH24)+SUMIFS(Leasing!37:37,Leasing!1:1,GH24)</f>
        <v>1.1405761647232897</v>
      </c>
      <c r="GI26" s="52">
        <f>SUMIFS(Leasing!28:28,Leasing!1:1,GI24)+SUMIFS(Leasing!37:37,Leasing!1:1,GI24)</f>
        <v>1.1405761647232897</v>
      </c>
      <c r="GJ26" s="52">
        <f>SUMIFS(Leasing!28:28,Leasing!1:1,GJ24)+SUMIFS(Leasing!37:37,Leasing!1:1,GJ24)</f>
        <v>1.1405761647232897</v>
      </c>
      <c r="GK26" s="52">
        <f>SUMIFS(Leasing!28:28,Leasing!1:1,GK24)+SUMIFS(Leasing!37:37,Leasing!1:1,GK24)</f>
        <v>1.1405761647232897</v>
      </c>
      <c r="GL26" s="52">
        <f>SUMIFS(Leasing!28:28,Leasing!1:1,GL24)+SUMIFS(Leasing!37:37,Leasing!1:1,GL24)</f>
        <v>1.1405761647232897</v>
      </c>
      <c r="GM26" s="52">
        <f>SUMIFS(Leasing!28:28,Leasing!1:1,GM24)+SUMIFS(Leasing!37:37,Leasing!1:1,GM24)</f>
        <v>1.1976049729594542</v>
      </c>
      <c r="GN26" s="52">
        <f>SUMIFS(Leasing!28:28,Leasing!1:1,GN24)+SUMIFS(Leasing!37:37,Leasing!1:1,GN24)</f>
        <v>1.1976049729594542</v>
      </c>
      <c r="GO26" s="52">
        <f>SUMIFS(Leasing!28:28,Leasing!1:1,GO24)+SUMIFS(Leasing!37:37,Leasing!1:1,GO24)</f>
        <v>1.1976049729594542</v>
      </c>
      <c r="GP26" s="52">
        <f>SUMIFS(Leasing!28:28,Leasing!1:1,GP24)+SUMIFS(Leasing!37:37,Leasing!1:1,GP24)</f>
        <v>1.1976049729594542</v>
      </c>
      <c r="GQ26" s="52">
        <f>SUMIFS(Leasing!28:28,Leasing!1:1,GQ24)+SUMIFS(Leasing!37:37,Leasing!1:1,GQ24)</f>
        <v>1.1976049729594542</v>
      </c>
      <c r="GR26" s="52">
        <f>SUMIFS(Leasing!28:28,Leasing!1:1,GR24)+SUMIFS(Leasing!37:37,Leasing!1:1,GR24)</f>
        <v>1.1976049729594542</v>
      </c>
      <c r="GS26" s="52">
        <f>SUMIFS(Leasing!28:28,Leasing!1:1,GS24)+SUMIFS(Leasing!37:37,Leasing!1:1,GS24)</f>
        <v>1.1976049729594542</v>
      </c>
      <c r="GT26" s="52">
        <f>SUMIFS(Leasing!28:28,Leasing!1:1,GT24)+SUMIFS(Leasing!37:37,Leasing!1:1,GT24)</f>
        <v>1.1976049729594542</v>
      </c>
      <c r="GU26" s="52">
        <f>SUMIFS(Leasing!28:28,Leasing!1:1,GU24)+SUMIFS(Leasing!37:37,Leasing!1:1,GU24)</f>
        <v>1.1976049729594542</v>
      </c>
      <c r="GV26" s="52">
        <f>SUMIFS(Leasing!28:28,Leasing!1:1,GV24)+SUMIFS(Leasing!37:37,Leasing!1:1,GV24)</f>
        <v>1.1976049729594542</v>
      </c>
      <c r="GW26" s="52">
        <f>SUMIFS(Leasing!28:28,Leasing!1:1,GW24)+SUMIFS(Leasing!37:37,Leasing!1:1,GW24)</f>
        <v>1.1976049729594542</v>
      </c>
      <c r="GX26" s="52">
        <f>SUMIFS(Leasing!28:28,Leasing!1:1,GX24)+SUMIFS(Leasing!37:37,Leasing!1:1,GX24)</f>
        <v>1.1976049729594542</v>
      </c>
      <c r="GY26" s="52">
        <f>SUMIFS(Leasing!28:28,Leasing!1:1,GY24)+SUMIFS(Leasing!37:37,Leasing!1:1,GY24)</f>
        <v>1.257485221607427</v>
      </c>
      <c r="GZ26" s="52">
        <f>SUMIFS(Leasing!28:28,Leasing!1:1,GZ24)+SUMIFS(Leasing!37:37,Leasing!1:1,GZ24)</f>
        <v>1.257485221607427</v>
      </c>
      <c r="HA26" s="52">
        <f>SUMIFS(Leasing!28:28,Leasing!1:1,HA24)+SUMIFS(Leasing!37:37,Leasing!1:1,HA24)</f>
        <v>1.257485221607427</v>
      </c>
      <c r="HB26" s="52">
        <f>SUMIFS(Leasing!28:28,Leasing!1:1,HB24)+SUMIFS(Leasing!37:37,Leasing!1:1,HB24)</f>
        <v>1.257485221607427</v>
      </c>
      <c r="HC26" s="52">
        <f>SUMIFS(Leasing!28:28,Leasing!1:1,HC24)+SUMIFS(Leasing!37:37,Leasing!1:1,HC24)</f>
        <v>1.257485221607427</v>
      </c>
      <c r="HD26" s="52">
        <f>SUMIFS(Leasing!28:28,Leasing!1:1,HD24)+SUMIFS(Leasing!37:37,Leasing!1:1,HD24)</f>
        <v>1.257485221607427</v>
      </c>
      <c r="HE26" s="52">
        <f>SUMIFS(Leasing!28:28,Leasing!1:1,HE24)+SUMIFS(Leasing!37:37,Leasing!1:1,HE24)</f>
        <v>1.257485221607427</v>
      </c>
      <c r="HF26" s="52">
        <f>SUMIFS(Leasing!28:28,Leasing!1:1,HF24)+SUMIFS(Leasing!37:37,Leasing!1:1,HF24)</f>
        <v>1.257485221607427</v>
      </c>
      <c r="HG26" s="52">
        <f>SUMIFS(Leasing!28:28,Leasing!1:1,HG24)+SUMIFS(Leasing!37:37,Leasing!1:1,HG24)</f>
        <v>1.257485221607427</v>
      </c>
      <c r="HH26" s="52">
        <f>SUMIFS(Leasing!28:28,Leasing!1:1,HH24)+SUMIFS(Leasing!37:37,Leasing!1:1,HH24)</f>
        <v>1.257485221607427</v>
      </c>
      <c r="HI26" s="52">
        <f>SUMIFS(Leasing!28:28,Leasing!1:1,HI24)+SUMIFS(Leasing!37:37,Leasing!1:1,HI24)</f>
        <v>1.257485221607427</v>
      </c>
      <c r="HJ26" s="52">
        <f>SUMIFS(Leasing!28:28,Leasing!1:1,HJ24)+SUMIFS(Leasing!37:37,Leasing!1:1,HJ24)</f>
        <v>1.257485221607427</v>
      </c>
      <c r="HK26" s="52">
        <f>SUMIFS(Leasing!28:28,Leasing!1:1,HK24)+SUMIFS(Leasing!37:37,Leasing!1:1,HK24)</f>
        <v>1.3203594826877987</v>
      </c>
      <c r="HL26" s="52">
        <f>SUMIFS(Leasing!28:28,Leasing!1:1,HL24)+SUMIFS(Leasing!37:37,Leasing!1:1,HL24)</f>
        <v>1.3203594826877987</v>
      </c>
      <c r="HM26" s="52">
        <f>SUMIFS(Leasing!28:28,Leasing!1:1,HM24)+SUMIFS(Leasing!37:37,Leasing!1:1,HM24)</f>
        <v>1.3203594826877987</v>
      </c>
      <c r="HN26" s="52">
        <f>SUMIFS(Leasing!28:28,Leasing!1:1,HN24)+SUMIFS(Leasing!37:37,Leasing!1:1,HN24)</f>
        <v>1.3203594826877987</v>
      </c>
      <c r="HO26" s="52">
        <f>SUMIFS(Leasing!28:28,Leasing!1:1,HO24)+SUMIFS(Leasing!37:37,Leasing!1:1,HO24)</f>
        <v>1.3203594826877987</v>
      </c>
      <c r="HP26" s="52">
        <f>SUMIFS(Leasing!28:28,Leasing!1:1,HP24)+SUMIFS(Leasing!37:37,Leasing!1:1,HP24)</f>
        <v>1.3203594826877987</v>
      </c>
      <c r="HQ26" s="52">
        <f>SUMIFS(Leasing!28:28,Leasing!1:1,HQ24)+SUMIFS(Leasing!37:37,Leasing!1:1,HQ24)</f>
        <v>1.3203594826877987</v>
      </c>
      <c r="HR26" s="52">
        <f>SUMIFS(Leasing!28:28,Leasing!1:1,HR24)+SUMIFS(Leasing!37:37,Leasing!1:1,HR24)</f>
        <v>1.3203594826877987</v>
      </c>
      <c r="HS26" s="52">
        <f>SUMIFS(Leasing!28:28,Leasing!1:1,HS24)+SUMIFS(Leasing!37:37,Leasing!1:1,HS24)</f>
        <v>1.3203594826877987</v>
      </c>
      <c r="HT26" s="52">
        <f>SUMIFS(Leasing!28:28,Leasing!1:1,HT24)+SUMIFS(Leasing!37:37,Leasing!1:1,HT24)</f>
        <v>1.3203594826877987</v>
      </c>
      <c r="HU26" s="52">
        <f>SUMIFS(Leasing!28:28,Leasing!1:1,HU24)+SUMIFS(Leasing!37:37,Leasing!1:1,HU24)</f>
        <v>1.3203594826877987</v>
      </c>
      <c r="HV26" s="52">
        <f>SUMIFS(Leasing!28:28,Leasing!1:1,HV24)+SUMIFS(Leasing!37:37,Leasing!1:1,HV24)</f>
        <v>1.3203594826877987</v>
      </c>
      <c r="HW26" s="52">
        <f>SUMIFS(Leasing!28:28,Leasing!1:1,HW24)+SUMIFS(Leasing!37:37,Leasing!1:1,HW24)</f>
        <v>1.3863774568221887</v>
      </c>
      <c r="HX26" s="52">
        <f>SUMIFS(Leasing!28:28,Leasing!1:1,HX24)+SUMIFS(Leasing!37:37,Leasing!1:1,HX24)</f>
        <v>1.3863774568221887</v>
      </c>
      <c r="HY26" s="52">
        <f>SUMIFS(Leasing!28:28,Leasing!1:1,HY24)+SUMIFS(Leasing!37:37,Leasing!1:1,HY24)</f>
        <v>1.3863774568221887</v>
      </c>
      <c r="HZ26" s="52">
        <f>SUMIFS(Leasing!28:28,Leasing!1:1,HZ24)+SUMIFS(Leasing!37:37,Leasing!1:1,HZ24)</f>
        <v>1.3863774568221887</v>
      </c>
      <c r="IA26" s="52">
        <f>SUMIFS(Leasing!28:28,Leasing!1:1,IA24)+SUMIFS(Leasing!37:37,Leasing!1:1,IA24)</f>
        <v>1.3863774568221887</v>
      </c>
      <c r="IB26" s="52">
        <f>SUMIFS(Leasing!28:28,Leasing!1:1,IB24)+SUMIFS(Leasing!37:37,Leasing!1:1,IB24)</f>
        <v>1.3863774568221887</v>
      </c>
      <c r="IC26" s="52">
        <f>SUMIFS(Leasing!28:28,Leasing!1:1,IC24)+SUMIFS(Leasing!37:37,Leasing!1:1,IC24)</f>
        <v>6.4482672410334355E-2</v>
      </c>
      <c r="ID26" s="52">
        <f>SUMIFS(Leasing!28:28,Leasing!1:1,ID24)+SUMIFS(Leasing!37:37,Leasing!1:1,ID24)</f>
        <v>6.4482672410334355E-2</v>
      </c>
      <c r="IE26" s="52">
        <f>SUMIFS(Leasing!28:28,Leasing!1:1,IE24)+SUMIFS(Leasing!37:37,Leasing!1:1,IE24)</f>
        <v>6.4482672410334355E-2</v>
      </c>
      <c r="IF26" s="52">
        <f>SUMIFS(Leasing!28:28,Leasing!1:1,IF24)+SUMIFS(Leasing!37:37,Leasing!1:1,IF24)</f>
        <v>6.4482672410334355E-2</v>
      </c>
      <c r="IG26" s="52">
        <f>SUMIFS(Leasing!28:28,Leasing!1:1,IG24)+SUMIFS(Leasing!37:37,Leasing!1:1,IG24)</f>
        <v>6.4482672410334355E-2</v>
      </c>
      <c r="IH26" s="52">
        <f>SUMIFS(Leasing!28:28,Leasing!1:1,IH24)+SUMIFS(Leasing!37:37,Leasing!1:1,IH24)</f>
        <v>6.4482672410334355E-2</v>
      </c>
      <c r="II26" s="52">
        <f>SUMIFS(Leasing!28:28,Leasing!1:1,II24)+SUMIFS(Leasing!37:37,Leasing!1:1,II24)</f>
        <v>6.7706806030851066E-2</v>
      </c>
      <c r="IJ26" s="52">
        <f>SUMIFS(Leasing!28:28,Leasing!1:1,IJ24)+SUMIFS(Leasing!37:37,Leasing!1:1,IJ24)</f>
        <v>6.7706806030851066E-2</v>
      </c>
      <c r="IK26" s="52">
        <f>SUMIFS(Leasing!28:28,Leasing!1:1,IK24)+SUMIFS(Leasing!37:37,Leasing!1:1,IK24)</f>
        <v>6.7706806030851066E-2</v>
      </c>
      <c r="IL26" s="52">
        <f>SUMIFS(Leasing!28:28,Leasing!1:1,IL24)+SUMIFS(Leasing!37:37,Leasing!1:1,IL24)</f>
        <v>6.7706806030851066E-2</v>
      </c>
      <c r="IM26" s="52">
        <f>SUMIFS(Leasing!28:28,Leasing!1:1,IM24)+SUMIFS(Leasing!37:37,Leasing!1:1,IM24)</f>
        <v>6.7706806030851066E-2</v>
      </c>
      <c r="IN26" s="52">
        <f>SUMIFS(Leasing!28:28,Leasing!1:1,IN24)+SUMIFS(Leasing!37:37,Leasing!1:1,IN24)</f>
        <v>6.7706806030851066E-2</v>
      </c>
      <c r="IO26" s="52">
        <f>SUMIFS(Leasing!28:28,Leasing!1:1,IO24)+SUMIFS(Leasing!37:37,Leasing!1:1,IO24)</f>
        <v>6.7706806030851066E-2</v>
      </c>
      <c r="IP26" s="52">
        <f>SUMIFS(Leasing!28:28,Leasing!1:1,IP24)+SUMIFS(Leasing!37:37,Leasing!1:1,IP24)</f>
        <v>6.7706806030851066E-2</v>
      </c>
      <c r="IQ26" s="52">
        <f>SUMIFS(Leasing!28:28,Leasing!1:1,IQ24)+SUMIFS(Leasing!37:37,Leasing!1:1,IQ24)</f>
        <v>6.7706806030851066E-2</v>
      </c>
      <c r="IR26" s="52">
        <f>SUMIFS(Leasing!28:28,Leasing!1:1,IR24)+SUMIFS(Leasing!37:37,Leasing!1:1,IR24)</f>
        <v>6.7706806030851066E-2</v>
      </c>
      <c r="IS26" s="52">
        <f>SUMIFS(Leasing!28:28,Leasing!1:1,IS24)+SUMIFS(Leasing!37:37,Leasing!1:1,IS24)</f>
        <v>6.7706806030851066E-2</v>
      </c>
      <c r="IT26" s="52">
        <f>SUMIFS(Leasing!28:28,Leasing!1:1,IT24)+SUMIFS(Leasing!37:37,Leasing!1:1,IT24)</f>
        <v>6.7706806030851066E-2</v>
      </c>
      <c r="IU26" s="52">
        <f>SUMIFS(Leasing!28:28,Leasing!1:1,IU24)+SUMIFS(Leasing!37:37,Leasing!1:1,IU24)</f>
        <v>7.1092146332393635E-2</v>
      </c>
      <c r="IV26" s="52">
        <f>SUMIFS(Leasing!28:28,Leasing!1:1,IV24)+SUMIFS(Leasing!37:37,Leasing!1:1,IV24)</f>
        <v>7.1092146332393635E-2</v>
      </c>
      <c r="IW26" s="52">
        <f>SUMIFS(Leasing!28:28,Leasing!1:1,IW24)+SUMIFS(Leasing!37:37,Leasing!1:1,IW24)</f>
        <v>7.1092146332393635E-2</v>
      </c>
      <c r="IX26" s="52">
        <f>SUMIFS(Leasing!28:28,Leasing!1:1,IX24)+SUMIFS(Leasing!37:37,Leasing!1:1,IX24)</f>
        <v>7.1092146332393635E-2</v>
      </c>
      <c r="IY26" s="52">
        <f>SUMIFS(Leasing!28:28,Leasing!1:1,IY24)+SUMIFS(Leasing!37:37,Leasing!1:1,IY24)</f>
        <v>7.1092146332393635E-2</v>
      </c>
      <c r="IZ26" s="52">
        <f>SUMIFS(Leasing!28:28,Leasing!1:1,IZ24)+SUMIFS(Leasing!37:37,Leasing!1:1,IZ24)</f>
        <v>7.1092146332393635E-2</v>
      </c>
      <c r="JA26" s="52">
        <f>SUMIFS(Leasing!28:28,Leasing!1:1,JA24)+SUMIFS(Leasing!37:37,Leasing!1:1,JA24)</f>
        <v>7.1092146332393635E-2</v>
      </c>
      <c r="JB26" s="52">
        <f>SUMIFS(Leasing!28:28,Leasing!1:1,JB24)+SUMIFS(Leasing!37:37,Leasing!1:1,JB24)</f>
        <v>7.1092146332393635E-2</v>
      </c>
      <c r="JC26" s="52">
        <f>SUMIFS(Leasing!28:28,Leasing!1:1,JC24)+SUMIFS(Leasing!37:37,Leasing!1:1,JC24)</f>
        <v>7.1092146332393635E-2</v>
      </c>
      <c r="JD26" s="52">
        <f>SUMIFS(Leasing!28:28,Leasing!1:1,JD24)+SUMIFS(Leasing!37:37,Leasing!1:1,JD24)</f>
        <v>7.1092146332393635E-2</v>
      </c>
      <c r="JE26" s="52">
        <f>SUMIFS(Leasing!28:28,Leasing!1:1,JE24)+SUMIFS(Leasing!37:37,Leasing!1:1,JE24)</f>
        <v>7.1092146332393635E-2</v>
      </c>
      <c r="JF26" s="52">
        <f>SUMIFS(Leasing!28:28,Leasing!1:1,JF24)+SUMIFS(Leasing!37:37,Leasing!1:1,JF24)</f>
        <v>7.1092146332393635E-2</v>
      </c>
      <c r="JG26" s="52">
        <f>SUMIFS(Leasing!28:28,Leasing!1:1,JG24)+SUMIFS(Leasing!37:37,Leasing!1:1,JG24)</f>
        <v>7.4646753649013312E-2</v>
      </c>
      <c r="JH26" s="52">
        <f>SUMIFS(Leasing!28:28,Leasing!1:1,JH24)+SUMIFS(Leasing!37:37,Leasing!1:1,JH24)</f>
        <v>7.4646753649013312E-2</v>
      </c>
      <c r="JI26" s="52">
        <f>SUMIFS(Leasing!28:28,Leasing!1:1,JI24)+SUMIFS(Leasing!37:37,Leasing!1:1,JI24)</f>
        <v>7.4646753649013312E-2</v>
      </c>
      <c r="JJ26" s="52">
        <f>SUMIFS(Leasing!28:28,Leasing!1:1,JJ24)+SUMIFS(Leasing!37:37,Leasing!1:1,JJ24)</f>
        <v>0</v>
      </c>
      <c r="JK26" s="52">
        <f>SUMIFS(Leasing!28:28,Leasing!1:1,JK24)+SUMIFS(Leasing!37:37,Leasing!1:1,JK24)</f>
        <v>0</v>
      </c>
      <c r="JL26" s="52">
        <f>SUMIFS(Leasing!28:28,Leasing!1:1,JL24)+SUMIFS(Leasing!37:37,Leasing!1:1,JL24)</f>
        <v>0</v>
      </c>
      <c r="JM26" s="52">
        <f>SUMIFS(Leasing!28:28,Leasing!1:1,JM24)+SUMIFS(Leasing!37:37,Leasing!1:1,JM24)</f>
        <v>0</v>
      </c>
      <c r="JN26" s="52">
        <f>SUMIFS(Leasing!28:28,Leasing!1:1,JN24)+SUMIFS(Leasing!37:37,Leasing!1:1,JN24)</f>
        <v>0</v>
      </c>
      <c r="JO26" s="52">
        <f>SUMIFS(Leasing!28:28,Leasing!1:1,JO24)+SUMIFS(Leasing!37:37,Leasing!1:1,JO24)</f>
        <v>0</v>
      </c>
      <c r="JP26" s="539">
        <f>SUM(C26:JO26)</f>
        <v>211.65248524436421</v>
      </c>
    </row>
    <row r="27" spans="1:310" x14ac:dyDescent="0.3">
      <c r="B27" s="169" t="s">
        <v>326</v>
      </c>
      <c r="C27" s="52">
        <f>C26*$C$14</f>
        <v>2.7431831845346245E-2</v>
      </c>
      <c r="D27" s="52">
        <f t="shared" ref="D27:BO27" si="16">D26*$C$14</f>
        <v>2.7431831845346245E-2</v>
      </c>
      <c r="E27" s="52">
        <f t="shared" si="16"/>
        <v>2.7431831845346245E-2</v>
      </c>
      <c r="F27" s="52">
        <f t="shared" si="16"/>
        <v>2.7431831845346245E-2</v>
      </c>
      <c r="G27" s="52">
        <f t="shared" si="16"/>
        <v>2.7431831845346245E-2</v>
      </c>
      <c r="H27" s="52">
        <f t="shared" si="16"/>
        <v>2.7431831845346245E-2</v>
      </c>
      <c r="I27" s="52">
        <f t="shared" si="16"/>
        <v>2.7431831845346245E-2</v>
      </c>
      <c r="J27" s="52">
        <f t="shared" si="16"/>
        <v>2.7431831845346245E-2</v>
      </c>
      <c r="K27" s="52">
        <f t="shared" si="16"/>
        <v>2.7431831845346245E-2</v>
      </c>
      <c r="L27" s="52">
        <f t="shared" si="16"/>
        <v>2.7431831845346245E-2</v>
      </c>
      <c r="M27" s="52">
        <f t="shared" si="16"/>
        <v>2.7431831845346245E-2</v>
      </c>
      <c r="N27" s="52">
        <f t="shared" si="16"/>
        <v>2.7431831845346245E-2</v>
      </c>
      <c r="O27" s="52">
        <f t="shared" si="16"/>
        <v>2.8803423437613565E-2</v>
      </c>
      <c r="P27" s="52">
        <f t="shared" si="16"/>
        <v>2.8803423437613565E-2</v>
      </c>
      <c r="Q27" s="52">
        <f t="shared" si="16"/>
        <v>2.8803423437613565E-2</v>
      </c>
      <c r="R27" s="52">
        <f t="shared" si="16"/>
        <v>2.8803423437613565E-2</v>
      </c>
      <c r="S27" s="52">
        <f t="shared" si="16"/>
        <v>2.8803423437613565E-2</v>
      </c>
      <c r="T27" s="52">
        <f t="shared" si="16"/>
        <v>2.8803423437613565E-2</v>
      </c>
      <c r="U27" s="52">
        <f t="shared" si="16"/>
        <v>2.8803423437613565E-2</v>
      </c>
      <c r="V27" s="52">
        <f t="shared" si="16"/>
        <v>2.8803423437613565E-2</v>
      </c>
      <c r="W27" s="52">
        <f t="shared" si="16"/>
        <v>2.8803423437613565E-2</v>
      </c>
      <c r="X27" s="52">
        <f t="shared" si="16"/>
        <v>2.8803423437613565E-2</v>
      </c>
      <c r="Y27" s="52">
        <f t="shared" si="16"/>
        <v>2.8803423437613565E-2</v>
      </c>
      <c r="Z27" s="52">
        <f t="shared" si="16"/>
        <v>2.8803423437613565E-2</v>
      </c>
      <c r="AA27" s="52">
        <f t="shared" si="16"/>
        <v>3.0243594609494242E-2</v>
      </c>
      <c r="AB27" s="52">
        <f t="shared" si="16"/>
        <v>3.0243594609494242E-2</v>
      </c>
      <c r="AC27" s="52">
        <f t="shared" si="16"/>
        <v>3.0243594609494242E-2</v>
      </c>
      <c r="AD27" s="52">
        <f t="shared" si="16"/>
        <v>3.0243594609494242E-2</v>
      </c>
      <c r="AE27" s="52">
        <f t="shared" si="16"/>
        <v>3.0243594609494242E-2</v>
      </c>
      <c r="AF27" s="52">
        <f t="shared" si="16"/>
        <v>3.0243594609494242E-2</v>
      </c>
      <c r="AG27" s="52">
        <f t="shared" si="16"/>
        <v>3.0243594609494242E-2</v>
      </c>
      <c r="AH27" s="52">
        <f t="shared" si="16"/>
        <v>3.0243594609494242E-2</v>
      </c>
      <c r="AI27" s="52">
        <f t="shared" si="16"/>
        <v>3.0243594609494242E-2</v>
      </c>
      <c r="AJ27" s="52">
        <f t="shared" si="16"/>
        <v>3.0243594609494242E-2</v>
      </c>
      <c r="AK27" s="52">
        <f t="shared" si="16"/>
        <v>3.0243594609494242E-2</v>
      </c>
      <c r="AL27" s="52">
        <f t="shared" si="16"/>
        <v>3.0243594609494242E-2</v>
      </c>
      <c r="AM27" s="52">
        <f t="shared" si="16"/>
        <v>3.1755774339968963E-2</v>
      </c>
      <c r="AN27" s="52">
        <f t="shared" si="16"/>
        <v>3.1755774339968963E-2</v>
      </c>
      <c r="AO27" s="52">
        <f t="shared" si="16"/>
        <v>3.1755774339968963E-2</v>
      </c>
      <c r="AP27" s="52">
        <f t="shared" si="16"/>
        <v>3.1755774339968963E-2</v>
      </c>
      <c r="AQ27" s="52">
        <f t="shared" si="16"/>
        <v>3.1755774339968963E-2</v>
      </c>
      <c r="AR27" s="52">
        <f t="shared" si="16"/>
        <v>3.1755774339968963E-2</v>
      </c>
      <c r="AS27" s="52">
        <f t="shared" si="16"/>
        <v>3.1755774339968963E-2</v>
      </c>
      <c r="AT27" s="52">
        <f t="shared" si="16"/>
        <v>3.1755774339968963E-2</v>
      </c>
      <c r="AU27" s="52">
        <f t="shared" si="16"/>
        <v>3.1755774339968963E-2</v>
      </c>
      <c r="AV27" s="52">
        <f t="shared" si="16"/>
        <v>3.1755774339968963E-2</v>
      </c>
      <c r="AW27" s="52">
        <f t="shared" si="16"/>
        <v>3.1755774339968963E-2</v>
      </c>
      <c r="AX27" s="52">
        <f t="shared" si="16"/>
        <v>3.1755774339968963E-2</v>
      </c>
      <c r="AY27" s="52">
        <f t="shared" si="16"/>
        <v>3.334356305696741E-2</v>
      </c>
      <c r="AZ27" s="52">
        <f t="shared" si="16"/>
        <v>3.334356305696741E-2</v>
      </c>
      <c r="BA27" s="52">
        <f t="shared" si="16"/>
        <v>3.334356305696741E-2</v>
      </c>
      <c r="BB27" s="52">
        <f t="shared" si="16"/>
        <v>3.334356305696741E-2</v>
      </c>
      <c r="BC27" s="52">
        <f t="shared" si="16"/>
        <v>3.334356305696741E-2</v>
      </c>
      <c r="BD27" s="52">
        <f t="shared" si="16"/>
        <v>3.334356305696741E-2</v>
      </c>
      <c r="BE27" s="52">
        <f t="shared" si="16"/>
        <v>3.334356305696741E-2</v>
      </c>
      <c r="BF27" s="52">
        <f t="shared" si="16"/>
        <v>3.334356305696741E-2</v>
      </c>
      <c r="BG27" s="52">
        <f t="shared" si="16"/>
        <v>3.334356305696741E-2</v>
      </c>
      <c r="BH27" s="52">
        <f t="shared" si="16"/>
        <v>3.334356305696741E-2</v>
      </c>
      <c r="BI27" s="52">
        <f t="shared" si="16"/>
        <v>3.334356305696741E-2</v>
      </c>
      <c r="BJ27" s="52">
        <f t="shared" si="16"/>
        <v>3.334356305696741E-2</v>
      </c>
      <c r="BK27" s="52">
        <f t="shared" si="16"/>
        <v>3.5010741209815781E-2</v>
      </c>
      <c r="BL27" s="52">
        <f t="shared" si="16"/>
        <v>3.5010741209815781E-2</v>
      </c>
      <c r="BM27" s="52">
        <f t="shared" si="16"/>
        <v>3.5010741209815781E-2</v>
      </c>
      <c r="BN27" s="52">
        <f t="shared" si="16"/>
        <v>3.5010741209815781E-2</v>
      </c>
      <c r="BO27" s="52">
        <f t="shared" si="16"/>
        <v>3.5010741209815781E-2</v>
      </c>
      <c r="BP27" s="52">
        <f t="shared" ref="BP27:EA27" si="17">BP26*$C$14</f>
        <v>3.5010741209815781E-2</v>
      </c>
      <c r="BQ27" s="52">
        <f t="shared" si="17"/>
        <v>3.5010741209815781E-2</v>
      </c>
      <c r="BR27" s="52">
        <f t="shared" si="17"/>
        <v>3.5010741209815781E-2</v>
      </c>
      <c r="BS27" s="52">
        <f t="shared" si="17"/>
        <v>3.5010741209815781E-2</v>
      </c>
      <c r="BT27" s="52">
        <f t="shared" si="17"/>
        <v>3.5010741209815781E-2</v>
      </c>
      <c r="BU27" s="52">
        <f t="shared" si="17"/>
        <v>3.5010741209815781E-2</v>
      </c>
      <c r="BV27" s="52">
        <f t="shared" si="17"/>
        <v>3.5010741209815781E-2</v>
      </c>
      <c r="BW27" s="52">
        <f t="shared" si="17"/>
        <v>3.6761278270306563E-2</v>
      </c>
      <c r="BX27" s="52">
        <f t="shared" si="17"/>
        <v>3.6761278270306563E-2</v>
      </c>
      <c r="BY27" s="52">
        <f t="shared" si="17"/>
        <v>3.6761278270306563E-2</v>
      </c>
      <c r="BZ27" s="52">
        <f t="shared" si="17"/>
        <v>3.6761278270306563E-2</v>
      </c>
      <c r="CA27" s="52">
        <f t="shared" si="17"/>
        <v>3.6761278270306563E-2</v>
      </c>
      <c r="CB27" s="52">
        <f t="shared" si="17"/>
        <v>3.6761278270306563E-2</v>
      </c>
      <c r="CC27" s="52">
        <f t="shared" si="17"/>
        <v>3.6761278270306563E-2</v>
      </c>
      <c r="CD27" s="52">
        <f t="shared" si="17"/>
        <v>3.6761278270306563E-2</v>
      </c>
      <c r="CE27" s="52">
        <f t="shared" si="17"/>
        <v>3.6761278270306563E-2</v>
      </c>
      <c r="CF27" s="52">
        <f t="shared" si="17"/>
        <v>3.6761278270306563E-2</v>
      </c>
      <c r="CG27" s="52">
        <f t="shared" si="17"/>
        <v>3.6761278270306563E-2</v>
      </c>
      <c r="CH27" s="52">
        <f t="shared" si="17"/>
        <v>3.6761278270306563E-2</v>
      </c>
      <c r="CI27" s="52">
        <f t="shared" si="17"/>
        <v>3.8599342183821897E-2</v>
      </c>
      <c r="CJ27" s="52">
        <f t="shared" si="17"/>
        <v>3.8599342183821897E-2</v>
      </c>
      <c r="CK27" s="52">
        <f t="shared" si="17"/>
        <v>3.8599342183821897E-2</v>
      </c>
      <c r="CL27" s="52">
        <f t="shared" si="17"/>
        <v>3.8599342183821897E-2</v>
      </c>
      <c r="CM27" s="52">
        <f t="shared" si="17"/>
        <v>3.8599342183821897E-2</v>
      </c>
      <c r="CN27" s="52">
        <f t="shared" si="17"/>
        <v>3.8599342183821897E-2</v>
      </c>
      <c r="CO27" s="52">
        <f t="shared" si="17"/>
        <v>3.8599342183821897E-2</v>
      </c>
      <c r="CP27" s="52">
        <f t="shared" si="17"/>
        <v>3.8599342183821897E-2</v>
      </c>
      <c r="CQ27" s="52">
        <f t="shared" si="17"/>
        <v>3.8599342183821897E-2</v>
      </c>
      <c r="CR27" s="52">
        <f t="shared" si="17"/>
        <v>3.8599342183821897E-2</v>
      </c>
      <c r="CS27" s="52">
        <f t="shared" si="17"/>
        <v>3.8599342183821897E-2</v>
      </c>
      <c r="CT27" s="52">
        <f t="shared" si="17"/>
        <v>3.8599342183821897E-2</v>
      </c>
      <c r="CU27" s="52">
        <f t="shared" si="17"/>
        <v>4.0529309293012995E-2</v>
      </c>
      <c r="CV27" s="52">
        <f t="shared" si="17"/>
        <v>4.0529309293012995E-2</v>
      </c>
      <c r="CW27" s="52">
        <f t="shared" si="17"/>
        <v>4.0529309293012995E-2</v>
      </c>
      <c r="CX27" s="52">
        <f t="shared" si="17"/>
        <v>4.0529309293012995E-2</v>
      </c>
      <c r="CY27" s="52">
        <f t="shared" si="17"/>
        <v>4.0529309293012995E-2</v>
      </c>
      <c r="CZ27" s="52">
        <f t="shared" si="17"/>
        <v>4.0529309293012995E-2</v>
      </c>
      <c r="DA27" s="52">
        <f t="shared" si="17"/>
        <v>4.0529309293012995E-2</v>
      </c>
      <c r="DB27" s="52">
        <f t="shared" si="17"/>
        <v>4.0529309293012995E-2</v>
      </c>
      <c r="DC27" s="52">
        <f t="shared" si="17"/>
        <v>4.0529309293012995E-2</v>
      </c>
      <c r="DD27" s="52">
        <f t="shared" si="17"/>
        <v>4.0529309293012995E-2</v>
      </c>
      <c r="DE27" s="52">
        <f t="shared" si="17"/>
        <v>4.0529309293012995E-2</v>
      </c>
      <c r="DF27" s="52">
        <f t="shared" si="17"/>
        <v>4.0529309293012995E-2</v>
      </c>
      <c r="DG27" s="52">
        <f t="shared" si="17"/>
        <v>4.2555774757663645E-2</v>
      </c>
      <c r="DH27" s="52">
        <f t="shared" si="17"/>
        <v>4.2555774757663645E-2</v>
      </c>
      <c r="DI27" s="52">
        <f t="shared" si="17"/>
        <v>4.2555774757663645E-2</v>
      </c>
      <c r="DJ27" s="52">
        <f t="shared" si="17"/>
        <v>4.2555774757663645E-2</v>
      </c>
      <c r="DK27" s="52">
        <f t="shared" si="17"/>
        <v>4.2555774757663645E-2</v>
      </c>
      <c r="DL27" s="52">
        <f t="shared" si="17"/>
        <v>4.2555774757663645E-2</v>
      </c>
      <c r="DM27" s="52">
        <f t="shared" si="17"/>
        <v>4.2555774757663645E-2</v>
      </c>
      <c r="DN27" s="52">
        <f t="shared" si="17"/>
        <v>4.2555774757663645E-2</v>
      </c>
      <c r="DO27" s="52">
        <f t="shared" si="17"/>
        <v>4.2555774757663645E-2</v>
      </c>
      <c r="DP27" s="52">
        <f t="shared" si="17"/>
        <v>4.2555774757663645E-2</v>
      </c>
      <c r="DQ27" s="52">
        <f t="shared" si="17"/>
        <v>4.2555774757663645E-2</v>
      </c>
      <c r="DR27" s="52">
        <f t="shared" si="17"/>
        <v>4.2555774757663645E-2</v>
      </c>
      <c r="DS27" s="52">
        <f t="shared" si="17"/>
        <v>4.4683563495546835E-2</v>
      </c>
      <c r="DT27" s="52">
        <f t="shared" si="17"/>
        <v>4.4683563495546835E-2</v>
      </c>
      <c r="DU27" s="52">
        <f t="shared" si="17"/>
        <v>4.4683563495546835E-2</v>
      </c>
      <c r="DV27" s="52">
        <f t="shared" si="17"/>
        <v>4.4683563495546835E-2</v>
      </c>
      <c r="DW27" s="52">
        <f t="shared" si="17"/>
        <v>4.4683563495546835E-2</v>
      </c>
      <c r="DX27" s="52">
        <f t="shared" si="17"/>
        <v>4.4683563495546835E-2</v>
      </c>
      <c r="DY27" s="52">
        <f t="shared" si="17"/>
        <v>4.4683563495546835E-2</v>
      </c>
      <c r="DZ27" s="52">
        <f t="shared" si="17"/>
        <v>4.4683563495546835E-2</v>
      </c>
      <c r="EA27" s="52">
        <f t="shared" si="17"/>
        <v>4.4683563495546835E-2</v>
      </c>
      <c r="EB27" s="52">
        <f t="shared" ref="EB27:GM27" si="18">EB26*$C$14</f>
        <v>4.4683563495546835E-2</v>
      </c>
      <c r="EC27" s="52">
        <f t="shared" si="18"/>
        <v>4.4683563495546835E-2</v>
      </c>
      <c r="ED27" s="52">
        <f t="shared" si="18"/>
        <v>4.4683563495546835E-2</v>
      </c>
      <c r="EE27" s="52">
        <f t="shared" si="18"/>
        <v>4.6917741670324184E-2</v>
      </c>
      <c r="EF27" s="52">
        <f t="shared" si="18"/>
        <v>4.6917741670324184E-2</v>
      </c>
      <c r="EG27" s="52">
        <f t="shared" si="18"/>
        <v>4.6917741670324184E-2</v>
      </c>
      <c r="EH27" s="52">
        <f t="shared" si="18"/>
        <v>4.6917741670324184E-2</v>
      </c>
      <c r="EI27" s="52">
        <f t="shared" si="18"/>
        <v>4.6917741670324184E-2</v>
      </c>
      <c r="EJ27" s="52">
        <f t="shared" si="18"/>
        <v>4.6917741670324184E-2</v>
      </c>
      <c r="EK27" s="52">
        <f t="shared" si="18"/>
        <v>4.6917741670324184E-2</v>
      </c>
      <c r="EL27" s="52">
        <f t="shared" si="18"/>
        <v>4.6917741670324184E-2</v>
      </c>
      <c r="EM27" s="52">
        <f t="shared" si="18"/>
        <v>4.6917741670324184E-2</v>
      </c>
      <c r="EN27" s="52">
        <f t="shared" si="18"/>
        <v>4.6917741670324184E-2</v>
      </c>
      <c r="EO27" s="52">
        <f t="shared" si="18"/>
        <v>4.6917741670324184E-2</v>
      </c>
      <c r="EP27" s="52">
        <f t="shared" si="18"/>
        <v>4.6917741670324184E-2</v>
      </c>
      <c r="EQ27" s="52">
        <f t="shared" si="18"/>
        <v>4.9263628753840397E-2</v>
      </c>
      <c r="ER27" s="52">
        <f t="shared" si="18"/>
        <v>4.9263628753840397E-2</v>
      </c>
      <c r="ES27" s="52">
        <f t="shared" si="18"/>
        <v>4.9263628753840397E-2</v>
      </c>
      <c r="ET27" s="52">
        <f t="shared" si="18"/>
        <v>4.9263628753840397E-2</v>
      </c>
      <c r="EU27" s="52">
        <f t="shared" si="18"/>
        <v>4.9263628753840397E-2</v>
      </c>
      <c r="EV27" s="52">
        <f t="shared" si="18"/>
        <v>4.9263628753840397E-2</v>
      </c>
      <c r="EW27" s="52">
        <f t="shared" si="18"/>
        <v>4.9263628753840397E-2</v>
      </c>
      <c r="EX27" s="52">
        <f t="shared" si="18"/>
        <v>4.9263628753840397E-2</v>
      </c>
      <c r="EY27" s="52">
        <f t="shared" si="18"/>
        <v>4.9263628753840397E-2</v>
      </c>
      <c r="EZ27" s="52">
        <f t="shared" si="18"/>
        <v>4.9263628753840397E-2</v>
      </c>
      <c r="FA27" s="52">
        <f t="shared" si="18"/>
        <v>4.9263628753840397E-2</v>
      </c>
      <c r="FB27" s="52">
        <f t="shared" si="18"/>
        <v>4.9263628753840397E-2</v>
      </c>
      <c r="FC27" s="52">
        <f t="shared" si="18"/>
        <v>5.1726810191532406E-2</v>
      </c>
      <c r="FD27" s="52">
        <f t="shared" si="18"/>
        <v>5.1726810191532406E-2</v>
      </c>
      <c r="FE27" s="52">
        <f t="shared" si="18"/>
        <v>5.1726810191532406E-2</v>
      </c>
      <c r="FF27" s="52">
        <f t="shared" si="18"/>
        <v>5.1726810191532406E-2</v>
      </c>
      <c r="FG27" s="52">
        <f t="shared" si="18"/>
        <v>5.1726810191532406E-2</v>
      </c>
      <c r="FH27" s="52">
        <f t="shared" si="18"/>
        <v>5.1726810191532406E-2</v>
      </c>
      <c r="FI27" s="52">
        <f t="shared" si="18"/>
        <v>5.1726810191532406E-2</v>
      </c>
      <c r="FJ27" s="52">
        <f t="shared" si="18"/>
        <v>5.1726810191532406E-2</v>
      </c>
      <c r="FK27" s="52">
        <f t="shared" si="18"/>
        <v>5.1726810191532406E-2</v>
      </c>
      <c r="FL27" s="52">
        <f t="shared" si="18"/>
        <v>5.1726810191532406E-2</v>
      </c>
      <c r="FM27" s="52">
        <f t="shared" si="18"/>
        <v>5.1726810191532406E-2</v>
      </c>
      <c r="FN27" s="52">
        <f t="shared" si="18"/>
        <v>5.1726810191532406E-2</v>
      </c>
      <c r="FO27" s="52">
        <f t="shared" si="18"/>
        <v>5.4313150701109036E-2</v>
      </c>
      <c r="FP27" s="52">
        <f t="shared" si="18"/>
        <v>5.4313150701109036E-2</v>
      </c>
      <c r="FQ27" s="52">
        <f t="shared" si="18"/>
        <v>5.4313150701109036E-2</v>
      </c>
      <c r="FR27" s="52">
        <f t="shared" si="18"/>
        <v>5.4313150701109036E-2</v>
      </c>
      <c r="FS27" s="52">
        <f t="shared" si="18"/>
        <v>5.4313150701109036E-2</v>
      </c>
      <c r="FT27" s="52">
        <f t="shared" si="18"/>
        <v>5.4313150701109036E-2</v>
      </c>
      <c r="FU27" s="52">
        <f t="shared" si="18"/>
        <v>5.4313150701109036E-2</v>
      </c>
      <c r="FV27" s="52">
        <f t="shared" si="18"/>
        <v>5.4313150701109036E-2</v>
      </c>
      <c r="FW27" s="52">
        <f t="shared" si="18"/>
        <v>5.4313150701109036E-2</v>
      </c>
      <c r="FX27" s="52">
        <f t="shared" si="18"/>
        <v>5.4313150701109036E-2</v>
      </c>
      <c r="FY27" s="52">
        <f t="shared" si="18"/>
        <v>5.4313150701109036E-2</v>
      </c>
      <c r="FZ27" s="52">
        <f t="shared" si="18"/>
        <v>5.4313150701109036E-2</v>
      </c>
      <c r="GA27" s="52">
        <f t="shared" si="18"/>
        <v>5.7028808236164491E-2</v>
      </c>
      <c r="GB27" s="52">
        <f t="shared" si="18"/>
        <v>5.7028808236164491E-2</v>
      </c>
      <c r="GC27" s="52">
        <f t="shared" si="18"/>
        <v>5.7028808236164491E-2</v>
      </c>
      <c r="GD27" s="52">
        <f t="shared" si="18"/>
        <v>5.7028808236164491E-2</v>
      </c>
      <c r="GE27" s="52">
        <f t="shared" si="18"/>
        <v>5.7028808236164491E-2</v>
      </c>
      <c r="GF27" s="52">
        <f t="shared" si="18"/>
        <v>5.7028808236164491E-2</v>
      </c>
      <c r="GG27" s="52">
        <f t="shared" si="18"/>
        <v>5.7028808236164491E-2</v>
      </c>
      <c r="GH27" s="52">
        <f t="shared" si="18"/>
        <v>5.7028808236164491E-2</v>
      </c>
      <c r="GI27" s="52">
        <f t="shared" si="18"/>
        <v>5.7028808236164491E-2</v>
      </c>
      <c r="GJ27" s="52">
        <f t="shared" si="18"/>
        <v>5.7028808236164491E-2</v>
      </c>
      <c r="GK27" s="52">
        <f t="shared" si="18"/>
        <v>5.7028808236164491E-2</v>
      </c>
      <c r="GL27" s="52">
        <f t="shared" si="18"/>
        <v>5.7028808236164491E-2</v>
      </c>
      <c r="GM27" s="52">
        <f t="shared" si="18"/>
        <v>5.9880248647972714E-2</v>
      </c>
      <c r="GN27" s="52">
        <f t="shared" ref="GN27:IY27" si="19">GN26*$C$14</f>
        <v>5.9880248647972714E-2</v>
      </c>
      <c r="GO27" s="52">
        <f t="shared" si="19"/>
        <v>5.9880248647972714E-2</v>
      </c>
      <c r="GP27" s="52">
        <f t="shared" si="19"/>
        <v>5.9880248647972714E-2</v>
      </c>
      <c r="GQ27" s="52">
        <f t="shared" si="19"/>
        <v>5.9880248647972714E-2</v>
      </c>
      <c r="GR27" s="52">
        <f t="shared" si="19"/>
        <v>5.9880248647972714E-2</v>
      </c>
      <c r="GS27" s="52">
        <f t="shared" si="19"/>
        <v>5.9880248647972714E-2</v>
      </c>
      <c r="GT27" s="52">
        <f t="shared" si="19"/>
        <v>5.9880248647972714E-2</v>
      </c>
      <c r="GU27" s="52">
        <f t="shared" si="19"/>
        <v>5.9880248647972714E-2</v>
      </c>
      <c r="GV27" s="52">
        <f t="shared" si="19"/>
        <v>5.9880248647972714E-2</v>
      </c>
      <c r="GW27" s="52">
        <f t="shared" si="19"/>
        <v>5.9880248647972714E-2</v>
      </c>
      <c r="GX27" s="52">
        <f t="shared" si="19"/>
        <v>5.9880248647972714E-2</v>
      </c>
      <c r="GY27" s="52">
        <f t="shared" si="19"/>
        <v>6.2874261080371349E-2</v>
      </c>
      <c r="GZ27" s="52">
        <f t="shared" si="19"/>
        <v>6.2874261080371349E-2</v>
      </c>
      <c r="HA27" s="52">
        <f t="shared" si="19"/>
        <v>6.2874261080371349E-2</v>
      </c>
      <c r="HB27" s="52">
        <f t="shared" si="19"/>
        <v>6.2874261080371349E-2</v>
      </c>
      <c r="HC27" s="52">
        <f t="shared" si="19"/>
        <v>6.2874261080371349E-2</v>
      </c>
      <c r="HD27" s="52">
        <f t="shared" si="19"/>
        <v>6.2874261080371349E-2</v>
      </c>
      <c r="HE27" s="52">
        <f t="shared" si="19"/>
        <v>6.2874261080371349E-2</v>
      </c>
      <c r="HF27" s="52">
        <f t="shared" si="19"/>
        <v>6.2874261080371349E-2</v>
      </c>
      <c r="HG27" s="52">
        <f t="shared" si="19"/>
        <v>6.2874261080371349E-2</v>
      </c>
      <c r="HH27" s="52">
        <f t="shared" si="19"/>
        <v>6.2874261080371349E-2</v>
      </c>
      <c r="HI27" s="52">
        <f t="shared" si="19"/>
        <v>6.2874261080371349E-2</v>
      </c>
      <c r="HJ27" s="52">
        <f t="shared" si="19"/>
        <v>6.2874261080371349E-2</v>
      </c>
      <c r="HK27" s="52">
        <f t="shared" si="19"/>
        <v>6.6017974134389937E-2</v>
      </c>
      <c r="HL27" s="52">
        <f t="shared" si="19"/>
        <v>6.6017974134389937E-2</v>
      </c>
      <c r="HM27" s="52">
        <f t="shared" si="19"/>
        <v>6.6017974134389937E-2</v>
      </c>
      <c r="HN27" s="52">
        <f t="shared" si="19"/>
        <v>6.6017974134389937E-2</v>
      </c>
      <c r="HO27" s="52">
        <f t="shared" si="19"/>
        <v>6.6017974134389937E-2</v>
      </c>
      <c r="HP27" s="52">
        <f t="shared" si="19"/>
        <v>6.6017974134389937E-2</v>
      </c>
      <c r="HQ27" s="52">
        <f t="shared" si="19"/>
        <v>6.6017974134389937E-2</v>
      </c>
      <c r="HR27" s="52">
        <f t="shared" si="19"/>
        <v>6.6017974134389937E-2</v>
      </c>
      <c r="HS27" s="52">
        <f t="shared" si="19"/>
        <v>6.6017974134389937E-2</v>
      </c>
      <c r="HT27" s="52">
        <f t="shared" si="19"/>
        <v>6.6017974134389937E-2</v>
      </c>
      <c r="HU27" s="52">
        <f t="shared" si="19"/>
        <v>6.6017974134389937E-2</v>
      </c>
      <c r="HV27" s="52">
        <f t="shared" si="19"/>
        <v>6.6017974134389937E-2</v>
      </c>
      <c r="HW27" s="52">
        <f t="shared" si="19"/>
        <v>6.9318872841109436E-2</v>
      </c>
      <c r="HX27" s="52">
        <f t="shared" si="19"/>
        <v>6.9318872841109436E-2</v>
      </c>
      <c r="HY27" s="52">
        <f t="shared" si="19"/>
        <v>6.9318872841109436E-2</v>
      </c>
      <c r="HZ27" s="52">
        <f t="shared" si="19"/>
        <v>6.9318872841109436E-2</v>
      </c>
      <c r="IA27" s="52">
        <f t="shared" si="19"/>
        <v>6.9318872841109436E-2</v>
      </c>
      <c r="IB27" s="52">
        <f t="shared" si="19"/>
        <v>6.9318872841109436E-2</v>
      </c>
      <c r="IC27" s="52">
        <f t="shared" si="19"/>
        <v>3.224133620516718E-3</v>
      </c>
      <c r="ID27" s="52">
        <f t="shared" si="19"/>
        <v>3.224133620516718E-3</v>
      </c>
      <c r="IE27" s="52">
        <f t="shared" si="19"/>
        <v>3.224133620516718E-3</v>
      </c>
      <c r="IF27" s="52">
        <f t="shared" si="19"/>
        <v>3.224133620516718E-3</v>
      </c>
      <c r="IG27" s="52">
        <f t="shared" si="19"/>
        <v>3.224133620516718E-3</v>
      </c>
      <c r="IH27" s="52">
        <f t="shared" si="19"/>
        <v>3.224133620516718E-3</v>
      </c>
      <c r="II27" s="52">
        <f t="shared" si="19"/>
        <v>3.3853403015425537E-3</v>
      </c>
      <c r="IJ27" s="52">
        <f t="shared" si="19"/>
        <v>3.3853403015425537E-3</v>
      </c>
      <c r="IK27" s="52">
        <f t="shared" si="19"/>
        <v>3.3853403015425537E-3</v>
      </c>
      <c r="IL27" s="52">
        <f t="shared" si="19"/>
        <v>3.3853403015425537E-3</v>
      </c>
      <c r="IM27" s="52">
        <f t="shared" si="19"/>
        <v>3.3853403015425537E-3</v>
      </c>
      <c r="IN27" s="52">
        <f t="shared" si="19"/>
        <v>3.3853403015425537E-3</v>
      </c>
      <c r="IO27" s="52">
        <f t="shared" si="19"/>
        <v>3.3853403015425537E-3</v>
      </c>
      <c r="IP27" s="52">
        <f t="shared" si="19"/>
        <v>3.3853403015425537E-3</v>
      </c>
      <c r="IQ27" s="52">
        <f t="shared" si="19"/>
        <v>3.3853403015425537E-3</v>
      </c>
      <c r="IR27" s="52">
        <f t="shared" si="19"/>
        <v>3.3853403015425537E-3</v>
      </c>
      <c r="IS27" s="52">
        <f t="shared" si="19"/>
        <v>3.3853403015425537E-3</v>
      </c>
      <c r="IT27" s="52">
        <f t="shared" si="19"/>
        <v>3.3853403015425537E-3</v>
      </c>
      <c r="IU27" s="52">
        <f t="shared" si="19"/>
        <v>3.5546073166196819E-3</v>
      </c>
      <c r="IV27" s="52">
        <f t="shared" si="19"/>
        <v>3.5546073166196819E-3</v>
      </c>
      <c r="IW27" s="52">
        <f t="shared" si="19"/>
        <v>3.5546073166196819E-3</v>
      </c>
      <c r="IX27" s="52">
        <f t="shared" si="19"/>
        <v>3.5546073166196819E-3</v>
      </c>
      <c r="IY27" s="52">
        <f t="shared" si="19"/>
        <v>3.5546073166196819E-3</v>
      </c>
      <c r="IZ27" s="52">
        <f t="shared" ref="IZ27:JI27" si="20">IZ26*$C$14</f>
        <v>3.5546073166196819E-3</v>
      </c>
      <c r="JA27" s="52">
        <f t="shared" si="20"/>
        <v>3.5546073166196819E-3</v>
      </c>
      <c r="JB27" s="52">
        <f t="shared" si="20"/>
        <v>3.5546073166196819E-3</v>
      </c>
      <c r="JC27" s="52">
        <f t="shared" si="20"/>
        <v>3.5546073166196819E-3</v>
      </c>
      <c r="JD27" s="52">
        <f t="shared" si="20"/>
        <v>3.5546073166196819E-3</v>
      </c>
      <c r="JE27" s="52">
        <f t="shared" si="20"/>
        <v>3.5546073166196819E-3</v>
      </c>
      <c r="JF27" s="52">
        <f t="shared" si="20"/>
        <v>3.5546073166196819E-3</v>
      </c>
      <c r="JG27" s="52">
        <f t="shared" si="20"/>
        <v>3.7323376824506659E-3</v>
      </c>
      <c r="JH27" s="52">
        <f t="shared" si="20"/>
        <v>3.7323376824506659E-3</v>
      </c>
      <c r="JI27" s="52">
        <f t="shared" si="20"/>
        <v>3.7323376824506659E-3</v>
      </c>
      <c r="JJ27" s="52">
        <f t="shared" ref="JJ27:JO27" si="21">JJ26*$C$14</f>
        <v>0</v>
      </c>
      <c r="JK27" s="52">
        <f t="shared" si="21"/>
        <v>0</v>
      </c>
      <c r="JL27" s="52">
        <f t="shared" si="21"/>
        <v>0</v>
      </c>
      <c r="JM27" s="52">
        <f t="shared" si="21"/>
        <v>0</v>
      </c>
      <c r="JN27" s="52">
        <f t="shared" si="21"/>
        <v>0</v>
      </c>
      <c r="JO27" s="52">
        <f t="shared" si="21"/>
        <v>0</v>
      </c>
      <c r="JP27" s="539">
        <f t="shared" ref="JP27:JP29" si="22">SUM(C27:JO27)</f>
        <v>10.582624262218188</v>
      </c>
    </row>
    <row r="28" spans="1:310" x14ac:dyDescent="0.3">
      <c r="B28" s="169" t="s">
        <v>327</v>
      </c>
      <c r="C28" s="52">
        <f>C26*$C$15</f>
        <v>2.7431831845346245E-2</v>
      </c>
      <c r="D28" s="52">
        <f t="shared" ref="D28:BO28" si="23">D26*$C$15</f>
        <v>2.7431831845346245E-2</v>
      </c>
      <c r="E28" s="52">
        <f t="shared" si="23"/>
        <v>2.7431831845346245E-2</v>
      </c>
      <c r="F28" s="52">
        <f t="shared" si="23"/>
        <v>2.7431831845346245E-2</v>
      </c>
      <c r="G28" s="52">
        <f t="shared" si="23"/>
        <v>2.7431831845346245E-2</v>
      </c>
      <c r="H28" s="52">
        <f t="shared" si="23"/>
        <v>2.7431831845346245E-2</v>
      </c>
      <c r="I28" s="52">
        <f t="shared" si="23"/>
        <v>2.7431831845346245E-2</v>
      </c>
      <c r="J28" s="52">
        <f t="shared" si="23"/>
        <v>2.7431831845346245E-2</v>
      </c>
      <c r="K28" s="52">
        <f t="shared" si="23"/>
        <v>2.7431831845346245E-2</v>
      </c>
      <c r="L28" s="52">
        <f t="shared" si="23"/>
        <v>2.7431831845346245E-2</v>
      </c>
      <c r="M28" s="52">
        <f t="shared" si="23"/>
        <v>2.7431831845346245E-2</v>
      </c>
      <c r="N28" s="52">
        <f t="shared" si="23"/>
        <v>2.7431831845346245E-2</v>
      </c>
      <c r="O28" s="52">
        <f t="shared" si="23"/>
        <v>2.8803423437613565E-2</v>
      </c>
      <c r="P28" s="52">
        <f t="shared" si="23"/>
        <v>2.8803423437613565E-2</v>
      </c>
      <c r="Q28" s="52">
        <f t="shared" si="23"/>
        <v>2.8803423437613565E-2</v>
      </c>
      <c r="R28" s="52">
        <f t="shared" si="23"/>
        <v>2.8803423437613565E-2</v>
      </c>
      <c r="S28" s="52">
        <f t="shared" si="23"/>
        <v>2.8803423437613565E-2</v>
      </c>
      <c r="T28" s="52">
        <f t="shared" si="23"/>
        <v>2.8803423437613565E-2</v>
      </c>
      <c r="U28" s="52">
        <f t="shared" si="23"/>
        <v>2.8803423437613565E-2</v>
      </c>
      <c r="V28" s="52">
        <f t="shared" si="23"/>
        <v>2.8803423437613565E-2</v>
      </c>
      <c r="W28" s="52">
        <f t="shared" si="23"/>
        <v>2.8803423437613565E-2</v>
      </c>
      <c r="X28" s="52">
        <f t="shared" si="23"/>
        <v>2.8803423437613565E-2</v>
      </c>
      <c r="Y28" s="52">
        <f t="shared" si="23"/>
        <v>2.8803423437613565E-2</v>
      </c>
      <c r="Z28" s="52">
        <f t="shared" si="23"/>
        <v>2.8803423437613565E-2</v>
      </c>
      <c r="AA28" s="52">
        <f t="shared" si="23"/>
        <v>3.0243594609494242E-2</v>
      </c>
      <c r="AB28" s="52">
        <f t="shared" si="23"/>
        <v>3.0243594609494242E-2</v>
      </c>
      <c r="AC28" s="52">
        <f t="shared" si="23"/>
        <v>3.0243594609494242E-2</v>
      </c>
      <c r="AD28" s="52">
        <f t="shared" si="23"/>
        <v>3.0243594609494242E-2</v>
      </c>
      <c r="AE28" s="52">
        <f t="shared" si="23"/>
        <v>3.0243594609494242E-2</v>
      </c>
      <c r="AF28" s="52">
        <f t="shared" si="23"/>
        <v>3.0243594609494242E-2</v>
      </c>
      <c r="AG28" s="52">
        <f t="shared" si="23"/>
        <v>3.0243594609494242E-2</v>
      </c>
      <c r="AH28" s="52">
        <f t="shared" si="23"/>
        <v>3.0243594609494242E-2</v>
      </c>
      <c r="AI28" s="52">
        <f t="shared" si="23"/>
        <v>3.0243594609494242E-2</v>
      </c>
      <c r="AJ28" s="52">
        <f t="shared" si="23"/>
        <v>3.0243594609494242E-2</v>
      </c>
      <c r="AK28" s="52">
        <f t="shared" si="23"/>
        <v>3.0243594609494242E-2</v>
      </c>
      <c r="AL28" s="52">
        <f t="shared" si="23"/>
        <v>3.0243594609494242E-2</v>
      </c>
      <c r="AM28" s="52">
        <f t="shared" si="23"/>
        <v>3.1755774339968963E-2</v>
      </c>
      <c r="AN28" s="52">
        <f t="shared" si="23"/>
        <v>3.1755774339968963E-2</v>
      </c>
      <c r="AO28" s="52">
        <f t="shared" si="23"/>
        <v>3.1755774339968963E-2</v>
      </c>
      <c r="AP28" s="52">
        <f t="shared" si="23"/>
        <v>3.1755774339968963E-2</v>
      </c>
      <c r="AQ28" s="52">
        <f t="shared" si="23"/>
        <v>3.1755774339968963E-2</v>
      </c>
      <c r="AR28" s="52">
        <f t="shared" si="23"/>
        <v>3.1755774339968963E-2</v>
      </c>
      <c r="AS28" s="52">
        <f t="shared" si="23"/>
        <v>3.1755774339968963E-2</v>
      </c>
      <c r="AT28" s="52">
        <f t="shared" si="23"/>
        <v>3.1755774339968963E-2</v>
      </c>
      <c r="AU28" s="52">
        <f t="shared" si="23"/>
        <v>3.1755774339968963E-2</v>
      </c>
      <c r="AV28" s="52">
        <f t="shared" si="23"/>
        <v>3.1755774339968963E-2</v>
      </c>
      <c r="AW28" s="52">
        <f t="shared" si="23"/>
        <v>3.1755774339968963E-2</v>
      </c>
      <c r="AX28" s="52">
        <f t="shared" si="23"/>
        <v>3.1755774339968963E-2</v>
      </c>
      <c r="AY28" s="52">
        <f t="shared" si="23"/>
        <v>3.334356305696741E-2</v>
      </c>
      <c r="AZ28" s="52">
        <f t="shared" si="23"/>
        <v>3.334356305696741E-2</v>
      </c>
      <c r="BA28" s="52">
        <f t="shared" si="23"/>
        <v>3.334356305696741E-2</v>
      </c>
      <c r="BB28" s="52">
        <f t="shared" si="23"/>
        <v>3.334356305696741E-2</v>
      </c>
      <c r="BC28" s="52">
        <f t="shared" si="23"/>
        <v>3.334356305696741E-2</v>
      </c>
      <c r="BD28" s="52">
        <f t="shared" si="23"/>
        <v>3.334356305696741E-2</v>
      </c>
      <c r="BE28" s="52">
        <f t="shared" si="23"/>
        <v>3.334356305696741E-2</v>
      </c>
      <c r="BF28" s="52">
        <f t="shared" si="23"/>
        <v>3.334356305696741E-2</v>
      </c>
      <c r="BG28" s="52">
        <f t="shared" si="23"/>
        <v>3.334356305696741E-2</v>
      </c>
      <c r="BH28" s="52">
        <f t="shared" si="23"/>
        <v>3.334356305696741E-2</v>
      </c>
      <c r="BI28" s="52">
        <f t="shared" si="23"/>
        <v>3.334356305696741E-2</v>
      </c>
      <c r="BJ28" s="52">
        <f t="shared" si="23"/>
        <v>3.334356305696741E-2</v>
      </c>
      <c r="BK28" s="52">
        <f t="shared" si="23"/>
        <v>3.5010741209815781E-2</v>
      </c>
      <c r="BL28" s="52">
        <f t="shared" si="23"/>
        <v>3.5010741209815781E-2</v>
      </c>
      <c r="BM28" s="52">
        <f t="shared" si="23"/>
        <v>3.5010741209815781E-2</v>
      </c>
      <c r="BN28" s="52">
        <f t="shared" si="23"/>
        <v>3.5010741209815781E-2</v>
      </c>
      <c r="BO28" s="52">
        <f t="shared" si="23"/>
        <v>3.5010741209815781E-2</v>
      </c>
      <c r="BP28" s="52">
        <f t="shared" ref="BP28:EA28" si="24">BP26*$C$15</f>
        <v>3.5010741209815781E-2</v>
      </c>
      <c r="BQ28" s="52">
        <f t="shared" si="24"/>
        <v>3.5010741209815781E-2</v>
      </c>
      <c r="BR28" s="52">
        <f t="shared" si="24"/>
        <v>3.5010741209815781E-2</v>
      </c>
      <c r="BS28" s="52">
        <f t="shared" si="24"/>
        <v>3.5010741209815781E-2</v>
      </c>
      <c r="BT28" s="52">
        <f t="shared" si="24"/>
        <v>3.5010741209815781E-2</v>
      </c>
      <c r="BU28" s="52">
        <f t="shared" si="24"/>
        <v>3.5010741209815781E-2</v>
      </c>
      <c r="BV28" s="52">
        <f t="shared" si="24"/>
        <v>3.5010741209815781E-2</v>
      </c>
      <c r="BW28" s="52">
        <f t="shared" si="24"/>
        <v>3.6761278270306563E-2</v>
      </c>
      <c r="BX28" s="52">
        <f t="shared" si="24"/>
        <v>3.6761278270306563E-2</v>
      </c>
      <c r="BY28" s="52">
        <f t="shared" si="24"/>
        <v>3.6761278270306563E-2</v>
      </c>
      <c r="BZ28" s="52">
        <f t="shared" si="24"/>
        <v>3.6761278270306563E-2</v>
      </c>
      <c r="CA28" s="52">
        <f t="shared" si="24"/>
        <v>3.6761278270306563E-2</v>
      </c>
      <c r="CB28" s="52">
        <f t="shared" si="24"/>
        <v>3.6761278270306563E-2</v>
      </c>
      <c r="CC28" s="52">
        <f t="shared" si="24"/>
        <v>3.6761278270306563E-2</v>
      </c>
      <c r="CD28" s="52">
        <f t="shared" si="24"/>
        <v>3.6761278270306563E-2</v>
      </c>
      <c r="CE28" s="52">
        <f t="shared" si="24"/>
        <v>3.6761278270306563E-2</v>
      </c>
      <c r="CF28" s="52">
        <f t="shared" si="24"/>
        <v>3.6761278270306563E-2</v>
      </c>
      <c r="CG28" s="52">
        <f t="shared" si="24"/>
        <v>3.6761278270306563E-2</v>
      </c>
      <c r="CH28" s="52">
        <f t="shared" si="24"/>
        <v>3.6761278270306563E-2</v>
      </c>
      <c r="CI28" s="52">
        <f t="shared" si="24"/>
        <v>3.8599342183821897E-2</v>
      </c>
      <c r="CJ28" s="52">
        <f t="shared" si="24"/>
        <v>3.8599342183821897E-2</v>
      </c>
      <c r="CK28" s="52">
        <f t="shared" si="24"/>
        <v>3.8599342183821897E-2</v>
      </c>
      <c r="CL28" s="52">
        <f t="shared" si="24"/>
        <v>3.8599342183821897E-2</v>
      </c>
      <c r="CM28" s="52">
        <f t="shared" si="24"/>
        <v>3.8599342183821897E-2</v>
      </c>
      <c r="CN28" s="52">
        <f t="shared" si="24"/>
        <v>3.8599342183821897E-2</v>
      </c>
      <c r="CO28" s="52">
        <f t="shared" si="24"/>
        <v>3.8599342183821897E-2</v>
      </c>
      <c r="CP28" s="52">
        <f t="shared" si="24"/>
        <v>3.8599342183821897E-2</v>
      </c>
      <c r="CQ28" s="52">
        <f t="shared" si="24"/>
        <v>3.8599342183821897E-2</v>
      </c>
      <c r="CR28" s="52">
        <f t="shared" si="24"/>
        <v>3.8599342183821897E-2</v>
      </c>
      <c r="CS28" s="52">
        <f t="shared" si="24"/>
        <v>3.8599342183821897E-2</v>
      </c>
      <c r="CT28" s="52">
        <f t="shared" si="24"/>
        <v>3.8599342183821897E-2</v>
      </c>
      <c r="CU28" s="52">
        <f t="shared" si="24"/>
        <v>4.0529309293012995E-2</v>
      </c>
      <c r="CV28" s="52">
        <f t="shared" si="24"/>
        <v>4.0529309293012995E-2</v>
      </c>
      <c r="CW28" s="52">
        <f t="shared" si="24"/>
        <v>4.0529309293012995E-2</v>
      </c>
      <c r="CX28" s="52">
        <f t="shared" si="24"/>
        <v>4.0529309293012995E-2</v>
      </c>
      <c r="CY28" s="52">
        <f t="shared" si="24"/>
        <v>4.0529309293012995E-2</v>
      </c>
      <c r="CZ28" s="52">
        <f t="shared" si="24"/>
        <v>4.0529309293012995E-2</v>
      </c>
      <c r="DA28" s="52">
        <f t="shared" si="24"/>
        <v>4.0529309293012995E-2</v>
      </c>
      <c r="DB28" s="52">
        <f t="shared" si="24"/>
        <v>4.0529309293012995E-2</v>
      </c>
      <c r="DC28" s="52">
        <f t="shared" si="24"/>
        <v>4.0529309293012995E-2</v>
      </c>
      <c r="DD28" s="52">
        <f t="shared" si="24"/>
        <v>4.0529309293012995E-2</v>
      </c>
      <c r="DE28" s="52">
        <f t="shared" si="24"/>
        <v>4.0529309293012995E-2</v>
      </c>
      <c r="DF28" s="52">
        <f t="shared" si="24"/>
        <v>4.0529309293012995E-2</v>
      </c>
      <c r="DG28" s="52">
        <f t="shared" si="24"/>
        <v>4.2555774757663645E-2</v>
      </c>
      <c r="DH28" s="52">
        <f t="shared" si="24"/>
        <v>4.2555774757663645E-2</v>
      </c>
      <c r="DI28" s="52">
        <f t="shared" si="24"/>
        <v>4.2555774757663645E-2</v>
      </c>
      <c r="DJ28" s="52">
        <f t="shared" si="24"/>
        <v>4.2555774757663645E-2</v>
      </c>
      <c r="DK28" s="52">
        <f t="shared" si="24"/>
        <v>4.2555774757663645E-2</v>
      </c>
      <c r="DL28" s="52">
        <f t="shared" si="24"/>
        <v>4.2555774757663645E-2</v>
      </c>
      <c r="DM28" s="52">
        <f t="shared" si="24"/>
        <v>4.2555774757663645E-2</v>
      </c>
      <c r="DN28" s="52">
        <f t="shared" si="24"/>
        <v>4.2555774757663645E-2</v>
      </c>
      <c r="DO28" s="52">
        <f t="shared" si="24"/>
        <v>4.2555774757663645E-2</v>
      </c>
      <c r="DP28" s="52">
        <f t="shared" si="24"/>
        <v>4.2555774757663645E-2</v>
      </c>
      <c r="DQ28" s="52">
        <f t="shared" si="24"/>
        <v>4.2555774757663645E-2</v>
      </c>
      <c r="DR28" s="52">
        <f t="shared" si="24"/>
        <v>4.2555774757663645E-2</v>
      </c>
      <c r="DS28" s="52">
        <f t="shared" si="24"/>
        <v>4.4683563495546835E-2</v>
      </c>
      <c r="DT28" s="52">
        <f t="shared" si="24"/>
        <v>4.4683563495546835E-2</v>
      </c>
      <c r="DU28" s="52">
        <f t="shared" si="24"/>
        <v>4.4683563495546835E-2</v>
      </c>
      <c r="DV28" s="52">
        <f t="shared" si="24"/>
        <v>4.4683563495546835E-2</v>
      </c>
      <c r="DW28" s="52">
        <f t="shared" si="24"/>
        <v>4.4683563495546835E-2</v>
      </c>
      <c r="DX28" s="52">
        <f t="shared" si="24"/>
        <v>4.4683563495546835E-2</v>
      </c>
      <c r="DY28" s="52">
        <f t="shared" si="24"/>
        <v>4.4683563495546835E-2</v>
      </c>
      <c r="DZ28" s="52">
        <f t="shared" si="24"/>
        <v>4.4683563495546835E-2</v>
      </c>
      <c r="EA28" s="52">
        <f t="shared" si="24"/>
        <v>4.4683563495546835E-2</v>
      </c>
      <c r="EB28" s="52">
        <f t="shared" ref="EB28:GM28" si="25">EB26*$C$15</f>
        <v>4.4683563495546835E-2</v>
      </c>
      <c r="EC28" s="52">
        <f t="shared" si="25"/>
        <v>4.4683563495546835E-2</v>
      </c>
      <c r="ED28" s="52">
        <f t="shared" si="25"/>
        <v>4.4683563495546835E-2</v>
      </c>
      <c r="EE28" s="52">
        <f t="shared" si="25"/>
        <v>4.6917741670324184E-2</v>
      </c>
      <c r="EF28" s="52">
        <f t="shared" si="25"/>
        <v>4.6917741670324184E-2</v>
      </c>
      <c r="EG28" s="52">
        <f t="shared" si="25"/>
        <v>4.6917741670324184E-2</v>
      </c>
      <c r="EH28" s="52">
        <f t="shared" si="25"/>
        <v>4.6917741670324184E-2</v>
      </c>
      <c r="EI28" s="52">
        <f t="shared" si="25"/>
        <v>4.6917741670324184E-2</v>
      </c>
      <c r="EJ28" s="52">
        <f t="shared" si="25"/>
        <v>4.6917741670324184E-2</v>
      </c>
      <c r="EK28" s="52">
        <f t="shared" si="25"/>
        <v>4.6917741670324184E-2</v>
      </c>
      <c r="EL28" s="52">
        <f t="shared" si="25"/>
        <v>4.6917741670324184E-2</v>
      </c>
      <c r="EM28" s="52">
        <f t="shared" si="25"/>
        <v>4.6917741670324184E-2</v>
      </c>
      <c r="EN28" s="52">
        <f t="shared" si="25"/>
        <v>4.6917741670324184E-2</v>
      </c>
      <c r="EO28" s="52">
        <f t="shared" si="25"/>
        <v>4.6917741670324184E-2</v>
      </c>
      <c r="EP28" s="52">
        <f t="shared" si="25"/>
        <v>4.6917741670324184E-2</v>
      </c>
      <c r="EQ28" s="52">
        <f t="shared" si="25"/>
        <v>4.9263628753840397E-2</v>
      </c>
      <c r="ER28" s="52">
        <f t="shared" si="25"/>
        <v>4.9263628753840397E-2</v>
      </c>
      <c r="ES28" s="52">
        <f t="shared" si="25"/>
        <v>4.9263628753840397E-2</v>
      </c>
      <c r="ET28" s="52">
        <f t="shared" si="25"/>
        <v>4.9263628753840397E-2</v>
      </c>
      <c r="EU28" s="52">
        <f t="shared" si="25"/>
        <v>4.9263628753840397E-2</v>
      </c>
      <c r="EV28" s="52">
        <f t="shared" si="25"/>
        <v>4.9263628753840397E-2</v>
      </c>
      <c r="EW28" s="52">
        <f t="shared" si="25"/>
        <v>4.9263628753840397E-2</v>
      </c>
      <c r="EX28" s="52">
        <f t="shared" si="25"/>
        <v>4.9263628753840397E-2</v>
      </c>
      <c r="EY28" s="52">
        <f t="shared" si="25"/>
        <v>4.9263628753840397E-2</v>
      </c>
      <c r="EZ28" s="52">
        <f t="shared" si="25"/>
        <v>4.9263628753840397E-2</v>
      </c>
      <c r="FA28" s="52">
        <f t="shared" si="25"/>
        <v>4.9263628753840397E-2</v>
      </c>
      <c r="FB28" s="52">
        <f t="shared" si="25"/>
        <v>4.9263628753840397E-2</v>
      </c>
      <c r="FC28" s="52">
        <f t="shared" si="25"/>
        <v>5.1726810191532406E-2</v>
      </c>
      <c r="FD28" s="52">
        <f t="shared" si="25"/>
        <v>5.1726810191532406E-2</v>
      </c>
      <c r="FE28" s="52">
        <f t="shared" si="25"/>
        <v>5.1726810191532406E-2</v>
      </c>
      <c r="FF28" s="52">
        <f t="shared" si="25"/>
        <v>5.1726810191532406E-2</v>
      </c>
      <c r="FG28" s="52">
        <f t="shared" si="25"/>
        <v>5.1726810191532406E-2</v>
      </c>
      <c r="FH28" s="52">
        <f t="shared" si="25"/>
        <v>5.1726810191532406E-2</v>
      </c>
      <c r="FI28" s="52">
        <f t="shared" si="25"/>
        <v>5.1726810191532406E-2</v>
      </c>
      <c r="FJ28" s="52">
        <f t="shared" si="25"/>
        <v>5.1726810191532406E-2</v>
      </c>
      <c r="FK28" s="52">
        <f t="shared" si="25"/>
        <v>5.1726810191532406E-2</v>
      </c>
      <c r="FL28" s="52">
        <f t="shared" si="25"/>
        <v>5.1726810191532406E-2</v>
      </c>
      <c r="FM28" s="52">
        <f t="shared" si="25"/>
        <v>5.1726810191532406E-2</v>
      </c>
      <c r="FN28" s="52">
        <f t="shared" si="25"/>
        <v>5.1726810191532406E-2</v>
      </c>
      <c r="FO28" s="52">
        <f t="shared" si="25"/>
        <v>5.4313150701109036E-2</v>
      </c>
      <c r="FP28" s="52">
        <f t="shared" si="25"/>
        <v>5.4313150701109036E-2</v>
      </c>
      <c r="FQ28" s="52">
        <f t="shared" si="25"/>
        <v>5.4313150701109036E-2</v>
      </c>
      <c r="FR28" s="52">
        <f t="shared" si="25"/>
        <v>5.4313150701109036E-2</v>
      </c>
      <c r="FS28" s="52">
        <f t="shared" si="25"/>
        <v>5.4313150701109036E-2</v>
      </c>
      <c r="FT28" s="52">
        <f t="shared" si="25"/>
        <v>5.4313150701109036E-2</v>
      </c>
      <c r="FU28" s="52">
        <f t="shared" si="25"/>
        <v>5.4313150701109036E-2</v>
      </c>
      <c r="FV28" s="52">
        <f t="shared" si="25"/>
        <v>5.4313150701109036E-2</v>
      </c>
      <c r="FW28" s="52">
        <f t="shared" si="25"/>
        <v>5.4313150701109036E-2</v>
      </c>
      <c r="FX28" s="52">
        <f t="shared" si="25"/>
        <v>5.4313150701109036E-2</v>
      </c>
      <c r="FY28" s="52">
        <f t="shared" si="25"/>
        <v>5.4313150701109036E-2</v>
      </c>
      <c r="FZ28" s="52">
        <f t="shared" si="25"/>
        <v>5.4313150701109036E-2</v>
      </c>
      <c r="GA28" s="52">
        <f t="shared" si="25"/>
        <v>5.7028808236164491E-2</v>
      </c>
      <c r="GB28" s="52">
        <f t="shared" si="25"/>
        <v>5.7028808236164491E-2</v>
      </c>
      <c r="GC28" s="52">
        <f t="shared" si="25"/>
        <v>5.7028808236164491E-2</v>
      </c>
      <c r="GD28" s="52">
        <f t="shared" si="25"/>
        <v>5.7028808236164491E-2</v>
      </c>
      <c r="GE28" s="52">
        <f t="shared" si="25"/>
        <v>5.7028808236164491E-2</v>
      </c>
      <c r="GF28" s="52">
        <f t="shared" si="25"/>
        <v>5.7028808236164491E-2</v>
      </c>
      <c r="GG28" s="52">
        <f t="shared" si="25"/>
        <v>5.7028808236164491E-2</v>
      </c>
      <c r="GH28" s="52">
        <f t="shared" si="25"/>
        <v>5.7028808236164491E-2</v>
      </c>
      <c r="GI28" s="52">
        <f t="shared" si="25"/>
        <v>5.7028808236164491E-2</v>
      </c>
      <c r="GJ28" s="52">
        <f t="shared" si="25"/>
        <v>5.7028808236164491E-2</v>
      </c>
      <c r="GK28" s="52">
        <f t="shared" si="25"/>
        <v>5.7028808236164491E-2</v>
      </c>
      <c r="GL28" s="52">
        <f t="shared" si="25"/>
        <v>5.7028808236164491E-2</v>
      </c>
      <c r="GM28" s="52">
        <f t="shared" si="25"/>
        <v>5.9880248647972714E-2</v>
      </c>
      <c r="GN28" s="52">
        <f t="shared" ref="GN28:IY28" si="26">GN26*$C$15</f>
        <v>5.9880248647972714E-2</v>
      </c>
      <c r="GO28" s="52">
        <f t="shared" si="26"/>
        <v>5.9880248647972714E-2</v>
      </c>
      <c r="GP28" s="52">
        <f t="shared" si="26"/>
        <v>5.9880248647972714E-2</v>
      </c>
      <c r="GQ28" s="52">
        <f t="shared" si="26"/>
        <v>5.9880248647972714E-2</v>
      </c>
      <c r="GR28" s="52">
        <f t="shared" si="26"/>
        <v>5.9880248647972714E-2</v>
      </c>
      <c r="GS28" s="52">
        <f t="shared" si="26"/>
        <v>5.9880248647972714E-2</v>
      </c>
      <c r="GT28" s="52">
        <f t="shared" si="26"/>
        <v>5.9880248647972714E-2</v>
      </c>
      <c r="GU28" s="52">
        <f t="shared" si="26"/>
        <v>5.9880248647972714E-2</v>
      </c>
      <c r="GV28" s="52">
        <f t="shared" si="26"/>
        <v>5.9880248647972714E-2</v>
      </c>
      <c r="GW28" s="52">
        <f t="shared" si="26"/>
        <v>5.9880248647972714E-2</v>
      </c>
      <c r="GX28" s="52">
        <f t="shared" si="26"/>
        <v>5.9880248647972714E-2</v>
      </c>
      <c r="GY28" s="52">
        <f t="shared" si="26"/>
        <v>6.2874261080371349E-2</v>
      </c>
      <c r="GZ28" s="52">
        <f t="shared" si="26"/>
        <v>6.2874261080371349E-2</v>
      </c>
      <c r="HA28" s="52">
        <f t="shared" si="26"/>
        <v>6.2874261080371349E-2</v>
      </c>
      <c r="HB28" s="52">
        <f t="shared" si="26"/>
        <v>6.2874261080371349E-2</v>
      </c>
      <c r="HC28" s="52">
        <f t="shared" si="26"/>
        <v>6.2874261080371349E-2</v>
      </c>
      <c r="HD28" s="52">
        <f t="shared" si="26"/>
        <v>6.2874261080371349E-2</v>
      </c>
      <c r="HE28" s="52">
        <f t="shared" si="26"/>
        <v>6.2874261080371349E-2</v>
      </c>
      <c r="HF28" s="52">
        <f t="shared" si="26"/>
        <v>6.2874261080371349E-2</v>
      </c>
      <c r="HG28" s="52">
        <f t="shared" si="26"/>
        <v>6.2874261080371349E-2</v>
      </c>
      <c r="HH28" s="52">
        <f t="shared" si="26"/>
        <v>6.2874261080371349E-2</v>
      </c>
      <c r="HI28" s="52">
        <f t="shared" si="26"/>
        <v>6.2874261080371349E-2</v>
      </c>
      <c r="HJ28" s="52">
        <f t="shared" si="26"/>
        <v>6.2874261080371349E-2</v>
      </c>
      <c r="HK28" s="52">
        <f t="shared" si="26"/>
        <v>6.6017974134389937E-2</v>
      </c>
      <c r="HL28" s="52">
        <f t="shared" si="26"/>
        <v>6.6017974134389937E-2</v>
      </c>
      <c r="HM28" s="52">
        <f t="shared" si="26"/>
        <v>6.6017974134389937E-2</v>
      </c>
      <c r="HN28" s="52">
        <f t="shared" si="26"/>
        <v>6.6017974134389937E-2</v>
      </c>
      <c r="HO28" s="52">
        <f t="shared" si="26"/>
        <v>6.6017974134389937E-2</v>
      </c>
      <c r="HP28" s="52">
        <f t="shared" si="26"/>
        <v>6.6017974134389937E-2</v>
      </c>
      <c r="HQ28" s="52">
        <f t="shared" si="26"/>
        <v>6.6017974134389937E-2</v>
      </c>
      <c r="HR28" s="52">
        <f t="shared" si="26"/>
        <v>6.6017974134389937E-2</v>
      </c>
      <c r="HS28" s="52">
        <f t="shared" si="26"/>
        <v>6.6017974134389937E-2</v>
      </c>
      <c r="HT28" s="52">
        <f t="shared" si="26"/>
        <v>6.6017974134389937E-2</v>
      </c>
      <c r="HU28" s="52">
        <f t="shared" si="26"/>
        <v>6.6017974134389937E-2</v>
      </c>
      <c r="HV28" s="52">
        <f t="shared" si="26"/>
        <v>6.6017974134389937E-2</v>
      </c>
      <c r="HW28" s="52">
        <f t="shared" si="26"/>
        <v>6.9318872841109436E-2</v>
      </c>
      <c r="HX28" s="52">
        <f t="shared" si="26"/>
        <v>6.9318872841109436E-2</v>
      </c>
      <c r="HY28" s="52">
        <f t="shared" si="26"/>
        <v>6.9318872841109436E-2</v>
      </c>
      <c r="HZ28" s="52">
        <f t="shared" si="26"/>
        <v>6.9318872841109436E-2</v>
      </c>
      <c r="IA28" s="52">
        <f t="shared" si="26"/>
        <v>6.9318872841109436E-2</v>
      </c>
      <c r="IB28" s="52">
        <f t="shared" si="26"/>
        <v>6.9318872841109436E-2</v>
      </c>
      <c r="IC28" s="52">
        <f t="shared" si="26"/>
        <v>3.224133620516718E-3</v>
      </c>
      <c r="ID28" s="52">
        <f t="shared" si="26"/>
        <v>3.224133620516718E-3</v>
      </c>
      <c r="IE28" s="52">
        <f t="shared" si="26"/>
        <v>3.224133620516718E-3</v>
      </c>
      <c r="IF28" s="52">
        <f t="shared" si="26"/>
        <v>3.224133620516718E-3</v>
      </c>
      <c r="IG28" s="52">
        <f t="shared" si="26"/>
        <v>3.224133620516718E-3</v>
      </c>
      <c r="IH28" s="52">
        <f t="shared" si="26"/>
        <v>3.224133620516718E-3</v>
      </c>
      <c r="II28" s="52">
        <f t="shared" si="26"/>
        <v>3.3853403015425537E-3</v>
      </c>
      <c r="IJ28" s="52">
        <f t="shared" si="26"/>
        <v>3.3853403015425537E-3</v>
      </c>
      <c r="IK28" s="52">
        <f t="shared" si="26"/>
        <v>3.3853403015425537E-3</v>
      </c>
      <c r="IL28" s="52">
        <f t="shared" si="26"/>
        <v>3.3853403015425537E-3</v>
      </c>
      <c r="IM28" s="52">
        <f t="shared" si="26"/>
        <v>3.3853403015425537E-3</v>
      </c>
      <c r="IN28" s="52">
        <f t="shared" si="26"/>
        <v>3.3853403015425537E-3</v>
      </c>
      <c r="IO28" s="52">
        <f t="shared" si="26"/>
        <v>3.3853403015425537E-3</v>
      </c>
      <c r="IP28" s="52">
        <f t="shared" si="26"/>
        <v>3.3853403015425537E-3</v>
      </c>
      <c r="IQ28" s="52">
        <f t="shared" si="26"/>
        <v>3.3853403015425537E-3</v>
      </c>
      <c r="IR28" s="52">
        <f t="shared" si="26"/>
        <v>3.3853403015425537E-3</v>
      </c>
      <c r="IS28" s="52">
        <f t="shared" si="26"/>
        <v>3.3853403015425537E-3</v>
      </c>
      <c r="IT28" s="52">
        <f t="shared" si="26"/>
        <v>3.3853403015425537E-3</v>
      </c>
      <c r="IU28" s="52">
        <f t="shared" si="26"/>
        <v>3.5546073166196819E-3</v>
      </c>
      <c r="IV28" s="52">
        <f t="shared" si="26"/>
        <v>3.5546073166196819E-3</v>
      </c>
      <c r="IW28" s="52">
        <f t="shared" si="26"/>
        <v>3.5546073166196819E-3</v>
      </c>
      <c r="IX28" s="52">
        <f t="shared" si="26"/>
        <v>3.5546073166196819E-3</v>
      </c>
      <c r="IY28" s="52">
        <f t="shared" si="26"/>
        <v>3.5546073166196819E-3</v>
      </c>
      <c r="IZ28" s="52">
        <f t="shared" ref="IZ28:JI28" si="27">IZ26*$C$15</f>
        <v>3.5546073166196819E-3</v>
      </c>
      <c r="JA28" s="52">
        <f t="shared" si="27"/>
        <v>3.5546073166196819E-3</v>
      </c>
      <c r="JB28" s="52">
        <f t="shared" si="27"/>
        <v>3.5546073166196819E-3</v>
      </c>
      <c r="JC28" s="52">
        <f t="shared" si="27"/>
        <v>3.5546073166196819E-3</v>
      </c>
      <c r="JD28" s="52">
        <f t="shared" si="27"/>
        <v>3.5546073166196819E-3</v>
      </c>
      <c r="JE28" s="52">
        <f t="shared" si="27"/>
        <v>3.5546073166196819E-3</v>
      </c>
      <c r="JF28" s="52">
        <f t="shared" si="27"/>
        <v>3.5546073166196819E-3</v>
      </c>
      <c r="JG28" s="52">
        <f t="shared" si="27"/>
        <v>3.7323376824506659E-3</v>
      </c>
      <c r="JH28" s="52">
        <f t="shared" si="27"/>
        <v>3.7323376824506659E-3</v>
      </c>
      <c r="JI28" s="52">
        <f t="shared" si="27"/>
        <v>3.7323376824506659E-3</v>
      </c>
      <c r="JJ28" s="52">
        <f t="shared" ref="JJ28:JO28" si="28">JJ26*$C$15</f>
        <v>0</v>
      </c>
      <c r="JK28" s="52">
        <f t="shared" si="28"/>
        <v>0</v>
      </c>
      <c r="JL28" s="52">
        <f t="shared" si="28"/>
        <v>0</v>
      </c>
      <c r="JM28" s="52">
        <f t="shared" si="28"/>
        <v>0</v>
      </c>
      <c r="JN28" s="52">
        <f t="shared" si="28"/>
        <v>0</v>
      </c>
      <c r="JO28" s="52">
        <f t="shared" si="28"/>
        <v>0</v>
      </c>
      <c r="JP28" s="539">
        <f t="shared" si="22"/>
        <v>10.582624262218188</v>
      </c>
    </row>
    <row r="29" spans="1:310" s="39" customFormat="1" x14ac:dyDescent="0.3">
      <c r="A29" s="161"/>
      <c r="B29" s="163" t="s">
        <v>299</v>
      </c>
      <c r="C29" s="190">
        <f>C26-SUM(C27:C28)</f>
        <v>0.49377297321623237</v>
      </c>
      <c r="D29" s="190">
        <f t="shared" ref="D29:BO29" si="29">D26-SUM(D27:D28)</f>
        <v>0.49377297321623237</v>
      </c>
      <c r="E29" s="190">
        <f t="shared" si="29"/>
        <v>0.49377297321623237</v>
      </c>
      <c r="F29" s="190">
        <f t="shared" si="29"/>
        <v>0.49377297321623237</v>
      </c>
      <c r="G29" s="190">
        <f t="shared" si="29"/>
        <v>0.49377297321623237</v>
      </c>
      <c r="H29" s="190">
        <f t="shared" si="29"/>
        <v>0.49377297321623237</v>
      </c>
      <c r="I29" s="190">
        <f t="shared" si="29"/>
        <v>0.49377297321623237</v>
      </c>
      <c r="J29" s="190">
        <f t="shared" si="29"/>
        <v>0.49377297321623237</v>
      </c>
      <c r="K29" s="190">
        <f t="shared" si="29"/>
        <v>0.49377297321623237</v>
      </c>
      <c r="L29" s="190">
        <f t="shared" si="29"/>
        <v>0.49377297321623237</v>
      </c>
      <c r="M29" s="190">
        <f t="shared" si="29"/>
        <v>0.49377297321623237</v>
      </c>
      <c r="N29" s="190">
        <f t="shared" si="29"/>
        <v>0.49377297321623237</v>
      </c>
      <c r="O29" s="190">
        <f t="shared" si="29"/>
        <v>0.51846162187704414</v>
      </c>
      <c r="P29" s="190">
        <f t="shared" si="29"/>
        <v>0.51846162187704414</v>
      </c>
      <c r="Q29" s="190">
        <f t="shared" si="29"/>
        <v>0.51846162187704414</v>
      </c>
      <c r="R29" s="190">
        <f t="shared" si="29"/>
        <v>0.51846162187704414</v>
      </c>
      <c r="S29" s="190">
        <f t="shared" si="29"/>
        <v>0.51846162187704414</v>
      </c>
      <c r="T29" s="190">
        <f t="shared" si="29"/>
        <v>0.51846162187704414</v>
      </c>
      <c r="U29" s="190">
        <f t="shared" si="29"/>
        <v>0.51846162187704414</v>
      </c>
      <c r="V29" s="190">
        <f t="shared" si="29"/>
        <v>0.51846162187704414</v>
      </c>
      <c r="W29" s="190">
        <f t="shared" si="29"/>
        <v>0.51846162187704414</v>
      </c>
      <c r="X29" s="190">
        <f t="shared" si="29"/>
        <v>0.51846162187704414</v>
      </c>
      <c r="Y29" s="190">
        <f t="shared" si="29"/>
        <v>0.51846162187704414</v>
      </c>
      <c r="Z29" s="190">
        <f t="shared" si="29"/>
        <v>0.51846162187704414</v>
      </c>
      <c r="AA29" s="190">
        <f t="shared" si="29"/>
        <v>0.54438470297089636</v>
      </c>
      <c r="AB29" s="190">
        <f t="shared" si="29"/>
        <v>0.54438470297089636</v>
      </c>
      <c r="AC29" s="190">
        <f t="shared" si="29"/>
        <v>0.54438470297089636</v>
      </c>
      <c r="AD29" s="190">
        <f t="shared" si="29"/>
        <v>0.54438470297089636</v>
      </c>
      <c r="AE29" s="190">
        <f t="shared" si="29"/>
        <v>0.54438470297089636</v>
      </c>
      <c r="AF29" s="190">
        <f t="shared" si="29"/>
        <v>0.54438470297089636</v>
      </c>
      <c r="AG29" s="190">
        <f t="shared" si="29"/>
        <v>0.54438470297089636</v>
      </c>
      <c r="AH29" s="190">
        <f t="shared" si="29"/>
        <v>0.54438470297089636</v>
      </c>
      <c r="AI29" s="190">
        <f t="shared" si="29"/>
        <v>0.54438470297089636</v>
      </c>
      <c r="AJ29" s="190">
        <f t="shared" si="29"/>
        <v>0.54438470297089636</v>
      </c>
      <c r="AK29" s="190">
        <f t="shared" si="29"/>
        <v>0.54438470297089636</v>
      </c>
      <c r="AL29" s="190">
        <f t="shared" si="29"/>
        <v>0.54438470297089636</v>
      </c>
      <c r="AM29" s="190">
        <f t="shared" si="29"/>
        <v>0.57160393811944132</v>
      </c>
      <c r="AN29" s="190">
        <f t="shared" si="29"/>
        <v>0.57160393811944132</v>
      </c>
      <c r="AO29" s="190">
        <f t="shared" si="29"/>
        <v>0.57160393811944132</v>
      </c>
      <c r="AP29" s="190">
        <f t="shared" si="29"/>
        <v>0.57160393811944132</v>
      </c>
      <c r="AQ29" s="190">
        <f t="shared" si="29"/>
        <v>0.57160393811944132</v>
      </c>
      <c r="AR29" s="190">
        <f t="shared" si="29"/>
        <v>0.57160393811944132</v>
      </c>
      <c r="AS29" s="190">
        <f t="shared" si="29"/>
        <v>0.57160393811944132</v>
      </c>
      <c r="AT29" s="190">
        <f t="shared" si="29"/>
        <v>0.57160393811944132</v>
      </c>
      <c r="AU29" s="190">
        <f t="shared" si="29"/>
        <v>0.57160393811944132</v>
      </c>
      <c r="AV29" s="190">
        <f t="shared" si="29"/>
        <v>0.57160393811944132</v>
      </c>
      <c r="AW29" s="190">
        <f t="shared" si="29"/>
        <v>0.57160393811944132</v>
      </c>
      <c r="AX29" s="190">
        <f t="shared" si="29"/>
        <v>0.57160393811944132</v>
      </c>
      <c r="AY29" s="190">
        <f t="shared" si="29"/>
        <v>0.60018413502541335</v>
      </c>
      <c r="AZ29" s="190">
        <f t="shared" si="29"/>
        <v>0.60018413502541335</v>
      </c>
      <c r="BA29" s="190">
        <f t="shared" si="29"/>
        <v>0.60018413502541335</v>
      </c>
      <c r="BB29" s="190">
        <f t="shared" si="29"/>
        <v>0.60018413502541335</v>
      </c>
      <c r="BC29" s="190">
        <f t="shared" si="29"/>
        <v>0.60018413502541335</v>
      </c>
      <c r="BD29" s="190">
        <f t="shared" si="29"/>
        <v>0.60018413502541335</v>
      </c>
      <c r="BE29" s="190">
        <f t="shared" si="29"/>
        <v>0.60018413502541335</v>
      </c>
      <c r="BF29" s="190">
        <f t="shared" si="29"/>
        <v>0.60018413502541335</v>
      </c>
      <c r="BG29" s="190">
        <f t="shared" si="29"/>
        <v>0.60018413502541335</v>
      </c>
      <c r="BH29" s="190">
        <f t="shared" si="29"/>
        <v>0.60018413502541335</v>
      </c>
      <c r="BI29" s="190">
        <f t="shared" si="29"/>
        <v>0.60018413502541335</v>
      </c>
      <c r="BJ29" s="190">
        <f t="shared" si="29"/>
        <v>0.60018413502541335</v>
      </c>
      <c r="BK29" s="190">
        <f t="shared" si="29"/>
        <v>0.63019334177668396</v>
      </c>
      <c r="BL29" s="190">
        <f t="shared" si="29"/>
        <v>0.63019334177668396</v>
      </c>
      <c r="BM29" s="190">
        <f t="shared" si="29"/>
        <v>0.63019334177668396</v>
      </c>
      <c r="BN29" s="190">
        <f t="shared" si="29"/>
        <v>0.63019334177668396</v>
      </c>
      <c r="BO29" s="190">
        <f t="shared" si="29"/>
        <v>0.63019334177668396</v>
      </c>
      <c r="BP29" s="190">
        <f t="shared" ref="BP29:EA29" si="30">BP26-SUM(BP27:BP28)</f>
        <v>0.63019334177668396</v>
      </c>
      <c r="BQ29" s="190">
        <f t="shared" si="30"/>
        <v>0.63019334177668396</v>
      </c>
      <c r="BR29" s="190">
        <f t="shared" si="30"/>
        <v>0.63019334177668396</v>
      </c>
      <c r="BS29" s="190">
        <f t="shared" si="30"/>
        <v>0.63019334177668396</v>
      </c>
      <c r="BT29" s="190">
        <f t="shared" si="30"/>
        <v>0.63019334177668396</v>
      </c>
      <c r="BU29" s="190">
        <f t="shared" si="30"/>
        <v>0.63019334177668396</v>
      </c>
      <c r="BV29" s="190">
        <f t="shared" si="30"/>
        <v>0.63019334177668396</v>
      </c>
      <c r="BW29" s="190">
        <f t="shared" si="30"/>
        <v>0.66170300886551814</v>
      </c>
      <c r="BX29" s="190">
        <f t="shared" si="30"/>
        <v>0.66170300886551814</v>
      </c>
      <c r="BY29" s="190">
        <f t="shared" si="30"/>
        <v>0.66170300886551814</v>
      </c>
      <c r="BZ29" s="190">
        <f t="shared" si="30"/>
        <v>0.66170300886551814</v>
      </c>
      <c r="CA29" s="190">
        <f t="shared" si="30"/>
        <v>0.66170300886551814</v>
      </c>
      <c r="CB29" s="190">
        <f t="shared" si="30"/>
        <v>0.66170300886551814</v>
      </c>
      <c r="CC29" s="190">
        <f t="shared" si="30"/>
        <v>0.66170300886551814</v>
      </c>
      <c r="CD29" s="190">
        <f t="shared" si="30"/>
        <v>0.66170300886551814</v>
      </c>
      <c r="CE29" s="190">
        <f t="shared" si="30"/>
        <v>0.66170300886551814</v>
      </c>
      <c r="CF29" s="190">
        <f t="shared" si="30"/>
        <v>0.66170300886551814</v>
      </c>
      <c r="CG29" s="190">
        <f t="shared" si="30"/>
        <v>0.66170300886551814</v>
      </c>
      <c r="CH29" s="190">
        <f t="shared" si="30"/>
        <v>0.66170300886551814</v>
      </c>
      <c r="CI29" s="190">
        <f t="shared" si="30"/>
        <v>0.69478815930879412</v>
      </c>
      <c r="CJ29" s="190">
        <f t="shared" si="30"/>
        <v>0.69478815930879412</v>
      </c>
      <c r="CK29" s="190">
        <f t="shared" si="30"/>
        <v>0.69478815930879412</v>
      </c>
      <c r="CL29" s="190">
        <f t="shared" si="30"/>
        <v>0.69478815930879412</v>
      </c>
      <c r="CM29" s="190">
        <f t="shared" si="30"/>
        <v>0.69478815930879412</v>
      </c>
      <c r="CN29" s="190">
        <f t="shared" si="30"/>
        <v>0.69478815930879412</v>
      </c>
      <c r="CO29" s="190">
        <f t="shared" si="30"/>
        <v>0.69478815930879412</v>
      </c>
      <c r="CP29" s="190">
        <f t="shared" si="30"/>
        <v>0.69478815930879412</v>
      </c>
      <c r="CQ29" s="190">
        <f t="shared" si="30"/>
        <v>0.69478815930879412</v>
      </c>
      <c r="CR29" s="190">
        <f t="shared" si="30"/>
        <v>0.69478815930879412</v>
      </c>
      <c r="CS29" s="190">
        <f t="shared" si="30"/>
        <v>0.69478815930879412</v>
      </c>
      <c r="CT29" s="190">
        <f t="shared" si="30"/>
        <v>0.69478815930879412</v>
      </c>
      <c r="CU29" s="190">
        <f t="shared" si="30"/>
        <v>0.72952756727423385</v>
      </c>
      <c r="CV29" s="190">
        <f t="shared" si="30"/>
        <v>0.72952756727423385</v>
      </c>
      <c r="CW29" s="190">
        <f t="shared" si="30"/>
        <v>0.72952756727423385</v>
      </c>
      <c r="CX29" s="190">
        <f t="shared" si="30"/>
        <v>0.72952756727423385</v>
      </c>
      <c r="CY29" s="190">
        <f t="shared" si="30"/>
        <v>0.72952756727423385</v>
      </c>
      <c r="CZ29" s="190">
        <f t="shared" si="30"/>
        <v>0.72952756727423385</v>
      </c>
      <c r="DA29" s="190">
        <f t="shared" si="30"/>
        <v>0.72952756727423385</v>
      </c>
      <c r="DB29" s="190">
        <f t="shared" si="30"/>
        <v>0.72952756727423385</v>
      </c>
      <c r="DC29" s="190">
        <f t="shared" si="30"/>
        <v>0.72952756727423385</v>
      </c>
      <c r="DD29" s="190">
        <f t="shared" si="30"/>
        <v>0.72952756727423385</v>
      </c>
      <c r="DE29" s="190">
        <f t="shared" si="30"/>
        <v>0.72952756727423385</v>
      </c>
      <c r="DF29" s="190">
        <f t="shared" si="30"/>
        <v>0.72952756727423385</v>
      </c>
      <c r="DG29" s="190">
        <f t="shared" si="30"/>
        <v>0.7660039456379456</v>
      </c>
      <c r="DH29" s="190">
        <f t="shared" si="30"/>
        <v>0.7660039456379456</v>
      </c>
      <c r="DI29" s="190">
        <f t="shared" si="30"/>
        <v>0.7660039456379456</v>
      </c>
      <c r="DJ29" s="190">
        <f t="shared" si="30"/>
        <v>0.7660039456379456</v>
      </c>
      <c r="DK29" s="190">
        <f t="shared" si="30"/>
        <v>0.7660039456379456</v>
      </c>
      <c r="DL29" s="190">
        <f t="shared" si="30"/>
        <v>0.7660039456379456</v>
      </c>
      <c r="DM29" s="190">
        <f t="shared" si="30"/>
        <v>0.7660039456379456</v>
      </c>
      <c r="DN29" s="190">
        <f t="shared" si="30"/>
        <v>0.7660039456379456</v>
      </c>
      <c r="DO29" s="190">
        <f t="shared" si="30"/>
        <v>0.7660039456379456</v>
      </c>
      <c r="DP29" s="190">
        <f t="shared" si="30"/>
        <v>0.7660039456379456</v>
      </c>
      <c r="DQ29" s="190">
        <f t="shared" si="30"/>
        <v>0.7660039456379456</v>
      </c>
      <c r="DR29" s="190">
        <f t="shared" si="30"/>
        <v>0.7660039456379456</v>
      </c>
      <c r="DS29" s="190">
        <f t="shared" si="30"/>
        <v>0.80430414291984298</v>
      </c>
      <c r="DT29" s="190">
        <f t="shared" si="30"/>
        <v>0.80430414291984298</v>
      </c>
      <c r="DU29" s="190">
        <f t="shared" si="30"/>
        <v>0.80430414291984298</v>
      </c>
      <c r="DV29" s="190">
        <f t="shared" si="30"/>
        <v>0.80430414291984298</v>
      </c>
      <c r="DW29" s="190">
        <f t="shared" si="30"/>
        <v>0.80430414291984298</v>
      </c>
      <c r="DX29" s="190">
        <f t="shared" si="30"/>
        <v>0.80430414291984298</v>
      </c>
      <c r="DY29" s="190">
        <f t="shared" si="30"/>
        <v>0.80430414291984298</v>
      </c>
      <c r="DZ29" s="190">
        <f t="shared" si="30"/>
        <v>0.80430414291984298</v>
      </c>
      <c r="EA29" s="190">
        <f t="shared" si="30"/>
        <v>0.80430414291984298</v>
      </c>
      <c r="EB29" s="190">
        <f t="shared" ref="EB29:GM29" si="31">EB26-SUM(EB27:EB28)</f>
        <v>0.80430414291984298</v>
      </c>
      <c r="EC29" s="190">
        <f t="shared" si="31"/>
        <v>0.80430414291984298</v>
      </c>
      <c r="ED29" s="190">
        <f t="shared" si="31"/>
        <v>0.80430414291984298</v>
      </c>
      <c r="EE29" s="190">
        <f t="shared" si="31"/>
        <v>0.84451935006583523</v>
      </c>
      <c r="EF29" s="190">
        <f t="shared" si="31"/>
        <v>0.84451935006583523</v>
      </c>
      <c r="EG29" s="190">
        <f t="shared" si="31"/>
        <v>0.84451935006583523</v>
      </c>
      <c r="EH29" s="190">
        <f t="shared" si="31"/>
        <v>0.84451935006583523</v>
      </c>
      <c r="EI29" s="190">
        <f t="shared" si="31"/>
        <v>0.84451935006583523</v>
      </c>
      <c r="EJ29" s="190">
        <f t="shared" si="31"/>
        <v>0.84451935006583523</v>
      </c>
      <c r="EK29" s="190">
        <f t="shared" si="31"/>
        <v>0.84451935006583523</v>
      </c>
      <c r="EL29" s="190">
        <f t="shared" si="31"/>
        <v>0.84451935006583523</v>
      </c>
      <c r="EM29" s="190">
        <f t="shared" si="31"/>
        <v>0.84451935006583523</v>
      </c>
      <c r="EN29" s="190">
        <f t="shared" si="31"/>
        <v>0.84451935006583523</v>
      </c>
      <c r="EO29" s="190">
        <f t="shared" si="31"/>
        <v>0.84451935006583523</v>
      </c>
      <c r="EP29" s="190">
        <f t="shared" si="31"/>
        <v>0.84451935006583523</v>
      </c>
      <c r="EQ29" s="190">
        <f t="shared" si="31"/>
        <v>0.88674531756912711</v>
      </c>
      <c r="ER29" s="190">
        <f t="shared" si="31"/>
        <v>0.88674531756912711</v>
      </c>
      <c r="ES29" s="190">
        <f t="shared" si="31"/>
        <v>0.88674531756912711</v>
      </c>
      <c r="ET29" s="190">
        <f t="shared" si="31"/>
        <v>0.88674531756912711</v>
      </c>
      <c r="EU29" s="190">
        <f t="shared" si="31"/>
        <v>0.88674531756912711</v>
      </c>
      <c r="EV29" s="190">
        <f t="shared" si="31"/>
        <v>0.88674531756912711</v>
      </c>
      <c r="EW29" s="190">
        <f t="shared" si="31"/>
        <v>0.88674531756912711</v>
      </c>
      <c r="EX29" s="190">
        <f t="shared" si="31"/>
        <v>0.88674531756912711</v>
      </c>
      <c r="EY29" s="190">
        <f t="shared" si="31"/>
        <v>0.88674531756912711</v>
      </c>
      <c r="EZ29" s="190">
        <f t="shared" si="31"/>
        <v>0.88674531756912711</v>
      </c>
      <c r="FA29" s="190">
        <f t="shared" si="31"/>
        <v>0.88674531756912711</v>
      </c>
      <c r="FB29" s="190">
        <f t="shared" si="31"/>
        <v>0.88674531756912711</v>
      </c>
      <c r="FC29" s="190">
        <f t="shared" si="31"/>
        <v>0.93108258344758321</v>
      </c>
      <c r="FD29" s="190">
        <f t="shared" si="31"/>
        <v>0.93108258344758321</v>
      </c>
      <c r="FE29" s="190">
        <f t="shared" si="31"/>
        <v>0.93108258344758321</v>
      </c>
      <c r="FF29" s="190">
        <f t="shared" si="31"/>
        <v>0.93108258344758321</v>
      </c>
      <c r="FG29" s="190">
        <f t="shared" si="31"/>
        <v>0.93108258344758321</v>
      </c>
      <c r="FH29" s="190">
        <f t="shared" si="31"/>
        <v>0.93108258344758321</v>
      </c>
      <c r="FI29" s="190">
        <f t="shared" si="31"/>
        <v>0.93108258344758321</v>
      </c>
      <c r="FJ29" s="190">
        <f t="shared" si="31"/>
        <v>0.93108258344758321</v>
      </c>
      <c r="FK29" s="190">
        <f t="shared" si="31"/>
        <v>0.93108258344758321</v>
      </c>
      <c r="FL29" s="190">
        <f t="shared" si="31"/>
        <v>0.93108258344758321</v>
      </c>
      <c r="FM29" s="190">
        <f t="shared" si="31"/>
        <v>0.93108258344758321</v>
      </c>
      <c r="FN29" s="190">
        <f t="shared" si="31"/>
        <v>0.93108258344758321</v>
      </c>
      <c r="FO29" s="190">
        <f t="shared" si="31"/>
        <v>0.97763671261996266</v>
      </c>
      <c r="FP29" s="190">
        <f t="shared" si="31"/>
        <v>0.97763671261996266</v>
      </c>
      <c r="FQ29" s="190">
        <f t="shared" si="31"/>
        <v>0.97763671261996266</v>
      </c>
      <c r="FR29" s="190">
        <f t="shared" si="31"/>
        <v>0.97763671261996266</v>
      </c>
      <c r="FS29" s="190">
        <f t="shared" si="31"/>
        <v>0.97763671261996266</v>
      </c>
      <c r="FT29" s="190">
        <f t="shared" si="31"/>
        <v>0.97763671261996266</v>
      </c>
      <c r="FU29" s="190">
        <f t="shared" si="31"/>
        <v>0.97763671261996266</v>
      </c>
      <c r="FV29" s="190">
        <f t="shared" si="31"/>
        <v>0.97763671261996266</v>
      </c>
      <c r="FW29" s="190">
        <f t="shared" si="31"/>
        <v>0.97763671261996266</v>
      </c>
      <c r="FX29" s="190">
        <f t="shared" si="31"/>
        <v>0.97763671261996266</v>
      </c>
      <c r="FY29" s="190">
        <f t="shared" si="31"/>
        <v>0.97763671261996266</v>
      </c>
      <c r="FZ29" s="190">
        <f t="shared" si="31"/>
        <v>0.97763671261996266</v>
      </c>
      <c r="GA29" s="190">
        <f t="shared" si="31"/>
        <v>1.0265185482509607</v>
      </c>
      <c r="GB29" s="190">
        <f t="shared" si="31"/>
        <v>1.0265185482509607</v>
      </c>
      <c r="GC29" s="190">
        <f t="shared" si="31"/>
        <v>1.0265185482509607</v>
      </c>
      <c r="GD29" s="190">
        <f t="shared" si="31"/>
        <v>1.0265185482509607</v>
      </c>
      <c r="GE29" s="190">
        <f t="shared" si="31"/>
        <v>1.0265185482509607</v>
      </c>
      <c r="GF29" s="190">
        <f t="shared" si="31"/>
        <v>1.0265185482509607</v>
      </c>
      <c r="GG29" s="190">
        <f t="shared" si="31"/>
        <v>1.0265185482509607</v>
      </c>
      <c r="GH29" s="190">
        <f t="shared" si="31"/>
        <v>1.0265185482509607</v>
      </c>
      <c r="GI29" s="190">
        <f t="shared" si="31"/>
        <v>1.0265185482509607</v>
      </c>
      <c r="GJ29" s="190">
        <f t="shared" si="31"/>
        <v>1.0265185482509607</v>
      </c>
      <c r="GK29" s="190">
        <f t="shared" si="31"/>
        <v>1.0265185482509607</v>
      </c>
      <c r="GL29" s="190">
        <f t="shared" si="31"/>
        <v>1.0265185482509607</v>
      </c>
      <c r="GM29" s="190">
        <f t="shared" si="31"/>
        <v>1.0778444756635088</v>
      </c>
      <c r="GN29" s="190">
        <f t="shared" ref="GN29:IY29" si="32">GN26-SUM(GN27:GN28)</f>
        <v>1.0778444756635088</v>
      </c>
      <c r="GO29" s="190">
        <f t="shared" si="32"/>
        <v>1.0778444756635088</v>
      </c>
      <c r="GP29" s="190">
        <f t="shared" si="32"/>
        <v>1.0778444756635088</v>
      </c>
      <c r="GQ29" s="190">
        <f t="shared" si="32"/>
        <v>1.0778444756635088</v>
      </c>
      <c r="GR29" s="190">
        <f t="shared" si="32"/>
        <v>1.0778444756635088</v>
      </c>
      <c r="GS29" s="190">
        <f t="shared" si="32"/>
        <v>1.0778444756635088</v>
      </c>
      <c r="GT29" s="190">
        <f t="shared" si="32"/>
        <v>1.0778444756635088</v>
      </c>
      <c r="GU29" s="190">
        <f t="shared" si="32"/>
        <v>1.0778444756635088</v>
      </c>
      <c r="GV29" s="190">
        <f t="shared" si="32"/>
        <v>1.0778444756635088</v>
      </c>
      <c r="GW29" s="190">
        <f t="shared" si="32"/>
        <v>1.0778444756635088</v>
      </c>
      <c r="GX29" s="190">
        <f t="shared" si="32"/>
        <v>1.0778444756635088</v>
      </c>
      <c r="GY29" s="190">
        <f t="shared" si="32"/>
        <v>1.1317366994466844</v>
      </c>
      <c r="GZ29" s="190">
        <f t="shared" si="32"/>
        <v>1.1317366994466844</v>
      </c>
      <c r="HA29" s="190">
        <f t="shared" si="32"/>
        <v>1.1317366994466844</v>
      </c>
      <c r="HB29" s="190">
        <f t="shared" si="32"/>
        <v>1.1317366994466844</v>
      </c>
      <c r="HC29" s="190">
        <f t="shared" si="32"/>
        <v>1.1317366994466844</v>
      </c>
      <c r="HD29" s="190">
        <f t="shared" si="32"/>
        <v>1.1317366994466844</v>
      </c>
      <c r="HE29" s="190">
        <f t="shared" si="32"/>
        <v>1.1317366994466844</v>
      </c>
      <c r="HF29" s="190">
        <f t="shared" si="32"/>
        <v>1.1317366994466844</v>
      </c>
      <c r="HG29" s="190">
        <f t="shared" si="32"/>
        <v>1.1317366994466844</v>
      </c>
      <c r="HH29" s="190">
        <f t="shared" si="32"/>
        <v>1.1317366994466844</v>
      </c>
      <c r="HI29" s="190">
        <f t="shared" si="32"/>
        <v>1.1317366994466844</v>
      </c>
      <c r="HJ29" s="190">
        <f t="shared" si="32"/>
        <v>1.1317366994466844</v>
      </c>
      <c r="HK29" s="190">
        <f t="shared" si="32"/>
        <v>1.1883235344190188</v>
      </c>
      <c r="HL29" s="190">
        <f t="shared" si="32"/>
        <v>1.1883235344190188</v>
      </c>
      <c r="HM29" s="190">
        <f t="shared" si="32"/>
        <v>1.1883235344190188</v>
      </c>
      <c r="HN29" s="190">
        <f t="shared" si="32"/>
        <v>1.1883235344190188</v>
      </c>
      <c r="HO29" s="190">
        <f t="shared" si="32"/>
        <v>1.1883235344190188</v>
      </c>
      <c r="HP29" s="190">
        <f t="shared" si="32"/>
        <v>1.1883235344190188</v>
      </c>
      <c r="HQ29" s="190">
        <f t="shared" si="32"/>
        <v>1.1883235344190188</v>
      </c>
      <c r="HR29" s="190">
        <f t="shared" si="32"/>
        <v>1.1883235344190188</v>
      </c>
      <c r="HS29" s="190">
        <f t="shared" si="32"/>
        <v>1.1883235344190188</v>
      </c>
      <c r="HT29" s="190">
        <f t="shared" si="32"/>
        <v>1.1883235344190188</v>
      </c>
      <c r="HU29" s="190">
        <f t="shared" si="32"/>
        <v>1.1883235344190188</v>
      </c>
      <c r="HV29" s="190">
        <f t="shared" si="32"/>
        <v>1.1883235344190188</v>
      </c>
      <c r="HW29" s="190">
        <f t="shared" si="32"/>
        <v>1.2477397111399697</v>
      </c>
      <c r="HX29" s="190">
        <f t="shared" si="32"/>
        <v>1.2477397111399697</v>
      </c>
      <c r="HY29" s="190">
        <f t="shared" si="32"/>
        <v>1.2477397111399697</v>
      </c>
      <c r="HZ29" s="190">
        <f t="shared" si="32"/>
        <v>1.2477397111399697</v>
      </c>
      <c r="IA29" s="190">
        <f t="shared" si="32"/>
        <v>1.2477397111399697</v>
      </c>
      <c r="IB29" s="190">
        <f t="shared" si="32"/>
        <v>1.2477397111399697</v>
      </c>
      <c r="IC29" s="190">
        <f t="shared" si="32"/>
        <v>5.8034405169300918E-2</v>
      </c>
      <c r="ID29" s="190">
        <f t="shared" si="32"/>
        <v>5.8034405169300918E-2</v>
      </c>
      <c r="IE29" s="190">
        <f t="shared" si="32"/>
        <v>5.8034405169300918E-2</v>
      </c>
      <c r="IF29" s="190">
        <f t="shared" si="32"/>
        <v>5.8034405169300918E-2</v>
      </c>
      <c r="IG29" s="190">
        <f t="shared" si="32"/>
        <v>5.8034405169300918E-2</v>
      </c>
      <c r="IH29" s="190">
        <f t="shared" si="32"/>
        <v>5.8034405169300918E-2</v>
      </c>
      <c r="II29" s="190">
        <f t="shared" si="32"/>
        <v>6.0936125427765955E-2</v>
      </c>
      <c r="IJ29" s="190">
        <f t="shared" si="32"/>
        <v>6.0936125427765955E-2</v>
      </c>
      <c r="IK29" s="190">
        <f t="shared" si="32"/>
        <v>6.0936125427765955E-2</v>
      </c>
      <c r="IL29" s="190">
        <f t="shared" si="32"/>
        <v>6.0936125427765955E-2</v>
      </c>
      <c r="IM29" s="190">
        <f t="shared" si="32"/>
        <v>6.0936125427765955E-2</v>
      </c>
      <c r="IN29" s="190">
        <f t="shared" si="32"/>
        <v>6.0936125427765955E-2</v>
      </c>
      <c r="IO29" s="190">
        <f t="shared" si="32"/>
        <v>6.0936125427765955E-2</v>
      </c>
      <c r="IP29" s="190">
        <f t="shared" si="32"/>
        <v>6.0936125427765955E-2</v>
      </c>
      <c r="IQ29" s="190">
        <f t="shared" si="32"/>
        <v>6.0936125427765955E-2</v>
      </c>
      <c r="IR29" s="190">
        <f t="shared" si="32"/>
        <v>6.0936125427765955E-2</v>
      </c>
      <c r="IS29" s="190">
        <f t="shared" si="32"/>
        <v>6.0936125427765955E-2</v>
      </c>
      <c r="IT29" s="190">
        <f t="shared" si="32"/>
        <v>6.0936125427765955E-2</v>
      </c>
      <c r="IU29" s="190">
        <f t="shared" si="32"/>
        <v>6.3982931699154269E-2</v>
      </c>
      <c r="IV29" s="190">
        <f t="shared" si="32"/>
        <v>6.3982931699154269E-2</v>
      </c>
      <c r="IW29" s="190">
        <f t="shared" si="32"/>
        <v>6.3982931699154269E-2</v>
      </c>
      <c r="IX29" s="190">
        <f t="shared" si="32"/>
        <v>6.3982931699154269E-2</v>
      </c>
      <c r="IY29" s="190">
        <f t="shared" si="32"/>
        <v>6.3982931699154269E-2</v>
      </c>
      <c r="IZ29" s="190">
        <f t="shared" ref="IZ29:JO29" si="33">IZ26-SUM(IZ27:IZ28)</f>
        <v>6.3982931699154269E-2</v>
      </c>
      <c r="JA29" s="190">
        <f t="shared" si="33"/>
        <v>6.3982931699154269E-2</v>
      </c>
      <c r="JB29" s="190">
        <f t="shared" si="33"/>
        <v>6.3982931699154269E-2</v>
      </c>
      <c r="JC29" s="190">
        <f t="shared" si="33"/>
        <v>6.3982931699154269E-2</v>
      </c>
      <c r="JD29" s="190">
        <f t="shared" si="33"/>
        <v>6.3982931699154269E-2</v>
      </c>
      <c r="JE29" s="190">
        <f t="shared" si="33"/>
        <v>6.3982931699154269E-2</v>
      </c>
      <c r="JF29" s="190">
        <f t="shared" si="33"/>
        <v>6.3982931699154269E-2</v>
      </c>
      <c r="JG29" s="190">
        <f t="shared" si="33"/>
        <v>6.7182078284111976E-2</v>
      </c>
      <c r="JH29" s="190">
        <f t="shared" si="33"/>
        <v>6.7182078284111976E-2</v>
      </c>
      <c r="JI29" s="190">
        <f t="shared" si="33"/>
        <v>6.7182078284111976E-2</v>
      </c>
      <c r="JJ29" s="190">
        <f t="shared" si="33"/>
        <v>0</v>
      </c>
      <c r="JK29" s="190">
        <f t="shared" si="33"/>
        <v>0</v>
      </c>
      <c r="JL29" s="190">
        <f t="shared" si="33"/>
        <v>0</v>
      </c>
      <c r="JM29" s="190">
        <f t="shared" si="33"/>
        <v>0</v>
      </c>
      <c r="JN29" s="190">
        <f t="shared" si="33"/>
        <v>0</v>
      </c>
      <c r="JO29" s="190">
        <f t="shared" si="33"/>
        <v>0</v>
      </c>
      <c r="JP29" s="250">
        <f t="shared" si="22"/>
        <v>190.48723671992747</v>
      </c>
    </row>
    <row r="32" spans="1:310" ht="14.4" thickBot="1" x14ac:dyDescent="0.35">
      <c r="B32" s="540" t="s">
        <v>429</v>
      </c>
      <c r="C32" s="471"/>
      <c r="D32" s="471"/>
      <c r="E32" s="471"/>
      <c r="F32" s="471"/>
      <c r="G32" s="471"/>
      <c r="H32" s="471"/>
      <c r="I32" s="471"/>
      <c r="J32" s="471"/>
      <c r="K32" s="471"/>
      <c r="L32" s="471"/>
      <c r="M32" s="471"/>
      <c r="N32" s="471"/>
      <c r="O32" s="471"/>
      <c r="P32" s="471"/>
      <c r="Q32" s="471"/>
      <c r="R32" s="471"/>
      <c r="S32" s="471"/>
      <c r="T32" s="471"/>
      <c r="U32" s="471"/>
      <c r="V32" s="471"/>
      <c r="W32" s="471"/>
      <c r="X32" s="471"/>
      <c r="Y32" s="500"/>
    </row>
    <row r="33" spans="1:25" ht="14.4" thickTop="1" x14ac:dyDescent="0.3">
      <c r="B33" s="437"/>
      <c r="C33" s="541">
        <v>46112</v>
      </c>
      <c r="D33" s="541">
        <f>EOMONTH(C33,12)</f>
        <v>46477</v>
      </c>
      <c r="E33" s="541">
        <f t="shared" ref="E33:Y33" si="34">EOMONTH(D33,12)</f>
        <v>46843</v>
      </c>
      <c r="F33" s="541">
        <f t="shared" si="34"/>
        <v>47208</v>
      </c>
      <c r="G33" s="541">
        <f t="shared" si="34"/>
        <v>47573</v>
      </c>
      <c r="H33" s="541">
        <f t="shared" si="34"/>
        <v>47938</v>
      </c>
      <c r="I33" s="541">
        <f t="shared" si="34"/>
        <v>48304</v>
      </c>
      <c r="J33" s="541">
        <f t="shared" si="34"/>
        <v>48669</v>
      </c>
      <c r="K33" s="541">
        <f t="shared" si="34"/>
        <v>49034</v>
      </c>
      <c r="L33" s="541">
        <f t="shared" si="34"/>
        <v>49399</v>
      </c>
      <c r="M33" s="541">
        <f t="shared" si="34"/>
        <v>49765</v>
      </c>
      <c r="N33" s="541">
        <f t="shared" si="34"/>
        <v>50130</v>
      </c>
      <c r="O33" s="541">
        <f t="shared" si="34"/>
        <v>50495</v>
      </c>
      <c r="P33" s="541">
        <f t="shared" si="34"/>
        <v>50860</v>
      </c>
      <c r="Q33" s="541">
        <f t="shared" si="34"/>
        <v>51226</v>
      </c>
      <c r="R33" s="541">
        <f t="shared" si="34"/>
        <v>51591</v>
      </c>
      <c r="S33" s="541">
        <f t="shared" si="34"/>
        <v>51956</v>
      </c>
      <c r="T33" s="541">
        <f t="shared" si="34"/>
        <v>52321</v>
      </c>
      <c r="U33" s="541">
        <f t="shared" si="34"/>
        <v>52687</v>
      </c>
      <c r="V33" s="541">
        <f t="shared" si="34"/>
        <v>53052</v>
      </c>
      <c r="W33" s="541">
        <f t="shared" si="34"/>
        <v>53417</v>
      </c>
      <c r="X33" s="541">
        <f t="shared" si="34"/>
        <v>53782</v>
      </c>
      <c r="Y33" s="542">
        <f t="shared" si="34"/>
        <v>54148</v>
      </c>
    </row>
    <row r="34" spans="1:25" x14ac:dyDescent="0.3">
      <c r="B34" s="437" t="s">
        <v>299</v>
      </c>
      <c r="C34" s="474">
        <f t="shared" ref="C34:Y34" si="35">SUMIFS(29:29,23:23,C33)</f>
        <v>1.4813189196486971</v>
      </c>
      <c r="D34" s="474">
        <f t="shared" si="35"/>
        <v>5.9993416245772249</v>
      </c>
      <c r="E34" s="474">
        <f t="shared" si="35"/>
        <v>6.2993087058060881</v>
      </c>
      <c r="F34" s="474">
        <f t="shared" si="35"/>
        <v>6.6142741410963923</v>
      </c>
      <c r="G34" s="474">
        <f t="shared" si="35"/>
        <v>6.9449878481512126</v>
      </c>
      <c r="H34" s="474">
        <f t="shared" si="35"/>
        <v>7.2922372405587721</v>
      </c>
      <c r="I34" s="474">
        <f t="shared" si="35"/>
        <v>7.65684910258671</v>
      </c>
      <c r="J34" s="474">
        <f t="shared" si="35"/>
        <v>8.039691557716047</v>
      </c>
      <c r="K34" s="474">
        <f t="shared" si="35"/>
        <v>8.441676135601849</v>
      </c>
      <c r="L34" s="474">
        <f t="shared" si="35"/>
        <v>8.8637599423819413</v>
      </c>
      <c r="M34" s="474">
        <f t="shared" si="35"/>
        <v>9.3069479395010379</v>
      </c>
      <c r="N34" s="474">
        <f t="shared" si="35"/>
        <v>9.7722953364760947</v>
      </c>
      <c r="O34" s="474">
        <f t="shared" si="35"/>
        <v>10.260910103299899</v>
      </c>
      <c r="P34" s="474">
        <f t="shared" si="35"/>
        <v>10.773955608464894</v>
      </c>
      <c r="Q34" s="474">
        <f t="shared" si="35"/>
        <v>11.31265338888814</v>
      </c>
      <c r="R34" s="474">
        <f t="shared" si="35"/>
        <v>11.878286058332545</v>
      </c>
      <c r="S34" s="474">
        <f t="shared" si="35"/>
        <v>12.472200361249174</v>
      </c>
      <c r="T34" s="474">
        <f t="shared" si="35"/>
        <v>13.095810379311633</v>
      </c>
      <c r="U34" s="474">
        <f t="shared" si="35"/>
        <v>13.750600898277217</v>
      </c>
      <c r="V34" s="474">
        <f t="shared" si="35"/>
        <v>14.438130943191078</v>
      </c>
      <c r="W34" s="474">
        <f t="shared" si="35"/>
        <v>4.2742339407190117</v>
      </c>
      <c r="X34" s="474">
        <f t="shared" si="35"/>
        <v>0.74037392394735635</v>
      </c>
      <c r="Y34" s="475">
        <f t="shared" si="35"/>
        <v>0.77739262014472421</v>
      </c>
    </row>
    <row r="36" spans="1:25" x14ac:dyDescent="0.3">
      <c r="B36" s="543" t="s">
        <v>411</v>
      </c>
      <c r="C36" s="543">
        <f>C39</f>
        <v>3</v>
      </c>
      <c r="D36" s="543">
        <f t="shared" ref="D36:R36" si="36">C36+D39</f>
        <v>15</v>
      </c>
      <c r="E36" s="543">
        <f t="shared" si="36"/>
        <v>27</v>
      </c>
      <c r="F36" s="543">
        <f t="shared" si="36"/>
        <v>39</v>
      </c>
      <c r="G36" s="543">
        <f t="shared" si="36"/>
        <v>51</v>
      </c>
      <c r="H36" s="543">
        <f t="shared" si="36"/>
        <v>63</v>
      </c>
      <c r="I36" s="543">
        <f t="shared" si="36"/>
        <v>75</v>
      </c>
      <c r="J36" s="543">
        <f t="shared" si="36"/>
        <v>87</v>
      </c>
      <c r="K36" s="543">
        <f t="shared" si="36"/>
        <v>99</v>
      </c>
      <c r="L36" s="543">
        <f t="shared" si="36"/>
        <v>111</v>
      </c>
      <c r="M36" s="543">
        <f t="shared" si="36"/>
        <v>123</v>
      </c>
      <c r="N36" s="543">
        <f t="shared" si="36"/>
        <v>135</v>
      </c>
      <c r="O36" s="543">
        <f t="shared" si="36"/>
        <v>147</v>
      </c>
      <c r="P36" s="543">
        <f t="shared" si="36"/>
        <v>159</v>
      </c>
      <c r="Q36" s="543">
        <f t="shared" si="36"/>
        <v>171</v>
      </c>
      <c r="R36" s="543">
        <f t="shared" si="36"/>
        <v>180</v>
      </c>
      <c r="S36" s="543"/>
      <c r="T36" s="543"/>
      <c r="U36" s="543"/>
      <c r="V36" s="543"/>
    </row>
    <row r="37" spans="1:25" ht="14.4" thickBot="1" x14ac:dyDescent="0.35">
      <c r="B37" s="540" t="s">
        <v>426</v>
      </c>
      <c r="C37" s="428">
        <v>1</v>
      </c>
      <c r="D37" s="428">
        <f>C37+1</f>
        <v>2</v>
      </c>
      <c r="E37" s="428">
        <f t="shared" ref="E37:R37" si="37">D37+1</f>
        <v>3</v>
      </c>
      <c r="F37" s="428">
        <f t="shared" si="37"/>
        <v>4</v>
      </c>
      <c r="G37" s="428">
        <f t="shared" si="37"/>
        <v>5</v>
      </c>
      <c r="H37" s="428">
        <f t="shared" si="37"/>
        <v>6</v>
      </c>
      <c r="I37" s="428">
        <f t="shared" si="37"/>
        <v>7</v>
      </c>
      <c r="J37" s="428">
        <f t="shared" si="37"/>
        <v>8</v>
      </c>
      <c r="K37" s="428">
        <f t="shared" si="37"/>
        <v>9</v>
      </c>
      <c r="L37" s="428">
        <f t="shared" si="37"/>
        <v>10</v>
      </c>
      <c r="M37" s="428">
        <f t="shared" si="37"/>
        <v>11</v>
      </c>
      <c r="N37" s="428">
        <f t="shared" si="37"/>
        <v>12</v>
      </c>
      <c r="O37" s="428">
        <f t="shared" si="37"/>
        <v>13</v>
      </c>
      <c r="P37" s="428">
        <f t="shared" si="37"/>
        <v>14</v>
      </c>
      <c r="Q37" s="428">
        <f t="shared" si="37"/>
        <v>15</v>
      </c>
      <c r="R37" s="428">
        <f t="shared" si="37"/>
        <v>16</v>
      </c>
      <c r="S37" s="428">
        <f t="shared" ref="S37" si="38">R37+1</f>
        <v>17</v>
      </c>
      <c r="T37" s="428">
        <f t="shared" ref="T37" si="39">S37+1</f>
        <v>18</v>
      </c>
      <c r="U37" s="428">
        <f t="shared" ref="U37" si="40">T37+1</f>
        <v>19</v>
      </c>
      <c r="V37" s="430">
        <f t="shared" ref="V37" si="41">U37+1</f>
        <v>20</v>
      </c>
    </row>
    <row r="38" spans="1:25" ht="14.4" thickTop="1" x14ac:dyDescent="0.3">
      <c r="B38" s="437"/>
      <c r="C38" s="513">
        <f t="shared" ref="C38:R38" si="42">C33</f>
        <v>46112</v>
      </c>
      <c r="D38" s="513">
        <f t="shared" si="42"/>
        <v>46477</v>
      </c>
      <c r="E38" s="513">
        <f t="shared" si="42"/>
        <v>46843</v>
      </c>
      <c r="F38" s="513">
        <f t="shared" si="42"/>
        <v>47208</v>
      </c>
      <c r="G38" s="513">
        <f t="shared" si="42"/>
        <v>47573</v>
      </c>
      <c r="H38" s="513">
        <f t="shared" si="42"/>
        <v>47938</v>
      </c>
      <c r="I38" s="513">
        <f t="shared" si="42"/>
        <v>48304</v>
      </c>
      <c r="J38" s="513">
        <f t="shared" si="42"/>
        <v>48669</v>
      </c>
      <c r="K38" s="513">
        <f t="shared" si="42"/>
        <v>49034</v>
      </c>
      <c r="L38" s="513">
        <f t="shared" si="42"/>
        <v>49399</v>
      </c>
      <c r="M38" s="513">
        <f t="shared" si="42"/>
        <v>49765</v>
      </c>
      <c r="N38" s="513">
        <f t="shared" si="42"/>
        <v>50130</v>
      </c>
      <c r="O38" s="513">
        <f t="shared" si="42"/>
        <v>50495</v>
      </c>
      <c r="P38" s="513">
        <f t="shared" si="42"/>
        <v>50860</v>
      </c>
      <c r="Q38" s="513">
        <f t="shared" si="42"/>
        <v>51226</v>
      </c>
      <c r="R38" s="513">
        <f t="shared" si="42"/>
        <v>51591</v>
      </c>
      <c r="S38" s="513">
        <f t="shared" ref="S38:V38" si="43">S33</f>
        <v>51956</v>
      </c>
      <c r="T38" s="513">
        <f t="shared" si="43"/>
        <v>52321</v>
      </c>
      <c r="U38" s="513">
        <f t="shared" si="43"/>
        <v>52687</v>
      </c>
      <c r="V38" s="514">
        <f t="shared" si="43"/>
        <v>53052</v>
      </c>
    </row>
    <row r="39" spans="1:25" x14ac:dyDescent="0.3">
      <c r="B39" s="437" t="s">
        <v>332</v>
      </c>
      <c r="C39" s="294">
        <f t="shared" ref="C39:Q39" si="44">COUNTIF(23:23,C38)</f>
        <v>3</v>
      </c>
      <c r="D39" s="294">
        <f t="shared" si="44"/>
        <v>12</v>
      </c>
      <c r="E39" s="294">
        <f t="shared" si="44"/>
        <v>12</v>
      </c>
      <c r="F39" s="294">
        <f t="shared" si="44"/>
        <v>12</v>
      </c>
      <c r="G39" s="294">
        <f t="shared" si="44"/>
        <v>12</v>
      </c>
      <c r="H39" s="294">
        <f t="shared" si="44"/>
        <v>12</v>
      </c>
      <c r="I39" s="294">
        <f t="shared" si="44"/>
        <v>12</v>
      </c>
      <c r="J39" s="294">
        <f t="shared" si="44"/>
        <v>12</v>
      </c>
      <c r="K39" s="294">
        <f t="shared" si="44"/>
        <v>12</v>
      </c>
      <c r="L39" s="294">
        <f t="shared" si="44"/>
        <v>12</v>
      </c>
      <c r="M39" s="294">
        <f t="shared" si="44"/>
        <v>12</v>
      </c>
      <c r="N39" s="294">
        <f t="shared" si="44"/>
        <v>12</v>
      </c>
      <c r="O39" s="294">
        <f t="shared" si="44"/>
        <v>12</v>
      </c>
      <c r="P39" s="294">
        <f t="shared" si="44"/>
        <v>12</v>
      </c>
      <c r="Q39" s="294">
        <f t="shared" si="44"/>
        <v>12</v>
      </c>
      <c r="R39" s="294">
        <v>9</v>
      </c>
      <c r="S39" s="294"/>
      <c r="T39" s="294"/>
      <c r="U39" s="294"/>
      <c r="V39" s="381"/>
    </row>
    <row r="40" spans="1:25" x14ac:dyDescent="0.3">
      <c r="A40" s="544">
        <f>SUM(C40:L40)+M40*9/12</f>
        <v>0.50562499999999999</v>
      </c>
      <c r="B40" s="169" t="s">
        <v>412</v>
      </c>
      <c r="C40" s="545">
        <v>2.5000000000000001E-3</v>
      </c>
      <c r="D40" s="545">
        <v>1.2500000000000001E-2</v>
      </c>
      <c r="E40" s="545">
        <v>0.02</v>
      </c>
      <c r="F40" s="545">
        <v>2.75E-2</v>
      </c>
      <c r="G40" s="545">
        <v>3.5000000000000003E-2</v>
      </c>
      <c r="H40" s="545">
        <v>4.2500000000000003E-2</v>
      </c>
      <c r="I40" s="545">
        <v>5.2499999999999998E-2</v>
      </c>
      <c r="J40" s="545">
        <v>6.5000000000000002E-2</v>
      </c>
      <c r="K40" s="545">
        <v>7.7499999999999999E-2</v>
      </c>
      <c r="L40" s="545">
        <v>0.09</v>
      </c>
      <c r="M40" s="545">
        <v>0.1075</v>
      </c>
      <c r="N40" s="545">
        <v>0.1</v>
      </c>
      <c r="O40" s="545">
        <v>0.08</v>
      </c>
      <c r="P40" s="545">
        <v>0.11</v>
      </c>
      <c r="Q40" s="545">
        <v>0.1</v>
      </c>
      <c r="R40" s="545">
        <f>1-SUM(C40:Q40)</f>
        <v>7.7500000000000013E-2</v>
      </c>
      <c r="S40" s="545"/>
      <c r="T40" s="545"/>
      <c r="U40" s="545"/>
      <c r="V40" s="546"/>
    </row>
    <row r="41" spans="1:25" x14ac:dyDescent="0.3">
      <c r="B41" s="169" t="s">
        <v>334</v>
      </c>
      <c r="C41" s="52">
        <f t="shared" ref="C41:R41" ca="1" si="45">$C$16*C$40</f>
        <v>0.13250000000000001</v>
      </c>
      <c r="D41" s="52">
        <f t="shared" ca="1" si="45"/>
        <v>0.66250000000000009</v>
      </c>
      <c r="E41" s="52">
        <f t="shared" ca="1" si="45"/>
        <v>1.06</v>
      </c>
      <c r="F41" s="52">
        <f t="shared" ca="1" si="45"/>
        <v>1.4575</v>
      </c>
      <c r="G41" s="52">
        <f t="shared" ca="1" si="45"/>
        <v>1.8550000000000002</v>
      </c>
      <c r="H41" s="52">
        <f t="shared" ca="1" si="45"/>
        <v>2.2524999999999999</v>
      </c>
      <c r="I41" s="52">
        <f t="shared" ca="1" si="45"/>
        <v>2.7824999999999998</v>
      </c>
      <c r="J41" s="52">
        <f t="shared" ca="1" si="45"/>
        <v>3.4450000000000003</v>
      </c>
      <c r="K41" s="52">
        <f t="shared" ca="1" si="45"/>
        <v>4.1074999999999999</v>
      </c>
      <c r="L41" s="52">
        <f t="shared" ca="1" si="45"/>
        <v>4.7699999999999996</v>
      </c>
      <c r="M41" s="52">
        <f t="shared" ca="1" si="45"/>
        <v>5.6974999999999998</v>
      </c>
      <c r="N41" s="52">
        <f t="shared" ca="1" si="45"/>
        <v>5.3000000000000007</v>
      </c>
      <c r="O41" s="52">
        <f t="shared" ca="1" si="45"/>
        <v>4.24</v>
      </c>
      <c r="P41" s="52">
        <f t="shared" ca="1" si="45"/>
        <v>5.83</v>
      </c>
      <c r="Q41" s="52">
        <f t="shared" ca="1" si="45"/>
        <v>5.3000000000000007</v>
      </c>
      <c r="R41" s="52">
        <f t="shared" ca="1" si="45"/>
        <v>4.1075000000000008</v>
      </c>
      <c r="S41" s="52">
        <f t="shared" ref="S41:V41" ca="1" si="46">$C$16*S$40</f>
        <v>0</v>
      </c>
      <c r="T41" s="52">
        <f t="shared" ca="1" si="46"/>
        <v>0</v>
      </c>
      <c r="U41" s="52">
        <f t="shared" ca="1" si="46"/>
        <v>0</v>
      </c>
      <c r="V41" s="244">
        <f t="shared" ca="1" si="46"/>
        <v>0</v>
      </c>
    </row>
    <row r="42" spans="1:25" x14ac:dyDescent="0.3">
      <c r="B42" s="437" t="s">
        <v>335</v>
      </c>
      <c r="C42" s="380">
        <f ca="1">IFERROR(C41/C39,0)</f>
        <v>4.4166666666666667E-2</v>
      </c>
      <c r="D42" s="380">
        <f t="shared" ref="D42:V42" ca="1" si="47">IFERROR(D41/D39,0)</f>
        <v>5.5208333333333338E-2</v>
      </c>
      <c r="E42" s="380">
        <f t="shared" ca="1" si="47"/>
        <v>8.8333333333333333E-2</v>
      </c>
      <c r="F42" s="380">
        <f t="shared" ca="1" si="47"/>
        <v>0.12145833333333333</v>
      </c>
      <c r="G42" s="380">
        <f t="shared" ca="1" si="47"/>
        <v>0.15458333333333335</v>
      </c>
      <c r="H42" s="380">
        <f t="shared" ca="1" si="47"/>
        <v>0.18770833333333334</v>
      </c>
      <c r="I42" s="380">
        <f t="shared" ca="1" si="47"/>
        <v>0.23187499999999997</v>
      </c>
      <c r="J42" s="380">
        <f t="shared" ca="1" si="47"/>
        <v>0.28708333333333336</v>
      </c>
      <c r="K42" s="380">
        <f t="shared" ca="1" si="47"/>
        <v>0.34229166666666666</v>
      </c>
      <c r="L42" s="380">
        <f t="shared" ca="1" si="47"/>
        <v>0.39749999999999996</v>
      </c>
      <c r="M42" s="380">
        <f t="shared" ca="1" si="47"/>
        <v>0.47479166666666667</v>
      </c>
      <c r="N42" s="380">
        <f t="shared" ca="1" si="47"/>
        <v>0.44166666666666671</v>
      </c>
      <c r="O42" s="380">
        <f t="shared" ca="1" si="47"/>
        <v>0.35333333333333333</v>
      </c>
      <c r="P42" s="380">
        <f t="shared" ca="1" si="47"/>
        <v>0.48583333333333334</v>
      </c>
      <c r="Q42" s="380">
        <f t="shared" ca="1" si="47"/>
        <v>0.44166666666666671</v>
      </c>
      <c r="R42" s="380">
        <f t="shared" ca="1" si="47"/>
        <v>0.45638888888888896</v>
      </c>
      <c r="S42" s="380">
        <f t="shared" ca="1" si="47"/>
        <v>0</v>
      </c>
      <c r="T42" s="380">
        <f t="shared" ca="1" si="47"/>
        <v>0</v>
      </c>
      <c r="U42" s="380">
        <f t="shared" ca="1" si="47"/>
        <v>0</v>
      </c>
      <c r="V42" s="547">
        <f t="shared" ca="1" si="47"/>
        <v>0</v>
      </c>
    </row>
    <row r="44" spans="1:25" ht="14.4" thickBot="1" x14ac:dyDescent="0.35">
      <c r="B44" s="540" t="s">
        <v>340</v>
      </c>
      <c r="C44" s="471"/>
      <c r="D44" s="471"/>
      <c r="E44" s="471"/>
      <c r="F44" s="471"/>
      <c r="G44" s="471"/>
      <c r="H44" s="471"/>
      <c r="I44" s="471"/>
      <c r="J44" s="471"/>
      <c r="K44" s="471"/>
      <c r="L44" s="471"/>
      <c r="M44" s="471"/>
      <c r="N44" s="471"/>
      <c r="O44" s="471"/>
      <c r="P44" s="471"/>
      <c r="Q44" s="471"/>
      <c r="R44" s="471"/>
      <c r="S44" s="471"/>
      <c r="T44" s="471"/>
      <c r="U44" s="471"/>
      <c r="V44" s="500"/>
    </row>
    <row r="45" spans="1:25" ht="14.4" thickTop="1" x14ac:dyDescent="0.3">
      <c r="B45" s="437"/>
      <c r="C45" s="541">
        <f t="shared" ref="C45:R45" si="48">C38</f>
        <v>46112</v>
      </c>
      <c r="D45" s="541">
        <f t="shared" si="48"/>
        <v>46477</v>
      </c>
      <c r="E45" s="541">
        <f t="shared" si="48"/>
        <v>46843</v>
      </c>
      <c r="F45" s="541">
        <f t="shared" si="48"/>
        <v>47208</v>
      </c>
      <c r="G45" s="541">
        <f t="shared" si="48"/>
        <v>47573</v>
      </c>
      <c r="H45" s="541">
        <f t="shared" si="48"/>
        <v>47938</v>
      </c>
      <c r="I45" s="541">
        <f t="shared" si="48"/>
        <v>48304</v>
      </c>
      <c r="J45" s="541">
        <f t="shared" si="48"/>
        <v>48669</v>
      </c>
      <c r="K45" s="541">
        <f t="shared" si="48"/>
        <v>49034</v>
      </c>
      <c r="L45" s="541">
        <f t="shared" si="48"/>
        <v>49399</v>
      </c>
      <c r="M45" s="541">
        <f t="shared" si="48"/>
        <v>49765</v>
      </c>
      <c r="N45" s="541">
        <f t="shared" si="48"/>
        <v>50130</v>
      </c>
      <c r="O45" s="541">
        <f t="shared" si="48"/>
        <v>50495</v>
      </c>
      <c r="P45" s="541">
        <f t="shared" si="48"/>
        <v>50860</v>
      </c>
      <c r="Q45" s="541">
        <f t="shared" si="48"/>
        <v>51226</v>
      </c>
      <c r="R45" s="541">
        <f t="shared" si="48"/>
        <v>51591</v>
      </c>
      <c r="S45" s="541">
        <f t="shared" ref="S45:V45" si="49">S38</f>
        <v>51956</v>
      </c>
      <c r="T45" s="541">
        <f t="shared" si="49"/>
        <v>52321</v>
      </c>
      <c r="U45" s="541">
        <f t="shared" si="49"/>
        <v>52687</v>
      </c>
      <c r="V45" s="542">
        <f t="shared" si="49"/>
        <v>53052</v>
      </c>
    </row>
    <row r="46" spans="1:25" x14ac:dyDescent="0.3">
      <c r="B46" s="169" t="s">
        <v>341</v>
      </c>
      <c r="C46" s="258">
        <f>0</f>
        <v>0</v>
      </c>
      <c r="D46" s="258">
        <f ca="1">C49</f>
        <v>52.8675</v>
      </c>
      <c r="E46" s="258">
        <f t="shared" ref="E46:R46" ca="1" si="50">D49</f>
        <v>52.204999999999998</v>
      </c>
      <c r="F46" s="258">
        <f t="shared" ca="1" si="50"/>
        <v>51.144999999999996</v>
      </c>
      <c r="G46" s="258">
        <f t="shared" ca="1" si="50"/>
        <v>49.687499999999993</v>
      </c>
      <c r="H46" s="258">
        <f t="shared" ca="1" si="50"/>
        <v>47.832499999999996</v>
      </c>
      <c r="I46" s="258">
        <f t="shared" ca="1" si="50"/>
        <v>45.58</v>
      </c>
      <c r="J46" s="258">
        <f t="shared" ca="1" si="50"/>
        <v>42.797499999999999</v>
      </c>
      <c r="K46" s="258">
        <f t="shared" ca="1" si="50"/>
        <v>39.352499999999999</v>
      </c>
      <c r="L46" s="258">
        <f t="shared" ca="1" si="50"/>
        <v>35.244999999999997</v>
      </c>
      <c r="M46" s="258">
        <f t="shared" ca="1" si="50"/>
        <v>30.474999999999998</v>
      </c>
      <c r="N46" s="258">
        <f t="shared" ca="1" si="50"/>
        <v>24.777499999999996</v>
      </c>
      <c r="O46" s="258">
        <f t="shared" ca="1" si="50"/>
        <v>19.477499999999996</v>
      </c>
      <c r="P46" s="258">
        <f t="shared" ca="1" si="50"/>
        <v>15.237499999999995</v>
      </c>
      <c r="Q46" s="258">
        <f t="shared" ca="1" si="50"/>
        <v>9.4074999999999953</v>
      </c>
      <c r="R46" s="258">
        <f t="shared" ca="1" si="50"/>
        <v>4.1074999999999946</v>
      </c>
      <c r="S46" s="258">
        <f t="shared" ref="S46" ca="1" si="51">R49</f>
        <v>0</v>
      </c>
      <c r="T46" s="258">
        <f t="shared" ref="T46" ca="1" si="52">S49</f>
        <v>0</v>
      </c>
      <c r="U46" s="258">
        <f t="shared" ref="U46" ca="1" si="53">T49</f>
        <v>0</v>
      </c>
      <c r="V46" s="246">
        <f t="shared" ref="V46" ca="1" si="54">U49</f>
        <v>0</v>
      </c>
    </row>
    <row r="47" spans="1:25" x14ac:dyDescent="0.3">
      <c r="B47" s="169" t="s">
        <v>165</v>
      </c>
      <c r="C47" s="258">
        <f ca="1">C16</f>
        <v>53</v>
      </c>
      <c r="D47" s="258">
        <f>IF(D45&lt;=D11,$C$16,0)</f>
        <v>0</v>
      </c>
      <c r="E47" s="258">
        <f t="shared" ref="E47:T47" si="55">IF(E45&lt;=E11,$C$16,0)</f>
        <v>0</v>
      </c>
      <c r="F47" s="258">
        <f t="shared" si="55"/>
        <v>0</v>
      </c>
      <c r="G47" s="258">
        <f t="shared" si="55"/>
        <v>0</v>
      </c>
      <c r="H47" s="258">
        <f t="shared" si="55"/>
        <v>0</v>
      </c>
      <c r="I47" s="258">
        <f t="shared" si="55"/>
        <v>0</v>
      </c>
      <c r="J47" s="258">
        <f t="shared" si="55"/>
        <v>0</v>
      </c>
      <c r="K47" s="258">
        <f t="shared" si="55"/>
        <v>0</v>
      </c>
      <c r="L47" s="258">
        <f t="shared" si="55"/>
        <v>0</v>
      </c>
      <c r="M47" s="258">
        <f t="shared" si="55"/>
        <v>0</v>
      </c>
      <c r="N47" s="258">
        <f t="shared" si="55"/>
        <v>0</v>
      </c>
      <c r="O47" s="258">
        <f t="shared" si="55"/>
        <v>0</v>
      </c>
      <c r="P47" s="258">
        <f t="shared" si="55"/>
        <v>0</v>
      </c>
      <c r="Q47" s="258">
        <f t="shared" si="55"/>
        <v>0</v>
      </c>
      <c r="R47" s="258">
        <f t="shared" si="55"/>
        <v>0</v>
      </c>
      <c r="S47" s="258">
        <f t="shared" si="55"/>
        <v>0</v>
      </c>
      <c r="T47" s="258">
        <f t="shared" si="55"/>
        <v>0</v>
      </c>
      <c r="U47" s="258">
        <f>IF(U45&lt;=U11,$C$16,0)</f>
        <v>0</v>
      </c>
      <c r="V47" s="246">
        <f>IF(V45&lt;=V11,$C$16,0)</f>
        <v>0</v>
      </c>
    </row>
    <row r="48" spans="1:25" x14ac:dyDescent="0.3">
      <c r="B48" s="169" t="s">
        <v>342</v>
      </c>
      <c r="C48" s="258">
        <f t="shared" ref="C48:R48" ca="1" si="56">SUMIFS(41:41,38:38,C45)</f>
        <v>0.13250000000000001</v>
      </c>
      <c r="D48" s="258">
        <f t="shared" ca="1" si="56"/>
        <v>0.66250000000000009</v>
      </c>
      <c r="E48" s="258">
        <f t="shared" ca="1" si="56"/>
        <v>1.06</v>
      </c>
      <c r="F48" s="258">
        <f t="shared" ca="1" si="56"/>
        <v>1.4575</v>
      </c>
      <c r="G48" s="258">
        <f t="shared" ca="1" si="56"/>
        <v>1.8550000000000002</v>
      </c>
      <c r="H48" s="258">
        <f t="shared" ca="1" si="56"/>
        <v>2.2524999999999999</v>
      </c>
      <c r="I48" s="258">
        <f t="shared" ca="1" si="56"/>
        <v>2.7824999999999998</v>
      </c>
      <c r="J48" s="258">
        <f t="shared" ca="1" si="56"/>
        <v>3.4450000000000003</v>
      </c>
      <c r="K48" s="258">
        <f t="shared" ca="1" si="56"/>
        <v>4.1074999999999999</v>
      </c>
      <c r="L48" s="258">
        <f t="shared" ca="1" si="56"/>
        <v>4.7699999999999996</v>
      </c>
      <c r="M48" s="258">
        <f t="shared" ca="1" si="56"/>
        <v>5.6974999999999998</v>
      </c>
      <c r="N48" s="258">
        <f t="shared" ca="1" si="56"/>
        <v>5.3000000000000007</v>
      </c>
      <c r="O48" s="258">
        <f t="shared" ca="1" si="56"/>
        <v>4.24</v>
      </c>
      <c r="P48" s="258">
        <f t="shared" ca="1" si="56"/>
        <v>5.83</v>
      </c>
      <c r="Q48" s="258">
        <f t="shared" ca="1" si="56"/>
        <v>5.3000000000000007</v>
      </c>
      <c r="R48" s="258">
        <f t="shared" ca="1" si="56"/>
        <v>4.1075000000000008</v>
      </c>
      <c r="S48" s="258">
        <f t="shared" ref="S48:V48" ca="1" si="57">SUMIFS(41:41,38:38,S45)</f>
        <v>0</v>
      </c>
      <c r="T48" s="258">
        <f t="shared" ca="1" si="57"/>
        <v>0</v>
      </c>
      <c r="U48" s="258">
        <f t="shared" ca="1" si="57"/>
        <v>0</v>
      </c>
      <c r="V48" s="246">
        <f t="shared" ca="1" si="57"/>
        <v>0</v>
      </c>
    </row>
    <row r="49" spans="2:22" x14ac:dyDescent="0.3">
      <c r="B49" s="429" t="s">
        <v>343</v>
      </c>
      <c r="C49" s="462">
        <f ca="1">C47-C48</f>
        <v>52.8675</v>
      </c>
      <c r="D49" s="462">
        <f ca="1">D46-D48</f>
        <v>52.204999999999998</v>
      </c>
      <c r="E49" s="462">
        <f t="shared" ref="E49:Q49" ca="1" si="58">E46-E48</f>
        <v>51.144999999999996</v>
      </c>
      <c r="F49" s="462">
        <f t="shared" ca="1" si="58"/>
        <v>49.687499999999993</v>
      </c>
      <c r="G49" s="462">
        <f t="shared" ca="1" si="58"/>
        <v>47.832499999999996</v>
      </c>
      <c r="H49" s="462">
        <f t="shared" ca="1" si="58"/>
        <v>45.58</v>
      </c>
      <c r="I49" s="462">
        <f t="shared" ca="1" si="58"/>
        <v>42.797499999999999</v>
      </c>
      <c r="J49" s="462">
        <f t="shared" ca="1" si="58"/>
        <v>39.352499999999999</v>
      </c>
      <c r="K49" s="462">
        <f t="shared" ca="1" si="58"/>
        <v>35.244999999999997</v>
      </c>
      <c r="L49" s="462">
        <f t="shared" ca="1" si="58"/>
        <v>30.474999999999998</v>
      </c>
      <c r="M49" s="462">
        <f t="shared" ca="1" si="58"/>
        <v>24.777499999999996</v>
      </c>
      <c r="N49" s="462">
        <f t="shared" ca="1" si="58"/>
        <v>19.477499999999996</v>
      </c>
      <c r="O49" s="462">
        <f t="shared" ca="1" si="58"/>
        <v>15.237499999999995</v>
      </c>
      <c r="P49" s="462">
        <f t="shared" ca="1" si="58"/>
        <v>9.4074999999999953</v>
      </c>
      <c r="Q49" s="462">
        <f t="shared" ca="1" si="58"/>
        <v>4.1074999999999946</v>
      </c>
      <c r="R49" s="462">
        <f t="shared" ref="R49:V49" ca="1" si="59">R46-R48</f>
        <v>0</v>
      </c>
      <c r="S49" s="462">
        <f t="shared" ca="1" si="59"/>
        <v>0</v>
      </c>
      <c r="T49" s="462">
        <f t="shared" ca="1" si="59"/>
        <v>0</v>
      </c>
      <c r="U49" s="462">
        <f t="shared" ca="1" si="59"/>
        <v>0</v>
      </c>
      <c r="V49" s="506">
        <f t="shared" ca="1" si="59"/>
        <v>0</v>
      </c>
    </row>
    <row r="50" spans="2:22" x14ac:dyDescent="0.3">
      <c r="B50" s="436" t="s">
        <v>51</v>
      </c>
      <c r="C50" s="548">
        <f ca="1">AVERAGE(C47,C49)*$C$17*C39/12</f>
        <v>1.1248421875000001</v>
      </c>
      <c r="D50" s="548">
        <f t="shared" ref="D50:R50" ca="1" si="60">AVERAGE(D46,D49)*$C$17*D39/12</f>
        <v>4.4655812499999996</v>
      </c>
      <c r="E50" s="548">
        <f t="shared" ca="1" si="60"/>
        <v>4.3923750000000004</v>
      </c>
      <c r="F50" s="548">
        <f t="shared" ca="1" si="60"/>
        <v>4.2853812499999995</v>
      </c>
      <c r="G50" s="548">
        <f t="shared" ca="1" si="60"/>
        <v>4.1445999999999996</v>
      </c>
      <c r="H50" s="548">
        <f t="shared" ca="1" si="60"/>
        <v>3.9700312499999999</v>
      </c>
      <c r="I50" s="548">
        <f t="shared" ca="1" si="60"/>
        <v>3.7560437500000003</v>
      </c>
      <c r="J50" s="548">
        <f t="shared" ca="1" si="60"/>
        <v>3.4913750000000001</v>
      </c>
      <c r="K50" s="548">
        <f t="shared" ca="1" si="60"/>
        <v>3.1703937500000001</v>
      </c>
      <c r="L50" s="548">
        <f t="shared" ca="1" si="60"/>
        <v>2.7931000000000004</v>
      </c>
      <c r="M50" s="548">
        <f t="shared" ca="1" si="60"/>
        <v>2.34823125</v>
      </c>
      <c r="N50" s="548">
        <f t="shared" ca="1" si="60"/>
        <v>1.8808374999999999</v>
      </c>
      <c r="O50" s="548">
        <f t="shared" ca="1" si="60"/>
        <v>1.4753874999999994</v>
      </c>
      <c r="P50" s="548">
        <f t="shared" ca="1" si="60"/>
        <v>1.0474124999999996</v>
      </c>
      <c r="Q50" s="548">
        <f t="shared" ca="1" si="60"/>
        <v>0.57438749999999961</v>
      </c>
      <c r="R50" s="548">
        <f t="shared" ca="1" si="60"/>
        <v>0.13092656249999982</v>
      </c>
      <c r="S50" s="548">
        <f t="shared" ref="S50:V50" ca="1" si="61">AVERAGE(S46,S49)*$C$17*S39/12</f>
        <v>0</v>
      </c>
      <c r="T50" s="548">
        <f t="shared" ca="1" si="61"/>
        <v>0</v>
      </c>
      <c r="U50" s="548">
        <f t="shared" ca="1" si="61"/>
        <v>0</v>
      </c>
      <c r="V50" s="549">
        <f t="shared" ca="1" si="61"/>
        <v>0</v>
      </c>
    </row>
    <row r="52" spans="2:22" ht="14.4" thickBot="1" x14ac:dyDescent="0.35">
      <c r="B52" s="540" t="s">
        <v>427</v>
      </c>
      <c r="C52" s="471"/>
      <c r="D52" s="471"/>
      <c r="E52" s="471"/>
      <c r="F52" s="471"/>
      <c r="G52" s="471"/>
      <c r="H52" s="471"/>
      <c r="I52" s="471"/>
      <c r="J52" s="471"/>
      <c r="K52" s="471"/>
      <c r="L52" s="471"/>
      <c r="M52" s="471"/>
      <c r="N52" s="471"/>
      <c r="O52" s="471"/>
      <c r="P52" s="471"/>
      <c r="Q52" s="471"/>
      <c r="R52" s="471"/>
      <c r="S52" s="471"/>
      <c r="T52" s="471"/>
      <c r="U52" s="471"/>
      <c r="V52" s="500"/>
    </row>
    <row r="53" spans="2:22" ht="14.4" thickTop="1" x14ac:dyDescent="0.3">
      <c r="B53" s="437"/>
      <c r="C53" s="541">
        <f t="shared" ref="C53:R53" si="62">C45</f>
        <v>46112</v>
      </c>
      <c r="D53" s="541">
        <f t="shared" si="62"/>
        <v>46477</v>
      </c>
      <c r="E53" s="541">
        <f t="shared" si="62"/>
        <v>46843</v>
      </c>
      <c r="F53" s="541">
        <f t="shared" si="62"/>
        <v>47208</v>
      </c>
      <c r="G53" s="541">
        <f t="shared" si="62"/>
        <v>47573</v>
      </c>
      <c r="H53" s="541">
        <f t="shared" si="62"/>
        <v>47938</v>
      </c>
      <c r="I53" s="541">
        <f t="shared" si="62"/>
        <v>48304</v>
      </c>
      <c r="J53" s="541">
        <f t="shared" si="62"/>
        <v>48669</v>
      </c>
      <c r="K53" s="541">
        <f t="shared" si="62"/>
        <v>49034</v>
      </c>
      <c r="L53" s="541">
        <f t="shared" si="62"/>
        <v>49399</v>
      </c>
      <c r="M53" s="541">
        <f t="shared" si="62"/>
        <v>49765</v>
      </c>
      <c r="N53" s="541">
        <f t="shared" si="62"/>
        <v>50130</v>
      </c>
      <c r="O53" s="541">
        <f t="shared" si="62"/>
        <v>50495</v>
      </c>
      <c r="P53" s="541">
        <f t="shared" si="62"/>
        <v>50860</v>
      </c>
      <c r="Q53" s="541">
        <f t="shared" si="62"/>
        <v>51226</v>
      </c>
      <c r="R53" s="541">
        <f t="shared" si="62"/>
        <v>51591</v>
      </c>
      <c r="S53" s="541">
        <f t="shared" ref="S53:V53" si="63">S45</f>
        <v>51956</v>
      </c>
      <c r="T53" s="541">
        <f t="shared" si="63"/>
        <v>52321</v>
      </c>
      <c r="U53" s="541">
        <f t="shared" si="63"/>
        <v>52687</v>
      </c>
      <c r="V53" s="542">
        <f t="shared" si="63"/>
        <v>53052</v>
      </c>
    </row>
    <row r="54" spans="2:22" x14ac:dyDescent="0.3">
      <c r="B54" s="169" t="s">
        <v>345</v>
      </c>
      <c r="C54" s="52">
        <f t="shared" ref="C54:Q54" si="64">C34</f>
        <v>1.4813189196486971</v>
      </c>
      <c r="D54" s="52">
        <f t="shared" si="64"/>
        <v>5.9993416245772249</v>
      </c>
      <c r="E54" s="52">
        <f t="shared" si="64"/>
        <v>6.2993087058060881</v>
      </c>
      <c r="F54" s="52">
        <f t="shared" si="64"/>
        <v>6.6142741410963923</v>
      </c>
      <c r="G54" s="52">
        <f t="shared" si="64"/>
        <v>6.9449878481512126</v>
      </c>
      <c r="H54" s="52">
        <f t="shared" si="64"/>
        <v>7.2922372405587721</v>
      </c>
      <c r="I54" s="52">
        <f t="shared" si="64"/>
        <v>7.65684910258671</v>
      </c>
      <c r="J54" s="52">
        <f t="shared" si="64"/>
        <v>8.039691557716047</v>
      </c>
      <c r="K54" s="52">
        <f t="shared" si="64"/>
        <v>8.441676135601849</v>
      </c>
      <c r="L54" s="52">
        <f t="shared" si="64"/>
        <v>8.8637599423819413</v>
      </c>
      <c r="M54" s="52">
        <f t="shared" si="64"/>
        <v>9.3069479395010379</v>
      </c>
      <c r="N54" s="52">
        <f t="shared" si="64"/>
        <v>9.7722953364760947</v>
      </c>
      <c r="O54" s="52">
        <f t="shared" si="64"/>
        <v>10.260910103299899</v>
      </c>
      <c r="P54" s="52">
        <f t="shared" si="64"/>
        <v>10.773955608464894</v>
      </c>
      <c r="Q54" s="52">
        <f t="shared" si="64"/>
        <v>11.31265338888814</v>
      </c>
      <c r="R54" s="52">
        <f>R34*9/12</f>
        <v>8.9087145437494097</v>
      </c>
      <c r="S54" s="52"/>
      <c r="T54" s="52"/>
      <c r="U54" s="52"/>
      <c r="V54" s="244"/>
    </row>
    <row r="55" spans="2:22" x14ac:dyDescent="0.3">
      <c r="B55" s="169" t="s">
        <v>300</v>
      </c>
      <c r="C55" s="52">
        <f t="shared" ref="C55:R55" ca="1" si="65">C50+C48</f>
        <v>1.2573421875000002</v>
      </c>
      <c r="D55" s="52">
        <f t="shared" ca="1" si="65"/>
        <v>5.1280812499999993</v>
      </c>
      <c r="E55" s="52">
        <f t="shared" ca="1" si="65"/>
        <v>5.452375</v>
      </c>
      <c r="F55" s="52">
        <f t="shared" ca="1" si="65"/>
        <v>5.7428812499999999</v>
      </c>
      <c r="G55" s="52">
        <f t="shared" ca="1" si="65"/>
        <v>5.9996</v>
      </c>
      <c r="H55" s="52">
        <f t="shared" ca="1" si="65"/>
        <v>6.2225312499999994</v>
      </c>
      <c r="I55" s="52">
        <f t="shared" ca="1" si="65"/>
        <v>6.5385437500000005</v>
      </c>
      <c r="J55" s="52">
        <f t="shared" ca="1" si="65"/>
        <v>6.936375</v>
      </c>
      <c r="K55" s="52">
        <f t="shared" ca="1" si="65"/>
        <v>7.2778937500000005</v>
      </c>
      <c r="L55" s="52">
        <f t="shared" ca="1" si="65"/>
        <v>7.5631000000000004</v>
      </c>
      <c r="M55" s="52">
        <f t="shared" ca="1" si="65"/>
        <v>8.0457312499999993</v>
      </c>
      <c r="N55" s="52">
        <f t="shared" ca="1" si="65"/>
        <v>7.1808375000000009</v>
      </c>
      <c r="O55" s="52">
        <f t="shared" ca="1" si="65"/>
        <v>5.7153874999999994</v>
      </c>
      <c r="P55" s="52">
        <f t="shared" ca="1" si="65"/>
        <v>6.8774125000000002</v>
      </c>
      <c r="Q55" s="52">
        <f t="shared" ca="1" si="65"/>
        <v>5.8743875000000001</v>
      </c>
      <c r="R55" s="52">
        <f t="shared" ca="1" si="65"/>
        <v>4.2384265625000008</v>
      </c>
      <c r="S55" s="52"/>
      <c r="T55" s="52"/>
      <c r="U55" s="52"/>
      <c r="V55" s="244"/>
    </row>
    <row r="56" spans="2:22" x14ac:dyDescent="0.3">
      <c r="B56" s="463" t="s">
        <v>190</v>
      </c>
      <c r="C56" s="464">
        <f ca="1">IFERROR(C54/C55,0)</f>
        <v>1.1781350648816091</v>
      </c>
      <c r="D56" s="464">
        <f t="shared" ref="D56:V56" ca="1" si="66">IFERROR(D54/D55,0)</f>
        <v>1.1698998771864673</v>
      </c>
      <c r="E56" s="464">
        <f t="shared" ca="1" si="66"/>
        <v>1.1553329889829822</v>
      </c>
      <c r="F56" s="464">
        <f t="shared" ca="1" si="66"/>
        <v>1.1517344435942136</v>
      </c>
      <c r="G56" s="464">
        <f t="shared" ca="1" si="66"/>
        <v>1.1575751463682933</v>
      </c>
      <c r="H56" s="464">
        <f t="shared" ca="1" si="66"/>
        <v>1.1719084963307773</v>
      </c>
      <c r="I56" s="464">
        <f t="shared" ca="1" si="66"/>
        <v>1.1710327857922047</v>
      </c>
      <c r="J56" s="464">
        <f t="shared" ca="1" si="66"/>
        <v>1.1590624148371516</v>
      </c>
      <c r="K56" s="464">
        <f t="shared" ca="1" si="66"/>
        <v>1.1599064819545968</v>
      </c>
      <c r="L56" s="464">
        <f t="shared" ca="1" si="66"/>
        <v>1.1719744473009666</v>
      </c>
      <c r="M56" s="464">
        <f t="shared" ca="1" si="66"/>
        <v>1.1567560051798944</v>
      </c>
      <c r="N56" s="464">
        <f t="shared" ca="1" si="66"/>
        <v>1.3608851803812707</v>
      </c>
      <c r="O56" s="464">
        <f t="shared" ca="1" si="66"/>
        <v>1.7953131092686017</v>
      </c>
      <c r="P56" s="464">
        <f t="shared" ca="1" si="66"/>
        <v>1.5665710917390652</v>
      </c>
      <c r="Q56" s="464">
        <f t="shared" ca="1" si="66"/>
        <v>1.9257587942382317</v>
      </c>
      <c r="R56" s="464">
        <f t="shared" ca="1" si="66"/>
        <v>2.1018919196501726</v>
      </c>
      <c r="S56" s="464">
        <f t="shared" si="66"/>
        <v>0</v>
      </c>
      <c r="T56" s="464">
        <f t="shared" si="66"/>
        <v>0</v>
      </c>
      <c r="U56" s="464">
        <f t="shared" si="66"/>
        <v>0</v>
      </c>
      <c r="V56" s="465">
        <f t="shared" si="66"/>
        <v>0</v>
      </c>
    </row>
    <row r="57" spans="2:22" x14ac:dyDescent="0.3">
      <c r="B57" s="39"/>
      <c r="C57" s="272"/>
      <c r="D57" s="272"/>
      <c r="E57" s="272"/>
      <c r="F57" s="272"/>
      <c r="G57" s="272"/>
      <c r="H57" s="272"/>
      <c r="I57" s="272"/>
      <c r="J57" s="272"/>
      <c r="K57" s="272"/>
      <c r="L57" s="272"/>
      <c r="M57" s="272"/>
      <c r="N57" s="272"/>
      <c r="O57" s="272"/>
      <c r="P57" s="272"/>
      <c r="Q57" s="272"/>
      <c r="R57" s="272"/>
    </row>
    <row r="58" spans="2:22" x14ac:dyDescent="0.3">
      <c r="B58" s="519" t="s">
        <v>346</v>
      </c>
      <c r="C58" s="520">
        <f ca="1">MIN(C56:R56)</f>
        <v>1.1517344435942136</v>
      </c>
      <c r="D58" s="272"/>
      <c r="E58" s="272"/>
      <c r="F58" s="272"/>
      <c r="G58" s="272"/>
      <c r="H58" s="272"/>
      <c r="I58" s="272"/>
      <c r="J58" s="272"/>
      <c r="K58" s="272"/>
      <c r="L58" s="272"/>
      <c r="M58" s="272"/>
      <c r="N58" s="272"/>
      <c r="O58" s="272"/>
      <c r="P58" s="272"/>
      <c r="Q58" s="272"/>
      <c r="R58" s="272"/>
    </row>
    <row r="59" spans="2:22" x14ac:dyDescent="0.3">
      <c r="B59" s="299" t="s">
        <v>347</v>
      </c>
      <c r="C59" s="521">
        <f ca="1">SUM(C54:R54)/SUM(C55:R55)</f>
        <v>1.3323031206538398</v>
      </c>
      <c r="D59" s="272"/>
      <c r="E59" s="272"/>
      <c r="F59" s="272"/>
      <c r="G59" s="272"/>
      <c r="H59" s="272"/>
      <c r="I59" s="272"/>
      <c r="J59" s="272"/>
      <c r="K59" s="272"/>
      <c r="L59" s="272"/>
      <c r="M59" s="272"/>
      <c r="N59" s="272"/>
      <c r="O59" s="272"/>
      <c r="P59" s="272"/>
      <c r="Q59" s="272"/>
      <c r="R59" s="272"/>
    </row>
    <row r="60" spans="2:22" x14ac:dyDescent="0.3">
      <c r="B60" s="39"/>
      <c r="C60" s="272"/>
      <c r="D60" s="272"/>
      <c r="E60" s="272"/>
      <c r="F60" s="272"/>
      <c r="G60" s="272"/>
      <c r="H60" s="272"/>
      <c r="I60" s="272"/>
      <c r="J60" s="272"/>
      <c r="K60" s="272"/>
      <c r="L60" s="272"/>
      <c r="M60" s="272"/>
      <c r="N60" s="272"/>
      <c r="O60" s="272"/>
      <c r="P60" s="272"/>
      <c r="Q60" s="272"/>
      <c r="R60" s="272"/>
    </row>
    <row r="61" spans="2:22" ht="14.4" thickBot="1" x14ac:dyDescent="0.35">
      <c r="B61" s="540" t="s">
        <v>428</v>
      </c>
      <c r="C61" s="471"/>
      <c r="D61" s="471"/>
      <c r="E61" s="471"/>
      <c r="F61" s="471"/>
      <c r="G61" s="471"/>
      <c r="H61" s="471"/>
      <c r="I61" s="471"/>
      <c r="J61" s="471"/>
      <c r="K61" s="471"/>
      <c r="L61" s="471"/>
      <c r="M61" s="471"/>
      <c r="N61" s="471"/>
      <c r="O61" s="471"/>
      <c r="P61" s="471"/>
      <c r="Q61" s="471"/>
      <c r="R61" s="471"/>
      <c r="S61" s="471"/>
      <c r="T61" s="471"/>
      <c r="U61" s="471"/>
      <c r="V61" s="500"/>
    </row>
    <row r="62" spans="2:22" ht="14.4" thickTop="1" x14ac:dyDescent="0.3">
      <c r="B62" s="292"/>
      <c r="C62" s="541">
        <f>C53</f>
        <v>46112</v>
      </c>
      <c r="D62" s="541">
        <f t="shared" ref="D62:Q62" si="67">D53</f>
        <v>46477</v>
      </c>
      <c r="E62" s="541">
        <f t="shared" si="67"/>
        <v>46843</v>
      </c>
      <c r="F62" s="541">
        <f t="shared" si="67"/>
        <v>47208</v>
      </c>
      <c r="G62" s="541">
        <f t="shared" si="67"/>
        <v>47573</v>
      </c>
      <c r="H62" s="541">
        <f t="shared" si="67"/>
        <v>47938</v>
      </c>
      <c r="I62" s="541">
        <f t="shared" si="67"/>
        <v>48304</v>
      </c>
      <c r="J62" s="541">
        <f t="shared" si="67"/>
        <v>48669</v>
      </c>
      <c r="K62" s="541">
        <f t="shared" si="67"/>
        <v>49034</v>
      </c>
      <c r="L62" s="541">
        <f t="shared" si="67"/>
        <v>49399</v>
      </c>
      <c r="M62" s="541">
        <f t="shared" si="67"/>
        <v>49765</v>
      </c>
      <c r="N62" s="541">
        <f t="shared" si="67"/>
        <v>50130</v>
      </c>
      <c r="O62" s="541">
        <f t="shared" si="67"/>
        <v>50495</v>
      </c>
      <c r="P62" s="541">
        <f t="shared" si="67"/>
        <v>50860</v>
      </c>
      <c r="Q62" s="541">
        <f t="shared" si="67"/>
        <v>51226</v>
      </c>
      <c r="R62" s="541">
        <f>R53</f>
        <v>51591</v>
      </c>
      <c r="S62" s="541">
        <f t="shared" ref="S62:V62" si="68">S53</f>
        <v>51956</v>
      </c>
      <c r="T62" s="541">
        <f t="shared" si="68"/>
        <v>52321</v>
      </c>
      <c r="U62" s="541">
        <f t="shared" si="68"/>
        <v>52687</v>
      </c>
      <c r="V62" s="542">
        <f t="shared" si="68"/>
        <v>53052</v>
      </c>
    </row>
    <row r="63" spans="2:22" x14ac:dyDescent="0.3">
      <c r="B63" s="290" t="s">
        <v>414</v>
      </c>
      <c r="C63" s="52">
        <f t="shared" ref="C63:R63" ca="1" si="69">C54-C55</f>
        <v>0.22397673214869696</v>
      </c>
      <c r="D63" s="52">
        <f t="shared" ca="1" si="69"/>
        <v>0.8712603745772256</v>
      </c>
      <c r="E63" s="52">
        <f t="shared" ca="1" si="69"/>
        <v>0.84693370580608818</v>
      </c>
      <c r="F63" s="52">
        <f t="shared" ca="1" si="69"/>
        <v>0.8713928910963924</v>
      </c>
      <c r="G63" s="52">
        <f t="shared" ca="1" si="69"/>
        <v>0.94538784815121257</v>
      </c>
      <c r="H63" s="52">
        <f t="shared" ca="1" si="69"/>
        <v>1.0697059905587727</v>
      </c>
      <c r="I63" s="52">
        <f t="shared" ca="1" si="69"/>
        <v>1.1183053525867095</v>
      </c>
      <c r="J63" s="52">
        <f t="shared" ca="1" si="69"/>
        <v>1.1033165577160471</v>
      </c>
      <c r="K63" s="52">
        <f t="shared" ca="1" si="69"/>
        <v>1.1637823856018485</v>
      </c>
      <c r="L63" s="52">
        <f t="shared" ca="1" si="69"/>
        <v>1.3006599423819409</v>
      </c>
      <c r="M63" s="52">
        <f t="shared" ca="1" si="69"/>
        <v>1.2612166895010386</v>
      </c>
      <c r="N63" s="52">
        <f t="shared" ca="1" si="69"/>
        <v>2.5914578364760938</v>
      </c>
      <c r="O63" s="52">
        <f t="shared" ca="1" si="69"/>
        <v>4.5455226032998999</v>
      </c>
      <c r="P63" s="52">
        <f t="shared" ca="1" si="69"/>
        <v>3.8965431084648934</v>
      </c>
      <c r="Q63" s="52">
        <f t="shared" ca="1" si="69"/>
        <v>5.4382658888881403</v>
      </c>
      <c r="R63" s="52">
        <f t="shared" ca="1" si="69"/>
        <v>4.6702879812494089</v>
      </c>
      <c r="S63" s="52">
        <f t="shared" ref="S63:V63" si="70">S54-S55</f>
        <v>0</v>
      </c>
      <c r="T63" s="52">
        <f t="shared" si="70"/>
        <v>0</v>
      </c>
      <c r="U63" s="52">
        <f t="shared" si="70"/>
        <v>0</v>
      </c>
      <c r="V63" s="244">
        <f t="shared" si="70"/>
        <v>0</v>
      </c>
    </row>
    <row r="64" spans="2:22" x14ac:dyDescent="0.3">
      <c r="B64" s="292" t="s">
        <v>415</v>
      </c>
      <c r="C64" s="550">
        <f ca="1">SUM(C63:F63,G63*9/12)</f>
        <v>3.5226045897418126</v>
      </c>
      <c r="D64" s="294"/>
      <c r="E64" s="294"/>
      <c r="F64" s="294"/>
      <c r="G64" s="294"/>
      <c r="H64" s="294"/>
      <c r="I64" s="294"/>
      <c r="J64" s="294"/>
      <c r="K64" s="294"/>
      <c r="L64" s="294"/>
      <c r="M64" s="294"/>
      <c r="N64" s="294"/>
      <c r="O64" s="294"/>
      <c r="P64" s="294"/>
      <c r="Q64" s="294"/>
      <c r="R64" s="294"/>
      <c r="S64" s="294"/>
      <c r="T64" s="294"/>
      <c r="U64" s="294"/>
      <c r="V64" s="381"/>
    </row>
    <row r="65" spans="1:6" x14ac:dyDescent="0.3">
      <c r="B65" s="39"/>
    </row>
    <row r="67" spans="1:6" x14ac:dyDescent="0.3">
      <c r="A67" s="524">
        <v>2</v>
      </c>
      <c r="B67" s="529" t="s">
        <v>231</v>
      </c>
      <c r="C67" s="530"/>
      <c r="E67" s="1" t="s">
        <v>403</v>
      </c>
      <c r="F67" s="45">
        <f>XNPV(C78,O91:GM91,O86:GM86)*95%</f>
        <v>127.06742946780426</v>
      </c>
    </row>
    <row r="68" spans="1:6" x14ac:dyDescent="0.3">
      <c r="B68" s="169" t="s">
        <v>14</v>
      </c>
      <c r="C68" s="531">
        <f>'Assumption Sheet'!C29</f>
        <v>494269.88677604997</v>
      </c>
    </row>
    <row r="69" spans="1:6" x14ac:dyDescent="0.3">
      <c r="B69" s="169" t="s">
        <v>322</v>
      </c>
      <c r="C69" s="532">
        <f>'Assumption Sheet'!Q29</f>
        <v>20.5</v>
      </c>
    </row>
    <row r="70" spans="1:6" x14ac:dyDescent="0.3">
      <c r="B70" s="169" t="s">
        <v>106</v>
      </c>
      <c r="C70" s="495">
        <f>'Assumption Sheet'!K29</f>
        <v>46388</v>
      </c>
    </row>
    <row r="71" spans="1:6" x14ac:dyDescent="0.3">
      <c r="B71" s="169" t="s">
        <v>447</v>
      </c>
      <c r="C71" s="495">
        <f>EOMONTH(C70,IF(MOD(MONTH(C70),3)=0,0,3-MOD(MONTH(C70),3)))</f>
        <v>46477</v>
      </c>
    </row>
    <row r="72" spans="1:6" x14ac:dyDescent="0.3">
      <c r="B72" s="169" t="s">
        <v>446</v>
      </c>
      <c r="C72" s="495">
        <f>DATE(IF(MONTH(C71)&gt;=4,YEAR(C71)+1,YEAR(C71)),3,31)</f>
        <v>46477</v>
      </c>
    </row>
    <row r="73" spans="1:6" x14ac:dyDescent="0.3">
      <c r="B73" s="169" t="s">
        <v>323</v>
      </c>
      <c r="C73" s="492" t="s">
        <v>324</v>
      </c>
    </row>
    <row r="74" spans="1:6" x14ac:dyDescent="0.3">
      <c r="B74" s="169" t="s">
        <v>325</v>
      </c>
      <c r="C74" s="493">
        <v>0.05</v>
      </c>
    </row>
    <row r="75" spans="1:6" x14ac:dyDescent="0.3">
      <c r="B75" s="169" t="s">
        <v>297</v>
      </c>
      <c r="C75" s="493">
        <v>0.05</v>
      </c>
    </row>
    <row r="76" spans="1:6" x14ac:dyDescent="0.3">
      <c r="B76" s="169" t="s">
        <v>298</v>
      </c>
      <c r="C76" s="493">
        <v>0.05</v>
      </c>
    </row>
    <row r="77" spans="1:6" ht="15.6" x14ac:dyDescent="0.45">
      <c r="B77" s="494" t="s">
        <v>336</v>
      </c>
      <c r="C77" s="533">
        <f ca="1">'Cost &amp; Means'!M34*0+107</f>
        <v>107</v>
      </c>
      <c r="D77" s="45"/>
      <c r="F77" s="52"/>
    </row>
    <row r="78" spans="1:6" x14ac:dyDescent="0.3">
      <c r="B78" s="169" t="s">
        <v>337</v>
      </c>
      <c r="C78" s="604">
        <v>8.5000000000000006E-2</v>
      </c>
    </row>
    <row r="79" spans="1:6" x14ac:dyDescent="0.3">
      <c r="B79" s="169" t="s">
        <v>296</v>
      </c>
      <c r="C79" s="492" t="s">
        <v>338</v>
      </c>
    </row>
    <row r="80" spans="1:6" x14ac:dyDescent="0.3">
      <c r="B80" s="169" t="s">
        <v>339</v>
      </c>
      <c r="C80" s="534">
        <v>15</v>
      </c>
    </row>
    <row r="81" spans="2:277" x14ac:dyDescent="0.3">
      <c r="B81" s="437" t="s">
        <v>431</v>
      </c>
      <c r="C81" s="498">
        <f>EOMONTH(C70,C80*12)</f>
        <v>51897</v>
      </c>
    </row>
    <row r="82" spans="2:277" x14ac:dyDescent="0.3">
      <c r="C82" s="77"/>
    </row>
    <row r="83" spans="2:277" x14ac:dyDescent="0.3">
      <c r="C83" s="77"/>
    </row>
    <row r="84" spans="2:277" ht="14.4" thickBot="1" x14ac:dyDescent="0.35">
      <c r="B84" s="540" t="s">
        <v>331</v>
      </c>
      <c r="C84" s="471"/>
      <c r="D84" s="471"/>
      <c r="E84" s="471"/>
      <c r="F84" s="471"/>
      <c r="G84" s="471"/>
      <c r="H84" s="471"/>
      <c r="I84" s="471"/>
      <c r="J84" s="471"/>
      <c r="K84" s="471"/>
      <c r="L84" s="471"/>
      <c r="M84" s="471"/>
      <c r="N84" s="471"/>
      <c r="O84" s="471"/>
      <c r="P84" s="471"/>
      <c r="Q84" s="471"/>
      <c r="R84" s="471"/>
      <c r="S84" s="471"/>
      <c r="T84" s="471"/>
      <c r="U84" s="471"/>
      <c r="V84" s="471"/>
      <c r="W84" s="471"/>
      <c r="X84" s="471"/>
      <c r="Y84" s="471"/>
      <c r="Z84" s="471"/>
      <c r="AA84" s="471"/>
      <c r="AB84" s="471"/>
      <c r="AC84" s="471"/>
      <c r="AD84" s="471"/>
      <c r="AE84" s="471"/>
      <c r="AF84" s="471"/>
      <c r="AG84" s="471"/>
      <c r="AH84" s="471"/>
      <c r="AI84" s="471"/>
      <c r="AJ84" s="471"/>
      <c r="AK84" s="471"/>
      <c r="AL84" s="471"/>
      <c r="AM84" s="471"/>
      <c r="AN84" s="471"/>
      <c r="AO84" s="471"/>
      <c r="AP84" s="471"/>
      <c r="AQ84" s="471"/>
      <c r="AR84" s="471"/>
      <c r="AS84" s="471"/>
      <c r="AT84" s="471"/>
      <c r="AU84" s="471"/>
      <c r="AV84" s="471"/>
      <c r="AW84" s="471"/>
      <c r="AX84" s="471"/>
      <c r="AY84" s="471"/>
      <c r="AZ84" s="471"/>
      <c r="BA84" s="471"/>
      <c r="BB84" s="471"/>
      <c r="BC84" s="471"/>
      <c r="BD84" s="471"/>
      <c r="BE84" s="471"/>
      <c r="BF84" s="471"/>
      <c r="BG84" s="471"/>
      <c r="BH84" s="471"/>
      <c r="BI84" s="471"/>
      <c r="BJ84" s="471"/>
      <c r="BK84" s="471"/>
      <c r="BL84" s="471"/>
      <c r="BM84" s="471"/>
      <c r="BN84" s="471"/>
      <c r="BO84" s="471"/>
      <c r="BP84" s="471"/>
      <c r="BQ84" s="471"/>
      <c r="BR84" s="471"/>
      <c r="BS84" s="471"/>
      <c r="BT84" s="471"/>
      <c r="BU84" s="471"/>
      <c r="BV84" s="471"/>
      <c r="BW84" s="471"/>
      <c r="BX84" s="471"/>
      <c r="BY84" s="471"/>
      <c r="BZ84" s="471"/>
      <c r="CA84" s="471"/>
      <c r="CB84" s="471"/>
      <c r="CC84" s="471"/>
      <c r="CD84" s="471"/>
      <c r="CE84" s="471"/>
      <c r="CF84" s="471"/>
      <c r="CG84" s="471"/>
      <c r="CH84" s="471"/>
      <c r="CI84" s="471"/>
      <c r="CJ84" s="471"/>
      <c r="CK84" s="471"/>
      <c r="CL84" s="471"/>
      <c r="CM84" s="471"/>
      <c r="CN84" s="471"/>
      <c r="CO84" s="471"/>
      <c r="CP84" s="471"/>
      <c r="CQ84" s="471"/>
      <c r="CR84" s="471"/>
      <c r="CS84" s="471"/>
      <c r="CT84" s="471"/>
      <c r="CU84" s="471"/>
      <c r="CV84" s="471"/>
      <c r="CW84" s="471"/>
      <c r="CX84" s="471"/>
      <c r="CY84" s="471"/>
      <c r="CZ84" s="471"/>
      <c r="DA84" s="471"/>
      <c r="DB84" s="471"/>
      <c r="DC84" s="471"/>
      <c r="DD84" s="471"/>
      <c r="DE84" s="471"/>
      <c r="DF84" s="471"/>
      <c r="DG84" s="471"/>
      <c r="DH84" s="471"/>
      <c r="DI84" s="471"/>
      <c r="DJ84" s="471"/>
      <c r="DK84" s="471"/>
      <c r="DL84" s="471"/>
      <c r="DM84" s="471"/>
      <c r="DN84" s="471"/>
      <c r="DO84" s="471"/>
      <c r="DP84" s="471"/>
      <c r="DQ84" s="471"/>
      <c r="DR84" s="471"/>
      <c r="DS84" s="471"/>
      <c r="DT84" s="471"/>
      <c r="DU84" s="471"/>
      <c r="DV84" s="471"/>
      <c r="DW84" s="471"/>
      <c r="DX84" s="471"/>
      <c r="DY84" s="471"/>
      <c r="DZ84" s="471"/>
      <c r="EA84" s="471"/>
      <c r="EB84" s="471"/>
      <c r="EC84" s="471"/>
      <c r="ED84" s="471"/>
      <c r="EE84" s="471"/>
      <c r="EF84" s="471"/>
      <c r="EG84" s="471"/>
      <c r="EH84" s="471"/>
      <c r="EI84" s="471"/>
      <c r="EJ84" s="471"/>
      <c r="EK84" s="471"/>
      <c r="EL84" s="471"/>
      <c r="EM84" s="471"/>
      <c r="EN84" s="471"/>
      <c r="EO84" s="471"/>
      <c r="EP84" s="471"/>
      <c r="EQ84" s="471"/>
      <c r="ER84" s="471"/>
      <c r="ES84" s="471"/>
      <c r="ET84" s="471"/>
      <c r="EU84" s="471"/>
      <c r="EV84" s="471"/>
      <c r="EW84" s="471"/>
      <c r="EX84" s="471"/>
      <c r="EY84" s="471"/>
      <c r="EZ84" s="471"/>
      <c r="FA84" s="471"/>
      <c r="FB84" s="471"/>
      <c r="FC84" s="471"/>
      <c r="FD84" s="471"/>
      <c r="FE84" s="471"/>
      <c r="FF84" s="471"/>
      <c r="FG84" s="471"/>
      <c r="FH84" s="471"/>
      <c r="FI84" s="471"/>
      <c r="FJ84" s="471"/>
      <c r="FK84" s="471"/>
      <c r="FL84" s="471"/>
      <c r="FM84" s="471"/>
      <c r="FN84" s="471"/>
      <c r="FO84" s="471"/>
      <c r="FP84" s="471"/>
      <c r="FQ84" s="471"/>
      <c r="FR84" s="471"/>
      <c r="FS84" s="471"/>
      <c r="FT84" s="471"/>
      <c r="FU84" s="471"/>
      <c r="FV84" s="471"/>
      <c r="FW84" s="471"/>
      <c r="FX84" s="471"/>
      <c r="FY84" s="471"/>
      <c r="FZ84" s="471"/>
      <c r="GA84" s="471"/>
      <c r="GB84" s="471"/>
      <c r="GC84" s="471"/>
      <c r="GD84" s="471"/>
      <c r="GE84" s="471"/>
      <c r="GF84" s="471"/>
      <c r="GG84" s="471"/>
      <c r="GH84" s="471"/>
      <c r="GI84" s="471"/>
      <c r="GJ84" s="471"/>
      <c r="GK84" s="471"/>
      <c r="GL84" s="471"/>
      <c r="GM84" s="471"/>
      <c r="GN84" s="471"/>
      <c r="GO84" s="471"/>
      <c r="GP84" s="471"/>
      <c r="GQ84" s="471"/>
      <c r="GR84" s="471"/>
      <c r="GS84" s="471"/>
      <c r="GT84" s="471"/>
      <c r="GU84" s="471"/>
      <c r="GV84" s="471"/>
      <c r="GW84" s="471"/>
      <c r="GX84" s="471"/>
      <c r="GY84" s="471"/>
      <c r="GZ84" s="471"/>
      <c r="HA84" s="471"/>
      <c r="HB84" s="471"/>
      <c r="HC84" s="471"/>
      <c r="HD84" s="471"/>
      <c r="HE84" s="471"/>
      <c r="HF84" s="471"/>
      <c r="HG84" s="471"/>
      <c r="HH84" s="471"/>
      <c r="HI84" s="471"/>
      <c r="HJ84" s="471"/>
      <c r="HK84" s="471"/>
      <c r="HL84" s="471"/>
      <c r="HM84" s="471"/>
      <c r="HN84" s="471"/>
      <c r="HO84" s="471"/>
      <c r="HP84" s="471"/>
      <c r="HQ84" s="471"/>
      <c r="HR84" s="471"/>
      <c r="HS84" s="471"/>
      <c r="HT84" s="471"/>
      <c r="HU84" s="471"/>
      <c r="HV84" s="471"/>
      <c r="HW84" s="471"/>
      <c r="HX84" s="471"/>
      <c r="HY84" s="471"/>
      <c r="HZ84" s="471"/>
      <c r="IA84" s="471"/>
      <c r="IB84" s="471"/>
      <c r="IC84" s="471"/>
      <c r="ID84" s="471"/>
      <c r="IE84" s="471"/>
      <c r="IF84" s="471"/>
      <c r="IG84" s="471"/>
      <c r="IH84" s="471"/>
      <c r="II84" s="471"/>
      <c r="IJ84" s="471"/>
      <c r="IK84" s="471"/>
      <c r="IL84" s="471"/>
      <c r="IM84" s="471"/>
      <c r="IN84" s="471"/>
      <c r="IO84" s="471"/>
      <c r="IP84" s="471"/>
      <c r="IQ84" s="471"/>
      <c r="IR84" s="471"/>
      <c r="IS84" s="471"/>
      <c r="IT84" s="471"/>
      <c r="IU84" s="471"/>
      <c r="IV84" s="471"/>
      <c r="IW84" s="471"/>
      <c r="IX84" s="471"/>
      <c r="IY84" s="471"/>
      <c r="IZ84" s="471"/>
      <c r="JA84" s="471"/>
      <c r="JB84" s="471"/>
      <c r="JC84" s="471"/>
      <c r="JD84" s="471"/>
      <c r="JE84" s="471"/>
      <c r="JF84" s="471"/>
      <c r="JG84" s="471"/>
      <c r="JH84" s="471"/>
      <c r="JI84" s="500"/>
      <c r="JJ84" s="551"/>
    </row>
    <row r="85" spans="2:277" ht="14.4" thickTop="1" x14ac:dyDescent="0.3">
      <c r="B85" s="169" t="s">
        <v>330</v>
      </c>
      <c r="C85" s="501">
        <f>IF(C88&gt;0,IF(MONTH(C86)&gt;3,DATE(YEAR(C86)+1,3,31),DATE(YEAR(C86),3,31)),0)</f>
        <v>0</v>
      </c>
      <c r="D85" s="501">
        <f t="shared" ref="D85:BO85" si="71">IF(D88&gt;0,IF(MONTH(D86)&gt;3,DATE(YEAR(D86)+1,3,31),DATE(YEAR(D86),3,31)),0)</f>
        <v>0</v>
      </c>
      <c r="E85" s="501">
        <f t="shared" si="71"/>
        <v>0</v>
      </c>
      <c r="F85" s="501">
        <f t="shared" si="71"/>
        <v>0</v>
      </c>
      <c r="G85" s="501">
        <f t="shared" si="71"/>
        <v>0</v>
      </c>
      <c r="H85" s="501">
        <f t="shared" si="71"/>
        <v>0</v>
      </c>
      <c r="I85" s="501">
        <f t="shared" si="71"/>
        <v>0</v>
      </c>
      <c r="J85" s="501">
        <f t="shared" si="71"/>
        <v>0</v>
      </c>
      <c r="K85" s="501">
        <f t="shared" si="71"/>
        <v>0</v>
      </c>
      <c r="L85" s="501">
        <f t="shared" si="71"/>
        <v>0</v>
      </c>
      <c r="M85" s="501">
        <f t="shared" si="71"/>
        <v>0</v>
      </c>
      <c r="N85" s="501">
        <f t="shared" si="71"/>
        <v>0</v>
      </c>
      <c r="O85" s="501">
        <f t="shared" si="71"/>
        <v>46477</v>
      </c>
      <c r="P85" s="501">
        <f t="shared" si="71"/>
        <v>46477</v>
      </c>
      <c r="Q85" s="501">
        <f t="shared" si="71"/>
        <v>46477</v>
      </c>
      <c r="R85" s="501">
        <f t="shared" si="71"/>
        <v>46843</v>
      </c>
      <c r="S85" s="501">
        <f t="shared" si="71"/>
        <v>46843</v>
      </c>
      <c r="T85" s="501">
        <f t="shared" si="71"/>
        <v>46843</v>
      </c>
      <c r="U85" s="501">
        <f t="shared" si="71"/>
        <v>46843</v>
      </c>
      <c r="V85" s="501">
        <f t="shared" si="71"/>
        <v>46843</v>
      </c>
      <c r="W85" s="501">
        <f t="shared" si="71"/>
        <v>46843</v>
      </c>
      <c r="X85" s="501">
        <f t="shared" si="71"/>
        <v>46843</v>
      </c>
      <c r="Y85" s="501">
        <f t="shared" si="71"/>
        <v>46843</v>
      </c>
      <c r="Z85" s="501">
        <f t="shared" si="71"/>
        <v>46843</v>
      </c>
      <c r="AA85" s="501">
        <f t="shared" si="71"/>
        <v>46843</v>
      </c>
      <c r="AB85" s="501">
        <f t="shared" si="71"/>
        <v>46843</v>
      </c>
      <c r="AC85" s="501">
        <f t="shared" si="71"/>
        <v>46843</v>
      </c>
      <c r="AD85" s="501">
        <f t="shared" si="71"/>
        <v>47208</v>
      </c>
      <c r="AE85" s="501">
        <f t="shared" si="71"/>
        <v>47208</v>
      </c>
      <c r="AF85" s="501">
        <f t="shared" si="71"/>
        <v>47208</v>
      </c>
      <c r="AG85" s="501">
        <f t="shared" si="71"/>
        <v>47208</v>
      </c>
      <c r="AH85" s="501">
        <f t="shared" si="71"/>
        <v>47208</v>
      </c>
      <c r="AI85" s="501">
        <f t="shared" si="71"/>
        <v>47208</v>
      </c>
      <c r="AJ85" s="501">
        <f t="shared" si="71"/>
        <v>47208</v>
      </c>
      <c r="AK85" s="501">
        <f t="shared" si="71"/>
        <v>47208</v>
      </c>
      <c r="AL85" s="501">
        <f t="shared" si="71"/>
        <v>47208</v>
      </c>
      <c r="AM85" s="501">
        <f t="shared" si="71"/>
        <v>47208</v>
      </c>
      <c r="AN85" s="501">
        <f t="shared" si="71"/>
        <v>47208</v>
      </c>
      <c r="AO85" s="501">
        <f t="shared" si="71"/>
        <v>47208</v>
      </c>
      <c r="AP85" s="501">
        <f t="shared" si="71"/>
        <v>47573</v>
      </c>
      <c r="AQ85" s="501">
        <f t="shared" si="71"/>
        <v>47573</v>
      </c>
      <c r="AR85" s="501">
        <f t="shared" si="71"/>
        <v>47573</v>
      </c>
      <c r="AS85" s="501">
        <f t="shared" si="71"/>
        <v>47573</v>
      </c>
      <c r="AT85" s="501">
        <f t="shared" si="71"/>
        <v>47573</v>
      </c>
      <c r="AU85" s="501">
        <f t="shared" si="71"/>
        <v>47573</v>
      </c>
      <c r="AV85" s="501">
        <f t="shared" si="71"/>
        <v>47573</v>
      </c>
      <c r="AW85" s="501">
        <f t="shared" si="71"/>
        <v>47573</v>
      </c>
      <c r="AX85" s="501">
        <f t="shared" si="71"/>
        <v>47573</v>
      </c>
      <c r="AY85" s="501">
        <f t="shared" si="71"/>
        <v>47573</v>
      </c>
      <c r="AZ85" s="501">
        <f t="shared" si="71"/>
        <v>47573</v>
      </c>
      <c r="BA85" s="501">
        <f t="shared" si="71"/>
        <v>47573</v>
      </c>
      <c r="BB85" s="501">
        <f t="shared" si="71"/>
        <v>47938</v>
      </c>
      <c r="BC85" s="501">
        <f t="shared" si="71"/>
        <v>47938</v>
      </c>
      <c r="BD85" s="501">
        <f t="shared" si="71"/>
        <v>47938</v>
      </c>
      <c r="BE85" s="501">
        <f t="shared" si="71"/>
        <v>47938</v>
      </c>
      <c r="BF85" s="501">
        <f t="shared" si="71"/>
        <v>47938</v>
      </c>
      <c r="BG85" s="501">
        <f t="shared" si="71"/>
        <v>47938</v>
      </c>
      <c r="BH85" s="501">
        <f t="shared" si="71"/>
        <v>47938</v>
      </c>
      <c r="BI85" s="501">
        <f t="shared" si="71"/>
        <v>47938</v>
      </c>
      <c r="BJ85" s="501">
        <f t="shared" si="71"/>
        <v>47938</v>
      </c>
      <c r="BK85" s="501">
        <f t="shared" si="71"/>
        <v>47938</v>
      </c>
      <c r="BL85" s="501">
        <f t="shared" si="71"/>
        <v>47938</v>
      </c>
      <c r="BM85" s="501">
        <f t="shared" si="71"/>
        <v>47938</v>
      </c>
      <c r="BN85" s="501">
        <f t="shared" si="71"/>
        <v>48304</v>
      </c>
      <c r="BO85" s="501">
        <f t="shared" si="71"/>
        <v>48304</v>
      </c>
      <c r="BP85" s="501">
        <f t="shared" ref="BP85:EA85" si="72">IF(BP88&gt;0,IF(MONTH(BP86)&gt;3,DATE(YEAR(BP86)+1,3,31),DATE(YEAR(BP86),3,31)),0)</f>
        <v>48304</v>
      </c>
      <c r="BQ85" s="501">
        <f t="shared" si="72"/>
        <v>48304</v>
      </c>
      <c r="BR85" s="501">
        <f t="shared" si="72"/>
        <v>48304</v>
      </c>
      <c r="BS85" s="501">
        <f t="shared" si="72"/>
        <v>48304</v>
      </c>
      <c r="BT85" s="501">
        <f t="shared" si="72"/>
        <v>48304</v>
      </c>
      <c r="BU85" s="501">
        <f t="shared" si="72"/>
        <v>48304</v>
      </c>
      <c r="BV85" s="501">
        <f t="shared" si="72"/>
        <v>48304</v>
      </c>
      <c r="BW85" s="501">
        <f t="shared" si="72"/>
        <v>48304</v>
      </c>
      <c r="BX85" s="501">
        <f t="shared" si="72"/>
        <v>48304</v>
      </c>
      <c r="BY85" s="501">
        <f t="shared" si="72"/>
        <v>48304</v>
      </c>
      <c r="BZ85" s="501">
        <f t="shared" si="72"/>
        <v>48669</v>
      </c>
      <c r="CA85" s="501">
        <f t="shared" si="72"/>
        <v>48669</v>
      </c>
      <c r="CB85" s="501">
        <f t="shared" si="72"/>
        <v>48669</v>
      </c>
      <c r="CC85" s="501">
        <f t="shared" si="72"/>
        <v>48669</v>
      </c>
      <c r="CD85" s="501">
        <f t="shared" si="72"/>
        <v>48669</v>
      </c>
      <c r="CE85" s="501">
        <f t="shared" si="72"/>
        <v>48669</v>
      </c>
      <c r="CF85" s="501">
        <f t="shared" si="72"/>
        <v>48669</v>
      </c>
      <c r="CG85" s="501">
        <f t="shared" si="72"/>
        <v>48669</v>
      </c>
      <c r="CH85" s="501">
        <f t="shared" si="72"/>
        <v>48669</v>
      </c>
      <c r="CI85" s="501">
        <f t="shared" si="72"/>
        <v>48669</v>
      </c>
      <c r="CJ85" s="501">
        <f t="shared" si="72"/>
        <v>48669</v>
      </c>
      <c r="CK85" s="501">
        <f t="shared" si="72"/>
        <v>48669</v>
      </c>
      <c r="CL85" s="501">
        <f t="shared" si="72"/>
        <v>49034</v>
      </c>
      <c r="CM85" s="501">
        <f t="shared" si="72"/>
        <v>49034</v>
      </c>
      <c r="CN85" s="501">
        <f t="shared" si="72"/>
        <v>49034</v>
      </c>
      <c r="CO85" s="501">
        <f t="shared" si="72"/>
        <v>49034</v>
      </c>
      <c r="CP85" s="501">
        <f t="shared" si="72"/>
        <v>49034</v>
      </c>
      <c r="CQ85" s="501">
        <f t="shared" si="72"/>
        <v>49034</v>
      </c>
      <c r="CR85" s="501">
        <f t="shared" si="72"/>
        <v>49034</v>
      </c>
      <c r="CS85" s="501">
        <f t="shared" si="72"/>
        <v>49034</v>
      </c>
      <c r="CT85" s="501">
        <f t="shared" si="72"/>
        <v>49034</v>
      </c>
      <c r="CU85" s="501">
        <f t="shared" si="72"/>
        <v>49034</v>
      </c>
      <c r="CV85" s="501">
        <f t="shared" si="72"/>
        <v>49034</v>
      </c>
      <c r="CW85" s="501">
        <f t="shared" si="72"/>
        <v>49034</v>
      </c>
      <c r="CX85" s="501">
        <f t="shared" si="72"/>
        <v>49399</v>
      </c>
      <c r="CY85" s="501">
        <f t="shared" si="72"/>
        <v>49399</v>
      </c>
      <c r="CZ85" s="501">
        <f t="shared" si="72"/>
        <v>49399</v>
      </c>
      <c r="DA85" s="501">
        <f t="shared" si="72"/>
        <v>49399</v>
      </c>
      <c r="DB85" s="501">
        <f t="shared" si="72"/>
        <v>49399</v>
      </c>
      <c r="DC85" s="501">
        <f t="shared" si="72"/>
        <v>49399</v>
      </c>
      <c r="DD85" s="501">
        <f t="shared" si="72"/>
        <v>49399</v>
      </c>
      <c r="DE85" s="501">
        <f t="shared" si="72"/>
        <v>49399</v>
      </c>
      <c r="DF85" s="501">
        <f t="shared" si="72"/>
        <v>49399</v>
      </c>
      <c r="DG85" s="501">
        <f t="shared" si="72"/>
        <v>49399</v>
      </c>
      <c r="DH85" s="501">
        <f t="shared" si="72"/>
        <v>49399</v>
      </c>
      <c r="DI85" s="501">
        <f t="shared" si="72"/>
        <v>49399</v>
      </c>
      <c r="DJ85" s="501">
        <f t="shared" si="72"/>
        <v>49765</v>
      </c>
      <c r="DK85" s="501">
        <f t="shared" si="72"/>
        <v>49765</v>
      </c>
      <c r="DL85" s="501">
        <f t="shared" si="72"/>
        <v>49765</v>
      </c>
      <c r="DM85" s="501">
        <f t="shared" si="72"/>
        <v>49765</v>
      </c>
      <c r="DN85" s="501">
        <f t="shared" si="72"/>
        <v>49765</v>
      </c>
      <c r="DO85" s="501">
        <f t="shared" si="72"/>
        <v>49765</v>
      </c>
      <c r="DP85" s="501">
        <f t="shared" si="72"/>
        <v>49765</v>
      </c>
      <c r="DQ85" s="501">
        <f t="shared" si="72"/>
        <v>49765</v>
      </c>
      <c r="DR85" s="501">
        <f t="shared" si="72"/>
        <v>49765</v>
      </c>
      <c r="DS85" s="501">
        <f t="shared" si="72"/>
        <v>49765</v>
      </c>
      <c r="DT85" s="501">
        <f t="shared" si="72"/>
        <v>49765</v>
      </c>
      <c r="DU85" s="501">
        <f t="shared" si="72"/>
        <v>49765</v>
      </c>
      <c r="DV85" s="501">
        <f t="shared" si="72"/>
        <v>50130</v>
      </c>
      <c r="DW85" s="501">
        <f t="shared" si="72"/>
        <v>50130</v>
      </c>
      <c r="DX85" s="501">
        <f t="shared" si="72"/>
        <v>50130</v>
      </c>
      <c r="DY85" s="501">
        <f t="shared" si="72"/>
        <v>50130</v>
      </c>
      <c r="DZ85" s="501">
        <f t="shared" si="72"/>
        <v>50130</v>
      </c>
      <c r="EA85" s="501">
        <f t="shared" si="72"/>
        <v>50130</v>
      </c>
      <c r="EB85" s="501">
        <f t="shared" ref="EB85:GM85" si="73">IF(EB88&gt;0,IF(MONTH(EB86)&gt;3,DATE(YEAR(EB86)+1,3,31),DATE(YEAR(EB86),3,31)),0)</f>
        <v>50130</v>
      </c>
      <c r="EC85" s="501">
        <f t="shared" si="73"/>
        <v>50130</v>
      </c>
      <c r="ED85" s="501">
        <f t="shared" si="73"/>
        <v>50130</v>
      </c>
      <c r="EE85" s="501">
        <f t="shared" si="73"/>
        <v>50130</v>
      </c>
      <c r="EF85" s="501">
        <f t="shared" si="73"/>
        <v>50130</v>
      </c>
      <c r="EG85" s="501">
        <f t="shared" si="73"/>
        <v>50130</v>
      </c>
      <c r="EH85" s="501">
        <f t="shared" si="73"/>
        <v>50495</v>
      </c>
      <c r="EI85" s="501">
        <f t="shared" si="73"/>
        <v>50495</v>
      </c>
      <c r="EJ85" s="501">
        <f t="shared" si="73"/>
        <v>50495</v>
      </c>
      <c r="EK85" s="501">
        <f t="shared" si="73"/>
        <v>50495</v>
      </c>
      <c r="EL85" s="501">
        <f t="shared" si="73"/>
        <v>50495</v>
      </c>
      <c r="EM85" s="501">
        <f t="shared" si="73"/>
        <v>50495</v>
      </c>
      <c r="EN85" s="501">
        <f t="shared" si="73"/>
        <v>50495</v>
      </c>
      <c r="EO85" s="501">
        <f t="shared" si="73"/>
        <v>50495</v>
      </c>
      <c r="EP85" s="501">
        <f t="shared" si="73"/>
        <v>50495</v>
      </c>
      <c r="EQ85" s="501">
        <f t="shared" si="73"/>
        <v>50495</v>
      </c>
      <c r="ER85" s="501">
        <f t="shared" si="73"/>
        <v>50495</v>
      </c>
      <c r="ES85" s="501">
        <f t="shared" si="73"/>
        <v>50495</v>
      </c>
      <c r="ET85" s="501">
        <f t="shared" si="73"/>
        <v>50860</v>
      </c>
      <c r="EU85" s="501">
        <f t="shared" si="73"/>
        <v>50860</v>
      </c>
      <c r="EV85" s="501">
        <f t="shared" si="73"/>
        <v>50860</v>
      </c>
      <c r="EW85" s="501">
        <f t="shared" si="73"/>
        <v>50860</v>
      </c>
      <c r="EX85" s="501">
        <f t="shared" si="73"/>
        <v>50860</v>
      </c>
      <c r="EY85" s="501">
        <f t="shared" si="73"/>
        <v>50860</v>
      </c>
      <c r="EZ85" s="501">
        <f t="shared" si="73"/>
        <v>50860</v>
      </c>
      <c r="FA85" s="501">
        <f t="shared" si="73"/>
        <v>50860</v>
      </c>
      <c r="FB85" s="501">
        <f t="shared" si="73"/>
        <v>50860</v>
      </c>
      <c r="FC85" s="501">
        <f t="shared" si="73"/>
        <v>50860</v>
      </c>
      <c r="FD85" s="501">
        <f t="shared" si="73"/>
        <v>50860</v>
      </c>
      <c r="FE85" s="501">
        <f t="shared" si="73"/>
        <v>50860</v>
      </c>
      <c r="FF85" s="501">
        <f t="shared" si="73"/>
        <v>51226</v>
      </c>
      <c r="FG85" s="501">
        <f t="shared" si="73"/>
        <v>51226</v>
      </c>
      <c r="FH85" s="501">
        <f t="shared" si="73"/>
        <v>51226</v>
      </c>
      <c r="FI85" s="501">
        <f t="shared" si="73"/>
        <v>51226</v>
      </c>
      <c r="FJ85" s="501">
        <f t="shared" si="73"/>
        <v>51226</v>
      </c>
      <c r="FK85" s="501">
        <f t="shared" si="73"/>
        <v>51226</v>
      </c>
      <c r="FL85" s="501">
        <f t="shared" si="73"/>
        <v>51226</v>
      </c>
      <c r="FM85" s="501">
        <f t="shared" si="73"/>
        <v>51226</v>
      </c>
      <c r="FN85" s="501">
        <f t="shared" si="73"/>
        <v>51226</v>
      </c>
      <c r="FO85" s="501">
        <f t="shared" si="73"/>
        <v>51226</v>
      </c>
      <c r="FP85" s="501">
        <f t="shared" si="73"/>
        <v>51226</v>
      </c>
      <c r="FQ85" s="501">
        <f t="shared" si="73"/>
        <v>51226</v>
      </c>
      <c r="FR85" s="501">
        <f t="shared" si="73"/>
        <v>51591</v>
      </c>
      <c r="FS85" s="501">
        <f t="shared" si="73"/>
        <v>51591</v>
      </c>
      <c r="FT85" s="501">
        <f t="shared" si="73"/>
        <v>51591</v>
      </c>
      <c r="FU85" s="501">
        <f t="shared" si="73"/>
        <v>51591</v>
      </c>
      <c r="FV85" s="501">
        <f t="shared" si="73"/>
        <v>51591</v>
      </c>
      <c r="FW85" s="501">
        <f t="shared" si="73"/>
        <v>51591</v>
      </c>
      <c r="FX85" s="501">
        <f t="shared" si="73"/>
        <v>51591</v>
      </c>
      <c r="FY85" s="501">
        <f t="shared" si="73"/>
        <v>51591</v>
      </c>
      <c r="FZ85" s="501">
        <f t="shared" si="73"/>
        <v>51591</v>
      </c>
      <c r="GA85" s="501">
        <f t="shared" si="73"/>
        <v>51591</v>
      </c>
      <c r="GB85" s="501">
        <f t="shared" si="73"/>
        <v>51591</v>
      </c>
      <c r="GC85" s="501">
        <f t="shared" si="73"/>
        <v>51591</v>
      </c>
      <c r="GD85" s="501">
        <f t="shared" si="73"/>
        <v>51956</v>
      </c>
      <c r="GE85" s="501">
        <f t="shared" si="73"/>
        <v>51956</v>
      </c>
      <c r="GF85" s="501">
        <f t="shared" si="73"/>
        <v>51956</v>
      </c>
      <c r="GG85" s="501">
        <f t="shared" si="73"/>
        <v>51956</v>
      </c>
      <c r="GH85" s="501">
        <f t="shared" si="73"/>
        <v>51956</v>
      </c>
      <c r="GI85" s="501">
        <f t="shared" si="73"/>
        <v>51956</v>
      </c>
      <c r="GJ85" s="501">
        <f t="shared" si="73"/>
        <v>51956</v>
      </c>
      <c r="GK85" s="501">
        <f t="shared" si="73"/>
        <v>51956</v>
      </c>
      <c r="GL85" s="501">
        <f t="shared" si="73"/>
        <v>51956</v>
      </c>
      <c r="GM85" s="501">
        <f t="shared" si="73"/>
        <v>51956</v>
      </c>
      <c r="GN85" s="501">
        <f t="shared" ref="GN85:IY85" si="74">IF(GN88&gt;0,IF(MONTH(GN86)&gt;3,DATE(YEAR(GN86)+1,3,31),DATE(YEAR(GN86),3,31)),0)</f>
        <v>51956</v>
      </c>
      <c r="GO85" s="501">
        <f t="shared" si="74"/>
        <v>51956</v>
      </c>
      <c r="GP85" s="501">
        <f t="shared" si="74"/>
        <v>52321</v>
      </c>
      <c r="GQ85" s="501">
        <f t="shared" si="74"/>
        <v>52321</v>
      </c>
      <c r="GR85" s="501">
        <f t="shared" si="74"/>
        <v>52321</v>
      </c>
      <c r="GS85" s="501">
        <f t="shared" si="74"/>
        <v>52321</v>
      </c>
      <c r="GT85" s="501">
        <f t="shared" si="74"/>
        <v>52321</v>
      </c>
      <c r="GU85" s="501">
        <f t="shared" si="74"/>
        <v>52321</v>
      </c>
      <c r="GV85" s="501">
        <f t="shared" si="74"/>
        <v>52321</v>
      </c>
      <c r="GW85" s="501">
        <f t="shared" si="74"/>
        <v>52321</v>
      </c>
      <c r="GX85" s="501">
        <f t="shared" si="74"/>
        <v>52321</v>
      </c>
      <c r="GY85" s="501">
        <f t="shared" si="74"/>
        <v>52321</v>
      </c>
      <c r="GZ85" s="501">
        <f t="shared" si="74"/>
        <v>52321</v>
      </c>
      <c r="HA85" s="501">
        <f t="shared" si="74"/>
        <v>52321</v>
      </c>
      <c r="HB85" s="501">
        <f t="shared" si="74"/>
        <v>52687</v>
      </c>
      <c r="HC85" s="501">
        <f t="shared" si="74"/>
        <v>52687</v>
      </c>
      <c r="HD85" s="501">
        <f t="shared" si="74"/>
        <v>52687</v>
      </c>
      <c r="HE85" s="501">
        <f t="shared" si="74"/>
        <v>52687</v>
      </c>
      <c r="HF85" s="501">
        <f t="shared" si="74"/>
        <v>52687</v>
      </c>
      <c r="HG85" s="501">
        <f t="shared" si="74"/>
        <v>52687</v>
      </c>
      <c r="HH85" s="501">
        <f t="shared" si="74"/>
        <v>52687</v>
      </c>
      <c r="HI85" s="501">
        <f t="shared" si="74"/>
        <v>52687</v>
      </c>
      <c r="HJ85" s="501">
        <f t="shared" si="74"/>
        <v>52687</v>
      </c>
      <c r="HK85" s="501">
        <f t="shared" si="74"/>
        <v>52687</v>
      </c>
      <c r="HL85" s="501">
        <f t="shared" si="74"/>
        <v>52687</v>
      </c>
      <c r="HM85" s="501">
        <f t="shared" si="74"/>
        <v>52687</v>
      </c>
      <c r="HN85" s="501">
        <f t="shared" si="74"/>
        <v>53052</v>
      </c>
      <c r="HO85" s="501">
        <f t="shared" si="74"/>
        <v>53052</v>
      </c>
      <c r="HP85" s="501">
        <f t="shared" si="74"/>
        <v>53052</v>
      </c>
      <c r="HQ85" s="501">
        <f t="shared" si="74"/>
        <v>53052</v>
      </c>
      <c r="HR85" s="501">
        <f t="shared" si="74"/>
        <v>53052</v>
      </c>
      <c r="HS85" s="501">
        <f t="shared" si="74"/>
        <v>53052</v>
      </c>
      <c r="HT85" s="501">
        <f t="shared" si="74"/>
        <v>53052</v>
      </c>
      <c r="HU85" s="501">
        <f t="shared" si="74"/>
        <v>53052</v>
      </c>
      <c r="HV85" s="501">
        <f t="shared" si="74"/>
        <v>53052</v>
      </c>
      <c r="HW85" s="501">
        <f t="shared" si="74"/>
        <v>53052</v>
      </c>
      <c r="HX85" s="501">
        <f t="shared" si="74"/>
        <v>53052</v>
      </c>
      <c r="HY85" s="501">
        <f t="shared" si="74"/>
        <v>53052</v>
      </c>
      <c r="HZ85" s="501">
        <f t="shared" si="74"/>
        <v>53417</v>
      </c>
      <c r="IA85" s="501">
        <f t="shared" si="74"/>
        <v>53417</v>
      </c>
      <c r="IB85" s="501">
        <f t="shared" si="74"/>
        <v>53417</v>
      </c>
      <c r="IC85" s="501">
        <f t="shared" si="74"/>
        <v>53417</v>
      </c>
      <c r="ID85" s="501">
        <f t="shared" si="74"/>
        <v>53417</v>
      </c>
      <c r="IE85" s="501">
        <f t="shared" si="74"/>
        <v>53417</v>
      </c>
      <c r="IF85" s="501">
        <f t="shared" si="74"/>
        <v>53417</v>
      </c>
      <c r="IG85" s="501">
        <f t="shared" si="74"/>
        <v>53417</v>
      </c>
      <c r="IH85" s="501">
        <f t="shared" si="74"/>
        <v>53417</v>
      </c>
      <c r="II85" s="501">
        <f t="shared" si="74"/>
        <v>53417</v>
      </c>
      <c r="IJ85" s="501">
        <f t="shared" si="74"/>
        <v>53417</v>
      </c>
      <c r="IK85" s="501">
        <f t="shared" si="74"/>
        <v>53417</v>
      </c>
      <c r="IL85" s="501">
        <f t="shared" si="74"/>
        <v>53782</v>
      </c>
      <c r="IM85" s="501">
        <f t="shared" si="74"/>
        <v>53782</v>
      </c>
      <c r="IN85" s="501">
        <f t="shared" si="74"/>
        <v>53782</v>
      </c>
      <c r="IO85" s="501">
        <f t="shared" si="74"/>
        <v>53782</v>
      </c>
      <c r="IP85" s="501">
        <f t="shared" si="74"/>
        <v>53782</v>
      </c>
      <c r="IQ85" s="501">
        <f t="shared" si="74"/>
        <v>53782</v>
      </c>
      <c r="IR85" s="501">
        <f t="shared" si="74"/>
        <v>53782</v>
      </c>
      <c r="IS85" s="501">
        <f t="shared" si="74"/>
        <v>53782</v>
      </c>
      <c r="IT85" s="501">
        <f t="shared" si="74"/>
        <v>53782</v>
      </c>
      <c r="IU85" s="501">
        <f t="shared" si="74"/>
        <v>53782</v>
      </c>
      <c r="IV85" s="501">
        <f t="shared" si="74"/>
        <v>53782</v>
      </c>
      <c r="IW85" s="501">
        <f t="shared" si="74"/>
        <v>53782</v>
      </c>
      <c r="IX85" s="501">
        <f t="shared" si="74"/>
        <v>54148</v>
      </c>
      <c r="IY85" s="501">
        <f t="shared" si="74"/>
        <v>54148</v>
      </c>
      <c r="IZ85" s="501">
        <f t="shared" ref="IZ85:JI85" si="75">IF(IZ88&gt;0,IF(MONTH(IZ86)&gt;3,DATE(YEAR(IZ86)+1,3,31),DATE(YEAR(IZ86),3,31)),0)</f>
        <v>54148</v>
      </c>
      <c r="JA85" s="501">
        <f t="shared" si="75"/>
        <v>54148</v>
      </c>
      <c r="JB85" s="501">
        <f t="shared" si="75"/>
        <v>54148</v>
      </c>
      <c r="JC85" s="501">
        <f t="shared" si="75"/>
        <v>54148</v>
      </c>
      <c r="JD85" s="501">
        <f t="shared" si="75"/>
        <v>54148</v>
      </c>
      <c r="JE85" s="501">
        <f t="shared" si="75"/>
        <v>54148</v>
      </c>
      <c r="JF85" s="501">
        <f t="shared" si="75"/>
        <v>54148</v>
      </c>
      <c r="JG85" s="501">
        <f t="shared" si="75"/>
        <v>54148</v>
      </c>
      <c r="JH85" s="501">
        <f t="shared" si="75"/>
        <v>54148</v>
      </c>
      <c r="JI85" s="552">
        <f t="shared" si="75"/>
        <v>54148</v>
      </c>
      <c r="JJ85" s="553"/>
      <c r="JK85" s="501"/>
      <c r="JL85" s="501"/>
      <c r="JM85" s="501"/>
      <c r="JN85" s="501"/>
      <c r="JO85" s="501"/>
    </row>
    <row r="86" spans="2:277" x14ac:dyDescent="0.3">
      <c r="B86" s="169" t="s">
        <v>329</v>
      </c>
      <c r="C86" s="501">
        <f>C24</f>
        <v>46053</v>
      </c>
      <c r="D86" s="501">
        <f>EOMONTH(C86,1)</f>
        <v>46081</v>
      </c>
      <c r="E86" s="501">
        <f t="shared" ref="E86:BP87" si="76">EOMONTH(D86,1)</f>
        <v>46112</v>
      </c>
      <c r="F86" s="501">
        <f t="shared" si="76"/>
        <v>46142</v>
      </c>
      <c r="G86" s="501">
        <f t="shared" si="76"/>
        <v>46173</v>
      </c>
      <c r="H86" s="501">
        <f t="shared" si="76"/>
        <v>46203</v>
      </c>
      <c r="I86" s="501">
        <f t="shared" si="76"/>
        <v>46234</v>
      </c>
      <c r="J86" s="501">
        <f t="shared" si="76"/>
        <v>46265</v>
      </c>
      <c r="K86" s="501">
        <f t="shared" si="76"/>
        <v>46295</v>
      </c>
      <c r="L86" s="501">
        <f t="shared" si="76"/>
        <v>46326</v>
      </c>
      <c r="M86" s="501">
        <f t="shared" si="76"/>
        <v>46356</v>
      </c>
      <c r="N86" s="501">
        <f t="shared" si="76"/>
        <v>46387</v>
      </c>
      <c r="O86" s="501">
        <f t="shared" si="76"/>
        <v>46418</v>
      </c>
      <c r="P86" s="501">
        <f t="shared" si="76"/>
        <v>46446</v>
      </c>
      <c r="Q86" s="501">
        <f t="shared" si="76"/>
        <v>46477</v>
      </c>
      <c r="R86" s="501">
        <f t="shared" si="76"/>
        <v>46507</v>
      </c>
      <c r="S86" s="501">
        <f t="shared" si="76"/>
        <v>46538</v>
      </c>
      <c r="T86" s="501">
        <f t="shared" si="76"/>
        <v>46568</v>
      </c>
      <c r="U86" s="501">
        <f t="shared" si="76"/>
        <v>46599</v>
      </c>
      <c r="V86" s="501">
        <f t="shared" si="76"/>
        <v>46630</v>
      </c>
      <c r="W86" s="501">
        <f t="shared" si="76"/>
        <v>46660</v>
      </c>
      <c r="X86" s="501">
        <f t="shared" si="76"/>
        <v>46691</v>
      </c>
      <c r="Y86" s="501">
        <f t="shared" si="76"/>
        <v>46721</v>
      </c>
      <c r="Z86" s="501">
        <f t="shared" si="76"/>
        <v>46752</v>
      </c>
      <c r="AA86" s="501">
        <f t="shared" si="76"/>
        <v>46783</v>
      </c>
      <c r="AB86" s="501">
        <f t="shared" si="76"/>
        <v>46812</v>
      </c>
      <c r="AC86" s="501">
        <f t="shared" si="76"/>
        <v>46843</v>
      </c>
      <c r="AD86" s="501">
        <f t="shared" si="76"/>
        <v>46873</v>
      </c>
      <c r="AE86" s="501">
        <f t="shared" si="76"/>
        <v>46904</v>
      </c>
      <c r="AF86" s="501">
        <f t="shared" si="76"/>
        <v>46934</v>
      </c>
      <c r="AG86" s="501">
        <f t="shared" si="76"/>
        <v>46965</v>
      </c>
      <c r="AH86" s="501">
        <f t="shared" si="76"/>
        <v>46996</v>
      </c>
      <c r="AI86" s="501">
        <f t="shared" si="76"/>
        <v>47026</v>
      </c>
      <c r="AJ86" s="501">
        <f t="shared" si="76"/>
        <v>47057</v>
      </c>
      <c r="AK86" s="501">
        <f t="shared" si="76"/>
        <v>47087</v>
      </c>
      <c r="AL86" s="501">
        <f t="shared" si="76"/>
        <v>47118</v>
      </c>
      <c r="AM86" s="501">
        <f t="shared" si="76"/>
        <v>47149</v>
      </c>
      <c r="AN86" s="501">
        <f t="shared" si="76"/>
        <v>47177</v>
      </c>
      <c r="AO86" s="501">
        <f t="shared" si="76"/>
        <v>47208</v>
      </c>
      <c r="AP86" s="501">
        <f t="shared" si="76"/>
        <v>47238</v>
      </c>
      <c r="AQ86" s="501">
        <f t="shared" si="76"/>
        <v>47269</v>
      </c>
      <c r="AR86" s="501">
        <f t="shared" si="76"/>
        <v>47299</v>
      </c>
      <c r="AS86" s="501">
        <f t="shared" si="76"/>
        <v>47330</v>
      </c>
      <c r="AT86" s="501">
        <f t="shared" si="76"/>
        <v>47361</v>
      </c>
      <c r="AU86" s="501">
        <f t="shared" si="76"/>
        <v>47391</v>
      </c>
      <c r="AV86" s="501">
        <f t="shared" si="76"/>
        <v>47422</v>
      </c>
      <c r="AW86" s="501">
        <f t="shared" si="76"/>
        <v>47452</v>
      </c>
      <c r="AX86" s="501">
        <f t="shared" si="76"/>
        <v>47483</v>
      </c>
      <c r="AY86" s="501">
        <f t="shared" si="76"/>
        <v>47514</v>
      </c>
      <c r="AZ86" s="501">
        <f t="shared" si="76"/>
        <v>47542</v>
      </c>
      <c r="BA86" s="501">
        <f t="shared" si="76"/>
        <v>47573</v>
      </c>
      <c r="BB86" s="501">
        <f t="shared" si="76"/>
        <v>47603</v>
      </c>
      <c r="BC86" s="501">
        <f t="shared" si="76"/>
        <v>47634</v>
      </c>
      <c r="BD86" s="501">
        <f t="shared" si="76"/>
        <v>47664</v>
      </c>
      <c r="BE86" s="501">
        <f t="shared" si="76"/>
        <v>47695</v>
      </c>
      <c r="BF86" s="501">
        <f t="shared" si="76"/>
        <v>47726</v>
      </c>
      <c r="BG86" s="501">
        <f t="shared" si="76"/>
        <v>47756</v>
      </c>
      <c r="BH86" s="501">
        <f t="shared" si="76"/>
        <v>47787</v>
      </c>
      <c r="BI86" s="501">
        <f t="shared" si="76"/>
        <v>47817</v>
      </c>
      <c r="BJ86" s="501">
        <f t="shared" si="76"/>
        <v>47848</v>
      </c>
      <c r="BK86" s="501">
        <f t="shared" si="76"/>
        <v>47879</v>
      </c>
      <c r="BL86" s="501">
        <f t="shared" si="76"/>
        <v>47907</v>
      </c>
      <c r="BM86" s="501">
        <f t="shared" si="76"/>
        <v>47938</v>
      </c>
      <c r="BN86" s="501">
        <f t="shared" si="76"/>
        <v>47968</v>
      </c>
      <c r="BO86" s="501">
        <f t="shared" si="76"/>
        <v>47999</v>
      </c>
      <c r="BP86" s="501">
        <f t="shared" si="76"/>
        <v>48029</v>
      </c>
      <c r="BQ86" s="501">
        <f t="shared" ref="BQ86:EB87" si="77">EOMONTH(BP86,1)</f>
        <v>48060</v>
      </c>
      <c r="BR86" s="501">
        <f t="shared" si="77"/>
        <v>48091</v>
      </c>
      <c r="BS86" s="501">
        <f t="shared" si="77"/>
        <v>48121</v>
      </c>
      <c r="BT86" s="501">
        <f t="shared" si="77"/>
        <v>48152</v>
      </c>
      <c r="BU86" s="501">
        <f t="shared" si="77"/>
        <v>48182</v>
      </c>
      <c r="BV86" s="501">
        <f t="shared" si="77"/>
        <v>48213</v>
      </c>
      <c r="BW86" s="501">
        <f t="shared" si="77"/>
        <v>48244</v>
      </c>
      <c r="BX86" s="501">
        <f t="shared" si="77"/>
        <v>48273</v>
      </c>
      <c r="BY86" s="501">
        <f t="shared" si="77"/>
        <v>48304</v>
      </c>
      <c r="BZ86" s="501">
        <f t="shared" si="77"/>
        <v>48334</v>
      </c>
      <c r="CA86" s="501">
        <f t="shared" si="77"/>
        <v>48365</v>
      </c>
      <c r="CB86" s="501">
        <f t="shared" si="77"/>
        <v>48395</v>
      </c>
      <c r="CC86" s="501">
        <f t="shared" si="77"/>
        <v>48426</v>
      </c>
      <c r="CD86" s="501">
        <f t="shared" si="77"/>
        <v>48457</v>
      </c>
      <c r="CE86" s="501">
        <f t="shared" si="77"/>
        <v>48487</v>
      </c>
      <c r="CF86" s="501">
        <f t="shared" si="77"/>
        <v>48518</v>
      </c>
      <c r="CG86" s="501">
        <f t="shared" si="77"/>
        <v>48548</v>
      </c>
      <c r="CH86" s="501">
        <f t="shared" si="77"/>
        <v>48579</v>
      </c>
      <c r="CI86" s="501">
        <f t="shared" si="77"/>
        <v>48610</v>
      </c>
      <c r="CJ86" s="501">
        <f t="shared" si="77"/>
        <v>48638</v>
      </c>
      <c r="CK86" s="501">
        <f t="shared" si="77"/>
        <v>48669</v>
      </c>
      <c r="CL86" s="501">
        <f t="shared" si="77"/>
        <v>48699</v>
      </c>
      <c r="CM86" s="501">
        <f t="shared" si="77"/>
        <v>48730</v>
      </c>
      <c r="CN86" s="501">
        <f t="shared" si="77"/>
        <v>48760</v>
      </c>
      <c r="CO86" s="501">
        <f t="shared" si="77"/>
        <v>48791</v>
      </c>
      <c r="CP86" s="501">
        <f t="shared" si="77"/>
        <v>48822</v>
      </c>
      <c r="CQ86" s="501">
        <f t="shared" si="77"/>
        <v>48852</v>
      </c>
      <c r="CR86" s="501">
        <f t="shared" si="77"/>
        <v>48883</v>
      </c>
      <c r="CS86" s="501">
        <f t="shared" si="77"/>
        <v>48913</v>
      </c>
      <c r="CT86" s="501">
        <f t="shared" si="77"/>
        <v>48944</v>
      </c>
      <c r="CU86" s="501">
        <f t="shared" si="77"/>
        <v>48975</v>
      </c>
      <c r="CV86" s="501">
        <f t="shared" si="77"/>
        <v>49003</v>
      </c>
      <c r="CW86" s="501">
        <f t="shared" si="77"/>
        <v>49034</v>
      </c>
      <c r="CX86" s="501">
        <f t="shared" si="77"/>
        <v>49064</v>
      </c>
      <c r="CY86" s="501">
        <f t="shared" si="77"/>
        <v>49095</v>
      </c>
      <c r="CZ86" s="501">
        <f t="shared" si="77"/>
        <v>49125</v>
      </c>
      <c r="DA86" s="501">
        <f t="shared" si="77"/>
        <v>49156</v>
      </c>
      <c r="DB86" s="501">
        <f t="shared" si="77"/>
        <v>49187</v>
      </c>
      <c r="DC86" s="501">
        <f t="shared" si="77"/>
        <v>49217</v>
      </c>
      <c r="DD86" s="501">
        <f t="shared" si="77"/>
        <v>49248</v>
      </c>
      <c r="DE86" s="501">
        <f t="shared" si="77"/>
        <v>49278</v>
      </c>
      <c r="DF86" s="501">
        <f t="shared" si="77"/>
        <v>49309</v>
      </c>
      <c r="DG86" s="501">
        <f t="shared" si="77"/>
        <v>49340</v>
      </c>
      <c r="DH86" s="501">
        <f t="shared" si="77"/>
        <v>49368</v>
      </c>
      <c r="DI86" s="501">
        <f t="shared" si="77"/>
        <v>49399</v>
      </c>
      <c r="DJ86" s="501">
        <f t="shared" si="77"/>
        <v>49429</v>
      </c>
      <c r="DK86" s="501">
        <f t="shared" si="77"/>
        <v>49460</v>
      </c>
      <c r="DL86" s="501">
        <f t="shared" si="77"/>
        <v>49490</v>
      </c>
      <c r="DM86" s="501">
        <f t="shared" si="77"/>
        <v>49521</v>
      </c>
      <c r="DN86" s="501">
        <f t="shared" si="77"/>
        <v>49552</v>
      </c>
      <c r="DO86" s="501">
        <f t="shared" si="77"/>
        <v>49582</v>
      </c>
      <c r="DP86" s="501">
        <f t="shared" si="77"/>
        <v>49613</v>
      </c>
      <c r="DQ86" s="501">
        <f t="shared" si="77"/>
        <v>49643</v>
      </c>
      <c r="DR86" s="501">
        <f t="shared" si="77"/>
        <v>49674</v>
      </c>
      <c r="DS86" s="501">
        <f t="shared" si="77"/>
        <v>49705</v>
      </c>
      <c r="DT86" s="501">
        <f t="shared" si="77"/>
        <v>49734</v>
      </c>
      <c r="DU86" s="501">
        <f t="shared" si="77"/>
        <v>49765</v>
      </c>
      <c r="DV86" s="501">
        <f t="shared" si="77"/>
        <v>49795</v>
      </c>
      <c r="DW86" s="501">
        <f t="shared" si="77"/>
        <v>49826</v>
      </c>
      <c r="DX86" s="501">
        <f t="shared" si="77"/>
        <v>49856</v>
      </c>
      <c r="DY86" s="501">
        <f t="shared" si="77"/>
        <v>49887</v>
      </c>
      <c r="DZ86" s="501">
        <f t="shared" si="77"/>
        <v>49918</v>
      </c>
      <c r="EA86" s="501">
        <f t="shared" si="77"/>
        <v>49948</v>
      </c>
      <c r="EB86" s="501">
        <f t="shared" si="77"/>
        <v>49979</v>
      </c>
      <c r="EC86" s="501">
        <f t="shared" ref="EC86:GN87" si="78">EOMONTH(EB86,1)</f>
        <v>50009</v>
      </c>
      <c r="ED86" s="501">
        <f t="shared" si="78"/>
        <v>50040</v>
      </c>
      <c r="EE86" s="501">
        <f t="shared" si="78"/>
        <v>50071</v>
      </c>
      <c r="EF86" s="501">
        <f t="shared" si="78"/>
        <v>50099</v>
      </c>
      <c r="EG86" s="501">
        <f t="shared" si="78"/>
        <v>50130</v>
      </c>
      <c r="EH86" s="501">
        <f t="shared" si="78"/>
        <v>50160</v>
      </c>
      <c r="EI86" s="501">
        <f t="shared" si="78"/>
        <v>50191</v>
      </c>
      <c r="EJ86" s="501">
        <f t="shared" si="78"/>
        <v>50221</v>
      </c>
      <c r="EK86" s="501">
        <f t="shared" si="78"/>
        <v>50252</v>
      </c>
      <c r="EL86" s="501">
        <f t="shared" si="78"/>
        <v>50283</v>
      </c>
      <c r="EM86" s="501">
        <f t="shared" si="78"/>
        <v>50313</v>
      </c>
      <c r="EN86" s="501">
        <f t="shared" si="78"/>
        <v>50344</v>
      </c>
      <c r="EO86" s="501">
        <f t="shared" si="78"/>
        <v>50374</v>
      </c>
      <c r="EP86" s="501">
        <f t="shared" si="78"/>
        <v>50405</v>
      </c>
      <c r="EQ86" s="501">
        <f t="shared" si="78"/>
        <v>50436</v>
      </c>
      <c r="ER86" s="501">
        <f t="shared" si="78"/>
        <v>50464</v>
      </c>
      <c r="ES86" s="501">
        <f t="shared" si="78"/>
        <v>50495</v>
      </c>
      <c r="ET86" s="501">
        <f t="shared" si="78"/>
        <v>50525</v>
      </c>
      <c r="EU86" s="501">
        <f t="shared" si="78"/>
        <v>50556</v>
      </c>
      <c r="EV86" s="501">
        <f t="shared" si="78"/>
        <v>50586</v>
      </c>
      <c r="EW86" s="501">
        <f t="shared" si="78"/>
        <v>50617</v>
      </c>
      <c r="EX86" s="501">
        <f t="shared" si="78"/>
        <v>50648</v>
      </c>
      <c r="EY86" s="501">
        <f t="shared" si="78"/>
        <v>50678</v>
      </c>
      <c r="EZ86" s="501">
        <f t="shared" si="78"/>
        <v>50709</v>
      </c>
      <c r="FA86" s="501">
        <f t="shared" si="78"/>
        <v>50739</v>
      </c>
      <c r="FB86" s="501">
        <f t="shared" si="78"/>
        <v>50770</v>
      </c>
      <c r="FC86" s="501">
        <f t="shared" si="78"/>
        <v>50801</v>
      </c>
      <c r="FD86" s="501">
        <f t="shared" si="78"/>
        <v>50829</v>
      </c>
      <c r="FE86" s="501">
        <f t="shared" si="78"/>
        <v>50860</v>
      </c>
      <c r="FF86" s="501">
        <f t="shared" si="78"/>
        <v>50890</v>
      </c>
      <c r="FG86" s="501">
        <f t="shared" si="78"/>
        <v>50921</v>
      </c>
      <c r="FH86" s="501">
        <f t="shared" si="78"/>
        <v>50951</v>
      </c>
      <c r="FI86" s="501">
        <f t="shared" si="78"/>
        <v>50982</v>
      </c>
      <c r="FJ86" s="501">
        <f t="shared" si="78"/>
        <v>51013</v>
      </c>
      <c r="FK86" s="501">
        <f t="shared" si="78"/>
        <v>51043</v>
      </c>
      <c r="FL86" s="501">
        <f t="shared" si="78"/>
        <v>51074</v>
      </c>
      <c r="FM86" s="501">
        <f t="shared" si="78"/>
        <v>51104</v>
      </c>
      <c r="FN86" s="501">
        <f t="shared" si="78"/>
        <v>51135</v>
      </c>
      <c r="FO86" s="501">
        <f t="shared" si="78"/>
        <v>51166</v>
      </c>
      <c r="FP86" s="501">
        <f t="shared" si="78"/>
        <v>51195</v>
      </c>
      <c r="FQ86" s="501">
        <f t="shared" si="78"/>
        <v>51226</v>
      </c>
      <c r="FR86" s="501">
        <f t="shared" si="78"/>
        <v>51256</v>
      </c>
      <c r="FS86" s="501">
        <f t="shared" si="78"/>
        <v>51287</v>
      </c>
      <c r="FT86" s="501">
        <f t="shared" si="78"/>
        <v>51317</v>
      </c>
      <c r="FU86" s="501">
        <f t="shared" si="78"/>
        <v>51348</v>
      </c>
      <c r="FV86" s="501">
        <f t="shared" si="78"/>
        <v>51379</v>
      </c>
      <c r="FW86" s="501">
        <f t="shared" si="78"/>
        <v>51409</v>
      </c>
      <c r="FX86" s="501">
        <f t="shared" si="78"/>
        <v>51440</v>
      </c>
      <c r="FY86" s="501">
        <f t="shared" si="78"/>
        <v>51470</v>
      </c>
      <c r="FZ86" s="501">
        <f t="shared" si="78"/>
        <v>51501</v>
      </c>
      <c r="GA86" s="501">
        <f t="shared" si="78"/>
        <v>51532</v>
      </c>
      <c r="GB86" s="501">
        <f t="shared" si="78"/>
        <v>51560</v>
      </c>
      <c r="GC86" s="501">
        <f t="shared" si="78"/>
        <v>51591</v>
      </c>
      <c r="GD86" s="501">
        <f t="shared" si="78"/>
        <v>51621</v>
      </c>
      <c r="GE86" s="501">
        <f t="shared" si="78"/>
        <v>51652</v>
      </c>
      <c r="GF86" s="501">
        <f t="shared" si="78"/>
        <v>51682</v>
      </c>
      <c r="GG86" s="501">
        <f t="shared" si="78"/>
        <v>51713</v>
      </c>
      <c r="GH86" s="501">
        <f t="shared" si="78"/>
        <v>51744</v>
      </c>
      <c r="GI86" s="501">
        <f t="shared" si="78"/>
        <v>51774</v>
      </c>
      <c r="GJ86" s="501">
        <f t="shared" si="78"/>
        <v>51805</v>
      </c>
      <c r="GK86" s="501">
        <f t="shared" si="78"/>
        <v>51835</v>
      </c>
      <c r="GL86" s="501">
        <f t="shared" si="78"/>
        <v>51866</v>
      </c>
      <c r="GM86" s="501">
        <f t="shared" si="78"/>
        <v>51897</v>
      </c>
      <c r="GN86" s="501">
        <f t="shared" si="78"/>
        <v>51925</v>
      </c>
      <c r="GO86" s="501">
        <f t="shared" ref="GO86:IZ87" si="79">EOMONTH(GN86,1)</f>
        <v>51956</v>
      </c>
      <c r="GP86" s="501">
        <f t="shared" si="79"/>
        <v>51986</v>
      </c>
      <c r="GQ86" s="501">
        <f t="shared" si="79"/>
        <v>52017</v>
      </c>
      <c r="GR86" s="501">
        <f t="shared" si="79"/>
        <v>52047</v>
      </c>
      <c r="GS86" s="501">
        <f t="shared" si="79"/>
        <v>52078</v>
      </c>
      <c r="GT86" s="501">
        <f t="shared" si="79"/>
        <v>52109</v>
      </c>
      <c r="GU86" s="501">
        <f t="shared" si="79"/>
        <v>52139</v>
      </c>
      <c r="GV86" s="501">
        <f t="shared" si="79"/>
        <v>52170</v>
      </c>
      <c r="GW86" s="501">
        <f t="shared" si="79"/>
        <v>52200</v>
      </c>
      <c r="GX86" s="501">
        <f t="shared" si="79"/>
        <v>52231</v>
      </c>
      <c r="GY86" s="501">
        <f t="shared" si="79"/>
        <v>52262</v>
      </c>
      <c r="GZ86" s="501">
        <f t="shared" si="79"/>
        <v>52290</v>
      </c>
      <c r="HA86" s="501">
        <f t="shared" si="79"/>
        <v>52321</v>
      </c>
      <c r="HB86" s="501">
        <f t="shared" si="79"/>
        <v>52351</v>
      </c>
      <c r="HC86" s="501">
        <f t="shared" si="79"/>
        <v>52382</v>
      </c>
      <c r="HD86" s="501">
        <f t="shared" si="79"/>
        <v>52412</v>
      </c>
      <c r="HE86" s="501">
        <f t="shared" si="79"/>
        <v>52443</v>
      </c>
      <c r="HF86" s="501">
        <f t="shared" si="79"/>
        <v>52474</v>
      </c>
      <c r="HG86" s="501">
        <f t="shared" si="79"/>
        <v>52504</v>
      </c>
      <c r="HH86" s="501">
        <f t="shared" si="79"/>
        <v>52535</v>
      </c>
      <c r="HI86" s="501">
        <f t="shared" si="79"/>
        <v>52565</v>
      </c>
      <c r="HJ86" s="501">
        <f t="shared" si="79"/>
        <v>52596</v>
      </c>
      <c r="HK86" s="501">
        <f t="shared" si="79"/>
        <v>52627</v>
      </c>
      <c r="HL86" s="501">
        <f t="shared" si="79"/>
        <v>52656</v>
      </c>
      <c r="HM86" s="501">
        <f t="shared" si="79"/>
        <v>52687</v>
      </c>
      <c r="HN86" s="501">
        <f t="shared" si="79"/>
        <v>52717</v>
      </c>
      <c r="HO86" s="501">
        <f t="shared" si="79"/>
        <v>52748</v>
      </c>
      <c r="HP86" s="501">
        <f t="shared" si="79"/>
        <v>52778</v>
      </c>
      <c r="HQ86" s="501">
        <f t="shared" si="79"/>
        <v>52809</v>
      </c>
      <c r="HR86" s="501">
        <f t="shared" si="79"/>
        <v>52840</v>
      </c>
      <c r="HS86" s="501">
        <f t="shared" si="79"/>
        <v>52870</v>
      </c>
      <c r="HT86" s="501">
        <f t="shared" si="79"/>
        <v>52901</v>
      </c>
      <c r="HU86" s="501">
        <f t="shared" si="79"/>
        <v>52931</v>
      </c>
      <c r="HV86" s="501">
        <f t="shared" si="79"/>
        <v>52962</v>
      </c>
      <c r="HW86" s="501">
        <f t="shared" si="79"/>
        <v>52993</v>
      </c>
      <c r="HX86" s="501">
        <f t="shared" si="79"/>
        <v>53021</v>
      </c>
      <c r="HY86" s="501">
        <f t="shared" si="79"/>
        <v>53052</v>
      </c>
      <c r="HZ86" s="501">
        <f t="shared" si="79"/>
        <v>53082</v>
      </c>
      <c r="IA86" s="501">
        <f t="shared" si="79"/>
        <v>53113</v>
      </c>
      <c r="IB86" s="501">
        <f t="shared" si="79"/>
        <v>53143</v>
      </c>
      <c r="IC86" s="501">
        <f t="shared" si="79"/>
        <v>53174</v>
      </c>
      <c r="ID86" s="501">
        <f t="shared" si="79"/>
        <v>53205</v>
      </c>
      <c r="IE86" s="501">
        <f t="shared" si="79"/>
        <v>53235</v>
      </c>
      <c r="IF86" s="501">
        <f t="shared" si="79"/>
        <v>53266</v>
      </c>
      <c r="IG86" s="501">
        <f t="shared" si="79"/>
        <v>53296</v>
      </c>
      <c r="IH86" s="501">
        <f t="shared" si="79"/>
        <v>53327</v>
      </c>
      <c r="II86" s="501">
        <f t="shared" si="79"/>
        <v>53358</v>
      </c>
      <c r="IJ86" s="501">
        <f t="shared" si="79"/>
        <v>53386</v>
      </c>
      <c r="IK86" s="501">
        <f t="shared" si="79"/>
        <v>53417</v>
      </c>
      <c r="IL86" s="501">
        <f t="shared" si="79"/>
        <v>53447</v>
      </c>
      <c r="IM86" s="501">
        <f t="shared" si="79"/>
        <v>53478</v>
      </c>
      <c r="IN86" s="501">
        <f t="shared" si="79"/>
        <v>53508</v>
      </c>
      <c r="IO86" s="501">
        <f t="shared" si="79"/>
        <v>53539</v>
      </c>
      <c r="IP86" s="501">
        <f t="shared" si="79"/>
        <v>53570</v>
      </c>
      <c r="IQ86" s="501">
        <f t="shared" si="79"/>
        <v>53600</v>
      </c>
      <c r="IR86" s="501">
        <f t="shared" si="79"/>
        <v>53631</v>
      </c>
      <c r="IS86" s="501">
        <f t="shared" si="79"/>
        <v>53661</v>
      </c>
      <c r="IT86" s="501">
        <f t="shared" si="79"/>
        <v>53692</v>
      </c>
      <c r="IU86" s="501">
        <f t="shared" si="79"/>
        <v>53723</v>
      </c>
      <c r="IV86" s="501">
        <f t="shared" si="79"/>
        <v>53751</v>
      </c>
      <c r="IW86" s="501">
        <f t="shared" si="79"/>
        <v>53782</v>
      </c>
      <c r="IX86" s="501">
        <f t="shared" si="79"/>
        <v>53812</v>
      </c>
      <c r="IY86" s="501">
        <f t="shared" si="79"/>
        <v>53843</v>
      </c>
      <c r="IZ86" s="501">
        <f t="shared" si="79"/>
        <v>53873</v>
      </c>
      <c r="JA86" s="501">
        <f t="shared" ref="JA86:JI87" si="80">EOMONTH(IZ86,1)</f>
        <v>53904</v>
      </c>
      <c r="JB86" s="501">
        <f t="shared" si="80"/>
        <v>53935</v>
      </c>
      <c r="JC86" s="501">
        <f t="shared" si="80"/>
        <v>53965</v>
      </c>
      <c r="JD86" s="501">
        <f t="shared" si="80"/>
        <v>53996</v>
      </c>
      <c r="JE86" s="501">
        <f t="shared" si="80"/>
        <v>54026</v>
      </c>
      <c r="JF86" s="501">
        <f t="shared" si="80"/>
        <v>54057</v>
      </c>
      <c r="JG86" s="501">
        <f t="shared" si="80"/>
        <v>54088</v>
      </c>
      <c r="JH86" s="501">
        <f t="shared" si="80"/>
        <v>54117</v>
      </c>
      <c r="JI86" s="552">
        <f t="shared" si="80"/>
        <v>54148</v>
      </c>
      <c r="JJ86" s="553"/>
      <c r="JK86" s="501"/>
      <c r="JL86" s="501"/>
      <c r="JM86" s="501"/>
      <c r="JN86" s="501"/>
      <c r="JO86" s="501"/>
      <c r="JP86" s="554"/>
    </row>
    <row r="87" spans="2:277" x14ac:dyDescent="0.3">
      <c r="B87" s="292" t="s">
        <v>208</v>
      </c>
      <c r="C87" s="503">
        <f>C86</f>
        <v>46053</v>
      </c>
      <c r="D87" s="503">
        <f>EOMONTH(C87,1)</f>
        <v>46081</v>
      </c>
      <c r="E87" s="503">
        <f t="shared" si="76"/>
        <v>46112</v>
      </c>
      <c r="F87" s="503">
        <f t="shared" si="76"/>
        <v>46142</v>
      </c>
      <c r="G87" s="503">
        <f t="shared" si="76"/>
        <v>46173</v>
      </c>
      <c r="H87" s="503">
        <f t="shared" si="76"/>
        <v>46203</v>
      </c>
      <c r="I87" s="503">
        <f t="shared" si="76"/>
        <v>46234</v>
      </c>
      <c r="J87" s="503">
        <f t="shared" si="76"/>
        <v>46265</v>
      </c>
      <c r="K87" s="503">
        <f t="shared" si="76"/>
        <v>46295</v>
      </c>
      <c r="L87" s="503">
        <f t="shared" si="76"/>
        <v>46326</v>
      </c>
      <c r="M87" s="503">
        <f t="shared" si="76"/>
        <v>46356</v>
      </c>
      <c r="N87" s="503">
        <f t="shared" si="76"/>
        <v>46387</v>
      </c>
      <c r="O87" s="503">
        <f t="shared" si="76"/>
        <v>46418</v>
      </c>
      <c r="P87" s="503">
        <f t="shared" si="76"/>
        <v>46446</v>
      </c>
      <c r="Q87" s="503">
        <f t="shared" si="76"/>
        <v>46477</v>
      </c>
      <c r="R87" s="503">
        <f t="shared" si="76"/>
        <v>46507</v>
      </c>
      <c r="S87" s="503">
        <f t="shared" si="76"/>
        <v>46538</v>
      </c>
      <c r="T87" s="503">
        <f t="shared" si="76"/>
        <v>46568</v>
      </c>
      <c r="U87" s="503">
        <f t="shared" si="76"/>
        <v>46599</v>
      </c>
      <c r="V87" s="503">
        <f t="shared" si="76"/>
        <v>46630</v>
      </c>
      <c r="W87" s="503">
        <f t="shared" si="76"/>
        <v>46660</v>
      </c>
      <c r="X87" s="503">
        <f t="shared" si="76"/>
        <v>46691</v>
      </c>
      <c r="Y87" s="503">
        <f t="shared" si="76"/>
        <v>46721</v>
      </c>
      <c r="Z87" s="503">
        <f t="shared" si="76"/>
        <v>46752</v>
      </c>
      <c r="AA87" s="503">
        <f t="shared" si="76"/>
        <v>46783</v>
      </c>
      <c r="AB87" s="503">
        <f t="shared" si="76"/>
        <v>46812</v>
      </c>
      <c r="AC87" s="503">
        <f t="shared" si="76"/>
        <v>46843</v>
      </c>
      <c r="AD87" s="503">
        <f t="shared" si="76"/>
        <v>46873</v>
      </c>
      <c r="AE87" s="503">
        <f t="shared" si="76"/>
        <v>46904</v>
      </c>
      <c r="AF87" s="503">
        <f t="shared" si="76"/>
        <v>46934</v>
      </c>
      <c r="AG87" s="503">
        <f t="shared" si="76"/>
        <v>46965</v>
      </c>
      <c r="AH87" s="503">
        <f t="shared" si="76"/>
        <v>46996</v>
      </c>
      <c r="AI87" s="503">
        <f t="shared" si="76"/>
        <v>47026</v>
      </c>
      <c r="AJ87" s="503">
        <f t="shared" si="76"/>
        <v>47057</v>
      </c>
      <c r="AK87" s="503">
        <f t="shared" si="76"/>
        <v>47087</v>
      </c>
      <c r="AL87" s="503">
        <f t="shared" si="76"/>
        <v>47118</v>
      </c>
      <c r="AM87" s="503">
        <f t="shared" si="76"/>
        <v>47149</v>
      </c>
      <c r="AN87" s="503">
        <f t="shared" si="76"/>
        <v>47177</v>
      </c>
      <c r="AO87" s="503">
        <f t="shared" si="76"/>
        <v>47208</v>
      </c>
      <c r="AP87" s="503">
        <f t="shared" si="76"/>
        <v>47238</v>
      </c>
      <c r="AQ87" s="503">
        <f t="shared" si="76"/>
        <v>47269</v>
      </c>
      <c r="AR87" s="503">
        <f t="shared" si="76"/>
        <v>47299</v>
      </c>
      <c r="AS87" s="503">
        <f t="shared" si="76"/>
        <v>47330</v>
      </c>
      <c r="AT87" s="503">
        <f t="shared" si="76"/>
        <v>47361</v>
      </c>
      <c r="AU87" s="503">
        <f t="shared" si="76"/>
        <v>47391</v>
      </c>
      <c r="AV87" s="503">
        <f t="shared" si="76"/>
        <v>47422</v>
      </c>
      <c r="AW87" s="503">
        <f t="shared" si="76"/>
        <v>47452</v>
      </c>
      <c r="AX87" s="503">
        <f t="shared" si="76"/>
        <v>47483</v>
      </c>
      <c r="AY87" s="503">
        <f t="shared" si="76"/>
        <v>47514</v>
      </c>
      <c r="AZ87" s="503">
        <f t="shared" si="76"/>
        <v>47542</v>
      </c>
      <c r="BA87" s="503">
        <f t="shared" si="76"/>
        <v>47573</v>
      </c>
      <c r="BB87" s="503">
        <f t="shared" si="76"/>
        <v>47603</v>
      </c>
      <c r="BC87" s="503">
        <f t="shared" si="76"/>
        <v>47634</v>
      </c>
      <c r="BD87" s="503">
        <f t="shared" si="76"/>
        <v>47664</v>
      </c>
      <c r="BE87" s="503">
        <f t="shared" si="76"/>
        <v>47695</v>
      </c>
      <c r="BF87" s="503">
        <f t="shared" si="76"/>
        <v>47726</v>
      </c>
      <c r="BG87" s="503">
        <f t="shared" si="76"/>
        <v>47756</v>
      </c>
      <c r="BH87" s="503">
        <f t="shared" si="76"/>
        <v>47787</v>
      </c>
      <c r="BI87" s="503">
        <f t="shared" si="76"/>
        <v>47817</v>
      </c>
      <c r="BJ87" s="503">
        <f t="shared" si="76"/>
        <v>47848</v>
      </c>
      <c r="BK87" s="503">
        <f t="shared" si="76"/>
        <v>47879</v>
      </c>
      <c r="BL87" s="503">
        <f t="shared" si="76"/>
        <v>47907</v>
      </c>
      <c r="BM87" s="503">
        <f t="shared" si="76"/>
        <v>47938</v>
      </c>
      <c r="BN87" s="503">
        <f t="shared" si="76"/>
        <v>47968</v>
      </c>
      <c r="BO87" s="503">
        <f t="shared" si="76"/>
        <v>47999</v>
      </c>
      <c r="BP87" s="503">
        <f t="shared" si="76"/>
        <v>48029</v>
      </c>
      <c r="BQ87" s="503">
        <f t="shared" si="77"/>
        <v>48060</v>
      </c>
      <c r="BR87" s="503">
        <f t="shared" si="77"/>
        <v>48091</v>
      </c>
      <c r="BS87" s="503">
        <f t="shared" si="77"/>
        <v>48121</v>
      </c>
      <c r="BT87" s="503">
        <f t="shared" si="77"/>
        <v>48152</v>
      </c>
      <c r="BU87" s="503">
        <f t="shared" si="77"/>
        <v>48182</v>
      </c>
      <c r="BV87" s="503">
        <f t="shared" si="77"/>
        <v>48213</v>
      </c>
      <c r="BW87" s="503">
        <f t="shared" si="77"/>
        <v>48244</v>
      </c>
      <c r="BX87" s="503">
        <f t="shared" si="77"/>
        <v>48273</v>
      </c>
      <c r="BY87" s="503">
        <f t="shared" si="77"/>
        <v>48304</v>
      </c>
      <c r="BZ87" s="503">
        <f t="shared" si="77"/>
        <v>48334</v>
      </c>
      <c r="CA87" s="503">
        <f t="shared" si="77"/>
        <v>48365</v>
      </c>
      <c r="CB87" s="503">
        <f t="shared" si="77"/>
        <v>48395</v>
      </c>
      <c r="CC87" s="503">
        <f t="shared" si="77"/>
        <v>48426</v>
      </c>
      <c r="CD87" s="503">
        <f t="shared" si="77"/>
        <v>48457</v>
      </c>
      <c r="CE87" s="503">
        <f t="shared" si="77"/>
        <v>48487</v>
      </c>
      <c r="CF87" s="503">
        <f t="shared" si="77"/>
        <v>48518</v>
      </c>
      <c r="CG87" s="503">
        <f t="shared" si="77"/>
        <v>48548</v>
      </c>
      <c r="CH87" s="503">
        <f t="shared" si="77"/>
        <v>48579</v>
      </c>
      <c r="CI87" s="503">
        <f t="shared" si="77"/>
        <v>48610</v>
      </c>
      <c r="CJ87" s="503">
        <f t="shared" si="77"/>
        <v>48638</v>
      </c>
      <c r="CK87" s="503">
        <f t="shared" si="77"/>
        <v>48669</v>
      </c>
      <c r="CL87" s="503">
        <f t="shared" si="77"/>
        <v>48699</v>
      </c>
      <c r="CM87" s="503">
        <f t="shared" si="77"/>
        <v>48730</v>
      </c>
      <c r="CN87" s="503">
        <f t="shared" si="77"/>
        <v>48760</v>
      </c>
      <c r="CO87" s="503">
        <f t="shared" si="77"/>
        <v>48791</v>
      </c>
      <c r="CP87" s="503">
        <f t="shared" si="77"/>
        <v>48822</v>
      </c>
      <c r="CQ87" s="503">
        <f t="shared" si="77"/>
        <v>48852</v>
      </c>
      <c r="CR87" s="503">
        <f t="shared" si="77"/>
        <v>48883</v>
      </c>
      <c r="CS87" s="503">
        <f t="shared" si="77"/>
        <v>48913</v>
      </c>
      <c r="CT87" s="503">
        <f t="shared" si="77"/>
        <v>48944</v>
      </c>
      <c r="CU87" s="503">
        <f t="shared" si="77"/>
        <v>48975</v>
      </c>
      <c r="CV87" s="503">
        <f t="shared" si="77"/>
        <v>49003</v>
      </c>
      <c r="CW87" s="503">
        <f t="shared" si="77"/>
        <v>49034</v>
      </c>
      <c r="CX87" s="503">
        <f t="shared" si="77"/>
        <v>49064</v>
      </c>
      <c r="CY87" s="503">
        <f t="shared" si="77"/>
        <v>49095</v>
      </c>
      <c r="CZ87" s="503">
        <f t="shared" si="77"/>
        <v>49125</v>
      </c>
      <c r="DA87" s="503">
        <f t="shared" si="77"/>
        <v>49156</v>
      </c>
      <c r="DB87" s="503">
        <f t="shared" si="77"/>
        <v>49187</v>
      </c>
      <c r="DC87" s="503">
        <f t="shared" si="77"/>
        <v>49217</v>
      </c>
      <c r="DD87" s="503">
        <f t="shared" si="77"/>
        <v>49248</v>
      </c>
      <c r="DE87" s="503">
        <f t="shared" si="77"/>
        <v>49278</v>
      </c>
      <c r="DF87" s="503">
        <f t="shared" si="77"/>
        <v>49309</v>
      </c>
      <c r="DG87" s="503">
        <f t="shared" si="77"/>
        <v>49340</v>
      </c>
      <c r="DH87" s="503">
        <f t="shared" si="77"/>
        <v>49368</v>
      </c>
      <c r="DI87" s="503">
        <f t="shared" si="77"/>
        <v>49399</v>
      </c>
      <c r="DJ87" s="503">
        <f t="shared" si="77"/>
        <v>49429</v>
      </c>
      <c r="DK87" s="503">
        <f t="shared" si="77"/>
        <v>49460</v>
      </c>
      <c r="DL87" s="503">
        <f t="shared" si="77"/>
        <v>49490</v>
      </c>
      <c r="DM87" s="503">
        <f t="shared" si="77"/>
        <v>49521</v>
      </c>
      <c r="DN87" s="503">
        <f t="shared" si="77"/>
        <v>49552</v>
      </c>
      <c r="DO87" s="503">
        <f t="shared" si="77"/>
        <v>49582</v>
      </c>
      <c r="DP87" s="503">
        <f t="shared" si="77"/>
        <v>49613</v>
      </c>
      <c r="DQ87" s="503">
        <f t="shared" si="77"/>
        <v>49643</v>
      </c>
      <c r="DR87" s="503">
        <f t="shared" si="77"/>
        <v>49674</v>
      </c>
      <c r="DS87" s="503">
        <f t="shared" si="77"/>
        <v>49705</v>
      </c>
      <c r="DT87" s="503">
        <f t="shared" si="77"/>
        <v>49734</v>
      </c>
      <c r="DU87" s="503">
        <f t="shared" si="77"/>
        <v>49765</v>
      </c>
      <c r="DV87" s="503">
        <f t="shared" si="77"/>
        <v>49795</v>
      </c>
      <c r="DW87" s="503">
        <f t="shared" si="77"/>
        <v>49826</v>
      </c>
      <c r="DX87" s="503">
        <f t="shared" si="77"/>
        <v>49856</v>
      </c>
      <c r="DY87" s="503">
        <f t="shared" si="77"/>
        <v>49887</v>
      </c>
      <c r="DZ87" s="503">
        <f t="shared" si="77"/>
        <v>49918</v>
      </c>
      <c r="EA87" s="503">
        <f t="shared" si="77"/>
        <v>49948</v>
      </c>
      <c r="EB87" s="503">
        <f t="shared" si="77"/>
        <v>49979</v>
      </c>
      <c r="EC87" s="503">
        <f t="shared" si="78"/>
        <v>50009</v>
      </c>
      <c r="ED87" s="503">
        <f t="shared" si="78"/>
        <v>50040</v>
      </c>
      <c r="EE87" s="503">
        <f t="shared" si="78"/>
        <v>50071</v>
      </c>
      <c r="EF87" s="503">
        <f t="shared" si="78"/>
        <v>50099</v>
      </c>
      <c r="EG87" s="503">
        <f t="shared" si="78"/>
        <v>50130</v>
      </c>
      <c r="EH87" s="503">
        <f t="shared" si="78"/>
        <v>50160</v>
      </c>
      <c r="EI87" s="503">
        <f t="shared" si="78"/>
        <v>50191</v>
      </c>
      <c r="EJ87" s="503">
        <f t="shared" si="78"/>
        <v>50221</v>
      </c>
      <c r="EK87" s="503">
        <f t="shared" si="78"/>
        <v>50252</v>
      </c>
      <c r="EL87" s="503">
        <f t="shared" si="78"/>
        <v>50283</v>
      </c>
      <c r="EM87" s="503">
        <f t="shared" si="78"/>
        <v>50313</v>
      </c>
      <c r="EN87" s="503">
        <f t="shared" si="78"/>
        <v>50344</v>
      </c>
      <c r="EO87" s="503">
        <f t="shared" si="78"/>
        <v>50374</v>
      </c>
      <c r="EP87" s="503">
        <f t="shared" si="78"/>
        <v>50405</v>
      </c>
      <c r="EQ87" s="503">
        <f t="shared" si="78"/>
        <v>50436</v>
      </c>
      <c r="ER87" s="503">
        <f t="shared" si="78"/>
        <v>50464</v>
      </c>
      <c r="ES87" s="503">
        <f t="shared" si="78"/>
        <v>50495</v>
      </c>
      <c r="ET87" s="503">
        <f t="shared" si="78"/>
        <v>50525</v>
      </c>
      <c r="EU87" s="503">
        <f t="shared" si="78"/>
        <v>50556</v>
      </c>
      <c r="EV87" s="503">
        <f t="shared" si="78"/>
        <v>50586</v>
      </c>
      <c r="EW87" s="503">
        <f t="shared" si="78"/>
        <v>50617</v>
      </c>
      <c r="EX87" s="503">
        <f t="shared" si="78"/>
        <v>50648</v>
      </c>
      <c r="EY87" s="503">
        <f t="shared" si="78"/>
        <v>50678</v>
      </c>
      <c r="EZ87" s="503">
        <f t="shared" si="78"/>
        <v>50709</v>
      </c>
      <c r="FA87" s="503">
        <f t="shared" si="78"/>
        <v>50739</v>
      </c>
      <c r="FB87" s="503">
        <f t="shared" si="78"/>
        <v>50770</v>
      </c>
      <c r="FC87" s="503">
        <f t="shared" si="78"/>
        <v>50801</v>
      </c>
      <c r="FD87" s="503">
        <f t="shared" si="78"/>
        <v>50829</v>
      </c>
      <c r="FE87" s="503">
        <f t="shared" si="78"/>
        <v>50860</v>
      </c>
      <c r="FF87" s="503">
        <f t="shared" si="78"/>
        <v>50890</v>
      </c>
      <c r="FG87" s="503">
        <f t="shared" si="78"/>
        <v>50921</v>
      </c>
      <c r="FH87" s="503">
        <f t="shared" si="78"/>
        <v>50951</v>
      </c>
      <c r="FI87" s="503">
        <f t="shared" si="78"/>
        <v>50982</v>
      </c>
      <c r="FJ87" s="503">
        <f t="shared" si="78"/>
        <v>51013</v>
      </c>
      <c r="FK87" s="503">
        <f t="shared" si="78"/>
        <v>51043</v>
      </c>
      <c r="FL87" s="503">
        <f t="shared" si="78"/>
        <v>51074</v>
      </c>
      <c r="FM87" s="503">
        <f t="shared" si="78"/>
        <v>51104</v>
      </c>
      <c r="FN87" s="503">
        <f t="shared" si="78"/>
        <v>51135</v>
      </c>
      <c r="FO87" s="503">
        <f t="shared" si="78"/>
        <v>51166</v>
      </c>
      <c r="FP87" s="503">
        <f t="shared" si="78"/>
        <v>51195</v>
      </c>
      <c r="FQ87" s="503">
        <f t="shared" si="78"/>
        <v>51226</v>
      </c>
      <c r="FR87" s="503">
        <f t="shared" si="78"/>
        <v>51256</v>
      </c>
      <c r="FS87" s="503">
        <f t="shared" si="78"/>
        <v>51287</v>
      </c>
      <c r="FT87" s="503">
        <f t="shared" si="78"/>
        <v>51317</v>
      </c>
      <c r="FU87" s="503">
        <f t="shared" si="78"/>
        <v>51348</v>
      </c>
      <c r="FV87" s="503">
        <f t="shared" si="78"/>
        <v>51379</v>
      </c>
      <c r="FW87" s="503">
        <f t="shared" si="78"/>
        <v>51409</v>
      </c>
      <c r="FX87" s="503">
        <f t="shared" si="78"/>
        <v>51440</v>
      </c>
      <c r="FY87" s="503">
        <f t="shared" si="78"/>
        <v>51470</v>
      </c>
      <c r="FZ87" s="503">
        <f t="shared" si="78"/>
        <v>51501</v>
      </c>
      <c r="GA87" s="503">
        <f t="shared" si="78"/>
        <v>51532</v>
      </c>
      <c r="GB87" s="503">
        <f t="shared" si="78"/>
        <v>51560</v>
      </c>
      <c r="GC87" s="503">
        <f t="shared" si="78"/>
        <v>51591</v>
      </c>
      <c r="GD87" s="503">
        <f t="shared" si="78"/>
        <v>51621</v>
      </c>
      <c r="GE87" s="503">
        <f t="shared" si="78"/>
        <v>51652</v>
      </c>
      <c r="GF87" s="503">
        <f t="shared" si="78"/>
        <v>51682</v>
      </c>
      <c r="GG87" s="503">
        <f t="shared" si="78"/>
        <v>51713</v>
      </c>
      <c r="GH87" s="503">
        <f t="shared" si="78"/>
        <v>51744</v>
      </c>
      <c r="GI87" s="503">
        <f t="shared" si="78"/>
        <v>51774</v>
      </c>
      <c r="GJ87" s="503">
        <f t="shared" si="78"/>
        <v>51805</v>
      </c>
      <c r="GK87" s="503">
        <f t="shared" si="78"/>
        <v>51835</v>
      </c>
      <c r="GL87" s="503">
        <f t="shared" si="78"/>
        <v>51866</v>
      </c>
      <c r="GM87" s="503">
        <f t="shared" si="78"/>
        <v>51897</v>
      </c>
      <c r="GN87" s="503">
        <f t="shared" si="78"/>
        <v>51925</v>
      </c>
      <c r="GO87" s="503">
        <f t="shared" si="79"/>
        <v>51956</v>
      </c>
      <c r="GP87" s="503">
        <f t="shared" si="79"/>
        <v>51986</v>
      </c>
      <c r="GQ87" s="503">
        <f t="shared" si="79"/>
        <v>52017</v>
      </c>
      <c r="GR87" s="503">
        <f t="shared" si="79"/>
        <v>52047</v>
      </c>
      <c r="GS87" s="503">
        <f t="shared" si="79"/>
        <v>52078</v>
      </c>
      <c r="GT87" s="503">
        <f t="shared" si="79"/>
        <v>52109</v>
      </c>
      <c r="GU87" s="503">
        <f t="shared" si="79"/>
        <v>52139</v>
      </c>
      <c r="GV87" s="503">
        <f t="shared" si="79"/>
        <v>52170</v>
      </c>
      <c r="GW87" s="503">
        <f t="shared" si="79"/>
        <v>52200</v>
      </c>
      <c r="GX87" s="503">
        <f t="shared" si="79"/>
        <v>52231</v>
      </c>
      <c r="GY87" s="503">
        <f t="shared" si="79"/>
        <v>52262</v>
      </c>
      <c r="GZ87" s="503">
        <f t="shared" si="79"/>
        <v>52290</v>
      </c>
      <c r="HA87" s="503">
        <f t="shared" si="79"/>
        <v>52321</v>
      </c>
      <c r="HB87" s="503">
        <f t="shared" si="79"/>
        <v>52351</v>
      </c>
      <c r="HC87" s="503">
        <f t="shared" si="79"/>
        <v>52382</v>
      </c>
      <c r="HD87" s="503">
        <f t="shared" si="79"/>
        <v>52412</v>
      </c>
      <c r="HE87" s="503">
        <f t="shared" si="79"/>
        <v>52443</v>
      </c>
      <c r="HF87" s="503">
        <f t="shared" si="79"/>
        <v>52474</v>
      </c>
      <c r="HG87" s="503">
        <f t="shared" si="79"/>
        <v>52504</v>
      </c>
      <c r="HH87" s="503">
        <f t="shared" si="79"/>
        <v>52535</v>
      </c>
      <c r="HI87" s="503">
        <f t="shared" si="79"/>
        <v>52565</v>
      </c>
      <c r="HJ87" s="503">
        <f t="shared" si="79"/>
        <v>52596</v>
      </c>
      <c r="HK87" s="503">
        <f t="shared" si="79"/>
        <v>52627</v>
      </c>
      <c r="HL87" s="503">
        <f t="shared" si="79"/>
        <v>52656</v>
      </c>
      <c r="HM87" s="503">
        <f t="shared" si="79"/>
        <v>52687</v>
      </c>
      <c r="HN87" s="503">
        <f t="shared" si="79"/>
        <v>52717</v>
      </c>
      <c r="HO87" s="503">
        <f t="shared" si="79"/>
        <v>52748</v>
      </c>
      <c r="HP87" s="503">
        <f t="shared" si="79"/>
        <v>52778</v>
      </c>
      <c r="HQ87" s="503">
        <f t="shared" si="79"/>
        <v>52809</v>
      </c>
      <c r="HR87" s="503">
        <f t="shared" si="79"/>
        <v>52840</v>
      </c>
      <c r="HS87" s="503">
        <f t="shared" si="79"/>
        <v>52870</v>
      </c>
      <c r="HT87" s="503">
        <f t="shared" si="79"/>
        <v>52901</v>
      </c>
      <c r="HU87" s="503">
        <f t="shared" si="79"/>
        <v>52931</v>
      </c>
      <c r="HV87" s="503">
        <f t="shared" si="79"/>
        <v>52962</v>
      </c>
      <c r="HW87" s="503">
        <f t="shared" si="79"/>
        <v>52993</v>
      </c>
      <c r="HX87" s="503">
        <f t="shared" si="79"/>
        <v>53021</v>
      </c>
      <c r="HY87" s="503">
        <f t="shared" si="79"/>
        <v>53052</v>
      </c>
      <c r="HZ87" s="503">
        <f t="shared" si="79"/>
        <v>53082</v>
      </c>
      <c r="IA87" s="503">
        <f t="shared" si="79"/>
        <v>53113</v>
      </c>
      <c r="IB87" s="503">
        <f t="shared" si="79"/>
        <v>53143</v>
      </c>
      <c r="IC87" s="503">
        <f t="shared" si="79"/>
        <v>53174</v>
      </c>
      <c r="ID87" s="503">
        <f t="shared" si="79"/>
        <v>53205</v>
      </c>
      <c r="IE87" s="503">
        <f t="shared" si="79"/>
        <v>53235</v>
      </c>
      <c r="IF87" s="503">
        <f t="shared" si="79"/>
        <v>53266</v>
      </c>
      <c r="IG87" s="503">
        <f t="shared" si="79"/>
        <v>53296</v>
      </c>
      <c r="IH87" s="503">
        <f t="shared" si="79"/>
        <v>53327</v>
      </c>
      <c r="II87" s="503">
        <f t="shared" si="79"/>
        <v>53358</v>
      </c>
      <c r="IJ87" s="503">
        <f t="shared" si="79"/>
        <v>53386</v>
      </c>
      <c r="IK87" s="503">
        <f t="shared" si="79"/>
        <v>53417</v>
      </c>
      <c r="IL87" s="503">
        <f t="shared" si="79"/>
        <v>53447</v>
      </c>
      <c r="IM87" s="503">
        <f t="shared" si="79"/>
        <v>53478</v>
      </c>
      <c r="IN87" s="503">
        <f t="shared" si="79"/>
        <v>53508</v>
      </c>
      <c r="IO87" s="503">
        <f t="shared" si="79"/>
        <v>53539</v>
      </c>
      <c r="IP87" s="503">
        <f t="shared" si="79"/>
        <v>53570</v>
      </c>
      <c r="IQ87" s="503">
        <f t="shared" si="79"/>
        <v>53600</v>
      </c>
      <c r="IR87" s="503">
        <f t="shared" si="79"/>
        <v>53631</v>
      </c>
      <c r="IS87" s="503">
        <f t="shared" si="79"/>
        <v>53661</v>
      </c>
      <c r="IT87" s="503">
        <f t="shared" si="79"/>
        <v>53692</v>
      </c>
      <c r="IU87" s="503">
        <f t="shared" si="79"/>
        <v>53723</v>
      </c>
      <c r="IV87" s="503">
        <f t="shared" si="79"/>
        <v>53751</v>
      </c>
      <c r="IW87" s="503">
        <f t="shared" si="79"/>
        <v>53782</v>
      </c>
      <c r="IX87" s="503">
        <f t="shared" si="79"/>
        <v>53812</v>
      </c>
      <c r="IY87" s="503">
        <f t="shared" si="79"/>
        <v>53843</v>
      </c>
      <c r="IZ87" s="503">
        <f t="shared" si="79"/>
        <v>53873</v>
      </c>
      <c r="JA87" s="503">
        <f t="shared" si="80"/>
        <v>53904</v>
      </c>
      <c r="JB87" s="503">
        <f t="shared" si="80"/>
        <v>53935</v>
      </c>
      <c r="JC87" s="503">
        <f t="shared" si="80"/>
        <v>53965</v>
      </c>
      <c r="JD87" s="503">
        <f t="shared" si="80"/>
        <v>53996</v>
      </c>
      <c r="JE87" s="503">
        <f t="shared" si="80"/>
        <v>54026</v>
      </c>
      <c r="JF87" s="503">
        <f t="shared" si="80"/>
        <v>54057</v>
      </c>
      <c r="JG87" s="503">
        <f t="shared" si="80"/>
        <v>54088</v>
      </c>
      <c r="JH87" s="503">
        <f t="shared" si="80"/>
        <v>54117</v>
      </c>
      <c r="JI87" s="504">
        <f t="shared" si="80"/>
        <v>54148</v>
      </c>
      <c r="JJ87" s="538" t="s">
        <v>137</v>
      </c>
      <c r="JK87" s="252"/>
      <c r="JL87" s="252"/>
      <c r="JM87" s="252"/>
      <c r="JN87" s="252"/>
      <c r="JO87" s="252"/>
      <c r="JQ87" s="77"/>
    </row>
    <row r="88" spans="2:277" x14ac:dyDescent="0.3">
      <c r="B88" s="169" t="s">
        <v>349</v>
      </c>
      <c r="C88" s="52">
        <f>SUMIFS(Leasing!29:29,Leasing!1:1,C86)+SUMIFS(Leasing!38:38,Leasing!1:1,C86)</f>
        <v>0</v>
      </c>
      <c r="D88" s="52">
        <f>SUMIFS(Leasing!29:29,Leasing!1:1,D86)+SUMIFS(Leasing!38:38,Leasing!1:1,D86)</f>
        <v>0</v>
      </c>
      <c r="E88" s="52">
        <f>SUMIFS(Leasing!29:29,Leasing!1:1,E86)+SUMIFS(Leasing!38:38,Leasing!1:1,E86)</f>
        <v>0</v>
      </c>
      <c r="F88" s="52">
        <f>SUMIFS(Leasing!29:29,Leasing!1:1,F86)+SUMIFS(Leasing!38:38,Leasing!1:1,F86)</f>
        <v>0</v>
      </c>
      <c r="G88" s="52">
        <f>SUMIFS(Leasing!29:29,Leasing!1:1,G86)+SUMIFS(Leasing!38:38,Leasing!1:1,G86)</f>
        <v>0</v>
      </c>
      <c r="H88" s="52">
        <f>SUMIFS(Leasing!29:29,Leasing!1:1,H86)+SUMIFS(Leasing!38:38,Leasing!1:1,H86)</f>
        <v>0</v>
      </c>
      <c r="I88" s="52">
        <f>SUMIFS(Leasing!29:29,Leasing!1:1,I86)+SUMIFS(Leasing!38:38,Leasing!1:1,I86)</f>
        <v>0</v>
      </c>
      <c r="J88" s="52">
        <f>SUMIFS(Leasing!29:29,Leasing!1:1,J86)+SUMIFS(Leasing!38:38,Leasing!1:1,J86)</f>
        <v>0</v>
      </c>
      <c r="K88" s="52">
        <f>SUMIFS(Leasing!29:29,Leasing!1:1,K86)+SUMIFS(Leasing!38:38,Leasing!1:1,K86)</f>
        <v>0</v>
      </c>
      <c r="L88" s="52">
        <f>SUMIFS(Leasing!29:29,Leasing!1:1,L86)+SUMIFS(Leasing!38:38,Leasing!1:1,L86)</f>
        <v>0</v>
      </c>
      <c r="M88" s="52">
        <f>SUMIFS(Leasing!29:29,Leasing!1:1,M86)+SUMIFS(Leasing!38:38,Leasing!1:1,M86)</f>
        <v>0</v>
      </c>
      <c r="N88" s="52">
        <f>SUMIFS(Leasing!29:29,Leasing!1:1,N86)+SUMIFS(Leasing!38:38,Leasing!1:1,N86)</f>
        <v>0</v>
      </c>
      <c r="O88" s="52">
        <f>SUMIFS(Leasing!29:29,Leasing!1:1,O86)+SUMIFS(Leasing!38:38,Leasing!1:1,O86)</f>
        <v>1.0626802565685076</v>
      </c>
      <c r="P88" s="52">
        <f>SUMIFS(Leasing!29:29,Leasing!1:1,P86)+SUMIFS(Leasing!38:38,Leasing!1:1,P86)</f>
        <v>1.0626802565685076</v>
      </c>
      <c r="Q88" s="52">
        <f>SUMIFS(Leasing!29:29,Leasing!1:1,Q86)+SUMIFS(Leasing!38:38,Leasing!1:1,Q86)</f>
        <v>1.0626802565685076</v>
      </c>
      <c r="R88" s="52">
        <f>SUMIFS(Leasing!29:29,Leasing!1:1,R86)+SUMIFS(Leasing!38:38,Leasing!1:1,R86)</f>
        <v>1.0626802565685076</v>
      </c>
      <c r="S88" s="52">
        <f>SUMIFS(Leasing!29:29,Leasing!1:1,S86)+SUMIFS(Leasing!38:38,Leasing!1:1,S86)</f>
        <v>1.0626802565685076</v>
      </c>
      <c r="T88" s="52">
        <f>SUMIFS(Leasing!29:29,Leasing!1:1,T86)+SUMIFS(Leasing!38:38,Leasing!1:1,T86)</f>
        <v>1.0626802565685076</v>
      </c>
      <c r="U88" s="52">
        <f>SUMIFS(Leasing!29:29,Leasing!1:1,U86)+SUMIFS(Leasing!38:38,Leasing!1:1,U86)</f>
        <v>1.0626802565685076</v>
      </c>
      <c r="V88" s="52">
        <f>SUMIFS(Leasing!29:29,Leasing!1:1,V86)+SUMIFS(Leasing!38:38,Leasing!1:1,V86)</f>
        <v>1.0626802565685076</v>
      </c>
      <c r="W88" s="52">
        <f>SUMIFS(Leasing!29:29,Leasing!1:1,W86)+SUMIFS(Leasing!38:38,Leasing!1:1,W86)</f>
        <v>1.0626802565685076</v>
      </c>
      <c r="X88" s="52">
        <f>SUMIFS(Leasing!29:29,Leasing!1:1,X86)+SUMIFS(Leasing!38:38,Leasing!1:1,X86)</f>
        <v>1.0626802565685076</v>
      </c>
      <c r="Y88" s="52">
        <f>SUMIFS(Leasing!29:29,Leasing!1:1,Y86)+SUMIFS(Leasing!38:38,Leasing!1:1,Y86)</f>
        <v>1.0626802565685076</v>
      </c>
      <c r="Z88" s="52">
        <f>SUMIFS(Leasing!29:29,Leasing!1:1,Z86)+SUMIFS(Leasing!38:38,Leasing!1:1,Z86)</f>
        <v>1.0626802565685076</v>
      </c>
      <c r="AA88" s="52">
        <f>SUMIFS(Leasing!29:29,Leasing!1:1,AA86)+SUMIFS(Leasing!38:38,Leasing!1:1,AA86)</f>
        <v>1.1158142693969328</v>
      </c>
      <c r="AB88" s="52">
        <f>SUMIFS(Leasing!29:29,Leasing!1:1,AB86)+SUMIFS(Leasing!38:38,Leasing!1:1,AB86)</f>
        <v>1.1158142693969328</v>
      </c>
      <c r="AC88" s="52">
        <f>SUMIFS(Leasing!29:29,Leasing!1:1,AC86)+SUMIFS(Leasing!38:38,Leasing!1:1,AC86)</f>
        <v>1.1158142693969328</v>
      </c>
      <c r="AD88" s="52">
        <f>SUMIFS(Leasing!29:29,Leasing!1:1,AD86)+SUMIFS(Leasing!38:38,Leasing!1:1,AD86)</f>
        <v>1.1158142693969328</v>
      </c>
      <c r="AE88" s="52">
        <f>SUMIFS(Leasing!29:29,Leasing!1:1,AE86)+SUMIFS(Leasing!38:38,Leasing!1:1,AE86)</f>
        <v>1.1158142693969328</v>
      </c>
      <c r="AF88" s="52">
        <f>SUMIFS(Leasing!29:29,Leasing!1:1,AF86)+SUMIFS(Leasing!38:38,Leasing!1:1,AF86)</f>
        <v>1.1158142693969328</v>
      </c>
      <c r="AG88" s="52">
        <f>SUMIFS(Leasing!29:29,Leasing!1:1,AG86)+SUMIFS(Leasing!38:38,Leasing!1:1,AG86)</f>
        <v>1.1158142693969328</v>
      </c>
      <c r="AH88" s="52">
        <f>SUMIFS(Leasing!29:29,Leasing!1:1,AH86)+SUMIFS(Leasing!38:38,Leasing!1:1,AH86)</f>
        <v>1.1158142693969328</v>
      </c>
      <c r="AI88" s="52">
        <f>SUMIFS(Leasing!29:29,Leasing!1:1,AI86)+SUMIFS(Leasing!38:38,Leasing!1:1,AI86)</f>
        <v>1.1158142693969328</v>
      </c>
      <c r="AJ88" s="52">
        <f>SUMIFS(Leasing!29:29,Leasing!1:1,AJ86)+SUMIFS(Leasing!38:38,Leasing!1:1,AJ86)</f>
        <v>1.1158142693969328</v>
      </c>
      <c r="AK88" s="52">
        <f>SUMIFS(Leasing!29:29,Leasing!1:1,AK86)+SUMIFS(Leasing!38:38,Leasing!1:1,AK86)</f>
        <v>1.1158142693969328</v>
      </c>
      <c r="AL88" s="52">
        <f>SUMIFS(Leasing!29:29,Leasing!1:1,AL86)+SUMIFS(Leasing!38:38,Leasing!1:1,AL86)</f>
        <v>1.1158142693969328</v>
      </c>
      <c r="AM88" s="52">
        <f>SUMIFS(Leasing!29:29,Leasing!1:1,AM86)+SUMIFS(Leasing!38:38,Leasing!1:1,AM86)</f>
        <v>1.1716049828667796</v>
      </c>
      <c r="AN88" s="52">
        <f>SUMIFS(Leasing!29:29,Leasing!1:1,AN86)+SUMIFS(Leasing!38:38,Leasing!1:1,AN86)</f>
        <v>1.1716049828667796</v>
      </c>
      <c r="AO88" s="52">
        <f>SUMIFS(Leasing!29:29,Leasing!1:1,AO86)+SUMIFS(Leasing!38:38,Leasing!1:1,AO86)</f>
        <v>1.1716049828667796</v>
      </c>
      <c r="AP88" s="52">
        <f>SUMIFS(Leasing!29:29,Leasing!1:1,AP86)+SUMIFS(Leasing!38:38,Leasing!1:1,AP86)</f>
        <v>1.1716049828667796</v>
      </c>
      <c r="AQ88" s="52">
        <f>SUMIFS(Leasing!29:29,Leasing!1:1,AQ86)+SUMIFS(Leasing!38:38,Leasing!1:1,AQ86)</f>
        <v>1.1716049828667796</v>
      </c>
      <c r="AR88" s="52">
        <f>SUMIFS(Leasing!29:29,Leasing!1:1,AR86)+SUMIFS(Leasing!38:38,Leasing!1:1,AR86)</f>
        <v>1.1716049828667796</v>
      </c>
      <c r="AS88" s="52">
        <f>SUMIFS(Leasing!29:29,Leasing!1:1,AS86)+SUMIFS(Leasing!38:38,Leasing!1:1,AS86)</f>
        <v>1.1716049828667796</v>
      </c>
      <c r="AT88" s="52">
        <f>SUMIFS(Leasing!29:29,Leasing!1:1,AT86)+SUMIFS(Leasing!38:38,Leasing!1:1,AT86)</f>
        <v>1.1716049828667796</v>
      </c>
      <c r="AU88" s="52">
        <f>SUMIFS(Leasing!29:29,Leasing!1:1,AU86)+SUMIFS(Leasing!38:38,Leasing!1:1,AU86)</f>
        <v>1.1716049828667796</v>
      </c>
      <c r="AV88" s="52">
        <f>SUMIFS(Leasing!29:29,Leasing!1:1,AV86)+SUMIFS(Leasing!38:38,Leasing!1:1,AV86)</f>
        <v>1.1716049828667796</v>
      </c>
      <c r="AW88" s="52">
        <f>SUMIFS(Leasing!29:29,Leasing!1:1,AW86)+SUMIFS(Leasing!38:38,Leasing!1:1,AW86)</f>
        <v>1.1716049828667796</v>
      </c>
      <c r="AX88" s="52">
        <f>SUMIFS(Leasing!29:29,Leasing!1:1,AX86)+SUMIFS(Leasing!38:38,Leasing!1:1,AX86)</f>
        <v>1.1716049828667796</v>
      </c>
      <c r="AY88" s="52">
        <f>SUMIFS(Leasing!29:29,Leasing!1:1,AY86)+SUMIFS(Leasing!38:38,Leasing!1:1,AY86)</f>
        <v>1.2301852320101185</v>
      </c>
      <c r="AZ88" s="52">
        <f>SUMIFS(Leasing!29:29,Leasing!1:1,AZ86)+SUMIFS(Leasing!38:38,Leasing!1:1,AZ86)</f>
        <v>1.2301852320101185</v>
      </c>
      <c r="BA88" s="52">
        <f>SUMIFS(Leasing!29:29,Leasing!1:1,BA86)+SUMIFS(Leasing!38:38,Leasing!1:1,BA86)</f>
        <v>1.2301852320101185</v>
      </c>
      <c r="BB88" s="52">
        <f>SUMIFS(Leasing!29:29,Leasing!1:1,BB86)+SUMIFS(Leasing!38:38,Leasing!1:1,BB86)</f>
        <v>1.2301852320101185</v>
      </c>
      <c r="BC88" s="52">
        <f>SUMIFS(Leasing!29:29,Leasing!1:1,BC86)+SUMIFS(Leasing!38:38,Leasing!1:1,BC86)</f>
        <v>1.2301852320101185</v>
      </c>
      <c r="BD88" s="52">
        <f>SUMIFS(Leasing!29:29,Leasing!1:1,BD86)+SUMIFS(Leasing!38:38,Leasing!1:1,BD86)</f>
        <v>1.2301852320101185</v>
      </c>
      <c r="BE88" s="52">
        <f>SUMIFS(Leasing!29:29,Leasing!1:1,BE86)+SUMIFS(Leasing!38:38,Leasing!1:1,BE86)</f>
        <v>1.2301852320101185</v>
      </c>
      <c r="BF88" s="52">
        <f>SUMIFS(Leasing!29:29,Leasing!1:1,BF86)+SUMIFS(Leasing!38:38,Leasing!1:1,BF86)</f>
        <v>1.2301852320101185</v>
      </c>
      <c r="BG88" s="52">
        <f>SUMIFS(Leasing!29:29,Leasing!1:1,BG86)+SUMIFS(Leasing!38:38,Leasing!1:1,BG86)</f>
        <v>1.2301852320101185</v>
      </c>
      <c r="BH88" s="52">
        <f>SUMIFS(Leasing!29:29,Leasing!1:1,BH86)+SUMIFS(Leasing!38:38,Leasing!1:1,BH86)</f>
        <v>1.2301852320101185</v>
      </c>
      <c r="BI88" s="52">
        <f>SUMIFS(Leasing!29:29,Leasing!1:1,BI86)+SUMIFS(Leasing!38:38,Leasing!1:1,BI86)</f>
        <v>1.2301852320101185</v>
      </c>
      <c r="BJ88" s="52">
        <f>SUMIFS(Leasing!29:29,Leasing!1:1,BJ86)+SUMIFS(Leasing!38:38,Leasing!1:1,BJ86)</f>
        <v>1.2301852320101185</v>
      </c>
      <c r="BK88" s="52">
        <f>SUMIFS(Leasing!29:29,Leasing!1:1,BK86)+SUMIFS(Leasing!38:38,Leasing!1:1,BK86)</f>
        <v>1.2916944936106247</v>
      </c>
      <c r="BL88" s="52">
        <f>SUMIFS(Leasing!29:29,Leasing!1:1,BL86)+SUMIFS(Leasing!38:38,Leasing!1:1,BL86)</f>
        <v>1.2916944936106247</v>
      </c>
      <c r="BM88" s="52">
        <f>SUMIFS(Leasing!29:29,Leasing!1:1,BM86)+SUMIFS(Leasing!38:38,Leasing!1:1,BM86)</f>
        <v>1.2916944936106247</v>
      </c>
      <c r="BN88" s="52">
        <f>SUMIFS(Leasing!29:29,Leasing!1:1,BN86)+SUMIFS(Leasing!38:38,Leasing!1:1,BN86)</f>
        <v>1.2916944936106247</v>
      </c>
      <c r="BO88" s="52">
        <f>SUMIFS(Leasing!29:29,Leasing!1:1,BO86)+SUMIFS(Leasing!38:38,Leasing!1:1,BO86)</f>
        <v>1.2916944936106247</v>
      </c>
      <c r="BP88" s="52">
        <f>SUMIFS(Leasing!29:29,Leasing!1:1,BP86)+SUMIFS(Leasing!38:38,Leasing!1:1,BP86)</f>
        <v>1.2916944936106247</v>
      </c>
      <c r="BQ88" s="52">
        <f>SUMIFS(Leasing!29:29,Leasing!1:1,BQ86)+SUMIFS(Leasing!38:38,Leasing!1:1,BQ86)</f>
        <v>1.2916944936106247</v>
      </c>
      <c r="BR88" s="52">
        <f>SUMIFS(Leasing!29:29,Leasing!1:1,BR86)+SUMIFS(Leasing!38:38,Leasing!1:1,BR86)</f>
        <v>1.2916944936106247</v>
      </c>
      <c r="BS88" s="52">
        <f>SUMIFS(Leasing!29:29,Leasing!1:1,BS86)+SUMIFS(Leasing!38:38,Leasing!1:1,BS86)</f>
        <v>1.2916944936106247</v>
      </c>
      <c r="BT88" s="52">
        <f>SUMIFS(Leasing!29:29,Leasing!1:1,BT86)+SUMIFS(Leasing!38:38,Leasing!1:1,BT86)</f>
        <v>1.2916944936106247</v>
      </c>
      <c r="BU88" s="52">
        <f>SUMIFS(Leasing!29:29,Leasing!1:1,BU86)+SUMIFS(Leasing!38:38,Leasing!1:1,BU86)</f>
        <v>1.2916944936106247</v>
      </c>
      <c r="BV88" s="52">
        <f>SUMIFS(Leasing!29:29,Leasing!1:1,BV86)+SUMIFS(Leasing!38:38,Leasing!1:1,BV86)</f>
        <v>1.2916944936106247</v>
      </c>
      <c r="BW88" s="52">
        <f>SUMIFS(Leasing!29:29,Leasing!1:1,BW86)+SUMIFS(Leasing!38:38,Leasing!1:1,BW86)</f>
        <v>1.3562792182911558</v>
      </c>
      <c r="BX88" s="52">
        <f>SUMIFS(Leasing!29:29,Leasing!1:1,BX86)+SUMIFS(Leasing!38:38,Leasing!1:1,BX86)</f>
        <v>1.3562792182911558</v>
      </c>
      <c r="BY88" s="52">
        <f>SUMIFS(Leasing!29:29,Leasing!1:1,BY86)+SUMIFS(Leasing!38:38,Leasing!1:1,BY86)</f>
        <v>1.3562792182911558</v>
      </c>
      <c r="BZ88" s="52">
        <f>SUMIFS(Leasing!29:29,Leasing!1:1,BZ86)+SUMIFS(Leasing!38:38,Leasing!1:1,BZ86)</f>
        <v>1.3562792182911558</v>
      </c>
      <c r="CA88" s="52">
        <f>SUMIFS(Leasing!29:29,Leasing!1:1,CA86)+SUMIFS(Leasing!38:38,Leasing!1:1,CA86)</f>
        <v>1.3562792182911558</v>
      </c>
      <c r="CB88" s="52">
        <f>SUMIFS(Leasing!29:29,Leasing!1:1,CB86)+SUMIFS(Leasing!38:38,Leasing!1:1,CB86)</f>
        <v>1.3562792182911558</v>
      </c>
      <c r="CC88" s="52">
        <f>SUMIFS(Leasing!29:29,Leasing!1:1,CC86)+SUMIFS(Leasing!38:38,Leasing!1:1,CC86)</f>
        <v>1.3562792182911558</v>
      </c>
      <c r="CD88" s="52">
        <f>SUMIFS(Leasing!29:29,Leasing!1:1,CD86)+SUMIFS(Leasing!38:38,Leasing!1:1,CD86)</f>
        <v>1.3562792182911558</v>
      </c>
      <c r="CE88" s="52">
        <f>SUMIFS(Leasing!29:29,Leasing!1:1,CE86)+SUMIFS(Leasing!38:38,Leasing!1:1,CE86)</f>
        <v>1.3562792182911558</v>
      </c>
      <c r="CF88" s="52">
        <f>SUMIFS(Leasing!29:29,Leasing!1:1,CF86)+SUMIFS(Leasing!38:38,Leasing!1:1,CF86)</f>
        <v>1.3562792182911558</v>
      </c>
      <c r="CG88" s="52">
        <f>SUMIFS(Leasing!29:29,Leasing!1:1,CG86)+SUMIFS(Leasing!38:38,Leasing!1:1,CG86)</f>
        <v>1.3562792182911558</v>
      </c>
      <c r="CH88" s="52">
        <f>SUMIFS(Leasing!29:29,Leasing!1:1,CH86)+SUMIFS(Leasing!38:38,Leasing!1:1,CH86)</f>
        <v>1.3562792182911558</v>
      </c>
      <c r="CI88" s="52">
        <f>SUMIFS(Leasing!29:29,Leasing!1:1,CI86)+SUMIFS(Leasing!38:38,Leasing!1:1,CI86)</f>
        <v>1.4240931792057137</v>
      </c>
      <c r="CJ88" s="52">
        <f>SUMIFS(Leasing!29:29,Leasing!1:1,CJ86)+SUMIFS(Leasing!38:38,Leasing!1:1,CJ86)</f>
        <v>1.4240931792057137</v>
      </c>
      <c r="CK88" s="52">
        <f>SUMIFS(Leasing!29:29,Leasing!1:1,CK86)+SUMIFS(Leasing!38:38,Leasing!1:1,CK86)</f>
        <v>1.4240931792057137</v>
      </c>
      <c r="CL88" s="52">
        <f>SUMIFS(Leasing!29:29,Leasing!1:1,CL86)+SUMIFS(Leasing!38:38,Leasing!1:1,CL86)</f>
        <v>1.4240931792057137</v>
      </c>
      <c r="CM88" s="52">
        <f>SUMIFS(Leasing!29:29,Leasing!1:1,CM86)+SUMIFS(Leasing!38:38,Leasing!1:1,CM86)</f>
        <v>1.4240931792057137</v>
      </c>
      <c r="CN88" s="52">
        <f>SUMIFS(Leasing!29:29,Leasing!1:1,CN86)+SUMIFS(Leasing!38:38,Leasing!1:1,CN86)</f>
        <v>1.4240931792057137</v>
      </c>
      <c r="CO88" s="52">
        <f>SUMIFS(Leasing!29:29,Leasing!1:1,CO86)+SUMIFS(Leasing!38:38,Leasing!1:1,CO86)</f>
        <v>1.4240931792057137</v>
      </c>
      <c r="CP88" s="52">
        <f>SUMIFS(Leasing!29:29,Leasing!1:1,CP86)+SUMIFS(Leasing!38:38,Leasing!1:1,CP86)</f>
        <v>1.4240931792057137</v>
      </c>
      <c r="CQ88" s="52">
        <f>SUMIFS(Leasing!29:29,Leasing!1:1,CQ86)+SUMIFS(Leasing!38:38,Leasing!1:1,CQ86)</f>
        <v>1.4240931792057137</v>
      </c>
      <c r="CR88" s="52">
        <f>SUMIFS(Leasing!29:29,Leasing!1:1,CR86)+SUMIFS(Leasing!38:38,Leasing!1:1,CR86)</f>
        <v>1.4240931792057137</v>
      </c>
      <c r="CS88" s="52">
        <f>SUMIFS(Leasing!29:29,Leasing!1:1,CS86)+SUMIFS(Leasing!38:38,Leasing!1:1,CS86)</f>
        <v>1.4240931792057137</v>
      </c>
      <c r="CT88" s="52">
        <f>SUMIFS(Leasing!29:29,Leasing!1:1,CT86)+SUMIFS(Leasing!38:38,Leasing!1:1,CT86)</f>
        <v>1.4240931792057137</v>
      </c>
      <c r="CU88" s="52">
        <f>SUMIFS(Leasing!29:29,Leasing!1:1,CU86)+SUMIFS(Leasing!38:38,Leasing!1:1,CU86)</f>
        <v>1.4952978381659994</v>
      </c>
      <c r="CV88" s="52">
        <f>SUMIFS(Leasing!29:29,Leasing!1:1,CV86)+SUMIFS(Leasing!38:38,Leasing!1:1,CV86)</f>
        <v>1.4952978381659994</v>
      </c>
      <c r="CW88" s="52">
        <f>SUMIFS(Leasing!29:29,Leasing!1:1,CW86)+SUMIFS(Leasing!38:38,Leasing!1:1,CW86)</f>
        <v>1.4952978381659994</v>
      </c>
      <c r="CX88" s="52">
        <f>SUMIFS(Leasing!29:29,Leasing!1:1,CX86)+SUMIFS(Leasing!38:38,Leasing!1:1,CX86)</f>
        <v>1.4952978381659994</v>
      </c>
      <c r="CY88" s="52">
        <f>SUMIFS(Leasing!29:29,Leasing!1:1,CY86)+SUMIFS(Leasing!38:38,Leasing!1:1,CY86)</f>
        <v>1.4952978381659994</v>
      </c>
      <c r="CZ88" s="52">
        <f>SUMIFS(Leasing!29:29,Leasing!1:1,CZ86)+SUMIFS(Leasing!38:38,Leasing!1:1,CZ86)</f>
        <v>1.4952978381659994</v>
      </c>
      <c r="DA88" s="52">
        <f>SUMIFS(Leasing!29:29,Leasing!1:1,DA86)+SUMIFS(Leasing!38:38,Leasing!1:1,DA86)</f>
        <v>1.4952978381659994</v>
      </c>
      <c r="DB88" s="52">
        <f>SUMIFS(Leasing!29:29,Leasing!1:1,DB86)+SUMIFS(Leasing!38:38,Leasing!1:1,DB86)</f>
        <v>1.4952978381659994</v>
      </c>
      <c r="DC88" s="52">
        <f>SUMIFS(Leasing!29:29,Leasing!1:1,DC86)+SUMIFS(Leasing!38:38,Leasing!1:1,DC86)</f>
        <v>1.4952978381659994</v>
      </c>
      <c r="DD88" s="52">
        <f>SUMIFS(Leasing!29:29,Leasing!1:1,DD86)+SUMIFS(Leasing!38:38,Leasing!1:1,DD86)</f>
        <v>1.4952978381659994</v>
      </c>
      <c r="DE88" s="52">
        <f>SUMIFS(Leasing!29:29,Leasing!1:1,DE86)+SUMIFS(Leasing!38:38,Leasing!1:1,DE86)</f>
        <v>1.4952978381659994</v>
      </c>
      <c r="DF88" s="52">
        <f>SUMIFS(Leasing!29:29,Leasing!1:1,DF86)+SUMIFS(Leasing!38:38,Leasing!1:1,DF86)</f>
        <v>1.4952978381659994</v>
      </c>
      <c r="DG88" s="52">
        <f>SUMIFS(Leasing!29:29,Leasing!1:1,DG86)+SUMIFS(Leasing!38:38,Leasing!1:1,DG86)</f>
        <v>1.5700627300742993</v>
      </c>
      <c r="DH88" s="52">
        <f>SUMIFS(Leasing!29:29,Leasing!1:1,DH86)+SUMIFS(Leasing!38:38,Leasing!1:1,DH86)</f>
        <v>1.5700627300742993</v>
      </c>
      <c r="DI88" s="52">
        <f>SUMIFS(Leasing!29:29,Leasing!1:1,DI86)+SUMIFS(Leasing!38:38,Leasing!1:1,DI86)</f>
        <v>1.5700627300742993</v>
      </c>
      <c r="DJ88" s="52">
        <f>SUMIFS(Leasing!29:29,Leasing!1:1,DJ86)+SUMIFS(Leasing!38:38,Leasing!1:1,DJ86)</f>
        <v>1.5700627300742993</v>
      </c>
      <c r="DK88" s="52">
        <f>SUMIFS(Leasing!29:29,Leasing!1:1,DK86)+SUMIFS(Leasing!38:38,Leasing!1:1,DK86)</f>
        <v>1.5700627300742993</v>
      </c>
      <c r="DL88" s="52">
        <f>SUMIFS(Leasing!29:29,Leasing!1:1,DL86)+SUMIFS(Leasing!38:38,Leasing!1:1,DL86)</f>
        <v>1.5700627300742993</v>
      </c>
      <c r="DM88" s="52">
        <f>SUMIFS(Leasing!29:29,Leasing!1:1,DM86)+SUMIFS(Leasing!38:38,Leasing!1:1,DM86)</f>
        <v>1.5700627300742993</v>
      </c>
      <c r="DN88" s="52">
        <f>SUMIFS(Leasing!29:29,Leasing!1:1,DN86)+SUMIFS(Leasing!38:38,Leasing!1:1,DN86)</f>
        <v>1.5700627300742993</v>
      </c>
      <c r="DO88" s="52">
        <f>SUMIFS(Leasing!29:29,Leasing!1:1,DO86)+SUMIFS(Leasing!38:38,Leasing!1:1,DO86)</f>
        <v>1.5700627300742993</v>
      </c>
      <c r="DP88" s="52">
        <f>SUMIFS(Leasing!29:29,Leasing!1:1,DP86)+SUMIFS(Leasing!38:38,Leasing!1:1,DP86)</f>
        <v>1.5700627300742993</v>
      </c>
      <c r="DQ88" s="52">
        <f>SUMIFS(Leasing!29:29,Leasing!1:1,DQ86)+SUMIFS(Leasing!38:38,Leasing!1:1,DQ86)</f>
        <v>1.5700627300742993</v>
      </c>
      <c r="DR88" s="52">
        <f>SUMIFS(Leasing!29:29,Leasing!1:1,DR86)+SUMIFS(Leasing!38:38,Leasing!1:1,DR86)</f>
        <v>1.5700627300742993</v>
      </c>
      <c r="DS88" s="52">
        <f>SUMIFS(Leasing!29:29,Leasing!1:1,DS86)+SUMIFS(Leasing!38:38,Leasing!1:1,DS86)</f>
        <v>1.6485658665780147</v>
      </c>
      <c r="DT88" s="52">
        <f>SUMIFS(Leasing!29:29,Leasing!1:1,DT86)+SUMIFS(Leasing!38:38,Leasing!1:1,DT86)</f>
        <v>1.6485658665780147</v>
      </c>
      <c r="DU88" s="52">
        <f>SUMIFS(Leasing!29:29,Leasing!1:1,DU86)+SUMIFS(Leasing!38:38,Leasing!1:1,DU86)</f>
        <v>1.6485658665780147</v>
      </c>
      <c r="DV88" s="52">
        <f>SUMIFS(Leasing!29:29,Leasing!1:1,DV86)+SUMIFS(Leasing!38:38,Leasing!1:1,DV86)</f>
        <v>1.6485658665780147</v>
      </c>
      <c r="DW88" s="52">
        <f>SUMIFS(Leasing!29:29,Leasing!1:1,DW86)+SUMIFS(Leasing!38:38,Leasing!1:1,DW86)</f>
        <v>1.6485658665780147</v>
      </c>
      <c r="DX88" s="52">
        <f>SUMIFS(Leasing!29:29,Leasing!1:1,DX86)+SUMIFS(Leasing!38:38,Leasing!1:1,DX86)</f>
        <v>1.6485658665780147</v>
      </c>
      <c r="DY88" s="52">
        <f>SUMIFS(Leasing!29:29,Leasing!1:1,DY86)+SUMIFS(Leasing!38:38,Leasing!1:1,DY86)</f>
        <v>1.6485658665780147</v>
      </c>
      <c r="DZ88" s="52">
        <f>SUMIFS(Leasing!29:29,Leasing!1:1,DZ86)+SUMIFS(Leasing!38:38,Leasing!1:1,DZ86)</f>
        <v>1.6485658665780147</v>
      </c>
      <c r="EA88" s="52">
        <f>SUMIFS(Leasing!29:29,Leasing!1:1,EA86)+SUMIFS(Leasing!38:38,Leasing!1:1,EA86)</f>
        <v>1.6485658665780147</v>
      </c>
      <c r="EB88" s="52">
        <f>SUMIFS(Leasing!29:29,Leasing!1:1,EB86)+SUMIFS(Leasing!38:38,Leasing!1:1,EB86)</f>
        <v>1.6485658665780147</v>
      </c>
      <c r="EC88" s="52">
        <f>SUMIFS(Leasing!29:29,Leasing!1:1,EC86)+SUMIFS(Leasing!38:38,Leasing!1:1,EC86)</f>
        <v>1.6485658665780147</v>
      </c>
      <c r="ED88" s="52">
        <f>SUMIFS(Leasing!29:29,Leasing!1:1,ED86)+SUMIFS(Leasing!38:38,Leasing!1:1,ED86)</f>
        <v>1.6485658665780147</v>
      </c>
      <c r="EE88" s="52">
        <f>SUMIFS(Leasing!29:29,Leasing!1:1,EE86)+SUMIFS(Leasing!38:38,Leasing!1:1,EE86)</f>
        <v>1.7309941599069154</v>
      </c>
      <c r="EF88" s="52">
        <f>SUMIFS(Leasing!29:29,Leasing!1:1,EF86)+SUMIFS(Leasing!38:38,Leasing!1:1,EF86)</f>
        <v>1.7309941599069154</v>
      </c>
      <c r="EG88" s="52">
        <f>SUMIFS(Leasing!29:29,Leasing!1:1,EG86)+SUMIFS(Leasing!38:38,Leasing!1:1,EG86)</f>
        <v>1.7309941599069154</v>
      </c>
      <c r="EH88" s="52">
        <f>SUMIFS(Leasing!29:29,Leasing!1:1,EH86)+SUMIFS(Leasing!38:38,Leasing!1:1,EH86)</f>
        <v>1.7309941599069154</v>
      </c>
      <c r="EI88" s="52">
        <f>SUMIFS(Leasing!29:29,Leasing!1:1,EI86)+SUMIFS(Leasing!38:38,Leasing!1:1,EI86)</f>
        <v>1.7309941599069154</v>
      </c>
      <c r="EJ88" s="52">
        <f>SUMIFS(Leasing!29:29,Leasing!1:1,EJ86)+SUMIFS(Leasing!38:38,Leasing!1:1,EJ86)</f>
        <v>1.7309941599069154</v>
      </c>
      <c r="EK88" s="52">
        <f>SUMIFS(Leasing!29:29,Leasing!1:1,EK86)+SUMIFS(Leasing!38:38,Leasing!1:1,EK86)</f>
        <v>1.7309941599069154</v>
      </c>
      <c r="EL88" s="52">
        <f>SUMIFS(Leasing!29:29,Leasing!1:1,EL86)+SUMIFS(Leasing!38:38,Leasing!1:1,EL86)</f>
        <v>1.7309941599069154</v>
      </c>
      <c r="EM88" s="52">
        <f>SUMIFS(Leasing!29:29,Leasing!1:1,EM86)+SUMIFS(Leasing!38:38,Leasing!1:1,EM86)</f>
        <v>1.7309941599069154</v>
      </c>
      <c r="EN88" s="52">
        <f>SUMIFS(Leasing!29:29,Leasing!1:1,EN86)+SUMIFS(Leasing!38:38,Leasing!1:1,EN86)</f>
        <v>1.7309941599069154</v>
      </c>
      <c r="EO88" s="52">
        <f>SUMIFS(Leasing!29:29,Leasing!1:1,EO86)+SUMIFS(Leasing!38:38,Leasing!1:1,EO86)</f>
        <v>1.7309941599069154</v>
      </c>
      <c r="EP88" s="52">
        <f>SUMIFS(Leasing!29:29,Leasing!1:1,EP86)+SUMIFS(Leasing!38:38,Leasing!1:1,EP86)</f>
        <v>1.7309941599069154</v>
      </c>
      <c r="EQ88" s="52">
        <f>SUMIFS(Leasing!29:29,Leasing!1:1,EQ86)+SUMIFS(Leasing!38:38,Leasing!1:1,EQ86)</f>
        <v>1.8175438679022617</v>
      </c>
      <c r="ER88" s="52">
        <f>SUMIFS(Leasing!29:29,Leasing!1:1,ER86)+SUMIFS(Leasing!38:38,Leasing!1:1,ER86)</f>
        <v>1.8175438679022617</v>
      </c>
      <c r="ES88" s="52">
        <f>SUMIFS(Leasing!29:29,Leasing!1:1,ES86)+SUMIFS(Leasing!38:38,Leasing!1:1,ES86)</f>
        <v>1.8175438679022617</v>
      </c>
      <c r="ET88" s="52">
        <f>SUMIFS(Leasing!29:29,Leasing!1:1,ET86)+SUMIFS(Leasing!38:38,Leasing!1:1,ET86)</f>
        <v>1.8175438679022617</v>
      </c>
      <c r="EU88" s="52">
        <f>SUMIFS(Leasing!29:29,Leasing!1:1,EU86)+SUMIFS(Leasing!38:38,Leasing!1:1,EU86)</f>
        <v>1.8175438679022617</v>
      </c>
      <c r="EV88" s="52">
        <f>SUMIFS(Leasing!29:29,Leasing!1:1,EV86)+SUMIFS(Leasing!38:38,Leasing!1:1,EV86)</f>
        <v>1.8175438679022617</v>
      </c>
      <c r="EW88" s="52">
        <f>SUMIFS(Leasing!29:29,Leasing!1:1,EW86)+SUMIFS(Leasing!38:38,Leasing!1:1,EW86)</f>
        <v>1.8175438679022617</v>
      </c>
      <c r="EX88" s="52">
        <f>SUMIFS(Leasing!29:29,Leasing!1:1,EX86)+SUMIFS(Leasing!38:38,Leasing!1:1,EX86)</f>
        <v>1.8175438679022617</v>
      </c>
      <c r="EY88" s="52">
        <f>SUMIFS(Leasing!29:29,Leasing!1:1,EY86)+SUMIFS(Leasing!38:38,Leasing!1:1,EY86)</f>
        <v>1.8175438679022617</v>
      </c>
      <c r="EZ88" s="52">
        <f>SUMIFS(Leasing!29:29,Leasing!1:1,EZ86)+SUMIFS(Leasing!38:38,Leasing!1:1,EZ86)</f>
        <v>1.8175438679022617</v>
      </c>
      <c r="FA88" s="52">
        <f>SUMIFS(Leasing!29:29,Leasing!1:1,FA86)+SUMIFS(Leasing!38:38,Leasing!1:1,FA86)</f>
        <v>1.8175438679022617</v>
      </c>
      <c r="FB88" s="52">
        <f>SUMIFS(Leasing!29:29,Leasing!1:1,FB86)+SUMIFS(Leasing!38:38,Leasing!1:1,FB86)</f>
        <v>1.8175438679022617</v>
      </c>
      <c r="FC88" s="52">
        <f>SUMIFS(Leasing!29:29,Leasing!1:1,FC86)+SUMIFS(Leasing!38:38,Leasing!1:1,FC86)</f>
        <v>1.9084210612973749</v>
      </c>
      <c r="FD88" s="52">
        <f>SUMIFS(Leasing!29:29,Leasing!1:1,FD86)+SUMIFS(Leasing!38:38,Leasing!1:1,FD86)</f>
        <v>1.9084210612973749</v>
      </c>
      <c r="FE88" s="52">
        <f>SUMIFS(Leasing!29:29,Leasing!1:1,FE86)+SUMIFS(Leasing!38:38,Leasing!1:1,FE86)</f>
        <v>1.9084210612973749</v>
      </c>
      <c r="FF88" s="52">
        <f>SUMIFS(Leasing!29:29,Leasing!1:1,FF86)+SUMIFS(Leasing!38:38,Leasing!1:1,FF86)</f>
        <v>1.9084210612973749</v>
      </c>
      <c r="FG88" s="52">
        <f>SUMIFS(Leasing!29:29,Leasing!1:1,FG86)+SUMIFS(Leasing!38:38,Leasing!1:1,FG86)</f>
        <v>1.9084210612973749</v>
      </c>
      <c r="FH88" s="52">
        <f>SUMIFS(Leasing!29:29,Leasing!1:1,FH86)+SUMIFS(Leasing!38:38,Leasing!1:1,FH86)</f>
        <v>1.9084210612973749</v>
      </c>
      <c r="FI88" s="52">
        <f>SUMIFS(Leasing!29:29,Leasing!1:1,FI86)+SUMIFS(Leasing!38:38,Leasing!1:1,FI86)</f>
        <v>1.9084210612973749</v>
      </c>
      <c r="FJ88" s="52">
        <f>SUMIFS(Leasing!29:29,Leasing!1:1,FJ86)+SUMIFS(Leasing!38:38,Leasing!1:1,FJ86)</f>
        <v>1.9084210612973749</v>
      </c>
      <c r="FK88" s="52">
        <f>SUMIFS(Leasing!29:29,Leasing!1:1,FK86)+SUMIFS(Leasing!38:38,Leasing!1:1,FK86)</f>
        <v>1.9084210612973749</v>
      </c>
      <c r="FL88" s="52">
        <f>SUMIFS(Leasing!29:29,Leasing!1:1,FL86)+SUMIFS(Leasing!38:38,Leasing!1:1,FL86)</f>
        <v>1.9084210612973749</v>
      </c>
      <c r="FM88" s="52">
        <f>SUMIFS(Leasing!29:29,Leasing!1:1,FM86)+SUMIFS(Leasing!38:38,Leasing!1:1,FM86)</f>
        <v>1.9084210612973749</v>
      </c>
      <c r="FN88" s="52">
        <f>SUMIFS(Leasing!29:29,Leasing!1:1,FN86)+SUMIFS(Leasing!38:38,Leasing!1:1,FN86)</f>
        <v>1.9084210612973749</v>
      </c>
      <c r="FO88" s="52">
        <f>SUMIFS(Leasing!29:29,Leasing!1:1,FO86)+SUMIFS(Leasing!38:38,Leasing!1:1,FO86)</f>
        <v>2.0038421143622434</v>
      </c>
      <c r="FP88" s="52">
        <f>SUMIFS(Leasing!29:29,Leasing!1:1,FP86)+SUMIFS(Leasing!38:38,Leasing!1:1,FP86)</f>
        <v>2.0038421143622434</v>
      </c>
      <c r="FQ88" s="52">
        <f>SUMIFS(Leasing!29:29,Leasing!1:1,FQ86)+SUMIFS(Leasing!38:38,Leasing!1:1,FQ86)</f>
        <v>2.0038421143622434</v>
      </c>
      <c r="FR88" s="52">
        <f>SUMIFS(Leasing!29:29,Leasing!1:1,FR86)+SUMIFS(Leasing!38:38,Leasing!1:1,FR86)</f>
        <v>2.0038421143622434</v>
      </c>
      <c r="FS88" s="52">
        <f>SUMIFS(Leasing!29:29,Leasing!1:1,FS86)+SUMIFS(Leasing!38:38,Leasing!1:1,FS86)</f>
        <v>2.0038421143622434</v>
      </c>
      <c r="FT88" s="52">
        <f>SUMIFS(Leasing!29:29,Leasing!1:1,FT86)+SUMIFS(Leasing!38:38,Leasing!1:1,FT86)</f>
        <v>2.0038421143622434</v>
      </c>
      <c r="FU88" s="52">
        <f>SUMIFS(Leasing!29:29,Leasing!1:1,FU86)+SUMIFS(Leasing!38:38,Leasing!1:1,FU86)</f>
        <v>2.0038421143622434</v>
      </c>
      <c r="FV88" s="52">
        <f>SUMIFS(Leasing!29:29,Leasing!1:1,FV86)+SUMIFS(Leasing!38:38,Leasing!1:1,FV86)</f>
        <v>2.0038421143622434</v>
      </c>
      <c r="FW88" s="52">
        <f>SUMIFS(Leasing!29:29,Leasing!1:1,FW86)+SUMIFS(Leasing!38:38,Leasing!1:1,FW86)</f>
        <v>2.0038421143622434</v>
      </c>
      <c r="FX88" s="52">
        <f>SUMIFS(Leasing!29:29,Leasing!1:1,FX86)+SUMIFS(Leasing!38:38,Leasing!1:1,FX86)</f>
        <v>2.0038421143622434</v>
      </c>
      <c r="FY88" s="52">
        <f>SUMIFS(Leasing!29:29,Leasing!1:1,FY86)+SUMIFS(Leasing!38:38,Leasing!1:1,FY86)</f>
        <v>2.0038421143622434</v>
      </c>
      <c r="FZ88" s="52">
        <f>SUMIFS(Leasing!29:29,Leasing!1:1,FZ86)+SUMIFS(Leasing!38:38,Leasing!1:1,FZ86)</f>
        <v>2.0038421143622434</v>
      </c>
      <c r="GA88" s="52">
        <f>SUMIFS(Leasing!29:29,Leasing!1:1,GA86)+SUMIFS(Leasing!38:38,Leasing!1:1,GA86)</f>
        <v>2.1040342200803557</v>
      </c>
      <c r="GB88" s="52">
        <f>SUMIFS(Leasing!29:29,Leasing!1:1,GB86)+SUMIFS(Leasing!38:38,Leasing!1:1,GB86)</f>
        <v>2.1040342200803557</v>
      </c>
      <c r="GC88" s="52">
        <f>SUMIFS(Leasing!29:29,Leasing!1:1,GC86)+SUMIFS(Leasing!38:38,Leasing!1:1,GC86)</f>
        <v>2.1040342200803557</v>
      </c>
      <c r="GD88" s="52">
        <f>SUMIFS(Leasing!29:29,Leasing!1:1,GD86)+SUMIFS(Leasing!38:38,Leasing!1:1,GD86)</f>
        <v>2.1040342200803557</v>
      </c>
      <c r="GE88" s="52">
        <f>SUMIFS(Leasing!29:29,Leasing!1:1,GE86)+SUMIFS(Leasing!38:38,Leasing!1:1,GE86)</f>
        <v>2.1040342200803557</v>
      </c>
      <c r="GF88" s="52">
        <f>SUMIFS(Leasing!29:29,Leasing!1:1,GF86)+SUMIFS(Leasing!38:38,Leasing!1:1,GF86)</f>
        <v>2.1040342200803557</v>
      </c>
      <c r="GG88" s="52">
        <f>SUMIFS(Leasing!29:29,Leasing!1:1,GG86)+SUMIFS(Leasing!38:38,Leasing!1:1,GG86)</f>
        <v>2.1040342200803557</v>
      </c>
      <c r="GH88" s="52">
        <f>SUMIFS(Leasing!29:29,Leasing!1:1,GH86)+SUMIFS(Leasing!38:38,Leasing!1:1,GH86)</f>
        <v>2.1040342200803557</v>
      </c>
      <c r="GI88" s="52">
        <f>SUMIFS(Leasing!29:29,Leasing!1:1,GI86)+SUMIFS(Leasing!38:38,Leasing!1:1,GI86)</f>
        <v>2.1040342200803557</v>
      </c>
      <c r="GJ88" s="52">
        <f>SUMIFS(Leasing!29:29,Leasing!1:1,GJ86)+SUMIFS(Leasing!38:38,Leasing!1:1,GJ86)</f>
        <v>2.1040342200803557</v>
      </c>
      <c r="GK88" s="52">
        <f>SUMIFS(Leasing!29:29,Leasing!1:1,GK86)+SUMIFS(Leasing!38:38,Leasing!1:1,GK86)</f>
        <v>2.1040342200803557</v>
      </c>
      <c r="GL88" s="52">
        <f>SUMIFS(Leasing!29:29,Leasing!1:1,GL86)+SUMIFS(Leasing!38:38,Leasing!1:1,GL86)</f>
        <v>2.1040342200803557</v>
      </c>
      <c r="GM88" s="52">
        <f>SUMIFS(Leasing!29:29,Leasing!1:1,GM86)+SUMIFS(Leasing!38:38,Leasing!1:1,GM86)</f>
        <v>2.2092359310843737</v>
      </c>
      <c r="GN88" s="52">
        <f>SUMIFS(Leasing!29:29,Leasing!1:1,GN86)+SUMIFS(Leasing!38:38,Leasing!1:1,GN86)</f>
        <v>2.2092359310843737</v>
      </c>
      <c r="GO88" s="52">
        <f>SUMIFS(Leasing!29:29,Leasing!1:1,GO86)+SUMIFS(Leasing!38:38,Leasing!1:1,GO86)</f>
        <v>2.2092359310843737</v>
      </c>
      <c r="GP88" s="52">
        <f>SUMIFS(Leasing!29:29,Leasing!1:1,GP86)+SUMIFS(Leasing!38:38,Leasing!1:1,GP86)</f>
        <v>2.2092359310843737</v>
      </c>
      <c r="GQ88" s="52">
        <f>SUMIFS(Leasing!29:29,Leasing!1:1,GQ86)+SUMIFS(Leasing!38:38,Leasing!1:1,GQ86)</f>
        <v>2.2092359310843737</v>
      </c>
      <c r="GR88" s="52">
        <f>SUMIFS(Leasing!29:29,Leasing!1:1,GR86)+SUMIFS(Leasing!38:38,Leasing!1:1,GR86)</f>
        <v>2.2092359310843737</v>
      </c>
      <c r="GS88" s="52">
        <f>SUMIFS(Leasing!29:29,Leasing!1:1,GS86)+SUMIFS(Leasing!38:38,Leasing!1:1,GS86)</f>
        <v>2.2092359310843737</v>
      </c>
      <c r="GT88" s="52">
        <f>SUMIFS(Leasing!29:29,Leasing!1:1,GT86)+SUMIFS(Leasing!38:38,Leasing!1:1,GT86)</f>
        <v>2.2092359310843737</v>
      </c>
      <c r="GU88" s="52">
        <f>SUMIFS(Leasing!29:29,Leasing!1:1,GU86)+SUMIFS(Leasing!38:38,Leasing!1:1,GU86)</f>
        <v>2.2092359310843737</v>
      </c>
      <c r="GV88" s="52">
        <f>SUMIFS(Leasing!29:29,Leasing!1:1,GV86)+SUMIFS(Leasing!38:38,Leasing!1:1,GV86)</f>
        <v>2.2092359310843737</v>
      </c>
      <c r="GW88" s="52">
        <f>SUMIFS(Leasing!29:29,Leasing!1:1,GW86)+SUMIFS(Leasing!38:38,Leasing!1:1,GW86)</f>
        <v>2.2092359310843737</v>
      </c>
      <c r="GX88" s="52">
        <f>SUMIFS(Leasing!29:29,Leasing!1:1,GX86)+SUMIFS(Leasing!38:38,Leasing!1:1,GX86)</f>
        <v>2.2092359310843737</v>
      </c>
      <c r="GY88" s="52">
        <f>SUMIFS(Leasing!29:29,Leasing!1:1,GY86)+SUMIFS(Leasing!38:38,Leasing!1:1,GY86)</f>
        <v>2.3196977276385926</v>
      </c>
      <c r="GZ88" s="52">
        <f>SUMIFS(Leasing!29:29,Leasing!1:1,GZ86)+SUMIFS(Leasing!38:38,Leasing!1:1,GZ86)</f>
        <v>2.3196977276385926</v>
      </c>
      <c r="HA88" s="52">
        <f>SUMIFS(Leasing!29:29,Leasing!1:1,HA86)+SUMIFS(Leasing!38:38,Leasing!1:1,HA86)</f>
        <v>2.3196977276385926</v>
      </c>
      <c r="HB88" s="52">
        <f>SUMIFS(Leasing!29:29,Leasing!1:1,HB86)+SUMIFS(Leasing!38:38,Leasing!1:1,HB86)</f>
        <v>2.3196977276385926</v>
      </c>
      <c r="HC88" s="52">
        <f>SUMIFS(Leasing!29:29,Leasing!1:1,HC86)+SUMIFS(Leasing!38:38,Leasing!1:1,HC86)</f>
        <v>2.3196977276385926</v>
      </c>
      <c r="HD88" s="52">
        <f>SUMIFS(Leasing!29:29,Leasing!1:1,HD86)+SUMIFS(Leasing!38:38,Leasing!1:1,HD86)</f>
        <v>2.3196977276385926</v>
      </c>
      <c r="HE88" s="52">
        <f>SUMIFS(Leasing!29:29,Leasing!1:1,HE86)+SUMIFS(Leasing!38:38,Leasing!1:1,HE86)</f>
        <v>2.3196977276385926</v>
      </c>
      <c r="HF88" s="52">
        <f>SUMIFS(Leasing!29:29,Leasing!1:1,HF86)+SUMIFS(Leasing!38:38,Leasing!1:1,HF86)</f>
        <v>2.3196977276385926</v>
      </c>
      <c r="HG88" s="52">
        <f>SUMIFS(Leasing!29:29,Leasing!1:1,HG86)+SUMIFS(Leasing!38:38,Leasing!1:1,HG86)</f>
        <v>2.3196977276385926</v>
      </c>
      <c r="HH88" s="52">
        <f>SUMIFS(Leasing!29:29,Leasing!1:1,HH86)+SUMIFS(Leasing!38:38,Leasing!1:1,HH86)</f>
        <v>2.3196977276385926</v>
      </c>
      <c r="HI88" s="52">
        <f>SUMIFS(Leasing!29:29,Leasing!1:1,HI86)+SUMIFS(Leasing!38:38,Leasing!1:1,HI86)</f>
        <v>2.3196977276385926</v>
      </c>
      <c r="HJ88" s="52">
        <f>SUMIFS(Leasing!29:29,Leasing!1:1,HJ86)+SUMIFS(Leasing!38:38,Leasing!1:1,HJ86)</f>
        <v>2.3196977276385926</v>
      </c>
      <c r="HK88" s="52">
        <f>SUMIFS(Leasing!29:29,Leasing!1:1,HK86)+SUMIFS(Leasing!38:38,Leasing!1:1,HK86)</f>
        <v>2.4356826140205219</v>
      </c>
      <c r="HL88" s="52">
        <f>SUMIFS(Leasing!29:29,Leasing!1:1,HL86)+SUMIFS(Leasing!38:38,Leasing!1:1,HL86)</f>
        <v>2.4356826140205219</v>
      </c>
      <c r="HM88" s="52">
        <f>SUMIFS(Leasing!29:29,Leasing!1:1,HM86)+SUMIFS(Leasing!38:38,Leasing!1:1,HM86)</f>
        <v>2.4356826140205219</v>
      </c>
      <c r="HN88" s="52">
        <f>SUMIFS(Leasing!29:29,Leasing!1:1,HN86)+SUMIFS(Leasing!38:38,Leasing!1:1,HN86)</f>
        <v>2.4356826140205219</v>
      </c>
      <c r="HO88" s="52">
        <f>SUMIFS(Leasing!29:29,Leasing!1:1,HO86)+SUMIFS(Leasing!38:38,Leasing!1:1,HO86)</f>
        <v>2.4356826140205219</v>
      </c>
      <c r="HP88" s="52">
        <f>SUMIFS(Leasing!29:29,Leasing!1:1,HP86)+SUMIFS(Leasing!38:38,Leasing!1:1,HP86)</f>
        <v>2.4356826140205219</v>
      </c>
      <c r="HQ88" s="52">
        <f>SUMIFS(Leasing!29:29,Leasing!1:1,HQ86)+SUMIFS(Leasing!38:38,Leasing!1:1,HQ86)</f>
        <v>2.4356826140205219</v>
      </c>
      <c r="HR88" s="52">
        <f>SUMIFS(Leasing!29:29,Leasing!1:1,HR86)+SUMIFS(Leasing!38:38,Leasing!1:1,HR86)</f>
        <v>2.4356826140205219</v>
      </c>
      <c r="HS88" s="52">
        <f>SUMIFS(Leasing!29:29,Leasing!1:1,HS86)+SUMIFS(Leasing!38:38,Leasing!1:1,HS86)</f>
        <v>2.4356826140205219</v>
      </c>
      <c r="HT88" s="52">
        <f>SUMIFS(Leasing!29:29,Leasing!1:1,HT86)+SUMIFS(Leasing!38:38,Leasing!1:1,HT86)</f>
        <v>2.4356826140205219</v>
      </c>
      <c r="HU88" s="52">
        <f>SUMIFS(Leasing!29:29,Leasing!1:1,HU86)+SUMIFS(Leasing!38:38,Leasing!1:1,HU86)</f>
        <v>2.4356826140205219</v>
      </c>
      <c r="HV88" s="52">
        <f>SUMIFS(Leasing!29:29,Leasing!1:1,HV86)+SUMIFS(Leasing!38:38,Leasing!1:1,HV86)</f>
        <v>2.4356826140205219</v>
      </c>
      <c r="HW88" s="52">
        <f>SUMIFS(Leasing!29:29,Leasing!1:1,HW86)+SUMIFS(Leasing!38:38,Leasing!1:1,HW86)</f>
        <v>2.5574667447215482</v>
      </c>
      <c r="HX88" s="52">
        <f>SUMIFS(Leasing!29:29,Leasing!1:1,HX86)+SUMIFS(Leasing!38:38,Leasing!1:1,HX86)</f>
        <v>2.5574667447215482</v>
      </c>
      <c r="HY88" s="52">
        <f>SUMIFS(Leasing!29:29,Leasing!1:1,HY86)+SUMIFS(Leasing!38:38,Leasing!1:1,HY86)</f>
        <v>2.5574667447215482</v>
      </c>
      <c r="HZ88" s="52">
        <f>SUMIFS(Leasing!29:29,Leasing!1:1,HZ86)+SUMIFS(Leasing!38:38,Leasing!1:1,HZ86)</f>
        <v>2.5574667447215482</v>
      </c>
      <c r="IA88" s="52">
        <f>SUMIFS(Leasing!29:29,Leasing!1:1,IA86)+SUMIFS(Leasing!38:38,Leasing!1:1,IA86)</f>
        <v>2.5574667447215482</v>
      </c>
      <c r="IB88" s="52">
        <f>SUMIFS(Leasing!29:29,Leasing!1:1,IB86)+SUMIFS(Leasing!38:38,Leasing!1:1,IB86)</f>
        <v>2.5574667447215482</v>
      </c>
      <c r="IC88" s="52">
        <f>SUMIFS(Leasing!29:29,Leasing!1:1,IC86)+SUMIFS(Leasing!38:38,Leasing!1:1,IC86)</f>
        <v>2.5574667447215482</v>
      </c>
      <c r="ID88" s="52">
        <f>SUMIFS(Leasing!29:29,Leasing!1:1,ID86)+SUMIFS(Leasing!38:38,Leasing!1:1,ID86)</f>
        <v>2.5574667447215482</v>
      </c>
      <c r="IE88" s="52">
        <f>SUMIFS(Leasing!29:29,Leasing!1:1,IE86)+SUMIFS(Leasing!38:38,Leasing!1:1,IE86)</f>
        <v>2.5574667447215482</v>
      </c>
      <c r="IF88" s="52">
        <f>SUMIFS(Leasing!29:29,Leasing!1:1,IF86)+SUMIFS(Leasing!38:38,Leasing!1:1,IF86)</f>
        <v>2.5574667447215482</v>
      </c>
      <c r="IG88" s="52">
        <f>SUMIFS(Leasing!29:29,Leasing!1:1,IG86)+SUMIFS(Leasing!38:38,Leasing!1:1,IG86)</f>
        <v>2.5574667447215482</v>
      </c>
      <c r="IH88" s="52">
        <f>SUMIFS(Leasing!29:29,Leasing!1:1,IH86)+SUMIFS(Leasing!38:38,Leasing!1:1,IH86)</f>
        <v>2.5574667447215482</v>
      </c>
      <c r="II88" s="52">
        <f>SUMIFS(Leasing!29:29,Leasing!1:1,II86)+SUMIFS(Leasing!38:38,Leasing!1:1,II86)</f>
        <v>2.6853400819576261</v>
      </c>
      <c r="IJ88" s="52">
        <f>SUMIFS(Leasing!29:29,Leasing!1:1,IJ86)+SUMIFS(Leasing!38:38,Leasing!1:1,IJ86)</f>
        <v>2.6853400819576261</v>
      </c>
      <c r="IK88" s="52">
        <f>SUMIFS(Leasing!29:29,Leasing!1:1,IK86)+SUMIFS(Leasing!38:38,Leasing!1:1,IK86)</f>
        <v>2.6853400819576261</v>
      </c>
      <c r="IL88" s="52">
        <f>SUMIFS(Leasing!29:29,Leasing!1:1,IL86)+SUMIFS(Leasing!38:38,Leasing!1:1,IL86)</f>
        <v>2.6853400819576261</v>
      </c>
      <c r="IM88" s="52">
        <f>SUMIFS(Leasing!29:29,Leasing!1:1,IM86)+SUMIFS(Leasing!38:38,Leasing!1:1,IM86)</f>
        <v>2.6853400819576261</v>
      </c>
      <c r="IN88" s="52">
        <f>SUMIFS(Leasing!29:29,Leasing!1:1,IN86)+SUMIFS(Leasing!38:38,Leasing!1:1,IN86)</f>
        <v>2.6853400819576261</v>
      </c>
      <c r="IO88" s="52">
        <f>SUMIFS(Leasing!29:29,Leasing!1:1,IO86)+SUMIFS(Leasing!38:38,Leasing!1:1,IO86)</f>
        <v>0.12489953869570353</v>
      </c>
      <c r="IP88" s="52">
        <f>SUMIFS(Leasing!29:29,Leasing!1:1,IP86)+SUMIFS(Leasing!38:38,Leasing!1:1,IP86)</f>
        <v>0.12489953869570353</v>
      </c>
      <c r="IQ88" s="52">
        <f>SUMIFS(Leasing!29:29,Leasing!1:1,IQ86)+SUMIFS(Leasing!38:38,Leasing!1:1,IQ86)</f>
        <v>0.12489953869570353</v>
      </c>
      <c r="IR88" s="52">
        <f>SUMIFS(Leasing!29:29,Leasing!1:1,IR86)+SUMIFS(Leasing!38:38,Leasing!1:1,IR86)</f>
        <v>0.12489953869570353</v>
      </c>
      <c r="IS88" s="52">
        <f>SUMIFS(Leasing!29:29,Leasing!1:1,IS86)+SUMIFS(Leasing!38:38,Leasing!1:1,IS86)</f>
        <v>0.12489953869570353</v>
      </c>
      <c r="IT88" s="52">
        <f>SUMIFS(Leasing!29:29,Leasing!1:1,IT86)+SUMIFS(Leasing!38:38,Leasing!1:1,IT86)</f>
        <v>0.12489953869570353</v>
      </c>
      <c r="IU88" s="52">
        <f>SUMIFS(Leasing!29:29,Leasing!1:1,IU86)+SUMIFS(Leasing!38:38,Leasing!1:1,IU86)</f>
        <v>0.13114451563048871</v>
      </c>
      <c r="IV88" s="52">
        <f>SUMIFS(Leasing!29:29,Leasing!1:1,IV86)+SUMIFS(Leasing!38:38,Leasing!1:1,IV86)</f>
        <v>0.13114451563048871</v>
      </c>
      <c r="IW88" s="52">
        <f>SUMIFS(Leasing!29:29,Leasing!1:1,IW86)+SUMIFS(Leasing!38:38,Leasing!1:1,IW86)</f>
        <v>0.13114451563048871</v>
      </c>
      <c r="IX88" s="52">
        <f>SUMIFS(Leasing!29:29,Leasing!1:1,IX86)+SUMIFS(Leasing!38:38,Leasing!1:1,IX86)</f>
        <v>0.13114451563048871</v>
      </c>
      <c r="IY88" s="52">
        <f>SUMIFS(Leasing!29:29,Leasing!1:1,IY86)+SUMIFS(Leasing!38:38,Leasing!1:1,IY86)</f>
        <v>0.13114451563048871</v>
      </c>
      <c r="IZ88" s="52">
        <f>SUMIFS(Leasing!29:29,Leasing!1:1,IZ86)+SUMIFS(Leasing!38:38,Leasing!1:1,IZ86)</f>
        <v>0.13114451563048871</v>
      </c>
      <c r="JA88" s="52">
        <f>SUMIFS(Leasing!29:29,Leasing!1:1,JA86)+SUMIFS(Leasing!38:38,Leasing!1:1,JA86)</f>
        <v>0.13114451563048871</v>
      </c>
      <c r="JB88" s="52">
        <f>SUMIFS(Leasing!29:29,Leasing!1:1,JB86)+SUMIFS(Leasing!38:38,Leasing!1:1,JB86)</f>
        <v>0.13114451563048871</v>
      </c>
      <c r="JC88" s="52">
        <f>SUMIFS(Leasing!29:29,Leasing!1:1,JC86)+SUMIFS(Leasing!38:38,Leasing!1:1,JC86)</f>
        <v>0.13114451563048871</v>
      </c>
      <c r="JD88" s="52">
        <f>SUMIFS(Leasing!29:29,Leasing!1:1,JD86)+SUMIFS(Leasing!38:38,Leasing!1:1,JD86)</f>
        <v>0.13114451563048871</v>
      </c>
      <c r="JE88" s="52">
        <f>SUMIFS(Leasing!29:29,Leasing!1:1,JE86)+SUMIFS(Leasing!38:38,Leasing!1:1,JE86)</f>
        <v>0.13114451563048871</v>
      </c>
      <c r="JF88" s="52">
        <f>SUMIFS(Leasing!29:29,Leasing!1:1,JF86)+SUMIFS(Leasing!38:38,Leasing!1:1,JF86)</f>
        <v>0.13114451563048871</v>
      </c>
      <c r="JG88" s="52">
        <f>SUMIFS(Leasing!29:29,Leasing!1:1,JG86)+SUMIFS(Leasing!38:38,Leasing!1:1,JG86)</f>
        <v>0.13770174141201316</v>
      </c>
      <c r="JH88" s="52">
        <f>SUMIFS(Leasing!29:29,Leasing!1:1,JH86)+SUMIFS(Leasing!38:38,Leasing!1:1,JH86)</f>
        <v>0.13770174141201316</v>
      </c>
      <c r="JI88" s="244">
        <f>SUMIFS(Leasing!29:29,Leasing!1:1,JI86)+SUMIFS(Leasing!38:38,Leasing!1:1,JI86)</f>
        <v>0.13770174141201316</v>
      </c>
      <c r="JJ88" s="539">
        <f>SUM(C88:JI88)</f>
        <v>408.28663522910955</v>
      </c>
      <c r="JK88" s="52"/>
      <c r="JL88" s="52"/>
      <c r="JM88" s="52"/>
      <c r="JN88" s="52"/>
      <c r="JO88" s="52"/>
    </row>
    <row r="89" spans="2:277" x14ac:dyDescent="0.3">
      <c r="B89" s="169" t="s">
        <v>326</v>
      </c>
      <c r="C89" s="52">
        <f>C88*$C$14</f>
        <v>0</v>
      </c>
      <c r="D89" s="52">
        <f t="shared" ref="D89:BO89" si="81">D88*$C$14</f>
        <v>0</v>
      </c>
      <c r="E89" s="52">
        <f t="shared" si="81"/>
        <v>0</v>
      </c>
      <c r="F89" s="52">
        <f t="shared" si="81"/>
        <v>0</v>
      </c>
      <c r="G89" s="52">
        <f t="shared" si="81"/>
        <v>0</v>
      </c>
      <c r="H89" s="52">
        <f t="shared" si="81"/>
        <v>0</v>
      </c>
      <c r="I89" s="52">
        <f t="shared" si="81"/>
        <v>0</v>
      </c>
      <c r="J89" s="52">
        <f t="shared" si="81"/>
        <v>0</v>
      </c>
      <c r="K89" s="52">
        <f t="shared" si="81"/>
        <v>0</v>
      </c>
      <c r="L89" s="52">
        <f t="shared" si="81"/>
        <v>0</v>
      </c>
      <c r="M89" s="52">
        <f t="shared" si="81"/>
        <v>0</v>
      </c>
      <c r="N89" s="52">
        <f t="shared" si="81"/>
        <v>0</v>
      </c>
      <c r="O89" s="52">
        <f t="shared" si="81"/>
        <v>5.3134012828425385E-2</v>
      </c>
      <c r="P89" s="52">
        <f t="shared" si="81"/>
        <v>5.3134012828425385E-2</v>
      </c>
      <c r="Q89" s="52">
        <f t="shared" si="81"/>
        <v>5.3134012828425385E-2</v>
      </c>
      <c r="R89" s="52">
        <f t="shared" si="81"/>
        <v>5.3134012828425385E-2</v>
      </c>
      <c r="S89" s="52">
        <f t="shared" si="81"/>
        <v>5.3134012828425385E-2</v>
      </c>
      <c r="T89" s="52">
        <f t="shared" si="81"/>
        <v>5.3134012828425385E-2</v>
      </c>
      <c r="U89" s="52">
        <f t="shared" si="81"/>
        <v>5.3134012828425385E-2</v>
      </c>
      <c r="V89" s="52">
        <f t="shared" si="81"/>
        <v>5.3134012828425385E-2</v>
      </c>
      <c r="W89" s="52">
        <f t="shared" si="81"/>
        <v>5.3134012828425385E-2</v>
      </c>
      <c r="X89" s="52">
        <f t="shared" si="81"/>
        <v>5.3134012828425385E-2</v>
      </c>
      <c r="Y89" s="52">
        <f t="shared" si="81"/>
        <v>5.3134012828425385E-2</v>
      </c>
      <c r="Z89" s="52">
        <f t="shared" si="81"/>
        <v>5.3134012828425385E-2</v>
      </c>
      <c r="AA89" s="52">
        <f t="shared" si="81"/>
        <v>5.5790713469846646E-2</v>
      </c>
      <c r="AB89" s="52">
        <f t="shared" si="81"/>
        <v>5.5790713469846646E-2</v>
      </c>
      <c r="AC89" s="52">
        <f t="shared" si="81"/>
        <v>5.5790713469846646E-2</v>
      </c>
      <c r="AD89" s="52">
        <f t="shared" si="81"/>
        <v>5.5790713469846646E-2</v>
      </c>
      <c r="AE89" s="52">
        <f t="shared" si="81"/>
        <v>5.5790713469846646E-2</v>
      </c>
      <c r="AF89" s="52">
        <f t="shared" si="81"/>
        <v>5.5790713469846646E-2</v>
      </c>
      <c r="AG89" s="52">
        <f t="shared" si="81"/>
        <v>5.5790713469846646E-2</v>
      </c>
      <c r="AH89" s="52">
        <f t="shared" si="81"/>
        <v>5.5790713469846646E-2</v>
      </c>
      <c r="AI89" s="52">
        <f t="shared" si="81"/>
        <v>5.5790713469846646E-2</v>
      </c>
      <c r="AJ89" s="52">
        <f t="shared" si="81"/>
        <v>5.5790713469846646E-2</v>
      </c>
      <c r="AK89" s="52">
        <f t="shared" si="81"/>
        <v>5.5790713469846646E-2</v>
      </c>
      <c r="AL89" s="52">
        <f t="shared" si="81"/>
        <v>5.5790713469846646E-2</v>
      </c>
      <c r="AM89" s="52">
        <f t="shared" si="81"/>
        <v>5.858024914333898E-2</v>
      </c>
      <c r="AN89" s="52">
        <f t="shared" si="81"/>
        <v>5.858024914333898E-2</v>
      </c>
      <c r="AO89" s="52">
        <f t="shared" si="81"/>
        <v>5.858024914333898E-2</v>
      </c>
      <c r="AP89" s="52">
        <f t="shared" si="81"/>
        <v>5.858024914333898E-2</v>
      </c>
      <c r="AQ89" s="52">
        <f t="shared" si="81"/>
        <v>5.858024914333898E-2</v>
      </c>
      <c r="AR89" s="52">
        <f t="shared" si="81"/>
        <v>5.858024914333898E-2</v>
      </c>
      <c r="AS89" s="52">
        <f t="shared" si="81"/>
        <v>5.858024914333898E-2</v>
      </c>
      <c r="AT89" s="52">
        <f t="shared" si="81"/>
        <v>5.858024914333898E-2</v>
      </c>
      <c r="AU89" s="52">
        <f t="shared" si="81"/>
        <v>5.858024914333898E-2</v>
      </c>
      <c r="AV89" s="52">
        <f t="shared" si="81"/>
        <v>5.858024914333898E-2</v>
      </c>
      <c r="AW89" s="52">
        <f t="shared" si="81"/>
        <v>5.858024914333898E-2</v>
      </c>
      <c r="AX89" s="52">
        <f t="shared" si="81"/>
        <v>5.858024914333898E-2</v>
      </c>
      <c r="AY89" s="52">
        <f t="shared" si="81"/>
        <v>6.1509261600505932E-2</v>
      </c>
      <c r="AZ89" s="52">
        <f t="shared" si="81"/>
        <v>6.1509261600505932E-2</v>
      </c>
      <c r="BA89" s="52">
        <f t="shared" si="81"/>
        <v>6.1509261600505932E-2</v>
      </c>
      <c r="BB89" s="52">
        <f t="shared" si="81"/>
        <v>6.1509261600505932E-2</v>
      </c>
      <c r="BC89" s="52">
        <f t="shared" si="81"/>
        <v>6.1509261600505932E-2</v>
      </c>
      <c r="BD89" s="52">
        <f t="shared" si="81"/>
        <v>6.1509261600505932E-2</v>
      </c>
      <c r="BE89" s="52">
        <f t="shared" si="81"/>
        <v>6.1509261600505932E-2</v>
      </c>
      <c r="BF89" s="52">
        <f t="shared" si="81"/>
        <v>6.1509261600505932E-2</v>
      </c>
      <c r="BG89" s="52">
        <f t="shared" si="81"/>
        <v>6.1509261600505932E-2</v>
      </c>
      <c r="BH89" s="52">
        <f t="shared" si="81"/>
        <v>6.1509261600505932E-2</v>
      </c>
      <c r="BI89" s="52">
        <f t="shared" si="81"/>
        <v>6.1509261600505932E-2</v>
      </c>
      <c r="BJ89" s="52">
        <f t="shared" si="81"/>
        <v>6.1509261600505932E-2</v>
      </c>
      <c r="BK89" s="52">
        <f t="shared" si="81"/>
        <v>6.4584724680531239E-2</v>
      </c>
      <c r="BL89" s="52">
        <f t="shared" si="81"/>
        <v>6.4584724680531239E-2</v>
      </c>
      <c r="BM89" s="52">
        <f t="shared" si="81"/>
        <v>6.4584724680531239E-2</v>
      </c>
      <c r="BN89" s="52">
        <f t="shared" si="81"/>
        <v>6.4584724680531239E-2</v>
      </c>
      <c r="BO89" s="52">
        <f t="shared" si="81"/>
        <v>6.4584724680531239E-2</v>
      </c>
      <c r="BP89" s="52">
        <f t="shared" ref="BP89:EA89" si="82">BP88*$C$14</f>
        <v>6.4584724680531239E-2</v>
      </c>
      <c r="BQ89" s="52">
        <f t="shared" si="82"/>
        <v>6.4584724680531239E-2</v>
      </c>
      <c r="BR89" s="52">
        <f t="shared" si="82"/>
        <v>6.4584724680531239E-2</v>
      </c>
      <c r="BS89" s="52">
        <f t="shared" si="82"/>
        <v>6.4584724680531239E-2</v>
      </c>
      <c r="BT89" s="52">
        <f t="shared" si="82"/>
        <v>6.4584724680531239E-2</v>
      </c>
      <c r="BU89" s="52">
        <f t="shared" si="82"/>
        <v>6.4584724680531239E-2</v>
      </c>
      <c r="BV89" s="52">
        <f t="shared" si="82"/>
        <v>6.4584724680531239E-2</v>
      </c>
      <c r="BW89" s="52">
        <f t="shared" si="82"/>
        <v>6.7813960914557797E-2</v>
      </c>
      <c r="BX89" s="52">
        <f t="shared" si="82"/>
        <v>6.7813960914557797E-2</v>
      </c>
      <c r="BY89" s="52">
        <f t="shared" si="82"/>
        <v>6.7813960914557797E-2</v>
      </c>
      <c r="BZ89" s="52">
        <f t="shared" si="82"/>
        <v>6.7813960914557797E-2</v>
      </c>
      <c r="CA89" s="52">
        <f t="shared" si="82"/>
        <v>6.7813960914557797E-2</v>
      </c>
      <c r="CB89" s="52">
        <f t="shared" si="82"/>
        <v>6.7813960914557797E-2</v>
      </c>
      <c r="CC89" s="52">
        <f t="shared" si="82"/>
        <v>6.7813960914557797E-2</v>
      </c>
      <c r="CD89" s="52">
        <f t="shared" si="82"/>
        <v>6.7813960914557797E-2</v>
      </c>
      <c r="CE89" s="52">
        <f t="shared" si="82"/>
        <v>6.7813960914557797E-2</v>
      </c>
      <c r="CF89" s="52">
        <f t="shared" si="82"/>
        <v>6.7813960914557797E-2</v>
      </c>
      <c r="CG89" s="52">
        <f t="shared" si="82"/>
        <v>6.7813960914557797E-2</v>
      </c>
      <c r="CH89" s="52">
        <f t="shared" si="82"/>
        <v>6.7813960914557797E-2</v>
      </c>
      <c r="CI89" s="52">
        <f t="shared" si="82"/>
        <v>7.1204658960285688E-2</v>
      </c>
      <c r="CJ89" s="52">
        <f t="shared" si="82"/>
        <v>7.1204658960285688E-2</v>
      </c>
      <c r="CK89" s="52">
        <f t="shared" si="82"/>
        <v>7.1204658960285688E-2</v>
      </c>
      <c r="CL89" s="52">
        <f t="shared" si="82"/>
        <v>7.1204658960285688E-2</v>
      </c>
      <c r="CM89" s="52">
        <f t="shared" si="82"/>
        <v>7.1204658960285688E-2</v>
      </c>
      <c r="CN89" s="52">
        <f t="shared" si="82"/>
        <v>7.1204658960285688E-2</v>
      </c>
      <c r="CO89" s="52">
        <f t="shared" si="82"/>
        <v>7.1204658960285688E-2</v>
      </c>
      <c r="CP89" s="52">
        <f t="shared" si="82"/>
        <v>7.1204658960285688E-2</v>
      </c>
      <c r="CQ89" s="52">
        <f t="shared" si="82"/>
        <v>7.1204658960285688E-2</v>
      </c>
      <c r="CR89" s="52">
        <f t="shared" si="82"/>
        <v>7.1204658960285688E-2</v>
      </c>
      <c r="CS89" s="52">
        <f t="shared" si="82"/>
        <v>7.1204658960285688E-2</v>
      </c>
      <c r="CT89" s="52">
        <f t="shared" si="82"/>
        <v>7.1204658960285688E-2</v>
      </c>
      <c r="CU89" s="52">
        <f t="shared" si="82"/>
        <v>7.4764891908299977E-2</v>
      </c>
      <c r="CV89" s="52">
        <f t="shared" si="82"/>
        <v>7.4764891908299977E-2</v>
      </c>
      <c r="CW89" s="52">
        <f t="shared" si="82"/>
        <v>7.4764891908299977E-2</v>
      </c>
      <c r="CX89" s="52">
        <f t="shared" si="82"/>
        <v>7.4764891908299977E-2</v>
      </c>
      <c r="CY89" s="52">
        <f t="shared" si="82"/>
        <v>7.4764891908299977E-2</v>
      </c>
      <c r="CZ89" s="52">
        <f t="shared" si="82"/>
        <v>7.4764891908299977E-2</v>
      </c>
      <c r="DA89" s="52">
        <f t="shared" si="82"/>
        <v>7.4764891908299977E-2</v>
      </c>
      <c r="DB89" s="52">
        <f t="shared" si="82"/>
        <v>7.4764891908299977E-2</v>
      </c>
      <c r="DC89" s="52">
        <f t="shared" si="82"/>
        <v>7.4764891908299977E-2</v>
      </c>
      <c r="DD89" s="52">
        <f t="shared" si="82"/>
        <v>7.4764891908299977E-2</v>
      </c>
      <c r="DE89" s="52">
        <f t="shared" si="82"/>
        <v>7.4764891908299977E-2</v>
      </c>
      <c r="DF89" s="52">
        <f t="shared" si="82"/>
        <v>7.4764891908299977E-2</v>
      </c>
      <c r="DG89" s="52">
        <f t="shared" si="82"/>
        <v>7.8503136503714974E-2</v>
      </c>
      <c r="DH89" s="52">
        <f t="shared" si="82"/>
        <v>7.8503136503714974E-2</v>
      </c>
      <c r="DI89" s="52">
        <f t="shared" si="82"/>
        <v>7.8503136503714974E-2</v>
      </c>
      <c r="DJ89" s="52">
        <f t="shared" si="82"/>
        <v>7.8503136503714974E-2</v>
      </c>
      <c r="DK89" s="52">
        <f t="shared" si="82"/>
        <v>7.8503136503714974E-2</v>
      </c>
      <c r="DL89" s="52">
        <f t="shared" si="82"/>
        <v>7.8503136503714974E-2</v>
      </c>
      <c r="DM89" s="52">
        <f t="shared" si="82"/>
        <v>7.8503136503714974E-2</v>
      </c>
      <c r="DN89" s="52">
        <f t="shared" si="82"/>
        <v>7.8503136503714974E-2</v>
      </c>
      <c r="DO89" s="52">
        <f t="shared" si="82"/>
        <v>7.8503136503714974E-2</v>
      </c>
      <c r="DP89" s="52">
        <f t="shared" si="82"/>
        <v>7.8503136503714974E-2</v>
      </c>
      <c r="DQ89" s="52">
        <f t="shared" si="82"/>
        <v>7.8503136503714974E-2</v>
      </c>
      <c r="DR89" s="52">
        <f t="shared" si="82"/>
        <v>7.8503136503714974E-2</v>
      </c>
      <c r="DS89" s="52">
        <f t="shared" si="82"/>
        <v>8.242829332890074E-2</v>
      </c>
      <c r="DT89" s="52">
        <f t="shared" si="82"/>
        <v>8.242829332890074E-2</v>
      </c>
      <c r="DU89" s="52">
        <f t="shared" si="82"/>
        <v>8.242829332890074E-2</v>
      </c>
      <c r="DV89" s="52">
        <f t="shared" si="82"/>
        <v>8.242829332890074E-2</v>
      </c>
      <c r="DW89" s="52">
        <f t="shared" si="82"/>
        <v>8.242829332890074E-2</v>
      </c>
      <c r="DX89" s="52">
        <f t="shared" si="82"/>
        <v>8.242829332890074E-2</v>
      </c>
      <c r="DY89" s="52">
        <f t="shared" si="82"/>
        <v>8.242829332890074E-2</v>
      </c>
      <c r="DZ89" s="52">
        <f t="shared" si="82"/>
        <v>8.242829332890074E-2</v>
      </c>
      <c r="EA89" s="52">
        <f t="shared" si="82"/>
        <v>8.242829332890074E-2</v>
      </c>
      <c r="EB89" s="52">
        <f t="shared" ref="EB89:GM89" si="83">EB88*$C$14</f>
        <v>8.242829332890074E-2</v>
      </c>
      <c r="EC89" s="52">
        <f t="shared" si="83"/>
        <v>8.242829332890074E-2</v>
      </c>
      <c r="ED89" s="52">
        <f t="shared" si="83"/>
        <v>8.242829332890074E-2</v>
      </c>
      <c r="EE89" s="52">
        <f t="shared" si="83"/>
        <v>8.6549707995345782E-2</v>
      </c>
      <c r="EF89" s="52">
        <f t="shared" si="83"/>
        <v>8.6549707995345782E-2</v>
      </c>
      <c r="EG89" s="52">
        <f t="shared" si="83"/>
        <v>8.6549707995345782E-2</v>
      </c>
      <c r="EH89" s="52">
        <f t="shared" si="83"/>
        <v>8.6549707995345782E-2</v>
      </c>
      <c r="EI89" s="52">
        <f t="shared" si="83"/>
        <v>8.6549707995345782E-2</v>
      </c>
      <c r="EJ89" s="52">
        <f t="shared" si="83"/>
        <v>8.6549707995345782E-2</v>
      </c>
      <c r="EK89" s="52">
        <f t="shared" si="83"/>
        <v>8.6549707995345782E-2</v>
      </c>
      <c r="EL89" s="52">
        <f t="shared" si="83"/>
        <v>8.6549707995345782E-2</v>
      </c>
      <c r="EM89" s="52">
        <f t="shared" si="83"/>
        <v>8.6549707995345782E-2</v>
      </c>
      <c r="EN89" s="52">
        <f t="shared" si="83"/>
        <v>8.6549707995345782E-2</v>
      </c>
      <c r="EO89" s="52">
        <f t="shared" si="83"/>
        <v>8.6549707995345782E-2</v>
      </c>
      <c r="EP89" s="52">
        <f t="shared" si="83"/>
        <v>8.6549707995345782E-2</v>
      </c>
      <c r="EQ89" s="52">
        <f t="shared" si="83"/>
        <v>9.087719339511309E-2</v>
      </c>
      <c r="ER89" s="52">
        <f t="shared" si="83"/>
        <v>9.087719339511309E-2</v>
      </c>
      <c r="ES89" s="52">
        <f t="shared" si="83"/>
        <v>9.087719339511309E-2</v>
      </c>
      <c r="ET89" s="52">
        <f t="shared" si="83"/>
        <v>9.087719339511309E-2</v>
      </c>
      <c r="EU89" s="52">
        <f t="shared" si="83"/>
        <v>9.087719339511309E-2</v>
      </c>
      <c r="EV89" s="52">
        <f t="shared" si="83"/>
        <v>9.087719339511309E-2</v>
      </c>
      <c r="EW89" s="52">
        <f t="shared" si="83"/>
        <v>9.087719339511309E-2</v>
      </c>
      <c r="EX89" s="52">
        <f t="shared" si="83"/>
        <v>9.087719339511309E-2</v>
      </c>
      <c r="EY89" s="52">
        <f t="shared" si="83"/>
        <v>9.087719339511309E-2</v>
      </c>
      <c r="EZ89" s="52">
        <f t="shared" si="83"/>
        <v>9.087719339511309E-2</v>
      </c>
      <c r="FA89" s="52">
        <f t="shared" si="83"/>
        <v>9.087719339511309E-2</v>
      </c>
      <c r="FB89" s="52">
        <f t="shared" si="83"/>
        <v>9.087719339511309E-2</v>
      </c>
      <c r="FC89" s="52">
        <f t="shared" si="83"/>
        <v>9.5421053064868755E-2</v>
      </c>
      <c r="FD89" s="52">
        <f t="shared" si="83"/>
        <v>9.5421053064868755E-2</v>
      </c>
      <c r="FE89" s="52">
        <f t="shared" si="83"/>
        <v>9.5421053064868755E-2</v>
      </c>
      <c r="FF89" s="52">
        <f t="shared" si="83"/>
        <v>9.5421053064868755E-2</v>
      </c>
      <c r="FG89" s="52">
        <f t="shared" si="83"/>
        <v>9.5421053064868755E-2</v>
      </c>
      <c r="FH89" s="52">
        <f t="shared" si="83"/>
        <v>9.5421053064868755E-2</v>
      </c>
      <c r="FI89" s="52">
        <f t="shared" si="83"/>
        <v>9.5421053064868755E-2</v>
      </c>
      <c r="FJ89" s="52">
        <f t="shared" si="83"/>
        <v>9.5421053064868755E-2</v>
      </c>
      <c r="FK89" s="52">
        <f t="shared" si="83"/>
        <v>9.5421053064868755E-2</v>
      </c>
      <c r="FL89" s="52">
        <f t="shared" si="83"/>
        <v>9.5421053064868755E-2</v>
      </c>
      <c r="FM89" s="52">
        <f t="shared" si="83"/>
        <v>9.5421053064868755E-2</v>
      </c>
      <c r="FN89" s="52">
        <f t="shared" si="83"/>
        <v>9.5421053064868755E-2</v>
      </c>
      <c r="FO89" s="52">
        <f t="shared" si="83"/>
        <v>0.10019210571811217</v>
      </c>
      <c r="FP89" s="52">
        <f t="shared" si="83"/>
        <v>0.10019210571811217</v>
      </c>
      <c r="FQ89" s="52">
        <f t="shared" si="83"/>
        <v>0.10019210571811217</v>
      </c>
      <c r="FR89" s="52">
        <f t="shared" si="83"/>
        <v>0.10019210571811217</v>
      </c>
      <c r="FS89" s="52">
        <f t="shared" si="83"/>
        <v>0.10019210571811217</v>
      </c>
      <c r="FT89" s="52">
        <f t="shared" si="83"/>
        <v>0.10019210571811217</v>
      </c>
      <c r="FU89" s="52">
        <f t="shared" si="83"/>
        <v>0.10019210571811217</v>
      </c>
      <c r="FV89" s="52">
        <f t="shared" si="83"/>
        <v>0.10019210571811217</v>
      </c>
      <c r="FW89" s="52">
        <f t="shared" si="83"/>
        <v>0.10019210571811217</v>
      </c>
      <c r="FX89" s="52">
        <f t="shared" si="83"/>
        <v>0.10019210571811217</v>
      </c>
      <c r="FY89" s="52">
        <f t="shared" si="83"/>
        <v>0.10019210571811217</v>
      </c>
      <c r="FZ89" s="52">
        <f t="shared" si="83"/>
        <v>0.10019210571811217</v>
      </c>
      <c r="GA89" s="52">
        <f t="shared" si="83"/>
        <v>0.10520171100401779</v>
      </c>
      <c r="GB89" s="52">
        <f t="shared" si="83"/>
        <v>0.10520171100401779</v>
      </c>
      <c r="GC89" s="52">
        <f t="shared" si="83"/>
        <v>0.10520171100401779</v>
      </c>
      <c r="GD89" s="52">
        <f t="shared" si="83"/>
        <v>0.10520171100401779</v>
      </c>
      <c r="GE89" s="52">
        <f t="shared" si="83"/>
        <v>0.10520171100401779</v>
      </c>
      <c r="GF89" s="52">
        <f t="shared" si="83"/>
        <v>0.10520171100401779</v>
      </c>
      <c r="GG89" s="52">
        <f t="shared" si="83"/>
        <v>0.10520171100401779</v>
      </c>
      <c r="GH89" s="52">
        <f t="shared" si="83"/>
        <v>0.10520171100401779</v>
      </c>
      <c r="GI89" s="52">
        <f t="shared" si="83"/>
        <v>0.10520171100401779</v>
      </c>
      <c r="GJ89" s="52">
        <f t="shared" si="83"/>
        <v>0.10520171100401779</v>
      </c>
      <c r="GK89" s="52">
        <f t="shared" si="83"/>
        <v>0.10520171100401779</v>
      </c>
      <c r="GL89" s="52">
        <f t="shared" si="83"/>
        <v>0.10520171100401779</v>
      </c>
      <c r="GM89" s="52">
        <f t="shared" si="83"/>
        <v>0.11046179655421869</v>
      </c>
      <c r="GN89" s="52">
        <f t="shared" ref="GN89:IY89" si="84">GN88*$C$14</f>
        <v>0.11046179655421869</v>
      </c>
      <c r="GO89" s="52">
        <f t="shared" si="84"/>
        <v>0.11046179655421869</v>
      </c>
      <c r="GP89" s="52">
        <f t="shared" si="84"/>
        <v>0.11046179655421869</v>
      </c>
      <c r="GQ89" s="52">
        <f t="shared" si="84"/>
        <v>0.11046179655421869</v>
      </c>
      <c r="GR89" s="52">
        <f t="shared" si="84"/>
        <v>0.11046179655421869</v>
      </c>
      <c r="GS89" s="52">
        <f t="shared" si="84"/>
        <v>0.11046179655421869</v>
      </c>
      <c r="GT89" s="52">
        <f t="shared" si="84"/>
        <v>0.11046179655421869</v>
      </c>
      <c r="GU89" s="52">
        <f t="shared" si="84"/>
        <v>0.11046179655421869</v>
      </c>
      <c r="GV89" s="52">
        <f t="shared" si="84"/>
        <v>0.11046179655421869</v>
      </c>
      <c r="GW89" s="52">
        <f t="shared" si="84"/>
        <v>0.11046179655421869</v>
      </c>
      <c r="GX89" s="52">
        <f t="shared" si="84"/>
        <v>0.11046179655421869</v>
      </c>
      <c r="GY89" s="52">
        <f t="shared" si="84"/>
        <v>0.11598488638192964</v>
      </c>
      <c r="GZ89" s="52">
        <f t="shared" si="84"/>
        <v>0.11598488638192964</v>
      </c>
      <c r="HA89" s="52">
        <f t="shared" si="84"/>
        <v>0.11598488638192964</v>
      </c>
      <c r="HB89" s="52">
        <f t="shared" si="84"/>
        <v>0.11598488638192964</v>
      </c>
      <c r="HC89" s="52">
        <f t="shared" si="84"/>
        <v>0.11598488638192964</v>
      </c>
      <c r="HD89" s="52">
        <f t="shared" si="84"/>
        <v>0.11598488638192964</v>
      </c>
      <c r="HE89" s="52">
        <f t="shared" si="84"/>
        <v>0.11598488638192964</v>
      </c>
      <c r="HF89" s="52">
        <f t="shared" si="84"/>
        <v>0.11598488638192964</v>
      </c>
      <c r="HG89" s="52">
        <f t="shared" si="84"/>
        <v>0.11598488638192964</v>
      </c>
      <c r="HH89" s="52">
        <f t="shared" si="84"/>
        <v>0.11598488638192964</v>
      </c>
      <c r="HI89" s="52">
        <f t="shared" si="84"/>
        <v>0.11598488638192964</v>
      </c>
      <c r="HJ89" s="52">
        <f t="shared" si="84"/>
        <v>0.11598488638192964</v>
      </c>
      <c r="HK89" s="52">
        <f t="shared" si="84"/>
        <v>0.1217841307010261</v>
      </c>
      <c r="HL89" s="52">
        <f t="shared" si="84"/>
        <v>0.1217841307010261</v>
      </c>
      <c r="HM89" s="52">
        <f t="shared" si="84"/>
        <v>0.1217841307010261</v>
      </c>
      <c r="HN89" s="52">
        <f t="shared" si="84"/>
        <v>0.1217841307010261</v>
      </c>
      <c r="HO89" s="52">
        <f t="shared" si="84"/>
        <v>0.1217841307010261</v>
      </c>
      <c r="HP89" s="52">
        <f t="shared" si="84"/>
        <v>0.1217841307010261</v>
      </c>
      <c r="HQ89" s="52">
        <f t="shared" si="84"/>
        <v>0.1217841307010261</v>
      </c>
      <c r="HR89" s="52">
        <f t="shared" si="84"/>
        <v>0.1217841307010261</v>
      </c>
      <c r="HS89" s="52">
        <f t="shared" si="84"/>
        <v>0.1217841307010261</v>
      </c>
      <c r="HT89" s="52">
        <f t="shared" si="84"/>
        <v>0.1217841307010261</v>
      </c>
      <c r="HU89" s="52">
        <f t="shared" si="84"/>
        <v>0.1217841307010261</v>
      </c>
      <c r="HV89" s="52">
        <f t="shared" si="84"/>
        <v>0.1217841307010261</v>
      </c>
      <c r="HW89" s="52">
        <f t="shared" si="84"/>
        <v>0.12787333723607741</v>
      </c>
      <c r="HX89" s="52">
        <f t="shared" si="84"/>
        <v>0.12787333723607741</v>
      </c>
      <c r="HY89" s="52">
        <f t="shared" si="84"/>
        <v>0.12787333723607741</v>
      </c>
      <c r="HZ89" s="52">
        <f t="shared" si="84"/>
        <v>0.12787333723607741</v>
      </c>
      <c r="IA89" s="52">
        <f t="shared" si="84"/>
        <v>0.12787333723607741</v>
      </c>
      <c r="IB89" s="52">
        <f t="shared" si="84"/>
        <v>0.12787333723607741</v>
      </c>
      <c r="IC89" s="52">
        <f t="shared" si="84"/>
        <v>0.12787333723607741</v>
      </c>
      <c r="ID89" s="52">
        <f t="shared" si="84"/>
        <v>0.12787333723607741</v>
      </c>
      <c r="IE89" s="52">
        <f t="shared" si="84"/>
        <v>0.12787333723607741</v>
      </c>
      <c r="IF89" s="52">
        <f t="shared" si="84"/>
        <v>0.12787333723607741</v>
      </c>
      <c r="IG89" s="52">
        <f t="shared" si="84"/>
        <v>0.12787333723607741</v>
      </c>
      <c r="IH89" s="52">
        <f t="shared" si="84"/>
        <v>0.12787333723607741</v>
      </c>
      <c r="II89" s="52">
        <f t="shared" si="84"/>
        <v>0.13426700409788131</v>
      </c>
      <c r="IJ89" s="52">
        <f t="shared" si="84"/>
        <v>0.13426700409788131</v>
      </c>
      <c r="IK89" s="52">
        <f t="shared" si="84"/>
        <v>0.13426700409788131</v>
      </c>
      <c r="IL89" s="52">
        <f t="shared" si="84"/>
        <v>0.13426700409788131</v>
      </c>
      <c r="IM89" s="52">
        <f t="shared" si="84"/>
        <v>0.13426700409788131</v>
      </c>
      <c r="IN89" s="52">
        <f t="shared" si="84"/>
        <v>0.13426700409788131</v>
      </c>
      <c r="IO89" s="52">
        <f t="shared" si="84"/>
        <v>6.2449769347851765E-3</v>
      </c>
      <c r="IP89" s="52">
        <f t="shared" si="84"/>
        <v>6.2449769347851765E-3</v>
      </c>
      <c r="IQ89" s="52">
        <f t="shared" si="84"/>
        <v>6.2449769347851765E-3</v>
      </c>
      <c r="IR89" s="52">
        <f t="shared" si="84"/>
        <v>6.2449769347851765E-3</v>
      </c>
      <c r="IS89" s="52">
        <f t="shared" si="84"/>
        <v>6.2449769347851765E-3</v>
      </c>
      <c r="IT89" s="52">
        <f t="shared" si="84"/>
        <v>6.2449769347851765E-3</v>
      </c>
      <c r="IU89" s="52">
        <f t="shared" si="84"/>
        <v>6.5572257815244353E-3</v>
      </c>
      <c r="IV89" s="52">
        <f t="shared" si="84"/>
        <v>6.5572257815244353E-3</v>
      </c>
      <c r="IW89" s="52">
        <f t="shared" si="84"/>
        <v>6.5572257815244353E-3</v>
      </c>
      <c r="IX89" s="52">
        <f t="shared" si="84"/>
        <v>6.5572257815244353E-3</v>
      </c>
      <c r="IY89" s="52">
        <f t="shared" si="84"/>
        <v>6.5572257815244353E-3</v>
      </c>
      <c r="IZ89" s="52">
        <f t="shared" ref="IZ89:JI89" si="85">IZ88*$C$14</f>
        <v>6.5572257815244353E-3</v>
      </c>
      <c r="JA89" s="52">
        <f t="shared" si="85"/>
        <v>6.5572257815244353E-3</v>
      </c>
      <c r="JB89" s="52">
        <f t="shared" si="85"/>
        <v>6.5572257815244353E-3</v>
      </c>
      <c r="JC89" s="52">
        <f t="shared" si="85"/>
        <v>6.5572257815244353E-3</v>
      </c>
      <c r="JD89" s="52">
        <f t="shared" si="85"/>
        <v>6.5572257815244353E-3</v>
      </c>
      <c r="JE89" s="52">
        <f t="shared" si="85"/>
        <v>6.5572257815244353E-3</v>
      </c>
      <c r="JF89" s="52">
        <f t="shared" si="85"/>
        <v>6.5572257815244353E-3</v>
      </c>
      <c r="JG89" s="52">
        <f t="shared" si="85"/>
        <v>6.8850870706006588E-3</v>
      </c>
      <c r="JH89" s="52">
        <f t="shared" si="85"/>
        <v>6.8850870706006588E-3</v>
      </c>
      <c r="JI89" s="244">
        <f t="shared" si="85"/>
        <v>6.8850870706006588E-3</v>
      </c>
      <c r="JJ89" s="539">
        <f>SUM(C89:JI89)</f>
        <v>20.414331761455468</v>
      </c>
      <c r="JK89" s="52"/>
      <c r="JL89" s="52"/>
      <c r="JM89" s="52"/>
      <c r="JN89" s="52"/>
      <c r="JO89" s="52"/>
    </row>
    <row r="90" spans="2:277" x14ac:dyDescent="0.3">
      <c r="B90" s="169" t="s">
        <v>327</v>
      </c>
      <c r="C90" s="52">
        <f>C88*$C$15</f>
        <v>0</v>
      </c>
      <c r="D90" s="52">
        <f t="shared" ref="D90:BO90" si="86">D88*$C$15</f>
        <v>0</v>
      </c>
      <c r="E90" s="52">
        <f t="shared" si="86"/>
        <v>0</v>
      </c>
      <c r="F90" s="52">
        <f t="shared" si="86"/>
        <v>0</v>
      </c>
      <c r="G90" s="52">
        <f t="shared" si="86"/>
        <v>0</v>
      </c>
      <c r="H90" s="52">
        <f t="shared" si="86"/>
        <v>0</v>
      </c>
      <c r="I90" s="52">
        <f t="shared" si="86"/>
        <v>0</v>
      </c>
      <c r="J90" s="52">
        <f t="shared" si="86"/>
        <v>0</v>
      </c>
      <c r="K90" s="52">
        <f t="shared" si="86"/>
        <v>0</v>
      </c>
      <c r="L90" s="52">
        <f t="shared" si="86"/>
        <v>0</v>
      </c>
      <c r="M90" s="52">
        <f t="shared" si="86"/>
        <v>0</v>
      </c>
      <c r="N90" s="52">
        <f t="shared" si="86"/>
        <v>0</v>
      </c>
      <c r="O90" s="52">
        <f t="shared" si="86"/>
        <v>5.3134012828425385E-2</v>
      </c>
      <c r="P90" s="52">
        <f t="shared" si="86"/>
        <v>5.3134012828425385E-2</v>
      </c>
      <c r="Q90" s="52">
        <f t="shared" si="86"/>
        <v>5.3134012828425385E-2</v>
      </c>
      <c r="R90" s="52">
        <f t="shared" si="86"/>
        <v>5.3134012828425385E-2</v>
      </c>
      <c r="S90" s="52">
        <f t="shared" si="86"/>
        <v>5.3134012828425385E-2</v>
      </c>
      <c r="T90" s="52">
        <f t="shared" si="86"/>
        <v>5.3134012828425385E-2</v>
      </c>
      <c r="U90" s="52">
        <f t="shared" si="86"/>
        <v>5.3134012828425385E-2</v>
      </c>
      <c r="V90" s="52">
        <f t="shared" si="86"/>
        <v>5.3134012828425385E-2</v>
      </c>
      <c r="W90" s="52">
        <f t="shared" si="86"/>
        <v>5.3134012828425385E-2</v>
      </c>
      <c r="X90" s="52">
        <f t="shared" si="86"/>
        <v>5.3134012828425385E-2</v>
      </c>
      <c r="Y90" s="52">
        <f t="shared" si="86"/>
        <v>5.3134012828425385E-2</v>
      </c>
      <c r="Z90" s="52">
        <f t="shared" si="86"/>
        <v>5.3134012828425385E-2</v>
      </c>
      <c r="AA90" s="52">
        <f t="shared" si="86"/>
        <v>5.5790713469846646E-2</v>
      </c>
      <c r="AB90" s="52">
        <f t="shared" si="86"/>
        <v>5.5790713469846646E-2</v>
      </c>
      <c r="AC90" s="52">
        <f t="shared" si="86"/>
        <v>5.5790713469846646E-2</v>
      </c>
      <c r="AD90" s="52">
        <f t="shared" si="86"/>
        <v>5.5790713469846646E-2</v>
      </c>
      <c r="AE90" s="52">
        <f t="shared" si="86"/>
        <v>5.5790713469846646E-2</v>
      </c>
      <c r="AF90" s="52">
        <f t="shared" si="86"/>
        <v>5.5790713469846646E-2</v>
      </c>
      <c r="AG90" s="52">
        <f t="shared" si="86"/>
        <v>5.5790713469846646E-2</v>
      </c>
      <c r="AH90" s="52">
        <f t="shared" si="86"/>
        <v>5.5790713469846646E-2</v>
      </c>
      <c r="AI90" s="52">
        <f t="shared" si="86"/>
        <v>5.5790713469846646E-2</v>
      </c>
      <c r="AJ90" s="52">
        <f t="shared" si="86"/>
        <v>5.5790713469846646E-2</v>
      </c>
      <c r="AK90" s="52">
        <f t="shared" si="86"/>
        <v>5.5790713469846646E-2</v>
      </c>
      <c r="AL90" s="52">
        <f t="shared" si="86"/>
        <v>5.5790713469846646E-2</v>
      </c>
      <c r="AM90" s="52">
        <f t="shared" si="86"/>
        <v>5.858024914333898E-2</v>
      </c>
      <c r="AN90" s="52">
        <f t="shared" si="86"/>
        <v>5.858024914333898E-2</v>
      </c>
      <c r="AO90" s="52">
        <f t="shared" si="86"/>
        <v>5.858024914333898E-2</v>
      </c>
      <c r="AP90" s="52">
        <f t="shared" si="86"/>
        <v>5.858024914333898E-2</v>
      </c>
      <c r="AQ90" s="52">
        <f t="shared" si="86"/>
        <v>5.858024914333898E-2</v>
      </c>
      <c r="AR90" s="52">
        <f t="shared" si="86"/>
        <v>5.858024914333898E-2</v>
      </c>
      <c r="AS90" s="52">
        <f t="shared" si="86"/>
        <v>5.858024914333898E-2</v>
      </c>
      <c r="AT90" s="52">
        <f t="shared" si="86"/>
        <v>5.858024914333898E-2</v>
      </c>
      <c r="AU90" s="52">
        <f t="shared" si="86"/>
        <v>5.858024914333898E-2</v>
      </c>
      <c r="AV90" s="52">
        <f t="shared" si="86"/>
        <v>5.858024914333898E-2</v>
      </c>
      <c r="AW90" s="52">
        <f t="shared" si="86"/>
        <v>5.858024914333898E-2</v>
      </c>
      <c r="AX90" s="52">
        <f t="shared" si="86"/>
        <v>5.858024914333898E-2</v>
      </c>
      <c r="AY90" s="52">
        <f t="shared" si="86"/>
        <v>6.1509261600505932E-2</v>
      </c>
      <c r="AZ90" s="52">
        <f t="shared" si="86"/>
        <v>6.1509261600505932E-2</v>
      </c>
      <c r="BA90" s="52">
        <f t="shared" si="86"/>
        <v>6.1509261600505932E-2</v>
      </c>
      <c r="BB90" s="52">
        <f t="shared" si="86"/>
        <v>6.1509261600505932E-2</v>
      </c>
      <c r="BC90" s="52">
        <f t="shared" si="86"/>
        <v>6.1509261600505932E-2</v>
      </c>
      <c r="BD90" s="52">
        <f t="shared" si="86"/>
        <v>6.1509261600505932E-2</v>
      </c>
      <c r="BE90" s="52">
        <f t="shared" si="86"/>
        <v>6.1509261600505932E-2</v>
      </c>
      <c r="BF90" s="52">
        <f t="shared" si="86"/>
        <v>6.1509261600505932E-2</v>
      </c>
      <c r="BG90" s="52">
        <f t="shared" si="86"/>
        <v>6.1509261600505932E-2</v>
      </c>
      <c r="BH90" s="52">
        <f t="shared" si="86"/>
        <v>6.1509261600505932E-2</v>
      </c>
      <c r="BI90" s="52">
        <f t="shared" si="86"/>
        <v>6.1509261600505932E-2</v>
      </c>
      <c r="BJ90" s="52">
        <f t="shared" si="86"/>
        <v>6.1509261600505932E-2</v>
      </c>
      <c r="BK90" s="52">
        <f t="shared" si="86"/>
        <v>6.4584724680531239E-2</v>
      </c>
      <c r="BL90" s="52">
        <f t="shared" si="86"/>
        <v>6.4584724680531239E-2</v>
      </c>
      <c r="BM90" s="52">
        <f t="shared" si="86"/>
        <v>6.4584724680531239E-2</v>
      </c>
      <c r="BN90" s="52">
        <f t="shared" si="86"/>
        <v>6.4584724680531239E-2</v>
      </c>
      <c r="BO90" s="52">
        <f t="shared" si="86"/>
        <v>6.4584724680531239E-2</v>
      </c>
      <c r="BP90" s="52">
        <f t="shared" ref="BP90:EA90" si="87">BP88*$C$15</f>
        <v>6.4584724680531239E-2</v>
      </c>
      <c r="BQ90" s="52">
        <f t="shared" si="87"/>
        <v>6.4584724680531239E-2</v>
      </c>
      <c r="BR90" s="52">
        <f t="shared" si="87"/>
        <v>6.4584724680531239E-2</v>
      </c>
      <c r="BS90" s="52">
        <f t="shared" si="87"/>
        <v>6.4584724680531239E-2</v>
      </c>
      <c r="BT90" s="52">
        <f t="shared" si="87"/>
        <v>6.4584724680531239E-2</v>
      </c>
      <c r="BU90" s="52">
        <f t="shared" si="87"/>
        <v>6.4584724680531239E-2</v>
      </c>
      <c r="BV90" s="52">
        <f t="shared" si="87"/>
        <v>6.4584724680531239E-2</v>
      </c>
      <c r="BW90" s="52">
        <f t="shared" si="87"/>
        <v>6.7813960914557797E-2</v>
      </c>
      <c r="BX90" s="52">
        <f t="shared" si="87"/>
        <v>6.7813960914557797E-2</v>
      </c>
      <c r="BY90" s="52">
        <f t="shared" si="87"/>
        <v>6.7813960914557797E-2</v>
      </c>
      <c r="BZ90" s="52">
        <f t="shared" si="87"/>
        <v>6.7813960914557797E-2</v>
      </c>
      <c r="CA90" s="52">
        <f t="shared" si="87"/>
        <v>6.7813960914557797E-2</v>
      </c>
      <c r="CB90" s="52">
        <f t="shared" si="87"/>
        <v>6.7813960914557797E-2</v>
      </c>
      <c r="CC90" s="52">
        <f t="shared" si="87"/>
        <v>6.7813960914557797E-2</v>
      </c>
      <c r="CD90" s="52">
        <f t="shared" si="87"/>
        <v>6.7813960914557797E-2</v>
      </c>
      <c r="CE90" s="52">
        <f t="shared" si="87"/>
        <v>6.7813960914557797E-2</v>
      </c>
      <c r="CF90" s="52">
        <f t="shared" si="87"/>
        <v>6.7813960914557797E-2</v>
      </c>
      <c r="CG90" s="52">
        <f t="shared" si="87"/>
        <v>6.7813960914557797E-2</v>
      </c>
      <c r="CH90" s="52">
        <f t="shared" si="87"/>
        <v>6.7813960914557797E-2</v>
      </c>
      <c r="CI90" s="52">
        <f t="shared" si="87"/>
        <v>7.1204658960285688E-2</v>
      </c>
      <c r="CJ90" s="52">
        <f t="shared" si="87"/>
        <v>7.1204658960285688E-2</v>
      </c>
      <c r="CK90" s="52">
        <f t="shared" si="87"/>
        <v>7.1204658960285688E-2</v>
      </c>
      <c r="CL90" s="52">
        <f t="shared" si="87"/>
        <v>7.1204658960285688E-2</v>
      </c>
      <c r="CM90" s="52">
        <f t="shared" si="87"/>
        <v>7.1204658960285688E-2</v>
      </c>
      <c r="CN90" s="52">
        <f t="shared" si="87"/>
        <v>7.1204658960285688E-2</v>
      </c>
      <c r="CO90" s="52">
        <f t="shared" si="87"/>
        <v>7.1204658960285688E-2</v>
      </c>
      <c r="CP90" s="52">
        <f t="shared" si="87"/>
        <v>7.1204658960285688E-2</v>
      </c>
      <c r="CQ90" s="52">
        <f t="shared" si="87"/>
        <v>7.1204658960285688E-2</v>
      </c>
      <c r="CR90" s="52">
        <f t="shared" si="87"/>
        <v>7.1204658960285688E-2</v>
      </c>
      <c r="CS90" s="52">
        <f t="shared" si="87"/>
        <v>7.1204658960285688E-2</v>
      </c>
      <c r="CT90" s="52">
        <f t="shared" si="87"/>
        <v>7.1204658960285688E-2</v>
      </c>
      <c r="CU90" s="52">
        <f t="shared" si="87"/>
        <v>7.4764891908299977E-2</v>
      </c>
      <c r="CV90" s="52">
        <f t="shared" si="87"/>
        <v>7.4764891908299977E-2</v>
      </c>
      <c r="CW90" s="52">
        <f t="shared" si="87"/>
        <v>7.4764891908299977E-2</v>
      </c>
      <c r="CX90" s="52">
        <f t="shared" si="87"/>
        <v>7.4764891908299977E-2</v>
      </c>
      <c r="CY90" s="52">
        <f t="shared" si="87"/>
        <v>7.4764891908299977E-2</v>
      </c>
      <c r="CZ90" s="52">
        <f t="shared" si="87"/>
        <v>7.4764891908299977E-2</v>
      </c>
      <c r="DA90" s="52">
        <f t="shared" si="87"/>
        <v>7.4764891908299977E-2</v>
      </c>
      <c r="DB90" s="52">
        <f t="shared" si="87"/>
        <v>7.4764891908299977E-2</v>
      </c>
      <c r="DC90" s="52">
        <f t="shared" si="87"/>
        <v>7.4764891908299977E-2</v>
      </c>
      <c r="DD90" s="52">
        <f t="shared" si="87"/>
        <v>7.4764891908299977E-2</v>
      </c>
      <c r="DE90" s="52">
        <f t="shared" si="87"/>
        <v>7.4764891908299977E-2</v>
      </c>
      <c r="DF90" s="52">
        <f t="shared" si="87"/>
        <v>7.4764891908299977E-2</v>
      </c>
      <c r="DG90" s="52">
        <f t="shared" si="87"/>
        <v>7.8503136503714974E-2</v>
      </c>
      <c r="DH90" s="52">
        <f t="shared" si="87"/>
        <v>7.8503136503714974E-2</v>
      </c>
      <c r="DI90" s="52">
        <f t="shared" si="87"/>
        <v>7.8503136503714974E-2</v>
      </c>
      <c r="DJ90" s="52">
        <f t="shared" si="87"/>
        <v>7.8503136503714974E-2</v>
      </c>
      <c r="DK90" s="52">
        <f t="shared" si="87"/>
        <v>7.8503136503714974E-2</v>
      </c>
      <c r="DL90" s="52">
        <f t="shared" si="87"/>
        <v>7.8503136503714974E-2</v>
      </c>
      <c r="DM90" s="52">
        <f t="shared" si="87"/>
        <v>7.8503136503714974E-2</v>
      </c>
      <c r="DN90" s="52">
        <f t="shared" si="87"/>
        <v>7.8503136503714974E-2</v>
      </c>
      <c r="DO90" s="52">
        <f t="shared" si="87"/>
        <v>7.8503136503714974E-2</v>
      </c>
      <c r="DP90" s="52">
        <f t="shared" si="87"/>
        <v>7.8503136503714974E-2</v>
      </c>
      <c r="DQ90" s="52">
        <f t="shared" si="87"/>
        <v>7.8503136503714974E-2</v>
      </c>
      <c r="DR90" s="52">
        <f t="shared" si="87"/>
        <v>7.8503136503714974E-2</v>
      </c>
      <c r="DS90" s="52">
        <f t="shared" si="87"/>
        <v>8.242829332890074E-2</v>
      </c>
      <c r="DT90" s="52">
        <f t="shared" si="87"/>
        <v>8.242829332890074E-2</v>
      </c>
      <c r="DU90" s="52">
        <f t="shared" si="87"/>
        <v>8.242829332890074E-2</v>
      </c>
      <c r="DV90" s="52">
        <f t="shared" si="87"/>
        <v>8.242829332890074E-2</v>
      </c>
      <c r="DW90" s="52">
        <f t="shared" si="87"/>
        <v>8.242829332890074E-2</v>
      </c>
      <c r="DX90" s="52">
        <f t="shared" si="87"/>
        <v>8.242829332890074E-2</v>
      </c>
      <c r="DY90" s="52">
        <f t="shared" si="87"/>
        <v>8.242829332890074E-2</v>
      </c>
      <c r="DZ90" s="52">
        <f t="shared" si="87"/>
        <v>8.242829332890074E-2</v>
      </c>
      <c r="EA90" s="52">
        <f t="shared" si="87"/>
        <v>8.242829332890074E-2</v>
      </c>
      <c r="EB90" s="52">
        <f t="shared" ref="EB90:GM90" si="88">EB88*$C$15</f>
        <v>8.242829332890074E-2</v>
      </c>
      <c r="EC90" s="52">
        <f t="shared" si="88"/>
        <v>8.242829332890074E-2</v>
      </c>
      <c r="ED90" s="52">
        <f t="shared" si="88"/>
        <v>8.242829332890074E-2</v>
      </c>
      <c r="EE90" s="52">
        <f t="shared" si="88"/>
        <v>8.6549707995345782E-2</v>
      </c>
      <c r="EF90" s="52">
        <f t="shared" si="88"/>
        <v>8.6549707995345782E-2</v>
      </c>
      <c r="EG90" s="52">
        <f t="shared" si="88"/>
        <v>8.6549707995345782E-2</v>
      </c>
      <c r="EH90" s="52">
        <f t="shared" si="88"/>
        <v>8.6549707995345782E-2</v>
      </c>
      <c r="EI90" s="52">
        <f t="shared" si="88"/>
        <v>8.6549707995345782E-2</v>
      </c>
      <c r="EJ90" s="52">
        <f t="shared" si="88"/>
        <v>8.6549707995345782E-2</v>
      </c>
      <c r="EK90" s="52">
        <f t="shared" si="88"/>
        <v>8.6549707995345782E-2</v>
      </c>
      <c r="EL90" s="52">
        <f t="shared" si="88"/>
        <v>8.6549707995345782E-2</v>
      </c>
      <c r="EM90" s="52">
        <f t="shared" si="88"/>
        <v>8.6549707995345782E-2</v>
      </c>
      <c r="EN90" s="52">
        <f t="shared" si="88"/>
        <v>8.6549707995345782E-2</v>
      </c>
      <c r="EO90" s="52">
        <f t="shared" si="88"/>
        <v>8.6549707995345782E-2</v>
      </c>
      <c r="EP90" s="52">
        <f t="shared" si="88"/>
        <v>8.6549707995345782E-2</v>
      </c>
      <c r="EQ90" s="52">
        <f t="shared" si="88"/>
        <v>9.087719339511309E-2</v>
      </c>
      <c r="ER90" s="52">
        <f t="shared" si="88"/>
        <v>9.087719339511309E-2</v>
      </c>
      <c r="ES90" s="52">
        <f t="shared" si="88"/>
        <v>9.087719339511309E-2</v>
      </c>
      <c r="ET90" s="52">
        <f t="shared" si="88"/>
        <v>9.087719339511309E-2</v>
      </c>
      <c r="EU90" s="52">
        <f t="shared" si="88"/>
        <v>9.087719339511309E-2</v>
      </c>
      <c r="EV90" s="52">
        <f t="shared" si="88"/>
        <v>9.087719339511309E-2</v>
      </c>
      <c r="EW90" s="52">
        <f t="shared" si="88"/>
        <v>9.087719339511309E-2</v>
      </c>
      <c r="EX90" s="52">
        <f t="shared" si="88"/>
        <v>9.087719339511309E-2</v>
      </c>
      <c r="EY90" s="52">
        <f t="shared" si="88"/>
        <v>9.087719339511309E-2</v>
      </c>
      <c r="EZ90" s="52">
        <f t="shared" si="88"/>
        <v>9.087719339511309E-2</v>
      </c>
      <c r="FA90" s="52">
        <f t="shared" si="88"/>
        <v>9.087719339511309E-2</v>
      </c>
      <c r="FB90" s="52">
        <f t="shared" si="88"/>
        <v>9.087719339511309E-2</v>
      </c>
      <c r="FC90" s="52">
        <f t="shared" si="88"/>
        <v>9.5421053064868755E-2</v>
      </c>
      <c r="FD90" s="52">
        <f t="shared" si="88"/>
        <v>9.5421053064868755E-2</v>
      </c>
      <c r="FE90" s="52">
        <f t="shared" si="88"/>
        <v>9.5421053064868755E-2</v>
      </c>
      <c r="FF90" s="52">
        <f t="shared" si="88"/>
        <v>9.5421053064868755E-2</v>
      </c>
      <c r="FG90" s="52">
        <f t="shared" si="88"/>
        <v>9.5421053064868755E-2</v>
      </c>
      <c r="FH90" s="52">
        <f t="shared" si="88"/>
        <v>9.5421053064868755E-2</v>
      </c>
      <c r="FI90" s="52">
        <f t="shared" si="88"/>
        <v>9.5421053064868755E-2</v>
      </c>
      <c r="FJ90" s="52">
        <f t="shared" si="88"/>
        <v>9.5421053064868755E-2</v>
      </c>
      <c r="FK90" s="52">
        <f t="shared" si="88"/>
        <v>9.5421053064868755E-2</v>
      </c>
      <c r="FL90" s="52">
        <f t="shared" si="88"/>
        <v>9.5421053064868755E-2</v>
      </c>
      <c r="FM90" s="52">
        <f t="shared" si="88"/>
        <v>9.5421053064868755E-2</v>
      </c>
      <c r="FN90" s="52">
        <f t="shared" si="88"/>
        <v>9.5421053064868755E-2</v>
      </c>
      <c r="FO90" s="52">
        <f t="shared" si="88"/>
        <v>0.10019210571811217</v>
      </c>
      <c r="FP90" s="52">
        <f t="shared" si="88"/>
        <v>0.10019210571811217</v>
      </c>
      <c r="FQ90" s="52">
        <f t="shared" si="88"/>
        <v>0.10019210571811217</v>
      </c>
      <c r="FR90" s="52">
        <f t="shared" si="88"/>
        <v>0.10019210571811217</v>
      </c>
      <c r="FS90" s="52">
        <f t="shared" si="88"/>
        <v>0.10019210571811217</v>
      </c>
      <c r="FT90" s="52">
        <f t="shared" si="88"/>
        <v>0.10019210571811217</v>
      </c>
      <c r="FU90" s="52">
        <f t="shared" si="88"/>
        <v>0.10019210571811217</v>
      </c>
      <c r="FV90" s="52">
        <f t="shared" si="88"/>
        <v>0.10019210571811217</v>
      </c>
      <c r="FW90" s="52">
        <f t="shared" si="88"/>
        <v>0.10019210571811217</v>
      </c>
      <c r="FX90" s="52">
        <f t="shared" si="88"/>
        <v>0.10019210571811217</v>
      </c>
      <c r="FY90" s="52">
        <f t="shared" si="88"/>
        <v>0.10019210571811217</v>
      </c>
      <c r="FZ90" s="52">
        <f t="shared" si="88"/>
        <v>0.10019210571811217</v>
      </c>
      <c r="GA90" s="52">
        <f t="shared" si="88"/>
        <v>0.10520171100401779</v>
      </c>
      <c r="GB90" s="52">
        <f t="shared" si="88"/>
        <v>0.10520171100401779</v>
      </c>
      <c r="GC90" s="52">
        <f t="shared" si="88"/>
        <v>0.10520171100401779</v>
      </c>
      <c r="GD90" s="52">
        <f t="shared" si="88"/>
        <v>0.10520171100401779</v>
      </c>
      <c r="GE90" s="52">
        <f t="shared" si="88"/>
        <v>0.10520171100401779</v>
      </c>
      <c r="GF90" s="52">
        <f t="shared" si="88"/>
        <v>0.10520171100401779</v>
      </c>
      <c r="GG90" s="52">
        <f t="shared" si="88"/>
        <v>0.10520171100401779</v>
      </c>
      <c r="GH90" s="52">
        <f t="shared" si="88"/>
        <v>0.10520171100401779</v>
      </c>
      <c r="GI90" s="52">
        <f t="shared" si="88"/>
        <v>0.10520171100401779</v>
      </c>
      <c r="GJ90" s="52">
        <f t="shared" si="88"/>
        <v>0.10520171100401779</v>
      </c>
      <c r="GK90" s="52">
        <f t="shared" si="88"/>
        <v>0.10520171100401779</v>
      </c>
      <c r="GL90" s="52">
        <f t="shared" si="88"/>
        <v>0.10520171100401779</v>
      </c>
      <c r="GM90" s="52">
        <f t="shared" si="88"/>
        <v>0.11046179655421869</v>
      </c>
      <c r="GN90" s="52">
        <f t="shared" ref="GN90:IY90" si="89">GN88*$C$15</f>
        <v>0.11046179655421869</v>
      </c>
      <c r="GO90" s="52">
        <f t="shared" si="89"/>
        <v>0.11046179655421869</v>
      </c>
      <c r="GP90" s="52">
        <f t="shared" si="89"/>
        <v>0.11046179655421869</v>
      </c>
      <c r="GQ90" s="52">
        <f t="shared" si="89"/>
        <v>0.11046179655421869</v>
      </c>
      <c r="GR90" s="52">
        <f t="shared" si="89"/>
        <v>0.11046179655421869</v>
      </c>
      <c r="GS90" s="52">
        <f t="shared" si="89"/>
        <v>0.11046179655421869</v>
      </c>
      <c r="GT90" s="52">
        <f t="shared" si="89"/>
        <v>0.11046179655421869</v>
      </c>
      <c r="GU90" s="52">
        <f t="shared" si="89"/>
        <v>0.11046179655421869</v>
      </c>
      <c r="GV90" s="52">
        <f t="shared" si="89"/>
        <v>0.11046179655421869</v>
      </c>
      <c r="GW90" s="52">
        <f t="shared" si="89"/>
        <v>0.11046179655421869</v>
      </c>
      <c r="GX90" s="52">
        <f t="shared" si="89"/>
        <v>0.11046179655421869</v>
      </c>
      <c r="GY90" s="52">
        <f t="shared" si="89"/>
        <v>0.11598488638192964</v>
      </c>
      <c r="GZ90" s="52">
        <f t="shared" si="89"/>
        <v>0.11598488638192964</v>
      </c>
      <c r="HA90" s="52">
        <f t="shared" si="89"/>
        <v>0.11598488638192964</v>
      </c>
      <c r="HB90" s="52">
        <f t="shared" si="89"/>
        <v>0.11598488638192964</v>
      </c>
      <c r="HC90" s="52">
        <f t="shared" si="89"/>
        <v>0.11598488638192964</v>
      </c>
      <c r="HD90" s="52">
        <f t="shared" si="89"/>
        <v>0.11598488638192964</v>
      </c>
      <c r="HE90" s="52">
        <f t="shared" si="89"/>
        <v>0.11598488638192964</v>
      </c>
      <c r="HF90" s="52">
        <f t="shared" si="89"/>
        <v>0.11598488638192964</v>
      </c>
      <c r="HG90" s="52">
        <f t="shared" si="89"/>
        <v>0.11598488638192964</v>
      </c>
      <c r="HH90" s="52">
        <f t="shared" si="89"/>
        <v>0.11598488638192964</v>
      </c>
      <c r="HI90" s="52">
        <f t="shared" si="89"/>
        <v>0.11598488638192964</v>
      </c>
      <c r="HJ90" s="52">
        <f t="shared" si="89"/>
        <v>0.11598488638192964</v>
      </c>
      <c r="HK90" s="52">
        <f t="shared" si="89"/>
        <v>0.1217841307010261</v>
      </c>
      <c r="HL90" s="52">
        <f t="shared" si="89"/>
        <v>0.1217841307010261</v>
      </c>
      <c r="HM90" s="52">
        <f t="shared" si="89"/>
        <v>0.1217841307010261</v>
      </c>
      <c r="HN90" s="52">
        <f t="shared" si="89"/>
        <v>0.1217841307010261</v>
      </c>
      <c r="HO90" s="52">
        <f t="shared" si="89"/>
        <v>0.1217841307010261</v>
      </c>
      <c r="HP90" s="52">
        <f t="shared" si="89"/>
        <v>0.1217841307010261</v>
      </c>
      <c r="HQ90" s="52">
        <f t="shared" si="89"/>
        <v>0.1217841307010261</v>
      </c>
      <c r="HR90" s="52">
        <f t="shared" si="89"/>
        <v>0.1217841307010261</v>
      </c>
      <c r="HS90" s="52">
        <f t="shared" si="89"/>
        <v>0.1217841307010261</v>
      </c>
      <c r="HT90" s="52">
        <f t="shared" si="89"/>
        <v>0.1217841307010261</v>
      </c>
      <c r="HU90" s="52">
        <f t="shared" si="89"/>
        <v>0.1217841307010261</v>
      </c>
      <c r="HV90" s="52">
        <f t="shared" si="89"/>
        <v>0.1217841307010261</v>
      </c>
      <c r="HW90" s="52">
        <f t="shared" si="89"/>
        <v>0.12787333723607741</v>
      </c>
      <c r="HX90" s="52">
        <f t="shared" si="89"/>
        <v>0.12787333723607741</v>
      </c>
      <c r="HY90" s="52">
        <f t="shared" si="89"/>
        <v>0.12787333723607741</v>
      </c>
      <c r="HZ90" s="52">
        <f t="shared" si="89"/>
        <v>0.12787333723607741</v>
      </c>
      <c r="IA90" s="52">
        <f t="shared" si="89"/>
        <v>0.12787333723607741</v>
      </c>
      <c r="IB90" s="52">
        <f t="shared" si="89"/>
        <v>0.12787333723607741</v>
      </c>
      <c r="IC90" s="52">
        <f t="shared" si="89"/>
        <v>0.12787333723607741</v>
      </c>
      <c r="ID90" s="52">
        <f t="shared" si="89"/>
        <v>0.12787333723607741</v>
      </c>
      <c r="IE90" s="52">
        <f t="shared" si="89"/>
        <v>0.12787333723607741</v>
      </c>
      <c r="IF90" s="52">
        <f t="shared" si="89"/>
        <v>0.12787333723607741</v>
      </c>
      <c r="IG90" s="52">
        <f t="shared" si="89"/>
        <v>0.12787333723607741</v>
      </c>
      <c r="IH90" s="52">
        <f t="shared" si="89"/>
        <v>0.12787333723607741</v>
      </c>
      <c r="II90" s="52">
        <f t="shared" si="89"/>
        <v>0.13426700409788131</v>
      </c>
      <c r="IJ90" s="52">
        <f t="shared" si="89"/>
        <v>0.13426700409788131</v>
      </c>
      <c r="IK90" s="52">
        <f t="shared" si="89"/>
        <v>0.13426700409788131</v>
      </c>
      <c r="IL90" s="52">
        <f t="shared" si="89"/>
        <v>0.13426700409788131</v>
      </c>
      <c r="IM90" s="52">
        <f t="shared" si="89"/>
        <v>0.13426700409788131</v>
      </c>
      <c r="IN90" s="52">
        <f t="shared" si="89"/>
        <v>0.13426700409788131</v>
      </c>
      <c r="IO90" s="52">
        <f t="shared" si="89"/>
        <v>6.2449769347851765E-3</v>
      </c>
      <c r="IP90" s="52">
        <f t="shared" si="89"/>
        <v>6.2449769347851765E-3</v>
      </c>
      <c r="IQ90" s="52">
        <f t="shared" si="89"/>
        <v>6.2449769347851765E-3</v>
      </c>
      <c r="IR90" s="52">
        <f t="shared" si="89"/>
        <v>6.2449769347851765E-3</v>
      </c>
      <c r="IS90" s="52">
        <f t="shared" si="89"/>
        <v>6.2449769347851765E-3</v>
      </c>
      <c r="IT90" s="52">
        <f t="shared" si="89"/>
        <v>6.2449769347851765E-3</v>
      </c>
      <c r="IU90" s="52">
        <f t="shared" si="89"/>
        <v>6.5572257815244353E-3</v>
      </c>
      <c r="IV90" s="52">
        <f t="shared" si="89"/>
        <v>6.5572257815244353E-3</v>
      </c>
      <c r="IW90" s="52">
        <f t="shared" si="89"/>
        <v>6.5572257815244353E-3</v>
      </c>
      <c r="IX90" s="52">
        <f t="shared" si="89"/>
        <v>6.5572257815244353E-3</v>
      </c>
      <c r="IY90" s="52">
        <f t="shared" si="89"/>
        <v>6.5572257815244353E-3</v>
      </c>
      <c r="IZ90" s="52">
        <f t="shared" ref="IZ90:JI90" si="90">IZ88*$C$15</f>
        <v>6.5572257815244353E-3</v>
      </c>
      <c r="JA90" s="52">
        <f t="shared" si="90"/>
        <v>6.5572257815244353E-3</v>
      </c>
      <c r="JB90" s="52">
        <f t="shared" si="90"/>
        <v>6.5572257815244353E-3</v>
      </c>
      <c r="JC90" s="52">
        <f t="shared" si="90"/>
        <v>6.5572257815244353E-3</v>
      </c>
      <c r="JD90" s="52">
        <f t="shared" si="90"/>
        <v>6.5572257815244353E-3</v>
      </c>
      <c r="JE90" s="52">
        <f t="shared" si="90"/>
        <v>6.5572257815244353E-3</v>
      </c>
      <c r="JF90" s="52">
        <f t="shared" si="90"/>
        <v>6.5572257815244353E-3</v>
      </c>
      <c r="JG90" s="52">
        <f t="shared" si="90"/>
        <v>6.8850870706006588E-3</v>
      </c>
      <c r="JH90" s="52">
        <f t="shared" si="90"/>
        <v>6.8850870706006588E-3</v>
      </c>
      <c r="JI90" s="244">
        <f t="shared" si="90"/>
        <v>6.8850870706006588E-3</v>
      </c>
      <c r="JJ90" s="539">
        <f>SUM(C90:JI90)</f>
        <v>20.414331761455468</v>
      </c>
      <c r="JK90" s="52"/>
      <c r="JL90" s="52"/>
      <c r="JM90" s="52"/>
      <c r="JN90" s="52"/>
      <c r="JO90" s="52"/>
    </row>
    <row r="91" spans="2:277" x14ac:dyDescent="0.3">
      <c r="B91" s="163" t="s">
        <v>299</v>
      </c>
      <c r="C91" s="190">
        <f>C88-SUM(C89:C90)</f>
        <v>0</v>
      </c>
      <c r="D91" s="190">
        <f t="shared" ref="D91:BO91" si="91">D88-SUM(D89:D90)</f>
        <v>0</v>
      </c>
      <c r="E91" s="190">
        <f t="shared" si="91"/>
        <v>0</v>
      </c>
      <c r="F91" s="190">
        <f t="shared" si="91"/>
        <v>0</v>
      </c>
      <c r="G91" s="190">
        <f t="shared" si="91"/>
        <v>0</v>
      </c>
      <c r="H91" s="190">
        <f t="shared" si="91"/>
        <v>0</v>
      </c>
      <c r="I91" s="190">
        <f t="shared" si="91"/>
        <v>0</v>
      </c>
      <c r="J91" s="190">
        <f t="shared" si="91"/>
        <v>0</v>
      </c>
      <c r="K91" s="190">
        <f t="shared" si="91"/>
        <v>0</v>
      </c>
      <c r="L91" s="190">
        <f t="shared" si="91"/>
        <v>0</v>
      </c>
      <c r="M91" s="190">
        <f t="shared" si="91"/>
        <v>0</v>
      </c>
      <c r="N91" s="190">
        <f t="shared" si="91"/>
        <v>0</v>
      </c>
      <c r="O91" s="190">
        <f t="shared" si="91"/>
        <v>0.95641223091165684</v>
      </c>
      <c r="P91" s="190">
        <f t="shared" si="91"/>
        <v>0.95641223091165684</v>
      </c>
      <c r="Q91" s="190">
        <f t="shared" si="91"/>
        <v>0.95641223091165684</v>
      </c>
      <c r="R91" s="190">
        <f t="shared" si="91"/>
        <v>0.95641223091165684</v>
      </c>
      <c r="S91" s="190">
        <f t="shared" si="91"/>
        <v>0.95641223091165684</v>
      </c>
      <c r="T91" s="190">
        <f t="shared" si="91"/>
        <v>0.95641223091165684</v>
      </c>
      <c r="U91" s="190">
        <f t="shared" si="91"/>
        <v>0.95641223091165684</v>
      </c>
      <c r="V91" s="190">
        <f t="shared" si="91"/>
        <v>0.95641223091165684</v>
      </c>
      <c r="W91" s="190">
        <f t="shared" si="91"/>
        <v>0.95641223091165684</v>
      </c>
      <c r="X91" s="190">
        <f t="shared" si="91"/>
        <v>0.95641223091165684</v>
      </c>
      <c r="Y91" s="190">
        <f t="shared" si="91"/>
        <v>0.95641223091165684</v>
      </c>
      <c r="Z91" s="190">
        <f t="shared" si="91"/>
        <v>0.95641223091165684</v>
      </c>
      <c r="AA91" s="190">
        <f t="shared" si="91"/>
        <v>1.0042328424572395</v>
      </c>
      <c r="AB91" s="190">
        <f t="shared" si="91"/>
        <v>1.0042328424572395</v>
      </c>
      <c r="AC91" s="190">
        <f t="shared" si="91"/>
        <v>1.0042328424572395</v>
      </c>
      <c r="AD91" s="190">
        <f t="shared" si="91"/>
        <v>1.0042328424572395</v>
      </c>
      <c r="AE91" s="190">
        <f t="shared" si="91"/>
        <v>1.0042328424572395</v>
      </c>
      <c r="AF91" s="190">
        <f t="shared" si="91"/>
        <v>1.0042328424572395</v>
      </c>
      <c r="AG91" s="190">
        <f t="shared" si="91"/>
        <v>1.0042328424572395</v>
      </c>
      <c r="AH91" s="190">
        <f t="shared" si="91"/>
        <v>1.0042328424572395</v>
      </c>
      <c r="AI91" s="190">
        <f t="shared" si="91"/>
        <v>1.0042328424572395</v>
      </c>
      <c r="AJ91" s="190">
        <f t="shared" si="91"/>
        <v>1.0042328424572395</v>
      </c>
      <c r="AK91" s="190">
        <f t="shared" si="91"/>
        <v>1.0042328424572395</v>
      </c>
      <c r="AL91" s="190">
        <f t="shared" si="91"/>
        <v>1.0042328424572395</v>
      </c>
      <c r="AM91" s="190">
        <f t="shared" si="91"/>
        <v>1.0544444845801015</v>
      </c>
      <c r="AN91" s="190">
        <f t="shared" si="91"/>
        <v>1.0544444845801015</v>
      </c>
      <c r="AO91" s="190">
        <f t="shared" si="91"/>
        <v>1.0544444845801015</v>
      </c>
      <c r="AP91" s="190">
        <f t="shared" si="91"/>
        <v>1.0544444845801015</v>
      </c>
      <c r="AQ91" s="190">
        <f t="shared" si="91"/>
        <v>1.0544444845801015</v>
      </c>
      <c r="AR91" s="190">
        <f t="shared" si="91"/>
        <v>1.0544444845801015</v>
      </c>
      <c r="AS91" s="190">
        <f t="shared" si="91"/>
        <v>1.0544444845801015</v>
      </c>
      <c r="AT91" s="190">
        <f t="shared" si="91"/>
        <v>1.0544444845801015</v>
      </c>
      <c r="AU91" s="190">
        <f t="shared" si="91"/>
        <v>1.0544444845801015</v>
      </c>
      <c r="AV91" s="190">
        <f t="shared" si="91"/>
        <v>1.0544444845801015</v>
      </c>
      <c r="AW91" s="190">
        <f t="shared" si="91"/>
        <v>1.0544444845801015</v>
      </c>
      <c r="AX91" s="190">
        <f t="shared" si="91"/>
        <v>1.0544444845801015</v>
      </c>
      <c r="AY91" s="190">
        <f t="shared" si="91"/>
        <v>1.1071667088091066</v>
      </c>
      <c r="AZ91" s="190">
        <f t="shared" si="91"/>
        <v>1.1071667088091066</v>
      </c>
      <c r="BA91" s="190">
        <f t="shared" si="91"/>
        <v>1.1071667088091066</v>
      </c>
      <c r="BB91" s="190">
        <f t="shared" si="91"/>
        <v>1.1071667088091066</v>
      </c>
      <c r="BC91" s="190">
        <f t="shared" si="91"/>
        <v>1.1071667088091066</v>
      </c>
      <c r="BD91" s="190">
        <f t="shared" si="91"/>
        <v>1.1071667088091066</v>
      </c>
      <c r="BE91" s="190">
        <f t="shared" si="91"/>
        <v>1.1071667088091066</v>
      </c>
      <c r="BF91" s="190">
        <f t="shared" si="91"/>
        <v>1.1071667088091066</v>
      </c>
      <c r="BG91" s="190">
        <f t="shared" si="91"/>
        <v>1.1071667088091066</v>
      </c>
      <c r="BH91" s="190">
        <f t="shared" si="91"/>
        <v>1.1071667088091066</v>
      </c>
      <c r="BI91" s="190">
        <f t="shared" si="91"/>
        <v>1.1071667088091066</v>
      </c>
      <c r="BJ91" s="190">
        <f t="shared" si="91"/>
        <v>1.1071667088091066</v>
      </c>
      <c r="BK91" s="190">
        <f t="shared" si="91"/>
        <v>1.1625250442495623</v>
      </c>
      <c r="BL91" s="190">
        <f t="shared" si="91"/>
        <v>1.1625250442495623</v>
      </c>
      <c r="BM91" s="190">
        <f t="shared" si="91"/>
        <v>1.1625250442495623</v>
      </c>
      <c r="BN91" s="190">
        <f t="shared" si="91"/>
        <v>1.1625250442495623</v>
      </c>
      <c r="BO91" s="190">
        <f t="shared" si="91"/>
        <v>1.1625250442495623</v>
      </c>
      <c r="BP91" s="190">
        <f t="shared" ref="BP91:EA91" si="92">BP88-SUM(BP89:BP90)</f>
        <v>1.1625250442495623</v>
      </c>
      <c r="BQ91" s="190">
        <f t="shared" si="92"/>
        <v>1.1625250442495623</v>
      </c>
      <c r="BR91" s="190">
        <f t="shared" si="92"/>
        <v>1.1625250442495623</v>
      </c>
      <c r="BS91" s="190">
        <f t="shared" si="92"/>
        <v>1.1625250442495623</v>
      </c>
      <c r="BT91" s="190">
        <f t="shared" si="92"/>
        <v>1.1625250442495623</v>
      </c>
      <c r="BU91" s="190">
        <f t="shared" si="92"/>
        <v>1.1625250442495623</v>
      </c>
      <c r="BV91" s="190">
        <f t="shared" si="92"/>
        <v>1.1625250442495623</v>
      </c>
      <c r="BW91" s="190">
        <f t="shared" si="92"/>
        <v>1.2206512964620402</v>
      </c>
      <c r="BX91" s="190">
        <f t="shared" si="92"/>
        <v>1.2206512964620402</v>
      </c>
      <c r="BY91" s="190">
        <f t="shared" si="92"/>
        <v>1.2206512964620402</v>
      </c>
      <c r="BZ91" s="190">
        <f t="shared" si="92"/>
        <v>1.2206512964620402</v>
      </c>
      <c r="CA91" s="190">
        <f t="shared" si="92"/>
        <v>1.2206512964620402</v>
      </c>
      <c r="CB91" s="190">
        <f t="shared" si="92"/>
        <v>1.2206512964620402</v>
      </c>
      <c r="CC91" s="190">
        <f t="shared" si="92"/>
        <v>1.2206512964620402</v>
      </c>
      <c r="CD91" s="190">
        <f t="shared" si="92"/>
        <v>1.2206512964620402</v>
      </c>
      <c r="CE91" s="190">
        <f t="shared" si="92"/>
        <v>1.2206512964620402</v>
      </c>
      <c r="CF91" s="190">
        <f t="shared" si="92"/>
        <v>1.2206512964620402</v>
      </c>
      <c r="CG91" s="190">
        <f t="shared" si="92"/>
        <v>1.2206512964620402</v>
      </c>
      <c r="CH91" s="190">
        <f t="shared" si="92"/>
        <v>1.2206512964620402</v>
      </c>
      <c r="CI91" s="190">
        <f t="shared" si="92"/>
        <v>1.2816838612851422</v>
      </c>
      <c r="CJ91" s="190">
        <f t="shared" si="92"/>
        <v>1.2816838612851422</v>
      </c>
      <c r="CK91" s="190">
        <f t="shared" si="92"/>
        <v>1.2816838612851422</v>
      </c>
      <c r="CL91" s="190">
        <f t="shared" si="92"/>
        <v>1.2816838612851422</v>
      </c>
      <c r="CM91" s="190">
        <f t="shared" si="92"/>
        <v>1.2816838612851422</v>
      </c>
      <c r="CN91" s="190">
        <f t="shared" si="92"/>
        <v>1.2816838612851422</v>
      </c>
      <c r="CO91" s="190">
        <f t="shared" si="92"/>
        <v>1.2816838612851422</v>
      </c>
      <c r="CP91" s="190">
        <f t="shared" si="92"/>
        <v>1.2816838612851422</v>
      </c>
      <c r="CQ91" s="190">
        <f t="shared" si="92"/>
        <v>1.2816838612851422</v>
      </c>
      <c r="CR91" s="190">
        <f t="shared" si="92"/>
        <v>1.2816838612851422</v>
      </c>
      <c r="CS91" s="190">
        <f t="shared" si="92"/>
        <v>1.2816838612851422</v>
      </c>
      <c r="CT91" s="190">
        <f t="shared" si="92"/>
        <v>1.2816838612851422</v>
      </c>
      <c r="CU91" s="190">
        <f t="shared" si="92"/>
        <v>1.3457680543493995</v>
      </c>
      <c r="CV91" s="190">
        <f t="shared" si="92"/>
        <v>1.3457680543493995</v>
      </c>
      <c r="CW91" s="190">
        <f t="shared" si="92"/>
        <v>1.3457680543493995</v>
      </c>
      <c r="CX91" s="190">
        <f t="shared" si="92"/>
        <v>1.3457680543493995</v>
      </c>
      <c r="CY91" s="190">
        <f t="shared" si="92"/>
        <v>1.3457680543493995</v>
      </c>
      <c r="CZ91" s="190">
        <f t="shared" si="92"/>
        <v>1.3457680543493995</v>
      </c>
      <c r="DA91" s="190">
        <f t="shared" si="92"/>
        <v>1.3457680543493995</v>
      </c>
      <c r="DB91" s="190">
        <f t="shared" si="92"/>
        <v>1.3457680543493995</v>
      </c>
      <c r="DC91" s="190">
        <f t="shared" si="92"/>
        <v>1.3457680543493995</v>
      </c>
      <c r="DD91" s="190">
        <f t="shared" si="92"/>
        <v>1.3457680543493995</v>
      </c>
      <c r="DE91" s="190">
        <f t="shared" si="92"/>
        <v>1.3457680543493995</v>
      </c>
      <c r="DF91" s="190">
        <f t="shared" si="92"/>
        <v>1.3457680543493995</v>
      </c>
      <c r="DG91" s="190">
        <f t="shared" si="92"/>
        <v>1.4130564570668693</v>
      </c>
      <c r="DH91" s="190">
        <f t="shared" si="92"/>
        <v>1.4130564570668693</v>
      </c>
      <c r="DI91" s="190">
        <f t="shared" si="92"/>
        <v>1.4130564570668693</v>
      </c>
      <c r="DJ91" s="190">
        <f t="shared" si="92"/>
        <v>1.4130564570668693</v>
      </c>
      <c r="DK91" s="190">
        <f t="shared" si="92"/>
        <v>1.4130564570668693</v>
      </c>
      <c r="DL91" s="190">
        <f t="shared" si="92"/>
        <v>1.4130564570668693</v>
      </c>
      <c r="DM91" s="190">
        <f t="shared" si="92"/>
        <v>1.4130564570668693</v>
      </c>
      <c r="DN91" s="190">
        <f t="shared" si="92"/>
        <v>1.4130564570668693</v>
      </c>
      <c r="DO91" s="190">
        <f t="shared" si="92"/>
        <v>1.4130564570668693</v>
      </c>
      <c r="DP91" s="190">
        <f t="shared" si="92"/>
        <v>1.4130564570668693</v>
      </c>
      <c r="DQ91" s="190">
        <f t="shared" si="92"/>
        <v>1.4130564570668693</v>
      </c>
      <c r="DR91" s="190">
        <f t="shared" si="92"/>
        <v>1.4130564570668693</v>
      </c>
      <c r="DS91" s="190">
        <f t="shared" si="92"/>
        <v>1.4837092799202132</v>
      </c>
      <c r="DT91" s="190">
        <f t="shared" si="92"/>
        <v>1.4837092799202132</v>
      </c>
      <c r="DU91" s="190">
        <f t="shared" si="92"/>
        <v>1.4837092799202132</v>
      </c>
      <c r="DV91" s="190">
        <f t="shared" si="92"/>
        <v>1.4837092799202132</v>
      </c>
      <c r="DW91" s="190">
        <f t="shared" si="92"/>
        <v>1.4837092799202132</v>
      </c>
      <c r="DX91" s="190">
        <f t="shared" si="92"/>
        <v>1.4837092799202132</v>
      </c>
      <c r="DY91" s="190">
        <f t="shared" si="92"/>
        <v>1.4837092799202132</v>
      </c>
      <c r="DZ91" s="190">
        <f t="shared" si="92"/>
        <v>1.4837092799202132</v>
      </c>
      <c r="EA91" s="190">
        <f t="shared" si="92"/>
        <v>1.4837092799202132</v>
      </c>
      <c r="EB91" s="190">
        <f t="shared" ref="EB91:GM91" si="93">EB88-SUM(EB89:EB90)</f>
        <v>1.4837092799202132</v>
      </c>
      <c r="EC91" s="190">
        <f t="shared" si="93"/>
        <v>1.4837092799202132</v>
      </c>
      <c r="ED91" s="190">
        <f t="shared" si="93"/>
        <v>1.4837092799202132</v>
      </c>
      <c r="EE91" s="190">
        <f t="shared" si="93"/>
        <v>1.5578947439162238</v>
      </c>
      <c r="EF91" s="190">
        <f t="shared" si="93"/>
        <v>1.5578947439162238</v>
      </c>
      <c r="EG91" s="190">
        <f t="shared" si="93"/>
        <v>1.5578947439162238</v>
      </c>
      <c r="EH91" s="190">
        <f t="shared" si="93"/>
        <v>1.5578947439162238</v>
      </c>
      <c r="EI91" s="190">
        <f t="shared" si="93"/>
        <v>1.5578947439162238</v>
      </c>
      <c r="EJ91" s="190">
        <f t="shared" si="93"/>
        <v>1.5578947439162238</v>
      </c>
      <c r="EK91" s="190">
        <f t="shared" si="93"/>
        <v>1.5578947439162238</v>
      </c>
      <c r="EL91" s="190">
        <f t="shared" si="93"/>
        <v>1.5578947439162238</v>
      </c>
      <c r="EM91" s="190">
        <f t="shared" si="93"/>
        <v>1.5578947439162238</v>
      </c>
      <c r="EN91" s="190">
        <f t="shared" si="93"/>
        <v>1.5578947439162238</v>
      </c>
      <c r="EO91" s="190">
        <f t="shared" si="93"/>
        <v>1.5578947439162238</v>
      </c>
      <c r="EP91" s="190">
        <f t="shared" si="93"/>
        <v>1.5578947439162238</v>
      </c>
      <c r="EQ91" s="190">
        <f t="shared" si="93"/>
        <v>1.6357894811120355</v>
      </c>
      <c r="ER91" s="190">
        <f t="shared" si="93"/>
        <v>1.6357894811120355</v>
      </c>
      <c r="ES91" s="190">
        <f t="shared" si="93"/>
        <v>1.6357894811120355</v>
      </c>
      <c r="ET91" s="190">
        <f t="shared" si="93"/>
        <v>1.6357894811120355</v>
      </c>
      <c r="EU91" s="190">
        <f t="shared" si="93"/>
        <v>1.6357894811120355</v>
      </c>
      <c r="EV91" s="190">
        <f t="shared" si="93"/>
        <v>1.6357894811120355</v>
      </c>
      <c r="EW91" s="190">
        <f t="shared" si="93"/>
        <v>1.6357894811120355</v>
      </c>
      <c r="EX91" s="190">
        <f t="shared" si="93"/>
        <v>1.6357894811120355</v>
      </c>
      <c r="EY91" s="190">
        <f t="shared" si="93"/>
        <v>1.6357894811120355</v>
      </c>
      <c r="EZ91" s="190">
        <f t="shared" si="93"/>
        <v>1.6357894811120355</v>
      </c>
      <c r="FA91" s="190">
        <f t="shared" si="93"/>
        <v>1.6357894811120355</v>
      </c>
      <c r="FB91" s="190">
        <f t="shared" si="93"/>
        <v>1.6357894811120355</v>
      </c>
      <c r="FC91" s="190">
        <f t="shared" si="93"/>
        <v>1.7175789551676375</v>
      </c>
      <c r="FD91" s="190">
        <f t="shared" si="93"/>
        <v>1.7175789551676375</v>
      </c>
      <c r="FE91" s="190">
        <f t="shared" si="93"/>
        <v>1.7175789551676375</v>
      </c>
      <c r="FF91" s="190">
        <f t="shared" si="93"/>
        <v>1.7175789551676375</v>
      </c>
      <c r="FG91" s="190">
        <f t="shared" si="93"/>
        <v>1.7175789551676375</v>
      </c>
      <c r="FH91" s="190">
        <f t="shared" si="93"/>
        <v>1.7175789551676375</v>
      </c>
      <c r="FI91" s="190">
        <f t="shared" si="93"/>
        <v>1.7175789551676375</v>
      </c>
      <c r="FJ91" s="190">
        <f t="shared" si="93"/>
        <v>1.7175789551676375</v>
      </c>
      <c r="FK91" s="190">
        <f t="shared" si="93"/>
        <v>1.7175789551676375</v>
      </c>
      <c r="FL91" s="190">
        <f t="shared" si="93"/>
        <v>1.7175789551676375</v>
      </c>
      <c r="FM91" s="190">
        <f t="shared" si="93"/>
        <v>1.7175789551676375</v>
      </c>
      <c r="FN91" s="190">
        <f t="shared" si="93"/>
        <v>1.7175789551676375</v>
      </c>
      <c r="FO91" s="190">
        <f t="shared" si="93"/>
        <v>1.8034579029260189</v>
      </c>
      <c r="FP91" s="190">
        <f t="shared" si="93"/>
        <v>1.8034579029260189</v>
      </c>
      <c r="FQ91" s="190">
        <f t="shared" si="93"/>
        <v>1.8034579029260189</v>
      </c>
      <c r="FR91" s="190">
        <f t="shared" si="93"/>
        <v>1.8034579029260189</v>
      </c>
      <c r="FS91" s="190">
        <f t="shared" si="93"/>
        <v>1.8034579029260189</v>
      </c>
      <c r="FT91" s="190">
        <f t="shared" si="93"/>
        <v>1.8034579029260189</v>
      </c>
      <c r="FU91" s="190">
        <f t="shared" si="93"/>
        <v>1.8034579029260189</v>
      </c>
      <c r="FV91" s="190">
        <f t="shared" si="93"/>
        <v>1.8034579029260189</v>
      </c>
      <c r="FW91" s="190">
        <f t="shared" si="93"/>
        <v>1.8034579029260189</v>
      </c>
      <c r="FX91" s="190">
        <f t="shared" si="93"/>
        <v>1.8034579029260189</v>
      </c>
      <c r="FY91" s="190">
        <f t="shared" si="93"/>
        <v>1.8034579029260189</v>
      </c>
      <c r="FZ91" s="190">
        <f t="shared" si="93"/>
        <v>1.8034579029260189</v>
      </c>
      <c r="GA91" s="190">
        <f t="shared" si="93"/>
        <v>1.8936307980723202</v>
      </c>
      <c r="GB91" s="190">
        <f t="shared" si="93"/>
        <v>1.8936307980723202</v>
      </c>
      <c r="GC91" s="190">
        <f t="shared" si="93"/>
        <v>1.8936307980723202</v>
      </c>
      <c r="GD91" s="190">
        <f t="shared" si="93"/>
        <v>1.8936307980723202</v>
      </c>
      <c r="GE91" s="190">
        <f t="shared" si="93"/>
        <v>1.8936307980723202</v>
      </c>
      <c r="GF91" s="190">
        <f t="shared" si="93"/>
        <v>1.8936307980723202</v>
      </c>
      <c r="GG91" s="190">
        <f t="shared" si="93"/>
        <v>1.8936307980723202</v>
      </c>
      <c r="GH91" s="190">
        <f t="shared" si="93"/>
        <v>1.8936307980723202</v>
      </c>
      <c r="GI91" s="190">
        <f t="shared" si="93"/>
        <v>1.8936307980723202</v>
      </c>
      <c r="GJ91" s="190">
        <f t="shared" si="93"/>
        <v>1.8936307980723202</v>
      </c>
      <c r="GK91" s="190">
        <f t="shared" si="93"/>
        <v>1.8936307980723202</v>
      </c>
      <c r="GL91" s="190">
        <f t="shared" si="93"/>
        <v>1.8936307980723202</v>
      </c>
      <c r="GM91" s="190">
        <f t="shared" si="93"/>
        <v>1.9883123379759362</v>
      </c>
      <c r="GN91" s="190">
        <f t="shared" ref="GN91:IY91" si="94">GN88-SUM(GN89:GN90)</f>
        <v>1.9883123379759362</v>
      </c>
      <c r="GO91" s="190">
        <f t="shared" si="94"/>
        <v>1.9883123379759362</v>
      </c>
      <c r="GP91" s="190">
        <f t="shared" si="94"/>
        <v>1.9883123379759362</v>
      </c>
      <c r="GQ91" s="190">
        <f t="shared" si="94"/>
        <v>1.9883123379759362</v>
      </c>
      <c r="GR91" s="190">
        <f t="shared" si="94"/>
        <v>1.9883123379759362</v>
      </c>
      <c r="GS91" s="190">
        <f t="shared" si="94"/>
        <v>1.9883123379759362</v>
      </c>
      <c r="GT91" s="190">
        <f t="shared" si="94"/>
        <v>1.9883123379759362</v>
      </c>
      <c r="GU91" s="190">
        <f t="shared" si="94"/>
        <v>1.9883123379759362</v>
      </c>
      <c r="GV91" s="190">
        <f t="shared" si="94"/>
        <v>1.9883123379759362</v>
      </c>
      <c r="GW91" s="190">
        <f t="shared" si="94"/>
        <v>1.9883123379759362</v>
      </c>
      <c r="GX91" s="190">
        <f t="shared" si="94"/>
        <v>1.9883123379759362</v>
      </c>
      <c r="GY91" s="190">
        <f t="shared" si="94"/>
        <v>2.0877279548747332</v>
      </c>
      <c r="GZ91" s="190">
        <f t="shared" si="94"/>
        <v>2.0877279548747332</v>
      </c>
      <c r="HA91" s="190">
        <f t="shared" si="94"/>
        <v>2.0877279548747332</v>
      </c>
      <c r="HB91" s="190">
        <f t="shared" si="94"/>
        <v>2.0877279548747332</v>
      </c>
      <c r="HC91" s="190">
        <f t="shared" si="94"/>
        <v>2.0877279548747332</v>
      </c>
      <c r="HD91" s="190">
        <f t="shared" si="94"/>
        <v>2.0877279548747332</v>
      </c>
      <c r="HE91" s="190">
        <f t="shared" si="94"/>
        <v>2.0877279548747332</v>
      </c>
      <c r="HF91" s="190">
        <f t="shared" si="94"/>
        <v>2.0877279548747332</v>
      </c>
      <c r="HG91" s="190">
        <f t="shared" si="94"/>
        <v>2.0877279548747332</v>
      </c>
      <c r="HH91" s="190">
        <f t="shared" si="94"/>
        <v>2.0877279548747332</v>
      </c>
      <c r="HI91" s="190">
        <f t="shared" si="94"/>
        <v>2.0877279548747332</v>
      </c>
      <c r="HJ91" s="190">
        <f t="shared" si="94"/>
        <v>2.0877279548747332</v>
      </c>
      <c r="HK91" s="190">
        <f t="shared" si="94"/>
        <v>2.1921143526184697</v>
      </c>
      <c r="HL91" s="190">
        <f t="shared" si="94"/>
        <v>2.1921143526184697</v>
      </c>
      <c r="HM91" s="190">
        <f t="shared" si="94"/>
        <v>2.1921143526184697</v>
      </c>
      <c r="HN91" s="190">
        <f t="shared" si="94"/>
        <v>2.1921143526184697</v>
      </c>
      <c r="HO91" s="190">
        <f t="shared" si="94"/>
        <v>2.1921143526184697</v>
      </c>
      <c r="HP91" s="190">
        <f t="shared" si="94"/>
        <v>2.1921143526184697</v>
      </c>
      <c r="HQ91" s="190">
        <f t="shared" si="94"/>
        <v>2.1921143526184697</v>
      </c>
      <c r="HR91" s="190">
        <f t="shared" si="94"/>
        <v>2.1921143526184697</v>
      </c>
      <c r="HS91" s="190">
        <f t="shared" si="94"/>
        <v>2.1921143526184697</v>
      </c>
      <c r="HT91" s="190">
        <f t="shared" si="94"/>
        <v>2.1921143526184697</v>
      </c>
      <c r="HU91" s="190">
        <f t="shared" si="94"/>
        <v>2.1921143526184697</v>
      </c>
      <c r="HV91" s="190">
        <f t="shared" si="94"/>
        <v>2.1921143526184697</v>
      </c>
      <c r="HW91" s="190">
        <f t="shared" si="94"/>
        <v>2.3017200702493934</v>
      </c>
      <c r="HX91" s="190">
        <f t="shared" si="94"/>
        <v>2.3017200702493934</v>
      </c>
      <c r="HY91" s="190">
        <f t="shared" si="94"/>
        <v>2.3017200702493934</v>
      </c>
      <c r="HZ91" s="190">
        <f t="shared" si="94"/>
        <v>2.3017200702493934</v>
      </c>
      <c r="IA91" s="190">
        <f t="shared" si="94"/>
        <v>2.3017200702493934</v>
      </c>
      <c r="IB91" s="190">
        <f t="shared" si="94"/>
        <v>2.3017200702493934</v>
      </c>
      <c r="IC91" s="190">
        <f t="shared" si="94"/>
        <v>2.3017200702493934</v>
      </c>
      <c r="ID91" s="190">
        <f t="shared" si="94"/>
        <v>2.3017200702493934</v>
      </c>
      <c r="IE91" s="190">
        <f t="shared" si="94"/>
        <v>2.3017200702493934</v>
      </c>
      <c r="IF91" s="190">
        <f t="shared" si="94"/>
        <v>2.3017200702493934</v>
      </c>
      <c r="IG91" s="190">
        <f t="shared" si="94"/>
        <v>2.3017200702493934</v>
      </c>
      <c r="IH91" s="190">
        <f t="shared" si="94"/>
        <v>2.3017200702493934</v>
      </c>
      <c r="II91" s="190">
        <f t="shared" si="94"/>
        <v>2.4168060737618635</v>
      </c>
      <c r="IJ91" s="190">
        <f t="shared" si="94"/>
        <v>2.4168060737618635</v>
      </c>
      <c r="IK91" s="190">
        <f t="shared" si="94"/>
        <v>2.4168060737618635</v>
      </c>
      <c r="IL91" s="190">
        <f t="shared" si="94"/>
        <v>2.4168060737618635</v>
      </c>
      <c r="IM91" s="190">
        <f t="shared" si="94"/>
        <v>2.4168060737618635</v>
      </c>
      <c r="IN91" s="190">
        <f t="shared" si="94"/>
        <v>2.4168060737618635</v>
      </c>
      <c r="IO91" s="190">
        <f t="shared" si="94"/>
        <v>0.11240958482613317</v>
      </c>
      <c r="IP91" s="190">
        <f t="shared" si="94"/>
        <v>0.11240958482613317</v>
      </c>
      <c r="IQ91" s="190">
        <f t="shared" si="94"/>
        <v>0.11240958482613317</v>
      </c>
      <c r="IR91" s="190">
        <f t="shared" si="94"/>
        <v>0.11240958482613317</v>
      </c>
      <c r="IS91" s="190">
        <f t="shared" si="94"/>
        <v>0.11240958482613317</v>
      </c>
      <c r="IT91" s="190">
        <f t="shared" si="94"/>
        <v>0.11240958482613317</v>
      </c>
      <c r="IU91" s="190">
        <f t="shared" si="94"/>
        <v>0.11803006406743984</v>
      </c>
      <c r="IV91" s="190">
        <f t="shared" si="94"/>
        <v>0.11803006406743984</v>
      </c>
      <c r="IW91" s="190">
        <f t="shared" si="94"/>
        <v>0.11803006406743984</v>
      </c>
      <c r="IX91" s="190">
        <f t="shared" si="94"/>
        <v>0.11803006406743984</v>
      </c>
      <c r="IY91" s="190">
        <f t="shared" si="94"/>
        <v>0.11803006406743984</v>
      </c>
      <c r="IZ91" s="190">
        <f t="shared" ref="IZ91:JI91" si="95">IZ88-SUM(IZ89:IZ90)</f>
        <v>0.11803006406743984</v>
      </c>
      <c r="JA91" s="190">
        <f t="shared" si="95"/>
        <v>0.11803006406743984</v>
      </c>
      <c r="JB91" s="190">
        <f t="shared" si="95"/>
        <v>0.11803006406743984</v>
      </c>
      <c r="JC91" s="190">
        <f t="shared" si="95"/>
        <v>0.11803006406743984</v>
      </c>
      <c r="JD91" s="190">
        <f t="shared" si="95"/>
        <v>0.11803006406743984</v>
      </c>
      <c r="JE91" s="190">
        <f t="shared" si="95"/>
        <v>0.11803006406743984</v>
      </c>
      <c r="JF91" s="190">
        <f t="shared" si="95"/>
        <v>0.11803006406743984</v>
      </c>
      <c r="JG91" s="190">
        <f t="shared" si="95"/>
        <v>0.12393156727081184</v>
      </c>
      <c r="JH91" s="190">
        <f t="shared" si="95"/>
        <v>0.12393156727081184</v>
      </c>
      <c r="JI91" s="249">
        <f t="shared" si="95"/>
        <v>0.12393156727081184</v>
      </c>
      <c r="JJ91" s="250">
        <f>SUM(C91:JI91)</f>
        <v>367.45797170619886</v>
      </c>
      <c r="JK91" s="54"/>
      <c r="JL91" s="54"/>
      <c r="JM91" s="54"/>
      <c r="JN91" s="54"/>
      <c r="JO91" s="54"/>
      <c r="JQ91" s="39"/>
    </row>
    <row r="94" spans="2:277" ht="14.4" thickBot="1" x14ac:dyDescent="0.35">
      <c r="B94" s="540" t="s">
        <v>429</v>
      </c>
      <c r="C94" s="471"/>
      <c r="D94" s="471"/>
      <c r="E94" s="471"/>
      <c r="F94" s="471"/>
      <c r="G94" s="471"/>
      <c r="H94" s="471"/>
      <c r="I94" s="471"/>
      <c r="J94" s="471"/>
      <c r="K94" s="471"/>
      <c r="L94" s="471"/>
      <c r="M94" s="471"/>
      <c r="N94" s="471"/>
      <c r="O94" s="471"/>
      <c r="P94" s="471"/>
      <c r="Q94" s="471"/>
      <c r="R94" s="471"/>
      <c r="S94" s="471"/>
      <c r="T94" s="471"/>
      <c r="U94" s="471"/>
      <c r="V94" s="471"/>
      <c r="W94" s="471"/>
      <c r="X94" s="471"/>
      <c r="Y94" s="500"/>
    </row>
    <row r="95" spans="2:277" ht="14.4" thickTop="1" x14ac:dyDescent="0.3">
      <c r="B95" s="169"/>
      <c r="C95" s="476">
        <f>C33</f>
        <v>46112</v>
      </c>
      <c r="D95" s="476">
        <f t="shared" ref="D95:Y95" si="96">D33</f>
        <v>46477</v>
      </c>
      <c r="E95" s="476">
        <f t="shared" si="96"/>
        <v>46843</v>
      </c>
      <c r="F95" s="476">
        <f t="shared" si="96"/>
        <v>47208</v>
      </c>
      <c r="G95" s="476">
        <f t="shared" si="96"/>
        <v>47573</v>
      </c>
      <c r="H95" s="476">
        <f t="shared" si="96"/>
        <v>47938</v>
      </c>
      <c r="I95" s="476">
        <f t="shared" si="96"/>
        <v>48304</v>
      </c>
      <c r="J95" s="476">
        <f t="shared" si="96"/>
        <v>48669</v>
      </c>
      <c r="K95" s="476">
        <f t="shared" si="96"/>
        <v>49034</v>
      </c>
      <c r="L95" s="476">
        <f t="shared" si="96"/>
        <v>49399</v>
      </c>
      <c r="M95" s="476">
        <f t="shared" si="96"/>
        <v>49765</v>
      </c>
      <c r="N95" s="476">
        <f t="shared" si="96"/>
        <v>50130</v>
      </c>
      <c r="O95" s="476">
        <f t="shared" si="96"/>
        <v>50495</v>
      </c>
      <c r="P95" s="476">
        <f t="shared" si="96"/>
        <v>50860</v>
      </c>
      <c r="Q95" s="476">
        <f t="shared" si="96"/>
        <v>51226</v>
      </c>
      <c r="R95" s="476">
        <f t="shared" si="96"/>
        <v>51591</v>
      </c>
      <c r="S95" s="476">
        <f t="shared" si="96"/>
        <v>51956</v>
      </c>
      <c r="T95" s="476">
        <f t="shared" si="96"/>
        <v>52321</v>
      </c>
      <c r="U95" s="476">
        <f t="shared" si="96"/>
        <v>52687</v>
      </c>
      <c r="V95" s="476">
        <f t="shared" si="96"/>
        <v>53052</v>
      </c>
      <c r="W95" s="476">
        <f t="shared" si="96"/>
        <v>53417</v>
      </c>
      <c r="X95" s="476">
        <f t="shared" si="96"/>
        <v>53782</v>
      </c>
      <c r="Y95" s="505">
        <f t="shared" si="96"/>
        <v>54148</v>
      </c>
      <c r="Z95" s="58"/>
    </row>
    <row r="96" spans="2:277" x14ac:dyDescent="0.3">
      <c r="B96" s="429" t="s">
        <v>299</v>
      </c>
      <c r="C96" s="462">
        <f t="shared" ref="C96:Y96" si="97">SUMIFS(91:91,85:85,C95)</f>
        <v>0</v>
      </c>
      <c r="D96" s="462">
        <f t="shared" si="97"/>
        <v>2.8692366927349706</v>
      </c>
      <c r="E96" s="462">
        <f t="shared" si="97"/>
        <v>11.620408605576632</v>
      </c>
      <c r="F96" s="462">
        <f t="shared" si="97"/>
        <v>12.201429035855465</v>
      </c>
      <c r="G96" s="462">
        <f t="shared" si="97"/>
        <v>12.811500487648235</v>
      </c>
      <c r="H96" s="462">
        <f t="shared" si="97"/>
        <v>13.452075512030648</v>
      </c>
      <c r="I96" s="462">
        <f t="shared" si="97"/>
        <v>14.124679287632185</v>
      </c>
      <c r="J96" s="462">
        <f t="shared" si="97"/>
        <v>14.830913252013788</v>
      </c>
      <c r="K96" s="462">
        <f t="shared" si="97"/>
        <v>15.572458914614478</v>
      </c>
      <c r="L96" s="462">
        <f t="shared" si="97"/>
        <v>16.351081860345204</v>
      </c>
      <c r="M96" s="462">
        <f t="shared" si="97"/>
        <v>17.168635953362461</v>
      </c>
      <c r="N96" s="462">
        <f t="shared" si="97"/>
        <v>18.027067751030586</v>
      </c>
      <c r="O96" s="462">
        <f t="shared" si="97"/>
        <v>18.92842113858212</v>
      </c>
      <c r="P96" s="462">
        <f t="shared" si="97"/>
        <v>19.874842195511231</v>
      </c>
      <c r="Q96" s="462">
        <f t="shared" si="97"/>
        <v>20.868584305286795</v>
      </c>
      <c r="R96" s="462">
        <f t="shared" si="97"/>
        <v>21.912013520551127</v>
      </c>
      <c r="S96" s="462">
        <f t="shared" si="97"/>
        <v>23.00761419657869</v>
      </c>
      <c r="T96" s="462">
        <f t="shared" si="97"/>
        <v>24.157994906407623</v>
      </c>
      <c r="U96" s="462">
        <f t="shared" si="97"/>
        <v>25.365894651728006</v>
      </c>
      <c r="V96" s="462">
        <f t="shared" si="97"/>
        <v>26.634189384314411</v>
      </c>
      <c r="W96" s="462">
        <f t="shared" si="97"/>
        <v>27.965898853530128</v>
      </c>
      <c r="X96" s="462">
        <f t="shared" si="97"/>
        <v>8.2789659224447085</v>
      </c>
      <c r="Y96" s="506">
        <f t="shared" si="97"/>
        <v>1.4340652784193944</v>
      </c>
      <c r="Z96" s="33"/>
    </row>
    <row r="98" spans="1:25" x14ac:dyDescent="0.3">
      <c r="C98" s="543">
        <f>C101</f>
        <v>0</v>
      </c>
      <c r="D98" s="543">
        <f>C98+D101</f>
        <v>3</v>
      </c>
      <c r="E98" s="543">
        <f t="shared" ref="E98:Q98" si="98">D98+E101</f>
        <v>15</v>
      </c>
      <c r="F98" s="543">
        <f t="shared" si="98"/>
        <v>27</v>
      </c>
      <c r="G98" s="543">
        <f t="shared" si="98"/>
        <v>39</v>
      </c>
      <c r="H98" s="543">
        <f t="shared" si="98"/>
        <v>51</v>
      </c>
      <c r="I98" s="543">
        <f t="shared" si="98"/>
        <v>63</v>
      </c>
      <c r="J98" s="543">
        <f t="shared" si="98"/>
        <v>75</v>
      </c>
      <c r="K98" s="543">
        <f t="shared" si="98"/>
        <v>87</v>
      </c>
      <c r="L98" s="543">
        <f t="shared" si="98"/>
        <v>99</v>
      </c>
      <c r="M98" s="543">
        <f t="shared" si="98"/>
        <v>111</v>
      </c>
      <c r="N98" s="543">
        <f t="shared" si="98"/>
        <v>123</v>
      </c>
      <c r="O98" s="543">
        <f t="shared" si="98"/>
        <v>135</v>
      </c>
      <c r="P98" s="543">
        <f t="shared" si="98"/>
        <v>147</v>
      </c>
      <c r="Q98" s="543">
        <f t="shared" si="98"/>
        <v>159</v>
      </c>
      <c r="R98" s="543">
        <f t="shared" ref="R98" si="99">Q98+R101</f>
        <v>171</v>
      </c>
      <c r="S98" s="543">
        <f t="shared" ref="S98" si="100">R98+S101</f>
        <v>180</v>
      </c>
      <c r="T98" s="543">
        <f t="shared" ref="T98" si="101">S98+T101</f>
        <v>180</v>
      </c>
      <c r="U98" s="543">
        <f t="shared" ref="U98" si="102">T98+U101</f>
        <v>180</v>
      </c>
      <c r="V98" s="543">
        <f t="shared" ref="V98" si="103">U98+V101</f>
        <v>180</v>
      </c>
    </row>
    <row r="99" spans="1:25" ht="14.4" thickBot="1" x14ac:dyDescent="0.35">
      <c r="B99" s="540" t="s">
        <v>432</v>
      </c>
      <c r="C99" s="428">
        <v>1</v>
      </c>
      <c r="D99" s="428">
        <f>C99+1</f>
        <v>2</v>
      </c>
      <c r="E99" s="428">
        <f t="shared" ref="E99:Q99" si="104">D99+1</f>
        <v>3</v>
      </c>
      <c r="F99" s="428">
        <f t="shared" si="104"/>
        <v>4</v>
      </c>
      <c r="G99" s="428">
        <f t="shared" si="104"/>
        <v>5</v>
      </c>
      <c r="H99" s="428">
        <f t="shared" si="104"/>
        <v>6</v>
      </c>
      <c r="I99" s="428">
        <f t="shared" si="104"/>
        <v>7</v>
      </c>
      <c r="J99" s="428">
        <f t="shared" si="104"/>
        <v>8</v>
      </c>
      <c r="K99" s="428">
        <f t="shared" si="104"/>
        <v>9</v>
      </c>
      <c r="L99" s="428">
        <f t="shared" si="104"/>
        <v>10</v>
      </c>
      <c r="M99" s="428">
        <f t="shared" si="104"/>
        <v>11</v>
      </c>
      <c r="N99" s="428">
        <f t="shared" si="104"/>
        <v>12</v>
      </c>
      <c r="O99" s="428">
        <f t="shared" si="104"/>
        <v>13</v>
      </c>
      <c r="P99" s="428">
        <f t="shared" si="104"/>
        <v>14</v>
      </c>
      <c r="Q99" s="428">
        <f t="shared" si="104"/>
        <v>15</v>
      </c>
      <c r="R99" s="428">
        <f t="shared" ref="R99" si="105">Q99+1</f>
        <v>16</v>
      </c>
      <c r="S99" s="428">
        <f t="shared" ref="S99" si="106">R99+1</f>
        <v>17</v>
      </c>
      <c r="T99" s="428">
        <f t="shared" ref="T99" si="107">S99+1</f>
        <v>18</v>
      </c>
      <c r="U99" s="428">
        <f t="shared" ref="U99" si="108">T99+1</f>
        <v>19</v>
      </c>
      <c r="V99" s="430">
        <f t="shared" ref="V99" si="109">U99+1</f>
        <v>20</v>
      </c>
    </row>
    <row r="100" spans="1:25" ht="14.4" thickTop="1" x14ac:dyDescent="0.3">
      <c r="B100" s="429"/>
      <c r="C100" s="513">
        <f>C95</f>
        <v>46112</v>
      </c>
      <c r="D100" s="513">
        <f t="shared" ref="D100:S100" si="110">D95</f>
        <v>46477</v>
      </c>
      <c r="E100" s="513">
        <f t="shared" si="110"/>
        <v>46843</v>
      </c>
      <c r="F100" s="513">
        <f t="shared" si="110"/>
        <v>47208</v>
      </c>
      <c r="G100" s="513">
        <f t="shared" si="110"/>
        <v>47573</v>
      </c>
      <c r="H100" s="513">
        <f t="shared" si="110"/>
        <v>47938</v>
      </c>
      <c r="I100" s="513">
        <f t="shared" si="110"/>
        <v>48304</v>
      </c>
      <c r="J100" s="513">
        <f t="shared" si="110"/>
        <v>48669</v>
      </c>
      <c r="K100" s="513">
        <f t="shared" si="110"/>
        <v>49034</v>
      </c>
      <c r="L100" s="513">
        <f t="shared" si="110"/>
        <v>49399</v>
      </c>
      <c r="M100" s="513">
        <f t="shared" si="110"/>
        <v>49765</v>
      </c>
      <c r="N100" s="513">
        <f t="shared" si="110"/>
        <v>50130</v>
      </c>
      <c r="O100" s="513">
        <f t="shared" si="110"/>
        <v>50495</v>
      </c>
      <c r="P100" s="513">
        <f t="shared" si="110"/>
        <v>50860</v>
      </c>
      <c r="Q100" s="513">
        <f t="shared" si="110"/>
        <v>51226</v>
      </c>
      <c r="R100" s="513">
        <f t="shared" si="110"/>
        <v>51591</v>
      </c>
      <c r="S100" s="513">
        <f t="shared" si="110"/>
        <v>51956</v>
      </c>
      <c r="T100" s="513">
        <f t="shared" ref="T100:V100" si="111">T95</f>
        <v>52321</v>
      </c>
      <c r="U100" s="513">
        <f t="shared" si="111"/>
        <v>52687</v>
      </c>
      <c r="V100" s="514">
        <f t="shared" si="111"/>
        <v>53052</v>
      </c>
      <c r="W100" s="58"/>
      <c r="X100" s="58"/>
      <c r="Y100" s="58"/>
    </row>
    <row r="101" spans="1:25" x14ac:dyDescent="0.3">
      <c r="B101" s="429" t="s">
        <v>332</v>
      </c>
      <c r="C101" s="428">
        <f>IF(SUM($B101:B101)&lt;180,COUNTIF(85:85,C100),$C$80-SUM($B101:B101))</f>
        <v>0</v>
      </c>
      <c r="D101" s="428">
        <f>IF(SUM($B101:C101)&lt;180,COUNTIF(85:85,D100),$C$80-SUM($B101:C101))</f>
        <v>3</v>
      </c>
      <c r="E101" s="428">
        <f>IF(SUM($B101:D101)&lt;180,COUNTIF(85:85,E100),$C$80-SUM($B101:D101))</f>
        <v>12</v>
      </c>
      <c r="F101" s="428">
        <f>IF(SUM($B101:E101)&lt;180,COUNTIF(85:85,F100),$C$80-SUM($B101:E101))</f>
        <v>12</v>
      </c>
      <c r="G101" s="428">
        <f>IF(SUM($B101:F101)&lt;180,COUNTIF(85:85,G100),$C$80-SUM($B101:F101))</f>
        <v>12</v>
      </c>
      <c r="H101" s="428">
        <f>IF(SUM($B101:G101)&lt;180,COUNTIF(85:85,H100),$C$80-SUM($B101:G101))</f>
        <v>12</v>
      </c>
      <c r="I101" s="428">
        <f>IF(SUM($B101:H101)&lt;180,COUNTIF(85:85,I100),$C$80-SUM($B101:H101))</f>
        <v>12</v>
      </c>
      <c r="J101" s="428">
        <f>IF(SUM($B101:I101)&lt;180,COUNTIF(85:85,J100),$C$80-SUM($B101:I101))</f>
        <v>12</v>
      </c>
      <c r="K101" s="428">
        <f>IF(SUM($B101:J101)&lt;180,COUNTIF(85:85,K100),$C$80-SUM($B101:J101))</f>
        <v>12</v>
      </c>
      <c r="L101" s="428">
        <f>IF(SUM($B101:K101)&lt;180,COUNTIF(85:85,L100),$C$80-SUM($B101:K101))</f>
        <v>12</v>
      </c>
      <c r="M101" s="428">
        <f>IF(SUM($B101:L101)&lt;180,COUNTIF(85:85,M100),$C$80-SUM($B101:L101))</f>
        <v>12</v>
      </c>
      <c r="N101" s="428">
        <f>IF(SUM($B101:M101)&lt;180,COUNTIF(85:85,N100),$C$80-SUM($B101:M101))</f>
        <v>12</v>
      </c>
      <c r="O101" s="428">
        <f>IF(SUM($B101:N101)&lt;180,COUNTIF(85:85,O100),$C$80-SUM($B101:N101))</f>
        <v>12</v>
      </c>
      <c r="P101" s="428">
        <f>IF(SUM($B101:O101)&lt;180,COUNTIF(85:85,P100),$C$80-SUM($B101:O101))</f>
        <v>12</v>
      </c>
      <c r="Q101" s="428">
        <f>IF(SUM($B101:P101)&lt;180,COUNTIF(85:85,Q100),$C$80-SUM($B101:P101))</f>
        <v>12</v>
      </c>
      <c r="R101" s="428">
        <v>12</v>
      </c>
      <c r="S101" s="428">
        <v>9</v>
      </c>
      <c r="T101" s="428"/>
      <c r="U101" s="428"/>
      <c r="V101" s="430"/>
    </row>
    <row r="102" spans="1:25" x14ac:dyDescent="0.3">
      <c r="A102" s="555">
        <f>SUM(D102:N102)+N102*9/12</f>
        <v>0.50587499999999996</v>
      </c>
      <c r="B102" s="169" t="s">
        <v>333</v>
      </c>
      <c r="D102" s="545">
        <v>1.5E-3</v>
      </c>
      <c r="E102" s="545">
        <v>8.9999999999999993E-3</v>
      </c>
      <c r="F102" s="545">
        <v>1.4999999999999999E-2</v>
      </c>
      <c r="G102" s="545">
        <v>0.02</v>
      </c>
      <c r="H102" s="545">
        <v>2.5000000000000001E-2</v>
      </c>
      <c r="I102" s="545">
        <v>3.2500000000000001E-2</v>
      </c>
      <c r="J102" s="545">
        <v>4.4999999999999998E-2</v>
      </c>
      <c r="K102" s="545">
        <v>5.3499999999999999E-2</v>
      </c>
      <c r="L102" s="545">
        <v>6.5000000000000002E-2</v>
      </c>
      <c r="M102" s="545">
        <v>7.7499999999999999E-2</v>
      </c>
      <c r="N102" s="545">
        <v>9.2499999999999999E-2</v>
      </c>
      <c r="O102" s="545">
        <v>0.09</v>
      </c>
      <c r="P102" s="545">
        <v>0.11</v>
      </c>
      <c r="Q102" s="545">
        <v>0.12</v>
      </c>
      <c r="R102" s="545">
        <v>0.14000000000000001</v>
      </c>
      <c r="S102" s="545">
        <f>1-SUM(D102:R102)</f>
        <v>0.10350000000000004</v>
      </c>
      <c r="T102" s="545"/>
      <c r="U102" s="545"/>
      <c r="V102" s="546"/>
      <c r="W102" s="51"/>
      <c r="X102" s="51"/>
    </row>
    <row r="103" spans="1:25" x14ac:dyDescent="0.3">
      <c r="B103" s="169" t="s">
        <v>334</v>
      </c>
      <c r="D103" s="52">
        <f ca="1">$C77*D102</f>
        <v>0.1605</v>
      </c>
      <c r="E103" s="52">
        <f t="shared" ref="E103:S103" ca="1" si="112">$C77*E102</f>
        <v>0.96299999999999997</v>
      </c>
      <c r="F103" s="52">
        <f t="shared" ca="1" si="112"/>
        <v>1.605</v>
      </c>
      <c r="G103" s="52">
        <f t="shared" ca="1" si="112"/>
        <v>2.14</v>
      </c>
      <c r="H103" s="52">
        <f t="shared" ca="1" si="112"/>
        <v>2.6750000000000003</v>
      </c>
      <c r="I103" s="52">
        <f t="shared" ca="1" si="112"/>
        <v>3.4775</v>
      </c>
      <c r="J103" s="52">
        <f t="shared" ca="1" si="112"/>
        <v>4.8149999999999995</v>
      </c>
      <c r="K103" s="52">
        <f t="shared" ca="1" si="112"/>
        <v>5.7244999999999999</v>
      </c>
      <c r="L103" s="52">
        <f t="shared" ca="1" si="112"/>
        <v>6.9550000000000001</v>
      </c>
      <c r="M103" s="52">
        <f t="shared" ca="1" si="112"/>
        <v>8.2925000000000004</v>
      </c>
      <c r="N103" s="52">
        <f t="shared" ca="1" si="112"/>
        <v>9.8974999999999991</v>
      </c>
      <c r="O103" s="52">
        <f t="shared" ca="1" si="112"/>
        <v>9.629999999999999</v>
      </c>
      <c r="P103" s="52">
        <f t="shared" ca="1" si="112"/>
        <v>11.77</v>
      </c>
      <c r="Q103" s="52">
        <f t="shared" ca="1" si="112"/>
        <v>12.84</v>
      </c>
      <c r="R103" s="52">
        <f t="shared" ca="1" si="112"/>
        <v>14.980000000000002</v>
      </c>
      <c r="S103" s="52">
        <f t="shared" ca="1" si="112"/>
        <v>11.074500000000004</v>
      </c>
      <c r="T103" s="52">
        <f t="shared" ref="T103:V103" ca="1" si="113">$C77*T102</f>
        <v>0</v>
      </c>
      <c r="U103" s="52">
        <f t="shared" ca="1" si="113"/>
        <v>0</v>
      </c>
      <c r="V103" s="244">
        <f t="shared" ca="1" si="113"/>
        <v>0</v>
      </c>
      <c r="W103" s="52"/>
      <c r="X103" s="52"/>
    </row>
    <row r="104" spans="1:25" x14ac:dyDescent="0.3">
      <c r="B104" s="437" t="s">
        <v>335</v>
      </c>
      <c r="C104" s="294"/>
      <c r="D104" s="380">
        <f ca="1">IFERROR(D103/D101,0)</f>
        <v>5.3499999999999999E-2</v>
      </c>
      <c r="E104" s="380">
        <f t="shared" ref="E104:V104" ca="1" si="114">IFERROR(E103/E101,0)</f>
        <v>8.0250000000000002E-2</v>
      </c>
      <c r="F104" s="380">
        <f t="shared" ca="1" si="114"/>
        <v>0.13375000000000001</v>
      </c>
      <c r="G104" s="380">
        <f t="shared" ca="1" si="114"/>
        <v>0.17833333333333334</v>
      </c>
      <c r="H104" s="380">
        <f t="shared" ca="1" si="114"/>
        <v>0.22291666666666668</v>
      </c>
      <c r="I104" s="380">
        <f t="shared" ca="1" si="114"/>
        <v>0.28979166666666667</v>
      </c>
      <c r="J104" s="380">
        <f t="shared" ca="1" si="114"/>
        <v>0.40124999999999994</v>
      </c>
      <c r="K104" s="380">
        <f t="shared" ca="1" si="114"/>
        <v>0.47704166666666664</v>
      </c>
      <c r="L104" s="380">
        <f t="shared" ca="1" si="114"/>
        <v>0.57958333333333334</v>
      </c>
      <c r="M104" s="380">
        <f t="shared" ca="1" si="114"/>
        <v>0.69104166666666667</v>
      </c>
      <c r="N104" s="380">
        <f t="shared" ca="1" si="114"/>
        <v>0.82479166666666659</v>
      </c>
      <c r="O104" s="380">
        <f t="shared" ca="1" si="114"/>
        <v>0.80249999999999988</v>
      </c>
      <c r="P104" s="380">
        <f t="shared" ca="1" si="114"/>
        <v>0.98083333333333333</v>
      </c>
      <c r="Q104" s="380">
        <f t="shared" ca="1" si="114"/>
        <v>1.07</v>
      </c>
      <c r="R104" s="380">
        <f t="shared" ca="1" si="114"/>
        <v>1.2483333333333335</v>
      </c>
      <c r="S104" s="380">
        <f t="shared" ca="1" si="114"/>
        <v>1.2305000000000004</v>
      </c>
      <c r="T104" s="380">
        <f t="shared" ca="1" si="114"/>
        <v>0</v>
      </c>
      <c r="U104" s="380">
        <f t="shared" ca="1" si="114"/>
        <v>0</v>
      </c>
      <c r="V104" s="547">
        <f t="shared" ca="1" si="114"/>
        <v>0</v>
      </c>
      <c r="W104" s="52"/>
      <c r="X104" s="52"/>
    </row>
    <row r="107" spans="1:25" ht="14.4" thickBot="1" x14ac:dyDescent="0.35">
      <c r="B107" s="540" t="s">
        <v>340</v>
      </c>
      <c r="C107" s="471"/>
      <c r="D107" s="471"/>
      <c r="E107" s="471"/>
      <c r="F107" s="471"/>
      <c r="G107" s="471"/>
      <c r="H107" s="471"/>
      <c r="I107" s="471"/>
      <c r="J107" s="471"/>
      <c r="K107" s="471"/>
      <c r="L107" s="471"/>
      <c r="M107" s="471"/>
      <c r="N107" s="471"/>
      <c r="O107" s="471"/>
      <c r="P107" s="471"/>
      <c r="Q107" s="471"/>
      <c r="R107" s="471"/>
      <c r="S107" s="471"/>
      <c r="T107" s="471"/>
      <c r="U107" s="471"/>
      <c r="V107" s="500"/>
    </row>
    <row r="108" spans="1:25" ht="14.4" thickTop="1" x14ac:dyDescent="0.3">
      <c r="B108" s="429"/>
      <c r="C108" s="513">
        <f>C100</f>
        <v>46112</v>
      </c>
      <c r="D108" s="513">
        <f t="shared" ref="D108:R108" si="115">D100</f>
        <v>46477</v>
      </c>
      <c r="E108" s="513">
        <f t="shared" si="115"/>
        <v>46843</v>
      </c>
      <c r="F108" s="513">
        <f t="shared" si="115"/>
        <v>47208</v>
      </c>
      <c r="G108" s="513">
        <f t="shared" si="115"/>
        <v>47573</v>
      </c>
      <c r="H108" s="513">
        <f t="shared" si="115"/>
        <v>47938</v>
      </c>
      <c r="I108" s="513">
        <f t="shared" si="115"/>
        <v>48304</v>
      </c>
      <c r="J108" s="513">
        <f t="shared" si="115"/>
        <v>48669</v>
      </c>
      <c r="K108" s="513">
        <f t="shared" si="115"/>
        <v>49034</v>
      </c>
      <c r="L108" s="513">
        <f t="shared" si="115"/>
        <v>49399</v>
      </c>
      <c r="M108" s="513">
        <f t="shared" si="115"/>
        <v>49765</v>
      </c>
      <c r="N108" s="513">
        <f t="shared" si="115"/>
        <v>50130</v>
      </c>
      <c r="O108" s="513">
        <f t="shared" si="115"/>
        <v>50495</v>
      </c>
      <c r="P108" s="513">
        <f t="shared" si="115"/>
        <v>50860</v>
      </c>
      <c r="Q108" s="513">
        <f t="shared" si="115"/>
        <v>51226</v>
      </c>
      <c r="R108" s="513">
        <f t="shared" si="115"/>
        <v>51591</v>
      </c>
      <c r="S108" s="513">
        <f t="shared" ref="S108:V108" si="116">S100</f>
        <v>51956</v>
      </c>
      <c r="T108" s="513">
        <f t="shared" si="116"/>
        <v>52321</v>
      </c>
      <c r="U108" s="513">
        <f t="shared" si="116"/>
        <v>52687</v>
      </c>
      <c r="V108" s="514">
        <f t="shared" si="116"/>
        <v>53052</v>
      </c>
    </row>
    <row r="109" spans="1:25" x14ac:dyDescent="0.3">
      <c r="B109" s="169" t="s">
        <v>341</v>
      </c>
      <c r="C109" s="258"/>
      <c r="D109" s="258">
        <f>C112</f>
        <v>0</v>
      </c>
      <c r="E109" s="258">
        <f t="shared" ref="E109:S109" ca="1" si="117">D112</f>
        <v>106.8395</v>
      </c>
      <c r="F109" s="258">
        <f t="shared" ca="1" si="117"/>
        <v>105.87650000000001</v>
      </c>
      <c r="G109" s="258">
        <f t="shared" ca="1" si="117"/>
        <v>104.2715</v>
      </c>
      <c r="H109" s="258">
        <f t="shared" ca="1" si="117"/>
        <v>102.1315</v>
      </c>
      <c r="I109" s="258">
        <f t="shared" ca="1" si="117"/>
        <v>99.456500000000005</v>
      </c>
      <c r="J109" s="258">
        <f t="shared" ca="1" si="117"/>
        <v>95.978999999999999</v>
      </c>
      <c r="K109" s="258">
        <f t="shared" ca="1" si="117"/>
        <v>91.164000000000001</v>
      </c>
      <c r="L109" s="258">
        <f t="shared" ca="1" si="117"/>
        <v>85.439499999999995</v>
      </c>
      <c r="M109" s="258">
        <f t="shared" ca="1" si="117"/>
        <v>78.484499999999997</v>
      </c>
      <c r="N109" s="258">
        <f t="shared" ca="1" si="117"/>
        <v>70.191999999999993</v>
      </c>
      <c r="O109" s="258">
        <f t="shared" ca="1" si="117"/>
        <v>60.294499999999992</v>
      </c>
      <c r="P109" s="258">
        <f t="shared" ca="1" si="117"/>
        <v>50.66449999999999</v>
      </c>
      <c r="Q109" s="258">
        <f t="shared" ca="1" si="117"/>
        <v>38.894499999999994</v>
      </c>
      <c r="R109" s="258">
        <f t="shared" ca="1" si="117"/>
        <v>26.054499999999994</v>
      </c>
      <c r="S109" s="258">
        <f t="shared" ca="1" si="117"/>
        <v>11.074499999999992</v>
      </c>
      <c r="T109" s="258">
        <f t="shared" ref="T109" ca="1" si="118">S112</f>
        <v>0</v>
      </c>
      <c r="U109" s="258">
        <f t="shared" ref="U109" ca="1" si="119">T112</f>
        <v>0</v>
      </c>
      <c r="V109" s="246">
        <f t="shared" ref="V109" ca="1" si="120">U112</f>
        <v>0</v>
      </c>
    </row>
    <row r="110" spans="1:25" x14ac:dyDescent="0.3">
      <c r="B110" s="169" t="s">
        <v>165</v>
      </c>
      <c r="C110" s="258">
        <f>IF(C108&gt;=C72,C77,0)</f>
        <v>0</v>
      </c>
      <c r="D110" s="258">
        <f ca="1">C77</f>
        <v>107</v>
      </c>
      <c r="E110" s="258"/>
      <c r="F110" s="258"/>
      <c r="G110" s="258"/>
      <c r="H110" s="258"/>
      <c r="I110" s="258"/>
      <c r="J110" s="258"/>
      <c r="K110" s="258"/>
      <c r="L110" s="258"/>
      <c r="M110" s="258"/>
      <c r="N110" s="258"/>
      <c r="O110" s="258"/>
      <c r="P110" s="258"/>
      <c r="Q110" s="258"/>
      <c r="R110" s="258"/>
      <c r="S110" s="258"/>
      <c r="T110" s="258"/>
      <c r="U110" s="258"/>
      <c r="V110" s="246"/>
    </row>
    <row r="111" spans="1:25" x14ac:dyDescent="0.3">
      <c r="B111" s="169" t="s">
        <v>342</v>
      </c>
      <c r="C111" s="258">
        <f t="shared" ref="C111:R111" si="121">SUMIFS(103:103,100:100,C108)</f>
        <v>0</v>
      </c>
      <c r="D111" s="258">
        <f t="shared" ca="1" si="121"/>
        <v>0.1605</v>
      </c>
      <c r="E111" s="258">
        <f t="shared" ca="1" si="121"/>
        <v>0.96299999999999997</v>
      </c>
      <c r="F111" s="258">
        <f t="shared" ca="1" si="121"/>
        <v>1.605</v>
      </c>
      <c r="G111" s="258">
        <f t="shared" ca="1" si="121"/>
        <v>2.14</v>
      </c>
      <c r="H111" s="258">
        <f t="shared" ca="1" si="121"/>
        <v>2.6750000000000003</v>
      </c>
      <c r="I111" s="258">
        <f t="shared" ca="1" si="121"/>
        <v>3.4775</v>
      </c>
      <c r="J111" s="258">
        <f t="shared" ca="1" si="121"/>
        <v>4.8149999999999995</v>
      </c>
      <c r="K111" s="258">
        <f t="shared" ca="1" si="121"/>
        <v>5.7244999999999999</v>
      </c>
      <c r="L111" s="258">
        <f t="shared" ca="1" si="121"/>
        <v>6.9550000000000001</v>
      </c>
      <c r="M111" s="258">
        <f t="shared" ca="1" si="121"/>
        <v>8.2925000000000004</v>
      </c>
      <c r="N111" s="258">
        <f t="shared" ca="1" si="121"/>
        <v>9.8974999999999991</v>
      </c>
      <c r="O111" s="258">
        <f t="shared" ca="1" si="121"/>
        <v>9.629999999999999</v>
      </c>
      <c r="P111" s="258">
        <f t="shared" ca="1" si="121"/>
        <v>11.77</v>
      </c>
      <c r="Q111" s="258">
        <f t="shared" ca="1" si="121"/>
        <v>12.84</v>
      </c>
      <c r="R111" s="258">
        <f t="shared" ca="1" si="121"/>
        <v>14.980000000000002</v>
      </c>
      <c r="S111" s="258">
        <f t="shared" ref="S111:V111" ca="1" si="122">SUMIFS(103:103,100:100,S108)</f>
        <v>11.074500000000004</v>
      </c>
      <c r="T111" s="258">
        <f t="shared" ca="1" si="122"/>
        <v>0</v>
      </c>
      <c r="U111" s="258">
        <f t="shared" ca="1" si="122"/>
        <v>0</v>
      </c>
      <c r="V111" s="246">
        <f t="shared" ca="1" si="122"/>
        <v>0</v>
      </c>
    </row>
    <row r="112" spans="1:25" x14ac:dyDescent="0.3">
      <c r="B112" s="429" t="s">
        <v>343</v>
      </c>
      <c r="C112" s="462">
        <f>C109-C111</f>
        <v>0</v>
      </c>
      <c r="D112" s="462">
        <f ca="1">D109+D110-D111</f>
        <v>106.8395</v>
      </c>
      <c r="E112" s="462">
        <f t="shared" ref="E112:R112" ca="1" si="123">E109-E111</f>
        <v>105.87650000000001</v>
      </c>
      <c r="F112" s="462">
        <f t="shared" ca="1" si="123"/>
        <v>104.2715</v>
      </c>
      <c r="G112" s="462">
        <f t="shared" ca="1" si="123"/>
        <v>102.1315</v>
      </c>
      <c r="H112" s="462">
        <f t="shared" ca="1" si="123"/>
        <v>99.456500000000005</v>
      </c>
      <c r="I112" s="462">
        <f t="shared" ca="1" si="123"/>
        <v>95.978999999999999</v>
      </c>
      <c r="J112" s="462">
        <f t="shared" ca="1" si="123"/>
        <v>91.164000000000001</v>
      </c>
      <c r="K112" s="462">
        <f t="shared" ca="1" si="123"/>
        <v>85.439499999999995</v>
      </c>
      <c r="L112" s="462">
        <f t="shared" ca="1" si="123"/>
        <v>78.484499999999997</v>
      </c>
      <c r="M112" s="462">
        <f t="shared" ca="1" si="123"/>
        <v>70.191999999999993</v>
      </c>
      <c r="N112" s="462">
        <f t="shared" ca="1" si="123"/>
        <v>60.294499999999992</v>
      </c>
      <c r="O112" s="462">
        <f t="shared" ca="1" si="123"/>
        <v>50.66449999999999</v>
      </c>
      <c r="P112" s="462">
        <f t="shared" ca="1" si="123"/>
        <v>38.894499999999994</v>
      </c>
      <c r="Q112" s="462">
        <f t="shared" ca="1" si="123"/>
        <v>26.054499999999994</v>
      </c>
      <c r="R112" s="462">
        <f t="shared" ca="1" si="123"/>
        <v>11.074499999999992</v>
      </c>
      <c r="S112" s="462">
        <f t="shared" ref="S112:V112" ca="1" si="124">S109-S111</f>
        <v>0</v>
      </c>
      <c r="T112" s="462">
        <f t="shared" ca="1" si="124"/>
        <v>0</v>
      </c>
      <c r="U112" s="462">
        <f t="shared" ca="1" si="124"/>
        <v>0</v>
      </c>
      <c r="V112" s="506">
        <f t="shared" ca="1" si="124"/>
        <v>0</v>
      </c>
    </row>
    <row r="113" spans="2:22" x14ac:dyDescent="0.3">
      <c r="B113" s="436" t="s">
        <v>51</v>
      </c>
      <c r="C113" s="548">
        <f>AVERAGE(C109,C112)*$C78*C101/12</f>
        <v>0</v>
      </c>
      <c r="D113" s="548">
        <f ca="1">AVERAGE(D110,D112)*$C78*D101/12</f>
        <v>2.2720446875000002</v>
      </c>
      <c r="E113" s="548">
        <f t="shared" ref="E113:R113" ca="1" si="125">AVERAGE(E109,E112)*$C78*E101/12</f>
        <v>9.0404300000000006</v>
      </c>
      <c r="F113" s="548">
        <f t="shared" ca="1" si="125"/>
        <v>8.9312900000000024</v>
      </c>
      <c r="G113" s="548">
        <f t="shared" ca="1" si="125"/>
        <v>8.7721275000000016</v>
      </c>
      <c r="H113" s="548">
        <f t="shared" ca="1" si="125"/>
        <v>8.5674900000000012</v>
      </c>
      <c r="I113" s="548">
        <f t="shared" ca="1" si="125"/>
        <v>8.3060087500000002</v>
      </c>
      <c r="J113" s="548">
        <f t="shared" ca="1" si="125"/>
        <v>7.9535775000000006</v>
      </c>
      <c r="K113" s="548">
        <f t="shared" ca="1" si="125"/>
        <v>7.5056487500000015</v>
      </c>
      <c r="L113" s="548">
        <f t="shared" ca="1" si="125"/>
        <v>6.9667699999999995</v>
      </c>
      <c r="M113" s="548">
        <f t="shared" ca="1" si="125"/>
        <v>6.3187512499999992</v>
      </c>
      <c r="N113" s="548">
        <f t="shared" ca="1" si="125"/>
        <v>5.5456762499999996</v>
      </c>
      <c r="O113" s="548">
        <f t="shared" ca="1" si="125"/>
        <v>4.7157574999999996</v>
      </c>
      <c r="P113" s="548">
        <f t="shared" ca="1" si="125"/>
        <v>3.8062574999999996</v>
      </c>
      <c r="Q113" s="548">
        <f t="shared" ca="1" si="125"/>
        <v>2.7603324999999992</v>
      </c>
      <c r="R113" s="548">
        <f t="shared" ca="1" si="125"/>
        <v>1.5779824999999994</v>
      </c>
      <c r="S113" s="548">
        <f t="shared" ref="S113:V113" ca="1" si="126">AVERAGE(S109,S112)*$C78*S101/12</f>
        <v>0.35299968749999971</v>
      </c>
      <c r="T113" s="548">
        <f t="shared" ca="1" si="126"/>
        <v>0</v>
      </c>
      <c r="U113" s="548">
        <f t="shared" ca="1" si="126"/>
        <v>0</v>
      </c>
      <c r="V113" s="549">
        <f t="shared" ca="1" si="126"/>
        <v>0</v>
      </c>
    </row>
    <row r="116" spans="2:22" ht="14.4" thickBot="1" x14ac:dyDescent="0.35">
      <c r="B116" s="540" t="s">
        <v>427</v>
      </c>
      <c r="C116" s="471"/>
      <c r="D116" s="471"/>
      <c r="E116" s="471"/>
      <c r="F116" s="471"/>
      <c r="G116" s="471"/>
      <c r="H116" s="471"/>
      <c r="I116" s="471"/>
      <c r="J116" s="471"/>
      <c r="K116" s="471"/>
      <c r="L116" s="471"/>
      <c r="M116" s="471"/>
      <c r="N116" s="471"/>
      <c r="O116" s="471"/>
      <c r="P116" s="471"/>
      <c r="Q116" s="471"/>
      <c r="R116" s="471"/>
      <c r="S116" s="471"/>
      <c r="T116" s="471"/>
      <c r="U116" s="471"/>
      <c r="V116" s="500"/>
    </row>
    <row r="117" spans="2:22" ht="14.4" thickTop="1" x14ac:dyDescent="0.3">
      <c r="B117" s="429"/>
      <c r="C117" s="513">
        <f>C108</f>
        <v>46112</v>
      </c>
      <c r="D117" s="513">
        <f t="shared" ref="D117:Q117" si="127">D108</f>
        <v>46477</v>
      </c>
      <c r="E117" s="513">
        <f t="shared" si="127"/>
        <v>46843</v>
      </c>
      <c r="F117" s="513">
        <f t="shared" si="127"/>
        <v>47208</v>
      </c>
      <c r="G117" s="513">
        <f t="shared" si="127"/>
        <v>47573</v>
      </c>
      <c r="H117" s="513">
        <f t="shared" si="127"/>
        <v>47938</v>
      </c>
      <c r="I117" s="513">
        <f t="shared" si="127"/>
        <v>48304</v>
      </c>
      <c r="J117" s="513">
        <f t="shared" si="127"/>
        <v>48669</v>
      </c>
      <c r="K117" s="513">
        <f t="shared" si="127"/>
        <v>49034</v>
      </c>
      <c r="L117" s="513">
        <f t="shared" si="127"/>
        <v>49399</v>
      </c>
      <c r="M117" s="513">
        <f t="shared" si="127"/>
        <v>49765</v>
      </c>
      <c r="N117" s="513">
        <f t="shared" si="127"/>
        <v>50130</v>
      </c>
      <c r="O117" s="513">
        <f t="shared" si="127"/>
        <v>50495</v>
      </c>
      <c r="P117" s="513">
        <f t="shared" si="127"/>
        <v>50860</v>
      </c>
      <c r="Q117" s="513">
        <f t="shared" si="127"/>
        <v>51226</v>
      </c>
      <c r="R117" s="513">
        <f t="shared" ref="R117:S117" si="128">R108</f>
        <v>51591</v>
      </c>
      <c r="S117" s="513">
        <f t="shared" si="128"/>
        <v>51956</v>
      </c>
      <c r="T117" s="513">
        <f t="shared" ref="T117:V117" si="129">T108</f>
        <v>52321</v>
      </c>
      <c r="U117" s="513">
        <f t="shared" si="129"/>
        <v>52687</v>
      </c>
      <c r="V117" s="514">
        <f t="shared" si="129"/>
        <v>53052</v>
      </c>
    </row>
    <row r="118" spans="2:22" x14ac:dyDescent="0.3">
      <c r="B118" s="169" t="s">
        <v>345</v>
      </c>
      <c r="C118" s="52">
        <f>C96</f>
        <v>0</v>
      </c>
      <c r="D118" s="52">
        <f t="shared" ref="D118:R118" si="130">D96</f>
        <v>2.8692366927349706</v>
      </c>
      <c r="E118" s="52">
        <f t="shared" si="130"/>
        <v>11.620408605576632</v>
      </c>
      <c r="F118" s="52">
        <f t="shared" si="130"/>
        <v>12.201429035855465</v>
      </c>
      <c r="G118" s="52">
        <f t="shared" si="130"/>
        <v>12.811500487648235</v>
      </c>
      <c r="H118" s="52">
        <f t="shared" si="130"/>
        <v>13.452075512030648</v>
      </c>
      <c r="I118" s="52">
        <f t="shared" si="130"/>
        <v>14.124679287632185</v>
      </c>
      <c r="J118" s="52">
        <f t="shared" si="130"/>
        <v>14.830913252013788</v>
      </c>
      <c r="K118" s="52">
        <f t="shared" si="130"/>
        <v>15.572458914614478</v>
      </c>
      <c r="L118" s="52">
        <f t="shared" si="130"/>
        <v>16.351081860345204</v>
      </c>
      <c r="M118" s="52">
        <f t="shared" si="130"/>
        <v>17.168635953362461</v>
      </c>
      <c r="N118" s="52">
        <f t="shared" si="130"/>
        <v>18.027067751030586</v>
      </c>
      <c r="O118" s="52">
        <f t="shared" si="130"/>
        <v>18.92842113858212</v>
      </c>
      <c r="P118" s="52">
        <f t="shared" si="130"/>
        <v>19.874842195511231</v>
      </c>
      <c r="Q118" s="52">
        <f t="shared" si="130"/>
        <v>20.868584305286795</v>
      </c>
      <c r="R118" s="52">
        <f t="shared" si="130"/>
        <v>21.912013520551127</v>
      </c>
      <c r="S118" s="52">
        <f>S96*S101/12</f>
        <v>17.255710647434018</v>
      </c>
      <c r="T118" s="52"/>
      <c r="U118" s="52"/>
      <c r="V118" s="244"/>
    </row>
    <row r="119" spans="2:22" x14ac:dyDescent="0.3">
      <c r="B119" s="169" t="s">
        <v>300</v>
      </c>
      <c r="C119" s="52">
        <f>C113+C111</f>
        <v>0</v>
      </c>
      <c r="D119" s="52">
        <f t="shared" ref="D119:Q119" ca="1" si="131">D113+D111</f>
        <v>2.4325446875000001</v>
      </c>
      <c r="E119" s="52">
        <f t="shared" ca="1" si="131"/>
        <v>10.00343</v>
      </c>
      <c r="F119" s="52">
        <f t="shared" ca="1" si="131"/>
        <v>10.536290000000003</v>
      </c>
      <c r="G119" s="52">
        <f t="shared" ca="1" si="131"/>
        <v>10.912127500000002</v>
      </c>
      <c r="H119" s="52">
        <f t="shared" ca="1" si="131"/>
        <v>11.242490000000002</v>
      </c>
      <c r="I119" s="52">
        <f t="shared" ca="1" si="131"/>
        <v>11.783508749999999</v>
      </c>
      <c r="J119" s="52">
        <f t="shared" ca="1" si="131"/>
        <v>12.768577499999999</v>
      </c>
      <c r="K119" s="52">
        <f t="shared" ca="1" si="131"/>
        <v>13.230148750000001</v>
      </c>
      <c r="L119" s="52">
        <f t="shared" ca="1" si="131"/>
        <v>13.921769999999999</v>
      </c>
      <c r="M119" s="52">
        <f t="shared" ca="1" si="131"/>
        <v>14.611251249999999</v>
      </c>
      <c r="N119" s="52">
        <f t="shared" ca="1" si="131"/>
        <v>15.443176249999999</v>
      </c>
      <c r="O119" s="52">
        <f t="shared" ca="1" si="131"/>
        <v>14.345757499999998</v>
      </c>
      <c r="P119" s="52">
        <f t="shared" ca="1" si="131"/>
        <v>15.576257499999999</v>
      </c>
      <c r="Q119" s="52">
        <f t="shared" ca="1" si="131"/>
        <v>15.600332499999999</v>
      </c>
      <c r="R119" s="52">
        <f t="shared" ref="R119:S119" ca="1" si="132">R113+R111</f>
        <v>16.557982500000001</v>
      </c>
      <c r="S119" s="52">
        <f t="shared" ca="1" si="132"/>
        <v>11.427499687500005</v>
      </c>
      <c r="T119" s="52">
        <f t="shared" ref="T119:V119" ca="1" si="133">T113+T111</f>
        <v>0</v>
      </c>
      <c r="U119" s="52">
        <f t="shared" ca="1" si="133"/>
        <v>0</v>
      </c>
      <c r="V119" s="244">
        <f t="shared" ca="1" si="133"/>
        <v>0</v>
      </c>
    </row>
    <row r="120" spans="2:22" x14ac:dyDescent="0.3">
      <c r="B120" s="432" t="s">
        <v>190</v>
      </c>
      <c r="C120" s="464">
        <f>IFERROR(C118/C119,0)</f>
        <v>0</v>
      </c>
      <c r="D120" s="464">
        <f t="shared" ref="D120:V120" ca="1" si="134">IFERROR(D118/D119,0)</f>
        <v>1.1795206507321236</v>
      </c>
      <c r="E120" s="464">
        <f t="shared" ca="1" si="134"/>
        <v>1.1616424172085607</v>
      </c>
      <c r="F120" s="464">
        <f t="shared" ca="1" si="134"/>
        <v>1.1580384590643824</v>
      </c>
      <c r="G120" s="464">
        <f t="shared" ca="1" si="134"/>
        <v>1.1740607400021887</v>
      </c>
      <c r="H120" s="464">
        <f t="shared" ca="1" si="134"/>
        <v>1.1965388016383065</v>
      </c>
      <c r="I120" s="464">
        <f t="shared" ca="1" si="134"/>
        <v>1.1986819535083033</v>
      </c>
      <c r="J120" s="464">
        <f t="shared" ca="1" si="134"/>
        <v>1.1615164846682247</v>
      </c>
      <c r="K120" s="464">
        <f t="shared" ca="1" si="134"/>
        <v>1.1770433733494097</v>
      </c>
      <c r="L120" s="464">
        <f t="shared" ca="1" si="134"/>
        <v>1.1744973419576106</v>
      </c>
      <c r="M120" s="464">
        <f t="shared" ca="1" si="134"/>
        <v>1.1750284530465838</v>
      </c>
      <c r="N120" s="464">
        <f t="shared" ca="1" si="134"/>
        <v>1.1673160662807682</v>
      </c>
      <c r="O120" s="464">
        <f t="shared" ca="1" si="134"/>
        <v>1.3194438243210318</v>
      </c>
      <c r="P120" s="464">
        <f t="shared" ca="1" si="134"/>
        <v>1.2759703154311126</v>
      </c>
      <c r="Q120" s="464">
        <f t="shared" ca="1" si="134"/>
        <v>1.3377012512577406</v>
      </c>
      <c r="R120" s="464">
        <f t="shared" ca="1" si="134"/>
        <v>1.3233504456567173</v>
      </c>
      <c r="S120" s="464">
        <f t="shared" ca="1" si="134"/>
        <v>1.5100162869668869</v>
      </c>
      <c r="T120" s="464">
        <f t="shared" ca="1" si="134"/>
        <v>0</v>
      </c>
      <c r="U120" s="464">
        <f t="shared" ca="1" si="134"/>
        <v>0</v>
      </c>
      <c r="V120" s="465">
        <f t="shared" ca="1" si="134"/>
        <v>0</v>
      </c>
    </row>
    <row r="121" spans="2:22" x14ac:dyDescent="0.3">
      <c r="C121" s="33"/>
      <c r="D121" s="33"/>
      <c r="E121" s="33"/>
      <c r="F121" s="33"/>
      <c r="G121" s="33"/>
      <c r="H121" s="33"/>
      <c r="I121" s="33"/>
      <c r="J121" s="33"/>
      <c r="K121" s="33"/>
      <c r="L121" s="33"/>
      <c r="M121" s="33"/>
      <c r="N121" s="33"/>
      <c r="O121" s="33"/>
      <c r="P121" s="33"/>
      <c r="Q121" s="33"/>
      <c r="R121" s="33"/>
      <c r="S121" s="33"/>
      <c r="T121" s="33"/>
      <c r="U121" s="33"/>
      <c r="V121" s="33"/>
    </row>
    <row r="122" spans="2:22" x14ac:dyDescent="0.3">
      <c r="B122" s="519" t="s">
        <v>346</v>
      </c>
      <c r="C122" s="520">
        <f ca="1">MIN(D120:S120)</f>
        <v>1.1580384590643824</v>
      </c>
      <c r="D122" s="33"/>
      <c r="E122" s="33"/>
      <c r="F122" s="33"/>
      <c r="G122" s="33"/>
      <c r="H122" s="33"/>
      <c r="I122" s="33"/>
      <c r="J122" s="33"/>
      <c r="K122" s="33"/>
      <c r="L122" s="33"/>
      <c r="M122" s="33"/>
      <c r="N122" s="33"/>
      <c r="O122" s="33"/>
      <c r="P122" s="33"/>
      <c r="Q122" s="33"/>
      <c r="R122" s="33"/>
      <c r="S122" s="33"/>
      <c r="T122" s="33"/>
      <c r="U122" s="33"/>
      <c r="V122" s="33"/>
    </row>
    <row r="123" spans="2:22" x14ac:dyDescent="0.3">
      <c r="B123" s="299" t="s">
        <v>347</v>
      </c>
      <c r="C123" s="521">
        <f ca="1">SUM(D118:S118)/SUM(D119:S119)</f>
        <v>1.2369138671548925</v>
      </c>
      <c r="D123" s="33"/>
      <c r="E123" s="33"/>
      <c r="F123" s="33"/>
      <c r="G123" s="33"/>
      <c r="H123" s="33"/>
      <c r="I123" s="33"/>
      <c r="J123" s="33"/>
      <c r="K123" s="33"/>
      <c r="L123" s="33"/>
      <c r="M123" s="33"/>
      <c r="N123" s="33"/>
      <c r="O123" s="33"/>
      <c r="P123" s="33"/>
      <c r="Q123" s="33"/>
      <c r="R123" s="33"/>
      <c r="S123" s="33"/>
      <c r="T123" s="33"/>
      <c r="U123" s="33"/>
      <c r="V123" s="33"/>
    </row>
    <row r="124" spans="2:22" x14ac:dyDescent="0.3">
      <c r="C124" s="33"/>
      <c r="D124" s="33"/>
      <c r="E124" s="33"/>
      <c r="F124" s="33"/>
      <c r="G124" s="33"/>
      <c r="H124" s="33"/>
      <c r="I124" s="33"/>
      <c r="J124" s="33"/>
      <c r="K124" s="33"/>
      <c r="L124" s="33"/>
      <c r="M124" s="33"/>
      <c r="N124" s="33"/>
      <c r="O124" s="33"/>
      <c r="P124" s="33"/>
      <c r="Q124" s="33"/>
      <c r="R124" s="33"/>
      <c r="S124" s="33"/>
      <c r="T124" s="33"/>
      <c r="U124" s="33"/>
      <c r="V124" s="33"/>
    </row>
    <row r="125" spans="2:22" ht="14.4" thickBot="1" x14ac:dyDescent="0.35">
      <c r="B125" s="540" t="s">
        <v>428</v>
      </c>
      <c r="C125" s="472"/>
      <c r="D125" s="472"/>
      <c r="E125" s="472"/>
      <c r="F125" s="472"/>
      <c r="G125" s="472"/>
      <c r="H125" s="472"/>
      <c r="I125" s="472"/>
      <c r="J125" s="472"/>
      <c r="K125" s="472"/>
      <c r="L125" s="472"/>
      <c r="M125" s="472"/>
      <c r="N125" s="472"/>
      <c r="O125" s="472"/>
      <c r="P125" s="472"/>
      <c r="Q125" s="472"/>
      <c r="R125" s="472"/>
      <c r="S125" s="472"/>
      <c r="T125" s="472"/>
      <c r="U125" s="472"/>
      <c r="V125" s="473"/>
    </row>
    <row r="126" spans="2:22" ht="14.4" thickTop="1" x14ac:dyDescent="0.3">
      <c r="B126" s="163"/>
      <c r="C126" s="556">
        <f>C117</f>
        <v>46112</v>
      </c>
      <c r="D126" s="556">
        <f t="shared" ref="D126:S126" si="135">D117</f>
        <v>46477</v>
      </c>
      <c r="E126" s="556">
        <f t="shared" si="135"/>
        <v>46843</v>
      </c>
      <c r="F126" s="556">
        <f t="shared" si="135"/>
        <v>47208</v>
      </c>
      <c r="G126" s="556">
        <f t="shared" si="135"/>
        <v>47573</v>
      </c>
      <c r="H126" s="556">
        <f t="shared" si="135"/>
        <v>47938</v>
      </c>
      <c r="I126" s="556">
        <f t="shared" si="135"/>
        <v>48304</v>
      </c>
      <c r="J126" s="556">
        <f t="shared" si="135"/>
        <v>48669</v>
      </c>
      <c r="K126" s="556">
        <f t="shared" si="135"/>
        <v>49034</v>
      </c>
      <c r="L126" s="556">
        <f t="shared" si="135"/>
        <v>49399</v>
      </c>
      <c r="M126" s="556">
        <f t="shared" si="135"/>
        <v>49765</v>
      </c>
      <c r="N126" s="556">
        <f t="shared" si="135"/>
        <v>50130</v>
      </c>
      <c r="O126" s="556">
        <f t="shared" si="135"/>
        <v>50495</v>
      </c>
      <c r="P126" s="556">
        <f t="shared" si="135"/>
        <v>50860</v>
      </c>
      <c r="Q126" s="556">
        <f t="shared" si="135"/>
        <v>51226</v>
      </c>
      <c r="R126" s="556">
        <f t="shared" si="135"/>
        <v>51591</v>
      </c>
      <c r="S126" s="556">
        <f t="shared" si="135"/>
        <v>51956</v>
      </c>
      <c r="T126" s="556">
        <f t="shared" ref="T126:V126" si="136">T117</f>
        <v>52321</v>
      </c>
      <c r="U126" s="556">
        <f t="shared" si="136"/>
        <v>52687</v>
      </c>
      <c r="V126" s="557">
        <f t="shared" si="136"/>
        <v>53052</v>
      </c>
    </row>
    <row r="127" spans="2:22" x14ac:dyDescent="0.3">
      <c r="B127" s="290" t="s">
        <v>414</v>
      </c>
      <c r="C127" s="52">
        <f t="shared" ref="C127:R127" si="137">C118-C119</f>
        <v>0</v>
      </c>
      <c r="D127" s="52">
        <f t="shared" ca="1" si="137"/>
        <v>0.43669200523497054</v>
      </c>
      <c r="E127" s="52">
        <f t="shared" ca="1" si="137"/>
        <v>1.616978605576632</v>
      </c>
      <c r="F127" s="52">
        <f t="shared" ca="1" si="137"/>
        <v>1.6651390358554625</v>
      </c>
      <c r="G127" s="52">
        <f t="shared" ca="1" si="137"/>
        <v>1.899372987648233</v>
      </c>
      <c r="H127" s="52">
        <f t="shared" ca="1" si="137"/>
        <v>2.209585512030646</v>
      </c>
      <c r="I127" s="52">
        <f t="shared" ca="1" si="137"/>
        <v>2.3411705376321859</v>
      </c>
      <c r="J127" s="52">
        <f t="shared" ca="1" si="137"/>
        <v>2.062335752013789</v>
      </c>
      <c r="K127" s="52">
        <f t="shared" ca="1" si="137"/>
        <v>2.3423101646144762</v>
      </c>
      <c r="L127" s="52">
        <f t="shared" ca="1" si="137"/>
        <v>2.4293118603452051</v>
      </c>
      <c r="M127" s="52">
        <f t="shared" ca="1" si="137"/>
        <v>2.5573847033624624</v>
      </c>
      <c r="N127" s="52">
        <f t="shared" ca="1" si="137"/>
        <v>2.5838915010305872</v>
      </c>
      <c r="O127" s="52">
        <f t="shared" ca="1" si="137"/>
        <v>4.5826636385821224</v>
      </c>
      <c r="P127" s="52">
        <f t="shared" ca="1" si="137"/>
        <v>4.2985846955112326</v>
      </c>
      <c r="Q127" s="52">
        <f t="shared" ca="1" si="137"/>
        <v>5.2682518052867966</v>
      </c>
      <c r="R127" s="52">
        <f t="shared" ca="1" si="137"/>
        <v>5.3540310205511261</v>
      </c>
      <c r="S127" s="52">
        <f t="shared" ref="S127:V127" ca="1" si="138">S118-S119</f>
        <v>5.8282109599340135</v>
      </c>
      <c r="T127" s="52">
        <f t="shared" ca="1" si="138"/>
        <v>0</v>
      </c>
      <c r="U127" s="52">
        <f t="shared" ca="1" si="138"/>
        <v>0</v>
      </c>
      <c r="V127" s="244">
        <f t="shared" ca="1" si="138"/>
        <v>0</v>
      </c>
    </row>
    <row r="128" spans="2:22" x14ac:dyDescent="0.3">
      <c r="B128" s="292" t="s">
        <v>415</v>
      </c>
      <c r="C128" s="550">
        <f ca="1">SUM(C127:F127,G127*9/12)</f>
        <v>5.1433393874032403</v>
      </c>
      <c r="D128" s="294"/>
      <c r="E128" s="294"/>
      <c r="F128" s="294"/>
      <c r="G128" s="294"/>
      <c r="H128" s="294"/>
      <c r="I128" s="294"/>
      <c r="J128" s="294"/>
      <c r="K128" s="294"/>
      <c r="L128" s="294"/>
      <c r="M128" s="294"/>
      <c r="N128" s="294"/>
      <c r="O128" s="294"/>
      <c r="P128" s="294"/>
      <c r="Q128" s="294"/>
      <c r="R128" s="294"/>
      <c r="S128" s="294"/>
      <c r="T128" s="294"/>
      <c r="U128" s="294"/>
      <c r="V128" s="381"/>
    </row>
    <row r="129" spans="1:6" x14ac:dyDescent="0.3">
      <c r="B129" s="39"/>
      <c r="C129" s="278"/>
    </row>
    <row r="131" spans="1:6" x14ac:dyDescent="0.3">
      <c r="A131" s="524">
        <v>3</v>
      </c>
      <c r="B131" s="529" t="s">
        <v>232</v>
      </c>
      <c r="C131" s="530"/>
      <c r="E131" s="1" t="s">
        <v>403</v>
      </c>
      <c r="F131" s="45">
        <f>XNPV(C142,X155:GV155,X150:GV150)*95%</f>
        <v>52.956649848649214</v>
      </c>
    </row>
    <row r="132" spans="1:6" x14ac:dyDescent="0.3">
      <c r="B132" s="169" t="s">
        <v>14</v>
      </c>
      <c r="C132" s="531">
        <f>'Assumption Sheet'!C30</f>
        <v>206036.2876824</v>
      </c>
    </row>
    <row r="133" spans="1:6" x14ac:dyDescent="0.3">
      <c r="B133" s="169" t="s">
        <v>322</v>
      </c>
      <c r="C133" s="532">
        <f>'Assumption Sheet'!Q30</f>
        <v>20.5</v>
      </c>
    </row>
    <row r="134" spans="1:6" x14ac:dyDescent="0.3">
      <c r="B134" s="169" t="s">
        <v>106</v>
      </c>
      <c r="C134" s="495">
        <f>'Assumption Sheet'!K30</f>
        <v>46661</v>
      </c>
    </row>
    <row r="135" spans="1:6" x14ac:dyDescent="0.3">
      <c r="B135" s="169" t="s">
        <v>447</v>
      </c>
      <c r="C135" s="495">
        <f>EOMONTH(C134,IF(MOD(MONTH(C134),3)=0,0,3-MOD(MONTH(C134),3)))</f>
        <v>46752</v>
      </c>
    </row>
    <row r="136" spans="1:6" x14ac:dyDescent="0.3">
      <c r="B136" s="169" t="s">
        <v>446</v>
      </c>
      <c r="C136" s="495">
        <f>DATE(IF(MONTH(C135)&gt;=4,YEAR(C135)+1,YEAR(C135)),3,31)</f>
        <v>46843</v>
      </c>
    </row>
    <row r="137" spans="1:6" x14ac:dyDescent="0.3">
      <c r="B137" s="169" t="s">
        <v>323</v>
      </c>
      <c r="C137" s="492" t="s">
        <v>324</v>
      </c>
    </row>
    <row r="138" spans="1:6" x14ac:dyDescent="0.3">
      <c r="B138" s="169" t="s">
        <v>325</v>
      </c>
      <c r="C138" s="493">
        <v>0.05</v>
      </c>
    </row>
    <row r="139" spans="1:6" x14ac:dyDescent="0.3">
      <c r="B139" s="169" t="s">
        <v>297</v>
      </c>
      <c r="C139" s="493">
        <v>0.05</v>
      </c>
    </row>
    <row r="140" spans="1:6" x14ac:dyDescent="0.3">
      <c r="B140" s="169" t="s">
        <v>298</v>
      </c>
      <c r="C140" s="493">
        <v>0.05</v>
      </c>
    </row>
    <row r="141" spans="1:6" ht="15.6" x14ac:dyDescent="0.45">
      <c r="B141" s="494" t="s">
        <v>336</v>
      </c>
      <c r="C141" s="533">
        <f>F131*0+43</f>
        <v>43</v>
      </c>
      <c r="D141" s="45"/>
      <c r="F141" s="52"/>
    </row>
    <row r="142" spans="1:6" x14ac:dyDescent="0.3">
      <c r="B142" s="169" t="s">
        <v>337</v>
      </c>
      <c r="C142" s="604">
        <v>8.5000000000000006E-2</v>
      </c>
    </row>
    <row r="143" spans="1:6" x14ac:dyDescent="0.3">
      <c r="B143" s="169" t="s">
        <v>296</v>
      </c>
      <c r="C143" s="492" t="s">
        <v>338</v>
      </c>
    </row>
    <row r="144" spans="1:6" x14ac:dyDescent="0.3">
      <c r="B144" s="169" t="s">
        <v>339</v>
      </c>
      <c r="C144" s="534">
        <v>15</v>
      </c>
    </row>
    <row r="145" spans="2:276" x14ac:dyDescent="0.3">
      <c r="B145" s="437" t="s">
        <v>431</v>
      </c>
      <c r="C145" s="498">
        <f>EOMONTH(C134,C144*12)</f>
        <v>52170</v>
      </c>
    </row>
    <row r="146" spans="2:276" x14ac:dyDescent="0.3">
      <c r="C146" s="77"/>
    </row>
    <row r="147" spans="2:276" x14ac:dyDescent="0.3">
      <c r="C147" s="77"/>
    </row>
    <row r="148" spans="2:276" ht="14.4" thickBot="1" x14ac:dyDescent="0.35">
      <c r="B148" s="540" t="s">
        <v>331</v>
      </c>
      <c r="C148" s="471"/>
      <c r="D148" s="471"/>
      <c r="E148" s="471"/>
      <c r="F148" s="471"/>
      <c r="G148" s="471"/>
      <c r="H148" s="471"/>
      <c r="I148" s="471"/>
      <c r="J148" s="471"/>
      <c r="K148" s="471"/>
      <c r="L148" s="471"/>
      <c r="M148" s="471"/>
      <c r="N148" s="471"/>
      <c r="O148" s="471"/>
      <c r="P148" s="471"/>
      <c r="Q148" s="471"/>
      <c r="R148" s="471"/>
      <c r="S148" s="471"/>
      <c r="T148" s="471"/>
      <c r="U148" s="471"/>
      <c r="V148" s="471"/>
      <c r="W148" s="471"/>
      <c r="X148" s="471"/>
      <c r="Y148" s="471"/>
      <c r="Z148" s="471"/>
      <c r="AA148" s="471"/>
      <c r="AB148" s="471"/>
      <c r="AC148" s="471"/>
      <c r="AD148" s="471"/>
      <c r="AE148" s="471"/>
      <c r="AF148" s="471"/>
      <c r="AG148" s="471"/>
      <c r="AH148" s="471"/>
      <c r="AI148" s="471"/>
      <c r="AJ148" s="471"/>
      <c r="AK148" s="471"/>
      <c r="AL148" s="471"/>
      <c r="AM148" s="471"/>
      <c r="AN148" s="471"/>
      <c r="AO148" s="471"/>
      <c r="AP148" s="471"/>
      <c r="AQ148" s="471"/>
      <c r="AR148" s="471"/>
      <c r="AS148" s="471"/>
      <c r="AT148" s="471"/>
      <c r="AU148" s="471"/>
      <c r="AV148" s="471"/>
      <c r="AW148" s="471"/>
      <c r="AX148" s="471"/>
      <c r="AY148" s="471"/>
      <c r="AZ148" s="471"/>
      <c r="BA148" s="471"/>
      <c r="BB148" s="471"/>
      <c r="BC148" s="471"/>
      <c r="BD148" s="471"/>
      <c r="BE148" s="471"/>
      <c r="BF148" s="471"/>
      <c r="BG148" s="471"/>
      <c r="BH148" s="471"/>
      <c r="BI148" s="471"/>
      <c r="BJ148" s="471"/>
      <c r="BK148" s="471"/>
      <c r="BL148" s="471"/>
      <c r="BM148" s="471"/>
      <c r="BN148" s="471"/>
      <c r="BO148" s="471"/>
      <c r="BP148" s="471"/>
      <c r="BQ148" s="471"/>
      <c r="BR148" s="471"/>
      <c r="BS148" s="471"/>
      <c r="BT148" s="471"/>
      <c r="BU148" s="471"/>
      <c r="BV148" s="471"/>
      <c r="BW148" s="471"/>
      <c r="BX148" s="471"/>
      <c r="BY148" s="471"/>
      <c r="BZ148" s="471"/>
      <c r="CA148" s="471"/>
      <c r="CB148" s="471"/>
      <c r="CC148" s="471"/>
      <c r="CD148" s="471"/>
      <c r="CE148" s="471"/>
      <c r="CF148" s="471"/>
      <c r="CG148" s="471"/>
      <c r="CH148" s="471"/>
      <c r="CI148" s="471"/>
      <c r="CJ148" s="471"/>
      <c r="CK148" s="471"/>
      <c r="CL148" s="471"/>
      <c r="CM148" s="471"/>
      <c r="CN148" s="471"/>
      <c r="CO148" s="471"/>
      <c r="CP148" s="471"/>
      <c r="CQ148" s="471"/>
      <c r="CR148" s="471"/>
      <c r="CS148" s="471"/>
      <c r="CT148" s="471"/>
      <c r="CU148" s="471"/>
      <c r="CV148" s="471"/>
      <c r="CW148" s="471"/>
      <c r="CX148" s="471"/>
      <c r="CY148" s="471"/>
      <c r="CZ148" s="471"/>
      <c r="DA148" s="471"/>
      <c r="DB148" s="471"/>
      <c r="DC148" s="471"/>
      <c r="DD148" s="471"/>
      <c r="DE148" s="471"/>
      <c r="DF148" s="471"/>
      <c r="DG148" s="471"/>
      <c r="DH148" s="471"/>
      <c r="DI148" s="471"/>
      <c r="DJ148" s="471"/>
      <c r="DK148" s="471"/>
      <c r="DL148" s="471"/>
      <c r="DM148" s="471"/>
      <c r="DN148" s="471"/>
      <c r="DO148" s="471"/>
      <c r="DP148" s="471"/>
      <c r="DQ148" s="471"/>
      <c r="DR148" s="471"/>
      <c r="DS148" s="471"/>
      <c r="DT148" s="471"/>
      <c r="DU148" s="471"/>
      <c r="DV148" s="471"/>
      <c r="DW148" s="471"/>
      <c r="DX148" s="471"/>
      <c r="DY148" s="471"/>
      <c r="DZ148" s="471"/>
      <c r="EA148" s="471"/>
      <c r="EB148" s="471"/>
      <c r="EC148" s="471"/>
      <c r="ED148" s="471"/>
      <c r="EE148" s="471"/>
      <c r="EF148" s="471"/>
      <c r="EG148" s="471"/>
      <c r="EH148" s="471"/>
      <c r="EI148" s="471"/>
      <c r="EJ148" s="471"/>
      <c r="EK148" s="471"/>
      <c r="EL148" s="471"/>
      <c r="EM148" s="471"/>
      <c r="EN148" s="471"/>
      <c r="EO148" s="471"/>
      <c r="EP148" s="471"/>
      <c r="EQ148" s="471"/>
      <c r="ER148" s="471"/>
      <c r="ES148" s="471"/>
      <c r="ET148" s="471"/>
      <c r="EU148" s="471"/>
      <c r="EV148" s="471"/>
      <c r="EW148" s="471"/>
      <c r="EX148" s="471"/>
      <c r="EY148" s="471"/>
      <c r="EZ148" s="471"/>
      <c r="FA148" s="471"/>
      <c r="FB148" s="471"/>
      <c r="FC148" s="471"/>
      <c r="FD148" s="471"/>
      <c r="FE148" s="471"/>
      <c r="FF148" s="471"/>
      <c r="FG148" s="471"/>
      <c r="FH148" s="471"/>
      <c r="FI148" s="471"/>
      <c r="FJ148" s="471"/>
      <c r="FK148" s="471"/>
      <c r="FL148" s="471"/>
      <c r="FM148" s="471"/>
      <c r="FN148" s="471"/>
      <c r="FO148" s="471"/>
      <c r="FP148" s="471"/>
      <c r="FQ148" s="471"/>
      <c r="FR148" s="471"/>
      <c r="FS148" s="471"/>
      <c r="FT148" s="471"/>
      <c r="FU148" s="471"/>
      <c r="FV148" s="471"/>
      <c r="FW148" s="471"/>
      <c r="FX148" s="471"/>
      <c r="FY148" s="471"/>
      <c r="FZ148" s="471"/>
      <c r="GA148" s="471"/>
      <c r="GB148" s="471"/>
      <c r="GC148" s="471"/>
      <c r="GD148" s="471"/>
      <c r="GE148" s="471"/>
      <c r="GF148" s="471"/>
      <c r="GG148" s="471"/>
      <c r="GH148" s="471"/>
      <c r="GI148" s="471"/>
      <c r="GJ148" s="471"/>
      <c r="GK148" s="471"/>
      <c r="GL148" s="471"/>
      <c r="GM148" s="471"/>
      <c r="GN148" s="471"/>
      <c r="GO148" s="471"/>
      <c r="GP148" s="471"/>
      <c r="GQ148" s="471"/>
      <c r="GR148" s="471"/>
      <c r="GS148" s="471"/>
      <c r="GT148" s="471"/>
      <c r="GU148" s="471"/>
      <c r="GV148" s="471"/>
      <c r="GW148" s="471"/>
      <c r="GX148" s="471"/>
      <c r="GY148" s="471"/>
      <c r="GZ148" s="471"/>
      <c r="HA148" s="471"/>
      <c r="HB148" s="471"/>
      <c r="HC148" s="471"/>
      <c r="HD148" s="471"/>
      <c r="HE148" s="471"/>
      <c r="HF148" s="471"/>
      <c r="HG148" s="471"/>
      <c r="HH148" s="471"/>
      <c r="HI148" s="471"/>
      <c r="HJ148" s="471"/>
      <c r="HK148" s="471"/>
      <c r="HL148" s="471"/>
      <c r="HM148" s="471"/>
      <c r="HN148" s="471"/>
      <c r="HO148" s="471"/>
      <c r="HP148" s="471"/>
      <c r="HQ148" s="471"/>
      <c r="HR148" s="471"/>
      <c r="HS148" s="471"/>
      <c r="HT148" s="471"/>
      <c r="HU148" s="471"/>
      <c r="HV148" s="471"/>
      <c r="HW148" s="471"/>
      <c r="HX148" s="471"/>
      <c r="HY148" s="471"/>
      <c r="HZ148" s="471"/>
      <c r="IA148" s="471"/>
      <c r="IB148" s="471"/>
      <c r="IC148" s="471"/>
      <c r="ID148" s="471"/>
      <c r="IE148" s="471"/>
      <c r="IF148" s="471"/>
      <c r="IG148" s="471"/>
      <c r="IH148" s="471"/>
      <c r="II148" s="471"/>
      <c r="IJ148" s="471"/>
      <c r="IK148" s="471"/>
      <c r="IL148" s="471"/>
      <c r="IM148" s="471"/>
      <c r="IN148" s="471"/>
      <c r="IO148" s="471"/>
      <c r="IP148" s="471"/>
      <c r="IQ148" s="471"/>
      <c r="IR148" s="471"/>
      <c r="IS148" s="471"/>
      <c r="IT148" s="471"/>
      <c r="IU148" s="471"/>
      <c r="IV148" s="471"/>
      <c r="IW148" s="471"/>
      <c r="IX148" s="471"/>
      <c r="IY148" s="471"/>
      <c r="IZ148" s="471"/>
      <c r="JA148" s="471"/>
      <c r="JB148" s="471"/>
      <c r="JC148" s="471"/>
      <c r="JD148" s="471"/>
      <c r="JE148" s="471"/>
      <c r="JF148" s="471"/>
      <c r="JG148" s="471"/>
      <c r="JH148" s="471"/>
      <c r="JI148" s="471"/>
      <c r="JJ148" s="551"/>
    </row>
    <row r="149" spans="2:276" ht="14.4" thickTop="1" x14ac:dyDescent="0.3">
      <c r="B149" s="169" t="s">
        <v>330</v>
      </c>
      <c r="C149" s="501">
        <f>IF(C152&gt;0,IF(MONTH(C150)&gt;3,DATE(YEAR(C150)+1,3,31),DATE(YEAR(C150),3,31)),0)</f>
        <v>0</v>
      </c>
      <c r="D149" s="501">
        <f t="shared" ref="D149:BO149" si="139">IF(D152&gt;0,IF(MONTH(D150)&gt;3,DATE(YEAR(D150)+1,3,31),DATE(YEAR(D150),3,31)),0)</f>
        <v>0</v>
      </c>
      <c r="E149" s="501">
        <f t="shared" si="139"/>
        <v>0</v>
      </c>
      <c r="F149" s="501">
        <f t="shared" si="139"/>
        <v>0</v>
      </c>
      <c r="G149" s="501">
        <f t="shared" si="139"/>
        <v>0</v>
      </c>
      <c r="H149" s="501">
        <f t="shared" si="139"/>
        <v>0</v>
      </c>
      <c r="I149" s="501">
        <f t="shared" si="139"/>
        <v>0</v>
      </c>
      <c r="J149" s="501">
        <f t="shared" si="139"/>
        <v>0</v>
      </c>
      <c r="K149" s="501">
        <f t="shared" si="139"/>
        <v>0</v>
      </c>
      <c r="L149" s="501">
        <f t="shared" si="139"/>
        <v>0</v>
      </c>
      <c r="M149" s="501">
        <f t="shared" si="139"/>
        <v>0</v>
      </c>
      <c r="N149" s="501">
        <f t="shared" si="139"/>
        <v>0</v>
      </c>
      <c r="O149" s="501">
        <f t="shared" si="139"/>
        <v>0</v>
      </c>
      <c r="P149" s="501">
        <f t="shared" si="139"/>
        <v>0</v>
      </c>
      <c r="Q149" s="501">
        <f t="shared" si="139"/>
        <v>0</v>
      </c>
      <c r="R149" s="501">
        <f t="shared" si="139"/>
        <v>0</v>
      </c>
      <c r="S149" s="501">
        <f t="shared" si="139"/>
        <v>0</v>
      </c>
      <c r="T149" s="501">
        <f t="shared" si="139"/>
        <v>0</v>
      </c>
      <c r="U149" s="501">
        <f t="shared" si="139"/>
        <v>0</v>
      </c>
      <c r="V149" s="501">
        <f t="shared" si="139"/>
        <v>0</v>
      </c>
      <c r="W149" s="501">
        <f t="shared" si="139"/>
        <v>0</v>
      </c>
      <c r="X149" s="501">
        <f t="shared" si="139"/>
        <v>46843</v>
      </c>
      <c r="Y149" s="501">
        <f t="shared" si="139"/>
        <v>46843</v>
      </c>
      <c r="Z149" s="501">
        <f t="shared" si="139"/>
        <v>46843</v>
      </c>
      <c r="AA149" s="501">
        <f t="shared" si="139"/>
        <v>46843</v>
      </c>
      <c r="AB149" s="501">
        <f t="shared" si="139"/>
        <v>46843</v>
      </c>
      <c r="AC149" s="501">
        <f t="shared" si="139"/>
        <v>46843</v>
      </c>
      <c r="AD149" s="501">
        <f t="shared" si="139"/>
        <v>47208</v>
      </c>
      <c r="AE149" s="501">
        <f t="shared" si="139"/>
        <v>47208</v>
      </c>
      <c r="AF149" s="501">
        <f t="shared" si="139"/>
        <v>47208</v>
      </c>
      <c r="AG149" s="501">
        <f t="shared" si="139"/>
        <v>47208</v>
      </c>
      <c r="AH149" s="501">
        <f t="shared" si="139"/>
        <v>47208</v>
      </c>
      <c r="AI149" s="501">
        <f t="shared" si="139"/>
        <v>47208</v>
      </c>
      <c r="AJ149" s="501">
        <f t="shared" si="139"/>
        <v>47208</v>
      </c>
      <c r="AK149" s="501">
        <f t="shared" si="139"/>
        <v>47208</v>
      </c>
      <c r="AL149" s="501">
        <f t="shared" si="139"/>
        <v>47208</v>
      </c>
      <c r="AM149" s="501">
        <f t="shared" si="139"/>
        <v>47208</v>
      </c>
      <c r="AN149" s="501">
        <f t="shared" si="139"/>
        <v>47208</v>
      </c>
      <c r="AO149" s="501">
        <f t="shared" si="139"/>
        <v>47208</v>
      </c>
      <c r="AP149" s="501">
        <f t="shared" si="139"/>
        <v>47573</v>
      </c>
      <c r="AQ149" s="501">
        <f t="shared" si="139"/>
        <v>47573</v>
      </c>
      <c r="AR149" s="501">
        <f t="shared" si="139"/>
        <v>47573</v>
      </c>
      <c r="AS149" s="501">
        <f t="shared" si="139"/>
        <v>47573</v>
      </c>
      <c r="AT149" s="501">
        <f t="shared" si="139"/>
        <v>47573</v>
      </c>
      <c r="AU149" s="501">
        <f t="shared" si="139"/>
        <v>47573</v>
      </c>
      <c r="AV149" s="501">
        <f t="shared" si="139"/>
        <v>47573</v>
      </c>
      <c r="AW149" s="501">
        <f t="shared" si="139"/>
        <v>47573</v>
      </c>
      <c r="AX149" s="501">
        <f t="shared" si="139"/>
        <v>47573</v>
      </c>
      <c r="AY149" s="501">
        <f t="shared" si="139"/>
        <v>47573</v>
      </c>
      <c r="AZ149" s="501">
        <f t="shared" si="139"/>
        <v>47573</v>
      </c>
      <c r="BA149" s="501">
        <f t="shared" si="139"/>
        <v>47573</v>
      </c>
      <c r="BB149" s="501">
        <f t="shared" si="139"/>
        <v>47938</v>
      </c>
      <c r="BC149" s="501">
        <f t="shared" si="139"/>
        <v>47938</v>
      </c>
      <c r="BD149" s="501">
        <f t="shared" si="139"/>
        <v>47938</v>
      </c>
      <c r="BE149" s="501">
        <f t="shared" si="139"/>
        <v>47938</v>
      </c>
      <c r="BF149" s="501">
        <f t="shared" si="139"/>
        <v>47938</v>
      </c>
      <c r="BG149" s="501">
        <f t="shared" si="139"/>
        <v>47938</v>
      </c>
      <c r="BH149" s="501">
        <f t="shared" si="139"/>
        <v>47938</v>
      </c>
      <c r="BI149" s="501">
        <f t="shared" si="139"/>
        <v>47938</v>
      </c>
      <c r="BJ149" s="501">
        <f t="shared" si="139"/>
        <v>47938</v>
      </c>
      <c r="BK149" s="501">
        <f t="shared" si="139"/>
        <v>47938</v>
      </c>
      <c r="BL149" s="501">
        <f t="shared" si="139"/>
        <v>47938</v>
      </c>
      <c r="BM149" s="501">
        <f t="shared" si="139"/>
        <v>47938</v>
      </c>
      <c r="BN149" s="501">
        <f t="shared" si="139"/>
        <v>48304</v>
      </c>
      <c r="BO149" s="501">
        <f t="shared" si="139"/>
        <v>48304</v>
      </c>
      <c r="BP149" s="501">
        <f t="shared" ref="BP149:EA149" si="140">IF(BP152&gt;0,IF(MONTH(BP150)&gt;3,DATE(YEAR(BP150)+1,3,31),DATE(YEAR(BP150),3,31)),0)</f>
        <v>48304</v>
      </c>
      <c r="BQ149" s="501">
        <f t="shared" si="140"/>
        <v>48304</v>
      </c>
      <c r="BR149" s="501">
        <f t="shared" si="140"/>
        <v>48304</v>
      </c>
      <c r="BS149" s="501">
        <f t="shared" si="140"/>
        <v>48304</v>
      </c>
      <c r="BT149" s="501">
        <f t="shared" si="140"/>
        <v>48304</v>
      </c>
      <c r="BU149" s="501">
        <f t="shared" si="140"/>
        <v>48304</v>
      </c>
      <c r="BV149" s="501">
        <f t="shared" si="140"/>
        <v>48304</v>
      </c>
      <c r="BW149" s="501">
        <f t="shared" si="140"/>
        <v>48304</v>
      </c>
      <c r="BX149" s="501">
        <f t="shared" si="140"/>
        <v>48304</v>
      </c>
      <c r="BY149" s="501">
        <f t="shared" si="140"/>
        <v>48304</v>
      </c>
      <c r="BZ149" s="501">
        <f t="shared" si="140"/>
        <v>48669</v>
      </c>
      <c r="CA149" s="501">
        <f t="shared" si="140"/>
        <v>48669</v>
      </c>
      <c r="CB149" s="501">
        <f t="shared" si="140"/>
        <v>48669</v>
      </c>
      <c r="CC149" s="501">
        <f t="shared" si="140"/>
        <v>48669</v>
      </c>
      <c r="CD149" s="501">
        <f t="shared" si="140"/>
        <v>48669</v>
      </c>
      <c r="CE149" s="501">
        <f t="shared" si="140"/>
        <v>48669</v>
      </c>
      <c r="CF149" s="501">
        <f t="shared" si="140"/>
        <v>48669</v>
      </c>
      <c r="CG149" s="501">
        <f t="shared" si="140"/>
        <v>48669</v>
      </c>
      <c r="CH149" s="501">
        <f t="shared" si="140"/>
        <v>48669</v>
      </c>
      <c r="CI149" s="501">
        <f t="shared" si="140"/>
        <v>48669</v>
      </c>
      <c r="CJ149" s="501">
        <f t="shared" si="140"/>
        <v>48669</v>
      </c>
      <c r="CK149" s="501">
        <f t="shared" si="140"/>
        <v>48669</v>
      </c>
      <c r="CL149" s="501">
        <f t="shared" si="140"/>
        <v>49034</v>
      </c>
      <c r="CM149" s="501">
        <f t="shared" si="140"/>
        <v>49034</v>
      </c>
      <c r="CN149" s="501">
        <f t="shared" si="140"/>
        <v>49034</v>
      </c>
      <c r="CO149" s="501">
        <f t="shared" si="140"/>
        <v>49034</v>
      </c>
      <c r="CP149" s="501">
        <f t="shared" si="140"/>
        <v>49034</v>
      </c>
      <c r="CQ149" s="501">
        <f t="shared" si="140"/>
        <v>49034</v>
      </c>
      <c r="CR149" s="501">
        <f t="shared" si="140"/>
        <v>49034</v>
      </c>
      <c r="CS149" s="501">
        <f t="shared" si="140"/>
        <v>49034</v>
      </c>
      <c r="CT149" s="501">
        <f t="shared" si="140"/>
        <v>49034</v>
      </c>
      <c r="CU149" s="501">
        <f t="shared" si="140"/>
        <v>49034</v>
      </c>
      <c r="CV149" s="501">
        <f t="shared" si="140"/>
        <v>49034</v>
      </c>
      <c r="CW149" s="501">
        <f t="shared" si="140"/>
        <v>49034</v>
      </c>
      <c r="CX149" s="501">
        <f t="shared" si="140"/>
        <v>49399</v>
      </c>
      <c r="CY149" s="501">
        <f t="shared" si="140"/>
        <v>49399</v>
      </c>
      <c r="CZ149" s="501">
        <f t="shared" si="140"/>
        <v>49399</v>
      </c>
      <c r="DA149" s="501">
        <f t="shared" si="140"/>
        <v>49399</v>
      </c>
      <c r="DB149" s="501">
        <f t="shared" si="140"/>
        <v>49399</v>
      </c>
      <c r="DC149" s="501">
        <f t="shared" si="140"/>
        <v>49399</v>
      </c>
      <c r="DD149" s="501">
        <f t="shared" si="140"/>
        <v>49399</v>
      </c>
      <c r="DE149" s="501">
        <f t="shared" si="140"/>
        <v>49399</v>
      </c>
      <c r="DF149" s="501">
        <f t="shared" si="140"/>
        <v>49399</v>
      </c>
      <c r="DG149" s="501">
        <f t="shared" si="140"/>
        <v>49399</v>
      </c>
      <c r="DH149" s="501">
        <f t="shared" si="140"/>
        <v>49399</v>
      </c>
      <c r="DI149" s="501">
        <f t="shared" si="140"/>
        <v>49399</v>
      </c>
      <c r="DJ149" s="501">
        <f t="shared" si="140"/>
        <v>49765</v>
      </c>
      <c r="DK149" s="501">
        <f t="shared" si="140"/>
        <v>49765</v>
      </c>
      <c r="DL149" s="501">
        <f t="shared" si="140"/>
        <v>49765</v>
      </c>
      <c r="DM149" s="501">
        <f t="shared" si="140"/>
        <v>49765</v>
      </c>
      <c r="DN149" s="501">
        <f t="shared" si="140"/>
        <v>49765</v>
      </c>
      <c r="DO149" s="501">
        <f t="shared" si="140"/>
        <v>49765</v>
      </c>
      <c r="DP149" s="501">
        <f t="shared" si="140"/>
        <v>49765</v>
      </c>
      <c r="DQ149" s="501">
        <f t="shared" si="140"/>
        <v>49765</v>
      </c>
      <c r="DR149" s="501">
        <f t="shared" si="140"/>
        <v>49765</v>
      </c>
      <c r="DS149" s="501">
        <f t="shared" si="140"/>
        <v>49765</v>
      </c>
      <c r="DT149" s="501">
        <f t="shared" si="140"/>
        <v>49765</v>
      </c>
      <c r="DU149" s="501">
        <f t="shared" si="140"/>
        <v>49765</v>
      </c>
      <c r="DV149" s="501">
        <f t="shared" si="140"/>
        <v>50130</v>
      </c>
      <c r="DW149" s="501">
        <f t="shared" si="140"/>
        <v>50130</v>
      </c>
      <c r="DX149" s="501">
        <f t="shared" si="140"/>
        <v>50130</v>
      </c>
      <c r="DY149" s="501">
        <f t="shared" si="140"/>
        <v>50130</v>
      </c>
      <c r="DZ149" s="501">
        <f t="shared" si="140"/>
        <v>50130</v>
      </c>
      <c r="EA149" s="501">
        <f t="shared" si="140"/>
        <v>50130</v>
      </c>
      <c r="EB149" s="501">
        <f t="shared" ref="EB149:GM149" si="141">IF(EB152&gt;0,IF(MONTH(EB150)&gt;3,DATE(YEAR(EB150)+1,3,31),DATE(YEAR(EB150),3,31)),0)</f>
        <v>50130</v>
      </c>
      <c r="EC149" s="501">
        <f t="shared" si="141"/>
        <v>50130</v>
      </c>
      <c r="ED149" s="501">
        <f t="shared" si="141"/>
        <v>50130</v>
      </c>
      <c r="EE149" s="501">
        <f t="shared" si="141"/>
        <v>50130</v>
      </c>
      <c r="EF149" s="501">
        <f t="shared" si="141"/>
        <v>50130</v>
      </c>
      <c r="EG149" s="501">
        <f t="shared" si="141"/>
        <v>50130</v>
      </c>
      <c r="EH149" s="501">
        <f t="shared" si="141"/>
        <v>50495</v>
      </c>
      <c r="EI149" s="501">
        <f t="shared" si="141"/>
        <v>50495</v>
      </c>
      <c r="EJ149" s="501">
        <f t="shared" si="141"/>
        <v>50495</v>
      </c>
      <c r="EK149" s="501">
        <f t="shared" si="141"/>
        <v>50495</v>
      </c>
      <c r="EL149" s="501">
        <f t="shared" si="141"/>
        <v>50495</v>
      </c>
      <c r="EM149" s="501">
        <f t="shared" si="141"/>
        <v>50495</v>
      </c>
      <c r="EN149" s="501">
        <f t="shared" si="141"/>
        <v>50495</v>
      </c>
      <c r="EO149" s="501">
        <f t="shared" si="141"/>
        <v>50495</v>
      </c>
      <c r="EP149" s="501">
        <f t="shared" si="141"/>
        <v>50495</v>
      </c>
      <c r="EQ149" s="501">
        <f t="shared" si="141"/>
        <v>50495</v>
      </c>
      <c r="ER149" s="501">
        <f t="shared" si="141"/>
        <v>50495</v>
      </c>
      <c r="ES149" s="501">
        <f t="shared" si="141"/>
        <v>50495</v>
      </c>
      <c r="ET149" s="501">
        <f t="shared" si="141"/>
        <v>50860</v>
      </c>
      <c r="EU149" s="501">
        <f t="shared" si="141"/>
        <v>50860</v>
      </c>
      <c r="EV149" s="501">
        <f t="shared" si="141"/>
        <v>50860</v>
      </c>
      <c r="EW149" s="501">
        <f t="shared" si="141"/>
        <v>50860</v>
      </c>
      <c r="EX149" s="501">
        <f t="shared" si="141"/>
        <v>50860</v>
      </c>
      <c r="EY149" s="501">
        <f t="shared" si="141"/>
        <v>50860</v>
      </c>
      <c r="EZ149" s="501">
        <f t="shared" si="141"/>
        <v>50860</v>
      </c>
      <c r="FA149" s="501">
        <f t="shared" si="141"/>
        <v>50860</v>
      </c>
      <c r="FB149" s="501">
        <f t="shared" si="141"/>
        <v>50860</v>
      </c>
      <c r="FC149" s="501">
        <f t="shared" si="141"/>
        <v>50860</v>
      </c>
      <c r="FD149" s="501">
        <f t="shared" si="141"/>
        <v>50860</v>
      </c>
      <c r="FE149" s="501">
        <f t="shared" si="141"/>
        <v>50860</v>
      </c>
      <c r="FF149" s="501">
        <f t="shared" si="141"/>
        <v>51226</v>
      </c>
      <c r="FG149" s="501">
        <f t="shared" si="141"/>
        <v>51226</v>
      </c>
      <c r="FH149" s="501">
        <f t="shared" si="141"/>
        <v>51226</v>
      </c>
      <c r="FI149" s="501">
        <f t="shared" si="141"/>
        <v>51226</v>
      </c>
      <c r="FJ149" s="501">
        <f t="shared" si="141"/>
        <v>51226</v>
      </c>
      <c r="FK149" s="501">
        <f t="shared" si="141"/>
        <v>51226</v>
      </c>
      <c r="FL149" s="501">
        <f t="shared" si="141"/>
        <v>51226</v>
      </c>
      <c r="FM149" s="501">
        <f t="shared" si="141"/>
        <v>51226</v>
      </c>
      <c r="FN149" s="501">
        <f t="shared" si="141"/>
        <v>51226</v>
      </c>
      <c r="FO149" s="501">
        <f t="shared" si="141"/>
        <v>51226</v>
      </c>
      <c r="FP149" s="501">
        <f t="shared" si="141"/>
        <v>51226</v>
      </c>
      <c r="FQ149" s="501">
        <f t="shared" si="141"/>
        <v>51226</v>
      </c>
      <c r="FR149" s="501">
        <f t="shared" si="141"/>
        <v>51591</v>
      </c>
      <c r="FS149" s="501">
        <f t="shared" si="141"/>
        <v>51591</v>
      </c>
      <c r="FT149" s="501">
        <f t="shared" si="141"/>
        <v>51591</v>
      </c>
      <c r="FU149" s="501">
        <f t="shared" si="141"/>
        <v>51591</v>
      </c>
      <c r="FV149" s="501">
        <f t="shared" si="141"/>
        <v>51591</v>
      </c>
      <c r="FW149" s="501">
        <f t="shared" si="141"/>
        <v>51591</v>
      </c>
      <c r="FX149" s="501">
        <f t="shared" si="141"/>
        <v>51591</v>
      </c>
      <c r="FY149" s="501">
        <f t="shared" si="141"/>
        <v>51591</v>
      </c>
      <c r="FZ149" s="501">
        <f t="shared" si="141"/>
        <v>51591</v>
      </c>
      <c r="GA149" s="501">
        <f t="shared" si="141"/>
        <v>51591</v>
      </c>
      <c r="GB149" s="501">
        <f t="shared" si="141"/>
        <v>51591</v>
      </c>
      <c r="GC149" s="501">
        <f t="shared" si="141"/>
        <v>51591</v>
      </c>
      <c r="GD149" s="501">
        <f t="shared" si="141"/>
        <v>51956</v>
      </c>
      <c r="GE149" s="501">
        <f t="shared" si="141"/>
        <v>51956</v>
      </c>
      <c r="GF149" s="501">
        <f t="shared" si="141"/>
        <v>51956</v>
      </c>
      <c r="GG149" s="501">
        <f t="shared" si="141"/>
        <v>51956</v>
      </c>
      <c r="GH149" s="501">
        <f t="shared" si="141"/>
        <v>51956</v>
      </c>
      <c r="GI149" s="501">
        <f t="shared" si="141"/>
        <v>51956</v>
      </c>
      <c r="GJ149" s="501">
        <f t="shared" si="141"/>
        <v>51956</v>
      </c>
      <c r="GK149" s="501">
        <f t="shared" si="141"/>
        <v>51956</v>
      </c>
      <c r="GL149" s="501">
        <f t="shared" si="141"/>
        <v>51956</v>
      </c>
      <c r="GM149" s="501">
        <f t="shared" si="141"/>
        <v>51956</v>
      </c>
      <c r="GN149" s="501">
        <f t="shared" ref="GN149:IY149" si="142">IF(GN152&gt;0,IF(MONTH(GN150)&gt;3,DATE(YEAR(GN150)+1,3,31),DATE(YEAR(GN150),3,31)),0)</f>
        <v>51956</v>
      </c>
      <c r="GO149" s="501">
        <f t="shared" si="142"/>
        <v>51956</v>
      </c>
      <c r="GP149" s="501">
        <f t="shared" si="142"/>
        <v>52321</v>
      </c>
      <c r="GQ149" s="501">
        <f t="shared" si="142"/>
        <v>52321</v>
      </c>
      <c r="GR149" s="501">
        <f t="shared" si="142"/>
        <v>52321</v>
      </c>
      <c r="GS149" s="501">
        <f t="shared" si="142"/>
        <v>52321</v>
      </c>
      <c r="GT149" s="501">
        <f t="shared" si="142"/>
        <v>52321</v>
      </c>
      <c r="GU149" s="501">
        <f t="shared" si="142"/>
        <v>52321</v>
      </c>
      <c r="GV149" s="501">
        <f t="shared" si="142"/>
        <v>52321</v>
      </c>
      <c r="GW149" s="501">
        <f t="shared" si="142"/>
        <v>52321</v>
      </c>
      <c r="GX149" s="501">
        <f t="shared" si="142"/>
        <v>52321</v>
      </c>
      <c r="GY149" s="501">
        <f t="shared" si="142"/>
        <v>52321</v>
      </c>
      <c r="GZ149" s="501">
        <f t="shared" si="142"/>
        <v>52321</v>
      </c>
      <c r="HA149" s="501">
        <f t="shared" si="142"/>
        <v>52321</v>
      </c>
      <c r="HB149" s="501">
        <f t="shared" si="142"/>
        <v>52687</v>
      </c>
      <c r="HC149" s="501">
        <f t="shared" si="142"/>
        <v>52687</v>
      </c>
      <c r="HD149" s="501">
        <f t="shared" si="142"/>
        <v>52687</v>
      </c>
      <c r="HE149" s="501">
        <f t="shared" si="142"/>
        <v>52687</v>
      </c>
      <c r="HF149" s="501">
        <f t="shared" si="142"/>
        <v>52687</v>
      </c>
      <c r="HG149" s="501">
        <f t="shared" si="142"/>
        <v>52687</v>
      </c>
      <c r="HH149" s="501">
        <f t="shared" si="142"/>
        <v>52687</v>
      </c>
      <c r="HI149" s="501">
        <f t="shared" si="142"/>
        <v>52687</v>
      </c>
      <c r="HJ149" s="501">
        <f t="shared" si="142"/>
        <v>52687</v>
      </c>
      <c r="HK149" s="501">
        <f t="shared" si="142"/>
        <v>52687</v>
      </c>
      <c r="HL149" s="501">
        <f t="shared" si="142"/>
        <v>52687</v>
      </c>
      <c r="HM149" s="501">
        <f t="shared" si="142"/>
        <v>52687</v>
      </c>
      <c r="HN149" s="501">
        <f t="shared" si="142"/>
        <v>53052</v>
      </c>
      <c r="HO149" s="501">
        <f t="shared" si="142"/>
        <v>53052</v>
      </c>
      <c r="HP149" s="501">
        <f t="shared" si="142"/>
        <v>53052</v>
      </c>
      <c r="HQ149" s="501">
        <f t="shared" si="142"/>
        <v>53052</v>
      </c>
      <c r="HR149" s="501">
        <f t="shared" si="142"/>
        <v>53052</v>
      </c>
      <c r="HS149" s="501">
        <f t="shared" si="142"/>
        <v>53052</v>
      </c>
      <c r="HT149" s="501">
        <f t="shared" si="142"/>
        <v>53052</v>
      </c>
      <c r="HU149" s="501">
        <f t="shared" si="142"/>
        <v>53052</v>
      </c>
      <c r="HV149" s="501">
        <f t="shared" si="142"/>
        <v>53052</v>
      </c>
      <c r="HW149" s="501">
        <f t="shared" si="142"/>
        <v>53052</v>
      </c>
      <c r="HX149" s="501">
        <f t="shared" si="142"/>
        <v>53052</v>
      </c>
      <c r="HY149" s="501">
        <f t="shared" si="142"/>
        <v>53052</v>
      </c>
      <c r="HZ149" s="501">
        <f t="shared" si="142"/>
        <v>53417</v>
      </c>
      <c r="IA149" s="501">
        <f t="shared" si="142"/>
        <v>53417</v>
      </c>
      <c r="IB149" s="501">
        <f t="shared" si="142"/>
        <v>53417</v>
      </c>
      <c r="IC149" s="501">
        <f t="shared" si="142"/>
        <v>53417</v>
      </c>
      <c r="ID149" s="501">
        <f t="shared" si="142"/>
        <v>53417</v>
      </c>
      <c r="IE149" s="501">
        <f t="shared" si="142"/>
        <v>53417</v>
      </c>
      <c r="IF149" s="501">
        <f t="shared" si="142"/>
        <v>53417</v>
      </c>
      <c r="IG149" s="501">
        <f t="shared" si="142"/>
        <v>53417</v>
      </c>
      <c r="IH149" s="501">
        <f t="shared" si="142"/>
        <v>53417</v>
      </c>
      <c r="II149" s="501">
        <f t="shared" si="142"/>
        <v>53417</v>
      </c>
      <c r="IJ149" s="501">
        <f t="shared" si="142"/>
        <v>53417</v>
      </c>
      <c r="IK149" s="501">
        <f t="shared" si="142"/>
        <v>53417</v>
      </c>
      <c r="IL149" s="501">
        <f t="shared" si="142"/>
        <v>53782</v>
      </c>
      <c r="IM149" s="501">
        <f t="shared" si="142"/>
        <v>53782</v>
      </c>
      <c r="IN149" s="501">
        <f t="shared" si="142"/>
        <v>53782</v>
      </c>
      <c r="IO149" s="501">
        <f t="shared" si="142"/>
        <v>53782</v>
      </c>
      <c r="IP149" s="501">
        <f t="shared" si="142"/>
        <v>53782</v>
      </c>
      <c r="IQ149" s="501">
        <f t="shared" si="142"/>
        <v>53782</v>
      </c>
      <c r="IR149" s="501">
        <f t="shared" si="142"/>
        <v>53782</v>
      </c>
      <c r="IS149" s="501">
        <f t="shared" si="142"/>
        <v>53782</v>
      </c>
      <c r="IT149" s="501">
        <f t="shared" si="142"/>
        <v>53782</v>
      </c>
      <c r="IU149" s="501">
        <f t="shared" si="142"/>
        <v>53782</v>
      </c>
      <c r="IV149" s="501">
        <f t="shared" si="142"/>
        <v>53782</v>
      </c>
      <c r="IW149" s="501">
        <f t="shared" si="142"/>
        <v>53782</v>
      </c>
      <c r="IX149" s="501">
        <f t="shared" si="142"/>
        <v>54148</v>
      </c>
      <c r="IY149" s="501">
        <f t="shared" si="142"/>
        <v>54148</v>
      </c>
      <c r="IZ149" s="501">
        <f t="shared" ref="IZ149:JI149" si="143">IF(IZ152&gt;0,IF(MONTH(IZ150)&gt;3,DATE(YEAR(IZ150)+1,3,31),DATE(YEAR(IZ150),3,31)),0)</f>
        <v>54148</v>
      </c>
      <c r="JA149" s="501">
        <f t="shared" si="143"/>
        <v>54148</v>
      </c>
      <c r="JB149" s="501">
        <f t="shared" si="143"/>
        <v>54148</v>
      </c>
      <c r="JC149" s="501">
        <f t="shared" si="143"/>
        <v>54148</v>
      </c>
      <c r="JD149" s="501">
        <f t="shared" si="143"/>
        <v>54148</v>
      </c>
      <c r="JE149" s="501">
        <f t="shared" si="143"/>
        <v>54148</v>
      </c>
      <c r="JF149" s="501">
        <f t="shared" si="143"/>
        <v>54148</v>
      </c>
      <c r="JG149" s="501">
        <f t="shared" si="143"/>
        <v>54148</v>
      </c>
      <c r="JH149" s="501">
        <f t="shared" si="143"/>
        <v>54148</v>
      </c>
      <c r="JI149" s="501">
        <f t="shared" si="143"/>
        <v>54148</v>
      </c>
      <c r="JJ149" s="553"/>
      <c r="JK149" s="501"/>
      <c r="JL149" s="501"/>
      <c r="JM149" s="501"/>
      <c r="JN149" s="501"/>
      <c r="JO149" s="501"/>
    </row>
    <row r="150" spans="2:276" x14ac:dyDescent="0.3">
      <c r="B150" s="169" t="s">
        <v>329</v>
      </c>
      <c r="C150" s="501">
        <f>C86</f>
        <v>46053</v>
      </c>
      <c r="D150" s="501">
        <f>EOMONTH(C150,1)</f>
        <v>46081</v>
      </c>
      <c r="E150" s="501">
        <f t="shared" ref="E150:BP151" si="144">EOMONTH(D150,1)</f>
        <v>46112</v>
      </c>
      <c r="F150" s="501">
        <f t="shared" si="144"/>
        <v>46142</v>
      </c>
      <c r="G150" s="501">
        <f t="shared" si="144"/>
        <v>46173</v>
      </c>
      <c r="H150" s="501">
        <f t="shared" si="144"/>
        <v>46203</v>
      </c>
      <c r="I150" s="501">
        <f t="shared" si="144"/>
        <v>46234</v>
      </c>
      <c r="J150" s="501">
        <f t="shared" si="144"/>
        <v>46265</v>
      </c>
      <c r="K150" s="501">
        <f t="shared" si="144"/>
        <v>46295</v>
      </c>
      <c r="L150" s="501">
        <f t="shared" si="144"/>
        <v>46326</v>
      </c>
      <c r="M150" s="501">
        <f t="shared" si="144"/>
        <v>46356</v>
      </c>
      <c r="N150" s="501">
        <f t="shared" si="144"/>
        <v>46387</v>
      </c>
      <c r="O150" s="501">
        <f t="shared" si="144"/>
        <v>46418</v>
      </c>
      <c r="P150" s="501">
        <f t="shared" si="144"/>
        <v>46446</v>
      </c>
      <c r="Q150" s="501">
        <f t="shared" si="144"/>
        <v>46477</v>
      </c>
      <c r="R150" s="501">
        <f t="shared" si="144"/>
        <v>46507</v>
      </c>
      <c r="S150" s="501">
        <f t="shared" si="144"/>
        <v>46538</v>
      </c>
      <c r="T150" s="501">
        <f t="shared" si="144"/>
        <v>46568</v>
      </c>
      <c r="U150" s="501">
        <f t="shared" si="144"/>
        <v>46599</v>
      </c>
      <c r="V150" s="501">
        <f t="shared" si="144"/>
        <v>46630</v>
      </c>
      <c r="W150" s="501">
        <f t="shared" si="144"/>
        <v>46660</v>
      </c>
      <c r="X150" s="501">
        <f t="shared" si="144"/>
        <v>46691</v>
      </c>
      <c r="Y150" s="501">
        <f t="shared" si="144"/>
        <v>46721</v>
      </c>
      <c r="Z150" s="501">
        <f t="shared" si="144"/>
        <v>46752</v>
      </c>
      <c r="AA150" s="501">
        <f t="shared" si="144"/>
        <v>46783</v>
      </c>
      <c r="AB150" s="501">
        <f t="shared" si="144"/>
        <v>46812</v>
      </c>
      <c r="AC150" s="501">
        <f t="shared" si="144"/>
        <v>46843</v>
      </c>
      <c r="AD150" s="501">
        <f t="shared" si="144"/>
        <v>46873</v>
      </c>
      <c r="AE150" s="501">
        <f t="shared" si="144"/>
        <v>46904</v>
      </c>
      <c r="AF150" s="501">
        <f t="shared" si="144"/>
        <v>46934</v>
      </c>
      <c r="AG150" s="501">
        <f t="shared" si="144"/>
        <v>46965</v>
      </c>
      <c r="AH150" s="501">
        <f t="shared" si="144"/>
        <v>46996</v>
      </c>
      <c r="AI150" s="501">
        <f t="shared" si="144"/>
        <v>47026</v>
      </c>
      <c r="AJ150" s="501">
        <f t="shared" si="144"/>
        <v>47057</v>
      </c>
      <c r="AK150" s="501">
        <f t="shared" si="144"/>
        <v>47087</v>
      </c>
      <c r="AL150" s="501">
        <f t="shared" si="144"/>
        <v>47118</v>
      </c>
      <c r="AM150" s="501">
        <f t="shared" si="144"/>
        <v>47149</v>
      </c>
      <c r="AN150" s="501">
        <f t="shared" si="144"/>
        <v>47177</v>
      </c>
      <c r="AO150" s="501">
        <f t="shared" si="144"/>
        <v>47208</v>
      </c>
      <c r="AP150" s="501">
        <f t="shared" si="144"/>
        <v>47238</v>
      </c>
      <c r="AQ150" s="501">
        <f t="shared" si="144"/>
        <v>47269</v>
      </c>
      <c r="AR150" s="501">
        <f t="shared" si="144"/>
        <v>47299</v>
      </c>
      <c r="AS150" s="501">
        <f t="shared" si="144"/>
        <v>47330</v>
      </c>
      <c r="AT150" s="501">
        <f t="shared" si="144"/>
        <v>47361</v>
      </c>
      <c r="AU150" s="501">
        <f t="shared" si="144"/>
        <v>47391</v>
      </c>
      <c r="AV150" s="501">
        <f t="shared" si="144"/>
        <v>47422</v>
      </c>
      <c r="AW150" s="501">
        <f t="shared" si="144"/>
        <v>47452</v>
      </c>
      <c r="AX150" s="501">
        <f t="shared" si="144"/>
        <v>47483</v>
      </c>
      <c r="AY150" s="501">
        <f t="shared" si="144"/>
        <v>47514</v>
      </c>
      <c r="AZ150" s="501">
        <f t="shared" si="144"/>
        <v>47542</v>
      </c>
      <c r="BA150" s="501">
        <f t="shared" si="144"/>
        <v>47573</v>
      </c>
      <c r="BB150" s="501">
        <f t="shared" si="144"/>
        <v>47603</v>
      </c>
      <c r="BC150" s="501">
        <f t="shared" si="144"/>
        <v>47634</v>
      </c>
      <c r="BD150" s="501">
        <f t="shared" si="144"/>
        <v>47664</v>
      </c>
      <c r="BE150" s="501">
        <f t="shared" si="144"/>
        <v>47695</v>
      </c>
      <c r="BF150" s="501">
        <f t="shared" si="144"/>
        <v>47726</v>
      </c>
      <c r="BG150" s="501">
        <f t="shared" si="144"/>
        <v>47756</v>
      </c>
      <c r="BH150" s="501">
        <f t="shared" si="144"/>
        <v>47787</v>
      </c>
      <c r="BI150" s="501">
        <f t="shared" si="144"/>
        <v>47817</v>
      </c>
      <c r="BJ150" s="501">
        <f t="shared" si="144"/>
        <v>47848</v>
      </c>
      <c r="BK150" s="501">
        <f t="shared" si="144"/>
        <v>47879</v>
      </c>
      <c r="BL150" s="501">
        <f t="shared" si="144"/>
        <v>47907</v>
      </c>
      <c r="BM150" s="501">
        <f t="shared" si="144"/>
        <v>47938</v>
      </c>
      <c r="BN150" s="501">
        <f t="shared" si="144"/>
        <v>47968</v>
      </c>
      <c r="BO150" s="501">
        <f t="shared" si="144"/>
        <v>47999</v>
      </c>
      <c r="BP150" s="501">
        <f t="shared" si="144"/>
        <v>48029</v>
      </c>
      <c r="BQ150" s="501">
        <f t="shared" ref="BQ150:EB151" si="145">EOMONTH(BP150,1)</f>
        <v>48060</v>
      </c>
      <c r="BR150" s="501">
        <f t="shared" si="145"/>
        <v>48091</v>
      </c>
      <c r="BS150" s="501">
        <f t="shared" si="145"/>
        <v>48121</v>
      </c>
      <c r="BT150" s="501">
        <f t="shared" si="145"/>
        <v>48152</v>
      </c>
      <c r="BU150" s="501">
        <f t="shared" si="145"/>
        <v>48182</v>
      </c>
      <c r="BV150" s="501">
        <f t="shared" si="145"/>
        <v>48213</v>
      </c>
      <c r="BW150" s="501">
        <f t="shared" si="145"/>
        <v>48244</v>
      </c>
      <c r="BX150" s="501">
        <f t="shared" si="145"/>
        <v>48273</v>
      </c>
      <c r="BY150" s="501">
        <f t="shared" si="145"/>
        <v>48304</v>
      </c>
      <c r="BZ150" s="501">
        <f t="shared" si="145"/>
        <v>48334</v>
      </c>
      <c r="CA150" s="501">
        <f t="shared" si="145"/>
        <v>48365</v>
      </c>
      <c r="CB150" s="501">
        <f t="shared" si="145"/>
        <v>48395</v>
      </c>
      <c r="CC150" s="501">
        <f t="shared" si="145"/>
        <v>48426</v>
      </c>
      <c r="CD150" s="501">
        <f t="shared" si="145"/>
        <v>48457</v>
      </c>
      <c r="CE150" s="501">
        <f t="shared" si="145"/>
        <v>48487</v>
      </c>
      <c r="CF150" s="501">
        <f t="shared" si="145"/>
        <v>48518</v>
      </c>
      <c r="CG150" s="501">
        <f t="shared" si="145"/>
        <v>48548</v>
      </c>
      <c r="CH150" s="501">
        <f t="shared" si="145"/>
        <v>48579</v>
      </c>
      <c r="CI150" s="501">
        <f t="shared" si="145"/>
        <v>48610</v>
      </c>
      <c r="CJ150" s="501">
        <f t="shared" si="145"/>
        <v>48638</v>
      </c>
      <c r="CK150" s="501">
        <f t="shared" si="145"/>
        <v>48669</v>
      </c>
      <c r="CL150" s="501">
        <f t="shared" si="145"/>
        <v>48699</v>
      </c>
      <c r="CM150" s="501">
        <f t="shared" si="145"/>
        <v>48730</v>
      </c>
      <c r="CN150" s="501">
        <f t="shared" si="145"/>
        <v>48760</v>
      </c>
      <c r="CO150" s="501">
        <f t="shared" si="145"/>
        <v>48791</v>
      </c>
      <c r="CP150" s="501">
        <f t="shared" si="145"/>
        <v>48822</v>
      </c>
      <c r="CQ150" s="501">
        <f t="shared" si="145"/>
        <v>48852</v>
      </c>
      <c r="CR150" s="501">
        <f t="shared" si="145"/>
        <v>48883</v>
      </c>
      <c r="CS150" s="501">
        <f t="shared" si="145"/>
        <v>48913</v>
      </c>
      <c r="CT150" s="501">
        <f t="shared" si="145"/>
        <v>48944</v>
      </c>
      <c r="CU150" s="501">
        <f t="shared" si="145"/>
        <v>48975</v>
      </c>
      <c r="CV150" s="501">
        <f t="shared" si="145"/>
        <v>49003</v>
      </c>
      <c r="CW150" s="501">
        <f t="shared" si="145"/>
        <v>49034</v>
      </c>
      <c r="CX150" s="501">
        <f t="shared" si="145"/>
        <v>49064</v>
      </c>
      <c r="CY150" s="501">
        <f t="shared" si="145"/>
        <v>49095</v>
      </c>
      <c r="CZ150" s="501">
        <f t="shared" si="145"/>
        <v>49125</v>
      </c>
      <c r="DA150" s="501">
        <f t="shared" si="145"/>
        <v>49156</v>
      </c>
      <c r="DB150" s="501">
        <f t="shared" si="145"/>
        <v>49187</v>
      </c>
      <c r="DC150" s="501">
        <f t="shared" si="145"/>
        <v>49217</v>
      </c>
      <c r="DD150" s="501">
        <f t="shared" si="145"/>
        <v>49248</v>
      </c>
      <c r="DE150" s="501">
        <f t="shared" si="145"/>
        <v>49278</v>
      </c>
      <c r="DF150" s="501">
        <f t="shared" si="145"/>
        <v>49309</v>
      </c>
      <c r="DG150" s="501">
        <f t="shared" si="145"/>
        <v>49340</v>
      </c>
      <c r="DH150" s="501">
        <f t="shared" si="145"/>
        <v>49368</v>
      </c>
      <c r="DI150" s="501">
        <f t="shared" si="145"/>
        <v>49399</v>
      </c>
      <c r="DJ150" s="501">
        <f t="shared" si="145"/>
        <v>49429</v>
      </c>
      <c r="DK150" s="501">
        <f t="shared" si="145"/>
        <v>49460</v>
      </c>
      <c r="DL150" s="501">
        <f t="shared" si="145"/>
        <v>49490</v>
      </c>
      <c r="DM150" s="501">
        <f t="shared" si="145"/>
        <v>49521</v>
      </c>
      <c r="DN150" s="501">
        <f t="shared" si="145"/>
        <v>49552</v>
      </c>
      <c r="DO150" s="501">
        <f t="shared" si="145"/>
        <v>49582</v>
      </c>
      <c r="DP150" s="501">
        <f t="shared" si="145"/>
        <v>49613</v>
      </c>
      <c r="DQ150" s="501">
        <f t="shared" si="145"/>
        <v>49643</v>
      </c>
      <c r="DR150" s="501">
        <f t="shared" si="145"/>
        <v>49674</v>
      </c>
      <c r="DS150" s="501">
        <f t="shared" si="145"/>
        <v>49705</v>
      </c>
      <c r="DT150" s="501">
        <f t="shared" si="145"/>
        <v>49734</v>
      </c>
      <c r="DU150" s="501">
        <f t="shared" si="145"/>
        <v>49765</v>
      </c>
      <c r="DV150" s="501">
        <f t="shared" si="145"/>
        <v>49795</v>
      </c>
      <c r="DW150" s="501">
        <f t="shared" si="145"/>
        <v>49826</v>
      </c>
      <c r="DX150" s="501">
        <f t="shared" si="145"/>
        <v>49856</v>
      </c>
      <c r="DY150" s="501">
        <f t="shared" si="145"/>
        <v>49887</v>
      </c>
      <c r="DZ150" s="501">
        <f t="shared" si="145"/>
        <v>49918</v>
      </c>
      <c r="EA150" s="501">
        <f t="shared" si="145"/>
        <v>49948</v>
      </c>
      <c r="EB150" s="501">
        <f t="shared" si="145"/>
        <v>49979</v>
      </c>
      <c r="EC150" s="501">
        <f t="shared" ref="EC150:GN151" si="146">EOMONTH(EB150,1)</f>
        <v>50009</v>
      </c>
      <c r="ED150" s="501">
        <f t="shared" si="146"/>
        <v>50040</v>
      </c>
      <c r="EE150" s="501">
        <f t="shared" si="146"/>
        <v>50071</v>
      </c>
      <c r="EF150" s="501">
        <f t="shared" si="146"/>
        <v>50099</v>
      </c>
      <c r="EG150" s="501">
        <f t="shared" si="146"/>
        <v>50130</v>
      </c>
      <c r="EH150" s="501">
        <f t="shared" si="146"/>
        <v>50160</v>
      </c>
      <c r="EI150" s="501">
        <f t="shared" si="146"/>
        <v>50191</v>
      </c>
      <c r="EJ150" s="501">
        <f t="shared" si="146"/>
        <v>50221</v>
      </c>
      <c r="EK150" s="501">
        <f t="shared" si="146"/>
        <v>50252</v>
      </c>
      <c r="EL150" s="501">
        <f t="shared" si="146"/>
        <v>50283</v>
      </c>
      <c r="EM150" s="501">
        <f t="shared" si="146"/>
        <v>50313</v>
      </c>
      <c r="EN150" s="501">
        <f t="shared" si="146"/>
        <v>50344</v>
      </c>
      <c r="EO150" s="501">
        <f t="shared" si="146"/>
        <v>50374</v>
      </c>
      <c r="EP150" s="501">
        <f t="shared" si="146"/>
        <v>50405</v>
      </c>
      <c r="EQ150" s="501">
        <f t="shared" si="146"/>
        <v>50436</v>
      </c>
      <c r="ER150" s="501">
        <f t="shared" si="146"/>
        <v>50464</v>
      </c>
      <c r="ES150" s="501">
        <f t="shared" si="146"/>
        <v>50495</v>
      </c>
      <c r="ET150" s="501">
        <f t="shared" si="146"/>
        <v>50525</v>
      </c>
      <c r="EU150" s="501">
        <f t="shared" si="146"/>
        <v>50556</v>
      </c>
      <c r="EV150" s="501">
        <f t="shared" si="146"/>
        <v>50586</v>
      </c>
      <c r="EW150" s="501">
        <f t="shared" si="146"/>
        <v>50617</v>
      </c>
      <c r="EX150" s="501">
        <f t="shared" si="146"/>
        <v>50648</v>
      </c>
      <c r="EY150" s="501">
        <f t="shared" si="146"/>
        <v>50678</v>
      </c>
      <c r="EZ150" s="501">
        <f t="shared" si="146"/>
        <v>50709</v>
      </c>
      <c r="FA150" s="501">
        <f t="shared" si="146"/>
        <v>50739</v>
      </c>
      <c r="FB150" s="501">
        <f t="shared" si="146"/>
        <v>50770</v>
      </c>
      <c r="FC150" s="501">
        <f t="shared" si="146"/>
        <v>50801</v>
      </c>
      <c r="FD150" s="501">
        <f t="shared" si="146"/>
        <v>50829</v>
      </c>
      <c r="FE150" s="501">
        <f t="shared" si="146"/>
        <v>50860</v>
      </c>
      <c r="FF150" s="501">
        <f t="shared" si="146"/>
        <v>50890</v>
      </c>
      <c r="FG150" s="501">
        <f t="shared" si="146"/>
        <v>50921</v>
      </c>
      <c r="FH150" s="501">
        <f t="shared" si="146"/>
        <v>50951</v>
      </c>
      <c r="FI150" s="501">
        <f t="shared" si="146"/>
        <v>50982</v>
      </c>
      <c r="FJ150" s="501">
        <f t="shared" si="146"/>
        <v>51013</v>
      </c>
      <c r="FK150" s="501">
        <f t="shared" si="146"/>
        <v>51043</v>
      </c>
      <c r="FL150" s="501">
        <f t="shared" si="146"/>
        <v>51074</v>
      </c>
      <c r="FM150" s="501">
        <f t="shared" si="146"/>
        <v>51104</v>
      </c>
      <c r="FN150" s="501">
        <f t="shared" si="146"/>
        <v>51135</v>
      </c>
      <c r="FO150" s="501">
        <f t="shared" si="146"/>
        <v>51166</v>
      </c>
      <c r="FP150" s="501">
        <f t="shared" si="146"/>
        <v>51195</v>
      </c>
      <c r="FQ150" s="501">
        <f t="shared" si="146"/>
        <v>51226</v>
      </c>
      <c r="FR150" s="501">
        <f t="shared" si="146"/>
        <v>51256</v>
      </c>
      <c r="FS150" s="501">
        <f t="shared" si="146"/>
        <v>51287</v>
      </c>
      <c r="FT150" s="501">
        <f t="shared" si="146"/>
        <v>51317</v>
      </c>
      <c r="FU150" s="501">
        <f t="shared" si="146"/>
        <v>51348</v>
      </c>
      <c r="FV150" s="501">
        <f t="shared" si="146"/>
        <v>51379</v>
      </c>
      <c r="FW150" s="501">
        <f t="shared" si="146"/>
        <v>51409</v>
      </c>
      <c r="FX150" s="501">
        <f t="shared" si="146"/>
        <v>51440</v>
      </c>
      <c r="FY150" s="501">
        <f t="shared" si="146"/>
        <v>51470</v>
      </c>
      <c r="FZ150" s="501">
        <f t="shared" si="146"/>
        <v>51501</v>
      </c>
      <c r="GA150" s="501">
        <f t="shared" si="146"/>
        <v>51532</v>
      </c>
      <c r="GB150" s="501">
        <f t="shared" si="146"/>
        <v>51560</v>
      </c>
      <c r="GC150" s="501">
        <f t="shared" si="146"/>
        <v>51591</v>
      </c>
      <c r="GD150" s="501">
        <f t="shared" si="146"/>
        <v>51621</v>
      </c>
      <c r="GE150" s="501">
        <f t="shared" si="146"/>
        <v>51652</v>
      </c>
      <c r="GF150" s="501">
        <f t="shared" si="146"/>
        <v>51682</v>
      </c>
      <c r="GG150" s="501">
        <f t="shared" si="146"/>
        <v>51713</v>
      </c>
      <c r="GH150" s="501">
        <f t="shared" si="146"/>
        <v>51744</v>
      </c>
      <c r="GI150" s="501">
        <f t="shared" si="146"/>
        <v>51774</v>
      </c>
      <c r="GJ150" s="501">
        <f t="shared" si="146"/>
        <v>51805</v>
      </c>
      <c r="GK150" s="501">
        <f t="shared" si="146"/>
        <v>51835</v>
      </c>
      <c r="GL150" s="501">
        <f t="shared" si="146"/>
        <v>51866</v>
      </c>
      <c r="GM150" s="501">
        <f t="shared" si="146"/>
        <v>51897</v>
      </c>
      <c r="GN150" s="501">
        <f t="shared" si="146"/>
        <v>51925</v>
      </c>
      <c r="GO150" s="501">
        <f t="shared" ref="GO150:IZ151" si="147">EOMONTH(GN150,1)</f>
        <v>51956</v>
      </c>
      <c r="GP150" s="501">
        <f t="shared" si="147"/>
        <v>51986</v>
      </c>
      <c r="GQ150" s="501">
        <f t="shared" si="147"/>
        <v>52017</v>
      </c>
      <c r="GR150" s="501">
        <f t="shared" si="147"/>
        <v>52047</v>
      </c>
      <c r="GS150" s="501">
        <f t="shared" si="147"/>
        <v>52078</v>
      </c>
      <c r="GT150" s="501">
        <f t="shared" si="147"/>
        <v>52109</v>
      </c>
      <c r="GU150" s="501">
        <f t="shared" si="147"/>
        <v>52139</v>
      </c>
      <c r="GV150" s="501">
        <f t="shared" si="147"/>
        <v>52170</v>
      </c>
      <c r="GW150" s="501">
        <f t="shared" si="147"/>
        <v>52200</v>
      </c>
      <c r="GX150" s="501">
        <f t="shared" si="147"/>
        <v>52231</v>
      </c>
      <c r="GY150" s="501">
        <f t="shared" si="147"/>
        <v>52262</v>
      </c>
      <c r="GZ150" s="501">
        <f t="shared" si="147"/>
        <v>52290</v>
      </c>
      <c r="HA150" s="501">
        <f t="shared" si="147"/>
        <v>52321</v>
      </c>
      <c r="HB150" s="501">
        <f t="shared" si="147"/>
        <v>52351</v>
      </c>
      <c r="HC150" s="501">
        <f t="shared" si="147"/>
        <v>52382</v>
      </c>
      <c r="HD150" s="501">
        <f t="shared" si="147"/>
        <v>52412</v>
      </c>
      <c r="HE150" s="501">
        <f t="shared" si="147"/>
        <v>52443</v>
      </c>
      <c r="HF150" s="501">
        <f t="shared" si="147"/>
        <v>52474</v>
      </c>
      <c r="HG150" s="501">
        <f t="shared" si="147"/>
        <v>52504</v>
      </c>
      <c r="HH150" s="501">
        <f t="shared" si="147"/>
        <v>52535</v>
      </c>
      <c r="HI150" s="501">
        <f t="shared" si="147"/>
        <v>52565</v>
      </c>
      <c r="HJ150" s="501">
        <f t="shared" si="147"/>
        <v>52596</v>
      </c>
      <c r="HK150" s="501">
        <f t="shared" si="147"/>
        <v>52627</v>
      </c>
      <c r="HL150" s="501">
        <f t="shared" si="147"/>
        <v>52656</v>
      </c>
      <c r="HM150" s="501">
        <f t="shared" si="147"/>
        <v>52687</v>
      </c>
      <c r="HN150" s="501">
        <f t="shared" si="147"/>
        <v>52717</v>
      </c>
      <c r="HO150" s="501">
        <f t="shared" si="147"/>
        <v>52748</v>
      </c>
      <c r="HP150" s="501">
        <f t="shared" si="147"/>
        <v>52778</v>
      </c>
      <c r="HQ150" s="501">
        <f t="shared" si="147"/>
        <v>52809</v>
      </c>
      <c r="HR150" s="501">
        <f t="shared" si="147"/>
        <v>52840</v>
      </c>
      <c r="HS150" s="501">
        <f t="shared" si="147"/>
        <v>52870</v>
      </c>
      <c r="HT150" s="501">
        <f t="shared" si="147"/>
        <v>52901</v>
      </c>
      <c r="HU150" s="501">
        <f t="shared" si="147"/>
        <v>52931</v>
      </c>
      <c r="HV150" s="501">
        <f t="shared" si="147"/>
        <v>52962</v>
      </c>
      <c r="HW150" s="501">
        <f t="shared" si="147"/>
        <v>52993</v>
      </c>
      <c r="HX150" s="501">
        <f t="shared" si="147"/>
        <v>53021</v>
      </c>
      <c r="HY150" s="501">
        <f t="shared" si="147"/>
        <v>53052</v>
      </c>
      <c r="HZ150" s="501">
        <f t="shared" si="147"/>
        <v>53082</v>
      </c>
      <c r="IA150" s="501">
        <f t="shared" si="147"/>
        <v>53113</v>
      </c>
      <c r="IB150" s="501">
        <f t="shared" si="147"/>
        <v>53143</v>
      </c>
      <c r="IC150" s="501">
        <f t="shared" si="147"/>
        <v>53174</v>
      </c>
      <c r="ID150" s="501">
        <f t="shared" si="147"/>
        <v>53205</v>
      </c>
      <c r="IE150" s="501">
        <f t="shared" si="147"/>
        <v>53235</v>
      </c>
      <c r="IF150" s="501">
        <f t="shared" si="147"/>
        <v>53266</v>
      </c>
      <c r="IG150" s="501">
        <f t="shared" si="147"/>
        <v>53296</v>
      </c>
      <c r="IH150" s="501">
        <f t="shared" si="147"/>
        <v>53327</v>
      </c>
      <c r="II150" s="501">
        <f t="shared" si="147"/>
        <v>53358</v>
      </c>
      <c r="IJ150" s="501">
        <f t="shared" si="147"/>
        <v>53386</v>
      </c>
      <c r="IK150" s="501">
        <f t="shared" si="147"/>
        <v>53417</v>
      </c>
      <c r="IL150" s="501">
        <f t="shared" si="147"/>
        <v>53447</v>
      </c>
      <c r="IM150" s="501">
        <f t="shared" si="147"/>
        <v>53478</v>
      </c>
      <c r="IN150" s="501">
        <f t="shared" si="147"/>
        <v>53508</v>
      </c>
      <c r="IO150" s="501">
        <f t="shared" si="147"/>
        <v>53539</v>
      </c>
      <c r="IP150" s="501">
        <f t="shared" si="147"/>
        <v>53570</v>
      </c>
      <c r="IQ150" s="501">
        <f t="shared" si="147"/>
        <v>53600</v>
      </c>
      <c r="IR150" s="501">
        <f t="shared" si="147"/>
        <v>53631</v>
      </c>
      <c r="IS150" s="501">
        <f t="shared" si="147"/>
        <v>53661</v>
      </c>
      <c r="IT150" s="501">
        <f t="shared" si="147"/>
        <v>53692</v>
      </c>
      <c r="IU150" s="501">
        <f t="shared" si="147"/>
        <v>53723</v>
      </c>
      <c r="IV150" s="501">
        <f t="shared" si="147"/>
        <v>53751</v>
      </c>
      <c r="IW150" s="501">
        <f t="shared" si="147"/>
        <v>53782</v>
      </c>
      <c r="IX150" s="501">
        <f t="shared" si="147"/>
        <v>53812</v>
      </c>
      <c r="IY150" s="501">
        <f t="shared" si="147"/>
        <v>53843</v>
      </c>
      <c r="IZ150" s="501">
        <f t="shared" si="147"/>
        <v>53873</v>
      </c>
      <c r="JA150" s="501">
        <f t="shared" ref="JA150:JI151" si="148">EOMONTH(IZ150,1)</f>
        <v>53904</v>
      </c>
      <c r="JB150" s="501">
        <f t="shared" si="148"/>
        <v>53935</v>
      </c>
      <c r="JC150" s="501">
        <f t="shared" si="148"/>
        <v>53965</v>
      </c>
      <c r="JD150" s="501">
        <f t="shared" si="148"/>
        <v>53996</v>
      </c>
      <c r="JE150" s="501">
        <f t="shared" si="148"/>
        <v>54026</v>
      </c>
      <c r="JF150" s="501">
        <f t="shared" si="148"/>
        <v>54057</v>
      </c>
      <c r="JG150" s="501">
        <f t="shared" si="148"/>
        <v>54088</v>
      </c>
      <c r="JH150" s="501">
        <f t="shared" si="148"/>
        <v>54117</v>
      </c>
      <c r="JI150" s="501">
        <f t="shared" si="148"/>
        <v>54148</v>
      </c>
      <c r="JJ150" s="553"/>
      <c r="JK150" s="501"/>
      <c r="JL150" s="501"/>
      <c r="JM150" s="501"/>
      <c r="JN150" s="501"/>
      <c r="JO150" s="501"/>
      <c r="JP150" s="554"/>
    </row>
    <row r="151" spans="2:276" x14ac:dyDescent="0.3">
      <c r="B151" s="292" t="s">
        <v>208</v>
      </c>
      <c r="C151" s="503">
        <f>C150</f>
        <v>46053</v>
      </c>
      <c r="D151" s="503">
        <f>EOMONTH(C151,1)</f>
        <v>46081</v>
      </c>
      <c r="E151" s="503">
        <f t="shared" si="144"/>
        <v>46112</v>
      </c>
      <c r="F151" s="503">
        <f t="shared" si="144"/>
        <v>46142</v>
      </c>
      <c r="G151" s="503">
        <f t="shared" si="144"/>
        <v>46173</v>
      </c>
      <c r="H151" s="503">
        <f t="shared" si="144"/>
        <v>46203</v>
      </c>
      <c r="I151" s="503">
        <f t="shared" si="144"/>
        <v>46234</v>
      </c>
      <c r="J151" s="503">
        <f t="shared" si="144"/>
        <v>46265</v>
      </c>
      <c r="K151" s="503">
        <f t="shared" si="144"/>
        <v>46295</v>
      </c>
      <c r="L151" s="503">
        <f t="shared" si="144"/>
        <v>46326</v>
      </c>
      <c r="M151" s="503">
        <f t="shared" si="144"/>
        <v>46356</v>
      </c>
      <c r="N151" s="503">
        <f t="shared" si="144"/>
        <v>46387</v>
      </c>
      <c r="O151" s="503">
        <f t="shared" si="144"/>
        <v>46418</v>
      </c>
      <c r="P151" s="503">
        <f t="shared" si="144"/>
        <v>46446</v>
      </c>
      <c r="Q151" s="503">
        <f t="shared" si="144"/>
        <v>46477</v>
      </c>
      <c r="R151" s="503">
        <f t="shared" si="144"/>
        <v>46507</v>
      </c>
      <c r="S151" s="503">
        <f t="shared" si="144"/>
        <v>46538</v>
      </c>
      <c r="T151" s="503">
        <f t="shared" si="144"/>
        <v>46568</v>
      </c>
      <c r="U151" s="503">
        <f t="shared" si="144"/>
        <v>46599</v>
      </c>
      <c r="V151" s="503">
        <f t="shared" si="144"/>
        <v>46630</v>
      </c>
      <c r="W151" s="503">
        <f t="shared" si="144"/>
        <v>46660</v>
      </c>
      <c r="X151" s="503">
        <f t="shared" si="144"/>
        <v>46691</v>
      </c>
      <c r="Y151" s="503">
        <f t="shared" si="144"/>
        <v>46721</v>
      </c>
      <c r="Z151" s="503">
        <f t="shared" si="144"/>
        <v>46752</v>
      </c>
      <c r="AA151" s="503">
        <f t="shared" si="144"/>
        <v>46783</v>
      </c>
      <c r="AB151" s="503">
        <f t="shared" si="144"/>
        <v>46812</v>
      </c>
      <c r="AC151" s="503">
        <f t="shared" si="144"/>
        <v>46843</v>
      </c>
      <c r="AD151" s="503">
        <f t="shared" si="144"/>
        <v>46873</v>
      </c>
      <c r="AE151" s="503">
        <f t="shared" si="144"/>
        <v>46904</v>
      </c>
      <c r="AF151" s="503">
        <f t="shared" si="144"/>
        <v>46934</v>
      </c>
      <c r="AG151" s="503">
        <f t="shared" si="144"/>
        <v>46965</v>
      </c>
      <c r="AH151" s="503">
        <f t="shared" si="144"/>
        <v>46996</v>
      </c>
      <c r="AI151" s="503">
        <f t="shared" si="144"/>
        <v>47026</v>
      </c>
      <c r="AJ151" s="503">
        <f t="shared" si="144"/>
        <v>47057</v>
      </c>
      <c r="AK151" s="503">
        <f t="shared" si="144"/>
        <v>47087</v>
      </c>
      <c r="AL151" s="503">
        <f t="shared" si="144"/>
        <v>47118</v>
      </c>
      <c r="AM151" s="503">
        <f t="shared" si="144"/>
        <v>47149</v>
      </c>
      <c r="AN151" s="503">
        <f t="shared" si="144"/>
        <v>47177</v>
      </c>
      <c r="AO151" s="503">
        <f t="shared" si="144"/>
        <v>47208</v>
      </c>
      <c r="AP151" s="503">
        <f t="shared" si="144"/>
        <v>47238</v>
      </c>
      <c r="AQ151" s="503">
        <f t="shared" si="144"/>
        <v>47269</v>
      </c>
      <c r="AR151" s="503">
        <f t="shared" si="144"/>
        <v>47299</v>
      </c>
      <c r="AS151" s="503">
        <f t="shared" si="144"/>
        <v>47330</v>
      </c>
      <c r="AT151" s="503">
        <f t="shared" si="144"/>
        <v>47361</v>
      </c>
      <c r="AU151" s="503">
        <f t="shared" si="144"/>
        <v>47391</v>
      </c>
      <c r="AV151" s="503">
        <f t="shared" si="144"/>
        <v>47422</v>
      </c>
      <c r="AW151" s="503">
        <f t="shared" si="144"/>
        <v>47452</v>
      </c>
      <c r="AX151" s="503">
        <f t="shared" si="144"/>
        <v>47483</v>
      </c>
      <c r="AY151" s="503">
        <f t="shared" si="144"/>
        <v>47514</v>
      </c>
      <c r="AZ151" s="503">
        <f t="shared" si="144"/>
        <v>47542</v>
      </c>
      <c r="BA151" s="503">
        <f t="shared" si="144"/>
        <v>47573</v>
      </c>
      <c r="BB151" s="503">
        <f t="shared" si="144"/>
        <v>47603</v>
      </c>
      <c r="BC151" s="503">
        <f t="shared" si="144"/>
        <v>47634</v>
      </c>
      <c r="BD151" s="503">
        <f t="shared" si="144"/>
        <v>47664</v>
      </c>
      <c r="BE151" s="503">
        <f t="shared" si="144"/>
        <v>47695</v>
      </c>
      <c r="BF151" s="503">
        <f t="shared" si="144"/>
        <v>47726</v>
      </c>
      <c r="BG151" s="503">
        <f t="shared" si="144"/>
        <v>47756</v>
      </c>
      <c r="BH151" s="503">
        <f t="shared" si="144"/>
        <v>47787</v>
      </c>
      <c r="BI151" s="503">
        <f t="shared" si="144"/>
        <v>47817</v>
      </c>
      <c r="BJ151" s="503">
        <f t="shared" si="144"/>
        <v>47848</v>
      </c>
      <c r="BK151" s="503">
        <f t="shared" si="144"/>
        <v>47879</v>
      </c>
      <c r="BL151" s="503">
        <f t="shared" si="144"/>
        <v>47907</v>
      </c>
      <c r="BM151" s="503">
        <f t="shared" si="144"/>
        <v>47938</v>
      </c>
      <c r="BN151" s="503">
        <f t="shared" si="144"/>
        <v>47968</v>
      </c>
      <c r="BO151" s="503">
        <f t="shared" si="144"/>
        <v>47999</v>
      </c>
      <c r="BP151" s="503">
        <f t="shared" si="144"/>
        <v>48029</v>
      </c>
      <c r="BQ151" s="503">
        <f t="shared" si="145"/>
        <v>48060</v>
      </c>
      <c r="BR151" s="503">
        <f t="shared" si="145"/>
        <v>48091</v>
      </c>
      <c r="BS151" s="503">
        <f t="shared" si="145"/>
        <v>48121</v>
      </c>
      <c r="BT151" s="503">
        <f t="shared" si="145"/>
        <v>48152</v>
      </c>
      <c r="BU151" s="503">
        <f t="shared" si="145"/>
        <v>48182</v>
      </c>
      <c r="BV151" s="503">
        <f t="shared" si="145"/>
        <v>48213</v>
      </c>
      <c r="BW151" s="503">
        <f t="shared" si="145"/>
        <v>48244</v>
      </c>
      <c r="BX151" s="503">
        <f t="shared" si="145"/>
        <v>48273</v>
      </c>
      <c r="BY151" s="503">
        <f t="shared" si="145"/>
        <v>48304</v>
      </c>
      <c r="BZ151" s="503">
        <f t="shared" si="145"/>
        <v>48334</v>
      </c>
      <c r="CA151" s="503">
        <f t="shared" si="145"/>
        <v>48365</v>
      </c>
      <c r="CB151" s="503">
        <f t="shared" si="145"/>
        <v>48395</v>
      </c>
      <c r="CC151" s="503">
        <f t="shared" si="145"/>
        <v>48426</v>
      </c>
      <c r="CD151" s="503">
        <f t="shared" si="145"/>
        <v>48457</v>
      </c>
      <c r="CE151" s="503">
        <f t="shared" si="145"/>
        <v>48487</v>
      </c>
      <c r="CF151" s="503">
        <f t="shared" si="145"/>
        <v>48518</v>
      </c>
      <c r="CG151" s="503">
        <f t="shared" si="145"/>
        <v>48548</v>
      </c>
      <c r="CH151" s="503">
        <f t="shared" si="145"/>
        <v>48579</v>
      </c>
      <c r="CI151" s="503">
        <f t="shared" si="145"/>
        <v>48610</v>
      </c>
      <c r="CJ151" s="503">
        <f t="shared" si="145"/>
        <v>48638</v>
      </c>
      <c r="CK151" s="503">
        <f t="shared" si="145"/>
        <v>48669</v>
      </c>
      <c r="CL151" s="503">
        <f t="shared" si="145"/>
        <v>48699</v>
      </c>
      <c r="CM151" s="503">
        <f t="shared" si="145"/>
        <v>48730</v>
      </c>
      <c r="CN151" s="503">
        <f t="shared" si="145"/>
        <v>48760</v>
      </c>
      <c r="CO151" s="503">
        <f t="shared" si="145"/>
        <v>48791</v>
      </c>
      <c r="CP151" s="503">
        <f t="shared" si="145"/>
        <v>48822</v>
      </c>
      <c r="CQ151" s="503">
        <f t="shared" si="145"/>
        <v>48852</v>
      </c>
      <c r="CR151" s="503">
        <f t="shared" si="145"/>
        <v>48883</v>
      </c>
      <c r="CS151" s="503">
        <f t="shared" si="145"/>
        <v>48913</v>
      </c>
      <c r="CT151" s="503">
        <f t="shared" si="145"/>
        <v>48944</v>
      </c>
      <c r="CU151" s="503">
        <f t="shared" si="145"/>
        <v>48975</v>
      </c>
      <c r="CV151" s="503">
        <f t="shared" si="145"/>
        <v>49003</v>
      </c>
      <c r="CW151" s="503">
        <f t="shared" si="145"/>
        <v>49034</v>
      </c>
      <c r="CX151" s="503">
        <f t="shared" si="145"/>
        <v>49064</v>
      </c>
      <c r="CY151" s="503">
        <f t="shared" si="145"/>
        <v>49095</v>
      </c>
      <c r="CZ151" s="503">
        <f t="shared" si="145"/>
        <v>49125</v>
      </c>
      <c r="DA151" s="503">
        <f t="shared" si="145"/>
        <v>49156</v>
      </c>
      <c r="DB151" s="503">
        <f t="shared" si="145"/>
        <v>49187</v>
      </c>
      <c r="DC151" s="503">
        <f t="shared" si="145"/>
        <v>49217</v>
      </c>
      <c r="DD151" s="503">
        <f t="shared" si="145"/>
        <v>49248</v>
      </c>
      <c r="DE151" s="503">
        <f t="shared" si="145"/>
        <v>49278</v>
      </c>
      <c r="DF151" s="503">
        <f t="shared" si="145"/>
        <v>49309</v>
      </c>
      <c r="DG151" s="503">
        <f t="shared" si="145"/>
        <v>49340</v>
      </c>
      <c r="DH151" s="503">
        <f t="shared" si="145"/>
        <v>49368</v>
      </c>
      <c r="DI151" s="503">
        <f t="shared" si="145"/>
        <v>49399</v>
      </c>
      <c r="DJ151" s="503">
        <f t="shared" si="145"/>
        <v>49429</v>
      </c>
      <c r="DK151" s="503">
        <f t="shared" si="145"/>
        <v>49460</v>
      </c>
      <c r="DL151" s="503">
        <f t="shared" si="145"/>
        <v>49490</v>
      </c>
      <c r="DM151" s="503">
        <f t="shared" si="145"/>
        <v>49521</v>
      </c>
      <c r="DN151" s="503">
        <f t="shared" si="145"/>
        <v>49552</v>
      </c>
      <c r="DO151" s="503">
        <f t="shared" si="145"/>
        <v>49582</v>
      </c>
      <c r="DP151" s="503">
        <f t="shared" si="145"/>
        <v>49613</v>
      </c>
      <c r="DQ151" s="503">
        <f t="shared" si="145"/>
        <v>49643</v>
      </c>
      <c r="DR151" s="503">
        <f t="shared" si="145"/>
        <v>49674</v>
      </c>
      <c r="DS151" s="503">
        <f t="shared" si="145"/>
        <v>49705</v>
      </c>
      <c r="DT151" s="503">
        <f t="shared" si="145"/>
        <v>49734</v>
      </c>
      <c r="DU151" s="503">
        <f t="shared" si="145"/>
        <v>49765</v>
      </c>
      <c r="DV151" s="503">
        <f t="shared" si="145"/>
        <v>49795</v>
      </c>
      <c r="DW151" s="503">
        <f t="shared" si="145"/>
        <v>49826</v>
      </c>
      <c r="DX151" s="503">
        <f t="shared" si="145"/>
        <v>49856</v>
      </c>
      <c r="DY151" s="503">
        <f t="shared" si="145"/>
        <v>49887</v>
      </c>
      <c r="DZ151" s="503">
        <f t="shared" si="145"/>
        <v>49918</v>
      </c>
      <c r="EA151" s="503">
        <f t="shared" si="145"/>
        <v>49948</v>
      </c>
      <c r="EB151" s="503">
        <f t="shared" si="145"/>
        <v>49979</v>
      </c>
      <c r="EC151" s="503">
        <f t="shared" si="146"/>
        <v>50009</v>
      </c>
      <c r="ED151" s="503">
        <f t="shared" si="146"/>
        <v>50040</v>
      </c>
      <c r="EE151" s="503">
        <f t="shared" si="146"/>
        <v>50071</v>
      </c>
      <c r="EF151" s="503">
        <f t="shared" si="146"/>
        <v>50099</v>
      </c>
      <c r="EG151" s="503">
        <f t="shared" si="146"/>
        <v>50130</v>
      </c>
      <c r="EH151" s="503">
        <f t="shared" si="146"/>
        <v>50160</v>
      </c>
      <c r="EI151" s="503">
        <f t="shared" si="146"/>
        <v>50191</v>
      </c>
      <c r="EJ151" s="503">
        <f t="shared" si="146"/>
        <v>50221</v>
      </c>
      <c r="EK151" s="503">
        <f t="shared" si="146"/>
        <v>50252</v>
      </c>
      <c r="EL151" s="503">
        <f t="shared" si="146"/>
        <v>50283</v>
      </c>
      <c r="EM151" s="503">
        <f t="shared" si="146"/>
        <v>50313</v>
      </c>
      <c r="EN151" s="503">
        <f t="shared" si="146"/>
        <v>50344</v>
      </c>
      <c r="EO151" s="503">
        <f t="shared" si="146"/>
        <v>50374</v>
      </c>
      <c r="EP151" s="503">
        <f t="shared" si="146"/>
        <v>50405</v>
      </c>
      <c r="EQ151" s="503">
        <f t="shared" si="146"/>
        <v>50436</v>
      </c>
      <c r="ER151" s="503">
        <f t="shared" si="146"/>
        <v>50464</v>
      </c>
      <c r="ES151" s="503">
        <f t="shared" si="146"/>
        <v>50495</v>
      </c>
      <c r="ET151" s="503">
        <f t="shared" si="146"/>
        <v>50525</v>
      </c>
      <c r="EU151" s="503">
        <f t="shared" si="146"/>
        <v>50556</v>
      </c>
      <c r="EV151" s="503">
        <f t="shared" si="146"/>
        <v>50586</v>
      </c>
      <c r="EW151" s="503">
        <f t="shared" si="146"/>
        <v>50617</v>
      </c>
      <c r="EX151" s="503">
        <f t="shared" si="146"/>
        <v>50648</v>
      </c>
      <c r="EY151" s="503">
        <f t="shared" si="146"/>
        <v>50678</v>
      </c>
      <c r="EZ151" s="503">
        <f t="shared" si="146"/>
        <v>50709</v>
      </c>
      <c r="FA151" s="503">
        <f t="shared" si="146"/>
        <v>50739</v>
      </c>
      <c r="FB151" s="503">
        <f t="shared" si="146"/>
        <v>50770</v>
      </c>
      <c r="FC151" s="503">
        <f t="shared" si="146"/>
        <v>50801</v>
      </c>
      <c r="FD151" s="503">
        <f t="shared" si="146"/>
        <v>50829</v>
      </c>
      <c r="FE151" s="503">
        <f t="shared" si="146"/>
        <v>50860</v>
      </c>
      <c r="FF151" s="503">
        <f t="shared" si="146"/>
        <v>50890</v>
      </c>
      <c r="FG151" s="503">
        <f t="shared" si="146"/>
        <v>50921</v>
      </c>
      <c r="FH151" s="503">
        <f t="shared" si="146"/>
        <v>50951</v>
      </c>
      <c r="FI151" s="503">
        <f t="shared" si="146"/>
        <v>50982</v>
      </c>
      <c r="FJ151" s="503">
        <f t="shared" si="146"/>
        <v>51013</v>
      </c>
      <c r="FK151" s="503">
        <f t="shared" si="146"/>
        <v>51043</v>
      </c>
      <c r="FL151" s="503">
        <f t="shared" si="146"/>
        <v>51074</v>
      </c>
      <c r="FM151" s="503">
        <f t="shared" si="146"/>
        <v>51104</v>
      </c>
      <c r="FN151" s="503">
        <f t="shared" si="146"/>
        <v>51135</v>
      </c>
      <c r="FO151" s="503">
        <f t="shared" si="146"/>
        <v>51166</v>
      </c>
      <c r="FP151" s="503">
        <f t="shared" si="146"/>
        <v>51195</v>
      </c>
      <c r="FQ151" s="503">
        <f t="shared" si="146"/>
        <v>51226</v>
      </c>
      <c r="FR151" s="503">
        <f t="shared" si="146"/>
        <v>51256</v>
      </c>
      <c r="FS151" s="503">
        <f t="shared" si="146"/>
        <v>51287</v>
      </c>
      <c r="FT151" s="503">
        <f t="shared" si="146"/>
        <v>51317</v>
      </c>
      <c r="FU151" s="503">
        <f t="shared" si="146"/>
        <v>51348</v>
      </c>
      <c r="FV151" s="503">
        <f t="shared" si="146"/>
        <v>51379</v>
      </c>
      <c r="FW151" s="503">
        <f t="shared" si="146"/>
        <v>51409</v>
      </c>
      <c r="FX151" s="503">
        <f t="shared" si="146"/>
        <v>51440</v>
      </c>
      <c r="FY151" s="503">
        <f t="shared" si="146"/>
        <v>51470</v>
      </c>
      <c r="FZ151" s="503">
        <f t="shared" si="146"/>
        <v>51501</v>
      </c>
      <c r="GA151" s="503">
        <f t="shared" si="146"/>
        <v>51532</v>
      </c>
      <c r="GB151" s="503">
        <f t="shared" si="146"/>
        <v>51560</v>
      </c>
      <c r="GC151" s="503">
        <f t="shared" si="146"/>
        <v>51591</v>
      </c>
      <c r="GD151" s="503">
        <f t="shared" si="146"/>
        <v>51621</v>
      </c>
      <c r="GE151" s="503">
        <f t="shared" si="146"/>
        <v>51652</v>
      </c>
      <c r="GF151" s="503">
        <f t="shared" si="146"/>
        <v>51682</v>
      </c>
      <c r="GG151" s="503">
        <f t="shared" si="146"/>
        <v>51713</v>
      </c>
      <c r="GH151" s="503">
        <f t="shared" si="146"/>
        <v>51744</v>
      </c>
      <c r="GI151" s="503">
        <f t="shared" si="146"/>
        <v>51774</v>
      </c>
      <c r="GJ151" s="503">
        <f t="shared" si="146"/>
        <v>51805</v>
      </c>
      <c r="GK151" s="503">
        <f t="shared" si="146"/>
        <v>51835</v>
      </c>
      <c r="GL151" s="503">
        <f t="shared" si="146"/>
        <v>51866</v>
      </c>
      <c r="GM151" s="503">
        <f t="shared" si="146"/>
        <v>51897</v>
      </c>
      <c r="GN151" s="503">
        <f t="shared" si="146"/>
        <v>51925</v>
      </c>
      <c r="GO151" s="503">
        <f t="shared" si="147"/>
        <v>51956</v>
      </c>
      <c r="GP151" s="503">
        <f t="shared" si="147"/>
        <v>51986</v>
      </c>
      <c r="GQ151" s="503">
        <f t="shared" si="147"/>
        <v>52017</v>
      </c>
      <c r="GR151" s="503">
        <f t="shared" si="147"/>
        <v>52047</v>
      </c>
      <c r="GS151" s="503">
        <f t="shared" si="147"/>
        <v>52078</v>
      </c>
      <c r="GT151" s="503">
        <f t="shared" si="147"/>
        <v>52109</v>
      </c>
      <c r="GU151" s="503">
        <f t="shared" si="147"/>
        <v>52139</v>
      </c>
      <c r="GV151" s="503">
        <f t="shared" si="147"/>
        <v>52170</v>
      </c>
      <c r="GW151" s="503">
        <f t="shared" si="147"/>
        <v>52200</v>
      </c>
      <c r="GX151" s="503">
        <f t="shared" si="147"/>
        <v>52231</v>
      </c>
      <c r="GY151" s="503">
        <f t="shared" si="147"/>
        <v>52262</v>
      </c>
      <c r="GZ151" s="503">
        <f t="shared" si="147"/>
        <v>52290</v>
      </c>
      <c r="HA151" s="503">
        <f t="shared" si="147"/>
        <v>52321</v>
      </c>
      <c r="HB151" s="503">
        <f t="shared" si="147"/>
        <v>52351</v>
      </c>
      <c r="HC151" s="503">
        <f t="shared" si="147"/>
        <v>52382</v>
      </c>
      <c r="HD151" s="503">
        <f t="shared" si="147"/>
        <v>52412</v>
      </c>
      <c r="HE151" s="503">
        <f t="shared" si="147"/>
        <v>52443</v>
      </c>
      <c r="HF151" s="503">
        <f t="shared" si="147"/>
        <v>52474</v>
      </c>
      <c r="HG151" s="503">
        <f t="shared" si="147"/>
        <v>52504</v>
      </c>
      <c r="HH151" s="503">
        <f t="shared" si="147"/>
        <v>52535</v>
      </c>
      <c r="HI151" s="503">
        <f t="shared" si="147"/>
        <v>52565</v>
      </c>
      <c r="HJ151" s="503">
        <f t="shared" si="147"/>
        <v>52596</v>
      </c>
      <c r="HK151" s="503">
        <f t="shared" si="147"/>
        <v>52627</v>
      </c>
      <c r="HL151" s="503">
        <f t="shared" si="147"/>
        <v>52656</v>
      </c>
      <c r="HM151" s="503">
        <f t="shared" si="147"/>
        <v>52687</v>
      </c>
      <c r="HN151" s="503">
        <f t="shared" si="147"/>
        <v>52717</v>
      </c>
      <c r="HO151" s="503">
        <f t="shared" si="147"/>
        <v>52748</v>
      </c>
      <c r="HP151" s="503">
        <f t="shared" si="147"/>
        <v>52778</v>
      </c>
      <c r="HQ151" s="503">
        <f t="shared" si="147"/>
        <v>52809</v>
      </c>
      <c r="HR151" s="503">
        <f t="shared" si="147"/>
        <v>52840</v>
      </c>
      <c r="HS151" s="503">
        <f t="shared" si="147"/>
        <v>52870</v>
      </c>
      <c r="HT151" s="503">
        <f t="shared" si="147"/>
        <v>52901</v>
      </c>
      <c r="HU151" s="503">
        <f t="shared" si="147"/>
        <v>52931</v>
      </c>
      <c r="HV151" s="503">
        <f t="shared" si="147"/>
        <v>52962</v>
      </c>
      <c r="HW151" s="503">
        <f t="shared" si="147"/>
        <v>52993</v>
      </c>
      <c r="HX151" s="503">
        <f t="shared" si="147"/>
        <v>53021</v>
      </c>
      <c r="HY151" s="503">
        <f t="shared" si="147"/>
        <v>53052</v>
      </c>
      <c r="HZ151" s="503">
        <f t="shared" si="147"/>
        <v>53082</v>
      </c>
      <c r="IA151" s="503">
        <f t="shared" si="147"/>
        <v>53113</v>
      </c>
      <c r="IB151" s="503">
        <f t="shared" si="147"/>
        <v>53143</v>
      </c>
      <c r="IC151" s="503">
        <f t="shared" si="147"/>
        <v>53174</v>
      </c>
      <c r="ID151" s="503">
        <f t="shared" si="147"/>
        <v>53205</v>
      </c>
      <c r="IE151" s="503">
        <f t="shared" si="147"/>
        <v>53235</v>
      </c>
      <c r="IF151" s="503">
        <f t="shared" si="147"/>
        <v>53266</v>
      </c>
      <c r="IG151" s="503">
        <f t="shared" si="147"/>
        <v>53296</v>
      </c>
      <c r="IH151" s="503">
        <f t="shared" si="147"/>
        <v>53327</v>
      </c>
      <c r="II151" s="503">
        <f t="shared" si="147"/>
        <v>53358</v>
      </c>
      <c r="IJ151" s="503">
        <f t="shared" si="147"/>
        <v>53386</v>
      </c>
      <c r="IK151" s="503">
        <f t="shared" si="147"/>
        <v>53417</v>
      </c>
      <c r="IL151" s="503">
        <f t="shared" si="147"/>
        <v>53447</v>
      </c>
      <c r="IM151" s="503">
        <f t="shared" si="147"/>
        <v>53478</v>
      </c>
      <c r="IN151" s="503">
        <f t="shared" si="147"/>
        <v>53508</v>
      </c>
      <c r="IO151" s="503">
        <f t="shared" si="147"/>
        <v>53539</v>
      </c>
      <c r="IP151" s="503">
        <f t="shared" si="147"/>
        <v>53570</v>
      </c>
      <c r="IQ151" s="503">
        <f t="shared" si="147"/>
        <v>53600</v>
      </c>
      <c r="IR151" s="503">
        <f t="shared" si="147"/>
        <v>53631</v>
      </c>
      <c r="IS151" s="503">
        <f t="shared" si="147"/>
        <v>53661</v>
      </c>
      <c r="IT151" s="503">
        <f t="shared" si="147"/>
        <v>53692</v>
      </c>
      <c r="IU151" s="503">
        <f t="shared" si="147"/>
        <v>53723</v>
      </c>
      <c r="IV151" s="503">
        <f t="shared" si="147"/>
        <v>53751</v>
      </c>
      <c r="IW151" s="503">
        <f t="shared" si="147"/>
        <v>53782</v>
      </c>
      <c r="IX151" s="503">
        <f t="shared" si="147"/>
        <v>53812</v>
      </c>
      <c r="IY151" s="503">
        <f t="shared" si="147"/>
        <v>53843</v>
      </c>
      <c r="IZ151" s="503">
        <f t="shared" si="147"/>
        <v>53873</v>
      </c>
      <c r="JA151" s="503">
        <f t="shared" si="148"/>
        <v>53904</v>
      </c>
      <c r="JB151" s="503">
        <f t="shared" si="148"/>
        <v>53935</v>
      </c>
      <c r="JC151" s="503">
        <f t="shared" si="148"/>
        <v>53965</v>
      </c>
      <c r="JD151" s="503">
        <f t="shared" si="148"/>
        <v>53996</v>
      </c>
      <c r="JE151" s="503">
        <f t="shared" si="148"/>
        <v>54026</v>
      </c>
      <c r="JF151" s="503">
        <f t="shared" si="148"/>
        <v>54057</v>
      </c>
      <c r="JG151" s="503">
        <f t="shared" si="148"/>
        <v>54088</v>
      </c>
      <c r="JH151" s="503">
        <f t="shared" si="148"/>
        <v>54117</v>
      </c>
      <c r="JI151" s="503">
        <f t="shared" si="148"/>
        <v>54148</v>
      </c>
      <c r="JJ151" s="537" t="s">
        <v>137</v>
      </c>
      <c r="JK151" s="252"/>
      <c r="JL151" s="252"/>
      <c r="JM151" s="252"/>
      <c r="JN151" s="252"/>
      <c r="JO151" s="252"/>
    </row>
    <row r="152" spans="2:276" x14ac:dyDescent="0.3">
      <c r="B152" s="169" t="s">
        <v>349</v>
      </c>
      <c r="C152" s="52">
        <f>SUMIFS(Leasing!30:30,Leasing!1:1,C150)+SUMIFS(Leasing!39:39,Leasing!1:1,C150)</f>
        <v>0</v>
      </c>
      <c r="D152" s="52">
        <f>SUMIFS(Leasing!30:30,Leasing!1:1,D150)+SUMIFS(Leasing!39:39,Leasing!1:1,D150)</f>
        <v>0</v>
      </c>
      <c r="E152" s="52">
        <f>SUMIFS(Leasing!30:30,Leasing!1:1,E150)+SUMIFS(Leasing!39:39,Leasing!1:1,E150)</f>
        <v>0</v>
      </c>
      <c r="F152" s="52">
        <f>SUMIFS(Leasing!30:30,Leasing!1:1,F150)+SUMIFS(Leasing!39:39,Leasing!1:1,F150)</f>
        <v>0</v>
      </c>
      <c r="G152" s="52">
        <f>SUMIFS(Leasing!30:30,Leasing!1:1,G150)+SUMIFS(Leasing!39:39,Leasing!1:1,G150)</f>
        <v>0</v>
      </c>
      <c r="H152" s="52">
        <f>SUMIFS(Leasing!30:30,Leasing!1:1,H150)+SUMIFS(Leasing!39:39,Leasing!1:1,H150)</f>
        <v>0</v>
      </c>
      <c r="I152" s="52">
        <f>SUMIFS(Leasing!30:30,Leasing!1:1,I150)+SUMIFS(Leasing!39:39,Leasing!1:1,I150)</f>
        <v>0</v>
      </c>
      <c r="J152" s="52">
        <f>SUMIFS(Leasing!30:30,Leasing!1:1,J150)+SUMIFS(Leasing!39:39,Leasing!1:1,J150)</f>
        <v>0</v>
      </c>
      <c r="K152" s="52">
        <f>SUMIFS(Leasing!30:30,Leasing!1:1,K150)+SUMIFS(Leasing!39:39,Leasing!1:1,K150)</f>
        <v>0</v>
      </c>
      <c r="L152" s="52">
        <f>SUMIFS(Leasing!30:30,Leasing!1:1,L150)+SUMIFS(Leasing!39:39,Leasing!1:1,L150)</f>
        <v>0</v>
      </c>
      <c r="M152" s="52">
        <f>SUMIFS(Leasing!30:30,Leasing!1:1,M150)+SUMIFS(Leasing!39:39,Leasing!1:1,M150)</f>
        <v>0</v>
      </c>
      <c r="N152" s="52">
        <f>SUMIFS(Leasing!30:30,Leasing!1:1,N150)+SUMIFS(Leasing!39:39,Leasing!1:1,N150)</f>
        <v>0</v>
      </c>
      <c r="O152" s="52">
        <f>SUMIFS(Leasing!30:30,Leasing!1:1,O150)+SUMIFS(Leasing!39:39,Leasing!1:1,O150)</f>
        <v>0</v>
      </c>
      <c r="P152" s="52">
        <f>SUMIFS(Leasing!30:30,Leasing!1:1,P150)+SUMIFS(Leasing!39:39,Leasing!1:1,P150)</f>
        <v>0</v>
      </c>
      <c r="Q152" s="52">
        <f>SUMIFS(Leasing!30:30,Leasing!1:1,Q150)+SUMIFS(Leasing!39:39,Leasing!1:1,Q150)</f>
        <v>0</v>
      </c>
      <c r="R152" s="52">
        <f>SUMIFS(Leasing!30:30,Leasing!1:1,R150)+SUMIFS(Leasing!39:39,Leasing!1:1,R150)</f>
        <v>0</v>
      </c>
      <c r="S152" s="52">
        <f>SUMIFS(Leasing!30:30,Leasing!1:1,S150)+SUMIFS(Leasing!39:39,Leasing!1:1,S150)</f>
        <v>0</v>
      </c>
      <c r="T152" s="52">
        <f>SUMIFS(Leasing!30:30,Leasing!1:1,T150)+SUMIFS(Leasing!39:39,Leasing!1:1,T150)</f>
        <v>0</v>
      </c>
      <c r="U152" s="52">
        <f>SUMIFS(Leasing!30:30,Leasing!1:1,U150)+SUMIFS(Leasing!39:39,Leasing!1:1,U150)</f>
        <v>0</v>
      </c>
      <c r="V152" s="52">
        <f>SUMIFS(Leasing!30:30,Leasing!1:1,V150)+SUMIFS(Leasing!39:39,Leasing!1:1,V150)</f>
        <v>0</v>
      </c>
      <c r="W152" s="52">
        <f>SUMIFS(Leasing!30:30,Leasing!1:1,W150)+SUMIFS(Leasing!39:39,Leasing!1:1,W150)</f>
        <v>0</v>
      </c>
      <c r="X152" s="52">
        <f>SUMIFS(Leasing!30:30,Leasing!1:1,X150)+SUMIFS(Leasing!39:39,Leasing!1:1,X150)</f>
        <v>0.44297801851716007</v>
      </c>
      <c r="Y152" s="52">
        <f>SUMIFS(Leasing!30:30,Leasing!1:1,Y150)+SUMIFS(Leasing!39:39,Leasing!1:1,Y150)</f>
        <v>0.44297801851716007</v>
      </c>
      <c r="Z152" s="52">
        <f>SUMIFS(Leasing!30:30,Leasing!1:1,Z150)+SUMIFS(Leasing!39:39,Leasing!1:1,Z150)</f>
        <v>0.44297801851716007</v>
      </c>
      <c r="AA152" s="52">
        <f>SUMIFS(Leasing!30:30,Leasing!1:1,AA150)+SUMIFS(Leasing!39:39,Leasing!1:1,AA150)</f>
        <v>0.44297801851716007</v>
      </c>
      <c r="AB152" s="52">
        <f>SUMIFS(Leasing!30:30,Leasing!1:1,AB150)+SUMIFS(Leasing!39:39,Leasing!1:1,AB150)</f>
        <v>0.44297801851716007</v>
      </c>
      <c r="AC152" s="52">
        <f>SUMIFS(Leasing!30:30,Leasing!1:1,AC150)+SUMIFS(Leasing!39:39,Leasing!1:1,AC150)</f>
        <v>0.44297801851716007</v>
      </c>
      <c r="AD152" s="52">
        <f>SUMIFS(Leasing!30:30,Leasing!1:1,AD150)+SUMIFS(Leasing!39:39,Leasing!1:1,AD150)</f>
        <v>0.44297801851716007</v>
      </c>
      <c r="AE152" s="52">
        <f>SUMIFS(Leasing!30:30,Leasing!1:1,AE150)+SUMIFS(Leasing!39:39,Leasing!1:1,AE150)</f>
        <v>0.44297801851716007</v>
      </c>
      <c r="AF152" s="52">
        <f>SUMIFS(Leasing!30:30,Leasing!1:1,AF150)+SUMIFS(Leasing!39:39,Leasing!1:1,AF150)</f>
        <v>0.44297801851716007</v>
      </c>
      <c r="AG152" s="52">
        <f>SUMIFS(Leasing!30:30,Leasing!1:1,AG150)+SUMIFS(Leasing!39:39,Leasing!1:1,AG150)</f>
        <v>0.44297801851716007</v>
      </c>
      <c r="AH152" s="52">
        <f>SUMIFS(Leasing!30:30,Leasing!1:1,AH150)+SUMIFS(Leasing!39:39,Leasing!1:1,AH150)</f>
        <v>0.44297801851716007</v>
      </c>
      <c r="AI152" s="52">
        <f>SUMIFS(Leasing!30:30,Leasing!1:1,AI150)+SUMIFS(Leasing!39:39,Leasing!1:1,AI150)</f>
        <v>0.44297801851716007</v>
      </c>
      <c r="AJ152" s="52">
        <f>SUMIFS(Leasing!30:30,Leasing!1:1,AJ150)+SUMIFS(Leasing!39:39,Leasing!1:1,AJ150)</f>
        <v>0.46512691944301804</v>
      </c>
      <c r="AK152" s="52">
        <f>SUMIFS(Leasing!30:30,Leasing!1:1,AK150)+SUMIFS(Leasing!39:39,Leasing!1:1,AK150)</f>
        <v>0.46512691944301804</v>
      </c>
      <c r="AL152" s="52">
        <f>SUMIFS(Leasing!30:30,Leasing!1:1,AL150)+SUMIFS(Leasing!39:39,Leasing!1:1,AL150)</f>
        <v>0.46512691944301804</v>
      </c>
      <c r="AM152" s="52">
        <f>SUMIFS(Leasing!30:30,Leasing!1:1,AM150)+SUMIFS(Leasing!39:39,Leasing!1:1,AM150)</f>
        <v>0.46512691944301804</v>
      </c>
      <c r="AN152" s="52">
        <f>SUMIFS(Leasing!30:30,Leasing!1:1,AN150)+SUMIFS(Leasing!39:39,Leasing!1:1,AN150)</f>
        <v>0.46512691944301804</v>
      </c>
      <c r="AO152" s="52">
        <f>SUMIFS(Leasing!30:30,Leasing!1:1,AO150)+SUMIFS(Leasing!39:39,Leasing!1:1,AO150)</f>
        <v>0.46512691944301804</v>
      </c>
      <c r="AP152" s="52">
        <f>SUMIFS(Leasing!30:30,Leasing!1:1,AP150)+SUMIFS(Leasing!39:39,Leasing!1:1,AP150)</f>
        <v>0.46512691944301804</v>
      </c>
      <c r="AQ152" s="52">
        <f>SUMIFS(Leasing!30:30,Leasing!1:1,AQ150)+SUMIFS(Leasing!39:39,Leasing!1:1,AQ150)</f>
        <v>0.46512691944301804</v>
      </c>
      <c r="AR152" s="52">
        <f>SUMIFS(Leasing!30:30,Leasing!1:1,AR150)+SUMIFS(Leasing!39:39,Leasing!1:1,AR150)</f>
        <v>0.46512691944301804</v>
      </c>
      <c r="AS152" s="52">
        <f>SUMIFS(Leasing!30:30,Leasing!1:1,AS150)+SUMIFS(Leasing!39:39,Leasing!1:1,AS150)</f>
        <v>0.46512691944301804</v>
      </c>
      <c r="AT152" s="52">
        <f>SUMIFS(Leasing!30:30,Leasing!1:1,AT150)+SUMIFS(Leasing!39:39,Leasing!1:1,AT150)</f>
        <v>0.46512691944301804</v>
      </c>
      <c r="AU152" s="52">
        <f>SUMIFS(Leasing!30:30,Leasing!1:1,AU150)+SUMIFS(Leasing!39:39,Leasing!1:1,AU150)</f>
        <v>0.46512691944301804</v>
      </c>
      <c r="AV152" s="52">
        <f>SUMIFS(Leasing!30:30,Leasing!1:1,AV150)+SUMIFS(Leasing!39:39,Leasing!1:1,AV150)</f>
        <v>0.48838326541516897</v>
      </c>
      <c r="AW152" s="52">
        <f>SUMIFS(Leasing!30:30,Leasing!1:1,AW150)+SUMIFS(Leasing!39:39,Leasing!1:1,AW150)</f>
        <v>0.48838326541516897</v>
      </c>
      <c r="AX152" s="52">
        <f>SUMIFS(Leasing!30:30,Leasing!1:1,AX150)+SUMIFS(Leasing!39:39,Leasing!1:1,AX150)</f>
        <v>0.48838326541516897</v>
      </c>
      <c r="AY152" s="52">
        <f>SUMIFS(Leasing!30:30,Leasing!1:1,AY150)+SUMIFS(Leasing!39:39,Leasing!1:1,AY150)</f>
        <v>0.48838326541516897</v>
      </c>
      <c r="AZ152" s="52">
        <f>SUMIFS(Leasing!30:30,Leasing!1:1,AZ150)+SUMIFS(Leasing!39:39,Leasing!1:1,AZ150)</f>
        <v>0.48838326541516897</v>
      </c>
      <c r="BA152" s="52">
        <f>SUMIFS(Leasing!30:30,Leasing!1:1,BA150)+SUMIFS(Leasing!39:39,Leasing!1:1,BA150)</f>
        <v>0.48838326541516897</v>
      </c>
      <c r="BB152" s="52">
        <f>SUMIFS(Leasing!30:30,Leasing!1:1,BB150)+SUMIFS(Leasing!39:39,Leasing!1:1,BB150)</f>
        <v>0.48838326541516897</v>
      </c>
      <c r="BC152" s="52">
        <f>SUMIFS(Leasing!30:30,Leasing!1:1,BC150)+SUMIFS(Leasing!39:39,Leasing!1:1,BC150)</f>
        <v>0.48838326541516897</v>
      </c>
      <c r="BD152" s="52">
        <f>SUMIFS(Leasing!30:30,Leasing!1:1,BD150)+SUMIFS(Leasing!39:39,Leasing!1:1,BD150)</f>
        <v>0.48838326541516897</v>
      </c>
      <c r="BE152" s="52">
        <f>SUMIFS(Leasing!30:30,Leasing!1:1,BE150)+SUMIFS(Leasing!39:39,Leasing!1:1,BE150)</f>
        <v>0.48838326541516897</v>
      </c>
      <c r="BF152" s="52">
        <f>SUMIFS(Leasing!30:30,Leasing!1:1,BF150)+SUMIFS(Leasing!39:39,Leasing!1:1,BF150)</f>
        <v>0.48838326541516897</v>
      </c>
      <c r="BG152" s="52">
        <f>SUMIFS(Leasing!30:30,Leasing!1:1,BG150)+SUMIFS(Leasing!39:39,Leasing!1:1,BG150)</f>
        <v>0.48838326541516897</v>
      </c>
      <c r="BH152" s="52">
        <f>SUMIFS(Leasing!30:30,Leasing!1:1,BH150)+SUMIFS(Leasing!39:39,Leasing!1:1,BH150)</f>
        <v>0.5128024286859274</v>
      </c>
      <c r="BI152" s="52">
        <f>SUMIFS(Leasing!30:30,Leasing!1:1,BI150)+SUMIFS(Leasing!39:39,Leasing!1:1,BI150)</f>
        <v>0.5128024286859274</v>
      </c>
      <c r="BJ152" s="52">
        <f>SUMIFS(Leasing!30:30,Leasing!1:1,BJ150)+SUMIFS(Leasing!39:39,Leasing!1:1,BJ150)</f>
        <v>0.5128024286859274</v>
      </c>
      <c r="BK152" s="52">
        <f>SUMIFS(Leasing!30:30,Leasing!1:1,BK150)+SUMIFS(Leasing!39:39,Leasing!1:1,BK150)</f>
        <v>0.5128024286859274</v>
      </c>
      <c r="BL152" s="52">
        <f>SUMIFS(Leasing!30:30,Leasing!1:1,BL150)+SUMIFS(Leasing!39:39,Leasing!1:1,BL150)</f>
        <v>0.5128024286859274</v>
      </c>
      <c r="BM152" s="52">
        <f>SUMIFS(Leasing!30:30,Leasing!1:1,BM150)+SUMIFS(Leasing!39:39,Leasing!1:1,BM150)</f>
        <v>0.5128024286859274</v>
      </c>
      <c r="BN152" s="52">
        <f>SUMIFS(Leasing!30:30,Leasing!1:1,BN150)+SUMIFS(Leasing!39:39,Leasing!1:1,BN150)</f>
        <v>0.5128024286859274</v>
      </c>
      <c r="BO152" s="52">
        <f>SUMIFS(Leasing!30:30,Leasing!1:1,BO150)+SUMIFS(Leasing!39:39,Leasing!1:1,BO150)</f>
        <v>0.5128024286859274</v>
      </c>
      <c r="BP152" s="52">
        <f>SUMIFS(Leasing!30:30,Leasing!1:1,BP150)+SUMIFS(Leasing!39:39,Leasing!1:1,BP150)</f>
        <v>0.5128024286859274</v>
      </c>
      <c r="BQ152" s="52">
        <f>SUMIFS(Leasing!30:30,Leasing!1:1,BQ150)+SUMIFS(Leasing!39:39,Leasing!1:1,BQ150)</f>
        <v>0.5128024286859274</v>
      </c>
      <c r="BR152" s="52">
        <f>SUMIFS(Leasing!30:30,Leasing!1:1,BR150)+SUMIFS(Leasing!39:39,Leasing!1:1,BR150)</f>
        <v>0.5128024286859274</v>
      </c>
      <c r="BS152" s="52">
        <f>SUMIFS(Leasing!30:30,Leasing!1:1,BS150)+SUMIFS(Leasing!39:39,Leasing!1:1,BS150)</f>
        <v>0.5128024286859274</v>
      </c>
      <c r="BT152" s="52">
        <f>SUMIFS(Leasing!30:30,Leasing!1:1,BT150)+SUMIFS(Leasing!39:39,Leasing!1:1,BT150)</f>
        <v>0.5384425501202238</v>
      </c>
      <c r="BU152" s="52">
        <f>SUMIFS(Leasing!30:30,Leasing!1:1,BU150)+SUMIFS(Leasing!39:39,Leasing!1:1,BU150)</f>
        <v>0.5384425501202238</v>
      </c>
      <c r="BV152" s="52">
        <f>SUMIFS(Leasing!30:30,Leasing!1:1,BV150)+SUMIFS(Leasing!39:39,Leasing!1:1,BV150)</f>
        <v>0.5384425501202238</v>
      </c>
      <c r="BW152" s="52">
        <f>SUMIFS(Leasing!30:30,Leasing!1:1,BW150)+SUMIFS(Leasing!39:39,Leasing!1:1,BW150)</f>
        <v>0.5384425501202238</v>
      </c>
      <c r="BX152" s="52">
        <f>SUMIFS(Leasing!30:30,Leasing!1:1,BX150)+SUMIFS(Leasing!39:39,Leasing!1:1,BX150)</f>
        <v>0.5384425501202238</v>
      </c>
      <c r="BY152" s="52">
        <f>SUMIFS(Leasing!30:30,Leasing!1:1,BY150)+SUMIFS(Leasing!39:39,Leasing!1:1,BY150)</f>
        <v>0.5384425501202238</v>
      </c>
      <c r="BZ152" s="52">
        <f>SUMIFS(Leasing!30:30,Leasing!1:1,BZ150)+SUMIFS(Leasing!39:39,Leasing!1:1,BZ150)</f>
        <v>0.5384425501202238</v>
      </c>
      <c r="CA152" s="52">
        <f>SUMIFS(Leasing!30:30,Leasing!1:1,CA150)+SUMIFS(Leasing!39:39,Leasing!1:1,CA150)</f>
        <v>0.5384425501202238</v>
      </c>
      <c r="CB152" s="52">
        <f>SUMIFS(Leasing!30:30,Leasing!1:1,CB150)+SUMIFS(Leasing!39:39,Leasing!1:1,CB150)</f>
        <v>0.5384425501202238</v>
      </c>
      <c r="CC152" s="52">
        <f>SUMIFS(Leasing!30:30,Leasing!1:1,CC150)+SUMIFS(Leasing!39:39,Leasing!1:1,CC150)</f>
        <v>0.5384425501202238</v>
      </c>
      <c r="CD152" s="52">
        <f>SUMIFS(Leasing!30:30,Leasing!1:1,CD150)+SUMIFS(Leasing!39:39,Leasing!1:1,CD150)</f>
        <v>0.5384425501202238</v>
      </c>
      <c r="CE152" s="52">
        <f>SUMIFS(Leasing!30:30,Leasing!1:1,CE150)+SUMIFS(Leasing!39:39,Leasing!1:1,CE150)</f>
        <v>0.5384425501202238</v>
      </c>
      <c r="CF152" s="52">
        <f>SUMIFS(Leasing!30:30,Leasing!1:1,CF150)+SUMIFS(Leasing!39:39,Leasing!1:1,CF150)</f>
        <v>0.56536467762623499</v>
      </c>
      <c r="CG152" s="52">
        <f>SUMIFS(Leasing!30:30,Leasing!1:1,CG150)+SUMIFS(Leasing!39:39,Leasing!1:1,CG150)</f>
        <v>0.56536467762623499</v>
      </c>
      <c r="CH152" s="52">
        <f>SUMIFS(Leasing!30:30,Leasing!1:1,CH150)+SUMIFS(Leasing!39:39,Leasing!1:1,CH150)</f>
        <v>0.56536467762623499</v>
      </c>
      <c r="CI152" s="52">
        <f>SUMIFS(Leasing!30:30,Leasing!1:1,CI150)+SUMIFS(Leasing!39:39,Leasing!1:1,CI150)</f>
        <v>0.56536467762623499</v>
      </c>
      <c r="CJ152" s="52">
        <f>SUMIFS(Leasing!30:30,Leasing!1:1,CJ150)+SUMIFS(Leasing!39:39,Leasing!1:1,CJ150)</f>
        <v>0.56536467762623499</v>
      </c>
      <c r="CK152" s="52">
        <f>SUMIFS(Leasing!30:30,Leasing!1:1,CK150)+SUMIFS(Leasing!39:39,Leasing!1:1,CK150)</f>
        <v>0.56536467762623499</v>
      </c>
      <c r="CL152" s="52">
        <f>SUMIFS(Leasing!30:30,Leasing!1:1,CL150)+SUMIFS(Leasing!39:39,Leasing!1:1,CL150)</f>
        <v>0.56536467762623499</v>
      </c>
      <c r="CM152" s="52">
        <f>SUMIFS(Leasing!30:30,Leasing!1:1,CM150)+SUMIFS(Leasing!39:39,Leasing!1:1,CM150)</f>
        <v>0.56536467762623499</v>
      </c>
      <c r="CN152" s="52">
        <f>SUMIFS(Leasing!30:30,Leasing!1:1,CN150)+SUMIFS(Leasing!39:39,Leasing!1:1,CN150)</f>
        <v>0.56536467762623499</v>
      </c>
      <c r="CO152" s="52">
        <f>SUMIFS(Leasing!30:30,Leasing!1:1,CO150)+SUMIFS(Leasing!39:39,Leasing!1:1,CO150)</f>
        <v>0.56536467762623499</v>
      </c>
      <c r="CP152" s="52">
        <f>SUMIFS(Leasing!30:30,Leasing!1:1,CP150)+SUMIFS(Leasing!39:39,Leasing!1:1,CP150)</f>
        <v>0.56536467762623499</v>
      </c>
      <c r="CQ152" s="52">
        <f>SUMIFS(Leasing!30:30,Leasing!1:1,CQ150)+SUMIFS(Leasing!39:39,Leasing!1:1,CQ150)</f>
        <v>0.56536467762623499</v>
      </c>
      <c r="CR152" s="52">
        <f>SUMIFS(Leasing!30:30,Leasing!1:1,CR150)+SUMIFS(Leasing!39:39,Leasing!1:1,CR150)</f>
        <v>0.59363291150754682</v>
      </c>
      <c r="CS152" s="52">
        <f>SUMIFS(Leasing!30:30,Leasing!1:1,CS150)+SUMIFS(Leasing!39:39,Leasing!1:1,CS150)</f>
        <v>0.59363291150754682</v>
      </c>
      <c r="CT152" s="52">
        <f>SUMIFS(Leasing!30:30,Leasing!1:1,CT150)+SUMIFS(Leasing!39:39,Leasing!1:1,CT150)</f>
        <v>0.59363291150754682</v>
      </c>
      <c r="CU152" s="52">
        <f>SUMIFS(Leasing!30:30,Leasing!1:1,CU150)+SUMIFS(Leasing!39:39,Leasing!1:1,CU150)</f>
        <v>0.59363291150754682</v>
      </c>
      <c r="CV152" s="52">
        <f>SUMIFS(Leasing!30:30,Leasing!1:1,CV150)+SUMIFS(Leasing!39:39,Leasing!1:1,CV150)</f>
        <v>0.59363291150754682</v>
      </c>
      <c r="CW152" s="52">
        <f>SUMIFS(Leasing!30:30,Leasing!1:1,CW150)+SUMIFS(Leasing!39:39,Leasing!1:1,CW150)</f>
        <v>0.59363291150754682</v>
      </c>
      <c r="CX152" s="52">
        <f>SUMIFS(Leasing!30:30,Leasing!1:1,CX150)+SUMIFS(Leasing!39:39,Leasing!1:1,CX150)</f>
        <v>0.59363291150754682</v>
      </c>
      <c r="CY152" s="52">
        <f>SUMIFS(Leasing!30:30,Leasing!1:1,CY150)+SUMIFS(Leasing!39:39,Leasing!1:1,CY150)</f>
        <v>0.59363291150754682</v>
      </c>
      <c r="CZ152" s="52">
        <f>SUMIFS(Leasing!30:30,Leasing!1:1,CZ150)+SUMIFS(Leasing!39:39,Leasing!1:1,CZ150)</f>
        <v>0.59363291150754682</v>
      </c>
      <c r="DA152" s="52">
        <f>SUMIFS(Leasing!30:30,Leasing!1:1,DA150)+SUMIFS(Leasing!39:39,Leasing!1:1,DA150)</f>
        <v>0.59363291150754682</v>
      </c>
      <c r="DB152" s="52">
        <f>SUMIFS(Leasing!30:30,Leasing!1:1,DB150)+SUMIFS(Leasing!39:39,Leasing!1:1,DB150)</f>
        <v>0.59363291150754682</v>
      </c>
      <c r="DC152" s="52">
        <f>SUMIFS(Leasing!30:30,Leasing!1:1,DC150)+SUMIFS(Leasing!39:39,Leasing!1:1,DC150)</f>
        <v>0.59363291150754682</v>
      </c>
      <c r="DD152" s="52">
        <f>SUMIFS(Leasing!30:30,Leasing!1:1,DD150)+SUMIFS(Leasing!39:39,Leasing!1:1,DD150)</f>
        <v>0.62331455708292416</v>
      </c>
      <c r="DE152" s="52">
        <f>SUMIFS(Leasing!30:30,Leasing!1:1,DE150)+SUMIFS(Leasing!39:39,Leasing!1:1,DE150)</f>
        <v>0.62331455708292416</v>
      </c>
      <c r="DF152" s="52">
        <f>SUMIFS(Leasing!30:30,Leasing!1:1,DF150)+SUMIFS(Leasing!39:39,Leasing!1:1,DF150)</f>
        <v>0.62331455708292416</v>
      </c>
      <c r="DG152" s="52">
        <f>SUMIFS(Leasing!30:30,Leasing!1:1,DG150)+SUMIFS(Leasing!39:39,Leasing!1:1,DG150)</f>
        <v>0.62331455708292416</v>
      </c>
      <c r="DH152" s="52">
        <f>SUMIFS(Leasing!30:30,Leasing!1:1,DH150)+SUMIFS(Leasing!39:39,Leasing!1:1,DH150)</f>
        <v>0.62331455708292416</v>
      </c>
      <c r="DI152" s="52">
        <f>SUMIFS(Leasing!30:30,Leasing!1:1,DI150)+SUMIFS(Leasing!39:39,Leasing!1:1,DI150)</f>
        <v>0.62331455708292416</v>
      </c>
      <c r="DJ152" s="52">
        <f>SUMIFS(Leasing!30:30,Leasing!1:1,DJ150)+SUMIFS(Leasing!39:39,Leasing!1:1,DJ150)</f>
        <v>0.62331455708292416</v>
      </c>
      <c r="DK152" s="52">
        <f>SUMIFS(Leasing!30:30,Leasing!1:1,DK150)+SUMIFS(Leasing!39:39,Leasing!1:1,DK150)</f>
        <v>0.62331455708292416</v>
      </c>
      <c r="DL152" s="52">
        <f>SUMIFS(Leasing!30:30,Leasing!1:1,DL150)+SUMIFS(Leasing!39:39,Leasing!1:1,DL150)</f>
        <v>0.62331455708292416</v>
      </c>
      <c r="DM152" s="52">
        <f>SUMIFS(Leasing!30:30,Leasing!1:1,DM150)+SUMIFS(Leasing!39:39,Leasing!1:1,DM150)</f>
        <v>0.62331455708292416</v>
      </c>
      <c r="DN152" s="52">
        <f>SUMIFS(Leasing!30:30,Leasing!1:1,DN150)+SUMIFS(Leasing!39:39,Leasing!1:1,DN150)</f>
        <v>0.62331455708292416</v>
      </c>
      <c r="DO152" s="52">
        <f>SUMIFS(Leasing!30:30,Leasing!1:1,DO150)+SUMIFS(Leasing!39:39,Leasing!1:1,DO150)</f>
        <v>0.62331455708292416</v>
      </c>
      <c r="DP152" s="52">
        <f>SUMIFS(Leasing!30:30,Leasing!1:1,DP150)+SUMIFS(Leasing!39:39,Leasing!1:1,DP150)</f>
        <v>0.65448028493707033</v>
      </c>
      <c r="DQ152" s="52">
        <f>SUMIFS(Leasing!30:30,Leasing!1:1,DQ150)+SUMIFS(Leasing!39:39,Leasing!1:1,DQ150)</f>
        <v>0.65448028493707033</v>
      </c>
      <c r="DR152" s="52">
        <f>SUMIFS(Leasing!30:30,Leasing!1:1,DR150)+SUMIFS(Leasing!39:39,Leasing!1:1,DR150)</f>
        <v>0.65448028493707033</v>
      </c>
      <c r="DS152" s="52">
        <f>SUMIFS(Leasing!30:30,Leasing!1:1,DS150)+SUMIFS(Leasing!39:39,Leasing!1:1,DS150)</f>
        <v>0.65448028493707033</v>
      </c>
      <c r="DT152" s="52">
        <f>SUMIFS(Leasing!30:30,Leasing!1:1,DT150)+SUMIFS(Leasing!39:39,Leasing!1:1,DT150)</f>
        <v>0.65448028493707033</v>
      </c>
      <c r="DU152" s="52">
        <f>SUMIFS(Leasing!30:30,Leasing!1:1,DU150)+SUMIFS(Leasing!39:39,Leasing!1:1,DU150)</f>
        <v>0.65448028493707033</v>
      </c>
      <c r="DV152" s="52">
        <f>SUMIFS(Leasing!30:30,Leasing!1:1,DV150)+SUMIFS(Leasing!39:39,Leasing!1:1,DV150)</f>
        <v>0.65448028493707033</v>
      </c>
      <c r="DW152" s="52">
        <f>SUMIFS(Leasing!30:30,Leasing!1:1,DW150)+SUMIFS(Leasing!39:39,Leasing!1:1,DW150)</f>
        <v>0.65448028493707033</v>
      </c>
      <c r="DX152" s="52">
        <f>SUMIFS(Leasing!30:30,Leasing!1:1,DX150)+SUMIFS(Leasing!39:39,Leasing!1:1,DX150)</f>
        <v>0.65448028493707033</v>
      </c>
      <c r="DY152" s="52">
        <f>SUMIFS(Leasing!30:30,Leasing!1:1,DY150)+SUMIFS(Leasing!39:39,Leasing!1:1,DY150)</f>
        <v>0.65448028493707033</v>
      </c>
      <c r="DZ152" s="52">
        <f>SUMIFS(Leasing!30:30,Leasing!1:1,DZ150)+SUMIFS(Leasing!39:39,Leasing!1:1,DZ150)</f>
        <v>0.65448028493707033</v>
      </c>
      <c r="EA152" s="52">
        <f>SUMIFS(Leasing!30:30,Leasing!1:1,EA150)+SUMIFS(Leasing!39:39,Leasing!1:1,EA150)</f>
        <v>0.65448028493707033</v>
      </c>
      <c r="EB152" s="52">
        <f>SUMIFS(Leasing!30:30,Leasing!1:1,EB150)+SUMIFS(Leasing!39:39,Leasing!1:1,EB150)</f>
        <v>0.68720429918392401</v>
      </c>
      <c r="EC152" s="52">
        <f>SUMIFS(Leasing!30:30,Leasing!1:1,EC150)+SUMIFS(Leasing!39:39,Leasing!1:1,EC150)</f>
        <v>0.68720429918392401</v>
      </c>
      <c r="ED152" s="52">
        <f>SUMIFS(Leasing!30:30,Leasing!1:1,ED150)+SUMIFS(Leasing!39:39,Leasing!1:1,ED150)</f>
        <v>0.68720429918392401</v>
      </c>
      <c r="EE152" s="52">
        <f>SUMIFS(Leasing!30:30,Leasing!1:1,EE150)+SUMIFS(Leasing!39:39,Leasing!1:1,EE150)</f>
        <v>0.68720429918392401</v>
      </c>
      <c r="EF152" s="52">
        <f>SUMIFS(Leasing!30:30,Leasing!1:1,EF150)+SUMIFS(Leasing!39:39,Leasing!1:1,EF150)</f>
        <v>0.68720429918392401</v>
      </c>
      <c r="EG152" s="52">
        <f>SUMIFS(Leasing!30:30,Leasing!1:1,EG150)+SUMIFS(Leasing!39:39,Leasing!1:1,EG150)</f>
        <v>0.68720429918392401</v>
      </c>
      <c r="EH152" s="52">
        <f>SUMIFS(Leasing!30:30,Leasing!1:1,EH150)+SUMIFS(Leasing!39:39,Leasing!1:1,EH150)</f>
        <v>0.68720429918392401</v>
      </c>
      <c r="EI152" s="52">
        <f>SUMIFS(Leasing!30:30,Leasing!1:1,EI150)+SUMIFS(Leasing!39:39,Leasing!1:1,EI150)</f>
        <v>0.68720429918392401</v>
      </c>
      <c r="EJ152" s="52">
        <f>SUMIFS(Leasing!30:30,Leasing!1:1,EJ150)+SUMIFS(Leasing!39:39,Leasing!1:1,EJ150)</f>
        <v>0.68720429918392401</v>
      </c>
      <c r="EK152" s="52">
        <f>SUMIFS(Leasing!30:30,Leasing!1:1,EK150)+SUMIFS(Leasing!39:39,Leasing!1:1,EK150)</f>
        <v>0.68720429918392401</v>
      </c>
      <c r="EL152" s="52">
        <f>SUMIFS(Leasing!30:30,Leasing!1:1,EL150)+SUMIFS(Leasing!39:39,Leasing!1:1,EL150)</f>
        <v>0.68720429918392401</v>
      </c>
      <c r="EM152" s="52">
        <f>SUMIFS(Leasing!30:30,Leasing!1:1,EM150)+SUMIFS(Leasing!39:39,Leasing!1:1,EM150)</f>
        <v>0.68720429918392401</v>
      </c>
      <c r="EN152" s="52">
        <f>SUMIFS(Leasing!30:30,Leasing!1:1,EN150)+SUMIFS(Leasing!39:39,Leasing!1:1,EN150)</f>
        <v>0.72156451414312028</v>
      </c>
      <c r="EO152" s="52">
        <f>SUMIFS(Leasing!30:30,Leasing!1:1,EO150)+SUMIFS(Leasing!39:39,Leasing!1:1,EO150)</f>
        <v>0.72156451414312028</v>
      </c>
      <c r="EP152" s="52">
        <f>SUMIFS(Leasing!30:30,Leasing!1:1,EP150)+SUMIFS(Leasing!39:39,Leasing!1:1,EP150)</f>
        <v>0.72156451414312028</v>
      </c>
      <c r="EQ152" s="52">
        <f>SUMIFS(Leasing!30:30,Leasing!1:1,EQ150)+SUMIFS(Leasing!39:39,Leasing!1:1,EQ150)</f>
        <v>0.72156451414312028</v>
      </c>
      <c r="ER152" s="52">
        <f>SUMIFS(Leasing!30:30,Leasing!1:1,ER150)+SUMIFS(Leasing!39:39,Leasing!1:1,ER150)</f>
        <v>0.72156451414312028</v>
      </c>
      <c r="ES152" s="52">
        <f>SUMIFS(Leasing!30:30,Leasing!1:1,ES150)+SUMIFS(Leasing!39:39,Leasing!1:1,ES150)</f>
        <v>0.72156451414312028</v>
      </c>
      <c r="ET152" s="52">
        <f>SUMIFS(Leasing!30:30,Leasing!1:1,ET150)+SUMIFS(Leasing!39:39,Leasing!1:1,ET150)</f>
        <v>0.72156451414312028</v>
      </c>
      <c r="EU152" s="52">
        <f>SUMIFS(Leasing!30:30,Leasing!1:1,EU150)+SUMIFS(Leasing!39:39,Leasing!1:1,EU150)</f>
        <v>0.72156451414312028</v>
      </c>
      <c r="EV152" s="52">
        <f>SUMIFS(Leasing!30:30,Leasing!1:1,EV150)+SUMIFS(Leasing!39:39,Leasing!1:1,EV150)</f>
        <v>0.72156451414312028</v>
      </c>
      <c r="EW152" s="52">
        <f>SUMIFS(Leasing!30:30,Leasing!1:1,EW150)+SUMIFS(Leasing!39:39,Leasing!1:1,EW150)</f>
        <v>0.72156451414312028</v>
      </c>
      <c r="EX152" s="52">
        <f>SUMIFS(Leasing!30:30,Leasing!1:1,EX150)+SUMIFS(Leasing!39:39,Leasing!1:1,EX150)</f>
        <v>0.72156451414312028</v>
      </c>
      <c r="EY152" s="52">
        <f>SUMIFS(Leasing!30:30,Leasing!1:1,EY150)+SUMIFS(Leasing!39:39,Leasing!1:1,EY150)</f>
        <v>0.72156451414312028</v>
      </c>
      <c r="EZ152" s="52">
        <f>SUMIFS(Leasing!30:30,Leasing!1:1,EZ150)+SUMIFS(Leasing!39:39,Leasing!1:1,EZ150)</f>
        <v>0.75764273985027641</v>
      </c>
      <c r="FA152" s="52">
        <f>SUMIFS(Leasing!30:30,Leasing!1:1,FA150)+SUMIFS(Leasing!39:39,Leasing!1:1,FA150)</f>
        <v>0.75764273985027641</v>
      </c>
      <c r="FB152" s="52">
        <f>SUMIFS(Leasing!30:30,Leasing!1:1,FB150)+SUMIFS(Leasing!39:39,Leasing!1:1,FB150)</f>
        <v>0.75764273985027641</v>
      </c>
      <c r="FC152" s="52">
        <f>SUMIFS(Leasing!30:30,Leasing!1:1,FC150)+SUMIFS(Leasing!39:39,Leasing!1:1,FC150)</f>
        <v>0.75764273985027641</v>
      </c>
      <c r="FD152" s="52">
        <f>SUMIFS(Leasing!30:30,Leasing!1:1,FD150)+SUMIFS(Leasing!39:39,Leasing!1:1,FD150)</f>
        <v>0.75764273985027641</v>
      </c>
      <c r="FE152" s="52">
        <f>SUMIFS(Leasing!30:30,Leasing!1:1,FE150)+SUMIFS(Leasing!39:39,Leasing!1:1,FE150)</f>
        <v>0.75764273985027641</v>
      </c>
      <c r="FF152" s="52">
        <f>SUMIFS(Leasing!30:30,Leasing!1:1,FF150)+SUMIFS(Leasing!39:39,Leasing!1:1,FF150)</f>
        <v>0.75764273985027641</v>
      </c>
      <c r="FG152" s="52">
        <f>SUMIFS(Leasing!30:30,Leasing!1:1,FG150)+SUMIFS(Leasing!39:39,Leasing!1:1,FG150)</f>
        <v>0.75764273985027641</v>
      </c>
      <c r="FH152" s="52">
        <f>SUMIFS(Leasing!30:30,Leasing!1:1,FH150)+SUMIFS(Leasing!39:39,Leasing!1:1,FH150)</f>
        <v>0.75764273985027641</v>
      </c>
      <c r="FI152" s="52">
        <f>SUMIFS(Leasing!30:30,Leasing!1:1,FI150)+SUMIFS(Leasing!39:39,Leasing!1:1,FI150)</f>
        <v>0.75764273985027641</v>
      </c>
      <c r="FJ152" s="52">
        <f>SUMIFS(Leasing!30:30,Leasing!1:1,FJ150)+SUMIFS(Leasing!39:39,Leasing!1:1,FJ150)</f>
        <v>0.75764273985027641</v>
      </c>
      <c r="FK152" s="52">
        <f>SUMIFS(Leasing!30:30,Leasing!1:1,FK150)+SUMIFS(Leasing!39:39,Leasing!1:1,FK150)</f>
        <v>0.75764273985027641</v>
      </c>
      <c r="FL152" s="52">
        <f>SUMIFS(Leasing!30:30,Leasing!1:1,FL150)+SUMIFS(Leasing!39:39,Leasing!1:1,FL150)</f>
        <v>0.79552487684279016</v>
      </c>
      <c r="FM152" s="52">
        <f>SUMIFS(Leasing!30:30,Leasing!1:1,FM150)+SUMIFS(Leasing!39:39,Leasing!1:1,FM150)</f>
        <v>0.79552487684279016</v>
      </c>
      <c r="FN152" s="52">
        <f>SUMIFS(Leasing!30:30,Leasing!1:1,FN150)+SUMIFS(Leasing!39:39,Leasing!1:1,FN150)</f>
        <v>0.79552487684279016</v>
      </c>
      <c r="FO152" s="52">
        <f>SUMIFS(Leasing!30:30,Leasing!1:1,FO150)+SUMIFS(Leasing!39:39,Leasing!1:1,FO150)</f>
        <v>0.79552487684279016</v>
      </c>
      <c r="FP152" s="52">
        <f>SUMIFS(Leasing!30:30,Leasing!1:1,FP150)+SUMIFS(Leasing!39:39,Leasing!1:1,FP150)</f>
        <v>0.79552487684279016</v>
      </c>
      <c r="FQ152" s="52">
        <f>SUMIFS(Leasing!30:30,Leasing!1:1,FQ150)+SUMIFS(Leasing!39:39,Leasing!1:1,FQ150)</f>
        <v>0.79552487684279016</v>
      </c>
      <c r="FR152" s="52">
        <f>SUMIFS(Leasing!30:30,Leasing!1:1,FR150)+SUMIFS(Leasing!39:39,Leasing!1:1,FR150)</f>
        <v>0.79552487684279016</v>
      </c>
      <c r="FS152" s="52">
        <f>SUMIFS(Leasing!30:30,Leasing!1:1,FS150)+SUMIFS(Leasing!39:39,Leasing!1:1,FS150)</f>
        <v>0.79552487684279016</v>
      </c>
      <c r="FT152" s="52">
        <f>SUMIFS(Leasing!30:30,Leasing!1:1,FT150)+SUMIFS(Leasing!39:39,Leasing!1:1,FT150)</f>
        <v>0.79552487684279016</v>
      </c>
      <c r="FU152" s="52">
        <f>SUMIFS(Leasing!30:30,Leasing!1:1,FU150)+SUMIFS(Leasing!39:39,Leasing!1:1,FU150)</f>
        <v>0.79552487684279016</v>
      </c>
      <c r="FV152" s="52">
        <f>SUMIFS(Leasing!30:30,Leasing!1:1,FV150)+SUMIFS(Leasing!39:39,Leasing!1:1,FV150)</f>
        <v>0.79552487684279016</v>
      </c>
      <c r="FW152" s="52">
        <f>SUMIFS(Leasing!30:30,Leasing!1:1,FW150)+SUMIFS(Leasing!39:39,Leasing!1:1,FW150)</f>
        <v>0.79552487684279016</v>
      </c>
      <c r="FX152" s="52">
        <f>SUMIFS(Leasing!30:30,Leasing!1:1,FX150)+SUMIFS(Leasing!39:39,Leasing!1:1,FX150)</f>
        <v>0.83530112068492968</v>
      </c>
      <c r="FY152" s="52">
        <f>SUMIFS(Leasing!30:30,Leasing!1:1,FY150)+SUMIFS(Leasing!39:39,Leasing!1:1,FY150)</f>
        <v>0.83530112068492968</v>
      </c>
      <c r="FZ152" s="52">
        <f>SUMIFS(Leasing!30:30,Leasing!1:1,FZ150)+SUMIFS(Leasing!39:39,Leasing!1:1,FZ150)</f>
        <v>0.83530112068492968</v>
      </c>
      <c r="GA152" s="52">
        <f>SUMIFS(Leasing!30:30,Leasing!1:1,GA150)+SUMIFS(Leasing!39:39,Leasing!1:1,GA150)</f>
        <v>0.83530112068492968</v>
      </c>
      <c r="GB152" s="52">
        <f>SUMIFS(Leasing!30:30,Leasing!1:1,GB150)+SUMIFS(Leasing!39:39,Leasing!1:1,GB150)</f>
        <v>0.83530112068492968</v>
      </c>
      <c r="GC152" s="52">
        <f>SUMIFS(Leasing!30:30,Leasing!1:1,GC150)+SUMIFS(Leasing!39:39,Leasing!1:1,GC150)</f>
        <v>0.83530112068492968</v>
      </c>
      <c r="GD152" s="52">
        <f>SUMIFS(Leasing!30:30,Leasing!1:1,GD150)+SUMIFS(Leasing!39:39,Leasing!1:1,GD150)</f>
        <v>0.83530112068492968</v>
      </c>
      <c r="GE152" s="52">
        <f>SUMIFS(Leasing!30:30,Leasing!1:1,GE150)+SUMIFS(Leasing!39:39,Leasing!1:1,GE150)</f>
        <v>0.83530112068492968</v>
      </c>
      <c r="GF152" s="52">
        <f>SUMIFS(Leasing!30:30,Leasing!1:1,GF150)+SUMIFS(Leasing!39:39,Leasing!1:1,GF150)</f>
        <v>0.83530112068492968</v>
      </c>
      <c r="GG152" s="52">
        <f>SUMIFS(Leasing!30:30,Leasing!1:1,GG150)+SUMIFS(Leasing!39:39,Leasing!1:1,GG150)</f>
        <v>0.83530112068492968</v>
      </c>
      <c r="GH152" s="52">
        <f>SUMIFS(Leasing!30:30,Leasing!1:1,GH150)+SUMIFS(Leasing!39:39,Leasing!1:1,GH150)</f>
        <v>0.83530112068492968</v>
      </c>
      <c r="GI152" s="52">
        <f>SUMIFS(Leasing!30:30,Leasing!1:1,GI150)+SUMIFS(Leasing!39:39,Leasing!1:1,GI150)</f>
        <v>0.83530112068492968</v>
      </c>
      <c r="GJ152" s="52">
        <f>SUMIFS(Leasing!30:30,Leasing!1:1,GJ150)+SUMIFS(Leasing!39:39,Leasing!1:1,GJ150)</f>
        <v>0.87706617671917619</v>
      </c>
      <c r="GK152" s="52">
        <f>SUMIFS(Leasing!30:30,Leasing!1:1,GK150)+SUMIFS(Leasing!39:39,Leasing!1:1,GK150)</f>
        <v>0.87706617671917619</v>
      </c>
      <c r="GL152" s="52">
        <f>SUMIFS(Leasing!30:30,Leasing!1:1,GL150)+SUMIFS(Leasing!39:39,Leasing!1:1,GL150)</f>
        <v>0.87706617671917619</v>
      </c>
      <c r="GM152" s="52">
        <f>SUMIFS(Leasing!30:30,Leasing!1:1,GM150)+SUMIFS(Leasing!39:39,Leasing!1:1,GM150)</f>
        <v>0.87706617671917619</v>
      </c>
      <c r="GN152" s="52">
        <f>SUMIFS(Leasing!30:30,Leasing!1:1,GN150)+SUMIFS(Leasing!39:39,Leasing!1:1,GN150)</f>
        <v>0.87706617671917619</v>
      </c>
      <c r="GO152" s="52">
        <f>SUMIFS(Leasing!30:30,Leasing!1:1,GO150)+SUMIFS(Leasing!39:39,Leasing!1:1,GO150)</f>
        <v>0.87706617671917619</v>
      </c>
      <c r="GP152" s="52">
        <f>SUMIFS(Leasing!30:30,Leasing!1:1,GP150)+SUMIFS(Leasing!39:39,Leasing!1:1,GP150)</f>
        <v>0.87706617671917619</v>
      </c>
      <c r="GQ152" s="52">
        <f>SUMIFS(Leasing!30:30,Leasing!1:1,GQ150)+SUMIFS(Leasing!39:39,Leasing!1:1,GQ150)</f>
        <v>0.87706617671917619</v>
      </c>
      <c r="GR152" s="52">
        <f>SUMIFS(Leasing!30:30,Leasing!1:1,GR150)+SUMIFS(Leasing!39:39,Leasing!1:1,GR150)</f>
        <v>0.87706617671917619</v>
      </c>
      <c r="GS152" s="52">
        <f>SUMIFS(Leasing!30:30,Leasing!1:1,GS150)+SUMIFS(Leasing!39:39,Leasing!1:1,GS150)</f>
        <v>0.87706617671917619</v>
      </c>
      <c r="GT152" s="52">
        <f>SUMIFS(Leasing!30:30,Leasing!1:1,GT150)+SUMIFS(Leasing!39:39,Leasing!1:1,GT150)</f>
        <v>0.87706617671917619</v>
      </c>
      <c r="GU152" s="52">
        <f>SUMIFS(Leasing!30:30,Leasing!1:1,GU150)+SUMIFS(Leasing!39:39,Leasing!1:1,GU150)</f>
        <v>0.87706617671917619</v>
      </c>
      <c r="GV152" s="52">
        <f>SUMIFS(Leasing!30:30,Leasing!1:1,GV150)+SUMIFS(Leasing!39:39,Leasing!1:1,GV150)</f>
        <v>0.92091948555513525</v>
      </c>
      <c r="GW152" s="52">
        <f>SUMIFS(Leasing!30:30,Leasing!1:1,GW150)+SUMIFS(Leasing!39:39,Leasing!1:1,GW150)</f>
        <v>0.92091948555513525</v>
      </c>
      <c r="GX152" s="52">
        <f>SUMIFS(Leasing!30:30,Leasing!1:1,GX150)+SUMIFS(Leasing!39:39,Leasing!1:1,GX150)</f>
        <v>0.92091948555513525</v>
      </c>
      <c r="GY152" s="52">
        <f>SUMIFS(Leasing!30:30,Leasing!1:1,GY150)+SUMIFS(Leasing!39:39,Leasing!1:1,GY150)</f>
        <v>0.92091948555513525</v>
      </c>
      <c r="GZ152" s="52">
        <f>SUMIFS(Leasing!30:30,Leasing!1:1,GZ150)+SUMIFS(Leasing!39:39,Leasing!1:1,GZ150)</f>
        <v>0.92091948555513525</v>
      </c>
      <c r="HA152" s="52">
        <f>SUMIFS(Leasing!30:30,Leasing!1:1,HA150)+SUMIFS(Leasing!39:39,Leasing!1:1,HA150)</f>
        <v>0.92091948555513525</v>
      </c>
      <c r="HB152" s="52">
        <f>SUMIFS(Leasing!30:30,Leasing!1:1,HB150)+SUMIFS(Leasing!39:39,Leasing!1:1,HB150)</f>
        <v>0.92091948555513525</v>
      </c>
      <c r="HC152" s="52">
        <f>SUMIFS(Leasing!30:30,Leasing!1:1,HC150)+SUMIFS(Leasing!39:39,Leasing!1:1,HC150)</f>
        <v>0.92091948555513525</v>
      </c>
      <c r="HD152" s="52">
        <f>SUMIFS(Leasing!30:30,Leasing!1:1,HD150)+SUMIFS(Leasing!39:39,Leasing!1:1,HD150)</f>
        <v>0.92091948555513525</v>
      </c>
      <c r="HE152" s="52">
        <f>SUMIFS(Leasing!30:30,Leasing!1:1,HE150)+SUMIFS(Leasing!39:39,Leasing!1:1,HE150)</f>
        <v>0.92091948555513525</v>
      </c>
      <c r="HF152" s="52">
        <f>SUMIFS(Leasing!30:30,Leasing!1:1,HF150)+SUMIFS(Leasing!39:39,Leasing!1:1,HF150)</f>
        <v>0.92091948555513525</v>
      </c>
      <c r="HG152" s="52">
        <f>SUMIFS(Leasing!30:30,Leasing!1:1,HG150)+SUMIFS(Leasing!39:39,Leasing!1:1,HG150)</f>
        <v>0.92091948555513525</v>
      </c>
      <c r="HH152" s="52">
        <f>SUMIFS(Leasing!30:30,Leasing!1:1,HH150)+SUMIFS(Leasing!39:39,Leasing!1:1,HH150)</f>
        <v>0.96696545983289195</v>
      </c>
      <c r="HI152" s="52">
        <f>SUMIFS(Leasing!30:30,Leasing!1:1,HI150)+SUMIFS(Leasing!39:39,Leasing!1:1,HI150)</f>
        <v>0.96696545983289195</v>
      </c>
      <c r="HJ152" s="52">
        <f>SUMIFS(Leasing!30:30,Leasing!1:1,HJ150)+SUMIFS(Leasing!39:39,Leasing!1:1,HJ150)</f>
        <v>0.96696545983289195</v>
      </c>
      <c r="HK152" s="52">
        <f>SUMIFS(Leasing!30:30,Leasing!1:1,HK150)+SUMIFS(Leasing!39:39,Leasing!1:1,HK150)</f>
        <v>0.96696545983289195</v>
      </c>
      <c r="HL152" s="52">
        <f>SUMIFS(Leasing!30:30,Leasing!1:1,HL150)+SUMIFS(Leasing!39:39,Leasing!1:1,HL150)</f>
        <v>0.96696545983289195</v>
      </c>
      <c r="HM152" s="52">
        <f>SUMIFS(Leasing!30:30,Leasing!1:1,HM150)+SUMIFS(Leasing!39:39,Leasing!1:1,HM150)</f>
        <v>0.96696545983289195</v>
      </c>
      <c r="HN152" s="52">
        <f>SUMIFS(Leasing!30:30,Leasing!1:1,HN150)+SUMIFS(Leasing!39:39,Leasing!1:1,HN150)</f>
        <v>0.96696545983289195</v>
      </c>
      <c r="HO152" s="52">
        <f>SUMIFS(Leasing!30:30,Leasing!1:1,HO150)+SUMIFS(Leasing!39:39,Leasing!1:1,HO150)</f>
        <v>0.96696545983289195</v>
      </c>
      <c r="HP152" s="52">
        <f>SUMIFS(Leasing!30:30,Leasing!1:1,HP150)+SUMIFS(Leasing!39:39,Leasing!1:1,HP150)</f>
        <v>0.96696545983289195</v>
      </c>
      <c r="HQ152" s="52">
        <f>SUMIFS(Leasing!30:30,Leasing!1:1,HQ150)+SUMIFS(Leasing!39:39,Leasing!1:1,HQ150)</f>
        <v>0.96696545983289195</v>
      </c>
      <c r="HR152" s="52">
        <f>SUMIFS(Leasing!30:30,Leasing!1:1,HR150)+SUMIFS(Leasing!39:39,Leasing!1:1,HR150)</f>
        <v>0.96696545983289195</v>
      </c>
      <c r="HS152" s="52">
        <f>SUMIFS(Leasing!30:30,Leasing!1:1,HS150)+SUMIFS(Leasing!39:39,Leasing!1:1,HS150)</f>
        <v>0.96696545983289195</v>
      </c>
      <c r="HT152" s="52">
        <f>SUMIFS(Leasing!30:30,Leasing!1:1,HT150)+SUMIFS(Leasing!39:39,Leasing!1:1,HT150)</f>
        <v>1.0153137328245365</v>
      </c>
      <c r="HU152" s="52">
        <f>SUMIFS(Leasing!30:30,Leasing!1:1,HU150)+SUMIFS(Leasing!39:39,Leasing!1:1,HU150)</f>
        <v>1.0153137328245365</v>
      </c>
      <c r="HV152" s="52">
        <f>SUMIFS(Leasing!30:30,Leasing!1:1,HV150)+SUMIFS(Leasing!39:39,Leasing!1:1,HV150)</f>
        <v>1.0153137328245365</v>
      </c>
      <c r="HW152" s="52">
        <f>SUMIFS(Leasing!30:30,Leasing!1:1,HW150)+SUMIFS(Leasing!39:39,Leasing!1:1,HW150)</f>
        <v>1.0153137328245365</v>
      </c>
      <c r="HX152" s="52">
        <f>SUMIFS(Leasing!30:30,Leasing!1:1,HX150)+SUMIFS(Leasing!39:39,Leasing!1:1,HX150)</f>
        <v>1.0153137328245365</v>
      </c>
      <c r="HY152" s="52">
        <f>SUMIFS(Leasing!30:30,Leasing!1:1,HY150)+SUMIFS(Leasing!39:39,Leasing!1:1,HY150)</f>
        <v>1.0153137328245365</v>
      </c>
      <c r="HZ152" s="52">
        <f>SUMIFS(Leasing!30:30,Leasing!1:1,HZ150)+SUMIFS(Leasing!39:39,Leasing!1:1,HZ150)</f>
        <v>1.0153137328245365</v>
      </c>
      <c r="IA152" s="52">
        <f>SUMIFS(Leasing!30:30,Leasing!1:1,IA150)+SUMIFS(Leasing!39:39,Leasing!1:1,IA150)</f>
        <v>1.0153137328245365</v>
      </c>
      <c r="IB152" s="52">
        <f>SUMIFS(Leasing!30:30,Leasing!1:1,IB150)+SUMIFS(Leasing!39:39,Leasing!1:1,IB150)</f>
        <v>1.0153137328245365</v>
      </c>
      <c r="IC152" s="52">
        <f>SUMIFS(Leasing!30:30,Leasing!1:1,IC150)+SUMIFS(Leasing!39:39,Leasing!1:1,IC150)</f>
        <v>1.0153137328245365</v>
      </c>
      <c r="ID152" s="52">
        <f>SUMIFS(Leasing!30:30,Leasing!1:1,ID150)+SUMIFS(Leasing!39:39,Leasing!1:1,ID150)</f>
        <v>1.0153137328245365</v>
      </c>
      <c r="IE152" s="52">
        <f>SUMIFS(Leasing!30:30,Leasing!1:1,IE150)+SUMIFS(Leasing!39:39,Leasing!1:1,IE150)</f>
        <v>1.0153137328245365</v>
      </c>
      <c r="IF152" s="52">
        <f>SUMIFS(Leasing!30:30,Leasing!1:1,IF150)+SUMIFS(Leasing!39:39,Leasing!1:1,IF150)</f>
        <v>1.0660794194657635</v>
      </c>
      <c r="IG152" s="52">
        <f>SUMIFS(Leasing!30:30,Leasing!1:1,IG150)+SUMIFS(Leasing!39:39,Leasing!1:1,IG150)</f>
        <v>1.0660794194657635</v>
      </c>
      <c r="IH152" s="52">
        <f>SUMIFS(Leasing!30:30,Leasing!1:1,IH150)+SUMIFS(Leasing!39:39,Leasing!1:1,IH150)</f>
        <v>1.0660794194657635</v>
      </c>
      <c r="II152" s="52">
        <f>SUMIFS(Leasing!30:30,Leasing!1:1,II150)+SUMIFS(Leasing!39:39,Leasing!1:1,II150)</f>
        <v>1.0660794194657635</v>
      </c>
      <c r="IJ152" s="52">
        <f>SUMIFS(Leasing!30:30,Leasing!1:1,IJ150)+SUMIFS(Leasing!39:39,Leasing!1:1,IJ150)</f>
        <v>1.0660794194657635</v>
      </c>
      <c r="IK152" s="52">
        <f>SUMIFS(Leasing!30:30,Leasing!1:1,IK150)+SUMIFS(Leasing!39:39,Leasing!1:1,IK150)</f>
        <v>1.0660794194657635</v>
      </c>
      <c r="IL152" s="52">
        <f>SUMIFS(Leasing!30:30,Leasing!1:1,IL150)+SUMIFS(Leasing!39:39,Leasing!1:1,IL150)</f>
        <v>1.0660794194657635</v>
      </c>
      <c r="IM152" s="52">
        <f>SUMIFS(Leasing!30:30,Leasing!1:1,IM150)+SUMIFS(Leasing!39:39,Leasing!1:1,IM150)</f>
        <v>1.0660794194657635</v>
      </c>
      <c r="IN152" s="52">
        <f>SUMIFS(Leasing!30:30,Leasing!1:1,IN150)+SUMIFS(Leasing!39:39,Leasing!1:1,IN150)</f>
        <v>1.0660794194657635</v>
      </c>
      <c r="IO152" s="52">
        <f>SUMIFS(Leasing!30:30,Leasing!1:1,IO150)+SUMIFS(Leasing!39:39,Leasing!1:1,IO150)</f>
        <v>1.0660794194657635</v>
      </c>
      <c r="IP152" s="52">
        <f>SUMIFS(Leasing!30:30,Leasing!1:1,IP150)+SUMIFS(Leasing!39:39,Leasing!1:1,IP150)</f>
        <v>1.0660794194657635</v>
      </c>
      <c r="IQ152" s="52">
        <f>SUMIFS(Leasing!30:30,Leasing!1:1,IQ150)+SUMIFS(Leasing!39:39,Leasing!1:1,IQ150)</f>
        <v>1.0660794194657635</v>
      </c>
      <c r="IR152" s="52">
        <f>SUMIFS(Leasing!30:30,Leasing!1:1,IR150)+SUMIFS(Leasing!39:39,Leasing!1:1,IR150)</f>
        <v>1.1193833904390518</v>
      </c>
      <c r="IS152" s="52">
        <f>SUMIFS(Leasing!30:30,Leasing!1:1,IS150)+SUMIFS(Leasing!39:39,Leasing!1:1,IS150)</f>
        <v>1.1193833904390518</v>
      </c>
      <c r="IT152" s="52">
        <f>SUMIFS(Leasing!30:30,Leasing!1:1,IT150)+SUMIFS(Leasing!39:39,Leasing!1:1,IT150)</f>
        <v>1.1193833904390518</v>
      </c>
      <c r="IU152" s="52">
        <f>SUMIFS(Leasing!30:30,Leasing!1:1,IU150)+SUMIFS(Leasing!39:39,Leasing!1:1,IU150)</f>
        <v>1.1193833904390518</v>
      </c>
      <c r="IV152" s="52">
        <f>SUMIFS(Leasing!30:30,Leasing!1:1,IV150)+SUMIFS(Leasing!39:39,Leasing!1:1,IV150)</f>
        <v>1.1193833904390518</v>
      </c>
      <c r="IW152" s="52">
        <f>SUMIFS(Leasing!30:30,Leasing!1:1,IW150)+SUMIFS(Leasing!39:39,Leasing!1:1,IW150)</f>
        <v>1.1193833904390518</v>
      </c>
      <c r="IX152" s="52">
        <f>SUMIFS(Leasing!30:30,Leasing!1:1,IX150)+SUMIFS(Leasing!39:39,Leasing!1:1,IX150)</f>
        <v>5.2064343741351243E-2</v>
      </c>
      <c r="IY152" s="52">
        <f>SUMIFS(Leasing!30:30,Leasing!1:1,IY150)+SUMIFS(Leasing!39:39,Leasing!1:1,IY150)</f>
        <v>5.2064343741351243E-2</v>
      </c>
      <c r="IZ152" s="52">
        <f>SUMIFS(Leasing!30:30,Leasing!1:1,IZ150)+SUMIFS(Leasing!39:39,Leasing!1:1,IZ150)</f>
        <v>5.2064343741351243E-2</v>
      </c>
      <c r="JA152" s="52">
        <f>SUMIFS(Leasing!30:30,Leasing!1:1,JA150)+SUMIFS(Leasing!39:39,Leasing!1:1,JA150)</f>
        <v>5.2064343741351243E-2</v>
      </c>
      <c r="JB152" s="52">
        <f>SUMIFS(Leasing!30:30,Leasing!1:1,JB150)+SUMIFS(Leasing!39:39,Leasing!1:1,JB150)</f>
        <v>5.2064343741351243E-2</v>
      </c>
      <c r="JC152" s="52">
        <f>SUMIFS(Leasing!30:30,Leasing!1:1,JC150)+SUMIFS(Leasing!39:39,Leasing!1:1,JC150)</f>
        <v>5.2064343741351243E-2</v>
      </c>
      <c r="JD152" s="52">
        <f>SUMIFS(Leasing!30:30,Leasing!1:1,JD150)+SUMIFS(Leasing!39:39,Leasing!1:1,JD150)</f>
        <v>5.4667560928418811E-2</v>
      </c>
      <c r="JE152" s="52">
        <f>SUMIFS(Leasing!30:30,Leasing!1:1,JE150)+SUMIFS(Leasing!39:39,Leasing!1:1,JE150)</f>
        <v>5.4667560928418811E-2</v>
      </c>
      <c r="JF152" s="52">
        <f>SUMIFS(Leasing!30:30,Leasing!1:1,JF150)+SUMIFS(Leasing!39:39,Leasing!1:1,JF150)</f>
        <v>5.4667560928418811E-2</v>
      </c>
      <c r="JG152" s="52">
        <f>SUMIFS(Leasing!30:30,Leasing!1:1,JG150)+SUMIFS(Leasing!39:39,Leasing!1:1,JG150)</f>
        <v>5.4667560928418811E-2</v>
      </c>
      <c r="JH152" s="52">
        <f>SUMIFS(Leasing!30:30,Leasing!1:1,JH150)+SUMIFS(Leasing!39:39,Leasing!1:1,JH150)</f>
        <v>5.4667560928418811E-2</v>
      </c>
      <c r="JI152" s="52">
        <f>SUMIFS(Leasing!30:30,Leasing!1:1,JI150)+SUMIFS(Leasing!39:39,Leasing!1:1,JI150)</f>
        <v>5.4667560928418811E-2</v>
      </c>
      <c r="JJ152" s="539">
        <f>SUM(C152:JI152)</f>
        <v>169.69398103190665</v>
      </c>
      <c r="JK152" s="52"/>
      <c r="JL152" s="52"/>
      <c r="JM152" s="52"/>
      <c r="JN152" s="52"/>
      <c r="JO152" s="52"/>
    </row>
    <row r="153" spans="2:276" x14ac:dyDescent="0.3">
      <c r="B153" s="169" t="s">
        <v>326</v>
      </c>
      <c r="C153" s="52">
        <f>C152*$C$14</f>
        <v>0</v>
      </c>
      <c r="D153" s="52">
        <f t="shared" ref="D153:BO153" si="149">D152*$C$14</f>
        <v>0</v>
      </c>
      <c r="E153" s="52">
        <f t="shared" si="149"/>
        <v>0</v>
      </c>
      <c r="F153" s="52">
        <f t="shared" si="149"/>
        <v>0</v>
      </c>
      <c r="G153" s="52">
        <f t="shared" si="149"/>
        <v>0</v>
      </c>
      <c r="H153" s="52">
        <f t="shared" si="149"/>
        <v>0</v>
      </c>
      <c r="I153" s="52">
        <f t="shared" si="149"/>
        <v>0</v>
      </c>
      <c r="J153" s="52">
        <f t="shared" si="149"/>
        <v>0</v>
      </c>
      <c r="K153" s="52">
        <f t="shared" si="149"/>
        <v>0</v>
      </c>
      <c r="L153" s="52">
        <f t="shared" si="149"/>
        <v>0</v>
      </c>
      <c r="M153" s="52">
        <f t="shared" si="149"/>
        <v>0</v>
      </c>
      <c r="N153" s="52">
        <f t="shared" si="149"/>
        <v>0</v>
      </c>
      <c r="O153" s="52">
        <f t="shared" si="149"/>
        <v>0</v>
      </c>
      <c r="P153" s="52">
        <f t="shared" si="149"/>
        <v>0</v>
      </c>
      <c r="Q153" s="52">
        <f t="shared" si="149"/>
        <v>0</v>
      </c>
      <c r="R153" s="52">
        <f t="shared" si="149"/>
        <v>0</v>
      </c>
      <c r="S153" s="52">
        <f t="shared" si="149"/>
        <v>0</v>
      </c>
      <c r="T153" s="52">
        <f t="shared" si="149"/>
        <v>0</v>
      </c>
      <c r="U153" s="52">
        <f t="shared" si="149"/>
        <v>0</v>
      </c>
      <c r="V153" s="52">
        <f t="shared" si="149"/>
        <v>0</v>
      </c>
      <c r="W153" s="52">
        <f t="shared" si="149"/>
        <v>0</v>
      </c>
      <c r="X153" s="52">
        <f t="shared" si="149"/>
        <v>2.2148900925858004E-2</v>
      </c>
      <c r="Y153" s="52">
        <f t="shared" si="149"/>
        <v>2.2148900925858004E-2</v>
      </c>
      <c r="Z153" s="52">
        <f t="shared" si="149"/>
        <v>2.2148900925858004E-2</v>
      </c>
      <c r="AA153" s="52">
        <f t="shared" si="149"/>
        <v>2.2148900925858004E-2</v>
      </c>
      <c r="AB153" s="52">
        <f t="shared" si="149"/>
        <v>2.2148900925858004E-2</v>
      </c>
      <c r="AC153" s="52">
        <f t="shared" si="149"/>
        <v>2.2148900925858004E-2</v>
      </c>
      <c r="AD153" s="52">
        <f t="shared" si="149"/>
        <v>2.2148900925858004E-2</v>
      </c>
      <c r="AE153" s="52">
        <f t="shared" si="149"/>
        <v>2.2148900925858004E-2</v>
      </c>
      <c r="AF153" s="52">
        <f t="shared" si="149"/>
        <v>2.2148900925858004E-2</v>
      </c>
      <c r="AG153" s="52">
        <f t="shared" si="149"/>
        <v>2.2148900925858004E-2</v>
      </c>
      <c r="AH153" s="52">
        <f t="shared" si="149"/>
        <v>2.2148900925858004E-2</v>
      </c>
      <c r="AI153" s="52">
        <f t="shared" si="149"/>
        <v>2.2148900925858004E-2</v>
      </c>
      <c r="AJ153" s="52">
        <f t="shared" si="149"/>
        <v>2.3256345972150903E-2</v>
      </c>
      <c r="AK153" s="52">
        <f t="shared" si="149"/>
        <v>2.3256345972150903E-2</v>
      </c>
      <c r="AL153" s="52">
        <f t="shared" si="149"/>
        <v>2.3256345972150903E-2</v>
      </c>
      <c r="AM153" s="52">
        <f t="shared" si="149"/>
        <v>2.3256345972150903E-2</v>
      </c>
      <c r="AN153" s="52">
        <f t="shared" si="149"/>
        <v>2.3256345972150903E-2</v>
      </c>
      <c r="AO153" s="52">
        <f t="shared" si="149"/>
        <v>2.3256345972150903E-2</v>
      </c>
      <c r="AP153" s="52">
        <f t="shared" si="149"/>
        <v>2.3256345972150903E-2</v>
      </c>
      <c r="AQ153" s="52">
        <f t="shared" si="149"/>
        <v>2.3256345972150903E-2</v>
      </c>
      <c r="AR153" s="52">
        <f t="shared" si="149"/>
        <v>2.3256345972150903E-2</v>
      </c>
      <c r="AS153" s="52">
        <f t="shared" si="149"/>
        <v>2.3256345972150903E-2</v>
      </c>
      <c r="AT153" s="52">
        <f t="shared" si="149"/>
        <v>2.3256345972150903E-2</v>
      </c>
      <c r="AU153" s="52">
        <f t="shared" si="149"/>
        <v>2.3256345972150903E-2</v>
      </c>
      <c r="AV153" s="52">
        <f t="shared" si="149"/>
        <v>2.4419163270758451E-2</v>
      </c>
      <c r="AW153" s="52">
        <f t="shared" si="149"/>
        <v>2.4419163270758451E-2</v>
      </c>
      <c r="AX153" s="52">
        <f t="shared" si="149"/>
        <v>2.4419163270758451E-2</v>
      </c>
      <c r="AY153" s="52">
        <f t="shared" si="149"/>
        <v>2.4419163270758451E-2</v>
      </c>
      <c r="AZ153" s="52">
        <f t="shared" si="149"/>
        <v>2.4419163270758451E-2</v>
      </c>
      <c r="BA153" s="52">
        <f t="shared" si="149"/>
        <v>2.4419163270758451E-2</v>
      </c>
      <c r="BB153" s="52">
        <f t="shared" si="149"/>
        <v>2.4419163270758451E-2</v>
      </c>
      <c r="BC153" s="52">
        <f t="shared" si="149"/>
        <v>2.4419163270758451E-2</v>
      </c>
      <c r="BD153" s="52">
        <f t="shared" si="149"/>
        <v>2.4419163270758451E-2</v>
      </c>
      <c r="BE153" s="52">
        <f t="shared" si="149"/>
        <v>2.4419163270758451E-2</v>
      </c>
      <c r="BF153" s="52">
        <f t="shared" si="149"/>
        <v>2.4419163270758451E-2</v>
      </c>
      <c r="BG153" s="52">
        <f t="shared" si="149"/>
        <v>2.4419163270758451E-2</v>
      </c>
      <c r="BH153" s="52">
        <f t="shared" si="149"/>
        <v>2.5640121434296372E-2</v>
      </c>
      <c r="BI153" s="52">
        <f t="shared" si="149"/>
        <v>2.5640121434296372E-2</v>
      </c>
      <c r="BJ153" s="52">
        <f t="shared" si="149"/>
        <v>2.5640121434296372E-2</v>
      </c>
      <c r="BK153" s="52">
        <f t="shared" si="149"/>
        <v>2.5640121434296372E-2</v>
      </c>
      <c r="BL153" s="52">
        <f t="shared" si="149"/>
        <v>2.5640121434296372E-2</v>
      </c>
      <c r="BM153" s="52">
        <f t="shared" si="149"/>
        <v>2.5640121434296372E-2</v>
      </c>
      <c r="BN153" s="52">
        <f t="shared" si="149"/>
        <v>2.5640121434296372E-2</v>
      </c>
      <c r="BO153" s="52">
        <f t="shared" si="149"/>
        <v>2.5640121434296372E-2</v>
      </c>
      <c r="BP153" s="52">
        <f t="shared" ref="BP153:EA153" si="150">BP152*$C$14</f>
        <v>2.5640121434296372E-2</v>
      </c>
      <c r="BQ153" s="52">
        <f t="shared" si="150"/>
        <v>2.5640121434296372E-2</v>
      </c>
      <c r="BR153" s="52">
        <f t="shared" si="150"/>
        <v>2.5640121434296372E-2</v>
      </c>
      <c r="BS153" s="52">
        <f t="shared" si="150"/>
        <v>2.5640121434296372E-2</v>
      </c>
      <c r="BT153" s="52">
        <f t="shared" si="150"/>
        <v>2.6922127506011192E-2</v>
      </c>
      <c r="BU153" s="52">
        <f t="shared" si="150"/>
        <v>2.6922127506011192E-2</v>
      </c>
      <c r="BV153" s="52">
        <f t="shared" si="150"/>
        <v>2.6922127506011192E-2</v>
      </c>
      <c r="BW153" s="52">
        <f t="shared" si="150"/>
        <v>2.6922127506011192E-2</v>
      </c>
      <c r="BX153" s="52">
        <f t="shared" si="150"/>
        <v>2.6922127506011192E-2</v>
      </c>
      <c r="BY153" s="52">
        <f t="shared" si="150"/>
        <v>2.6922127506011192E-2</v>
      </c>
      <c r="BZ153" s="52">
        <f t="shared" si="150"/>
        <v>2.6922127506011192E-2</v>
      </c>
      <c r="CA153" s="52">
        <f t="shared" si="150"/>
        <v>2.6922127506011192E-2</v>
      </c>
      <c r="CB153" s="52">
        <f t="shared" si="150"/>
        <v>2.6922127506011192E-2</v>
      </c>
      <c r="CC153" s="52">
        <f t="shared" si="150"/>
        <v>2.6922127506011192E-2</v>
      </c>
      <c r="CD153" s="52">
        <f t="shared" si="150"/>
        <v>2.6922127506011192E-2</v>
      </c>
      <c r="CE153" s="52">
        <f t="shared" si="150"/>
        <v>2.6922127506011192E-2</v>
      </c>
      <c r="CF153" s="52">
        <f t="shared" si="150"/>
        <v>2.826823388131175E-2</v>
      </c>
      <c r="CG153" s="52">
        <f t="shared" si="150"/>
        <v>2.826823388131175E-2</v>
      </c>
      <c r="CH153" s="52">
        <f t="shared" si="150"/>
        <v>2.826823388131175E-2</v>
      </c>
      <c r="CI153" s="52">
        <f t="shared" si="150"/>
        <v>2.826823388131175E-2</v>
      </c>
      <c r="CJ153" s="52">
        <f t="shared" si="150"/>
        <v>2.826823388131175E-2</v>
      </c>
      <c r="CK153" s="52">
        <f t="shared" si="150"/>
        <v>2.826823388131175E-2</v>
      </c>
      <c r="CL153" s="52">
        <f t="shared" si="150"/>
        <v>2.826823388131175E-2</v>
      </c>
      <c r="CM153" s="52">
        <f t="shared" si="150"/>
        <v>2.826823388131175E-2</v>
      </c>
      <c r="CN153" s="52">
        <f t="shared" si="150"/>
        <v>2.826823388131175E-2</v>
      </c>
      <c r="CO153" s="52">
        <f t="shared" si="150"/>
        <v>2.826823388131175E-2</v>
      </c>
      <c r="CP153" s="52">
        <f t="shared" si="150"/>
        <v>2.826823388131175E-2</v>
      </c>
      <c r="CQ153" s="52">
        <f t="shared" si="150"/>
        <v>2.826823388131175E-2</v>
      </c>
      <c r="CR153" s="52">
        <f t="shared" si="150"/>
        <v>2.9681645575377343E-2</v>
      </c>
      <c r="CS153" s="52">
        <f t="shared" si="150"/>
        <v>2.9681645575377343E-2</v>
      </c>
      <c r="CT153" s="52">
        <f t="shared" si="150"/>
        <v>2.9681645575377343E-2</v>
      </c>
      <c r="CU153" s="52">
        <f t="shared" si="150"/>
        <v>2.9681645575377343E-2</v>
      </c>
      <c r="CV153" s="52">
        <f t="shared" si="150"/>
        <v>2.9681645575377343E-2</v>
      </c>
      <c r="CW153" s="52">
        <f t="shared" si="150"/>
        <v>2.9681645575377343E-2</v>
      </c>
      <c r="CX153" s="52">
        <f t="shared" si="150"/>
        <v>2.9681645575377343E-2</v>
      </c>
      <c r="CY153" s="52">
        <f t="shared" si="150"/>
        <v>2.9681645575377343E-2</v>
      </c>
      <c r="CZ153" s="52">
        <f t="shared" si="150"/>
        <v>2.9681645575377343E-2</v>
      </c>
      <c r="DA153" s="52">
        <f t="shared" si="150"/>
        <v>2.9681645575377343E-2</v>
      </c>
      <c r="DB153" s="52">
        <f t="shared" si="150"/>
        <v>2.9681645575377343E-2</v>
      </c>
      <c r="DC153" s="52">
        <f t="shared" si="150"/>
        <v>2.9681645575377343E-2</v>
      </c>
      <c r="DD153" s="52">
        <f t="shared" si="150"/>
        <v>3.1165727854146209E-2</v>
      </c>
      <c r="DE153" s="52">
        <f t="shared" si="150"/>
        <v>3.1165727854146209E-2</v>
      </c>
      <c r="DF153" s="52">
        <f t="shared" si="150"/>
        <v>3.1165727854146209E-2</v>
      </c>
      <c r="DG153" s="52">
        <f t="shared" si="150"/>
        <v>3.1165727854146209E-2</v>
      </c>
      <c r="DH153" s="52">
        <f t="shared" si="150"/>
        <v>3.1165727854146209E-2</v>
      </c>
      <c r="DI153" s="52">
        <f t="shared" si="150"/>
        <v>3.1165727854146209E-2</v>
      </c>
      <c r="DJ153" s="52">
        <f t="shared" si="150"/>
        <v>3.1165727854146209E-2</v>
      </c>
      <c r="DK153" s="52">
        <f t="shared" si="150"/>
        <v>3.1165727854146209E-2</v>
      </c>
      <c r="DL153" s="52">
        <f t="shared" si="150"/>
        <v>3.1165727854146209E-2</v>
      </c>
      <c r="DM153" s="52">
        <f t="shared" si="150"/>
        <v>3.1165727854146209E-2</v>
      </c>
      <c r="DN153" s="52">
        <f t="shared" si="150"/>
        <v>3.1165727854146209E-2</v>
      </c>
      <c r="DO153" s="52">
        <f t="shared" si="150"/>
        <v>3.1165727854146209E-2</v>
      </c>
      <c r="DP153" s="52">
        <f t="shared" si="150"/>
        <v>3.2724014246853519E-2</v>
      </c>
      <c r="DQ153" s="52">
        <f t="shared" si="150"/>
        <v>3.2724014246853519E-2</v>
      </c>
      <c r="DR153" s="52">
        <f t="shared" si="150"/>
        <v>3.2724014246853519E-2</v>
      </c>
      <c r="DS153" s="52">
        <f t="shared" si="150"/>
        <v>3.2724014246853519E-2</v>
      </c>
      <c r="DT153" s="52">
        <f t="shared" si="150"/>
        <v>3.2724014246853519E-2</v>
      </c>
      <c r="DU153" s="52">
        <f t="shared" si="150"/>
        <v>3.2724014246853519E-2</v>
      </c>
      <c r="DV153" s="52">
        <f t="shared" si="150"/>
        <v>3.2724014246853519E-2</v>
      </c>
      <c r="DW153" s="52">
        <f t="shared" si="150"/>
        <v>3.2724014246853519E-2</v>
      </c>
      <c r="DX153" s="52">
        <f t="shared" si="150"/>
        <v>3.2724014246853519E-2</v>
      </c>
      <c r="DY153" s="52">
        <f t="shared" si="150"/>
        <v>3.2724014246853519E-2</v>
      </c>
      <c r="DZ153" s="52">
        <f t="shared" si="150"/>
        <v>3.2724014246853519E-2</v>
      </c>
      <c r="EA153" s="52">
        <f t="shared" si="150"/>
        <v>3.2724014246853519E-2</v>
      </c>
      <c r="EB153" s="52">
        <f t="shared" ref="EB153:GM153" si="151">EB152*$C$14</f>
        <v>3.4360214959196202E-2</v>
      </c>
      <c r="EC153" s="52">
        <f t="shared" si="151"/>
        <v>3.4360214959196202E-2</v>
      </c>
      <c r="ED153" s="52">
        <f t="shared" si="151"/>
        <v>3.4360214959196202E-2</v>
      </c>
      <c r="EE153" s="52">
        <f t="shared" si="151"/>
        <v>3.4360214959196202E-2</v>
      </c>
      <c r="EF153" s="52">
        <f t="shared" si="151"/>
        <v>3.4360214959196202E-2</v>
      </c>
      <c r="EG153" s="52">
        <f t="shared" si="151"/>
        <v>3.4360214959196202E-2</v>
      </c>
      <c r="EH153" s="52">
        <f t="shared" si="151"/>
        <v>3.4360214959196202E-2</v>
      </c>
      <c r="EI153" s="52">
        <f t="shared" si="151"/>
        <v>3.4360214959196202E-2</v>
      </c>
      <c r="EJ153" s="52">
        <f t="shared" si="151"/>
        <v>3.4360214959196202E-2</v>
      </c>
      <c r="EK153" s="52">
        <f t="shared" si="151"/>
        <v>3.4360214959196202E-2</v>
      </c>
      <c r="EL153" s="52">
        <f t="shared" si="151"/>
        <v>3.4360214959196202E-2</v>
      </c>
      <c r="EM153" s="52">
        <f t="shared" si="151"/>
        <v>3.4360214959196202E-2</v>
      </c>
      <c r="EN153" s="52">
        <f t="shared" si="151"/>
        <v>3.6078225707156013E-2</v>
      </c>
      <c r="EO153" s="52">
        <f t="shared" si="151"/>
        <v>3.6078225707156013E-2</v>
      </c>
      <c r="EP153" s="52">
        <f t="shared" si="151"/>
        <v>3.6078225707156013E-2</v>
      </c>
      <c r="EQ153" s="52">
        <f t="shared" si="151"/>
        <v>3.6078225707156013E-2</v>
      </c>
      <c r="ER153" s="52">
        <f t="shared" si="151"/>
        <v>3.6078225707156013E-2</v>
      </c>
      <c r="ES153" s="52">
        <f t="shared" si="151"/>
        <v>3.6078225707156013E-2</v>
      </c>
      <c r="ET153" s="52">
        <f t="shared" si="151"/>
        <v>3.6078225707156013E-2</v>
      </c>
      <c r="EU153" s="52">
        <f t="shared" si="151"/>
        <v>3.6078225707156013E-2</v>
      </c>
      <c r="EV153" s="52">
        <f t="shared" si="151"/>
        <v>3.6078225707156013E-2</v>
      </c>
      <c r="EW153" s="52">
        <f t="shared" si="151"/>
        <v>3.6078225707156013E-2</v>
      </c>
      <c r="EX153" s="52">
        <f t="shared" si="151"/>
        <v>3.6078225707156013E-2</v>
      </c>
      <c r="EY153" s="52">
        <f t="shared" si="151"/>
        <v>3.6078225707156013E-2</v>
      </c>
      <c r="EZ153" s="52">
        <f t="shared" si="151"/>
        <v>3.7882136992513825E-2</v>
      </c>
      <c r="FA153" s="52">
        <f t="shared" si="151"/>
        <v>3.7882136992513825E-2</v>
      </c>
      <c r="FB153" s="52">
        <f t="shared" si="151"/>
        <v>3.7882136992513825E-2</v>
      </c>
      <c r="FC153" s="52">
        <f t="shared" si="151"/>
        <v>3.7882136992513825E-2</v>
      </c>
      <c r="FD153" s="52">
        <f t="shared" si="151"/>
        <v>3.7882136992513825E-2</v>
      </c>
      <c r="FE153" s="52">
        <f t="shared" si="151"/>
        <v>3.7882136992513825E-2</v>
      </c>
      <c r="FF153" s="52">
        <f t="shared" si="151"/>
        <v>3.7882136992513825E-2</v>
      </c>
      <c r="FG153" s="52">
        <f t="shared" si="151"/>
        <v>3.7882136992513825E-2</v>
      </c>
      <c r="FH153" s="52">
        <f t="shared" si="151"/>
        <v>3.7882136992513825E-2</v>
      </c>
      <c r="FI153" s="52">
        <f t="shared" si="151"/>
        <v>3.7882136992513825E-2</v>
      </c>
      <c r="FJ153" s="52">
        <f t="shared" si="151"/>
        <v>3.7882136992513825E-2</v>
      </c>
      <c r="FK153" s="52">
        <f t="shared" si="151"/>
        <v>3.7882136992513825E-2</v>
      </c>
      <c r="FL153" s="52">
        <f t="shared" si="151"/>
        <v>3.9776243842139514E-2</v>
      </c>
      <c r="FM153" s="52">
        <f t="shared" si="151"/>
        <v>3.9776243842139514E-2</v>
      </c>
      <c r="FN153" s="52">
        <f t="shared" si="151"/>
        <v>3.9776243842139514E-2</v>
      </c>
      <c r="FO153" s="52">
        <f t="shared" si="151"/>
        <v>3.9776243842139514E-2</v>
      </c>
      <c r="FP153" s="52">
        <f t="shared" si="151"/>
        <v>3.9776243842139514E-2</v>
      </c>
      <c r="FQ153" s="52">
        <f t="shared" si="151"/>
        <v>3.9776243842139514E-2</v>
      </c>
      <c r="FR153" s="52">
        <f t="shared" si="151"/>
        <v>3.9776243842139514E-2</v>
      </c>
      <c r="FS153" s="52">
        <f t="shared" si="151"/>
        <v>3.9776243842139514E-2</v>
      </c>
      <c r="FT153" s="52">
        <f t="shared" si="151"/>
        <v>3.9776243842139514E-2</v>
      </c>
      <c r="FU153" s="52">
        <f t="shared" si="151"/>
        <v>3.9776243842139514E-2</v>
      </c>
      <c r="FV153" s="52">
        <f t="shared" si="151"/>
        <v>3.9776243842139514E-2</v>
      </c>
      <c r="FW153" s="52">
        <f t="shared" si="151"/>
        <v>3.9776243842139514E-2</v>
      </c>
      <c r="FX153" s="52">
        <f t="shared" si="151"/>
        <v>4.1765056034246489E-2</v>
      </c>
      <c r="FY153" s="52">
        <f t="shared" si="151"/>
        <v>4.1765056034246489E-2</v>
      </c>
      <c r="FZ153" s="52">
        <f t="shared" si="151"/>
        <v>4.1765056034246489E-2</v>
      </c>
      <c r="GA153" s="52">
        <f t="shared" si="151"/>
        <v>4.1765056034246489E-2</v>
      </c>
      <c r="GB153" s="52">
        <f t="shared" si="151"/>
        <v>4.1765056034246489E-2</v>
      </c>
      <c r="GC153" s="52">
        <f t="shared" si="151"/>
        <v>4.1765056034246489E-2</v>
      </c>
      <c r="GD153" s="52">
        <f t="shared" si="151"/>
        <v>4.1765056034246489E-2</v>
      </c>
      <c r="GE153" s="52">
        <f t="shared" si="151"/>
        <v>4.1765056034246489E-2</v>
      </c>
      <c r="GF153" s="52">
        <f t="shared" si="151"/>
        <v>4.1765056034246489E-2</v>
      </c>
      <c r="GG153" s="52">
        <f t="shared" si="151"/>
        <v>4.1765056034246489E-2</v>
      </c>
      <c r="GH153" s="52">
        <f t="shared" si="151"/>
        <v>4.1765056034246489E-2</v>
      </c>
      <c r="GI153" s="52">
        <f t="shared" si="151"/>
        <v>4.1765056034246489E-2</v>
      </c>
      <c r="GJ153" s="52">
        <f t="shared" si="151"/>
        <v>4.385330883595881E-2</v>
      </c>
      <c r="GK153" s="52">
        <f t="shared" si="151"/>
        <v>4.385330883595881E-2</v>
      </c>
      <c r="GL153" s="52">
        <f t="shared" si="151"/>
        <v>4.385330883595881E-2</v>
      </c>
      <c r="GM153" s="52">
        <f t="shared" si="151"/>
        <v>4.385330883595881E-2</v>
      </c>
      <c r="GN153" s="52">
        <f t="shared" ref="GN153:IY153" si="152">GN152*$C$14</f>
        <v>4.385330883595881E-2</v>
      </c>
      <c r="GO153" s="52">
        <f t="shared" si="152"/>
        <v>4.385330883595881E-2</v>
      </c>
      <c r="GP153" s="52">
        <f t="shared" si="152"/>
        <v>4.385330883595881E-2</v>
      </c>
      <c r="GQ153" s="52">
        <f t="shared" si="152"/>
        <v>4.385330883595881E-2</v>
      </c>
      <c r="GR153" s="52">
        <f t="shared" si="152"/>
        <v>4.385330883595881E-2</v>
      </c>
      <c r="GS153" s="52">
        <f t="shared" si="152"/>
        <v>4.385330883595881E-2</v>
      </c>
      <c r="GT153" s="52">
        <f t="shared" si="152"/>
        <v>4.385330883595881E-2</v>
      </c>
      <c r="GU153" s="52">
        <f t="shared" si="152"/>
        <v>4.385330883595881E-2</v>
      </c>
      <c r="GV153" s="52">
        <f t="shared" si="152"/>
        <v>4.6045974277756765E-2</v>
      </c>
      <c r="GW153" s="52">
        <f t="shared" si="152"/>
        <v>4.6045974277756765E-2</v>
      </c>
      <c r="GX153" s="52">
        <f t="shared" si="152"/>
        <v>4.6045974277756765E-2</v>
      </c>
      <c r="GY153" s="52">
        <f t="shared" si="152"/>
        <v>4.6045974277756765E-2</v>
      </c>
      <c r="GZ153" s="52">
        <f t="shared" si="152"/>
        <v>4.6045974277756765E-2</v>
      </c>
      <c r="HA153" s="52">
        <f t="shared" si="152"/>
        <v>4.6045974277756765E-2</v>
      </c>
      <c r="HB153" s="52">
        <f t="shared" si="152"/>
        <v>4.6045974277756765E-2</v>
      </c>
      <c r="HC153" s="52">
        <f t="shared" si="152"/>
        <v>4.6045974277756765E-2</v>
      </c>
      <c r="HD153" s="52">
        <f t="shared" si="152"/>
        <v>4.6045974277756765E-2</v>
      </c>
      <c r="HE153" s="52">
        <f t="shared" si="152"/>
        <v>4.6045974277756765E-2</v>
      </c>
      <c r="HF153" s="52">
        <f t="shared" si="152"/>
        <v>4.6045974277756765E-2</v>
      </c>
      <c r="HG153" s="52">
        <f t="shared" si="152"/>
        <v>4.6045974277756765E-2</v>
      </c>
      <c r="HH153" s="52">
        <f t="shared" si="152"/>
        <v>4.8348272991644597E-2</v>
      </c>
      <c r="HI153" s="52">
        <f t="shared" si="152"/>
        <v>4.8348272991644597E-2</v>
      </c>
      <c r="HJ153" s="52">
        <f t="shared" si="152"/>
        <v>4.8348272991644597E-2</v>
      </c>
      <c r="HK153" s="52">
        <f t="shared" si="152"/>
        <v>4.8348272991644597E-2</v>
      </c>
      <c r="HL153" s="52">
        <f t="shared" si="152"/>
        <v>4.8348272991644597E-2</v>
      </c>
      <c r="HM153" s="52">
        <f t="shared" si="152"/>
        <v>4.8348272991644597E-2</v>
      </c>
      <c r="HN153" s="52">
        <f t="shared" si="152"/>
        <v>4.8348272991644597E-2</v>
      </c>
      <c r="HO153" s="52">
        <f t="shared" si="152"/>
        <v>4.8348272991644597E-2</v>
      </c>
      <c r="HP153" s="52">
        <f t="shared" si="152"/>
        <v>4.8348272991644597E-2</v>
      </c>
      <c r="HQ153" s="52">
        <f t="shared" si="152"/>
        <v>4.8348272991644597E-2</v>
      </c>
      <c r="HR153" s="52">
        <f t="shared" si="152"/>
        <v>4.8348272991644597E-2</v>
      </c>
      <c r="HS153" s="52">
        <f t="shared" si="152"/>
        <v>4.8348272991644597E-2</v>
      </c>
      <c r="HT153" s="52">
        <f t="shared" si="152"/>
        <v>5.0765686641226826E-2</v>
      </c>
      <c r="HU153" s="52">
        <f t="shared" si="152"/>
        <v>5.0765686641226826E-2</v>
      </c>
      <c r="HV153" s="52">
        <f t="shared" si="152"/>
        <v>5.0765686641226826E-2</v>
      </c>
      <c r="HW153" s="52">
        <f t="shared" si="152"/>
        <v>5.0765686641226826E-2</v>
      </c>
      <c r="HX153" s="52">
        <f t="shared" si="152"/>
        <v>5.0765686641226826E-2</v>
      </c>
      <c r="HY153" s="52">
        <f t="shared" si="152"/>
        <v>5.0765686641226826E-2</v>
      </c>
      <c r="HZ153" s="52">
        <f t="shared" si="152"/>
        <v>5.0765686641226826E-2</v>
      </c>
      <c r="IA153" s="52">
        <f t="shared" si="152"/>
        <v>5.0765686641226826E-2</v>
      </c>
      <c r="IB153" s="52">
        <f t="shared" si="152"/>
        <v>5.0765686641226826E-2</v>
      </c>
      <c r="IC153" s="52">
        <f t="shared" si="152"/>
        <v>5.0765686641226826E-2</v>
      </c>
      <c r="ID153" s="52">
        <f t="shared" si="152"/>
        <v>5.0765686641226826E-2</v>
      </c>
      <c r="IE153" s="52">
        <f t="shared" si="152"/>
        <v>5.0765686641226826E-2</v>
      </c>
      <c r="IF153" s="52">
        <f t="shared" si="152"/>
        <v>5.3303970973288178E-2</v>
      </c>
      <c r="IG153" s="52">
        <f t="shared" si="152"/>
        <v>5.3303970973288178E-2</v>
      </c>
      <c r="IH153" s="52">
        <f t="shared" si="152"/>
        <v>5.3303970973288178E-2</v>
      </c>
      <c r="II153" s="52">
        <f t="shared" si="152"/>
        <v>5.3303970973288178E-2</v>
      </c>
      <c r="IJ153" s="52">
        <f t="shared" si="152"/>
        <v>5.3303970973288178E-2</v>
      </c>
      <c r="IK153" s="52">
        <f t="shared" si="152"/>
        <v>5.3303970973288178E-2</v>
      </c>
      <c r="IL153" s="52">
        <f t="shared" si="152"/>
        <v>5.3303970973288178E-2</v>
      </c>
      <c r="IM153" s="52">
        <f t="shared" si="152"/>
        <v>5.3303970973288178E-2</v>
      </c>
      <c r="IN153" s="52">
        <f t="shared" si="152"/>
        <v>5.3303970973288178E-2</v>
      </c>
      <c r="IO153" s="52">
        <f t="shared" si="152"/>
        <v>5.3303970973288178E-2</v>
      </c>
      <c r="IP153" s="52">
        <f t="shared" si="152"/>
        <v>5.3303970973288178E-2</v>
      </c>
      <c r="IQ153" s="52">
        <f t="shared" si="152"/>
        <v>5.3303970973288178E-2</v>
      </c>
      <c r="IR153" s="52">
        <f t="shared" si="152"/>
        <v>5.5969169521952591E-2</v>
      </c>
      <c r="IS153" s="52">
        <f t="shared" si="152"/>
        <v>5.5969169521952591E-2</v>
      </c>
      <c r="IT153" s="52">
        <f t="shared" si="152"/>
        <v>5.5969169521952591E-2</v>
      </c>
      <c r="IU153" s="52">
        <f t="shared" si="152"/>
        <v>5.5969169521952591E-2</v>
      </c>
      <c r="IV153" s="52">
        <f t="shared" si="152"/>
        <v>5.5969169521952591E-2</v>
      </c>
      <c r="IW153" s="52">
        <f t="shared" si="152"/>
        <v>5.5969169521952591E-2</v>
      </c>
      <c r="IX153" s="52">
        <f t="shared" si="152"/>
        <v>2.6032171870675625E-3</v>
      </c>
      <c r="IY153" s="52">
        <f t="shared" si="152"/>
        <v>2.6032171870675625E-3</v>
      </c>
      <c r="IZ153" s="52">
        <f t="shared" ref="IZ153:JI153" si="153">IZ152*$C$14</f>
        <v>2.6032171870675625E-3</v>
      </c>
      <c r="JA153" s="52">
        <f t="shared" si="153"/>
        <v>2.6032171870675625E-3</v>
      </c>
      <c r="JB153" s="52">
        <f t="shared" si="153"/>
        <v>2.6032171870675625E-3</v>
      </c>
      <c r="JC153" s="52">
        <f t="shared" si="153"/>
        <v>2.6032171870675625E-3</v>
      </c>
      <c r="JD153" s="52">
        <f t="shared" si="153"/>
        <v>2.7333780464209407E-3</v>
      </c>
      <c r="JE153" s="52">
        <f t="shared" si="153"/>
        <v>2.7333780464209407E-3</v>
      </c>
      <c r="JF153" s="52">
        <f t="shared" si="153"/>
        <v>2.7333780464209407E-3</v>
      </c>
      <c r="JG153" s="52">
        <f t="shared" si="153"/>
        <v>2.7333780464209407E-3</v>
      </c>
      <c r="JH153" s="52">
        <f t="shared" si="153"/>
        <v>2.7333780464209407E-3</v>
      </c>
      <c r="JI153" s="52">
        <f t="shared" si="153"/>
        <v>2.7333780464209407E-3</v>
      </c>
      <c r="JJ153" s="539">
        <f>SUM(C153:JI153)</f>
        <v>8.4846990515953351</v>
      </c>
      <c r="JK153" s="52"/>
      <c r="JL153" s="52"/>
      <c r="JM153" s="52"/>
      <c r="JN153" s="52"/>
      <c r="JO153" s="52"/>
    </row>
    <row r="154" spans="2:276" x14ac:dyDescent="0.3">
      <c r="B154" s="169" t="s">
        <v>327</v>
      </c>
      <c r="C154" s="52">
        <f>C152*$C$140</f>
        <v>0</v>
      </c>
      <c r="D154" s="52">
        <f t="shared" ref="D154:BO154" si="154">D152*$C$15</f>
        <v>0</v>
      </c>
      <c r="E154" s="52">
        <f t="shared" si="154"/>
        <v>0</v>
      </c>
      <c r="F154" s="52">
        <f t="shared" si="154"/>
        <v>0</v>
      </c>
      <c r="G154" s="52">
        <f t="shared" si="154"/>
        <v>0</v>
      </c>
      <c r="H154" s="52">
        <f t="shared" si="154"/>
        <v>0</v>
      </c>
      <c r="I154" s="52">
        <f t="shared" si="154"/>
        <v>0</v>
      </c>
      <c r="J154" s="52">
        <f t="shared" si="154"/>
        <v>0</v>
      </c>
      <c r="K154" s="52">
        <f t="shared" si="154"/>
        <v>0</v>
      </c>
      <c r="L154" s="52">
        <f t="shared" si="154"/>
        <v>0</v>
      </c>
      <c r="M154" s="52">
        <f t="shared" si="154"/>
        <v>0</v>
      </c>
      <c r="N154" s="52">
        <f t="shared" si="154"/>
        <v>0</v>
      </c>
      <c r="O154" s="52">
        <f t="shared" si="154"/>
        <v>0</v>
      </c>
      <c r="P154" s="52">
        <f t="shared" si="154"/>
        <v>0</v>
      </c>
      <c r="Q154" s="52">
        <f t="shared" si="154"/>
        <v>0</v>
      </c>
      <c r="R154" s="52">
        <f t="shared" si="154"/>
        <v>0</v>
      </c>
      <c r="S154" s="52">
        <f t="shared" si="154"/>
        <v>0</v>
      </c>
      <c r="T154" s="52">
        <f t="shared" si="154"/>
        <v>0</v>
      </c>
      <c r="U154" s="52">
        <f t="shared" si="154"/>
        <v>0</v>
      </c>
      <c r="V154" s="52">
        <f t="shared" si="154"/>
        <v>0</v>
      </c>
      <c r="W154" s="52">
        <f t="shared" si="154"/>
        <v>0</v>
      </c>
      <c r="X154" s="52">
        <f t="shared" si="154"/>
        <v>2.2148900925858004E-2</v>
      </c>
      <c r="Y154" s="52">
        <f t="shared" si="154"/>
        <v>2.2148900925858004E-2</v>
      </c>
      <c r="Z154" s="52">
        <f t="shared" si="154"/>
        <v>2.2148900925858004E-2</v>
      </c>
      <c r="AA154" s="52">
        <f t="shared" si="154"/>
        <v>2.2148900925858004E-2</v>
      </c>
      <c r="AB154" s="52">
        <f t="shared" si="154"/>
        <v>2.2148900925858004E-2</v>
      </c>
      <c r="AC154" s="52">
        <f t="shared" si="154"/>
        <v>2.2148900925858004E-2</v>
      </c>
      <c r="AD154" s="52">
        <f t="shared" si="154"/>
        <v>2.2148900925858004E-2</v>
      </c>
      <c r="AE154" s="52">
        <f t="shared" si="154"/>
        <v>2.2148900925858004E-2</v>
      </c>
      <c r="AF154" s="52">
        <f t="shared" si="154"/>
        <v>2.2148900925858004E-2</v>
      </c>
      <c r="AG154" s="52">
        <f t="shared" si="154"/>
        <v>2.2148900925858004E-2</v>
      </c>
      <c r="AH154" s="52">
        <f t="shared" si="154"/>
        <v>2.2148900925858004E-2</v>
      </c>
      <c r="AI154" s="52">
        <f t="shared" si="154"/>
        <v>2.2148900925858004E-2</v>
      </c>
      <c r="AJ154" s="52">
        <f t="shared" si="154"/>
        <v>2.3256345972150903E-2</v>
      </c>
      <c r="AK154" s="52">
        <f t="shared" si="154"/>
        <v>2.3256345972150903E-2</v>
      </c>
      <c r="AL154" s="52">
        <f t="shared" si="154"/>
        <v>2.3256345972150903E-2</v>
      </c>
      <c r="AM154" s="52">
        <f t="shared" si="154"/>
        <v>2.3256345972150903E-2</v>
      </c>
      <c r="AN154" s="52">
        <f t="shared" si="154"/>
        <v>2.3256345972150903E-2</v>
      </c>
      <c r="AO154" s="52">
        <f t="shared" si="154"/>
        <v>2.3256345972150903E-2</v>
      </c>
      <c r="AP154" s="52">
        <f t="shared" si="154"/>
        <v>2.3256345972150903E-2</v>
      </c>
      <c r="AQ154" s="52">
        <f t="shared" si="154"/>
        <v>2.3256345972150903E-2</v>
      </c>
      <c r="AR154" s="52">
        <f t="shared" si="154"/>
        <v>2.3256345972150903E-2</v>
      </c>
      <c r="AS154" s="52">
        <f t="shared" si="154"/>
        <v>2.3256345972150903E-2</v>
      </c>
      <c r="AT154" s="52">
        <f t="shared" si="154"/>
        <v>2.3256345972150903E-2</v>
      </c>
      <c r="AU154" s="52">
        <f t="shared" si="154"/>
        <v>2.3256345972150903E-2</v>
      </c>
      <c r="AV154" s="52">
        <f t="shared" si="154"/>
        <v>2.4419163270758451E-2</v>
      </c>
      <c r="AW154" s="52">
        <f t="shared" si="154"/>
        <v>2.4419163270758451E-2</v>
      </c>
      <c r="AX154" s="52">
        <f t="shared" si="154"/>
        <v>2.4419163270758451E-2</v>
      </c>
      <c r="AY154" s="52">
        <f t="shared" si="154"/>
        <v>2.4419163270758451E-2</v>
      </c>
      <c r="AZ154" s="52">
        <f t="shared" si="154"/>
        <v>2.4419163270758451E-2</v>
      </c>
      <c r="BA154" s="52">
        <f t="shared" si="154"/>
        <v>2.4419163270758451E-2</v>
      </c>
      <c r="BB154" s="52">
        <f t="shared" si="154"/>
        <v>2.4419163270758451E-2</v>
      </c>
      <c r="BC154" s="52">
        <f t="shared" si="154"/>
        <v>2.4419163270758451E-2</v>
      </c>
      <c r="BD154" s="52">
        <f t="shared" si="154"/>
        <v>2.4419163270758451E-2</v>
      </c>
      <c r="BE154" s="52">
        <f t="shared" si="154"/>
        <v>2.4419163270758451E-2</v>
      </c>
      <c r="BF154" s="52">
        <f t="shared" si="154"/>
        <v>2.4419163270758451E-2</v>
      </c>
      <c r="BG154" s="52">
        <f t="shared" si="154"/>
        <v>2.4419163270758451E-2</v>
      </c>
      <c r="BH154" s="52">
        <f t="shared" si="154"/>
        <v>2.5640121434296372E-2</v>
      </c>
      <c r="BI154" s="52">
        <f t="shared" si="154"/>
        <v>2.5640121434296372E-2</v>
      </c>
      <c r="BJ154" s="52">
        <f t="shared" si="154"/>
        <v>2.5640121434296372E-2</v>
      </c>
      <c r="BK154" s="52">
        <f t="shared" si="154"/>
        <v>2.5640121434296372E-2</v>
      </c>
      <c r="BL154" s="52">
        <f t="shared" si="154"/>
        <v>2.5640121434296372E-2</v>
      </c>
      <c r="BM154" s="52">
        <f t="shared" si="154"/>
        <v>2.5640121434296372E-2</v>
      </c>
      <c r="BN154" s="52">
        <f t="shared" si="154"/>
        <v>2.5640121434296372E-2</v>
      </c>
      <c r="BO154" s="52">
        <f t="shared" si="154"/>
        <v>2.5640121434296372E-2</v>
      </c>
      <c r="BP154" s="52">
        <f t="shared" ref="BP154:EA154" si="155">BP152*$C$15</f>
        <v>2.5640121434296372E-2</v>
      </c>
      <c r="BQ154" s="52">
        <f t="shared" si="155"/>
        <v>2.5640121434296372E-2</v>
      </c>
      <c r="BR154" s="52">
        <f t="shared" si="155"/>
        <v>2.5640121434296372E-2</v>
      </c>
      <c r="BS154" s="52">
        <f t="shared" si="155"/>
        <v>2.5640121434296372E-2</v>
      </c>
      <c r="BT154" s="52">
        <f t="shared" si="155"/>
        <v>2.6922127506011192E-2</v>
      </c>
      <c r="BU154" s="52">
        <f t="shared" si="155"/>
        <v>2.6922127506011192E-2</v>
      </c>
      <c r="BV154" s="52">
        <f t="shared" si="155"/>
        <v>2.6922127506011192E-2</v>
      </c>
      <c r="BW154" s="52">
        <f t="shared" si="155"/>
        <v>2.6922127506011192E-2</v>
      </c>
      <c r="BX154" s="52">
        <f t="shared" si="155"/>
        <v>2.6922127506011192E-2</v>
      </c>
      <c r="BY154" s="52">
        <f t="shared" si="155"/>
        <v>2.6922127506011192E-2</v>
      </c>
      <c r="BZ154" s="52">
        <f t="shared" si="155"/>
        <v>2.6922127506011192E-2</v>
      </c>
      <c r="CA154" s="52">
        <f t="shared" si="155"/>
        <v>2.6922127506011192E-2</v>
      </c>
      <c r="CB154" s="52">
        <f t="shared" si="155"/>
        <v>2.6922127506011192E-2</v>
      </c>
      <c r="CC154" s="52">
        <f t="shared" si="155"/>
        <v>2.6922127506011192E-2</v>
      </c>
      <c r="CD154" s="52">
        <f t="shared" si="155"/>
        <v>2.6922127506011192E-2</v>
      </c>
      <c r="CE154" s="52">
        <f t="shared" si="155"/>
        <v>2.6922127506011192E-2</v>
      </c>
      <c r="CF154" s="52">
        <f t="shared" si="155"/>
        <v>2.826823388131175E-2</v>
      </c>
      <c r="CG154" s="52">
        <f t="shared" si="155"/>
        <v>2.826823388131175E-2</v>
      </c>
      <c r="CH154" s="52">
        <f t="shared" si="155"/>
        <v>2.826823388131175E-2</v>
      </c>
      <c r="CI154" s="52">
        <f t="shared" si="155"/>
        <v>2.826823388131175E-2</v>
      </c>
      <c r="CJ154" s="52">
        <f t="shared" si="155"/>
        <v>2.826823388131175E-2</v>
      </c>
      <c r="CK154" s="52">
        <f t="shared" si="155"/>
        <v>2.826823388131175E-2</v>
      </c>
      <c r="CL154" s="52">
        <f t="shared" si="155"/>
        <v>2.826823388131175E-2</v>
      </c>
      <c r="CM154" s="52">
        <f t="shared" si="155"/>
        <v>2.826823388131175E-2</v>
      </c>
      <c r="CN154" s="52">
        <f t="shared" si="155"/>
        <v>2.826823388131175E-2</v>
      </c>
      <c r="CO154" s="52">
        <f t="shared" si="155"/>
        <v>2.826823388131175E-2</v>
      </c>
      <c r="CP154" s="52">
        <f t="shared" si="155"/>
        <v>2.826823388131175E-2</v>
      </c>
      <c r="CQ154" s="52">
        <f t="shared" si="155"/>
        <v>2.826823388131175E-2</v>
      </c>
      <c r="CR154" s="52">
        <f t="shared" si="155"/>
        <v>2.9681645575377343E-2</v>
      </c>
      <c r="CS154" s="52">
        <f t="shared" si="155"/>
        <v>2.9681645575377343E-2</v>
      </c>
      <c r="CT154" s="52">
        <f t="shared" si="155"/>
        <v>2.9681645575377343E-2</v>
      </c>
      <c r="CU154" s="52">
        <f t="shared" si="155"/>
        <v>2.9681645575377343E-2</v>
      </c>
      <c r="CV154" s="52">
        <f t="shared" si="155"/>
        <v>2.9681645575377343E-2</v>
      </c>
      <c r="CW154" s="52">
        <f t="shared" si="155"/>
        <v>2.9681645575377343E-2</v>
      </c>
      <c r="CX154" s="52">
        <f t="shared" si="155"/>
        <v>2.9681645575377343E-2</v>
      </c>
      <c r="CY154" s="52">
        <f t="shared" si="155"/>
        <v>2.9681645575377343E-2</v>
      </c>
      <c r="CZ154" s="52">
        <f t="shared" si="155"/>
        <v>2.9681645575377343E-2</v>
      </c>
      <c r="DA154" s="52">
        <f t="shared" si="155"/>
        <v>2.9681645575377343E-2</v>
      </c>
      <c r="DB154" s="52">
        <f t="shared" si="155"/>
        <v>2.9681645575377343E-2</v>
      </c>
      <c r="DC154" s="52">
        <f t="shared" si="155"/>
        <v>2.9681645575377343E-2</v>
      </c>
      <c r="DD154" s="52">
        <f t="shared" si="155"/>
        <v>3.1165727854146209E-2</v>
      </c>
      <c r="DE154" s="52">
        <f t="shared" si="155"/>
        <v>3.1165727854146209E-2</v>
      </c>
      <c r="DF154" s="52">
        <f t="shared" si="155"/>
        <v>3.1165727854146209E-2</v>
      </c>
      <c r="DG154" s="52">
        <f t="shared" si="155"/>
        <v>3.1165727854146209E-2</v>
      </c>
      <c r="DH154" s="52">
        <f t="shared" si="155"/>
        <v>3.1165727854146209E-2</v>
      </c>
      <c r="DI154" s="52">
        <f t="shared" si="155"/>
        <v>3.1165727854146209E-2</v>
      </c>
      <c r="DJ154" s="52">
        <f t="shared" si="155"/>
        <v>3.1165727854146209E-2</v>
      </c>
      <c r="DK154" s="52">
        <f t="shared" si="155"/>
        <v>3.1165727854146209E-2</v>
      </c>
      <c r="DL154" s="52">
        <f t="shared" si="155"/>
        <v>3.1165727854146209E-2</v>
      </c>
      <c r="DM154" s="52">
        <f t="shared" si="155"/>
        <v>3.1165727854146209E-2</v>
      </c>
      <c r="DN154" s="52">
        <f t="shared" si="155"/>
        <v>3.1165727854146209E-2</v>
      </c>
      <c r="DO154" s="52">
        <f t="shared" si="155"/>
        <v>3.1165727854146209E-2</v>
      </c>
      <c r="DP154" s="52">
        <f t="shared" si="155"/>
        <v>3.2724014246853519E-2</v>
      </c>
      <c r="DQ154" s="52">
        <f t="shared" si="155"/>
        <v>3.2724014246853519E-2</v>
      </c>
      <c r="DR154" s="52">
        <f t="shared" si="155"/>
        <v>3.2724014246853519E-2</v>
      </c>
      <c r="DS154" s="52">
        <f t="shared" si="155"/>
        <v>3.2724014246853519E-2</v>
      </c>
      <c r="DT154" s="52">
        <f t="shared" si="155"/>
        <v>3.2724014246853519E-2</v>
      </c>
      <c r="DU154" s="52">
        <f t="shared" si="155"/>
        <v>3.2724014246853519E-2</v>
      </c>
      <c r="DV154" s="52">
        <f t="shared" si="155"/>
        <v>3.2724014246853519E-2</v>
      </c>
      <c r="DW154" s="52">
        <f t="shared" si="155"/>
        <v>3.2724014246853519E-2</v>
      </c>
      <c r="DX154" s="52">
        <f t="shared" si="155"/>
        <v>3.2724014246853519E-2</v>
      </c>
      <c r="DY154" s="52">
        <f t="shared" si="155"/>
        <v>3.2724014246853519E-2</v>
      </c>
      <c r="DZ154" s="52">
        <f t="shared" si="155"/>
        <v>3.2724014246853519E-2</v>
      </c>
      <c r="EA154" s="52">
        <f t="shared" si="155"/>
        <v>3.2724014246853519E-2</v>
      </c>
      <c r="EB154" s="52">
        <f t="shared" ref="EB154:GM154" si="156">EB152*$C$15</f>
        <v>3.4360214959196202E-2</v>
      </c>
      <c r="EC154" s="52">
        <f t="shared" si="156"/>
        <v>3.4360214959196202E-2</v>
      </c>
      <c r="ED154" s="52">
        <f t="shared" si="156"/>
        <v>3.4360214959196202E-2</v>
      </c>
      <c r="EE154" s="52">
        <f t="shared" si="156"/>
        <v>3.4360214959196202E-2</v>
      </c>
      <c r="EF154" s="52">
        <f t="shared" si="156"/>
        <v>3.4360214959196202E-2</v>
      </c>
      <c r="EG154" s="52">
        <f t="shared" si="156"/>
        <v>3.4360214959196202E-2</v>
      </c>
      <c r="EH154" s="52">
        <f t="shared" si="156"/>
        <v>3.4360214959196202E-2</v>
      </c>
      <c r="EI154" s="52">
        <f t="shared" si="156"/>
        <v>3.4360214959196202E-2</v>
      </c>
      <c r="EJ154" s="52">
        <f t="shared" si="156"/>
        <v>3.4360214959196202E-2</v>
      </c>
      <c r="EK154" s="52">
        <f t="shared" si="156"/>
        <v>3.4360214959196202E-2</v>
      </c>
      <c r="EL154" s="52">
        <f t="shared" si="156"/>
        <v>3.4360214959196202E-2</v>
      </c>
      <c r="EM154" s="52">
        <f t="shared" si="156"/>
        <v>3.4360214959196202E-2</v>
      </c>
      <c r="EN154" s="52">
        <f t="shared" si="156"/>
        <v>3.6078225707156013E-2</v>
      </c>
      <c r="EO154" s="52">
        <f t="shared" si="156"/>
        <v>3.6078225707156013E-2</v>
      </c>
      <c r="EP154" s="52">
        <f t="shared" si="156"/>
        <v>3.6078225707156013E-2</v>
      </c>
      <c r="EQ154" s="52">
        <f t="shared" si="156"/>
        <v>3.6078225707156013E-2</v>
      </c>
      <c r="ER154" s="52">
        <f t="shared" si="156"/>
        <v>3.6078225707156013E-2</v>
      </c>
      <c r="ES154" s="52">
        <f t="shared" si="156"/>
        <v>3.6078225707156013E-2</v>
      </c>
      <c r="ET154" s="52">
        <f t="shared" si="156"/>
        <v>3.6078225707156013E-2</v>
      </c>
      <c r="EU154" s="52">
        <f t="shared" si="156"/>
        <v>3.6078225707156013E-2</v>
      </c>
      <c r="EV154" s="52">
        <f t="shared" si="156"/>
        <v>3.6078225707156013E-2</v>
      </c>
      <c r="EW154" s="52">
        <f t="shared" si="156"/>
        <v>3.6078225707156013E-2</v>
      </c>
      <c r="EX154" s="52">
        <f t="shared" si="156"/>
        <v>3.6078225707156013E-2</v>
      </c>
      <c r="EY154" s="52">
        <f t="shared" si="156"/>
        <v>3.6078225707156013E-2</v>
      </c>
      <c r="EZ154" s="52">
        <f t="shared" si="156"/>
        <v>3.7882136992513825E-2</v>
      </c>
      <c r="FA154" s="52">
        <f t="shared" si="156"/>
        <v>3.7882136992513825E-2</v>
      </c>
      <c r="FB154" s="52">
        <f t="shared" si="156"/>
        <v>3.7882136992513825E-2</v>
      </c>
      <c r="FC154" s="52">
        <f t="shared" si="156"/>
        <v>3.7882136992513825E-2</v>
      </c>
      <c r="FD154" s="52">
        <f t="shared" si="156"/>
        <v>3.7882136992513825E-2</v>
      </c>
      <c r="FE154" s="52">
        <f t="shared" si="156"/>
        <v>3.7882136992513825E-2</v>
      </c>
      <c r="FF154" s="52">
        <f t="shared" si="156"/>
        <v>3.7882136992513825E-2</v>
      </c>
      <c r="FG154" s="52">
        <f t="shared" si="156"/>
        <v>3.7882136992513825E-2</v>
      </c>
      <c r="FH154" s="52">
        <f t="shared" si="156"/>
        <v>3.7882136992513825E-2</v>
      </c>
      <c r="FI154" s="52">
        <f t="shared" si="156"/>
        <v>3.7882136992513825E-2</v>
      </c>
      <c r="FJ154" s="52">
        <f t="shared" si="156"/>
        <v>3.7882136992513825E-2</v>
      </c>
      <c r="FK154" s="52">
        <f t="shared" si="156"/>
        <v>3.7882136992513825E-2</v>
      </c>
      <c r="FL154" s="52">
        <f t="shared" si="156"/>
        <v>3.9776243842139514E-2</v>
      </c>
      <c r="FM154" s="52">
        <f t="shared" si="156"/>
        <v>3.9776243842139514E-2</v>
      </c>
      <c r="FN154" s="52">
        <f t="shared" si="156"/>
        <v>3.9776243842139514E-2</v>
      </c>
      <c r="FO154" s="52">
        <f t="shared" si="156"/>
        <v>3.9776243842139514E-2</v>
      </c>
      <c r="FP154" s="52">
        <f t="shared" si="156"/>
        <v>3.9776243842139514E-2</v>
      </c>
      <c r="FQ154" s="52">
        <f t="shared" si="156"/>
        <v>3.9776243842139514E-2</v>
      </c>
      <c r="FR154" s="52">
        <f t="shared" si="156"/>
        <v>3.9776243842139514E-2</v>
      </c>
      <c r="FS154" s="52">
        <f t="shared" si="156"/>
        <v>3.9776243842139514E-2</v>
      </c>
      <c r="FT154" s="52">
        <f t="shared" si="156"/>
        <v>3.9776243842139514E-2</v>
      </c>
      <c r="FU154" s="52">
        <f t="shared" si="156"/>
        <v>3.9776243842139514E-2</v>
      </c>
      <c r="FV154" s="52">
        <f t="shared" si="156"/>
        <v>3.9776243842139514E-2</v>
      </c>
      <c r="FW154" s="52">
        <f t="shared" si="156"/>
        <v>3.9776243842139514E-2</v>
      </c>
      <c r="FX154" s="52">
        <f t="shared" si="156"/>
        <v>4.1765056034246489E-2</v>
      </c>
      <c r="FY154" s="52">
        <f t="shared" si="156"/>
        <v>4.1765056034246489E-2</v>
      </c>
      <c r="FZ154" s="52">
        <f t="shared" si="156"/>
        <v>4.1765056034246489E-2</v>
      </c>
      <c r="GA154" s="52">
        <f t="shared" si="156"/>
        <v>4.1765056034246489E-2</v>
      </c>
      <c r="GB154" s="52">
        <f t="shared" si="156"/>
        <v>4.1765056034246489E-2</v>
      </c>
      <c r="GC154" s="52">
        <f t="shared" si="156"/>
        <v>4.1765056034246489E-2</v>
      </c>
      <c r="GD154" s="52">
        <f t="shared" si="156"/>
        <v>4.1765056034246489E-2</v>
      </c>
      <c r="GE154" s="52">
        <f t="shared" si="156"/>
        <v>4.1765056034246489E-2</v>
      </c>
      <c r="GF154" s="52">
        <f t="shared" si="156"/>
        <v>4.1765056034246489E-2</v>
      </c>
      <c r="GG154" s="52">
        <f t="shared" si="156"/>
        <v>4.1765056034246489E-2</v>
      </c>
      <c r="GH154" s="52">
        <f t="shared" si="156"/>
        <v>4.1765056034246489E-2</v>
      </c>
      <c r="GI154" s="52">
        <f t="shared" si="156"/>
        <v>4.1765056034246489E-2</v>
      </c>
      <c r="GJ154" s="52">
        <f t="shared" si="156"/>
        <v>4.385330883595881E-2</v>
      </c>
      <c r="GK154" s="52">
        <f t="shared" si="156"/>
        <v>4.385330883595881E-2</v>
      </c>
      <c r="GL154" s="52">
        <f t="shared" si="156"/>
        <v>4.385330883595881E-2</v>
      </c>
      <c r="GM154" s="52">
        <f t="shared" si="156"/>
        <v>4.385330883595881E-2</v>
      </c>
      <c r="GN154" s="52">
        <f t="shared" ref="GN154:IY154" si="157">GN152*$C$15</f>
        <v>4.385330883595881E-2</v>
      </c>
      <c r="GO154" s="52">
        <f t="shared" si="157"/>
        <v>4.385330883595881E-2</v>
      </c>
      <c r="GP154" s="52">
        <f t="shared" si="157"/>
        <v>4.385330883595881E-2</v>
      </c>
      <c r="GQ154" s="52">
        <f t="shared" si="157"/>
        <v>4.385330883595881E-2</v>
      </c>
      <c r="GR154" s="52">
        <f t="shared" si="157"/>
        <v>4.385330883595881E-2</v>
      </c>
      <c r="GS154" s="52">
        <f t="shared" si="157"/>
        <v>4.385330883595881E-2</v>
      </c>
      <c r="GT154" s="52">
        <f t="shared" si="157"/>
        <v>4.385330883595881E-2</v>
      </c>
      <c r="GU154" s="52">
        <f t="shared" si="157"/>
        <v>4.385330883595881E-2</v>
      </c>
      <c r="GV154" s="52">
        <f t="shared" si="157"/>
        <v>4.6045974277756765E-2</v>
      </c>
      <c r="GW154" s="52">
        <f t="shared" si="157"/>
        <v>4.6045974277756765E-2</v>
      </c>
      <c r="GX154" s="52">
        <f t="shared" si="157"/>
        <v>4.6045974277756765E-2</v>
      </c>
      <c r="GY154" s="52">
        <f t="shared" si="157"/>
        <v>4.6045974277756765E-2</v>
      </c>
      <c r="GZ154" s="52">
        <f t="shared" si="157"/>
        <v>4.6045974277756765E-2</v>
      </c>
      <c r="HA154" s="52">
        <f t="shared" si="157"/>
        <v>4.6045974277756765E-2</v>
      </c>
      <c r="HB154" s="52">
        <f t="shared" si="157"/>
        <v>4.6045974277756765E-2</v>
      </c>
      <c r="HC154" s="52">
        <f t="shared" si="157"/>
        <v>4.6045974277756765E-2</v>
      </c>
      <c r="HD154" s="52">
        <f t="shared" si="157"/>
        <v>4.6045974277756765E-2</v>
      </c>
      <c r="HE154" s="52">
        <f t="shared" si="157"/>
        <v>4.6045974277756765E-2</v>
      </c>
      <c r="HF154" s="52">
        <f t="shared" si="157"/>
        <v>4.6045974277756765E-2</v>
      </c>
      <c r="HG154" s="52">
        <f t="shared" si="157"/>
        <v>4.6045974277756765E-2</v>
      </c>
      <c r="HH154" s="52">
        <f t="shared" si="157"/>
        <v>4.8348272991644597E-2</v>
      </c>
      <c r="HI154" s="52">
        <f t="shared" si="157"/>
        <v>4.8348272991644597E-2</v>
      </c>
      <c r="HJ154" s="52">
        <f t="shared" si="157"/>
        <v>4.8348272991644597E-2</v>
      </c>
      <c r="HK154" s="52">
        <f t="shared" si="157"/>
        <v>4.8348272991644597E-2</v>
      </c>
      <c r="HL154" s="52">
        <f t="shared" si="157"/>
        <v>4.8348272991644597E-2</v>
      </c>
      <c r="HM154" s="52">
        <f t="shared" si="157"/>
        <v>4.8348272991644597E-2</v>
      </c>
      <c r="HN154" s="52">
        <f t="shared" si="157"/>
        <v>4.8348272991644597E-2</v>
      </c>
      <c r="HO154" s="52">
        <f t="shared" si="157"/>
        <v>4.8348272991644597E-2</v>
      </c>
      <c r="HP154" s="52">
        <f t="shared" si="157"/>
        <v>4.8348272991644597E-2</v>
      </c>
      <c r="HQ154" s="52">
        <f t="shared" si="157"/>
        <v>4.8348272991644597E-2</v>
      </c>
      <c r="HR154" s="52">
        <f t="shared" si="157"/>
        <v>4.8348272991644597E-2</v>
      </c>
      <c r="HS154" s="52">
        <f t="shared" si="157"/>
        <v>4.8348272991644597E-2</v>
      </c>
      <c r="HT154" s="52">
        <f t="shared" si="157"/>
        <v>5.0765686641226826E-2</v>
      </c>
      <c r="HU154" s="52">
        <f t="shared" si="157"/>
        <v>5.0765686641226826E-2</v>
      </c>
      <c r="HV154" s="52">
        <f t="shared" si="157"/>
        <v>5.0765686641226826E-2</v>
      </c>
      <c r="HW154" s="52">
        <f t="shared" si="157"/>
        <v>5.0765686641226826E-2</v>
      </c>
      <c r="HX154" s="52">
        <f t="shared" si="157"/>
        <v>5.0765686641226826E-2</v>
      </c>
      <c r="HY154" s="52">
        <f t="shared" si="157"/>
        <v>5.0765686641226826E-2</v>
      </c>
      <c r="HZ154" s="52">
        <f t="shared" si="157"/>
        <v>5.0765686641226826E-2</v>
      </c>
      <c r="IA154" s="52">
        <f t="shared" si="157"/>
        <v>5.0765686641226826E-2</v>
      </c>
      <c r="IB154" s="52">
        <f t="shared" si="157"/>
        <v>5.0765686641226826E-2</v>
      </c>
      <c r="IC154" s="52">
        <f t="shared" si="157"/>
        <v>5.0765686641226826E-2</v>
      </c>
      <c r="ID154" s="52">
        <f t="shared" si="157"/>
        <v>5.0765686641226826E-2</v>
      </c>
      <c r="IE154" s="52">
        <f t="shared" si="157"/>
        <v>5.0765686641226826E-2</v>
      </c>
      <c r="IF154" s="52">
        <f t="shared" si="157"/>
        <v>5.3303970973288178E-2</v>
      </c>
      <c r="IG154" s="52">
        <f t="shared" si="157"/>
        <v>5.3303970973288178E-2</v>
      </c>
      <c r="IH154" s="52">
        <f t="shared" si="157"/>
        <v>5.3303970973288178E-2</v>
      </c>
      <c r="II154" s="52">
        <f t="shared" si="157"/>
        <v>5.3303970973288178E-2</v>
      </c>
      <c r="IJ154" s="52">
        <f t="shared" si="157"/>
        <v>5.3303970973288178E-2</v>
      </c>
      <c r="IK154" s="52">
        <f t="shared" si="157"/>
        <v>5.3303970973288178E-2</v>
      </c>
      <c r="IL154" s="52">
        <f t="shared" si="157"/>
        <v>5.3303970973288178E-2</v>
      </c>
      <c r="IM154" s="52">
        <f t="shared" si="157"/>
        <v>5.3303970973288178E-2</v>
      </c>
      <c r="IN154" s="52">
        <f t="shared" si="157"/>
        <v>5.3303970973288178E-2</v>
      </c>
      <c r="IO154" s="52">
        <f t="shared" si="157"/>
        <v>5.3303970973288178E-2</v>
      </c>
      <c r="IP154" s="52">
        <f t="shared" si="157"/>
        <v>5.3303970973288178E-2</v>
      </c>
      <c r="IQ154" s="52">
        <f t="shared" si="157"/>
        <v>5.3303970973288178E-2</v>
      </c>
      <c r="IR154" s="52">
        <f t="shared" si="157"/>
        <v>5.5969169521952591E-2</v>
      </c>
      <c r="IS154" s="52">
        <f t="shared" si="157"/>
        <v>5.5969169521952591E-2</v>
      </c>
      <c r="IT154" s="52">
        <f t="shared" si="157"/>
        <v>5.5969169521952591E-2</v>
      </c>
      <c r="IU154" s="52">
        <f t="shared" si="157"/>
        <v>5.5969169521952591E-2</v>
      </c>
      <c r="IV154" s="52">
        <f t="shared" si="157"/>
        <v>5.5969169521952591E-2</v>
      </c>
      <c r="IW154" s="52">
        <f t="shared" si="157"/>
        <v>5.5969169521952591E-2</v>
      </c>
      <c r="IX154" s="52">
        <f t="shared" si="157"/>
        <v>2.6032171870675625E-3</v>
      </c>
      <c r="IY154" s="52">
        <f t="shared" si="157"/>
        <v>2.6032171870675625E-3</v>
      </c>
      <c r="IZ154" s="52">
        <f t="shared" ref="IZ154:JI154" si="158">IZ152*$C$15</f>
        <v>2.6032171870675625E-3</v>
      </c>
      <c r="JA154" s="52">
        <f t="shared" si="158"/>
        <v>2.6032171870675625E-3</v>
      </c>
      <c r="JB154" s="52">
        <f t="shared" si="158"/>
        <v>2.6032171870675625E-3</v>
      </c>
      <c r="JC154" s="52">
        <f t="shared" si="158"/>
        <v>2.6032171870675625E-3</v>
      </c>
      <c r="JD154" s="52">
        <f t="shared" si="158"/>
        <v>2.7333780464209407E-3</v>
      </c>
      <c r="JE154" s="52">
        <f t="shared" si="158"/>
        <v>2.7333780464209407E-3</v>
      </c>
      <c r="JF154" s="52">
        <f t="shared" si="158"/>
        <v>2.7333780464209407E-3</v>
      </c>
      <c r="JG154" s="52">
        <f t="shared" si="158"/>
        <v>2.7333780464209407E-3</v>
      </c>
      <c r="JH154" s="52">
        <f t="shared" si="158"/>
        <v>2.7333780464209407E-3</v>
      </c>
      <c r="JI154" s="52">
        <f t="shared" si="158"/>
        <v>2.7333780464209407E-3</v>
      </c>
      <c r="JJ154" s="539">
        <f>SUM(C154:JI154)</f>
        <v>8.4846990515953351</v>
      </c>
      <c r="JK154" s="52"/>
      <c r="JL154" s="52"/>
      <c r="JM154" s="52"/>
      <c r="JN154" s="52"/>
      <c r="JO154" s="52"/>
    </row>
    <row r="155" spans="2:276" x14ac:dyDescent="0.3">
      <c r="B155" s="163" t="s">
        <v>299</v>
      </c>
      <c r="C155" s="190">
        <f>C152-SUM(C153:C154)</f>
        <v>0</v>
      </c>
      <c r="D155" s="190">
        <f t="shared" ref="D155:BO155" si="159">D152-SUM(D153:D154)</f>
        <v>0</v>
      </c>
      <c r="E155" s="190">
        <f t="shared" si="159"/>
        <v>0</v>
      </c>
      <c r="F155" s="190">
        <f t="shared" si="159"/>
        <v>0</v>
      </c>
      <c r="G155" s="190">
        <f t="shared" si="159"/>
        <v>0</v>
      </c>
      <c r="H155" s="190">
        <f t="shared" si="159"/>
        <v>0</v>
      </c>
      <c r="I155" s="190">
        <f t="shared" si="159"/>
        <v>0</v>
      </c>
      <c r="J155" s="190">
        <f t="shared" si="159"/>
        <v>0</v>
      </c>
      <c r="K155" s="190">
        <f t="shared" si="159"/>
        <v>0</v>
      </c>
      <c r="L155" s="190">
        <f t="shared" si="159"/>
        <v>0</v>
      </c>
      <c r="M155" s="190">
        <f t="shared" si="159"/>
        <v>0</v>
      </c>
      <c r="N155" s="190">
        <f t="shared" si="159"/>
        <v>0</v>
      </c>
      <c r="O155" s="190">
        <f t="shared" si="159"/>
        <v>0</v>
      </c>
      <c r="P155" s="190">
        <f t="shared" si="159"/>
        <v>0</v>
      </c>
      <c r="Q155" s="190">
        <f t="shared" si="159"/>
        <v>0</v>
      </c>
      <c r="R155" s="190">
        <f t="shared" si="159"/>
        <v>0</v>
      </c>
      <c r="S155" s="190">
        <f t="shared" si="159"/>
        <v>0</v>
      </c>
      <c r="T155" s="190">
        <f t="shared" si="159"/>
        <v>0</v>
      </c>
      <c r="U155" s="190">
        <f t="shared" si="159"/>
        <v>0</v>
      </c>
      <c r="V155" s="190">
        <f t="shared" si="159"/>
        <v>0</v>
      </c>
      <c r="W155" s="190">
        <f t="shared" si="159"/>
        <v>0</v>
      </c>
      <c r="X155" s="190">
        <f t="shared" si="159"/>
        <v>0.39868021666544406</v>
      </c>
      <c r="Y155" s="190">
        <f t="shared" si="159"/>
        <v>0.39868021666544406</v>
      </c>
      <c r="Z155" s="190">
        <f t="shared" si="159"/>
        <v>0.39868021666544406</v>
      </c>
      <c r="AA155" s="190">
        <f t="shared" si="159"/>
        <v>0.39868021666544406</v>
      </c>
      <c r="AB155" s="190">
        <f t="shared" si="159"/>
        <v>0.39868021666544406</v>
      </c>
      <c r="AC155" s="190">
        <f t="shared" si="159"/>
        <v>0.39868021666544406</v>
      </c>
      <c r="AD155" s="190">
        <f t="shared" si="159"/>
        <v>0.39868021666544406</v>
      </c>
      <c r="AE155" s="190">
        <f t="shared" si="159"/>
        <v>0.39868021666544406</v>
      </c>
      <c r="AF155" s="190">
        <f t="shared" si="159"/>
        <v>0.39868021666544406</v>
      </c>
      <c r="AG155" s="190">
        <f t="shared" si="159"/>
        <v>0.39868021666544406</v>
      </c>
      <c r="AH155" s="190">
        <f t="shared" si="159"/>
        <v>0.39868021666544406</v>
      </c>
      <c r="AI155" s="190">
        <f t="shared" si="159"/>
        <v>0.39868021666544406</v>
      </c>
      <c r="AJ155" s="190">
        <f t="shared" si="159"/>
        <v>0.41861422749871624</v>
      </c>
      <c r="AK155" s="190">
        <f t="shared" si="159"/>
        <v>0.41861422749871624</v>
      </c>
      <c r="AL155" s="190">
        <f t="shared" si="159"/>
        <v>0.41861422749871624</v>
      </c>
      <c r="AM155" s="190">
        <f t="shared" si="159"/>
        <v>0.41861422749871624</v>
      </c>
      <c r="AN155" s="190">
        <f t="shared" si="159"/>
        <v>0.41861422749871624</v>
      </c>
      <c r="AO155" s="190">
        <f t="shared" si="159"/>
        <v>0.41861422749871624</v>
      </c>
      <c r="AP155" s="190">
        <f t="shared" si="159"/>
        <v>0.41861422749871624</v>
      </c>
      <c r="AQ155" s="190">
        <f t="shared" si="159"/>
        <v>0.41861422749871624</v>
      </c>
      <c r="AR155" s="190">
        <f t="shared" si="159"/>
        <v>0.41861422749871624</v>
      </c>
      <c r="AS155" s="190">
        <f t="shared" si="159"/>
        <v>0.41861422749871624</v>
      </c>
      <c r="AT155" s="190">
        <f t="shared" si="159"/>
        <v>0.41861422749871624</v>
      </c>
      <c r="AU155" s="190">
        <f t="shared" si="159"/>
        <v>0.41861422749871624</v>
      </c>
      <c r="AV155" s="190">
        <f t="shared" si="159"/>
        <v>0.43954493887365209</v>
      </c>
      <c r="AW155" s="190">
        <f t="shared" si="159"/>
        <v>0.43954493887365209</v>
      </c>
      <c r="AX155" s="190">
        <f t="shared" si="159"/>
        <v>0.43954493887365209</v>
      </c>
      <c r="AY155" s="190">
        <f t="shared" si="159"/>
        <v>0.43954493887365209</v>
      </c>
      <c r="AZ155" s="190">
        <f t="shared" si="159"/>
        <v>0.43954493887365209</v>
      </c>
      <c r="BA155" s="190">
        <f t="shared" si="159"/>
        <v>0.43954493887365209</v>
      </c>
      <c r="BB155" s="190">
        <f t="shared" si="159"/>
        <v>0.43954493887365209</v>
      </c>
      <c r="BC155" s="190">
        <f t="shared" si="159"/>
        <v>0.43954493887365209</v>
      </c>
      <c r="BD155" s="190">
        <f t="shared" si="159"/>
        <v>0.43954493887365209</v>
      </c>
      <c r="BE155" s="190">
        <f t="shared" si="159"/>
        <v>0.43954493887365209</v>
      </c>
      <c r="BF155" s="190">
        <f t="shared" si="159"/>
        <v>0.43954493887365209</v>
      </c>
      <c r="BG155" s="190">
        <f t="shared" si="159"/>
        <v>0.43954493887365209</v>
      </c>
      <c r="BH155" s="190">
        <f t="shared" si="159"/>
        <v>0.46152218581733467</v>
      </c>
      <c r="BI155" s="190">
        <f t="shared" si="159"/>
        <v>0.46152218581733467</v>
      </c>
      <c r="BJ155" s="190">
        <f t="shared" si="159"/>
        <v>0.46152218581733467</v>
      </c>
      <c r="BK155" s="190">
        <f t="shared" si="159"/>
        <v>0.46152218581733467</v>
      </c>
      <c r="BL155" s="190">
        <f t="shared" si="159"/>
        <v>0.46152218581733467</v>
      </c>
      <c r="BM155" s="190">
        <f t="shared" si="159"/>
        <v>0.46152218581733467</v>
      </c>
      <c r="BN155" s="190">
        <f t="shared" si="159"/>
        <v>0.46152218581733467</v>
      </c>
      <c r="BO155" s="190">
        <f t="shared" si="159"/>
        <v>0.46152218581733467</v>
      </c>
      <c r="BP155" s="190">
        <f t="shared" ref="BP155:EA155" si="160">BP152-SUM(BP153:BP154)</f>
        <v>0.46152218581733467</v>
      </c>
      <c r="BQ155" s="190">
        <f t="shared" si="160"/>
        <v>0.46152218581733467</v>
      </c>
      <c r="BR155" s="190">
        <f t="shared" si="160"/>
        <v>0.46152218581733467</v>
      </c>
      <c r="BS155" s="190">
        <f t="shared" si="160"/>
        <v>0.46152218581733467</v>
      </c>
      <c r="BT155" s="190">
        <f t="shared" si="160"/>
        <v>0.4845982951082014</v>
      </c>
      <c r="BU155" s="190">
        <f t="shared" si="160"/>
        <v>0.4845982951082014</v>
      </c>
      <c r="BV155" s="190">
        <f t="shared" si="160"/>
        <v>0.4845982951082014</v>
      </c>
      <c r="BW155" s="190">
        <f t="shared" si="160"/>
        <v>0.4845982951082014</v>
      </c>
      <c r="BX155" s="190">
        <f t="shared" si="160"/>
        <v>0.4845982951082014</v>
      </c>
      <c r="BY155" s="190">
        <f t="shared" si="160"/>
        <v>0.4845982951082014</v>
      </c>
      <c r="BZ155" s="190">
        <f t="shared" si="160"/>
        <v>0.4845982951082014</v>
      </c>
      <c r="CA155" s="190">
        <f t="shared" si="160"/>
        <v>0.4845982951082014</v>
      </c>
      <c r="CB155" s="190">
        <f t="shared" si="160"/>
        <v>0.4845982951082014</v>
      </c>
      <c r="CC155" s="190">
        <f t="shared" si="160"/>
        <v>0.4845982951082014</v>
      </c>
      <c r="CD155" s="190">
        <f t="shared" si="160"/>
        <v>0.4845982951082014</v>
      </c>
      <c r="CE155" s="190">
        <f t="shared" si="160"/>
        <v>0.4845982951082014</v>
      </c>
      <c r="CF155" s="190">
        <f t="shared" si="160"/>
        <v>0.50882820986361144</v>
      </c>
      <c r="CG155" s="190">
        <f t="shared" si="160"/>
        <v>0.50882820986361144</v>
      </c>
      <c r="CH155" s="190">
        <f t="shared" si="160"/>
        <v>0.50882820986361144</v>
      </c>
      <c r="CI155" s="190">
        <f t="shared" si="160"/>
        <v>0.50882820986361144</v>
      </c>
      <c r="CJ155" s="190">
        <f t="shared" si="160"/>
        <v>0.50882820986361144</v>
      </c>
      <c r="CK155" s="190">
        <f t="shared" si="160"/>
        <v>0.50882820986361144</v>
      </c>
      <c r="CL155" s="190">
        <f t="shared" si="160"/>
        <v>0.50882820986361144</v>
      </c>
      <c r="CM155" s="190">
        <f t="shared" si="160"/>
        <v>0.50882820986361144</v>
      </c>
      <c r="CN155" s="190">
        <f t="shared" si="160"/>
        <v>0.50882820986361144</v>
      </c>
      <c r="CO155" s="190">
        <f t="shared" si="160"/>
        <v>0.50882820986361144</v>
      </c>
      <c r="CP155" s="190">
        <f t="shared" si="160"/>
        <v>0.50882820986361144</v>
      </c>
      <c r="CQ155" s="190">
        <f t="shared" si="160"/>
        <v>0.50882820986361144</v>
      </c>
      <c r="CR155" s="190">
        <f t="shared" si="160"/>
        <v>0.53426962035679215</v>
      </c>
      <c r="CS155" s="190">
        <f t="shared" si="160"/>
        <v>0.53426962035679215</v>
      </c>
      <c r="CT155" s="190">
        <f t="shared" si="160"/>
        <v>0.53426962035679215</v>
      </c>
      <c r="CU155" s="190">
        <f t="shared" si="160"/>
        <v>0.53426962035679215</v>
      </c>
      <c r="CV155" s="190">
        <f t="shared" si="160"/>
        <v>0.53426962035679215</v>
      </c>
      <c r="CW155" s="190">
        <f t="shared" si="160"/>
        <v>0.53426962035679215</v>
      </c>
      <c r="CX155" s="190">
        <f t="shared" si="160"/>
        <v>0.53426962035679215</v>
      </c>
      <c r="CY155" s="190">
        <f t="shared" si="160"/>
        <v>0.53426962035679215</v>
      </c>
      <c r="CZ155" s="190">
        <f t="shared" si="160"/>
        <v>0.53426962035679215</v>
      </c>
      <c r="DA155" s="190">
        <f t="shared" si="160"/>
        <v>0.53426962035679215</v>
      </c>
      <c r="DB155" s="190">
        <f t="shared" si="160"/>
        <v>0.53426962035679215</v>
      </c>
      <c r="DC155" s="190">
        <f t="shared" si="160"/>
        <v>0.53426962035679215</v>
      </c>
      <c r="DD155" s="190">
        <f t="shared" si="160"/>
        <v>0.5609831013746317</v>
      </c>
      <c r="DE155" s="190">
        <f t="shared" si="160"/>
        <v>0.5609831013746317</v>
      </c>
      <c r="DF155" s="190">
        <f t="shared" si="160"/>
        <v>0.5609831013746317</v>
      </c>
      <c r="DG155" s="190">
        <f t="shared" si="160"/>
        <v>0.5609831013746317</v>
      </c>
      <c r="DH155" s="190">
        <f t="shared" si="160"/>
        <v>0.5609831013746317</v>
      </c>
      <c r="DI155" s="190">
        <f t="shared" si="160"/>
        <v>0.5609831013746317</v>
      </c>
      <c r="DJ155" s="190">
        <f t="shared" si="160"/>
        <v>0.5609831013746317</v>
      </c>
      <c r="DK155" s="190">
        <f t="shared" si="160"/>
        <v>0.5609831013746317</v>
      </c>
      <c r="DL155" s="190">
        <f t="shared" si="160"/>
        <v>0.5609831013746317</v>
      </c>
      <c r="DM155" s="190">
        <f t="shared" si="160"/>
        <v>0.5609831013746317</v>
      </c>
      <c r="DN155" s="190">
        <f t="shared" si="160"/>
        <v>0.5609831013746317</v>
      </c>
      <c r="DO155" s="190">
        <f t="shared" si="160"/>
        <v>0.5609831013746317</v>
      </c>
      <c r="DP155" s="190">
        <f t="shared" si="160"/>
        <v>0.58903225644336332</v>
      </c>
      <c r="DQ155" s="190">
        <f t="shared" si="160"/>
        <v>0.58903225644336332</v>
      </c>
      <c r="DR155" s="190">
        <f t="shared" si="160"/>
        <v>0.58903225644336332</v>
      </c>
      <c r="DS155" s="190">
        <f t="shared" si="160"/>
        <v>0.58903225644336332</v>
      </c>
      <c r="DT155" s="190">
        <f t="shared" si="160"/>
        <v>0.58903225644336332</v>
      </c>
      <c r="DU155" s="190">
        <f t="shared" si="160"/>
        <v>0.58903225644336332</v>
      </c>
      <c r="DV155" s="190">
        <f t="shared" si="160"/>
        <v>0.58903225644336332</v>
      </c>
      <c r="DW155" s="190">
        <f t="shared" si="160"/>
        <v>0.58903225644336332</v>
      </c>
      <c r="DX155" s="190">
        <f t="shared" si="160"/>
        <v>0.58903225644336332</v>
      </c>
      <c r="DY155" s="190">
        <f t="shared" si="160"/>
        <v>0.58903225644336332</v>
      </c>
      <c r="DZ155" s="190">
        <f t="shared" si="160"/>
        <v>0.58903225644336332</v>
      </c>
      <c r="EA155" s="190">
        <f t="shared" si="160"/>
        <v>0.58903225644336332</v>
      </c>
      <c r="EB155" s="190">
        <f t="shared" ref="EB155:GM155" si="161">EB152-SUM(EB153:EB154)</f>
        <v>0.61848386926553156</v>
      </c>
      <c r="EC155" s="190">
        <f t="shared" si="161"/>
        <v>0.61848386926553156</v>
      </c>
      <c r="ED155" s="190">
        <f t="shared" si="161"/>
        <v>0.61848386926553156</v>
      </c>
      <c r="EE155" s="190">
        <f t="shared" si="161"/>
        <v>0.61848386926553156</v>
      </c>
      <c r="EF155" s="190">
        <f t="shared" si="161"/>
        <v>0.61848386926553156</v>
      </c>
      <c r="EG155" s="190">
        <f t="shared" si="161"/>
        <v>0.61848386926553156</v>
      </c>
      <c r="EH155" s="190">
        <f t="shared" si="161"/>
        <v>0.61848386926553156</v>
      </c>
      <c r="EI155" s="190">
        <f t="shared" si="161"/>
        <v>0.61848386926553156</v>
      </c>
      <c r="EJ155" s="190">
        <f t="shared" si="161"/>
        <v>0.61848386926553156</v>
      </c>
      <c r="EK155" s="190">
        <f t="shared" si="161"/>
        <v>0.61848386926553156</v>
      </c>
      <c r="EL155" s="190">
        <f t="shared" si="161"/>
        <v>0.61848386926553156</v>
      </c>
      <c r="EM155" s="190">
        <f t="shared" si="161"/>
        <v>0.61848386926553156</v>
      </c>
      <c r="EN155" s="190">
        <f t="shared" si="161"/>
        <v>0.64940806272880824</v>
      </c>
      <c r="EO155" s="190">
        <f t="shared" si="161"/>
        <v>0.64940806272880824</v>
      </c>
      <c r="EP155" s="190">
        <f t="shared" si="161"/>
        <v>0.64940806272880824</v>
      </c>
      <c r="EQ155" s="190">
        <f t="shared" si="161"/>
        <v>0.64940806272880824</v>
      </c>
      <c r="ER155" s="190">
        <f t="shared" si="161"/>
        <v>0.64940806272880824</v>
      </c>
      <c r="ES155" s="190">
        <f t="shared" si="161"/>
        <v>0.64940806272880824</v>
      </c>
      <c r="ET155" s="190">
        <f t="shared" si="161"/>
        <v>0.64940806272880824</v>
      </c>
      <c r="EU155" s="190">
        <f t="shared" si="161"/>
        <v>0.64940806272880824</v>
      </c>
      <c r="EV155" s="190">
        <f t="shared" si="161"/>
        <v>0.64940806272880824</v>
      </c>
      <c r="EW155" s="190">
        <f t="shared" si="161"/>
        <v>0.64940806272880824</v>
      </c>
      <c r="EX155" s="190">
        <f t="shared" si="161"/>
        <v>0.64940806272880824</v>
      </c>
      <c r="EY155" s="190">
        <f t="shared" si="161"/>
        <v>0.64940806272880824</v>
      </c>
      <c r="EZ155" s="190">
        <f t="shared" si="161"/>
        <v>0.68187846586524881</v>
      </c>
      <c r="FA155" s="190">
        <f t="shared" si="161"/>
        <v>0.68187846586524881</v>
      </c>
      <c r="FB155" s="190">
        <f t="shared" si="161"/>
        <v>0.68187846586524881</v>
      </c>
      <c r="FC155" s="190">
        <f t="shared" si="161"/>
        <v>0.68187846586524881</v>
      </c>
      <c r="FD155" s="190">
        <f t="shared" si="161"/>
        <v>0.68187846586524881</v>
      </c>
      <c r="FE155" s="190">
        <f t="shared" si="161"/>
        <v>0.68187846586524881</v>
      </c>
      <c r="FF155" s="190">
        <f t="shared" si="161"/>
        <v>0.68187846586524881</v>
      </c>
      <c r="FG155" s="190">
        <f t="shared" si="161"/>
        <v>0.68187846586524881</v>
      </c>
      <c r="FH155" s="190">
        <f t="shared" si="161"/>
        <v>0.68187846586524881</v>
      </c>
      <c r="FI155" s="190">
        <f t="shared" si="161"/>
        <v>0.68187846586524881</v>
      </c>
      <c r="FJ155" s="190">
        <f t="shared" si="161"/>
        <v>0.68187846586524881</v>
      </c>
      <c r="FK155" s="190">
        <f t="shared" si="161"/>
        <v>0.68187846586524881</v>
      </c>
      <c r="FL155" s="190">
        <f t="shared" si="161"/>
        <v>0.71597238915851114</v>
      </c>
      <c r="FM155" s="190">
        <f t="shared" si="161"/>
        <v>0.71597238915851114</v>
      </c>
      <c r="FN155" s="190">
        <f t="shared" si="161"/>
        <v>0.71597238915851114</v>
      </c>
      <c r="FO155" s="190">
        <f t="shared" si="161"/>
        <v>0.71597238915851114</v>
      </c>
      <c r="FP155" s="190">
        <f t="shared" si="161"/>
        <v>0.71597238915851114</v>
      </c>
      <c r="FQ155" s="190">
        <f t="shared" si="161"/>
        <v>0.71597238915851114</v>
      </c>
      <c r="FR155" s="190">
        <f t="shared" si="161"/>
        <v>0.71597238915851114</v>
      </c>
      <c r="FS155" s="190">
        <f t="shared" si="161"/>
        <v>0.71597238915851114</v>
      </c>
      <c r="FT155" s="190">
        <f t="shared" si="161"/>
        <v>0.71597238915851114</v>
      </c>
      <c r="FU155" s="190">
        <f t="shared" si="161"/>
        <v>0.71597238915851114</v>
      </c>
      <c r="FV155" s="190">
        <f t="shared" si="161"/>
        <v>0.71597238915851114</v>
      </c>
      <c r="FW155" s="190">
        <f t="shared" si="161"/>
        <v>0.71597238915851114</v>
      </c>
      <c r="FX155" s="190">
        <f t="shared" si="161"/>
        <v>0.75177100861643664</v>
      </c>
      <c r="FY155" s="190">
        <f t="shared" si="161"/>
        <v>0.75177100861643664</v>
      </c>
      <c r="FZ155" s="190">
        <f t="shared" si="161"/>
        <v>0.75177100861643664</v>
      </c>
      <c r="GA155" s="190">
        <f t="shared" si="161"/>
        <v>0.75177100861643664</v>
      </c>
      <c r="GB155" s="190">
        <f t="shared" si="161"/>
        <v>0.75177100861643664</v>
      </c>
      <c r="GC155" s="190">
        <f t="shared" si="161"/>
        <v>0.75177100861643664</v>
      </c>
      <c r="GD155" s="190">
        <f t="shared" si="161"/>
        <v>0.75177100861643664</v>
      </c>
      <c r="GE155" s="190">
        <f t="shared" si="161"/>
        <v>0.75177100861643664</v>
      </c>
      <c r="GF155" s="190">
        <f t="shared" si="161"/>
        <v>0.75177100861643664</v>
      </c>
      <c r="GG155" s="190">
        <f t="shared" si="161"/>
        <v>0.75177100861643664</v>
      </c>
      <c r="GH155" s="190">
        <f t="shared" si="161"/>
        <v>0.75177100861643664</v>
      </c>
      <c r="GI155" s="190">
        <f t="shared" si="161"/>
        <v>0.75177100861643664</v>
      </c>
      <c r="GJ155" s="190">
        <f t="shared" si="161"/>
        <v>0.78935955904725863</v>
      </c>
      <c r="GK155" s="190">
        <f t="shared" si="161"/>
        <v>0.78935955904725863</v>
      </c>
      <c r="GL155" s="190">
        <f t="shared" si="161"/>
        <v>0.78935955904725863</v>
      </c>
      <c r="GM155" s="190">
        <f t="shared" si="161"/>
        <v>0.78935955904725863</v>
      </c>
      <c r="GN155" s="190">
        <f t="shared" ref="GN155:IY155" si="162">GN152-SUM(GN153:GN154)</f>
        <v>0.78935955904725863</v>
      </c>
      <c r="GO155" s="190">
        <f t="shared" si="162"/>
        <v>0.78935955904725863</v>
      </c>
      <c r="GP155" s="190">
        <f t="shared" si="162"/>
        <v>0.78935955904725863</v>
      </c>
      <c r="GQ155" s="190">
        <f t="shared" si="162"/>
        <v>0.78935955904725863</v>
      </c>
      <c r="GR155" s="190">
        <f t="shared" si="162"/>
        <v>0.78935955904725863</v>
      </c>
      <c r="GS155" s="190">
        <f t="shared" si="162"/>
        <v>0.78935955904725863</v>
      </c>
      <c r="GT155" s="190">
        <f t="shared" si="162"/>
        <v>0.78935955904725863</v>
      </c>
      <c r="GU155" s="190">
        <f t="shared" si="162"/>
        <v>0.78935955904725863</v>
      </c>
      <c r="GV155" s="190">
        <f t="shared" si="162"/>
        <v>0.82882753699962175</v>
      </c>
      <c r="GW155" s="190">
        <f t="shared" si="162"/>
        <v>0.82882753699962175</v>
      </c>
      <c r="GX155" s="190">
        <f t="shared" si="162"/>
        <v>0.82882753699962175</v>
      </c>
      <c r="GY155" s="190">
        <f t="shared" si="162"/>
        <v>0.82882753699962175</v>
      </c>
      <c r="GZ155" s="190">
        <f t="shared" si="162"/>
        <v>0.82882753699962175</v>
      </c>
      <c r="HA155" s="190">
        <f t="shared" si="162"/>
        <v>0.82882753699962175</v>
      </c>
      <c r="HB155" s="190">
        <f t="shared" si="162"/>
        <v>0.82882753699962175</v>
      </c>
      <c r="HC155" s="190">
        <f t="shared" si="162"/>
        <v>0.82882753699962175</v>
      </c>
      <c r="HD155" s="190">
        <f t="shared" si="162"/>
        <v>0.82882753699962175</v>
      </c>
      <c r="HE155" s="190">
        <f t="shared" si="162"/>
        <v>0.82882753699962175</v>
      </c>
      <c r="HF155" s="190">
        <f t="shared" si="162"/>
        <v>0.82882753699962175</v>
      </c>
      <c r="HG155" s="190">
        <f t="shared" si="162"/>
        <v>0.82882753699962175</v>
      </c>
      <c r="HH155" s="190">
        <f t="shared" si="162"/>
        <v>0.8702689138496027</v>
      </c>
      <c r="HI155" s="190">
        <f t="shared" si="162"/>
        <v>0.8702689138496027</v>
      </c>
      <c r="HJ155" s="190">
        <f t="shared" si="162"/>
        <v>0.8702689138496027</v>
      </c>
      <c r="HK155" s="190">
        <f t="shared" si="162"/>
        <v>0.8702689138496027</v>
      </c>
      <c r="HL155" s="190">
        <f t="shared" si="162"/>
        <v>0.8702689138496027</v>
      </c>
      <c r="HM155" s="190">
        <f t="shared" si="162"/>
        <v>0.8702689138496027</v>
      </c>
      <c r="HN155" s="190">
        <f t="shared" si="162"/>
        <v>0.8702689138496027</v>
      </c>
      <c r="HO155" s="190">
        <f t="shared" si="162"/>
        <v>0.8702689138496027</v>
      </c>
      <c r="HP155" s="190">
        <f t="shared" si="162"/>
        <v>0.8702689138496027</v>
      </c>
      <c r="HQ155" s="190">
        <f t="shared" si="162"/>
        <v>0.8702689138496027</v>
      </c>
      <c r="HR155" s="190">
        <f t="shared" si="162"/>
        <v>0.8702689138496027</v>
      </c>
      <c r="HS155" s="190">
        <f t="shared" si="162"/>
        <v>0.8702689138496027</v>
      </c>
      <c r="HT155" s="190">
        <f t="shared" si="162"/>
        <v>0.91378235954208287</v>
      </c>
      <c r="HU155" s="190">
        <f t="shared" si="162"/>
        <v>0.91378235954208287</v>
      </c>
      <c r="HV155" s="190">
        <f t="shared" si="162"/>
        <v>0.91378235954208287</v>
      </c>
      <c r="HW155" s="190">
        <f t="shared" si="162"/>
        <v>0.91378235954208287</v>
      </c>
      <c r="HX155" s="190">
        <f t="shared" si="162"/>
        <v>0.91378235954208287</v>
      </c>
      <c r="HY155" s="190">
        <f t="shared" si="162"/>
        <v>0.91378235954208287</v>
      </c>
      <c r="HZ155" s="190">
        <f t="shared" si="162"/>
        <v>0.91378235954208287</v>
      </c>
      <c r="IA155" s="190">
        <f t="shared" si="162"/>
        <v>0.91378235954208287</v>
      </c>
      <c r="IB155" s="190">
        <f t="shared" si="162"/>
        <v>0.91378235954208287</v>
      </c>
      <c r="IC155" s="190">
        <f t="shared" si="162"/>
        <v>0.91378235954208287</v>
      </c>
      <c r="ID155" s="190">
        <f t="shared" si="162"/>
        <v>0.91378235954208287</v>
      </c>
      <c r="IE155" s="190">
        <f t="shared" si="162"/>
        <v>0.91378235954208287</v>
      </c>
      <c r="IF155" s="190">
        <f t="shared" si="162"/>
        <v>0.95947147751918704</v>
      </c>
      <c r="IG155" s="190">
        <f t="shared" si="162"/>
        <v>0.95947147751918704</v>
      </c>
      <c r="IH155" s="190">
        <f t="shared" si="162"/>
        <v>0.95947147751918704</v>
      </c>
      <c r="II155" s="190">
        <f t="shared" si="162"/>
        <v>0.95947147751918704</v>
      </c>
      <c r="IJ155" s="190">
        <f t="shared" si="162"/>
        <v>0.95947147751918704</v>
      </c>
      <c r="IK155" s="190">
        <f t="shared" si="162"/>
        <v>0.95947147751918704</v>
      </c>
      <c r="IL155" s="190">
        <f t="shared" si="162"/>
        <v>0.95947147751918704</v>
      </c>
      <c r="IM155" s="190">
        <f t="shared" si="162"/>
        <v>0.95947147751918704</v>
      </c>
      <c r="IN155" s="190">
        <f t="shared" si="162"/>
        <v>0.95947147751918704</v>
      </c>
      <c r="IO155" s="190">
        <f t="shared" si="162"/>
        <v>0.95947147751918704</v>
      </c>
      <c r="IP155" s="190">
        <f t="shared" si="162"/>
        <v>0.95947147751918704</v>
      </c>
      <c r="IQ155" s="190">
        <f t="shared" si="162"/>
        <v>0.95947147751918704</v>
      </c>
      <c r="IR155" s="190">
        <f t="shared" si="162"/>
        <v>1.0074450513951465</v>
      </c>
      <c r="IS155" s="190">
        <f t="shared" si="162"/>
        <v>1.0074450513951465</v>
      </c>
      <c r="IT155" s="190">
        <f t="shared" si="162"/>
        <v>1.0074450513951465</v>
      </c>
      <c r="IU155" s="190">
        <f t="shared" si="162"/>
        <v>1.0074450513951465</v>
      </c>
      <c r="IV155" s="190">
        <f t="shared" si="162"/>
        <v>1.0074450513951465</v>
      </c>
      <c r="IW155" s="190">
        <f t="shared" si="162"/>
        <v>1.0074450513951465</v>
      </c>
      <c r="IX155" s="190">
        <f t="shared" si="162"/>
        <v>4.6857909367216122E-2</v>
      </c>
      <c r="IY155" s="190">
        <f t="shared" si="162"/>
        <v>4.6857909367216122E-2</v>
      </c>
      <c r="IZ155" s="190">
        <f t="shared" ref="IZ155:JI155" si="163">IZ152-SUM(IZ153:IZ154)</f>
        <v>4.6857909367216122E-2</v>
      </c>
      <c r="JA155" s="190">
        <f t="shared" si="163"/>
        <v>4.6857909367216122E-2</v>
      </c>
      <c r="JB155" s="190">
        <f t="shared" si="163"/>
        <v>4.6857909367216122E-2</v>
      </c>
      <c r="JC155" s="190">
        <f t="shared" si="163"/>
        <v>4.6857909367216122E-2</v>
      </c>
      <c r="JD155" s="190">
        <f t="shared" si="163"/>
        <v>4.9200804835576928E-2</v>
      </c>
      <c r="JE155" s="190">
        <f t="shared" si="163"/>
        <v>4.9200804835576928E-2</v>
      </c>
      <c r="JF155" s="190">
        <f t="shared" si="163"/>
        <v>4.9200804835576928E-2</v>
      </c>
      <c r="JG155" s="190">
        <f t="shared" si="163"/>
        <v>4.9200804835576928E-2</v>
      </c>
      <c r="JH155" s="190">
        <f t="shared" si="163"/>
        <v>4.9200804835576928E-2</v>
      </c>
      <c r="JI155" s="190">
        <f t="shared" si="163"/>
        <v>4.9200804835576928E-2</v>
      </c>
      <c r="JJ155" s="558">
        <f>SUM(C155:JI155)</f>
        <v>152.72458292871593</v>
      </c>
      <c r="JK155" s="54"/>
      <c r="JL155" s="54"/>
      <c r="JM155" s="54"/>
      <c r="JN155" s="54"/>
      <c r="JO155" s="54"/>
    </row>
    <row r="158" spans="2:276" ht="14.4" thickBot="1" x14ac:dyDescent="0.35">
      <c r="B158" s="540" t="s">
        <v>429</v>
      </c>
      <c r="C158" s="471"/>
      <c r="D158" s="471"/>
      <c r="E158" s="471"/>
      <c r="F158" s="471"/>
      <c r="G158" s="471"/>
      <c r="H158" s="471"/>
      <c r="I158" s="471"/>
      <c r="J158" s="471"/>
      <c r="K158" s="471"/>
      <c r="L158" s="471"/>
      <c r="M158" s="471"/>
      <c r="N158" s="471"/>
      <c r="O158" s="471"/>
      <c r="P158" s="471"/>
      <c r="Q158" s="471"/>
      <c r="R158" s="471"/>
      <c r="S158" s="471"/>
      <c r="T158" s="471"/>
      <c r="U158" s="471"/>
      <c r="V158" s="471"/>
      <c r="W158" s="471"/>
      <c r="X158" s="471"/>
      <c r="Y158" s="500"/>
    </row>
    <row r="159" spans="2:276" ht="14.4" thickTop="1" x14ac:dyDescent="0.3">
      <c r="B159" s="169"/>
      <c r="C159" s="476">
        <f>C95</f>
        <v>46112</v>
      </c>
      <c r="D159" s="476">
        <f>EOMONTH(C159,12)</f>
        <v>46477</v>
      </c>
      <c r="E159" s="476">
        <f t="shared" ref="E159:Y159" si="164">EOMONTH(D159,12)</f>
        <v>46843</v>
      </c>
      <c r="F159" s="476">
        <f t="shared" si="164"/>
        <v>47208</v>
      </c>
      <c r="G159" s="476">
        <f t="shared" si="164"/>
        <v>47573</v>
      </c>
      <c r="H159" s="476">
        <f t="shared" si="164"/>
        <v>47938</v>
      </c>
      <c r="I159" s="476">
        <f t="shared" si="164"/>
        <v>48304</v>
      </c>
      <c r="J159" s="476">
        <f t="shared" si="164"/>
        <v>48669</v>
      </c>
      <c r="K159" s="476">
        <f t="shared" si="164"/>
        <v>49034</v>
      </c>
      <c r="L159" s="476">
        <f t="shared" si="164"/>
        <v>49399</v>
      </c>
      <c r="M159" s="476">
        <f t="shared" si="164"/>
        <v>49765</v>
      </c>
      <c r="N159" s="476">
        <f t="shared" si="164"/>
        <v>50130</v>
      </c>
      <c r="O159" s="476">
        <f t="shared" si="164"/>
        <v>50495</v>
      </c>
      <c r="P159" s="476">
        <f t="shared" si="164"/>
        <v>50860</v>
      </c>
      <c r="Q159" s="476">
        <f t="shared" si="164"/>
        <v>51226</v>
      </c>
      <c r="R159" s="476">
        <f t="shared" si="164"/>
        <v>51591</v>
      </c>
      <c r="S159" s="476">
        <f t="shared" si="164"/>
        <v>51956</v>
      </c>
      <c r="T159" s="476">
        <f t="shared" si="164"/>
        <v>52321</v>
      </c>
      <c r="U159" s="476">
        <f t="shared" si="164"/>
        <v>52687</v>
      </c>
      <c r="V159" s="476">
        <f t="shared" si="164"/>
        <v>53052</v>
      </c>
      <c r="W159" s="476">
        <f t="shared" si="164"/>
        <v>53417</v>
      </c>
      <c r="X159" s="476">
        <f t="shared" si="164"/>
        <v>53782</v>
      </c>
      <c r="Y159" s="505">
        <f t="shared" si="164"/>
        <v>54148</v>
      </c>
    </row>
    <row r="160" spans="2:276" x14ac:dyDescent="0.3">
      <c r="B160" s="429" t="s">
        <v>299</v>
      </c>
      <c r="C160" s="462">
        <f t="shared" ref="C160:X160" si="165">SUMIFS(155:155,149:149,C159)</f>
        <v>0</v>
      </c>
      <c r="D160" s="462">
        <f t="shared" si="165"/>
        <v>0</v>
      </c>
      <c r="E160" s="462">
        <f t="shared" si="165"/>
        <v>2.3920812999926642</v>
      </c>
      <c r="F160" s="462">
        <f t="shared" si="165"/>
        <v>4.9037666649849623</v>
      </c>
      <c r="G160" s="462">
        <f t="shared" si="165"/>
        <v>5.1489549982342107</v>
      </c>
      <c r="H160" s="462">
        <f t="shared" si="165"/>
        <v>5.4064027481459203</v>
      </c>
      <c r="I160" s="462">
        <f t="shared" si="165"/>
        <v>5.6767228855532155</v>
      </c>
      <c r="J160" s="462">
        <f t="shared" si="165"/>
        <v>5.9605590298308764</v>
      </c>
      <c r="K160" s="462">
        <f t="shared" si="165"/>
        <v>6.25858698132242</v>
      </c>
      <c r="L160" s="462">
        <f t="shared" si="165"/>
        <v>6.5715163303885431</v>
      </c>
      <c r="M160" s="462">
        <f t="shared" si="165"/>
        <v>6.9000921469079683</v>
      </c>
      <c r="N160" s="462">
        <f t="shared" si="165"/>
        <v>7.2450967542533711</v>
      </c>
      <c r="O160" s="462">
        <f t="shared" si="165"/>
        <v>7.6073515919660384</v>
      </c>
      <c r="P160" s="462">
        <f t="shared" si="165"/>
        <v>7.9877191715643425</v>
      </c>
      <c r="Q160" s="462">
        <f t="shared" si="165"/>
        <v>8.3871051301425616</v>
      </c>
      <c r="R160" s="462">
        <f t="shared" si="165"/>
        <v>8.8064603866496896</v>
      </c>
      <c r="S160" s="462">
        <f t="shared" si="165"/>
        <v>9.2467834059821712</v>
      </c>
      <c r="T160" s="462">
        <f t="shared" si="165"/>
        <v>9.7091225762812829</v>
      </c>
      <c r="U160" s="462">
        <f t="shared" si="165"/>
        <v>10.194578705095347</v>
      </c>
      <c r="V160" s="462">
        <f t="shared" si="165"/>
        <v>10.704307640350113</v>
      </c>
      <c r="W160" s="462">
        <f t="shared" si="165"/>
        <v>11.239523022367621</v>
      </c>
      <c r="X160" s="462">
        <f t="shared" si="165"/>
        <v>11.801499173486002</v>
      </c>
      <c r="Y160" s="475">
        <f t="shared" ref="Y160" si="166">SUMIFS(155:155,149:149,Y159)</f>
        <v>0.57635228521675841</v>
      </c>
    </row>
    <row r="162" spans="1:25" x14ac:dyDescent="0.3">
      <c r="C162" s="543">
        <f>C165</f>
        <v>0</v>
      </c>
      <c r="D162" s="543">
        <f>C162+D165</f>
        <v>0</v>
      </c>
      <c r="E162" s="543">
        <f t="shared" ref="E162:R162" si="167">D162+E165</f>
        <v>6</v>
      </c>
      <c r="F162" s="543">
        <f t="shared" si="167"/>
        <v>18</v>
      </c>
      <c r="G162" s="543">
        <f t="shared" si="167"/>
        <v>30</v>
      </c>
      <c r="H162" s="543">
        <f t="shared" si="167"/>
        <v>42</v>
      </c>
      <c r="I162" s="543">
        <f t="shared" si="167"/>
        <v>54</v>
      </c>
      <c r="J162" s="543">
        <f t="shared" si="167"/>
        <v>66</v>
      </c>
      <c r="K162" s="543">
        <f t="shared" si="167"/>
        <v>78</v>
      </c>
      <c r="L162" s="543">
        <f t="shared" si="167"/>
        <v>90</v>
      </c>
      <c r="M162" s="543">
        <f t="shared" si="167"/>
        <v>102</v>
      </c>
      <c r="N162" s="543">
        <f t="shared" si="167"/>
        <v>114</v>
      </c>
      <c r="O162" s="543">
        <f t="shared" si="167"/>
        <v>126</v>
      </c>
      <c r="P162" s="543">
        <f t="shared" si="167"/>
        <v>138</v>
      </c>
      <c r="Q162" s="543">
        <f t="shared" si="167"/>
        <v>150</v>
      </c>
      <c r="R162" s="543">
        <f t="shared" si="167"/>
        <v>162</v>
      </c>
      <c r="S162" s="543">
        <f>R162+S165</f>
        <v>174</v>
      </c>
      <c r="T162" s="543">
        <f t="shared" ref="T162:V162" si="168">S162+T165</f>
        <v>180</v>
      </c>
      <c r="U162" s="543">
        <f t="shared" si="168"/>
        <v>180</v>
      </c>
      <c r="V162" s="543">
        <f t="shared" si="168"/>
        <v>180</v>
      </c>
    </row>
    <row r="163" spans="1:25" ht="14.4" thickBot="1" x14ac:dyDescent="0.35">
      <c r="B163" s="540" t="s">
        <v>432</v>
      </c>
      <c r="C163" s="428">
        <f>IF(C165=0,0,1)</f>
        <v>0</v>
      </c>
      <c r="D163" s="428">
        <f t="shared" ref="D163:E163" si="169">IF(D165=0,0,1)</f>
        <v>0</v>
      </c>
      <c r="E163" s="428">
        <f t="shared" si="169"/>
        <v>1</v>
      </c>
      <c r="F163" s="428">
        <f>E163+1</f>
        <v>2</v>
      </c>
      <c r="G163" s="428">
        <f t="shared" ref="G163:V163" si="170">F163+1</f>
        <v>3</v>
      </c>
      <c r="H163" s="428">
        <f t="shared" si="170"/>
        <v>4</v>
      </c>
      <c r="I163" s="428">
        <f t="shared" si="170"/>
        <v>5</v>
      </c>
      <c r="J163" s="428">
        <f t="shared" si="170"/>
        <v>6</v>
      </c>
      <c r="K163" s="428">
        <f t="shared" si="170"/>
        <v>7</v>
      </c>
      <c r="L163" s="428">
        <f t="shared" si="170"/>
        <v>8</v>
      </c>
      <c r="M163" s="428">
        <f t="shared" si="170"/>
        <v>9</v>
      </c>
      <c r="N163" s="428">
        <f t="shared" si="170"/>
        <v>10</v>
      </c>
      <c r="O163" s="428">
        <f t="shared" si="170"/>
        <v>11</v>
      </c>
      <c r="P163" s="428">
        <f t="shared" si="170"/>
        <v>12</v>
      </c>
      <c r="Q163" s="428">
        <f t="shared" si="170"/>
        <v>13</v>
      </c>
      <c r="R163" s="428">
        <f t="shared" si="170"/>
        <v>14</v>
      </c>
      <c r="S163" s="428">
        <f t="shared" si="170"/>
        <v>15</v>
      </c>
      <c r="T163" s="428">
        <f t="shared" si="170"/>
        <v>16</v>
      </c>
      <c r="U163" s="428">
        <f t="shared" si="170"/>
        <v>17</v>
      </c>
      <c r="V163" s="430">
        <f t="shared" si="170"/>
        <v>18</v>
      </c>
    </row>
    <row r="164" spans="1:25" ht="14.4" thickTop="1" x14ac:dyDescent="0.3">
      <c r="B164" s="429"/>
      <c r="C164" s="513">
        <f>C159</f>
        <v>46112</v>
      </c>
      <c r="D164" s="513">
        <f t="shared" ref="D164:R164" si="171">D159</f>
        <v>46477</v>
      </c>
      <c r="E164" s="513">
        <f t="shared" si="171"/>
        <v>46843</v>
      </c>
      <c r="F164" s="513">
        <f t="shared" si="171"/>
        <v>47208</v>
      </c>
      <c r="G164" s="513">
        <f t="shared" si="171"/>
        <v>47573</v>
      </c>
      <c r="H164" s="513">
        <f t="shared" si="171"/>
        <v>47938</v>
      </c>
      <c r="I164" s="513">
        <f t="shared" si="171"/>
        <v>48304</v>
      </c>
      <c r="J164" s="513">
        <f t="shared" si="171"/>
        <v>48669</v>
      </c>
      <c r="K164" s="513">
        <f t="shared" si="171"/>
        <v>49034</v>
      </c>
      <c r="L164" s="513">
        <f t="shared" si="171"/>
        <v>49399</v>
      </c>
      <c r="M164" s="513">
        <f t="shared" si="171"/>
        <v>49765</v>
      </c>
      <c r="N164" s="513">
        <f t="shared" si="171"/>
        <v>50130</v>
      </c>
      <c r="O164" s="513">
        <f t="shared" si="171"/>
        <v>50495</v>
      </c>
      <c r="P164" s="513">
        <f t="shared" si="171"/>
        <v>50860</v>
      </c>
      <c r="Q164" s="513">
        <f t="shared" si="171"/>
        <v>51226</v>
      </c>
      <c r="R164" s="513">
        <f t="shared" si="171"/>
        <v>51591</v>
      </c>
      <c r="S164" s="513">
        <f>S159</f>
        <v>51956</v>
      </c>
      <c r="T164" s="513">
        <f t="shared" ref="T164:V164" si="172">T159</f>
        <v>52321</v>
      </c>
      <c r="U164" s="513">
        <f t="shared" si="172"/>
        <v>52687</v>
      </c>
      <c r="V164" s="514">
        <f t="shared" si="172"/>
        <v>53052</v>
      </c>
      <c r="W164" s="58"/>
      <c r="X164" s="58"/>
      <c r="Y164" s="58"/>
    </row>
    <row r="165" spans="1:25" x14ac:dyDescent="0.3">
      <c r="B165" s="429" t="s">
        <v>332</v>
      </c>
      <c r="C165" s="462">
        <f>IF(SUM($B165:B165)&lt;180,COUNTIF(149:149,C164),$C$80-SUM($B165:B165))</f>
        <v>0</v>
      </c>
      <c r="D165" s="428">
        <f>IF(SUM($B165:C165)&lt;180,COUNTIF(149:149,D164),$C$80-SUM($B165:C165))</f>
        <v>0</v>
      </c>
      <c r="E165" s="428">
        <f>IF(SUM($B165:D165)&lt;180,COUNTIF(149:149,E164),$C$80-SUM($B165:D165))</f>
        <v>6</v>
      </c>
      <c r="F165" s="428">
        <f>IF(SUM($B165:E165)&lt;180,COUNTIF(149:149,F164),$C$80-SUM($B165:E165))</f>
        <v>12</v>
      </c>
      <c r="G165" s="428">
        <f>IF(SUM($B165:F165)&lt;180,COUNTIF(149:149,G164),$C$80-SUM($B165:F165))</f>
        <v>12</v>
      </c>
      <c r="H165" s="428">
        <f>IF(SUM($B165:G165)&lt;180,COUNTIF(149:149,H164),$C$80-SUM($B165:G165))</f>
        <v>12</v>
      </c>
      <c r="I165" s="428">
        <f>IF(SUM($B165:H165)&lt;180,COUNTIF(149:149,I164),$C$80-SUM($B165:H165))</f>
        <v>12</v>
      </c>
      <c r="J165" s="428">
        <f>IF(SUM($B165:I165)&lt;180,COUNTIF(149:149,J164),$C$80-SUM($B165:I165))</f>
        <v>12</v>
      </c>
      <c r="K165" s="428">
        <f>IF(SUM($B165:J165)&lt;180,COUNTIF(149:149,K164),$C$80-SUM($B165:J165))</f>
        <v>12</v>
      </c>
      <c r="L165" s="428">
        <f>IF(SUM($B165:K165)&lt;180,COUNTIF(149:149,L164),$C$80-SUM($B165:K165))</f>
        <v>12</v>
      </c>
      <c r="M165" s="428">
        <f>IF(SUM($B165:L165)&lt;180,COUNTIF(149:149,M164),$C$80-SUM($B165:L165))</f>
        <v>12</v>
      </c>
      <c r="N165" s="428">
        <f>IF(SUM($B165:M165)&lt;180,COUNTIF(149:149,N164),$C$80-SUM($B165:M165))</f>
        <v>12</v>
      </c>
      <c r="O165" s="428">
        <f>IF(SUM($B165:N165)&lt;180,COUNTIF(149:149,O164),$C$80-SUM($B165:N165))</f>
        <v>12</v>
      </c>
      <c r="P165" s="428">
        <f>IF(SUM($B165:O165)&lt;180,COUNTIF(149:149,P164),$C$80-SUM($B165:O165))</f>
        <v>12</v>
      </c>
      <c r="Q165" s="428">
        <f>IF(SUM($B165:P165)&lt;180,COUNTIF(149:149,Q164),$C$80-SUM($B165:P165))</f>
        <v>12</v>
      </c>
      <c r="R165" s="428">
        <f>IF(SUM($B165:Q165)&lt;180,COUNTIF(149:149,R164),$C$80-SUM($B165:Q165))</f>
        <v>12</v>
      </c>
      <c r="S165" s="428">
        <v>12</v>
      </c>
      <c r="T165" s="428">
        <v>6</v>
      </c>
      <c r="U165" s="428"/>
      <c r="V165" s="430"/>
    </row>
    <row r="166" spans="1:25" x14ac:dyDescent="0.3">
      <c r="A166" s="555">
        <f>SUM(E166:N166)+O166*6/12</f>
        <v>0.50350000000000006</v>
      </c>
      <c r="B166" s="169" t="s">
        <v>333</v>
      </c>
      <c r="C166" s="258"/>
      <c r="D166" s="258"/>
      <c r="E166" s="545">
        <v>1.2500000000000001E-2</v>
      </c>
      <c r="F166" s="545">
        <v>1.4999999999999999E-2</v>
      </c>
      <c r="G166" s="545">
        <v>0.02</v>
      </c>
      <c r="H166" s="545">
        <v>2.75E-2</v>
      </c>
      <c r="I166" s="545">
        <v>3.5000000000000003E-2</v>
      </c>
      <c r="J166" s="545">
        <v>4.4999999999999998E-2</v>
      </c>
      <c r="K166" s="545">
        <v>5.5E-2</v>
      </c>
      <c r="L166" s="545">
        <v>6.7500000000000004E-2</v>
      </c>
      <c r="M166" s="545">
        <v>8.1000000000000003E-2</v>
      </c>
      <c r="N166" s="545">
        <v>9.5000000000000001E-2</v>
      </c>
      <c r="O166" s="545">
        <v>0.1</v>
      </c>
      <c r="P166" s="545">
        <v>9.7500000000000003E-2</v>
      </c>
      <c r="Q166" s="545">
        <v>9.7500000000000003E-2</v>
      </c>
      <c r="R166" s="545">
        <v>9.7500000000000003E-2</v>
      </c>
      <c r="S166" s="545">
        <v>9.7500000000000003E-2</v>
      </c>
      <c r="T166" s="545">
        <f>1-SUM(E166:S166)</f>
        <v>5.6499999999999884E-2</v>
      </c>
      <c r="U166" s="545"/>
      <c r="V166" s="546"/>
    </row>
    <row r="167" spans="1:25" x14ac:dyDescent="0.3">
      <c r="B167" s="169" t="s">
        <v>334</v>
      </c>
      <c r="C167" s="258">
        <f t="shared" ref="C167:T167" si="173">$C141*C166</f>
        <v>0</v>
      </c>
      <c r="D167" s="258">
        <f t="shared" si="173"/>
        <v>0</v>
      </c>
      <c r="E167" s="52">
        <f t="shared" si="173"/>
        <v>0.53749999999999998</v>
      </c>
      <c r="F167" s="52">
        <f t="shared" si="173"/>
        <v>0.64500000000000002</v>
      </c>
      <c r="G167" s="52">
        <f t="shared" si="173"/>
        <v>0.86</v>
      </c>
      <c r="H167" s="52">
        <f t="shared" si="173"/>
        <v>1.1825000000000001</v>
      </c>
      <c r="I167" s="52">
        <f t="shared" si="173"/>
        <v>1.5050000000000001</v>
      </c>
      <c r="J167" s="52">
        <f t="shared" si="173"/>
        <v>1.9349999999999998</v>
      </c>
      <c r="K167" s="52">
        <f t="shared" si="173"/>
        <v>2.3650000000000002</v>
      </c>
      <c r="L167" s="52">
        <f t="shared" si="173"/>
        <v>2.9025000000000003</v>
      </c>
      <c r="M167" s="52">
        <f t="shared" si="173"/>
        <v>3.4830000000000001</v>
      </c>
      <c r="N167" s="52">
        <f t="shared" si="173"/>
        <v>4.085</v>
      </c>
      <c r="O167" s="52">
        <f t="shared" si="173"/>
        <v>4.3</v>
      </c>
      <c r="P167" s="52">
        <f t="shared" si="173"/>
        <v>4.1924999999999999</v>
      </c>
      <c r="Q167" s="52">
        <f t="shared" si="173"/>
        <v>4.1924999999999999</v>
      </c>
      <c r="R167" s="52">
        <f t="shared" si="173"/>
        <v>4.1924999999999999</v>
      </c>
      <c r="S167" s="52">
        <f t="shared" si="173"/>
        <v>4.1924999999999999</v>
      </c>
      <c r="T167" s="52">
        <f t="shared" si="173"/>
        <v>2.4294999999999951</v>
      </c>
      <c r="U167" s="52">
        <f t="shared" ref="U167:V167" si="174">$C141*U166</f>
        <v>0</v>
      </c>
      <c r="V167" s="244">
        <f t="shared" si="174"/>
        <v>0</v>
      </c>
    </row>
    <row r="168" spans="1:25" x14ac:dyDescent="0.3">
      <c r="B168" s="437" t="s">
        <v>335</v>
      </c>
      <c r="C168" s="474">
        <f>IFERROR(C167/12,0)</f>
        <v>0</v>
      </c>
      <c r="D168" s="474">
        <f t="shared" ref="D168:V168" si="175">IFERROR(D167/12,0)</f>
        <v>0</v>
      </c>
      <c r="E168" s="474">
        <f t="shared" si="175"/>
        <v>4.4791666666666667E-2</v>
      </c>
      <c r="F168" s="474">
        <f t="shared" si="175"/>
        <v>5.3749999999999999E-2</v>
      </c>
      <c r="G168" s="474">
        <f t="shared" si="175"/>
        <v>7.166666666666667E-2</v>
      </c>
      <c r="H168" s="474">
        <f t="shared" si="175"/>
        <v>9.854166666666668E-2</v>
      </c>
      <c r="I168" s="474">
        <f t="shared" si="175"/>
        <v>0.12541666666666668</v>
      </c>
      <c r="J168" s="474">
        <f t="shared" si="175"/>
        <v>0.16124999999999998</v>
      </c>
      <c r="K168" s="474">
        <f t="shared" si="175"/>
        <v>0.19708333333333336</v>
      </c>
      <c r="L168" s="474">
        <f t="shared" si="175"/>
        <v>0.24187500000000003</v>
      </c>
      <c r="M168" s="474">
        <f t="shared" si="175"/>
        <v>0.29025000000000001</v>
      </c>
      <c r="N168" s="474">
        <f t="shared" si="175"/>
        <v>0.34041666666666665</v>
      </c>
      <c r="O168" s="474">
        <f t="shared" si="175"/>
        <v>0.35833333333333334</v>
      </c>
      <c r="P168" s="474">
        <f t="shared" si="175"/>
        <v>0.34937499999999999</v>
      </c>
      <c r="Q168" s="474">
        <f t="shared" si="175"/>
        <v>0.34937499999999999</v>
      </c>
      <c r="R168" s="474">
        <f t="shared" si="175"/>
        <v>0.34937499999999999</v>
      </c>
      <c r="S168" s="474">
        <f t="shared" si="175"/>
        <v>0.34937499999999999</v>
      </c>
      <c r="T168" s="474">
        <f t="shared" si="175"/>
        <v>0.20245833333333293</v>
      </c>
      <c r="U168" s="474">
        <f t="shared" si="175"/>
        <v>0</v>
      </c>
      <c r="V168" s="475">
        <f t="shared" si="175"/>
        <v>0</v>
      </c>
    </row>
    <row r="171" spans="1:25" ht="14.4" thickBot="1" x14ac:dyDescent="0.35">
      <c r="B171" s="540" t="s">
        <v>340</v>
      </c>
      <c r="C171" s="471"/>
      <c r="D171" s="471"/>
      <c r="E171" s="471"/>
      <c r="F171" s="471"/>
      <c r="G171" s="471"/>
      <c r="H171" s="471"/>
      <c r="I171" s="471"/>
      <c r="J171" s="471"/>
      <c r="K171" s="471"/>
      <c r="L171" s="471"/>
      <c r="M171" s="471"/>
      <c r="N171" s="471"/>
      <c r="O171" s="471"/>
      <c r="P171" s="471"/>
      <c r="Q171" s="471"/>
      <c r="R171" s="471"/>
      <c r="S171" s="471"/>
      <c r="T171" s="471"/>
      <c r="U171" s="471"/>
      <c r="V171" s="500"/>
    </row>
    <row r="172" spans="1:25" ht="14.4" thickTop="1" x14ac:dyDescent="0.3">
      <c r="B172" s="429"/>
      <c r="C172" s="513">
        <f>C164</f>
        <v>46112</v>
      </c>
      <c r="D172" s="513">
        <f t="shared" ref="D172:R172" si="176">D164</f>
        <v>46477</v>
      </c>
      <c r="E172" s="513">
        <f t="shared" si="176"/>
        <v>46843</v>
      </c>
      <c r="F172" s="513">
        <f t="shared" si="176"/>
        <v>47208</v>
      </c>
      <c r="G172" s="513">
        <f t="shared" si="176"/>
        <v>47573</v>
      </c>
      <c r="H172" s="513">
        <f t="shared" si="176"/>
        <v>47938</v>
      </c>
      <c r="I172" s="513">
        <f t="shared" si="176"/>
        <v>48304</v>
      </c>
      <c r="J172" s="513">
        <f t="shared" si="176"/>
        <v>48669</v>
      </c>
      <c r="K172" s="513">
        <f t="shared" si="176"/>
        <v>49034</v>
      </c>
      <c r="L172" s="513">
        <f t="shared" si="176"/>
        <v>49399</v>
      </c>
      <c r="M172" s="513">
        <f t="shared" si="176"/>
        <v>49765</v>
      </c>
      <c r="N172" s="513">
        <f t="shared" si="176"/>
        <v>50130</v>
      </c>
      <c r="O172" s="513">
        <f t="shared" si="176"/>
        <v>50495</v>
      </c>
      <c r="P172" s="513">
        <f t="shared" si="176"/>
        <v>50860</v>
      </c>
      <c r="Q172" s="513">
        <f t="shared" si="176"/>
        <v>51226</v>
      </c>
      <c r="R172" s="513">
        <f t="shared" si="176"/>
        <v>51591</v>
      </c>
      <c r="S172" s="513">
        <f>S164</f>
        <v>51956</v>
      </c>
      <c r="T172" s="513">
        <f t="shared" ref="T172:V172" si="177">T164</f>
        <v>52321</v>
      </c>
      <c r="U172" s="513">
        <f t="shared" si="177"/>
        <v>52687</v>
      </c>
      <c r="V172" s="514">
        <f t="shared" si="177"/>
        <v>53052</v>
      </c>
    </row>
    <row r="173" spans="1:25" x14ac:dyDescent="0.3">
      <c r="B173" s="169" t="s">
        <v>341</v>
      </c>
      <c r="C173" s="258"/>
      <c r="D173" s="258">
        <f>C176</f>
        <v>0</v>
      </c>
      <c r="E173" s="258">
        <f t="shared" ref="E173:R173" si="178">D176</f>
        <v>0</v>
      </c>
      <c r="F173" s="258">
        <f t="shared" si="178"/>
        <v>42.462499999999999</v>
      </c>
      <c r="G173" s="258">
        <f t="shared" si="178"/>
        <v>41.817499999999995</v>
      </c>
      <c r="H173" s="258">
        <f t="shared" si="178"/>
        <v>40.957499999999996</v>
      </c>
      <c r="I173" s="258">
        <f t="shared" si="178"/>
        <v>39.774999999999999</v>
      </c>
      <c r="J173" s="258">
        <f t="shared" si="178"/>
        <v>38.269999999999996</v>
      </c>
      <c r="K173" s="258">
        <f t="shared" si="178"/>
        <v>36.334999999999994</v>
      </c>
      <c r="L173" s="258">
        <f t="shared" si="178"/>
        <v>33.969999999999992</v>
      </c>
      <c r="M173" s="258">
        <f t="shared" si="178"/>
        <v>31.067499999999992</v>
      </c>
      <c r="N173" s="258">
        <f t="shared" si="178"/>
        <v>27.584499999999991</v>
      </c>
      <c r="O173" s="258">
        <f t="shared" si="178"/>
        <v>23.499499999999991</v>
      </c>
      <c r="P173" s="258">
        <f t="shared" si="178"/>
        <v>19.19949999999999</v>
      </c>
      <c r="Q173" s="258">
        <f t="shared" si="178"/>
        <v>15.006999999999991</v>
      </c>
      <c r="R173" s="258">
        <f t="shared" si="178"/>
        <v>10.814499999999992</v>
      </c>
      <c r="S173" s="258">
        <f>R176</f>
        <v>6.6219999999999919</v>
      </c>
      <c r="T173" s="258">
        <f t="shared" ref="T173:V173" si="179">S176</f>
        <v>2.429499999999992</v>
      </c>
      <c r="U173" s="258">
        <f t="shared" si="179"/>
        <v>0</v>
      </c>
      <c r="V173" s="246">
        <f t="shared" si="179"/>
        <v>0</v>
      </c>
    </row>
    <row r="174" spans="1:25" x14ac:dyDescent="0.3">
      <c r="B174" s="169" t="s">
        <v>165</v>
      </c>
      <c r="C174" s="258"/>
      <c r="D174" s="258"/>
      <c r="E174" s="258">
        <f>C141</f>
        <v>43</v>
      </c>
      <c r="F174" s="258"/>
      <c r="G174" s="258"/>
      <c r="H174" s="258"/>
      <c r="I174" s="258"/>
      <c r="J174" s="258"/>
      <c r="K174" s="258"/>
      <c r="L174" s="258"/>
      <c r="M174" s="258"/>
      <c r="N174" s="258"/>
      <c r="O174" s="258"/>
      <c r="P174" s="258"/>
      <c r="Q174" s="258"/>
      <c r="R174" s="258"/>
      <c r="S174" s="258"/>
      <c r="T174" s="258"/>
      <c r="U174" s="258"/>
      <c r="V174" s="246"/>
    </row>
    <row r="175" spans="1:25" x14ac:dyDescent="0.3">
      <c r="B175" s="169" t="s">
        <v>342</v>
      </c>
      <c r="C175" s="258">
        <f t="shared" ref="C175:R175" si="180">SUMIFS(167:167,164:164,C172)</f>
        <v>0</v>
      </c>
      <c r="D175" s="258">
        <f t="shared" si="180"/>
        <v>0</v>
      </c>
      <c r="E175" s="258">
        <f t="shared" si="180"/>
        <v>0.53749999999999998</v>
      </c>
      <c r="F175" s="258">
        <f t="shared" si="180"/>
        <v>0.64500000000000002</v>
      </c>
      <c r="G175" s="258">
        <f t="shared" si="180"/>
        <v>0.86</v>
      </c>
      <c r="H175" s="258">
        <f t="shared" si="180"/>
        <v>1.1825000000000001</v>
      </c>
      <c r="I175" s="258">
        <f t="shared" si="180"/>
        <v>1.5050000000000001</v>
      </c>
      <c r="J175" s="258">
        <f t="shared" si="180"/>
        <v>1.9349999999999998</v>
      </c>
      <c r="K175" s="258">
        <f t="shared" si="180"/>
        <v>2.3650000000000002</v>
      </c>
      <c r="L175" s="258">
        <f t="shared" si="180"/>
        <v>2.9025000000000003</v>
      </c>
      <c r="M175" s="258">
        <f t="shared" si="180"/>
        <v>3.4830000000000001</v>
      </c>
      <c r="N175" s="258">
        <f t="shared" si="180"/>
        <v>4.085</v>
      </c>
      <c r="O175" s="258">
        <f t="shared" si="180"/>
        <v>4.3</v>
      </c>
      <c r="P175" s="258">
        <f t="shared" si="180"/>
        <v>4.1924999999999999</v>
      </c>
      <c r="Q175" s="258">
        <f t="shared" si="180"/>
        <v>4.1924999999999999</v>
      </c>
      <c r="R175" s="258">
        <f t="shared" si="180"/>
        <v>4.1924999999999999</v>
      </c>
      <c r="S175" s="258">
        <f>SUMIFS(167:167,164:164,S172)</f>
        <v>4.1924999999999999</v>
      </c>
      <c r="T175" s="258">
        <f t="shared" ref="T175:V175" si="181">SUMIFS(167:167,164:164,T172)</f>
        <v>2.4294999999999951</v>
      </c>
      <c r="U175" s="258">
        <f t="shared" si="181"/>
        <v>0</v>
      </c>
      <c r="V175" s="246">
        <f t="shared" si="181"/>
        <v>0</v>
      </c>
    </row>
    <row r="176" spans="1:25" x14ac:dyDescent="0.3">
      <c r="B176" s="429" t="s">
        <v>343</v>
      </c>
      <c r="C176" s="462">
        <f>C173-C175</f>
        <v>0</v>
      </c>
      <c r="D176" s="462">
        <f>D174-D175</f>
        <v>0</v>
      </c>
      <c r="E176" s="462">
        <f>E174-E175</f>
        <v>42.462499999999999</v>
      </c>
      <c r="F176" s="462">
        <f t="shared" ref="F176:R176" si="182">F173-F175</f>
        <v>41.817499999999995</v>
      </c>
      <c r="G176" s="462">
        <f t="shared" si="182"/>
        <v>40.957499999999996</v>
      </c>
      <c r="H176" s="462">
        <f t="shared" si="182"/>
        <v>39.774999999999999</v>
      </c>
      <c r="I176" s="462">
        <f t="shared" si="182"/>
        <v>38.269999999999996</v>
      </c>
      <c r="J176" s="462">
        <f t="shared" si="182"/>
        <v>36.334999999999994</v>
      </c>
      <c r="K176" s="462">
        <f t="shared" si="182"/>
        <v>33.969999999999992</v>
      </c>
      <c r="L176" s="462">
        <f t="shared" si="182"/>
        <v>31.067499999999992</v>
      </c>
      <c r="M176" s="462">
        <f t="shared" si="182"/>
        <v>27.584499999999991</v>
      </c>
      <c r="N176" s="462">
        <f t="shared" si="182"/>
        <v>23.499499999999991</v>
      </c>
      <c r="O176" s="462">
        <f t="shared" si="182"/>
        <v>19.19949999999999</v>
      </c>
      <c r="P176" s="462">
        <f t="shared" si="182"/>
        <v>15.006999999999991</v>
      </c>
      <c r="Q176" s="462">
        <f t="shared" si="182"/>
        <v>10.814499999999992</v>
      </c>
      <c r="R176" s="462">
        <f t="shared" si="182"/>
        <v>6.6219999999999919</v>
      </c>
      <c r="S176" s="462">
        <f>S173-S175</f>
        <v>2.429499999999992</v>
      </c>
      <c r="T176" s="462">
        <f t="shared" ref="T176:V176" si="183">T173-T175</f>
        <v>0</v>
      </c>
      <c r="U176" s="462">
        <f t="shared" si="183"/>
        <v>0</v>
      </c>
      <c r="V176" s="506">
        <f t="shared" si="183"/>
        <v>0</v>
      </c>
    </row>
    <row r="177" spans="2:22" x14ac:dyDescent="0.3">
      <c r="B177" s="436" t="s">
        <v>51</v>
      </c>
      <c r="C177" s="548">
        <f>AVERAGE(C176,C173)*$C142*C165/12</f>
        <v>0</v>
      </c>
      <c r="D177" s="548">
        <f t="shared" ref="D177:R177" si="184">AVERAGE(D176,D173)*$C142*D165/12</f>
        <v>0</v>
      </c>
      <c r="E177" s="548">
        <f t="shared" si="184"/>
        <v>0.90232812500000004</v>
      </c>
      <c r="F177" s="548">
        <f t="shared" si="184"/>
        <v>3.5818999999999996</v>
      </c>
      <c r="G177" s="548">
        <f t="shared" si="184"/>
        <v>3.5179374999999999</v>
      </c>
      <c r="H177" s="548">
        <f t="shared" si="184"/>
        <v>3.4311312499999995</v>
      </c>
      <c r="I177" s="548">
        <f t="shared" si="184"/>
        <v>3.3169124999999995</v>
      </c>
      <c r="J177" s="548">
        <f t="shared" si="184"/>
        <v>3.1707124999999992</v>
      </c>
      <c r="K177" s="548">
        <f t="shared" si="184"/>
        <v>2.9879624999999996</v>
      </c>
      <c r="L177" s="548">
        <f t="shared" si="184"/>
        <v>2.7640937499999993</v>
      </c>
      <c r="M177" s="548">
        <f t="shared" si="184"/>
        <v>2.4927099999999998</v>
      </c>
      <c r="N177" s="548">
        <f t="shared" si="184"/>
        <v>2.1710699999999994</v>
      </c>
      <c r="O177" s="548">
        <f t="shared" si="184"/>
        <v>1.8147074999999997</v>
      </c>
      <c r="P177" s="548">
        <f t="shared" si="184"/>
        <v>1.4537762499999991</v>
      </c>
      <c r="Q177" s="548">
        <f t="shared" si="184"/>
        <v>1.0974137499999994</v>
      </c>
      <c r="R177" s="548">
        <f t="shared" si="184"/>
        <v>0.74105124999999938</v>
      </c>
      <c r="S177" s="548">
        <f>AVERAGE(S176,S173)*$C142*S165/12</f>
        <v>0.3846887499999993</v>
      </c>
      <c r="T177" s="548">
        <f t="shared" ref="T177:V177" si="185">AVERAGE(T176,T173)*$C142*T165/12</f>
        <v>5.1626874999999829E-2</v>
      </c>
      <c r="U177" s="548">
        <f t="shared" si="185"/>
        <v>0</v>
      </c>
      <c r="V177" s="549">
        <f t="shared" si="185"/>
        <v>0</v>
      </c>
    </row>
    <row r="180" spans="2:22" ht="14.4" thickBot="1" x14ac:dyDescent="0.35">
      <c r="B180" s="540" t="s">
        <v>427</v>
      </c>
      <c r="C180" s="471"/>
      <c r="D180" s="471"/>
      <c r="E180" s="471"/>
      <c r="F180" s="471"/>
      <c r="G180" s="471"/>
      <c r="H180" s="471"/>
      <c r="I180" s="471"/>
      <c r="J180" s="471"/>
      <c r="K180" s="471"/>
      <c r="L180" s="471"/>
      <c r="M180" s="471"/>
      <c r="N180" s="471"/>
      <c r="O180" s="471"/>
      <c r="P180" s="471"/>
      <c r="Q180" s="471"/>
      <c r="R180" s="471"/>
      <c r="S180" s="471"/>
      <c r="T180" s="471"/>
      <c r="U180" s="471"/>
      <c r="V180" s="500"/>
    </row>
    <row r="181" spans="2:22" ht="14.4" thickTop="1" x14ac:dyDescent="0.3">
      <c r="B181" s="429"/>
      <c r="C181" s="513">
        <f>C172</f>
        <v>46112</v>
      </c>
      <c r="D181" s="513">
        <f t="shared" ref="D181:R181" si="186">D172</f>
        <v>46477</v>
      </c>
      <c r="E181" s="513">
        <f t="shared" si="186"/>
        <v>46843</v>
      </c>
      <c r="F181" s="513">
        <f t="shared" si="186"/>
        <v>47208</v>
      </c>
      <c r="G181" s="513">
        <f t="shared" si="186"/>
        <v>47573</v>
      </c>
      <c r="H181" s="513">
        <f t="shared" si="186"/>
        <v>47938</v>
      </c>
      <c r="I181" s="513">
        <f t="shared" si="186"/>
        <v>48304</v>
      </c>
      <c r="J181" s="513">
        <f t="shared" si="186"/>
        <v>48669</v>
      </c>
      <c r="K181" s="513">
        <f t="shared" si="186"/>
        <v>49034</v>
      </c>
      <c r="L181" s="513">
        <f t="shared" si="186"/>
        <v>49399</v>
      </c>
      <c r="M181" s="513">
        <f t="shared" si="186"/>
        <v>49765</v>
      </c>
      <c r="N181" s="513">
        <f t="shared" si="186"/>
        <v>50130</v>
      </c>
      <c r="O181" s="513">
        <f t="shared" si="186"/>
        <v>50495</v>
      </c>
      <c r="P181" s="513">
        <f t="shared" si="186"/>
        <v>50860</v>
      </c>
      <c r="Q181" s="513">
        <f t="shared" si="186"/>
        <v>51226</v>
      </c>
      <c r="R181" s="513">
        <f t="shared" si="186"/>
        <v>51591</v>
      </c>
      <c r="S181" s="513">
        <f>S172</f>
        <v>51956</v>
      </c>
      <c r="T181" s="513">
        <f t="shared" ref="T181:V181" si="187">T172</f>
        <v>52321</v>
      </c>
      <c r="U181" s="513">
        <f t="shared" si="187"/>
        <v>52687</v>
      </c>
      <c r="V181" s="514">
        <f t="shared" si="187"/>
        <v>53052</v>
      </c>
    </row>
    <row r="182" spans="2:22" x14ac:dyDescent="0.3">
      <c r="B182" s="169" t="s">
        <v>345</v>
      </c>
      <c r="C182" s="52">
        <f>C160</f>
        <v>0</v>
      </c>
      <c r="D182" s="52">
        <f t="shared" ref="D182:R182" si="188">D160</f>
        <v>0</v>
      </c>
      <c r="E182" s="52">
        <f t="shared" si="188"/>
        <v>2.3920812999926642</v>
      </c>
      <c r="F182" s="52">
        <f t="shared" si="188"/>
        <v>4.9037666649849623</v>
      </c>
      <c r="G182" s="52">
        <f t="shared" si="188"/>
        <v>5.1489549982342107</v>
      </c>
      <c r="H182" s="52">
        <f t="shared" si="188"/>
        <v>5.4064027481459203</v>
      </c>
      <c r="I182" s="52">
        <f t="shared" si="188"/>
        <v>5.6767228855532155</v>
      </c>
      <c r="J182" s="52">
        <f t="shared" si="188"/>
        <v>5.9605590298308764</v>
      </c>
      <c r="K182" s="52">
        <f t="shared" si="188"/>
        <v>6.25858698132242</v>
      </c>
      <c r="L182" s="52">
        <f t="shared" si="188"/>
        <v>6.5715163303885431</v>
      </c>
      <c r="M182" s="52">
        <f t="shared" si="188"/>
        <v>6.9000921469079683</v>
      </c>
      <c r="N182" s="52">
        <f t="shared" si="188"/>
        <v>7.2450967542533711</v>
      </c>
      <c r="O182" s="52">
        <f t="shared" si="188"/>
        <v>7.6073515919660384</v>
      </c>
      <c r="P182" s="52">
        <f t="shared" si="188"/>
        <v>7.9877191715643425</v>
      </c>
      <c r="Q182" s="52">
        <f t="shared" si="188"/>
        <v>8.3871051301425616</v>
      </c>
      <c r="R182" s="52">
        <f t="shared" si="188"/>
        <v>8.8064603866496896</v>
      </c>
      <c r="S182" s="52">
        <f>S160*S165/12</f>
        <v>9.2467834059821712</v>
      </c>
      <c r="T182" s="52">
        <f t="shared" ref="T182:V182" si="189">T160*T165/12</f>
        <v>4.8545612881406415</v>
      </c>
      <c r="U182" s="52">
        <f t="shared" si="189"/>
        <v>0</v>
      </c>
      <c r="V182" s="244">
        <f t="shared" si="189"/>
        <v>0</v>
      </c>
    </row>
    <row r="183" spans="2:22" x14ac:dyDescent="0.3">
      <c r="B183" s="169" t="s">
        <v>300</v>
      </c>
      <c r="C183" s="52">
        <f>C177+C175</f>
        <v>0</v>
      </c>
      <c r="D183" s="52">
        <f t="shared" ref="D183:R183" si="190">D177+D175</f>
        <v>0</v>
      </c>
      <c r="E183" s="52">
        <f t="shared" si="190"/>
        <v>1.439828125</v>
      </c>
      <c r="F183" s="52">
        <f t="shared" si="190"/>
        <v>4.2268999999999997</v>
      </c>
      <c r="G183" s="52">
        <f t="shared" si="190"/>
        <v>4.3779374999999998</v>
      </c>
      <c r="H183" s="52">
        <f t="shared" si="190"/>
        <v>4.6136312499999992</v>
      </c>
      <c r="I183" s="52">
        <f t="shared" si="190"/>
        <v>4.8219124999999998</v>
      </c>
      <c r="J183" s="52">
        <f t="shared" si="190"/>
        <v>5.1057124999999992</v>
      </c>
      <c r="K183" s="52">
        <f t="shared" si="190"/>
        <v>5.3529625000000003</v>
      </c>
      <c r="L183" s="52">
        <f t="shared" si="190"/>
        <v>5.6665937499999997</v>
      </c>
      <c r="M183" s="52">
        <f t="shared" si="190"/>
        <v>5.9757099999999994</v>
      </c>
      <c r="N183" s="52">
        <f t="shared" si="190"/>
        <v>6.2560699999999994</v>
      </c>
      <c r="O183" s="52">
        <f t="shared" si="190"/>
        <v>6.1147074999999997</v>
      </c>
      <c r="P183" s="52">
        <f t="shared" si="190"/>
        <v>5.6462762499999988</v>
      </c>
      <c r="Q183" s="52">
        <f t="shared" si="190"/>
        <v>5.2899137499999993</v>
      </c>
      <c r="R183" s="52">
        <f t="shared" si="190"/>
        <v>4.9335512499999989</v>
      </c>
      <c r="S183" s="52">
        <f>S177+S175</f>
        <v>4.5771887499999995</v>
      </c>
      <c r="T183" s="52">
        <f t="shared" ref="T183:V183" si="191">T177+T175</f>
        <v>2.4811268749999948</v>
      </c>
      <c r="U183" s="52">
        <f t="shared" si="191"/>
        <v>0</v>
      </c>
      <c r="V183" s="244">
        <f t="shared" si="191"/>
        <v>0</v>
      </c>
    </row>
    <row r="184" spans="2:22" x14ac:dyDescent="0.3">
      <c r="B184" s="432" t="s">
        <v>190</v>
      </c>
      <c r="C184" s="464">
        <f>IFERROR(C182/C183,0)</f>
        <v>0</v>
      </c>
      <c r="D184" s="464">
        <f t="shared" ref="D184:V184" si="192">IFERROR(D182/D183,0)</f>
        <v>0</v>
      </c>
      <c r="E184" s="464">
        <f t="shared" si="192"/>
        <v>1.6613658661464639</v>
      </c>
      <c r="F184" s="464">
        <f t="shared" si="192"/>
        <v>1.1601331152818763</v>
      </c>
      <c r="G184" s="464">
        <f t="shared" si="192"/>
        <v>1.1761143228367721</v>
      </c>
      <c r="H184" s="464">
        <f t="shared" si="192"/>
        <v>1.1718324363582202</v>
      </c>
      <c r="I184" s="464">
        <f t="shared" si="192"/>
        <v>1.1772762126134009</v>
      </c>
      <c r="J184" s="464">
        <f t="shared" si="192"/>
        <v>1.1674294292580865</v>
      </c>
      <c r="K184" s="464">
        <f t="shared" si="192"/>
        <v>1.1691819214729078</v>
      </c>
      <c r="L184" s="464">
        <f t="shared" si="192"/>
        <v>1.159694274958134</v>
      </c>
      <c r="M184" s="464">
        <f t="shared" si="192"/>
        <v>1.1546899275413247</v>
      </c>
      <c r="N184" s="464">
        <f t="shared" si="192"/>
        <v>1.1580907429509855</v>
      </c>
      <c r="O184" s="464">
        <f t="shared" si="192"/>
        <v>1.244107194328762</v>
      </c>
      <c r="P184" s="464">
        <f t="shared" si="192"/>
        <v>1.4146879851237077</v>
      </c>
      <c r="Q184" s="464">
        <f t="shared" si="192"/>
        <v>1.5854899581571746</v>
      </c>
      <c r="R184" s="464">
        <f t="shared" si="192"/>
        <v>1.7850144734281805</v>
      </c>
      <c r="S184" s="464">
        <f t="shared" si="192"/>
        <v>2.0201883538191803</v>
      </c>
      <c r="T184" s="464">
        <f t="shared" si="192"/>
        <v>1.9565953426467364</v>
      </c>
      <c r="U184" s="464">
        <f t="shared" si="192"/>
        <v>0</v>
      </c>
      <c r="V184" s="465">
        <f t="shared" si="192"/>
        <v>0</v>
      </c>
    </row>
    <row r="185" spans="2:22" x14ac:dyDescent="0.3">
      <c r="C185" s="33"/>
      <c r="D185" s="33"/>
      <c r="E185" s="33"/>
      <c r="F185" s="33"/>
      <c r="G185" s="33"/>
      <c r="H185" s="33"/>
      <c r="I185" s="33"/>
      <c r="J185" s="33"/>
      <c r="K185" s="33"/>
      <c r="L185" s="33"/>
      <c r="M185" s="33"/>
      <c r="N185" s="33"/>
      <c r="O185" s="33"/>
      <c r="P185" s="33"/>
      <c r="Q185" s="33"/>
      <c r="R185" s="33"/>
      <c r="S185" s="33"/>
      <c r="T185" s="33"/>
      <c r="U185" s="33"/>
      <c r="V185" s="33"/>
    </row>
    <row r="186" spans="2:22" x14ac:dyDescent="0.3">
      <c r="B186" s="519" t="s">
        <v>346</v>
      </c>
      <c r="C186" s="520">
        <f>MIN(E184:T184)</f>
        <v>1.1546899275413247</v>
      </c>
      <c r="D186" s="33"/>
      <c r="E186" s="33"/>
      <c r="F186" s="33"/>
      <c r="G186" s="33"/>
      <c r="H186" s="33"/>
      <c r="I186" s="33"/>
      <c r="J186" s="33"/>
      <c r="K186" s="33"/>
      <c r="L186" s="33"/>
      <c r="M186" s="33"/>
      <c r="N186" s="33"/>
      <c r="O186" s="33"/>
      <c r="P186" s="33"/>
      <c r="Q186" s="33"/>
      <c r="R186" s="33"/>
      <c r="S186" s="33"/>
      <c r="T186" s="33"/>
      <c r="U186" s="33"/>
      <c r="V186" s="33"/>
    </row>
    <row r="187" spans="2:22" x14ac:dyDescent="0.3">
      <c r="B187" s="299" t="s">
        <v>347</v>
      </c>
      <c r="C187" s="521">
        <f>SUM(E182:T182)/SUM(E183:T183)</f>
        <v>1.3443513341071094</v>
      </c>
      <c r="D187" s="33"/>
      <c r="E187" s="33"/>
      <c r="F187" s="33"/>
      <c r="G187" s="33"/>
      <c r="H187" s="33"/>
      <c r="I187" s="33"/>
      <c r="J187" s="33"/>
      <c r="K187" s="33"/>
      <c r="L187" s="33"/>
      <c r="M187" s="33"/>
      <c r="N187" s="33"/>
      <c r="O187" s="33"/>
      <c r="P187" s="33"/>
      <c r="Q187" s="33"/>
      <c r="R187" s="33"/>
      <c r="S187" s="33"/>
      <c r="T187" s="33"/>
      <c r="U187" s="33"/>
      <c r="V187" s="33"/>
    </row>
    <row r="188" spans="2:22" x14ac:dyDescent="0.3">
      <c r="C188" s="33"/>
      <c r="D188" s="33"/>
      <c r="E188" s="33"/>
      <c r="F188" s="33"/>
      <c r="G188" s="33"/>
      <c r="H188" s="33"/>
      <c r="I188" s="33"/>
      <c r="J188" s="33"/>
      <c r="K188" s="33"/>
      <c r="L188" s="33"/>
      <c r="M188" s="33"/>
      <c r="N188" s="33"/>
      <c r="O188" s="33"/>
      <c r="P188" s="33"/>
      <c r="Q188" s="33"/>
      <c r="R188" s="33"/>
      <c r="S188" s="33"/>
      <c r="T188" s="33"/>
      <c r="U188" s="33"/>
      <c r="V188" s="33"/>
    </row>
    <row r="189" spans="2:22" ht="14.4" thickBot="1" x14ac:dyDescent="0.35">
      <c r="B189" s="540" t="s">
        <v>428</v>
      </c>
      <c r="C189" s="472"/>
      <c r="D189" s="472"/>
      <c r="E189" s="472"/>
      <c r="F189" s="472"/>
      <c r="G189" s="472"/>
      <c r="H189" s="472"/>
      <c r="I189" s="472"/>
      <c r="J189" s="472"/>
      <c r="K189" s="472"/>
      <c r="L189" s="472"/>
      <c r="M189" s="472"/>
      <c r="N189" s="472"/>
      <c r="O189" s="472"/>
      <c r="P189" s="472"/>
      <c r="Q189" s="472"/>
      <c r="R189" s="472"/>
      <c r="S189" s="472"/>
      <c r="T189" s="472"/>
      <c r="U189" s="472"/>
      <c r="V189" s="473"/>
    </row>
    <row r="190" spans="2:22" ht="14.4" thickTop="1" x14ac:dyDescent="0.3">
      <c r="B190" s="163"/>
      <c r="C190" s="556">
        <f>C181</f>
        <v>46112</v>
      </c>
      <c r="D190" s="556">
        <f t="shared" ref="D190:R190" si="193">D181</f>
        <v>46477</v>
      </c>
      <c r="E190" s="556">
        <f t="shared" si="193"/>
        <v>46843</v>
      </c>
      <c r="F190" s="556">
        <f t="shared" si="193"/>
        <v>47208</v>
      </c>
      <c r="G190" s="556">
        <f t="shared" si="193"/>
        <v>47573</v>
      </c>
      <c r="H190" s="556">
        <f t="shared" si="193"/>
        <v>47938</v>
      </c>
      <c r="I190" s="556">
        <f t="shared" si="193"/>
        <v>48304</v>
      </c>
      <c r="J190" s="556">
        <f t="shared" si="193"/>
        <v>48669</v>
      </c>
      <c r="K190" s="556">
        <f t="shared" si="193"/>
        <v>49034</v>
      </c>
      <c r="L190" s="556">
        <f t="shared" si="193"/>
        <v>49399</v>
      </c>
      <c r="M190" s="556">
        <f t="shared" si="193"/>
        <v>49765</v>
      </c>
      <c r="N190" s="556">
        <f t="shared" si="193"/>
        <v>50130</v>
      </c>
      <c r="O190" s="556">
        <f t="shared" si="193"/>
        <v>50495</v>
      </c>
      <c r="P190" s="556">
        <f t="shared" si="193"/>
        <v>50860</v>
      </c>
      <c r="Q190" s="556">
        <f t="shared" si="193"/>
        <v>51226</v>
      </c>
      <c r="R190" s="556">
        <f t="shared" si="193"/>
        <v>51591</v>
      </c>
      <c r="S190" s="556">
        <f>S181</f>
        <v>51956</v>
      </c>
      <c r="T190" s="556">
        <f t="shared" ref="T190:V190" si="194">T181</f>
        <v>52321</v>
      </c>
      <c r="U190" s="556">
        <f t="shared" si="194"/>
        <v>52687</v>
      </c>
      <c r="V190" s="557">
        <f t="shared" si="194"/>
        <v>53052</v>
      </c>
    </row>
    <row r="191" spans="2:22" x14ac:dyDescent="0.3">
      <c r="B191" s="290" t="s">
        <v>414</v>
      </c>
      <c r="C191" s="54">
        <f t="shared" ref="C191:S191" si="195">C182-C183</f>
        <v>0</v>
      </c>
      <c r="D191" s="52">
        <f t="shared" si="195"/>
        <v>0</v>
      </c>
      <c r="E191" s="52">
        <f t="shared" si="195"/>
        <v>0.95225317499266415</v>
      </c>
      <c r="F191" s="52">
        <f t="shared" si="195"/>
        <v>0.67686666498496262</v>
      </c>
      <c r="G191" s="52">
        <f t="shared" si="195"/>
        <v>0.77101749823421084</v>
      </c>
      <c r="H191" s="52">
        <f t="shared" si="195"/>
        <v>0.79277149814592107</v>
      </c>
      <c r="I191" s="52">
        <f t="shared" si="195"/>
        <v>0.85481038555321565</v>
      </c>
      <c r="J191" s="52">
        <f t="shared" si="195"/>
        <v>0.85484652983087717</v>
      </c>
      <c r="K191" s="52">
        <f t="shared" si="195"/>
        <v>0.90562448132241968</v>
      </c>
      <c r="L191" s="52">
        <f t="shared" si="195"/>
        <v>0.90492258038854345</v>
      </c>
      <c r="M191" s="52">
        <f t="shared" si="195"/>
        <v>0.92438214690796894</v>
      </c>
      <c r="N191" s="52">
        <f t="shared" si="195"/>
        <v>0.98902675425337172</v>
      </c>
      <c r="O191" s="52">
        <f t="shared" si="195"/>
        <v>1.4926440919660386</v>
      </c>
      <c r="P191" s="52">
        <f t="shared" si="195"/>
        <v>2.3414429215643437</v>
      </c>
      <c r="Q191" s="52">
        <f t="shared" si="195"/>
        <v>3.0971913801425623</v>
      </c>
      <c r="R191" s="52">
        <f t="shared" si="195"/>
        <v>3.8729091366496906</v>
      </c>
      <c r="S191" s="52">
        <f t="shared" si="195"/>
        <v>4.6695946559821717</v>
      </c>
      <c r="T191" s="52">
        <f t="shared" ref="T191:V191" si="196">T182-T183</f>
        <v>2.3734344131406466</v>
      </c>
      <c r="U191" s="52">
        <f t="shared" si="196"/>
        <v>0</v>
      </c>
      <c r="V191" s="244">
        <f t="shared" si="196"/>
        <v>0</v>
      </c>
    </row>
    <row r="192" spans="2:22" x14ac:dyDescent="0.3">
      <c r="B192" s="292" t="s">
        <v>415</v>
      </c>
      <c r="C192" s="550">
        <f>SUM(C191:F191,G191*9/12)</f>
        <v>2.2073829636532851</v>
      </c>
      <c r="D192" s="294"/>
      <c r="E192" s="294"/>
      <c r="F192" s="294"/>
      <c r="G192" s="294"/>
      <c r="H192" s="294"/>
      <c r="I192" s="294"/>
      <c r="J192" s="294"/>
      <c r="K192" s="294"/>
      <c r="L192" s="294"/>
      <c r="M192" s="294"/>
      <c r="N192" s="294"/>
      <c r="O192" s="294"/>
      <c r="P192" s="294"/>
      <c r="Q192" s="294"/>
      <c r="R192" s="294"/>
      <c r="S192" s="294"/>
      <c r="T192" s="294"/>
      <c r="U192" s="294"/>
      <c r="V192" s="381"/>
    </row>
    <row r="193" spans="1:13" x14ac:dyDescent="0.3">
      <c r="D193" s="52"/>
      <c r="E193" s="52"/>
      <c r="F193" s="52"/>
      <c r="G193" s="52"/>
      <c r="H193" s="52"/>
      <c r="I193" s="52"/>
      <c r="J193" s="52"/>
      <c r="K193" s="52"/>
      <c r="L193" s="52"/>
      <c r="M193" s="52"/>
    </row>
    <row r="195" spans="1:13" x14ac:dyDescent="0.3">
      <c r="A195" s="524">
        <v>4</v>
      </c>
      <c r="B195" s="529" t="s">
        <v>234</v>
      </c>
      <c r="C195" s="530"/>
      <c r="E195" s="1" t="s">
        <v>403</v>
      </c>
      <c r="F195" s="45">
        <f>XNPV(C206,AG219:HE219,AG214:HE214)*95%</f>
        <v>113.61054093861193</v>
      </c>
    </row>
    <row r="196" spans="1:13" x14ac:dyDescent="0.3">
      <c r="B196" s="169" t="s">
        <v>14</v>
      </c>
      <c r="C196" s="531">
        <f>'Assumption Sheet'!C31</f>
        <v>442012.39012455003</v>
      </c>
    </row>
    <row r="197" spans="1:13" x14ac:dyDescent="0.3">
      <c r="B197" s="169" t="s">
        <v>322</v>
      </c>
      <c r="C197" s="532">
        <f>'Assumption Sheet'!Q31</f>
        <v>20.5</v>
      </c>
    </row>
    <row r="198" spans="1:13" x14ac:dyDescent="0.3">
      <c r="B198" s="169" t="s">
        <v>106</v>
      </c>
      <c r="C198" s="495">
        <f>'Assumption Sheet'!K31</f>
        <v>46935</v>
      </c>
    </row>
    <row r="199" spans="1:13" x14ac:dyDescent="0.3">
      <c r="B199" s="169" t="s">
        <v>447</v>
      </c>
      <c r="C199" s="495">
        <f>EOMONTH(C198,IF(MOD(MONTH(C198),3)=0,0,3-MOD(MONTH(C198),3)))</f>
        <v>47026</v>
      </c>
    </row>
    <row r="200" spans="1:13" x14ac:dyDescent="0.3">
      <c r="B200" s="169" t="s">
        <v>446</v>
      </c>
      <c r="C200" s="495">
        <f>DATE(IF(MONTH(C199)&gt;=4,YEAR(C199)+1,YEAR(C199)),3,31)</f>
        <v>47208</v>
      </c>
    </row>
    <row r="201" spans="1:13" x14ac:dyDescent="0.3">
      <c r="B201" s="169" t="s">
        <v>323</v>
      </c>
      <c r="C201" s="492" t="s">
        <v>324</v>
      </c>
    </row>
    <row r="202" spans="1:13" x14ac:dyDescent="0.3">
      <c r="B202" s="169" t="s">
        <v>325</v>
      </c>
      <c r="C202" s="493">
        <v>0.05</v>
      </c>
    </row>
    <row r="203" spans="1:13" x14ac:dyDescent="0.3">
      <c r="B203" s="169" t="s">
        <v>297</v>
      </c>
      <c r="C203" s="493">
        <v>0.05</v>
      </c>
    </row>
    <row r="204" spans="1:13" x14ac:dyDescent="0.3">
      <c r="B204" s="169" t="s">
        <v>298</v>
      </c>
      <c r="C204" s="493">
        <v>0.05</v>
      </c>
    </row>
    <row r="205" spans="1:13" ht="15.6" x14ac:dyDescent="0.45">
      <c r="B205" s="494" t="s">
        <v>336</v>
      </c>
      <c r="C205" s="533">
        <f ca="1">'Cost &amp; Means'!M36*0+95</f>
        <v>95</v>
      </c>
      <c r="D205" s="45"/>
      <c r="F205" s="52"/>
    </row>
    <row r="206" spans="1:13" x14ac:dyDescent="0.3">
      <c r="B206" s="169" t="s">
        <v>337</v>
      </c>
      <c r="C206" s="604">
        <v>8.5000000000000006E-2</v>
      </c>
    </row>
    <row r="207" spans="1:13" x14ac:dyDescent="0.3">
      <c r="B207" s="169" t="s">
        <v>296</v>
      </c>
      <c r="C207" s="492" t="s">
        <v>338</v>
      </c>
    </row>
    <row r="208" spans="1:13" x14ac:dyDescent="0.3">
      <c r="B208" s="169" t="s">
        <v>339</v>
      </c>
      <c r="C208" s="534">
        <v>15</v>
      </c>
    </row>
    <row r="209" spans="2:276" x14ac:dyDescent="0.3">
      <c r="B209" s="437" t="s">
        <v>431</v>
      </c>
      <c r="C209" s="498">
        <f>EOMONTH(C198,C208*12)</f>
        <v>52443</v>
      </c>
    </row>
    <row r="210" spans="2:276" x14ac:dyDescent="0.3">
      <c r="C210" s="77"/>
    </row>
    <row r="211" spans="2:276" x14ac:dyDescent="0.3">
      <c r="C211" s="77"/>
    </row>
    <row r="212" spans="2:276" ht="14.4" thickBot="1" x14ac:dyDescent="0.35">
      <c r="B212" s="540" t="s">
        <v>331</v>
      </c>
      <c r="C212" s="471"/>
      <c r="D212" s="471"/>
      <c r="E212" s="471"/>
      <c r="F212" s="471"/>
      <c r="G212" s="471"/>
      <c r="H212" s="471"/>
      <c r="I212" s="471"/>
      <c r="J212" s="471"/>
      <c r="K212" s="471"/>
      <c r="L212" s="471"/>
      <c r="M212" s="471"/>
      <c r="N212" s="471"/>
      <c r="O212" s="471"/>
      <c r="P212" s="471"/>
      <c r="Q212" s="471"/>
      <c r="R212" s="471"/>
      <c r="S212" s="471"/>
      <c r="T212" s="471"/>
      <c r="U212" s="471"/>
      <c r="V212" s="471"/>
      <c r="W212" s="471"/>
      <c r="X212" s="471"/>
      <c r="Y212" s="471"/>
      <c r="Z212" s="471"/>
      <c r="AA212" s="471"/>
      <c r="AB212" s="471"/>
      <c r="AC212" s="471"/>
      <c r="AD212" s="471"/>
      <c r="AE212" s="471"/>
      <c r="AF212" s="471"/>
      <c r="AG212" s="471"/>
      <c r="AH212" s="471"/>
      <c r="AI212" s="471"/>
      <c r="AJ212" s="471"/>
      <c r="AK212" s="471"/>
      <c r="AL212" s="471"/>
      <c r="AM212" s="471"/>
      <c r="AN212" s="471"/>
      <c r="AO212" s="471"/>
      <c r="AP212" s="471"/>
      <c r="AQ212" s="471"/>
      <c r="AR212" s="471"/>
      <c r="AS212" s="471"/>
      <c r="AT212" s="471"/>
      <c r="AU212" s="471"/>
      <c r="AV212" s="471"/>
      <c r="AW212" s="471"/>
      <c r="AX212" s="471"/>
      <c r="AY212" s="471"/>
      <c r="AZ212" s="471"/>
      <c r="BA212" s="471"/>
      <c r="BB212" s="471"/>
      <c r="BC212" s="471"/>
      <c r="BD212" s="471"/>
      <c r="BE212" s="471"/>
      <c r="BF212" s="471"/>
      <c r="BG212" s="471"/>
      <c r="BH212" s="471"/>
      <c r="BI212" s="471"/>
      <c r="BJ212" s="471"/>
      <c r="BK212" s="471"/>
      <c r="BL212" s="471"/>
      <c r="BM212" s="471"/>
      <c r="BN212" s="471"/>
      <c r="BO212" s="471"/>
      <c r="BP212" s="471"/>
      <c r="BQ212" s="471"/>
      <c r="BR212" s="471"/>
      <c r="BS212" s="471"/>
      <c r="BT212" s="471"/>
      <c r="BU212" s="471"/>
      <c r="BV212" s="471"/>
      <c r="BW212" s="471"/>
      <c r="BX212" s="471"/>
      <c r="BY212" s="471"/>
      <c r="BZ212" s="471"/>
      <c r="CA212" s="471"/>
      <c r="CB212" s="471"/>
      <c r="CC212" s="471"/>
      <c r="CD212" s="471"/>
      <c r="CE212" s="471"/>
      <c r="CF212" s="471"/>
      <c r="CG212" s="471"/>
      <c r="CH212" s="471"/>
      <c r="CI212" s="471"/>
      <c r="CJ212" s="471"/>
      <c r="CK212" s="471"/>
      <c r="CL212" s="471"/>
      <c r="CM212" s="471"/>
      <c r="CN212" s="471"/>
      <c r="CO212" s="471"/>
      <c r="CP212" s="471"/>
      <c r="CQ212" s="471"/>
      <c r="CR212" s="471"/>
      <c r="CS212" s="471"/>
      <c r="CT212" s="471"/>
      <c r="CU212" s="471"/>
      <c r="CV212" s="471"/>
      <c r="CW212" s="471"/>
      <c r="CX212" s="471"/>
      <c r="CY212" s="471"/>
      <c r="CZ212" s="471"/>
      <c r="DA212" s="471"/>
      <c r="DB212" s="471"/>
      <c r="DC212" s="471"/>
      <c r="DD212" s="471"/>
      <c r="DE212" s="471"/>
      <c r="DF212" s="471"/>
      <c r="DG212" s="471"/>
      <c r="DH212" s="471"/>
      <c r="DI212" s="471"/>
      <c r="DJ212" s="471"/>
      <c r="DK212" s="471"/>
      <c r="DL212" s="471"/>
      <c r="DM212" s="471"/>
      <c r="DN212" s="471"/>
      <c r="DO212" s="471"/>
      <c r="DP212" s="471"/>
      <c r="DQ212" s="471"/>
      <c r="DR212" s="471"/>
      <c r="DS212" s="471"/>
      <c r="DT212" s="471"/>
      <c r="DU212" s="471"/>
      <c r="DV212" s="471"/>
      <c r="DW212" s="471"/>
      <c r="DX212" s="471"/>
      <c r="DY212" s="471"/>
      <c r="DZ212" s="471"/>
      <c r="EA212" s="471"/>
      <c r="EB212" s="471"/>
      <c r="EC212" s="471"/>
      <c r="ED212" s="471"/>
      <c r="EE212" s="471"/>
      <c r="EF212" s="471"/>
      <c r="EG212" s="471"/>
      <c r="EH212" s="471"/>
      <c r="EI212" s="471"/>
      <c r="EJ212" s="471"/>
      <c r="EK212" s="471"/>
      <c r="EL212" s="471"/>
      <c r="EM212" s="471"/>
      <c r="EN212" s="471"/>
      <c r="EO212" s="471"/>
      <c r="EP212" s="471"/>
      <c r="EQ212" s="471"/>
      <c r="ER212" s="471"/>
      <c r="ES212" s="471"/>
      <c r="ET212" s="471"/>
      <c r="EU212" s="471"/>
      <c r="EV212" s="471"/>
      <c r="EW212" s="471"/>
      <c r="EX212" s="471"/>
      <c r="EY212" s="471"/>
      <c r="EZ212" s="471"/>
      <c r="FA212" s="471"/>
      <c r="FB212" s="471"/>
      <c r="FC212" s="471"/>
      <c r="FD212" s="471"/>
      <c r="FE212" s="471"/>
      <c r="FF212" s="471"/>
      <c r="FG212" s="471"/>
      <c r="FH212" s="471"/>
      <c r="FI212" s="471"/>
      <c r="FJ212" s="471"/>
      <c r="FK212" s="471"/>
      <c r="FL212" s="471"/>
      <c r="FM212" s="471"/>
      <c r="FN212" s="471"/>
      <c r="FO212" s="471"/>
      <c r="FP212" s="471"/>
      <c r="FQ212" s="471"/>
      <c r="FR212" s="471"/>
      <c r="FS212" s="471"/>
      <c r="FT212" s="471"/>
      <c r="FU212" s="471"/>
      <c r="FV212" s="471"/>
      <c r="FW212" s="471"/>
      <c r="FX212" s="471"/>
      <c r="FY212" s="471"/>
      <c r="FZ212" s="471"/>
      <c r="GA212" s="471"/>
      <c r="GB212" s="471"/>
      <c r="GC212" s="471"/>
      <c r="GD212" s="471"/>
      <c r="GE212" s="471"/>
      <c r="GF212" s="471"/>
      <c r="GG212" s="471"/>
      <c r="GH212" s="471"/>
      <c r="GI212" s="471"/>
      <c r="GJ212" s="471"/>
      <c r="GK212" s="471"/>
      <c r="GL212" s="471"/>
      <c r="GM212" s="471"/>
      <c r="GN212" s="471"/>
      <c r="GO212" s="471"/>
      <c r="GP212" s="471"/>
      <c r="GQ212" s="471"/>
      <c r="GR212" s="471"/>
      <c r="GS212" s="471"/>
      <c r="GT212" s="471"/>
      <c r="GU212" s="471"/>
      <c r="GV212" s="471"/>
      <c r="GW212" s="471"/>
      <c r="GX212" s="471"/>
      <c r="GY212" s="471"/>
      <c r="GZ212" s="471"/>
      <c r="HA212" s="471"/>
      <c r="HB212" s="471"/>
      <c r="HC212" s="471"/>
      <c r="HD212" s="471"/>
      <c r="HE212" s="471"/>
      <c r="HF212" s="471"/>
      <c r="HG212" s="471"/>
      <c r="HH212" s="471"/>
      <c r="HI212" s="471"/>
      <c r="HJ212" s="471"/>
      <c r="HK212" s="471"/>
      <c r="HL212" s="471"/>
      <c r="HM212" s="471"/>
      <c r="HN212" s="471"/>
      <c r="HO212" s="471"/>
      <c r="HP212" s="471"/>
      <c r="HQ212" s="471"/>
      <c r="HR212" s="471"/>
      <c r="HS212" s="471"/>
      <c r="HT212" s="471"/>
      <c r="HU212" s="471"/>
      <c r="HV212" s="471"/>
      <c r="HW212" s="471"/>
      <c r="HX212" s="471"/>
      <c r="HY212" s="471"/>
      <c r="HZ212" s="471"/>
      <c r="IA212" s="471"/>
      <c r="IB212" s="471"/>
      <c r="IC212" s="471"/>
      <c r="ID212" s="471"/>
      <c r="IE212" s="471"/>
      <c r="IF212" s="471"/>
      <c r="IG212" s="471"/>
      <c r="IH212" s="471"/>
      <c r="II212" s="471"/>
      <c r="IJ212" s="471"/>
      <c r="IK212" s="471"/>
      <c r="IL212" s="471"/>
      <c r="IM212" s="471"/>
      <c r="IN212" s="471"/>
      <c r="IO212" s="471"/>
      <c r="IP212" s="471"/>
      <c r="IQ212" s="471"/>
      <c r="IR212" s="471"/>
      <c r="IS212" s="471"/>
      <c r="IT212" s="471"/>
      <c r="IU212" s="471"/>
      <c r="IV212" s="471"/>
      <c r="IW212" s="471"/>
      <c r="IX212" s="471"/>
      <c r="IY212" s="471"/>
      <c r="IZ212" s="471"/>
      <c r="JA212" s="471"/>
      <c r="JB212" s="471"/>
      <c r="JC212" s="471"/>
      <c r="JD212" s="471"/>
      <c r="JE212" s="471"/>
      <c r="JF212" s="471"/>
      <c r="JG212" s="471"/>
      <c r="JH212" s="471"/>
      <c r="JI212" s="471"/>
      <c r="JJ212" s="551"/>
    </row>
    <row r="213" spans="2:276" ht="14.4" thickTop="1" x14ac:dyDescent="0.3">
      <c r="B213" s="169" t="s">
        <v>330</v>
      </c>
      <c r="C213" s="501">
        <f>IF(C216&gt;0,IF(MONTH(C214)&gt;3,DATE(YEAR(C214)+1,3,31),DATE(YEAR(C214),3,31)),0)</f>
        <v>0</v>
      </c>
      <c r="D213" s="501">
        <f t="shared" ref="D213:BO213" si="197">IF(D216&gt;0,IF(MONTH(D214)&gt;3,DATE(YEAR(D214)+1,3,31),DATE(YEAR(D214),3,31)),0)</f>
        <v>0</v>
      </c>
      <c r="E213" s="501">
        <f t="shared" si="197"/>
        <v>0</v>
      </c>
      <c r="F213" s="501">
        <f t="shared" si="197"/>
        <v>0</v>
      </c>
      <c r="G213" s="501">
        <f t="shared" si="197"/>
        <v>0</v>
      </c>
      <c r="H213" s="501">
        <f t="shared" si="197"/>
        <v>0</v>
      </c>
      <c r="I213" s="501">
        <f t="shared" si="197"/>
        <v>0</v>
      </c>
      <c r="J213" s="501">
        <f t="shared" si="197"/>
        <v>0</v>
      </c>
      <c r="K213" s="501">
        <f t="shared" si="197"/>
        <v>0</v>
      </c>
      <c r="L213" s="501">
        <f t="shared" si="197"/>
        <v>0</v>
      </c>
      <c r="M213" s="501">
        <f t="shared" si="197"/>
        <v>0</v>
      </c>
      <c r="N213" s="501">
        <f t="shared" si="197"/>
        <v>0</v>
      </c>
      <c r="O213" s="501">
        <f t="shared" si="197"/>
        <v>0</v>
      </c>
      <c r="P213" s="501">
        <f t="shared" si="197"/>
        <v>0</v>
      </c>
      <c r="Q213" s="501">
        <f t="shared" si="197"/>
        <v>0</v>
      </c>
      <c r="R213" s="501">
        <f t="shared" si="197"/>
        <v>0</v>
      </c>
      <c r="S213" s="501">
        <f t="shared" si="197"/>
        <v>0</v>
      </c>
      <c r="T213" s="501">
        <f t="shared" si="197"/>
        <v>0</v>
      </c>
      <c r="U213" s="501">
        <f t="shared" si="197"/>
        <v>0</v>
      </c>
      <c r="V213" s="501">
        <f t="shared" si="197"/>
        <v>0</v>
      </c>
      <c r="W213" s="501">
        <f t="shared" si="197"/>
        <v>0</v>
      </c>
      <c r="X213" s="501">
        <f t="shared" si="197"/>
        <v>0</v>
      </c>
      <c r="Y213" s="501">
        <f t="shared" si="197"/>
        <v>0</v>
      </c>
      <c r="Z213" s="501">
        <f t="shared" si="197"/>
        <v>0</v>
      </c>
      <c r="AA213" s="501">
        <f t="shared" si="197"/>
        <v>0</v>
      </c>
      <c r="AB213" s="501">
        <f t="shared" si="197"/>
        <v>0</v>
      </c>
      <c r="AC213" s="501">
        <f t="shared" si="197"/>
        <v>0</v>
      </c>
      <c r="AD213" s="501">
        <f t="shared" si="197"/>
        <v>0</v>
      </c>
      <c r="AE213" s="501">
        <f t="shared" si="197"/>
        <v>0</v>
      </c>
      <c r="AF213" s="501">
        <f t="shared" si="197"/>
        <v>0</v>
      </c>
      <c r="AG213" s="501">
        <f t="shared" si="197"/>
        <v>47208</v>
      </c>
      <c r="AH213" s="501">
        <f t="shared" si="197"/>
        <v>47208</v>
      </c>
      <c r="AI213" s="501">
        <f t="shared" si="197"/>
        <v>47208</v>
      </c>
      <c r="AJ213" s="501">
        <f t="shared" si="197"/>
        <v>47208</v>
      </c>
      <c r="AK213" s="501">
        <f t="shared" si="197"/>
        <v>47208</v>
      </c>
      <c r="AL213" s="501">
        <f t="shared" si="197"/>
        <v>47208</v>
      </c>
      <c r="AM213" s="501">
        <f t="shared" si="197"/>
        <v>47208</v>
      </c>
      <c r="AN213" s="501">
        <f t="shared" si="197"/>
        <v>47208</v>
      </c>
      <c r="AO213" s="501">
        <f t="shared" si="197"/>
        <v>47208</v>
      </c>
      <c r="AP213" s="501">
        <f t="shared" si="197"/>
        <v>47573</v>
      </c>
      <c r="AQ213" s="501">
        <f t="shared" si="197"/>
        <v>47573</v>
      </c>
      <c r="AR213" s="501">
        <f t="shared" si="197"/>
        <v>47573</v>
      </c>
      <c r="AS213" s="501">
        <f t="shared" si="197"/>
        <v>47573</v>
      </c>
      <c r="AT213" s="501">
        <f t="shared" si="197"/>
        <v>47573</v>
      </c>
      <c r="AU213" s="501">
        <f t="shared" si="197"/>
        <v>47573</v>
      </c>
      <c r="AV213" s="501">
        <f t="shared" si="197"/>
        <v>47573</v>
      </c>
      <c r="AW213" s="501">
        <f t="shared" si="197"/>
        <v>47573</v>
      </c>
      <c r="AX213" s="501">
        <f t="shared" si="197"/>
        <v>47573</v>
      </c>
      <c r="AY213" s="501">
        <f t="shared" si="197"/>
        <v>47573</v>
      </c>
      <c r="AZ213" s="501">
        <f t="shared" si="197"/>
        <v>47573</v>
      </c>
      <c r="BA213" s="501">
        <f t="shared" si="197"/>
        <v>47573</v>
      </c>
      <c r="BB213" s="501">
        <f t="shared" si="197"/>
        <v>47938</v>
      </c>
      <c r="BC213" s="501">
        <f t="shared" si="197"/>
        <v>47938</v>
      </c>
      <c r="BD213" s="501">
        <f t="shared" si="197"/>
        <v>47938</v>
      </c>
      <c r="BE213" s="501">
        <f t="shared" si="197"/>
        <v>47938</v>
      </c>
      <c r="BF213" s="501">
        <f t="shared" si="197"/>
        <v>47938</v>
      </c>
      <c r="BG213" s="501">
        <f t="shared" si="197"/>
        <v>47938</v>
      </c>
      <c r="BH213" s="501">
        <f t="shared" si="197"/>
        <v>47938</v>
      </c>
      <c r="BI213" s="501">
        <f t="shared" si="197"/>
        <v>47938</v>
      </c>
      <c r="BJ213" s="501">
        <f t="shared" si="197"/>
        <v>47938</v>
      </c>
      <c r="BK213" s="501">
        <f t="shared" si="197"/>
        <v>47938</v>
      </c>
      <c r="BL213" s="501">
        <f t="shared" si="197"/>
        <v>47938</v>
      </c>
      <c r="BM213" s="501">
        <f t="shared" si="197"/>
        <v>47938</v>
      </c>
      <c r="BN213" s="501">
        <f t="shared" si="197"/>
        <v>48304</v>
      </c>
      <c r="BO213" s="501">
        <f t="shared" si="197"/>
        <v>48304</v>
      </c>
      <c r="BP213" s="501">
        <f t="shared" ref="BP213:EA213" si="198">IF(BP216&gt;0,IF(MONTH(BP214)&gt;3,DATE(YEAR(BP214)+1,3,31),DATE(YEAR(BP214),3,31)),0)</f>
        <v>48304</v>
      </c>
      <c r="BQ213" s="501">
        <f t="shared" si="198"/>
        <v>48304</v>
      </c>
      <c r="BR213" s="501">
        <f t="shared" si="198"/>
        <v>48304</v>
      </c>
      <c r="BS213" s="501">
        <f t="shared" si="198"/>
        <v>48304</v>
      </c>
      <c r="BT213" s="501">
        <f t="shared" si="198"/>
        <v>48304</v>
      </c>
      <c r="BU213" s="501">
        <f t="shared" si="198"/>
        <v>48304</v>
      </c>
      <c r="BV213" s="501">
        <f t="shared" si="198"/>
        <v>48304</v>
      </c>
      <c r="BW213" s="501">
        <f t="shared" si="198"/>
        <v>48304</v>
      </c>
      <c r="BX213" s="501">
        <f t="shared" si="198"/>
        <v>48304</v>
      </c>
      <c r="BY213" s="501">
        <f t="shared" si="198"/>
        <v>48304</v>
      </c>
      <c r="BZ213" s="501">
        <f t="shared" si="198"/>
        <v>48669</v>
      </c>
      <c r="CA213" s="501">
        <f t="shared" si="198"/>
        <v>48669</v>
      </c>
      <c r="CB213" s="501">
        <f t="shared" si="198"/>
        <v>48669</v>
      </c>
      <c r="CC213" s="501">
        <f t="shared" si="198"/>
        <v>48669</v>
      </c>
      <c r="CD213" s="501">
        <f t="shared" si="198"/>
        <v>48669</v>
      </c>
      <c r="CE213" s="501">
        <f t="shared" si="198"/>
        <v>48669</v>
      </c>
      <c r="CF213" s="501">
        <f t="shared" si="198"/>
        <v>48669</v>
      </c>
      <c r="CG213" s="501">
        <f t="shared" si="198"/>
        <v>48669</v>
      </c>
      <c r="CH213" s="501">
        <f t="shared" si="198"/>
        <v>48669</v>
      </c>
      <c r="CI213" s="501">
        <f t="shared" si="198"/>
        <v>48669</v>
      </c>
      <c r="CJ213" s="501">
        <f t="shared" si="198"/>
        <v>48669</v>
      </c>
      <c r="CK213" s="501">
        <f t="shared" si="198"/>
        <v>48669</v>
      </c>
      <c r="CL213" s="501">
        <f t="shared" si="198"/>
        <v>49034</v>
      </c>
      <c r="CM213" s="501">
        <f t="shared" si="198"/>
        <v>49034</v>
      </c>
      <c r="CN213" s="501">
        <f t="shared" si="198"/>
        <v>49034</v>
      </c>
      <c r="CO213" s="501">
        <f t="shared" si="198"/>
        <v>49034</v>
      </c>
      <c r="CP213" s="501">
        <f t="shared" si="198"/>
        <v>49034</v>
      </c>
      <c r="CQ213" s="501">
        <f t="shared" si="198"/>
        <v>49034</v>
      </c>
      <c r="CR213" s="501">
        <f t="shared" si="198"/>
        <v>49034</v>
      </c>
      <c r="CS213" s="501">
        <f t="shared" si="198"/>
        <v>49034</v>
      </c>
      <c r="CT213" s="501">
        <f t="shared" si="198"/>
        <v>49034</v>
      </c>
      <c r="CU213" s="501">
        <f t="shared" si="198"/>
        <v>49034</v>
      </c>
      <c r="CV213" s="501">
        <f t="shared" si="198"/>
        <v>49034</v>
      </c>
      <c r="CW213" s="501">
        <f t="shared" si="198"/>
        <v>49034</v>
      </c>
      <c r="CX213" s="501">
        <f t="shared" si="198"/>
        <v>49399</v>
      </c>
      <c r="CY213" s="501">
        <f t="shared" si="198"/>
        <v>49399</v>
      </c>
      <c r="CZ213" s="501">
        <f t="shared" si="198"/>
        <v>49399</v>
      </c>
      <c r="DA213" s="501">
        <f t="shared" si="198"/>
        <v>49399</v>
      </c>
      <c r="DB213" s="501">
        <f t="shared" si="198"/>
        <v>49399</v>
      </c>
      <c r="DC213" s="501">
        <f t="shared" si="198"/>
        <v>49399</v>
      </c>
      <c r="DD213" s="501">
        <f t="shared" si="198"/>
        <v>49399</v>
      </c>
      <c r="DE213" s="501">
        <f t="shared" si="198"/>
        <v>49399</v>
      </c>
      <c r="DF213" s="501">
        <f t="shared" si="198"/>
        <v>49399</v>
      </c>
      <c r="DG213" s="501">
        <f t="shared" si="198"/>
        <v>49399</v>
      </c>
      <c r="DH213" s="501">
        <f t="shared" si="198"/>
        <v>49399</v>
      </c>
      <c r="DI213" s="501">
        <f t="shared" si="198"/>
        <v>49399</v>
      </c>
      <c r="DJ213" s="501">
        <f t="shared" si="198"/>
        <v>49765</v>
      </c>
      <c r="DK213" s="501">
        <f t="shared" si="198"/>
        <v>49765</v>
      </c>
      <c r="DL213" s="501">
        <f t="shared" si="198"/>
        <v>49765</v>
      </c>
      <c r="DM213" s="501">
        <f t="shared" si="198"/>
        <v>49765</v>
      </c>
      <c r="DN213" s="501">
        <f t="shared" si="198"/>
        <v>49765</v>
      </c>
      <c r="DO213" s="501">
        <f t="shared" si="198"/>
        <v>49765</v>
      </c>
      <c r="DP213" s="501">
        <f t="shared" si="198"/>
        <v>49765</v>
      </c>
      <c r="DQ213" s="501">
        <f t="shared" si="198"/>
        <v>49765</v>
      </c>
      <c r="DR213" s="501">
        <f t="shared" si="198"/>
        <v>49765</v>
      </c>
      <c r="DS213" s="501">
        <f t="shared" si="198"/>
        <v>49765</v>
      </c>
      <c r="DT213" s="501">
        <f t="shared" si="198"/>
        <v>49765</v>
      </c>
      <c r="DU213" s="501">
        <f t="shared" si="198"/>
        <v>49765</v>
      </c>
      <c r="DV213" s="501">
        <f t="shared" si="198"/>
        <v>50130</v>
      </c>
      <c r="DW213" s="501">
        <f t="shared" si="198"/>
        <v>50130</v>
      </c>
      <c r="DX213" s="501">
        <f t="shared" si="198"/>
        <v>50130</v>
      </c>
      <c r="DY213" s="501">
        <f t="shared" si="198"/>
        <v>50130</v>
      </c>
      <c r="DZ213" s="501">
        <f t="shared" si="198"/>
        <v>50130</v>
      </c>
      <c r="EA213" s="501">
        <f t="shared" si="198"/>
        <v>50130</v>
      </c>
      <c r="EB213" s="501">
        <f t="shared" ref="EB213:GM213" si="199">IF(EB216&gt;0,IF(MONTH(EB214)&gt;3,DATE(YEAR(EB214)+1,3,31),DATE(YEAR(EB214),3,31)),0)</f>
        <v>50130</v>
      </c>
      <c r="EC213" s="501">
        <f t="shared" si="199"/>
        <v>50130</v>
      </c>
      <c r="ED213" s="501">
        <f t="shared" si="199"/>
        <v>50130</v>
      </c>
      <c r="EE213" s="501">
        <f t="shared" si="199"/>
        <v>50130</v>
      </c>
      <c r="EF213" s="501">
        <f t="shared" si="199"/>
        <v>50130</v>
      </c>
      <c r="EG213" s="501">
        <f t="shared" si="199"/>
        <v>50130</v>
      </c>
      <c r="EH213" s="501">
        <f t="shared" si="199"/>
        <v>50495</v>
      </c>
      <c r="EI213" s="501">
        <f t="shared" si="199"/>
        <v>50495</v>
      </c>
      <c r="EJ213" s="501">
        <f t="shared" si="199"/>
        <v>50495</v>
      </c>
      <c r="EK213" s="501">
        <f t="shared" si="199"/>
        <v>50495</v>
      </c>
      <c r="EL213" s="501">
        <f t="shared" si="199"/>
        <v>50495</v>
      </c>
      <c r="EM213" s="501">
        <f t="shared" si="199"/>
        <v>50495</v>
      </c>
      <c r="EN213" s="501">
        <f t="shared" si="199"/>
        <v>50495</v>
      </c>
      <c r="EO213" s="501">
        <f t="shared" si="199"/>
        <v>50495</v>
      </c>
      <c r="EP213" s="501">
        <f t="shared" si="199"/>
        <v>50495</v>
      </c>
      <c r="EQ213" s="501">
        <f t="shared" si="199"/>
        <v>50495</v>
      </c>
      <c r="ER213" s="501">
        <f t="shared" si="199"/>
        <v>50495</v>
      </c>
      <c r="ES213" s="501">
        <f t="shared" si="199"/>
        <v>50495</v>
      </c>
      <c r="ET213" s="501">
        <f t="shared" si="199"/>
        <v>50860</v>
      </c>
      <c r="EU213" s="501">
        <f t="shared" si="199"/>
        <v>50860</v>
      </c>
      <c r="EV213" s="501">
        <f t="shared" si="199"/>
        <v>50860</v>
      </c>
      <c r="EW213" s="501">
        <f t="shared" si="199"/>
        <v>50860</v>
      </c>
      <c r="EX213" s="501">
        <f t="shared" si="199"/>
        <v>50860</v>
      </c>
      <c r="EY213" s="501">
        <f t="shared" si="199"/>
        <v>50860</v>
      </c>
      <c r="EZ213" s="501">
        <f t="shared" si="199"/>
        <v>50860</v>
      </c>
      <c r="FA213" s="501">
        <f t="shared" si="199"/>
        <v>50860</v>
      </c>
      <c r="FB213" s="501">
        <f t="shared" si="199"/>
        <v>50860</v>
      </c>
      <c r="FC213" s="501">
        <f t="shared" si="199"/>
        <v>50860</v>
      </c>
      <c r="FD213" s="501">
        <f t="shared" si="199"/>
        <v>50860</v>
      </c>
      <c r="FE213" s="501">
        <f t="shared" si="199"/>
        <v>50860</v>
      </c>
      <c r="FF213" s="501">
        <f t="shared" si="199"/>
        <v>51226</v>
      </c>
      <c r="FG213" s="501">
        <f t="shared" si="199"/>
        <v>51226</v>
      </c>
      <c r="FH213" s="501">
        <f t="shared" si="199"/>
        <v>51226</v>
      </c>
      <c r="FI213" s="501">
        <f t="shared" si="199"/>
        <v>51226</v>
      </c>
      <c r="FJ213" s="501">
        <f t="shared" si="199"/>
        <v>51226</v>
      </c>
      <c r="FK213" s="501">
        <f t="shared" si="199"/>
        <v>51226</v>
      </c>
      <c r="FL213" s="501">
        <f t="shared" si="199"/>
        <v>51226</v>
      </c>
      <c r="FM213" s="501">
        <f t="shared" si="199"/>
        <v>51226</v>
      </c>
      <c r="FN213" s="501">
        <f t="shared" si="199"/>
        <v>51226</v>
      </c>
      <c r="FO213" s="501">
        <f t="shared" si="199"/>
        <v>51226</v>
      </c>
      <c r="FP213" s="501">
        <f t="shared" si="199"/>
        <v>51226</v>
      </c>
      <c r="FQ213" s="501">
        <f t="shared" si="199"/>
        <v>51226</v>
      </c>
      <c r="FR213" s="501">
        <f t="shared" si="199"/>
        <v>51591</v>
      </c>
      <c r="FS213" s="501">
        <f t="shared" si="199"/>
        <v>51591</v>
      </c>
      <c r="FT213" s="501">
        <f t="shared" si="199"/>
        <v>51591</v>
      </c>
      <c r="FU213" s="501">
        <f t="shared" si="199"/>
        <v>51591</v>
      </c>
      <c r="FV213" s="501">
        <f t="shared" si="199"/>
        <v>51591</v>
      </c>
      <c r="FW213" s="501">
        <f t="shared" si="199"/>
        <v>51591</v>
      </c>
      <c r="FX213" s="501">
        <f t="shared" si="199"/>
        <v>51591</v>
      </c>
      <c r="FY213" s="501">
        <f t="shared" si="199"/>
        <v>51591</v>
      </c>
      <c r="FZ213" s="501">
        <f t="shared" si="199"/>
        <v>51591</v>
      </c>
      <c r="GA213" s="501">
        <f t="shared" si="199"/>
        <v>51591</v>
      </c>
      <c r="GB213" s="501">
        <f t="shared" si="199"/>
        <v>51591</v>
      </c>
      <c r="GC213" s="501">
        <f t="shared" si="199"/>
        <v>51591</v>
      </c>
      <c r="GD213" s="501">
        <f t="shared" si="199"/>
        <v>51956</v>
      </c>
      <c r="GE213" s="501">
        <f t="shared" si="199"/>
        <v>51956</v>
      </c>
      <c r="GF213" s="501">
        <f t="shared" si="199"/>
        <v>51956</v>
      </c>
      <c r="GG213" s="501">
        <f t="shared" si="199"/>
        <v>51956</v>
      </c>
      <c r="GH213" s="501">
        <f t="shared" si="199"/>
        <v>51956</v>
      </c>
      <c r="GI213" s="501">
        <f t="shared" si="199"/>
        <v>51956</v>
      </c>
      <c r="GJ213" s="501">
        <f t="shared" si="199"/>
        <v>51956</v>
      </c>
      <c r="GK213" s="501">
        <f t="shared" si="199"/>
        <v>51956</v>
      </c>
      <c r="GL213" s="501">
        <f t="shared" si="199"/>
        <v>51956</v>
      </c>
      <c r="GM213" s="501">
        <f t="shared" si="199"/>
        <v>51956</v>
      </c>
      <c r="GN213" s="501">
        <f t="shared" ref="GN213:IY213" si="200">IF(GN216&gt;0,IF(MONTH(GN214)&gt;3,DATE(YEAR(GN214)+1,3,31),DATE(YEAR(GN214),3,31)),0)</f>
        <v>51956</v>
      </c>
      <c r="GO213" s="501">
        <f t="shared" si="200"/>
        <v>51956</v>
      </c>
      <c r="GP213" s="501">
        <f t="shared" si="200"/>
        <v>52321</v>
      </c>
      <c r="GQ213" s="501">
        <f t="shared" si="200"/>
        <v>52321</v>
      </c>
      <c r="GR213" s="501">
        <f t="shared" si="200"/>
        <v>52321</v>
      </c>
      <c r="GS213" s="501">
        <f t="shared" si="200"/>
        <v>52321</v>
      </c>
      <c r="GT213" s="501">
        <f t="shared" si="200"/>
        <v>52321</v>
      </c>
      <c r="GU213" s="501">
        <f t="shared" si="200"/>
        <v>52321</v>
      </c>
      <c r="GV213" s="501">
        <f t="shared" si="200"/>
        <v>52321</v>
      </c>
      <c r="GW213" s="501">
        <f t="shared" si="200"/>
        <v>52321</v>
      </c>
      <c r="GX213" s="501">
        <f t="shared" si="200"/>
        <v>52321</v>
      </c>
      <c r="GY213" s="501">
        <f t="shared" si="200"/>
        <v>52321</v>
      </c>
      <c r="GZ213" s="501">
        <f t="shared" si="200"/>
        <v>52321</v>
      </c>
      <c r="HA213" s="501">
        <f t="shared" si="200"/>
        <v>52321</v>
      </c>
      <c r="HB213" s="501">
        <f t="shared" si="200"/>
        <v>52687</v>
      </c>
      <c r="HC213" s="501">
        <f t="shared" si="200"/>
        <v>52687</v>
      </c>
      <c r="HD213" s="501">
        <f t="shared" si="200"/>
        <v>52687</v>
      </c>
      <c r="HE213" s="501">
        <f t="shared" si="200"/>
        <v>52687</v>
      </c>
      <c r="HF213" s="501">
        <f t="shared" si="200"/>
        <v>52687</v>
      </c>
      <c r="HG213" s="501">
        <f t="shared" si="200"/>
        <v>52687</v>
      </c>
      <c r="HH213" s="501">
        <f t="shared" si="200"/>
        <v>52687</v>
      </c>
      <c r="HI213" s="501">
        <f t="shared" si="200"/>
        <v>52687</v>
      </c>
      <c r="HJ213" s="501">
        <f t="shared" si="200"/>
        <v>52687</v>
      </c>
      <c r="HK213" s="501">
        <f t="shared" si="200"/>
        <v>52687</v>
      </c>
      <c r="HL213" s="501">
        <f t="shared" si="200"/>
        <v>52687</v>
      </c>
      <c r="HM213" s="501">
        <f t="shared" si="200"/>
        <v>52687</v>
      </c>
      <c r="HN213" s="501">
        <f t="shared" si="200"/>
        <v>53052</v>
      </c>
      <c r="HO213" s="501">
        <f t="shared" si="200"/>
        <v>53052</v>
      </c>
      <c r="HP213" s="501">
        <f t="shared" si="200"/>
        <v>53052</v>
      </c>
      <c r="HQ213" s="501">
        <f t="shared" si="200"/>
        <v>53052</v>
      </c>
      <c r="HR213" s="501">
        <f t="shared" si="200"/>
        <v>53052</v>
      </c>
      <c r="HS213" s="501">
        <f t="shared" si="200"/>
        <v>53052</v>
      </c>
      <c r="HT213" s="501">
        <f t="shared" si="200"/>
        <v>53052</v>
      </c>
      <c r="HU213" s="501">
        <f t="shared" si="200"/>
        <v>53052</v>
      </c>
      <c r="HV213" s="501">
        <f t="shared" si="200"/>
        <v>53052</v>
      </c>
      <c r="HW213" s="501">
        <f t="shared" si="200"/>
        <v>53052</v>
      </c>
      <c r="HX213" s="501">
        <f t="shared" si="200"/>
        <v>53052</v>
      </c>
      <c r="HY213" s="501">
        <f t="shared" si="200"/>
        <v>53052</v>
      </c>
      <c r="HZ213" s="501">
        <f t="shared" si="200"/>
        <v>53417</v>
      </c>
      <c r="IA213" s="501">
        <f t="shared" si="200"/>
        <v>53417</v>
      </c>
      <c r="IB213" s="501">
        <f t="shared" si="200"/>
        <v>53417</v>
      </c>
      <c r="IC213" s="501">
        <f t="shared" si="200"/>
        <v>53417</v>
      </c>
      <c r="ID213" s="501">
        <f t="shared" si="200"/>
        <v>53417</v>
      </c>
      <c r="IE213" s="501">
        <f t="shared" si="200"/>
        <v>53417</v>
      </c>
      <c r="IF213" s="501">
        <f t="shared" si="200"/>
        <v>53417</v>
      </c>
      <c r="IG213" s="501">
        <f t="shared" si="200"/>
        <v>53417</v>
      </c>
      <c r="IH213" s="501">
        <f t="shared" si="200"/>
        <v>53417</v>
      </c>
      <c r="II213" s="501">
        <f t="shared" si="200"/>
        <v>53417</v>
      </c>
      <c r="IJ213" s="501">
        <f t="shared" si="200"/>
        <v>53417</v>
      </c>
      <c r="IK213" s="501">
        <f t="shared" si="200"/>
        <v>53417</v>
      </c>
      <c r="IL213" s="501">
        <f t="shared" si="200"/>
        <v>53782</v>
      </c>
      <c r="IM213" s="501">
        <f t="shared" si="200"/>
        <v>53782</v>
      </c>
      <c r="IN213" s="501">
        <f t="shared" si="200"/>
        <v>53782</v>
      </c>
      <c r="IO213" s="501">
        <f t="shared" si="200"/>
        <v>53782</v>
      </c>
      <c r="IP213" s="501">
        <f t="shared" si="200"/>
        <v>53782</v>
      </c>
      <c r="IQ213" s="501">
        <f t="shared" si="200"/>
        <v>53782</v>
      </c>
      <c r="IR213" s="501">
        <f t="shared" si="200"/>
        <v>53782</v>
      </c>
      <c r="IS213" s="501">
        <f t="shared" si="200"/>
        <v>53782</v>
      </c>
      <c r="IT213" s="501">
        <f t="shared" si="200"/>
        <v>53782</v>
      </c>
      <c r="IU213" s="501">
        <f t="shared" si="200"/>
        <v>53782</v>
      </c>
      <c r="IV213" s="501">
        <f t="shared" si="200"/>
        <v>53782</v>
      </c>
      <c r="IW213" s="501">
        <f t="shared" si="200"/>
        <v>53782</v>
      </c>
      <c r="IX213" s="501">
        <f t="shared" si="200"/>
        <v>54148</v>
      </c>
      <c r="IY213" s="501">
        <f t="shared" si="200"/>
        <v>54148</v>
      </c>
      <c r="IZ213" s="501">
        <f t="shared" ref="IZ213:JI213" si="201">IF(IZ216&gt;0,IF(MONTH(IZ214)&gt;3,DATE(YEAR(IZ214)+1,3,31),DATE(YEAR(IZ214),3,31)),0)</f>
        <v>54148</v>
      </c>
      <c r="JA213" s="501">
        <f t="shared" si="201"/>
        <v>54148</v>
      </c>
      <c r="JB213" s="501">
        <f t="shared" si="201"/>
        <v>54148</v>
      </c>
      <c r="JC213" s="501">
        <f t="shared" si="201"/>
        <v>54148</v>
      </c>
      <c r="JD213" s="501">
        <f t="shared" si="201"/>
        <v>54148</v>
      </c>
      <c r="JE213" s="501">
        <f t="shared" si="201"/>
        <v>54148</v>
      </c>
      <c r="JF213" s="501">
        <f t="shared" si="201"/>
        <v>54148</v>
      </c>
      <c r="JG213" s="501">
        <f t="shared" si="201"/>
        <v>54148</v>
      </c>
      <c r="JH213" s="501">
        <f t="shared" si="201"/>
        <v>54148</v>
      </c>
      <c r="JI213" s="501">
        <f t="shared" si="201"/>
        <v>54148</v>
      </c>
      <c r="JJ213" s="553">
        <f t="shared" ref="JJ213:JO213" si="202">IF(JJ216&gt;0,IF(MONTH(JJ214)&gt;3,DATE(YEAR(JJ214)+1,3,31),DATE(YEAR(JJ214),3,31)),0)</f>
        <v>0</v>
      </c>
      <c r="JK213" s="501">
        <f t="shared" si="202"/>
        <v>0</v>
      </c>
      <c r="JL213" s="501">
        <f t="shared" si="202"/>
        <v>0</v>
      </c>
      <c r="JM213" s="501">
        <f t="shared" si="202"/>
        <v>0</v>
      </c>
      <c r="JN213" s="501">
        <f t="shared" si="202"/>
        <v>0</v>
      </c>
      <c r="JO213" s="501">
        <f t="shared" si="202"/>
        <v>0</v>
      </c>
    </row>
    <row r="214" spans="2:276" x14ac:dyDescent="0.3">
      <c r="B214" s="169" t="s">
        <v>329</v>
      </c>
      <c r="C214" s="501">
        <f>C150</f>
        <v>46053</v>
      </c>
      <c r="D214" s="501">
        <f>EOMONTH(C214,1)</f>
        <v>46081</v>
      </c>
      <c r="E214" s="501">
        <f t="shared" ref="E214:BP215" si="203">EOMONTH(D214,1)</f>
        <v>46112</v>
      </c>
      <c r="F214" s="501">
        <f t="shared" si="203"/>
        <v>46142</v>
      </c>
      <c r="G214" s="501">
        <f t="shared" si="203"/>
        <v>46173</v>
      </c>
      <c r="H214" s="501">
        <f t="shared" si="203"/>
        <v>46203</v>
      </c>
      <c r="I214" s="501">
        <f t="shared" si="203"/>
        <v>46234</v>
      </c>
      <c r="J214" s="501">
        <f t="shared" si="203"/>
        <v>46265</v>
      </c>
      <c r="K214" s="501">
        <f t="shared" si="203"/>
        <v>46295</v>
      </c>
      <c r="L214" s="501">
        <f t="shared" si="203"/>
        <v>46326</v>
      </c>
      <c r="M214" s="501">
        <f t="shared" si="203"/>
        <v>46356</v>
      </c>
      <c r="N214" s="501">
        <f t="shared" si="203"/>
        <v>46387</v>
      </c>
      <c r="O214" s="501">
        <f t="shared" si="203"/>
        <v>46418</v>
      </c>
      <c r="P214" s="501">
        <f t="shared" si="203"/>
        <v>46446</v>
      </c>
      <c r="Q214" s="501">
        <f t="shared" si="203"/>
        <v>46477</v>
      </c>
      <c r="R214" s="501">
        <f t="shared" si="203"/>
        <v>46507</v>
      </c>
      <c r="S214" s="501">
        <f t="shared" si="203"/>
        <v>46538</v>
      </c>
      <c r="T214" s="501">
        <f t="shared" si="203"/>
        <v>46568</v>
      </c>
      <c r="U214" s="501">
        <f t="shared" si="203"/>
        <v>46599</v>
      </c>
      <c r="V214" s="501">
        <f t="shared" si="203"/>
        <v>46630</v>
      </c>
      <c r="W214" s="501">
        <f t="shared" si="203"/>
        <v>46660</v>
      </c>
      <c r="X214" s="501">
        <f t="shared" si="203"/>
        <v>46691</v>
      </c>
      <c r="Y214" s="501">
        <f t="shared" si="203"/>
        <v>46721</v>
      </c>
      <c r="Z214" s="501">
        <f t="shared" si="203"/>
        <v>46752</v>
      </c>
      <c r="AA214" s="501">
        <f t="shared" si="203"/>
        <v>46783</v>
      </c>
      <c r="AB214" s="501">
        <f t="shared" si="203"/>
        <v>46812</v>
      </c>
      <c r="AC214" s="501">
        <f t="shared" si="203"/>
        <v>46843</v>
      </c>
      <c r="AD214" s="501">
        <f t="shared" si="203"/>
        <v>46873</v>
      </c>
      <c r="AE214" s="501">
        <f t="shared" si="203"/>
        <v>46904</v>
      </c>
      <c r="AF214" s="501">
        <f t="shared" si="203"/>
        <v>46934</v>
      </c>
      <c r="AG214" s="501">
        <f t="shared" si="203"/>
        <v>46965</v>
      </c>
      <c r="AH214" s="501">
        <f t="shared" si="203"/>
        <v>46996</v>
      </c>
      <c r="AI214" s="501">
        <f t="shared" si="203"/>
        <v>47026</v>
      </c>
      <c r="AJ214" s="501">
        <f t="shared" si="203"/>
        <v>47057</v>
      </c>
      <c r="AK214" s="501">
        <f t="shared" si="203"/>
        <v>47087</v>
      </c>
      <c r="AL214" s="501">
        <f t="shared" si="203"/>
        <v>47118</v>
      </c>
      <c r="AM214" s="501">
        <f t="shared" si="203"/>
        <v>47149</v>
      </c>
      <c r="AN214" s="501">
        <f t="shared" si="203"/>
        <v>47177</v>
      </c>
      <c r="AO214" s="501">
        <f t="shared" si="203"/>
        <v>47208</v>
      </c>
      <c r="AP214" s="501">
        <f t="shared" si="203"/>
        <v>47238</v>
      </c>
      <c r="AQ214" s="501">
        <f t="shared" si="203"/>
        <v>47269</v>
      </c>
      <c r="AR214" s="501">
        <f t="shared" si="203"/>
        <v>47299</v>
      </c>
      <c r="AS214" s="501">
        <f t="shared" si="203"/>
        <v>47330</v>
      </c>
      <c r="AT214" s="501">
        <f t="shared" si="203"/>
        <v>47361</v>
      </c>
      <c r="AU214" s="501">
        <f t="shared" si="203"/>
        <v>47391</v>
      </c>
      <c r="AV214" s="501">
        <f t="shared" si="203"/>
        <v>47422</v>
      </c>
      <c r="AW214" s="501">
        <f t="shared" si="203"/>
        <v>47452</v>
      </c>
      <c r="AX214" s="501">
        <f t="shared" si="203"/>
        <v>47483</v>
      </c>
      <c r="AY214" s="501">
        <f t="shared" si="203"/>
        <v>47514</v>
      </c>
      <c r="AZ214" s="501">
        <f t="shared" si="203"/>
        <v>47542</v>
      </c>
      <c r="BA214" s="501">
        <f t="shared" si="203"/>
        <v>47573</v>
      </c>
      <c r="BB214" s="501">
        <f t="shared" si="203"/>
        <v>47603</v>
      </c>
      <c r="BC214" s="501">
        <f t="shared" si="203"/>
        <v>47634</v>
      </c>
      <c r="BD214" s="501">
        <f t="shared" si="203"/>
        <v>47664</v>
      </c>
      <c r="BE214" s="501">
        <f t="shared" si="203"/>
        <v>47695</v>
      </c>
      <c r="BF214" s="501">
        <f t="shared" si="203"/>
        <v>47726</v>
      </c>
      <c r="BG214" s="501">
        <f t="shared" si="203"/>
        <v>47756</v>
      </c>
      <c r="BH214" s="501">
        <f t="shared" si="203"/>
        <v>47787</v>
      </c>
      <c r="BI214" s="501">
        <f t="shared" si="203"/>
        <v>47817</v>
      </c>
      <c r="BJ214" s="501">
        <f t="shared" si="203"/>
        <v>47848</v>
      </c>
      <c r="BK214" s="501">
        <f t="shared" si="203"/>
        <v>47879</v>
      </c>
      <c r="BL214" s="501">
        <f t="shared" si="203"/>
        <v>47907</v>
      </c>
      <c r="BM214" s="501">
        <f t="shared" si="203"/>
        <v>47938</v>
      </c>
      <c r="BN214" s="501">
        <f t="shared" si="203"/>
        <v>47968</v>
      </c>
      <c r="BO214" s="501">
        <f t="shared" si="203"/>
        <v>47999</v>
      </c>
      <c r="BP214" s="501">
        <f t="shared" si="203"/>
        <v>48029</v>
      </c>
      <c r="BQ214" s="501">
        <f t="shared" ref="BQ214:EB215" si="204">EOMONTH(BP214,1)</f>
        <v>48060</v>
      </c>
      <c r="BR214" s="501">
        <f t="shared" si="204"/>
        <v>48091</v>
      </c>
      <c r="BS214" s="501">
        <f t="shared" si="204"/>
        <v>48121</v>
      </c>
      <c r="BT214" s="501">
        <f t="shared" si="204"/>
        <v>48152</v>
      </c>
      <c r="BU214" s="501">
        <f t="shared" si="204"/>
        <v>48182</v>
      </c>
      <c r="BV214" s="501">
        <f t="shared" si="204"/>
        <v>48213</v>
      </c>
      <c r="BW214" s="501">
        <f t="shared" si="204"/>
        <v>48244</v>
      </c>
      <c r="BX214" s="501">
        <f t="shared" si="204"/>
        <v>48273</v>
      </c>
      <c r="BY214" s="501">
        <f t="shared" si="204"/>
        <v>48304</v>
      </c>
      <c r="BZ214" s="501">
        <f t="shared" si="204"/>
        <v>48334</v>
      </c>
      <c r="CA214" s="501">
        <f t="shared" si="204"/>
        <v>48365</v>
      </c>
      <c r="CB214" s="501">
        <f t="shared" si="204"/>
        <v>48395</v>
      </c>
      <c r="CC214" s="501">
        <f t="shared" si="204"/>
        <v>48426</v>
      </c>
      <c r="CD214" s="501">
        <f t="shared" si="204"/>
        <v>48457</v>
      </c>
      <c r="CE214" s="501">
        <f t="shared" si="204"/>
        <v>48487</v>
      </c>
      <c r="CF214" s="501">
        <f t="shared" si="204"/>
        <v>48518</v>
      </c>
      <c r="CG214" s="501">
        <f t="shared" si="204"/>
        <v>48548</v>
      </c>
      <c r="CH214" s="501">
        <f t="shared" si="204"/>
        <v>48579</v>
      </c>
      <c r="CI214" s="501">
        <f t="shared" si="204"/>
        <v>48610</v>
      </c>
      <c r="CJ214" s="501">
        <f t="shared" si="204"/>
        <v>48638</v>
      </c>
      <c r="CK214" s="501">
        <f t="shared" si="204"/>
        <v>48669</v>
      </c>
      <c r="CL214" s="501">
        <f t="shared" si="204"/>
        <v>48699</v>
      </c>
      <c r="CM214" s="501">
        <f t="shared" si="204"/>
        <v>48730</v>
      </c>
      <c r="CN214" s="501">
        <f t="shared" si="204"/>
        <v>48760</v>
      </c>
      <c r="CO214" s="501">
        <f t="shared" si="204"/>
        <v>48791</v>
      </c>
      <c r="CP214" s="501">
        <f t="shared" si="204"/>
        <v>48822</v>
      </c>
      <c r="CQ214" s="501">
        <f t="shared" si="204"/>
        <v>48852</v>
      </c>
      <c r="CR214" s="501">
        <f t="shared" si="204"/>
        <v>48883</v>
      </c>
      <c r="CS214" s="501">
        <f t="shared" si="204"/>
        <v>48913</v>
      </c>
      <c r="CT214" s="501">
        <f t="shared" si="204"/>
        <v>48944</v>
      </c>
      <c r="CU214" s="501">
        <f t="shared" si="204"/>
        <v>48975</v>
      </c>
      <c r="CV214" s="501">
        <f t="shared" si="204"/>
        <v>49003</v>
      </c>
      <c r="CW214" s="501">
        <f t="shared" si="204"/>
        <v>49034</v>
      </c>
      <c r="CX214" s="501">
        <f t="shared" si="204"/>
        <v>49064</v>
      </c>
      <c r="CY214" s="501">
        <f t="shared" si="204"/>
        <v>49095</v>
      </c>
      <c r="CZ214" s="501">
        <f t="shared" si="204"/>
        <v>49125</v>
      </c>
      <c r="DA214" s="501">
        <f t="shared" si="204"/>
        <v>49156</v>
      </c>
      <c r="DB214" s="501">
        <f t="shared" si="204"/>
        <v>49187</v>
      </c>
      <c r="DC214" s="501">
        <f t="shared" si="204"/>
        <v>49217</v>
      </c>
      <c r="DD214" s="501">
        <f t="shared" si="204"/>
        <v>49248</v>
      </c>
      <c r="DE214" s="501">
        <f t="shared" si="204"/>
        <v>49278</v>
      </c>
      <c r="DF214" s="501">
        <f t="shared" si="204"/>
        <v>49309</v>
      </c>
      <c r="DG214" s="501">
        <f t="shared" si="204"/>
        <v>49340</v>
      </c>
      <c r="DH214" s="501">
        <f t="shared" si="204"/>
        <v>49368</v>
      </c>
      <c r="DI214" s="501">
        <f t="shared" si="204"/>
        <v>49399</v>
      </c>
      <c r="DJ214" s="501">
        <f t="shared" si="204"/>
        <v>49429</v>
      </c>
      <c r="DK214" s="501">
        <f t="shared" si="204"/>
        <v>49460</v>
      </c>
      <c r="DL214" s="501">
        <f t="shared" si="204"/>
        <v>49490</v>
      </c>
      <c r="DM214" s="501">
        <f t="shared" si="204"/>
        <v>49521</v>
      </c>
      <c r="DN214" s="501">
        <f t="shared" si="204"/>
        <v>49552</v>
      </c>
      <c r="DO214" s="501">
        <f t="shared" si="204"/>
        <v>49582</v>
      </c>
      <c r="DP214" s="501">
        <f t="shared" si="204"/>
        <v>49613</v>
      </c>
      <c r="DQ214" s="501">
        <f t="shared" si="204"/>
        <v>49643</v>
      </c>
      <c r="DR214" s="501">
        <f t="shared" si="204"/>
        <v>49674</v>
      </c>
      <c r="DS214" s="501">
        <f t="shared" si="204"/>
        <v>49705</v>
      </c>
      <c r="DT214" s="501">
        <f t="shared" si="204"/>
        <v>49734</v>
      </c>
      <c r="DU214" s="501">
        <f t="shared" si="204"/>
        <v>49765</v>
      </c>
      <c r="DV214" s="501">
        <f t="shared" si="204"/>
        <v>49795</v>
      </c>
      <c r="DW214" s="501">
        <f t="shared" si="204"/>
        <v>49826</v>
      </c>
      <c r="DX214" s="501">
        <f t="shared" si="204"/>
        <v>49856</v>
      </c>
      <c r="DY214" s="501">
        <f t="shared" si="204"/>
        <v>49887</v>
      </c>
      <c r="DZ214" s="501">
        <f t="shared" si="204"/>
        <v>49918</v>
      </c>
      <c r="EA214" s="501">
        <f t="shared" si="204"/>
        <v>49948</v>
      </c>
      <c r="EB214" s="501">
        <f t="shared" si="204"/>
        <v>49979</v>
      </c>
      <c r="EC214" s="501">
        <f t="shared" ref="EC214:GN215" si="205">EOMONTH(EB214,1)</f>
        <v>50009</v>
      </c>
      <c r="ED214" s="501">
        <f t="shared" si="205"/>
        <v>50040</v>
      </c>
      <c r="EE214" s="501">
        <f t="shared" si="205"/>
        <v>50071</v>
      </c>
      <c r="EF214" s="501">
        <f t="shared" si="205"/>
        <v>50099</v>
      </c>
      <c r="EG214" s="501">
        <f t="shared" si="205"/>
        <v>50130</v>
      </c>
      <c r="EH214" s="501">
        <f t="shared" si="205"/>
        <v>50160</v>
      </c>
      <c r="EI214" s="501">
        <f t="shared" si="205"/>
        <v>50191</v>
      </c>
      <c r="EJ214" s="501">
        <f t="shared" si="205"/>
        <v>50221</v>
      </c>
      <c r="EK214" s="501">
        <f t="shared" si="205"/>
        <v>50252</v>
      </c>
      <c r="EL214" s="501">
        <f t="shared" si="205"/>
        <v>50283</v>
      </c>
      <c r="EM214" s="501">
        <f t="shared" si="205"/>
        <v>50313</v>
      </c>
      <c r="EN214" s="501">
        <f t="shared" si="205"/>
        <v>50344</v>
      </c>
      <c r="EO214" s="501">
        <f t="shared" si="205"/>
        <v>50374</v>
      </c>
      <c r="EP214" s="501">
        <f t="shared" si="205"/>
        <v>50405</v>
      </c>
      <c r="EQ214" s="501">
        <f t="shared" si="205"/>
        <v>50436</v>
      </c>
      <c r="ER214" s="501">
        <f t="shared" si="205"/>
        <v>50464</v>
      </c>
      <c r="ES214" s="501">
        <f t="shared" si="205"/>
        <v>50495</v>
      </c>
      <c r="ET214" s="501">
        <f t="shared" si="205"/>
        <v>50525</v>
      </c>
      <c r="EU214" s="501">
        <f t="shared" si="205"/>
        <v>50556</v>
      </c>
      <c r="EV214" s="501">
        <f t="shared" si="205"/>
        <v>50586</v>
      </c>
      <c r="EW214" s="501">
        <f t="shared" si="205"/>
        <v>50617</v>
      </c>
      <c r="EX214" s="501">
        <f t="shared" si="205"/>
        <v>50648</v>
      </c>
      <c r="EY214" s="501">
        <f t="shared" si="205"/>
        <v>50678</v>
      </c>
      <c r="EZ214" s="501">
        <f t="shared" si="205"/>
        <v>50709</v>
      </c>
      <c r="FA214" s="501">
        <f t="shared" si="205"/>
        <v>50739</v>
      </c>
      <c r="FB214" s="501">
        <f t="shared" si="205"/>
        <v>50770</v>
      </c>
      <c r="FC214" s="501">
        <f t="shared" si="205"/>
        <v>50801</v>
      </c>
      <c r="FD214" s="501">
        <f t="shared" si="205"/>
        <v>50829</v>
      </c>
      <c r="FE214" s="501">
        <f t="shared" si="205"/>
        <v>50860</v>
      </c>
      <c r="FF214" s="501">
        <f t="shared" si="205"/>
        <v>50890</v>
      </c>
      <c r="FG214" s="501">
        <f t="shared" si="205"/>
        <v>50921</v>
      </c>
      <c r="FH214" s="501">
        <f t="shared" si="205"/>
        <v>50951</v>
      </c>
      <c r="FI214" s="501">
        <f t="shared" si="205"/>
        <v>50982</v>
      </c>
      <c r="FJ214" s="501">
        <f t="shared" si="205"/>
        <v>51013</v>
      </c>
      <c r="FK214" s="501">
        <f t="shared" si="205"/>
        <v>51043</v>
      </c>
      <c r="FL214" s="501">
        <f t="shared" si="205"/>
        <v>51074</v>
      </c>
      <c r="FM214" s="501">
        <f t="shared" si="205"/>
        <v>51104</v>
      </c>
      <c r="FN214" s="501">
        <f t="shared" si="205"/>
        <v>51135</v>
      </c>
      <c r="FO214" s="501">
        <f t="shared" si="205"/>
        <v>51166</v>
      </c>
      <c r="FP214" s="501">
        <f t="shared" si="205"/>
        <v>51195</v>
      </c>
      <c r="FQ214" s="501">
        <f t="shared" si="205"/>
        <v>51226</v>
      </c>
      <c r="FR214" s="501">
        <f t="shared" si="205"/>
        <v>51256</v>
      </c>
      <c r="FS214" s="501">
        <f t="shared" si="205"/>
        <v>51287</v>
      </c>
      <c r="FT214" s="501">
        <f t="shared" si="205"/>
        <v>51317</v>
      </c>
      <c r="FU214" s="501">
        <f t="shared" si="205"/>
        <v>51348</v>
      </c>
      <c r="FV214" s="501">
        <f t="shared" si="205"/>
        <v>51379</v>
      </c>
      <c r="FW214" s="501">
        <f t="shared" si="205"/>
        <v>51409</v>
      </c>
      <c r="FX214" s="501">
        <f t="shared" si="205"/>
        <v>51440</v>
      </c>
      <c r="FY214" s="501">
        <f t="shared" si="205"/>
        <v>51470</v>
      </c>
      <c r="FZ214" s="501">
        <f t="shared" si="205"/>
        <v>51501</v>
      </c>
      <c r="GA214" s="501">
        <f t="shared" si="205"/>
        <v>51532</v>
      </c>
      <c r="GB214" s="501">
        <f t="shared" si="205"/>
        <v>51560</v>
      </c>
      <c r="GC214" s="501">
        <f t="shared" si="205"/>
        <v>51591</v>
      </c>
      <c r="GD214" s="501">
        <f t="shared" si="205"/>
        <v>51621</v>
      </c>
      <c r="GE214" s="501">
        <f t="shared" si="205"/>
        <v>51652</v>
      </c>
      <c r="GF214" s="501">
        <f t="shared" si="205"/>
        <v>51682</v>
      </c>
      <c r="GG214" s="501">
        <f t="shared" si="205"/>
        <v>51713</v>
      </c>
      <c r="GH214" s="501">
        <f t="shared" si="205"/>
        <v>51744</v>
      </c>
      <c r="GI214" s="501">
        <f t="shared" si="205"/>
        <v>51774</v>
      </c>
      <c r="GJ214" s="501">
        <f t="shared" si="205"/>
        <v>51805</v>
      </c>
      <c r="GK214" s="501">
        <f t="shared" si="205"/>
        <v>51835</v>
      </c>
      <c r="GL214" s="501">
        <f t="shared" si="205"/>
        <v>51866</v>
      </c>
      <c r="GM214" s="501">
        <f t="shared" si="205"/>
        <v>51897</v>
      </c>
      <c r="GN214" s="501">
        <f t="shared" si="205"/>
        <v>51925</v>
      </c>
      <c r="GO214" s="501">
        <f t="shared" ref="GO214:IZ215" si="206">EOMONTH(GN214,1)</f>
        <v>51956</v>
      </c>
      <c r="GP214" s="501">
        <f t="shared" si="206"/>
        <v>51986</v>
      </c>
      <c r="GQ214" s="501">
        <f t="shared" si="206"/>
        <v>52017</v>
      </c>
      <c r="GR214" s="501">
        <f t="shared" si="206"/>
        <v>52047</v>
      </c>
      <c r="GS214" s="501">
        <f t="shared" si="206"/>
        <v>52078</v>
      </c>
      <c r="GT214" s="501">
        <f t="shared" si="206"/>
        <v>52109</v>
      </c>
      <c r="GU214" s="501">
        <f t="shared" si="206"/>
        <v>52139</v>
      </c>
      <c r="GV214" s="501">
        <f t="shared" si="206"/>
        <v>52170</v>
      </c>
      <c r="GW214" s="501">
        <f t="shared" si="206"/>
        <v>52200</v>
      </c>
      <c r="GX214" s="501">
        <f t="shared" si="206"/>
        <v>52231</v>
      </c>
      <c r="GY214" s="501">
        <f t="shared" si="206"/>
        <v>52262</v>
      </c>
      <c r="GZ214" s="501">
        <f t="shared" si="206"/>
        <v>52290</v>
      </c>
      <c r="HA214" s="501">
        <f t="shared" si="206"/>
        <v>52321</v>
      </c>
      <c r="HB214" s="501">
        <f t="shared" si="206"/>
        <v>52351</v>
      </c>
      <c r="HC214" s="501">
        <f t="shared" si="206"/>
        <v>52382</v>
      </c>
      <c r="HD214" s="501">
        <f t="shared" si="206"/>
        <v>52412</v>
      </c>
      <c r="HE214" s="501">
        <f t="shared" si="206"/>
        <v>52443</v>
      </c>
      <c r="HF214" s="501">
        <f t="shared" si="206"/>
        <v>52474</v>
      </c>
      <c r="HG214" s="501">
        <f t="shared" si="206"/>
        <v>52504</v>
      </c>
      <c r="HH214" s="501">
        <f t="shared" si="206"/>
        <v>52535</v>
      </c>
      <c r="HI214" s="501">
        <f t="shared" si="206"/>
        <v>52565</v>
      </c>
      <c r="HJ214" s="501">
        <f t="shared" si="206"/>
        <v>52596</v>
      </c>
      <c r="HK214" s="501">
        <f t="shared" si="206"/>
        <v>52627</v>
      </c>
      <c r="HL214" s="501">
        <f t="shared" si="206"/>
        <v>52656</v>
      </c>
      <c r="HM214" s="501">
        <f t="shared" si="206"/>
        <v>52687</v>
      </c>
      <c r="HN214" s="501">
        <f t="shared" si="206"/>
        <v>52717</v>
      </c>
      <c r="HO214" s="501">
        <f t="shared" si="206"/>
        <v>52748</v>
      </c>
      <c r="HP214" s="501">
        <f t="shared" si="206"/>
        <v>52778</v>
      </c>
      <c r="HQ214" s="501">
        <f t="shared" si="206"/>
        <v>52809</v>
      </c>
      <c r="HR214" s="501">
        <f t="shared" si="206"/>
        <v>52840</v>
      </c>
      <c r="HS214" s="501">
        <f t="shared" si="206"/>
        <v>52870</v>
      </c>
      <c r="HT214" s="501">
        <f t="shared" si="206"/>
        <v>52901</v>
      </c>
      <c r="HU214" s="501">
        <f t="shared" si="206"/>
        <v>52931</v>
      </c>
      <c r="HV214" s="501">
        <f t="shared" si="206"/>
        <v>52962</v>
      </c>
      <c r="HW214" s="501">
        <f t="shared" si="206"/>
        <v>52993</v>
      </c>
      <c r="HX214" s="501">
        <f t="shared" si="206"/>
        <v>53021</v>
      </c>
      <c r="HY214" s="501">
        <f t="shared" si="206"/>
        <v>53052</v>
      </c>
      <c r="HZ214" s="501">
        <f t="shared" si="206"/>
        <v>53082</v>
      </c>
      <c r="IA214" s="501">
        <f t="shared" si="206"/>
        <v>53113</v>
      </c>
      <c r="IB214" s="501">
        <f t="shared" si="206"/>
        <v>53143</v>
      </c>
      <c r="IC214" s="501">
        <f t="shared" si="206"/>
        <v>53174</v>
      </c>
      <c r="ID214" s="501">
        <f t="shared" si="206"/>
        <v>53205</v>
      </c>
      <c r="IE214" s="501">
        <f t="shared" si="206"/>
        <v>53235</v>
      </c>
      <c r="IF214" s="501">
        <f t="shared" si="206"/>
        <v>53266</v>
      </c>
      <c r="IG214" s="501">
        <f t="shared" si="206"/>
        <v>53296</v>
      </c>
      <c r="IH214" s="501">
        <f t="shared" si="206"/>
        <v>53327</v>
      </c>
      <c r="II214" s="501">
        <f t="shared" si="206"/>
        <v>53358</v>
      </c>
      <c r="IJ214" s="501">
        <f t="shared" si="206"/>
        <v>53386</v>
      </c>
      <c r="IK214" s="501">
        <f t="shared" si="206"/>
        <v>53417</v>
      </c>
      <c r="IL214" s="501">
        <f t="shared" si="206"/>
        <v>53447</v>
      </c>
      <c r="IM214" s="501">
        <f t="shared" si="206"/>
        <v>53478</v>
      </c>
      <c r="IN214" s="501">
        <f t="shared" si="206"/>
        <v>53508</v>
      </c>
      <c r="IO214" s="501">
        <f t="shared" si="206"/>
        <v>53539</v>
      </c>
      <c r="IP214" s="501">
        <f t="shared" si="206"/>
        <v>53570</v>
      </c>
      <c r="IQ214" s="501">
        <f t="shared" si="206"/>
        <v>53600</v>
      </c>
      <c r="IR214" s="501">
        <f t="shared" si="206"/>
        <v>53631</v>
      </c>
      <c r="IS214" s="501">
        <f t="shared" si="206"/>
        <v>53661</v>
      </c>
      <c r="IT214" s="501">
        <f t="shared" si="206"/>
        <v>53692</v>
      </c>
      <c r="IU214" s="501">
        <f t="shared" si="206"/>
        <v>53723</v>
      </c>
      <c r="IV214" s="501">
        <f t="shared" si="206"/>
        <v>53751</v>
      </c>
      <c r="IW214" s="501">
        <f t="shared" si="206"/>
        <v>53782</v>
      </c>
      <c r="IX214" s="501">
        <f t="shared" si="206"/>
        <v>53812</v>
      </c>
      <c r="IY214" s="501">
        <f t="shared" si="206"/>
        <v>53843</v>
      </c>
      <c r="IZ214" s="501">
        <f t="shared" si="206"/>
        <v>53873</v>
      </c>
      <c r="JA214" s="501">
        <f t="shared" ref="JA214:JI215" si="207">EOMONTH(IZ214,1)</f>
        <v>53904</v>
      </c>
      <c r="JB214" s="501">
        <f t="shared" si="207"/>
        <v>53935</v>
      </c>
      <c r="JC214" s="501">
        <f t="shared" si="207"/>
        <v>53965</v>
      </c>
      <c r="JD214" s="501">
        <f t="shared" si="207"/>
        <v>53996</v>
      </c>
      <c r="JE214" s="501">
        <f t="shared" si="207"/>
        <v>54026</v>
      </c>
      <c r="JF214" s="501">
        <f t="shared" si="207"/>
        <v>54057</v>
      </c>
      <c r="JG214" s="501">
        <f t="shared" si="207"/>
        <v>54088</v>
      </c>
      <c r="JH214" s="501">
        <f t="shared" si="207"/>
        <v>54117</v>
      </c>
      <c r="JI214" s="501">
        <f t="shared" si="207"/>
        <v>54148</v>
      </c>
      <c r="JJ214" s="553">
        <f t="shared" ref="JJ214:JJ215" si="208">EOMONTH(JI214,1)</f>
        <v>54178</v>
      </c>
      <c r="JK214" s="501">
        <f t="shared" ref="JK214:JK215" si="209">EOMONTH(JJ214,1)</f>
        <v>54209</v>
      </c>
      <c r="JL214" s="501">
        <f t="shared" ref="JL214:JL215" si="210">EOMONTH(JK214,1)</f>
        <v>54239</v>
      </c>
      <c r="JM214" s="501">
        <f t="shared" ref="JM214:JM215" si="211">EOMONTH(JL214,1)</f>
        <v>54270</v>
      </c>
      <c r="JN214" s="501">
        <f t="shared" ref="JN214:JN215" si="212">EOMONTH(JM214,1)</f>
        <v>54301</v>
      </c>
      <c r="JO214" s="501">
        <f t="shared" ref="JO214:JO215" si="213">EOMONTH(JN214,1)</f>
        <v>54331</v>
      </c>
      <c r="JP214" s="554"/>
    </row>
    <row r="215" spans="2:276" x14ac:dyDescent="0.3">
      <c r="B215" s="292" t="s">
        <v>208</v>
      </c>
      <c r="C215" s="503">
        <f>C214</f>
        <v>46053</v>
      </c>
      <c r="D215" s="503">
        <f>EOMONTH(C215,1)</f>
        <v>46081</v>
      </c>
      <c r="E215" s="503">
        <f t="shared" si="203"/>
        <v>46112</v>
      </c>
      <c r="F215" s="503">
        <f t="shared" si="203"/>
        <v>46142</v>
      </c>
      <c r="G215" s="503">
        <f t="shared" si="203"/>
        <v>46173</v>
      </c>
      <c r="H215" s="503">
        <f t="shared" si="203"/>
        <v>46203</v>
      </c>
      <c r="I215" s="503">
        <f t="shared" si="203"/>
        <v>46234</v>
      </c>
      <c r="J215" s="503">
        <f t="shared" si="203"/>
        <v>46265</v>
      </c>
      <c r="K215" s="503">
        <f t="shared" si="203"/>
        <v>46295</v>
      </c>
      <c r="L215" s="503">
        <f t="shared" si="203"/>
        <v>46326</v>
      </c>
      <c r="M215" s="503">
        <f t="shared" si="203"/>
        <v>46356</v>
      </c>
      <c r="N215" s="503">
        <f t="shared" si="203"/>
        <v>46387</v>
      </c>
      <c r="O215" s="503">
        <f t="shared" si="203"/>
        <v>46418</v>
      </c>
      <c r="P215" s="503">
        <f t="shared" si="203"/>
        <v>46446</v>
      </c>
      <c r="Q215" s="503">
        <f t="shared" si="203"/>
        <v>46477</v>
      </c>
      <c r="R215" s="503">
        <f t="shared" si="203"/>
        <v>46507</v>
      </c>
      <c r="S215" s="503">
        <f t="shared" si="203"/>
        <v>46538</v>
      </c>
      <c r="T215" s="503">
        <f t="shared" si="203"/>
        <v>46568</v>
      </c>
      <c r="U215" s="503">
        <f t="shared" si="203"/>
        <v>46599</v>
      </c>
      <c r="V215" s="503">
        <f t="shared" si="203"/>
        <v>46630</v>
      </c>
      <c r="W215" s="503">
        <f t="shared" si="203"/>
        <v>46660</v>
      </c>
      <c r="X215" s="503">
        <f t="shared" si="203"/>
        <v>46691</v>
      </c>
      <c r="Y215" s="503">
        <f t="shared" si="203"/>
        <v>46721</v>
      </c>
      <c r="Z215" s="503">
        <f t="shared" si="203"/>
        <v>46752</v>
      </c>
      <c r="AA215" s="503">
        <f t="shared" si="203"/>
        <v>46783</v>
      </c>
      <c r="AB215" s="503">
        <f t="shared" si="203"/>
        <v>46812</v>
      </c>
      <c r="AC215" s="503">
        <f t="shared" si="203"/>
        <v>46843</v>
      </c>
      <c r="AD215" s="503">
        <f t="shared" si="203"/>
        <v>46873</v>
      </c>
      <c r="AE215" s="503">
        <f t="shared" si="203"/>
        <v>46904</v>
      </c>
      <c r="AF215" s="503">
        <f t="shared" si="203"/>
        <v>46934</v>
      </c>
      <c r="AG215" s="503">
        <f t="shared" si="203"/>
        <v>46965</v>
      </c>
      <c r="AH215" s="503">
        <f t="shared" si="203"/>
        <v>46996</v>
      </c>
      <c r="AI215" s="503">
        <f t="shared" si="203"/>
        <v>47026</v>
      </c>
      <c r="AJ215" s="503">
        <f t="shared" si="203"/>
        <v>47057</v>
      </c>
      <c r="AK215" s="503">
        <f t="shared" si="203"/>
        <v>47087</v>
      </c>
      <c r="AL215" s="503">
        <f t="shared" si="203"/>
        <v>47118</v>
      </c>
      <c r="AM215" s="503">
        <f t="shared" si="203"/>
        <v>47149</v>
      </c>
      <c r="AN215" s="503">
        <f t="shared" si="203"/>
        <v>47177</v>
      </c>
      <c r="AO215" s="503">
        <f t="shared" si="203"/>
        <v>47208</v>
      </c>
      <c r="AP215" s="503">
        <f t="shared" si="203"/>
        <v>47238</v>
      </c>
      <c r="AQ215" s="503">
        <f t="shared" si="203"/>
        <v>47269</v>
      </c>
      <c r="AR215" s="503">
        <f t="shared" si="203"/>
        <v>47299</v>
      </c>
      <c r="AS215" s="503">
        <f t="shared" si="203"/>
        <v>47330</v>
      </c>
      <c r="AT215" s="503">
        <f t="shared" si="203"/>
        <v>47361</v>
      </c>
      <c r="AU215" s="503">
        <f t="shared" si="203"/>
        <v>47391</v>
      </c>
      <c r="AV215" s="503">
        <f t="shared" si="203"/>
        <v>47422</v>
      </c>
      <c r="AW215" s="503">
        <f t="shared" si="203"/>
        <v>47452</v>
      </c>
      <c r="AX215" s="503">
        <f t="shared" si="203"/>
        <v>47483</v>
      </c>
      <c r="AY215" s="503">
        <f t="shared" si="203"/>
        <v>47514</v>
      </c>
      <c r="AZ215" s="503">
        <f t="shared" si="203"/>
        <v>47542</v>
      </c>
      <c r="BA215" s="503">
        <f t="shared" si="203"/>
        <v>47573</v>
      </c>
      <c r="BB215" s="503">
        <f t="shared" si="203"/>
        <v>47603</v>
      </c>
      <c r="BC215" s="503">
        <f t="shared" si="203"/>
        <v>47634</v>
      </c>
      <c r="BD215" s="503">
        <f t="shared" si="203"/>
        <v>47664</v>
      </c>
      <c r="BE215" s="503">
        <f t="shared" si="203"/>
        <v>47695</v>
      </c>
      <c r="BF215" s="503">
        <f t="shared" si="203"/>
        <v>47726</v>
      </c>
      <c r="BG215" s="503">
        <f t="shared" si="203"/>
        <v>47756</v>
      </c>
      <c r="BH215" s="503">
        <f t="shared" si="203"/>
        <v>47787</v>
      </c>
      <c r="BI215" s="503">
        <f t="shared" si="203"/>
        <v>47817</v>
      </c>
      <c r="BJ215" s="503">
        <f t="shared" si="203"/>
        <v>47848</v>
      </c>
      <c r="BK215" s="503">
        <f t="shared" si="203"/>
        <v>47879</v>
      </c>
      <c r="BL215" s="503">
        <f t="shared" si="203"/>
        <v>47907</v>
      </c>
      <c r="BM215" s="503">
        <f t="shared" si="203"/>
        <v>47938</v>
      </c>
      <c r="BN215" s="503">
        <f t="shared" si="203"/>
        <v>47968</v>
      </c>
      <c r="BO215" s="503">
        <f t="shared" si="203"/>
        <v>47999</v>
      </c>
      <c r="BP215" s="503">
        <f t="shared" si="203"/>
        <v>48029</v>
      </c>
      <c r="BQ215" s="503">
        <f t="shared" si="204"/>
        <v>48060</v>
      </c>
      <c r="BR215" s="503">
        <f t="shared" si="204"/>
        <v>48091</v>
      </c>
      <c r="BS215" s="503">
        <f t="shared" si="204"/>
        <v>48121</v>
      </c>
      <c r="BT215" s="503">
        <f t="shared" si="204"/>
        <v>48152</v>
      </c>
      <c r="BU215" s="503">
        <f t="shared" si="204"/>
        <v>48182</v>
      </c>
      <c r="BV215" s="503">
        <f t="shared" si="204"/>
        <v>48213</v>
      </c>
      <c r="BW215" s="503">
        <f t="shared" si="204"/>
        <v>48244</v>
      </c>
      <c r="BX215" s="503">
        <f t="shared" si="204"/>
        <v>48273</v>
      </c>
      <c r="BY215" s="503">
        <f t="shared" si="204"/>
        <v>48304</v>
      </c>
      <c r="BZ215" s="503">
        <f t="shared" si="204"/>
        <v>48334</v>
      </c>
      <c r="CA215" s="503">
        <f t="shared" si="204"/>
        <v>48365</v>
      </c>
      <c r="CB215" s="503">
        <f t="shared" si="204"/>
        <v>48395</v>
      </c>
      <c r="CC215" s="503">
        <f t="shared" si="204"/>
        <v>48426</v>
      </c>
      <c r="CD215" s="503">
        <f t="shared" si="204"/>
        <v>48457</v>
      </c>
      <c r="CE215" s="503">
        <f t="shared" si="204"/>
        <v>48487</v>
      </c>
      <c r="CF215" s="503">
        <f t="shared" si="204"/>
        <v>48518</v>
      </c>
      <c r="CG215" s="503">
        <f t="shared" si="204"/>
        <v>48548</v>
      </c>
      <c r="CH215" s="503">
        <f t="shared" si="204"/>
        <v>48579</v>
      </c>
      <c r="CI215" s="503">
        <f t="shared" si="204"/>
        <v>48610</v>
      </c>
      <c r="CJ215" s="503">
        <f t="shared" si="204"/>
        <v>48638</v>
      </c>
      <c r="CK215" s="503">
        <f t="shared" si="204"/>
        <v>48669</v>
      </c>
      <c r="CL215" s="503">
        <f t="shared" si="204"/>
        <v>48699</v>
      </c>
      <c r="CM215" s="503">
        <f t="shared" si="204"/>
        <v>48730</v>
      </c>
      <c r="CN215" s="503">
        <f t="shared" si="204"/>
        <v>48760</v>
      </c>
      <c r="CO215" s="503">
        <f t="shared" si="204"/>
        <v>48791</v>
      </c>
      <c r="CP215" s="503">
        <f t="shared" si="204"/>
        <v>48822</v>
      </c>
      <c r="CQ215" s="503">
        <f t="shared" si="204"/>
        <v>48852</v>
      </c>
      <c r="CR215" s="503">
        <f t="shared" si="204"/>
        <v>48883</v>
      </c>
      <c r="CS215" s="503">
        <f t="shared" si="204"/>
        <v>48913</v>
      </c>
      <c r="CT215" s="503">
        <f t="shared" si="204"/>
        <v>48944</v>
      </c>
      <c r="CU215" s="503">
        <f t="shared" si="204"/>
        <v>48975</v>
      </c>
      <c r="CV215" s="503">
        <f t="shared" si="204"/>
        <v>49003</v>
      </c>
      <c r="CW215" s="503">
        <f t="shared" si="204"/>
        <v>49034</v>
      </c>
      <c r="CX215" s="503">
        <f t="shared" si="204"/>
        <v>49064</v>
      </c>
      <c r="CY215" s="503">
        <f t="shared" si="204"/>
        <v>49095</v>
      </c>
      <c r="CZ215" s="503">
        <f t="shared" si="204"/>
        <v>49125</v>
      </c>
      <c r="DA215" s="503">
        <f t="shared" si="204"/>
        <v>49156</v>
      </c>
      <c r="DB215" s="503">
        <f t="shared" si="204"/>
        <v>49187</v>
      </c>
      <c r="DC215" s="503">
        <f t="shared" si="204"/>
        <v>49217</v>
      </c>
      <c r="DD215" s="503">
        <f t="shared" si="204"/>
        <v>49248</v>
      </c>
      <c r="DE215" s="503">
        <f t="shared" si="204"/>
        <v>49278</v>
      </c>
      <c r="DF215" s="503">
        <f t="shared" si="204"/>
        <v>49309</v>
      </c>
      <c r="DG215" s="503">
        <f t="shared" si="204"/>
        <v>49340</v>
      </c>
      <c r="DH215" s="503">
        <f t="shared" si="204"/>
        <v>49368</v>
      </c>
      <c r="DI215" s="503">
        <f t="shared" si="204"/>
        <v>49399</v>
      </c>
      <c r="DJ215" s="503">
        <f t="shared" si="204"/>
        <v>49429</v>
      </c>
      <c r="DK215" s="503">
        <f t="shared" si="204"/>
        <v>49460</v>
      </c>
      <c r="DL215" s="503">
        <f t="shared" si="204"/>
        <v>49490</v>
      </c>
      <c r="DM215" s="503">
        <f t="shared" si="204"/>
        <v>49521</v>
      </c>
      <c r="DN215" s="503">
        <f t="shared" si="204"/>
        <v>49552</v>
      </c>
      <c r="DO215" s="503">
        <f t="shared" si="204"/>
        <v>49582</v>
      </c>
      <c r="DP215" s="503">
        <f t="shared" si="204"/>
        <v>49613</v>
      </c>
      <c r="DQ215" s="503">
        <f t="shared" si="204"/>
        <v>49643</v>
      </c>
      <c r="DR215" s="503">
        <f t="shared" si="204"/>
        <v>49674</v>
      </c>
      <c r="DS215" s="503">
        <f t="shared" si="204"/>
        <v>49705</v>
      </c>
      <c r="DT215" s="503">
        <f t="shared" si="204"/>
        <v>49734</v>
      </c>
      <c r="DU215" s="503">
        <f t="shared" si="204"/>
        <v>49765</v>
      </c>
      <c r="DV215" s="503">
        <f t="shared" si="204"/>
        <v>49795</v>
      </c>
      <c r="DW215" s="503">
        <f t="shared" si="204"/>
        <v>49826</v>
      </c>
      <c r="DX215" s="503">
        <f t="shared" si="204"/>
        <v>49856</v>
      </c>
      <c r="DY215" s="503">
        <f t="shared" si="204"/>
        <v>49887</v>
      </c>
      <c r="DZ215" s="503">
        <f t="shared" si="204"/>
        <v>49918</v>
      </c>
      <c r="EA215" s="503">
        <f t="shared" si="204"/>
        <v>49948</v>
      </c>
      <c r="EB215" s="503">
        <f t="shared" si="204"/>
        <v>49979</v>
      </c>
      <c r="EC215" s="503">
        <f t="shared" si="205"/>
        <v>50009</v>
      </c>
      <c r="ED215" s="503">
        <f t="shared" si="205"/>
        <v>50040</v>
      </c>
      <c r="EE215" s="503">
        <f t="shared" si="205"/>
        <v>50071</v>
      </c>
      <c r="EF215" s="503">
        <f t="shared" si="205"/>
        <v>50099</v>
      </c>
      <c r="EG215" s="503">
        <f t="shared" si="205"/>
        <v>50130</v>
      </c>
      <c r="EH215" s="503">
        <f t="shared" si="205"/>
        <v>50160</v>
      </c>
      <c r="EI215" s="503">
        <f t="shared" si="205"/>
        <v>50191</v>
      </c>
      <c r="EJ215" s="503">
        <f t="shared" si="205"/>
        <v>50221</v>
      </c>
      <c r="EK215" s="503">
        <f t="shared" si="205"/>
        <v>50252</v>
      </c>
      <c r="EL215" s="503">
        <f t="shared" si="205"/>
        <v>50283</v>
      </c>
      <c r="EM215" s="503">
        <f t="shared" si="205"/>
        <v>50313</v>
      </c>
      <c r="EN215" s="503">
        <f t="shared" si="205"/>
        <v>50344</v>
      </c>
      <c r="EO215" s="503">
        <f t="shared" si="205"/>
        <v>50374</v>
      </c>
      <c r="EP215" s="503">
        <f t="shared" si="205"/>
        <v>50405</v>
      </c>
      <c r="EQ215" s="503">
        <f t="shared" si="205"/>
        <v>50436</v>
      </c>
      <c r="ER215" s="503">
        <f t="shared" si="205"/>
        <v>50464</v>
      </c>
      <c r="ES215" s="503">
        <f t="shared" si="205"/>
        <v>50495</v>
      </c>
      <c r="ET215" s="503">
        <f t="shared" si="205"/>
        <v>50525</v>
      </c>
      <c r="EU215" s="503">
        <f t="shared" si="205"/>
        <v>50556</v>
      </c>
      <c r="EV215" s="503">
        <f t="shared" si="205"/>
        <v>50586</v>
      </c>
      <c r="EW215" s="503">
        <f t="shared" si="205"/>
        <v>50617</v>
      </c>
      <c r="EX215" s="503">
        <f t="shared" si="205"/>
        <v>50648</v>
      </c>
      <c r="EY215" s="503">
        <f t="shared" si="205"/>
        <v>50678</v>
      </c>
      <c r="EZ215" s="503">
        <f t="shared" si="205"/>
        <v>50709</v>
      </c>
      <c r="FA215" s="503">
        <f t="shared" si="205"/>
        <v>50739</v>
      </c>
      <c r="FB215" s="503">
        <f t="shared" si="205"/>
        <v>50770</v>
      </c>
      <c r="FC215" s="503">
        <f t="shared" si="205"/>
        <v>50801</v>
      </c>
      <c r="FD215" s="503">
        <f t="shared" si="205"/>
        <v>50829</v>
      </c>
      <c r="FE215" s="503">
        <f t="shared" si="205"/>
        <v>50860</v>
      </c>
      <c r="FF215" s="503">
        <f t="shared" si="205"/>
        <v>50890</v>
      </c>
      <c r="FG215" s="503">
        <f t="shared" si="205"/>
        <v>50921</v>
      </c>
      <c r="FH215" s="503">
        <f t="shared" si="205"/>
        <v>50951</v>
      </c>
      <c r="FI215" s="503">
        <f t="shared" si="205"/>
        <v>50982</v>
      </c>
      <c r="FJ215" s="503">
        <f t="shared" si="205"/>
        <v>51013</v>
      </c>
      <c r="FK215" s="503">
        <f t="shared" si="205"/>
        <v>51043</v>
      </c>
      <c r="FL215" s="503">
        <f t="shared" si="205"/>
        <v>51074</v>
      </c>
      <c r="FM215" s="503">
        <f t="shared" si="205"/>
        <v>51104</v>
      </c>
      <c r="FN215" s="503">
        <f t="shared" si="205"/>
        <v>51135</v>
      </c>
      <c r="FO215" s="503">
        <f t="shared" si="205"/>
        <v>51166</v>
      </c>
      <c r="FP215" s="503">
        <f t="shared" si="205"/>
        <v>51195</v>
      </c>
      <c r="FQ215" s="503">
        <f t="shared" si="205"/>
        <v>51226</v>
      </c>
      <c r="FR215" s="503">
        <f t="shared" si="205"/>
        <v>51256</v>
      </c>
      <c r="FS215" s="503">
        <f t="shared" si="205"/>
        <v>51287</v>
      </c>
      <c r="FT215" s="503">
        <f t="shared" si="205"/>
        <v>51317</v>
      </c>
      <c r="FU215" s="503">
        <f t="shared" si="205"/>
        <v>51348</v>
      </c>
      <c r="FV215" s="503">
        <f t="shared" si="205"/>
        <v>51379</v>
      </c>
      <c r="FW215" s="503">
        <f t="shared" si="205"/>
        <v>51409</v>
      </c>
      <c r="FX215" s="503">
        <f t="shared" si="205"/>
        <v>51440</v>
      </c>
      <c r="FY215" s="503">
        <f t="shared" si="205"/>
        <v>51470</v>
      </c>
      <c r="FZ215" s="503">
        <f t="shared" si="205"/>
        <v>51501</v>
      </c>
      <c r="GA215" s="503">
        <f t="shared" si="205"/>
        <v>51532</v>
      </c>
      <c r="GB215" s="503">
        <f t="shared" si="205"/>
        <v>51560</v>
      </c>
      <c r="GC215" s="503">
        <f t="shared" si="205"/>
        <v>51591</v>
      </c>
      <c r="GD215" s="503">
        <f t="shared" si="205"/>
        <v>51621</v>
      </c>
      <c r="GE215" s="503">
        <f t="shared" si="205"/>
        <v>51652</v>
      </c>
      <c r="GF215" s="503">
        <f t="shared" si="205"/>
        <v>51682</v>
      </c>
      <c r="GG215" s="503">
        <f t="shared" si="205"/>
        <v>51713</v>
      </c>
      <c r="GH215" s="503">
        <f t="shared" si="205"/>
        <v>51744</v>
      </c>
      <c r="GI215" s="503">
        <f t="shared" si="205"/>
        <v>51774</v>
      </c>
      <c r="GJ215" s="503">
        <f t="shared" si="205"/>
        <v>51805</v>
      </c>
      <c r="GK215" s="503">
        <f t="shared" si="205"/>
        <v>51835</v>
      </c>
      <c r="GL215" s="503">
        <f t="shared" si="205"/>
        <v>51866</v>
      </c>
      <c r="GM215" s="503">
        <f t="shared" si="205"/>
        <v>51897</v>
      </c>
      <c r="GN215" s="503">
        <f t="shared" si="205"/>
        <v>51925</v>
      </c>
      <c r="GO215" s="503">
        <f t="shared" si="206"/>
        <v>51956</v>
      </c>
      <c r="GP215" s="503">
        <f t="shared" si="206"/>
        <v>51986</v>
      </c>
      <c r="GQ215" s="503">
        <f t="shared" si="206"/>
        <v>52017</v>
      </c>
      <c r="GR215" s="503">
        <f t="shared" si="206"/>
        <v>52047</v>
      </c>
      <c r="GS215" s="503">
        <f t="shared" si="206"/>
        <v>52078</v>
      </c>
      <c r="GT215" s="503">
        <f t="shared" si="206"/>
        <v>52109</v>
      </c>
      <c r="GU215" s="503">
        <f t="shared" si="206"/>
        <v>52139</v>
      </c>
      <c r="GV215" s="503">
        <f t="shared" si="206"/>
        <v>52170</v>
      </c>
      <c r="GW215" s="503">
        <f t="shared" si="206"/>
        <v>52200</v>
      </c>
      <c r="GX215" s="503">
        <f t="shared" si="206"/>
        <v>52231</v>
      </c>
      <c r="GY215" s="503">
        <f t="shared" si="206"/>
        <v>52262</v>
      </c>
      <c r="GZ215" s="503">
        <f t="shared" si="206"/>
        <v>52290</v>
      </c>
      <c r="HA215" s="503">
        <f t="shared" si="206"/>
        <v>52321</v>
      </c>
      <c r="HB215" s="503">
        <f t="shared" si="206"/>
        <v>52351</v>
      </c>
      <c r="HC215" s="503">
        <f t="shared" si="206"/>
        <v>52382</v>
      </c>
      <c r="HD215" s="503">
        <f t="shared" si="206"/>
        <v>52412</v>
      </c>
      <c r="HE215" s="503">
        <f t="shared" si="206"/>
        <v>52443</v>
      </c>
      <c r="HF215" s="503">
        <f t="shared" si="206"/>
        <v>52474</v>
      </c>
      <c r="HG215" s="503">
        <f t="shared" si="206"/>
        <v>52504</v>
      </c>
      <c r="HH215" s="503">
        <f t="shared" si="206"/>
        <v>52535</v>
      </c>
      <c r="HI215" s="503">
        <f t="shared" si="206"/>
        <v>52565</v>
      </c>
      <c r="HJ215" s="503">
        <f t="shared" si="206"/>
        <v>52596</v>
      </c>
      <c r="HK215" s="503">
        <f t="shared" si="206"/>
        <v>52627</v>
      </c>
      <c r="HL215" s="503">
        <f t="shared" si="206"/>
        <v>52656</v>
      </c>
      <c r="HM215" s="503">
        <f t="shared" si="206"/>
        <v>52687</v>
      </c>
      <c r="HN215" s="503">
        <f t="shared" si="206"/>
        <v>52717</v>
      </c>
      <c r="HO215" s="503">
        <f t="shared" si="206"/>
        <v>52748</v>
      </c>
      <c r="HP215" s="503">
        <f t="shared" si="206"/>
        <v>52778</v>
      </c>
      <c r="HQ215" s="503">
        <f t="shared" si="206"/>
        <v>52809</v>
      </c>
      <c r="HR215" s="503">
        <f t="shared" si="206"/>
        <v>52840</v>
      </c>
      <c r="HS215" s="503">
        <f t="shared" si="206"/>
        <v>52870</v>
      </c>
      <c r="HT215" s="503">
        <f t="shared" si="206"/>
        <v>52901</v>
      </c>
      <c r="HU215" s="503">
        <f t="shared" si="206"/>
        <v>52931</v>
      </c>
      <c r="HV215" s="503">
        <f t="shared" si="206"/>
        <v>52962</v>
      </c>
      <c r="HW215" s="503">
        <f t="shared" si="206"/>
        <v>52993</v>
      </c>
      <c r="HX215" s="503">
        <f t="shared" si="206"/>
        <v>53021</v>
      </c>
      <c r="HY215" s="503">
        <f t="shared" si="206"/>
        <v>53052</v>
      </c>
      <c r="HZ215" s="503">
        <f t="shared" si="206"/>
        <v>53082</v>
      </c>
      <c r="IA215" s="503">
        <f t="shared" si="206"/>
        <v>53113</v>
      </c>
      <c r="IB215" s="503">
        <f t="shared" si="206"/>
        <v>53143</v>
      </c>
      <c r="IC215" s="503">
        <f t="shared" si="206"/>
        <v>53174</v>
      </c>
      <c r="ID215" s="503">
        <f t="shared" si="206"/>
        <v>53205</v>
      </c>
      <c r="IE215" s="503">
        <f t="shared" si="206"/>
        <v>53235</v>
      </c>
      <c r="IF215" s="503">
        <f t="shared" si="206"/>
        <v>53266</v>
      </c>
      <c r="IG215" s="503">
        <f t="shared" si="206"/>
        <v>53296</v>
      </c>
      <c r="IH215" s="503">
        <f t="shared" si="206"/>
        <v>53327</v>
      </c>
      <c r="II215" s="503">
        <f t="shared" si="206"/>
        <v>53358</v>
      </c>
      <c r="IJ215" s="503">
        <f t="shared" si="206"/>
        <v>53386</v>
      </c>
      <c r="IK215" s="503">
        <f t="shared" si="206"/>
        <v>53417</v>
      </c>
      <c r="IL215" s="503">
        <f t="shared" si="206"/>
        <v>53447</v>
      </c>
      <c r="IM215" s="503">
        <f t="shared" si="206"/>
        <v>53478</v>
      </c>
      <c r="IN215" s="503">
        <f t="shared" si="206"/>
        <v>53508</v>
      </c>
      <c r="IO215" s="503">
        <f t="shared" si="206"/>
        <v>53539</v>
      </c>
      <c r="IP215" s="503">
        <f t="shared" si="206"/>
        <v>53570</v>
      </c>
      <c r="IQ215" s="503">
        <f t="shared" si="206"/>
        <v>53600</v>
      </c>
      <c r="IR215" s="503">
        <f t="shared" si="206"/>
        <v>53631</v>
      </c>
      <c r="IS215" s="503">
        <f t="shared" si="206"/>
        <v>53661</v>
      </c>
      <c r="IT215" s="503">
        <f t="shared" si="206"/>
        <v>53692</v>
      </c>
      <c r="IU215" s="503">
        <f t="shared" si="206"/>
        <v>53723</v>
      </c>
      <c r="IV215" s="503">
        <f t="shared" si="206"/>
        <v>53751</v>
      </c>
      <c r="IW215" s="503">
        <f t="shared" si="206"/>
        <v>53782</v>
      </c>
      <c r="IX215" s="503">
        <f t="shared" si="206"/>
        <v>53812</v>
      </c>
      <c r="IY215" s="503">
        <f t="shared" si="206"/>
        <v>53843</v>
      </c>
      <c r="IZ215" s="503">
        <f t="shared" si="206"/>
        <v>53873</v>
      </c>
      <c r="JA215" s="503">
        <f t="shared" si="207"/>
        <v>53904</v>
      </c>
      <c r="JB215" s="503">
        <f t="shared" si="207"/>
        <v>53935</v>
      </c>
      <c r="JC215" s="503">
        <f t="shared" si="207"/>
        <v>53965</v>
      </c>
      <c r="JD215" s="503">
        <f t="shared" si="207"/>
        <v>53996</v>
      </c>
      <c r="JE215" s="503">
        <f t="shared" si="207"/>
        <v>54026</v>
      </c>
      <c r="JF215" s="503">
        <f t="shared" si="207"/>
        <v>54057</v>
      </c>
      <c r="JG215" s="503">
        <f t="shared" si="207"/>
        <v>54088</v>
      </c>
      <c r="JH215" s="503">
        <f t="shared" si="207"/>
        <v>54117</v>
      </c>
      <c r="JI215" s="503">
        <f t="shared" si="207"/>
        <v>54148</v>
      </c>
      <c r="JJ215" s="537">
        <f t="shared" si="208"/>
        <v>54178</v>
      </c>
      <c r="JK215" s="503">
        <f t="shared" si="209"/>
        <v>54209</v>
      </c>
      <c r="JL215" s="503">
        <f t="shared" si="210"/>
        <v>54239</v>
      </c>
      <c r="JM215" s="503">
        <f t="shared" si="211"/>
        <v>54270</v>
      </c>
      <c r="JN215" s="503">
        <f t="shared" si="212"/>
        <v>54301</v>
      </c>
      <c r="JO215" s="503">
        <f t="shared" si="213"/>
        <v>54331</v>
      </c>
      <c r="JP215" s="559" t="s">
        <v>137</v>
      </c>
    </row>
    <row r="216" spans="2:276" x14ac:dyDescent="0.3">
      <c r="B216" s="169" t="s">
        <v>349</v>
      </c>
      <c r="C216" s="52">
        <f>SUMIFS(Leasing!31:31,Leasing!1:1,C214)+SUMIFS(Leasing!40:40,Leasing!1:1,C214)</f>
        <v>0</v>
      </c>
      <c r="D216" s="52">
        <f>SUMIFS(Leasing!31:31,Leasing!1:1,D214)+SUMIFS(Leasing!40:40,Leasing!1:1,D214)</f>
        <v>0</v>
      </c>
      <c r="E216" s="52">
        <f>SUMIFS(Leasing!31:31,Leasing!1:1,E214)+SUMIFS(Leasing!40:40,Leasing!1:1,E214)</f>
        <v>0</v>
      </c>
      <c r="F216" s="52">
        <f>SUMIFS(Leasing!31:31,Leasing!1:1,F214)+SUMIFS(Leasing!40:40,Leasing!1:1,F214)</f>
        <v>0</v>
      </c>
      <c r="G216" s="52">
        <f>SUMIFS(Leasing!31:31,Leasing!1:1,G214)+SUMIFS(Leasing!40:40,Leasing!1:1,G214)</f>
        <v>0</v>
      </c>
      <c r="H216" s="52">
        <f>SUMIFS(Leasing!31:31,Leasing!1:1,H214)+SUMIFS(Leasing!40:40,Leasing!1:1,H214)</f>
        <v>0</v>
      </c>
      <c r="I216" s="52">
        <f>SUMIFS(Leasing!31:31,Leasing!1:1,I214)+SUMIFS(Leasing!40:40,Leasing!1:1,I214)</f>
        <v>0</v>
      </c>
      <c r="J216" s="52">
        <f>SUMIFS(Leasing!31:31,Leasing!1:1,J214)+SUMIFS(Leasing!40:40,Leasing!1:1,J214)</f>
        <v>0</v>
      </c>
      <c r="K216" s="52">
        <f>SUMIFS(Leasing!31:31,Leasing!1:1,K214)+SUMIFS(Leasing!40:40,Leasing!1:1,K214)</f>
        <v>0</v>
      </c>
      <c r="L216" s="52">
        <f>SUMIFS(Leasing!31:31,Leasing!1:1,L214)+SUMIFS(Leasing!40:40,Leasing!1:1,L214)</f>
        <v>0</v>
      </c>
      <c r="M216" s="52">
        <f>SUMIFS(Leasing!31:31,Leasing!1:1,M214)+SUMIFS(Leasing!40:40,Leasing!1:1,M214)</f>
        <v>0</v>
      </c>
      <c r="N216" s="52">
        <f>SUMIFS(Leasing!31:31,Leasing!1:1,N214)+SUMIFS(Leasing!40:40,Leasing!1:1,N214)</f>
        <v>0</v>
      </c>
      <c r="O216" s="52">
        <f>SUMIFS(Leasing!31:31,Leasing!1:1,O214)+SUMIFS(Leasing!40:40,Leasing!1:1,O214)</f>
        <v>0</v>
      </c>
      <c r="P216" s="52">
        <f>SUMIFS(Leasing!31:31,Leasing!1:1,P214)+SUMIFS(Leasing!40:40,Leasing!1:1,P214)</f>
        <v>0</v>
      </c>
      <c r="Q216" s="52">
        <f>SUMIFS(Leasing!31:31,Leasing!1:1,Q214)+SUMIFS(Leasing!40:40,Leasing!1:1,Q214)</f>
        <v>0</v>
      </c>
      <c r="R216" s="52">
        <f>SUMIFS(Leasing!31:31,Leasing!1:1,R214)+SUMIFS(Leasing!40:40,Leasing!1:1,R214)</f>
        <v>0</v>
      </c>
      <c r="S216" s="52">
        <f>SUMIFS(Leasing!31:31,Leasing!1:1,S214)+SUMIFS(Leasing!40:40,Leasing!1:1,S214)</f>
        <v>0</v>
      </c>
      <c r="T216" s="52">
        <f>SUMIFS(Leasing!31:31,Leasing!1:1,T214)+SUMIFS(Leasing!40:40,Leasing!1:1,T214)</f>
        <v>0</v>
      </c>
      <c r="U216" s="52">
        <f>SUMIFS(Leasing!31:31,Leasing!1:1,U214)+SUMIFS(Leasing!40:40,Leasing!1:1,U214)</f>
        <v>0</v>
      </c>
      <c r="V216" s="52">
        <f>SUMIFS(Leasing!31:31,Leasing!1:1,V214)+SUMIFS(Leasing!40:40,Leasing!1:1,V214)</f>
        <v>0</v>
      </c>
      <c r="W216" s="52">
        <f>SUMIFS(Leasing!31:31,Leasing!1:1,W214)+SUMIFS(Leasing!40:40,Leasing!1:1,W214)</f>
        <v>0</v>
      </c>
      <c r="X216" s="52">
        <f>SUMIFS(Leasing!31:31,Leasing!1:1,X214)+SUMIFS(Leasing!40:40,Leasing!1:1,X214)</f>
        <v>0</v>
      </c>
      <c r="Y216" s="52">
        <f>SUMIFS(Leasing!31:31,Leasing!1:1,Y214)+SUMIFS(Leasing!40:40,Leasing!1:1,Y214)</f>
        <v>0</v>
      </c>
      <c r="Z216" s="52">
        <f>SUMIFS(Leasing!31:31,Leasing!1:1,Z214)+SUMIFS(Leasing!40:40,Leasing!1:1,Z214)</f>
        <v>0</v>
      </c>
      <c r="AA216" s="52">
        <f>SUMIFS(Leasing!31:31,Leasing!1:1,AA214)+SUMIFS(Leasing!40:40,Leasing!1:1,AA214)</f>
        <v>0</v>
      </c>
      <c r="AB216" s="52">
        <f>SUMIFS(Leasing!31:31,Leasing!1:1,AB214)+SUMIFS(Leasing!40:40,Leasing!1:1,AB214)</f>
        <v>0</v>
      </c>
      <c r="AC216" s="52">
        <f>SUMIFS(Leasing!31:31,Leasing!1:1,AC214)+SUMIFS(Leasing!40:40,Leasing!1:1,AC214)</f>
        <v>0</v>
      </c>
      <c r="AD216" s="52">
        <f>SUMIFS(Leasing!31:31,Leasing!1:1,AD214)+SUMIFS(Leasing!40:40,Leasing!1:1,AD214)</f>
        <v>0</v>
      </c>
      <c r="AE216" s="52">
        <f>SUMIFS(Leasing!31:31,Leasing!1:1,AE214)+SUMIFS(Leasing!40:40,Leasing!1:1,AE214)</f>
        <v>0</v>
      </c>
      <c r="AF216" s="52">
        <f>SUMIFS(Leasing!31:31,Leasing!1:1,AF214)+SUMIFS(Leasing!40:40,Leasing!1:1,AF214)</f>
        <v>0</v>
      </c>
      <c r="AG216" s="52">
        <f>SUMIFS(Leasing!31:31,Leasing!1:1,AG214)+SUMIFS(Leasing!40:40,Leasing!1:1,AG214)</f>
        <v>0.95032663876778256</v>
      </c>
      <c r="AH216" s="52">
        <f>SUMIFS(Leasing!31:31,Leasing!1:1,AH214)+SUMIFS(Leasing!40:40,Leasing!1:1,AH214)</f>
        <v>0.95032663876778256</v>
      </c>
      <c r="AI216" s="52">
        <f>SUMIFS(Leasing!31:31,Leasing!1:1,AI214)+SUMIFS(Leasing!40:40,Leasing!1:1,AI214)</f>
        <v>0.95032663876778256</v>
      </c>
      <c r="AJ216" s="52">
        <f>SUMIFS(Leasing!31:31,Leasing!1:1,AJ214)+SUMIFS(Leasing!40:40,Leasing!1:1,AJ214)</f>
        <v>0.95032663876778256</v>
      </c>
      <c r="AK216" s="52">
        <f>SUMIFS(Leasing!31:31,Leasing!1:1,AK214)+SUMIFS(Leasing!40:40,Leasing!1:1,AK214)</f>
        <v>0.95032663876778256</v>
      </c>
      <c r="AL216" s="52">
        <f>SUMIFS(Leasing!31:31,Leasing!1:1,AL214)+SUMIFS(Leasing!40:40,Leasing!1:1,AL214)</f>
        <v>0.95032663876778256</v>
      </c>
      <c r="AM216" s="52">
        <f>SUMIFS(Leasing!31:31,Leasing!1:1,AM214)+SUMIFS(Leasing!40:40,Leasing!1:1,AM214)</f>
        <v>0.95032663876778256</v>
      </c>
      <c r="AN216" s="52">
        <f>SUMIFS(Leasing!31:31,Leasing!1:1,AN214)+SUMIFS(Leasing!40:40,Leasing!1:1,AN214)</f>
        <v>0.95032663876778256</v>
      </c>
      <c r="AO216" s="52">
        <f>SUMIFS(Leasing!31:31,Leasing!1:1,AO214)+SUMIFS(Leasing!40:40,Leasing!1:1,AO214)</f>
        <v>0.95032663876778256</v>
      </c>
      <c r="AP216" s="52">
        <f>SUMIFS(Leasing!31:31,Leasing!1:1,AP214)+SUMIFS(Leasing!40:40,Leasing!1:1,AP214)</f>
        <v>0.95032663876778256</v>
      </c>
      <c r="AQ216" s="52">
        <f>SUMIFS(Leasing!31:31,Leasing!1:1,AQ214)+SUMIFS(Leasing!40:40,Leasing!1:1,AQ214)</f>
        <v>0.95032663876778256</v>
      </c>
      <c r="AR216" s="52">
        <f>SUMIFS(Leasing!31:31,Leasing!1:1,AR214)+SUMIFS(Leasing!40:40,Leasing!1:1,AR214)</f>
        <v>0.95032663876778256</v>
      </c>
      <c r="AS216" s="52">
        <f>SUMIFS(Leasing!31:31,Leasing!1:1,AS214)+SUMIFS(Leasing!40:40,Leasing!1:1,AS214)</f>
        <v>0.99784297070617178</v>
      </c>
      <c r="AT216" s="52">
        <f>SUMIFS(Leasing!31:31,Leasing!1:1,AT214)+SUMIFS(Leasing!40:40,Leasing!1:1,AT214)</f>
        <v>0.99784297070617178</v>
      </c>
      <c r="AU216" s="52">
        <f>SUMIFS(Leasing!31:31,Leasing!1:1,AU214)+SUMIFS(Leasing!40:40,Leasing!1:1,AU214)</f>
        <v>0.99784297070617178</v>
      </c>
      <c r="AV216" s="52">
        <f>SUMIFS(Leasing!31:31,Leasing!1:1,AV214)+SUMIFS(Leasing!40:40,Leasing!1:1,AV214)</f>
        <v>0.99784297070617178</v>
      </c>
      <c r="AW216" s="52">
        <f>SUMIFS(Leasing!31:31,Leasing!1:1,AW214)+SUMIFS(Leasing!40:40,Leasing!1:1,AW214)</f>
        <v>0.99784297070617178</v>
      </c>
      <c r="AX216" s="52">
        <f>SUMIFS(Leasing!31:31,Leasing!1:1,AX214)+SUMIFS(Leasing!40:40,Leasing!1:1,AX214)</f>
        <v>0.99784297070617178</v>
      </c>
      <c r="AY216" s="52">
        <f>SUMIFS(Leasing!31:31,Leasing!1:1,AY214)+SUMIFS(Leasing!40:40,Leasing!1:1,AY214)</f>
        <v>0.99784297070617178</v>
      </c>
      <c r="AZ216" s="52">
        <f>SUMIFS(Leasing!31:31,Leasing!1:1,AZ214)+SUMIFS(Leasing!40:40,Leasing!1:1,AZ214)</f>
        <v>0.99784297070617178</v>
      </c>
      <c r="BA216" s="52">
        <f>SUMIFS(Leasing!31:31,Leasing!1:1,BA214)+SUMIFS(Leasing!40:40,Leasing!1:1,BA214)</f>
        <v>0.99784297070617178</v>
      </c>
      <c r="BB216" s="52">
        <f>SUMIFS(Leasing!31:31,Leasing!1:1,BB214)+SUMIFS(Leasing!40:40,Leasing!1:1,BB214)</f>
        <v>0.99784297070617178</v>
      </c>
      <c r="BC216" s="52">
        <f>SUMIFS(Leasing!31:31,Leasing!1:1,BC214)+SUMIFS(Leasing!40:40,Leasing!1:1,BC214)</f>
        <v>0.99784297070617178</v>
      </c>
      <c r="BD216" s="52">
        <f>SUMIFS(Leasing!31:31,Leasing!1:1,BD214)+SUMIFS(Leasing!40:40,Leasing!1:1,BD214)</f>
        <v>0.99784297070617178</v>
      </c>
      <c r="BE216" s="52">
        <f>SUMIFS(Leasing!31:31,Leasing!1:1,BE214)+SUMIFS(Leasing!40:40,Leasing!1:1,BE214)</f>
        <v>1.0477351192414803</v>
      </c>
      <c r="BF216" s="52">
        <f>SUMIFS(Leasing!31:31,Leasing!1:1,BF214)+SUMIFS(Leasing!40:40,Leasing!1:1,BF214)</f>
        <v>1.0477351192414803</v>
      </c>
      <c r="BG216" s="52">
        <f>SUMIFS(Leasing!31:31,Leasing!1:1,BG214)+SUMIFS(Leasing!40:40,Leasing!1:1,BG214)</f>
        <v>1.0477351192414803</v>
      </c>
      <c r="BH216" s="52">
        <f>SUMIFS(Leasing!31:31,Leasing!1:1,BH214)+SUMIFS(Leasing!40:40,Leasing!1:1,BH214)</f>
        <v>1.0477351192414803</v>
      </c>
      <c r="BI216" s="52">
        <f>SUMIFS(Leasing!31:31,Leasing!1:1,BI214)+SUMIFS(Leasing!40:40,Leasing!1:1,BI214)</f>
        <v>1.0477351192414803</v>
      </c>
      <c r="BJ216" s="52">
        <f>SUMIFS(Leasing!31:31,Leasing!1:1,BJ214)+SUMIFS(Leasing!40:40,Leasing!1:1,BJ214)</f>
        <v>1.0477351192414803</v>
      </c>
      <c r="BK216" s="52">
        <f>SUMIFS(Leasing!31:31,Leasing!1:1,BK214)+SUMIFS(Leasing!40:40,Leasing!1:1,BK214)</f>
        <v>1.0477351192414803</v>
      </c>
      <c r="BL216" s="52">
        <f>SUMIFS(Leasing!31:31,Leasing!1:1,BL214)+SUMIFS(Leasing!40:40,Leasing!1:1,BL214)</f>
        <v>1.0477351192414803</v>
      </c>
      <c r="BM216" s="52">
        <f>SUMIFS(Leasing!31:31,Leasing!1:1,BM214)+SUMIFS(Leasing!40:40,Leasing!1:1,BM214)</f>
        <v>1.0477351192414803</v>
      </c>
      <c r="BN216" s="52">
        <f>SUMIFS(Leasing!31:31,Leasing!1:1,BN214)+SUMIFS(Leasing!40:40,Leasing!1:1,BN214)</f>
        <v>1.0477351192414803</v>
      </c>
      <c r="BO216" s="52">
        <f>SUMIFS(Leasing!31:31,Leasing!1:1,BO214)+SUMIFS(Leasing!40:40,Leasing!1:1,BO214)</f>
        <v>1.0477351192414803</v>
      </c>
      <c r="BP216" s="52">
        <f>SUMIFS(Leasing!31:31,Leasing!1:1,BP214)+SUMIFS(Leasing!40:40,Leasing!1:1,BP214)</f>
        <v>1.0477351192414803</v>
      </c>
      <c r="BQ216" s="52">
        <f>SUMIFS(Leasing!31:31,Leasing!1:1,BQ214)+SUMIFS(Leasing!40:40,Leasing!1:1,BQ214)</f>
        <v>1.1001218752035544</v>
      </c>
      <c r="BR216" s="52">
        <f>SUMIFS(Leasing!31:31,Leasing!1:1,BR214)+SUMIFS(Leasing!40:40,Leasing!1:1,BR214)</f>
        <v>1.1001218752035544</v>
      </c>
      <c r="BS216" s="52">
        <f>SUMIFS(Leasing!31:31,Leasing!1:1,BS214)+SUMIFS(Leasing!40:40,Leasing!1:1,BS214)</f>
        <v>1.1001218752035544</v>
      </c>
      <c r="BT216" s="52">
        <f>SUMIFS(Leasing!31:31,Leasing!1:1,BT214)+SUMIFS(Leasing!40:40,Leasing!1:1,BT214)</f>
        <v>1.1001218752035544</v>
      </c>
      <c r="BU216" s="52">
        <f>SUMIFS(Leasing!31:31,Leasing!1:1,BU214)+SUMIFS(Leasing!40:40,Leasing!1:1,BU214)</f>
        <v>1.1001218752035544</v>
      </c>
      <c r="BV216" s="52">
        <f>SUMIFS(Leasing!31:31,Leasing!1:1,BV214)+SUMIFS(Leasing!40:40,Leasing!1:1,BV214)</f>
        <v>1.1001218752035544</v>
      </c>
      <c r="BW216" s="52">
        <f>SUMIFS(Leasing!31:31,Leasing!1:1,BW214)+SUMIFS(Leasing!40:40,Leasing!1:1,BW214)</f>
        <v>1.1001218752035544</v>
      </c>
      <c r="BX216" s="52">
        <f>SUMIFS(Leasing!31:31,Leasing!1:1,BX214)+SUMIFS(Leasing!40:40,Leasing!1:1,BX214)</f>
        <v>1.1001218752035544</v>
      </c>
      <c r="BY216" s="52">
        <f>SUMIFS(Leasing!31:31,Leasing!1:1,BY214)+SUMIFS(Leasing!40:40,Leasing!1:1,BY214)</f>
        <v>1.1001218752035544</v>
      </c>
      <c r="BZ216" s="52">
        <f>SUMIFS(Leasing!31:31,Leasing!1:1,BZ214)+SUMIFS(Leasing!40:40,Leasing!1:1,BZ214)</f>
        <v>1.1001218752035544</v>
      </c>
      <c r="CA216" s="52">
        <f>SUMIFS(Leasing!31:31,Leasing!1:1,CA214)+SUMIFS(Leasing!40:40,Leasing!1:1,CA214)</f>
        <v>1.1001218752035544</v>
      </c>
      <c r="CB216" s="52">
        <f>SUMIFS(Leasing!31:31,Leasing!1:1,CB214)+SUMIFS(Leasing!40:40,Leasing!1:1,CB214)</f>
        <v>1.1001218752035544</v>
      </c>
      <c r="CC216" s="52">
        <f>SUMIFS(Leasing!31:31,Leasing!1:1,CC214)+SUMIFS(Leasing!40:40,Leasing!1:1,CC214)</f>
        <v>1.1551279689637322</v>
      </c>
      <c r="CD216" s="52">
        <f>SUMIFS(Leasing!31:31,Leasing!1:1,CD214)+SUMIFS(Leasing!40:40,Leasing!1:1,CD214)</f>
        <v>1.1551279689637322</v>
      </c>
      <c r="CE216" s="52">
        <f>SUMIFS(Leasing!31:31,Leasing!1:1,CE214)+SUMIFS(Leasing!40:40,Leasing!1:1,CE214)</f>
        <v>1.1551279689637322</v>
      </c>
      <c r="CF216" s="52">
        <f>SUMIFS(Leasing!31:31,Leasing!1:1,CF214)+SUMIFS(Leasing!40:40,Leasing!1:1,CF214)</f>
        <v>1.1551279689637322</v>
      </c>
      <c r="CG216" s="52">
        <f>SUMIFS(Leasing!31:31,Leasing!1:1,CG214)+SUMIFS(Leasing!40:40,Leasing!1:1,CG214)</f>
        <v>1.1551279689637322</v>
      </c>
      <c r="CH216" s="52">
        <f>SUMIFS(Leasing!31:31,Leasing!1:1,CH214)+SUMIFS(Leasing!40:40,Leasing!1:1,CH214)</f>
        <v>1.1551279689637322</v>
      </c>
      <c r="CI216" s="52">
        <f>SUMIFS(Leasing!31:31,Leasing!1:1,CI214)+SUMIFS(Leasing!40:40,Leasing!1:1,CI214)</f>
        <v>1.1551279689637322</v>
      </c>
      <c r="CJ216" s="52">
        <f>SUMIFS(Leasing!31:31,Leasing!1:1,CJ214)+SUMIFS(Leasing!40:40,Leasing!1:1,CJ214)</f>
        <v>1.1551279689637322</v>
      </c>
      <c r="CK216" s="52">
        <f>SUMIFS(Leasing!31:31,Leasing!1:1,CK214)+SUMIFS(Leasing!40:40,Leasing!1:1,CK214)</f>
        <v>1.1551279689637322</v>
      </c>
      <c r="CL216" s="52">
        <f>SUMIFS(Leasing!31:31,Leasing!1:1,CL214)+SUMIFS(Leasing!40:40,Leasing!1:1,CL214)</f>
        <v>1.1551279689637322</v>
      </c>
      <c r="CM216" s="52">
        <f>SUMIFS(Leasing!31:31,Leasing!1:1,CM214)+SUMIFS(Leasing!40:40,Leasing!1:1,CM214)</f>
        <v>1.1551279689637322</v>
      </c>
      <c r="CN216" s="52">
        <f>SUMIFS(Leasing!31:31,Leasing!1:1,CN214)+SUMIFS(Leasing!40:40,Leasing!1:1,CN214)</f>
        <v>1.1551279689637322</v>
      </c>
      <c r="CO216" s="52">
        <f>SUMIFS(Leasing!31:31,Leasing!1:1,CO214)+SUMIFS(Leasing!40:40,Leasing!1:1,CO214)</f>
        <v>1.2128843674119187</v>
      </c>
      <c r="CP216" s="52">
        <f>SUMIFS(Leasing!31:31,Leasing!1:1,CP214)+SUMIFS(Leasing!40:40,Leasing!1:1,CP214)</f>
        <v>1.2128843674119187</v>
      </c>
      <c r="CQ216" s="52">
        <f>SUMIFS(Leasing!31:31,Leasing!1:1,CQ214)+SUMIFS(Leasing!40:40,Leasing!1:1,CQ214)</f>
        <v>1.2128843674119187</v>
      </c>
      <c r="CR216" s="52">
        <f>SUMIFS(Leasing!31:31,Leasing!1:1,CR214)+SUMIFS(Leasing!40:40,Leasing!1:1,CR214)</f>
        <v>1.2128843674119187</v>
      </c>
      <c r="CS216" s="52">
        <f>SUMIFS(Leasing!31:31,Leasing!1:1,CS214)+SUMIFS(Leasing!40:40,Leasing!1:1,CS214)</f>
        <v>1.2128843674119187</v>
      </c>
      <c r="CT216" s="52">
        <f>SUMIFS(Leasing!31:31,Leasing!1:1,CT214)+SUMIFS(Leasing!40:40,Leasing!1:1,CT214)</f>
        <v>1.2128843674119187</v>
      </c>
      <c r="CU216" s="52">
        <f>SUMIFS(Leasing!31:31,Leasing!1:1,CU214)+SUMIFS(Leasing!40:40,Leasing!1:1,CU214)</f>
        <v>1.2128843674119187</v>
      </c>
      <c r="CV216" s="52">
        <f>SUMIFS(Leasing!31:31,Leasing!1:1,CV214)+SUMIFS(Leasing!40:40,Leasing!1:1,CV214)</f>
        <v>1.2128843674119187</v>
      </c>
      <c r="CW216" s="52">
        <f>SUMIFS(Leasing!31:31,Leasing!1:1,CW214)+SUMIFS(Leasing!40:40,Leasing!1:1,CW214)</f>
        <v>1.2128843674119187</v>
      </c>
      <c r="CX216" s="52">
        <f>SUMIFS(Leasing!31:31,Leasing!1:1,CX214)+SUMIFS(Leasing!40:40,Leasing!1:1,CX214)</f>
        <v>1.2128843674119187</v>
      </c>
      <c r="CY216" s="52">
        <f>SUMIFS(Leasing!31:31,Leasing!1:1,CY214)+SUMIFS(Leasing!40:40,Leasing!1:1,CY214)</f>
        <v>1.2128843674119187</v>
      </c>
      <c r="CZ216" s="52">
        <f>SUMIFS(Leasing!31:31,Leasing!1:1,CZ214)+SUMIFS(Leasing!40:40,Leasing!1:1,CZ214)</f>
        <v>1.2128843674119187</v>
      </c>
      <c r="DA216" s="52">
        <f>SUMIFS(Leasing!31:31,Leasing!1:1,DA214)+SUMIFS(Leasing!40:40,Leasing!1:1,DA214)</f>
        <v>1.2735285857825149</v>
      </c>
      <c r="DB216" s="52">
        <f>SUMIFS(Leasing!31:31,Leasing!1:1,DB214)+SUMIFS(Leasing!40:40,Leasing!1:1,DB214)</f>
        <v>1.2735285857825149</v>
      </c>
      <c r="DC216" s="52">
        <f>SUMIFS(Leasing!31:31,Leasing!1:1,DC214)+SUMIFS(Leasing!40:40,Leasing!1:1,DC214)</f>
        <v>1.2735285857825149</v>
      </c>
      <c r="DD216" s="52">
        <f>SUMIFS(Leasing!31:31,Leasing!1:1,DD214)+SUMIFS(Leasing!40:40,Leasing!1:1,DD214)</f>
        <v>1.2735285857825149</v>
      </c>
      <c r="DE216" s="52">
        <f>SUMIFS(Leasing!31:31,Leasing!1:1,DE214)+SUMIFS(Leasing!40:40,Leasing!1:1,DE214)</f>
        <v>1.2735285857825149</v>
      </c>
      <c r="DF216" s="52">
        <f>SUMIFS(Leasing!31:31,Leasing!1:1,DF214)+SUMIFS(Leasing!40:40,Leasing!1:1,DF214)</f>
        <v>1.2735285857825149</v>
      </c>
      <c r="DG216" s="52">
        <f>SUMIFS(Leasing!31:31,Leasing!1:1,DG214)+SUMIFS(Leasing!40:40,Leasing!1:1,DG214)</f>
        <v>1.2735285857825149</v>
      </c>
      <c r="DH216" s="52">
        <f>SUMIFS(Leasing!31:31,Leasing!1:1,DH214)+SUMIFS(Leasing!40:40,Leasing!1:1,DH214)</f>
        <v>1.2735285857825149</v>
      </c>
      <c r="DI216" s="52">
        <f>SUMIFS(Leasing!31:31,Leasing!1:1,DI214)+SUMIFS(Leasing!40:40,Leasing!1:1,DI214)</f>
        <v>1.2735285857825149</v>
      </c>
      <c r="DJ216" s="52">
        <f>SUMIFS(Leasing!31:31,Leasing!1:1,DJ214)+SUMIFS(Leasing!40:40,Leasing!1:1,DJ214)</f>
        <v>1.2735285857825149</v>
      </c>
      <c r="DK216" s="52">
        <f>SUMIFS(Leasing!31:31,Leasing!1:1,DK214)+SUMIFS(Leasing!40:40,Leasing!1:1,DK214)</f>
        <v>1.2735285857825149</v>
      </c>
      <c r="DL216" s="52">
        <f>SUMIFS(Leasing!31:31,Leasing!1:1,DL214)+SUMIFS(Leasing!40:40,Leasing!1:1,DL214)</f>
        <v>1.2735285857825149</v>
      </c>
      <c r="DM216" s="52">
        <f>SUMIFS(Leasing!31:31,Leasing!1:1,DM214)+SUMIFS(Leasing!40:40,Leasing!1:1,DM214)</f>
        <v>1.3372050150716406</v>
      </c>
      <c r="DN216" s="52">
        <f>SUMIFS(Leasing!31:31,Leasing!1:1,DN214)+SUMIFS(Leasing!40:40,Leasing!1:1,DN214)</f>
        <v>1.3372050150716406</v>
      </c>
      <c r="DO216" s="52">
        <f>SUMIFS(Leasing!31:31,Leasing!1:1,DO214)+SUMIFS(Leasing!40:40,Leasing!1:1,DO214)</f>
        <v>1.3372050150716406</v>
      </c>
      <c r="DP216" s="52">
        <f>SUMIFS(Leasing!31:31,Leasing!1:1,DP214)+SUMIFS(Leasing!40:40,Leasing!1:1,DP214)</f>
        <v>1.3372050150716406</v>
      </c>
      <c r="DQ216" s="52">
        <f>SUMIFS(Leasing!31:31,Leasing!1:1,DQ214)+SUMIFS(Leasing!40:40,Leasing!1:1,DQ214)</f>
        <v>1.3372050150716406</v>
      </c>
      <c r="DR216" s="52">
        <f>SUMIFS(Leasing!31:31,Leasing!1:1,DR214)+SUMIFS(Leasing!40:40,Leasing!1:1,DR214)</f>
        <v>1.3372050150716406</v>
      </c>
      <c r="DS216" s="52">
        <f>SUMIFS(Leasing!31:31,Leasing!1:1,DS214)+SUMIFS(Leasing!40:40,Leasing!1:1,DS214)</f>
        <v>1.3372050150716406</v>
      </c>
      <c r="DT216" s="52">
        <f>SUMIFS(Leasing!31:31,Leasing!1:1,DT214)+SUMIFS(Leasing!40:40,Leasing!1:1,DT214)</f>
        <v>1.3372050150716406</v>
      </c>
      <c r="DU216" s="52">
        <f>SUMIFS(Leasing!31:31,Leasing!1:1,DU214)+SUMIFS(Leasing!40:40,Leasing!1:1,DU214)</f>
        <v>1.3372050150716406</v>
      </c>
      <c r="DV216" s="52">
        <f>SUMIFS(Leasing!31:31,Leasing!1:1,DV214)+SUMIFS(Leasing!40:40,Leasing!1:1,DV214)</f>
        <v>1.3372050150716406</v>
      </c>
      <c r="DW216" s="52">
        <f>SUMIFS(Leasing!31:31,Leasing!1:1,DW214)+SUMIFS(Leasing!40:40,Leasing!1:1,DW214)</f>
        <v>1.3372050150716406</v>
      </c>
      <c r="DX216" s="52">
        <f>SUMIFS(Leasing!31:31,Leasing!1:1,DX214)+SUMIFS(Leasing!40:40,Leasing!1:1,DX214)</f>
        <v>1.3372050150716406</v>
      </c>
      <c r="DY216" s="52">
        <f>SUMIFS(Leasing!31:31,Leasing!1:1,DY214)+SUMIFS(Leasing!40:40,Leasing!1:1,DY214)</f>
        <v>1.4040652658252226</v>
      </c>
      <c r="DZ216" s="52">
        <f>SUMIFS(Leasing!31:31,Leasing!1:1,DZ214)+SUMIFS(Leasing!40:40,Leasing!1:1,DZ214)</f>
        <v>1.4040652658252226</v>
      </c>
      <c r="EA216" s="52">
        <f>SUMIFS(Leasing!31:31,Leasing!1:1,EA214)+SUMIFS(Leasing!40:40,Leasing!1:1,EA214)</f>
        <v>1.4040652658252226</v>
      </c>
      <c r="EB216" s="52">
        <f>SUMIFS(Leasing!31:31,Leasing!1:1,EB214)+SUMIFS(Leasing!40:40,Leasing!1:1,EB214)</f>
        <v>1.4040652658252226</v>
      </c>
      <c r="EC216" s="52">
        <f>SUMIFS(Leasing!31:31,Leasing!1:1,EC214)+SUMIFS(Leasing!40:40,Leasing!1:1,EC214)</f>
        <v>1.4040652658252226</v>
      </c>
      <c r="ED216" s="52">
        <f>SUMIFS(Leasing!31:31,Leasing!1:1,ED214)+SUMIFS(Leasing!40:40,Leasing!1:1,ED214)</f>
        <v>1.4040652658252226</v>
      </c>
      <c r="EE216" s="52">
        <f>SUMIFS(Leasing!31:31,Leasing!1:1,EE214)+SUMIFS(Leasing!40:40,Leasing!1:1,EE214)</f>
        <v>1.4040652658252226</v>
      </c>
      <c r="EF216" s="52">
        <f>SUMIFS(Leasing!31:31,Leasing!1:1,EF214)+SUMIFS(Leasing!40:40,Leasing!1:1,EF214)</f>
        <v>1.4040652658252226</v>
      </c>
      <c r="EG216" s="52">
        <f>SUMIFS(Leasing!31:31,Leasing!1:1,EG214)+SUMIFS(Leasing!40:40,Leasing!1:1,EG214)</f>
        <v>1.4040652658252226</v>
      </c>
      <c r="EH216" s="52">
        <f>SUMIFS(Leasing!31:31,Leasing!1:1,EH214)+SUMIFS(Leasing!40:40,Leasing!1:1,EH214)</f>
        <v>1.4040652658252226</v>
      </c>
      <c r="EI216" s="52">
        <f>SUMIFS(Leasing!31:31,Leasing!1:1,EI214)+SUMIFS(Leasing!40:40,Leasing!1:1,EI214)</f>
        <v>1.4040652658252226</v>
      </c>
      <c r="EJ216" s="52">
        <f>SUMIFS(Leasing!31:31,Leasing!1:1,EJ214)+SUMIFS(Leasing!40:40,Leasing!1:1,EJ214)</f>
        <v>1.4040652658252226</v>
      </c>
      <c r="EK216" s="52">
        <f>SUMIFS(Leasing!31:31,Leasing!1:1,EK214)+SUMIFS(Leasing!40:40,Leasing!1:1,EK214)</f>
        <v>1.4742685291164839</v>
      </c>
      <c r="EL216" s="52">
        <f>SUMIFS(Leasing!31:31,Leasing!1:1,EL214)+SUMIFS(Leasing!40:40,Leasing!1:1,EL214)</f>
        <v>1.4742685291164839</v>
      </c>
      <c r="EM216" s="52">
        <f>SUMIFS(Leasing!31:31,Leasing!1:1,EM214)+SUMIFS(Leasing!40:40,Leasing!1:1,EM214)</f>
        <v>1.4742685291164839</v>
      </c>
      <c r="EN216" s="52">
        <f>SUMIFS(Leasing!31:31,Leasing!1:1,EN214)+SUMIFS(Leasing!40:40,Leasing!1:1,EN214)</f>
        <v>1.4742685291164839</v>
      </c>
      <c r="EO216" s="52">
        <f>SUMIFS(Leasing!31:31,Leasing!1:1,EO214)+SUMIFS(Leasing!40:40,Leasing!1:1,EO214)</f>
        <v>1.4742685291164839</v>
      </c>
      <c r="EP216" s="52">
        <f>SUMIFS(Leasing!31:31,Leasing!1:1,EP214)+SUMIFS(Leasing!40:40,Leasing!1:1,EP214)</f>
        <v>1.4742685291164839</v>
      </c>
      <c r="EQ216" s="52">
        <f>SUMIFS(Leasing!31:31,Leasing!1:1,EQ214)+SUMIFS(Leasing!40:40,Leasing!1:1,EQ214)</f>
        <v>1.4742685291164839</v>
      </c>
      <c r="ER216" s="52">
        <f>SUMIFS(Leasing!31:31,Leasing!1:1,ER214)+SUMIFS(Leasing!40:40,Leasing!1:1,ER214)</f>
        <v>1.4742685291164839</v>
      </c>
      <c r="ES216" s="52">
        <f>SUMIFS(Leasing!31:31,Leasing!1:1,ES214)+SUMIFS(Leasing!40:40,Leasing!1:1,ES214)</f>
        <v>1.4742685291164839</v>
      </c>
      <c r="ET216" s="52">
        <f>SUMIFS(Leasing!31:31,Leasing!1:1,ET214)+SUMIFS(Leasing!40:40,Leasing!1:1,ET214)</f>
        <v>1.4742685291164839</v>
      </c>
      <c r="EU216" s="52">
        <f>SUMIFS(Leasing!31:31,Leasing!1:1,EU214)+SUMIFS(Leasing!40:40,Leasing!1:1,EU214)</f>
        <v>1.4742685291164839</v>
      </c>
      <c r="EV216" s="52">
        <f>SUMIFS(Leasing!31:31,Leasing!1:1,EV214)+SUMIFS(Leasing!40:40,Leasing!1:1,EV214)</f>
        <v>1.4742685291164839</v>
      </c>
      <c r="EW216" s="52">
        <f>SUMIFS(Leasing!31:31,Leasing!1:1,EW214)+SUMIFS(Leasing!40:40,Leasing!1:1,EW214)</f>
        <v>1.5479819555723082</v>
      </c>
      <c r="EX216" s="52">
        <f>SUMIFS(Leasing!31:31,Leasing!1:1,EX214)+SUMIFS(Leasing!40:40,Leasing!1:1,EX214)</f>
        <v>1.5479819555723082</v>
      </c>
      <c r="EY216" s="52">
        <f>SUMIFS(Leasing!31:31,Leasing!1:1,EY214)+SUMIFS(Leasing!40:40,Leasing!1:1,EY214)</f>
        <v>1.5479819555723082</v>
      </c>
      <c r="EZ216" s="52">
        <f>SUMIFS(Leasing!31:31,Leasing!1:1,EZ214)+SUMIFS(Leasing!40:40,Leasing!1:1,EZ214)</f>
        <v>1.5479819555723082</v>
      </c>
      <c r="FA216" s="52">
        <f>SUMIFS(Leasing!31:31,Leasing!1:1,FA214)+SUMIFS(Leasing!40:40,Leasing!1:1,FA214)</f>
        <v>1.5479819555723082</v>
      </c>
      <c r="FB216" s="52">
        <f>SUMIFS(Leasing!31:31,Leasing!1:1,FB214)+SUMIFS(Leasing!40:40,Leasing!1:1,FB214)</f>
        <v>1.5479819555723082</v>
      </c>
      <c r="FC216" s="52">
        <f>SUMIFS(Leasing!31:31,Leasing!1:1,FC214)+SUMIFS(Leasing!40:40,Leasing!1:1,FC214)</f>
        <v>1.5479819555723082</v>
      </c>
      <c r="FD216" s="52">
        <f>SUMIFS(Leasing!31:31,Leasing!1:1,FD214)+SUMIFS(Leasing!40:40,Leasing!1:1,FD214)</f>
        <v>1.5479819555723082</v>
      </c>
      <c r="FE216" s="52">
        <f>SUMIFS(Leasing!31:31,Leasing!1:1,FE214)+SUMIFS(Leasing!40:40,Leasing!1:1,FE214)</f>
        <v>1.5479819555723082</v>
      </c>
      <c r="FF216" s="52">
        <f>SUMIFS(Leasing!31:31,Leasing!1:1,FF214)+SUMIFS(Leasing!40:40,Leasing!1:1,FF214)</f>
        <v>1.5479819555723082</v>
      </c>
      <c r="FG216" s="52">
        <f>SUMIFS(Leasing!31:31,Leasing!1:1,FG214)+SUMIFS(Leasing!40:40,Leasing!1:1,FG214)</f>
        <v>1.5479819555723082</v>
      </c>
      <c r="FH216" s="52">
        <f>SUMIFS(Leasing!31:31,Leasing!1:1,FH214)+SUMIFS(Leasing!40:40,Leasing!1:1,FH214)</f>
        <v>1.5479819555723082</v>
      </c>
      <c r="FI216" s="52">
        <f>SUMIFS(Leasing!31:31,Leasing!1:1,FI214)+SUMIFS(Leasing!40:40,Leasing!1:1,FI214)</f>
        <v>1.6253810533509241</v>
      </c>
      <c r="FJ216" s="52">
        <f>SUMIFS(Leasing!31:31,Leasing!1:1,FJ214)+SUMIFS(Leasing!40:40,Leasing!1:1,FJ214)</f>
        <v>1.6253810533509241</v>
      </c>
      <c r="FK216" s="52">
        <f>SUMIFS(Leasing!31:31,Leasing!1:1,FK214)+SUMIFS(Leasing!40:40,Leasing!1:1,FK214)</f>
        <v>1.6253810533509241</v>
      </c>
      <c r="FL216" s="52">
        <f>SUMIFS(Leasing!31:31,Leasing!1:1,FL214)+SUMIFS(Leasing!40:40,Leasing!1:1,FL214)</f>
        <v>1.6253810533509241</v>
      </c>
      <c r="FM216" s="52">
        <f>SUMIFS(Leasing!31:31,Leasing!1:1,FM214)+SUMIFS(Leasing!40:40,Leasing!1:1,FM214)</f>
        <v>1.6253810533509241</v>
      </c>
      <c r="FN216" s="52">
        <f>SUMIFS(Leasing!31:31,Leasing!1:1,FN214)+SUMIFS(Leasing!40:40,Leasing!1:1,FN214)</f>
        <v>1.6253810533509241</v>
      </c>
      <c r="FO216" s="52">
        <f>SUMIFS(Leasing!31:31,Leasing!1:1,FO214)+SUMIFS(Leasing!40:40,Leasing!1:1,FO214)</f>
        <v>1.6253810533509241</v>
      </c>
      <c r="FP216" s="52">
        <f>SUMIFS(Leasing!31:31,Leasing!1:1,FP214)+SUMIFS(Leasing!40:40,Leasing!1:1,FP214)</f>
        <v>1.6253810533509241</v>
      </c>
      <c r="FQ216" s="52">
        <f>SUMIFS(Leasing!31:31,Leasing!1:1,FQ214)+SUMIFS(Leasing!40:40,Leasing!1:1,FQ214)</f>
        <v>1.6253810533509241</v>
      </c>
      <c r="FR216" s="52">
        <f>SUMIFS(Leasing!31:31,Leasing!1:1,FR214)+SUMIFS(Leasing!40:40,Leasing!1:1,FR214)</f>
        <v>1.6253810533509241</v>
      </c>
      <c r="FS216" s="52">
        <f>SUMIFS(Leasing!31:31,Leasing!1:1,FS214)+SUMIFS(Leasing!40:40,Leasing!1:1,FS214)</f>
        <v>1.6253810533509241</v>
      </c>
      <c r="FT216" s="52">
        <f>SUMIFS(Leasing!31:31,Leasing!1:1,FT214)+SUMIFS(Leasing!40:40,Leasing!1:1,FT214)</f>
        <v>1.6253810533509241</v>
      </c>
      <c r="FU216" s="52">
        <f>SUMIFS(Leasing!31:31,Leasing!1:1,FU214)+SUMIFS(Leasing!40:40,Leasing!1:1,FU214)</f>
        <v>1.7066501060184702</v>
      </c>
      <c r="FV216" s="52">
        <f>SUMIFS(Leasing!31:31,Leasing!1:1,FV214)+SUMIFS(Leasing!40:40,Leasing!1:1,FV214)</f>
        <v>1.7066501060184702</v>
      </c>
      <c r="FW216" s="52">
        <f>SUMIFS(Leasing!31:31,Leasing!1:1,FW214)+SUMIFS(Leasing!40:40,Leasing!1:1,FW214)</f>
        <v>1.7066501060184702</v>
      </c>
      <c r="FX216" s="52">
        <f>SUMIFS(Leasing!31:31,Leasing!1:1,FX214)+SUMIFS(Leasing!40:40,Leasing!1:1,FX214)</f>
        <v>1.7066501060184702</v>
      </c>
      <c r="FY216" s="52">
        <f>SUMIFS(Leasing!31:31,Leasing!1:1,FY214)+SUMIFS(Leasing!40:40,Leasing!1:1,FY214)</f>
        <v>1.7066501060184702</v>
      </c>
      <c r="FZ216" s="52">
        <f>SUMIFS(Leasing!31:31,Leasing!1:1,FZ214)+SUMIFS(Leasing!40:40,Leasing!1:1,FZ214)</f>
        <v>1.7066501060184702</v>
      </c>
      <c r="GA216" s="52">
        <f>SUMIFS(Leasing!31:31,Leasing!1:1,GA214)+SUMIFS(Leasing!40:40,Leasing!1:1,GA214)</f>
        <v>1.7066501060184702</v>
      </c>
      <c r="GB216" s="52">
        <f>SUMIFS(Leasing!31:31,Leasing!1:1,GB214)+SUMIFS(Leasing!40:40,Leasing!1:1,GB214)</f>
        <v>1.7066501060184702</v>
      </c>
      <c r="GC216" s="52">
        <f>SUMIFS(Leasing!31:31,Leasing!1:1,GC214)+SUMIFS(Leasing!40:40,Leasing!1:1,GC214)</f>
        <v>1.7066501060184702</v>
      </c>
      <c r="GD216" s="52">
        <f>SUMIFS(Leasing!31:31,Leasing!1:1,GD214)+SUMIFS(Leasing!40:40,Leasing!1:1,GD214)</f>
        <v>1.7066501060184702</v>
      </c>
      <c r="GE216" s="52">
        <f>SUMIFS(Leasing!31:31,Leasing!1:1,GE214)+SUMIFS(Leasing!40:40,Leasing!1:1,GE214)</f>
        <v>1.7066501060184702</v>
      </c>
      <c r="GF216" s="52">
        <f>SUMIFS(Leasing!31:31,Leasing!1:1,GF214)+SUMIFS(Leasing!40:40,Leasing!1:1,GF214)</f>
        <v>1.7066501060184702</v>
      </c>
      <c r="GG216" s="52">
        <f>SUMIFS(Leasing!31:31,Leasing!1:1,GG214)+SUMIFS(Leasing!40:40,Leasing!1:1,GG214)</f>
        <v>1.791982611319394</v>
      </c>
      <c r="GH216" s="52">
        <f>SUMIFS(Leasing!31:31,Leasing!1:1,GH214)+SUMIFS(Leasing!40:40,Leasing!1:1,GH214)</f>
        <v>1.791982611319394</v>
      </c>
      <c r="GI216" s="52">
        <f>SUMIFS(Leasing!31:31,Leasing!1:1,GI214)+SUMIFS(Leasing!40:40,Leasing!1:1,GI214)</f>
        <v>1.791982611319394</v>
      </c>
      <c r="GJ216" s="52">
        <f>SUMIFS(Leasing!31:31,Leasing!1:1,GJ214)+SUMIFS(Leasing!40:40,Leasing!1:1,GJ214)</f>
        <v>1.791982611319394</v>
      </c>
      <c r="GK216" s="52">
        <f>SUMIFS(Leasing!31:31,Leasing!1:1,GK214)+SUMIFS(Leasing!40:40,Leasing!1:1,GK214)</f>
        <v>1.791982611319394</v>
      </c>
      <c r="GL216" s="52">
        <f>SUMIFS(Leasing!31:31,Leasing!1:1,GL214)+SUMIFS(Leasing!40:40,Leasing!1:1,GL214)</f>
        <v>1.791982611319394</v>
      </c>
      <c r="GM216" s="52">
        <f>SUMIFS(Leasing!31:31,Leasing!1:1,GM214)+SUMIFS(Leasing!40:40,Leasing!1:1,GM214)</f>
        <v>1.791982611319394</v>
      </c>
      <c r="GN216" s="52">
        <f>SUMIFS(Leasing!31:31,Leasing!1:1,GN214)+SUMIFS(Leasing!40:40,Leasing!1:1,GN214)</f>
        <v>1.791982611319394</v>
      </c>
      <c r="GO216" s="52">
        <f>SUMIFS(Leasing!31:31,Leasing!1:1,GO214)+SUMIFS(Leasing!40:40,Leasing!1:1,GO214)</f>
        <v>1.791982611319394</v>
      </c>
      <c r="GP216" s="52">
        <f>SUMIFS(Leasing!31:31,Leasing!1:1,GP214)+SUMIFS(Leasing!40:40,Leasing!1:1,GP214)</f>
        <v>1.791982611319394</v>
      </c>
      <c r="GQ216" s="52">
        <f>SUMIFS(Leasing!31:31,Leasing!1:1,GQ214)+SUMIFS(Leasing!40:40,Leasing!1:1,GQ214)</f>
        <v>1.791982611319394</v>
      </c>
      <c r="GR216" s="52">
        <f>SUMIFS(Leasing!31:31,Leasing!1:1,GR214)+SUMIFS(Leasing!40:40,Leasing!1:1,GR214)</f>
        <v>1.791982611319394</v>
      </c>
      <c r="GS216" s="52">
        <f>SUMIFS(Leasing!31:31,Leasing!1:1,GS214)+SUMIFS(Leasing!40:40,Leasing!1:1,GS214)</f>
        <v>1.8815817418853638</v>
      </c>
      <c r="GT216" s="52">
        <f>SUMIFS(Leasing!31:31,Leasing!1:1,GT214)+SUMIFS(Leasing!40:40,Leasing!1:1,GT214)</f>
        <v>1.8815817418853638</v>
      </c>
      <c r="GU216" s="52">
        <f>SUMIFS(Leasing!31:31,Leasing!1:1,GU214)+SUMIFS(Leasing!40:40,Leasing!1:1,GU214)</f>
        <v>1.8815817418853638</v>
      </c>
      <c r="GV216" s="52">
        <f>SUMIFS(Leasing!31:31,Leasing!1:1,GV214)+SUMIFS(Leasing!40:40,Leasing!1:1,GV214)</f>
        <v>1.8815817418853638</v>
      </c>
      <c r="GW216" s="52">
        <f>SUMIFS(Leasing!31:31,Leasing!1:1,GW214)+SUMIFS(Leasing!40:40,Leasing!1:1,GW214)</f>
        <v>1.8815817418853638</v>
      </c>
      <c r="GX216" s="52">
        <f>SUMIFS(Leasing!31:31,Leasing!1:1,GX214)+SUMIFS(Leasing!40:40,Leasing!1:1,GX214)</f>
        <v>1.8815817418853638</v>
      </c>
      <c r="GY216" s="52">
        <f>SUMIFS(Leasing!31:31,Leasing!1:1,GY214)+SUMIFS(Leasing!40:40,Leasing!1:1,GY214)</f>
        <v>1.8815817418853638</v>
      </c>
      <c r="GZ216" s="52">
        <f>SUMIFS(Leasing!31:31,Leasing!1:1,GZ214)+SUMIFS(Leasing!40:40,Leasing!1:1,GZ214)</f>
        <v>1.8815817418853638</v>
      </c>
      <c r="HA216" s="52">
        <f>SUMIFS(Leasing!31:31,Leasing!1:1,HA214)+SUMIFS(Leasing!40:40,Leasing!1:1,HA214)</f>
        <v>1.8815817418853638</v>
      </c>
      <c r="HB216" s="52">
        <f>SUMIFS(Leasing!31:31,Leasing!1:1,HB214)+SUMIFS(Leasing!40:40,Leasing!1:1,HB214)</f>
        <v>1.8815817418853638</v>
      </c>
      <c r="HC216" s="52">
        <f>SUMIFS(Leasing!31:31,Leasing!1:1,HC214)+SUMIFS(Leasing!40:40,Leasing!1:1,HC214)</f>
        <v>1.8815817418853638</v>
      </c>
      <c r="HD216" s="52">
        <f>SUMIFS(Leasing!31:31,Leasing!1:1,HD214)+SUMIFS(Leasing!40:40,Leasing!1:1,HD214)</f>
        <v>1.8815817418853638</v>
      </c>
      <c r="HE216" s="52">
        <f>SUMIFS(Leasing!31:31,Leasing!1:1,HE214)+SUMIFS(Leasing!40:40,Leasing!1:1,HE214)</f>
        <v>1.975660828979632</v>
      </c>
      <c r="HF216" s="52">
        <f>SUMIFS(Leasing!31:31,Leasing!1:1,HF214)+SUMIFS(Leasing!40:40,Leasing!1:1,HF214)</f>
        <v>1.975660828979632</v>
      </c>
      <c r="HG216" s="52">
        <f>SUMIFS(Leasing!31:31,Leasing!1:1,HG214)+SUMIFS(Leasing!40:40,Leasing!1:1,HG214)</f>
        <v>1.975660828979632</v>
      </c>
      <c r="HH216" s="52">
        <f>SUMIFS(Leasing!31:31,Leasing!1:1,HH214)+SUMIFS(Leasing!40:40,Leasing!1:1,HH214)</f>
        <v>1.975660828979632</v>
      </c>
      <c r="HI216" s="52">
        <f>SUMIFS(Leasing!31:31,Leasing!1:1,HI214)+SUMIFS(Leasing!40:40,Leasing!1:1,HI214)</f>
        <v>1.975660828979632</v>
      </c>
      <c r="HJ216" s="52">
        <f>SUMIFS(Leasing!31:31,Leasing!1:1,HJ214)+SUMIFS(Leasing!40:40,Leasing!1:1,HJ214)</f>
        <v>1.975660828979632</v>
      </c>
      <c r="HK216" s="52">
        <f>SUMIFS(Leasing!31:31,Leasing!1:1,HK214)+SUMIFS(Leasing!40:40,Leasing!1:1,HK214)</f>
        <v>1.975660828979632</v>
      </c>
      <c r="HL216" s="52">
        <f>SUMIFS(Leasing!31:31,Leasing!1:1,HL214)+SUMIFS(Leasing!40:40,Leasing!1:1,HL214)</f>
        <v>1.975660828979632</v>
      </c>
      <c r="HM216" s="52">
        <f>SUMIFS(Leasing!31:31,Leasing!1:1,HM214)+SUMIFS(Leasing!40:40,Leasing!1:1,HM214)</f>
        <v>1.975660828979632</v>
      </c>
      <c r="HN216" s="52">
        <f>SUMIFS(Leasing!31:31,Leasing!1:1,HN214)+SUMIFS(Leasing!40:40,Leasing!1:1,HN214)</f>
        <v>1.975660828979632</v>
      </c>
      <c r="HO216" s="52">
        <f>SUMIFS(Leasing!31:31,Leasing!1:1,HO214)+SUMIFS(Leasing!40:40,Leasing!1:1,HO214)</f>
        <v>1.975660828979632</v>
      </c>
      <c r="HP216" s="52">
        <f>SUMIFS(Leasing!31:31,Leasing!1:1,HP214)+SUMIFS(Leasing!40:40,Leasing!1:1,HP214)</f>
        <v>1.975660828979632</v>
      </c>
      <c r="HQ216" s="52">
        <f>SUMIFS(Leasing!31:31,Leasing!1:1,HQ214)+SUMIFS(Leasing!40:40,Leasing!1:1,HQ214)</f>
        <v>2.0744438704286137</v>
      </c>
      <c r="HR216" s="52">
        <f>SUMIFS(Leasing!31:31,Leasing!1:1,HR214)+SUMIFS(Leasing!40:40,Leasing!1:1,HR214)</f>
        <v>2.0744438704286137</v>
      </c>
      <c r="HS216" s="52">
        <f>SUMIFS(Leasing!31:31,Leasing!1:1,HS214)+SUMIFS(Leasing!40:40,Leasing!1:1,HS214)</f>
        <v>2.0744438704286137</v>
      </c>
      <c r="HT216" s="52">
        <f>SUMIFS(Leasing!31:31,Leasing!1:1,HT214)+SUMIFS(Leasing!40:40,Leasing!1:1,HT214)</f>
        <v>2.0744438704286137</v>
      </c>
      <c r="HU216" s="52">
        <f>SUMIFS(Leasing!31:31,Leasing!1:1,HU214)+SUMIFS(Leasing!40:40,Leasing!1:1,HU214)</f>
        <v>2.0744438704286137</v>
      </c>
      <c r="HV216" s="52">
        <f>SUMIFS(Leasing!31:31,Leasing!1:1,HV214)+SUMIFS(Leasing!40:40,Leasing!1:1,HV214)</f>
        <v>2.0744438704286137</v>
      </c>
      <c r="HW216" s="52">
        <f>SUMIFS(Leasing!31:31,Leasing!1:1,HW214)+SUMIFS(Leasing!40:40,Leasing!1:1,HW214)</f>
        <v>2.0744438704286137</v>
      </c>
      <c r="HX216" s="52">
        <f>SUMIFS(Leasing!31:31,Leasing!1:1,HX214)+SUMIFS(Leasing!40:40,Leasing!1:1,HX214)</f>
        <v>2.0744438704286137</v>
      </c>
      <c r="HY216" s="52">
        <f>SUMIFS(Leasing!31:31,Leasing!1:1,HY214)+SUMIFS(Leasing!40:40,Leasing!1:1,HY214)</f>
        <v>2.0744438704286137</v>
      </c>
      <c r="HZ216" s="52">
        <f>SUMIFS(Leasing!31:31,Leasing!1:1,HZ214)+SUMIFS(Leasing!40:40,Leasing!1:1,HZ214)</f>
        <v>2.0744438704286137</v>
      </c>
      <c r="IA216" s="52">
        <f>SUMIFS(Leasing!31:31,Leasing!1:1,IA214)+SUMIFS(Leasing!40:40,Leasing!1:1,IA214)</f>
        <v>2.0744438704286137</v>
      </c>
      <c r="IB216" s="52">
        <f>SUMIFS(Leasing!31:31,Leasing!1:1,IB214)+SUMIFS(Leasing!40:40,Leasing!1:1,IB214)</f>
        <v>2.0744438704286137</v>
      </c>
      <c r="IC216" s="52">
        <f>SUMIFS(Leasing!31:31,Leasing!1:1,IC214)+SUMIFS(Leasing!40:40,Leasing!1:1,IC214)</f>
        <v>2.178166063950044</v>
      </c>
      <c r="ID216" s="52">
        <f>SUMIFS(Leasing!31:31,Leasing!1:1,ID214)+SUMIFS(Leasing!40:40,Leasing!1:1,ID214)</f>
        <v>2.178166063950044</v>
      </c>
      <c r="IE216" s="52">
        <f>SUMIFS(Leasing!31:31,Leasing!1:1,IE214)+SUMIFS(Leasing!40:40,Leasing!1:1,IE214)</f>
        <v>2.178166063950044</v>
      </c>
      <c r="IF216" s="52">
        <f>SUMIFS(Leasing!31:31,Leasing!1:1,IF214)+SUMIFS(Leasing!40:40,Leasing!1:1,IF214)</f>
        <v>2.178166063950044</v>
      </c>
      <c r="IG216" s="52">
        <f>SUMIFS(Leasing!31:31,Leasing!1:1,IG214)+SUMIFS(Leasing!40:40,Leasing!1:1,IG214)</f>
        <v>2.178166063950044</v>
      </c>
      <c r="IH216" s="52">
        <f>SUMIFS(Leasing!31:31,Leasing!1:1,IH214)+SUMIFS(Leasing!40:40,Leasing!1:1,IH214)</f>
        <v>2.178166063950044</v>
      </c>
      <c r="II216" s="52">
        <f>SUMIFS(Leasing!31:31,Leasing!1:1,II214)+SUMIFS(Leasing!40:40,Leasing!1:1,II214)</f>
        <v>2.178166063950044</v>
      </c>
      <c r="IJ216" s="52">
        <f>SUMIFS(Leasing!31:31,Leasing!1:1,IJ214)+SUMIFS(Leasing!40:40,Leasing!1:1,IJ214)</f>
        <v>2.178166063950044</v>
      </c>
      <c r="IK216" s="52">
        <f>SUMIFS(Leasing!31:31,Leasing!1:1,IK214)+SUMIFS(Leasing!40:40,Leasing!1:1,IK214)</f>
        <v>2.178166063950044</v>
      </c>
      <c r="IL216" s="52">
        <f>SUMIFS(Leasing!31:31,Leasing!1:1,IL214)+SUMIFS(Leasing!40:40,Leasing!1:1,IL214)</f>
        <v>2.178166063950044</v>
      </c>
      <c r="IM216" s="52">
        <f>SUMIFS(Leasing!31:31,Leasing!1:1,IM214)+SUMIFS(Leasing!40:40,Leasing!1:1,IM214)</f>
        <v>2.178166063950044</v>
      </c>
      <c r="IN216" s="52">
        <f>SUMIFS(Leasing!31:31,Leasing!1:1,IN214)+SUMIFS(Leasing!40:40,Leasing!1:1,IN214)</f>
        <v>2.178166063950044</v>
      </c>
      <c r="IO216" s="52">
        <f>SUMIFS(Leasing!31:31,Leasing!1:1,IO214)+SUMIFS(Leasing!40:40,Leasing!1:1,IO214)</f>
        <v>2.2870743671475466</v>
      </c>
      <c r="IP216" s="52">
        <f>SUMIFS(Leasing!31:31,Leasing!1:1,IP214)+SUMIFS(Leasing!40:40,Leasing!1:1,IP214)</f>
        <v>2.2870743671475466</v>
      </c>
      <c r="IQ216" s="52">
        <f>SUMIFS(Leasing!31:31,Leasing!1:1,IQ214)+SUMIFS(Leasing!40:40,Leasing!1:1,IQ214)</f>
        <v>2.2870743671475466</v>
      </c>
      <c r="IR216" s="52">
        <f>SUMIFS(Leasing!31:31,Leasing!1:1,IR214)+SUMIFS(Leasing!40:40,Leasing!1:1,IR214)</f>
        <v>2.2870743671475466</v>
      </c>
      <c r="IS216" s="52">
        <f>SUMIFS(Leasing!31:31,Leasing!1:1,IS214)+SUMIFS(Leasing!40:40,Leasing!1:1,IS214)</f>
        <v>2.2870743671475466</v>
      </c>
      <c r="IT216" s="52">
        <f>SUMIFS(Leasing!31:31,Leasing!1:1,IT214)+SUMIFS(Leasing!40:40,Leasing!1:1,IT214)</f>
        <v>2.2870743671475466</v>
      </c>
      <c r="IU216" s="52">
        <f>SUMIFS(Leasing!31:31,Leasing!1:1,IU214)+SUMIFS(Leasing!40:40,Leasing!1:1,IU214)</f>
        <v>2.2870743671475466</v>
      </c>
      <c r="IV216" s="52">
        <f>SUMIFS(Leasing!31:31,Leasing!1:1,IV214)+SUMIFS(Leasing!40:40,Leasing!1:1,IV214)</f>
        <v>2.2870743671475466</v>
      </c>
      <c r="IW216" s="52">
        <f>SUMIFS(Leasing!31:31,Leasing!1:1,IW214)+SUMIFS(Leasing!40:40,Leasing!1:1,IW214)</f>
        <v>2.2870743671475466</v>
      </c>
      <c r="IX216" s="52">
        <f>SUMIFS(Leasing!31:31,Leasing!1:1,IX214)+SUMIFS(Leasing!40:40,Leasing!1:1,IX214)</f>
        <v>2.2870743671475466</v>
      </c>
      <c r="IY216" s="52">
        <f>SUMIFS(Leasing!31:31,Leasing!1:1,IY214)+SUMIFS(Leasing!40:40,Leasing!1:1,IY214)</f>
        <v>2.2870743671475466</v>
      </c>
      <c r="IZ216" s="52">
        <f>SUMIFS(Leasing!31:31,Leasing!1:1,IZ214)+SUMIFS(Leasing!40:40,Leasing!1:1,IZ214)</f>
        <v>2.2870743671475466</v>
      </c>
      <c r="JA216" s="52">
        <f>SUMIFS(Leasing!31:31,Leasing!1:1,JA214)+SUMIFS(Leasing!40:40,Leasing!1:1,JA214)</f>
        <v>2.4014280855049241</v>
      </c>
      <c r="JB216" s="52">
        <f>SUMIFS(Leasing!31:31,Leasing!1:1,JB214)+SUMIFS(Leasing!40:40,Leasing!1:1,JB214)</f>
        <v>2.4014280855049241</v>
      </c>
      <c r="JC216" s="52">
        <f>SUMIFS(Leasing!31:31,Leasing!1:1,JC214)+SUMIFS(Leasing!40:40,Leasing!1:1,JC214)</f>
        <v>2.4014280855049241</v>
      </c>
      <c r="JD216" s="52">
        <f>SUMIFS(Leasing!31:31,Leasing!1:1,JD214)+SUMIFS(Leasing!40:40,Leasing!1:1,JD214)</f>
        <v>2.4014280855049241</v>
      </c>
      <c r="JE216" s="52">
        <f>SUMIFS(Leasing!31:31,Leasing!1:1,JE214)+SUMIFS(Leasing!40:40,Leasing!1:1,JE214)</f>
        <v>2.4014280855049241</v>
      </c>
      <c r="JF216" s="52">
        <f>SUMIFS(Leasing!31:31,Leasing!1:1,JF214)+SUMIFS(Leasing!40:40,Leasing!1:1,JF214)</f>
        <v>2.4014280855049241</v>
      </c>
      <c r="JG216" s="52">
        <f>SUMIFS(Leasing!31:31,Leasing!1:1,JG214)+SUMIFS(Leasing!40:40,Leasing!1:1,JG214)</f>
        <v>0.11169432955836858</v>
      </c>
      <c r="JH216" s="52">
        <f>SUMIFS(Leasing!31:31,Leasing!1:1,JH214)+SUMIFS(Leasing!40:40,Leasing!1:1,JH214)</f>
        <v>0.11169432955836858</v>
      </c>
      <c r="JI216" s="52">
        <f>SUMIFS(Leasing!31:31,Leasing!1:1,JI214)+SUMIFS(Leasing!40:40,Leasing!1:1,JI214)</f>
        <v>0.11169432955836858</v>
      </c>
      <c r="JJ216" s="539">
        <f>SUMIFS(Leasing!31:31,Leasing!1:1,JJ214)+SUMIFS(Leasing!40:40,Leasing!1:1,JJ214)</f>
        <v>0</v>
      </c>
      <c r="JK216" s="52">
        <f>SUMIFS(Leasing!31:31,Leasing!1:1,JK214)+SUMIFS(Leasing!40:40,Leasing!1:1,JK214)</f>
        <v>0</v>
      </c>
      <c r="JL216" s="52">
        <f>SUMIFS(Leasing!31:31,Leasing!1:1,JL214)+SUMIFS(Leasing!40:40,Leasing!1:1,JL214)</f>
        <v>0</v>
      </c>
      <c r="JM216" s="52">
        <f>SUMIFS(Leasing!31:31,Leasing!1:1,JM214)+SUMIFS(Leasing!40:40,Leasing!1:1,JM214)</f>
        <v>0</v>
      </c>
      <c r="JN216" s="52">
        <f>SUMIFS(Leasing!31:31,Leasing!1:1,JN214)+SUMIFS(Leasing!40:40,Leasing!1:1,JN214)</f>
        <v>0</v>
      </c>
      <c r="JO216" s="52">
        <f>SUMIFS(Leasing!31:31,Leasing!1:1,JO214)+SUMIFS(Leasing!40:40,Leasing!1:1,JO214)</f>
        <v>0</v>
      </c>
      <c r="JP216" s="54">
        <f>SUM(C216:JI216)</f>
        <v>363.00799871861818</v>
      </c>
    </row>
    <row r="217" spans="2:276" x14ac:dyDescent="0.3">
      <c r="B217" s="169" t="s">
        <v>326</v>
      </c>
      <c r="C217" s="52">
        <f>C216*$C$14</f>
        <v>0</v>
      </c>
      <c r="D217" s="52">
        <f t="shared" ref="D217:BO217" si="214">D216*$C$14</f>
        <v>0</v>
      </c>
      <c r="E217" s="52">
        <f t="shared" si="214"/>
        <v>0</v>
      </c>
      <c r="F217" s="52">
        <f t="shared" si="214"/>
        <v>0</v>
      </c>
      <c r="G217" s="52">
        <f t="shared" si="214"/>
        <v>0</v>
      </c>
      <c r="H217" s="52">
        <f t="shared" si="214"/>
        <v>0</v>
      </c>
      <c r="I217" s="52">
        <f t="shared" si="214"/>
        <v>0</v>
      </c>
      <c r="J217" s="52">
        <f t="shared" si="214"/>
        <v>0</v>
      </c>
      <c r="K217" s="52">
        <f t="shared" si="214"/>
        <v>0</v>
      </c>
      <c r="L217" s="52">
        <f t="shared" si="214"/>
        <v>0</v>
      </c>
      <c r="M217" s="52">
        <f t="shared" si="214"/>
        <v>0</v>
      </c>
      <c r="N217" s="52">
        <f t="shared" si="214"/>
        <v>0</v>
      </c>
      <c r="O217" s="52">
        <f t="shared" si="214"/>
        <v>0</v>
      </c>
      <c r="P217" s="52">
        <f t="shared" si="214"/>
        <v>0</v>
      </c>
      <c r="Q217" s="52">
        <f t="shared" si="214"/>
        <v>0</v>
      </c>
      <c r="R217" s="52">
        <f t="shared" si="214"/>
        <v>0</v>
      </c>
      <c r="S217" s="52">
        <f t="shared" si="214"/>
        <v>0</v>
      </c>
      <c r="T217" s="52">
        <f t="shared" si="214"/>
        <v>0</v>
      </c>
      <c r="U217" s="52">
        <f t="shared" si="214"/>
        <v>0</v>
      </c>
      <c r="V217" s="52">
        <f t="shared" si="214"/>
        <v>0</v>
      </c>
      <c r="W217" s="52">
        <f t="shared" si="214"/>
        <v>0</v>
      </c>
      <c r="X217" s="52">
        <f t="shared" si="214"/>
        <v>0</v>
      </c>
      <c r="Y217" s="52">
        <f t="shared" si="214"/>
        <v>0</v>
      </c>
      <c r="Z217" s="52">
        <f t="shared" si="214"/>
        <v>0</v>
      </c>
      <c r="AA217" s="52">
        <f t="shared" si="214"/>
        <v>0</v>
      </c>
      <c r="AB217" s="52">
        <f t="shared" si="214"/>
        <v>0</v>
      </c>
      <c r="AC217" s="52">
        <f t="shared" si="214"/>
        <v>0</v>
      </c>
      <c r="AD217" s="52">
        <f t="shared" si="214"/>
        <v>0</v>
      </c>
      <c r="AE217" s="52">
        <f t="shared" si="214"/>
        <v>0</v>
      </c>
      <c r="AF217" s="52">
        <f t="shared" si="214"/>
        <v>0</v>
      </c>
      <c r="AG217" s="52">
        <f t="shared" si="214"/>
        <v>4.7516331938389132E-2</v>
      </c>
      <c r="AH217" s="52">
        <f t="shared" si="214"/>
        <v>4.7516331938389132E-2</v>
      </c>
      <c r="AI217" s="52">
        <f t="shared" si="214"/>
        <v>4.7516331938389132E-2</v>
      </c>
      <c r="AJ217" s="52">
        <f t="shared" si="214"/>
        <v>4.7516331938389132E-2</v>
      </c>
      <c r="AK217" s="52">
        <f t="shared" si="214"/>
        <v>4.7516331938389132E-2</v>
      </c>
      <c r="AL217" s="52">
        <f t="shared" si="214"/>
        <v>4.7516331938389132E-2</v>
      </c>
      <c r="AM217" s="52">
        <f t="shared" si="214"/>
        <v>4.7516331938389132E-2</v>
      </c>
      <c r="AN217" s="52">
        <f t="shared" si="214"/>
        <v>4.7516331938389132E-2</v>
      </c>
      <c r="AO217" s="52">
        <f t="shared" si="214"/>
        <v>4.7516331938389132E-2</v>
      </c>
      <c r="AP217" s="52">
        <f t="shared" si="214"/>
        <v>4.7516331938389132E-2</v>
      </c>
      <c r="AQ217" s="52">
        <f t="shared" si="214"/>
        <v>4.7516331938389132E-2</v>
      </c>
      <c r="AR217" s="52">
        <f t="shared" si="214"/>
        <v>4.7516331938389132E-2</v>
      </c>
      <c r="AS217" s="52">
        <f t="shared" si="214"/>
        <v>4.9892148535308593E-2</v>
      </c>
      <c r="AT217" s="52">
        <f t="shared" si="214"/>
        <v>4.9892148535308593E-2</v>
      </c>
      <c r="AU217" s="52">
        <f t="shared" si="214"/>
        <v>4.9892148535308593E-2</v>
      </c>
      <c r="AV217" s="52">
        <f t="shared" si="214"/>
        <v>4.9892148535308593E-2</v>
      </c>
      <c r="AW217" s="52">
        <f t="shared" si="214"/>
        <v>4.9892148535308593E-2</v>
      </c>
      <c r="AX217" s="52">
        <f t="shared" si="214"/>
        <v>4.9892148535308593E-2</v>
      </c>
      <c r="AY217" s="52">
        <f t="shared" si="214"/>
        <v>4.9892148535308593E-2</v>
      </c>
      <c r="AZ217" s="52">
        <f t="shared" si="214"/>
        <v>4.9892148535308593E-2</v>
      </c>
      <c r="BA217" s="52">
        <f t="shared" si="214"/>
        <v>4.9892148535308593E-2</v>
      </c>
      <c r="BB217" s="52">
        <f t="shared" si="214"/>
        <v>4.9892148535308593E-2</v>
      </c>
      <c r="BC217" s="52">
        <f t="shared" si="214"/>
        <v>4.9892148535308593E-2</v>
      </c>
      <c r="BD217" s="52">
        <f t="shared" si="214"/>
        <v>4.9892148535308593E-2</v>
      </c>
      <c r="BE217" s="52">
        <f t="shared" si="214"/>
        <v>5.2386755962074018E-2</v>
      </c>
      <c r="BF217" s="52">
        <f t="shared" si="214"/>
        <v>5.2386755962074018E-2</v>
      </c>
      <c r="BG217" s="52">
        <f t="shared" si="214"/>
        <v>5.2386755962074018E-2</v>
      </c>
      <c r="BH217" s="52">
        <f t="shared" si="214"/>
        <v>5.2386755962074018E-2</v>
      </c>
      <c r="BI217" s="52">
        <f t="shared" si="214"/>
        <v>5.2386755962074018E-2</v>
      </c>
      <c r="BJ217" s="52">
        <f t="shared" si="214"/>
        <v>5.2386755962074018E-2</v>
      </c>
      <c r="BK217" s="52">
        <f t="shared" si="214"/>
        <v>5.2386755962074018E-2</v>
      </c>
      <c r="BL217" s="52">
        <f t="shared" si="214"/>
        <v>5.2386755962074018E-2</v>
      </c>
      <c r="BM217" s="52">
        <f t="shared" si="214"/>
        <v>5.2386755962074018E-2</v>
      </c>
      <c r="BN217" s="52">
        <f t="shared" si="214"/>
        <v>5.2386755962074018E-2</v>
      </c>
      <c r="BO217" s="52">
        <f t="shared" si="214"/>
        <v>5.2386755962074018E-2</v>
      </c>
      <c r="BP217" s="52">
        <f t="shared" ref="BP217:EA217" si="215">BP216*$C$14</f>
        <v>5.2386755962074018E-2</v>
      </c>
      <c r="BQ217" s="52">
        <f t="shared" si="215"/>
        <v>5.5006093760177725E-2</v>
      </c>
      <c r="BR217" s="52">
        <f t="shared" si="215"/>
        <v>5.5006093760177725E-2</v>
      </c>
      <c r="BS217" s="52">
        <f t="shared" si="215"/>
        <v>5.5006093760177725E-2</v>
      </c>
      <c r="BT217" s="52">
        <f t="shared" si="215"/>
        <v>5.5006093760177725E-2</v>
      </c>
      <c r="BU217" s="52">
        <f t="shared" si="215"/>
        <v>5.5006093760177725E-2</v>
      </c>
      <c r="BV217" s="52">
        <f t="shared" si="215"/>
        <v>5.5006093760177725E-2</v>
      </c>
      <c r="BW217" s="52">
        <f t="shared" si="215"/>
        <v>5.5006093760177725E-2</v>
      </c>
      <c r="BX217" s="52">
        <f t="shared" si="215"/>
        <v>5.5006093760177725E-2</v>
      </c>
      <c r="BY217" s="52">
        <f t="shared" si="215"/>
        <v>5.5006093760177725E-2</v>
      </c>
      <c r="BZ217" s="52">
        <f t="shared" si="215"/>
        <v>5.5006093760177725E-2</v>
      </c>
      <c r="CA217" s="52">
        <f t="shared" si="215"/>
        <v>5.5006093760177725E-2</v>
      </c>
      <c r="CB217" s="52">
        <f t="shared" si="215"/>
        <v>5.5006093760177725E-2</v>
      </c>
      <c r="CC217" s="52">
        <f t="shared" si="215"/>
        <v>5.7756398448186613E-2</v>
      </c>
      <c r="CD217" s="52">
        <f t="shared" si="215"/>
        <v>5.7756398448186613E-2</v>
      </c>
      <c r="CE217" s="52">
        <f t="shared" si="215"/>
        <v>5.7756398448186613E-2</v>
      </c>
      <c r="CF217" s="52">
        <f t="shared" si="215"/>
        <v>5.7756398448186613E-2</v>
      </c>
      <c r="CG217" s="52">
        <f t="shared" si="215"/>
        <v>5.7756398448186613E-2</v>
      </c>
      <c r="CH217" s="52">
        <f t="shared" si="215"/>
        <v>5.7756398448186613E-2</v>
      </c>
      <c r="CI217" s="52">
        <f t="shared" si="215"/>
        <v>5.7756398448186613E-2</v>
      </c>
      <c r="CJ217" s="52">
        <f t="shared" si="215"/>
        <v>5.7756398448186613E-2</v>
      </c>
      <c r="CK217" s="52">
        <f t="shared" si="215"/>
        <v>5.7756398448186613E-2</v>
      </c>
      <c r="CL217" s="52">
        <f t="shared" si="215"/>
        <v>5.7756398448186613E-2</v>
      </c>
      <c r="CM217" s="52">
        <f t="shared" si="215"/>
        <v>5.7756398448186613E-2</v>
      </c>
      <c r="CN217" s="52">
        <f t="shared" si="215"/>
        <v>5.7756398448186613E-2</v>
      </c>
      <c r="CO217" s="52">
        <f t="shared" si="215"/>
        <v>6.0644218370595943E-2</v>
      </c>
      <c r="CP217" s="52">
        <f t="shared" si="215"/>
        <v>6.0644218370595943E-2</v>
      </c>
      <c r="CQ217" s="52">
        <f t="shared" si="215"/>
        <v>6.0644218370595943E-2</v>
      </c>
      <c r="CR217" s="52">
        <f t="shared" si="215"/>
        <v>6.0644218370595943E-2</v>
      </c>
      <c r="CS217" s="52">
        <f t="shared" si="215"/>
        <v>6.0644218370595943E-2</v>
      </c>
      <c r="CT217" s="52">
        <f t="shared" si="215"/>
        <v>6.0644218370595943E-2</v>
      </c>
      <c r="CU217" s="52">
        <f t="shared" si="215"/>
        <v>6.0644218370595943E-2</v>
      </c>
      <c r="CV217" s="52">
        <f t="shared" si="215"/>
        <v>6.0644218370595943E-2</v>
      </c>
      <c r="CW217" s="52">
        <f t="shared" si="215"/>
        <v>6.0644218370595943E-2</v>
      </c>
      <c r="CX217" s="52">
        <f t="shared" si="215"/>
        <v>6.0644218370595943E-2</v>
      </c>
      <c r="CY217" s="52">
        <f t="shared" si="215"/>
        <v>6.0644218370595943E-2</v>
      </c>
      <c r="CZ217" s="52">
        <f t="shared" si="215"/>
        <v>6.0644218370595943E-2</v>
      </c>
      <c r="DA217" s="52">
        <f t="shared" si="215"/>
        <v>6.3676429289125744E-2</v>
      </c>
      <c r="DB217" s="52">
        <f t="shared" si="215"/>
        <v>6.3676429289125744E-2</v>
      </c>
      <c r="DC217" s="52">
        <f t="shared" si="215"/>
        <v>6.3676429289125744E-2</v>
      </c>
      <c r="DD217" s="52">
        <f t="shared" si="215"/>
        <v>6.3676429289125744E-2</v>
      </c>
      <c r="DE217" s="52">
        <f t="shared" si="215"/>
        <v>6.3676429289125744E-2</v>
      </c>
      <c r="DF217" s="52">
        <f t="shared" si="215"/>
        <v>6.3676429289125744E-2</v>
      </c>
      <c r="DG217" s="52">
        <f t="shared" si="215"/>
        <v>6.3676429289125744E-2</v>
      </c>
      <c r="DH217" s="52">
        <f t="shared" si="215"/>
        <v>6.3676429289125744E-2</v>
      </c>
      <c r="DI217" s="52">
        <f t="shared" si="215"/>
        <v>6.3676429289125744E-2</v>
      </c>
      <c r="DJ217" s="52">
        <f t="shared" si="215"/>
        <v>6.3676429289125744E-2</v>
      </c>
      <c r="DK217" s="52">
        <f t="shared" si="215"/>
        <v>6.3676429289125744E-2</v>
      </c>
      <c r="DL217" s="52">
        <f t="shared" si="215"/>
        <v>6.3676429289125744E-2</v>
      </c>
      <c r="DM217" s="52">
        <f t="shared" si="215"/>
        <v>6.6860250753582026E-2</v>
      </c>
      <c r="DN217" s="52">
        <f t="shared" si="215"/>
        <v>6.6860250753582026E-2</v>
      </c>
      <c r="DO217" s="52">
        <f t="shared" si="215"/>
        <v>6.6860250753582026E-2</v>
      </c>
      <c r="DP217" s="52">
        <f t="shared" si="215"/>
        <v>6.6860250753582026E-2</v>
      </c>
      <c r="DQ217" s="52">
        <f t="shared" si="215"/>
        <v>6.6860250753582026E-2</v>
      </c>
      <c r="DR217" s="52">
        <f t="shared" si="215"/>
        <v>6.6860250753582026E-2</v>
      </c>
      <c r="DS217" s="52">
        <f t="shared" si="215"/>
        <v>6.6860250753582026E-2</v>
      </c>
      <c r="DT217" s="52">
        <f t="shared" si="215"/>
        <v>6.6860250753582026E-2</v>
      </c>
      <c r="DU217" s="52">
        <f t="shared" si="215"/>
        <v>6.6860250753582026E-2</v>
      </c>
      <c r="DV217" s="52">
        <f t="shared" si="215"/>
        <v>6.6860250753582026E-2</v>
      </c>
      <c r="DW217" s="52">
        <f t="shared" si="215"/>
        <v>6.6860250753582026E-2</v>
      </c>
      <c r="DX217" s="52">
        <f t="shared" si="215"/>
        <v>6.6860250753582026E-2</v>
      </c>
      <c r="DY217" s="52">
        <f t="shared" si="215"/>
        <v>7.0203263291261128E-2</v>
      </c>
      <c r="DZ217" s="52">
        <f t="shared" si="215"/>
        <v>7.0203263291261128E-2</v>
      </c>
      <c r="EA217" s="52">
        <f t="shared" si="215"/>
        <v>7.0203263291261128E-2</v>
      </c>
      <c r="EB217" s="52">
        <f t="shared" ref="EB217:GM217" si="216">EB216*$C$14</f>
        <v>7.0203263291261128E-2</v>
      </c>
      <c r="EC217" s="52">
        <f t="shared" si="216"/>
        <v>7.0203263291261128E-2</v>
      </c>
      <c r="ED217" s="52">
        <f t="shared" si="216"/>
        <v>7.0203263291261128E-2</v>
      </c>
      <c r="EE217" s="52">
        <f t="shared" si="216"/>
        <v>7.0203263291261128E-2</v>
      </c>
      <c r="EF217" s="52">
        <f t="shared" si="216"/>
        <v>7.0203263291261128E-2</v>
      </c>
      <c r="EG217" s="52">
        <f t="shared" si="216"/>
        <v>7.0203263291261128E-2</v>
      </c>
      <c r="EH217" s="52">
        <f t="shared" si="216"/>
        <v>7.0203263291261128E-2</v>
      </c>
      <c r="EI217" s="52">
        <f t="shared" si="216"/>
        <v>7.0203263291261128E-2</v>
      </c>
      <c r="EJ217" s="52">
        <f t="shared" si="216"/>
        <v>7.0203263291261128E-2</v>
      </c>
      <c r="EK217" s="52">
        <f t="shared" si="216"/>
        <v>7.3713426455824196E-2</v>
      </c>
      <c r="EL217" s="52">
        <f t="shared" si="216"/>
        <v>7.3713426455824196E-2</v>
      </c>
      <c r="EM217" s="52">
        <f t="shared" si="216"/>
        <v>7.3713426455824196E-2</v>
      </c>
      <c r="EN217" s="52">
        <f t="shared" si="216"/>
        <v>7.3713426455824196E-2</v>
      </c>
      <c r="EO217" s="52">
        <f t="shared" si="216"/>
        <v>7.3713426455824196E-2</v>
      </c>
      <c r="EP217" s="52">
        <f t="shared" si="216"/>
        <v>7.3713426455824196E-2</v>
      </c>
      <c r="EQ217" s="52">
        <f t="shared" si="216"/>
        <v>7.3713426455824196E-2</v>
      </c>
      <c r="ER217" s="52">
        <f t="shared" si="216"/>
        <v>7.3713426455824196E-2</v>
      </c>
      <c r="ES217" s="52">
        <f t="shared" si="216"/>
        <v>7.3713426455824196E-2</v>
      </c>
      <c r="ET217" s="52">
        <f t="shared" si="216"/>
        <v>7.3713426455824196E-2</v>
      </c>
      <c r="EU217" s="52">
        <f t="shared" si="216"/>
        <v>7.3713426455824196E-2</v>
      </c>
      <c r="EV217" s="52">
        <f t="shared" si="216"/>
        <v>7.3713426455824196E-2</v>
      </c>
      <c r="EW217" s="52">
        <f t="shared" si="216"/>
        <v>7.7399097778615422E-2</v>
      </c>
      <c r="EX217" s="52">
        <f t="shared" si="216"/>
        <v>7.7399097778615422E-2</v>
      </c>
      <c r="EY217" s="52">
        <f t="shared" si="216"/>
        <v>7.7399097778615422E-2</v>
      </c>
      <c r="EZ217" s="52">
        <f t="shared" si="216"/>
        <v>7.7399097778615422E-2</v>
      </c>
      <c r="FA217" s="52">
        <f t="shared" si="216"/>
        <v>7.7399097778615422E-2</v>
      </c>
      <c r="FB217" s="52">
        <f t="shared" si="216"/>
        <v>7.7399097778615422E-2</v>
      </c>
      <c r="FC217" s="52">
        <f t="shared" si="216"/>
        <v>7.7399097778615422E-2</v>
      </c>
      <c r="FD217" s="52">
        <f t="shared" si="216"/>
        <v>7.7399097778615422E-2</v>
      </c>
      <c r="FE217" s="52">
        <f t="shared" si="216"/>
        <v>7.7399097778615422E-2</v>
      </c>
      <c r="FF217" s="52">
        <f t="shared" si="216"/>
        <v>7.7399097778615422E-2</v>
      </c>
      <c r="FG217" s="52">
        <f t="shared" si="216"/>
        <v>7.7399097778615422E-2</v>
      </c>
      <c r="FH217" s="52">
        <f t="shared" si="216"/>
        <v>7.7399097778615422E-2</v>
      </c>
      <c r="FI217" s="52">
        <f t="shared" si="216"/>
        <v>8.1269052667546207E-2</v>
      </c>
      <c r="FJ217" s="52">
        <f t="shared" si="216"/>
        <v>8.1269052667546207E-2</v>
      </c>
      <c r="FK217" s="52">
        <f t="shared" si="216"/>
        <v>8.1269052667546207E-2</v>
      </c>
      <c r="FL217" s="52">
        <f t="shared" si="216"/>
        <v>8.1269052667546207E-2</v>
      </c>
      <c r="FM217" s="52">
        <f t="shared" si="216"/>
        <v>8.1269052667546207E-2</v>
      </c>
      <c r="FN217" s="52">
        <f t="shared" si="216"/>
        <v>8.1269052667546207E-2</v>
      </c>
      <c r="FO217" s="52">
        <f t="shared" si="216"/>
        <v>8.1269052667546207E-2</v>
      </c>
      <c r="FP217" s="52">
        <f t="shared" si="216"/>
        <v>8.1269052667546207E-2</v>
      </c>
      <c r="FQ217" s="52">
        <f t="shared" si="216"/>
        <v>8.1269052667546207E-2</v>
      </c>
      <c r="FR217" s="52">
        <f t="shared" si="216"/>
        <v>8.1269052667546207E-2</v>
      </c>
      <c r="FS217" s="52">
        <f t="shared" si="216"/>
        <v>8.1269052667546207E-2</v>
      </c>
      <c r="FT217" s="52">
        <f t="shared" si="216"/>
        <v>8.1269052667546207E-2</v>
      </c>
      <c r="FU217" s="52">
        <f t="shared" si="216"/>
        <v>8.5332505300923511E-2</v>
      </c>
      <c r="FV217" s="52">
        <f t="shared" si="216"/>
        <v>8.5332505300923511E-2</v>
      </c>
      <c r="FW217" s="52">
        <f t="shared" si="216"/>
        <v>8.5332505300923511E-2</v>
      </c>
      <c r="FX217" s="52">
        <f t="shared" si="216"/>
        <v>8.5332505300923511E-2</v>
      </c>
      <c r="FY217" s="52">
        <f t="shared" si="216"/>
        <v>8.5332505300923511E-2</v>
      </c>
      <c r="FZ217" s="52">
        <f t="shared" si="216"/>
        <v>8.5332505300923511E-2</v>
      </c>
      <c r="GA217" s="52">
        <f t="shared" si="216"/>
        <v>8.5332505300923511E-2</v>
      </c>
      <c r="GB217" s="52">
        <f t="shared" si="216"/>
        <v>8.5332505300923511E-2</v>
      </c>
      <c r="GC217" s="52">
        <f t="shared" si="216"/>
        <v>8.5332505300923511E-2</v>
      </c>
      <c r="GD217" s="52">
        <f t="shared" si="216"/>
        <v>8.5332505300923511E-2</v>
      </c>
      <c r="GE217" s="52">
        <f t="shared" si="216"/>
        <v>8.5332505300923511E-2</v>
      </c>
      <c r="GF217" s="52">
        <f t="shared" si="216"/>
        <v>8.5332505300923511E-2</v>
      </c>
      <c r="GG217" s="52">
        <f t="shared" si="216"/>
        <v>8.9599130565969701E-2</v>
      </c>
      <c r="GH217" s="52">
        <f t="shared" si="216"/>
        <v>8.9599130565969701E-2</v>
      </c>
      <c r="GI217" s="52">
        <f t="shared" si="216"/>
        <v>8.9599130565969701E-2</v>
      </c>
      <c r="GJ217" s="52">
        <f t="shared" si="216"/>
        <v>8.9599130565969701E-2</v>
      </c>
      <c r="GK217" s="52">
        <f t="shared" si="216"/>
        <v>8.9599130565969701E-2</v>
      </c>
      <c r="GL217" s="52">
        <f t="shared" si="216"/>
        <v>8.9599130565969701E-2</v>
      </c>
      <c r="GM217" s="52">
        <f t="shared" si="216"/>
        <v>8.9599130565969701E-2</v>
      </c>
      <c r="GN217" s="52">
        <f t="shared" ref="GN217:IY217" si="217">GN216*$C$14</f>
        <v>8.9599130565969701E-2</v>
      </c>
      <c r="GO217" s="52">
        <f t="shared" si="217"/>
        <v>8.9599130565969701E-2</v>
      </c>
      <c r="GP217" s="52">
        <f t="shared" si="217"/>
        <v>8.9599130565969701E-2</v>
      </c>
      <c r="GQ217" s="52">
        <f t="shared" si="217"/>
        <v>8.9599130565969701E-2</v>
      </c>
      <c r="GR217" s="52">
        <f t="shared" si="217"/>
        <v>8.9599130565969701E-2</v>
      </c>
      <c r="GS217" s="52">
        <f t="shared" si="217"/>
        <v>9.4079087094268196E-2</v>
      </c>
      <c r="GT217" s="52">
        <f t="shared" si="217"/>
        <v>9.4079087094268196E-2</v>
      </c>
      <c r="GU217" s="52">
        <f t="shared" si="217"/>
        <v>9.4079087094268196E-2</v>
      </c>
      <c r="GV217" s="52">
        <f t="shared" si="217"/>
        <v>9.4079087094268196E-2</v>
      </c>
      <c r="GW217" s="52">
        <f t="shared" si="217"/>
        <v>9.4079087094268196E-2</v>
      </c>
      <c r="GX217" s="52">
        <f t="shared" si="217"/>
        <v>9.4079087094268196E-2</v>
      </c>
      <c r="GY217" s="52">
        <f t="shared" si="217"/>
        <v>9.4079087094268196E-2</v>
      </c>
      <c r="GZ217" s="52">
        <f t="shared" si="217"/>
        <v>9.4079087094268196E-2</v>
      </c>
      <c r="HA217" s="52">
        <f t="shared" si="217"/>
        <v>9.4079087094268196E-2</v>
      </c>
      <c r="HB217" s="52">
        <f t="shared" si="217"/>
        <v>9.4079087094268196E-2</v>
      </c>
      <c r="HC217" s="52">
        <f t="shared" si="217"/>
        <v>9.4079087094268196E-2</v>
      </c>
      <c r="HD217" s="52">
        <f t="shared" si="217"/>
        <v>9.4079087094268196E-2</v>
      </c>
      <c r="HE217" s="52">
        <f t="shared" si="217"/>
        <v>9.8783041448981604E-2</v>
      </c>
      <c r="HF217" s="52">
        <f t="shared" si="217"/>
        <v>9.8783041448981604E-2</v>
      </c>
      <c r="HG217" s="52">
        <f t="shared" si="217"/>
        <v>9.8783041448981604E-2</v>
      </c>
      <c r="HH217" s="52">
        <f t="shared" si="217"/>
        <v>9.8783041448981604E-2</v>
      </c>
      <c r="HI217" s="52">
        <f t="shared" si="217"/>
        <v>9.8783041448981604E-2</v>
      </c>
      <c r="HJ217" s="52">
        <f t="shared" si="217"/>
        <v>9.8783041448981604E-2</v>
      </c>
      <c r="HK217" s="52">
        <f t="shared" si="217"/>
        <v>9.8783041448981604E-2</v>
      </c>
      <c r="HL217" s="52">
        <f t="shared" si="217"/>
        <v>9.8783041448981604E-2</v>
      </c>
      <c r="HM217" s="52">
        <f t="shared" si="217"/>
        <v>9.8783041448981604E-2</v>
      </c>
      <c r="HN217" s="52">
        <f t="shared" si="217"/>
        <v>9.8783041448981604E-2</v>
      </c>
      <c r="HO217" s="52">
        <f t="shared" si="217"/>
        <v>9.8783041448981604E-2</v>
      </c>
      <c r="HP217" s="52">
        <f t="shared" si="217"/>
        <v>9.8783041448981604E-2</v>
      </c>
      <c r="HQ217" s="52">
        <f t="shared" si="217"/>
        <v>0.10372219352143069</v>
      </c>
      <c r="HR217" s="52">
        <f t="shared" si="217"/>
        <v>0.10372219352143069</v>
      </c>
      <c r="HS217" s="52">
        <f t="shared" si="217"/>
        <v>0.10372219352143069</v>
      </c>
      <c r="HT217" s="52">
        <f t="shared" si="217"/>
        <v>0.10372219352143069</v>
      </c>
      <c r="HU217" s="52">
        <f t="shared" si="217"/>
        <v>0.10372219352143069</v>
      </c>
      <c r="HV217" s="52">
        <f t="shared" si="217"/>
        <v>0.10372219352143069</v>
      </c>
      <c r="HW217" s="52">
        <f t="shared" si="217"/>
        <v>0.10372219352143069</v>
      </c>
      <c r="HX217" s="52">
        <f t="shared" si="217"/>
        <v>0.10372219352143069</v>
      </c>
      <c r="HY217" s="52">
        <f t="shared" si="217"/>
        <v>0.10372219352143069</v>
      </c>
      <c r="HZ217" s="52">
        <f t="shared" si="217"/>
        <v>0.10372219352143069</v>
      </c>
      <c r="IA217" s="52">
        <f t="shared" si="217"/>
        <v>0.10372219352143069</v>
      </c>
      <c r="IB217" s="52">
        <f t="shared" si="217"/>
        <v>0.10372219352143069</v>
      </c>
      <c r="IC217" s="52">
        <f t="shared" si="217"/>
        <v>0.10890830319750221</v>
      </c>
      <c r="ID217" s="52">
        <f t="shared" si="217"/>
        <v>0.10890830319750221</v>
      </c>
      <c r="IE217" s="52">
        <f t="shared" si="217"/>
        <v>0.10890830319750221</v>
      </c>
      <c r="IF217" s="52">
        <f t="shared" si="217"/>
        <v>0.10890830319750221</v>
      </c>
      <c r="IG217" s="52">
        <f t="shared" si="217"/>
        <v>0.10890830319750221</v>
      </c>
      <c r="IH217" s="52">
        <f t="shared" si="217"/>
        <v>0.10890830319750221</v>
      </c>
      <c r="II217" s="52">
        <f t="shared" si="217"/>
        <v>0.10890830319750221</v>
      </c>
      <c r="IJ217" s="52">
        <f t="shared" si="217"/>
        <v>0.10890830319750221</v>
      </c>
      <c r="IK217" s="52">
        <f t="shared" si="217"/>
        <v>0.10890830319750221</v>
      </c>
      <c r="IL217" s="52">
        <f t="shared" si="217"/>
        <v>0.10890830319750221</v>
      </c>
      <c r="IM217" s="52">
        <f t="shared" si="217"/>
        <v>0.10890830319750221</v>
      </c>
      <c r="IN217" s="52">
        <f t="shared" si="217"/>
        <v>0.10890830319750221</v>
      </c>
      <c r="IO217" s="52">
        <f t="shared" si="217"/>
        <v>0.11435371835737734</v>
      </c>
      <c r="IP217" s="52">
        <f t="shared" si="217"/>
        <v>0.11435371835737734</v>
      </c>
      <c r="IQ217" s="52">
        <f t="shared" si="217"/>
        <v>0.11435371835737734</v>
      </c>
      <c r="IR217" s="52">
        <f t="shared" si="217"/>
        <v>0.11435371835737734</v>
      </c>
      <c r="IS217" s="52">
        <f t="shared" si="217"/>
        <v>0.11435371835737734</v>
      </c>
      <c r="IT217" s="52">
        <f t="shared" si="217"/>
        <v>0.11435371835737734</v>
      </c>
      <c r="IU217" s="52">
        <f t="shared" si="217"/>
        <v>0.11435371835737734</v>
      </c>
      <c r="IV217" s="52">
        <f t="shared" si="217"/>
        <v>0.11435371835737734</v>
      </c>
      <c r="IW217" s="52">
        <f t="shared" si="217"/>
        <v>0.11435371835737734</v>
      </c>
      <c r="IX217" s="52">
        <f t="shared" si="217"/>
        <v>0.11435371835737734</v>
      </c>
      <c r="IY217" s="52">
        <f t="shared" si="217"/>
        <v>0.11435371835737734</v>
      </c>
      <c r="IZ217" s="52">
        <f t="shared" ref="IZ217:JI217" si="218">IZ216*$C$14</f>
        <v>0.11435371835737734</v>
      </c>
      <c r="JA217" s="52">
        <f t="shared" si="218"/>
        <v>0.12007140427524621</v>
      </c>
      <c r="JB217" s="52">
        <f t="shared" si="218"/>
        <v>0.12007140427524621</v>
      </c>
      <c r="JC217" s="52">
        <f t="shared" si="218"/>
        <v>0.12007140427524621</v>
      </c>
      <c r="JD217" s="52">
        <f t="shared" si="218"/>
        <v>0.12007140427524621</v>
      </c>
      <c r="JE217" s="52">
        <f t="shared" si="218"/>
        <v>0.12007140427524621</v>
      </c>
      <c r="JF217" s="52">
        <f t="shared" si="218"/>
        <v>0.12007140427524621</v>
      </c>
      <c r="JG217" s="52">
        <f t="shared" si="218"/>
        <v>5.5847164779184296E-3</v>
      </c>
      <c r="JH217" s="52">
        <f t="shared" si="218"/>
        <v>5.5847164779184296E-3</v>
      </c>
      <c r="JI217" s="52">
        <f t="shared" si="218"/>
        <v>5.5847164779184296E-3</v>
      </c>
      <c r="JJ217" s="539">
        <f t="shared" ref="JJ217:JO217" si="219">JJ216*$C$14</f>
        <v>0</v>
      </c>
      <c r="JK217" s="52">
        <f t="shared" si="219"/>
        <v>0</v>
      </c>
      <c r="JL217" s="52">
        <f t="shared" si="219"/>
        <v>0</v>
      </c>
      <c r="JM217" s="52">
        <f t="shared" si="219"/>
        <v>0</v>
      </c>
      <c r="JN217" s="52">
        <f t="shared" si="219"/>
        <v>0</v>
      </c>
      <c r="JO217" s="52">
        <f t="shared" si="219"/>
        <v>0</v>
      </c>
      <c r="JP217" s="54">
        <f>SUM(C217:JI217)</f>
        <v>18.150399935930949</v>
      </c>
    </row>
    <row r="218" spans="2:276" x14ac:dyDescent="0.3">
      <c r="B218" s="169" t="s">
        <v>327</v>
      </c>
      <c r="C218" s="52">
        <f>C216*$C$140</f>
        <v>0</v>
      </c>
      <c r="D218" s="52">
        <f t="shared" ref="D218:BO218" si="220">D216*$C$15</f>
        <v>0</v>
      </c>
      <c r="E218" s="52">
        <f t="shared" si="220"/>
        <v>0</v>
      </c>
      <c r="F218" s="52">
        <f t="shared" si="220"/>
        <v>0</v>
      </c>
      <c r="G218" s="52">
        <f t="shared" si="220"/>
        <v>0</v>
      </c>
      <c r="H218" s="52">
        <f t="shared" si="220"/>
        <v>0</v>
      </c>
      <c r="I218" s="52">
        <f t="shared" si="220"/>
        <v>0</v>
      </c>
      <c r="J218" s="52">
        <f t="shared" si="220"/>
        <v>0</v>
      </c>
      <c r="K218" s="52">
        <f t="shared" si="220"/>
        <v>0</v>
      </c>
      <c r="L218" s="52">
        <f t="shared" si="220"/>
        <v>0</v>
      </c>
      <c r="M218" s="52">
        <f t="shared" si="220"/>
        <v>0</v>
      </c>
      <c r="N218" s="52">
        <f t="shared" si="220"/>
        <v>0</v>
      </c>
      <c r="O218" s="52">
        <f t="shared" si="220"/>
        <v>0</v>
      </c>
      <c r="P218" s="52">
        <f t="shared" si="220"/>
        <v>0</v>
      </c>
      <c r="Q218" s="52">
        <f t="shared" si="220"/>
        <v>0</v>
      </c>
      <c r="R218" s="52">
        <f t="shared" si="220"/>
        <v>0</v>
      </c>
      <c r="S218" s="52">
        <f t="shared" si="220"/>
        <v>0</v>
      </c>
      <c r="T218" s="52">
        <f t="shared" si="220"/>
        <v>0</v>
      </c>
      <c r="U218" s="52">
        <f t="shared" si="220"/>
        <v>0</v>
      </c>
      <c r="V218" s="52">
        <f t="shared" si="220"/>
        <v>0</v>
      </c>
      <c r="W218" s="52">
        <f t="shared" si="220"/>
        <v>0</v>
      </c>
      <c r="X218" s="52">
        <f t="shared" si="220"/>
        <v>0</v>
      </c>
      <c r="Y218" s="52">
        <f t="shared" si="220"/>
        <v>0</v>
      </c>
      <c r="Z218" s="52">
        <f t="shared" si="220"/>
        <v>0</v>
      </c>
      <c r="AA218" s="52">
        <f t="shared" si="220"/>
        <v>0</v>
      </c>
      <c r="AB218" s="52">
        <f t="shared" si="220"/>
        <v>0</v>
      </c>
      <c r="AC218" s="52">
        <f t="shared" si="220"/>
        <v>0</v>
      </c>
      <c r="AD218" s="52">
        <f t="shared" si="220"/>
        <v>0</v>
      </c>
      <c r="AE218" s="52">
        <f t="shared" si="220"/>
        <v>0</v>
      </c>
      <c r="AF218" s="52">
        <f t="shared" si="220"/>
        <v>0</v>
      </c>
      <c r="AG218" s="52">
        <f t="shared" si="220"/>
        <v>4.7516331938389132E-2</v>
      </c>
      <c r="AH218" s="52">
        <f t="shared" si="220"/>
        <v>4.7516331938389132E-2</v>
      </c>
      <c r="AI218" s="52">
        <f t="shared" si="220"/>
        <v>4.7516331938389132E-2</v>
      </c>
      <c r="AJ218" s="52">
        <f t="shared" si="220"/>
        <v>4.7516331938389132E-2</v>
      </c>
      <c r="AK218" s="52">
        <f t="shared" si="220"/>
        <v>4.7516331938389132E-2</v>
      </c>
      <c r="AL218" s="52">
        <f t="shared" si="220"/>
        <v>4.7516331938389132E-2</v>
      </c>
      <c r="AM218" s="52">
        <f t="shared" si="220"/>
        <v>4.7516331938389132E-2</v>
      </c>
      <c r="AN218" s="52">
        <f t="shared" si="220"/>
        <v>4.7516331938389132E-2</v>
      </c>
      <c r="AO218" s="52">
        <f t="shared" si="220"/>
        <v>4.7516331938389132E-2</v>
      </c>
      <c r="AP218" s="52">
        <f t="shared" si="220"/>
        <v>4.7516331938389132E-2</v>
      </c>
      <c r="AQ218" s="52">
        <f t="shared" si="220"/>
        <v>4.7516331938389132E-2</v>
      </c>
      <c r="AR218" s="52">
        <f t="shared" si="220"/>
        <v>4.7516331938389132E-2</v>
      </c>
      <c r="AS218" s="52">
        <f t="shared" si="220"/>
        <v>4.9892148535308593E-2</v>
      </c>
      <c r="AT218" s="52">
        <f t="shared" si="220"/>
        <v>4.9892148535308593E-2</v>
      </c>
      <c r="AU218" s="52">
        <f t="shared" si="220"/>
        <v>4.9892148535308593E-2</v>
      </c>
      <c r="AV218" s="52">
        <f t="shared" si="220"/>
        <v>4.9892148535308593E-2</v>
      </c>
      <c r="AW218" s="52">
        <f t="shared" si="220"/>
        <v>4.9892148535308593E-2</v>
      </c>
      <c r="AX218" s="52">
        <f t="shared" si="220"/>
        <v>4.9892148535308593E-2</v>
      </c>
      <c r="AY218" s="52">
        <f t="shared" si="220"/>
        <v>4.9892148535308593E-2</v>
      </c>
      <c r="AZ218" s="52">
        <f t="shared" si="220"/>
        <v>4.9892148535308593E-2</v>
      </c>
      <c r="BA218" s="52">
        <f t="shared" si="220"/>
        <v>4.9892148535308593E-2</v>
      </c>
      <c r="BB218" s="52">
        <f t="shared" si="220"/>
        <v>4.9892148535308593E-2</v>
      </c>
      <c r="BC218" s="52">
        <f t="shared" si="220"/>
        <v>4.9892148535308593E-2</v>
      </c>
      <c r="BD218" s="52">
        <f t="shared" si="220"/>
        <v>4.9892148535308593E-2</v>
      </c>
      <c r="BE218" s="52">
        <f t="shared" si="220"/>
        <v>5.2386755962074018E-2</v>
      </c>
      <c r="BF218" s="52">
        <f t="shared" si="220"/>
        <v>5.2386755962074018E-2</v>
      </c>
      <c r="BG218" s="52">
        <f t="shared" si="220"/>
        <v>5.2386755962074018E-2</v>
      </c>
      <c r="BH218" s="52">
        <f t="shared" si="220"/>
        <v>5.2386755962074018E-2</v>
      </c>
      <c r="BI218" s="52">
        <f t="shared" si="220"/>
        <v>5.2386755962074018E-2</v>
      </c>
      <c r="BJ218" s="52">
        <f t="shared" si="220"/>
        <v>5.2386755962074018E-2</v>
      </c>
      <c r="BK218" s="52">
        <f t="shared" si="220"/>
        <v>5.2386755962074018E-2</v>
      </c>
      <c r="BL218" s="52">
        <f t="shared" si="220"/>
        <v>5.2386755962074018E-2</v>
      </c>
      <c r="BM218" s="52">
        <f t="shared" si="220"/>
        <v>5.2386755962074018E-2</v>
      </c>
      <c r="BN218" s="52">
        <f t="shared" si="220"/>
        <v>5.2386755962074018E-2</v>
      </c>
      <c r="BO218" s="52">
        <f t="shared" si="220"/>
        <v>5.2386755962074018E-2</v>
      </c>
      <c r="BP218" s="52">
        <f t="shared" ref="BP218:EA218" si="221">BP216*$C$15</f>
        <v>5.2386755962074018E-2</v>
      </c>
      <c r="BQ218" s="52">
        <f t="shared" si="221"/>
        <v>5.5006093760177725E-2</v>
      </c>
      <c r="BR218" s="52">
        <f t="shared" si="221"/>
        <v>5.5006093760177725E-2</v>
      </c>
      <c r="BS218" s="52">
        <f t="shared" si="221"/>
        <v>5.5006093760177725E-2</v>
      </c>
      <c r="BT218" s="52">
        <f t="shared" si="221"/>
        <v>5.5006093760177725E-2</v>
      </c>
      <c r="BU218" s="52">
        <f t="shared" si="221"/>
        <v>5.5006093760177725E-2</v>
      </c>
      <c r="BV218" s="52">
        <f t="shared" si="221"/>
        <v>5.5006093760177725E-2</v>
      </c>
      <c r="BW218" s="52">
        <f t="shared" si="221"/>
        <v>5.5006093760177725E-2</v>
      </c>
      <c r="BX218" s="52">
        <f t="shared" si="221"/>
        <v>5.5006093760177725E-2</v>
      </c>
      <c r="BY218" s="52">
        <f t="shared" si="221"/>
        <v>5.5006093760177725E-2</v>
      </c>
      <c r="BZ218" s="52">
        <f t="shared" si="221"/>
        <v>5.5006093760177725E-2</v>
      </c>
      <c r="CA218" s="52">
        <f t="shared" si="221"/>
        <v>5.5006093760177725E-2</v>
      </c>
      <c r="CB218" s="52">
        <f t="shared" si="221"/>
        <v>5.5006093760177725E-2</v>
      </c>
      <c r="CC218" s="52">
        <f t="shared" si="221"/>
        <v>5.7756398448186613E-2</v>
      </c>
      <c r="CD218" s="52">
        <f t="shared" si="221"/>
        <v>5.7756398448186613E-2</v>
      </c>
      <c r="CE218" s="52">
        <f t="shared" si="221"/>
        <v>5.7756398448186613E-2</v>
      </c>
      <c r="CF218" s="52">
        <f t="shared" si="221"/>
        <v>5.7756398448186613E-2</v>
      </c>
      <c r="CG218" s="52">
        <f t="shared" si="221"/>
        <v>5.7756398448186613E-2</v>
      </c>
      <c r="CH218" s="52">
        <f t="shared" si="221"/>
        <v>5.7756398448186613E-2</v>
      </c>
      <c r="CI218" s="52">
        <f t="shared" si="221"/>
        <v>5.7756398448186613E-2</v>
      </c>
      <c r="CJ218" s="52">
        <f t="shared" si="221"/>
        <v>5.7756398448186613E-2</v>
      </c>
      <c r="CK218" s="52">
        <f t="shared" si="221"/>
        <v>5.7756398448186613E-2</v>
      </c>
      <c r="CL218" s="52">
        <f t="shared" si="221"/>
        <v>5.7756398448186613E-2</v>
      </c>
      <c r="CM218" s="52">
        <f t="shared" si="221"/>
        <v>5.7756398448186613E-2</v>
      </c>
      <c r="CN218" s="52">
        <f t="shared" si="221"/>
        <v>5.7756398448186613E-2</v>
      </c>
      <c r="CO218" s="52">
        <f t="shared" si="221"/>
        <v>6.0644218370595943E-2</v>
      </c>
      <c r="CP218" s="52">
        <f t="shared" si="221"/>
        <v>6.0644218370595943E-2</v>
      </c>
      <c r="CQ218" s="52">
        <f t="shared" si="221"/>
        <v>6.0644218370595943E-2</v>
      </c>
      <c r="CR218" s="52">
        <f t="shared" si="221"/>
        <v>6.0644218370595943E-2</v>
      </c>
      <c r="CS218" s="52">
        <f t="shared" si="221"/>
        <v>6.0644218370595943E-2</v>
      </c>
      <c r="CT218" s="52">
        <f t="shared" si="221"/>
        <v>6.0644218370595943E-2</v>
      </c>
      <c r="CU218" s="52">
        <f t="shared" si="221"/>
        <v>6.0644218370595943E-2</v>
      </c>
      <c r="CV218" s="52">
        <f t="shared" si="221"/>
        <v>6.0644218370595943E-2</v>
      </c>
      <c r="CW218" s="52">
        <f t="shared" si="221"/>
        <v>6.0644218370595943E-2</v>
      </c>
      <c r="CX218" s="52">
        <f t="shared" si="221"/>
        <v>6.0644218370595943E-2</v>
      </c>
      <c r="CY218" s="52">
        <f t="shared" si="221"/>
        <v>6.0644218370595943E-2</v>
      </c>
      <c r="CZ218" s="52">
        <f t="shared" si="221"/>
        <v>6.0644218370595943E-2</v>
      </c>
      <c r="DA218" s="52">
        <f t="shared" si="221"/>
        <v>6.3676429289125744E-2</v>
      </c>
      <c r="DB218" s="52">
        <f t="shared" si="221"/>
        <v>6.3676429289125744E-2</v>
      </c>
      <c r="DC218" s="52">
        <f t="shared" si="221"/>
        <v>6.3676429289125744E-2</v>
      </c>
      <c r="DD218" s="52">
        <f t="shared" si="221"/>
        <v>6.3676429289125744E-2</v>
      </c>
      <c r="DE218" s="52">
        <f t="shared" si="221"/>
        <v>6.3676429289125744E-2</v>
      </c>
      <c r="DF218" s="52">
        <f t="shared" si="221"/>
        <v>6.3676429289125744E-2</v>
      </c>
      <c r="DG218" s="52">
        <f t="shared" si="221"/>
        <v>6.3676429289125744E-2</v>
      </c>
      <c r="DH218" s="52">
        <f t="shared" si="221"/>
        <v>6.3676429289125744E-2</v>
      </c>
      <c r="DI218" s="52">
        <f t="shared" si="221"/>
        <v>6.3676429289125744E-2</v>
      </c>
      <c r="DJ218" s="52">
        <f t="shared" si="221"/>
        <v>6.3676429289125744E-2</v>
      </c>
      <c r="DK218" s="52">
        <f t="shared" si="221"/>
        <v>6.3676429289125744E-2</v>
      </c>
      <c r="DL218" s="52">
        <f t="shared" si="221"/>
        <v>6.3676429289125744E-2</v>
      </c>
      <c r="DM218" s="52">
        <f t="shared" si="221"/>
        <v>6.6860250753582026E-2</v>
      </c>
      <c r="DN218" s="52">
        <f t="shared" si="221"/>
        <v>6.6860250753582026E-2</v>
      </c>
      <c r="DO218" s="52">
        <f t="shared" si="221"/>
        <v>6.6860250753582026E-2</v>
      </c>
      <c r="DP218" s="52">
        <f t="shared" si="221"/>
        <v>6.6860250753582026E-2</v>
      </c>
      <c r="DQ218" s="52">
        <f t="shared" si="221"/>
        <v>6.6860250753582026E-2</v>
      </c>
      <c r="DR218" s="52">
        <f t="shared" si="221"/>
        <v>6.6860250753582026E-2</v>
      </c>
      <c r="DS218" s="52">
        <f t="shared" si="221"/>
        <v>6.6860250753582026E-2</v>
      </c>
      <c r="DT218" s="52">
        <f t="shared" si="221"/>
        <v>6.6860250753582026E-2</v>
      </c>
      <c r="DU218" s="52">
        <f t="shared" si="221"/>
        <v>6.6860250753582026E-2</v>
      </c>
      <c r="DV218" s="52">
        <f t="shared" si="221"/>
        <v>6.6860250753582026E-2</v>
      </c>
      <c r="DW218" s="52">
        <f t="shared" si="221"/>
        <v>6.6860250753582026E-2</v>
      </c>
      <c r="DX218" s="52">
        <f t="shared" si="221"/>
        <v>6.6860250753582026E-2</v>
      </c>
      <c r="DY218" s="52">
        <f t="shared" si="221"/>
        <v>7.0203263291261128E-2</v>
      </c>
      <c r="DZ218" s="52">
        <f t="shared" si="221"/>
        <v>7.0203263291261128E-2</v>
      </c>
      <c r="EA218" s="52">
        <f t="shared" si="221"/>
        <v>7.0203263291261128E-2</v>
      </c>
      <c r="EB218" s="52">
        <f t="shared" ref="EB218:GM218" si="222">EB216*$C$15</f>
        <v>7.0203263291261128E-2</v>
      </c>
      <c r="EC218" s="52">
        <f t="shared" si="222"/>
        <v>7.0203263291261128E-2</v>
      </c>
      <c r="ED218" s="52">
        <f t="shared" si="222"/>
        <v>7.0203263291261128E-2</v>
      </c>
      <c r="EE218" s="52">
        <f t="shared" si="222"/>
        <v>7.0203263291261128E-2</v>
      </c>
      <c r="EF218" s="52">
        <f t="shared" si="222"/>
        <v>7.0203263291261128E-2</v>
      </c>
      <c r="EG218" s="52">
        <f t="shared" si="222"/>
        <v>7.0203263291261128E-2</v>
      </c>
      <c r="EH218" s="52">
        <f t="shared" si="222"/>
        <v>7.0203263291261128E-2</v>
      </c>
      <c r="EI218" s="52">
        <f t="shared" si="222"/>
        <v>7.0203263291261128E-2</v>
      </c>
      <c r="EJ218" s="52">
        <f t="shared" si="222"/>
        <v>7.0203263291261128E-2</v>
      </c>
      <c r="EK218" s="52">
        <f t="shared" si="222"/>
        <v>7.3713426455824196E-2</v>
      </c>
      <c r="EL218" s="52">
        <f t="shared" si="222"/>
        <v>7.3713426455824196E-2</v>
      </c>
      <c r="EM218" s="52">
        <f t="shared" si="222"/>
        <v>7.3713426455824196E-2</v>
      </c>
      <c r="EN218" s="52">
        <f t="shared" si="222"/>
        <v>7.3713426455824196E-2</v>
      </c>
      <c r="EO218" s="52">
        <f t="shared" si="222"/>
        <v>7.3713426455824196E-2</v>
      </c>
      <c r="EP218" s="52">
        <f t="shared" si="222"/>
        <v>7.3713426455824196E-2</v>
      </c>
      <c r="EQ218" s="52">
        <f t="shared" si="222"/>
        <v>7.3713426455824196E-2</v>
      </c>
      <c r="ER218" s="52">
        <f t="shared" si="222"/>
        <v>7.3713426455824196E-2</v>
      </c>
      <c r="ES218" s="52">
        <f t="shared" si="222"/>
        <v>7.3713426455824196E-2</v>
      </c>
      <c r="ET218" s="52">
        <f t="shared" si="222"/>
        <v>7.3713426455824196E-2</v>
      </c>
      <c r="EU218" s="52">
        <f t="shared" si="222"/>
        <v>7.3713426455824196E-2</v>
      </c>
      <c r="EV218" s="52">
        <f t="shared" si="222"/>
        <v>7.3713426455824196E-2</v>
      </c>
      <c r="EW218" s="52">
        <f t="shared" si="222"/>
        <v>7.7399097778615422E-2</v>
      </c>
      <c r="EX218" s="52">
        <f t="shared" si="222"/>
        <v>7.7399097778615422E-2</v>
      </c>
      <c r="EY218" s="52">
        <f t="shared" si="222"/>
        <v>7.7399097778615422E-2</v>
      </c>
      <c r="EZ218" s="52">
        <f t="shared" si="222"/>
        <v>7.7399097778615422E-2</v>
      </c>
      <c r="FA218" s="52">
        <f t="shared" si="222"/>
        <v>7.7399097778615422E-2</v>
      </c>
      <c r="FB218" s="52">
        <f t="shared" si="222"/>
        <v>7.7399097778615422E-2</v>
      </c>
      <c r="FC218" s="52">
        <f t="shared" si="222"/>
        <v>7.7399097778615422E-2</v>
      </c>
      <c r="FD218" s="52">
        <f t="shared" si="222"/>
        <v>7.7399097778615422E-2</v>
      </c>
      <c r="FE218" s="52">
        <f t="shared" si="222"/>
        <v>7.7399097778615422E-2</v>
      </c>
      <c r="FF218" s="52">
        <f t="shared" si="222"/>
        <v>7.7399097778615422E-2</v>
      </c>
      <c r="FG218" s="52">
        <f t="shared" si="222"/>
        <v>7.7399097778615422E-2</v>
      </c>
      <c r="FH218" s="52">
        <f t="shared" si="222"/>
        <v>7.7399097778615422E-2</v>
      </c>
      <c r="FI218" s="52">
        <f t="shared" si="222"/>
        <v>8.1269052667546207E-2</v>
      </c>
      <c r="FJ218" s="52">
        <f t="shared" si="222"/>
        <v>8.1269052667546207E-2</v>
      </c>
      <c r="FK218" s="52">
        <f t="shared" si="222"/>
        <v>8.1269052667546207E-2</v>
      </c>
      <c r="FL218" s="52">
        <f t="shared" si="222"/>
        <v>8.1269052667546207E-2</v>
      </c>
      <c r="FM218" s="52">
        <f t="shared" si="222"/>
        <v>8.1269052667546207E-2</v>
      </c>
      <c r="FN218" s="52">
        <f t="shared" si="222"/>
        <v>8.1269052667546207E-2</v>
      </c>
      <c r="FO218" s="52">
        <f t="shared" si="222"/>
        <v>8.1269052667546207E-2</v>
      </c>
      <c r="FP218" s="52">
        <f t="shared" si="222"/>
        <v>8.1269052667546207E-2</v>
      </c>
      <c r="FQ218" s="52">
        <f t="shared" si="222"/>
        <v>8.1269052667546207E-2</v>
      </c>
      <c r="FR218" s="52">
        <f t="shared" si="222"/>
        <v>8.1269052667546207E-2</v>
      </c>
      <c r="FS218" s="52">
        <f t="shared" si="222"/>
        <v>8.1269052667546207E-2</v>
      </c>
      <c r="FT218" s="52">
        <f t="shared" si="222"/>
        <v>8.1269052667546207E-2</v>
      </c>
      <c r="FU218" s="52">
        <f t="shared" si="222"/>
        <v>8.5332505300923511E-2</v>
      </c>
      <c r="FV218" s="52">
        <f t="shared" si="222"/>
        <v>8.5332505300923511E-2</v>
      </c>
      <c r="FW218" s="52">
        <f t="shared" si="222"/>
        <v>8.5332505300923511E-2</v>
      </c>
      <c r="FX218" s="52">
        <f t="shared" si="222"/>
        <v>8.5332505300923511E-2</v>
      </c>
      <c r="FY218" s="52">
        <f t="shared" si="222"/>
        <v>8.5332505300923511E-2</v>
      </c>
      <c r="FZ218" s="52">
        <f t="shared" si="222"/>
        <v>8.5332505300923511E-2</v>
      </c>
      <c r="GA218" s="52">
        <f t="shared" si="222"/>
        <v>8.5332505300923511E-2</v>
      </c>
      <c r="GB218" s="52">
        <f t="shared" si="222"/>
        <v>8.5332505300923511E-2</v>
      </c>
      <c r="GC218" s="52">
        <f t="shared" si="222"/>
        <v>8.5332505300923511E-2</v>
      </c>
      <c r="GD218" s="52">
        <f t="shared" si="222"/>
        <v>8.5332505300923511E-2</v>
      </c>
      <c r="GE218" s="52">
        <f t="shared" si="222"/>
        <v>8.5332505300923511E-2</v>
      </c>
      <c r="GF218" s="52">
        <f t="shared" si="222"/>
        <v>8.5332505300923511E-2</v>
      </c>
      <c r="GG218" s="52">
        <f t="shared" si="222"/>
        <v>8.9599130565969701E-2</v>
      </c>
      <c r="GH218" s="52">
        <f t="shared" si="222"/>
        <v>8.9599130565969701E-2</v>
      </c>
      <c r="GI218" s="52">
        <f t="shared" si="222"/>
        <v>8.9599130565969701E-2</v>
      </c>
      <c r="GJ218" s="52">
        <f t="shared" si="222"/>
        <v>8.9599130565969701E-2</v>
      </c>
      <c r="GK218" s="52">
        <f t="shared" si="222"/>
        <v>8.9599130565969701E-2</v>
      </c>
      <c r="GL218" s="52">
        <f t="shared" si="222"/>
        <v>8.9599130565969701E-2</v>
      </c>
      <c r="GM218" s="52">
        <f t="shared" si="222"/>
        <v>8.9599130565969701E-2</v>
      </c>
      <c r="GN218" s="52">
        <f t="shared" ref="GN218:IY218" si="223">GN216*$C$15</f>
        <v>8.9599130565969701E-2</v>
      </c>
      <c r="GO218" s="52">
        <f t="shared" si="223"/>
        <v>8.9599130565969701E-2</v>
      </c>
      <c r="GP218" s="52">
        <f t="shared" si="223"/>
        <v>8.9599130565969701E-2</v>
      </c>
      <c r="GQ218" s="52">
        <f t="shared" si="223"/>
        <v>8.9599130565969701E-2</v>
      </c>
      <c r="GR218" s="52">
        <f t="shared" si="223"/>
        <v>8.9599130565969701E-2</v>
      </c>
      <c r="GS218" s="52">
        <f t="shared" si="223"/>
        <v>9.4079087094268196E-2</v>
      </c>
      <c r="GT218" s="52">
        <f t="shared" si="223"/>
        <v>9.4079087094268196E-2</v>
      </c>
      <c r="GU218" s="52">
        <f t="shared" si="223"/>
        <v>9.4079087094268196E-2</v>
      </c>
      <c r="GV218" s="52">
        <f t="shared" si="223"/>
        <v>9.4079087094268196E-2</v>
      </c>
      <c r="GW218" s="52">
        <f t="shared" si="223"/>
        <v>9.4079087094268196E-2</v>
      </c>
      <c r="GX218" s="52">
        <f t="shared" si="223"/>
        <v>9.4079087094268196E-2</v>
      </c>
      <c r="GY218" s="52">
        <f t="shared" si="223"/>
        <v>9.4079087094268196E-2</v>
      </c>
      <c r="GZ218" s="52">
        <f t="shared" si="223"/>
        <v>9.4079087094268196E-2</v>
      </c>
      <c r="HA218" s="52">
        <f t="shared" si="223"/>
        <v>9.4079087094268196E-2</v>
      </c>
      <c r="HB218" s="52">
        <f t="shared" si="223"/>
        <v>9.4079087094268196E-2</v>
      </c>
      <c r="HC218" s="52">
        <f t="shared" si="223"/>
        <v>9.4079087094268196E-2</v>
      </c>
      <c r="HD218" s="52">
        <f t="shared" si="223"/>
        <v>9.4079087094268196E-2</v>
      </c>
      <c r="HE218" s="52">
        <f t="shared" si="223"/>
        <v>9.8783041448981604E-2</v>
      </c>
      <c r="HF218" s="52">
        <f t="shared" si="223"/>
        <v>9.8783041448981604E-2</v>
      </c>
      <c r="HG218" s="52">
        <f t="shared" si="223"/>
        <v>9.8783041448981604E-2</v>
      </c>
      <c r="HH218" s="52">
        <f t="shared" si="223"/>
        <v>9.8783041448981604E-2</v>
      </c>
      <c r="HI218" s="52">
        <f t="shared" si="223"/>
        <v>9.8783041448981604E-2</v>
      </c>
      <c r="HJ218" s="52">
        <f t="shared" si="223"/>
        <v>9.8783041448981604E-2</v>
      </c>
      <c r="HK218" s="52">
        <f t="shared" si="223"/>
        <v>9.8783041448981604E-2</v>
      </c>
      <c r="HL218" s="52">
        <f t="shared" si="223"/>
        <v>9.8783041448981604E-2</v>
      </c>
      <c r="HM218" s="52">
        <f t="shared" si="223"/>
        <v>9.8783041448981604E-2</v>
      </c>
      <c r="HN218" s="52">
        <f t="shared" si="223"/>
        <v>9.8783041448981604E-2</v>
      </c>
      <c r="HO218" s="52">
        <f t="shared" si="223"/>
        <v>9.8783041448981604E-2</v>
      </c>
      <c r="HP218" s="52">
        <f t="shared" si="223"/>
        <v>9.8783041448981604E-2</v>
      </c>
      <c r="HQ218" s="52">
        <f t="shared" si="223"/>
        <v>0.10372219352143069</v>
      </c>
      <c r="HR218" s="52">
        <f t="shared" si="223"/>
        <v>0.10372219352143069</v>
      </c>
      <c r="HS218" s="52">
        <f t="shared" si="223"/>
        <v>0.10372219352143069</v>
      </c>
      <c r="HT218" s="52">
        <f t="shared" si="223"/>
        <v>0.10372219352143069</v>
      </c>
      <c r="HU218" s="52">
        <f t="shared" si="223"/>
        <v>0.10372219352143069</v>
      </c>
      <c r="HV218" s="52">
        <f t="shared" si="223"/>
        <v>0.10372219352143069</v>
      </c>
      <c r="HW218" s="52">
        <f t="shared" si="223"/>
        <v>0.10372219352143069</v>
      </c>
      <c r="HX218" s="52">
        <f t="shared" si="223"/>
        <v>0.10372219352143069</v>
      </c>
      <c r="HY218" s="52">
        <f t="shared" si="223"/>
        <v>0.10372219352143069</v>
      </c>
      <c r="HZ218" s="52">
        <f t="shared" si="223"/>
        <v>0.10372219352143069</v>
      </c>
      <c r="IA218" s="52">
        <f t="shared" si="223"/>
        <v>0.10372219352143069</v>
      </c>
      <c r="IB218" s="52">
        <f t="shared" si="223"/>
        <v>0.10372219352143069</v>
      </c>
      <c r="IC218" s="52">
        <f t="shared" si="223"/>
        <v>0.10890830319750221</v>
      </c>
      <c r="ID218" s="52">
        <f t="shared" si="223"/>
        <v>0.10890830319750221</v>
      </c>
      <c r="IE218" s="52">
        <f t="shared" si="223"/>
        <v>0.10890830319750221</v>
      </c>
      <c r="IF218" s="52">
        <f t="shared" si="223"/>
        <v>0.10890830319750221</v>
      </c>
      <c r="IG218" s="52">
        <f t="shared" si="223"/>
        <v>0.10890830319750221</v>
      </c>
      <c r="IH218" s="52">
        <f t="shared" si="223"/>
        <v>0.10890830319750221</v>
      </c>
      <c r="II218" s="52">
        <f t="shared" si="223"/>
        <v>0.10890830319750221</v>
      </c>
      <c r="IJ218" s="52">
        <f t="shared" si="223"/>
        <v>0.10890830319750221</v>
      </c>
      <c r="IK218" s="52">
        <f t="shared" si="223"/>
        <v>0.10890830319750221</v>
      </c>
      <c r="IL218" s="52">
        <f t="shared" si="223"/>
        <v>0.10890830319750221</v>
      </c>
      <c r="IM218" s="52">
        <f t="shared" si="223"/>
        <v>0.10890830319750221</v>
      </c>
      <c r="IN218" s="52">
        <f t="shared" si="223"/>
        <v>0.10890830319750221</v>
      </c>
      <c r="IO218" s="52">
        <f t="shared" si="223"/>
        <v>0.11435371835737734</v>
      </c>
      <c r="IP218" s="52">
        <f t="shared" si="223"/>
        <v>0.11435371835737734</v>
      </c>
      <c r="IQ218" s="52">
        <f t="shared" si="223"/>
        <v>0.11435371835737734</v>
      </c>
      <c r="IR218" s="52">
        <f t="shared" si="223"/>
        <v>0.11435371835737734</v>
      </c>
      <c r="IS218" s="52">
        <f t="shared" si="223"/>
        <v>0.11435371835737734</v>
      </c>
      <c r="IT218" s="52">
        <f t="shared" si="223"/>
        <v>0.11435371835737734</v>
      </c>
      <c r="IU218" s="52">
        <f t="shared" si="223"/>
        <v>0.11435371835737734</v>
      </c>
      <c r="IV218" s="52">
        <f t="shared" si="223"/>
        <v>0.11435371835737734</v>
      </c>
      <c r="IW218" s="52">
        <f t="shared" si="223"/>
        <v>0.11435371835737734</v>
      </c>
      <c r="IX218" s="52">
        <f t="shared" si="223"/>
        <v>0.11435371835737734</v>
      </c>
      <c r="IY218" s="52">
        <f t="shared" si="223"/>
        <v>0.11435371835737734</v>
      </c>
      <c r="IZ218" s="52">
        <f t="shared" ref="IZ218:JI218" si="224">IZ216*$C$15</f>
        <v>0.11435371835737734</v>
      </c>
      <c r="JA218" s="52">
        <f t="shared" si="224"/>
        <v>0.12007140427524621</v>
      </c>
      <c r="JB218" s="52">
        <f t="shared" si="224"/>
        <v>0.12007140427524621</v>
      </c>
      <c r="JC218" s="52">
        <f t="shared" si="224"/>
        <v>0.12007140427524621</v>
      </c>
      <c r="JD218" s="52">
        <f t="shared" si="224"/>
        <v>0.12007140427524621</v>
      </c>
      <c r="JE218" s="52">
        <f t="shared" si="224"/>
        <v>0.12007140427524621</v>
      </c>
      <c r="JF218" s="52">
        <f t="shared" si="224"/>
        <v>0.12007140427524621</v>
      </c>
      <c r="JG218" s="52">
        <f t="shared" si="224"/>
        <v>5.5847164779184296E-3</v>
      </c>
      <c r="JH218" s="52">
        <f t="shared" si="224"/>
        <v>5.5847164779184296E-3</v>
      </c>
      <c r="JI218" s="52">
        <f t="shared" si="224"/>
        <v>5.5847164779184296E-3</v>
      </c>
      <c r="JJ218" s="539">
        <f t="shared" ref="JJ218:JO218" si="225">JJ216*$C$15</f>
        <v>0</v>
      </c>
      <c r="JK218" s="52">
        <f t="shared" si="225"/>
        <v>0</v>
      </c>
      <c r="JL218" s="52">
        <f t="shared" si="225"/>
        <v>0</v>
      </c>
      <c r="JM218" s="52">
        <f t="shared" si="225"/>
        <v>0</v>
      </c>
      <c r="JN218" s="52">
        <f t="shared" si="225"/>
        <v>0</v>
      </c>
      <c r="JO218" s="52">
        <f t="shared" si="225"/>
        <v>0</v>
      </c>
      <c r="JP218" s="54">
        <f>SUM(C218:JI218)</f>
        <v>18.150399935930949</v>
      </c>
    </row>
    <row r="219" spans="2:276" x14ac:dyDescent="0.3">
      <c r="B219" s="163" t="s">
        <v>299</v>
      </c>
      <c r="C219" s="190">
        <f>C216-SUM(C217:C218)</f>
        <v>0</v>
      </c>
      <c r="D219" s="190">
        <f t="shared" ref="D219:BO219" si="226">D216-SUM(D217:D218)</f>
        <v>0</v>
      </c>
      <c r="E219" s="190">
        <f t="shared" si="226"/>
        <v>0</v>
      </c>
      <c r="F219" s="190">
        <f t="shared" si="226"/>
        <v>0</v>
      </c>
      <c r="G219" s="190">
        <f t="shared" si="226"/>
        <v>0</v>
      </c>
      <c r="H219" s="190">
        <f t="shared" si="226"/>
        <v>0</v>
      </c>
      <c r="I219" s="190">
        <f t="shared" si="226"/>
        <v>0</v>
      </c>
      <c r="J219" s="190">
        <f t="shared" si="226"/>
        <v>0</v>
      </c>
      <c r="K219" s="190">
        <f t="shared" si="226"/>
        <v>0</v>
      </c>
      <c r="L219" s="190">
        <f t="shared" si="226"/>
        <v>0</v>
      </c>
      <c r="M219" s="190">
        <f t="shared" si="226"/>
        <v>0</v>
      </c>
      <c r="N219" s="190">
        <f t="shared" si="226"/>
        <v>0</v>
      </c>
      <c r="O219" s="190">
        <f t="shared" si="226"/>
        <v>0</v>
      </c>
      <c r="P219" s="190">
        <f t="shared" si="226"/>
        <v>0</v>
      </c>
      <c r="Q219" s="190">
        <f t="shared" si="226"/>
        <v>0</v>
      </c>
      <c r="R219" s="190">
        <f t="shared" si="226"/>
        <v>0</v>
      </c>
      <c r="S219" s="190">
        <f t="shared" si="226"/>
        <v>0</v>
      </c>
      <c r="T219" s="190">
        <f t="shared" si="226"/>
        <v>0</v>
      </c>
      <c r="U219" s="190">
        <f t="shared" si="226"/>
        <v>0</v>
      </c>
      <c r="V219" s="190">
        <f t="shared" si="226"/>
        <v>0</v>
      </c>
      <c r="W219" s="190">
        <f t="shared" si="226"/>
        <v>0</v>
      </c>
      <c r="X219" s="190">
        <f t="shared" si="226"/>
        <v>0</v>
      </c>
      <c r="Y219" s="190">
        <f t="shared" si="226"/>
        <v>0</v>
      </c>
      <c r="Z219" s="190">
        <f t="shared" si="226"/>
        <v>0</v>
      </c>
      <c r="AA219" s="190">
        <f t="shared" si="226"/>
        <v>0</v>
      </c>
      <c r="AB219" s="190">
        <f t="shared" si="226"/>
        <v>0</v>
      </c>
      <c r="AC219" s="190">
        <f t="shared" si="226"/>
        <v>0</v>
      </c>
      <c r="AD219" s="190">
        <f t="shared" si="226"/>
        <v>0</v>
      </c>
      <c r="AE219" s="190">
        <f t="shared" si="226"/>
        <v>0</v>
      </c>
      <c r="AF219" s="190">
        <f t="shared" si="226"/>
        <v>0</v>
      </c>
      <c r="AG219" s="190">
        <f t="shared" si="226"/>
        <v>0.85529397489100434</v>
      </c>
      <c r="AH219" s="190">
        <f t="shared" si="226"/>
        <v>0.85529397489100434</v>
      </c>
      <c r="AI219" s="190">
        <f t="shared" si="226"/>
        <v>0.85529397489100434</v>
      </c>
      <c r="AJ219" s="190">
        <f t="shared" si="226"/>
        <v>0.85529397489100434</v>
      </c>
      <c r="AK219" s="190">
        <f t="shared" si="226"/>
        <v>0.85529397489100434</v>
      </c>
      <c r="AL219" s="190">
        <f t="shared" si="226"/>
        <v>0.85529397489100434</v>
      </c>
      <c r="AM219" s="190">
        <f t="shared" si="226"/>
        <v>0.85529397489100434</v>
      </c>
      <c r="AN219" s="190">
        <f t="shared" si="226"/>
        <v>0.85529397489100434</v>
      </c>
      <c r="AO219" s="190">
        <f t="shared" si="226"/>
        <v>0.85529397489100434</v>
      </c>
      <c r="AP219" s="190">
        <f t="shared" si="226"/>
        <v>0.85529397489100434</v>
      </c>
      <c r="AQ219" s="190">
        <f t="shared" si="226"/>
        <v>0.85529397489100434</v>
      </c>
      <c r="AR219" s="190">
        <f t="shared" si="226"/>
        <v>0.85529397489100434</v>
      </c>
      <c r="AS219" s="190">
        <f t="shared" si="226"/>
        <v>0.89805867363555458</v>
      </c>
      <c r="AT219" s="190">
        <f t="shared" si="226"/>
        <v>0.89805867363555458</v>
      </c>
      <c r="AU219" s="190">
        <f t="shared" si="226"/>
        <v>0.89805867363555458</v>
      </c>
      <c r="AV219" s="190">
        <f t="shared" si="226"/>
        <v>0.89805867363555458</v>
      </c>
      <c r="AW219" s="190">
        <f t="shared" si="226"/>
        <v>0.89805867363555458</v>
      </c>
      <c r="AX219" s="190">
        <f t="shared" si="226"/>
        <v>0.89805867363555458</v>
      </c>
      <c r="AY219" s="190">
        <f t="shared" si="226"/>
        <v>0.89805867363555458</v>
      </c>
      <c r="AZ219" s="190">
        <f t="shared" si="226"/>
        <v>0.89805867363555458</v>
      </c>
      <c r="BA219" s="190">
        <f t="shared" si="226"/>
        <v>0.89805867363555458</v>
      </c>
      <c r="BB219" s="190">
        <f t="shared" si="226"/>
        <v>0.89805867363555458</v>
      </c>
      <c r="BC219" s="190">
        <f t="shared" si="226"/>
        <v>0.89805867363555458</v>
      </c>
      <c r="BD219" s="190">
        <f t="shared" si="226"/>
        <v>0.89805867363555458</v>
      </c>
      <c r="BE219" s="190">
        <f t="shared" si="226"/>
        <v>0.94296160731733225</v>
      </c>
      <c r="BF219" s="190">
        <f t="shared" si="226"/>
        <v>0.94296160731733225</v>
      </c>
      <c r="BG219" s="190">
        <f t="shared" si="226"/>
        <v>0.94296160731733225</v>
      </c>
      <c r="BH219" s="190">
        <f t="shared" si="226"/>
        <v>0.94296160731733225</v>
      </c>
      <c r="BI219" s="190">
        <f t="shared" si="226"/>
        <v>0.94296160731733225</v>
      </c>
      <c r="BJ219" s="190">
        <f t="shared" si="226"/>
        <v>0.94296160731733225</v>
      </c>
      <c r="BK219" s="190">
        <f t="shared" si="226"/>
        <v>0.94296160731733225</v>
      </c>
      <c r="BL219" s="190">
        <f t="shared" si="226"/>
        <v>0.94296160731733225</v>
      </c>
      <c r="BM219" s="190">
        <f t="shared" si="226"/>
        <v>0.94296160731733225</v>
      </c>
      <c r="BN219" s="190">
        <f t="shared" si="226"/>
        <v>0.94296160731733225</v>
      </c>
      <c r="BO219" s="190">
        <f t="shared" si="226"/>
        <v>0.94296160731733225</v>
      </c>
      <c r="BP219" s="190">
        <f t="shared" ref="BP219:EA219" si="227">BP216-SUM(BP217:BP218)</f>
        <v>0.94296160731733225</v>
      </c>
      <c r="BQ219" s="190">
        <f t="shared" si="227"/>
        <v>0.99010968768319896</v>
      </c>
      <c r="BR219" s="190">
        <f t="shared" si="227"/>
        <v>0.99010968768319896</v>
      </c>
      <c r="BS219" s="190">
        <f t="shared" si="227"/>
        <v>0.99010968768319896</v>
      </c>
      <c r="BT219" s="190">
        <f t="shared" si="227"/>
        <v>0.99010968768319896</v>
      </c>
      <c r="BU219" s="190">
        <f t="shared" si="227"/>
        <v>0.99010968768319896</v>
      </c>
      <c r="BV219" s="190">
        <f t="shared" si="227"/>
        <v>0.99010968768319896</v>
      </c>
      <c r="BW219" s="190">
        <f t="shared" si="227"/>
        <v>0.99010968768319896</v>
      </c>
      <c r="BX219" s="190">
        <f t="shared" si="227"/>
        <v>0.99010968768319896</v>
      </c>
      <c r="BY219" s="190">
        <f t="shared" si="227"/>
        <v>0.99010968768319896</v>
      </c>
      <c r="BZ219" s="190">
        <f t="shared" si="227"/>
        <v>0.99010968768319896</v>
      </c>
      <c r="CA219" s="190">
        <f t="shared" si="227"/>
        <v>0.99010968768319896</v>
      </c>
      <c r="CB219" s="190">
        <f t="shared" si="227"/>
        <v>0.99010968768319896</v>
      </c>
      <c r="CC219" s="190">
        <f t="shared" si="227"/>
        <v>1.039615172067359</v>
      </c>
      <c r="CD219" s="190">
        <f t="shared" si="227"/>
        <v>1.039615172067359</v>
      </c>
      <c r="CE219" s="190">
        <f t="shared" si="227"/>
        <v>1.039615172067359</v>
      </c>
      <c r="CF219" s="190">
        <f t="shared" si="227"/>
        <v>1.039615172067359</v>
      </c>
      <c r="CG219" s="190">
        <f t="shared" si="227"/>
        <v>1.039615172067359</v>
      </c>
      <c r="CH219" s="190">
        <f t="shared" si="227"/>
        <v>1.039615172067359</v>
      </c>
      <c r="CI219" s="190">
        <f t="shared" si="227"/>
        <v>1.039615172067359</v>
      </c>
      <c r="CJ219" s="190">
        <f t="shared" si="227"/>
        <v>1.039615172067359</v>
      </c>
      <c r="CK219" s="190">
        <f t="shared" si="227"/>
        <v>1.039615172067359</v>
      </c>
      <c r="CL219" s="190">
        <f t="shared" si="227"/>
        <v>1.039615172067359</v>
      </c>
      <c r="CM219" s="190">
        <f t="shared" si="227"/>
        <v>1.039615172067359</v>
      </c>
      <c r="CN219" s="190">
        <f t="shared" si="227"/>
        <v>1.039615172067359</v>
      </c>
      <c r="CO219" s="190">
        <f t="shared" si="227"/>
        <v>1.0915959306707268</v>
      </c>
      <c r="CP219" s="190">
        <f t="shared" si="227"/>
        <v>1.0915959306707268</v>
      </c>
      <c r="CQ219" s="190">
        <f t="shared" si="227"/>
        <v>1.0915959306707268</v>
      </c>
      <c r="CR219" s="190">
        <f t="shared" si="227"/>
        <v>1.0915959306707268</v>
      </c>
      <c r="CS219" s="190">
        <f t="shared" si="227"/>
        <v>1.0915959306707268</v>
      </c>
      <c r="CT219" s="190">
        <f t="shared" si="227"/>
        <v>1.0915959306707268</v>
      </c>
      <c r="CU219" s="190">
        <f t="shared" si="227"/>
        <v>1.0915959306707268</v>
      </c>
      <c r="CV219" s="190">
        <f t="shared" si="227"/>
        <v>1.0915959306707268</v>
      </c>
      <c r="CW219" s="190">
        <f t="shared" si="227"/>
        <v>1.0915959306707268</v>
      </c>
      <c r="CX219" s="190">
        <f t="shared" si="227"/>
        <v>1.0915959306707268</v>
      </c>
      <c r="CY219" s="190">
        <f t="shared" si="227"/>
        <v>1.0915959306707268</v>
      </c>
      <c r="CZ219" s="190">
        <f t="shared" si="227"/>
        <v>1.0915959306707268</v>
      </c>
      <c r="DA219" s="190">
        <f t="shared" si="227"/>
        <v>1.1461757272042634</v>
      </c>
      <c r="DB219" s="190">
        <f t="shared" si="227"/>
        <v>1.1461757272042634</v>
      </c>
      <c r="DC219" s="190">
        <f t="shared" si="227"/>
        <v>1.1461757272042634</v>
      </c>
      <c r="DD219" s="190">
        <f t="shared" si="227"/>
        <v>1.1461757272042634</v>
      </c>
      <c r="DE219" s="190">
        <f t="shared" si="227"/>
        <v>1.1461757272042634</v>
      </c>
      <c r="DF219" s="190">
        <f t="shared" si="227"/>
        <v>1.1461757272042634</v>
      </c>
      <c r="DG219" s="190">
        <f t="shared" si="227"/>
        <v>1.1461757272042634</v>
      </c>
      <c r="DH219" s="190">
        <f t="shared" si="227"/>
        <v>1.1461757272042634</v>
      </c>
      <c r="DI219" s="190">
        <f t="shared" si="227"/>
        <v>1.1461757272042634</v>
      </c>
      <c r="DJ219" s="190">
        <f t="shared" si="227"/>
        <v>1.1461757272042634</v>
      </c>
      <c r="DK219" s="190">
        <f t="shared" si="227"/>
        <v>1.1461757272042634</v>
      </c>
      <c r="DL219" s="190">
        <f t="shared" si="227"/>
        <v>1.1461757272042634</v>
      </c>
      <c r="DM219" s="190">
        <f t="shared" si="227"/>
        <v>1.2034845135644765</v>
      </c>
      <c r="DN219" s="190">
        <f t="shared" si="227"/>
        <v>1.2034845135644765</v>
      </c>
      <c r="DO219" s="190">
        <f t="shared" si="227"/>
        <v>1.2034845135644765</v>
      </c>
      <c r="DP219" s="190">
        <f t="shared" si="227"/>
        <v>1.2034845135644765</v>
      </c>
      <c r="DQ219" s="190">
        <f t="shared" si="227"/>
        <v>1.2034845135644765</v>
      </c>
      <c r="DR219" s="190">
        <f t="shared" si="227"/>
        <v>1.2034845135644765</v>
      </c>
      <c r="DS219" s="190">
        <f t="shared" si="227"/>
        <v>1.2034845135644765</v>
      </c>
      <c r="DT219" s="190">
        <f t="shared" si="227"/>
        <v>1.2034845135644765</v>
      </c>
      <c r="DU219" s="190">
        <f t="shared" si="227"/>
        <v>1.2034845135644765</v>
      </c>
      <c r="DV219" s="190">
        <f t="shared" si="227"/>
        <v>1.2034845135644765</v>
      </c>
      <c r="DW219" s="190">
        <f t="shared" si="227"/>
        <v>1.2034845135644765</v>
      </c>
      <c r="DX219" s="190">
        <f t="shared" si="227"/>
        <v>1.2034845135644765</v>
      </c>
      <c r="DY219" s="190">
        <f t="shared" si="227"/>
        <v>1.2636587392427003</v>
      </c>
      <c r="DZ219" s="190">
        <f t="shared" si="227"/>
        <v>1.2636587392427003</v>
      </c>
      <c r="EA219" s="190">
        <f t="shared" si="227"/>
        <v>1.2636587392427003</v>
      </c>
      <c r="EB219" s="190">
        <f t="shared" ref="EB219:GM219" si="228">EB216-SUM(EB217:EB218)</f>
        <v>1.2636587392427003</v>
      </c>
      <c r="EC219" s="190">
        <f t="shared" si="228"/>
        <v>1.2636587392427003</v>
      </c>
      <c r="ED219" s="190">
        <f t="shared" si="228"/>
        <v>1.2636587392427003</v>
      </c>
      <c r="EE219" s="190">
        <f t="shared" si="228"/>
        <v>1.2636587392427003</v>
      </c>
      <c r="EF219" s="190">
        <f t="shared" si="228"/>
        <v>1.2636587392427003</v>
      </c>
      <c r="EG219" s="190">
        <f t="shared" si="228"/>
        <v>1.2636587392427003</v>
      </c>
      <c r="EH219" s="190">
        <f t="shared" si="228"/>
        <v>1.2636587392427003</v>
      </c>
      <c r="EI219" s="190">
        <f t="shared" si="228"/>
        <v>1.2636587392427003</v>
      </c>
      <c r="EJ219" s="190">
        <f t="shared" si="228"/>
        <v>1.2636587392427003</v>
      </c>
      <c r="EK219" s="190">
        <f t="shared" si="228"/>
        <v>1.3268416762048354</v>
      </c>
      <c r="EL219" s="190">
        <f t="shared" si="228"/>
        <v>1.3268416762048354</v>
      </c>
      <c r="EM219" s="190">
        <f t="shared" si="228"/>
        <v>1.3268416762048354</v>
      </c>
      <c r="EN219" s="190">
        <f t="shared" si="228"/>
        <v>1.3268416762048354</v>
      </c>
      <c r="EO219" s="190">
        <f t="shared" si="228"/>
        <v>1.3268416762048354</v>
      </c>
      <c r="EP219" s="190">
        <f t="shared" si="228"/>
        <v>1.3268416762048354</v>
      </c>
      <c r="EQ219" s="190">
        <f t="shared" si="228"/>
        <v>1.3268416762048354</v>
      </c>
      <c r="ER219" s="190">
        <f t="shared" si="228"/>
        <v>1.3268416762048354</v>
      </c>
      <c r="ES219" s="190">
        <f t="shared" si="228"/>
        <v>1.3268416762048354</v>
      </c>
      <c r="ET219" s="190">
        <f t="shared" si="228"/>
        <v>1.3268416762048354</v>
      </c>
      <c r="EU219" s="190">
        <f t="shared" si="228"/>
        <v>1.3268416762048354</v>
      </c>
      <c r="EV219" s="190">
        <f t="shared" si="228"/>
        <v>1.3268416762048354</v>
      </c>
      <c r="EW219" s="190">
        <f t="shared" si="228"/>
        <v>1.3931837600150774</v>
      </c>
      <c r="EX219" s="190">
        <f t="shared" si="228"/>
        <v>1.3931837600150774</v>
      </c>
      <c r="EY219" s="190">
        <f t="shared" si="228"/>
        <v>1.3931837600150774</v>
      </c>
      <c r="EZ219" s="190">
        <f t="shared" si="228"/>
        <v>1.3931837600150774</v>
      </c>
      <c r="FA219" s="190">
        <f t="shared" si="228"/>
        <v>1.3931837600150774</v>
      </c>
      <c r="FB219" s="190">
        <f t="shared" si="228"/>
        <v>1.3931837600150774</v>
      </c>
      <c r="FC219" s="190">
        <f t="shared" si="228"/>
        <v>1.3931837600150774</v>
      </c>
      <c r="FD219" s="190">
        <f t="shared" si="228"/>
        <v>1.3931837600150774</v>
      </c>
      <c r="FE219" s="190">
        <f t="shared" si="228"/>
        <v>1.3931837600150774</v>
      </c>
      <c r="FF219" s="190">
        <f t="shared" si="228"/>
        <v>1.3931837600150774</v>
      </c>
      <c r="FG219" s="190">
        <f t="shared" si="228"/>
        <v>1.3931837600150774</v>
      </c>
      <c r="FH219" s="190">
        <f t="shared" si="228"/>
        <v>1.3931837600150774</v>
      </c>
      <c r="FI219" s="190">
        <f t="shared" si="228"/>
        <v>1.4628429480158316</v>
      </c>
      <c r="FJ219" s="190">
        <f t="shared" si="228"/>
        <v>1.4628429480158316</v>
      </c>
      <c r="FK219" s="190">
        <f t="shared" si="228"/>
        <v>1.4628429480158316</v>
      </c>
      <c r="FL219" s="190">
        <f t="shared" si="228"/>
        <v>1.4628429480158316</v>
      </c>
      <c r="FM219" s="190">
        <f t="shared" si="228"/>
        <v>1.4628429480158316</v>
      </c>
      <c r="FN219" s="190">
        <f t="shared" si="228"/>
        <v>1.4628429480158316</v>
      </c>
      <c r="FO219" s="190">
        <f t="shared" si="228"/>
        <v>1.4628429480158316</v>
      </c>
      <c r="FP219" s="190">
        <f t="shared" si="228"/>
        <v>1.4628429480158316</v>
      </c>
      <c r="FQ219" s="190">
        <f t="shared" si="228"/>
        <v>1.4628429480158316</v>
      </c>
      <c r="FR219" s="190">
        <f t="shared" si="228"/>
        <v>1.4628429480158316</v>
      </c>
      <c r="FS219" s="190">
        <f t="shared" si="228"/>
        <v>1.4628429480158316</v>
      </c>
      <c r="FT219" s="190">
        <f t="shared" si="228"/>
        <v>1.4628429480158316</v>
      </c>
      <c r="FU219" s="190">
        <f t="shared" si="228"/>
        <v>1.5359850954166232</v>
      </c>
      <c r="FV219" s="190">
        <f t="shared" si="228"/>
        <v>1.5359850954166232</v>
      </c>
      <c r="FW219" s="190">
        <f t="shared" si="228"/>
        <v>1.5359850954166232</v>
      </c>
      <c r="FX219" s="190">
        <f t="shared" si="228"/>
        <v>1.5359850954166232</v>
      </c>
      <c r="FY219" s="190">
        <f t="shared" si="228"/>
        <v>1.5359850954166232</v>
      </c>
      <c r="FZ219" s="190">
        <f t="shared" si="228"/>
        <v>1.5359850954166232</v>
      </c>
      <c r="GA219" s="190">
        <f t="shared" si="228"/>
        <v>1.5359850954166232</v>
      </c>
      <c r="GB219" s="190">
        <f t="shared" si="228"/>
        <v>1.5359850954166232</v>
      </c>
      <c r="GC219" s="190">
        <f t="shared" si="228"/>
        <v>1.5359850954166232</v>
      </c>
      <c r="GD219" s="190">
        <f t="shared" si="228"/>
        <v>1.5359850954166232</v>
      </c>
      <c r="GE219" s="190">
        <f t="shared" si="228"/>
        <v>1.5359850954166232</v>
      </c>
      <c r="GF219" s="190">
        <f t="shared" si="228"/>
        <v>1.5359850954166232</v>
      </c>
      <c r="GG219" s="190">
        <f t="shared" si="228"/>
        <v>1.6127843501874546</v>
      </c>
      <c r="GH219" s="190">
        <f t="shared" si="228"/>
        <v>1.6127843501874546</v>
      </c>
      <c r="GI219" s="190">
        <f t="shared" si="228"/>
        <v>1.6127843501874546</v>
      </c>
      <c r="GJ219" s="190">
        <f t="shared" si="228"/>
        <v>1.6127843501874546</v>
      </c>
      <c r="GK219" s="190">
        <f t="shared" si="228"/>
        <v>1.6127843501874546</v>
      </c>
      <c r="GL219" s="190">
        <f t="shared" si="228"/>
        <v>1.6127843501874546</v>
      </c>
      <c r="GM219" s="190">
        <f t="shared" si="228"/>
        <v>1.6127843501874546</v>
      </c>
      <c r="GN219" s="190">
        <f t="shared" ref="GN219:IY219" si="229">GN216-SUM(GN217:GN218)</f>
        <v>1.6127843501874546</v>
      </c>
      <c r="GO219" s="190">
        <f t="shared" si="229"/>
        <v>1.6127843501874546</v>
      </c>
      <c r="GP219" s="190">
        <f t="shared" si="229"/>
        <v>1.6127843501874546</v>
      </c>
      <c r="GQ219" s="190">
        <f t="shared" si="229"/>
        <v>1.6127843501874546</v>
      </c>
      <c r="GR219" s="190">
        <f t="shared" si="229"/>
        <v>1.6127843501874546</v>
      </c>
      <c r="GS219" s="190">
        <f t="shared" si="229"/>
        <v>1.6934235676968274</v>
      </c>
      <c r="GT219" s="190">
        <f t="shared" si="229"/>
        <v>1.6934235676968274</v>
      </c>
      <c r="GU219" s="190">
        <f t="shared" si="229"/>
        <v>1.6934235676968274</v>
      </c>
      <c r="GV219" s="190">
        <f t="shared" si="229"/>
        <v>1.6934235676968274</v>
      </c>
      <c r="GW219" s="190">
        <f t="shared" si="229"/>
        <v>1.6934235676968274</v>
      </c>
      <c r="GX219" s="190">
        <f t="shared" si="229"/>
        <v>1.6934235676968274</v>
      </c>
      <c r="GY219" s="190">
        <f t="shared" si="229"/>
        <v>1.6934235676968274</v>
      </c>
      <c r="GZ219" s="190">
        <f t="shared" si="229"/>
        <v>1.6934235676968274</v>
      </c>
      <c r="HA219" s="190">
        <f t="shared" si="229"/>
        <v>1.6934235676968274</v>
      </c>
      <c r="HB219" s="190">
        <f t="shared" si="229"/>
        <v>1.6934235676968274</v>
      </c>
      <c r="HC219" s="190">
        <f t="shared" si="229"/>
        <v>1.6934235676968274</v>
      </c>
      <c r="HD219" s="190">
        <f t="shared" si="229"/>
        <v>1.6934235676968274</v>
      </c>
      <c r="HE219" s="190">
        <f t="shared" si="229"/>
        <v>1.7780947460816687</v>
      </c>
      <c r="HF219" s="190">
        <f t="shared" si="229"/>
        <v>1.7780947460816687</v>
      </c>
      <c r="HG219" s="190">
        <f t="shared" si="229"/>
        <v>1.7780947460816687</v>
      </c>
      <c r="HH219" s="190">
        <f t="shared" si="229"/>
        <v>1.7780947460816687</v>
      </c>
      <c r="HI219" s="190">
        <f t="shared" si="229"/>
        <v>1.7780947460816687</v>
      </c>
      <c r="HJ219" s="190">
        <f t="shared" si="229"/>
        <v>1.7780947460816687</v>
      </c>
      <c r="HK219" s="190">
        <f t="shared" si="229"/>
        <v>1.7780947460816687</v>
      </c>
      <c r="HL219" s="190">
        <f t="shared" si="229"/>
        <v>1.7780947460816687</v>
      </c>
      <c r="HM219" s="190">
        <f t="shared" si="229"/>
        <v>1.7780947460816687</v>
      </c>
      <c r="HN219" s="190">
        <f t="shared" si="229"/>
        <v>1.7780947460816687</v>
      </c>
      <c r="HO219" s="190">
        <f t="shared" si="229"/>
        <v>1.7780947460816687</v>
      </c>
      <c r="HP219" s="190">
        <f t="shared" si="229"/>
        <v>1.7780947460816687</v>
      </c>
      <c r="HQ219" s="190">
        <f t="shared" si="229"/>
        <v>1.8669994833857522</v>
      </c>
      <c r="HR219" s="190">
        <f t="shared" si="229"/>
        <v>1.8669994833857522</v>
      </c>
      <c r="HS219" s="190">
        <f t="shared" si="229"/>
        <v>1.8669994833857522</v>
      </c>
      <c r="HT219" s="190">
        <f t="shared" si="229"/>
        <v>1.8669994833857522</v>
      </c>
      <c r="HU219" s="190">
        <f t="shared" si="229"/>
        <v>1.8669994833857522</v>
      </c>
      <c r="HV219" s="190">
        <f t="shared" si="229"/>
        <v>1.8669994833857522</v>
      </c>
      <c r="HW219" s="190">
        <f t="shared" si="229"/>
        <v>1.8669994833857522</v>
      </c>
      <c r="HX219" s="190">
        <f t="shared" si="229"/>
        <v>1.8669994833857522</v>
      </c>
      <c r="HY219" s="190">
        <f t="shared" si="229"/>
        <v>1.8669994833857522</v>
      </c>
      <c r="HZ219" s="190">
        <f t="shared" si="229"/>
        <v>1.8669994833857522</v>
      </c>
      <c r="IA219" s="190">
        <f t="shared" si="229"/>
        <v>1.8669994833857522</v>
      </c>
      <c r="IB219" s="190">
        <f t="shared" si="229"/>
        <v>1.8669994833857522</v>
      </c>
      <c r="IC219" s="190">
        <f t="shared" si="229"/>
        <v>1.9603494575550395</v>
      </c>
      <c r="ID219" s="190">
        <f t="shared" si="229"/>
        <v>1.9603494575550395</v>
      </c>
      <c r="IE219" s="190">
        <f t="shared" si="229"/>
        <v>1.9603494575550395</v>
      </c>
      <c r="IF219" s="190">
        <f t="shared" si="229"/>
        <v>1.9603494575550395</v>
      </c>
      <c r="IG219" s="190">
        <f t="shared" si="229"/>
        <v>1.9603494575550395</v>
      </c>
      <c r="IH219" s="190">
        <f t="shared" si="229"/>
        <v>1.9603494575550395</v>
      </c>
      <c r="II219" s="190">
        <f t="shared" si="229"/>
        <v>1.9603494575550395</v>
      </c>
      <c r="IJ219" s="190">
        <f t="shared" si="229"/>
        <v>1.9603494575550395</v>
      </c>
      <c r="IK219" s="190">
        <f t="shared" si="229"/>
        <v>1.9603494575550395</v>
      </c>
      <c r="IL219" s="190">
        <f t="shared" si="229"/>
        <v>1.9603494575550395</v>
      </c>
      <c r="IM219" s="190">
        <f t="shared" si="229"/>
        <v>1.9603494575550395</v>
      </c>
      <c r="IN219" s="190">
        <f t="shared" si="229"/>
        <v>1.9603494575550395</v>
      </c>
      <c r="IO219" s="190">
        <f t="shared" si="229"/>
        <v>2.0583669304327921</v>
      </c>
      <c r="IP219" s="190">
        <f t="shared" si="229"/>
        <v>2.0583669304327921</v>
      </c>
      <c r="IQ219" s="190">
        <f t="shared" si="229"/>
        <v>2.0583669304327921</v>
      </c>
      <c r="IR219" s="190">
        <f t="shared" si="229"/>
        <v>2.0583669304327921</v>
      </c>
      <c r="IS219" s="190">
        <f t="shared" si="229"/>
        <v>2.0583669304327921</v>
      </c>
      <c r="IT219" s="190">
        <f t="shared" si="229"/>
        <v>2.0583669304327921</v>
      </c>
      <c r="IU219" s="190">
        <f t="shared" si="229"/>
        <v>2.0583669304327921</v>
      </c>
      <c r="IV219" s="190">
        <f t="shared" si="229"/>
        <v>2.0583669304327921</v>
      </c>
      <c r="IW219" s="190">
        <f t="shared" si="229"/>
        <v>2.0583669304327921</v>
      </c>
      <c r="IX219" s="190">
        <f t="shared" si="229"/>
        <v>2.0583669304327921</v>
      </c>
      <c r="IY219" s="190">
        <f t="shared" si="229"/>
        <v>2.0583669304327921</v>
      </c>
      <c r="IZ219" s="190">
        <f t="shared" ref="IZ219:JI219" si="230">IZ216-SUM(IZ217:IZ218)</f>
        <v>2.0583669304327921</v>
      </c>
      <c r="JA219" s="190">
        <f t="shared" si="230"/>
        <v>2.1612852769544317</v>
      </c>
      <c r="JB219" s="190">
        <f t="shared" si="230"/>
        <v>2.1612852769544317</v>
      </c>
      <c r="JC219" s="190">
        <f t="shared" si="230"/>
        <v>2.1612852769544317</v>
      </c>
      <c r="JD219" s="190">
        <f t="shared" si="230"/>
        <v>2.1612852769544317</v>
      </c>
      <c r="JE219" s="190">
        <f t="shared" si="230"/>
        <v>2.1612852769544317</v>
      </c>
      <c r="JF219" s="190">
        <f t="shared" si="230"/>
        <v>2.1612852769544317</v>
      </c>
      <c r="JG219" s="190">
        <f t="shared" si="230"/>
        <v>0.10052489660253172</v>
      </c>
      <c r="JH219" s="190">
        <f t="shared" si="230"/>
        <v>0.10052489660253172</v>
      </c>
      <c r="JI219" s="190">
        <f t="shared" si="230"/>
        <v>0.10052489660253172</v>
      </c>
      <c r="JJ219" s="558">
        <f t="shared" ref="JJ219:JO219" si="231">JJ216-SUM(JJ217:JJ218)</f>
        <v>0</v>
      </c>
      <c r="JK219" s="190">
        <f t="shared" si="231"/>
        <v>0</v>
      </c>
      <c r="JL219" s="190">
        <f t="shared" si="231"/>
        <v>0</v>
      </c>
      <c r="JM219" s="190">
        <f t="shared" si="231"/>
        <v>0</v>
      </c>
      <c r="JN219" s="190">
        <f t="shared" si="231"/>
        <v>0</v>
      </c>
      <c r="JO219" s="190">
        <f t="shared" si="231"/>
        <v>0</v>
      </c>
      <c r="JP219" s="190">
        <f>SUM(C219:JI219)</f>
        <v>326.70719884675697</v>
      </c>
    </row>
    <row r="222" spans="2:276" ht="14.4" thickBot="1" x14ac:dyDescent="0.35">
      <c r="B222" s="540" t="s">
        <v>328</v>
      </c>
      <c r="C222" s="471"/>
      <c r="D222" s="471"/>
      <c r="E222" s="471"/>
      <c r="F222" s="471"/>
      <c r="G222" s="471"/>
      <c r="H222" s="471"/>
      <c r="I222" s="471"/>
      <c r="J222" s="471"/>
      <c r="K222" s="471"/>
      <c r="L222" s="471"/>
      <c r="M222" s="471"/>
      <c r="N222" s="471"/>
      <c r="O222" s="471"/>
      <c r="P222" s="471"/>
      <c r="Q222" s="471"/>
      <c r="R222" s="471"/>
      <c r="S222" s="471"/>
      <c r="T222" s="471"/>
      <c r="U222" s="471"/>
      <c r="V222" s="471"/>
      <c r="W222" s="471"/>
      <c r="X222" s="471"/>
      <c r="Y222" s="500"/>
    </row>
    <row r="223" spans="2:276" ht="14.4" thickTop="1" x14ac:dyDescent="0.3">
      <c r="B223" s="169"/>
      <c r="C223" s="476">
        <f>C159</f>
        <v>46112</v>
      </c>
      <c r="D223" s="476">
        <f>EOMONTH(C223,12)</f>
        <v>46477</v>
      </c>
      <c r="E223" s="476">
        <f t="shared" ref="E223:Y223" si="232">EOMONTH(D223,12)</f>
        <v>46843</v>
      </c>
      <c r="F223" s="476">
        <f t="shared" si="232"/>
        <v>47208</v>
      </c>
      <c r="G223" s="476">
        <f t="shared" si="232"/>
        <v>47573</v>
      </c>
      <c r="H223" s="476">
        <f t="shared" si="232"/>
        <v>47938</v>
      </c>
      <c r="I223" s="476">
        <f t="shared" si="232"/>
        <v>48304</v>
      </c>
      <c r="J223" s="476">
        <f t="shared" si="232"/>
        <v>48669</v>
      </c>
      <c r="K223" s="476">
        <f t="shared" si="232"/>
        <v>49034</v>
      </c>
      <c r="L223" s="476">
        <f t="shared" si="232"/>
        <v>49399</v>
      </c>
      <c r="M223" s="476">
        <f t="shared" si="232"/>
        <v>49765</v>
      </c>
      <c r="N223" s="476">
        <f t="shared" si="232"/>
        <v>50130</v>
      </c>
      <c r="O223" s="476">
        <f t="shared" si="232"/>
        <v>50495</v>
      </c>
      <c r="P223" s="476">
        <f t="shared" si="232"/>
        <v>50860</v>
      </c>
      <c r="Q223" s="476">
        <f t="shared" si="232"/>
        <v>51226</v>
      </c>
      <c r="R223" s="476">
        <f t="shared" si="232"/>
        <v>51591</v>
      </c>
      <c r="S223" s="476">
        <f t="shared" si="232"/>
        <v>51956</v>
      </c>
      <c r="T223" s="476">
        <f t="shared" si="232"/>
        <v>52321</v>
      </c>
      <c r="U223" s="476">
        <f t="shared" si="232"/>
        <v>52687</v>
      </c>
      <c r="V223" s="476">
        <f t="shared" si="232"/>
        <v>53052</v>
      </c>
      <c r="W223" s="476">
        <f t="shared" si="232"/>
        <v>53417</v>
      </c>
      <c r="X223" s="476">
        <f t="shared" si="232"/>
        <v>53782</v>
      </c>
      <c r="Y223" s="505">
        <f t="shared" si="232"/>
        <v>54148</v>
      </c>
    </row>
    <row r="224" spans="2:276" x14ac:dyDescent="0.3">
      <c r="B224" s="429" t="s">
        <v>299</v>
      </c>
      <c r="C224" s="462">
        <f t="shared" ref="C224:Y224" si="233">SUMIFS(219:219,213:213,C223)</f>
        <v>0</v>
      </c>
      <c r="D224" s="462">
        <f t="shared" si="233"/>
        <v>0</v>
      </c>
      <c r="E224" s="462">
        <f t="shared" si="233"/>
        <v>0</v>
      </c>
      <c r="F224" s="462">
        <f t="shared" si="233"/>
        <v>7.6976457740190378</v>
      </c>
      <c r="G224" s="462">
        <f t="shared" si="233"/>
        <v>10.648409987393004</v>
      </c>
      <c r="H224" s="462">
        <f t="shared" si="233"/>
        <v>11.180830486762655</v>
      </c>
      <c r="I224" s="462">
        <f t="shared" si="233"/>
        <v>11.739872011100788</v>
      </c>
      <c r="J224" s="462">
        <f t="shared" si="233"/>
        <v>12.326865611655828</v>
      </c>
      <c r="K224" s="462">
        <f t="shared" si="233"/>
        <v>12.943208892238616</v>
      </c>
      <c r="L224" s="462">
        <f t="shared" si="233"/>
        <v>13.590369336850546</v>
      </c>
      <c r="M224" s="462">
        <f t="shared" si="233"/>
        <v>14.269887803693075</v>
      </c>
      <c r="N224" s="462">
        <f t="shared" si="233"/>
        <v>14.983382193877732</v>
      </c>
      <c r="O224" s="462">
        <f t="shared" si="233"/>
        <v>15.732551303571622</v>
      </c>
      <c r="P224" s="462">
        <f t="shared" si="233"/>
        <v>16.519178868750203</v>
      </c>
      <c r="Q224" s="462">
        <f t="shared" si="233"/>
        <v>17.345137812187716</v>
      </c>
      <c r="R224" s="462">
        <f t="shared" si="233"/>
        <v>18.212394702797109</v>
      </c>
      <c r="S224" s="462">
        <f t="shared" si="233"/>
        <v>19.123014437936956</v>
      </c>
      <c r="T224" s="462">
        <f t="shared" si="233"/>
        <v>20.079165159833806</v>
      </c>
      <c r="U224" s="462">
        <f t="shared" si="233"/>
        <v>21.083123417825504</v>
      </c>
      <c r="V224" s="462">
        <f t="shared" si="233"/>
        <v>22.137279588716773</v>
      </c>
      <c r="W224" s="462">
        <f t="shared" si="233"/>
        <v>23.244143568152616</v>
      </c>
      <c r="X224" s="462">
        <f t="shared" si="233"/>
        <v>24.40635074656025</v>
      </c>
      <c r="Y224" s="475">
        <f t="shared" si="233"/>
        <v>19.444387142832564</v>
      </c>
    </row>
    <row r="225" spans="1:25" x14ac:dyDescent="0.3">
      <c r="C225" s="258"/>
      <c r="D225" s="258"/>
      <c r="E225" s="258"/>
      <c r="F225" s="258"/>
      <c r="G225" s="258"/>
      <c r="H225" s="258"/>
      <c r="I225" s="258"/>
      <c r="J225" s="258"/>
      <c r="K225" s="258"/>
      <c r="L225" s="258"/>
      <c r="M225" s="258"/>
      <c r="N225" s="258"/>
      <c r="O225" s="258"/>
      <c r="P225" s="258"/>
      <c r="Q225" s="258"/>
      <c r="R225" s="258"/>
      <c r="S225" s="258"/>
      <c r="T225" s="258"/>
      <c r="U225" s="258"/>
      <c r="V225" s="258"/>
      <c r="W225" s="258"/>
      <c r="X225" s="258"/>
      <c r="Y225" s="258"/>
    </row>
    <row r="227" spans="1:25" x14ac:dyDescent="0.3">
      <c r="C227" s="560">
        <f>C230</f>
        <v>0</v>
      </c>
      <c r="D227" s="560">
        <f>C227+D230</f>
        <v>0</v>
      </c>
      <c r="E227" s="560">
        <f t="shared" ref="E227:S227" si="234">D227+E230</f>
        <v>0</v>
      </c>
      <c r="F227" s="560">
        <f t="shared" si="234"/>
        <v>9</v>
      </c>
      <c r="G227" s="560">
        <f t="shared" si="234"/>
        <v>21</v>
      </c>
      <c r="H227" s="560">
        <f t="shared" si="234"/>
        <v>33</v>
      </c>
      <c r="I227" s="560">
        <f t="shared" si="234"/>
        <v>45</v>
      </c>
      <c r="J227" s="560">
        <f t="shared" si="234"/>
        <v>57</v>
      </c>
      <c r="K227" s="560">
        <f t="shared" si="234"/>
        <v>69</v>
      </c>
      <c r="L227" s="560">
        <f t="shared" si="234"/>
        <v>81</v>
      </c>
      <c r="M227" s="560">
        <f t="shared" si="234"/>
        <v>93</v>
      </c>
      <c r="N227" s="560">
        <f t="shared" si="234"/>
        <v>105</v>
      </c>
      <c r="O227" s="560">
        <f t="shared" si="234"/>
        <v>117</v>
      </c>
      <c r="P227" s="560">
        <f t="shared" si="234"/>
        <v>129</v>
      </c>
      <c r="Q227" s="560">
        <f t="shared" si="234"/>
        <v>141</v>
      </c>
      <c r="R227" s="560">
        <f t="shared" si="234"/>
        <v>153</v>
      </c>
      <c r="S227" s="560">
        <f t="shared" si="234"/>
        <v>165</v>
      </c>
      <c r="T227" s="560">
        <f t="shared" ref="T227" si="235">S227+T230</f>
        <v>177</v>
      </c>
      <c r="U227" s="560">
        <f t="shared" ref="U227" si="236">T227+U230</f>
        <v>180</v>
      </c>
      <c r="V227" s="560">
        <f t="shared" ref="V227" si="237">U227+V230</f>
        <v>180</v>
      </c>
      <c r="W227" s="560"/>
    </row>
    <row r="228" spans="1:25" ht="14.4" thickBot="1" x14ac:dyDescent="0.35">
      <c r="B228" s="540" t="s">
        <v>426</v>
      </c>
      <c r="C228" s="428">
        <f>IF(C230=0,0,1)</f>
        <v>0</v>
      </c>
      <c r="D228" s="428">
        <f>IF(D230=0,0,1)</f>
        <v>0</v>
      </c>
      <c r="E228" s="428">
        <f t="shared" ref="E228:T228" si="238">D228+1</f>
        <v>1</v>
      </c>
      <c r="F228" s="428">
        <f t="shared" si="238"/>
        <v>2</v>
      </c>
      <c r="G228" s="428">
        <f t="shared" si="238"/>
        <v>3</v>
      </c>
      <c r="H228" s="428">
        <f t="shared" si="238"/>
        <v>4</v>
      </c>
      <c r="I228" s="428">
        <f t="shared" si="238"/>
        <v>5</v>
      </c>
      <c r="J228" s="428">
        <f t="shared" si="238"/>
        <v>6</v>
      </c>
      <c r="K228" s="428">
        <f t="shared" si="238"/>
        <v>7</v>
      </c>
      <c r="L228" s="428">
        <f t="shared" si="238"/>
        <v>8</v>
      </c>
      <c r="M228" s="428">
        <f t="shared" si="238"/>
        <v>9</v>
      </c>
      <c r="N228" s="428">
        <f t="shared" si="238"/>
        <v>10</v>
      </c>
      <c r="O228" s="428">
        <f t="shared" si="238"/>
        <v>11</v>
      </c>
      <c r="P228" s="428">
        <f t="shared" si="238"/>
        <v>12</v>
      </c>
      <c r="Q228" s="428">
        <f t="shared" si="238"/>
        <v>13</v>
      </c>
      <c r="R228" s="428">
        <f t="shared" si="238"/>
        <v>14</v>
      </c>
      <c r="S228" s="428">
        <f t="shared" si="238"/>
        <v>15</v>
      </c>
      <c r="T228" s="428">
        <f t="shared" si="238"/>
        <v>16</v>
      </c>
      <c r="U228" s="428">
        <f t="shared" ref="U228" si="239">T228+1</f>
        <v>17</v>
      </c>
      <c r="V228" s="430">
        <f t="shared" ref="V228" si="240">U228+1</f>
        <v>18</v>
      </c>
    </row>
    <row r="229" spans="1:25" ht="14.4" thickTop="1" x14ac:dyDescent="0.3">
      <c r="B229" s="429"/>
      <c r="C229" s="513">
        <f>C223</f>
        <v>46112</v>
      </c>
      <c r="D229" s="513">
        <f t="shared" ref="D229:S229" si="241">D223</f>
        <v>46477</v>
      </c>
      <c r="E229" s="513">
        <f t="shared" si="241"/>
        <v>46843</v>
      </c>
      <c r="F229" s="513">
        <f t="shared" si="241"/>
        <v>47208</v>
      </c>
      <c r="G229" s="513">
        <f t="shared" si="241"/>
        <v>47573</v>
      </c>
      <c r="H229" s="513">
        <f t="shared" si="241"/>
        <v>47938</v>
      </c>
      <c r="I229" s="513">
        <f t="shared" si="241"/>
        <v>48304</v>
      </c>
      <c r="J229" s="513">
        <f t="shared" si="241"/>
        <v>48669</v>
      </c>
      <c r="K229" s="513">
        <f t="shared" si="241"/>
        <v>49034</v>
      </c>
      <c r="L229" s="513">
        <f t="shared" si="241"/>
        <v>49399</v>
      </c>
      <c r="M229" s="513">
        <f t="shared" si="241"/>
        <v>49765</v>
      </c>
      <c r="N229" s="513">
        <f t="shared" si="241"/>
        <v>50130</v>
      </c>
      <c r="O229" s="513">
        <f t="shared" si="241"/>
        <v>50495</v>
      </c>
      <c r="P229" s="513">
        <f t="shared" si="241"/>
        <v>50860</v>
      </c>
      <c r="Q229" s="513">
        <f t="shared" si="241"/>
        <v>51226</v>
      </c>
      <c r="R229" s="513">
        <f t="shared" si="241"/>
        <v>51591</v>
      </c>
      <c r="S229" s="513">
        <f t="shared" si="241"/>
        <v>51956</v>
      </c>
      <c r="T229" s="513">
        <f t="shared" ref="T229:V229" si="242">T223</f>
        <v>52321</v>
      </c>
      <c r="U229" s="513">
        <f t="shared" si="242"/>
        <v>52687</v>
      </c>
      <c r="V229" s="514">
        <f t="shared" si="242"/>
        <v>53052</v>
      </c>
      <c r="W229" s="58"/>
      <c r="X229" s="58"/>
      <c r="Y229" s="58"/>
    </row>
    <row r="230" spans="1:25" x14ac:dyDescent="0.3">
      <c r="B230" s="429" t="s">
        <v>332</v>
      </c>
      <c r="C230" s="462">
        <f>IF(SUM($B230:B230)&lt;180,COUNTIF(213:213,C229),$C$80-SUM($B230:B230))</f>
        <v>0</v>
      </c>
      <c r="D230" s="428">
        <f>IF(SUM($B230:C230)&lt;180,COUNTIF(213:213,D229),$C$80-SUM($B230:C230))</f>
        <v>0</v>
      </c>
      <c r="E230" s="428">
        <f>IF(SUM($B230:D230)&lt;180,COUNTIF(213:213,E229),$C$80-SUM($B230:D230))</f>
        <v>0</v>
      </c>
      <c r="F230" s="428">
        <f>IF(SUM($B230:E230)&lt;180,COUNTIF(213:213,F229),$C$80-SUM($B230:E230))</f>
        <v>9</v>
      </c>
      <c r="G230" s="428">
        <f>IF(SUM($B230:F230)&lt;180,COUNTIF(213:213,G229),$C$80-SUM($B230:F230))</f>
        <v>12</v>
      </c>
      <c r="H230" s="428">
        <f>IF(SUM($B230:G230)&lt;180,COUNTIF(213:213,H229),$C$80-SUM($B230:G230))</f>
        <v>12</v>
      </c>
      <c r="I230" s="428">
        <f>IF(SUM($B230:H230)&lt;180,COUNTIF(213:213,I229),$C$80-SUM($B230:H230))</f>
        <v>12</v>
      </c>
      <c r="J230" s="428">
        <f>IF(SUM($B230:I230)&lt;180,COUNTIF(213:213,J229),$C$80-SUM($B230:I230))</f>
        <v>12</v>
      </c>
      <c r="K230" s="428">
        <f>IF(SUM($B230:J230)&lt;180,COUNTIF(213:213,K229),$C$80-SUM($B230:J230))</f>
        <v>12</v>
      </c>
      <c r="L230" s="428">
        <f>IF(SUM($B230:K230)&lt;180,COUNTIF(213:213,L229),$C$80-SUM($B230:K230))</f>
        <v>12</v>
      </c>
      <c r="M230" s="428">
        <f>IF(SUM($B230:L230)&lt;180,COUNTIF(213:213,M229),$C$80-SUM($B230:L230))</f>
        <v>12</v>
      </c>
      <c r="N230" s="428">
        <f>IF(SUM($B230:M230)&lt;180,COUNTIF(213:213,N229),$C$80-SUM($B230:M230))</f>
        <v>12</v>
      </c>
      <c r="O230" s="428">
        <f>IF(SUM($B230:N230)&lt;180,COUNTIF(213:213,O229),$C$80-SUM($B230:N230))</f>
        <v>12</v>
      </c>
      <c r="P230" s="428">
        <f>IF(SUM($B230:O230)&lt;180,COUNTIF(213:213,P229),$C$80-SUM($B230:O230))</f>
        <v>12</v>
      </c>
      <c r="Q230" s="428">
        <f>IF(SUM($B230:P230)&lt;180,COUNTIF(213:213,Q229),$C$80-SUM($B230:P230))</f>
        <v>12</v>
      </c>
      <c r="R230" s="428">
        <f>IF(SUM($B230:Q230)&lt;180,COUNTIF(213:213,R229),$C$80-SUM($B230:Q230))</f>
        <v>12</v>
      </c>
      <c r="S230" s="428">
        <f>IF(SUM($B230:R230)&lt;180,COUNTIF(213:213,S229),$C$80-SUM($B230:R230))</f>
        <v>12</v>
      </c>
      <c r="T230" s="428">
        <v>12</v>
      </c>
      <c r="U230" s="428">
        <v>3</v>
      </c>
      <c r="V230" s="430"/>
    </row>
    <row r="231" spans="1:25" x14ac:dyDescent="0.3">
      <c r="A231" s="555">
        <f>SUM(F231:O231)+P231*9/12</f>
        <v>0.50524999999999998</v>
      </c>
      <c r="B231" s="169" t="s">
        <v>333</v>
      </c>
      <c r="C231" s="258"/>
      <c r="D231" s="258"/>
      <c r="E231" s="545"/>
      <c r="F231" s="545">
        <v>0.01</v>
      </c>
      <c r="G231" s="545">
        <v>1.2500000000000001E-2</v>
      </c>
      <c r="H231" s="545">
        <v>1.7500000000000002E-2</v>
      </c>
      <c r="I231" s="545">
        <v>2.5999999999999999E-2</v>
      </c>
      <c r="J231" s="545">
        <v>3.4000000000000002E-2</v>
      </c>
      <c r="K231" s="545">
        <v>4.2500000000000003E-2</v>
      </c>
      <c r="L231" s="545">
        <v>5.2499999999999998E-2</v>
      </c>
      <c r="M231" s="545">
        <v>6.4000000000000001E-2</v>
      </c>
      <c r="N231" s="545">
        <v>7.7499999999999999E-2</v>
      </c>
      <c r="O231" s="545">
        <v>0.09</v>
      </c>
      <c r="P231" s="545">
        <v>0.105</v>
      </c>
      <c r="Q231" s="545">
        <v>0.1</v>
      </c>
      <c r="R231" s="545">
        <v>0.11</v>
      </c>
      <c r="S231" s="545">
        <v>0.12</v>
      </c>
      <c r="T231" s="545">
        <v>0.1</v>
      </c>
      <c r="U231" s="545">
        <f>1-SUM(F231:T231)</f>
        <v>3.850000000000009E-2</v>
      </c>
      <c r="V231" s="546"/>
      <c r="W231" s="51"/>
    </row>
    <row r="232" spans="1:25" x14ac:dyDescent="0.3">
      <c r="B232" s="169" t="s">
        <v>334</v>
      </c>
      <c r="C232" s="258">
        <f ca="1">$C205*C231</f>
        <v>0</v>
      </c>
      <c r="D232" s="258">
        <f t="shared" ref="D232" ca="1" si="243">$C205*D231</f>
        <v>0</v>
      </c>
      <c r="E232" s="52"/>
      <c r="F232" s="52">
        <f t="shared" ref="F232:U232" ca="1" si="244">$C205*F231</f>
        <v>0.95000000000000007</v>
      </c>
      <c r="G232" s="52">
        <f t="shared" ca="1" si="244"/>
        <v>1.1875</v>
      </c>
      <c r="H232" s="52">
        <f t="shared" ca="1" si="244"/>
        <v>1.6625000000000001</v>
      </c>
      <c r="I232" s="52">
        <f t="shared" ca="1" si="244"/>
        <v>2.4699999999999998</v>
      </c>
      <c r="J232" s="52">
        <f t="shared" ca="1" si="244"/>
        <v>3.2300000000000004</v>
      </c>
      <c r="K232" s="52">
        <f t="shared" ca="1" si="244"/>
        <v>4.0375000000000005</v>
      </c>
      <c r="L232" s="52">
        <f t="shared" ca="1" si="244"/>
        <v>4.9874999999999998</v>
      </c>
      <c r="M232" s="52">
        <f t="shared" ca="1" si="244"/>
        <v>6.08</v>
      </c>
      <c r="N232" s="52">
        <f t="shared" ca="1" si="244"/>
        <v>7.3624999999999998</v>
      </c>
      <c r="O232" s="52">
        <f t="shared" ca="1" si="244"/>
        <v>8.5499999999999989</v>
      </c>
      <c r="P232" s="52">
        <f t="shared" ca="1" si="244"/>
        <v>9.9749999999999996</v>
      </c>
      <c r="Q232" s="52">
        <f t="shared" ca="1" si="244"/>
        <v>9.5</v>
      </c>
      <c r="R232" s="52">
        <f t="shared" ca="1" si="244"/>
        <v>10.45</v>
      </c>
      <c r="S232" s="52">
        <f t="shared" ca="1" si="244"/>
        <v>11.4</v>
      </c>
      <c r="T232" s="52">
        <f t="shared" ca="1" si="244"/>
        <v>9.5</v>
      </c>
      <c r="U232" s="52">
        <f t="shared" ca="1" si="244"/>
        <v>3.6575000000000086</v>
      </c>
      <c r="V232" s="244">
        <f t="shared" ref="V232" ca="1" si="245">$C205*V231</f>
        <v>0</v>
      </c>
      <c r="W232" s="52"/>
    </row>
    <row r="233" spans="1:25" x14ac:dyDescent="0.3">
      <c r="B233" s="437" t="s">
        <v>335</v>
      </c>
      <c r="C233" s="474">
        <f ca="1">IFERROR(C230/C232,0)</f>
        <v>0</v>
      </c>
      <c r="D233" s="474">
        <f t="shared" ref="D233:V233" ca="1" si="246">IFERROR(D230/D232,0)</f>
        <v>0</v>
      </c>
      <c r="E233" s="474">
        <f t="shared" si="246"/>
        <v>0</v>
      </c>
      <c r="F233" s="474">
        <f t="shared" ca="1" si="246"/>
        <v>9.473684210526315</v>
      </c>
      <c r="G233" s="474">
        <f t="shared" ca="1" si="246"/>
        <v>10.105263157894736</v>
      </c>
      <c r="H233" s="474">
        <f t="shared" ca="1" si="246"/>
        <v>7.2180451127819545</v>
      </c>
      <c r="I233" s="474">
        <f t="shared" ca="1" si="246"/>
        <v>4.858299595141701</v>
      </c>
      <c r="J233" s="474">
        <f t="shared" ca="1" si="246"/>
        <v>3.7151702786377703</v>
      </c>
      <c r="K233" s="474">
        <f t="shared" ca="1" si="246"/>
        <v>2.9721362229102164</v>
      </c>
      <c r="L233" s="474">
        <f t="shared" ca="1" si="246"/>
        <v>2.4060150375939848</v>
      </c>
      <c r="M233" s="474">
        <f t="shared" ca="1" si="246"/>
        <v>1.9736842105263157</v>
      </c>
      <c r="N233" s="474">
        <f t="shared" ca="1" si="246"/>
        <v>1.6298811544991512</v>
      </c>
      <c r="O233" s="474">
        <f t="shared" ca="1" si="246"/>
        <v>1.4035087719298247</v>
      </c>
      <c r="P233" s="474">
        <f t="shared" ca="1" si="246"/>
        <v>1.2030075187969924</v>
      </c>
      <c r="Q233" s="474">
        <f t="shared" ca="1" si="246"/>
        <v>1.263157894736842</v>
      </c>
      <c r="R233" s="474">
        <f t="shared" ca="1" si="246"/>
        <v>1.1483253588516746</v>
      </c>
      <c r="S233" s="474">
        <f t="shared" ca="1" si="246"/>
        <v>1.0526315789473684</v>
      </c>
      <c r="T233" s="474">
        <f t="shared" ca="1" si="246"/>
        <v>1.263157894736842</v>
      </c>
      <c r="U233" s="474">
        <f t="shared" ca="1" si="246"/>
        <v>0.82023239917976565</v>
      </c>
      <c r="V233" s="475">
        <f t="shared" ca="1" si="246"/>
        <v>0</v>
      </c>
      <c r="W233" s="33"/>
    </row>
    <row r="236" spans="1:25" ht="14.4" thickBot="1" x14ac:dyDescent="0.35">
      <c r="B236" s="540" t="s">
        <v>340</v>
      </c>
      <c r="C236" s="471"/>
      <c r="D236" s="471"/>
      <c r="E236" s="471"/>
      <c r="F236" s="471"/>
      <c r="G236" s="471"/>
      <c r="H236" s="471"/>
      <c r="I236" s="471"/>
      <c r="J236" s="471"/>
      <c r="K236" s="471"/>
      <c r="L236" s="471"/>
      <c r="M236" s="471"/>
      <c r="N236" s="471"/>
      <c r="O236" s="471"/>
      <c r="P236" s="471"/>
      <c r="Q236" s="471"/>
      <c r="R236" s="471"/>
      <c r="S236" s="471"/>
      <c r="T236" s="471"/>
      <c r="U236" s="471"/>
      <c r="V236" s="500"/>
    </row>
    <row r="237" spans="1:25" ht="14.4" thickTop="1" x14ac:dyDescent="0.3">
      <c r="B237" s="429"/>
      <c r="C237" s="513">
        <f>C229</f>
        <v>46112</v>
      </c>
      <c r="D237" s="513">
        <f t="shared" ref="D237:S237" si="247">D229</f>
        <v>46477</v>
      </c>
      <c r="E237" s="513">
        <f t="shared" si="247"/>
        <v>46843</v>
      </c>
      <c r="F237" s="513">
        <f t="shared" si="247"/>
        <v>47208</v>
      </c>
      <c r="G237" s="513">
        <f t="shared" si="247"/>
        <v>47573</v>
      </c>
      <c r="H237" s="513">
        <f t="shared" si="247"/>
        <v>47938</v>
      </c>
      <c r="I237" s="513">
        <f t="shared" si="247"/>
        <v>48304</v>
      </c>
      <c r="J237" s="513">
        <f t="shared" si="247"/>
        <v>48669</v>
      </c>
      <c r="K237" s="513">
        <f t="shared" si="247"/>
        <v>49034</v>
      </c>
      <c r="L237" s="513">
        <f t="shared" si="247"/>
        <v>49399</v>
      </c>
      <c r="M237" s="513">
        <f t="shared" si="247"/>
        <v>49765</v>
      </c>
      <c r="N237" s="513">
        <f t="shared" si="247"/>
        <v>50130</v>
      </c>
      <c r="O237" s="513">
        <f t="shared" si="247"/>
        <v>50495</v>
      </c>
      <c r="P237" s="513">
        <f t="shared" si="247"/>
        <v>50860</v>
      </c>
      <c r="Q237" s="513">
        <f t="shared" si="247"/>
        <v>51226</v>
      </c>
      <c r="R237" s="513">
        <f t="shared" si="247"/>
        <v>51591</v>
      </c>
      <c r="S237" s="513">
        <f t="shared" si="247"/>
        <v>51956</v>
      </c>
      <c r="T237" s="513">
        <f t="shared" ref="T237:V237" si="248">T229</f>
        <v>52321</v>
      </c>
      <c r="U237" s="513">
        <f t="shared" si="248"/>
        <v>52687</v>
      </c>
      <c r="V237" s="514">
        <f t="shared" si="248"/>
        <v>53052</v>
      </c>
      <c r="W237" s="58"/>
    </row>
    <row r="238" spans="1:25" x14ac:dyDescent="0.3">
      <c r="B238" s="169" t="s">
        <v>341</v>
      </c>
      <c r="C238" s="258"/>
      <c r="D238" s="258">
        <f ca="1">C241</f>
        <v>0</v>
      </c>
      <c r="E238" s="258">
        <f t="shared" ref="E238:T238" ca="1" si="249">D241</f>
        <v>0</v>
      </c>
      <c r="F238" s="258">
        <f t="shared" ca="1" si="249"/>
        <v>0</v>
      </c>
      <c r="G238" s="258">
        <f t="shared" ca="1" si="249"/>
        <v>94.05</v>
      </c>
      <c r="H238" s="258">
        <f t="shared" ca="1" si="249"/>
        <v>92.862499999999997</v>
      </c>
      <c r="I238" s="258">
        <f t="shared" ca="1" si="249"/>
        <v>91.2</v>
      </c>
      <c r="J238" s="258">
        <f t="shared" ca="1" si="249"/>
        <v>88.73</v>
      </c>
      <c r="K238" s="258">
        <f t="shared" ca="1" si="249"/>
        <v>85.5</v>
      </c>
      <c r="L238" s="258">
        <f t="shared" ca="1" si="249"/>
        <v>81.462500000000006</v>
      </c>
      <c r="M238" s="258">
        <f t="shared" ca="1" si="249"/>
        <v>76.475000000000009</v>
      </c>
      <c r="N238" s="258">
        <f t="shared" ca="1" si="249"/>
        <v>70.39500000000001</v>
      </c>
      <c r="O238" s="258">
        <f t="shared" ca="1" si="249"/>
        <v>63.032500000000013</v>
      </c>
      <c r="P238" s="258">
        <f t="shared" ca="1" si="249"/>
        <v>54.482500000000016</v>
      </c>
      <c r="Q238" s="258">
        <f t="shared" ca="1" si="249"/>
        <v>44.507500000000014</v>
      </c>
      <c r="R238" s="258">
        <f t="shared" ca="1" si="249"/>
        <v>35.007500000000014</v>
      </c>
      <c r="S238" s="258">
        <f t="shared" ca="1" si="249"/>
        <v>24.557500000000015</v>
      </c>
      <c r="T238" s="258">
        <f t="shared" ca="1" si="249"/>
        <v>13.157500000000015</v>
      </c>
      <c r="U238" s="258">
        <f t="shared" ref="U238" ca="1" si="250">T241</f>
        <v>3.6575000000000149</v>
      </c>
      <c r="V238" s="246">
        <f t="shared" ref="V238" ca="1" si="251">U241</f>
        <v>6.2172489379008766E-15</v>
      </c>
      <c r="W238" s="33"/>
    </row>
    <row r="239" spans="1:25" x14ac:dyDescent="0.3">
      <c r="B239" s="169" t="s">
        <v>165</v>
      </c>
      <c r="C239" s="258"/>
      <c r="D239" s="258"/>
      <c r="E239" s="258"/>
      <c r="F239" s="258">
        <f ca="1">C205</f>
        <v>95</v>
      </c>
      <c r="G239" s="258"/>
      <c r="H239" s="258"/>
      <c r="I239" s="258"/>
      <c r="J239" s="258"/>
      <c r="K239" s="258"/>
      <c r="L239" s="258"/>
      <c r="M239" s="258"/>
      <c r="N239" s="258"/>
      <c r="O239" s="258"/>
      <c r="P239" s="258"/>
      <c r="Q239" s="258"/>
      <c r="R239" s="258"/>
      <c r="S239" s="258"/>
      <c r="T239" s="258"/>
      <c r="U239" s="258"/>
      <c r="V239" s="246"/>
      <c r="W239" s="33"/>
    </row>
    <row r="240" spans="1:25" x14ac:dyDescent="0.3">
      <c r="B240" s="169" t="s">
        <v>342</v>
      </c>
      <c r="C240" s="258">
        <f t="shared" ref="C240:S240" ca="1" si="252">SUMIFS(232:232,229:229,C237)</f>
        <v>0</v>
      </c>
      <c r="D240" s="258">
        <f t="shared" ca="1" si="252"/>
        <v>0</v>
      </c>
      <c r="E240" s="258">
        <f t="shared" si="252"/>
        <v>0</v>
      </c>
      <c r="F240" s="258">
        <f t="shared" ca="1" si="252"/>
        <v>0.95000000000000007</v>
      </c>
      <c r="G240" s="258">
        <f t="shared" ca="1" si="252"/>
        <v>1.1875</v>
      </c>
      <c r="H240" s="258">
        <f t="shared" ca="1" si="252"/>
        <v>1.6625000000000001</v>
      </c>
      <c r="I240" s="258">
        <f t="shared" ca="1" si="252"/>
        <v>2.4699999999999998</v>
      </c>
      <c r="J240" s="258">
        <f t="shared" ca="1" si="252"/>
        <v>3.2300000000000004</v>
      </c>
      <c r="K240" s="258">
        <f t="shared" ca="1" si="252"/>
        <v>4.0375000000000005</v>
      </c>
      <c r="L240" s="258">
        <f t="shared" ca="1" si="252"/>
        <v>4.9874999999999998</v>
      </c>
      <c r="M240" s="258">
        <f t="shared" ca="1" si="252"/>
        <v>6.08</v>
      </c>
      <c r="N240" s="258">
        <f t="shared" ca="1" si="252"/>
        <v>7.3624999999999998</v>
      </c>
      <c r="O240" s="258">
        <f t="shared" ca="1" si="252"/>
        <v>8.5499999999999989</v>
      </c>
      <c r="P240" s="258">
        <f t="shared" ca="1" si="252"/>
        <v>9.9749999999999996</v>
      </c>
      <c r="Q240" s="258">
        <f t="shared" ca="1" si="252"/>
        <v>9.5</v>
      </c>
      <c r="R240" s="258">
        <f t="shared" ca="1" si="252"/>
        <v>10.45</v>
      </c>
      <c r="S240" s="258">
        <f t="shared" ca="1" si="252"/>
        <v>11.4</v>
      </c>
      <c r="T240" s="258">
        <f t="shared" ref="T240:V240" ca="1" si="253">SUMIFS(232:232,229:229,T237)</f>
        <v>9.5</v>
      </c>
      <c r="U240" s="258">
        <f t="shared" ca="1" si="253"/>
        <v>3.6575000000000086</v>
      </c>
      <c r="V240" s="246">
        <f t="shared" ca="1" si="253"/>
        <v>0</v>
      </c>
      <c r="W240" s="33"/>
    </row>
    <row r="241" spans="2:23" x14ac:dyDescent="0.3">
      <c r="B241" s="429" t="s">
        <v>343</v>
      </c>
      <c r="C241" s="462">
        <f ca="1">C238-C240</f>
        <v>0</v>
      </c>
      <c r="D241" s="462">
        <f ca="1">D238-D240</f>
        <v>0</v>
      </c>
      <c r="E241" s="462">
        <f t="shared" ref="E241:S241" ca="1" si="254">E238-E240</f>
        <v>0</v>
      </c>
      <c r="F241" s="462">
        <f ca="1">F239-F240</f>
        <v>94.05</v>
      </c>
      <c r="G241" s="462">
        <f t="shared" ca="1" si="254"/>
        <v>92.862499999999997</v>
      </c>
      <c r="H241" s="462">
        <f t="shared" ca="1" si="254"/>
        <v>91.2</v>
      </c>
      <c r="I241" s="462">
        <f t="shared" ca="1" si="254"/>
        <v>88.73</v>
      </c>
      <c r="J241" s="462">
        <f t="shared" ca="1" si="254"/>
        <v>85.5</v>
      </c>
      <c r="K241" s="462">
        <f t="shared" ca="1" si="254"/>
        <v>81.462500000000006</v>
      </c>
      <c r="L241" s="462">
        <f t="shared" ca="1" si="254"/>
        <v>76.475000000000009</v>
      </c>
      <c r="M241" s="462">
        <f t="shared" ca="1" si="254"/>
        <v>70.39500000000001</v>
      </c>
      <c r="N241" s="462">
        <f t="shared" ca="1" si="254"/>
        <v>63.032500000000013</v>
      </c>
      <c r="O241" s="462">
        <f t="shared" ca="1" si="254"/>
        <v>54.482500000000016</v>
      </c>
      <c r="P241" s="462">
        <f t="shared" ca="1" si="254"/>
        <v>44.507500000000014</v>
      </c>
      <c r="Q241" s="462">
        <f t="shared" ca="1" si="254"/>
        <v>35.007500000000014</v>
      </c>
      <c r="R241" s="462">
        <f t="shared" ca="1" si="254"/>
        <v>24.557500000000015</v>
      </c>
      <c r="S241" s="462">
        <f t="shared" ca="1" si="254"/>
        <v>13.157500000000015</v>
      </c>
      <c r="T241" s="462">
        <f t="shared" ref="T241:V241" ca="1" si="255">T238-T240</f>
        <v>3.6575000000000149</v>
      </c>
      <c r="U241" s="462">
        <f t="shared" ca="1" si="255"/>
        <v>6.2172489379008766E-15</v>
      </c>
      <c r="V241" s="506">
        <f t="shared" ca="1" si="255"/>
        <v>6.2172489379008766E-15</v>
      </c>
      <c r="W241" s="258"/>
    </row>
    <row r="242" spans="2:23" x14ac:dyDescent="0.3">
      <c r="B242" s="436" t="s">
        <v>51</v>
      </c>
      <c r="C242" s="548">
        <f ca="1">AVERAGE(C241,C238)*$C206*C230/12</f>
        <v>0</v>
      </c>
      <c r="D242" s="548">
        <f t="shared" ref="D242:S242" ca="1" si="256">AVERAGE(D241,D238)*$C206*D230/12</f>
        <v>0</v>
      </c>
      <c r="E242" s="548">
        <f t="shared" ca="1" si="256"/>
        <v>0</v>
      </c>
      <c r="F242" s="548">
        <f t="shared" ca="1" si="256"/>
        <v>2.9978437499999999</v>
      </c>
      <c r="G242" s="548">
        <f t="shared" ca="1" si="256"/>
        <v>7.9437812500000007</v>
      </c>
      <c r="H242" s="548">
        <f t="shared" ca="1" si="256"/>
        <v>7.8226562500000005</v>
      </c>
      <c r="I242" s="548">
        <f t="shared" ca="1" si="256"/>
        <v>7.647025000000002</v>
      </c>
      <c r="J242" s="548">
        <f t="shared" ca="1" si="256"/>
        <v>7.4047750000000017</v>
      </c>
      <c r="K242" s="548">
        <f t="shared" ca="1" si="256"/>
        <v>7.0959062500000014</v>
      </c>
      <c r="L242" s="548">
        <f t="shared" ca="1" si="256"/>
        <v>6.7123437499999996</v>
      </c>
      <c r="M242" s="548">
        <f t="shared" ca="1" si="256"/>
        <v>6.2419750000000009</v>
      </c>
      <c r="N242" s="548">
        <f t="shared" ca="1" si="256"/>
        <v>5.6706687500000008</v>
      </c>
      <c r="O242" s="548">
        <f t="shared" ca="1" si="256"/>
        <v>4.994387500000002</v>
      </c>
      <c r="P242" s="548">
        <f t="shared" ca="1" si="256"/>
        <v>4.2070750000000023</v>
      </c>
      <c r="Q242" s="548">
        <f t="shared" ca="1" si="256"/>
        <v>3.3793875000000013</v>
      </c>
      <c r="R242" s="548">
        <f t="shared" ca="1" si="256"/>
        <v>2.5315125000000012</v>
      </c>
      <c r="S242" s="548">
        <f t="shared" ca="1" si="256"/>
        <v>1.6028875000000016</v>
      </c>
      <c r="T242" s="548">
        <f t="shared" ref="T242:V242" ca="1" si="257">AVERAGE(T241,T238)*$C206*T230/12</f>
        <v>0.71463750000000148</v>
      </c>
      <c r="U242" s="548">
        <f t="shared" ca="1" si="257"/>
        <v>3.8860937500000227E-2</v>
      </c>
      <c r="V242" s="549">
        <f t="shared" ca="1" si="257"/>
        <v>0</v>
      </c>
      <c r="W242" s="561"/>
    </row>
    <row r="244" spans="2:23" ht="14.4" thickBot="1" x14ac:dyDescent="0.35">
      <c r="B244" s="540" t="s">
        <v>427</v>
      </c>
      <c r="C244" s="471"/>
      <c r="D244" s="471"/>
      <c r="E244" s="471"/>
      <c r="F244" s="471"/>
      <c r="G244" s="471"/>
      <c r="H244" s="471"/>
      <c r="I244" s="471"/>
      <c r="J244" s="471"/>
      <c r="K244" s="471"/>
      <c r="L244" s="471"/>
      <c r="M244" s="471"/>
      <c r="N244" s="471"/>
      <c r="O244" s="471"/>
      <c r="P244" s="471"/>
      <c r="Q244" s="471"/>
      <c r="R244" s="471"/>
      <c r="S244" s="471"/>
      <c r="T244" s="471"/>
      <c r="U244" s="471"/>
      <c r="V244" s="500"/>
    </row>
    <row r="245" spans="2:23" ht="14.4" thickTop="1" x14ac:dyDescent="0.3">
      <c r="B245" s="429"/>
      <c r="C245" s="513">
        <f t="shared" ref="C245:V245" si="258">C237</f>
        <v>46112</v>
      </c>
      <c r="D245" s="513">
        <f t="shared" si="258"/>
        <v>46477</v>
      </c>
      <c r="E245" s="513">
        <f t="shared" si="258"/>
        <v>46843</v>
      </c>
      <c r="F245" s="513">
        <f t="shared" si="258"/>
        <v>47208</v>
      </c>
      <c r="G245" s="513">
        <f t="shared" si="258"/>
        <v>47573</v>
      </c>
      <c r="H245" s="513">
        <f t="shared" si="258"/>
        <v>47938</v>
      </c>
      <c r="I245" s="513">
        <f t="shared" si="258"/>
        <v>48304</v>
      </c>
      <c r="J245" s="513">
        <f t="shared" si="258"/>
        <v>48669</v>
      </c>
      <c r="K245" s="513">
        <f t="shared" si="258"/>
        <v>49034</v>
      </c>
      <c r="L245" s="513">
        <f t="shared" si="258"/>
        <v>49399</v>
      </c>
      <c r="M245" s="513">
        <f t="shared" si="258"/>
        <v>49765</v>
      </c>
      <c r="N245" s="513">
        <f t="shared" si="258"/>
        <v>50130</v>
      </c>
      <c r="O245" s="513">
        <f t="shared" si="258"/>
        <v>50495</v>
      </c>
      <c r="P245" s="513">
        <f t="shared" si="258"/>
        <v>50860</v>
      </c>
      <c r="Q245" s="513">
        <f t="shared" si="258"/>
        <v>51226</v>
      </c>
      <c r="R245" s="513">
        <f t="shared" si="258"/>
        <v>51591</v>
      </c>
      <c r="S245" s="513">
        <f t="shared" si="258"/>
        <v>51956</v>
      </c>
      <c r="T245" s="513">
        <f t="shared" si="258"/>
        <v>52321</v>
      </c>
      <c r="U245" s="513">
        <f t="shared" si="258"/>
        <v>52687</v>
      </c>
      <c r="V245" s="514">
        <f t="shared" si="258"/>
        <v>53052</v>
      </c>
      <c r="W245" s="58"/>
    </row>
    <row r="246" spans="2:23" x14ac:dyDescent="0.3">
      <c r="B246" s="169" t="s">
        <v>345</v>
      </c>
      <c r="C246" s="52">
        <f t="shared" ref="C246:T246" si="259">C224</f>
        <v>0</v>
      </c>
      <c r="D246" s="52">
        <f t="shared" si="259"/>
        <v>0</v>
      </c>
      <c r="E246" s="52">
        <f t="shared" si="259"/>
        <v>0</v>
      </c>
      <c r="F246" s="52">
        <f t="shared" si="259"/>
        <v>7.6976457740190378</v>
      </c>
      <c r="G246" s="52">
        <f t="shared" si="259"/>
        <v>10.648409987393004</v>
      </c>
      <c r="H246" s="52">
        <f t="shared" si="259"/>
        <v>11.180830486762655</v>
      </c>
      <c r="I246" s="52">
        <f t="shared" si="259"/>
        <v>11.739872011100788</v>
      </c>
      <c r="J246" s="52">
        <f t="shared" si="259"/>
        <v>12.326865611655828</v>
      </c>
      <c r="K246" s="52">
        <f t="shared" si="259"/>
        <v>12.943208892238616</v>
      </c>
      <c r="L246" s="52">
        <f t="shared" si="259"/>
        <v>13.590369336850546</v>
      </c>
      <c r="M246" s="52">
        <f t="shared" si="259"/>
        <v>14.269887803693075</v>
      </c>
      <c r="N246" s="52">
        <f t="shared" si="259"/>
        <v>14.983382193877732</v>
      </c>
      <c r="O246" s="52">
        <f t="shared" si="259"/>
        <v>15.732551303571622</v>
      </c>
      <c r="P246" s="52">
        <f t="shared" si="259"/>
        <v>16.519178868750203</v>
      </c>
      <c r="Q246" s="52">
        <f t="shared" si="259"/>
        <v>17.345137812187716</v>
      </c>
      <c r="R246" s="52">
        <f t="shared" si="259"/>
        <v>18.212394702797109</v>
      </c>
      <c r="S246" s="52">
        <f t="shared" si="259"/>
        <v>19.123014437936956</v>
      </c>
      <c r="T246" s="52">
        <f t="shared" si="259"/>
        <v>20.079165159833806</v>
      </c>
      <c r="U246" s="52">
        <f>U224*U230/12</f>
        <v>5.2707808544563761</v>
      </c>
      <c r="V246" s="244"/>
      <c r="W246" s="52"/>
    </row>
    <row r="247" spans="2:23" x14ac:dyDescent="0.3">
      <c r="B247" s="169" t="s">
        <v>300</v>
      </c>
      <c r="C247" s="52">
        <f t="shared" ref="C247:V247" ca="1" si="260">C242+C240</f>
        <v>0</v>
      </c>
      <c r="D247" s="52">
        <f t="shared" ca="1" si="260"/>
        <v>0</v>
      </c>
      <c r="E247" s="52">
        <f t="shared" ca="1" si="260"/>
        <v>0</v>
      </c>
      <c r="F247" s="52">
        <f t="shared" ca="1" si="260"/>
        <v>3.9478437500000001</v>
      </c>
      <c r="G247" s="52">
        <f t="shared" ca="1" si="260"/>
        <v>9.1312812500000007</v>
      </c>
      <c r="H247" s="52">
        <f t="shared" ca="1" si="260"/>
        <v>9.4851562500000011</v>
      </c>
      <c r="I247" s="52">
        <f t="shared" ca="1" si="260"/>
        <v>10.117025000000002</v>
      </c>
      <c r="J247" s="52">
        <f t="shared" ca="1" si="260"/>
        <v>10.634775000000001</v>
      </c>
      <c r="K247" s="52">
        <f t="shared" ca="1" si="260"/>
        <v>11.133406250000002</v>
      </c>
      <c r="L247" s="52">
        <f t="shared" ca="1" si="260"/>
        <v>11.699843749999999</v>
      </c>
      <c r="M247" s="52">
        <f t="shared" ca="1" si="260"/>
        <v>12.321975000000002</v>
      </c>
      <c r="N247" s="52">
        <f t="shared" ca="1" si="260"/>
        <v>13.033168750000002</v>
      </c>
      <c r="O247" s="52">
        <f t="shared" ca="1" si="260"/>
        <v>13.544387500000001</v>
      </c>
      <c r="P247" s="52">
        <f t="shared" ca="1" si="260"/>
        <v>14.182075000000001</v>
      </c>
      <c r="Q247" s="52">
        <f t="shared" ca="1" si="260"/>
        <v>12.879387500000002</v>
      </c>
      <c r="R247" s="52">
        <f t="shared" ca="1" si="260"/>
        <v>12.981512500000001</v>
      </c>
      <c r="S247" s="52">
        <f t="shared" ca="1" si="260"/>
        <v>13.002887500000002</v>
      </c>
      <c r="T247" s="52">
        <f t="shared" ca="1" si="260"/>
        <v>10.214637500000002</v>
      </c>
      <c r="U247" s="52">
        <f t="shared" ca="1" si="260"/>
        <v>3.696360937500009</v>
      </c>
      <c r="V247" s="244">
        <f t="shared" ca="1" si="260"/>
        <v>0</v>
      </c>
      <c r="W247" s="52"/>
    </row>
    <row r="248" spans="2:23" x14ac:dyDescent="0.3">
      <c r="B248" s="432" t="s">
        <v>190</v>
      </c>
      <c r="C248" s="464">
        <f ca="1">IFERROR(C246/C247,0)</f>
        <v>0</v>
      </c>
      <c r="D248" s="464">
        <f t="shared" ref="D248:V248" ca="1" si="261">IFERROR(D246/D247,0)</f>
        <v>0</v>
      </c>
      <c r="E248" s="464">
        <f t="shared" ca="1" si="261"/>
        <v>0</v>
      </c>
      <c r="F248" s="464">
        <f t="shared" ca="1" si="261"/>
        <v>1.949835470063636</v>
      </c>
      <c r="G248" s="464">
        <f t="shared" ca="1" si="261"/>
        <v>1.1661463157093099</v>
      </c>
      <c r="H248" s="464">
        <f t="shared" ca="1" si="261"/>
        <v>1.1787713551648298</v>
      </c>
      <c r="I248" s="464">
        <f t="shared" ca="1" si="261"/>
        <v>1.160407531967232</v>
      </c>
      <c r="J248" s="464">
        <f t="shared" ca="1" si="261"/>
        <v>1.1591092065093833</v>
      </c>
      <c r="K248" s="464">
        <f t="shared" ca="1" si="261"/>
        <v>1.1625560589095196</v>
      </c>
      <c r="L248" s="464">
        <f t="shared" ca="1" si="261"/>
        <v>1.1615855414180678</v>
      </c>
      <c r="M248" s="464">
        <f t="shared" ca="1" si="261"/>
        <v>1.1580844632206342</v>
      </c>
      <c r="N248" s="464">
        <f t="shared" ca="1" si="261"/>
        <v>1.1496346346223538</v>
      </c>
      <c r="O248" s="464">
        <f t="shared" ca="1" si="261"/>
        <v>1.1615550207472742</v>
      </c>
      <c r="P248" s="464">
        <f t="shared" ca="1" si="261"/>
        <v>1.1647928013883866</v>
      </c>
      <c r="Q248" s="464">
        <f t="shared" ca="1" si="261"/>
        <v>1.3467362335505251</v>
      </c>
      <c r="R248" s="464">
        <f t="shared" ca="1" si="261"/>
        <v>1.4029485934552779</v>
      </c>
      <c r="S248" s="464">
        <f t="shared" ca="1" si="261"/>
        <v>1.470674451189165</v>
      </c>
      <c r="T248" s="464">
        <f t="shared" ca="1" si="261"/>
        <v>1.9657246926123224</v>
      </c>
      <c r="U248" s="464">
        <f t="shared" ca="1" si="261"/>
        <v>1.4259378192707577</v>
      </c>
      <c r="V248" s="465">
        <f t="shared" ca="1" si="261"/>
        <v>0</v>
      </c>
      <c r="W248" s="33"/>
    </row>
    <row r="249" spans="2:23" x14ac:dyDescent="0.3">
      <c r="C249" s="33"/>
      <c r="D249" s="33"/>
      <c r="E249" s="33"/>
      <c r="F249" s="33"/>
      <c r="G249" s="33"/>
      <c r="H249" s="33"/>
      <c r="I249" s="33"/>
      <c r="J249" s="33"/>
      <c r="K249" s="33"/>
      <c r="L249" s="33"/>
      <c r="M249" s="33"/>
      <c r="N249" s="33"/>
      <c r="O249" s="33"/>
      <c r="P249" s="33"/>
      <c r="Q249" s="33"/>
      <c r="R249" s="33"/>
      <c r="S249" s="33"/>
      <c r="T249" s="33"/>
    </row>
    <row r="250" spans="2:23" x14ac:dyDescent="0.3">
      <c r="B250" s="519" t="s">
        <v>346</v>
      </c>
      <c r="C250" s="520">
        <f ca="1">MIN(F248:U248)</f>
        <v>1.1496346346223538</v>
      </c>
      <c r="D250" s="33"/>
      <c r="E250" s="33"/>
      <c r="F250" s="33"/>
      <c r="G250" s="33"/>
      <c r="H250" s="33"/>
      <c r="I250" s="33"/>
      <c r="J250" s="33"/>
      <c r="K250" s="33"/>
      <c r="L250" s="33"/>
      <c r="M250" s="33"/>
      <c r="N250" s="33"/>
      <c r="O250" s="33"/>
      <c r="P250" s="33"/>
      <c r="Q250" s="33"/>
      <c r="R250" s="33"/>
      <c r="S250" s="33"/>
      <c r="T250" s="33"/>
    </row>
    <row r="251" spans="2:23" x14ac:dyDescent="0.3">
      <c r="B251" s="299" t="s">
        <v>347</v>
      </c>
      <c r="C251" s="521">
        <f ca="1">SUM(F246:U246)/SUM(F247:U247)</f>
        <v>1.288693717902174</v>
      </c>
      <c r="D251" s="33"/>
      <c r="E251" s="33"/>
      <c r="F251" s="33"/>
      <c r="G251" s="33"/>
      <c r="H251" s="33"/>
      <c r="I251" s="33"/>
      <c r="J251" s="33"/>
      <c r="K251" s="33"/>
      <c r="L251" s="33"/>
      <c r="M251" s="33"/>
      <c r="N251" s="33"/>
      <c r="O251" s="33"/>
      <c r="P251" s="33"/>
      <c r="Q251" s="33"/>
      <c r="R251" s="33"/>
      <c r="S251" s="33"/>
      <c r="T251" s="33"/>
    </row>
    <row r="252" spans="2:23" x14ac:dyDescent="0.3">
      <c r="C252" s="33"/>
      <c r="D252" s="33"/>
      <c r="E252" s="33"/>
      <c r="F252" s="33"/>
      <c r="G252" s="33"/>
      <c r="H252" s="33"/>
      <c r="I252" s="33"/>
      <c r="J252" s="33"/>
      <c r="K252" s="33"/>
      <c r="L252" s="33"/>
      <c r="M252" s="33"/>
      <c r="N252" s="33"/>
      <c r="O252" s="33"/>
      <c r="P252" s="33"/>
      <c r="Q252" s="33"/>
      <c r="R252" s="33"/>
      <c r="S252" s="33"/>
      <c r="T252" s="33"/>
    </row>
    <row r="253" spans="2:23" ht="14.4" thickBot="1" x14ac:dyDescent="0.35">
      <c r="B253" s="540" t="s">
        <v>428</v>
      </c>
      <c r="C253" s="562"/>
      <c r="D253" s="462"/>
      <c r="E253" s="462"/>
      <c r="F253" s="462"/>
      <c r="G253" s="462"/>
      <c r="H253" s="462"/>
      <c r="I253" s="462"/>
      <c r="J253" s="462"/>
      <c r="K253" s="462"/>
      <c r="L253" s="462"/>
      <c r="M253" s="462"/>
      <c r="N253" s="462"/>
      <c r="O253" s="462"/>
      <c r="P253" s="462"/>
      <c r="Q253" s="462"/>
      <c r="R253" s="462"/>
      <c r="S253" s="462"/>
      <c r="T253" s="462"/>
      <c r="U253" s="462"/>
      <c r="V253" s="506"/>
    </row>
    <row r="254" spans="2:23" ht="14.4" thickTop="1" x14ac:dyDescent="0.3">
      <c r="B254" s="163"/>
      <c r="C254" s="563">
        <f>C245</f>
        <v>46112</v>
      </c>
      <c r="D254" s="563">
        <f t="shared" ref="D254:V254" si="262">D245</f>
        <v>46477</v>
      </c>
      <c r="E254" s="563">
        <f t="shared" si="262"/>
        <v>46843</v>
      </c>
      <c r="F254" s="563">
        <f t="shared" si="262"/>
        <v>47208</v>
      </c>
      <c r="G254" s="563">
        <f t="shared" si="262"/>
        <v>47573</v>
      </c>
      <c r="H254" s="563">
        <f t="shared" si="262"/>
        <v>47938</v>
      </c>
      <c r="I254" s="563">
        <f t="shared" si="262"/>
        <v>48304</v>
      </c>
      <c r="J254" s="563">
        <f t="shared" si="262"/>
        <v>48669</v>
      </c>
      <c r="K254" s="563">
        <f t="shared" si="262"/>
        <v>49034</v>
      </c>
      <c r="L254" s="563">
        <f t="shared" si="262"/>
        <v>49399</v>
      </c>
      <c r="M254" s="563">
        <f t="shared" si="262"/>
        <v>49765</v>
      </c>
      <c r="N254" s="563">
        <f t="shared" si="262"/>
        <v>50130</v>
      </c>
      <c r="O254" s="563">
        <f t="shared" si="262"/>
        <v>50495</v>
      </c>
      <c r="P254" s="563">
        <f t="shared" si="262"/>
        <v>50860</v>
      </c>
      <c r="Q254" s="563">
        <f t="shared" si="262"/>
        <v>51226</v>
      </c>
      <c r="R254" s="563">
        <f t="shared" si="262"/>
        <v>51591</v>
      </c>
      <c r="S254" s="563">
        <f t="shared" si="262"/>
        <v>51956</v>
      </c>
      <c r="T254" s="563">
        <f t="shared" si="262"/>
        <v>52321</v>
      </c>
      <c r="U254" s="563">
        <f t="shared" si="262"/>
        <v>52687</v>
      </c>
      <c r="V254" s="564">
        <f t="shared" si="262"/>
        <v>53052</v>
      </c>
    </row>
    <row r="255" spans="2:23" x14ac:dyDescent="0.3">
      <c r="B255" s="169" t="s">
        <v>414</v>
      </c>
      <c r="C255" s="52">
        <f t="shared" ref="C255:U255" ca="1" si="263">C246-C247</f>
        <v>0</v>
      </c>
      <c r="D255" s="52">
        <f t="shared" ca="1" si="263"/>
        <v>0</v>
      </c>
      <c r="E255" s="52">
        <f t="shared" ca="1" si="263"/>
        <v>0</v>
      </c>
      <c r="F255" s="52">
        <f t="shared" ca="1" si="263"/>
        <v>3.7498020240190377</v>
      </c>
      <c r="G255" s="52">
        <f t="shared" ca="1" si="263"/>
        <v>1.5171287373930031</v>
      </c>
      <c r="H255" s="52">
        <f t="shared" ca="1" si="263"/>
        <v>1.6956742367626543</v>
      </c>
      <c r="I255" s="52">
        <f t="shared" ca="1" si="263"/>
        <v>1.6228470111007862</v>
      </c>
      <c r="J255" s="52">
        <f t="shared" ca="1" si="263"/>
        <v>1.6920906116558267</v>
      </c>
      <c r="K255" s="52">
        <f t="shared" ca="1" si="263"/>
        <v>1.8098026422386138</v>
      </c>
      <c r="L255" s="52">
        <f t="shared" ca="1" si="263"/>
        <v>1.8905255868505471</v>
      </c>
      <c r="M255" s="52">
        <f t="shared" ca="1" si="263"/>
        <v>1.9479128036930735</v>
      </c>
      <c r="N255" s="52">
        <f t="shared" ca="1" si="263"/>
        <v>1.9502134438777308</v>
      </c>
      <c r="O255" s="52">
        <f t="shared" ca="1" si="263"/>
        <v>2.1881638035716211</v>
      </c>
      <c r="P255" s="52">
        <f t="shared" ca="1" si="263"/>
        <v>2.3371038687502015</v>
      </c>
      <c r="Q255" s="52">
        <f t="shared" ca="1" si="263"/>
        <v>4.4657503121877138</v>
      </c>
      <c r="R255" s="52">
        <f t="shared" ca="1" si="263"/>
        <v>5.2308822027971082</v>
      </c>
      <c r="S255" s="52">
        <f t="shared" ca="1" si="263"/>
        <v>6.1201269379369538</v>
      </c>
      <c r="T255" s="52">
        <f t="shared" ca="1" si="263"/>
        <v>9.8645276598338043</v>
      </c>
      <c r="U255" s="52">
        <f t="shared" ca="1" si="263"/>
        <v>1.5744199169563671</v>
      </c>
      <c r="V255" s="565"/>
    </row>
    <row r="256" spans="2:23" x14ac:dyDescent="0.3">
      <c r="B256" s="292" t="s">
        <v>415</v>
      </c>
      <c r="C256" s="550">
        <f ca="1">SUM(C255:F255,G255*9/12)</f>
        <v>4.8876485770637901</v>
      </c>
      <c r="D256" s="294"/>
      <c r="E256" s="294"/>
      <c r="F256" s="294"/>
      <c r="G256" s="294"/>
      <c r="H256" s="294"/>
      <c r="I256" s="294"/>
      <c r="J256" s="294"/>
      <c r="K256" s="294"/>
      <c r="L256" s="294"/>
      <c r="M256" s="294"/>
      <c r="N256" s="294"/>
      <c r="O256" s="294"/>
      <c r="P256" s="294"/>
      <c r="Q256" s="294"/>
      <c r="R256" s="294"/>
      <c r="S256" s="474"/>
      <c r="T256" s="474"/>
      <c r="U256" s="294"/>
      <c r="V256" s="381"/>
    </row>
    <row r="260" spans="1:6" x14ac:dyDescent="0.3">
      <c r="A260" s="524">
        <v>5</v>
      </c>
      <c r="B260" s="529" t="s">
        <v>259</v>
      </c>
      <c r="C260" s="530"/>
      <c r="E260" s="1" t="s">
        <v>403</v>
      </c>
      <c r="F260" s="45">
        <f>XNPV(C271,AP284:HN284,AP279:HN279)*95%</f>
        <v>23.666046084802559</v>
      </c>
    </row>
    <row r="261" spans="1:6" x14ac:dyDescent="0.3">
      <c r="B261" s="169" t="s">
        <v>14</v>
      </c>
      <c r="C261" s="531">
        <f>'Assumption Sheet'!C32</f>
        <v>92093.425793250004</v>
      </c>
    </row>
    <row r="262" spans="1:6" x14ac:dyDescent="0.3">
      <c r="B262" s="169" t="s">
        <v>322</v>
      </c>
      <c r="C262" s="532">
        <f>'Assumption Sheet'!Q32</f>
        <v>20.5</v>
      </c>
    </row>
    <row r="263" spans="1:6" x14ac:dyDescent="0.3">
      <c r="B263" s="169" t="s">
        <v>106</v>
      </c>
      <c r="C263" s="495">
        <f>'Assumption Sheet'!K32</f>
        <v>47209</v>
      </c>
    </row>
    <row r="264" spans="1:6" x14ac:dyDescent="0.3">
      <c r="B264" s="169" t="s">
        <v>447</v>
      </c>
      <c r="C264" s="495">
        <f>EOMONTH(C263,IF(MOD(MONTH(C263),3)=0,0,3-MOD(MONTH(C263),3)))</f>
        <v>47299</v>
      </c>
    </row>
    <row r="265" spans="1:6" x14ac:dyDescent="0.3">
      <c r="B265" s="169" t="s">
        <v>446</v>
      </c>
      <c r="C265" s="495">
        <f>DATE(IF(MONTH(C264)&gt;=4,YEAR(C264)+1,YEAR(C264)),3,31)</f>
        <v>47573</v>
      </c>
    </row>
    <row r="266" spans="1:6" x14ac:dyDescent="0.3">
      <c r="B266" s="169" t="s">
        <v>323</v>
      </c>
      <c r="C266" s="492" t="s">
        <v>324</v>
      </c>
    </row>
    <row r="267" spans="1:6" x14ac:dyDescent="0.3">
      <c r="B267" s="169" t="s">
        <v>325</v>
      </c>
      <c r="C267" s="493">
        <v>0.05</v>
      </c>
    </row>
    <row r="268" spans="1:6" x14ac:dyDescent="0.3">
      <c r="B268" s="169" t="s">
        <v>297</v>
      </c>
      <c r="C268" s="493">
        <v>0.05</v>
      </c>
    </row>
    <row r="269" spans="1:6" x14ac:dyDescent="0.3">
      <c r="B269" s="169" t="s">
        <v>298</v>
      </c>
      <c r="C269" s="493">
        <v>0.05</v>
      </c>
    </row>
    <row r="270" spans="1:6" ht="15.6" x14ac:dyDescent="0.45">
      <c r="B270" s="494" t="s">
        <v>336</v>
      </c>
      <c r="C270" s="533">
        <f ca="1">'Cost &amp; Means'!M37*0+19.5</f>
        <v>19.5</v>
      </c>
      <c r="D270" s="45"/>
      <c r="E270" s="52"/>
      <c r="F270" s="52"/>
    </row>
    <row r="271" spans="1:6" x14ac:dyDescent="0.3">
      <c r="B271" s="169" t="s">
        <v>337</v>
      </c>
      <c r="C271" s="604">
        <v>8.5000000000000006E-2</v>
      </c>
    </row>
    <row r="272" spans="1:6" x14ac:dyDescent="0.3">
      <c r="B272" s="169" t="s">
        <v>296</v>
      </c>
      <c r="C272" s="492" t="s">
        <v>338</v>
      </c>
    </row>
    <row r="273" spans="2:276" x14ac:dyDescent="0.3">
      <c r="B273" s="169" t="s">
        <v>339</v>
      </c>
      <c r="C273" s="534">
        <v>15</v>
      </c>
    </row>
    <row r="274" spans="2:276" x14ac:dyDescent="0.3">
      <c r="B274" s="437" t="s">
        <v>431</v>
      </c>
      <c r="C274" s="498">
        <f>EOMONTH(C263,C273*12)</f>
        <v>52717</v>
      </c>
    </row>
    <row r="275" spans="2:276" x14ac:dyDescent="0.3">
      <c r="C275" s="77"/>
    </row>
    <row r="276" spans="2:276" x14ac:dyDescent="0.3">
      <c r="C276" s="77"/>
    </row>
    <row r="277" spans="2:276" ht="14.4" thickBot="1" x14ac:dyDescent="0.35">
      <c r="B277" s="540" t="s">
        <v>331</v>
      </c>
      <c r="C277" s="471"/>
      <c r="D277" s="471"/>
      <c r="E277" s="471"/>
      <c r="F277" s="471"/>
      <c r="G277" s="471"/>
      <c r="H277" s="471"/>
      <c r="I277" s="471"/>
      <c r="J277" s="471"/>
      <c r="K277" s="471"/>
      <c r="L277" s="471"/>
      <c r="M277" s="471"/>
      <c r="N277" s="471"/>
      <c r="O277" s="471"/>
      <c r="P277" s="471"/>
      <c r="Q277" s="471"/>
      <c r="R277" s="471"/>
      <c r="S277" s="471"/>
      <c r="T277" s="471"/>
      <c r="U277" s="471"/>
      <c r="V277" s="471"/>
      <c r="W277" s="471"/>
      <c r="X277" s="471"/>
      <c r="Y277" s="471"/>
      <c r="Z277" s="471"/>
      <c r="AA277" s="471"/>
      <c r="AB277" s="471"/>
      <c r="AC277" s="471"/>
      <c r="AD277" s="471"/>
      <c r="AE277" s="471"/>
      <c r="AF277" s="471"/>
      <c r="AG277" s="471"/>
      <c r="AH277" s="471"/>
      <c r="AI277" s="471"/>
      <c r="AJ277" s="471"/>
      <c r="AK277" s="471"/>
      <c r="AL277" s="471"/>
      <c r="AM277" s="471"/>
      <c r="AN277" s="471"/>
      <c r="AO277" s="471"/>
      <c r="AP277" s="471"/>
      <c r="AQ277" s="471"/>
      <c r="AR277" s="471"/>
      <c r="AS277" s="471"/>
      <c r="AT277" s="471"/>
      <c r="AU277" s="471"/>
      <c r="AV277" s="471"/>
      <c r="AW277" s="471"/>
      <c r="AX277" s="471"/>
      <c r="AY277" s="471"/>
      <c r="AZ277" s="471"/>
      <c r="BA277" s="471"/>
      <c r="BB277" s="471"/>
      <c r="BC277" s="471"/>
      <c r="BD277" s="471"/>
      <c r="BE277" s="471"/>
      <c r="BF277" s="471"/>
      <c r="BG277" s="471"/>
      <c r="BH277" s="471"/>
      <c r="BI277" s="471"/>
      <c r="BJ277" s="471"/>
      <c r="BK277" s="471"/>
      <c r="BL277" s="471"/>
      <c r="BM277" s="471"/>
      <c r="BN277" s="471"/>
      <c r="BO277" s="471"/>
      <c r="BP277" s="471"/>
      <c r="BQ277" s="471"/>
      <c r="BR277" s="471"/>
      <c r="BS277" s="471"/>
      <c r="BT277" s="471"/>
      <c r="BU277" s="471"/>
      <c r="BV277" s="471"/>
      <c r="BW277" s="471"/>
      <c r="BX277" s="471"/>
      <c r="BY277" s="471"/>
      <c r="BZ277" s="471"/>
      <c r="CA277" s="471"/>
      <c r="CB277" s="471"/>
      <c r="CC277" s="471"/>
      <c r="CD277" s="471"/>
      <c r="CE277" s="471"/>
      <c r="CF277" s="471"/>
      <c r="CG277" s="471"/>
      <c r="CH277" s="471"/>
      <c r="CI277" s="471"/>
      <c r="CJ277" s="471"/>
      <c r="CK277" s="471"/>
      <c r="CL277" s="471"/>
      <c r="CM277" s="471"/>
      <c r="CN277" s="471"/>
      <c r="CO277" s="471"/>
      <c r="CP277" s="471"/>
      <c r="CQ277" s="471"/>
      <c r="CR277" s="471"/>
      <c r="CS277" s="471"/>
      <c r="CT277" s="471"/>
      <c r="CU277" s="471"/>
      <c r="CV277" s="471"/>
      <c r="CW277" s="471"/>
      <c r="CX277" s="471"/>
      <c r="CY277" s="471"/>
      <c r="CZ277" s="471"/>
      <c r="DA277" s="471"/>
      <c r="DB277" s="471"/>
      <c r="DC277" s="471"/>
      <c r="DD277" s="471"/>
      <c r="DE277" s="471"/>
      <c r="DF277" s="471"/>
      <c r="DG277" s="471"/>
      <c r="DH277" s="471"/>
      <c r="DI277" s="471"/>
      <c r="DJ277" s="471"/>
      <c r="DK277" s="471"/>
      <c r="DL277" s="471"/>
      <c r="DM277" s="471"/>
      <c r="DN277" s="471"/>
      <c r="DO277" s="471"/>
      <c r="DP277" s="471"/>
      <c r="DQ277" s="471"/>
      <c r="DR277" s="471"/>
      <c r="DS277" s="471"/>
      <c r="DT277" s="471"/>
      <c r="DU277" s="471"/>
      <c r="DV277" s="471"/>
      <c r="DW277" s="471"/>
      <c r="DX277" s="471"/>
      <c r="DY277" s="471"/>
      <c r="DZ277" s="471"/>
      <c r="EA277" s="471"/>
      <c r="EB277" s="471"/>
      <c r="EC277" s="471"/>
      <c r="ED277" s="471"/>
      <c r="EE277" s="471"/>
      <c r="EF277" s="471"/>
      <c r="EG277" s="471"/>
      <c r="EH277" s="471"/>
      <c r="EI277" s="471"/>
      <c r="EJ277" s="471"/>
      <c r="EK277" s="471"/>
      <c r="EL277" s="471"/>
      <c r="EM277" s="471"/>
      <c r="EN277" s="471"/>
      <c r="EO277" s="471"/>
      <c r="EP277" s="471"/>
      <c r="EQ277" s="471"/>
      <c r="ER277" s="471"/>
      <c r="ES277" s="471"/>
      <c r="ET277" s="471"/>
      <c r="EU277" s="471"/>
      <c r="EV277" s="471"/>
      <c r="EW277" s="471"/>
      <c r="EX277" s="471"/>
      <c r="EY277" s="471"/>
      <c r="EZ277" s="471"/>
      <c r="FA277" s="471"/>
      <c r="FB277" s="471"/>
      <c r="FC277" s="471"/>
      <c r="FD277" s="471"/>
      <c r="FE277" s="471"/>
      <c r="FF277" s="471"/>
      <c r="FG277" s="471"/>
      <c r="FH277" s="471"/>
      <c r="FI277" s="471"/>
      <c r="FJ277" s="471"/>
      <c r="FK277" s="471"/>
      <c r="FL277" s="471"/>
      <c r="FM277" s="471"/>
      <c r="FN277" s="471"/>
      <c r="FO277" s="471"/>
      <c r="FP277" s="471"/>
      <c r="FQ277" s="471"/>
      <c r="FR277" s="471"/>
      <c r="FS277" s="471"/>
      <c r="FT277" s="471"/>
      <c r="FU277" s="471"/>
      <c r="FV277" s="471"/>
      <c r="FW277" s="471"/>
      <c r="FX277" s="471"/>
      <c r="FY277" s="471"/>
      <c r="FZ277" s="471"/>
      <c r="GA277" s="471"/>
      <c r="GB277" s="471"/>
      <c r="GC277" s="471"/>
      <c r="GD277" s="471"/>
      <c r="GE277" s="471"/>
      <c r="GF277" s="471"/>
      <c r="GG277" s="471"/>
      <c r="GH277" s="471"/>
      <c r="GI277" s="471"/>
      <c r="GJ277" s="471"/>
      <c r="GK277" s="471"/>
      <c r="GL277" s="471"/>
      <c r="GM277" s="471"/>
      <c r="GN277" s="471"/>
      <c r="GO277" s="471"/>
      <c r="GP277" s="471"/>
      <c r="GQ277" s="471"/>
      <c r="GR277" s="471"/>
      <c r="GS277" s="471"/>
      <c r="GT277" s="471"/>
      <c r="GU277" s="471"/>
      <c r="GV277" s="471"/>
      <c r="GW277" s="471"/>
      <c r="GX277" s="471"/>
      <c r="GY277" s="471"/>
      <c r="GZ277" s="471"/>
      <c r="HA277" s="471"/>
      <c r="HB277" s="471"/>
      <c r="HC277" s="471"/>
      <c r="HD277" s="471"/>
      <c r="HE277" s="471"/>
      <c r="HF277" s="471"/>
      <c r="HG277" s="471"/>
      <c r="HH277" s="471"/>
      <c r="HI277" s="471"/>
      <c r="HJ277" s="471"/>
      <c r="HK277" s="471"/>
      <c r="HL277" s="471"/>
      <c r="HM277" s="471"/>
      <c r="HN277" s="471"/>
      <c r="HO277" s="471"/>
      <c r="HP277" s="471"/>
      <c r="HQ277" s="471"/>
      <c r="HR277" s="471"/>
      <c r="HS277" s="471"/>
      <c r="HT277" s="471"/>
      <c r="HU277" s="471"/>
      <c r="HV277" s="471"/>
      <c r="HW277" s="471"/>
      <c r="HX277" s="471"/>
      <c r="HY277" s="471"/>
      <c r="HZ277" s="471"/>
      <c r="IA277" s="471"/>
      <c r="IB277" s="471"/>
      <c r="IC277" s="471"/>
      <c r="ID277" s="471"/>
      <c r="IE277" s="471"/>
      <c r="IF277" s="471"/>
      <c r="IG277" s="471"/>
      <c r="IH277" s="471"/>
      <c r="II277" s="471"/>
      <c r="IJ277" s="471"/>
      <c r="IK277" s="471"/>
      <c r="IL277" s="471"/>
      <c r="IM277" s="471"/>
      <c r="IN277" s="471"/>
      <c r="IO277" s="471"/>
      <c r="IP277" s="471"/>
      <c r="IQ277" s="471"/>
      <c r="IR277" s="471"/>
      <c r="IS277" s="471"/>
      <c r="IT277" s="471"/>
      <c r="IU277" s="471"/>
      <c r="IV277" s="471"/>
      <c r="IW277" s="471"/>
      <c r="IX277" s="471"/>
      <c r="IY277" s="471"/>
      <c r="IZ277" s="471"/>
      <c r="JA277" s="471"/>
      <c r="JB277" s="471"/>
      <c r="JC277" s="471"/>
      <c r="JD277" s="471"/>
      <c r="JE277" s="471"/>
      <c r="JF277" s="471"/>
      <c r="JG277" s="471"/>
      <c r="JH277" s="471"/>
      <c r="JI277" s="471"/>
      <c r="JJ277" s="551"/>
    </row>
    <row r="278" spans="2:276" ht="14.4" thickTop="1" x14ac:dyDescent="0.3">
      <c r="B278" s="169" t="s">
        <v>330</v>
      </c>
      <c r="C278" s="501">
        <f>IF(C281&gt;0,IF(MONTH(C279)&gt;3,DATE(YEAR(C279)+1,3,31),DATE(YEAR(C279),3,31)),0)</f>
        <v>0</v>
      </c>
      <c r="D278" s="501">
        <f t="shared" ref="D278:BO278" si="264">IF(D281&gt;0,IF(MONTH(D279)&gt;3,DATE(YEAR(D279)+1,3,31),DATE(YEAR(D279),3,31)),0)</f>
        <v>0</v>
      </c>
      <c r="E278" s="501">
        <f t="shared" si="264"/>
        <v>0</v>
      </c>
      <c r="F278" s="501">
        <f t="shared" si="264"/>
        <v>0</v>
      </c>
      <c r="G278" s="501">
        <f t="shared" si="264"/>
        <v>0</v>
      </c>
      <c r="H278" s="501">
        <f t="shared" si="264"/>
        <v>0</v>
      </c>
      <c r="I278" s="501">
        <f t="shared" si="264"/>
        <v>0</v>
      </c>
      <c r="J278" s="501">
        <f t="shared" si="264"/>
        <v>0</v>
      </c>
      <c r="K278" s="501">
        <f t="shared" si="264"/>
        <v>0</v>
      </c>
      <c r="L278" s="501">
        <f t="shared" si="264"/>
        <v>0</v>
      </c>
      <c r="M278" s="501">
        <f t="shared" si="264"/>
        <v>0</v>
      </c>
      <c r="N278" s="501">
        <f t="shared" si="264"/>
        <v>0</v>
      </c>
      <c r="O278" s="501">
        <f t="shared" si="264"/>
        <v>0</v>
      </c>
      <c r="P278" s="501">
        <f t="shared" si="264"/>
        <v>0</v>
      </c>
      <c r="Q278" s="501">
        <f t="shared" si="264"/>
        <v>0</v>
      </c>
      <c r="R278" s="501">
        <f t="shared" si="264"/>
        <v>0</v>
      </c>
      <c r="S278" s="501">
        <f t="shared" si="264"/>
        <v>0</v>
      </c>
      <c r="T278" s="501">
        <f t="shared" si="264"/>
        <v>0</v>
      </c>
      <c r="U278" s="501">
        <f t="shared" si="264"/>
        <v>0</v>
      </c>
      <c r="V278" s="501">
        <f t="shared" si="264"/>
        <v>0</v>
      </c>
      <c r="W278" s="501">
        <f t="shared" si="264"/>
        <v>0</v>
      </c>
      <c r="X278" s="501">
        <f t="shared" si="264"/>
        <v>0</v>
      </c>
      <c r="Y278" s="501">
        <f t="shared" si="264"/>
        <v>0</v>
      </c>
      <c r="Z278" s="501">
        <f t="shared" si="264"/>
        <v>0</v>
      </c>
      <c r="AA278" s="501">
        <f t="shared" si="264"/>
        <v>0</v>
      </c>
      <c r="AB278" s="501">
        <f t="shared" si="264"/>
        <v>0</v>
      </c>
      <c r="AC278" s="501">
        <f t="shared" si="264"/>
        <v>0</v>
      </c>
      <c r="AD278" s="501">
        <f t="shared" si="264"/>
        <v>0</v>
      </c>
      <c r="AE278" s="501">
        <f t="shared" si="264"/>
        <v>0</v>
      </c>
      <c r="AF278" s="501">
        <f t="shared" si="264"/>
        <v>0</v>
      </c>
      <c r="AG278" s="501">
        <f t="shared" si="264"/>
        <v>0</v>
      </c>
      <c r="AH278" s="501">
        <f t="shared" si="264"/>
        <v>0</v>
      </c>
      <c r="AI278" s="501">
        <f t="shared" si="264"/>
        <v>0</v>
      </c>
      <c r="AJ278" s="501">
        <f t="shared" si="264"/>
        <v>0</v>
      </c>
      <c r="AK278" s="501">
        <f t="shared" si="264"/>
        <v>0</v>
      </c>
      <c r="AL278" s="501">
        <f t="shared" si="264"/>
        <v>0</v>
      </c>
      <c r="AM278" s="501">
        <f t="shared" si="264"/>
        <v>0</v>
      </c>
      <c r="AN278" s="501">
        <f t="shared" si="264"/>
        <v>0</v>
      </c>
      <c r="AO278" s="501">
        <f t="shared" si="264"/>
        <v>0</v>
      </c>
      <c r="AP278" s="501">
        <f t="shared" si="264"/>
        <v>47573</v>
      </c>
      <c r="AQ278" s="501">
        <f t="shared" si="264"/>
        <v>47573</v>
      </c>
      <c r="AR278" s="501">
        <f t="shared" si="264"/>
        <v>47573</v>
      </c>
      <c r="AS278" s="501">
        <f t="shared" si="264"/>
        <v>47573</v>
      </c>
      <c r="AT278" s="501">
        <f t="shared" si="264"/>
        <v>47573</v>
      </c>
      <c r="AU278" s="501">
        <f t="shared" si="264"/>
        <v>47573</v>
      </c>
      <c r="AV278" s="501">
        <f t="shared" si="264"/>
        <v>47573</v>
      </c>
      <c r="AW278" s="501">
        <f t="shared" si="264"/>
        <v>47573</v>
      </c>
      <c r="AX278" s="501">
        <f t="shared" si="264"/>
        <v>47573</v>
      </c>
      <c r="AY278" s="501">
        <f t="shared" si="264"/>
        <v>47573</v>
      </c>
      <c r="AZ278" s="501">
        <f t="shared" si="264"/>
        <v>47573</v>
      </c>
      <c r="BA278" s="501">
        <f t="shared" si="264"/>
        <v>47573</v>
      </c>
      <c r="BB278" s="501">
        <f t="shared" si="264"/>
        <v>47938</v>
      </c>
      <c r="BC278" s="501">
        <f t="shared" si="264"/>
        <v>47938</v>
      </c>
      <c r="BD278" s="501">
        <f t="shared" si="264"/>
        <v>47938</v>
      </c>
      <c r="BE278" s="501">
        <f t="shared" si="264"/>
        <v>47938</v>
      </c>
      <c r="BF278" s="501">
        <f t="shared" si="264"/>
        <v>47938</v>
      </c>
      <c r="BG278" s="501">
        <f t="shared" si="264"/>
        <v>47938</v>
      </c>
      <c r="BH278" s="501">
        <f t="shared" si="264"/>
        <v>47938</v>
      </c>
      <c r="BI278" s="501">
        <f t="shared" si="264"/>
        <v>47938</v>
      </c>
      <c r="BJ278" s="501">
        <f t="shared" si="264"/>
        <v>47938</v>
      </c>
      <c r="BK278" s="501">
        <f t="shared" si="264"/>
        <v>47938</v>
      </c>
      <c r="BL278" s="501">
        <f t="shared" si="264"/>
        <v>47938</v>
      </c>
      <c r="BM278" s="501">
        <f t="shared" si="264"/>
        <v>47938</v>
      </c>
      <c r="BN278" s="501">
        <f t="shared" si="264"/>
        <v>48304</v>
      </c>
      <c r="BO278" s="501">
        <f t="shared" si="264"/>
        <v>48304</v>
      </c>
      <c r="BP278" s="501">
        <f t="shared" ref="BP278:EA278" si="265">IF(BP281&gt;0,IF(MONTH(BP279)&gt;3,DATE(YEAR(BP279)+1,3,31),DATE(YEAR(BP279),3,31)),0)</f>
        <v>48304</v>
      </c>
      <c r="BQ278" s="501">
        <f t="shared" si="265"/>
        <v>48304</v>
      </c>
      <c r="BR278" s="501">
        <f t="shared" si="265"/>
        <v>48304</v>
      </c>
      <c r="BS278" s="501">
        <f t="shared" si="265"/>
        <v>48304</v>
      </c>
      <c r="BT278" s="501">
        <f t="shared" si="265"/>
        <v>48304</v>
      </c>
      <c r="BU278" s="501">
        <f t="shared" si="265"/>
        <v>48304</v>
      </c>
      <c r="BV278" s="501">
        <f t="shared" si="265"/>
        <v>48304</v>
      </c>
      <c r="BW278" s="501">
        <f t="shared" si="265"/>
        <v>48304</v>
      </c>
      <c r="BX278" s="501">
        <f t="shared" si="265"/>
        <v>48304</v>
      </c>
      <c r="BY278" s="501">
        <f t="shared" si="265"/>
        <v>48304</v>
      </c>
      <c r="BZ278" s="501">
        <f t="shared" si="265"/>
        <v>48669</v>
      </c>
      <c r="CA278" s="501">
        <f t="shared" si="265"/>
        <v>48669</v>
      </c>
      <c r="CB278" s="501">
        <f t="shared" si="265"/>
        <v>48669</v>
      </c>
      <c r="CC278" s="501">
        <f t="shared" si="265"/>
        <v>48669</v>
      </c>
      <c r="CD278" s="501">
        <f t="shared" si="265"/>
        <v>48669</v>
      </c>
      <c r="CE278" s="501">
        <f t="shared" si="265"/>
        <v>48669</v>
      </c>
      <c r="CF278" s="501">
        <f t="shared" si="265"/>
        <v>48669</v>
      </c>
      <c r="CG278" s="501">
        <f t="shared" si="265"/>
        <v>48669</v>
      </c>
      <c r="CH278" s="501">
        <f t="shared" si="265"/>
        <v>48669</v>
      </c>
      <c r="CI278" s="501">
        <f t="shared" si="265"/>
        <v>48669</v>
      </c>
      <c r="CJ278" s="501">
        <f t="shared" si="265"/>
        <v>48669</v>
      </c>
      <c r="CK278" s="501">
        <f t="shared" si="265"/>
        <v>48669</v>
      </c>
      <c r="CL278" s="501">
        <f t="shared" si="265"/>
        <v>49034</v>
      </c>
      <c r="CM278" s="501">
        <f t="shared" si="265"/>
        <v>49034</v>
      </c>
      <c r="CN278" s="501">
        <f t="shared" si="265"/>
        <v>49034</v>
      </c>
      <c r="CO278" s="501">
        <f t="shared" si="265"/>
        <v>49034</v>
      </c>
      <c r="CP278" s="501">
        <f t="shared" si="265"/>
        <v>49034</v>
      </c>
      <c r="CQ278" s="501">
        <f t="shared" si="265"/>
        <v>49034</v>
      </c>
      <c r="CR278" s="501">
        <f t="shared" si="265"/>
        <v>49034</v>
      </c>
      <c r="CS278" s="501">
        <f t="shared" si="265"/>
        <v>49034</v>
      </c>
      <c r="CT278" s="501">
        <f t="shared" si="265"/>
        <v>49034</v>
      </c>
      <c r="CU278" s="501">
        <f t="shared" si="265"/>
        <v>49034</v>
      </c>
      <c r="CV278" s="501">
        <f t="shared" si="265"/>
        <v>49034</v>
      </c>
      <c r="CW278" s="501">
        <f t="shared" si="265"/>
        <v>49034</v>
      </c>
      <c r="CX278" s="501">
        <f t="shared" si="265"/>
        <v>49399</v>
      </c>
      <c r="CY278" s="501">
        <f t="shared" si="265"/>
        <v>49399</v>
      </c>
      <c r="CZ278" s="501">
        <f t="shared" si="265"/>
        <v>49399</v>
      </c>
      <c r="DA278" s="501">
        <f t="shared" si="265"/>
        <v>49399</v>
      </c>
      <c r="DB278" s="501">
        <f t="shared" si="265"/>
        <v>49399</v>
      </c>
      <c r="DC278" s="501">
        <f t="shared" si="265"/>
        <v>49399</v>
      </c>
      <c r="DD278" s="501">
        <f t="shared" si="265"/>
        <v>49399</v>
      </c>
      <c r="DE278" s="501">
        <f t="shared" si="265"/>
        <v>49399</v>
      </c>
      <c r="DF278" s="501">
        <f t="shared" si="265"/>
        <v>49399</v>
      </c>
      <c r="DG278" s="501">
        <f t="shared" si="265"/>
        <v>49399</v>
      </c>
      <c r="DH278" s="501">
        <f t="shared" si="265"/>
        <v>49399</v>
      </c>
      <c r="DI278" s="501">
        <f t="shared" si="265"/>
        <v>49399</v>
      </c>
      <c r="DJ278" s="501">
        <f t="shared" si="265"/>
        <v>49765</v>
      </c>
      <c r="DK278" s="501">
        <f t="shared" si="265"/>
        <v>49765</v>
      </c>
      <c r="DL278" s="501">
        <f t="shared" si="265"/>
        <v>49765</v>
      </c>
      <c r="DM278" s="501">
        <f t="shared" si="265"/>
        <v>49765</v>
      </c>
      <c r="DN278" s="501">
        <f t="shared" si="265"/>
        <v>49765</v>
      </c>
      <c r="DO278" s="501">
        <f t="shared" si="265"/>
        <v>49765</v>
      </c>
      <c r="DP278" s="501">
        <f t="shared" si="265"/>
        <v>49765</v>
      </c>
      <c r="DQ278" s="501">
        <f t="shared" si="265"/>
        <v>49765</v>
      </c>
      <c r="DR278" s="501">
        <f t="shared" si="265"/>
        <v>49765</v>
      </c>
      <c r="DS278" s="501">
        <f t="shared" si="265"/>
        <v>49765</v>
      </c>
      <c r="DT278" s="501">
        <f t="shared" si="265"/>
        <v>49765</v>
      </c>
      <c r="DU278" s="501">
        <f t="shared" si="265"/>
        <v>49765</v>
      </c>
      <c r="DV278" s="501">
        <f t="shared" si="265"/>
        <v>50130</v>
      </c>
      <c r="DW278" s="501">
        <f t="shared" si="265"/>
        <v>50130</v>
      </c>
      <c r="DX278" s="501">
        <f t="shared" si="265"/>
        <v>50130</v>
      </c>
      <c r="DY278" s="501">
        <f t="shared" si="265"/>
        <v>50130</v>
      </c>
      <c r="DZ278" s="501">
        <f t="shared" si="265"/>
        <v>50130</v>
      </c>
      <c r="EA278" s="501">
        <f t="shared" si="265"/>
        <v>50130</v>
      </c>
      <c r="EB278" s="501">
        <f t="shared" ref="EB278:GM278" si="266">IF(EB281&gt;0,IF(MONTH(EB279)&gt;3,DATE(YEAR(EB279)+1,3,31),DATE(YEAR(EB279),3,31)),0)</f>
        <v>50130</v>
      </c>
      <c r="EC278" s="501">
        <f t="shared" si="266"/>
        <v>50130</v>
      </c>
      <c r="ED278" s="501">
        <f t="shared" si="266"/>
        <v>50130</v>
      </c>
      <c r="EE278" s="501">
        <f t="shared" si="266"/>
        <v>50130</v>
      </c>
      <c r="EF278" s="501">
        <f t="shared" si="266"/>
        <v>50130</v>
      </c>
      <c r="EG278" s="501">
        <f t="shared" si="266"/>
        <v>50130</v>
      </c>
      <c r="EH278" s="501">
        <f t="shared" si="266"/>
        <v>50495</v>
      </c>
      <c r="EI278" s="501">
        <f t="shared" si="266"/>
        <v>50495</v>
      </c>
      <c r="EJ278" s="501">
        <f t="shared" si="266"/>
        <v>50495</v>
      </c>
      <c r="EK278" s="501">
        <f t="shared" si="266"/>
        <v>50495</v>
      </c>
      <c r="EL278" s="501">
        <f t="shared" si="266"/>
        <v>50495</v>
      </c>
      <c r="EM278" s="501">
        <f t="shared" si="266"/>
        <v>50495</v>
      </c>
      <c r="EN278" s="501">
        <f t="shared" si="266"/>
        <v>50495</v>
      </c>
      <c r="EO278" s="501">
        <f t="shared" si="266"/>
        <v>50495</v>
      </c>
      <c r="EP278" s="501">
        <f t="shared" si="266"/>
        <v>50495</v>
      </c>
      <c r="EQ278" s="501">
        <f t="shared" si="266"/>
        <v>50495</v>
      </c>
      <c r="ER278" s="501">
        <f t="shared" si="266"/>
        <v>50495</v>
      </c>
      <c r="ES278" s="501">
        <f t="shared" si="266"/>
        <v>50495</v>
      </c>
      <c r="ET278" s="501">
        <f t="shared" si="266"/>
        <v>50860</v>
      </c>
      <c r="EU278" s="501">
        <f t="shared" si="266"/>
        <v>50860</v>
      </c>
      <c r="EV278" s="501">
        <f t="shared" si="266"/>
        <v>50860</v>
      </c>
      <c r="EW278" s="501">
        <f t="shared" si="266"/>
        <v>50860</v>
      </c>
      <c r="EX278" s="501">
        <f t="shared" si="266"/>
        <v>50860</v>
      </c>
      <c r="EY278" s="501">
        <f t="shared" si="266"/>
        <v>50860</v>
      </c>
      <c r="EZ278" s="501">
        <f t="shared" si="266"/>
        <v>50860</v>
      </c>
      <c r="FA278" s="501">
        <f t="shared" si="266"/>
        <v>50860</v>
      </c>
      <c r="FB278" s="501">
        <f t="shared" si="266"/>
        <v>50860</v>
      </c>
      <c r="FC278" s="501">
        <f t="shared" si="266"/>
        <v>50860</v>
      </c>
      <c r="FD278" s="501">
        <f t="shared" si="266"/>
        <v>50860</v>
      </c>
      <c r="FE278" s="501">
        <f t="shared" si="266"/>
        <v>50860</v>
      </c>
      <c r="FF278" s="501">
        <f t="shared" si="266"/>
        <v>51226</v>
      </c>
      <c r="FG278" s="501">
        <f t="shared" si="266"/>
        <v>51226</v>
      </c>
      <c r="FH278" s="501">
        <f t="shared" si="266"/>
        <v>51226</v>
      </c>
      <c r="FI278" s="501">
        <f t="shared" si="266"/>
        <v>51226</v>
      </c>
      <c r="FJ278" s="501">
        <f t="shared" si="266"/>
        <v>51226</v>
      </c>
      <c r="FK278" s="501">
        <f t="shared" si="266"/>
        <v>51226</v>
      </c>
      <c r="FL278" s="501">
        <f t="shared" si="266"/>
        <v>51226</v>
      </c>
      <c r="FM278" s="501">
        <f t="shared" si="266"/>
        <v>51226</v>
      </c>
      <c r="FN278" s="501">
        <f t="shared" si="266"/>
        <v>51226</v>
      </c>
      <c r="FO278" s="501">
        <f t="shared" si="266"/>
        <v>51226</v>
      </c>
      <c r="FP278" s="501">
        <f t="shared" si="266"/>
        <v>51226</v>
      </c>
      <c r="FQ278" s="501">
        <f t="shared" si="266"/>
        <v>51226</v>
      </c>
      <c r="FR278" s="501">
        <f t="shared" si="266"/>
        <v>51591</v>
      </c>
      <c r="FS278" s="501">
        <f t="shared" si="266"/>
        <v>51591</v>
      </c>
      <c r="FT278" s="501">
        <f t="shared" si="266"/>
        <v>51591</v>
      </c>
      <c r="FU278" s="501">
        <f t="shared" si="266"/>
        <v>51591</v>
      </c>
      <c r="FV278" s="501">
        <f t="shared" si="266"/>
        <v>51591</v>
      </c>
      <c r="FW278" s="501">
        <f t="shared" si="266"/>
        <v>51591</v>
      </c>
      <c r="FX278" s="501">
        <f t="shared" si="266"/>
        <v>51591</v>
      </c>
      <c r="FY278" s="501">
        <f t="shared" si="266"/>
        <v>51591</v>
      </c>
      <c r="FZ278" s="501">
        <f t="shared" si="266"/>
        <v>51591</v>
      </c>
      <c r="GA278" s="501">
        <f t="shared" si="266"/>
        <v>51591</v>
      </c>
      <c r="GB278" s="501">
        <f t="shared" si="266"/>
        <v>51591</v>
      </c>
      <c r="GC278" s="501">
        <f t="shared" si="266"/>
        <v>51591</v>
      </c>
      <c r="GD278" s="501">
        <f t="shared" si="266"/>
        <v>51956</v>
      </c>
      <c r="GE278" s="501">
        <f t="shared" si="266"/>
        <v>51956</v>
      </c>
      <c r="GF278" s="501">
        <f t="shared" si="266"/>
        <v>51956</v>
      </c>
      <c r="GG278" s="501">
        <f t="shared" si="266"/>
        <v>51956</v>
      </c>
      <c r="GH278" s="501">
        <f t="shared" si="266"/>
        <v>51956</v>
      </c>
      <c r="GI278" s="501">
        <f t="shared" si="266"/>
        <v>51956</v>
      </c>
      <c r="GJ278" s="501">
        <f t="shared" si="266"/>
        <v>51956</v>
      </c>
      <c r="GK278" s="501">
        <f t="shared" si="266"/>
        <v>51956</v>
      </c>
      <c r="GL278" s="501">
        <f t="shared" si="266"/>
        <v>51956</v>
      </c>
      <c r="GM278" s="501">
        <f t="shared" si="266"/>
        <v>51956</v>
      </c>
      <c r="GN278" s="501">
        <f t="shared" ref="GN278:IY278" si="267">IF(GN281&gt;0,IF(MONTH(GN279)&gt;3,DATE(YEAR(GN279)+1,3,31),DATE(YEAR(GN279),3,31)),0)</f>
        <v>51956</v>
      </c>
      <c r="GO278" s="501">
        <f t="shared" si="267"/>
        <v>51956</v>
      </c>
      <c r="GP278" s="501">
        <f t="shared" si="267"/>
        <v>52321</v>
      </c>
      <c r="GQ278" s="501">
        <f t="shared" si="267"/>
        <v>52321</v>
      </c>
      <c r="GR278" s="501">
        <f t="shared" si="267"/>
        <v>52321</v>
      </c>
      <c r="GS278" s="501">
        <f t="shared" si="267"/>
        <v>52321</v>
      </c>
      <c r="GT278" s="501">
        <f t="shared" si="267"/>
        <v>52321</v>
      </c>
      <c r="GU278" s="501">
        <f t="shared" si="267"/>
        <v>52321</v>
      </c>
      <c r="GV278" s="501">
        <f t="shared" si="267"/>
        <v>52321</v>
      </c>
      <c r="GW278" s="501">
        <f t="shared" si="267"/>
        <v>52321</v>
      </c>
      <c r="GX278" s="501">
        <f t="shared" si="267"/>
        <v>52321</v>
      </c>
      <c r="GY278" s="501">
        <f t="shared" si="267"/>
        <v>52321</v>
      </c>
      <c r="GZ278" s="501">
        <f t="shared" si="267"/>
        <v>52321</v>
      </c>
      <c r="HA278" s="501">
        <f t="shared" si="267"/>
        <v>52321</v>
      </c>
      <c r="HB278" s="501">
        <f t="shared" si="267"/>
        <v>52687</v>
      </c>
      <c r="HC278" s="501">
        <f t="shared" si="267"/>
        <v>52687</v>
      </c>
      <c r="HD278" s="501">
        <f t="shared" si="267"/>
        <v>52687</v>
      </c>
      <c r="HE278" s="501">
        <f t="shared" si="267"/>
        <v>52687</v>
      </c>
      <c r="HF278" s="501">
        <f t="shared" si="267"/>
        <v>52687</v>
      </c>
      <c r="HG278" s="501">
        <f t="shared" si="267"/>
        <v>52687</v>
      </c>
      <c r="HH278" s="501">
        <f t="shared" si="267"/>
        <v>52687</v>
      </c>
      <c r="HI278" s="501">
        <f t="shared" si="267"/>
        <v>52687</v>
      </c>
      <c r="HJ278" s="501">
        <f t="shared" si="267"/>
        <v>52687</v>
      </c>
      <c r="HK278" s="501">
        <f t="shared" si="267"/>
        <v>52687</v>
      </c>
      <c r="HL278" s="501">
        <f t="shared" si="267"/>
        <v>52687</v>
      </c>
      <c r="HM278" s="501">
        <f t="shared" si="267"/>
        <v>52687</v>
      </c>
      <c r="HN278" s="501">
        <f t="shared" si="267"/>
        <v>53052</v>
      </c>
      <c r="HO278" s="501">
        <f t="shared" si="267"/>
        <v>53052</v>
      </c>
      <c r="HP278" s="501">
        <f t="shared" si="267"/>
        <v>53052</v>
      </c>
      <c r="HQ278" s="501">
        <f t="shared" si="267"/>
        <v>53052</v>
      </c>
      <c r="HR278" s="501">
        <f t="shared" si="267"/>
        <v>53052</v>
      </c>
      <c r="HS278" s="501">
        <f t="shared" si="267"/>
        <v>53052</v>
      </c>
      <c r="HT278" s="501">
        <f t="shared" si="267"/>
        <v>53052</v>
      </c>
      <c r="HU278" s="501">
        <f t="shared" si="267"/>
        <v>53052</v>
      </c>
      <c r="HV278" s="501">
        <f t="shared" si="267"/>
        <v>53052</v>
      </c>
      <c r="HW278" s="501">
        <f t="shared" si="267"/>
        <v>53052</v>
      </c>
      <c r="HX278" s="501">
        <f t="shared" si="267"/>
        <v>53052</v>
      </c>
      <c r="HY278" s="501">
        <f t="shared" si="267"/>
        <v>53052</v>
      </c>
      <c r="HZ278" s="501">
        <f t="shared" si="267"/>
        <v>53417</v>
      </c>
      <c r="IA278" s="501">
        <f t="shared" si="267"/>
        <v>53417</v>
      </c>
      <c r="IB278" s="501">
        <f t="shared" si="267"/>
        <v>53417</v>
      </c>
      <c r="IC278" s="501">
        <f t="shared" si="267"/>
        <v>53417</v>
      </c>
      <c r="ID278" s="501">
        <f t="shared" si="267"/>
        <v>53417</v>
      </c>
      <c r="IE278" s="501">
        <f t="shared" si="267"/>
        <v>53417</v>
      </c>
      <c r="IF278" s="501">
        <f t="shared" si="267"/>
        <v>53417</v>
      </c>
      <c r="IG278" s="501">
        <f t="shared" si="267"/>
        <v>53417</v>
      </c>
      <c r="IH278" s="501">
        <f t="shared" si="267"/>
        <v>53417</v>
      </c>
      <c r="II278" s="501">
        <f t="shared" si="267"/>
        <v>53417</v>
      </c>
      <c r="IJ278" s="501">
        <f t="shared" si="267"/>
        <v>53417</v>
      </c>
      <c r="IK278" s="501">
        <f t="shared" si="267"/>
        <v>53417</v>
      </c>
      <c r="IL278" s="501">
        <f t="shared" si="267"/>
        <v>53782</v>
      </c>
      <c r="IM278" s="501">
        <f t="shared" si="267"/>
        <v>53782</v>
      </c>
      <c r="IN278" s="501">
        <f t="shared" si="267"/>
        <v>53782</v>
      </c>
      <c r="IO278" s="501">
        <f t="shared" si="267"/>
        <v>53782</v>
      </c>
      <c r="IP278" s="501">
        <f t="shared" si="267"/>
        <v>53782</v>
      </c>
      <c r="IQ278" s="501">
        <f t="shared" si="267"/>
        <v>53782</v>
      </c>
      <c r="IR278" s="501">
        <f t="shared" si="267"/>
        <v>53782</v>
      </c>
      <c r="IS278" s="501">
        <f t="shared" si="267"/>
        <v>53782</v>
      </c>
      <c r="IT278" s="501">
        <f t="shared" si="267"/>
        <v>53782</v>
      </c>
      <c r="IU278" s="501">
        <f t="shared" si="267"/>
        <v>53782</v>
      </c>
      <c r="IV278" s="501">
        <f t="shared" si="267"/>
        <v>53782</v>
      </c>
      <c r="IW278" s="501">
        <f t="shared" si="267"/>
        <v>53782</v>
      </c>
      <c r="IX278" s="501">
        <f t="shared" si="267"/>
        <v>54148</v>
      </c>
      <c r="IY278" s="501">
        <f t="shared" si="267"/>
        <v>54148</v>
      </c>
      <c r="IZ278" s="501">
        <f t="shared" ref="IZ278:JI278" si="268">IF(IZ281&gt;0,IF(MONTH(IZ279)&gt;3,DATE(YEAR(IZ279)+1,3,31),DATE(YEAR(IZ279),3,31)),0)</f>
        <v>54148</v>
      </c>
      <c r="JA278" s="501">
        <f t="shared" si="268"/>
        <v>54148</v>
      </c>
      <c r="JB278" s="501">
        <f t="shared" si="268"/>
        <v>54148</v>
      </c>
      <c r="JC278" s="501">
        <f t="shared" si="268"/>
        <v>54148</v>
      </c>
      <c r="JD278" s="501">
        <f t="shared" si="268"/>
        <v>54148</v>
      </c>
      <c r="JE278" s="501">
        <f t="shared" si="268"/>
        <v>54148</v>
      </c>
      <c r="JF278" s="501">
        <f t="shared" si="268"/>
        <v>54148</v>
      </c>
      <c r="JG278" s="501">
        <f t="shared" si="268"/>
        <v>54148</v>
      </c>
      <c r="JH278" s="501">
        <f t="shared" si="268"/>
        <v>54148</v>
      </c>
      <c r="JI278" s="501">
        <f t="shared" si="268"/>
        <v>54148</v>
      </c>
      <c r="JJ278" s="553"/>
      <c r="JK278" s="501"/>
      <c r="JL278" s="501"/>
      <c r="JM278" s="501"/>
      <c r="JN278" s="501"/>
      <c r="JO278" s="501"/>
    </row>
    <row r="279" spans="2:276" x14ac:dyDescent="0.3">
      <c r="B279" s="169" t="s">
        <v>329</v>
      </c>
      <c r="C279" s="501">
        <f>C214</f>
        <v>46053</v>
      </c>
      <c r="D279" s="501">
        <f>EOMONTH(C279,1)</f>
        <v>46081</v>
      </c>
      <c r="E279" s="501">
        <f t="shared" ref="E279:BP280" si="269">EOMONTH(D279,1)</f>
        <v>46112</v>
      </c>
      <c r="F279" s="501">
        <f t="shared" si="269"/>
        <v>46142</v>
      </c>
      <c r="G279" s="501">
        <f t="shared" si="269"/>
        <v>46173</v>
      </c>
      <c r="H279" s="501">
        <f t="shared" si="269"/>
        <v>46203</v>
      </c>
      <c r="I279" s="501">
        <f t="shared" si="269"/>
        <v>46234</v>
      </c>
      <c r="J279" s="501">
        <f t="shared" si="269"/>
        <v>46265</v>
      </c>
      <c r="K279" s="501">
        <f t="shared" si="269"/>
        <v>46295</v>
      </c>
      <c r="L279" s="501">
        <f t="shared" si="269"/>
        <v>46326</v>
      </c>
      <c r="M279" s="501">
        <f t="shared" si="269"/>
        <v>46356</v>
      </c>
      <c r="N279" s="501">
        <f t="shared" si="269"/>
        <v>46387</v>
      </c>
      <c r="O279" s="501">
        <f t="shared" si="269"/>
        <v>46418</v>
      </c>
      <c r="P279" s="501">
        <f t="shared" si="269"/>
        <v>46446</v>
      </c>
      <c r="Q279" s="501">
        <f t="shared" si="269"/>
        <v>46477</v>
      </c>
      <c r="R279" s="501">
        <f t="shared" si="269"/>
        <v>46507</v>
      </c>
      <c r="S279" s="501">
        <f t="shared" si="269"/>
        <v>46538</v>
      </c>
      <c r="T279" s="501">
        <f t="shared" si="269"/>
        <v>46568</v>
      </c>
      <c r="U279" s="501">
        <f t="shared" si="269"/>
        <v>46599</v>
      </c>
      <c r="V279" s="501">
        <f t="shared" si="269"/>
        <v>46630</v>
      </c>
      <c r="W279" s="501">
        <f t="shared" si="269"/>
        <v>46660</v>
      </c>
      <c r="X279" s="501">
        <f t="shared" si="269"/>
        <v>46691</v>
      </c>
      <c r="Y279" s="501">
        <f t="shared" si="269"/>
        <v>46721</v>
      </c>
      <c r="Z279" s="501">
        <f t="shared" si="269"/>
        <v>46752</v>
      </c>
      <c r="AA279" s="501">
        <f t="shared" si="269"/>
        <v>46783</v>
      </c>
      <c r="AB279" s="501">
        <f t="shared" si="269"/>
        <v>46812</v>
      </c>
      <c r="AC279" s="501">
        <f t="shared" si="269"/>
        <v>46843</v>
      </c>
      <c r="AD279" s="501">
        <f t="shared" si="269"/>
        <v>46873</v>
      </c>
      <c r="AE279" s="501">
        <f t="shared" si="269"/>
        <v>46904</v>
      </c>
      <c r="AF279" s="501">
        <f t="shared" si="269"/>
        <v>46934</v>
      </c>
      <c r="AG279" s="501">
        <f t="shared" si="269"/>
        <v>46965</v>
      </c>
      <c r="AH279" s="501">
        <f t="shared" si="269"/>
        <v>46996</v>
      </c>
      <c r="AI279" s="501">
        <f t="shared" si="269"/>
        <v>47026</v>
      </c>
      <c r="AJ279" s="501">
        <f t="shared" si="269"/>
        <v>47057</v>
      </c>
      <c r="AK279" s="501">
        <f t="shared" si="269"/>
        <v>47087</v>
      </c>
      <c r="AL279" s="501">
        <f t="shared" si="269"/>
        <v>47118</v>
      </c>
      <c r="AM279" s="501">
        <f t="shared" si="269"/>
        <v>47149</v>
      </c>
      <c r="AN279" s="501">
        <f t="shared" si="269"/>
        <v>47177</v>
      </c>
      <c r="AO279" s="501">
        <f t="shared" si="269"/>
        <v>47208</v>
      </c>
      <c r="AP279" s="501">
        <f t="shared" si="269"/>
        <v>47238</v>
      </c>
      <c r="AQ279" s="501">
        <f t="shared" si="269"/>
        <v>47269</v>
      </c>
      <c r="AR279" s="501">
        <f t="shared" si="269"/>
        <v>47299</v>
      </c>
      <c r="AS279" s="501">
        <f t="shared" si="269"/>
        <v>47330</v>
      </c>
      <c r="AT279" s="501">
        <f t="shared" si="269"/>
        <v>47361</v>
      </c>
      <c r="AU279" s="501">
        <f t="shared" si="269"/>
        <v>47391</v>
      </c>
      <c r="AV279" s="501">
        <f t="shared" si="269"/>
        <v>47422</v>
      </c>
      <c r="AW279" s="501">
        <f t="shared" si="269"/>
        <v>47452</v>
      </c>
      <c r="AX279" s="501">
        <f t="shared" si="269"/>
        <v>47483</v>
      </c>
      <c r="AY279" s="501">
        <f t="shared" si="269"/>
        <v>47514</v>
      </c>
      <c r="AZ279" s="501">
        <f t="shared" si="269"/>
        <v>47542</v>
      </c>
      <c r="BA279" s="501">
        <f t="shared" si="269"/>
        <v>47573</v>
      </c>
      <c r="BB279" s="501">
        <f t="shared" si="269"/>
        <v>47603</v>
      </c>
      <c r="BC279" s="501">
        <f t="shared" si="269"/>
        <v>47634</v>
      </c>
      <c r="BD279" s="501">
        <f t="shared" si="269"/>
        <v>47664</v>
      </c>
      <c r="BE279" s="501">
        <f t="shared" si="269"/>
        <v>47695</v>
      </c>
      <c r="BF279" s="501">
        <f t="shared" si="269"/>
        <v>47726</v>
      </c>
      <c r="BG279" s="501">
        <f t="shared" si="269"/>
        <v>47756</v>
      </c>
      <c r="BH279" s="501">
        <f t="shared" si="269"/>
        <v>47787</v>
      </c>
      <c r="BI279" s="501">
        <f t="shared" si="269"/>
        <v>47817</v>
      </c>
      <c r="BJ279" s="501">
        <f t="shared" si="269"/>
        <v>47848</v>
      </c>
      <c r="BK279" s="501">
        <f t="shared" si="269"/>
        <v>47879</v>
      </c>
      <c r="BL279" s="501">
        <f t="shared" si="269"/>
        <v>47907</v>
      </c>
      <c r="BM279" s="501">
        <f t="shared" si="269"/>
        <v>47938</v>
      </c>
      <c r="BN279" s="501">
        <f t="shared" si="269"/>
        <v>47968</v>
      </c>
      <c r="BO279" s="501">
        <f t="shared" si="269"/>
        <v>47999</v>
      </c>
      <c r="BP279" s="501">
        <f t="shared" si="269"/>
        <v>48029</v>
      </c>
      <c r="BQ279" s="501">
        <f t="shared" ref="BQ279:EB280" si="270">EOMONTH(BP279,1)</f>
        <v>48060</v>
      </c>
      <c r="BR279" s="501">
        <f t="shared" si="270"/>
        <v>48091</v>
      </c>
      <c r="BS279" s="501">
        <f t="shared" si="270"/>
        <v>48121</v>
      </c>
      <c r="BT279" s="501">
        <f t="shared" si="270"/>
        <v>48152</v>
      </c>
      <c r="BU279" s="501">
        <f t="shared" si="270"/>
        <v>48182</v>
      </c>
      <c r="BV279" s="501">
        <f t="shared" si="270"/>
        <v>48213</v>
      </c>
      <c r="BW279" s="501">
        <f t="shared" si="270"/>
        <v>48244</v>
      </c>
      <c r="BX279" s="501">
        <f t="shared" si="270"/>
        <v>48273</v>
      </c>
      <c r="BY279" s="501">
        <f t="shared" si="270"/>
        <v>48304</v>
      </c>
      <c r="BZ279" s="501">
        <f t="shared" si="270"/>
        <v>48334</v>
      </c>
      <c r="CA279" s="501">
        <f t="shared" si="270"/>
        <v>48365</v>
      </c>
      <c r="CB279" s="501">
        <f t="shared" si="270"/>
        <v>48395</v>
      </c>
      <c r="CC279" s="501">
        <f t="shared" si="270"/>
        <v>48426</v>
      </c>
      <c r="CD279" s="501">
        <f t="shared" si="270"/>
        <v>48457</v>
      </c>
      <c r="CE279" s="501">
        <f t="shared" si="270"/>
        <v>48487</v>
      </c>
      <c r="CF279" s="501">
        <f t="shared" si="270"/>
        <v>48518</v>
      </c>
      <c r="CG279" s="501">
        <f t="shared" si="270"/>
        <v>48548</v>
      </c>
      <c r="CH279" s="501">
        <f t="shared" si="270"/>
        <v>48579</v>
      </c>
      <c r="CI279" s="501">
        <f t="shared" si="270"/>
        <v>48610</v>
      </c>
      <c r="CJ279" s="501">
        <f t="shared" si="270"/>
        <v>48638</v>
      </c>
      <c r="CK279" s="501">
        <f t="shared" si="270"/>
        <v>48669</v>
      </c>
      <c r="CL279" s="501">
        <f t="shared" si="270"/>
        <v>48699</v>
      </c>
      <c r="CM279" s="501">
        <f t="shared" si="270"/>
        <v>48730</v>
      </c>
      <c r="CN279" s="501">
        <f t="shared" si="270"/>
        <v>48760</v>
      </c>
      <c r="CO279" s="501">
        <f t="shared" si="270"/>
        <v>48791</v>
      </c>
      <c r="CP279" s="501">
        <f t="shared" si="270"/>
        <v>48822</v>
      </c>
      <c r="CQ279" s="501">
        <f t="shared" si="270"/>
        <v>48852</v>
      </c>
      <c r="CR279" s="501">
        <f t="shared" si="270"/>
        <v>48883</v>
      </c>
      <c r="CS279" s="501">
        <f t="shared" si="270"/>
        <v>48913</v>
      </c>
      <c r="CT279" s="501">
        <f t="shared" si="270"/>
        <v>48944</v>
      </c>
      <c r="CU279" s="501">
        <f t="shared" si="270"/>
        <v>48975</v>
      </c>
      <c r="CV279" s="501">
        <f t="shared" si="270"/>
        <v>49003</v>
      </c>
      <c r="CW279" s="501">
        <f t="shared" si="270"/>
        <v>49034</v>
      </c>
      <c r="CX279" s="501">
        <f t="shared" si="270"/>
        <v>49064</v>
      </c>
      <c r="CY279" s="501">
        <f t="shared" si="270"/>
        <v>49095</v>
      </c>
      <c r="CZ279" s="501">
        <f t="shared" si="270"/>
        <v>49125</v>
      </c>
      <c r="DA279" s="501">
        <f t="shared" si="270"/>
        <v>49156</v>
      </c>
      <c r="DB279" s="501">
        <f t="shared" si="270"/>
        <v>49187</v>
      </c>
      <c r="DC279" s="501">
        <f t="shared" si="270"/>
        <v>49217</v>
      </c>
      <c r="DD279" s="501">
        <f t="shared" si="270"/>
        <v>49248</v>
      </c>
      <c r="DE279" s="501">
        <f t="shared" si="270"/>
        <v>49278</v>
      </c>
      <c r="DF279" s="501">
        <f t="shared" si="270"/>
        <v>49309</v>
      </c>
      <c r="DG279" s="501">
        <f t="shared" si="270"/>
        <v>49340</v>
      </c>
      <c r="DH279" s="501">
        <f t="shared" si="270"/>
        <v>49368</v>
      </c>
      <c r="DI279" s="501">
        <f t="shared" si="270"/>
        <v>49399</v>
      </c>
      <c r="DJ279" s="501">
        <f t="shared" si="270"/>
        <v>49429</v>
      </c>
      <c r="DK279" s="501">
        <f t="shared" si="270"/>
        <v>49460</v>
      </c>
      <c r="DL279" s="501">
        <f t="shared" si="270"/>
        <v>49490</v>
      </c>
      <c r="DM279" s="501">
        <f t="shared" si="270"/>
        <v>49521</v>
      </c>
      <c r="DN279" s="501">
        <f t="shared" si="270"/>
        <v>49552</v>
      </c>
      <c r="DO279" s="501">
        <f t="shared" si="270"/>
        <v>49582</v>
      </c>
      <c r="DP279" s="501">
        <f t="shared" si="270"/>
        <v>49613</v>
      </c>
      <c r="DQ279" s="501">
        <f t="shared" si="270"/>
        <v>49643</v>
      </c>
      <c r="DR279" s="501">
        <f t="shared" si="270"/>
        <v>49674</v>
      </c>
      <c r="DS279" s="501">
        <f t="shared" si="270"/>
        <v>49705</v>
      </c>
      <c r="DT279" s="501">
        <f t="shared" si="270"/>
        <v>49734</v>
      </c>
      <c r="DU279" s="501">
        <f t="shared" si="270"/>
        <v>49765</v>
      </c>
      <c r="DV279" s="501">
        <f t="shared" si="270"/>
        <v>49795</v>
      </c>
      <c r="DW279" s="501">
        <f t="shared" si="270"/>
        <v>49826</v>
      </c>
      <c r="DX279" s="501">
        <f t="shared" si="270"/>
        <v>49856</v>
      </c>
      <c r="DY279" s="501">
        <f t="shared" si="270"/>
        <v>49887</v>
      </c>
      <c r="DZ279" s="501">
        <f t="shared" si="270"/>
        <v>49918</v>
      </c>
      <c r="EA279" s="501">
        <f t="shared" si="270"/>
        <v>49948</v>
      </c>
      <c r="EB279" s="501">
        <f t="shared" si="270"/>
        <v>49979</v>
      </c>
      <c r="EC279" s="501">
        <f t="shared" ref="EC279:GN280" si="271">EOMONTH(EB279,1)</f>
        <v>50009</v>
      </c>
      <c r="ED279" s="501">
        <f t="shared" si="271"/>
        <v>50040</v>
      </c>
      <c r="EE279" s="501">
        <f t="shared" si="271"/>
        <v>50071</v>
      </c>
      <c r="EF279" s="501">
        <f t="shared" si="271"/>
        <v>50099</v>
      </c>
      <c r="EG279" s="501">
        <f t="shared" si="271"/>
        <v>50130</v>
      </c>
      <c r="EH279" s="501">
        <f t="shared" si="271"/>
        <v>50160</v>
      </c>
      <c r="EI279" s="501">
        <f t="shared" si="271"/>
        <v>50191</v>
      </c>
      <c r="EJ279" s="501">
        <f t="shared" si="271"/>
        <v>50221</v>
      </c>
      <c r="EK279" s="501">
        <f t="shared" si="271"/>
        <v>50252</v>
      </c>
      <c r="EL279" s="501">
        <f t="shared" si="271"/>
        <v>50283</v>
      </c>
      <c r="EM279" s="501">
        <f t="shared" si="271"/>
        <v>50313</v>
      </c>
      <c r="EN279" s="501">
        <f t="shared" si="271"/>
        <v>50344</v>
      </c>
      <c r="EO279" s="501">
        <f t="shared" si="271"/>
        <v>50374</v>
      </c>
      <c r="EP279" s="501">
        <f t="shared" si="271"/>
        <v>50405</v>
      </c>
      <c r="EQ279" s="501">
        <f t="shared" si="271"/>
        <v>50436</v>
      </c>
      <c r="ER279" s="501">
        <f t="shared" si="271"/>
        <v>50464</v>
      </c>
      <c r="ES279" s="501">
        <f t="shared" si="271"/>
        <v>50495</v>
      </c>
      <c r="ET279" s="501">
        <f t="shared" si="271"/>
        <v>50525</v>
      </c>
      <c r="EU279" s="501">
        <f t="shared" si="271"/>
        <v>50556</v>
      </c>
      <c r="EV279" s="501">
        <f t="shared" si="271"/>
        <v>50586</v>
      </c>
      <c r="EW279" s="501">
        <f t="shared" si="271"/>
        <v>50617</v>
      </c>
      <c r="EX279" s="501">
        <f t="shared" si="271"/>
        <v>50648</v>
      </c>
      <c r="EY279" s="501">
        <f t="shared" si="271"/>
        <v>50678</v>
      </c>
      <c r="EZ279" s="501">
        <f t="shared" si="271"/>
        <v>50709</v>
      </c>
      <c r="FA279" s="501">
        <f t="shared" si="271"/>
        <v>50739</v>
      </c>
      <c r="FB279" s="501">
        <f t="shared" si="271"/>
        <v>50770</v>
      </c>
      <c r="FC279" s="501">
        <f t="shared" si="271"/>
        <v>50801</v>
      </c>
      <c r="FD279" s="501">
        <f t="shared" si="271"/>
        <v>50829</v>
      </c>
      <c r="FE279" s="501">
        <f t="shared" si="271"/>
        <v>50860</v>
      </c>
      <c r="FF279" s="501">
        <f t="shared" si="271"/>
        <v>50890</v>
      </c>
      <c r="FG279" s="501">
        <f t="shared" si="271"/>
        <v>50921</v>
      </c>
      <c r="FH279" s="501">
        <f t="shared" si="271"/>
        <v>50951</v>
      </c>
      <c r="FI279" s="501">
        <f t="shared" si="271"/>
        <v>50982</v>
      </c>
      <c r="FJ279" s="501">
        <f t="shared" si="271"/>
        <v>51013</v>
      </c>
      <c r="FK279" s="501">
        <f t="shared" si="271"/>
        <v>51043</v>
      </c>
      <c r="FL279" s="501">
        <f t="shared" si="271"/>
        <v>51074</v>
      </c>
      <c r="FM279" s="501">
        <f t="shared" si="271"/>
        <v>51104</v>
      </c>
      <c r="FN279" s="501">
        <f t="shared" si="271"/>
        <v>51135</v>
      </c>
      <c r="FO279" s="501">
        <f t="shared" si="271"/>
        <v>51166</v>
      </c>
      <c r="FP279" s="501">
        <f t="shared" si="271"/>
        <v>51195</v>
      </c>
      <c r="FQ279" s="501">
        <f t="shared" si="271"/>
        <v>51226</v>
      </c>
      <c r="FR279" s="501">
        <f t="shared" si="271"/>
        <v>51256</v>
      </c>
      <c r="FS279" s="501">
        <f t="shared" si="271"/>
        <v>51287</v>
      </c>
      <c r="FT279" s="501">
        <f t="shared" si="271"/>
        <v>51317</v>
      </c>
      <c r="FU279" s="501">
        <f t="shared" si="271"/>
        <v>51348</v>
      </c>
      <c r="FV279" s="501">
        <f t="shared" si="271"/>
        <v>51379</v>
      </c>
      <c r="FW279" s="501">
        <f t="shared" si="271"/>
        <v>51409</v>
      </c>
      <c r="FX279" s="501">
        <f t="shared" si="271"/>
        <v>51440</v>
      </c>
      <c r="FY279" s="501">
        <f t="shared" si="271"/>
        <v>51470</v>
      </c>
      <c r="FZ279" s="501">
        <f t="shared" si="271"/>
        <v>51501</v>
      </c>
      <c r="GA279" s="501">
        <f t="shared" si="271"/>
        <v>51532</v>
      </c>
      <c r="GB279" s="501">
        <f t="shared" si="271"/>
        <v>51560</v>
      </c>
      <c r="GC279" s="501">
        <f t="shared" si="271"/>
        <v>51591</v>
      </c>
      <c r="GD279" s="501">
        <f t="shared" si="271"/>
        <v>51621</v>
      </c>
      <c r="GE279" s="501">
        <f t="shared" si="271"/>
        <v>51652</v>
      </c>
      <c r="GF279" s="501">
        <f t="shared" si="271"/>
        <v>51682</v>
      </c>
      <c r="GG279" s="501">
        <f t="shared" si="271"/>
        <v>51713</v>
      </c>
      <c r="GH279" s="501">
        <f t="shared" si="271"/>
        <v>51744</v>
      </c>
      <c r="GI279" s="501">
        <f t="shared" si="271"/>
        <v>51774</v>
      </c>
      <c r="GJ279" s="501">
        <f t="shared" si="271"/>
        <v>51805</v>
      </c>
      <c r="GK279" s="501">
        <f t="shared" si="271"/>
        <v>51835</v>
      </c>
      <c r="GL279" s="501">
        <f t="shared" si="271"/>
        <v>51866</v>
      </c>
      <c r="GM279" s="501">
        <f t="shared" si="271"/>
        <v>51897</v>
      </c>
      <c r="GN279" s="501">
        <f t="shared" si="271"/>
        <v>51925</v>
      </c>
      <c r="GO279" s="501">
        <f t="shared" ref="GO279:IZ280" si="272">EOMONTH(GN279,1)</f>
        <v>51956</v>
      </c>
      <c r="GP279" s="501">
        <f t="shared" si="272"/>
        <v>51986</v>
      </c>
      <c r="GQ279" s="501">
        <f t="shared" si="272"/>
        <v>52017</v>
      </c>
      <c r="GR279" s="501">
        <f t="shared" si="272"/>
        <v>52047</v>
      </c>
      <c r="GS279" s="501">
        <f t="shared" si="272"/>
        <v>52078</v>
      </c>
      <c r="GT279" s="501">
        <f t="shared" si="272"/>
        <v>52109</v>
      </c>
      <c r="GU279" s="501">
        <f t="shared" si="272"/>
        <v>52139</v>
      </c>
      <c r="GV279" s="501">
        <f t="shared" si="272"/>
        <v>52170</v>
      </c>
      <c r="GW279" s="501">
        <f t="shared" si="272"/>
        <v>52200</v>
      </c>
      <c r="GX279" s="501">
        <f t="shared" si="272"/>
        <v>52231</v>
      </c>
      <c r="GY279" s="501">
        <f t="shared" si="272"/>
        <v>52262</v>
      </c>
      <c r="GZ279" s="501">
        <f t="shared" si="272"/>
        <v>52290</v>
      </c>
      <c r="HA279" s="501">
        <f t="shared" si="272"/>
        <v>52321</v>
      </c>
      <c r="HB279" s="501">
        <f t="shared" si="272"/>
        <v>52351</v>
      </c>
      <c r="HC279" s="501">
        <f t="shared" si="272"/>
        <v>52382</v>
      </c>
      <c r="HD279" s="501">
        <f t="shared" si="272"/>
        <v>52412</v>
      </c>
      <c r="HE279" s="501">
        <f t="shared" si="272"/>
        <v>52443</v>
      </c>
      <c r="HF279" s="501">
        <f t="shared" si="272"/>
        <v>52474</v>
      </c>
      <c r="HG279" s="501">
        <f t="shared" si="272"/>
        <v>52504</v>
      </c>
      <c r="HH279" s="501">
        <f t="shared" si="272"/>
        <v>52535</v>
      </c>
      <c r="HI279" s="501">
        <f t="shared" si="272"/>
        <v>52565</v>
      </c>
      <c r="HJ279" s="501">
        <f t="shared" si="272"/>
        <v>52596</v>
      </c>
      <c r="HK279" s="501">
        <f t="shared" si="272"/>
        <v>52627</v>
      </c>
      <c r="HL279" s="501">
        <f t="shared" si="272"/>
        <v>52656</v>
      </c>
      <c r="HM279" s="501">
        <f t="shared" si="272"/>
        <v>52687</v>
      </c>
      <c r="HN279" s="501">
        <f t="shared" si="272"/>
        <v>52717</v>
      </c>
      <c r="HO279" s="501">
        <f t="shared" si="272"/>
        <v>52748</v>
      </c>
      <c r="HP279" s="501">
        <f t="shared" si="272"/>
        <v>52778</v>
      </c>
      <c r="HQ279" s="501">
        <f t="shared" si="272"/>
        <v>52809</v>
      </c>
      <c r="HR279" s="501">
        <f t="shared" si="272"/>
        <v>52840</v>
      </c>
      <c r="HS279" s="501">
        <f t="shared" si="272"/>
        <v>52870</v>
      </c>
      <c r="HT279" s="501">
        <f t="shared" si="272"/>
        <v>52901</v>
      </c>
      <c r="HU279" s="501">
        <f t="shared" si="272"/>
        <v>52931</v>
      </c>
      <c r="HV279" s="501">
        <f t="shared" si="272"/>
        <v>52962</v>
      </c>
      <c r="HW279" s="501">
        <f t="shared" si="272"/>
        <v>52993</v>
      </c>
      <c r="HX279" s="501">
        <f t="shared" si="272"/>
        <v>53021</v>
      </c>
      <c r="HY279" s="501">
        <f t="shared" si="272"/>
        <v>53052</v>
      </c>
      <c r="HZ279" s="501">
        <f t="shared" si="272"/>
        <v>53082</v>
      </c>
      <c r="IA279" s="501">
        <f t="shared" si="272"/>
        <v>53113</v>
      </c>
      <c r="IB279" s="501">
        <f t="shared" si="272"/>
        <v>53143</v>
      </c>
      <c r="IC279" s="501">
        <f t="shared" si="272"/>
        <v>53174</v>
      </c>
      <c r="ID279" s="501">
        <f t="shared" si="272"/>
        <v>53205</v>
      </c>
      <c r="IE279" s="501">
        <f t="shared" si="272"/>
        <v>53235</v>
      </c>
      <c r="IF279" s="501">
        <f t="shared" si="272"/>
        <v>53266</v>
      </c>
      <c r="IG279" s="501">
        <f t="shared" si="272"/>
        <v>53296</v>
      </c>
      <c r="IH279" s="501">
        <f t="shared" si="272"/>
        <v>53327</v>
      </c>
      <c r="II279" s="501">
        <f t="shared" si="272"/>
        <v>53358</v>
      </c>
      <c r="IJ279" s="501">
        <f t="shared" si="272"/>
        <v>53386</v>
      </c>
      <c r="IK279" s="501">
        <f t="shared" si="272"/>
        <v>53417</v>
      </c>
      <c r="IL279" s="501">
        <f t="shared" si="272"/>
        <v>53447</v>
      </c>
      <c r="IM279" s="501">
        <f t="shared" si="272"/>
        <v>53478</v>
      </c>
      <c r="IN279" s="501">
        <f t="shared" si="272"/>
        <v>53508</v>
      </c>
      <c r="IO279" s="501">
        <f t="shared" si="272"/>
        <v>53539</v>
      </c>
      <c r="IP279" s="501">
        <f t="shared" si="272"/>
        <v>53570</v>
      </c>
      <c r="IQ279" s="501">
        <f t="shared" si="272"/>
        <v>53600</v>
      </c>
      <c r="IR279" s="501">
        <f t="shared" si="272"/>
        <v>53631</v>
      </c>
      <c r="IS279" s="501">
        <f t="shared" si="272"/>
        <v>53661</v>
      </c>
      <c r="IT279" s="501">
        <f t="shared" si="272"/>
        <v>53692</v>
      </c>
      <c r="IU279" s="501">
        <f t="shared" si="272"/>
        <v>53723</v>
      </c>
      <c r="IV279" s="501">
        <f t="shared" si="272"/>
        <v>53751</v>
      </c>
      <c r="IW279" s="501">
        <f t="shared" si="272"/>
        <v>53782</v>
      </c>
      <c r="IX279" s="501">
        <f t="shared" si="272"/>
        <v>53812</v>
      </c>
      <c r="IY279" s="501">
        <f t="shared" si="272"/>
        <v>53843</v>
      </c>
      <c r="IZ279" s="501">
        <f t="shared" si="272"/>
        <v>53873</v>
      </c>
      <c r="JA279" s="501">
        <f t="shared" ref="JA279:JI280" si="273">EOMONTH(IZ279,1)</f>
        <v>53904</v>
      </c>
      <c r="JB279" s="501">
        <f t="shared" si="273"/>
        <v>53935</v>
      </c>
      <c r="JC279" s="501">
        <f t="shared" si="273"/>
        <v>53965</v>
      </c>
      <c r="JD279" s="501">
        <f t="shared" si="273"/>
        <v>53996</v>
      </c>
      <c r="JE279" s="501">
        <f t="shared" si="273"/>
        <v>54026</v>
      </c>
      <c r="JF279" s="501">
        <f t="shared" si="273"/>
        <v>54057</v>
      </c>
      <c r="JG279" s="501">
        <f t="shared" si="273"/>
        <v>54088</v>
      </c>
      <c r="JH279" s="501">
        <f t="shared" si="273"/>
        <v>54117</v>
      </c>
      <c r="JI279" s="501">
        <f t="shared" si="273"/>
        <v>54148</v>
      </c>
      <c r="JJ279" s="553"/>
      <c r="JK279" s="501"/>
      <c r="JL279" s="501"/>
      <c r="JM279" s="501"/>
      <c r="JN279" s="501"/>
      <c r="JO279" s="501"/>
      <c r="JP279" s="554"/>
    </row>
    <row r="280" spans="2:276" x14ac:dyDescent="0.3">
      <c r="B280" s="292" t="s">
        <v>208</v>
      </c>
      <c r="C280" s="503">
        <f>C279</f>
        <v>46053</v>
      </c>
      <c r="D280" s="503">
        <f>EOMONTH(C280,1)</f>
        <v>46081</v>
      </c>
      <c r="E280" s="503">
        <f t="shared" si="269"/>
        <v>46112</v>
      </c>
      <c r="F280" s="503">
        <f t="shared" si="269"/>
        <v>46142</v>
      </c>
      <c r="G280" s="503">
        <f t="shared" si="269"/>
        <v>46173</v>
      </c>
      <c r="H280" s="503">
        <f t="shared" si="269"/>
        <v>46203</v>
      </c>
      <c r="I280" s="503">
        <f t="shared" si="269"/>
        <v>46234</v>
      </c>
      <c r="J280" s="503">
        <f t="shared" si="269"/>
        <v>46265</v>
      </c>
      <c r="K280" s="503">
        <f t="shared" si="269"/>
        <v>46295</v>
      </c>
      <c r="L280" s="503">
        <f t="shared" si="269"/>
        <v>46326</v>
      </c>
      <c r="M280" s="503">
        <f t="shared" si="269"/>
        <v>46356</v>
      </c>
      <c r="N280" s="503">
        <f t="shared" si="269"/>
        <v>46387</v>
      </c>
      <c r="O280" s="503">
        <f t="shared" si="269"/>
        <v>46418</v>
      </c>
      <c r="P280" s="503">
        <f t="shared" si="269"/>
        <v>46446</v>
      </c>
      <c r="Q280" s="503">
        <f t="shared" si="269"/>
        <v>46477</v>
      </c>
      <c r="R280" s="503">
        <f t="shared" si="269"/>
        <v>46507</v>
      </c>
      <c r="S280" s="503">
        <f t="shared" si="269"/>
        <v>46538</v>
      </c>
      <c r="T280" s="503">
        <f t="shared" si="269"/>
        <v>46568</v>
      </c>
      <c r="U280" s="503">
        <f t="shared" si="269"/>
        <v>46599</v>
      </c>
      <c r="V280" s="503">
        <f t="shared" si="269"/>
        <v>46630</v>
      </c>
      <c r="W280" s="503">
        <f t="shared" si="269"/>
        <v>46660</v>
      </c>
      <c r="X280" s="503">
        <f t="shared" si="269"/>
        <v>46691</v>
      </c>
      <c r="Y280" s="503">
        <f t="shared" si="269"/>
        <v>46721</v>
      </c>
      <c r="Z280" s="503">
        <f t="shared" si="269"/>
        <v>46752</v>
      </c>
      <c r="AA280" s="503">
        <f t="shared" si="269"/>
        <v>46783</v>
      </c>
      <c r="AB280" s="503">
        <f t="shared" si="269"/>
        <v>46812</v>
      </c>
      <c r="AC280" s="503">
        <f t="shared" si="269"/>
        <v>46843</v>
      </c>
      <c r="AD280" s="503">
        <f t="shared" si="269"/>
        <v>46873</v>
      </c>
      <c r="AE280" s="503">
        <f t="shared" si="269"/>
        <v>46904</v>
      </c>
      <c r="AF280" s="503">
        <f t="shared" si="269"/>
        <v>46934</v>
      </c>
      <c r="AG280" s="503">
        <f t="shared" si="269"/>
        <v>46965</v>
      </c>
      <c r="AH280" s="503">
        <f t="shared" si="269"/>
        <v>46996</v>
      </c>
      <c r="AI280" s="503">
        <f t="shared" si="269"/>
        <v>47026</v>
      </c>
      <c r="AJ280" s="503">
        <f t="shared" si="269"/>
        <v>47057</v>
      </c>
      <c r="AK280" s="503">
        <f t="shared" si="269"/>
        <v>47087</v>
      </c>
      <c r="AL280" s="503">
        <f t="shared" si="269"/>
        <v>47118</v>
      </c>
      <c r="AM280" s="503">
        <f t="shared" si="269"/>
        <v>47149</v>
      </c>
      <c r="AN280" s="503">
        <f t="shared" si="269"/>
        <v>47177</v>
      </c>
      <c r="AO280" s="503">
        <f t="shared" si="269"/>
        <v>47208</v>
      </c>
      <c r="AP280" s="503">
        <f t="shared" si="269"/>
        <v>47238</v>
      </c>
      <c r="AQ280" s="503">
        <f t="shared" si="269"/>
        <v>47269</v>
      </c>
      <c r="AR280" s="503">
        <f t="shared" si="269"/>
        <v>47299</v>
      </c>
      <c r="AS280" s="503">
        <f t="shared" si="269"/>
        <v>47330</v>
      </c>
      <c r="AT280" s="503">
        <f t="shared" si="269"/>
        <v>47361</v>
      </c>
      <c r="AU280" s="503">
        <f t="shared" si="269"/>
        <v>47391</v>
      </c>
      <c r="AV280" s="503">
        <f t="shared" si="269"/>
        <v>47422</v>
      </c>
      <c r="AW280" s="503">
        <f t="shared" si="269"/>
        <v>47452</v>
      </c>
      <c r="AX280" s="503">
        <f t="shared" si="269"/>
        <v>47483</v>
      </c>
      <c r="AY280" s="503">
        <f t="shared" si="269"/>
        <v>47514</v>
      </c>
      <c r="AZ280" s="503">
        <f t="shared" si="269"/>
        <v>47542</v>
      </c>
      <c r="BA280" s="503">
        <f t="shared" si="269"/>
        <v>47573</v>
      </c>
      <c r="BB280" s="503">
        <f t="shared" si="269"/>
        <v>47603</v>
      </c>
      <c r="BC280" s="503">
        <f t="shared" si="269"/>
        <v>47634</v>
      </c>
      <c r="BD280" s="503">
        <f t="shared" si="269"/>
        <v>47664</v>
      </c>
      <c r="BE280" s="503">
        <f t="shared" si="269"/>
        <v>47695</v>
      </c>
      <c r="BF280" s="503">
        <f t="shared" si="269"/>
        <v>47726</v>
      </c>
      <c r="BG280" s="503">
        <f t="shared" si="269"/>
        <v>47756</v>
      </c>
      <c r="BH280" s="503">
        <f t="shared" si="269"/>
        <v>47787</v>
      </c>
      <c r="BI280" s="503">
        <f t="shared" si="269"/>
        <v>47817</v>
      </c>
      <c r="BJ280" s="503">
        <f t="shared" si="269"/>
        <v>47848</v>
      </c>
      <c r="BK280" s="503">
        <f t="shared" si="269"/>
        <v>47879</v>
      </c>
      <c r="BL280" s="503">
        <f t="shared" si="269"/>
        <v>47907</v>
      </c>
      <c r="BM280" s="503">
        <f t="shared" si="269"/>
        <v>47938</v>
      </c>
      <c r="BN280" s="503">
        <f t="shared" si="269"/>
        <v>47968</v>
      </c>
      <c r="BO280" s="503">
        <f t="shared" si="269"/>
        <v>47999</v>
      </c>
      <c r="BP280" s="503">
        <f t="shared" si="269"/>
        <v>48029</v>
      </c>
      <c r="BQ280" s="503">
        <f t="shared" si="270"/>
        <v>48060</v>
      </c>
      <c r="BR280" s="503">
        <f t="shared" si="270"/>
        <v>48091</v>
      </c>
      <c r="BS280" s="503">
        <f t="shared" si="270"/>
        <v>48121</v>
      </c>
      <c r="BT280" s="503">
        <f t="shared" si="270"/>
        <v>48152</v>
      </c>
      <c r="BU280" s="503">
        <f t="shared" si="270"/>
        <v>48182</v>
      </c>
      <c r="BV280" s="503">
        <f t="shared" si="270"/>
        <v>48213</v>
      </c>
      <c r="BW280" s="503">
        <f t="shared" si="270"/>
        <v>48244</v>
      </c>
      <c r="BX280" s="503">
        <f t="shared" si="270"/>
        <v>48273</v>
      </c>
      <c r="BY280" s="503">
        <f t="shared" si="270"/>
        <v>48304</v>
      </c>
      <c r="BZ280" s="503">
        <f t="shared" si="270"/>
        <v>48334</v>
      </c>
      <c r="CA280" s="503">
        <f t="shared" si="270"/>
        <v>48365</v>
      </c>
      <c r="CB280" s="503">
        <f t="shared" si="270"/>
        <v>48395</v>
      </c>
      <c r="CC280" s="503">
        <f t="shared" si="270"/>
        <v>48426</v>
      </c>
      <c r="CD280" s="503">
        <f t="shared" si="270"/>
        <v>48457</v>
      </c>
      <c r="CE280" s="503">
        <f t="shared" si="270"/>
        <v>48487</v>
      </c>
      <c r="CF280" s="503">
        <f t="shared" si="270"/>
        <v>48518</v>
      </c>
      <c r="CG280" s="503">
        <f t="shared" si="270"/>
        <v>48548</v>
      </c>
      <c r="CH280" s="503">
        <f t="shared" si="270"/>
        <v>48579</v>
      </c>
      <c r="CI280" s="503">
        <f t="shared" si="270"/>
        <v>48610</v>
      </c>
      <c r="CJ280" s="503">
        <f t="shared" si="270"/>
        <v>48638</v>
      </c>
      <c r="CK280" s="503">
        <f t="shared" si="270"/>
        <v>48669</v>
      </c>
      <c r="CL280" s="503">
        <f t="shared" si="270"/>
        <v>48699</v>
      </c>
      <c r="CM280" s="503">
        <f t="shared" si="270"/>
        <v>48730</v>
      </c>
      <c r="CN280" s="503">
        <f t="shared" si="270"/>
        <v>48760</v>
      </c>
      <c r="CO280" s="503">
        <f t="shared" si="270"/>
        <v>48791</v>
      </c>
      <c r="CP280" s="503">
        <f t="shared" si="270"/>
        <v>48822</v>
      </c>
      <c r="CQ280" s="503">
        <f t="shared" si="270"/>
        <v>48852</v>
      </c>
      <c r="CR280" s="503">
        <f t="shared" si="270"/>
        <v>48883</v>
      </c>
      <c r="CS280" s="503">
        <f t="shared" si="270"/>
        <v>48913</v>
      </c>
      <c r="CT280" s="503">
        <f t="shared" si="270"/>
        <v>48944</v>
      </c>
      <c r="CU280" s="503">
        <f t="shared" si="270"/>
        <v>48975</v>
      </c>
      <c r="CV280" s="503">
        <f t="shared" si="270"/>
        <v>49003</v>
      </c>
      <c r="CW280" s="503">
        <f t="shared" si="270"/>
        <v>49034</v>
      </c>
      <c r="CX280" s="503">
        <f t="shared" si="270"/>
        <v>49064</v>
      </c>
      <c r="CY280" s="503">
        <f t="shared" si="270"/>
        <v>49095</v>
      </c>
      <c r="CZ280" s="503">
        <f t="shared" si="270"/>
        <v>49125</v>
      </c>
      <c r="DA280" s="503">
        <f t="shared" si="270"/>
        <v>49156</v>
      </c>
      <c r="DB280" s="503">
        <f t="shared" si="270"/>
        <v>49187</v>
      </c>
      <c r="DC280" s="503">
        <f t="shared" si="270"/>
        <v>49217</v>
      </c>
      <c r="DD280" s="503">
        <f t="shared" si="270"/>
        <v>49248</v>
      </c>
      <c r="DE280" s="503">
        <f t="shared" si="270"/>
        <v>49278</v>
      </c>
      <c r="DF280" s="503">
        <f t="shared" si="270"/>
        <v>49309</v>
      </c>
      <c r="DG280" s="503">
        <f t="shared" si="270"/>
        <v>49340</v>
      </c>
      <c r="DH280" s="503">
        <f t="shared" si="270"/>
        <v>49368</v>
      </c>
      <c r="DI280" s="503">
        <f t="shared" si="270"/>
        <v>49399</v>
      </c>
      <c r="DJ280" s="503">
        <f t="shared" si="270"/>
        <v>49429</v>
      </c>
      <c r="DK280" s="503">
        <f t="shared" si="270"/>
        <v>49460</v>
      </c>
      <c r="DL280" s="503">
        <f t="shared" si="270"/>
        <v>49490</v>
      </c>
      <c r="DM280" s="503">
        <f t="shared" si="270"/>
        <v>49521</v>
      </c>
      <c r="DN280" s="503">
        <f t="shared" si="270"/>
        <v>49552</v>
      </c>
      <c r="DO280" s="503">
        <f t="shared" si="270"/>
        <v>49582</v>
      </c>
      <c r="DP280" s="503">
        <f t="shared" si="270"/>
        <v>49613</v>
      </c>
      <c r="DQ280" s="503">
        <f t="shared" si="270"/>
        <v>49643</v>
      </c>
      <c r="DR280" s="503">
        <f t="shared" si="270"/>
        <v>49674</v>
      </c>
      <c r="DS280" s="503">
        <f t="shared" si="270"/>
        <v>49705</v>
      </c>
      <c r="DT280" s="503">
        <f t="shared" si="270"/>
        <v>49734</v>
      </c>
      <c r="DU280" s="503">
        <f t="shared" si="270"/>
        <v>49765</v>
      </c>
      <c r="DV280" s="503">
        <f t="shared" si="270"/>
        <v>49795</v>
      </c>
      <c r="DW280" s="503">
        <f t="shared" si="270"/>
        <v>49826</v>
      </c>
      <c r="DX280" s="503">
        <f t="shared" si="270"/>
        <v>49856</v>
      </c>
      <c r="DY280" s="503">
        <f t="shared" si="270"/>
        <v>49887</v>
      </c>
      <c r="DZ280" s="503">
        <f t="shared" si="270"/>
        <v>49918</v>
      </c>
      <c r="EA280" s="503">
        <f t="shared" si="270"/>
        <v>49948</v>
      </c>
      <c r="EB280" s="503">
        <f t="shared" si="270"/>
        <v>49979</v>
      </c>
      <c r="EC280" s="503">
        <f t="shared" si="271"/>
        <v>50009</v>
      </c>
      <c r="ED280" s="503">
        <f t="shared" si="271"/>
        <v>50040</v>
      </c>
      <c r="EE280" s="503">
        <f t="shared" si="271"/>
        <v>50071</v>
      </c>
      <c r="EF280" s="503">
        <f t="shared" si="271"/>
        <v>50099</v>
      </c>
      <c r="EG280" s="503">
        <f t="shared" si="271"/>
        <v>50130</v>
      </c>
      <c r="EH280" s="503">
        <f t="shared" si="271"/>
        <v>50160</v>
      </c>
      <c r="EI280" s="503">
        <f t="shared" si="271"/>
        <v>50191</v>
      </c>
      <c r="EJ280" s="503">
        <f t="shared" si="271"/>
        <v>50221</v>
      </c>
      <c r="EK280" s="503">
        <f t="shared" si="271"/>
        <v>50252</v>
      </c>
      <c r="EL280" s="503">
        <f t="shared" si="271"/>
        <v>50283</v>
      </c>
      <c r="EM280" s="503">
        <f t="shared" si="271"/>
        <v>50313</v>
      </c>
      <c r="EN280" s="503">
        <f t="shared" si="271"/>
        <v>50344</v>
      </c>
      <c r="EO280" s="503">
        <f t="shared" si="271"/>
        <v>50374</v>
      </c>
      <c r="EP280" s="503">
        <f t="shared" si="271"/>
        <v>50405</v>
      </c>
      <c r="EQ280" s="503">
        <f t="shared" si="271"/>
        <v>50436</v>
      </c>
      <c r="ER280" s="503">
        <f t="shared" si="271"/>
        <v>50464</v>
      </c>
      <c r="ES280" s="503">
        <f t="shared" si="271"/>
        <v>50495</v>
      </c>
      <c r="ET280" s="503">
        <f t="shared" si="271"/>
        <v>50525</v>
      </c>
      <c r="EU280" s="503">
        <f t="shared" si="271"/>
        <v>50556</v>
      </c>
      <c r="EV280" s="503">
        <f t="shared" si="271"/>
        <v>50586</v>
      </c>
      <c r="EW280" s="503">
        <f t="shared" si="271"/>
        <v>50617</v>
      </c>
      <c r="EX280" s="503">
        <f t="shared" si="271"/>
        <v>50648</v>
      </c>
      <c r="EY280" s="503">
        <f t="shared" si="271"/>
        <v>50678</v>
      </c>
      <c r="EZ280" s="503">
        <f t="shared" si="271"/>
        <v>50709</v>
      </c>
      <c r="FA280" s="503">
        <f t="shared" si="271"/>
        <v>50739</v>
      </c>
      <c r="FB280" s="503">
        <f t="shared" si="271"/>
        <v>50770</v>
      </c>
      <c r="FC280" s="503">
        <f t="shared" si="271"/>
        <v>50801</v>
      </c>
      <c r="FD280" s="503">
        <f t="shared" si="271"/>
        <v>50829</v>
      </c>
      <c r="FE280" s="503">
        <f t="shared" si="271"/>
        <v>50860</v>
      </c>
      <c r="FF280" s="503">
        <f t="shared" si="271"/>
        <v>50890</v>
      </c>
      <c r="FG280" s="503">
        <f t="shared" si="271"/>
        <v>50921</v>
      </c>
      <c r="FH280" s="503">
        <f t="shared" si="271"/>
        <v>50951</v>
      </c>
      <c r="FI280" s="503">
        <f t="shared" si="271"/>
        <v>50982</v>
      </c>
      <c r="FJ280" s="503">
        <f t="shared" si="271"/>
        <v>51013</v>
      </c>
      <c r="FK280" s="503">
        <f t="shared" si="271"/>
        <v>51043</v>
      </c>
      <c r="FL280" s="503">
        <f t="shared" si="271"/>
        <v>51074</v>
      </c>
      <c r="FM280" s="503">
        <f t="shared" si="271"/>
        <v>51104</v>
      </c>
      <c r="FN280" s="503">
        <f t="shared" si="271"/>
        <v>51135</v>
      </c>
      <c r="FO280" s="503">
        <f t="shared" si="271"/>
        <v>51166</v>
      </c>
      <c r="FP280" s="503">
        <f t="shared" si="271"/>
        <v>51195</v>
      </c>
      <c r="FQ280" s="503">
        <f t="shared" si="271"/>
        <v>51226</v>
      </c>
      <c r="FR280" s="503">
        <f t="shared" si="271"/>
        <v>51256</v>
      </c>
      <c r="FS280" s="503">
        <f t="shared" si="271"/>
        <v>51287</v>
      </c>
      <c r="FT280" s="503">
        <f t="shared" si="271"/>
        <v>51317</v>
      </c>
      <c r="FU280" s="503">
        <f t="shared" si="271"/>
        <v>51348</v>
      </c>
      <c r="FV280" s="503">
        <f t="shared" si="271"/>
        <v>51379</v>
      </c>
      <c r="FW280" s="503">
        <f t="shared" si="271"/>
        <v>51409</v>
      </c>
      <c r="FX280" s="503">
        <f t="shared" si="271"/>
        <v>51440</v>
      </c>
      <c r="FY280" s="503">
        <f t="shared" si="271"/>
        <v>51470</v>
      </c>
      <c r="FZ280" s="503">
        <f t="shared" si="271"/>
        <v>51501</v>
      </c>
      <c r="GA280" s="503">
        <f t="shared" si="271"/>
        <v>51532</v>
      </c>
      <c r="GB280" s="503">
        <f t="shared" si="271"/>
        <v>51560</v>
      </c>
      <c r="GC280" s="503">
        <f t="shared" si="271"/>
        <v>51591</v>
      </c>
      <c r="GD280" s="503">
        <f t="shared" si="271"/>
        <v>51621</v>
      </c>
      <c r="GE280" s="503">
        <f t="shared" si="271"/>
        <v>51652</v>
      </c>
      <c r="GF280" s="503">
        <f t="shared" si="271"/>
        <v>51682</v>
      </c>
      <c r="GG280" s="503">
        <f t="shared" si="271"/>
        <v>51713</v>
      </c>
      <c r="GH280" s="503">
        <f t="shared" si="271"/>
        <v>51744</v>
      </c>
      <c r="GI280" s="503">
        <f t="shared" si="271"/>
        <v>51774</v>
      </c>
      <c r="GJ280" s="503">
        <f t="shared" si="271"/>
        <v>51805</v>
      </c>
      <c r="GK280" s="503">
        <f t="shared" si="271"/>
        <v>51835</v>
      </c>
      <c r="GL280" s="503">
        <f t="shared" si="271"/>
        <v>51866</v>
      </c>
      <c r="GM280" s="503">
        <f t="shared" si="271"/>
        <v>51897</v>
      </c>
      <c r="GN280" s="503">
        <f t="shared" si="271"/>
        <v>51925</v>
      </c>
      <c r="GO280" s="503">
        <f t="shared" si="272"/>
        <v>51956</v>
      </c>
      <c r="GP280" s="503">
        <f t="shared" si="272"/>
        <v>51986</v>
      </c>
      <c r="GQ280" s="503">
        <f t="shared" si="272"/>
        <v>52017</v>
      </c>
      <c r="GR280" s="503">
        <f t="shared" si="272"/>
        <v>52047</v>
      </c>
      <c r="GS280" s="503">
        <f t="shared" si="272"/>
        <v>52078</v>
      </c>
      <c r="GT280" s="503">
        <f t="shared" si="272"/>
        <v>52109</v>
      </c>
      <c r="GU280" s="503">
        <f t="shared" si="272"/>
        <v>52139</v>
      </c>
      <c r="GV280" s="503">
        <f t="shared" si="272"/>
        <v>52170</v>
      </c>
      <c r="GW280" s="503">
        <f t="shared" si="272"/>
        <v>52200</v>
      </c>
      <c r="GX280" s="503">
        <f t="shared" si="272"/>
        <v>52231</v>
      </c>
      <c r="GY280" s="503">
        <f t="shared" si="272"/>
        <v>52262</v>
      </c>
      <c r="GZ280" s="503">
        <f t="shared" si="272"/>
        <v>52290</v>
      </c>
      <c r="HA280" s="503">
        <f t="shared" si="272"/>
        <v>52321</v>
      </c>
      <c r="HB280" s="503">
        <f t="shared" si="272"/>
        <v>52351</v>
      </c>
      <c r="HC280" s="503">
        <f t="shared" si="272"/>
        <v>52382</v>
      </c>
      <c r="HD280" s="503">
        <f t="shared" si="272"/>
        <v>52412</v>
      </c>
      <c r="HE280" s="503">
        <f t="shared" si="272"/>
        <v>52443</v>
      </c>
      <c r="HF280" s="503">
        <f t="shared" si="272"/>
        <v>52474</v>
      </c>
      <c r="HG280" s="503">
        <f t="shared" si="272"/>
        <v>52504</v>
      </c>
      <c r="HH280" s="503">
        <f t="shared" si="272"/>
        <v>52535</v>
      </c>
      <c r="HI280" s="503">
        <f t="shared" si="272"/>
        <v>52565</v>
      </c>
      <c r="HJ280" s="503">
        <f t="shared" si="272"/>
        <v>52596</v>
      </c>
      <c r="HK280" s="503">
        <f t="shared" si="272"/>
        <v>52627</v>
      </c>
      <c r="HL280" s="503">
        <f t="shared" si="272"/>
        <v>52656</v>
      </c>
      <c r="HM280" s="503">
        <f t="shared" si="272"/>
        <v>52687</v>
      </c>
      <c r="HN280" s="503">
        <f t="shared" si="272"/>
        <v>52717</v>
      </c>
      <c r="HO280" s="503">
        <f t="shared" si="272"/>
        <v>52748</v>
      </c>
      <c r="HP280" s="503">
        <f t="shared" si="272"/>
        <v>52778</v>
      </c>
      <c r="HQ280" s="503">
        <f t="shared" si="272"/>
        <v>52809</v>
      </c>
      <c r="HR280" s="503">
        <f t="shared" si="272"/>
        <v>52840</v>
      </c>
      <c r="HS280" s="503">
        <f t="shared" si="272"/>
        <v>52870</v>
      </c>
      <c r="HT280" s="503">
        <f t="shared" si="272"/>
        <v>52901</v>
      </c>
      <c r="HU280" s="503">
        <f t="shared" si="272"/>
        <v>52931</v>
      </c>
      <c r="HV280" s="503">
        <f t="shared" si="272"/>
        <v>52962</v>
      </c>
      <c r="HW280" s="503">
        <f t="shared" si="272"/>
        <v>52993</v>
      </c>
      <c r="HX280" s="503">
        <f t="shared" si="272"/>
        <v>53021</v>
      </c>
      <c r="HY280" s="503">
        <f t="shared" si="272"/>
        <v>53052</v>
      </c>
      <c r="HZ280" s="503">
        <f t="shared" si="272"/>
        <v>53082</v>
      </c>
      <c r="IA280" s="503">
        <f t="shared" si="272"/>
        <v>53113</v>
      </c>
      <c r="IB280" s="503">
        <f t="shared" si="272"/>
        <v>53143</v>
      </c>
      <c r="IC280" s="503">
        <f t="shared" si="272"/>
        <v>53174</v>
      </c>
      <c r="ID280" s="503">
        <f t="shared" si="272"/>
        <v>53205</v>
      </c>
      <c r="IE280" s="503">
        <f t="shared" si="272"/>
        <v>53235</v>
      </c>
      <c r="IF280" s="503">
        <f t="shared" si="272"/>
        <v>53266</v>
      </c>
      <c r="IG280" s="503">
        <f t="shared" si="272"/>
        <v>53296</v>
      </c>
      <c r="IH280" s="503">
        <f t="shared" si="272"/>
        <v>53327</v>
      </c>
      <c r="II280" s="503">
        <f t="shared" si="272"/>
        <v>53358</v>
      </c>
      <c r="IJ280" s="503">
        <f t="shared" si="272"/>
        <v>53386</v>
      </c>
      <c r="IK280" s="503">
        <f t="shared" si="272"/>
        <v>53417</v>
      </c>
      <c r="IL280" s="503">
        <f t="shared" si="272"/>
        <v>53447</v>
      </c>
      <c r="IM280" s="503">
        <f t="shared" si="272"/>
        <v>53478</v>
      </c>
      <c r="IN280" s="503">
        <f t="shared" si="272"/>
        <v>53508</v>
      </c>
      <c r="IO280" s="503">
        <f t="shared" si="272"/>
        <v>53539</v>
      </c>
      <c r="IP280" s="503">
        <f t="shared" si="272"/>
        <v>53570</v>
      </c>
      <c r="IQ280" s="503">
        <f t="shared" si="272"/>
        <v>53600</v>
      </c>
      <c r="IR280" s="503">
        <f t="shared" si="272"/>
        <v>53631</v>
      </c>
      <c r="IS280" s="503">
        <f t="shared" si="272"/>
        <v>53661</v>
      </c>
      <c r="IT280" s="503">
        <f t="shared" si="272"/>
        <v>53692</v>
      </c>
      <c r="IU280" s="503">
        <f t="shared" si="272"/>
        <v>53723</v>
      </c>
      <c r="IV280" s="503">
        <f t="shared" si="272"/>
        <v>53751</v>
      </c>
      <c r="IW280" s="503">
        <f t="shared" si="272"/>
        <v>53782</v>
      </c>
      <c r="IX280" s="503">
        <f t="shared" si="272"/>
        <v>53812</v>
      </c>
      <c r="IY280" s="503">
        <f t="shared" si="272"/>
        <v>53843</v>
      </c>
      <c r="IZ280" s="503">
        <f t="shared" si="272"/>
        <v>53873</v>
      </c>
      <c r="JA280" s="503">
        <f t="shared" si="273"/>
        <v>53904</v>
      </c>
      <c r="JB280" s="503">
        <f t="shared" si="273"/>
        <v>53935</v>
      </c>
      <c r="JC280" s="503">
        <f t="shared" si="273"/>
        <v>53965</v>
      </c>
      <c r="JD280" s="503">
        <f t="shared" si="273"/>
        <v>53996</v>
      </c>
      <c r="JE280" s="503">
        <f t="shared" si="273"/>
        <v>54026</v>
      </c>
      <c r="JF280" s="503">
        <f t="shared" si="273"/>
        <v>54057</v>
      </c>
      <c r="JG280" s="503">
        <f t="shared" si="273"/>
        <v>54088</v>
      </c>
      <c r="JH280" s="503">
        <f t="shared" si="273"/>
        <v>54117</v>
      </c>
      <c r="JI280" s="503">
        <f t="shared" si="273"/>
        <v>54148</v>
      </c>
      <c r="JJ280" s="538" t="s">
        <v>137</v>
      </c>
      <c r="JK280" s="252"/>
      <c r="JL280" s="252"/>
      <c r="JM280" s="252"/>
      <c r="JN280" s="252"/>
      <c r="JO280" s="252"/>
    </row>
    <row r="281" spans="2:276" x14ac:dyDescent="0.3">
      <c r="B281" s="169" t="s">
        <v>349</v>
      </c>
      <c r="C281" s="52">
        <f>SUMIFS(Leasing!32:32,Leasing!1:1,C279)+SUMIFS(Leasing!41:41,Leasing!1:1,C279)</f>
        <v>0</v>
      </c>
      <c r="D281" s="52">
        <f>SUMIFS(Leasing!32:32,Leasing!1:1,D279)+SUMIFS(Leasing!41:41,Leasing!1:1,D279)</f>
        <v>0</v>
      </c>
      <c r="E281" s="52">
        <f>SUMIFS(Leasing!32:32,Leasing!1:1,E279)+SUMIFS(Leasing!41:41,Leasing!1:1,E279)</f>
        <v>0</v>
      </c>
      <c r="F281" s="52">
        <f>SUMIFS(Leasing!32:32,Leasing!1:1,F279)+SUMIFS(Leasing!41:41,Leasing!1:1,F279)</f>
        <v>0</v>
      </c>
      <c r="G281" s="52">
        <f>SUMIFS(Leasing!32:32,Leasing!1:1,G279)+SUMIFS(Leasing!41:41,Leasing!1:1,G279)</f>
        <v>0</v>
      </c>
      <c r="H281" s="52">
        <f>SUMIFS(Leasing!32:32,Leasing!1:1,H279)+SUMIFS(Leasing!41:41,Leasing!1:1,H279)</f>
        <v>0</v>
      </c>
      <c r="I281" s="52">
        <f>SUMIFS(Leasing!32:32,Leasing!1:1,I279)+SUMIFS(Leasing!41:41,Leasing!1:1,I279)</f>
        <v>0</v>
      </c>
      <c r="J281" s="52">
        <f>SUMIFS(Leasing!32:32,Leasing!1:1,J279)+SUMIFS(Leasing!41:41,Leasing!1:1,J279)</f>
        <v>0</v>
      </c>
      <c r="K281" s="52">
        <f>SUMIFS(Leasing!32:32,Leasing!1:1,K279)+SUMIFS(Leasing!41:41,Leasing!1:1,K279)</f>
        <v>0</v>
      </c>
      <c r="L281" s="52">
        <f>SUMIFS(Leasing!32:32,Leasing!1:1,L279)+SUMIFS(Leasing!41:41,Leasing!1:1,L279)</f>
        <v>0</v>
      </c>
      <c r="M281" s="52">
        <f>SUMIFS(Leasing!32:32,Leasing!1:1,M279)+SUMIFS(Leasing!41:41,Leasing!1:1,M279)</f>
        <v>0</v>
      </c>
      <c r="N281" s="52">
        <f>SUMIFS(Leasing!32:32,Leasing!1:1,N279)+SUMIFS(Leasing!41:41,Leasing!1:1,N279)</f>
        <v>0</v>
      </c>
      <c r="O281" s="52">
        <f>SUMIFS(Leasing!32:32,Leasing!1:1,O279)+SUMIFS(Leasing!41:41,Leasing!1:1,O279)</f>
        <v>0</v>
      </c>
      <c r="P281" s="52">
        <f>SUMIFS(Leasing!32:32,Leasing!1:1,P279)+SUMIFS(Leasing!41:41,Leasing!1:1,P279)</f>
        <v>0</v>
      </c>
      <c r="Q281" s="52">
        <f>SUMIFS(Leasing!32:32,Leasing!1:1,Q279)+SUMIFS(Leasing!41:41,Leasing!1:1,Q279)</f>
        <v>0</v>
      </c>
      <c r="R281" s="52">
        <f>SUMIFS(Leasing!32:32,Leasing!1:1,R279)+SUMIFS(Leasing!41:41,Leasing!1:1,R279)</f>
        <v>0</v>
      </c>
      <c r="S281" s="52">
        <f>SUMIFS(Leasing!32:32,Leasing!1:1,S279)+SUMIFS(Leasing!41:41,Leasing!1:1,S279)</f>
        <v>0</v>
      </c>
      <c r="T281" s="52">
        <f>SUMIFS(Leasing!32:32,Leasing!1:1,T279)+SUMIFS(Leasing!41:41,Leasing!1:1,T279)</f>
        <v>0</v>
      </c>
      <c r="U281" s="52">
        <f>SUMIFS(Leasing!32:32,Leasing!1:1,U279)+SUMIFS(Leasing!41:41,Leasing!1:1,U279)</f>
        <v>0</v>
      </c>
      <c r="V281" s="52">
        <f>SUMIFS(Leasing!32:32,Leasing!1:1,V279)+SUMIFS(Leasing!41:41,Leasing!1:1,V279)</f>
        <v>0</v>
      </c>
      <c r="W281" s="52">
        <f>SUMIFS(Leasing!32:32,Leasing!1:1,W279)+SUMIFS(Leasing!41:41,Leasing!1:1,W279)</f>
        <v>0</v>
      </c>
      <c r="X281" s="52">
        <f>SUMIFS(Leasing!32:32,Leasing!1:1,X279)+SUMIFS(Leasing!41:41,Leasing!1:1,X279)</f>
        <v>0</v>
      </c>
      <c r="Y281" s="52">
        <f>SUMIFS(Leasing!32:32,Leasing!1:1,Y279)+SUMIFS(Leasing!41:41,Leasing!1:1,Y279)</f>
        <v>0</v>
      </c>
      <c r="Z281" s="52">
        <f>SUMIFS(Leasing!32:32,Leasing!1:1,Z279)+SUMIFS(Leasing!41:41,Leasing!1:1,Z279)</f>
        <v>0</v>
      </c>
      <c r="AA281" s="52">
        <f>SUMIFS(Leasing!32:32,Leasing!1:1,AA279)+SUMIFS(Leasing!41:41,Leasing!1:1,AA279)</f>
        <v>0</v>
      </c>
      <c r="AB281" s="52">
        <f>SUMIFS(Leasing!32:32,Leasing!1:1,AB279)+SUMIFS(Leasing!41:41,Leasing!1:1,AB279)</f>
        <v>0</v>
      </c>
      <c r="AC281" s="52">
        <f>SUMIFS(Leasing!32:32,Leasing!1:1,AC279)+SUMIFS(Leasing!41:41,Leasing!1:1,AC279)</f>
        <v>0</v>
      </c>
      <c r="AD281" s="52">
        <f>SUMIFS(Leasing!32:32,Leasing!1:1,AD279)+SUMIFS(Leasing!41:41,Leasing!1:1,AD279)</f>
        <v>0</v>
      </c>
      <c r="AE281" s="52">
        <f>SUMIFS(Leasing!32:32,Leasing!1:1,AE279)+SUMIFS(Leasing!41:41,Leasing!1:1,AE279)</f>
        <v>0</v>
      </c>
      <c r="AF281" s="52">
        <f>SUMIFS(Leasing!32:32,Leasing!1:1,AF279)+SUMIFS(Leasing!41:41,Leasing!1:1,AF279)</f>
        <v>0</v>
      </c>
      <c r="AG281" s="52">
        <f>SUMIFS(Leasing!32:32,Leasing!1:1,AG279)+SUMIFS(Leasing!41:41,Leasing!1:1,AG279)</f>
        <v>0</v>
      </c>
      <c r="AH281" s="52">
        <f>SUMIFS(Leasing!32:32,Leasing!1:1,AH279)+SUMIFS(Leasing!41:41,Leasing!1:1,AH279)</f>
        <v>0</v>
      </c>
      <c r="AI281" s="52">
        <f>SUMIFS(Leasing!32:32,Leasing!1:1,AI279)+SUMIFS(Leasing!41:41,Leasing!1:1,AI279)</f>
        <v>0</v>
      </c>
      <c r="AJ281" s="52">
        <f>SUMIFS(Leasing!32:32,Leasing!1:1,AJ279)+SUMIFS(Leasing!41:41,Leasing!1:1,AJ279)</f>
        <v>0</v>
      </c>
      <c r="AK281" s="52">
        <f>SUMIFS(Leasing!32:32,Leasing!1:1,AK279)+SUMIFS(Leasing!41:41,Leasing!1:1,AK279)</f>
        <v>0</v>
      </c>
      <c r="AL281" s="52">
        <f>SUMIFS(Leasing!32:32,Leasing!1:1,AL279)+SUMIFS(Leasing!41:41,Leasing!1:1,AL279)</f>
        <v>0</v>
      </c>
      <c r="AM281" s="52">
        <f>SUMIFS(Leasing!32:32,Leasing!1:1,AM279)+SUMIFS(Leasing!41:41,Leasing!1:1,AM279)</f>
        <v>0</v>
      </c>
      <c r="AN281" s="52">
        <f>SUMIFS(Leasing!32:32,Leasing!1:1,AN279)+SUMIFS(Leasing!41:41,Leasing!1:1,AN279)</f>
        <v>0</v>
      </c>
      <c r="AO281" s="52">
        <f>SUMIFS(Leasing!32:32,Leasing!1:1,AO279)+SUMIFS(Leasing!41:41,Leasing!1:1,AO279)</f>
        <v>0</v>
      </c>
      <c r="AP281" s="52">
        <f>SUMIFS(Leasing!32:32,Leasing!1:1,AP279)+SUMIFS(Leasing!41:41,Leasing!1:1,AP279)</f>
        <v>0.19800086545548751</v>
      </c>
      <c r="AQ281" s="52">
        <f>SUMIFS(Leasing!32:32,Leasing!1:1,AQ279)+SUMIFS(Leasing!41:41,Leasing!1:1,AQ279)</f>
        <v>0.19800086545548751</v>
      </c>
      <c r="AR281" s="52">
        <f>SUMIFS(Leasing!32:32,Leasing!1:1,AR279)+SUMIFS(Leasing!41:41,Leasing!1:1,AR279)</f>
        <v>0.19800086545548751</v>
      </c>
      <c r="AS281" s="52">
        <f>SUMIFS(Leasing!32:32,Leasing!1:1,AS279)+SUMIFS(Leasing!41:41,Leasing!1:1,AS279)</f>
        <v>0.19800086545548751</v>
      </c>
      <c r="AT281" s="52">
        <f>SUMIFS(Leasing!32:32,Leasing!1:1,AT279)+SUMIFS(Leasing!41:41,Leasing!1:1,AT279)</f>
        <v>0.19800086545548751</v>
      </c>
      <c r="AU281" s="52">
        <f>SUMIFS(Leasing!32:32,Leasing!1:1,AU279)+SUMIFS(Leasing!41:41,Leasing!1:1,AU279)</f>
        <v>0.19800086545548751</v>
      </c>
      <c r="AV281" s="52">
        <f>SUMIFS(Leasing!32:32,Leasing!1:1,AV279)+SUMIFS(Leasing!41:41,Leasing!1:1,AV279)</f>
        <v>0.19800086545548751</v>
      </c>
      <c r="AW281" s="52">
        <f>SUMIFS(Leasing!32:32,Leasing!1:1,AW279)+SUMIFS(Leasing!41:41,Leasing!1:1,AW279)</f>
        <v>0.19800086545548751</v>
      </c>
      <c r="AX281" s="52">
        <f>SUMIFS(Leasing!32:32,Leasing!1:1,AX279)+SUMIFS(Leasing!41:41,Leasing!1:1,AX279)</f>
        <v>0.19800086545548751</v>
      </c>
      <c r="AY281" s="52">
        <f>SUMIFS(Leasing!32:32,Leasing!1:1,AY279)+SUMIFS(Leasing!41:41,Leasing!1:1,AY279)</f>
        <v>0.19800086545548751</v>
      </c>
      <c r="AZ281" s="52">
        <f>SUMIFS(Leasing!32:32,Leasing!1:1,AZ279)+SUMIFS(Leasing!41:41,Leasing!1:1,AZ279)</f>
        <v>0.19800086545548751</v>
      </c>
      <c r="BA281" s="52">
        <f>SUMIFS(Leasing!32:32,Leasing!1:1,BA279)+SUMIFS(Leasing!41:41,Leasing!1:1,BA279)</f>
        <v>0.19800086545548751</v>
      </c>
      <c r="BB281" s="52">
        <f>SUMIFS(Leasing!32:32,Leasing!1:1,BB279)+SUMIFS(Leasing!41:41,Leasing!1:1,BB279)</f>
        <v>0.20790090872826192</v>
      </c>
      <c r="BC281" s="52">
        <f>SUMIFS(Leasing!32:32,Leasing!1:1,BC279)+SUMIFS(Leasing!41:41,Leasing!1:1,BC279)</f>
        <v>0.20790090872826192</v>
      </c>
      <c r="BD281" s="52">
        <f>SUMIFS(Leasing!32:32,Leasing!1:1,BD279)+SUMIFS(Leasing!41:41,Leasing!1:1,BD279)</f>
        <v>0.20790090872826192</v>
      </c>
      <c r="BE281" s="52">
        <f>SUMIFS(Leasing!32:32,Leasing!1:1,BE279)+SUMIFS(Leasing!41:41,Leasing!1:1,BE279)</f>
        <v>0.20790090872826192</v>
      </c>
      <c r="BF281" s="52">
        <f>SUMIFS(Leasing!32:32,Leasing!1:1,BF279)+SUMIFS(Leasing!41:41,Leasing!1:1,BF279)</f>
        <v>0.20790090872826192</v>
      </c>
      <c r="BG281" s="52">
        <f>SUMIFS(Leasing!32:32,Leasing!1:1,BG279)+SUMIFS(Leasing!41:41,Leasing!1:1,BG279)</f>
        <v>0.20790090872826192</v>
      </c>
      <c r="BH281" s="52">
        <f>SUMIFS(Leasing!32:32,Leasing!1:1,BH279)+SUMIFS(Leasing!41:41,Leasing!1:1,BH279)</f>
        <v>0.20790090872826192</v>
      </c>
      <c r="BI281" s="52">
        <f>SUMIFS(Leasing!32:32,Leasing!1:1,BI279)+SUMIFS(Leasing!41:41,Leasing!1:1,BI279)</f>
        <v>0.20790090872826192</v>
      </c>
      <c r="BJ281" s="52">
        <f>SUMIFS(Leasing!32:32,Leasing!1:1,BJ279)+SUMIFS(Leasing!41:41,Leasing!1:1,BJ279)</f>
        <v>0.20790090872826192</v>
      </c>
      <c r="BK281" s="52">
        <f>SUMIFS(Leasing!32:32,Leasing!1:1,BK279)+SUMIFS(Leasing!41:41,Leasing!1:1,BK279)</f>
        <v>0.20790090872826192</v>
      </c>
      <c r="BL281" s="52">
        <f>SUMIFS(Leasing!32:32,Leasing!1:1,BL279)+SUMIFS(Leasing!41:41,Leasing!1:1,BL279)</f>
        <v>0.20790090872826192</v>
      </c>
      <c r="BM281" s="52">
        <f>SUMIFS(Leasing!32:32,Leasing!1:1,BM279)+SUMIFS(Leasing!41:41,Leasing!1:1,BM279)</f>
        <v>0.20790090872826192</v>
      </c>
      <c r="BN281" s="52">
        <f>SUMIFS(Leasing!32:32,Leasing!1:1,BN279)+SUMIFS(Leasing!41:41,Leasing!1:1,BN279)</f>
        <v>0.21829595416467501</v>
      </c>
      <c r="BO281" s="52">
        <f>SUMIFS(Leasing!32:32,Leasing!1:1,BO279)+SUMIFS(Leasing!41:41,Leasing!1:1,BO279)</f>
        <v>0.21829595416467501</v>
      </c>
      <c r="BP281" s="52">
        <f>SUMIFS(Leasing!32:32,Leasing!1:1,BP279)+SUMIFS(Leasing!41:41,Leasing!1:1,BP279)</f>
        <v>0.21829595416467501</v>
      </c>
      <c r="BQ281" s="52">
        <f>SUMIFS(Leasing!32:32,Leasing!1:1,BQ279)+SUMIFS(Leasing!41:41,Leasing!1:1,BQ279)</f>
        <v>0.21829595416467501</v>
      </c>
      <c r="BR281" s="52">
        <f>SUMIFS(Leasing!32:32,Leasing!1:1,BR279)+SUMIFS(Leasing!41:41,Leasing!1:1,BR279)</f>
        <v>0.21829595416467501</v>
      </c>
      <c r="BS281" s="52">
        <f>SUMIFS(Leasing!32:32,Leasing!1:1,BS279)+SUMIFS(Leasing!41:41,Leasing!1:1,BS279)</f>
        <v>0.21829595416467501</v>
      </c>
      <c r="BT281" s="52">
        <f>SUMIFS(Leasing!32:32,Leasing!1:1,BT279)+SUMIFS(Leasing!41:41,Leasing!1:1,BT279)</f>
        <v>0.21829595416467501</v>
      </c>
      <c r="BU281" s="52">
        <f>SUMIFS(Leasing!32:32,Leasing!1:1,BU279)+SUMIFS(Leasing!41:41,Leasing!1:1,BU279)</f>
        <v>0.21829595416467501</v>
      </c>
      <c r="BV281" s="52">
        <f>SUMIFS(Leasing!32:32,Leasing!1:1,BV279)+SUMIFS(Leasing!41:41,Leasing!1:1,BV279)</f>
        <v>0.21829595416467501</v>
      </c>
      <c r="BW281" s="52">
        <f>SUMIFS(Leasing!32:32,Leasing!1:1,BW279)+SUMIFS(Leasing!41:41,Leasing!1:1,BW279)</f>
        <v>0.21829595416467501</v>
      </c>
      <c r="BX281" s="52">
        <f>SUMIFS(Leasing!32:32,Leasing!1:1,BX279)+SUMIFS(Leasing!41:41,Leasing!1:1,BX279)</f>
        <v>0.21829595416467501</v>
      </c>
      <c r="BY281" s="52">
        <f>SUMIFS(Leasing!32:32,Leasing!1:1,BY279)+SUMIFS(Leasing!41:41,Leasing!1:1,BY279)</f>
        <v>0.21829595416467501</v>
      </c>
      <c r="BZ281" s="52">
        <f>SUMIFS(Leasing!32:32,Leasing!1:1,BZ279)+SUMIFS(Leasing!41:41,Leasing!1:1,BZ279)</f>
        <v>0.22921075187290879</v>
      </c>
      <c r="CA281" s="52">
        <f>SUMIFS(Leasing!32:32,Leasing!1:1,CA279)+SUMIFS(Leasing!41:41,Leasing!1:1,CA279)</f>
        <v>0.22921075187290879</v>
      </c>
      <c r="CB281" s="52">
        <f>SUMIFS(Leasing!32:32,Leasing!1:1,CB279)+SUMIFS(Leasing!41:41,Leasing!1:1,CB279)</f>
        <v>0.22921075187290879</v>
      </c>
      <c r="CC281" s="52">
        <f>SUMIFS(Leasing!32:32,Leasing!1:1,CC279)+SUMIFS(Leasing!41:41,Leasing!1:1,CC279)</f>
        <v>0.22921075187290879</v>
      </c>
      <c r="CD281" s="52">
        <f>SUMIFS(Leasing!32:32,Leasing!1:1,CD279)+SUMIFS(Leasing!41:41,Leasing!1:1,CD279)</f>
        <v>0.22921075187290879</v>
      </c>
      <c r="CE281" s="52">
        <f>SUMIFS(Leasing!32:32,Leasing!1:1,CE279)+SUMIFS(Leasing!41:41,Leasing!1:1,CE279)</f>
        <v>0.22921075187290879</v>
      </c>
      <c r="CF281" s="52">
        <f>SUMIFS(Leasing!32:32,Leasing!1:1,CF279)+SUMIFS(Leasing!41:41,Leasing!1:1,CF279)</f>
        <v>0.22921075187290879</v>
      </c>
      <c r="CG281" s="52">
        <f>SUMIFS(Leasing!32:32,Leasing!1:1,CG279)+SUMIFS(Leasing!41:41,Leasing!1:1,CG279)</f>
        <v>0.22921075187290879</v>
      </c>
      <c r="CH281" s="52">
        <f>SUMIFS(Leasing!32:32,Leasing!1:1,CH279)+SUMIFS(Leasing!41:41,Leasing!1:1,CH279)</f>
        <v>0.22921075187290879</v>
      </c>
      <c r="CI281" s="52">
        <f>SUMIFS(Leasing!32:32,Leasing!1:1,CI279)+SUMIFS(Leasing!41:41,Leasing!1:1,CI279)</f>
        <v>0.22921075187290879</v>
      </c>
      <c r="CJ281" s="52">
        <f>SUMIFS(Leasing!32:32,Leasing!1:1,CJ279)+SUMIFS(Leasing!41:41,Leasing!1:1,CJ279)</f>
        <v>0.22921075187290879</v>
      </c>
      <c r="CK281" s="52">
        <f>SUMIFS(Leasing!32:32,Leasing!1:1,CK279)+SUMIFS(Leasing!41:41,Leasing!1:1,CK279)</f>
        <v>0.22921075187290879</v>
      </c>
      <c r="CL281" s="52">
        <f>SUMIFS(Leasing!32:32,Leasing!1:1,CL279)+SUMIFS(Leasing!41:41,Leasing!1:1,CL279)</f>
        <v>0.24067128946655419</v>
      </c>
      <c r="CM281" s="52">
        <f>SUMIFS(Leasing!32:32,Leasing!1:1,CM279)+SUMIFS(Leasing!41:41,Leasing!1:1,CM279)</f>
        <v>0.24067128946655419</v>
      </c>
      <c r="CN281" s="52">
        <f>SUMIFS(Leasing!32:32,Leasing!1:1,CN279)+SUMIFS(Leasing!41:41,Leasing!1:1,CN279)</f>
        <v>0.24067128946655419</v>
      </c>
      <c r="CO281" s="52">
        <f>SUMIFS(Leasing!32:32,Leasing!1:1,CO279)+SUMIFS(Leasing!41:41,Leasing!1:1,CO279)</f>
        <v>0.24067128946655419</v>
      </c>
      <c r="CP281" s="52">
        <f>SUMIFS(Leasing!32:32,Leasing!1:1,CP279)+SUMIFS(Leasing!41:41,Leasing!1:1,CP279)</f>
        <v>0.24067128946655419</v>
      </c>
      <c r="CQ281" s="52">
        <f>SUMIFS(Leasing!32:32,Leasing!1:1,CQ279)+SUMIFS(Leasing!41:41,Leasing!1:1,CQ279)</f>
        <v>0.24067128946655419</v>
      </c>
      <c r="CR281" s="52">
        <f>SUMIFS(Leasing!32:32,Leasing!1:1,CR279)+SUMIFS(Leasing!41:41,Leasing!1:1,CR279)</f>
        <v>0.24067128946655419</v>
      </c>
      <c r="CS281" s="52">
        <f>SUMIFS(Leasing!32:32,Leasing!1:1,CS279)+SUMIFS(Leasing!41:41,Leasing!1:1,CS279)</f>
        <v>0.24067128946655419</v>
      </c>
      <c r="CT281" s="52">
        <f>SUMIFS(Leasing!32:32,Leasing!1:1,CT279)+SUMIFS(Leasing!41:41,Leasing!1:1,CT279)</f>
        <v>0.24067128946655419</v>
      </c>
      <c r="CU281" s="52">
        <f>SUMIFS(Leasing!32:32,Leasing!1:1,CU279)+SUMIFS(Leasing!41:41,Leasing!1:1,CU279)</f>
        <v>0.24067128946655419</v>
      </c>
      <c r="CV281" s="52">
        <f>SUMIFS(Leasing!32:32,Leasing!1:1,CV279)+SUMIFS(Leasing!41:41,Leasing!1:1,CV279)</f>
        <v>0.24067128946655419</v>
      </c>
      <c r="CW281" s="52">
        <f>SUMIFS(Leasing!32:32,Leasing!1:1,CW279)+SUMIFS(Leasing!41:41,Leasing!1:1,CW279)</f>
        <v>0.24067128946655419</v>
      </c>
      <c r="CX281" s="52">
        <f>SUMIFS(Leasing!32:32,Leasing!1:1,CX279)+SUMIFS(Leasing!41:41,Leasing!1:1,CX279)</f>
        <v>0.2527048539398819</v>
      </c>
      <c r="CY281" s="52">
        <f>SUMIFS(Leasing!32:32,Leasing!1:1,CY279)+SUMIFS(Leasing!41:41,Leasing!1:1,CY279)</f>
        <v>0.2527048539398819</v>
      </c>
      <c r="CZ281" s="52">
        <f>SUMIFS(Leasing!32:32,Leasing!1:1,CZ279)+SUMIFS(Leasing!41:41,Leasing!1:1,CZ279)</f>
        <v>0.2527048539398819</v>
      </c>
      <c r="DA281" s="52">
        <f>SUMIFS(Leasing!32:32,Leasing!1:1,DA279)+SUMIFS(Leasing!41:41,Leasing!1:1,DA279)</f>
        <v>0.2527048539398819</v>
      </c>
      <c r="DB281" s="52">
        <f>SUMIFS(Leasing!32:32,Leasing!1:1,DB279)+SUMIFS(Leasing!41:41,Leasing!1:1,DB279)</f>
        <v>0.2527048539398819</v>
      </c>
      <c r="DC281" s="52">
        <f>SUMIFS(Leasing!32:32,Leasing!1:1,DC279)+SUMIFS(Leasing!41:41,Leasing!1:1,DC279)</f>
        <v>0.2527048539398819</v>
      </c>
      <c r="DD281" s="52">
        <f>SUMIFS(Leasing!32:32,Leasing!1:1,DD279)+SUMIFS(Leasing!41:41,Leasing!1:1,DD279)</f>
        <v>0.2527048539398819</v>
      </c>
      <c r="DE281" s="52">
        <f>SUMIFS(Leasing!32:32,Leasing!1:1,DE279)+SUMIFS(Leasing!41:41,Leasing!1:1,DE279)</f>
        <v>0.2527048539398819</v>
      </c>
      <c r="DF281" s="52">
        <f>SUMIFS(Leasing!32:32,Leasing!1:1,DF279)+SUMIFS(Leasing!41:41,Leasing!1:1,DF279)</f>
        <v>0.2527048539398819</v>
      </c>
      <c r="DG281" s="52">
        <f>SUMIFS(Leasing!32:32,Leasing!1:1,DG279)+SUMIFS(Leasing!41:41,Leasing!1:1,DG279)</f>
        <v>0.2527048539398819</v>
      </c>
      <c r="DH281" s="52">
        <f>SUMIFS(Leasing!32:32,Leasing!1:1,DH279)+SUMIFS(Leasing!41:41,Leasing!1:1,DH279)</f>
        <v>0.2527048539398819</v>
      </c>
      <c r="DI281" s="52">
        <f>SUMIFS(Leasing!32:32,Leasing!1:1,DI279)+SUMIFS(Leasing!41:41,Leasing!1:1,DI279)</f>
        <v>0.2527048539398819</v>
      </c>
      <c r="DJ281" s="52">
        <f>SUMIFS(Leasing!32:32,Leasing!1:1,DJ279)+SUMIFS(Leasing!41:41,Leasing!1:1,DJ279)</f>
        <v>0.26534009663687608</v>
      </c>
      <c r="DK281" s="52">
        <f>SUMIFS(Leasing!32:32,Leasing!1:1,DK279)+SUMIFS(Leasing!41:41,Leasing!1:1,DK279)</f>
        <v>0.26534009663687608</v>
      </c>
      <c r="DL281" s="52">
        <f>SUMIFS(Leasing!32:32,Leasing!1:1,DL279)+SUMIFS(Leasing!41:41,Leasing!1:1,DL279)</f>
        <v>0.26534009663687608</v>
      </c>
      <c r="DM281" s="52">
        <f>SUMIFS(Leasing!32:32,Leasing!1:1,DM279)+SUMIFS(Leasing!41:41,Leasing!1:1,DM279)</f>
        <v>0.26534009663687608</v>
      </c>
      <c r="DN281" s="52">
        <f>SUMIFS(Leasing!32:32,Leasing!1:1,DN279)+SUMIFS(Leasing!41:41,Leasing!1:1,DN279)</f>
        <v>0.26534009663687608</v>
      </c>
      <c r="DO281" s="52">
        <f>SUMIFS(Leasing!32:32,Leasing!1:1,DO279)+SUMIFS(Leasing!41:41,Leasing!1:1,DO279)</f>
        <v>0.26534009663687608</v>
      </c>
      <c r="DP281" s="52">
        <f>SUMIFS(Leasing!32:32,Leasing!1:1,DP279)+SUMIFS(Leasing!41:41,Leasing!1:1,DP279)</f>
        <v>0.26534009663687608</v>
      </c>
      <c r="DQ281" s="52">
        <f>SUMIFS(Leasing!32:32,Leasing!1:1,DQ279)+SUMIFS(Leasing!41:41,Leasing!1:1,DQ279)</f>
        <v>0.26534009663687608</v>
      </c>
      <c r="DR281" s="52">
        <f>SUMIFS(Leasing!32:32,Leasing!1:1,DR279)+SUMIFS(Leasing!41:41,Leasing!1:1,DR279)</f>
        <v>0.26534009663687608</v>
      </c>
      <c r="DS281" s="52">
        <f>SUMIFS(Leasing!32:32,Leasing!1:1,DS279)+SUMIFS(Leasing!41:41,Leasing!1:1,DS279)</f>
        <v>0.26534009663687608</v>
      </c>
      <c r="DT281" s="52">
        <f>SUMIFS(Leasing!32:32,Leasing!1:1,DT279)+SUMIFS(Leasing!41:41,Leasing!1:1,DT279)</f>
        <v>0.26534009663687608</v>
      </c>
      <c r="DU281" s="52">
        <f>SUMIFS(Leasing!32:32,Leasing!1:1,DU279)+SUMIFS(Leasing!41:41,Leasing!1:1,DU279)</f>
        <v>0.26534009663687608</v>
      </c>
      <c r="DV281" s="52">
        <f>SUMIFS(Leasing!32:32,Leasing!1:1,DV279)+SUMIFS(Leasing!41:41,Leasing!1:1,DV279)</f>
        <v>0.27860710146871981</v>
      </c>
      <c r="DW281" s="52">
        <f>SUMIFS(Leasing!32:32,Leasing!1:1,DW279)+SUMIFS(Leasing!41:41,Leasing!1:1,DW279)</f>
        <v>0.27860710146871981</v>
      </c>
      <c r="DX281" s="52">
        <f>SUMIFS(Leasing!32:32,Leasing!1:1,DX279)+SUMIFS(Leasing!41:41,Leasing!1:1,DX279)</f>
        <v>0.27860710146871981</v>
      </c>
      <c r="DY281" s="52">
        <f>SUMIFS(Leasing!32:32,Leasing!1:1,DY279)+SUMIFS(Leasing!41:41,Leasing!1:1,DY279)</f>
        <v>0.27860710146871981</v>
      </c>
      <c r="DZ281" s="52">
        <f>SUMIFS(Leasing!32:32,Leasing!1:1,DZ279)+SUMIFS(Leasing!41:41,Leasing!1:1,DZ279)</f>
        <v>0.27860710146871981</v>
      </c>
      <c r="EA281" s="52">
        <f>SUMIFS(Leasing!32:32,Leasing!1:1,EA279)+SUMIFS(Leasing!41:41,Leasing!1:1,EA279)</f>
        <v>0.27860710146871981</v>
      </c>
      <c r="EB281" s="52">
        <f>SUMIFS(Leasing!32:32,Leasing!1:1,EB279)+SUMIFS(Leasing!41:41,Leasing!1:1,EB279)</f>
        <v>0.27860710146871981</v>
      </c>
      <c r="EC281" s="52">
        <f>SUMIFS(Leasing!32:32,Leasing!1:1,EC279)+SUMIFS(Leasing!41:41,Leasing!1:1,EC279)</f>
        <v>0.27860710146871981</v>
      </c>
      <c r="ED281" s="52">
        <f>SUMIFS(Leasing!32:32,Leasing!1:1,ED279)+SUMIFS(Leasing!41:41,Leasing!1:1,ED279)</f>
        <v>0.27860710146871981</v>
      </c>
      <c r="EE281" s="52">
        <f>SUMIFS(Leasing!32:32,Leasing!1:1,EE279)+SUMIFS(Leasing!41:41,Leasing!1:1,EE279)</f>
        <v>0.27860710146871981</v>
      </c>
      <c r="EF281" s="52">
        <f>SUMIFS(Leasing!32:32,Leasing!1:1,EF279)+SUMIFS(Leasing!41:41,Leasing!1:1,EF279)</f>
        <v>0.27860710146871981</v>
      </c>
      <c r="EG281" s="52">
        <f>SUMIFS(Leasing!32:32,Leasing!1:1,EG279)+SUMIFS(Leasing!41:41,Leasing!1:1,EG279)</f>
        <v>0.27860710146871981</v>
      </c>
      <c r="EH281" s="52">
        <f>SUMIFS(Leasing!32:32,Leasing!1:1,EH279)+SUMIFS(Leasing!41:41,Leasing!1:1,EH279)</f>
        <v>0.2925374565421559</v>
      </c>
      <c r="EI281" s="52">
        <f>SUMIFS(Leasing!32:32,Leasing!1:1,EI279)+SUMIFS(Leasing!41:41,Leasing!1:1,EI279)</f>
        <v>0.2925374565421559</v>
      </c>
      <c r="EJ281" s="52">
        <f>SUMIFS(Leasing!32:32,Leasing!1:1,EJ279)+SUMIFS(Leasing!41:41,Leasing!1:1,EJ279)</f>
        <v>0.2925374565421559</v>
      </c>
      <c r="EK281" s="52">
        <f>SUMIFS(Leasing!32:32,Leasing!1:1,EK279)+SUMIFS(Leasing!41:41,Leasing!1:1,EK279)</f>
        <v>0.2925374565421559</v>
      </c>
      <c r="EL281" s="52">
        <f>SUMIFS(Leasing!32:32,Leasing!1:1,EL279)+SUMIFS(Leasing!41:41,Leasing!1:1,EL279)</f>
        <v>0.2925374565421559</v>
      </c>
      <c r="EM281" s="52">
        <f>SUMIFS(Leasing!32:32,Leasing!1:1,EM279)+SUMIFS(Leasing!41:41,Leasing!1:1,EM279)</f>
        <v>0.2925374565421559</v>
      </c>
      <c r="EN281" s="52">
        <f>SUMIFS(Leasing!32:32,Leasing!1:1,EN279)+SUMIFS(Leasing!41:41,Leasing!1:1,EN279)</f>
        <v>0.2925374565421559</v>
      </c>
      <c r="EO281" s="52">
        <f>SUMIFS(Leasing!32:32,Leasing!1:1,EO279)+SUMIFS(Leasing!41:41,Leasing!1:1,EO279)</f>
        <v>0.2925374565421559</v>
      </c>
      <c r="EP281" s="52">
        <f>SUMIFS(Leasing!32:32,Leasing!1:1,EP279)+SUMIFS(Leasing!41:41,Leasing!1:1,EP279)</f>
        <v>0.2925374565421559</v>
      </c>
      <c r="EQ281" s="52">
        <f>SUMIFS(Leasing!32:32,Leasing!1:1,EQ279)+SUMIFS(Leasing!41:41,Leasing!1:1,EQ279)</f>
        <v>0.2925374565421559</v>
      </c>
      <c r="ER281" s="52">
        <f>SUMIFS(Leasing!32:32,Leasing!1:1,ER279)+SUMIFS(Leasing!41:41,Leasing!1:1,ER279)</f>
        <v>0.2925374565421559</v>
      </c>
      <c r="ES281" s="52">
        <f>SUMIFS(Leasing!32:32,Leasing!1:1,ES279)+SUMIFS(Leasing!41:41,Leasing!1:1,ES279)</f>
        <v>0.2925374565421559</v>
      </c>
      <c r="ET281" s="52">
        <f>SUMIFS(Leasing!32:32,Leasing!1:1,ET279)+SUMIFS(Leasing!41:41,Leasing!1:1,ET279)</f>
        <v>0.30716432936926369</v>
      </c>
      <c r="EU281" s="52">
        <f>SUMIFS(Leasing!32:32,Leasing!1:1,EU279)+SUMIFS(Leasing!41:41,Leasing!1:1,EU279)</f>
        <v>0.30716432936926369</v>
      </c>
      <c r="EV281" s="52">
        <f>SUMIFS(Leasing!32:32,Leasing!1:1,EV279)+SUMIFS(Leasing!41:41,Leasing!1:1,EV279)</f>
        <v>0.30716432936926369</v>
      </c>
      <c r="EW281" s="52">
        <f>SUMIFS(Leasing!32:32,Leasing!1:1,EW279)+SUMIFS(Leasing!41:41,Leasing!1:1,EW279)</f>
        <v>0.30716432936926369</v>
      </c>
      <c r="EX281" s="52">
        <f>SUMIFS(Leasing!32:32,Leasing!1:1,EX279)+SUMIFS(Leasing!41:41,Leasing!1:1,EX279)</f>
        <v>0.30716432936926369</v>
      </c>
      <c r="EY281" s="52">
        <f>SUMIFS(Leasing!32:32,Leasing!1:1,EY279)+SUMIFS(Leasing!41:41,Leasing!1:1,EY279)</f>
        <v>0.30716432936926369</v>
      </c>
      <c r="EZ281" s="52">
        <f>SUMIFS(Leasing!32:32,Leasing!1:1,EZ279)+SUMIFS(Leasing!41:41,Leasing!1:1,EZ279)</f>
        <v>0.30716432936926369</v>
      </c>
      <c r="FA281" s="52">
        <f>SUMIFS(Leasing!32:32,Leasing!1:1,FA279)+SUMIFS(Leasing!41:41,Leasing!1:1,FA279)</f>
        <v>0.30716432936926369</v>
      </c>
      <c r="FB281" s="52">
        <f>SUMIFS(Leasing!32:32,Leasing!1:1,FB279)+SUMIFS(Leasing!41:41,Leasing!1:1,FB279)</f>
        <v>0.30716432936926369</v>
      </c>
      <c r="FC281" s="52">
        <f>SUMIFS(Leasing!32:32,Leasing!1:1,FC279)+SUMIFS(Leasing!41:41,Leasing!1:1,FC279)</f>
        <v>0.30716432936926369</v>
      </c>
      <c r="FD281" s="52">
        <f>SUMIFS(Leasing!32:32,Leasing!1:1,FD279)+SUMIFS(Leasing!41:41,Leasing!1:1,FD279)</f>
        <v>0.30716432936926369</v>
      </c>
      <c r="FE281" s="52">
        <f>SUMIFS(Leasing!32:32,Leasing!1:1,FE279)+SUMIFS(Leasing!41:41,Leasing!1:1,FE279)</f>
        <v>0.30716432936926369</v>
      </c>
      <c r="FF281" s="52">
        <f>SUMIFS(Leasing!32:32,Leasing!1:1,FF279)+SUMIFS(Leasing!41:41,Leasing!1:1,FF279)</f>
        <v>0.32252254583772683</v>
      </c>
      <c r="FG281" s="52">
        <f>SUMIFS(Leasing!32:32,Leasing!1:1,FG279)+SUMIFS(Leasing!41:41,Leasing!1:1,FG279)</f>
        <v>0.32252254583772683</v>
      </c>
      <c r="FH281" s="52">
        <f>SUMIFS(Leasing!32:32,Leasing!1:1,FH279)+SUMIFS(Leasing!41:41,Leasing!1:1,FH279)</f>
        <v>0.32252254583772683</v>
      </c>
      <c r="FI281" s="52">
        <f>SUMIFS(Leasing!32:32,Leasing!1:1,FI279)+SUMIFS(Leasing!41:41,Leasing!1:1,FI279)</f>
        <v>0.32252254583772683</v>
      </c>
      <c r="FJ281" s="52">
        <f>SUMIFS(Leasing!32:32,Leasing!1:1,FJ279)+SUMIFS(Leasing!41:41,Leasing!1:1,FJ279)</f>
        <v>0.32252254583772683</v>
      </c>
      <c r="FK281" s="52">
        <f>SUMIFS(Leasing!32:32,Leasing!1:1,FK279)+SUMIFS(Leasing!41:41,Leasing!1:1,FK279)</f>
        <v>0.32252254583772683</v>
      </c>
      <c r="FL281" s="52">
        <f>SUMIFS(Leasing!32:32,Leasing!1:1,FL279)+SUMIFS(Leasing!41:41,Leasing!1:1,FL279)</f>
        <v>0.32252254583772683</v>
      </c>
      <c r="FM281" s="52">
        <f>SUMIFS(Leasing!32:32,Leasing!1:1,FM279)+SUMIFS(Leasing!41:41,Leasing!1:1,FM279)</f>
        <v>0.32252254583772683</v>
      </c>
      <c r="FN281" s="52">
        <f>SUMIFS(Leasing!32:32,Leasing!1:1,FN279)+SUMIFS(Leasing!41:41,Leasing!1:1,FN279)</f>
        <v>0.32252254583772683</v>
      </c>
      <c r="FO281" s="52">
        <f>SUMIFS(Leasing!32:32,Leasing!1:1,FO279)+SUMIFS(Leasing!41:41,Leasing!1:1,FO279)</f>
        <v>0.32252254583772683</v>
      </c>
      <c r="FP281" s="52">
        <f>SUMIFS(Leasing!32:32,Leasing!1:1,FP279)+SUMIFS(Leasing!41:41,Leasing!1:1,FP279)</f>
        <v>0.32252254583772683</v>
      </c>
      <c r="FQ281" s="52">
        <f>SUMIFS(Leasing!32:32,Leasing!1:1,FQ279)+SUMIFS(Leasing!41:41,Leasing!1:1,FQ279)</f>
        <v>0.32252254583772683</v>
      </c>
      <c r="FR281" s="52">
        <f>SUMIFS(Leasing!32:32,Leasing!1:1,FR279)+SUMIFS(Leasing!41:41,Leasing!1:1,FR279)</f>
        <v>0.33864867312961333</v>
      </c>
      <c r="FS281" s="52">
        <f>SUMIFS(Leasing!32:32,Leasing!1:1,FS279)+SUMIFS(Leasing!41:41,Leasing!1:1,FS279)</f>
        <v>0.33864867312961333</v>
      </c>
      <c r="FT281" s="52">
        <f>SUMIFS(Leasing!32:32,Leasing!1:1,FT279)+SUMIFS(Leasing!41:41,Leasing!1:1,FT279)</f>
        <v>0.33864867312961333</v>
      </c>
      <c r="FU281" s="52">
        <f>SUMIFS(Leasing!32:32,Leasing!1:1,FU279)+SUMIFS(Leasing!41:41,Leasing!1:1,FU279)</f>
        <v>0.33864867312961333</v>
      </c>
      <c r="FV281" s="52">
        <f>SUMIFS(Leasing!32:32,Leasing!1:1,FV279)+SUMIFS(Leasing!41:41,Leasing!1:1,FV279)</f>
        <v>0.33864867312961333</v>
      </c>
      <c r="FW281" s="52">
        <f>SUMIFS(Leasing!32:32,Leasing!1:1,FW279)+SUMIFS(Leasing!41:41,Leasing!1:1,FW279)</f>
        <v>0.33864867312961333</v>
      </c>
      <c r="FX281" s="52">
        <f>SUMIFS(Leasing!32:32,Leasing!1:1,FX279)+SUMIFS(Leasing!41:41,Leasing!1:1,FX279)</f>
        <v>0.33864867312961333</v>
      </c>
      <c r="FY281" s="52">
        <f>SUMIFS(Leasing!32:32,Leasing!1:1,FY279)+SUMIFS(Leasing!41:41,Leasing!1:1,FY279)</f>
        <v>0.33864867312961333</v>
      </c>
      <c r="FZ281" s="52">
        <f>SUMIFS(Leasing!32:32,Leasing!1:1,FZ279)+SUMIFS(Leasing!41:41,Leasing!1:1,FZ279)</f>
        <v>0.33864867312961333</v>
      </c>
      <c r="GA281" s="52">
        <f>SUMIFS(Leasing!32:32,Leasing!1:1,GA279)+SUMIFS(Leasing!41:41,Leasing!1:1,GA279)</f>
        <v>0.33864867312961333</v>
      </c>
      <c r="GB281" s="52">
        <f>SUMIFS(Leasing!32:32,Leasing!1:1,GB279)+SUMIFS(Leasing!41:41,Leasing!1:1,GB279)</f>
        <v>0.33864867312961333</v>
      </c>
      <c r="GC281" s="52">
        <f>SUMIFS(Leasing!32:32,Leasing!1:1,GC279)+SUMIFS(Leasing!41:41,Leasing!1:1,GC279)</f>
        <v>0.33864867312961333</v>
      </c>
      <c r="GD281" s="52">
        <f>SUMIFS(Leasing!32:32,Leasing!1:1,GD279)+SUMIFS(Leasing!41:41,Leasing!1:1,GD279)</f>
        <v>0.35558110678609395</v>
      </c>
      <c r="GE281" s="52">
        <f>SUMIFS(Leasing!32:32,Leasing!1:1,GE279)+SUMIFS(Leasing!41:41,Leasing!1:1,GE279)</f>
        <v>0.35558110678609395</v>
      </c>
      <c r="GF281" s="52">
        <f>SUMIFS(Leasing!32:32,Leasing!1:1,GF279)+SUMIFS(Leasing!41:41,Leasing!1:1,GF279)</f>
        <v>0.35558110678609395</v>
      </c>
      <c r="GG281" s="52">
        <f>SUMIFS(Leasing!32:32,Leasing!1:1,GG279)+SUMIFS(Leasing!41:41,Leasing!1:1,GG279)</f>
        <v>0.35558110678609395</v>
      </c>
      <c r="GH281" s="52">
        <f>SUMIFS(Leasing!32:32,Leasing!1:1,GH279)+SUMIFS(Leasing!41:41,Leasing!1:1,GH279)</f>
        <v>0.35558110678609395</v>
      </c>
      <c r="GI281" s="52">
        <f>SUMIFS(Leasing!32:32,Leasing!1:1,GI279)+SUMIFS(Leasing!41:41,Leasing!1:1,GI279)</f>
        <v>0.35558110678609395</v>
      </c>
      <c r="GJ281" s="52">
        <f>SUMIFS(Leasing!32:32,Leasing!1:1,GJ279)+SUMIFS(Leasing!41:41,Leasing!1:1,GJ279)</f>
        <v>0.35558110678609395</v>
      </c>
      <c r="GK281" s="52">
        <f>SUMIFS(Leasing!32:32,Leasing!1:1,GK279)+SUMIFS(Leasing!41:41,Leasing!1:1,GK279)</f>
        <v>0.35558110678609395</v>
      </c>
      <c r="GL281" s="52">
        <f>SUMIFS(Leasing!32:32,Leasing!1:1,GL279)+SUMIFS(Leasing!41:41,Leasing!1:1,GL279)</f>
        <v>0.35558110678609395</v>
      </c>
      <c r="GM281" s="52">
        <f>SUMIFS(Leasing!32:32,Leasing!1:1,GM279)+SUMIFS(Leasing!41:41,Leasing!1:1,GM279)</f>
        <v>0.35558110678609395</v>
      </c>
      <c r="GN281" s="52">
        <f>SUMIFS(Leasing!32:32,Leasing!1:1,GN279)+SUMIFS(Leasing!41:41,Leasing!1:1,GN279)</f>
        <v>0.35558110678609395</v>
      </c>
      <c r="GO281" s="52">
        <f>SUMIFS(Leasing!32:32,Leasing!1:1,GO279)+SUMIFS(Leasing!41:41,Leasing!1:1,GO279)</f>
        <v>0.35558110678609395</v>
      </c>
      <c r="GP281" s="52">
        <f>SUMIFS(Leasing!32:32,Leasing!1:1,GP279)+SUMIFS(Leasing!41:41,Leasing!1:1,GP279)</f>
        <v>0.37336016212539863</v>
      </c>
      <c r="GQ281" s="52">
        <f>SUMIFS(Leasing!32:32,Leasing!1:1,GQ279)+SUMIFS(Leasing!41:41,Leasing!1:1,GQ279)</f>
        <v>0.37336016212539863</v>
      </c>
      <c r="GR281" s="52">
        <f>SUMIFS(Leasing!32:32,Leasing!1:1,GR279)+SUMIFS(Leasing!41:41,Leasing!1:1,GR279)</f>
        <v>0.37336016212539863</v>
      </c>
      <c r="GS281" s="52">
        <f>SUMIFS(Leasing!32:32,Leasing!1:1,GS279)+SUMIFS(Leasing!41:41,Leasing!1:1,GS279)</f>
        <v>0.37336016212539863</v>
      </c>
      <c r="GT281" s="52">
        <f>SUMIFS(Leasing!32:32,Leasing!1:1,GT279)+SUMIFS(Leasing!41:41,Leasing!1:1,GT279)</f>
        <v>0.37336016212539863</v>
      </c>
      <c r="GU281" s="52">
        <f>SUMIFS(Leasing!32:32,Leasing!1:1,GU279)+SUMIFS(Leasing!41:41,Leasing!1:1,GU279)</f>
        <v>0.37336016212539863</v>
      </c>
      <c r="GV281" s="52">
        <f>SUMIFS(Leasing!32:32,Leasing!1:1,GV279)+SUMIFS(Leasing!41:41,Leasing!1:1,GV279)</f>
        <v>0.37336016212539863</v>
      </c>
      <c r="GW281" s="52">
        <f>SUMIFS(Leasing!32:32,Leasing!1:1,GW279)+SUMIFS(Leasing!41:41,Leasing!1:1,GW279)</f>
        <v>0.37336016212539863</v>
      </c>
      <c r="GX281" s="52">
        <f>SUMIFS(Leasing!32:32,Leasing!1:1,GX279)+SUMIFS(Leasing!41:41,Leasing!1:1,GX279)</f>
        <v>0.37336016212539863</v>
      </c>
      <c r="GY281" s="52">
        <f>SUMIFS(Leasing!32:32,Leasing!1:1,GY279)+SUMIFS(Leasing!41:41,Leasing!1:1,GY279)</f>
        <v>0.37336016212539863</v>
      </c>
      <c r="GZ281" s="52">
        <f>SUMIFS(Leasing!32:32,Leasing!1:1,GZ279)+SUMIFS(Leasing!41:41,Leasing!1:1,GZ279)</f>
        <v>0.37336016212539863</v>
      </c>
      <c r="HA281" s="52">
        <f>SUMIFS(Leasing!32:32,Leasing!1:1,HA279)+SUMIFS(Leasing!41:41,Leasing!1:1,HA279)</f>
        <v>0.37336016212539863</v>
      </c>
      <c r="HB281" s="52">
        <f>SUMIFS(Leasing!32:32,Leasing!1:1,HB279)+SUMIFS(Leasing!41:41,Leasing!1:1,HB279)</f>
        <v>0.39202817023166858</v>
      </c>
      <c r="HC281" s="52">
        <f>SUMIFS(Leasing!32:32,Leasing!1:1,HC279)+SUMIFS(Leasing!41:41,Leasing!1:1,HC279)</f>
        <v>0.39202817023166858</v>
      </c>
      <c r="HD281" s="52">
        <f>SUMIFS(Leasing!32:32,Leasing!1:1,HD279)+SUMIFS(Leasing!41:41,Leasing!1:1,HD279)</f>
        <v>0.39202817023166858</v>
      </c>
      <c r="HE281" s="52">
        <f>SUMIFS(Leasing!32:32,Leasing!1:1,HE279)+SUMIFS(Leasing!41:41,Leasing!1:1,HE279)</f>
        <v>0.39202817023166858</v>
      </c>
      <c r="HF281" s="52">
        <f>SUMIFS(Leasing!32:32,Leasing!1:1,HF279)+SUMIFS(Leasing!41:41,Leasing!1:1,HF279)</f>
        <v>0.39202817023166858</v>
      </c>
      <c r="HG281" s="52">
        <f>SUMIFS(Leasing!32:32,Leasing!1:1,HG279)+SUMIFS(Leasing!41:41,Leasing!1:1,HG279)</f>
        <v>0.39202817023166858</v>
      </c>
      <c r="HH281" s="52">
        <f>SUMIFS(Leasing!32:32,Leasing!1:1,HH279)+SUMIFS(Leasing!41:41,Leasing!1:1,HH279)</f>
        <v>0.39202817023166858</v>
      </c>
      <c r="HI281" s="52">
        <f>SUMIFS(Leasing!32:32,Leasing!1:1,HI279)+SUMIFS(Leasing!41:41,Leasing!1:1,HI279)</f>
        <v>0.39202817023166858</v>
      </c>
      <c r="HJ281" s="52">
        <f>SUMIFS(Leasing!32:32,Leasing!1:1,HJ279)+SUMIFS(Leasing!41:41,Leasing!1:1,HJ279)</f>
        <v>0.39202817023166858</v>
      </c>
      <c r="HK281" s="52">
        <f>SUMIFS(Leasing!32:32,Leasing!1:1,HK279)+SUMIFS(Leasing!41:41,Leasing!1:1,HK279)</f>
        <v>0.39202817023166858</v>
      </c>
      <c r="HL281" s="52">
        <f>SUMIFS(Leasing!32:32,Leasing!1:1,HL279)+SUMIFS(Leasing!41:41,Leasing!1:1,HL279)</f>
        <v>0.39202817023166858</v>
      </c>
      <c r="HM281" s="52">
        <f>SUMIFS(Leasing!32:32,Leasing!1:1,HM279)+SUMIFS(Leasing!41:41,Leasing!1:1,HM279)</f>
        <v>0.39202817023166858</v>
      </c>
      <c r="HN281" s="52">
        <f>SUMIFS(Leasing!32:32,Leasing!1:1,HN279)+SUMIFS(Leasing!41:41,Leasing!1:1,HN279)</f>
        <v>0.41162957874325207</v>
      </c>
      <c r="HO281" s="52">
        <f>SUMIFS(Leasing!32:32,Leasing!1:1,HO279)+SUMIFS(Leasing!41:41,Leasing!1:1,HO279)</f>
        <v>0.41162957874325207</v>
      </c>
      <c r="HP281" s="52">
        <f>SUMIFS(Leasing!32:32,Leasing!1:1,HP279)+SUMIFS(Leasing!41:41,Leasing!1:1,HP279)</f>
        <v>0.41162957874325207</v>
      </c>
      <c r="HQ281" s="52">
        <f>SUMIFS(Leasing!32:32,Leasing!1:1,HQ279)+SUMIFS(Leasing!41:41,Leasing!1:1,HQ279)</f>
        <v>0.41162957874325207</v>
      </c>
      <c r="HR281" s="52">
        <f>SUMIFS(Leasing!32:32,Leasing!1:1,HR279)+SUMIFS(Leasing!41:41,Leasing!1:1,HR279)</f>
        <v>0.41162957874325207</v>
      </c>
      <c r="HS281" s="52">
        <f>SUMIFS(Leasing!32:32,Leasing!1:1,HS279)+SUMIFS(Leasing!41:41,Leasing!1:1,HS279)</f>
        <v>0.41162957874325207</v>
      </c>
      <c r="HT281" s="52">
        <f>SUMIFS(Leasing!32:32,Leasing!1:1,HT279)+SUMIFS(Leasing!41:41,Leasing!1:1,HT279)</f>
        <v>0.41162957874325207</v>
      </c>
      <c r="HU281" s="52">
        <f>SUMIFS(Leasing!32:32,Leasing!1:1,HU279)+SUMIFS(Leasing!41:41,Leasing!1:1,HU279)</f>
        <v>0.41162957874325207</v>
      </c>
      <c r="HV281" s="52">
        <f>SUMIFS(Leasing!32:32,Leasing!1:1,HV279)+SUMIFS(Leasing!41:41,Leasing!1:1,HV279)</f>
        <v>0.41162957874325207</v>
      </c>
      <c r="HW281" s="52">
        <f>SUMIFS(Leasing!32:32,Leasing!1:1,HW279)+SUMIFS(Leasing!41:41,Leasing!1:1,HW279)</f>
        <v>0.41162957874325207</v>
      </c>
      <c r="HX281" s="52">
        <f>SUMIFS(Leasing!32:32,Leasing!1:1,HX279)+SUMIFS(Leasing!41:41,Leasing!1:1,HX279)</f>
        <v>0.41162957874325207</v>
      </c>
      <c r="HY281" s="52">
        <f>SUMIFS(Leasing!32:32,Leasing!1:1,HY279)+SUMIFS(Leasing!41:41,Leasing!1:1,HY279)</f>
        <v>0.41162957874325207</v>
      </c>
      <c r="HZ281" s="52">
        <f>SUMIFS(Leasing!32:32,Leasing!1:1,HZ279)+SUMIFS(Leasing!41:41,Leasing!1:1,HZ279)</f>
        <v>0.43221105768041468</v>
      </c>
      <c r="IA281" s="52">
        <f>SUMIFS(Leasing!32:32,Leasing!1:1,IA279)+SUMIFS(Leasing!41:41,Leasing!1:1,IA279)</f>
        <v>0.43221105768041468</v>
      </c>
      <c r="IB281" s="52">
        <f>SUMIFS(Leasing!32:32,Leasing!1:1,IB279)+SUMIFS(Leasing!41:41,Leasing!1:1,IB279)</f>
        <v>0.43221105768041468</v>
      </c>
      <c r="IC281" s="52">
        <f>SUMIFS(Leasing!32:32,Leasing!1:1,IC279)+SUMIFS(Leasing!41:41,Leasing!1:1,IC279)</f>
        <v>0.43221105768041468</v>
      </c>
      <c r="ID281" s="52">
        <f>SUMIFS(Leasing!32:32,Leasing!1:1,ID279)+SUMIFS(Leasing!41:41,Leasing!1:1,ID279)</f>
        <v>0.43221105768041468</v>
      </c>
      <c r="IE281" s="52">
        <f>SUMIFS(Leasing!32:32,Leasing!1:1,IE279)+SUMIFS(Leasing!41:41,Leasing!1:1,IE279)</f>
        <v>0.43221105768041468</v>
      </c>
      <c r="IF281" s="52">
        <f>SUMIFS(Leasing!32:32,Leasing!1:1,IF279)+SUMIFS(Leasing!41:41,Leasing!1:1,IF279)</f>
        <v>0.43221105768041468</v>
      </c>
      <c r="IG281" s="52">
        <f>SUMIFS(Leasing!32:32,Leasing!1:1,IG279)+SUMIFS(Leasing!41:41,Leasing!1:1,IG279)</f>
        <v>0.43221105768041468</v>
      </c>
      <c r="IH281" s="52">
        <f>SUMIFS(Leasing!32:32,Leasing!1:1,IH279)+SUMIFS(Leasing!41:41,Leasing!1:1,IH279)</f>
        <v>0.43221105768041468</v>
      </c>
      <c r="II281" s="52">
        <f>SUMIFS(Leasing!32:32,Leasing!1:1,II279)+SUMIFS(Leasing!41:41,Leasing!1:1,II279)</f>
        <v>0.43221105768041468</v>
      </c>
      <c r="IJ281" s="52">
        <f>SUMIFS(Leasing!32:32,Leasing!1:1,IJ279)+SUMIFS(Leasing!41:41,Leasing!1:1,IJ279)</f>
        <v>0.43221105768041468</v>
      </c>
      <c r="IK281" s="52">
        <f>SUMIFS(Leasing!32:32,Leasing!1:1,IK279)+SUMIFS(Leasing!41:41,Leasing!1:1,IK279)</f>
        <v>0.43221105768041468</v>
      </c>
      <c r="IL281" s="52">
        <f>SUMIFS(Leasing!32:32,Leasing!1:1,IL279)+SUMIFS(Leasing!41:41,Leasing!1:1,IL279)</f>
        <v>0.45382161056443543</v>
      </c>
      <c r="IM281" s="52">
        <f>SUMIFS(Leasing!32:32,Leasing!1:1,IM279)+SUMIFS(Leasing!41:41,Leasing!1:1,IM279)</f>
        <v>0.45382161056443543</v>
      </c>
      <c r="IN281" s="52">
        <f>SUMIFS(Leasing!32:32,Leasing!1:1,IN279)+SUMIFS(Leasing!41:41,Leasing!1:1,IN279)</f>
        <v>0.45382161056443543</v>
      </c>
      <c r="IO281" s="52">
        <f>SUMIFS(Leasing!32:32,Leasing!1:1,IO279)+SUMIFS(Leasing!41:41,Leasing!1:1,IO279)</f>
        <v>0.45382161056443543</v>
      </c>
      <c r="IP281" s="52">
        <f>SUMIFS(Leasing!32:32,Leasing!1:1,IP279)+SUMIFS(Leasing!41:41,Leasing!1:1,IP279)</f>
        <v>0.45382161056443543</v>
      </c>
      <c r="IQ281" s="52">
        <f>SUMIFS(Leasing!32:32,Leasing!1:1,IQ279)+SUMIFS(Leasing!41:41,Leasing!1:1,IQ279)</f>
        <v>0.45382161056443543</v>
      </c>
      <c r="IR281" s="52">
        <f>SUMIFS(Leasing!32:32,Leasing!1:1,IR279)+SUMIFS(Leasing!41:41,Leasing!1:1,IR279)</f>
        <v>0.45382161056443543</v>
      </c>
      <c r="IS281" s="52">
        <f>SUMIFS(Leasing!32:32,Leasing!1:1,IS279)+SUMIFS(Leasing!41:41,Leasing!1:1,IS279)</f>
        <v>0.45382161056443543</v>
      </c>
      <c r="IT281" s="52">
        <f>SUMIFS(Leasing!32:32,Leasing!1:1,IT279)+SUMIFS(Leasing!41:41,Leasing!1:1,IT279)</f>
        <v>0.45382161056443543</v>
      </c>
      <c r="IU281" s="52">
        <f>SUMIFS(Leasing!32:32,Leasing!1:1,IU279)+SUMIFS(Leasing!41:41,Leasing!1:1,IU279)</f>
        <v>0.45382161056443543</v>
      </c>
      <c r="IV281" s="52">
        <f>SUMIFS(Leasing!32:32,Leasing!1:1,IV279)+SUMIFS(Leasing!41:41,Leasing!1:1,IV279)</f>
        <v>0.45382161056443543</v>
      </c>
      <c r="IW281" s="52">
        <f>SUMIFS(Leasing!32:32,Leasing!1:1,IW279)+SUMIFS(Leasing!41:41,Leasing!1:1,IW279)</f>
        <v>0.45382161056443543</v>
      </c>
      <c r="IX281" s="52">
        <f>SUMIFS(Leasing!32:32,Leasing!1:1,IX279)+SUMIFS(Leasing!41:41,Leasing!1:1,IX279)</f>
        <v>0.4765126910926572</v>
      </c>
      <c r="IY281" s="52">
        <f>SUMIFS(Leasing!32:32,Leasing!1:1,IY279)+SUMIFS(Leasing!41:41,Leasing!1:1,IY279)</f>
        <v>0.4765126910926572</v>
      </c>
      <c r="IZ281" s="52">
        <f>SUMIFS(Leasing!32:32,Leasing!1:1,IZ279)+SUMIFS(Leasing!41:41,Leasing!1:1,IZ279)</f>
        <v>0.4765126910926572</v>
      </c>
      <c r="JA281" s="52">
        <f>SUMIFS(Leasing!32:32,Leasing!1:1,JA279)+SUMIFS(Leasing!41:41,Leasing!1:1,JA279)</f>
        <v>0.4765126910926572</v>
      </c>
      <c r="JB281" s="52">
        <f>SUMIFS(Leasing!32:32,Leasing!1:1,JB279)+SUMIFS(Leasing!41:41,Leasing!1:1,JB279)</f>
        <v>0.4765126910926572</v>
      </c>
      <c r="JC281" s="52">
        <f>SUMIFS(Leasing!32:32,Leasing!1:1,JC279)+SUMIFS(Leasing!41:41,Leasing!1:1,JC279)</f>
        <v>0.4765126910926572</v>
      </c>
      <c r="JD281" s="52">
        <f>SUMIFS(Leasing!32:32,Leasing!1:1,JD279)+SUMIFS(Leasing!41:41,Leasing!1:1,JD279)</f>
        <v>0.4765126910926572</v>
      </c>
      <c r="JE281" s="52">
        <f>SUMIFS(Leasing!32:32,Leasing!1:1,JE279)+SUMIFS(Leasing!41:41,Leasing!1:1,JE279)</f>
        <v>0.4765126910926572</v>
      </c>
      <c r="JF281" s="52">
        <f>SUMIFS(Leasing!32:32,Leasing!1:1,JF279)+SUMIFS(Leasing!41:41,Leasing!1:1,JF279)</f>
        <v>0.4765126910926572</v>
      </c>
      <c r="JG281" s="52">
        <f>SUMIFS(Leasing!32:32,Leasing!1:1,JG279)+SUMIFS(Leasing!41:41,Leasing!1:1,JG279)</f>
        <v>0.4765126910926572</v>
      </c>
      <c r="JH281" s="52">
        <f>SUMIFS(Leasing!32:32,Leasing!1:1,JH279)+SUMIFS(Leasing!41:41,Leasing!1:1,JH279)</f>
        <v>0.4765126910926572</v>
      </c>
      <c r="JI281" s="52">
        <f>SUMIFS(Leasing!32:32,Leasing!1:1,JI279)+SUMIFS(Leasing!41:41,Leasing!1:1,JI279)</f>
        <v>0.4765126910926572</v>
      </c>
      <c r="JJ281" s="539">
        <f>SUM(C281:JI281)</f>
        <v>72.560990446032477</v>
      </c>
      <c r="JK281" s="52"/>
      <c r="JL281" s="52"/>
      <c r="JM281" s="52"/>
      <c r="JN281" s="52"/>
      <c r="JO281" s="52"/>
    </row>
    <row r="282" spans="2:276" x14ac:dyDescent="0.3">
      <c r="B282" s="169" t="s">
        <v>326</v>
      </c>
      <c r="C282" s="52">
        <f>C281*$C$14</f>
        <v>0</v>
      </c>
      <c r="D282" s="52">
        <f t="shared" ref="D282:BO282" si="274">D281*$C$14</f>
        <v>0</v>
      </c>
      <c r="E282" s="52">
        <f t="shared" si="274"/>
        <v>0</v>
      </c>
      <c r="F282" s="52">
        <f t="shared" si="274"/>
        <v>0</v>
      </c>
      <c r="G282" s="52">
        <f t="shared" si="274"/>
        <v>0</v>
      </c>
      <c r="H282" s="52">
        <f t="shared" si="274"/>
        <v>0</v>
      </c>
      <c r="I282" s="52">
        <f t="shared" si="274"/>
        <v>0</v>
      </c>
      <c r="J282" s="52">
        <f t="shared" si="274"/>
        <v>0</v>
      </c>
      <c r="K282" s="52">
        <f t="shared" si="274"/>
        <v>0</v>
      </c>
      <c r="L282" s="52">
        <f t="shared" si="274"/>
        <v>0</v>
      </c>
      <c r="M282" s="52">
        <f t="shared" si="274"/>
        <v>0</v>
      </c>
      <c r="N282" s="52">
        <f t="shared" si="274"/>
        <v>0</v>
      </c>
      <c r="O282" s="52">
        <f t="shared" si="274"/>
        <v>0</v>
      </c>
      <c r="P282" s="52">
        <f t="shared" si="274"/>
        <v>0</v>
      </c>
      <c r="Q282" s="52">
        <f t="shared" si="274"/>
        <v>0</v>
      </c>
      <c r="R282" s="52">
        <f t="shared" si="274"/>
        <v>0</v>
      </c>
      <c r="S282" s="52">
        <f t="shared" si="274"/>
        <v>0</v>
      </c>
      <c r="T282" s="52">
        <f t="shared" si="274"/>
        <v>0</v>
      </c>
      <c r="U282" s="52">
        <f t="shared" si="274"/>
        <v>0</v>
      </c>
      <c r="V282" s="52">
        <f t="shared" si="274"/>
        <v>0</v>
      </c>
      <c r="W282" s="52">
        <f t="shared" si="274"/>
        <v>0</v>
      </c>
      <c r="X282" s="52">
        <f t="shared" si="274"/>
        <v>0</v>
      </c>
      <c r="Y282" s="52">
        <f t="shared" si="274"/>
        <v>0</v>
      </c>
      <c r="Z282" s="52">
        <f t="shared" si="274"/>
        <v>0</v>
      </c>
      <c r="AA282" s="52">
        <f t="shared" si="274"/>
        <v>0</v>
      </c>
      <c r="AB282" s="52">
        <f t="shared" si="274"/>
        <v>0</v>
      </c>
      <c r="AC282" s="52">
        <f t="shared" si="274"/>
        <v>0</v>
      </c>
      <c r="AD282" s="52">
        <f t="shared" si="274"/>
        <v>0</v>
      </c>
      <c r="AE282" s="52">
        <f t="shared" si="274"/>
        <v>0</v>
      </c>
      <c r="AF282" s="52">
        <f t="shared" si="274"/>
        <v>0</v>
      </c>
      <c r="AG282" s="52">
        <f t="shared" si="274"/>
        <v>0</v>
      </c>
      <c r="AH282" s="52">
        <f t="shared" si="274"/>
        <v>0</v>
      </c>
      <c r="AI282" s="52">
        <f t="shared" si="274"/>
        <v>0</v>
      </c>
      <c r="AJ282" s="52">
        <f t="shared" si="274"/>
        <v>0</v>
      </c>
      <c r="AK282" s="52">
        <f t="shared" si="274"/>
        <v>0</v>
      </c>
      <c r="AL282" s="52">
        <f t="shared" si="274"/>
        <v>0</v>
      </c>
      <c r="AM282" s="52">
        <f t="shared" si="274"/>
        <v>0</v>
      </c>
      <c r="AN282" s="52">
        <f t="shared" si="274"/>
        <v>0</v>
      </c>
      <c r="AO282" s="52">
        <f t="shared" si="274"/>
        <v>0</v>
      </c>
      <c r="AP282" s="52">
        <f t="shared" si="274"/>
        <v>9.9000432727743767E-3</v>
      </c>
      <c r="AQ282" s="52">
        <f t="shared" si="274"/>
        <v>9.9000432727743767E-3</v>
      </c>
      <c r="AR282" s="52">
        <f t="shared" si="274"/>
        <v>9.9000432727743767E-3</v>
      </c>
      <c r="AS282" s="52">
        <f t="shared" si="274"/>
        <v>9.9000432727743767E-3</v>
      </c>
      <c r="AT282" s="52">
        <f t="shared" si="274"/>
        <v>9.9000432727743767E-3</v>
      </c>
      <c r="AU282" s="52">
        <f t="shared" si="274"/>
        <v>9.9000432727743767E-3</v>
      </c>
      <c r="AV282" s="52">
        <f t="shared" si="274"/>
        <v>9.9000432727743767E-3</v>
      </c>
      <c r="AW282" s="52">
        <f t="shared" si="274"/>
        <v>9.9000432727743767E-3</v>
      </c>
      <c r="AX282" s="52">
        <f t="shared" si="274"/>
        <v>9.9000432727743767E-3</v>
      </c>
      <c r="AY282" s="52">
        <f t="shared" si="274"/>
        <v>9.9000432727743767E-3</v>
      </c>
      <c r="AZ282" s="52">
        <f t="shared" si="274"/>
        <v>9.9000432727743767E-3</v>
      </c>
      <c r="BA282" s="52">
        <f t="shared" si="274"/>
        <v>9.9000432727743767E-3</v>
      </c>
      <c r="BB282" s="52">
        <f t="shared" si="274"/>
        <v>1.0395045436413097E-2</v>
      </c>
      <c r="BC282" s="52">
        <f t="shared" si="274"/>
        <v>1.0395045436413097E-2</v>
      </c>
      <c r="BD282" s="52">
        <f t="shared" si="274"/>
        <v>1.0395045436413097E-2</v>
      </c>
      <c r="BE282" s="52">
        <f t="shared" si="274"/>
        <v>1.0395045436413097E-2</v>
      </c>
      <c r="BF282" s="52">
        <f t="shared" si="274"/>
        <v>1.0395045436413097E-2</v>
      </c>
      <c r="BG282" s="52">
        <f t="shared" si="274"/>
        <v>1.0395045436413097E-2</v>
      </c>
      <c r="BH282" s="52">
        <f t="shared" si="274"/>
        <v>1.0395045436413097E-2</v>
      </c>
      <c r="BI282" s="52">
        <f t="shared" si="274"/>
        <v>1.0395045436413097E-2</v>
      </c>
      <c r="BJ282" s="52">
        <f t="shared" si="274"/>
        <v>1.0395045436413097E-2</v>
      </c>
      <c r="BK282" s="52">
        <f t="shared" si="274"/>
        <v>1.0395045436413097E-2</v>
      </c>
      <c r="BL282" s="52">
        <f t="shared" si="274"/>
        <v>1.0395045436413097E-2</v>
      </c>
      <c r="BM282" s="52">
        <f t="shared" si="274"/>
        <v>1.0395045436413097E-2</v>
      </c>
      <c r="BN282" s="52">
        <f t="shared" si="274"/>
        <v>1.0914797708233752E-2</v>
      </c>
      <c r="BO282" s="52">
        <f t="shared" si="274"/>
        <v>1.0914797708233752E-2</v>
      </c>
      <c r="BP282" s="52">
        <f t="shared" ref="BP282:EA282" si="275">BP281*$C$14</f>
        <v>1.0914797708233752E-2</v>
      </c>
      <c r="BQ282" s="52">
        <f t="shared" si="275"/>
        <v>1.0914797708233752E-2</v>
      </c>
      <c r="BR282" s="52">
        <f t="shared" si="275"/>
        <v>1.0914797708233752E-2</v>
      </c>
      <c r="BS282" s="52">
        <f t="shared" si="275"/>
        <v>1.0914797708233752E-2</v>
      </c>
      <c r="BT282" s="52">
        <f t="shared" si="275"/>
        <v>1.0914797708233752E-2</v>
      </c>
      <c r="BU282" s="52">
        <f t="shared" si="275"/>
        <v>1.0914797708233752E-2</v>
      </c>
      <c r="BV282" s="52">
        <f t="shared" si="275"/>
        <v>1.0914797708233752E-2</v>
      </c>
      <c r="BW282" s="52">
        <f t="shared" si="275"/>
        <v>1.0914797708233752E-2</v>
      </c>
      <c r="BX282" s="52">
        <f t="shared" si="275"/>
        <v>1.0914797708233752E-2</v>
      </c>
      <c r="BY282" s="52">
        <f t="shared" si="275"/>
        <v>1.0914797708233752E-2</v>
      </c>
      <c r="BZ282" s="52">
        <f t="shared" si="275"/>
        <v>1.146053759364544E-2</v>
      </c>
      <c r="CA282" s="52">
        <f t="shared" si="275"/>
        <v>1.146053759364544E-2</v>
      </c>
      <c r="CB282" s="52">
        <f t="shared" si="275"/>
        <v>1.146053759364544E-2</v>
      </c>
      <c r="CC282" s="52">
        <f t="shared" si="275"/>
        <v>1.146053759364544E-2</v>
      </c>
      <c r="CD282" s="52">
        <f t="shared" si="275"/>
        <v>1.146053759364544E-2</v>
      </c>
      <c r="CE282" s="52">
        <f t="shared" si="275"/>
        <v>1.146053759364544E-2</v>
      </c>
      <c r="CF282" s="52">
        <f t="shared" si="275"/>
        <v>1.146053759364544E-2</v>
      </c>
      <c r="CG282" s="52">
        <f t="shared" si="275"/>
        <v>1.146053759364544E-2</v>
      </c>
      <c r="CH282" s="52">
        <f t="shared" si="275"/>
        <v>1.146053759364544E-2</v>
      </c>
      <c r="CI282" s="52">
        <f t="shared" si="275"/>
        <v>1.146053759364544E-2</v>
      </c>
      <c r="CJ282" s="52">
        <f t="shared" si="275"/>
        <v>1.146053759364544E-2</v>
      </c>
      <c r="CK282" s="52">
        <f t="shared" si="275"/>
        <v>1.146053759364544E-2</v>
      </c>
      <c r="CL282" s="52">
        <f t="shared" si="275"/>
        <v>1.203356447332771E-2</v>
      </c>
      <c r="CM282" s="52">
        <f t="shared" si="275"/>
        <v>1.203356447332771E-2</v>
      </c>
      <c r="CN282" s="52">
        <f t="shared" si="275"/>
        <v>1.203356447332771E-2</v>
      </c>
      <c r="CO282" s="52">
        <f t="shared" si="275"/>
        <v>1.203356447332771E-2</v>
      </c>
      <c r="CP282" s="52">
        <f t="shared" si="275"/>
        <v>1.203356447332771E-2</v>
      </c>
      <c r="CQ282" s="52">
        <f t="shared" si="275"/>
        <v>1.203356447332771E-2</v>
      </c>
      <c r="CR282" s="52">
        <f t="shared" si="275"/>
        <v>1.203356447332771E-2</v>
      </c>
      <c r="CS282" s="52">
        <f t="shared" si="275"/>
        <v>1.203356447332771E-2</v>
      </c>
      <c r="CT282" s="52">
        <f t="shared" si="275"/>
        <v>1.203356447332771E-2</v>
      </c>
      <c r="CU282" s="52">
        <f t="shared" si="275"/>
        <v>1.203356447332771E-2</v>
      </c>
      <c r="CV282" s="52">
        <f t="shared" si="275"/>
        <v>1.203356447332771E-2</v>
      </c>
      <c r="CW282" s="52">
        <f t="shared" si="275"/>
        <v>1.203356447332771E-2</v>
      </c>
      <c r="CX282" s="52">
        <f t="shared" si="275"/>
        <v>1.2635242696994096E-2</v>
      </c>
      <c r="CY282" s="52">
        <f t="shared" si="275"/>
        <v>1.2635242696994096E-2</v>
      </c>
      <c r="CZ282" s="52">
        <f t="shared" si="275"/>
        <v>1.2635242696994096E-2</v>
      </c>
      <c r="DA282" s="52">
        <f t="shared" si="275"/>
        <v>1.2635242696994096E-2</v>
      </c>
      <c r="DB282" s="52">
        <f t="shared" si="275"/>
        <v>1.2635242696994096E-2</v>
      </c>
      <c r="DC282" s="52">
        <f t="shared" si="275"/>
        <v>1.2635242696994096E-2</v>
      </c>
      <c r="DD282" s="52">
        <f t="shared" si="275"/>
        <v>1.2635242696994096E-2</v>
      </c>
      <c r="DE282" s="52">
        <f t="shared" si="275"/>
        <v>1.2635242696994096E-2</v>
      </c>
      <c r="DF282" s="52">
        <f t="shared" si="275"/>
        <v>1.2635242696994096E-2</v>
      </c>
      <c r="DG282" s="52">
        <f t="shared" si="275"/>
        <v>1.2635242696994096E-2</v>
      </c>
      <c r="DH282" s="52">
        <f t="shared" si="275"/>
        <v>1.2635242696994096E-2</v>
      </c>
      <c r="DI282" s="52">
        <f t="shared" si="275"/>
        <v>1.2635242696994096E-2</v>
      </c>
      <c r="DJ282" s="52">
        <f t="shared" si="275"/>
        <v>1.3267004831843805E-2</v>
      </c>
      <c r="DK282" s="52">
        <f t="shared" si="275"/>
        <v>1.3267004831843805E-2</v>
      </c>
      <c r="DL282" s="52">
        <f t="shared" si="275"/>
        <v>1.3267004831843805E-2</v>
      </c>
      <c r="DM282" s="52">
        <f t="shared" si="275"/>
        <v>1.3267004831843805E-2</v>
      </c>
      <c r="DN282" s="52">
        <f t="shared" si="275"/>
        <v>1.3267004831843805E-2</v>
      </c>
      <c r="DO282" s="52">
        <f t="shared" si="275"/>
        <v>1.3267004831843805E-2</v>
      </c>
      <c r="DP282" s="52">
        <f t="shared" si="275"/>
        <v>1.3267004831843805E-2</v>
      </c>
      <c r="DQ282" s="52">
        <f t="shared" si="275"/>
        <v>1.3267004831843805E-2</v>
      </c>
      <c r="DR282" s="52">
        <f t="shared" si="275"/>
        <v>1.3267004831843805E-2</v>
      </c>
      <c r="DS282" s="52">
        <f t="shared" si="275"/>
        <v>1.3267004831843805E-2</v>
      </c>
      <c r="DT282" s="52">
        <f t="shared" si="275"/>
        <v>1.3267004831843805E-2</v>
      </c>
      <c r="DU282" s="52">
        <f t="shared" si="275"/>
        <v>1.3267004831843805E-2</v>
      </c>
      <c r="DV282" s="52">
        <f t="shared" si="275"/>
        <v>1.3930355073435992E-2</v>
      </c>
      <c r="DW282" s="52">
        <f t="shared" si="275"/>
        <v>1.3930355073435992E-2</v>
      </c>
      <c r="DX282" s="52">
        <f t="shared" si="275"/>
        <v>1.3930355073435992E-2</v>
      </c>
      <c r="DY282" s="52">
        <f t="shared" si="275"/>
        <v>1.3930355073435992E-2</v>
      </c>
      <c r="DZ282" s="52">
        <f t="shared" si="275"/>
        <v>1.3930355073435992E-2</v>
      </c>
      <c r="EA282" s="52">
        <f t="shared" si="275"/>
        <v>1.3930355073435992E-2</v>
      </c>
      <c r="EB282" s="52">
        <f t="shared" ref="EB282:GM282" si="276">EB281*$C$14</f>
        <v>1.3930355073435992E-2</v>
      </c>
      <c r="EC282" s="52">
        <f t="shared" si="276"/>
        <v>1.3930355073435992E-2</v>
      </c>
      <c r="ED282" s="52">
        <f t="shared" si="276"/>
        <v>1.3930355073435992E-2</v>
      </c>
      <c r="EE282" s="52">
        <f t="shared" si="276"/>
        <v>1.3930355073435992E-2</v>
      </c>
      <c r="EF282" s="52">
        <f t="shared" si="276"/>
        <v>1.3930355073435992E-2</v>
      </c>
      <c r="EG282" s="52">
        <f t="shared" si="276"/>
        <v>1.3930355073435992E-2</v>
      </c>
      <c r="EH282" s="52">
        <f t="shared" si="276"/>
        <v>1.4626872827107796E-2</v>
      </c>
      <c r="EI282" s="52">
        <f t="shared" si="276"/>
        <v>1.4626872827107796E-2</v>
      </c>
      <c r="EJ282" s="52">
        <f t="shared" si="276"/>
        <v>1.4626872827107796E-2</v>
      </c>
      <c r="EK282" s="52">
        <f t="shared" si="276"/>
        <v>1.4626872827107796E-2</v>
      </c>
      <c r="EL282" s="52">
        <f t="shared" si="276"/>
        <v>1.4626872827107796E-2</v>
      </c>
      <c r="EM282" s="52">
        <f t="shared" si="276"/>
        <v>1.4626872827107796E-2</v>
      </c>
      <c r="EN282" s="52">
        <f t="shared" si="276"/>
        <v>1.4626872827107796E-2</v>
      </c>
      <c r="EO282" s="52">
        <f t="shared" si="276"/>
        <v>1.4626872827107796E-2</v>
      </c>
      <c r="EP282" s="52">
        <f t="shared" si="276"/>
        <v>1.4626872827107796E-2</v>
      </c>
      <c r="EQ282" s="52">
        <f t="shared" si="276"/>
        <v>1.4626872827107796E-2</v>
      </c>
      <c r="ER282" s="52">
        <f t="shared" si="276"/>
        <v>1.4626872827107796E-2</v>
      </c>
      <c r="ES282" s="52">
        <f t="shared" si="276"/>
        <v>1.4626872827107796E-2</v>
      </c>
      <c r="ET282" s="52">
        <f t="shared" si="276"/>
        <v>1.5358216468463186E-2</v>
      </c>
      <c r="EU282" s="52">
        <f t="shared" si="276"/>
        <v>1.5358216468463186E-2</v>
      </c>
      <c r="EV282" s="52">
        <f t="shared" si="276"/>
        <v>1.5358216468463186E-2</v>
      </c>
      <c r="EW282" s="52">
        <f t="shared" si="276"/>
        <v>1.5358216468463186E-2</v>
      </c>
      <c r="EX282" s="52">
        <f t="shared" si="276"/>
        <v>1.5358216468463186E-2</v>
      </c>
      <c r="EY282" s="52">
        <f t="shared" si="276"/>
        <v>1.5358216468463186E-2</v>
      </c>
      <c r="EZ282" s="52">
        <f t="shared" si="276"/>
        <v>1.5358216468463186E-2</v>
      </c>
      <c r="FA282" s="52">
        <f t="shared" si="276"/>
        <v>1.5358216468463186E-2</v>
      </c>
      <c r="FB282" s="52">
        <f t="shared" si="276"/>
        <v>1.5358216468463186E-2</v>
      </c>
      <c r="FC282" s="52">
        <f t="shared" si="276"/>
        <v>1.5358216468463186E-2</v>
      </c>
      <c r="FD282" s="52">
        <f t="shared" si="276"/>
        <v>1.5358216468463186E-2</v>
      </c>
      <c r="FE282" s="52">
        <f t="shared" si="276"/>
        <v>1.5358216468463186E-2</v>
      </c>
      <c r="FF282" s="52">
        <f t="shared" si="276"/>
        <v>1.6126127291886342E-2</v>
      </c>
      <c r="FG282" s="52">
        <f t="shared" si="276"/>
        <v>1.6126127291886342E-2</v>
      </c>
      <c r="FH282" s="52">
        <f t="shared" si="276"/>
        <v>1.6126127291886342E-2</v>
      </c>
      <c r="FI282" s="52">
        <f t="shared" si="276"/>
        <v>1.6126127291886342E-2</v>
      </c>
      <c r="FJ282" s="52">
        <f t="shared" si="276"/>
        <v>1.6126127291886342E-2</v>
      </c>
      <c r="FK282" s="52">
        <f t="shared" si="276"/>
        <v>1.6126127291886342E-2</v>
      </c>
      <c r="FL282" s="52">
        <f t="shared" si="276"/>
        <v>1.6126127291886342E-2</v>
      </c>
      <c r="FM282" s="52">
        <f t="shared" si="276"/>
        <v>1.6126127291886342E-2</v>
      </c>
      <c r="FN282" s="52">
        <f t="shared" si="276"/>
        <v>1.6126127291886342E-2</v>
      </c>
      <c r="FO282" s="52">
        <f t="shared" si="276"/>
        <v>1.6126127291886342E-2</v>
      </c>
      <c r="FP282" s="52">
        <f t="shared" si="276"/>
        <v>1.6126127291886342E-2</v>
      </c>
      <c r="FQ282" s="52">
        <f t="shared" si="276"/>
        <v>1.6126127291886342E-2</v>
      </c>
      <c r="FR282" s="52">
        <f t="shared" si="276"/>
        <v>1.6932433656480669E-2</v>
      </c>
      <c r="FS282" s="52">
        <f t="shared" si="276"/>
        <v>1.6932433656480669E-2</v>
      </c>
      <c r="FT282" s="52">
        <f t="shared" si="276"/>
        <v>1.6932433656480669E-2</v>
      </c>
      <c r="FU282" s="52">
        <f t="shared" si="276"/>
        <v>1.6932433656480669E-2</v>
      </c>
      <c r="FV282" s="52">
        <f t="shared" si="276"/>
        <v>1.6932433656480669E-2</v>
      </c>
      <c r="FW282" s="52">
        <f t="shared" si="276"/>
        <v>1.6932433656480669E-2</v>
      </c>
      <c r="FX282" s="52">
        <f t="shared" si="276"/>
        <v>1.6932433656480669E-2</v>
      </c>
      <c r="FY282" s="52">
        <f t="shared" si="276"/>
        <v>1.6932433656480669E-2</v>
      </c>
      <c r="FZ282" s="52">
        <f t="shared" si="276"/>
        <v>1.6932433656480669E-2</v>
      </c>
      <c r="GA282" s="52">
        <f t="shared" si="276"/>
        <v>1.6932433656480669E-2</v>
      </c>
      <c r="GB282" s="52">
        <f t="shared" si="276"/>
        <v>1.6932433656480669E-2</v>
      </c>
      <c r="GC282" s="52">
        <f t="shared" si="276"/>
        <v>1.6932433656480669E-2</v>
      </c>
      <c r="GD282" s="52">
        <f t="shared" si="276"/>
        <v>1.7779055339304697E-2</v>
      </c>
      <c r="GE282" s="52">
        <f t="shared" si="276"/>
        <v>1.7779055339304697E-2</v>
      </c>
      <c r="GF282" s="52">
        <f t="shared" si="276"/>
        <v>1.7779055339304697E-2</v>
      </c>
      <c r="GG282" s="52">
        <f t="shared" si="276"/>
        <v>1.7779055339304697E-2</v>
      </c>
      <c r="GH282" s="52">
        <f t="shared" si="276"/>
        <v>1.7779055339304697E-2</v>
      </c>
      <c r="GI282" s="52">
        <f t="shared" si="276"/>
        <v>1.7779055339304697E-2</v>
      </c>
      <c r="GJ282" s="52">
        <f t="shared" si="276"/>
        <v>1.7779055339304697E-2</v>
      </c>
      <c r="GK282" s="52">
        <f t="shared" si="276"/>
        <v>1.7779055339304697E-2</v>
      </c>
      <c r="GL282" s="52">
        <f t="shared" si="276"/>
        <v>1.7779055339304697E-2</v>
      </c>
      <c r="GM282" s="52">
        <f t="shared" si="276"/>
        <v>1.7779055339304697E-2</v>
      </c>
      <c r="GN282" s="52">
        <f t="shared" ref="GN282:IY282" si="277">GN281*$C$14</f>
        <v>1.7779055339304697E-2</v>
      </c>
      <c r="GO282" s="52">
        <f t="shared" si="277"/>
        <v>1.7779055339304697E-2</v>
      </c>
      <c r="GP282" s="52">
        <f t="shared" si="277"/>
        <v>1.8668008106269934E-2</v>
      </c>
      <c r="GQ282" s="52">
        <f t="shared" si="277"/>
        <v>1.8668008106269934E-2</v>
      </c>
      <c r="GR282" s="52">
        <f t="shared" si="277"/>
        <v>1.8668008106269934E-2</v>
      </c>
      <c r="GS282" s="52">
        <f t="shared" si="277"/>
        <v>1.8668008106269934E-2</v>
      </c>
      <c r="GT282" s="52">
        <f t="shared" si="277"/>
        <v>1.8668008106269934E-2</v>
      </c>
      <c r="GU282" s="52">
        <f t="shared" si="277"/>
        <v>1.8668008106269934E-2</v>
      </c>
      <c r="GV282" s="52">
        <f t="shared" si="277"/>
        <v>1.8668008106269934E-2</v>
      </c>
      <c r="GW282" s="52">
        <f t="shared" si="277"/>
        <v>1.8668008106269934E-2</v>
      </c>
      <c r="GX282" s="52">
        <f t="shared" si="277"/>
        <v>1.8668008106269934E-2</v>
      </c>
      <c r="GY282" s="52">
        <f t="shared" si="277"/>
        <v>1.8668008106269934E-2</v>
      </c>
      <c r="GZ282" s="52">
        <f t="shared" si="277"/>
        <v>1.8668008106269934E-2</v>
      </c>
      <c r="HA282" s="52">
        <f t="shared" si="277"/>
        <v>1.8668008106269934E-2</v>
      </c>
      <c r="HB282" s="52">
        <f t="shared" si="277"/>
        <v>1.9601408511583429E-2</v>
      </c>
      <c r="HC282" s="52">
        <f t="shared" si="277"/>
        <v>1.9601408511583429E-2</v>
      </c>
      <c r="HD282" s="52">
        <f t="shared" si="277"/>
        <v>1.9601408511583429E-2</v>
      </c>
      <c r="HE282" s="52">
        <f t="shared" si="277"/>
        <v>1.9601408511583429E-2</v>
      </c>
      <c r="HF282" s="52">
        <f t="shared" si="277"/>
        <v>1.9601408511583429E-2</v>
      </c>
      <c r="HG282" s="52">
        <f t="shared" si="277"/>
        <v>1.9601408511583429E-2</v>
      </c>
      <c r="HH282" s="52">
        <f t="shared" si="277"/>
        <v>1.9601408511583429E-2</v>
      </c>
      <c r="HI282" s="52">
        <f t="shared" si="277"/>
        <v>1.9601408511583429E-2</v>
      </c>
      <c r="HJ282" s="52">
        <f t="shared" si="277"/>
        <v>1.9601408511583429E-2</v>
      </c>
      <c r="HK282" s="52">
        <f t="shared" si="277"/>
        <v>1.9601408511583429E-2</v>
      </c>
      <c r="HL282" s="52">
        <f t="shared" si="277"/>
        <v>1.9601408511583429E-2</v>
      </c>
      <c r="HM282" s="52">
        <f t="shared" si="277"/>
        <v>1.9601408511583429E-2</v>
      </c>
      <c r="HN282" s="52">
        <f t="shared" si="277"/>
        <v>2.0581478937162605E-2</v>
      </c>
      <c r="HO282" s="52">
        <f t="shared" si="277"/>
        <v>2.0581478937162605E-2</v>
      </c>
      <c r="HP282" s="52">
        <f t="shared" si="277"/>
        <v>2.0581478937162605E-2</v>
      </c>
      <c r="HQ282" s="52">
        <f t="shared" si="277"/>
        <v>2.0581478937162605E-2</v>
      </c>
      <c r="HR282" s="52">
        <f t="shared" si="277"/>
        <v>2.0581478937162605E-2</v>
      </c>
      <c r="HS282" s="52">
        <f t="shared" si="277"/>
        <v>2.0581478937162605E-2</v>
      </c>
      <c r="HT282" s="52">
        <f t="shared" si="277"/>
        <v>2.0581478937162605E-2</v>
      </c>
      <c r="HU282" s="52">
        <f t="shared" si="277"/>
        <v>2.0581478937162605E-2</v>
      </c>
      <c r="HV282" s="52">
        <f t="shared" si="277"/>
        <v>2.0581478937162605E-2</v>
      </c>
      <c r="HW282" s="52">
        <f t="shared" si="277"/>
        <v>2.0581478937162605E-2</v>
      </c>
      <c r="HX282" s="52">
        <f t="shared" si="277"/>
        <v>2.0581478937162605E-2</v>
      </c>
      <c r="HY282" s="52">
        <f t="shared" si="277"/>
        <v>2.0581478937162605E-2</v>
      </c>
      <c r="HZ282" s="52">
        <f t="shared" si="277"/>
        <v>2.1610552884020737E-2</v>
      </c>
      <c r="IA282" s="52">
        <f t="shared" si="277"/>
        <v>2.1610552884020737E-2</v>
      </c>
      <c r="IB282" s="52">
        <f t="shared" si="277"/>
        <v>2.1610552884020737E-2</v>
      </c>
      <c r="IC282" s="52">
        <f t="shared" si="277"/>
        <v>2.1610552884020737E-2</v>
      </c>
      <c r="ID282" s="52">
        <f t="shared" si="277"/>
        <v>2.1610552884020737E-2</v>
      </c>
      <c r="IE282" s="52">
        <f t="shared" si="277"/>
        <v>2.1610552884020737E-2</v>
      </c>
      <c r="IF282" s="52">
        <f t="shared" si="277"/>
        <v>2.1610552884020737E-2</v>
      </c>
      <c r="IG282" s="52">
        <f t="shared" si="277"/>
        <v>2.1610552884020737E-2</v>
      </c>
      <c r="IH282" s="52">
        <f t="shared" si="277"/>
        <v>2.1610552884020737E-2</v>
      </c>
      <c r="II282" s="52">
        <f t="shared" si="277"/>
        <v>2.1610552884020737E-2</v>
      </c>
      <c r="IJ282" s="52">
        <f t="shared" si="277"/>
        <v>2.1610552884020737E-2</v>
      </c>
      <c r="IK282" s="52">
        <f t="shared" si="277"/>
        <v>2.1610552884020737E-2</v>
      </c>
      <c r="IL282" s="52">
        <f t="shared" si="277"/>
        <v>2.2691080528221774E-2</v>
      </c>
      <c r="IM282" s="52">
        <f t="shared" si="277"/>
        <v>2.2691080528221774E-2</v>
      </c>
      <c r="IN282" s="52">
        <f t="shared" si="277"/>
        <v>2.2691080528221774E-2</v>
      </c>
      <c r="IO282" s="52">
        <f t="shared" si="277"/>
        <v>2.2691080528221774E-2</v>
      </c>
      <c r="IP282" s="52">
        <f t="shared" si="277"/>
        <v>2.2691080528221774E-2</v>
      </c>
      <c r="IQ282" s="52">
        <f t="shared" si="277"/>
        <v>2.2691080528221774E-2</v>
      </c>
      <c r="IR282" s="52">
        <f t="shared" si="277"/>
        <v>2.2691080528221774E-2</v>
      </c>
      <c r="IS282" s="52">
        <f t="shared" si="277"/>
        <v>2.2691080528221774E-2</v>
      </c>
      <c r="IT282" s="52">
        <f t="shared" si="277"/>
        <v>2.2691080528221774E-2</v>
      </c>
      <c r="IU282" s="52">
        <f t="shared" si="277"/>
        <v>2.2691080528221774E-2</v>
      </c>
      <c r="IV282" s="52">
        <f t="shared" si="277"/>
        <v>2.2691080528221774E-2</v>
      </c>
      <c r="IW282" s="52">
        <f t="shared" si="277"/>
        <v>2.2691080528221774E-2</v>
      </c>
      <c r="IX282" s="52">
        <f t="shared" si="277"/>
        <v>2.3825634554632862E-2</v>
      </c>
      <c r="IY282" s="52">
        <f t="shared" si="277"/>
        <v>2.3825634554632862E-2</v>
      </c>
      <c r="IZ282" s="52">
        <f t="shared" ref="IZ282:JI282" si="278">IZ281*$C$14</f>
        <v>2.3825634554632862E-2</v>
      </c>
      <c r="JA282" s="52">
        <f t="shared" si="278"/>
        <v>2.3825634554632862E-2</v>
      </c>
      <c r="JB282" s="52">
        <f t="shared" si="278"/>
        <v>2.3825634554632862E-2</v>
      </c>
      <c r="JC282" s="52">
        <f t="shared" si="278"/>
        <v>2.3825634554632862E-2</v>
      </c>
      <c r="JD282" s="52">
        <f t="shared" si="278"/>
        <v>2.3825634554632862E-2</v>
      </c>
      <c r="JE282" s="52">
        <f t="shared" si="278"/>
        <v>2.3825634554632862E-2</v>
      </c>
      <c r="JF282" s="52">
        <f t="shared" si="278"/>
        <v>2.3825634554632862E-2</v>
      </c>
      <c r="JG282" s="52">
        <f t="shared" si="278"/>
        <v>2.3825634554632862E-2</v>
      </c>
      <c r="JH282" s="52">
        <f t="shared" si="278"/>
        <v>2.3825634554632862E-2</v>
      </c>
      <c r="JI282" s="52">
        <f t="shared" si="278"/>
        <v>2.3825634554632862E-2</v>
      </c>
      <c r="JJ282" s="539">
        <f>SUM(C282:JI282)</f>
        <v>3.6280495223016285</v>
      </c>
      <c r="JK282" s="52"/>
      <c r="JL282" s="52"/>
      <c r="JM282" s="52"/>
      <c r="JN282" s="52"/>
      <c r="JO282" s="52"/>
    </row>
    <row r="283" spans="2:276" x14ac:dyDescent="0.3">
      <c r="B283" s="169" t="s">
        <v>327</v>
      </c>
      <c r="C283" s="52">
        <f>C281*$C$140</f>
        <v>0</v>
      </c>
      <c r="D283" s="52">
        <f t="shared" ref="D283:BO283" si="279">D281*$C$15</f>
        <v>0</v>
      </c>
      <c r="E283" s="52">
        <f t="shared" si="279"/>
        <v>0</v>
      </c>
      <c r="F283" s="52">
        <f t="shared" si="279"/>
        <v>0</v>
      </c>
      <c r="G283" s="52">
        <f t="shared" si="279"/>
        <v>0</v>
      </c>
      <c r="H283" s="52">
        <f t="shared" si="279"/>
        <v>0</v>
      </c>
      <c r="I283" s="52">
        <f t="shared" si="279"/>
        <v>0</v>
      </c>
      <c r="J283" s="52">
        <f t="shared" si="279"/>
        <v>0</v>
      </c>
      <c r="K283" s="52">
        <f t="shared" si="279"/>
        <v>0</v>
      </c>
      <c r="L283" s="52">
        <f t="shared" si="279"/>
        <v>0</v>
      </c>
      <c r="M283" s="52">
        <f t="shared" si="279"/>
        <v>0</v>
      </c>
      <c r="N283" s="52">
        <f t="shared" si="279"/>
        <v>0</v>
      </c>
      <c r="O283" s="52">
        <f t="shared" si="279"/>
        <v>0</v>
      </c>
      <c r="P283" s="52">
        <f t="shared" si="279"/>
        <v>0</v>
      </c>
      <c r="Q283" s="52">
        <f t="shared" si="279"/>
        <v>0</v>
      </c>
      <c r="R283" s="52">
        <f t="shared" si="279"/>
        <v>0</v>
      </c>
      <c r="S283" s="52">
        <f t="shared" si="279"/>
        <v>0</v>
      </c>
      <c r="T283" s="52">
        <f t="shared" si="279"/>
        <v>0</v>
      </c>
      <c r="U283" s="52">
        <f t="shared" si="279"/>
        <v>0</v>
      </c>
      <c r="V283" s="52">
        <f t="shared" si="279"/>
        <v>0</v>
      </c>
      <c r="W283" s="52">
        <f t="shared" si="279"/>
        <v>0</v>
      </c>
      <c r="X283" s="52">
        <f t="shared" si="279"/>
        <v>0</v>
      </c>
      <c r="Y283" s="52">
        <f t="shared" si="279"/>
        <v>0</v>
      </c>
      <c r="Z283" s="52">
        <f t="shared" si="279"/>
        <v>0</v>
      </c>
      <c r="AA283" s="52">
        <f t="shared" si="279"/>
        <v>0</v>
      </c>
      <c r="AB283" s="52">
        <f t="shared" si="279"/>
        <v>0</v>
      </c>
      <c r="AC283" s="52">
        <f t="shared" si="279"/>
        <v>0</v>
      </c>
      <c r="AD283" s="52">
        <f t="shared" si="279"/>
        <v>0</v>
      </c>
      <c r="AE283" s="52">
        <f t="shared" si="279"/>
        <v>0</v>
      </c>
      <c r="AF283" s="52">
        <f t="shared" si="279"/>
        <v>0</v>
      </c>
      <c r="AG283" s="52">
        <f t="shared" si="279"/>
        <v>0</v>
      </c>
      <c r="AH283" s="52">
        <f t="shared" si="279"/>
        <v>0</v>
      </c>
      <c r="AI283" s="52">
        <f t="shared" si="279"/>
        <v>0</v>
      </c>
      <c r="AJ283" s="52">
        <f t="shared" si="279"/>
        <v>0</v>
      </c>
      <c r="AK283" s="52">
        <f t="shared" si="279"/>
        <v>0</v>
      </c>
      <c r="AL283" s="52">
        <f t="shared" si="279"/>
        <v>0</v>
      </c>
      <c r="AM283" s="52">
        <f t="shared" si="279"/>
        <v>0</v>
      </c>
      <c r="AN283" s="52">
        <f t="shared" si="279"/>
        <v>0</v>
      </c>
      <c r="AO283" s="52">
        <f t="shared" si="279"/>
        <v>0</v>
      </c>
      <c r="AP283" s="52">
        <f t="shared" si="279"/>
        <v>9.9000432727743767E-3</v>
      </c>
      <c r="AQ283" s="52">
        <f t="shared" si="279"/>
        <v>9.9000432727743767E-3</v>
      </c>
      <c r="AR283" s="52">
        <f t="shared" si="279"/>
        <v>9.9000432727743767E-3</v>
      </c>
      <c r="AS283" s="52">
        <f t="shared" si="279"/>
        <v>9.9000432727743767E-3</v>
      </c>
      <c r="AT283" s="52">
        <f t="shared" si="279"/>
        <v>9.9000432727743767E-3</v>
      </c>
      <c r="AU283" s="52">
        <f t="shared" si="279"/>
        <v>9.9000432727743767E-3</v>
      </c>
      <c r="AV283" s="52">
        <f t="shared" si="279"/>
        <v>9.9000432727743767E-3</v>
      </c>
      <c r="AW283" s="52">
        <f t="shared" si="279"/>
        <v>9.9000432727743767E-3</v>
      </c>
      <c r="AX283" s="52">
        <f t="shared" si="279"/>
        <v>9.9000432727743767E-3</v>
      </c>
      <c r="AY283" s="52">
        <f t="shared" si="279"/>
        <v>9.9000432727743767E-3</v>
      </c>
      <c r="AZ283" s="52">
        <f t="shared" si="279"/>
        <v>9.9000432727743767E-3</v>
      </c>
      <c r="BA283" s="52">
        <f t="shared" si="279"/>
        <v>9.9000432727743767E-3</v>
      </c>
      <c r="BB283" s="52">
        <f t="shared" si="279"/>
        <v>1.0395045436413097E-2</v>
      </c>
      <c r="BC283" s="52">
        <f t="shared" si="279"/>
        <v>1.0395045436413097E-2</v>
      </c>
      <c r="BD283" s="52">
        <f t="shared" si="279"/>
        <v>1.0395045436413097E-2</v>
      </c>
      <c r="BE283" s="52">
        <f t="shared" si="279"/>
        <v>1.0395045436413097E-2</v>
      </c>
      <c r="BF283" s="52">
        <f t="shared" si="279"/>
        <v>1.0395045436413097E-2</v>
      </c>
      <c r="BG283" s="52">
        <f t="shared" si="279"/>
        <v>1.0395045436413097E-2</v>
      </c>
      <c r="BH283" s="52">
        <f t="shared" si="279"/>
        <v>1.0395045436413097E-2</v>
      </c>
      <c r="BI283" s="52">
        <f t="shared" si="279"/>
        <v>1.0395045436413097E-2</v>
      </c>
      <c r="BJ283" s="52">
        <f t="shared" si="279"/>
        <v>1.0395045436413097E-2</v>
      </c>
      <c r="BK283" s="52">
        <f t="shared" si="279"/>
        <v>1.0395045436413097E-2</v>
      </c>
      <c r="BL283" s="52">
        <f t="shared" si="279"/>
        <v>1.0395045436413097E-2</v>
      </c>
      <c r="BM283" s="52">
        <f t="shared" si="279"/>
        <v>1.0395045436413097E-2</v>
      </c>
      <c r="BN283" s="52">
        <f t="shared" si="279"/>
        <v>1.0914797708233752E-2</v>
      </c>
      <c r="BO283" s="52">
        <f t="shared" si="279"/>
        <v>1.0914797708233752E-2</v>
      </c>
      <c r="BP283" s="52">
        <f t="shared" ref="BP283:EA283" si="280">BP281*$C$15</f>
        <v>1.0914797708233752E-2</v>
      </c>
      <c r="BQ283" s="52">
        <f t="shared" si="280"/>
        <v>1.0914797708233752E-2</v>
      </c>
      <c r="BR283" s="52">
        <f t="shared" si="280"/>
        <v>1.0914797708233752E-2</v>
      </c>
      <c r="BS283" s="52">
        <f t="shared" si="280"/>
        <v>1.0914797708233752E-2</v>
      </c>
      <c r="BT283" s="52">
        <f t="shared" si="280"/>
        <v>1.0914797708233752E-2</v>
      </c>
      <c r="BU283" s="52">
        <f t="shared" si="280"/>
        <v>1.0914797708233752E-2</v>
      </c>
      <c r="BV283" s="52">
        <f t="shared" si="280"/>
        <v>1.0914797708233752E-2</v>
      </c>
      <c r="BW283" s="52">
        <f t="shared" si="280"/>
        <v>1.0914797708233752E-2</v>
      </c>
      <c r="BX283" s="52">
        <f t="shared" si="280"/>
        <v>1.0914797708233752E-2</v>
      </c>
      <c r="BY283" s="52">
        <f t="shared" si="280"/>
        <v>1.0914797708233752E-2</v>
      </c>
      <c r="BZ283" s="52">
        <f t="shared" si="280"/>
        <v>1.146053759364544E-2</v>
      </c>
      <c r="CA283" s="52">
        <f t="shared" si="280"/>
        <v>1.146053759364544E-2</v>
      </c>
      <c r="CB283" s="52">
        <f t="shared" si="280"/>
        <v>1.146053759364544E-2</v>
      </c>
      <c r="CC283" s="52">
        <f t="shared" si="280"/>
        <v>1.146053759364544E-2</v>
      </c>
      <c r="CD283" s="52">
        <f t="shared" si="280"/>
        <v>1.146053759364544E-2</v>
      </c>
      <c r="CE283" s="52">
        <f t="shared" si="280"/>
        <v>1.146053759364544E-2</v>
      </c>
      <c r="CF283" s="52">
        <f t="shared" si="280"/>
        <v>1.146053759364544E-2</v>
      </c>
      <c r="CG283" s="52">
        <f t="shared" si="280"/>
        <v>1.146053759364544E-2</v>
      </c>
      <c r="CH283" s="52">
        <f t="shared" si="280"/>
        <v>1.146053759364544E-2</v>
      </c>
      <c r="CI283" s="52">
        <f t="shared" si="280"/>
        <v>1.146053759364544E-2</v>
      </c>
      <c r="CJ283" s="52">
        <f t="shared" si="280"/>
        <v>1.146053759364544E-2</v>
      </c>
      <c r="CK283" s="52">
        <f t="shared" si="280"/>
        <v>1.146053759364544E-2</v>
      </c>
      <c r="CL283" s="52">
        <f t="shared" si="280"/>
        <v>1.203356447332771E-2</v>
      </c>
      <c r="CM283" s="52">
        <f t="shared" si="280"/>
        <v>1.203356447332771E-2</v>
      </c>
      <c r="CN283" s="52">
        <f t="shared" si="280"/>
        <v>1.203356447332771E-2</v>
      </c>
      <c r="CO283" s="52">
        <f t="shared" si="280"/>
        <v>1.203356447332771E-2</v>
      </c>
      <c r="CP283" s="52">
        <f t="shared" si="280"/>
        <v>1.203356447332771E-2</v>
      </c>
      <c r="CQ283" s="52">
        <f t="shared" si="280"/>
        <v>1.203356447332771E-2</v>
      </c>
      <c r="CR283" s="52">
        <f t="shared" si="280"/>
        <v>1.203356447332771E-2</v>
      </c>
      <c r="CS283" s="52">
        <f t="shared" si="280"/>
        <v>1.203356447332771E-2</v>
      </c>
      <c r="CT283" s="52">
        <f t="shared" si="280"/>
        <v>1.203356447332771E-2</v>
      </c>
      <c r="CU283" s="52">
        <f t="shared" si="280"/>
        <v>1.203356447332771E-2</v>
      </c>
      <c r="CV283" s="52">
        <f t="shared" si="280"/>
        <v>1.203356447332771E-2</v>
      </c>
      <c r="CW283" s="52">
        <f t="shared" si="280"/>
        <v>1.203356447332771E-2</v>
      </c>
      <c r="CX283" s="52">
        <f t="shared" si="280"/>
        <v>1.2635242696994096E-2</v>
      </c>
      <c r="CY283" s="52">
        <f t="shared" si="280"/>
        <v>1.2635242696994096E-2</v>
      </c>
      <c r="CZ283" s="52">
        <f t="shared" si="280"/>
        <v>1.2635242696994096E-2</v>
      </c>
      <c r="DA283" s="52">
        <f t="shared" si="280"/>
        <v>1.2635242696994096E-2</v>
      </c>
      <c r="DB283" s="52">
        <f t="shared" si="280"/>
        <v>1.2635242696994096E-2</v>
      </c>
      <c r="DC283" s="52">
        <f t="shared" si="280"/>
        <v>1.2635242696994096E-2</v>
      </c>
      <c r="DD283" s="52">
        <f t="shared" si="280"/>
        <v>1.2635242696994096E-2</v>
      </c>
      <c r="DE283" s="52">
        <f t="shared" si="280"/>
        <v>1.2635242696994096E-2</v>
      </c>
      <c r="DF283" s="52">
        <f t="shared" si="280"/>
        <v>1.2635242696994096E-2</v>
      </c>
      <c r="DG283" s="52">
        <f t="shared" si="280"/>
        <v>1.2635242696994096E-2</v>
      </c>
      <c r="DH283" s="52">
        <f t="shared" si="280"/>
        <v>1.2635242696994096E-2</v>
      </c>
      <c r="DI283" s="52">
        <f t="shared" si="280"/>
        <v>1.2635242696994096E-2</v>
      </c>
      <c r="DJ283" s="52">
        <f t="shared" si="280"/>
        <v>1.3267004831843805E-2</v>
      </c>
      <c r="DK283" s="52">
        <f t="shared" si="280"/>
        <v>1.3267004831843805E-2</v>
      </c>
      <c r="DL283" s="52">
        <f t="shared" si="280"/>
        <v>1.3267004831843805E-2</v>
      </c>
      <c r="DM283" s="52">
        <f t="shared" si="280"/>
        <v>1.3267004831843805E-2</v>
      </c>
      <c r="DN283" s="52">
        <f t="shared" si="280"/>
        <v>1.3267004831843805E-2</v>
      </c>
      <c r="DO283" s="52">
        <f t="shared" si="280"/>
        <v>1.3267004831843805E-2</v>
      </c>
      <c r="DP283" s="52">
        <f t="shared" si="280"/>
        <v>1.3267004831843805E-2</v>
      </c>
      <c r="DQ283" s="52">
        <f t="shared" si="280"/>
        <v>1.3267004831843805E-2</v>
      </c>
      <c r="DR283" s="52">
        <f t="shared" si="280"/>
        <v>1.3267004831843805E-2</v>
      </c>
      <c r="DS283" s="52">
        <f t="shared" si="280"/>
        <v>1.3267004831843805E-2</v>
      </c>
      <c r="DT283" s="52">
        <f t="shared" si="280"/>
        <v>1.3267004831843805E-2</v>
      </c>
      <c r="DU283" s="52">
        <f t="shared" si="280"/>
        <v>1.3267004831843805E-2</v>
      </c>
      <c r="DV283" s="52">
        <f t="shared" si="280"/>
        <v>1.3930355073435992E-2</v>
      </c>
      <c r="DW283" s="52">
        <f t="shared" si="280"/>
        <v>1.3930355073435992E-2</v>
      </c>
      <c r="DX283" s="52">
        <f t="shared" si="280"/>
        <v>1.3930355073435992E-2</v>
      </c>
      <c r="DY283" s="52">
        <f t="shared" si="280"/>
        <v>1.3930355073435992E-2</v>
      </c>
      <c r="DZ283" s="52">
        <f t="shared" si="280"/>
        <v>1.3930355073435992E-2</v>
      </c>
      <c r="EA283" s="52">
        <f t="shared" si="280"/>
        <v>1.3930355073435992E-2</v>
      </c>
      <c r="EB283" s="52">
        <f t="shared" ref="EB283:GM283" si="281">EB281*$C$15</f>
        <v>1.3930355073435992E-2</v>
      </c>
      <c r="EC283" s="52">
        <f t="shared" si="281"/>
        <v>1.3930355073435992E-2</v>
      </c>
      <c r="ED283" s="52">
        <f t="shared" si="281"/>
        <v>1.3930355073435992E-2</v>
      </c>
      <c r="EE283" s="52">
        <f t="shared" si="281"/>
        <v>1.3930355073435992E-2</v>
      </c>
      <c r="EF283" s="52">
        <f t="shared" si="281"/>
        <v>1.3930355073435992E-2</v>
      </c>
      <c r="EG283" s="52">
        <f t="shared" si="281"/>
        <v>1.3930355073435992E-2</v>
      </c>
      <c r="EH283" s="52">
        <f t="shared" si="281"/>
        <v>1.4626872827107796E-2</v>
      </c>
      <c r="EI283" s="52">
        <f t="shared" si="281"/>
        <v>1.4626872827107796E-2</v>
      </c>
      <c r="EJ283" s="52">
        <f t="shared" si="281"/>
        <v>1.4626872827107796E-2</v>
      </c>
      <c r="EK283" s="52">
        <f t="shared" si="281"/>
        <v>1.4626872827107796E-2</v>
      </c>
      <c r="EL283" s="52">
        <f t="shared" si="281"/>
        <v>1.4626872827107796E-2</v>
      </c>
      <c r="EM283" s="52">
        <f t="shared" si="281"/>
        <v>1.4626872827107796E-2</v>
      </c>
      <c r="EN283" s="52">
        <f t="shared" si="281"/>
        <v>1.4626872827107796E-2</v>
      </c>
      <c r="EO283" s="52">
        <f t="shared" si="281"/>
        <v>1.4626872827107796E-2</v>
      </c>
      <c r="EP283" s="52">
        <f t="shared" si="281"/>
        <v>1.4626872827107796E-2</v>
      </c>
      <c r="EQ283" s="52">
        <f t="shared" si="281"/>
        <v>1.4626872827107796E-2</v>
      </c>
      <c r="ER283" s="52">
        <f t="shared" si="281"/>
        <v>1.4626872827107796E-2</v>
      </c>
      <c r="ES283" s="52">
        <f t="shared" si="281"/>
        <v>1.4626872827107796E-2</v>
      </c>
      <c r="ET283" s="52">
        <f t="shared" si="281"/>
        <v>1.5358216468463186E-2</v>
      </c>
      <c r="EU283" s="52">
        <f t="shared" si="281"/>
        <v>1.5358216468463186E-2</v>
      </c>
      <c r="EV283" s="52">
        <f t="shared" si="281"/>
        <v>1.5358216468463186E-2</v>
      </c>
      <c r="EW283" s="52">
        <f t="shared" si="281"/>
        <v>1.5358216468463186E-2</v>
      </c>
      <c r="EX283" s="52">
        <f t="shared" si="281"/>
        <v>1.5358216468463186E-2</v>
      </c>
      <c r="EY283" s="52">
        <f t="shared" si="281"/>
        <v>1.5358216468463186E-2</v>
      </c>
      <c r="EZ283" s="52">
        <f t="shared" si="281"/>
        <v>1.5358216468463186E-2</v>
      </c>
      <c r="FA283" s="52">
        <f t="shared" si="281"/>
        <v>1.5358216468463186E-2</v>
      </c>
      <c r="FB283" s="52">
        <f t="shared" si="281"/>
        <v>1.5358216468463186E-2</v>
      </c>
      <c r="FC283" s="52">
        <f t="shared" si="281"/>
        <v>1.5358216468463186E-2</v>
      </c>
      <c r="FD283" s="52">
        <f t="shared" si="281"/>
        <v>1.5358216468463186E-2</v>
      </c>
      <c r="FE283" s="52">
        <f t="shared" si="281"/>
        <v>1.5358216468463186E-2</v>
      </c>
      <c r="FF283" s="52">
        <f t="shared" si="281"/>
        <v>1.6126127291886342E-2</v>
      </c>
      <c r="FG283" s="52">
        <f t="shared" si="281"/>
        <v>1.6126127291886342E-2</v>
      </c>
      <c r="FH283" s="52">
        <f t="shared" si="281"/>
        <v>1.6126127291886342E-2</v>
      </c>
      <c r="FI283" s="52">
        <f t="shared" si="281"/>
        <v>1.6126127291886342E-2</v>
      </c>
      <c r="FJ283" s="52">
        <f t="shared" si="281"/>
        <v>1.6126127291886342E-2</v>
      </c>
      <c r="FK283" s="52">
        <f t="shared" si="281"/>
        <v>1.6126127291886342E-2</v>
      </c>
      <c r="FL283" s="52">
        <f t="shared" si="281"/>
        <v>1.6126127291886342E-2</v>
      </c>
      <c r="FM283" s="52">
        <f t="shared" si="281"/>
        <v>1.6126127291886342E-2</v>
      </c>
      <c r="FN283" s="52">
        <f t="shared" si="281"/>
        <v>1.6126127291886342E-2</v>
      </c>
      <c r="FO283" s="52">
        <f t="shared" si="281"/>
        <v>1.6126127291886342E-2</v>
      </c>
      <c r="FP283" s="52">
        <f t="shared" si="281"/>
        <v>1.6126127291886342E-2</v>
      </c>
      <c r="FQ283" s="52">
        <f t="shared" si="281"/>
        <v>1.6126127291886342E-2</v>
      </c>
      <c r="FR283" s="52">
        <f t="shared" si="281"/>
        <v>1.6932433656480669E-2</v>
      </c>
      <c r="FS283" s="52">
        <f t="shared" si="281"/>
        <v>1.6932433656480669E-2</v>
      </c>
      <c r="FT283" s="52">
        <f t="shared" si="281"/>
        <v>1.6932433656480669E-2</v>
      </c>
      <c r="FU283" s="52">
        <f t="shared" si="281"/>
        <v>1.6932433656480669E-2</v>
      </c>
      <c r="FV283" s="52">
        <f t="shared" si="281"/>
        <v>1.6932433656480669E-2</v>
      </c>
      <c r="FW283" s="52">
        <f t="shared" si="281"/>
        <v>1.6932433656480669E-2</v>
      </c>
      <c r="FX283" s="52">
        <f t="shared" si="281"/>
        <v>1.6932433656480669E-2</v>
      </c>
      <c r="FY283" s="52">
        <f t="shared" si="281"/>
        <v>1.6932433656480669E-2</v>
      </c>
      <c r="FZ283" s="52">
        <f t="shared" si="281"/>
        <v>1.6932433656480669E-2</v>
      </c>
      <c r="GA283" s="52">
        <f t="shared" si="281"/>
        <v>1.6932433656480669E-2</v>
      </c>
      <c r="GB283" s="52">
        <f t="shared" si="281"/>
        <v>1.6932433656480669E-2</v>
      </c>
      <c r="GC283" s="52">
        <f t="shared" si="281"/>
        <v>1.6932433656480669E-2</v>
      </c>
      <c r="GD283" s="52">
        <f t="shared" si="281"/>
        <v>1.7779055339304697E-2</v>
      </c>
      <c r="GE283" s="52">
        <f t="shared" si="281"/>
        <v>1.7779055339304697E-2</v>
      </c>
      <c r="GF283" s="52">
        <f t="shared" si="281"/>
        <v>1.7779055339304697E-2</v>
      </c>
      <c r="GG283" s="52">
        <f t="shared" si="281"/>
        <v>1.7779055339304697E-2</v>
      </c>
      <c r="GH283" s="52">
        <f t="shared" si="281"/>
        <v>1.7779055339304697E-2</v>
      </c>
      <c r="GI283" s="52">
        <f t="shared" si="281"/>
        <v>1.7779055339304697E-2</v>
      </c>
      <c r="GJ283" s="52">
        <f t="shared" si="281"/>
        <v>1.7779055339304697E-2</v>
      </c>
      <c r="GK283" s="52">
        <f t="shared" si="281"/>
        <v>1.7779055339304697E-2</v>
      </c>
      <c r="GL283" s="52">
        <f t="shared" si="281"/>
        <v>1.7779055339304697E-2</v>
      </c>
      <c r="GM283" s="52">
        <f t="shared" si="281"/>
        <v>1.7779055339304697E-2</v>
      </c>
      <c r="GN283" s="52">
        <f t="shared" ref="GN283:IY283" si="282">GN281*$C$15</f>
        <v>1.7779055339304697E-2</v>
      </c>
      <c r="GO283" s="52">
        <f t="shared" si="282"/>
        <v>1.7779055339304697E-2</v>
      </c>
      <c r="GP283" s="52">
        <f t="shared" si="282"/>
        <v>1.8668008106269934E-2</v>
      </c>
      <c r="GQ283" s="52">
        <f t="shared" si="282"/>
        <v>1.8668008106269934E-2</v>
      </c>
      <c r="GR283" s="52">
        <f t="shared" si="282"/>
        <v>1.8668008106269934E-2</v>
      </c>
      <c r="GS283" s="52">
        <f t="shared" si="282"/>
        <v>1.8668008106269934E-2</v>
      </c>
      <c r="GT283" s="52">
        <f t="shared" si="282"/>
        <v>1.8668008106269934E-2</v>
      </c>
      <c r="GU283" s="52">
        <f t="shared" si="282"/>
        <v>1.8668008106269934E-2</v>
      </c>
      <c r="GV283" s="52">
        <f t="shared" si="282"/>
        <v>1.8668008106269934E-2</v>
      </c>
      <c r="GW283" s="52">
        <f t="shared" si="282"/>
        <v>1.8668008106269934E-2</v>
      </c>
      <c r="GX283" s="52">
        <f t="shared" si="282"/>
        <v>1.8668008106269934E-2</v>
      </c>
      <c r="GY283" s="52">
        <f t="shared" si="282"/>
        <v>1.8668008106269934E-2</v>
      </c>
      <c r="GZ283" s="52">
        <f t="shared" si="282"/>
        <v>1.8668008106269934E-2</v>
      </c>
      <c r="HA283" s="52">
        <f t="shared" si="282"/>
        <v>1.8668008106269934E-2</v>
      </c>
      <c r="HB283" s="52">
        <f t="shared" si="282"/>
        <v>1.9601408511583429E-2</v>
      </c>
      <c r="HC283" s="52">
        <f t="shared" si="282"/>
        <v>1.9601408511583429E-2</v>
      </c>
      <c r="HD283" s="52">
        <f t="shared" si="282"/>
        <v>1.9601408511583429E-2</v>
      </c>
      <c r="HE283" s="52">
        <f t="shared" si="282"/>
        <v>1.9601408511583429E-2</v>
      </c>
      <c r="HF283" s="52">
        <f t="shared" si="282"/>
        <v>1.9601408511583429E-2</v>
      </c>
      <c r="HG283" s="52">
        <f t="shared" si="282"/>
        <v>1.9601408511583429E-2</v>
      </c>
      <c r="HH283" s="52">
        <f t="shared" si="282"/>
        <v>1.9601408511583429E-2</v>
      </c>
      <c r="HI283" s="52">
        <f t="shared" si="282"/>
        <v>1.9601408511583429E-2</v>
      </c>
      <c r="HJ283" s="52">
        <f t="shared" si="282"/>
        <v>1.9601408511583429E-2</v>
      </c>
      <c r="HK283" s="52">
        <f t="shared" si="282"/>
        <v>1.9601408511583429E-2</v>
      </c>
      <c r="HL283" s="52">
        <f t="shared" si="282"/>
        <v>1.9601408511583429E-2</v>
      </c>
      <c r="HM283" s="52">
        <f t="shared" si="282"/>
        <v>1.9601408511583429E-2</v>
      </c>
      <c r="HN283" s="52">
        <f t="shared" si="282"/>
        <v>2.0581478937162605E-2</v>
      </c>
      <c r="HO283" s="52">
        <f t="shared" si="282"/>
        <v>2.0581478937162605E-2</v>
      </c>
      <c r="HP283" s="52">
        <f t="shared" si="282"/>
        <v>2.0581478937162605E-2</v>
      </c>
      <c r="HQ283" s="52">
        <f t="shared" si="282"/>
        <v>2.0581478937162605E-2</v>
      </c>
      <c r="HR283" s="52">
        <f t="shared" si="282"/>
        <v>2.0581478937162605E-2</v>
      </c>
      <c r="HS283" s="52">
        <f t="shared" si="282"/>
        <v>2.0581478937162605E-2</v>
      </c>
      <c r="HT283" s="52">
        <f t="shared" si="282"/>
        <v>2.0581478937162605E-2</v>
      </c>
      <c r="HU283" s="52">
        <f t="shared" si="282"/>
        <v>2.0581478937162605E-2</v>
      </c>
      <c r="HV283" s="52">
        <f t="shared" si="282"/>
        <v>2.0581478937162605E-2</v>
      </c>
      <c r="HW283" s="52">
        <f t="shared" si="282"/>
        <v>2.0581478937162605E-2</v>
      </c>
      <c r="HX283" s="52">
        <f t="shared" si="282"/>
        <v>2.0581478937162605E-2</v>
      </c>
      <c r="HY283" s="52">
        <f t="shared" si="282"/>
        <v>2.0581478937162605E-2</v>
      </c>
      <c r="HZ283" s="52">
        <f t="shared" si="282"/>
        <v>2.1610552884020737E-2</v>
      </c>
      <c r="IA283" s="52">
        <f t="shared" si="282"/>
        <v>2.1610552884020737E-2</v>
      </c>
      <c r="IB283" s="52">
        <f t="shared" si="282"/>
        <v>2.1610552884020737E-2</v>
      </c>
      <c r="IC283" s="52">
        <f t="shared" si="282"/>
        <v>2.1610552884020737E-2</v>
      </c>
      <c r="ID283" s="52">
        <f t="shared" si="282"/>
        <v>2.1610552884020737E-2</v>
      </c>
      <c r="IE283" s="52">
        <f t="shared" si="282"/>
        <v>2.1610552884020737E-2</v>
      </c>
      <c r="IF283" s="52">
        <f t="shared" si="282"/>
        <v>2.1610552884020737E-2</v>
      </c>
      <c r="IG283" s="52">
        <f t="shared" si="282"/>
        <v>2.1610552884020737E-2</v>
      </c>
      <c r="IH283" s="52">
        <f t="shared" si="282"/>
        <v>2.1610552884020737E-2</v>
      </c>
      <c r="II283" s="52">
        <f t="shared" si="282"/>
        <v>2.1610552884020737E-2</v>
      </c>
      <c r="IJ283" s="52">
        <f t="shared" si="282"/>
        <v>2.1610552884020737E-2</v>
      </c>
      <c r="IK283" s="52">
        <f t="shared" si="282"/>
        <v>2.1610552884020737E-2</v>
      </c>
      <c r="IL283" s="52">
        <f t="shared" si="282"/>
        <v>2.2691080528221774E-2</v>
      </c>
      <c r="IM283" s="52">
        <f t="shared" si="282"/>
        <v>2.2691080528221774E-2</v>
      </c>
      <c r="IN283" s="52">
        <f t="shared" si="282"/>
        <v>2.2691080528221774E-2</v>
      </c>
      <c r="IO283" s="52">
        <f t="shared" si="282"/>
        <v>2.2691080528221774E-2</v>
      </c>
      <c r="IP283" s="52">
        <f t="shared" si="282"/>
        <v>2.2691080528221774E-2</v>
      </c>
      <c r="IQ283" s="52">
        <f t="shared" si="282"/>
        <v>2.2691080528221774E-2</v>
      </c>
      <c r="IR283" s="52">
        <f t="shared" si="282"/>
        <v>2.2691080528221774E-2</v>
      </c>
      <c r="IS283" s="52">
        <f t="shared" si="282"/>
        <v>2.2691080528221774E-2</v>
      </c>
      <c r="IT283" s="52">
        <f t="shared" si="282"/>
        <v>2.2691080528221774E-2</v>
      </c>
      <c r="IU283" s="52">
        <f t="shared" si="282"/>
        <v>2.2691080528221774E-2</v>
      </c>
      <c r="IV283" s="52">
        <f t="shared" si="282"/>
        <v>2.2691080528221774E-2</v>
      </c>
      <c r="IW283" s="52">
        <f t="shared" si="282"/>
        <v>2.2691080528221774E-2</v>
      </c>
      <c r="IX283" s="52">
        <f t="shared" si="282"/>
        <v>2.3825634554632862E-2</v>
      </c>
      <c r="IY283" s="52">
        <f t="shared" si="282"/>
        <v>2.3825634554632862E-2</v>
      </c>
      <c r="IZ283" s="52">
        <f t="shared" ref="IZ283:JI283" si="283">IZ281*$C$15</f>
        <v>2.3825634554632862E-2</v>
      </c>
      <c r="JA283" s="52">
        <f t="shared" si="283"/>
        <v>2.3825634554632862E-2</v>
      </c>
      <c r="JB283" s="52">
        <f t="shared" si="283"/>
        <v>2.3825634554632862E-2</v>
      </c>
      <c r="JC283" s="52">
        <f t="shared" si="283"/>
        <v>2.3825634554632862E-2</v>
      </c>
      <c r="JD283" s="52">
        <f t="shared" si="283"/>
        <v>2.3825634554632862E-2</v>
      </c>
      <c r="JE283" s="52">
        <f t="shared" si="283"/>
        <v>2.3825634554632862E-2</v>
      </c>
      <c r="JF283" s="52">
        <f t="shared" si="283"/>
        <v>2.3825634554632862E-2</v>
      </c>
      <c r="JG283" s="52">
        <f t="shared" si="283"/>
        <v>2.3825634554632862E-2</v>
      </c>
      <c r="JH283" s="52">
        <f t="shared" si="283"/>
        <v>2.3825634554632862E-2</v>
      </c>
      <c r="JI283" s="52">
        <f t="shared" si="283"/>
        <v>2.3825634554632862E-2</v>
      </c>
      <c r="JJ283" s="539">
        <f>SUM(C283:JI283)</f>
        <v>3.6280495223016285</v>
      </c>
      <c r="JK283" s="52"/>
      <c r="JL283" s="52"/>
      <c r="JM283" s="52"/>
      <c r="JN283" s="52"/>
      <c r="JO283" s="52"/>
    </row>
    <row r="284" spans="2:276" x14ac:dyDescent="0.3">
      <c r="B284" s="163" t="s">
        <v>299</v>
      </c>
      <c r="C284" s="190">
        <f>C281-SUM(C282:C283)</f>
        <v>0</v>
      </c>
      <c r="D284" s="190">
        <f t="shared" ref="D284:BO284" si="284">D281-SUM(D282:D283)</f>
        <v>0</v>
      </c>
      <c r="E284" s="190">
        <f t="shared" si="284"/>
        <v>0</v>
      </c>
      <c r="F284" s="190">
        <f t="shared" si="284"/>
        <v>0</v>
      </c>
      <c r="G284" s="190">
        <f t="shared" si="284"/>
        <v>0</v>
      </c>
      <c r="H284" s="190">
        <f t="shared" si="284"/>
        <v>0</v>
      </c>
      <c r="I284" s="190">
        <f t="shared" si="284"/>
        <v>0</v>
      </c>
      <c r="J284" s="190">
        <f t="shared" si="284"/>
        <v>0</v>
      </c>
      <c r="K284" s="190">
        <f t="shared" si="284"/>
        <v>0</v>
      </c>
      <c r="L284" s="190">
        <f t="shared" si="284"/>
        <v>0</v>
      </c>
      <c r="M284" s="190">
        <f t="shared" si="284"/>
        <v>0</v>
      </c>
      <c r="N284" s="190">
        <f t="shared" si="284"/>
        <v>0</v>
      </c>
      <c r="O284" s="190">
        <f t="shared" si="284"/>
        <v>0</v>
      </c>
      <c r="P284" s="190">
        <f t="shared" si="284"/>
        <v>0</v>
      </c>
      <c r="Q284" s="190">
        <f t="shared" si="284"/>
        <v>0</v>
      </c>
      <c r="R284" s="190">
        <f t="shared" si="284"/>
        <v>0</v>
      </c>
      <c r="S284" s="190">
        <f t="shared" si="284"/>
        <v>0</v>
      </c>
      <c r="T284" s="190">
        <f t="shared" si="284"/>
        <v>0</v>
      </c>
      <c r="U284" s="190">
        <f t="shared" si="284"/>
        <v>0</v>
      </c>
      <c r="V284" s="190">
        <f t="shared" si="284"/>
        <v>0</v>
      </c>
      <c r="W284" s="190">
        <f t="shared" si="284"/>
        <v>0</v>
      </c>
      <c r="X284" s="190">
        <f t="shared" si="284"/>
        <v>0</v>
      </c>
      <c r="Y284" s="190">
        <f t="shared" si="284"/>
        <v>0</v>
      </c>
      <c r="Z284" s="190">
        <f t="shared" si="284"/>
        <v>0</v>
      </c>
      <c r="AA284" s="190">
        <f t="shared" si="284"/>
        <v>0</v>
      </c>
      <c r="AB284" s="190">
        <f t="shared" si="284"/>
        <v>0</v>
      </c>
      <c r="AC284" s="190">
        <f t="shared" si="284"/>
        <v>0</v>
      </c>
      <c r="AD284" s="190">
        <f t="shared" si="284"/>
        <v>0</v>
      </c>
      <c r="AE284" s="190">
        <f t="shared" si="284"/>
        <v>0</v>
      </c>
      <c r="AF284" s="190">
        <f t="shared" si="284"/>
        <v>0</v>
      </c>
      <c r="AG284" s="190">
        <f t="shared" si="284"/>
        <v>0</v>
      </c>
      <c r="AH284" s="190">
        <f t="shared" si="284"/>
        <v>0</v>
      </c>
      <c r="AI284" s="190">
        <f t="shared" si="284"/>
        <v>0</v>
      </c>
      <c r="AJ284" s="190">
        <f t="shared" si="284"/>
        <v>0</v>
      </c>
      <c r="AK284" s="190">
        <f t="shared" si="284"/>
        <v>0</v>
      </c>
      <c r="AL284" s="190">
        <f t="shared" si="284"/>
        <v>0</v>
      </c>
      <c r="AM284" s="190">
        <f t="shared" si="284"/>
        <v>0</v>
      </c>
      <c r="AN284" s="190">
        <f t="shared" si="284"/>
        <v>0</v>
      </c>
      <c r="AO284" s="190">
        <f t="shared" si="284"/>
        <v>0</v>
      </c>
      <c r="AP284" s="190">
        <f t="shared" si="284"/>
        <v>0.17820077890993874</v>
      </c>
      <c r="AQ284" s="190">
        <f t="shared" si="284"/>
        <v>0.17820077890993874</v>
      </c>
      <c r="AR284" s="190">
        <f t="shared" si="284"/>
        <v>0.17820077890993874</v>
      </c>
      <c r="AS284" s="190">
        <f t="shared" si="284"/>
        <v>0.17820077890993874</v>
      </c>
      <c r="AT284" s="190">
        <f t="shared" si="284"/>
        <v>0.17820077890993874</v>
      </c>
      <c r="AU284" s="190">
        <f t="shared" si="284"/>
        <v>0.17820077890993874</v>
      </c>
      <c r="AV284" s="190">
        <f t="shared" si="284"/>
        <v>0.17820077890993874</v>
      </c>
      <c r="AW284" s="190">
        <f t="shared" si="284"/>
        <v>0.17820077890993874</v>
      </c>
      <c r="AX284" s="190">
        <f t="shared" si="284"/>
        <v>0.17820077890993874</v>
      </c>
      <c r="AY284" s="190">
        <f t="shared" si="284"/>
        <v>0.17820077890993874</v>
      </c>
      <c r="AZ284" s="190">
        <f t="shared" si="284"/>
        <v>0.17820077890993874</v>
      </c>
      <c r="BA284" s="190">
        <f t="shared" si="284"/>
        <v>0.17820077890993874</v>
      </c>
      <c r="BB284" s="190">
        <f t="shared" si="284"/>
        <v>0.18711081785543573</v>
      </c>
      <c r="BC284" s="190">
        <f t="shared" si="284"/>
        <v>0.18711081785543573</v>
      </c>
      <c r="BD284" s="190">
        <f t="shared" si="284"/>
        <v>0.18711081785543573</v>
      </c>
      <c r="BE284" s="190">
        <f t="shared" si="284"/>
        <v>0.18711081785543573</v>
      </c>
      <c r="BF284" s="190">
        <f t="shared" si="284"/>
        <v>0.18711081785543573</v>
      </c>
      <c r="BG284" s="190">
        <f t="shared" si="284"/>
        <v>0.18711081785543573</v>
      </c>
      <c r="BH284" s="190">
        <f t="shared" si="284"/>
        <v>0.18711081785543573</v>
      </c>
      <c r="BI284" s="190">
        <f t="shared" si="284"/>
        <v>0.18711081785543573</v>
      </c>
      <c r="BJ284" s="190">
        <f t="shared" si="284"/>
        <v>0.18711081785543573</v>
      </c>
      <c r="BK284" s="190">
        <f t="shared" si="284"/>
        <v>0.18711081785543573</v>
      </c>
      <c r="BL284" s="190">
        <f t="shared" si="284"/>
        <v>0.18711081785543573</v>
      </c>
      <c r="BM284" s="190">
        <f t="shared" si="284"/>
        <v>0.18711081785543573</v>
      </c>
      <c r="BN284" s="190">
        <f t="shared" si="284"/>
        <v>0.1964663587482075</v>
      </c>
      <c r="BO284" s="190">
        <f t="shared" si="284"/>
        <v>0.1964663587482075</v>
      </c>
      <c r="BP284" s="190">
        <f t="shared" ref="BP284:EA284" si="285">BP281-SUM(BP282:BP283)</f>
        <v>0.1964663587482075</v>
      </c>
      <c r="BQ284" s="190">
        <f t="shared" si="285"/>
        <v>0.1964663587482075</v>
      </c>
      <c r="BR284" s="190">
        <f t="shared" si="285"/>
        <v>0.1964663587482075</v>
      </c>
      <c r="BS284" s="190">
        <f t="shared" si="285"/>
        <v>0.1964663587482075</v>
      </c>
      <c r="BT284" s="190">
        <f t="shared" si="285"/>
        <v>0.1964663587482075</v>
      </c>
      <c r="BU284" s="190">
        <f t="shared" si="285"/>
        <v>0.1964663587482075</v>
      </c>
      <c r="BV284" s="190">
        <f t="shared" si="285"/>
        <v>0.1964663587482075</v>
      </c>
      <c r="BW284" s="190">
        <f t="shared" si="285"/>
        <v>0.1964663587482075</v>
      </c>
      <c r="BX284" s="190">
        <f t="shared" si="285"/>
        <v>0.1964663587482075</v>
      </c>
      <c r="BY284" s="190">
        <f t="shared" si="285"/>
        <v>0.1964663587482075</v>
      </c>
      <c r="BZ284" s="190">
        <f t="shared" si="285"/>
        <v>0.2062896766856179</v>
      </c>
      <c r="CA284" s="190">
        <f t="shared" si="285"/>
        <v>0.2062896766856179</v>
      </c>
      <c r="CB284" s="190">
        <f t="shared" si="285"/>
        <v>0.2062896766856179</v>
      </c>
      <c r="CC284" s="190">
        <f t="shared" si="285"/>
        <v>0.2062896766856179</v>
      </c>
      <c r="CD284" s="190">
        <f t="shared" si="285"/>
        <v>0.2062896766856179</v>
      </c>
      <c r="CE284" s="190">
        <f t="shared" si="285"/>
        <v>0.2062896766856179</v>
      </c>
      <c r="CF284" s="190">
        <f t="shared" si="285"/>
        <v>0.2062896766856179</v>
      </c>
      <c r="CG284" s="190">
        <f t="shared" si="285"/>
        <v>0.2062896766856179</v>
      </c>
      <c r="CH284" s="190">
        <f t="shared" si="285"/>
        <v>0.2062896766856179</v>
      </c>
      <c r="CI284" s="190">
        <f t="shared" si="285"/>
        <v>0.2062896766856179</v>
      </c>
      <c r="CJ284" s="190">
        <f t="shared" si="285"/>
        <v>0.2062896766856179</v>
      </c>
      <c r="CK284" s="190">
        <f t="shared" si="285"/>
        <v>0.2062896766856179</v>
      </c>
      <c r="CL284" s="190">
        <f t="shared" si="285"/>
        <v>0.21660416051989878</v>
      </c>
      <c r="CM284" s="190">
        <f t="shared" si="285"/>
        <v>0.21660416051989878</v>
      </c>
      <c r="CN284" s="190">
        <f t="shared" si="285"/>
        <v>0.21660416051989878</v>
      </c>
      <c r="CO284" s="190">
        <f t="shared" si="285"/>
        <v>0.21660416051989878</v>
      </c>
      <c r="CP284" s="190">
        <f t="shared" si="285"/>
        <v>0.21660416051989878</v>
      </c>
      <c r="CQ284" s="190">
        <f t="shared" si="285"/>
        <v>0.21660416051989878</v>
      </c>
      <c r="CR284" s="190">
        <f t="shared" si="285"/>
        <v>0.21660416051989878</v>
      </c>
      <c r="CS284" s="190">
        <f t="shared" si="285"/>
        <v>0.21660416051989878</v>
      </c>
      <c r="CT284" s="190">
        <f t="shared" si="285"/>
        <v>0.21660416051989878</v>
      </c>
      <c r="CU284" s="190">
        <f t="shared" si="285"/>
        <v>0.21660416051989878</v>
      </c>
      <c r="CV284" s="190">
        <f t="shared" si="285"/>
        <v>0.21660416051989878</v>
      </c>
      <c r="CW284" s="190">
        <f t="shared" si="285"/>
        <v>0.21660416051989878</v>
      </c>
      <c r="CX284" s="190">
        <f t="shared" si="285"/>
        <v>0.22743436854589372</v>
      </c>
      <c r="CY284" s="190">
        <f t="shared" si="285"/>
        <v>0.22743436854589372</v>
      </c>
      <c r="CZ284" s="190">
        <f t="shared" si="285"/>
        <v>0.22743436854589372</v>
      </c>
      <c r="DA284" s="190">
        <f t="shared" si="285"/>
        <v>0.22743436854589372</v>
      </c>
      <c r="DB284" s="190">
        <f t="shared" si="285"/>
        <v>0.22743436854589372</v>
      </c>
      <c r="DC284" s="190">
        <f t="shared" si="285"/>
        <v>0.22743436854589372</v>
      </c>
      <c r="DD284" s="190">
        <f t="shared" si="285"/>
        <v>0.22743436854589372</v>
      </c>
      <c r="DE284" s="190">
        <f t="shared" si="285"/>
        <v>0.22743436854589372</v>
      </c>
      <c r="DF284" s="190">
        <f t="shared" si="285"/>
        <v>0.22743436854589372</v>
      </c>
      <c r="DG284" s="190">
        <f t="shared" si="285"/>
        <v>0.22743436854589372</v>
      </c>
      <c r="DH284" s="190">
        <f t="shared" si="285"/>
        <v>0.22743436854589372</v>
      </c>
      <c r="DI284" s="190">
        <f t="shared" si="285"/>
        <v>0.22743436854589372</v>
      </c>
      <c r="DJ284" s="190">
        <f t="shared" si="285"/>
        <v>0.23880608697318847</v>
      </c>
      <c r="DK284" s="190">
        <f t="shared" si="285"/>
        <v>0.23880608697318847</v>
      </c>
      <c r="DL284" s="190">
        <f t="shared" si="285"/>
        <v>0.23880608697318847</v>
      </c>
      <c r="DM284" s="190">
        <f t="shared" si="285"/>
        <v>0.23880608697318847</v>
      </c>
      <c r="DN284" s="190">
        <f t="shared" si="285"/>
        <v>0.23880608697318847</v>
      </c>
      <c r="DO284" s="190">
        <f t="shared" si="285"/>
        <v>0.23880608697318847</v>
      </c>
      <c r="DP284" s="190">
        <f t="shared" si="285"/>
        <v>0.23880608697318847</v>
      </c>
      <c r="DQ284" s="190">
        <f t="shared" si="285"/>
        <v>0.23880608697318847</v>
      </c>
      <c r="DR284" s="190">
        <f t="shared" si="285"/>
        <v>0.23880608697318847</v>
      </c>
      <c r="DS284" s="190">
        <f t="shared" si="285"/>
        <v>0.23880608697318847</v>
      </c>
      <c r="DT284" s="190">
        <f t="shared" si="285"/>
        <v>0.23880608697318847</v>
      </c>
      <c r="DU284" s="190">
        <f t="shared" si="285"/>
        <v>0.23880608697318847</v>
      </c>
      <c r="DV284" s="190">
        <f t="shared" si="285"/>
        <v>0.25074639132184784</v>
      </c>
      <c r="DW284" s="190">
        <f t="shared" si="285"/>
        <v>0.25074639132184784</v>
      </c>
      <c r="DX284" s="190">
        <f t="shared" si="285"/>
        <v>0.25074639132184784</v>
      </c>
      <c r="DY284" s="190">
        <f t="shared" si="285"/>
        <v>0.25074639132184784</v>
      </c>
      <c r="DZ284" s="190">
        <f t="shared" si="285"/>
        <v>0.25074639132184784</v>
      </c>
      <c r="EA284" s="190">
        <f t="shared" si="285"/>
        <v>0.25074639132184784</v>
      </c>
      <c r="EB284" s="190">
        <f t="shared" ref="EB284:GM284" si="286">EB281-SUM(EB282:EB283)</f>
        <v>0.25074639132184784</v>
      </c>
      <c r="EC284" s="190">
        <f t="shared" si="286"/>
        <v>0.25074639132184784</v>
      </c>
      <c r="ED284" s="190">
        <f t="shared" si="286"/>
        <v>0.25074639132184784</v>
      </c>
      <c r="EE284" s="190">
        <f t="shared" si="286"/>
        <v>0.25074639132184784</v>
      </c>
      <c r="EF284" s="190">
        <f t="shared" si="286"/>
        <v>0.25074639132184784</v>
      </c>
      <c r="EG284" s="190">
        <f t="shared" si="286"/>
        <v>0.25074639132184784</v>
      </c>
      <c r="EH284" s="190">
        <f t="shared" si="286"/>
        <v>0.26328371088794034</v>
      </c>
      <c r="EI284" s="190">
        <f t="shared" si="286"/>
        <v>0.26328371088794034</v>
      </c>
      <c r="EJ284" s="190">
        <f t="shared" si="286"/>
        <v>0.26328371088794034</v>
      </c>
      <c r="EK284" s="190">
        <f t="shared" si="286"/>
        <v>0.26328371088794034</v>
      </c>
      <c r="EL284" s="190">
        <f t="shared" si="286"/>
        <v>0.26328371088794034</v>
      </c>
      <c r="EM284" s="190">
        <f t="shared" si="286"/>
        <v>0.26328371088794034</v>
      </c>
      <c r="EN284" s="190">
        <f t="shared" si="286"/>
        <v>0.26328371088794034</v>
      </c>
      <c r="EO284" s="190">
        <f t="shared" si="286"/>
        <v>0.26328371088794034</v>
      </c>
      <c r="EP284" s="190">
        <f t="shared" si="286"/>
        <v>0.26328371088794034</v>
      </c>
      <c r="EQ284" s="190">
        <f t="shared" si="286"/>
        <v>0.26328371088794034</v>
      </c>
      <c r="ER284" s="190">
        <f t="shared" si="286"/>
        <v>0.26328371088794034</v>
      </c>
      <c r="ES284" s="190">
        <f t="shared" si="286"/>
        <v>0.26328371088794034</v>
      </c>
      <c r="ET284" s="190">
        <f t="shared" si="286"/>
        <v>0.2764478964323373</v>
      </c>
      <c r="EU284" s="190">
        <f t="shared" si="286"/>
        <v>0.2764478964323373</v>
      </c>
      <c r="EV284" s="190">
        <f t="shared" si="286"/>
        <v>0.2764478964323373</v>
      </c>
      <c r="EW284" s="190">
        <f t="shared" si="286"/>
        <v>0.2764478964323373</v>
      </c>
      <c r="EX284" s="190">
        <f t="shared" si="286"/>
        <v>0.2764478964323373</v>
      </c>
      <c r="EY284" s="190">
        <f t="shared" si="286"/>
        <v>0.2764478964323373</v>
      </c>
      <c r="EZ284" s="190">
        <f t="shared" si="286"/>
        <v>0.2764478964323373</v>
      </c>
      <c r="FA284" s="190">
        <f t="shared" si="286"/>
        <v>0.2764478964323373</v>
      </c>
      <c r="FB284" s="190">
        <f t="shared" si="286"/>
        <v>0.2764478964323373</v>
      </c>
      <c r="FC284" s="190">
        <f t="shared" si="286"/>
        <v>0.2764478964323373</v>
      </c>
      <c r="FD284" s="190">
        <f t="shared" si="286"/>
        <v>0.2764478964323373</v>
      </c>
      <c r="FE284" s="190">
        <f t="shared" si="286"/>
        <v>0.2764478964323373</v>
      </c>
      <c r="FF284" s="190">
        <f t="shared" si="286"/>
        <v>0.29027029125395415</v>
      </c>
      <c r="FG284" s="190">
        <f t="shared" si="286"/>
        <v>0.29027029125395415</v>
      </c>
      <c r="FH284" s="190">
        <f t="shared" si="286"/>
        <v>0.29027029125395415</v>
      </c>
      <c r="FI284" s="190">
        <f t="shared" si="286"/>
        <v>0.29027029125395415</v>
      </c>
      <c r="FJ284" s="190">
        <f t="shared" si="286"/>
        <v>0.29027029125395415</v>
      </c>
      <c r="FK284" s="190">
        <f t="shared" si="286"/>
        <v>0.29027029125395415</v>
      </c>
      <c r="FL284" s="190">
        <f t="shared" si="286"/>
        <v>0.29027029125395415</v>
      </c>
      <c r="FM284" s="190">
        <f t="shared" si="286"/>
        <v>0.29027029125395415</v>
      </c>
      <c r="FN284" s="190">
        <f t="shared" si="286"/>
        <v>0.29027029125395415</v>
      </c>
      <c r="FO284" s="190">
        <f t="shared" si="286"/>
        <v>0.29027029125395415</v>
      </c>
      <c r="FP284" s="190">
        <f t="shared" si="286"/>
        <v>0.29027029125395415</v>
      </c>
      <c r="FQ284" s="190">
        <f t="shared" si="286"/>
        <v>0.29027029125395415</v>
      </c>
      <c r="FR284" s="190">
        <f t="shared" si="286"/>
        <v>0.30478380581665199</v>
      </c>
      <c r="FS284" s="190">
        <f t="shared" si="286"/>
        <v>0.30478380581665199</v>
      </c>
      <c r="FT284" s="190">
        <f t="shared" si="286"/>
        <v>0.30478380581665199</v>
      </c>
      <c r="FU284" s="190">
        <f t="shared" si="286"/>
        <v>0.30478380581665199</v>
      </c>
      <c r="FV284" s="190">
        <f t="shared" si="286"/>
        <v>0.30478380581665199</v>
      </c>
      <c r="FW284" s="190">
        <f t="shared" si="286"/>
        <v>0.30478380581665199</v>
      </c>
      <c r="FX284" s="190">
        <f t="shared" si="286"/>
        <v>0.30478380581665199</v>
      </c>
      <c r="FY284" s="190">
        <f t="shared" si="286"/>
        <v>0.30478380581665199</v>
      </c>
      <c r="FZ284" s="190">
        <f t="shared" si="286"/>
        <v>0.30478380581665199</v>
      </c>
      <c r="GA284" s="190">
        <f t="shared" si="286"/>
        <v>0.30478380581665199</v>
      </c>
      <c r="GB284" s="190">
        <f t="shared" si="286"/>
        <v>0.30478380581665199</v>
      </c>
      <c r="GC284" s="190">
        <f t="shared" si="286"/>
        <v>0.30478380581665199</v>
      </c>
      <c r="GD284" s="190">
        <f t="shared" si="286"/>
        <v>0.32002299610748453</v>
      </c>
      <c r="GE284" s="190">
        <f t="shared" si="286"/>
        <v>0.32002299610748453</v>
      </c>
      <c r="GF284" s="190">
        <f t="shared" si="286"/>
        <v>0.32002299610748453</v>
      </c>
      <c r="GG284" s="190">
        <f t="shared" si="286"/>
        <v>0.32002299610748453</v>
      </c>
      <c r="GH284" s="190">
        <f t="shared" si="286"/>
        <v>0.32002299610748453</v>
      </c>
      <c r="GI284" s="190">
        <f t="shared" si="286"/>
        <v>0.32002299610748453</v>
      </c>
      <c r="GJ284" s="190">
        <f t="shared" si="286"/>
        <v>0.32002299610748453</v>
      </c>
      <c r="GK284" s="190">
        <f t="shared" si="286"/>
        <v>0.32002299610748453</v>
      </c>
      <c r="GL284" s="190">
        <f t="shared" si="286"/>
        <v>0.32002299610748453</v>
      </c>
      <c r="GM284" s="190">
        <f t="shared" si="286"/>
        <v>0.32002299610748453</v>
      </c>
      <c r="GN284" s="190">
        <f t="shared" ref="GN284:IY284" si="287">GN281-SUM(GN282:GN283)</f>
        <v>0.32002299610748453</v>
      </c>
      <c r="GO284" s="190">
        <f t="shared" si="287"/>
        <v>0.32002299610748453</v>
      </c>
      <c r="GP284" s="190">
        <f t="shared" si="287"/>
        <v>0.33602414591285878</v>
      </c>
      <c r="GQ284" s="190">
        <f t="shared" si="287"/>
        <v>0.33602414591285878</v>
      </c>
      <c r="GR284" s="190">
        <f t="shared" si="287"/>
        <v>0.33602414591285878</v>
      </c>
      <c r="GS284" s="190">
        <f t="shared" si="287"/>
        <v>0.33602414591285878</v>
      </c>
      <c r="GT284" s="190">
        <f t="shared" si="287"/>
        <v>0.33602414591285878</v>
      </c>
      <c r="GU284" s="190">
        <f t="shared" si="287"/>
        <v>0.33602414591285878</v>
      </c>
      <c r="GV284" s="190">
        <f t="shared" si="287"/>
        <v>0.33602414591285878</v>
      </c>
      <c r="GW284" s="190">
        <f t="shared" si="287"/>
        <v>0.33602414591285878</v>
      </c>
      <c r="GX284" s="190">
        <f t="shared" si="287"/>
        <v>0.33602414591285878</v>
      </c>
      <c r="GY284" s="190">
        <f t="shared" si="287"/>
        <v>0.33602414591285878</v>
      </c>
      <c r="GZ284" s="190">
        <f t="shared" si="287"/>
        <v>0.33602414591285878</v>
      </c>
      <c r="HA284" s="190">
        <f t="shared" si="287"/>
        <v>0.33602414591285878</v>
      </c>
      <c r="HB284" s="190">
        <f t="shared" si="287"/>
        <v>0.35282535320850172</v>
      </c>
      <c r="HC284" s="190">
        <f t="shared" si="287"/>
        <v>0.35282535320850172</v>
      </c>
      <c r="HD284" s="190">
        <f t="shared" si="287"/>
        <v>0.35282535320850172</v>
      </c>
      <c r="HE284" s="190">
        <f t="shared" si="287"/>
        <v>0.35282535320850172</v>
      </c>
      <c r="HF284" s="190">
        <f t="shared" si="287"/>
        <v>0.35282535320850172</v>
      </c>
      <c r="HG284" s="190">
        <f t="shared" si="287"/>
        <v>0.35282535320850172</v>
      </c>
      <c r="HH284" s="190">
        <f t="shared" si="287"/>
        <v>0.35282535320850172</v>
      </c>
      <c r="HI284" s="190">
        <f t="shared" si="287"/>
        <v>0.35282535320850172</v>
      </c>
      <c r="HJ284" s="190">
        <f t="shared" si="287"/>
        <v>0.35282535320850172</v>
      </c>
      <c r="HK284" s="190">
        <f t="shared" si="287"/>
        <v>0.35282535320850172</v>
      </c>
      <c r="HL284" s="190">
        <f t="shared" si="287"/>
        <v>0.35282535320850172</v>
      </c>
      <c r="HM284" s="190">
        <f t="shared" si="287"/>
        <v>0.35282535320850172</v>
      </c>
      <c r="HN284" s="190">
        <f t="shared" si="287"/>
        <v>0.37046662086892684</v>
      </c>
      <c r="HO284" s="190">
        <f t="shared" si="287"/>
        <v>0.37046662086892684</v>
      </c>
      <c r="HP284" s="190">
        <f t="shared" si="287"/>
        <v>0.37046662086892684</v>
      </c>
      <c r="HQ284" s="190">
        <f t="shared" si="287"/>
        <v>0.37046662086892684</v>
      </c>
      <c r="HR284" s="190">
        <f t="shared" si="287"/>
        <v>0.37046662086892684</v>
      </c>
      <c r="HS284" s="190">
        <f t="shared" si="287"/>
        <v>0.37046662086892684</v>
      </c>
      <c r="HT284" s="190">
        <f t="shared" si="287"/>
        <v>0.37046662086892684</v>
      </c>
      <c r="HU284" s="190">
        <f t="shared" si="287"/>
        <v>0.37046662086892684</v>
      </c>
      <c r="HV284" s="190">
        <f t="shared" si="287"/>
        <v>0.37046662086892684</v>
      </c>
      <c r="HW284" s="190">
        <f t="shared" si="287"/>
        <v>0.37046662086892684</v>
      </c>
      <c r="HX284" s="190">
        <f t="shared" si="287"/>
        <v>0.37046662086892684</v>
      </c>
      <c r="HY284" s="190">
        <f t="shared" si="287"/>
        <v>0.37046662086892684</v>
      </c>
      <c r="HZ284" s="190">
        <f t="shared" si="287"/>
        <v>0.38898995191237318</v>
      </c>
      <c r="IA284" s="190">
        <f t="shared" si="287"/>
        <v>0.38898995191237318</v>
      </c>
      <c r="IB284" s="190">
        <f t="shared" si="287"/>
        <v>0.38898995191237318</v>
      </c>
      <c r="IC284" s="190">
        <f t="shared" si="287"/>
        <v>0.38898995191237318</v>
      </c>
      <c r="ID284" s="190">
        <f t="shared" si="287"/>
        <v>0.38898995191237318</v>
      </c>
      <c r="IE284" s="190">
        <f t="shared" si="287"/>
        <v>0.38898995191237318</v>
      </c>
      <c r="IF284" s="190">
        <f t="shared" si="287"/>
        <v>0.38898995191237318</v>
      </c>
      <c r="IG284" s="190">
        <f t="shared" si="287"/>
        <v>0.38898995191237318</v>
      </c>
      <c r="IH284" s="190">
        <f t="shared" si="287"/>
        <v>0.38898995191237318</v>
      </c>
      <c r="II284" s="190">
        <f t="shared" si="287"/>
        <v>0.38898995191237318</v>
      </c>
      <c r="IJ284" s="190">
        <f t="shared" si="287"/>
        <v>0.38898995191237318</v>
      </c>
      <c r="IK284" s="190">
        <f t="shared" si="287"/>
        <v>0.38898995191237318</v>
      </c>
      <c r="IL284" s="190">
        <f t="shared" si="287"/>
        <v>0.40843944950799188</v>
      </c>
      <c r="IM284" s="190">
        <f t="shared" si="287"/>
        <v>0.40843944950799188</v>
      </c>
      <c r="IN284" s="190">
        <f t="shared" si="287"/>
        <v>0.40843944950799188</v>
      </c>
      <c r="IO284" s="190">
        <f t="shared" si="287"/>
        <v>0.40843944950799188</v>
      </c>
      <c r="IP284" s="190">
        <f t="shared" si="287"/>
        <v>0.40843944950799188</v>
      </c>
      <c r="IQ284" s="190">
        <f t="shared" si="287"/>
        <v>0.40843944950799188</v>
      </c>
      <c r="IR284" s="190">
        <f t="shared" si="287"/>
        <v>0.40843944950799188</v>
      </c>
      <c r="IS284" s="190">
        <f t="shared" si="287"/>
        <v>0.40843944950799188</v>
      </c>
      <c r="IT284" s="190">
        <f t="shared" si="287"/>
        <v>0.40843944950799188</v>
      </c>
      <c r="IU284" s="190">
        <f t="shared" si="287"/>
        <v>0.40843944950799188</v>
      </c>
      <c r="IV284" s="190">
        <f t="shared" si="287"/>
        <v>0.40843944950799188</v>
      </c>
      <c r="IW284" s="190">
        <f t="shared" si="287"/>
        <v>0.40843944950799188</v>
      </c>
      <c r="IX284" s="190">
        <f t="shared" si="287"/>
        <v>0.4288614219833915</v>
      </c>
      <c r="IY284" s="190">
        <f t="shared" si="287"/>
        <v>0.4288614219833915</v>
      </c>
      <c r="IZ284" s="190">
        <f t="shared" ref="IZ284:JI284" si="288">IZ281-SUM(IZ282:IZ283)</f>
        <v>0.4288614219833915</v>
      </c>
      <c r="JA284" s="190">
        <f t="shared" si="288"/>
        <v>0.4288614219833915</v>
      </c>
      <c r="JB284" s="190">
        <f t="shared" si="288"/>
        <v>0.4288614219833915</v>
      </c>
      <c r="JC284" s="190">
        <f t="shared" si="288"/>
        <v>0.4288614219833915</v>
      </c>
      <c r="JD284" s="190">
        <f t="shared" si="288"/>
        <v>0.4288614219833915</v>
      </c>
      <c r="JE284" s="190">
        <f t="shared" si="288"/>
        <v>0.4288614219833915</v>
      </c>
      <c r="JF284" s="190">
        <f t="shared" si="288"/>
        <v>0.4288614219833915</v>
      </c>
      <c r="JG284" s="190">
        <f t="shared" si="288"/>
        <v>0.4288614219833915</v>
      </c>
      <c r="JH284" s="190">
        <f t="shared" si="288"/>
        <v>0.4288614219833915</v>
      </c>
      <c r="JI284" s="190">
        <f t="shared" si="288"/>
        <v>0.4288614219833915</v>
      </c>
      <c r="JJ284" s="250">
        <f>SUM(C284:JI284)</f>
        <v>65.304891401429217</v>
      </c>
      <c r="JK284" s="54"/>
      <c r="JL284" s="54"/>
      <c r="JM284" s="54"/>
      <c r="JN284" s="54"/>
      <c r="JO284" s="54"/>
    </row>
    <row r="287" spans="2:276" ht="14.4" thickBot="1" x14ac:dyDescent="0.35">
      <c r="B287" s="540" t="s">
        <v>328</v>
      </c>
      <c r="C287" s="471"/>
      <c r="D287" s="471"/>
      <c r="E287" s="471"/>
      <c r="F287" s="471"/>
      <c r="G287" s="471"/>
      <c r="H287" s="471"/>
      <c r="I287" s="471"/>
      <c r="J287" s="471"/>
      <c r="K287" s="471"/>
      <c r="L287" s="471"/>
      <c r="M287" s="471"/>
      <c r="N287" s="471"/>
      <c r="O287" s="471"/>
      <c r="P287" s="471"/>
      <c r="Q287" s="471"/>
      <c r="R287" s="471"/>
      <c r="S287" s="471"/>
      <c r="T287" s="471"/>
      <c r="U287" s="471"/>
      <c r="V287" s="471"/>
      <c r="W287" s="471"/>
      <c r="X287" s="471"/>
      <c r="Y287" s="500"/>
    </row>
    <row r="288" spans="2:276" ht="14.4" thickTop="1" x14ac:dyDescent="0.3">
      <c r="B288" s="169"/>
      <c r="C288" s="476">
        <f>C223</f>
        <v>46112</v>
      </c>
      <c r="D288" s="476">
        <f>EOMONTH(C288,12)</f>
        <v>46477</v>
      </c>
      <c r="E288" s="476">
        <f t="shared" ref="E288:Y288" si="289">EOMONTH(D288,12)</f>
        <v>46843</v>
      </c>
      <c r="F288" s="476">
        <f t="shared" si="289"/>
        <v>47208</v>
      </c>
      <c r="G288" s="476">
        <f t="shared" si="289"/>
        <v>47573</v>
      </c>
      <c r="H288" s="476">
        <f t="shared" si="289"/>
        <v>47938</v>
      </c>
      <c r="I288" s="476">
        <f t="shared" si="289"/>
        <v>48304</v>
      </c>
      <c r="J288" s="476">
        <f t="shared" si="289"/>
        <v>48669</v>
      </c>
      <c r="K288" s="476">
        <f t="shared" si="289"/>
        <v>49034</v>
      </c>
      <c r="L288" s="476">
        <f t="shared" si="289"/>
        <v>49399</v>
      </c>
      <c r="M288" s="476">
        <f t="shared" si="289"/>
        <v>49765</v>
      </c>
      <c r="N288" s="476">
        <f t="shared" si="289"/>
        <v>50130</v>
      </c>
      <c r="O288" s="476">
        <f t="shared" si="289"/>
        <v>50495</v>
      </c>
      <c r="P288" s="476">
        <f t="shared" si="289"/>
        <v>50860</v>
      </c>
      <c r="Q288" s="476">
        <f t="shared" si="289"/>
        <v>51226</v>
      </c>
      <c r="R288" s="476">
        <f t="shared" si="289"/>
        <v>51591</v>
      </c>
      <c r="S288" s="476">
        <f t="shared" si="289"/>
        <v>51956</v>
      </c>
      <c r="T288" s="476">
        <f t="shared" si="289"/>
        <v>52321</v>
      </c>
      <c r="U288" s="476">
        <f t="shared" si="289"/>
        <v>52687</v>
      </c>
      <c r="V288" s="476">
        <f t="shared" si="289"/>
        <v>53052</v>
      </c>
      <c r="W288" s="476">
        <f t="shared" si="289"/>
        <v>53417</v>
      </c>
      <c r="X288" s="476">
        <f t="shared" si="289"/>
        <v>53782</v>
      </c>
      <c r="Y288" s="505">
        <f t="shared" si="289"/>
        <v>54148</v>
      </c>
    </row>
    <row r="289" spans="1:25" x14ac:dyDescent="0.3">
      <c r="B289" s="429" t="s">
        <v>299</v>
      </c>
      <c r="C289" s="462">
        <f t="shared" ref="C289:Y289" si="290">SUMIFS(284:284,278:278,C288)</f>
        <v>0</v>
      </c>
      <c r="D289" s="462">
        <f t="shared" si="290"/>
        <v>0</v>
      </c>
      <c r="E289" s="462">
        <f t="shared" si="290"/>
        <v>0</v>
      </c>
      <c r="F289" s="462">
        <f t="shared" si="290"/>
        <v>0</v>
      </c>
      <c r="G289" s="462">
        <f t="shared" si="290"/>
        <v>2.1384093469192647</v>
      </c>
      <c r="H289" s="462">
        <f t="shared" si="290"/>
        <v>2.2453298142652289</v>
      </c>
      <c r="I289" s="462">
        <f t="shared" si="290"/>
        <v>2.3575963049784905</v>
      </c>
      <c r="J289" s="462">
        <f t="shared" si="290"/>
        <v>2.4754761202274143</v>
      </c>
      <c r="K289" s="462">
        <f t="shared" si="290"/>
        <v>2.5992499262387856</v>
      </c>
      <c r="L289" s="462">
        <f t="shared" si="290"/>
        <v>2.7292124225507255</v>
      </c>
      <c r="M289" s="462">
        <f t="shared" si="290"/>
        <v>2.8656730436782616</v>
      </c>
      <c r="N289" s="462">
        <f t="shared" si="290"/>
        <v>3.0089566958621732</v>
      </c>
      <c r="O289" s="462">
        <f t="shared" si="290"/>
        <v>3.1594045306552849</v>
      </c>
      <c r="P289" s="462">
        <f t="shared" si="290"/>
        <v>3.3173747571880479</v>
      </c>
      <c r="Q289" s="462">
        <f t="shared" si="290"/>
        <v>3.4832434950474505</v>
      </c>
      <c r="R289" s="462">
        <f t="shared" si="290"/>
        <v>3.6574056697998247</v>
      </c>
      <c r="S289" s="462">
        <f t="shared" si="290"/>
        <v>3.8402759532898134</v>
      </c>
      <c r="T289" s="462">
        <f t="shared" si="290"/>
        <v>4.0322897509543054</v>
      </c>
      <c r="U289" s="462">
        <f t="shared" si="290"/>
        <v>4.2339042385020207</v>
      </c>
      <c r="V289" s="462">
        <f t="shared" si="290"/>
        <v>4.4455994504271219</v>
      </c>
      <c r="W289" s="462">
        <f t="shared" si="290"/>
        <v>4.667879422948479</v>
      </c>
      <c r="X289" s="462">
        <f t="shared" si="290"/>
        <v>4.9012733940959023</v>
      </c>
      <c r="Y289" s="506">
        <f t="shared" si="290"/>
        <v>5.1463370638006998</v>
      </c>
    </row>
    <row r="291" spans="1:25" x14ac:dyDescent="0.3">
      <c r="C291" s="560">
        <f>C294</f>
        <v>0</v>
      </c>
      <c r="D291" s="560">
        <f>C291+D294</f>
        <v>0</v>
      </c>
      <c r="E291" s="560">
        <f t="shared" ref="E291:T291" si="291">D291+E294</f>
        <v>0</v>
      </c>
      <c r="F291" s="560">
        <f t="shared" si="291"/>
        <v>0</v>
      </c>
      <c r="G291" s="560">
        <f t="shared" si="291"/>
        <v>11</v>
      </c>
      <c r="H291" s="560">
        <f t="shared" si="291"/>
        <v>23</v>
      </c>
      <c r="I291" s="560">
        <f t="shared" si="291"/>
        <v>35</v>
      </c>
      <c r="J291" s="560">
        <f t="shared" si="291"/>
        <v>47</v>
      </c>
      <c r="K291" s="560">
        <f t="shared" si="291"/>
        <v>59</v>
      </c>
      <c r="L291" s="560">
        <f t="shared" si="291"/>
        <v>71</v>
      </c>
      <c r="M291" s="560">
        <f t="shared" si="291"/>
        <v>83</v>
      </c>
      <c r="N291" s="560">
        <f t="shared" si="291"/>
        <v>95</v>
      </c>
      <c r="O291" s="560">
        <f t="shared" si="291"/>
        <v>107</v>
      </c>
      <c r="P291" s="560">
        <f t="shared" si="291"/>
        <v>119</v>
      </c>
      <c r="Q291" s="560">
        <f t="shared" si="291"/>
        <v>131</v>
      </c>
      <c r="R291" s="560">
        <f t="shared" si="291"/>
        <v>143</v>
      </c>
      <c r="S291" s="560">
        <f t="shared" si="291"/>
        <v>155</v>
      </c>
      <c r="T291" s="560">
        <f t="shared" si="291"/>
        <v>167</v>
      </c>
      <c r="U291" s="560">
        <f t="shared" ref="U291:V291" si="292">T291+U294</f>
        <v>179</v>
      </c>
      <c r="V291" s="560">
        <f t="shared" si="292"/>
        <v>180</v>
      </c>
      <c r="W291" s="560"/>
    </row>
    <row r="292" spans="1:25" ht="14.4" thickBot="1" x14ac:dyDescent="0.35">
      <c r="B292" s="540" t="s">
        <v>426</v>
      </c>
      <c r="C292" s="428">
        <f>IF(C294=0,0,1)</f>
        <v>0</v>
      </c>
      <c r="D292" s="428">
        <f>IF(D294=0,0,1)</f>
        <v>0</v>
      </c>
      <c r="E292" s="428">
        <f t="shared" ref="E292:S292" si="293">D292+1</f>
        <v>1</v>
      </c>
      <c r="F292" s="428">
        <f t="shared" si="293"/>
        <v>2</v>
      </c>
      <c r="G292" s="428">
        <f t="shared" si="293"/>
        <v>3</v>
      </c>
      <c r="H292" s="428">
        <f t="shared" si="293"/>
        <v>4</v>
      </c>
      <c r="I292" s="428">
        <f t="shared" si="293"/>
        <v>5</v>
      </c>
      <c r="J292" s="428">
        <f t="shared" si="293"/>
        <v>6</v>
      </c>
      <c r="K292" s="428">
        <f t="shared" si="293"/>
        <v>7</v>
      </c>
      <c r="L292" s="428">
        <f t="shared" si="293"/>
        <v>8</v>
      </c>
      <c r="M292" s="428">
        <f t="shared" si="293"/>
        <v>9</v>
      </c>
      <c r="N292" s="428">
        <f t="shared" si="293"/>
        <v>10</v>
      </c>
      <c r="O292" s="428">
        <f t="shared" si="293"/>
        <v>11</v>
      </c>
      <c r="P292" s="428">
        <f t="shared" si="293"/>
        <v>12</v>
      </c>
      <c r="Q292" s="428">
        <f t="shared" si="293"/>
        <v>13</v>
      </c>
      <c r="R292" s="428">
        <f t="shared" si="293"/>
        <v>14</v>
      </c>
      <c r="S292" s="428">
        <f t="shared" si="293"/>
        <v>15</v>
      </c>
      <c r="T292" s="428">
        <f t="shared" ref="T292" si="294">S292+1</f>
        <v>16</v>
      </c>
      <c r="U292" s="428">
        <f t="shared" ref="U292" si="295">T292+1</f>
        <v>17</v>
      </c>
      <c r="V292" s="430">
        <f t="shared" ref="V292" si="296">U292+1</f>
        <v>18</v>
      </c>
    </row>
    <row r="293" spans="1:25" ht="14.4" thickTop="1" x14ac:dyDescent="0.3">
      <c r="B293" s="429"/>
      <c r="C293" s="513">
        <f>C288</f>
        <v>46112</v>
      </c>
      <c r="D293" s="513">
        <f t="shared" ref="D293:S293" si="297">D288</f>
        <v>46477</v>
      </c>
      <c r="E293" s="513">
        <f t="shared" si="297"/>
        <v>46843</v>
      </c>
      <c r="F293" s="513">
        <f t="shared" si="297"/>
        <v>47208</v>
      </c>
      <c r="G293" s="513">
        <f t="shared" si="297"/>
        <v>47573</v>
      </c>
      <c r="H293" s="513">
        <f t="shared" si="297"/>
        <v>47938</v>
      </c>
      <c r="I293" s="513">
        <f t="shared" si="297"/>
        <v>48304</v>
      </c>
      <c r="J293" s="513">
        <f t="shared" si="297"/>
        <v>48669</v>
      </c>
      <c r="K293" s="513">
        <f t="shared" si="297"/>
        <v>49034</v>
      </c>
      <c r="L293" s="513">
        <f t="shared" si="297"/>
        <v>49399</v>
      </c>
      <c r="M293" s="513">
        <f t="shared" si="297"/>
        <v>49765</v>
      </c>
      <c r="N293" s="513">
        <f t="shared" si="297"/>
        <v>50130</v>
      </c>
      <c r="O293" s="513">
        <f t="shared" si="297"/>
        <v>50495</v>
      </c>
      <c r="P293" s="513">
        <f t="shared" si="297"/>
        <v>50860</v>
      </c>
      <c r="Q293" s="513">
        <f t="shared" si="297"/>
        <v>51226</v>
      </c>
      <c r="R293" s="513">
        <f t="shared" si="297"/>
        <v>51591</v>
      </c>
      <c r="S293" s="513">
        <f t="shared" si="297"/>
        <v>51956</v>
      </c>
      <c r="T293" s="513">
        <f t="shared" ref="T293:V293" si="298">T288</f>
        <v>52321</v>
      </c>
      <c r="U293" s="513">
        <f t="shared" si="298"/>
        <v>52687</v>
      </c>
      <c r="V293" s="514">
        <f t="shared" si="298"/>
        <v>53052</v>
      </c>
      <c r="W293" s="58"/>
      <c r="X293" s="58"/>
      <c r="Y293" s="58"/>
    </row>
    <row r="294" spans="1:25" x14ac:dyDescent="0.3">
      <c r="B294" s="429" t="s">
        <v>332</v>
      </c>
      <c r="C294" s="462">
        <f>IF(SUM($B294:B294)&lt;180,COUNTIF(278:278,C293),$C$80-SUM($B294:B294))</f>
        <v>0</v>
      </c>
      <c r="D294" s="428">
        <f>IF(SUM($B294:C294)&lt;180,COUNTIF(278:278,D293),$C$80-SUM($B294:C294))</f>
        <v>0</v>
      </c>
      <c r="E294" s="428">
        <f>IF(SUM($B294:D294)&lt;180,COUNTIF(278:278,E293),$C$80-SUM($B294:D294))</f>
        <v>0</v>
      </c>
      <c r="F294" s="428"/>
      <c r="G294" s="428">
        <v>11</v>
      </c>
      <c r="H294" s="428">
        <v>12</v>
      </c>
      <c r="I294" s="428">
        <f>IF(SUM($B294:H294)&lt;180,COUNTIF(278:278,I293),$C$80-SUM($B294:H294))</f>
        <v>12</v>
      </c>
      <c r="J294" s="428">
        <f>IF(SUM($B294:I294)&lt;180,COUNTIF(278:278,J293),$C$80-SUM($B294:I294))</f>
        <v>12</v>
      </c>
      <c r="K294" s="428">
        <f>IF(SUM($B294:J294)&lt;180,COUNTIF(278:278,K293),$C$80-SUM($B294:J294))</f>
        <v>12</v>
      </c>
      <c r="L294" s="428">
        <f>IF(SUM($B294:K294)&lt;180,COUNTIF(278:278,L293),$C$80-SUM($B294:K294))</f>
        <v>12</v>
      </c>
      <c r="M294" s="428">
        <f>IF(SUM($B294:L294)&lt;180,COUNTIF(278:278,M293),$C$80-SUM($B294:L294))</f>
        <v>12</v>
      </c>
      <c r="N294" s="428">
        <f>IF(SUM($B294:M294)&lt;180,COUNTIF(278:278,N293),$C$80-SUM($B294:M294))</f>
        <v>12</v>
      </c>
      <c r="O294" s="428">
        <f>IF(SUM($B294:N294)&lt;180,COUNTIF(278:278,O293),$C$80-SUM($B294:N294))</f>
        <v>12</v>
      </c>
      <c r="P294" s="428">
        <f>IF(SUM($B294:O294)&lt;180,COUNTIF(278:278,P293),$C$80-SUM($B294:O294))</f>
        <v>12</v>
      </c>
      <c r="Q294" s="428">
        <f>IF(SUM($B294:P294)&lt;180,COUNTIF(278:278,Q293),$C$80-SUM($B294:P294))</f>
        <v>12</v>
      </c>
      <c r="R294" s="428">
        <f>IF(SUM($B294:Q294)&lt;180,COUNTIF(278:278,R293),$C$80-SUM($B294:Q294))</f>
        <v>12</v>
      </c>
      <c r="S294" s="428">
        <f>IF(SUM($B294:R294)&lt;180,COUNTIF(278:278,S293),$C$80-SUM($B294:R294))</f>
        <v>12</v>
      </c>
      <c r="T294" s="428">
        <f>IF(SUM($B294:S294)&lt;180,COUNTIF(278:278,T293),$C$80-SUM($B294:S294))</f>
        <v>12</v>
      </c>
      <c r="U294" s="428">
        <f>IF(SUM($B294:T294)&lt;180,COUNTIF(278:278,U293),$C$80-SUM($B294:T294))</f>
        <v>12</v>
      </c>
      <c r="V294" s="430">
        <v>1</v>
      </c>
    </row>
    <row r="295" spans="1:25" x14ac:dyDescent="0.3">
      <c r="A295" s="555">
        <f>SUM(G295:P295)+Q295*1/12</f>
        <v>0.50558333333333338</v>
      </c>
      <c r="B295" s="470" t="s">
        <v>333</v>
      </c>
      <c r="C295" s="472"/>
      <c r="D295" s="472"/>
      <c r="E295" s="566"/>
      <c r="F295" s="566"/>
      <c r="G295" s="566">
        <v>1.7500000000000002E-2</v>
      </c>
      <c r="H295" s="566">
        <v>1.7500000000000002E-2</v>
      </c>
      <c r="I295" s="566">
        <v>2.4E-2</v>
      </c>
      <c r="J295" s="566">
        <v>3.1E-2</v>
      </c>
      <c r="K295" s="566">
        <v>0.04</v>
      </c>
      <c r="L295" s="566">
        <v>0.05</v>
      </c>
      <c r="M295" s="566">
        <v>0.06</v>
      </c>
      <c r="N295" s="566">
        <v>7.0999999999999994E-2</v>
      </c>
      <c r="O295" s="566">
        <v>8.5000000000000006E-2</v>
      </c>
      <c r="P295" s="566">
        <v>0.1</v>
      </c>
      <c r="Q295" s="566">
        <v>0.115</v>
      </c>
      <c r="R295" s="566">
        <v>0.1</v>
      </c>
      <c r="S295" s="566">
        <v>0.1</v>
      </c>
      <c r="T295" s="566">
        <v>0.09</v>
      </c>
      <c r="U295" s="566">
        <v>0.09</v>
      </c>
      <c r="V295" s="567">
        <f>1-SUM(G295:U295)</f>
        <v>9.000000000000119E-3</v>
      </c>
      <c r="W295" s="51"/>
    </row>
    <row r="296" spans="1:25" x14ac:dyDescent="0.3">
      <c r="B296" s="169" t="s">
        <v>334</v>
      </c>
      <c r="C296" s="258">
        <f ca="1">$C270*C295</f>
        <v>0</v>
      </c>
      <c r="D296" s="258">
        <f t="shared" ref="D296:E296" ca="1" si="299">$C270*D295</f>
        <v>0</v>
      </c>
      <c r="E296" s="52">
        <f t="shared" ca="1" si="299"/>
        <v>0</v>
      </c>
      <c r="F296" s="52"/>
      <c r="G296" s="52">
        <f t="shared" ref="G296:V296" ca="1" si="300">$C270*G295</f>
        <v>0.34125000000000005</v>
      </c>
      <c r="H296" s="52">
        <f t="shared" ca="1" si="300"/>
        <v>0.34125000000000005</v>
      </c>
      <c r="I296" s="52">
        <f t="shared" ca="1" si="300"/>
        <v>0.46800000000000003</v>
      </c>
      <c r="J296" s="52">
        <f t="shared" ca="1" si="300"/>
        <v>0.60450000000000004</v>
      </c>
      <c r="K296" s="52">
        <f t="shared" ca="1" si="300"/>
        <v>0.78</v>
      </c>
      <c r="L296" s="52">
        <f t="shared" ca="1" si="300"/>
        <v>0.97500000000000009</v>
      </c>
      <c r="M296" s="52">
        <f t="shared" ca="1" si="300"/>
        <v>1.17</v>
      </c>
      <c r="N296" s="52">
        <f t="shared" ca="1" si="300"/>
        <v>1.3844999999999998</v>
      </c>
      <c r="O296" s="52">
        <f t="shared" ca="1" si="300"/>
        <v>1.6575000000000002</v>
      </c>
      <c r="P296" s="52">
        <f t="shared" ca="1" si="300"/>
        <v>1.9500000000000002</v>
      </c>
      <c r="Q296" s="52">
        <f t="shared" ca="1" si="300"/>
        <v>2.2425000000000002</v>
      </c>
      <c r="R296" s="52">
        <f t="shared" ca="1" si="300"/>
        <v>1.9500000000000002</v>
      </c>
      <c r="S296" s="52">
        <f t="shared" ca="1" si="300"/>
        <v>1.9500000000000002</v>
      </c>
      <c r="T296" s="52">
        <f t="shared" ca="1" si="300"/>
        <v>1.7549999999999999</v>
      </c>
      <c r="U296" s="52">
        <f t="shared" ca="1" si="300"/>
        <v>1.7549999999999999</v>
      </c>
      <c r="V296" s="244">
        <f t="shared" ca="1" si="300"/>
        <v>0.17550000000000232</v>
      </c>
      <c r="W296" s="52"/>
    </row>
    <row r="297" spans="1:25" x14ac:dyDescent="0.3">
      <c r="B297" s="437" t="s">
        <v>335</v>
      </c>
      <c r="C297" s="474">
        <f ca="1">IFERROR(C296/12,0)</f>
        <v>0</v>
      </c>
      <c r="D297" s="474">
        <f t="shared" ref="D297:F297" ca="1" si="301">IFERROR(D296/12,0)</f>
        <v>0</v>
      </c>
      <c r="E297" s="474">
        <f t="shared" ca="1" si="301"/>
        <v>0</v>
      </c>
      <c r="F297" s="474">
        <f t="shared" si="301"/>
        <v>0</v>
      </c>
      <c r="G297" s="474">
        <f t="shared" ref="G297:V297" ca="1" si="302">IFERROR(G296/H294,0)</f>
        <v>2.8437500000000004E-2</v>
      </c>
      <c r="H297" s="474">
        <f t="shared" ca="1" si="302"/>
        <v>2.8437500000000004E-2</v>
      </c>
      <c r="I297" s="474">
        <f t="shared" ca="1" si="302"/>
        <v>3.9E-2</v>
      </c>
      <c r="J297" s="474">
        <f t="shared" ca="1" si="302"/>
        <v>5.0375000000000003E-2</v>
      </c>
      <c r="K297" s="474">
        <f t="shared" ca="1" si="302"/>
        <v>6.5000000000000002E-2</v>
      </c>
      <c r="L297" s="474">
        <f t="shared" ca="1" si="302"/>
        <v>8.1250000000000003E-2</v>
      </c>
      <c r="M297" s="474">
        <f t="shared" ca="1" si="302"/>
        <v>9.7499999999999989E-2</v>
      </c>
      <c r="N297" s="474">
        <f t="shared" ca="1" si="302"/>
        <v>0.11537499999999999</v>
      </c>
      <c r="O297" s="474">
        <f t="shared" ca="1" si="302"/>
        <v>0.13812500000000003</v>
      </c>
      <c r="P297" s="474">
        <f t="shared" ca="1" si="302"/>
        <v>0.16250000000000001</v>
      </c>
      <c r="Q297" s="474">
        <f t="shared" ca="1" si="302"/>
        <v>0.18687500000000001</v>
      </c>
      <c r="R297" s="474">
        <f t="shared" ca="1" si="302"/>
        <v>0.16250000000000001</v>
      </c>
      <c r="S297" s="474">
        <f t="shared" ca="1" si="302"/>
        <v>0.16250000000000001</v>
      </c>
      <c r="T297" s="474">
        <f t="shared" ca="1" si="302"/>
        <v>0.14624999999999999</v>
      </c>
      <c r="U297" s="474">
        <f t="shared" ca="1" si="302"/>
        <v>1.7549999999999999</v>
      </c>
      <c r="V297" s="475">
        <f t="shared" ca="1" si="302"/>
        <v>0</v>
      </c>
      <c r="W297" s="52"/>
    </row>
    <row r="300" spans="1:25" ht="14.4" thickBot="1" x14ac:dyDescent="0.35">
      <c r="B300" s="540" t="s">
        <v>340</v>
      </c>
      <c r="C300" s="471"/>
      <c r="D300" s="471"/>
      <c r="E300" s="471"/>
      <c r="F300" s="471"/>
      <c r="G300" s="471"/>
      <c r="H300" s="471"/>
      <c r="I300" s="471"/>
      <c r="J300" s="471"/>
      <c r="K300" s="471"/>
      <c r="L300" s="471"/>
      <c r="M300" s="471"/>
      <c r="N300" s="471"/>
      <c r="O300" s="471"/>
      <c r="P300" s="471"/>
      <c r="Q300" s="471"/>
      <c r="R300" s="471"/>
      <c r="S300" s="471"/>
      <c r="T300" s="471"/>
      <c r="U300" s="471"/>
      <c r="V300" s="500"/>
    </row>
    <row r="301" spans="1:25" ht="14.4" thickTop="1" x14ac:dyDescent="0.3">
      <c r="B301" s="429"/>
      <c r="C301" s="513">
        <f>C293</f>
        <v>46112</v>
      </c>
      <c r="D301" s="513">
        <f t="shared" ref="D301:S301" si="303">D293</f>
        <v>46477</v>
      </c>
      <c r="E301" s="513">
        <f t="shared" si="303"/>
        <v>46843</v>
      </c>
      <c r="F301" s="513">
        <f t="shared" si="303"/>
        <v>47208</v>
      </c>
      <c r="G301" s="513">
        <f t="shared" si="303"/>
        <v>47573</v>
      </c>
      <c r="H301" s="513">
        <f t="shared" si="303"/>
        <v>47938</v>
      </c>
      <c r="I301" s="513">
        <f t="shared" si="303"/>
        <v>48304</v>
      </c>
      <c r="J301" s="513">
        <f t="shared" si="303"/>
        <v>48669</v>
      </c>
      <c r="K301" s="513">
        <f t="shared" si="303"/>
        <v>49034</v>
      </c>
      <c r="L301" s="513">
        <f t="shared" si="303"/>
        <v>49399</v>
      </c>
      <c r="M301" s="513">
        <f t="shared" si="303"/>
        <v>49765</v>
      </c>
      <c r="N301" s="513">
        <f t="shared" si="303"/>
        <v>50130</v>
      </c>
      <c r="O301" s="513">
        <f t="shared" si="303"/>
        <v>50495</v>
      </c>
      <c r="P301" s="513">
        <f t="shared" si="303"/>
        <v>50860</v>
      </c>
      <c r="Q301" s="513">
        <f t="shared" si="303"/>
        <v>51226</v>
      </c>
      <c r="R301" s="513">
        <f t="shared" si="303"/>
        <v>51591</v>
      </c>
      <c r="S301" s="513">
        <f t="shared" si="303"/>
        <v>51956</v>
      </c>
      <c r="T301" s="513">
        <f t="shared" ref="T301:V301" si="304">T293</f>
        <v>52321</v>
      </c>
      <c r="U301" s="513">
        <f t="shared" si="304"/>
        <v>52687</v>
      </c>
      <c r="V301" s="514">
        <f t="shared" si="304"/>
        <v>53052</v>
      </c>
      <c r="W301" s="58"/>
    </row>
    <row r="302" spans="1:25" x14ac:dyDescent="0.3">
      <c r="B302" s="169" t="s">
        <v>341</v>
      </c>
      <c r="C302" s="258"/>
      <c r="D302" s="258">
        <f ca="1">C305</f>
        <v>0</v>
      </c>
      <c r="E302" s="258">
        <f t="shared" ref="E302:T302" ca="1" si="305">D305</f>
        <v>0</v>
      </c>
      <c r="F302" s="258">
        <f t="shared" ca="1" si="305"/>
        <v>0</v>
      </c>
      <c r="G302" s="258">
        <f t="shared" ca="1" si="305"/>
        <v>0</v>
      </c>
      <c r="H302" s="258">
        <f t="shared" ca="1" si="305"/>
        <v>19.158750000000001</v>
      </c>
      <c r="I302" s="258">
        <f t="shared" ca="1" si="305"/>
        <v>18.817500000000003</v>
      </c>
      <c r="J302" s="258">
        <f t="shared" ca="1" si="305"/>
        <v>18.349500000000003</v>
      </c>
      <c r="K302" s="258">
        <f t="shared" ca="1" si="305"/>
        <v>17.745000000000001</v>
      </c>
      <c r="L302" s="258">
        <f t="shared" ca="1" si="305"/>
        <v>16.965</v>
      </c>
      <c r="M302" s="258">
        <f t="shared" ca="1" si="305"/>
        <v>15.99</v>
      </c>
      <c r="N302" s="258">
        <f t="shared" ca="1" si="305"/>
        <v>14.82</v>
      </c>
      <c r="O302" s="258">
        <f t="shared" ca="1" si="305"/>
        <v>13.435500000000001</v>
      </c>
      <c r="P302" s="258">
        <f t="shared" ca="1" si="305"/>
        <v>11.778</v>
      </c>
      <c r="Q302" s="258">
        <f t="shared" ca="1" si="305"/>
        <v>9.8279999999999994</v>
      </c>
      <c r="R302" s="258">
        <f t="shared" ca="1" si="305"/>
        <v>7.5854999999999997</v>
      </c>
      <c r="S302" s="258">
        <f t="shared" ca="1" si="305"/>
        <v>5.6354999999999995</v>
      </c>
      <c r="T302" s="258">
        <f t="shared" ca="1" si="305"/>
        <v>3.6854999999999993</v>
      </c>
      <c r="U302" s="258">
        <f t="shared" ref="U302" ca="1" si="306">T305</f>
        <v>1.9304999999999994</v>
      </c>
      <c r="V302" s="246">
        <f t="shared" ref="V302" ca="1" si="307">U305</f>
        <v>0.17549999999999955</v>
      </c>
      <c r="W302" s="33"/>
    </row>
    <row r="303" spans="1:25" x14ac:dyDescent="0.3">
      <c r="B303" s="169" t="s">
        <v>165</v>
      </c>
      <c r="C303" s="258"/>
      <c r="D303" s="258"/>
      <c r="E303" s="258"/>
      <c r="F303" s="258"/>
      <c r="G303" s="258">
        <f ca="1">C270</f>
        <v>19.5</v>
      </c>
      <c r="H303" s="258"/>
      <c r="I303" s="258"/>
      <c r="J303" s="258"/>
      <c r="K303" s="258"/>
      <c r="L303" s="258"/>
      <c r="M303" s="258"/>
      <c r="N303" s="258"/>
      <c r="O303" s="258"/>
      <c r="P303" s="258"/>
      <c r="Q303" s="258"/>
      <c r="R303" s="258"/>
      <c r="S303" s="258"/>
      <c r="T303" s="258"/>
      <c r="U303" s="258"/>
      <c r="V303" s="246"/>
      <c r="W303" s="33"/>
    </row>
    <row r="304" spans="1:25" x14ac:dyDescent="0.3">
      <c r="B304" s="169" t="s">
        <v>342</v>
      </c>
      <c r="C304" s="258">
        <f t="shared" ref="C304:S304" ca="1" si="308">SUMIFS(296:296,293:293,C301)</f>
        <v>0</v>
      </c>
      <c r="D304" s="258">
        <f t="shared" ca="1" si="308"/>
        <v>0</v>
      </c>
      <c r="E304" s="258">
        <f t="shared" ca="1" si="308"/>
        <v>0</v>
      </c>
      <c r="F304" s="258">
        <f t="shared" si="308"/>
        <v>0</v>
      </c>
      <c r="G304" s="258">
        <f t="shared" ca="1" si="308"/>
        <v>0.34125000000000005</v>
      </c>
      <c r="H304" s="258">
        <f t="shared" ca="1" si="308"/>
        <v>0.34125000000000005</v>
      </c>
      <c r="I304" s="258">
        <f t="shared" ca="1" si="308"/>
        <v>0.46800000000000003</v>
      </c>
      <c r="J304" s="258">
        <f t="shared" ca="1" si="308"/>
        <v>0.60450000000000004</v>
      </c>
      <c r="K304" s="258">
        <f t="shared" ca="1" si="308"/>
        <v>0.78</v>
      </c>
      <c r="L304" s="258">
        <f t="shared" ca="1" si="308"/>
        <v>0.97500000000000009</v>
      </c>
      <c r="M304" s="258">
        <f t="shared" ca="1" si="308"/>
        <v>1.17</v>
      </c>
      <c r="N304" s="258">
        <f t="shared" ca="1" si="308"/>
        <v>1.3844999999999998</v>
      </c>
      <c r="O304" s="258">
        <f t="shared" ca="1" si="308"/>
        <v>1.6575000000000002</v>
      </c>
      <c r="P304" s="258">
        <f t="shared" ca="1" si="308"/>
        <v>1.9500000000000002</v>
      </c>
      <c r="Q304" s="258">
        <f t="shared" ca="1" si="308"/>
        <v>2.2425000000000002</v>
      </c>
      <c r="R304" s="258">
        <f t="shared" ca="1" si="308"/>
        <v>1.9500000000000002</v>
      </c>
      <c r="S304" s="258">
        <f t="shared" ca="1" si="308"/>
        <v>1.9500000000000002</v>
      </c>
      <c r="T304" s="258">
        <f ca="1">SUMIFS(296:296,293:293,T301)</f>
        <v>1.7549999999999999</v>
      </c>
      <c r="U304" s="258">
        <f ca="1">SUMIFS(296:296,293:293,U301)</f>
        <v>1.7549999999999999</v>
      </c>
      <c r="V304" s="246">
        <f ca="1">SUMIFS(296:296,293:293,V301)</f>
        <v>0.17550000000000232</v>
      </c>
      <c r="W304" s="33"/>
    </row>
    <row r="305" spans="2:23" x14ac:dyDescent="0.3">
      <c r="B305" s="429" t="s">
        <v>343</v>
      </c>
      <c r="C305" s="462">
        <f ca="1">C302-C304</f>
        <v>0</v>
      </c>
      <c r="D305" s="462">
        <f ca="1">D302-D304</f>
        <v>0</v>
      </c>
      <c r="E305" s="462">
        <f t="shared" ref="E305:S305" ca="1" si="309">E302-E304</f>
        <v>0</v>
      </c>
      <c r="F305" s="462">
        <f t="shared" ca="1" si="309"/>
        <v>0</v>
      </c>
      <c r="G305" s="462">
        <f ca="1">G303-G304</f>
        <v>19.158750000000001</v>
      </c>
      <c r="H305" s="462">
        <f ca="1">H302-H304</f>
        <v>18.817500000000003</v>
      </c>
      <c r="I305" s="462">
        <f t="shared" ca="1" si="309"/>
        <v>18.349500000000003</v>
      </c>
      <c r="J305" s="462">
        <f t="shared" ca="1" si="309"/>
        <v>17.745000000000001</v>
      </c>
      <c r="K305" s="462">
        <f t="shared" ca="1" si="309"/>
        <v>16.965</v>
      </c>
      <c r="L305" s="462">
        <f t="shared" ca="1" si="309"/>
        <v>15.99</v>
      </c>
      <c r="M305" s="462">
        <f t="shared" ca="1" si="309"/>
        <v>14.82</v>
      </c>
      <c r="N305" s="462">
        <f t="shared" ca="1" si="309"/>
        <v>13.435500000000001</v>
      </c>
      <c r="O305" s="462">
        <f t="shared" ca="1" si="309"/>
        <v>11.778</v>
      </c>
      <c r="P305" s="462">
        <f t="shared" ca="1" si="309"/>
        <v>9.8279999999999994</v>
      </c>
      <c r="Q305" s="462">
        <f t="shared" ca="1" si="309"/>
        <v>7.5854999999999997</v>
      </c>
      <c r="R305" s="462">
        <f t="shared" ca="1" si="309"/>
        <v>5.6354999999999995</v>
      </c>
      <c r="S305" s="462">
        <f t="shared" ca="1" si="309"/>
        <v>3.6854999999999993</v>
      </c>
      <c r="T305" s="462">
        <f t="shared" ref="T305:V305" ca="1" si="310">T302-T304</f>
        <v>1.9304999999999994</v>
      </c>
      <c r="U305" s="462">
        <f t="shared" ca="1" si="310"/>
        <v>0.17549999999999955</v>
      </c>
      <c r="V305" s="506">
        <f t="shared" ca="1" si="310"/>
        <v>-2.7755575615628914E-15</v>
      </c>
      <c r="W305" s="258"/>
    </row>
    <row r="306" spans="2:23" x14ac:dyDescent="0.3">
      <c r="B306" s="436" t="s">
        <v>51</v>
      </c>
      <c r="C306" s="548">
        <f ca="1">AVERAGE(C305,C302)*$C271*C294/12</f>
        <v>0</v>
      </c>
      <c r="D306" s="548">
        <f t="shared" ref="D306:S306" ca="1" si="311">AVERAGE(D305,D302)*$C271*D294/12</f>
        <v>0</v>
      </c>
      <c r="E306" s="548">
        <f t="shared" ca="1" si="311"/>
        <v>0</v>
      </c>
      <c r="F306" s="548">
        <f t="shared" ca="1" si="311"/>
        <v>0</v>
      </c>
      <c r="G306" s="548">
        <f ca="1">AVERAGE(G305,G303)*$C271*G294/12</f>
        <v>1.5060804687499998</v>
      </c>
      <c r="H306" s="548">
        <f t="shared" ca="1" si="311"/>
        <v>1.6139906250000005</v>
      </c>
      <c r="I306" s="548">
        <f t="shared" ca="1" si="311"/>
        <v>1.5795975000000002</v>
      </c>
      <c r="J306" s="548">
        <f t="shared" ca="1" si="311"/>
        <v>1.5340162500000003</v>
      </c>
      <c r="K306" s="548">
        <f t="shared" ca="1" si="311"/>
        <v>1.4751750000000001</v>
      </c>
      <c r="L306" s="548">
        <f t="shared" ca="1" si="311"/>
        <v>1.4005875000000001</v>
      </c>
      <c r="M306" s="548">
        <f t="shared" ca="1" si="311"/>
        <v>1.3094250000000003</v>
      </c>
      <c r="N306" s="548">
        <f t="shared" ca="1" si="311"/>
        <v>1.2008587500000001</v>
      </c>
      <c r="O306" s="548">
        <f t="shared" ca="1" si="311"/>
        <v>1.0715737500000002</v>
      </c>
      <c r="P306" s="548">
        <f t="shared" ca="1" si="311"/>
        <v>0.91825500000000015</v>
      </c>
      <c r="Q306" s="548">
        <f t="shared" ca="1" si="311"/>
        <v>0.74007374999999997</v>
      </c>
      <c r="R306" s="548">
        <f t="shared" ca="1" si="311"/>
        <v>0.56189250000000002</v>
      </c>
      <c r="S306" s="548">
        <f t="shared" ca="1" si="311"/>
        <v>0.39614250000000001</v>
      </c>
      <c r="T306" s="548">
        <f t="shared" ref="T306:V306" ca="1" si="312">AVERAGE(T305,T302)*$C271*T294/12</f>
        <v>0.23867999999999998</v>
      </c>
      <c r="U306" s="548">
        <f t="shared" ca="1" si="312"/>
        <v>8.950499999999996E-2</v>
      </c>
      <c r="V306" s="549">
        <f t="shared" ca="1" si="312"/>
        <v>6.2156249999998855E-4</v>
      </c>
      <c r="W306" s="561"/>
    </row>
    <row r="308" spans="2:23" ht="14.4" thickBot="1" x14ac:dyDescent="0.35">
      <c r="B308" s="540" t="s">
        <v>427</v>
      </c>
      <c r="C308" s="471"/>
      <c r="D308" s="471"/>
      <c r="E308" s="471"/>
      <c r="F308" s="471"/>
      <c r="G308" s="471"/>
      <c r="H308" s="471"/>
      <c r="I308" s="471"/>
      <c r="J308" s="471"/>
      <c r="K308" s="471"/>
      <c r="L308" s="471"/>
      <c r="M308" s="471"/>
      <c r="N308" s="471"/>
      <c r="O308" s="471"/>
      <c r="P308" s="471"/>
      <c r="Q308" s="471"/>
      <c r="R308" s="471"/>
      <c r="S308" s="471"/>
      <c r="T308" s="471"/>
      <c r="U308" s="471"/>
      <c r="V308" s="500"/>
    </row>
    <row r="309" spans="2:23" ht="14.4" thickTop="1" x14ac:dyDescent="0.3">
      <c r="B309" s="429"/>
      <c r="C309" s="513">
        <f t="shared" ref="C309:V309" si="313">C301</f>
        <v>46112</v>
      </c>
      <c r="D309" s="513">
        <f t="shared" si="313"/>
        <v>46477</v>
      </c>
      <c r="E309" s="513">
        <f t="shared" si="313"/>
        <v>46843</v>
      </c>
      <c r="F309" s="513">
        <f t="shared" si="313"/>
        <v>47208</v>
      </c>
      <c r="G309" s="513">
        <f t="shared" si="313"/>
        <v>47573</v>
      </c>
      <c r="H309" s="513">
        <f t="shared" si="313"/>
        <v>47938</v>
      </c>
      <c r="I309" s="513">
        <f t="shared" si="313"/>
        <v>48304</v>
      </c>
      <c r="J309" s="513">
        <f t="shared" si="313"/>
        <v>48669</v>
      </c>
      <c r="K309" s="513">
        <f t="shared" si="313"/>
        <v>49034</v>
      </c>
      <c r="L309" s="513">
        <f t="shared" si="313"/>
        <v>49399</v>
      </c>
      <c r="M309" s="513">
        <f t="shared" si="313"/>
        <v>49765</v>
      </c>
      <c r="N309" s="513">
        <f t="shared" si="313"/>
        <v>50130</v>
      </c>
      <c r="O309" s="513">
        <f t="shared" si="313"/>
        <v>50495</v>
      </c>
      <c r="P309" s="513">
        <f t="shared" si="313"/>
        <v>50860</v>
      </c>
      <c r="Q309" s="513">
        <f t="shared" si="313"/>
        <v>51226</v>
      </c>
      <c r="R309" s="513">
        <f t="shared" si="313"/>
        <v>51591</v>
      </c>
      <c r="S309" s="513">
        <f t="shared" si="313"/>
        <v>51956</v>
      </c>
      <c r="T309" s="513">
        <f t="shared" si="313"/>
        <v>52321</v>
      </c>
      <c r="U309" s="513">
        <f t="shared" si="313"/>
        <v>52687</v>
      </c>
      <c r="V309" s="514">
        <f t="shared" si="313"/>
        <v>53052</v>
      </c>
      <c r="W309" s="58"/>
    </row>
    <row r="310" spans="2:23" x14ac:dyDescent="0.3">
      <c r="B310" s="169" t="s">
        <v>345</v>
      </c>
      <c r="C310" s="52">
        <f t="shared" ref="C310:U310" si="314">C289</f>
        <v>0</v>
      </c>
      <c r="D310" s="52">
        <f t="shared" si="314"/>
        <v>0</v>
      </c>
      <c r="E310" s="52">
        <f t="shared" si="314"/>
        <v>0</v>
      </c>
      <c r="F310" s="52">
        <f t="shared" si="314"/>
        <v>0</v>
      </c>
      <c r="G310" s="52">
        <f t="shared" si="314"/>
        <v>2.1384093469192647</v>
      </c>
      <c r="H310" s="52">
        <f t="shared" si="314"/>
        <v>2.2453298142652289</v>
      </c>
      <c r="I310" s="52">
        <f t="shared" si="314"/>
        <v>2.3575963049784905</v>
      </c>
      <c r="J310" s="52">
        <f t="shared" si="314"/>
        <v>2.4754761202274143</v>
      </c>
      <c r="K310" s="52">
        <f t="shared" si="314"/>
        <v>2.5992499262387856</v>
      </c>
      <c r="L310" s="52">
        <f t="shared" si="314"/>
        <v>2.7292124225507255</v>
      </c>
      <c r="M310" s="52">
        <f t="shared" si="314"/>
        <v>2.8656730436782616</v>
      </c>
      <c r="N310" s="52">
        <f t="shared" si="314"/>
        <v>3.0089566958621732</v>
      </c>
      <c r="O310" s="52">
        <f t="shared" si="314"/>
        <v>3.1594045306552849</v>
      </c>
      <c r="P310" s="52">
        <f t="shared" si="314"/>
        <v>3.3173747571880479</v>
      </c>
      <c r="Q310" s="52">
        <f t="shared" si="314"/>
        <v>3.4832434950474505</v>
      </c>
      <c r="R310" s="52">
        <f t="shared" si="314"/>
        <v>3.6574056697998247</v>
      </c>
      <c r="S310" s="52">
        <f t="shared" si="314"/>
        <v>3.8402759532898134</v>
      </c>
      <c r="T310" s="52">
        <f t="shared" si="314"/>
        <v>4.0322897509543054</v>
      </c>
      <c r="U310" s="52">
        <f t="shared" si="314"/>
        <v>4.2339042385020207</v>
      </c>
      <c r="V310" s="244">
        <f>V289*V294/12</f>
        <v>0.37046662086892684</v>
      </c>
      <c r="W310" s="52"/>
    </row>
    <row r="311" spans="2:23" x14ac:dyDescent="0.3">
      <c r="B311" s="169" t="s">
        <v>300</v>
      </c>
      <c r="C311" s="52">
        <f t="shared" ref="C311:V311" ca="1" si="315">C306+C304</f>
        <v>0</v>
      </c>
      <c r="D311" s="52">
        <f t="shared" ca="1" si="315"/>
        <v>0</v>
      </c>
      <c r="E311" s="52">
        <f t="shared" ca="1" si="315"/>
        <v>0</v>
      </c>
      <c r="F311" s="52">
        <f t="shared" ca="1" si="315"/>
        <v>0</v>
      </c>
      <c r="G311" s="52">
        <f t="shared" ca="1" si="315"/>
        <v>1.8473304687499998</v>
      </c>
      <c r="H311" s="52">
        <f t="shared" ca="1" si="315"/>
        <v>1.9552406250000005</v>
      </c>
      <c r="I311" s="52">
        <f t="shared" ca="1" si="315"/>
        <v>2.0475975000000002</v>
      </c>
      <c r="J311" s="52">
        <f t="shared" ca="1" si="315"/>
        <v>2.1385162500000003</v>
      </c>
      <c r="K311" s="52">
        <f t="shared" ca="1" si="315"/>
        <v>2.2551750000000004</v>
      </c>
      <c r="L311" s="52">
        <f t="shared" ca="1" si="315"/>
        <v>2.3755875</v>
      </c>
      <c r="M311" s="52">
        <f t="shared" ca="1" si="315"/>
        <v>2.479425</v>
      </c>
      <c r="N311" s="52">
        <f t="shared" ca="1" si="315"/>
        <v>2.5853587500000001</v>
      </c>
      <c r="O311" s="52">
        <f t="shared" ca="1" si="315"/>
        <v>2.7290737500000004</v>
      </c>
      <c r="P311" s="52">
        <f t="shared" ca="1" si="315"/>
        <v>2.8682550000000004</v>
      </c>
      <c r="Q311" s="52">
        <f t="shared" ca="1" si="315"/>
        <v>2.9825737500000002</v>
      </c>
      <c r="R311" s="52">
        <f t="shared" ca="1" si="315"/>
        <v>2.5118925000000001</v>
      </c>
      <c r="S311" s="52">
        <f t="shared" ca="1" si="315"/>
        <v>2.3461425</v>
      </c>
      <c r="T311" s="52">
        <f t="shared" ca="1" si="315"/>
        <v>1.9936799999999999</v>
      </c>
      <c r="U311" s="52">
        <f t="shared" ca="1" si="315"/>
        <v>1.8445049999999998</v>
      </c>
      <c r="V311" s="244">
        <f t="shared" ca="1" si="315"/>
        <v>0.1761215625000023</v>
      </c>
      <c r="W311" s="52"/>
    </row>
    <row r="312" spans="2:23" x14ac:dyDescent="0.3">
      <c r="B312" s="432" t="s">
        <v>190</v>
      </c>
      <c r="C312" s="464">
        <f ca="1">IFERROR(C310/C311,0)</f>
        <v>0</v>
      </c>
      <c r="D312" s="464">
        <f t="shared" ref="D312:V312" ca="1" si="316">IFERROR(D310/D311,0)</f>
        <v>0</v>
      </c>
      <c r="E312" s="464">
        <f t="shared" ca="1" si="316"/>
        <v>0</v>
      </c>
      <c r="F312" s="464">
        <f t="shared" ca="1" si="316"/>
        <v>0</v>
      </c>
      <c r="G312" s="464">
        <f t="shared" ca="1" si="316"/>
        <v>1.1575673021656077</v>
      </c>
      <c r="H312" s="464">
        <f t="shared" ca="1" si="316"/>
        <v>1.1483649559834757</v>
      </c>
      <c r="I312" s="464">
        <f t="shared" ca="1" si="316"/>
        <v>1.1513963584046623</v>
      </c>
      <c r="J312" s="464">
        <f t="shared" ca="1" si="316"/>
        <v>1.1575671310551949</v>
      </c>
      <c r="K312" s="464">
        <f t="shared" ca="1" si="316"/>
        <v>1.1525712755057966</v>
      </c>
      <c r="L312" s="464">
        <f t="shared" ca="1" si="316"/>
        <v>1.1488578814927783</v>
      </c>
      <c r="M312" s="464">
        <f t="shared" ca="1" si="316"/>
        <v>1.1557812975501423</v>
      </c>
      <c r="N312" s="464">
        <f t="shared" ca="1" si="316"/>
        <v>1.1638449386810139</v>
      </c>
      <c r="O312" s="464">
        <f t="shared" ca="1" si="316"/>
        <v>1.1576838224526855</v>
      </c>
      <c r="P312" s="464">
        <f t="shared" ca="1" si="316"/>
        <v>1.1565829248752455</v>
      </c>
      <c r="Q312" s="464">
        <f t="shared" ca="1" si="316"/>
        <v>1.1678650008394429</v>
      </c>
      <c r="R312" s="464">
        <f t="shared" ca="1" si="316"/>
        <v>1.4560359051192775</v>
      </c>
      <c r="S312" s="464">
        <f t="shared" ca="1" si="316"/>
        <v>1.6368468468090978</v>
      </c>
      <c r="T312" s="464">
        <f t="shared" ca="1" si="316"/>
        <v>2.0225360895200359</v>
      </c>
      <c r="U312" s="464">
        <f t="shared" ca="1" si="316"/>
        <v>2.295414888277354</v>
      </c>
      <c r="V312" s="465">
        <f t="shared" ca="1" si="316"/>
        <v>2.1034711230711571</v>
      </c>
      <c r="W312" s="33"/>
    </row>
    <row r="313" spans="2:23" x14ac:dyDescent="0.3">
      <c r="C313" s="33"/>
      <c r="D313" s="33"/>
      <c r="E313" s="33"/>
      <c r="F313" s="33"/>
      <c r="G313" s="33"/>
      <c r="H313" s="33"/>
      <c r="I313" s="33"/>
      <c r="J313" s="33"/>
      <c r="K313" s="33"/>
      <c r="L313" s="33"/>
      <c r="M313" s="33"/>
      <c r="N313" s="33"/>
      <c r="O313" s="33"/>
      <c r="P313" s="33"/>
      <c r="Q313" s="33"/>
      <c r="R313" s="33"/>
      <c r="S313" s="33"/>
      <c r="T313" s="33"/>
      <c r="U313" s="33"/>
      <c r="V313" s="33"/>
      <c r="W313" s="33"/>
    </row>
    <row r="314" spans="2:23" x14ac:dyDescent="0.3">
      <c r="B314" s="519" t="s">
        <v>346</v>
      </c>
      <c r="C314" s="520">
        <f ca="1">MIN(H312:V312)</f>
        <v>1.1483649559834757</v>
      </c>
      <c r="D314" s="33"/>
      <c r="E314" s="33"/>
      <c r="F314" s="33"/>
      <c r="G314" s="33"/>
      <c r="H314" s="33"/>
      <c r="I314" s="33"/>
      <c r="J314" s="33"/>
      <c r="K314" s="33"/>
      <c r="L314" s="33"/>
      <c r="M314" s="33"/>
      <c r="N314" s="33"/>
      <c r="O314" s="33"/>
      <c r="P314" s="33"/>
      <c r="Q314" s="33"/>
      <c r="R314" s="33"/>
      <c r="S314" s="33"/>
      <c r="T314" s="33"/>
      <c r="U314" s="33"/>
      <c r="V314" s="33"/>
      <c r="W314" s="33"/>
    </row>
    <row r="315" spans="2:23" x14ac:dyDescent="0.3">
      <c r="B315" s="299" t="s">
        <v>347</v>
      </c>
      <c r="C315" s="521">
        <f ca="1">SUM(H310:V310)/SUM(H311:V311)</f>
        <v>1.3330429411954756</v>
      </c>
      <c r="D315" s="33"/>
      <c r="E315" s="33"/>
      <c r="F315" s="33"/>
      <c r="G315" s="33"/>
      <c r="H315" s="33"/>
      <c r="I315" s="33"/>
      <c r="J315" s="33"/>
      <c r="K315" s="33"/>
      <c r="L315" s="33"/>
      <c r="M315" s="33"/>
      <c r="N315" s="33"/>
      <c r="O315" s="33"/>
      <c r="P315" s="33"/>
      <c r="Q315" s="33"/>
      <c r="R315" s="33"/>
      <c r="S315" s="33"/>
      <c r="T315" s="33"/>
      <c r="U315" s="33"/>
      <c r="V315" s="33"/>
      <c r="W315" s="33"/>
    </row>
    <row r="316" spans="2:23" x14ac:dyDescent="0.3">
      <c r="C316" s="33"/>
      <c r="D316" s="33"/>
      <c r="E316" s="33"/>
      <c r="F316" s="33"/>
      <c r="G316" s="33"/>
      <c r="H316" s="33"/>
      <c r="I316" s="33"/>
      <c r="J316" s="33"/>
      <c r="K316" s="33"/>
      <c r="L316" s="33"/>
      <c r="M316" s="33"/>
      <c r="N316" s="33"/>
      <c r="O316" s="33"/>
      <c r="P316" s="33"/>
      <c r="Q316" s="33"/>
      <c r="R316" s="33"/>
      <c r="S316" s="33"/>
      <c r="T316" s="33"/>
      <c r="U316" s="33"/>
      <c r="V316" s="33"/>
      <c r="W316" s="33"/>
    </row>
    <row r="317" spans="2:23" x14ac:dyDescent="0.3">
      <c r="C317" s="33"/>
      <c r="D317" s="33"/>
      <c r="E317" s="33"/>
      <c r="F317" s="33"/>
      <c r="G317" s="33"/>
      <c r="H317" s="33"/>
      <c r="I317" s="33"/>
      <c r="J317" s="33"/>
      <c r="K317" s="33"/>
      <c r="L317" s="33"/>
      <c r="M317" s="33"/>
      <c r="N317" s="33"/>
      <c r="O317" s="33"/>
      <c r="P317" s="33"/>
      <c r="Q317" s="33"/>
      <c r="R317" s="33"/>
      <c r="S317" s="33"/>
      <c r="T317" s="33"/>
      <c r="U317" s="33"/>
      <c r="V317" s="33"/>
      <c r="W317" s="33"/>
    </row>
    <row r="318" spans="2:23" ht="14.4" thickBot="1" x14ac:dyDescent="0.35">
      <c r="B318" s="540" t="s">
        <v>428</v>
      </c>
      <c r="C318" s="562"/>
      <c r="D318" s="462"/>
      <c r="E318" s="462"/>
      <c r="F318" s="462"/>
      <c r="G318" s="462"/>
      <c r="H318" s="462"/>
      <c r="I318" s="462"/>
      <c r="J318" s="462"/>
      <c r="K318" s="462"/>
      <c r="L318" s="462"/>
      <c r="M318" s="462"/>
      <c r="N318" s="462"/>
      <c r="O318" s="462"/>
      <c r="P318" s="462"/>
      <c r="Q318" s="462"/>
      <c r="R318" s="462"/>
      <c r="S318" s="462"/>
      <c r="T318" s="462"/>
      <c r="U318" s="462"/>
      <c r="V318" s="506"/>
      <c r="W318" s="33"/>
    </row>
    <row r="319" spans="2:23" ht="14.4" thickTop="1" x14ac:dyDescent="0.3">
      <c r="B319" s="163"/>
      <c r="C319" s="563">
        <f>C309</f>
        <v>46112</v>
      </c>
      <c r="D319" s="563">
        <f t="shared" ref="D319:V319" si="317">D309</f>
        <v>46477</v>
      </c>
      <c r="E319" s="563">
        <f t="shared" si="317"/>
        <v>46843</v>
      </c>
      <c r="F319" s="563">
        <f t="shared" si="317"/>
        <v>47208</v>
      </c>
      <c r="G319" s="563">
        <f t="shared" si="317"/>
        <v>47573</v>
      </c>
      <c r="H319" s="563">
        <f t="shared" si="317"/>
        <v>47938</v>
      </c>
      <c r="I319" s="563">
        <f t="shared" si="317"/>
        <v>48304</v>
      </c>
      <c r="J319" s="563">
        <f t="shared" si="317"/>
        <v>48669</v>
      </c>
      <c r="K319" s="563">
        <f t="shared" si="317"/>
        <v>49034</v>
      </c>
      <c r="L319" s="563">
        <f t="shared" si="317"/>
        <v>49399</v>
      </c>
      <c r="M319" s="563">
        <f t="shared" si="317"/>
        <v>49765</v>
      </c>
      <c r="N319" s="563">
        <f t="shared" si="317"/>
        <v>50130</v>
      </c>
      <c r="O319" s="563">
        <f t="shared" si="317"/>
        <v>50495</v>
      </c>
      <c r="P319" s="563">
        <f t="shared" si="317"/>
        <v>50860</v>
      </c>
      <c r="Q319" s="563">
        <f t="shared" si="317"/>
        <v>51226</v>
      </c>
      <c r="R319" s="563">
        <f t="shared" si="317"/>
        <v>51591</v>
      </c>
      <c r="S319" s="563">
        <f t="shared" si="317"/>
        <v>51956</v>
      </c>
      <c r="T319" s="563">
        <f t="shared" si="317"/>
        <v>52321</v>
      </c>
      <c r="U319" s="563">
        <f t="shared" si="317"/>
        <v>52687</v>
      </c>
      <c r="V319" s="564">
        <f t="shared" si="317"/>
        <v>53052</v>
      </c>
      <c r="W319" s="33"/>
    </row>
    <row r="320" spans="2:23" x14ac:dyDescent="0.3">
      <c r="B320" s="290" t="s">
        <v>414</v>
      </c>
      <c r="C320" s="52">
        <f t="shared" ref="C320:V320" ca="1" si="318">C310-C311</f>
        <v>0</v>
      </c>
      <c r="D320" s="52">
        <f t="shared" ca="1" si="318"/>
        <v>0</v>
      </c>
      <c r="E320" s="52">
        <f t="shared" ca="1" si="318"/>
        <v>0</v>
      </c>
      <c r="F320" s="52">
        <f t="shared" ca="1" si="318"/>
        <v>0</v>
      </c>
      <c r="G320" s="52">
        <f t="shared" ca="1" si="318"/>
        <v>0.29107887816926481</v>
      </c>
      <c r="H320" s="52">
        <f t="shared" ca="1" si="318"/>
        <v>0.29008918926522842</v>
      </c>
      <c r="I320" s="52">
        <f t="shared" ca="1" si="318"/>
        <v>0.30999880497849031</v>
      </c>
      <c r="J320" s="52">
        <f t="shared" ca="1" si="318"/>
        <v>0.33695987022741392</v>
      </c>
      <c r="K320" s="52">
        <f t="shared" ca="1" si="318"/>
        <v>0.34407492623878522</v>
      </c>
      <c r="L320" s="52">
        <f t="shared" ca="1" si="318"/>
        <v>0.35362492255072553</v>
      </c>
      <c r="M320" s="52">
        <f t="shared" ca="1" si="318"/>
        <v>0.3862480436782616</v>
      </c>
      <c r="N320" s="52">
        <f t="shared" ca="1" si="318"/>
        <v>0.42359794586217303</v>
      </c>
      <c r="O320" s="52">
        <f t="shared" ca="1" si="318"/>
        <v>0.43033078065528452</v>
      </c>
      <c r="P320" s="52">
        <f t="shared" ca="1" si="318"/>
        <v>0.44911975718804742</v>
      </c>
      <c r="Q320" s="52">
        <f t="shared" ca="1" si="318"/>
        <v>0.50066974504745021</v>
      </c>
      <c r="R320" s="52">
        <f t="shared" ca="1" si="318"/>
        <v>1.1455131697998246</v>
      </c>
      <c r="S320" s="52">
        <f t="shared" ca="1" si="318"/>
        <v>1.4941334532898134</v>
      </c>
      <c r="T320" s="52">
        <f t="shared" ca="1" si="318"/>
        <v>2.0386097509543055</v>
      </c>
      <c r="U320" s="52">
        <f t="shared" ca="1" si="318"/>
        <v>2.3893992385020209</v>
      </c>
      <c r="V320" s="244">
        <f t="shared" ca="1" si="318"/>
        <v>0.19434505836892454</v>
      </c>
      <c r="W320" s="54"/>
    </row>
    <row r="321" spans="1:276" x14ac:dyDescent="0.3">
      <c r="B321" s="292" t="s">
        <v>415</v>
      </c>
      <c r="C321" s="637">
        <f ca="1">SUM(C320:F320,G320*9/12)</f>
        <v>0.21830915862694864</v>
      </c>
      <c r="D321" s="294"/>
      <c r="E321" s="294"/>
      <c r="F321" s="294"/>
      <c r="G321" s="294"/>
      <c r="H321" s="294"/>
      <c r="I321" s="294"/>
      <c r="J321" s="294"/>
      <c r="K321" s="294"/>
      <c r="L321" s="294"/>
      <c r="M321" s="294"/>
      <c r="N321" s="294"/>
      <c r="O321" s="294"/>
      <c r="P321" s="294"/>
      <c r="Q321" s="294"/>
      <c r="R321" s="294"/>
      <c r="S321" s="474"/>
      <c r="T321" s="474"/>
      <c r="U321" s="294"/>
      <c r="V321" s="381"/>
    </row>
    <row r="324" spans="1:276" x14ac:dyDescent="0.3">
      <c r="B324" s="1" t="s">
        <v>348</v>
      </c>
      <c r="C324" s="272">
        <f ca="1">C270+C205+C77+C16+C141</f>
        <v>317.5</v>
      </c>
    </row>
    <row r="325" spans="1:276" x14ac:dyDescent="0.3">
      <c r="B325" s="1" t="s">
        <v>351</v>
      </c>
      <c r="C325" s="46">
        <f>C261+C196+C68+C7+C132</f>
        <v>1489591.82149575</v>
      </c>
    </row>
    <row r="328" spans="1:276" ht="14.4" thickBot="1" x14ac:dyDescent="0.35">
      <c r="B328" s="568" t="s">
        <v>350</v>
      </c>
    </row>
    <row r="329" spans="1:276" ht="14.4" thickTop="1" x14ac:dyDescent="0.3"/>
    <row r="330" spans="1:276" ht="14.4" thickBot="1" x14ac:dyDescent="0.35">
      <c r="B330" s="499" t="s">
        <v>331</v>
      </c>
      <c r="C330" s="471"/>
      <c r="D330" s="471"/>
      <c r="E330" s="471"/>
      <c r="F330" s="471"/>
      <c r="G330" s="471"/>
      <c r="H330" s="471"/>
      <c r="I330" s="471"/>
      <c r="J330" s="471"/>
      <c r="K330" s="471"/>
      <c r="L330" s="471"/>
      <c r="M330" s="471"/>
      <c r="N330" s="471"/>
      <c r="O330" s="471"/>
      <c r="P330" s="471"/>
      <c r="Q330" s="471"/>
      <c r="R330" s="471"/>
      <c r="S330" s="471"/>
      <c r="T330" s="471"/>
      <c r="U330" s="471"/>
      <c r="V330" s="471"/>
      <c r="W330" s="471"/>
      <c r="X330" s="471"/>
      <c r="Y330" s="471"/>
      <c r="Z330" s="471"/>
      <c r="AA330" s="471"/>
      <c r="AB330" s="471"/>
      <c r="AC330" s="471"/>
      <c r="AD330" s="471"/>
      <c r="AE330" s="471"/>
      <c r="AF330" s="471"/>
      <c r="AG330" s="471"/>
      <c r="AH330" s="471"/>
      <c r="AI330" s="471"/>
      <c r="AJ330" s="471"/>
      <c r="AK330" s="471"/>
      <c r="AL330" s="471"/>
      <c r="AM330" s="471"/>
      <c r="AN330" s="471"/>
      <c r="AO330" s="471"/>
      <c r="AP330" s="471"/>
      <c r="AQ330" s="471"/>
      <c r="AR330" s="471"/>
      <c r="AS330" s="471"/>
      <c r="AT330" s="471"/>
      <c r="AU330" s="471"/>
      <c r="AV330" s="471"/>
      <c r="AW330" s="471"/>
      <c r="AX330" s="471"/>
      <c r="AY330" s="471"/>
      <c r="AZ330" s="471"/>
      <c r="BA330" s="471"/>
      <c r="BB330" s="471"/>
      <c r="BC330" s="471"/>
      <c r="BD330" s="471"/>
      <c r="BE330" s="471"/>
      <c r="BF330" s="471"/>
      <c r="BG330" s="471"/>
      <c r="BH330" s="471"/>
      <c r="BI330" s="471"/>
      <c r="BJ330" s="471"/>
      <c r="BK330" s="471"/>
      <c r="BL330" s="471"/>
      <c r="BM330" s="471"/>
      <c r="BN330" s="471"/>
      <c r="BO330" s="471"/>
      <c r="BP330" s="471"/>
      <c r="BQ330" s="471"/>
      <c r="BR330" s="471"/>
      <c r="BS330" s="471"/>
      <c r="BT330" s="471"/>
      <c r="BU330" s="471"/>
      <c r="BV330" s="471"/>
      <c r="BW330" s="471"/>
      <c r="BX330" s="471"/>
      <c r="BY330" s="471"/>
      <c r="BZ330" s="471"/>
      <c r="CA330" s="471"/>
      <c r="CB330" s="471"/>
      <c r="CC330" s="471"/>
      <c r="CD330" s="471"/>
      <c r="CE330" s="471"/>
      <c r="CF330" s="471"/>
      <c r="CG330" s="471"/>
      <c r="CH330" s="471"/>
      <c r="CI330" s="471"/>
      <c r="CJ330" s="471"/>
      <c r="CK330" s="471"/>
      <c r="CL330" s="471"/>
      <c r="CM330" s="471"/>
      <c r="CN330" s="471"/>
      <c r="CO330" s="471"/>
      <c r="CP330" s="471"/>
      <c r="CQ330" s="471"/>
      <c r="CR330" s="471"/>
      <c r="CS330" s="471"/>
      <c r="CT330" s="471"/>
      <c r="CU330" s="471"/>
      <c r="CV330" s="471"/>
      <c r="CW330" s="471"/>
      <c r="CX330" s="471"/>
      <c r="CY330" s="471"/>
      <c r="CZ330" s="471"/>
      <c r="DA330" s="471"/>
      <c r="DB330" s="471"/>
      <c r="DC330" s="471"/>
      <c r="DD330" s="471"/>
      <c r="DE330" s="471"/>
      <c r="DF330" s="471"/>
      <c r="DG330" s="471"/>
      <c r="DH330" s="471"/>
      <c r="DI330" s="471"/>
      <c r="DJ330" s="471"/>
      <c r="DK330" s="471"/>
      <c r="DL330" s="471"/>
      <c r="DM330" s="471"/>
      <c r="DN330" s="471"/>
      <c r="DO330" s="471"/>
      <c r="DP330" s="471"/>
      <c r="DQ330" s="471"/>
      <c r="DR330" s="471"/>
      <c r="DS330" s="471"/>
      <c r="DT330" s="471"/>
      <c r="DU330" s="471"/>
      <c r="DV330" s="471"/>
      <c r="DW330" s="471"/>
      <c r="DX330" s="471"/>
      <c r="DY330" s="471"/>
      <c r="DZ330" s="471"/>
      <c r="EA330" s="471"/>
      <c r="EB330" s="471"/>
      <c r="EC330" s="471"/>
      <c r="ED330" s="471"/>
      <c r="EE330" s="471"/>
      <c r="EF330" s="471"/>
      <c r="EG330" s="471"/>
      <c r="EH330" s="471"/>
      <c r="EI330" s="471"/>
      <c r="EJ330" s="471"/>
      <c r="EK330" s="471"/>
      <c r="EL330" s="471"/>
      <c r="EM330" s="471"/>
      <c r="EN330" s="471"/>
      <c r="EO330" s="471"/>
      <c r="EP330" s="471"/>
      <c r="EQ330" s="471"/>
      <c r="ER330" s="471"/>
      <c r="ES330" s="471"/>
      <c r="ET330" s="471"/>
      <c r="EU330" s="471"/>
      <c r="EV330" s="471"/>
      <c r="EW330" s="471"/>
      <c r="EX330" s="471"/>
      <c r="EY330" s="471"/>
      <c r="EZ330" s="471"/>
      <c r="FA330" s="471"/>
      <c r="FB330" s="471"/>
      <c r="FC330" s="471"/>
      <c r="FD330" s="471"/>
      <c r="FE330" s="471"/>
      <c r="FF330" s="471"/>
      <c r="FG330" s="471"/>
      <c r="FH330" s="471"/>
      <c r="FI330" s="471"/>
      <c r="FJ330" s="471"/>
      <c r="FK330" s="471"/>
      <c r="FL330" s="471"/>
      <c r="FM330" s="471"/>
      <c r="FN330" s="471"/>
      <c r="FO330" s="471"/>
      <c r="FP330" s="471"/>
      <c r="FQ330" s="471"/>
      <c r="FR330" s="471"/>
      <c r="FS330" s="471"/>
      <c r="FT330" s="471"/>
      <c r="FU330" s="471"/>
      <c r="FV330" s="471"/>
      <c r="FW330" s="471"/>
      <c r="FX330" s="471"/>
      <c r="FY330" s="471"/>
      <c r="FZ330" s="471"/>
      <c r="GA330" s="471"/>
      <c r="GB330" s="471"/>
      <c r="GC330" s="471"/>
      <c r="GD330" s="471"/>
      <c r="GE330" s="471"/>
      <c r="GF330" s="471"/>
      <c r="GG330" s="471"/>
      <c r="GH330" s="471"/>
      <c r="GI330" s="471"/>
      <c r="GJ330" s="471"/>
      <c r="GK330" s="471"/>
      <c r="GL330" s="471"/>
      <c r="GM330" s="471"/>
      <c r="GN330" s="471"/>
      <c r="GO330" s="471"/>
      <c r="GP330" s="471"/>
      <c r="GQ330" s="471"/>
      <c r="GR330" s="471"/>
      <c r="GS330" s="471"/>
      <c r="GT330" s="471"/>
      <c r="GU330" s="471"/>
      <c r="GV330" s="471"/>
      <c r="GW330" s="471"/>
      <c r="GX330" s="471"/>
      <c r="GY330" s="471"/>
      <c r="GZ330" s="471"/>
      <c r="HA330" s="471"/>
      <c r="HB330" s="471"/>
      <c r="HC330" s="471"/>
      <c r="HD330" s="471"/>
      <c r="HE330" s="471"/>
      <c r="HF330" s="471"/>
      <c r="HG330" s="471"/>
      <c r="HH330" s="471"/>
      <c r="HI330" s="471"/>
      <c r="HJ330" s="471"/>
      <c r="HK330" s="471"/>
      <c r="HL330" s="471"/>
      <c r="HM330" s="471"/>
      <c r="HN330" s="471"/>
      <c r="HO330" s="471"/>
      <c r="HP330" s="471"/>
      <c r="HQ330" s="471"/>
      <c r="HR330" s="471"/>
      <c r="HS330" s="471"/>
      <c r="HT330" s="471"/>
      <c r="HU330" s="471"/>
      <c r="HV330" s="471"/>
      <c r="HW330" s="471"/>
      <c r="HX330" s="471"/>
      <c r="HY330" s="471"/>
      <c r="HZ330" s="471"/>
      <c r="IA330" s="471"/>
      <c r="IB330" s="471"/>
      <c r="IC330" s="471"/>
      <c r="ID330" s="471"/>
      <c r="IE330" s="471"/>
      <c r="IF330" s="471"/>
      <c r="IG330" s="471"/>
      <c r="IH330" s="471"/>
      <c r="II330" s="471"/>
      <c r="IJ330" s="471"/>
      <c r="IK330" s="471"/>
      <c r="IL330" s="471"/>
      <c r="IM330" s="471"/>
      <c r="IN330" s="471"/>
      <c r="IO330" s="471"/>
      <c r="IP330" s="471"/>
      <c r="IQ330" s="471"/>
      <c r="IR330" s="471"/>
      <c r="IS330" s="471"/>
      <c r="IT330" s="471"/>
      <c r="IU330" s="471"/>
      <c r="IV330" s="471"/>
      <c r="IW330" s="471"/>
      <c r="IX330" s="471"/>
      <c r="IY330" s="471"/>
      <c r="IZ330" s="471"/>
      <c r="JA330" s="471"/>
      <c r="JB330" s="471"/>
      <c r="JC330" s="471"/>
      <c r="JD330" s="471"/>
      <c r="JE330" s="471"/>
      <c r="JF330" s="471"/>
      <c r="JG330" s="471"/>
      <c r="JH330" s="471"/>
      <c r="JI330" s="500"/>
    </row>
    <row r="331" spans="1:276" ht="14.4" thickTop="1" x14ac:dyDescent="0.3">
      <c r="B331" s="169" t="s">
        <v>330</v>
      </c>
      <c r="C331" s="501">
        <f>C23</f>
        <v>46112</v>
      </c>
      <c r="D331" s="501">
        <f t="shared" ref="D331:BO331" si="319">D23</f>
        <v>46112</v>
      </c>
      <c r="E331" s="501">
        <f t="shared" si="319"/>
        <v>46112</v>
      </c>
      <c r="F331" s="501">
        <f t="shared" si="319"/>
        <v>46477</v>
      </c>
      <c r="G331" s="501">
        <f t="shared" si="319"/>
        <v>46477</v>
      </c>
      <c r="H331" s="501">
        <f t="shared" si="319"/>
        <v>46477</v>
      </c>
      <c r="I331" s="501">
        <f t="shared" si="319"/>
        <v>46477</v>
      </c>
      <c r="J331" s="501">
        <f t="shared" si="319"/>
        <v>46477</v>
      </c>
      <c r="K331" s="501">
        <f t="shared" si="319"/>
        <v>46477</v>
      </c>
      <c r="L331" s="501">
        <f t="shared" si="319"/>
        <v>46477</v>
      </c>
      <c r="M331" s="501">
        <f t="shared" si="319"/>
        <v>46477</v>
      </c>
      <c r="N331" s="501">
        <f t="shared" si="319"/>
        <v>46477</v>
      </c>
      <c r="O331" s="501">
        <f t="shared" si="319"/>
        <v>46477</v>
      </c>
      <c r="P331" s="501">
        <f t="shared" si="319"/>
        <v>46477</v>
      </c>
      <c r="Q331" s="501">
        <f t="shared" si="319"/>
        <v>46477</v>
      </c>
      <c r="R331" s="501">
        <f t="shared" si="319"/>
        <v>46843</v>
      </c>
      <c r="S331" s="501">
        <f t="shared" si="319"/>
        <v>46843</v>
      </c>
      <c r="T331" s="501">
        <f t="shared" si="319"/>
        <v>46843</v>
      </c>
      <c r="U331" s="501">
        <f t="shared" si="319"/>
        <v>46843</v>
      </c>
      <c r="V331" s="501">
        <f t="shared" si="319"/>
        <v>46843</v>
      </c>
      <c r="W331" s="501">
        <f t="shared" si="319"/>
        <v>46843</v>
      </c>
      <c r="X331" s="501">
        <f t="shared" si="319"/>
        <v>46843</v>
      </c>
      <c r="Y331" s="501">
        <f t="shared" si="319"/>
        <v>46843</v>
      </c>
      <c r="Z331" s="501">
        <f t="shared" si="319"/>
        <v>46843</v>
      </c>
      <c r="AA331" s="501">
        <f t="shared" si="319"/>
        <v>46843</v>
      </c>
      <c r="AB331" s="501">
        <f t="shared" si="319"/>
        <v>46843</v>
      </c>
      <c r="AC331" s="501">
        <f t="shared" si="319"/>
        <v>46843</v>
      </c>
      <c r="AD331" s="501">
        <f t="shared" si="319"/>
        <v>47208</v>
      </c>
      <c r="AE331" s="501">
        <f t="shared" si="319"/>
        <v>47208</v>
      </c>
      <c r="AF331" s="501">
        <f t="shared" si="319"/>
        <v>47208</v>
      </c>
      <c r="AG331" s="501">
        <f t="shared" si="319"/>
        <v>47208</v>
      </c>
      <c r="AH331" s="501">
        <f t="shared" si="319"/>
        <v>47208</v>
      </c>
      <c r="AI331" s="501">
        <f t="shared" si="319"/>
        <v>47208</v>
      </c>
      <c r="AJ331" s="501">
        <f t="shared" si="319"/>
        <v>47208</v>
      </c>
      <c r="AK331" s="501">
        <f t="shared" si="319"/>
        <v>47208</v>
      </c>
      <c r="AL331" s="501">
        <f t="shared" si="319"/>
        <v>47208</v>
      </c>
      <c r="AM331" s="501">
        <f t="shared" si="319"/>
        <v>47208</v>
      </c>
      <c r="AN331" s="501">
        <f t="shared" si="319"/>
        <v>47208</v>
      </c>
      <c r="AO331" s="501">
        <f t="shared" si="319"/>
        <v>47208</v>
      </c>
      <c r="AP331" s="501">
        <f t="shared" si="319"/>
        <v>47573</v>
      </c>
      <c r="AQ331" s="501">
        <f t="shared" si="319"/>
        <v>47573</v>
      </c>
      <c r="AR331" s="501">
        <f t="shared" si="319"/>
        <v>47573</v>
      </c>
      <c r="AS331" s="501">
        <f t="shared" si="319"/>
        <v>47573</v>
      </c>
      <c r="AT331" s="501">
        <f t="shared" si="319"/>
        <v>47573</v>
      </c>
      <c r="AU331" s="501">
        <f t="shared" si="319"/>
        <v>47573</v>
      </c>
      <c r="AV331" s="501">
        <f t="shared" si="319"/>
        <v>47573</v>
      </c>
      <c r="AW331" s="501">
        <f t="shared" si="319"/>
        <v>47573</v>
      </c>
      <c r="AX331" s="501">
        <f t="shared" si="319"/>
        <v>47573</v>
      </c>
      <c r="AY331" s="501">
        <f t="shared" si="319"/>
        <v>47573</v>
      </c>
      <c r="AZ331" s="501">
        <f t="shared" si="319"/>
        <v>47573</v>
      </c>
      <c r="BA331" s="501">
        <f t="shared" si="319"/>
        <v>47573</v>
      </c>
      <c r="BB331" s="501">
        <f t="shared" si="319"/>
        <v>47938</v>
      </c>
      <c r="BC331" s="501">
        <f t="shared" si="319"/>
        <v>47938</v>
      </c>
      <c r="BD331" s="501">
        <f t="shared" si="319"/>
        <v>47938</v>
      </c>
      <c r="BE331" s="501">
        <f t="shared" si="319"/>
        <v>47938</v>
      </c>
      <c r="BF331" s="501">
        <f t="shared" si="319"/>
        <v>47938</v>
      </c>
      <c r="BG331" s="501">
        <f t="shared" si="319"/>
        <v>47938</v>
      </c>
      <c r="BH331" s="501">
        <f t="shared" si="319"/>
        <v>47938</v>
      </c>
      <c r="BI331" s="501">
        <f t="shared" si="319"/>
        <v>47938</v>
      </c>
      <c r="BJ331" s="501">
        <f t="shared" si="319"/>
        <v>47938</v>
      </c>
      <c r="BK331" s="501">
        <f t="shared" si="319"/>
        <v>47938</v>
      </c>
      <c r="BL331" s="501">
        <f t="shared" si="319"/>
        <v>47938</v>
      </c>
      <c r="BM331" s="501">
        <f t="shared" si="319"/>
        <v>47938</v>
      </c>
      <c r="BN331" s="501">
        <f t="shared" si="319"/>
        <v>48304</v>
      </c>
      <c r="BO331" s="501">
        <f t="shared" si="319"/>
        <v>48304</v>
      </c>
      <c r="BP331" s="501">
        <f t="shared" ref="BP331:EA331" si="320">BP23</f>
        <v>48304</v>
      </c>
      <c r="BQ331" s="501">
        <f t="shared" si="320"/>
        <v>48304</v>
      </c>
      <c r="BR331" s="501">
        <f t="shared" si="320"/>
        <v>48304</v>
      </c>
      <c r="BS331" s="501">
        <f t="shared" si="320"/>
        <v>48304</v>
      </c>
      <c r="BT331" s="501">
        <f t="shared" si="320"/>
        <v>48304</v>
      </c>
      <c r="BU331" s="501">
        <f t="shared" si="320"/>
        <v>48304</v>
      </c>
      <c r="BV331" s="501">
        <f t="shared" si="320"/>
        <v>48304</v>
      </c>
      <c r="BW331" s="501">
        <f t="shared" si="320"/>
        <v>48304</v>
      </c>
      <c r="BX331" s="501">
        <f t="shared" si="320"/>
        <v>48304</v>
      </c>
      <c r="BY331" s="501">
        <f t="shared" si="320"/>
        <v>48304</v>
      </c>
      <c r="BZ331" s="501">
        <f t="shared" si="320"/>
        <v>48669</v>
      </c>
      <c r="CA331" s="501">
        <f t="shared" si="320"/>
        <v>48669</v>
      </c>
      <c r="CB331" s="501">
        <f t="shared" si="320"/>
        <v>48669</v>
      </c>
      <c r="CC331" s="501">
        <f t="shared" si="320"/>
        <v>48669</v>
      </c>
      <c r="CD331" s="501">
        <f t="shared" si="320"/>
        <v>48669</v>
      </c>
      <c r="CE331" s="501">
        <f t="shared" si="320"/>
        <v>48669</v>
      </c>
      <c r="CF331" s="501">
        <f t="shared" si="320"/>
        <v>48669</v>
      </c>
      <c r="CG331" s="501">
        <f t="shared" si="320"/>
        <v>48669</v>
      </c>
      <c r="CH331" s="501">
        <f t="shared" si="320"/>
        <v>48669</v>
      </c>
      <c r="CI331" s="501">
        <f t="shared" si="320"/>
        <v>48669</v>
      </c>
      <c r="CJ331" s="501">
        <f t="shared" si="320"/>
        <v>48669</v>
      </c>
      <c r="CK331" s="501">
        <f t="shared" si="320"/>
        <v>48669</v>
      </c>
      <c r="CL331" s="501">
        <f t="shared" si="320"/>
        <v>49034</v>
      </c>
      <c r="CM331" s="501">
        <f t="shared" si="320"/>
        <v>49034</v>
      </c>
      <c r="CN331" s="501">
        <f t="shared" si="320"/>
        <v>49034</v>
      </c>
      <c r="CO331" s="501">
        <f t="shared" si="320"/>
        <v>49034</v>
      </c>
      <c r="CP331" s="501">
        <f t="shared" si="320"/>
        <v>49034</v>
      </c>
      <c r="CQ331" s="501">
        <f t="shared" si="320"/>
        <v>49034</v>
      </c>
      <c r="CR331" s="501">
        <f t="shared" si="320"/>
        <v>49034</v>
      </c>
      <c r="CS331" s="501">
        <f t="shared" si="320"/>
        <v>49034</v>
      </c>
      <c r="CT331" s="501">
        <f t="shared" si="320"/>
        <v>49034</v>
      </c>
      <c r="CU331" s="501">
        <f t="shared" si="320"/>
        <v>49034</v>
      </c>
      <c r="CV331" s="501">
        <f t="shared" si="320"/>
        <v>49034</v>
      </c>
      <c r="CW331" s="501">
        <f t="shared" si="320"/>
        <v>49034</v>
      </c>
      <c r="CX331" s="501">
        <f t="shared" si="320"/>
        <v>49399</v>
      </c>
      <c r="CY331" s="501">
        <f t="shared" si="320"/>
        <v>49399</v>
      </c>
      <c r="CZ331" s="501">
        <f t="shared" si="320"/>
        <v>49399</v>
      </c>
      <c r="DA331" s="501">
        <f t="shared" si="320"/>
        <v>49399</v>
      </c>
      <c r="DB331" s="501">
        <f t="shared" si="320"/>
        <v>49399</v>
      </c>
      <c r="DC331" s="501">
        <f t="shared" si="320"/>
        <v>49399</v>
      </c>
      <c r="DD331" s="501">
        <f t="shared" si="320"/>
        <v>49399</v>
      </c>
      <c r="DE331" s="501">
        <f t="shared" si="320"/>
        <v>49399</v>
      </c>
      <c r="DF331" s="501">
        <f t="shared" si="320"/>
        <v>49399</v>
      </c>
      <c r="DG331" s="501">
        <f t="shared" si="320"/>
        <v>49399</v>
      </c>
      <c r="DH331" s="501">
        <f t="shared" si="320"/>
        <v>49399</v>
      </c>
      <c r="DI331" s="501">
        <f t="shared" si="320"/>
        <v>49399</v>
      </c>
      <c r="DJ331" s="501">
        <f t="shared" si="320"/>
        <v>49765</v>
      </c>
      <c r="DK331" s="501">
        <f t="shared" si="320"/>
        <v>49765</v>
      </c>
      <c r="DL331" s="501">
        <f t="shared" si="320"/>
        <v>49765</v>
      </c>
      <c r="DM331" s="501">
        <f t="shared" si="320"/>
        <v>49765</v>
      </c>
      <c r="DN331" s="501">
        <f t="shared" si="320"/>
        <v>49765</v>
      </c>
      <c r="DO331" s="501">
        <f t="shared" si="320"/>
        <v>49765</v>
      </c>
      <c r="DP331" s="501">
        <f t="shared" si="320"/>
        <v>49765</v>
      </c>
      <c r="DQ331" s="501">
        <f t="shared" si="320"/>
        <v>49765</v>
      </c>
      <c r="DR331" s="501">
        <f t="shared" si="320"/>
        <v>49765</v>
      </c>
      <c r="DS331" s="501">
        <f t="shared" si="320"/>
        <v>49765</v>
      </c>
      <c r="DT331" s="501">
        <f t="shared" si="320"/>
        <v>49765</v>
      </c>
      <c r="DU331" s="501">
        <f t="shared" si="320"/>
        <v>49765</v>
      </c>
      <c r="DV331" s="501">
        <f t="shared" si="320"/>
        <v>50130</v>
      </c>
      <c r="DW331" s="501">
        <f t="shared" si="320"/>
        <v>50130</v>
      </c>
      <c r="DX331" s="501">
        <f t="shared" si="320"/>
        <v>50130</v>
      </c>
      <c r="DY331" s="501">
        <f t="shared" si="320"/>
        <v>50130</v>
      </c>
      <c r="DZ331" s="501">
        <f t="shared" si="320"/>
        <v>50130</v>
      </c>
      <c r="EA331" s="501">
        <f t="shared" si="320"/>
        <v>50130</v>
      </c>
      <c r="EB331" s="501">
        <f t="shared" ref="EB331:GM331" si="321">EB23</f>
        <v>50130</v>
      </c>
      <c r="EC331" s="501">
        <f t="shared" si="321"/>
        <v>50130</v>
      </c>
      <c r="ED331" s="501">
        <f t="shared" si="321"/>
        <v>50130</v>
      </c>
      <c r="EE331" s="501">
        <f t="shared" si="321"/>
        <v>50130</v>
      </c>
      <c r="EF331" s="501">
        <f t="shared" si="321"/>
        <v>50130</v>
      </c>
      <c r="EG331" s="501">
        <f t="shared" si="321"/>
        <v>50130</v>
      </c>
      <c r="EH331" s="501">
        <f t="shared" si="321"/>
        <v>50495</v>
      </c>
      <c r="EI331" s="501">
        <f t="shared" si="321"/>
        <v>50495</v>
      </c>
      <c r="EJ331" s="501">
        <f t="shared" si="321"/>
        <v>50495</v>
      </c>
      <c r="EK331" s="501">
        <f t="shared" si="321"/>
        <v>50495</v>
      </c>
      <c r="EL331" s="501">
        <f t="shared" si="321"/>
        <v>50495</v>
      </c>
      <c r="EM331" s="501">
        <f t="shared" si="321"/>
        <v>50495</v>
      </c>
      <c r="EN331" s="501">
        <f t="shared" si="321"/>
        <v>50495</v>
      </c>
      <c r="EO331" s="501">
        <f t="shared" si="321"/>
        <v>50495</v>
      </c>
      <c r="EP331" s="501">
        <f t="shared" si="321"/>
        <v>50495</v>
      </c>
      <c r="EQ331" s="501">
        <f t="shared" si="321"/>
        <v>50495</v>
      </c>
      <c r="ER331" s="501">
        <f t="shared" si="321"/>
        <v>50495</v>
      </c>
      <c r="ES331" s="501">
        <f t="shared" si="321"/>
        <v>50495</v>
      </c>
      <c r="ET331" s="501">
        <f t="shared" si="321"/>
        <v>50860</v>
      </c>
      <c r="EU331" s="501">
        <f t="shared" si="321"/>
        <v>50860</v>
      </c>
      <c r="EV331" s="501">
        <f t="shared" si="321"/>
        <v>50860</v>
      </c>
      <c r="EW331" s="501">
        <f t="shared" si="321"/>
        <v>50860</v>
      </c>
      <c r="EX331" s="501">
        <f t="shared" si="321"/>
        <v>50860</v>
      </c>
      <c r="EY331" s="501">
        <f t="shared" si="321"/>
        <v>50860</v>
      </c>
      <c r="EZ331" s="501">
        <f t="shared" si="321"/>
        <v>50860</v>
      </c>
      <c r="FA331" s="501">
        <f t="shared" si="321"/>
        <v>50860</v>
      </c>
      <c r="FB331" s="501">
        <f t="shared" si="321"/>
        <v>50860</v>
      </c>
      <c r="FC331" s="501">
        <f t="shared" si="321"/>
        <v>50860</v>
      </c>
      <c r="FD331" s="501">
        <f t="shared" si="321"/>
        <v>50860</v>
      </c>
      <c r="FE331" s="501">
        <f t="shared" si="321"/>
        <v>50860</v>
      </c>
      <c r="FF331" s="501">
        <f t="shared" si="321"/>
        <v>51226</v>
      </c>
      <c r="FG331" s="501">
        <f t="shared" si="321"/>
        <v>51226</v>
      </c>
      <c r="FH331" s="501">
        <f t="shared" si="321"/>
        <v>51226</v>
      </c>
      <c r="FI331" s="501">
        <f t="shared" si="321"/>
        <v>51226</v>
      </c>
      <c r="FJ331" s="501">
        <f t="shared" si="321"/>
        <v>51226</v>
      </c>
      <c r="FK331" s="501">
        <f t="shared" si="321"/>
        <v>51226</v>
      </c>
      <c r="FL331" s="501">
        <f t="shared" si="321"/>
        <v>51226</v>
      </c>
      <c r="FM331" s="501">
        <f t="shared" si="321"/>
        <v>51226</v>
      </c>
      <c r="FN331" s="501">
        <f t="shared" si="321"/>
        <v>51226</v>
      </c>
      <c r="FO331" s="501">
        <f t="shared" si="321"/>
        <v>51226</v>
      </c>
      <c r="FP331" s="501">
        <f t="shared" si="321"/>
        <v>51226</v>
      </c>
      <c r="FQ331" s="501">
        <f t="shared" si="321"/>
        <v>51226</v>
      </c>
      <c r="FR331" s="501">
        <f t="shared" si="321"/>
        <v>51591</v>
      </c>
      <c r="FS331" s="501">
        <f t="shared" si="321"/>
        <v>51591</v>
      </c>
      <c r="FT331" s="501">
        <f t="shared" si="321"/>
        <v>51591</v>
      </c>
      <c r="FU331" s="501">
        <f t="shared" si="321"/>
        <v>51591</v>
      </c>
      <c r="FV331" s="501">
        <f t="shared" si="321"/>
        <v>51591</v>
      </c>
      <c r="FW331" s="501">
        <f t="shared" si="321"/>
        <v>51591</v>
      </c>
      <c r="FX331" s="501">
        <f t="shared" si="321"/>
        <v>51591</v>
      </c>
      <c r="FY331" s="501">
        <f t="shared" si="321"/>
        <v>51591</v>
      </c>
      <c r="FZ331" s="501">
        <f t="shared" si="321"/>
        <v>51591</v>
      </c>
      <c r="GA331" s="501">
        <f t="shared" si="321"/>
        <v>51591</v>
      </c>
      <c r="GB331" s="501">
        <f t="shared" si="321"/>
        <v>51591</v>
      </c>
      <c r="GC331" s="501">
        <f t="shared" si="321"/>
        <v>51591</v>
      </c>
      <c r="GD331" s="501">
        <f t="shared" si="321"/>
        <v>51956</v>
      </c>
      <c r="GE331" s="501">
        <f t="shared" si="321"/>
        <v>51956</v>
      </c>
      <c r="GF331" s="501">
        <f t="shared" si="321"/>
        <v>51956</v>
      </c>
      <c r="GG331" s="501">
        <f t="shared" si="321"/>
        <v>51956</v>
      </c>
      <c r="GH331" s="501">
        <f t="shared" si="321"/>
        <v>51956</v>
      </c>
      <c r="GI331" s="501">
        <f t="shared" si="321"/>
        <v>51956</v>
      </c>
      <c r="GJ331" s="501">
        <f t="shared" si="321"/>
        <v>51956</v>
      </c>
      <c r="GK331" s="501">
        <f t="shared" si="321"/>
        <v>51956</v>
      </c>
      <c r="GL331" s="501">
        <f t="shared" si="321"/>
        <v>51956</v>
      </c>
      <c r="GM331" s="501">
        <f t="shared" si="321"/>
        <v>51956</v>
      </c>
      <c r="GN331" s="501">
        <f t="shared" ref="GN331:IY331" si="322">GN23</f>
        <v>51956</v>
      </c>
      <c r="GO331" s="501">
        <f t="shared" si="322"/>
        <v>51956</v>
      </c>
      <c r="GP331" s="501">
        <f t="shared" si="322"/>
        <v>52321</v>
      </c>
      <c r="GQ331" s="501">
        <f t="shared" si="322"/>
        <v>52321</v>
      </c>
      <c r="GR331" s="501">
        <f t="shared" si="322"/>
        <v>52321</v>
      </c>
      <c r="GS331" s="501">
        <f t="shared" si="322"/>
        <v>52321</v>
      </c>
      <c r="GT331" s="501">
        <f t="shared" si="322"/>
        <v>52321</v>
      </c>
      <c r="GU331" s="501">
        <f t="shared" si="322"/>
        <v>52321</v>
      </c>
      <c r="GV331" s="501">
        <f t="shared" si="322"/>
        <v>52321</v>
      </c>
      <c r="GW331" s="501">
        <f t="shared" si="322"/>
        <v>52321</v>
      </c>
      <c r="GX331" s="501">
        <f t="shared" si="322"/>
        <v>52321</v>
      </c>
      <c r="GY331" s="501">
        <f t="shared" si="322"/>
        <v>52321</v>
      </c>
      <c r="GZ331" s="501">
        <f t="shared" si="322"/>
        <v>52321</v>
      </c>
      <c r="HA331" s="501">
        <f t="shared" si="322"/>
        <v>52321</v>
      </c>
      <c r="HB331" s="501">
        <f t="shared" si="322"/>
        <v>52687</v>
      </c>
      <c r="HC331" s="501">
        <f t="shared" si="322"/>
        <v>52687</v>
      </c>
      <c r="HD331" s="501">
        <f t="shared" si="322"/>
        <v>52687</v>
      </c>
      <c r="HE331" s="501">
        <f t="shared" si="322"/>
        <v>52687</v>
      </c>
      <c r="HF331" s="501">
        <f t="shared" si="322"/>
        <v>52687</v>
      </c>
      <c r="HG331" s="501">
        <f t="shared" si="322"/>
        <v>52687</v>
      </c>
      <c r="HH331" s="501">
        <f t="shared" si="322"/>
        <v>52687</v>
      </c>
      <c r="HI331" s="501">
        <f t="shared" si="322"/>
        <v>52687</v>
      </c>
      <c r="HJ331" s="501">
        <f t="shared" si="322"/>
        <v>52687</v>
      </c>
      <c r="HK331" s="501">
        <f t="shared" si="322"/>
        <v>52687</v>
      </c>
      <c r="HL331" s="501">
        <f t="shared" si="322"/>
        <v>52687</v>
      </c>
      <c r="HM331" s="501">
        <f t="shared" si="322"/>
        <v>52687</v>
      </c>
      <c r="HN331" s="501">
        <f t="shared" si="322"/>
        <v>53052</v>
      </c>
      <c r="HO331" s="501">
        <f t="shared" si="322"/>
        <v>53052</v>
      </c>
      <c r="HP331" s="501">
        <f t="shared" si="322"/>
        <v>53052</v>
      </c>
      <c r="HQ331" s="501">
        <f t="shared" si="322"/>
        <v>53052</v>
      </c>
      <c r="HR331" s="501">
        <f t="shared" si="322"/>
        <v>53052</v>
      </c>
      <c r="HS331" s="501">
        <f t="shared" si="322"/>
        <v>53052</v>
      </c>
      <c r="HT331" s="501">
        <f t="shared" si="322"/>
        <v>53052</v>
      </c>
      <c r="HU331" s="501">
        <f t="shared" si="322"/>
        <v>53052</v>
      </c>
      <c r="HV331" s="501">
        <f t="shared" si="322"/>
        <v>53052</v>
      </c>
      <c r="HW331" s="501">
        <f t="shared" si="322"/>
        <v>53052</v>
      </c>
      <c r="HX331" s="501">
        <f t="shared" si="322"/>
        <v>53052</v>
      </c>
      <c r="HY331" s="501">
        <f t="shared" si="322"/>
        <v>53052</v>
      </c>
      <c r="HZ331" s="501">
        <f t="shared" si="322"/>
        <v>53417</v>
      </c>
      <c r="IA331" s="501">
        <f t="shared" si="322"/>
        <v>53417</v>
      </c>
      <c r="IB331" s="501">
        <f t="shared" si="322"/>
        <v>53417</v>
      </c>
      <c r="IC331" s="501">
        <f t="shared" si="322"/>
        <v>53417</v>
      </c>
      <c r="ID331" s="501">
        <f t="shared" si="322"/>
        <v>53417</v>
      </c>
      <c r="IE331" s="501">
        <f t="shared" si="322"/>
        <v>53417</v>
      </c>
      <c r="IF331" s="501">
        <f t="shared" si="322"/>
        <v>53417</v>
      </c>
      <c r="IG331" s="501">
        <f t="shared" si="322"/>
        <v>53417</v>
      </c>
      <c r="IH331" s="501">
        <f t="shared" si="322"/>
        <v>53417</v>
      </c>
      <c r="II331" s="501">
        <f t="shared" si="322"/>
        <v>53417</v>
      </c>
      <c r="IJ331" s="501">
        <f t="shared" si="322"/>
        <v>53417</v>
      </c>
      <c r="IK331" s="501">
        <f t="shared" si="322"/>
        <v>53417</v>
      </c>
      <c r="IL331" s="501">
        <f t="shared" si="322"/>
        <v>53782</v>
      </c>
      <c r="IM331" s="501">
        <f t="shared" si="322"/>
        <v>53782</v>
      </c>
      <c r="IN331" s="501">
        <f t="shared" si="322"/>
        <v>53782</v>
      </c>
      <c r="IO331" s="501">
        <f t="shared" si="322"/>
        <v>53782</v>
      </c>
      <c r="IP331" s="501">
        <f t="shared" si="322"/>
        <v>53782</v>
      </c>
      <c r="IQ331" s="501">
        <f t="shared" si="322"/>
        <v>53782</v>
      </c>
      <c r="IR331" s="501">
        <f t="shared" si="322"/>
        <v>53782</v>
      </c>
      <c r="IS331" s="501">
        <f t="shared" si="322"/>
        <v>53782</v>
      </c>
      <c r="IT331" s="501">
        <f t="shared" si="322"/>
        <v>53782</v>
      </c>
      <c r="IU331" s="501">
        <f t="shared" si="322"/>
        <v>53782</v>
      </c>
      <c r="IV331" s="501">
        <f t="shared" si="322"/>
        <v>53782</v>
      </c>
      <c r="IW331" s="501">
        <f t="shared" si="322"/>
        <v>53782</v>
      </c>
      <c r="IX331" s="501">
        <f t="shared" si="322"/>
        <v>54148</v>
      </c>
      <c r="IY331" s="501">
        <f t="shared" si="322"/>
        <v>54148</v>
      </c>
      <c r="IZ331" s="501">
        <f t="shared" ref="IZ331:JI331" si="323">IZ23</f>
        <v>54148</v>
      </c>
      <c r="JA331" s="501">
        <f t="shared" si="323"/>
        <v>54148</v>
      </c>
      <c r="JB331" s="501">
        <f t="shared" si="323"/>
        <v>54148</v>
      </c>
      <c r="JC331" s="501">
        <f t="shared" si="323"/>
        <v>54148</v>
      </c>
      <c r="JD331" s="501">
        <f t="shared" si="323"/>
        <v>54148</v>
      </c>
      <c r="JE331" s="501">
        <f t="shared" si="323"/>
        <v>54148</v>
      </c>
      <c r="JF331" s="501">
        <f t="shared" si="323"/>
        <v>54148</v>
      </c>
      <c r="JG331" s="501">
        <f t="shared" si="323"/>
        <v>54148</v>
      </c>
      <c r="JH331" s="501">
        <f t="shared" si="323"/>
        <v>54148</v>
      </c>
      <c r="JI331" s="552">
        <f t="shared" si="323"/>
        <v>54148</v>
      </c>
      <c r="JJ331" s="501"/>
      <c r="JK331" s="501"/>
      <c r="JL331" s="501"/>
      <c r="JM331" s="501"/>
      <c r="JN331" s="501"/>
      <c r="JO331" s="501"/>
    </row>
    <row r="332" spans="1:276" x14ac:dyDescent="0.3">
      <c r="B332" s="169" t="s">
        <v>329</v>
      </c>
      <c r="C332" s="501">
        <f>C279</f>
        <v>46053</v>
      </c>
      <c r="D332" s="501">
        <f>EOMONTH(C332,1)</f>
        <v>46081</v>
      </c>
      <c r="E332" s="501">
        <f t="shared" ref="E332:BP332" si="324">EOMONTH(D332,1)</f>
        <v>46112</v>
      </c>
      <c r="F332" s="501">
        <f t="shared" si="324"/>
        <v>46142</v>
      </c>
      <c r="G332" s="501">
        <f t="shared" si="324"/>
        <v>46173</v>
      </c>
      <c r="H332" s="501">
        <f t="shared" si="324"/>
        <v>46203</v>
      </c>
      <c r="I332" s="501">
        <f t="shared" si="324"/>
        <v>46234</v>
      </c>
      <c r="J332" s="501">
        <f t="shared" si="324"/>
        <v>46265</v>
      </c>
      <c r="K332" s="501">
        <f t="shared" si="324"/>
        <v>46295</v>
      </c>
      <c r="L332" s="501">
        <f t="shared" si="324"/>
        <v>46326</v>
      </c>
      <c r="M332" s="501">
        <f t="shared" si="324"/>
        <v>46356</v>
      </c>
      <c r="N332" s="501">
        <f t="shared" si="324"/>
        <v>46387</v>
      </c>
      <c r="O332" s="501">
        <f t="shared" si="324"/>
        <v>46418</v>
      </c>
      <c r="P332" s="501">
        <f t="shared" si="324"/>
        <v>46446</v>
      </c>
      <c r="Q332" s="501">
        <f t="shared" si="324"/>
        <v>46477</v>
      </c>
      <c r="R332" s="501">
        <f t="shared" si="324"/>
        <v>46507</v>
      </c>
      <c r="S332" s="501">
        <f t="shared" si="324"/>
        <v>46538</v>
      </c>
      <c r="T332" s="501">
        <f t="shared" si="324"/>
        <v>46568</v>
      </c>
      <c r="U332" s="501">
        <f t="shared" si="324"/>
        <v>46599</v>
      </c>
      <c r="V332" s="501">
        <f t="shared" si="324"/>
        <v>46630</v>
      </c>
      <c r="W332" s="501">
        <f t="shared" si="324"/>
        <v>46660</v>
      </c>
      <c r="X332" s="501">
        <f t="shared" si="324"/>
        <v>46691</v>
      </c>
      <c r="Y332" s="501">
        <f t="shared" si="324"/>
        <v>46721</v>
      </c>
      <c r="Z332" s="501">
        <f t="shared" si="324"/>
        <v>46752</v>
      </c>
      <c r="AA332" s="501">
        <f t="shared" si="324"/>
        <v>46783</v>
      </c>
      <c r="AB332" s="501">
        <f t="shared" si="324"/>
        <v>46812</v>
      </c>
      <c r="AC332" s="501">
        <f t="shared" si="324"/>
        <v>46843</v>
      </c>
      <c r="AD332" s="501">
        <f t="shared" si="324"/>
        <v>46873</v>
      </c>
      <c r="AE332" s="501">
        <f t="shared" si="324"/>
        <v>46904</v>
      </c>
      <c r="AF332" s="501">
        <f t="shared" si="324"/>
        <v>46934</v>
      </c>
      <c r="AG332" s="501">
        <f t="shared" si="324"/>
        <v>46965</v>
      </c>
      <c r="AH332" s="501">
        <f t="shared" si="324"/>
        <v>46996</v>
      </c>
      <c r="AI332" s="501">
        <f t="shared" si="324"/>
        <v>47026</v>
      </c>
      <c r="AJ332" s="501">
        <f t="shared" si="324"/>
        <v>47057</v>
      </c>
      <c r="AK332" s="501">
        <f t="shared" si="324"/>
        <v>47087</v>
      </c>
      <c r="AL332" s="501">
        <f t="shared" si="324"/>
        <v>47118</v>
      </c>
      <c r="AM332" s="501">
        <f t="shared" si="324"/>
        <v>47149</v>
      </c>
      <c r="AN332" s="501">
        <f t="shared" si="324"/>
        <v>47177</v>
      </c>
      <c r="AO332" s="501">
        <f t="shared" si="324"/>
        <v>47208</v>
      </c>
      <c r="AP332" s="501">
        <f t="shared" si="324"/>
        <v>47238</v>
      </c>
      <c r="AQ332" s="501">
        <f t="shared" si="324"/>
        <v>47269</v>
      </c>
      <c r="AR332" s="501">
        <f t="shared" si="324"/>
        <v>47299</v>
      </c>
      <c r="AS332" s="501">
        <f t="shared" si="324"/>
        <v>47330</v>
      </c>
      <c r="AT332" s="501">
        <f t="shared" si="324"/>
        <v>47361</v>
      </c>
      <c r="AU332" s="501">
        <f t="shared" si="324"/>
        <v>47391</v>
      </c>
      <c r="AV332" s="501">
        <f t="shared" si="324"/>
        <v>47422</v>
      </c>
      <c r="AW332" s="501">
        <f t="shared" si="324"/>
        <v>47452</v>
      </c>
      <c r="AX332" s="501">
        <f t="shared" si="324"/>
        <v>47483</v>
      </c>
      <c r="AY332" s="501">
        <f t="shared" si="324"/>
        <v>47514</v>
      </c>
      <c r="AZ332" s="501">
        <f t="shared" si="324"/>
        <v>47542</v>
      </c>
      <c r="BA332" s="501">
        <f t="shared" si="324"/>
        <v>47573</v>
      </c>
      <c r="BB332" s="501">
        <f t="shared" si="324"/>
        <v>47603</v>
      </c>
      <c r="BC332" s="501">
        <f t="shared" si="324"/>
        <v>47634</v>
      </c>
      <c r="BD332" s="501">
        <f t="shared" si="324"/>
        <v>47664</v>
      </c>
      <c r="BE332" s="501">
        <f t="shared" si="324"/>
        <v>47695</v>
      </c>
      <c r="BF332" s="501">
        <f t="shared" si="324"/>
        <v>47726</v>
      </c>
      <c r="BG332" s="501">
        <f t="shared" si="324"/>
        <v>47756</v>
      </c>
      <c r="BH332" s="501">
        <f t="shared" si="324"/>
        <v>47787</v>
      </c>
      <c r="BI332" s="501">
        <f t="shared" si="324"/>
        <v>47817</v>
      </c>
      <c r="BJ332" s="501">
        <f t="shared" si="324"/>
        <v>47848</v>
      </c>
      <c r="BK332" s="501">
        <f t="shared" si="324"/>
        <v>47879</v>
      </c>
      <c r="BL332" s="501">
        <f t="shared" si="324"/>
        <v>47907</v>
      </c>
      <c r="BM332" s="501">
        <f t="shared" si="324"/>
        <v>47938</v>
      </c>
      <c r="BN332" s="501">
        <f t="shared" si="324"/>
        <v>47968</v>
      </c>
      <c r="BO332" s="501">
        <f t="shared" si="324"/>
        <v>47999</v>
      </c>
      <c r="BP332" s="501">
        <f t="shared" si="324"/>
        <v>48029</v>
      </c>
      <c r="BQ332" s="501">
        <f t="shared" ref="BQ332:EB332" si="325">EOMONTH(BP332,1)</f>
        <v>48060</v>
      </c>
      <c r="BR332" s="501">
        <f t="shared" si="325"/>
        <v>48091</v>
      </c>
      <c r="BS332" s="501">
        <f t="shared" si="325"/>
        <v>48121</v>
      </c>
      <c r="BT332" s="501">
        <f t="shared" si="325"/>
        <v>48152</v>
      </c>
      <c r="BU332" s="501">
        <f t="shared" si="325"/>
        <v>48182</v>
      </c>
      <c r="BV332" s="501">
        <f t="shared" si="325"/>
        <v>48213</v>
      </c>
      <c r="BW332" s="501">
        <f t="shared" si="325"/>
        <v>48244</v>
      </c>
      <c r="BX332" s="501">
        <f t="shared" si="325"/>
        <v>48273</v>
      </c>
      <c r="BY332" s="501">
        <f t="shared" si="325"/>
        <v>48304</v>
      </c>
      <c r="BZ332" s="501">
        <f t="shared" si="325"/>
        <v>48334</v>
      </c>
      <c r="CA332" s="501">
        <f t="shared" si="325"/>
        <v>48365</v>
      </c>
      <c r="CB332" s="501">
        <f t="shared" si="325"/>
        <v>48395</v>
      </c>
      <c r="CC332" s="501">
        <f t="shared" si="325"/>
        <v>48426</v>
      </c>
      <c r="CD332" s="501">
        <f t="shared" si="325"/>
        <v>48457</v>
      </c>
      <c r="CE332" s="501">
        <f t="shared" si="325"/>
        <v>48487</v>
      </c>
      <c r="CF332" s="501">
        <f t="shared" si="325"/>
        <v>48518</v>
      </c>
      <c r="CG332" s="501">
        <f t="shared" si="325"/>
        <v>48548</v>
      </c>
      <c r="CH332" s="501">
        <f t="shared" si="325"/>
        <v>48579</v>
      </c>
      <c r="CI332" s="501">
        <f t="shared" si="325"/>
        <v>48610</v>
      </c>
      <c r="CJ332" s="501">
        <f t="shared" si="325"/>
        <v>48638</v>
      </c>
      <c r="CK332" s="501">
        <f t="shared" si="325"/>
        <v>48669</v>
      </c>
      <c r="CL332" s="501">
        <f t="shared" si="325"/>
        <v>48699</v>
      </c>
      <c r="CM332" s="501">
        <f t="shared" si="325"/>
        <v>48730</v>
      </c>
      <c r="CN332" s="501">
        <f t="shared" si="325"/>
        <v>48760</v>
      </c>
      <c r="CO332" s="501">
        <f t="shared" si="325"/>
        <v>48791</v>
      </c>
      <c r="CP332" s="501">
        <f t="shared" si="325"/>
        <v>48822</v>
      </c>
      <c r="CQ332" s="501">
        <f t="shared" si="325"/>
        <v>48852</v>
      </c>
      <c r="CR332" s="501">
        <f t="shared" si="325"/>
        <v>48883</v>
      </c>
      <c r="CS332" s="501">
        <f t="shared" si="325"/>
        <v>48913</v>
      </c>
      <c r="CT332" s="501">
        <f t="shared" si="325"/>
        <v>48944</v>
      </c>
      <c r="CU332" s="501">
        <f t="shared" si="325"/>
        <v>48975</v>
      </c>
      <c r="CV332" s="501">
        <f t="shared" si="325"/>
        <v>49003</v>
      </c>
      <c r="CW332" s="501">
        <f t="shared" si="325"/>
        <v>49034</v>
      </c>
      <c r="CX332" s="501">
        <f t="shared" si="325"/>
        <v>49064</v>
      </c>
      <c r="CY332" s="501">
        <f t="shared" si="325"/>
        <v>49095</v>
      </c>
      <c r="CZ332" s="501">
        <f t="shared" si="325"/>
        <v>49125</v>
      </c>
      <c r="DA332" s="501">
        <f t="shared" si="325"/>
        <v>49156</v>
      </c>
      <c r="DB332" s="501">
        <f t="shared" si="325"/>
        <v>49187</v>
      </c>
      <c r="DC332" s="501">
        <f t="shared" si="325"/>
        <v>49217</v>
      </c>
      <c r="DD332" s="501">
        <f t="shared" si="325"/>
        <v>49248</v>
      </c>
      <c r="DE332" s="501">
        <f t="shared" si="325"/>
        <v>49278</v>
      </c>
      <c r="DF332" s="501">
        <f t="shared" si="325"/>
        <v>49309</v>
      </c>
      <c r="DG332" s="501">
        <f t="shared" si="325"/>
        <v>49340</v>
      </c>
      <c r="DH332" s="501">
        <f t="shared" si="325"/>
        <v>49368</v>
      </c>
      <c r="DI332" s="501">
        <f t="shared" si="325"/>
        <v>49399</v>
      </c>
      <c r="DJ332" s="501">
        <f t="shared" si="325"/>
        <v>49429</v>
      </c>
      <c r="DK332" s="501">
        <f t="shared" si="325"/>
        <v>49460</v>
      </c>
      <c r="DL332" s="501">
        <f t="shared" si="325"/>
        <v>49490</v>
      </c>
      <c r="DM332" s="501">
        <f t="shared" si="325"/>
        <v>49521</v>
      </c>
      <c r="DN332" s="501">
        <f t="shared" si="325"/>
        <v>49552</v>
      </c>
      <c r="DO332" s="501">
        <f t="shared" si="325"/>
        <v>49582</v>
      </c>
      <c r="DP332" s="501">
        <f t="shared" si="325"/>
        <v>49613</v>
      </c>
      <c r="DQ332" s="501">
        <f t="shared" si="325"/>
        <v>49643</v>
      </c>
      <c r="DR332" s="501">
        <f t="shared" si="325"/>
        <v>49674</v>
      </c>
      <c r="DS332" s="501">
        <f t="shared" si="325"/>
        <v>49705</v>
      </c>
      <c r="DT332" s="501">
        <f t="shared" si="325"/>
        <v>49734</v>
      </c>
      <c r="DU332" s="501">
        <f t="shared" si="325"/>
        <v>49765</v>
      </c>
      <c r="DV332" s="501">
        <f t="shared" si="325"/>
        <v>49795</v>
      </c>
      <c r="DW332" s="501">
        <f t="shared" si="325"/>
        <v>49826</v>
      </c>
      <c r="DX332" s="501">
        <f t="shared" si="325"/>
        <v>49856</v>
      </c>
      <c r="DY332" s="501">
        <f t="shared" si="325"/>
        <v>49887</v>
      </c>
      <c r="DZ332" s="501">
        <f t="shared" si="325"/>
        <v>49918</v>
      </c>
      <c r="EA332" s="501">
        <f t="shared" si="325"/>
        <v>49948</v>
      </c>
      <c r="EB332" s="501">
        <f t="shared" si="325"/>
        <v>49979</v>
      </c>
      <c r="EC332" s="501">
        <f t="shared" ref="EC332:GN332" si="326">EOMONTH(EB332,1)</f>
        <v>50009</v>
      </c>
      <c r="ED332" s="501">
        <f t="shared" si="326"/>
        <v>50040</v>
      </c>
      <c r="EE332" s="501">
        <f t="shared" si="326"/>
        <v>50071</v>
      </c>
      <c r="EF332" s="501">
        <f t="shared" si="326"/>
        <v>50099</v>
      </c>
      <c r="EG332" s="501">
        <f t="shared" si="326"/>
        <v>50130</v>
      </c>
      <c r="EH332" s="501">
        <f t="shared" si="326"/>
        <v>50160</v>
      </c>
      <c r="EI332" s="501">
        <f t="shared" si="326"/>
        <v>50191</v>
      </c>
      <c r="EJ332" s="501">
        <f t="shared" si="326"/>
        <v>50221</v>
      </c>
      <c r="EK332" s="501">
        <f t="shared" si="326"/>
        <v>50252</v>
      </c>
      <c r="EL332" s="501">
        <f t="shared" si="326"/>
        <v>50283</v>
      </c>
      <c r="EM332" s="501">
        <f t="shared" si="326"/>
        <v>50313</v>
      </c>
      <c r="EN332" s="501">
        <f t="shared" si="326"/>
        <v>50344</v>
      </c>
      <c r="EO332" s="501">
        <f t="shared" si="326"/>
        <v>50374</v>
      </c>
      <c r="EP332" s="501">
        <f t="shared" si="326"/>
        <v>50405</v>
      </c>
      <c r="EQ332" s="501">
        <f t="shared" si="326"/>
        <v>50436</v>
      </c>
      <c r="ER332" s="501">
        <f t="shared" si="326"/>
        <v>50464</v>
      </c>
      <c r="ES332" s="501">
        <f t="shared" si="326"/>
        <v>50495</v>
      </c>
      <c r="ET332" s="501">
        <f t="shared" si="326"/>
        <v>50525</v>
      </c>
      <c r="EU332" s="501">
        <f t="shared" si="326"/>
        <v>50556</v>
      </c>
      <c r="EV332" s="501">
        <f t="shared" si="326"/>
        <v>50586</v>
      </c>
      <c r="EW332" s="501">
        <f t="shared" si="326"/>
        <v>50617</v>
      </c>
      <c r="EX332" s="501">
        <f t="shared" si="326"/>
        <v>50648</v>
      </c>
      <c r="EY332" s="501">
        <f t="shared" si="326"/>
        <v>50678</v>
      </c>
      <c r="EZ332" s="501">
        <f t="shared" si="326"/>
        <v>50709</v>
      </c>
      <c r="FA332" s="501">
        <f t="shared" si="326"/>
        <v>50739</v>
      </c>
      <c r="FB332" s="501">
        <f t="shared" si="326"/>
        <v>50770</v>
      </c>
      <c r="FC332" s="501">
        <f t="shared" si="326"/>
        <v>50801</v>
      </c>
      <c r="FD332" s="501">
        <f t="shared" si="326"/>
        <v>50829</v>
      </c>
      <c r="FE332" s="501">
        <f t="shared" si="326"/>
        <v>50860</v>
      </c>
      <c r="FF332" s="501">
        <f t="shared" si="326"/>
        <v>50890</v>
      </c>
      <c r="FG332" s="501">
        <f t="shared" si="326"/>
        <v>50921</v>
      </c>
      <c r="FH332" s="501">
        <f t="shared" si="326"/>
        <v>50951</v>
      </c>
      <c r="FI332" s="501">
        <f t="shared" si="326"/>
        <v>50982</v>
      </c>
      <c r="FJ332" s="501">
        <f t="shared" si="326"/>
        <v>51013</v>
      </c>
      <c r="FK332" s="501">
        <f t="shared" si="326"/>
        <v>51043</v>
      </c>
      <c r="FL332" s="501">
        <f t="shared" si="326"/>
        <v>51074</v>
      </c>
      <c r="FM332" s="501">
        <f t="shared" si="326"/>
        <v>51104</v>
      </c>
      <c r="FN332" s="501">
        <f t="shared" si="326"/>
        <v>51135</v>
      </c>
      <c r="FO332" s="501">
        <f t="shared" si="326"/>
        <v>51166</v>
      </c>
      <c r="FP332" s="501">
        <f t="shared" si="326"/>
        <v>51195</v>
      </c>
      <c r="FQ332" s="501">
        <f t="shared" si="326"/>
        <v>51226</v>
      </c>
      <c r="FR332" s="501">
        <f t="shared" si="326"/>
        <v>51256</v>
      </c>
      <c r="FS332" s="501">
        <f t="shared" si="326"/>
        <v>51287</v>
      </c>
      <c r="FT332" s="501">
        <f t="shared" si="326"/>
        <v>51317</v>
      </c>
      <c r="FU332" s="501">
        <f t="shared" si="326"/>
        <v>51348</v>
      </c>
      <c r="FV332" s="501">
        <f t="shared" si="326"/>
        <v>51379</v>
      </c>
      <c r="FW332" s="501">
        <f t="shared" si="326"/>
        <v>51409</v>
      </c>
      <c r="FX332" s="501">
        <f t="shared" si="326"/>
        <v>51440</v>
      </c>
      <c r="FY332" s="501">
        <f t="shared" si="326"/>
        <v>51470</v>
      </c>
      <c r="FZ332" s="501">
        <f t="shared" si="326"/>
        <v>51501</v>
      </c>
      <c r="GA332" s="501">
        <f t="shared" si="326"/>
        <v>51532</v>
      </c>
      <c r="GB332" s="501">
        <f t="shared" si="326"/>
        <v>51560</v>
      </c>
      <c r="GC332" s="501">
        <f t="shared" si="326"/>
        <v>51591</v>
      </c>
      <c r="GD332" s="501">
        <f t="shared" si="326"/>
        <v>51621</v>
      </c>
      <c r="GE332" s="501">
        <f t="shared" si="326"/>
        <v>51652</v>
      </c>
      <c r="GF332" s="501">
        <f t="shared" si="326"/>
        <v>51682</v>
      </c>
      <c r="GG332" s="501">
        <f t="shared" si="326"/>
        <v>51713</v>
      </c>
      <c r="GH332" s="501">
        <f t="shared" si="326"/>
        <v>51744</v>
      </c>
      <c r="GI332" s="501">
        <f t="shared" si="326"/>
        <v>51774</v>
      </c>
      <c r="GJ332" s="501">
        <f t="shared" si="326"/>
        <v>51805</v>
      </c>
      <c r="GK332" s="501">
        <f t="shared" si="326"/>
        <v>51835</v>
      </c>
      <c r="GL332" s="501">
        <f t="shared" si="326"/>
        <v>51866</v>
      </c>
      <c r="GM332" s="501">
        <f t="shared" si="326"/>
        <v>51897</v>
      </c>
      <c r="GN332" s="501">
        <f t="shared" si="326"/>
        <v>51925</v>
      </c>
      <c r="GO332" s="501">
        <f t="shared" ref="GO332:IZ332" si="327">EOMONTH(GN332,1)</f>
        <v>51956</v>
      </c>
      <c r="GP332" s="501">
        <f t="shared" si="327"/>
        <v>51986</v>
      </c>
      <c r="GQ332" s="501">
        <f t="shared" si="327"/>
        <v>52017</v>
      </c>
      <c r="GR332" s="501">
        <f t="shared" si="327"/>
        <v>52047</v>
      </c>
      <c r="GS332" s="501">
        <f t="shared" si="327"/>
        <v>52078</v>
      </c>
      <c r="GT332" s="501">
        <f t="shared" si="327"/>
        <v>52109</v>
      </c>
      <c r="GU332" s="501">
        <f t="shared" si="327"/>
        <v>52139</v>
      </c>
      <c r="GV332" s="501">
        <f t="shared" si="327"/>
        <v>52170</v>
      </c>
      <c r="GW332" s="501">
        <f t="shared" si="327"/>
        <v>52200</v>
      </c>
      <c r="GX332" s="501">
        <f t="shared" si="327"/>
        <v>52231</v>
      </c>
      <c r="GY332" s="501">
        <f t="shared" si="327"/>
        <v>52262</v>
      </c>
      <c r="GZ332" s="501">
        <f t="shared" si="327"/>
        <v>52290</v>
      </c>
      <c r="HA332" s="501">
        <f t="shared" si="327"/>
        <v>52321</v>
      </c>
      <c r="HB332" s="501">
        <f t="shared" si="327"/>
        <v>52351</v>
      </c>
      <c r="HC332" s="501">
        <f t="shared" si="327"/>
        <v>52382</v>
      </c>
      <c r="HD332" s="501">
        <f t="shared" si="327"/>
        <v>52412</v>
      </c>
      <c r="HE332" s="501">
        <f t="shared" si="327"/>
        <v>52443</v>
      </c>
      <c r="HF332" s="501">
        <f t="shared" si="327"/>
        <v>52474</v>
      </c>
      <c r="HG332" s="501">
        <f t="shared" si="327"/>
        <v>52504</v>
      </c>
      <c r="HH332" s="501">
        <f t="shared" si="327"/>
        <v>52535</v>
      </c>
      <c r="HI332" s="501">
        <f t="shared" si="327"/>
        <v>52565</v>
      </c>
      <c r="HJ332" s="501">
        <f t="shared" si="327"/>
        <v>52596</v>
      </c>
      <c r="HK332" s="501">
        <f t="shared" si="327"/>
        <v>52627</v>
      </c>
      <c r="HL332" s="501">
        <f t="shared" si="327"/>
        <v>52656</v>
      </c>
      <c r="HM332" s="501">
        <f t="shared" si="327"/>
        <v>52687</v>
      </c>
      <c r="HN332" s="501">
        <f t="shared" si="327"/>
        <v>52717</v>
      </c>
      <c r="HO332" s="501">
        <f t="shared" si="327"/>
        <v>52748</v>
      </c>
      <c r="HP332" s="501">
        <f t="shared" si="327"/>
        <v>52778</v>
      </c>
      <c r="HQ332" s="501">
        <f t="shared" si="327"/>
        <v>52809</v>
      </c>
      <c r="HR332" s="501">
        <f t="shared" si="327"/>
        <v>52840</v>
      </c>
      <c r="HS332" s="501">
        <f t="shared" si="327"/>
        <v>52870</v>
      </c>
      <c r="HT332" s="501">
        <f t="shared" si="327"/>
        <v>52901</v>
      </c>
      <c r="HU332" s="501">
        <f t="shared" si="327"/>
        <v>52931</v>
      </c>
      <c r="HV332" s="501">
        <f t="shared" si="327"/>
        <v>52962</v>
      </c>
      <c r="HW332" s="501">
        <f t="shared" si="327"/>
        <v>52993</v>
      </c>
      <c r="HX332" s="501">
        <f t="shared" si="327"/>
        <v>53021</v>
      </c>
      <c r="HY332" s="501">
        <f t="shared" si="327"/>
        <v>53052</v>
      </c>
      <c r="HZ332" s="501">
        <f t="shared" si="327"/>
        <v>53082</v>
      </c>
      <c r="IA332" s="501">
        <f t="shared" si="327"/>
        <v>53113</v>
      </c>
      <c r="IB332" s="501">
        <f t="shared" si="327"/>
        <v>53143</v>
      </c>
      <c r="IC332" s="501">
        <f t="shared" si="327"/>
        <v>53174</v>
      </c>
      <c r="ID332" s="501">
        <f t="shared" si="327"/>
        <v>53205</v>
      </c>
      <c r="IE332" s="501">
        <f t="shared" si="327"/>
        <v>53235</v>
      </c>
      <c r="IF332" s="501">
        <f t="shared" si="327"/>
        <v>53266</v>
      </c>
      <c r="IG332" s="501">
        <f t="shared" si="327"/>
        <v>53296</v>
      </c>
      <c r="IH332" s="501">
        <f t="shared" si="327"/>
        <v>53327</v>
      </c>
      <c r="II332" s="501">
        <f t="shared" si="327"/>
        <v>53358</v>
      </c>
      <c r="IJ332" s="501">
        <f t="shared" si="327"/>
        <v>53386</v>
      </c>
      <c r="IK332" s="501">
        <f t="shared" si="327"/>
        <v>53417</v>
      </c>
      <c r="IL332" s="501">
        <f t="shared" si="327"/>
        <v>53447</v>
      </c>
      <c r="IM332" s="501">
        <f t="shared" si="327"/>
        <v>53478</v>
      </c>
      <c r="IN332" s="501">
        <f t="shared" si="327"/>
        <v>53508</v>
      </c>
      <c r="IO332" s="501">
        <f t="shared" si="327"/>
        <v>53539</v>
      </c>
      <c r="IP332" s="501">
        <f t="shared" si="327"/>
        <v>53570</v>
      </c>
      <c r="IQ332" s="501">
        <f t="shared" si="327"/>
        <v>53600</v>
      </c>
      <c r="IR332" s="501">
        <f t="shared" si="327"/>
        <v>53631</v>
      </c>
      <c r="IS332" s="501">
        <f t="shared" si="327"/>
        <v>53661</v>
      </c>
      <c r="IT332" s="501">
        <f t="shared" si="327"/>
        <v>53692</v>
      </c>
      <c r="IU332" s="501">
        <f t="shared" si="327"/>
        <v>53723</v>
      </c>
      <c r="IV332" s="501">
        <f t="shared" si="327"/>
        <v>53751</v>
      </c>
      <c r="IW332" s="501">
        <f t="shared" si="327"/>
        <v>53782</v>
      </c>
      <c r="IX332" s="501">
        <f t="shared" si="327"/>
        <v>53812</v>
      </c>
      <c r="IY332" s="501">
        <f t="shared" si="327"/>
        <v>53843</v>
      </c>
      <c r="IZ332" s="501">
        <f t="shared" si="327"/>
        <v>53873</v>
      </c>
      <c r="JA332" s="501">
        <f t="shared" ref="JA332:JI332" si="328">EOMONTH(IZ332,1)</f>
        <v>53904</v>
      </c>
      <c r="JB332" s="501">
        <f t="shared" si="328"/>
        <v>53935</v>
      </c>
      <c r="JC332" s="501">
        <f t="shared" si="328"/>
        <v>53965</v>
      </c>
      <c r="JD332" s="501">
        <f t="shared" si="328"/>
        <v>53996</v>
      </c>
      <c r="JE332" s="501">
        <f t="shared" si="328"/>
        <v>54026</v>
      </c>
      <c r="JF332" s="501">
        <f t="shared" si="328"/>
        <v>54057</v>
      </c>
      <c r="JG332" s="501">
        <f t="shared" si="328"/>
        <v>54088</v>
      </c>
      <c r="JH332" s="501">
        <f t="shared" si="328"/>
        <v>54117</v>
      </c>
      <c r="JI332" s="501">
        <f t="shared" si="328"/>
        <v>54148</v>
      </c>
      <c r="JJ332" s="501"/>
      <c r="JK332" s="501"/>
      <c r="JL332" s="501"/>
      <c r="JM332" s="501"/>
      <c r="JN332" s="501"/>
      <c r="JO332" s="501"/>
      <c r="JP332" s="554"/>
    </row>
    <row r="333" spans="1:276" x14ac:dyDescent="0.3">
      <c r="B333" s="292" t="s">
        <v>208</v>
      </c>
      <c r="C333" s="503"/>
      <c r="D333" s="503"/>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c r="AA333" s="503"/>
      <c r="AB333" s="503"/>
      <c r="AC333" s="503"/>
      <c r="AD333" s="503"/>
      <c r="AE333" s="503"/>
      <c r="AF333" s="503"/>
      <c r="AG333" s="503"/>
      <c r="AH333" s="503"/>
      <c r="AI333" s="503"/>
      <c r="AJ333" s="503"/>
      <c r="AK333" s="503"/>
      <c r="AL333" s="503"/>
      <c r="AM333" s="503"/>
      <c r="AN333" s="503"/>
      <c r="AO333" s="503"/>
      <c r="AP333" s="503"/>
      <c r="AQ333" s="503"/>
      <c r="AR333" s="503"/>
      <c r="AS333" s="503"/>
      <c r="AT333" s="503"/>
      <c r="AU333" s="503"/>
      <c r="AV333" s="503"/>
      <c r="AW333" s="503"/>
      <c r="AX333" s="503"/>
      <c r="AY333" s="503"/>
      <c r="AZ333" s="503"/>
      <c r="BA333" s="503"/>
      <c r="BB333" s="503"/>
      <c r="BC333" s="503"/>
      <c r="BD333" s="503"/>
      <c r="BE333" s="503"/>
      <c r="BF333" s="503"/>
      <c r="BG333" s="503"/>
      <c r="BH333" s="503"/>
      <c r="BI333" s="503"/>
      <c r="BJ333" s="503"/>
      <c r="BK333" s="503"/>
      <c r="BL333" s="503"/>
      <c r="BM333" s="503"/>
      <c r="BN333" s="503"/>
      <c r="BO333" s="503"/>
      <c r="BP333" s="503"/>
      <c r="BQ333" s="503"/>
      <c r="BR333" s="503"/>
      <c r="BS333" s="503"/>
      <c r="BT333" s="503"/>
      <c r="BU333" s="503"/>
      <c r="BV333" s="503"/>
      <c r="BW333" s="503"/>
      <c r="BX333" s="503"/>
      <c r="BY333" s="503"/>
      <c r="BZ333" s="503"/>
      <c r="CA333" s="503"/>
      <c r="CB333" s="503"/>
      <c r="CC333" s="503"/>
      <c r="CD333" s="503"/>
      <c r="CE333" s="503"/>
      <c r="CF333" s="503"/>
      <c r="CG333" s="503"/>
      <c r="CH333" s="503"/>
      <c r="CI333" s="503"/>
      <c r="CJ333" s="503"/>
      <c r="CK333" s="503"/>
      <c r="CL333" s="503"/>
      <c r="CM333" s="503"/>
      <c r="CN333" s="503"/>
      <c r="CO333" s="503"/>
      <c r="CP333" s="503"/>
      <c r="CQ333" s="503"/>
      <c r="CR333" s="503"/>
      <c r="CS333" s="503"/>
      <c r="CT333" s="503"/>
      <c r="CU333" s="503"/>
      <c r="CV333" s="503"/>
      <c r="CW333" s="503"/>
      <c r="CX333" s="503"/>
      <c r="CY333" s="503"/>
      <c r="CZ333" s="503"/>
      <c r="DA333" s="503"/>
      <c r="DB333" s="503"/>
      <c r="DC333" s="503"/>
      <c r="DD333" s="503"/>
      <c r="DE333" s="503"/>
      <c r="DF333" s="503"/>
      <c r="DG333" s="503"/>
      <c r="DH333" s="503"/>
      <c r="DI333" s="503"/>
      <c r="DJ333" s="503"/>
      <c r="DK333" s="503"/>
      <c r="DL333" s="503"/>
      <c r="DM333" s="503"/>
      <c r="DN333" s="503"/>
      <c r="DO333" s="503"/>
      <c r="DP333" s="503"/>
      <c r="DQ333" s="503"/>
      <c r="DR333" s="503"/>
      <c r="DS333" s="503"/>
      <c r="DT333" s="503"/>
      <c r="DU333" s="503"/>
      <c r="DV333" s="503"/>
      <c r="DW333" s="503"/>
      <c r="DX333" s="503"/>
      <c r="DY333" s="503"/>
      <c r="DZ333" s="503"/>
      <c r="EA333" s="503"/>
      <c r="EB333" s="503"/>
      <c r="EC333" s="503"/>
      <c r="ED333" s="503"/>
      <c r="EE333" s="503"/>
      <c r="EF333" s="503"/>
      <c r="EG333" s="503"/>
      <c r="EH333" s="503"/>
      <c r="EI333" s="503"/>
      <c r="EJ333" s="503"/>
      <c r="EK333" s="503"/>
      <c r="EL333" s="503"/>
      <c r="EM333" s="503"/>
      <c r="EN333" s="503"/>
      <c r="EO333" s="503"/>
      <c r="EP333" s="503"/>
      <c r="EQ333" s="503"/>
      <c r="ER333" s="503"/>
      <c r="ES333" s="503"/>
      <c r="ET333" s="503"/>
      <c r="EU333" s="503"/>
      <c r="EV333" s="503"/>
      <c r="EW333" s="503"/>
      <c r="EX333" s="503"/>
      <c r="EY333" s="503"/>
      <c r="EZ333" s="503"/>
      <c r="FA333" s="503"/>
      <c r="FB333" s="503"/>
      <c r="FC333" s="503"/>
      <c r="FD333" s="503"/>
      <c r="FE333" s="503"/>
      <c r="FF333" s="503"/>
      <c r="FG333" s="503"/>
      <c r="FH333" s="503"/>
      <c r="FI333" s="503"/>
      <c r="FJ333" s="503"/>
      <c r="FK333" s="503"/>
      <c r="FL333" s="503"/>
      <c r="FM333" s="503"/>
      <c r="FN333" s="503"/>
      <c r="FO333" s="503"/>
      <c r="FP333" s="503"/>
      <c r="FQ333" s="503"/>
      <c r="FR333" s="503"/>
      <c r="FS333" s="503"/>
      <c r="FT333" s="503"/>
      <c r="FU333" s="503"/>
      <c r="FV333" s="503"/>
      <c r="FW333" s="503"/>
      <c r="FX333" s="503"/>
      <c r="FY333" s="503"/>
      <c r="FZ333" s="503"/>
      <c r="GA333" s="503"/>
      <c r="GB333" s="503"/>
      <c r="GC333" s="503"/>
      <c r="GD333" s="503"/>
      <c r="GE333" s="503"/>
      <c r="GF333" s="503"/>
      <c r="GG333" s="503"/>
      <c r="GH333" s="503"/>
      <c r="GI333" s="503"/>
      <c r="GJ333" s="503"/>
      <c r="GK333" s="503"/>
      <c r="GL333" s="503"/>
      <c r="GM333" s="503"/>
      <c r="GN333" s="503"/>
      <c r="GO333" s="503"/>
      <c r="GP333" s="503"/>
      <c r="GQ333" s="503"/>
      <c r="GR333" s="503"/>
      <c r="GS333" s="503"/>
      <c r="GT333" s="503"/>
      <c r="GU333" s="503"/>
      <c r="GV333" s="503"/>
      <c r="GW333" s="503"/>
      <c r="GX333" s="503"/>
      <c r="GY333" s="503"/>
      <c r="GZ333" s="503"/>
      <c r="HA333" s="503"/>
      <c r="HB333" s="503"/>
      <c r="HC333" s="503"/>
      <c r="HD333" s="503"/>
      <c r="HE333" s="503"/>
      <c r="HF333" s="503"/>
      <c r="HG333" s="503"/>
      <c r="HH333" s="503"/>
      <c r="HI333" s="503"/>
      <c r="HJ333" s="503"/>
      <c r="HK333" s="503"/>
      <c r="HL333" s="503"/>
      <c r="HM333" s="503"/>
      <c r="HN333" s="503"/>
      <c r="HO333" s="503"/>
      <c r="HP333" s="503"/>
      <c r="HQ333" s="503"/>
      <c r="HR333" s="503"/>
      <c r="HS333" s="503"/>
      <c r="HT333" s="503"/>
      <c r="HU333" s="503"/>
      <c r="HV333" s="503"/>
      <c r="HW333" s="503"/>
      <c r="HX333" s="503"/>
      <c r="HY333" s="503"/>
      <c r="HZ333" s="503"/>
      <c r="IA333" s="503"/>
      <c r="IB333" s="503"/>
      <c r="IC333" s="503"/>
      <c r="ID333" s="503"/>
      <c r="IE333" s="503"/>
      <c r="IF333" s="503"/>
      <c r="IG333" s="503"/>
      <c r="IH333" s="503"/>
      <c r="II333" s="503"/>
      <c r="IJ333" s="503"/>
      <c r="IK333" s="503"/>
      <c r="IL333" s="503"/>
      <c r="IM333" s="503"/>
      <c r="IN333" s="503"/>
      <c r="IO333" s="503"/>
      <c r="IP333" s="503"/>
      <c r="IQ333" s="503"/>
      <c r="IR333" s="503"/>
      <c r="IS333" s="503"/>
      <c r="IT333" s="503"/>
      <c r="IU333" s="503"/>
      <c r="IV333" s="503"/>
      <c r="IW333" s="503"/>
      <c r="IX333" s="503"/>
      <c r="IY333" s="503"/>
      <c r="IZ333" s="503"/>
      <c r="JA333" s="503"/>
      <c r="JB333" s="503"/>
      <c r="JC333" s="503"/>
      <c r="JD333" s="503"/>
      <c r="JE333" s="503"/>
      <c r="JF333" s="503"/>
      <c r="JG333" s="503"/>
      <c r="JH333" s="503"/>
      <c r="JI333" s="504"/>
      <c r="JJ333" s="503"/>
      <c r="JK333" s="503"/>
      <c r="JL333" s="503"/>
      <c r="JM333" s="503"/>
      <c r="JN333" s="503"/>
      <c r="JO333" s="503"/>
      <c r="JP333" s="559"/>
    </row>
    <row r="334" spans="1:276" x14ac:dyDescent="0.3">
      <c r="A334" s="641"/>
      <c r="B334" s="169" t="s">
        <v>349</v>
      </c>
      <c r="C334" s="52">
        <f>C26+C88+C152+C216+C281</f>
        <v>0.54863663690692488</v>
      </c>
      <c r="D334" s="52">
        <f t="shared" ref="D334:BO334" si="329">D26+D88+D152+D216+D281</f>
        <v>0.54863663690692488</v>
      </c>
      <c r="E334" s="52">
        <f t="shared" si="329"/>
        <v>0.54863663690692488</v>
      </c>
      <c r="F334" s="52">
        <f t="shared" si="329"/>
        <v>0.54863663690692488</v>
      </c>
      <c r="G334" s="52">
        <f t="shared" si="329"/>
        <v>0.54863663690692488</v>
      </c>
      <c r="H334" s="52">
        <f t="shared" si="329"/>
        <v>0.54863663690692488</v>
      </c>
      <c r="I334" s="52">
        <f t="shared" si="329"/>
        <v>0.54863663690692488</v>
      </c>
      <c r="J334" s="52">
        <f t="shared" si="329"/>
        <v>0.54863663690692488</v>
      </c>
      <c r="K334" s="52">
        <f t="shared" si="329"/>
        <v>0.54863663690692488</v>
      </c>
      <c r="L334" s="52">
        <f t="shared" si="329"/>
        <v>0.54863663690692488</v>
      </c>
      <c r="M334" s="52">
        <f t="shared" si="329"/>
        <v>0.54863663690692488</v>
      </c>
      <c r="N334" s="52">
        <f t="shared" si="329"/>
        <v>0.54863663690692488</v>
      </c>
      <c r="O334" s="52">
        <f t="shared" si="329"/>
        <v>1.6387487253207789</v>
      </c>
      <c r="P334" s="52">
        <f t="shared" si="329"/>
        <v>1.6387487253207789</v>
      </c>
      <c r="Q334" s="52">
        <f t="shared" si="329"/>
        <v>1.6387487253207789</v>
      </c>
      <c r="R334" s="52">
        <f t="shared" si="329"/>
        <v>1.6387487253207789</v>
      </c>
      <c r="S334" s="52">
        <f t="shared" si="329"/>
        <v>1.6387487253207789</v>
      </c>
      <c r="T334" s="52">
        <f t="shared" si="329"/>
        <v>1.6387487253207789</v>
      </c>
      <c r="U334" s="52">
        <f t="shared" si="329"/>
        <v>1.6387487253207789</v>
      </c>
      <c r="V334" s="52">
        <f t="shared" si="329"/>
        <v>1.6387487253207789</v>
      </c>
      <c r="W334" s="52">
        <f t="shared" si="329"/>
        <v>1.6387487253207789</v>
      </c>
      <c r="X334" s="52">
        <f t="shared" si="329"/>
        <v>2.081726743837939</v>
      </c>
      <c r="Y334" s="52">
        <f t="shared" si="329"/>
        <v>2.081726743837939</v>
      </c>
      <c r="Z334" s="52">
        <f t="shared" si="329"/>
        <v>2.081726743837939</v>
      </c>
      <c r="AA334" s="52">
        <f t="shared" si="329"/>
        <v>2.1636641801039778</v>
      </c>
      <c r="AB334" s="52">
        <f t="shared" si="329"/>
        <v>2.1636641801039778</v>
      </c>
      <c r="AC334" s="52">
        <f t="shared" si="329"/>
        <v>2.1636641801039778</v>
      </c>
      <c r="AD334" s="52">
        <f t="shared" si="329"/>
        <v>2.1636641801039778</v>
      </c>
      <c r="AE334" s="52">
        <f t="shared" si="329"/>
        <v>2.1636641801039778</v>
      </c>
      <c r="AF334" s="52">
        <f t="shared" si="329"/>
        <v>2.1636641801039778</v>
      </c>
      <c r="AG334" s="52">
        <f t="shared" si="329"/>
        <v>3.1139908188717604</v>
      </c>
      <c r="AH334" s="52">
        <f t="shared" si="329"/>
        <v>3.1139908188717604</v>
      </c>
      <c r="AI334" s="52">
        <f t="shared" si="329"/>
        <v>3.1139908188717604</v>
      </c>
      <c r="AJ334" s="52">
        <f t="shared" si="329"/>
        <v>3.1361397197976184</v>
      </c>
      <c r="AK334" s="52">
        <f t="shared" si="329"/>
        <v>3.1361397197976184</v>
      </c>
      <c r="AL334" s="52">
        <f t="shared" si="329"/>
        <v>3.1361397197976184</v>
      </c>
      <c r="AM334" s="52">
        <f t="shared" si="329"/>
        <v>3.2221740278769593</v>
      </c>
      <c r="AN334" s="52">
        <f t="shared" si="329"/>
        <v>3.2221740278769593</v>
      </c>
      <c r="AO334" s="52">
        <f t="shared" si="329"/>
        <v>3.2221740278769593</v>
      </c>
      <c r="AP334" s="52">
        <f t="shared" si="329"/>
        <v>3.420174893332447</v>
      </c>
      <c r="AQ334" s="52">
        <f t="shared" si="329"/>
        <v>3.420174893332447</v>
      </c>
      <c r="AR334" s="52">
        <f t="shared" si="329"/>
        <v>3.420174893332447</v>
      </c>
      <c r="AS334" s="52">
        <f t="shared" si="329"/>
        <v>3.4676912252708361</v>
      </c>
      <c r="AT334" s="52">
        <f t="shared" si="329"/>
        <v>3.4676912252708361</v>
      </c>
      <c r="AU334" s="52">
        <f t="shared" si="329"/>
        <v>3.4676912252708361</v>
      </c>
      <c r="AV334" s="52">
        <f t="shared" si="329"/>
        <v>3.4909475712429869</v>
      </c>
      <c r="AW334" s="52">
        <f t="shared" si="329"/>
        <v>3.4909475712429869</v>
      </c>
      <c r="AX334" s="52">
        <f t="shared" si="329"/>
        <v>3.4909475712429869</v>
      </c>
      <c r="AY334" s="52">
        <f t="shared" si="329"/>
        <v>3.5812835947262953</v>
      </c>
      <c r="AZ334" s="52">
        <f t="shared" si="329"/>
        <v>3.5812835947262953</v>
      </c>
      <c r="BA334" s="52">
        <f t="shared" si="329"/>
        <v>3.5812835947262953</v>
      </c>
      <c r="BB334" s="52">
        <f t="shared" si="329"/>
        <v>3.5911836379990696</v>
      </c>
      <c r="BC334" s="52">
        <f t="shared" si="329"/>
        <v>3.5911836379990696</v>
      </c>
      <c r="BD334" s="52">
        <f t="shared" si="329"/>
        <v>3.5911836379990696</v>
      </c>
      <c r="BE334" s="52">
        <f t="shared" si="329"/>
        <v>3.6410757865343779</v>
      </c>
      <c r="BF334" s="52">
        <f t="shared" si="329"/>
        <v>3.6410757865343779</v>
      </c>
      <c r="BG334" s="52">
        <f t="shared" si="329"/>
        <v>3.6410757865343779</v>
      </c>
      <c r="BH334" s="52">
        <f t="shared" si="329"/>
        <v>3.6654949498051366</v>
      </c>
      <c r="BI334" s="52">
        <f t="shared" si="329"/>
        <v>3.6654949498051366</v>
      </c>
      <c r="BJ334" s="52">
        <f t="shared" si="329"/>
        <v>3.6654949498051366</v>
      </c>
      <c r="BK334" s="52">
        <f t="shared" si="329"/>
        <v>3.7603477744626099</v>
      </c>
      <c r="BL334" s="52">
        <f t="shared" si="329"/>
        <v>3.7603477744626099</v>
      </c>
      <c r="BM334" s="52">
        <f t="shared" si="329"/>
        <v>3.7603477744626099</v>
      </c>
      <c r="BN334" s="52">
        <f t="shared" si="329"/>
        <v>3.7707428198990232</v>
      </c>
      <c r="BO334" s="52">
        <f t="shared" si="329"/>
        <v>3.7707428198990232</v>
      </c>
      <c r="BP334" s="52">
        <f t="shared" ref="BP334:EA334" si="330">BP26+BP88+BP152+BP216+BP281</f>
        <v>3.7707428198990232</v>
      </c>
      <c r="BQ334" s="52">
        <f t="shared" si="330"/>
        <v>3.8231295758610977</v>
      </c>
      <c r="BR334" s="52">
        <f t="shared" si="330"/>
        <v>3.8231295758610977</v>
      </c>
      <c r="BS334" s="52">
        <f t="shared" si="330"/>
        <v>3.8231295758610977</v>
      </c>
      <c r="BT334" s="52">
        <f t="shared" si="330"/>
        <v>3.8487696972953933</v>
      </c>
      <c r="BU334" s="52">
        <f t="shared" si="330"/>
        <v>3.8487696972953933</v>
      </c>
      <c r="BV334" s="52">
        <f t="shared" si="330"/>
        <v>3.8487696972953933</v>
      </c>
      <c r="BW334" s="52">
        <f t="shared" si="330"/>
        <v>3.9483651631857408</v>
      </c>
      <c r="BX334" s="52">
        <f t="shared" si="330"/>
        <v>3.9483651631857408</v>
      </c>
      <c r="BY334" s="52">
        <f t="shared" si="330"/>
        <v>3.9483651631857408</v>
      </c>
      <c r="BZ334" s="52">
        <f t="shared" si="330"/>
        <v>3.9592799608939746</v>
      </c>
      <c r="CA334" s="52">
        <f t="shared" si="330"/>
        <v>3.9592799608939746</v>
      </c>
      <c r="CB334" s="52">
        <f t="shared" si="330"/>
        <v>3.9592799608939746</v>
      </c>
      <c r="CC334" s="52">
        <f t="shared" si="330"/>
        <v>4.0142860546541517</v>
      </c>
      <c r="CD334" s="52">
        <f t="shared" si="330"/>
        <v>4.0142860546541517</v>
      </c>
      <c r="CE334" s="52">
        <f t="shared" si="330"/>
        <v>4.0142860546541517</v>
      </c>
      <c r="CF334" s="52">
        <f t="shared" si="330"/>
        <v>4.0412081821601626</v>
      </c>
      <c r="CG334" s="52">
        <f t="shared" si="330"/>
        <v>4.0412081821601626</v>
      </c>
      <c r="CH334" s="52">
        <f t="shared" si="330"/>
        <v>4.0412081821601626</v>
      </c>
      <c r="CI334" s="52">
        <f t="shared" si="330"/>
        <v>4.1457834213450271</v>
      </c>
      <c r="CJ334" s="52">
        <f t="shared" si="330"/>
        <v>4.1457834213450271</v>
      </c>
      <c r="CK334" s="52">
        <f t="shared" si="330"/>
        <v>4.1457834213450271</v>
      </c>
      <c r="CL334" s="52">
        <f t="shared" si="330"/>
        <v>4.1572439589386727</v>
      </c>
      <c r="CM334" s="52">
        <f t="shared" si="330"/>
        <v>4.1572439589386727</v>
      </c>
      <c r="CN334" s="52">
        <f t="shared" si="330"/>
        <v>4.1572439589386727</v>
      </c>
      <c r="CO334" s="52">
        <f t="shared" si="330"/>
        <v>4.2150003573868595</v>
      </c>
      <c r="CP334" s="52">
        <f t="shared" si="330"/>
        <v>4.2150003573868595</v>
      </c>
      <c r="CQ334" s="52">
        <f t="shared" si="330"/>
        <v>4.2150003573868595</v>
      </c>
      <c r="CR334" s="52">
        <f t="shared" si="330"/>
        <v>4.2432685912681718</v>
      </c>
      <c r="CS334" s="52">
        <f t="shared" si="330"/>
        <v>4.2432685912681718</v>
      </c>
      <c r="CT334" s="52">
        <f t="shared" si="330"/>
        <v>4.2432685912681718</v>
      </c>
      <c r="CU334" s="52">
        <f t="shared" si="330"/>
        <v>4.3530725924122793</v>
      </c>
      <c r="CV334" s="52">
        <f t="shared" si="330"/>
        <v>4.3530725924122793</v>
      </c>
      <c r="CW334" s="52">
        <f t="shared" si="330"/>
        <v>4.3530725924122793</v>
      </c>
      <c r="CX334" s="52">
        <f t="shared" si="330"/>
        <v>4.3651061568856067</v>
      </c>
      <c r="CY334" s="52">
        <f t="shared" si="330"/>
        <v>4.3651061568856067</v>
      </c>
      <c r="CZ334" s="52">
        <f t="shared" si="330"/>
        <v>4.3651061568856067</v>
      </c>
      <c r="DA334" s="52">
        <f t="shared" si="330"/>
        <v>4.4257503752562029</v>
      </c>
      <c r="DB334" s="52">
        <f t="shared" si="330"/>
        <v>4.4257503752562029</v>
      </c>
      <c r="DC334" s="52">
        <f t="shared" si="330"/>
        <v>4.4257503752562029</v>
      </c>
      <c r="DD334" s="52">
        <f t="shared" si="330"/>
        <v>4.4554320208315801</v>
      </c>
      <c r="DE334" s="52">
        <f t="shared" si="330"/>
        <v>4.4554320208315801</v>
      </c>
      <c r="DF334" s="52">
        <f t="shared" si="330"/>
        <v>4.4554320208315801</v>
      </c>
      <c r="DG334" s="52">
        <f t="shared" si="330"/>
        <v>4.570726222032893</v>
      </c>
      <c r="DH334" s="52">
        <f t="shared" si="330"/>
        <v>4.570726222032893</v>
      </c>
      <c r="DI334" s="52">
        <f t="shared" si="330"/>
        <v>4.570726222032893</v>
      </c>
      <c r="DJ334" s="52">
        <f t="shared" si="330"/>
        <v>4.5833614647298875</v>
      </c>
      <c r="DK334" s="52">
        <f t="shared" si="330"/>
        <v>4.5833614647298875</v>
      </c>
      <c r="DL334" s="52">
        <f t="shared" si="330"/>
        <v>4.5833614647298875</v>
      </c>
      <c r="DM334" s="52">
        <f t="shared" si="330"/>
        <v>4.6470378940190136</v>
      </c>
      <c r="DN334" s="52">
        <f t="shared" si="330"/>
        <v>4.6470378940190136</v>
      </c>
      <c r="DO334" s="52">
        <f t="shared" si="330"/>
        <v>4.6470378940190136</v>
      </c>
      <c r="DP334" s="52">
        <f t="shared" si="330"/>
        <v>4.6782036218731591</v>
      </c>
      <c r="DQ334" s="52">
        <f t="shared" si="330"/>
        <v>4.6782036218731591</v>
      </c>
      <c r="DR334" s="52">
        <f t="shared" si="330"/>
        <v>4.6782036218731591</v>
      </c>
      <c r="DS334" s="52">
        <f t="shared" si="330"/>
        <v>4.7992625331345389</v>
      </c>
      <c r="DT334" s="52">
        <f t="shared" si="330"/>
        <v>4.7992625331345389</v>
      </c>
      <c r="DU334" s="52">
        <f t="shared" si="330"/>
        <v>4.7992625331345389</v>
      </c>
      <c r="DV334" s="52">
        <f t="shared" si="330"/>
        <v>4.8125295379663822</v>
      </c>
      <c r="DW334" s="52">
        <f t="shared" si="330"/>
        <v>4.8125295379663822</v>
      </c>
      <c r="DX334" s="52">
        <f t="shared" si="330"/>
        <v>4.8125295379663822</v>
      </c>
      <c r="DY334" s="52">
        <f t="shared" si="330"/>
        <v>4.8793897887199638</v>
      </c>
      <c r="DZ334" s="52">
        <f t="shared" si="330"/>
        <v>4.8793897887199638</v>
      </c>
      <c r="EA334" s="52">
        <f t="shared" si="330"/>
        <v>4.8793897887199638</v>
      </c>
      <c r="EB334" s="52">
        <f t="shared" ref="EB334:GM334" si="331">EB26+EB88+EB152+EB216+EB281</f>
        <v>4.9121138029668172</v>
      </c>
      <c r="EC334" s="52">
        <f t="shared" si="331"/>
        <v>4.9121138029668172</v>
      </c>
      <c r="ED334" s="52">
        <f t="shared" si="331"/>
        <v>4.9121138029668172</v>
      </c>
      <c r="EE334" s="52">
        <f t="shared" si="331"/>
        <v>5.0392256597912652</v>
      </c>
      <c r="EF334" s="52">
        <f t="shared" si="331"/>
        <v>5.0392256597912652</v>
      </c>
      <c r="EG334" s="52">
        <f t="shared" si="331"/>
        <v>5.0392256597912652</v>
      </c>
      <c r="EH334" s="52">
        <f t="shared" si="331"/>
        <v>5.053156014864701</v>
      </c>
      <c r="EI334" s="52">
        <f t="shared" si="331"/>
        <v>5.053156014864701</v>
      </c>
      <c r="EJ334" s="52">
        <f t="shared" si="331"/>
        <v>5.053156014864701</v>
      </c>
      <c r="EK334" s="52">
        <f t="shared" si="331"/>
        <v>5.1233592781559629</v>
      </c>
      <c r="EL334" s="52">
        <f t="shared" si="331"/>
        <v>5.1233592781559629</v>
      </c>
      <c r="EM334" s="52">
        <f t="shared" si="331"/>
        <v>5.1233592781559629</v>
      </c>
      <c r="EN334" s="52">
        <f t="shared" si="331"/>
        <v>5.1577194931151595</v>
      </c>
      <c r="EO334" s="52">
        <f t="shared" si="331"/>
        <v>5.1577194931151595</v>
      </c>
      <c r="EP334" s="52">
        <f t="shared" si="331"/>
        <v>5.1577194931151595</v>
      </c>
      <c r="EQ334" s="52">
        <f t="shared" si="331"/>
        <v>5.2911869427808291</v>
      </c>
      <c r="ER334" s="52">
        <f t="shared" si="331"/>
        <v>5.2911869427808291</v>
      </c>
      <c r="ES334" s="52">
        <f t="shared" si="331"/>
        <v>5.2911869427808291</v>
      </c>
      <c r="ET334" s="52">
        <f t="shared" si="331"/>
        <v>5.3058138156079373</v>
      </c>
      <c r="EU334" s="52">
        <f t="shared" si="331"/>
        <v>5.3058138156079373</v>
      </c>
      <c r="EV334" s="52">
        <f t="shared" si="331"/>
        <v>5.3058138156079373</v>
      </c>
      <c r="EW334" s="52">
        <f t="shared" si="331"/>
        <v>5.3795272420637614</v>
      </c>
      <c r="EX334" s="52">
        <f t="shared" si="331"/>
        <v>5.3795272420637614</v>
      </c>
      <c r="EY334" s="52">
        <f t="shared" si="331"/>
        <v>5.3795272420637614</v>
      </c>
      <c r="EZ334" s="52">
        <f t="shared" si="331"/>
        <v>5.4156054677709173</v>
      </c>
      <c r="FA334" s="52">
        <f t="shared" si="331"/>
        <v>5.4156054677709173</v>
      </c>
      <c r="FB334" s="52">
        <f t="shared" si="331"/>
        <v>5.4156054677709173</v>
      </c>
      <c r="FC334" s="52">
        <f t="shared" si="331"/>
        <v>5.5557462899198713</v>
      </c>
      <c r="FD334" s="52">
        <f t="shared" si="331"/>
        <v>5.5557462899198713</v>
      </c>
      <c r="FE334" s="52">
        <f t="shared" si="331"/>
        <v>5.5557462899198713</v>
      </c>
      <c r="FF334" s="52">
        <f t="shared" si="331"/>
        <v>5.5711045063883349</v>
      </c>
      <c r="FG334" s="52">
        <f t="shared" si="331"/>
        <v>5.5711045063883349</v>
      </c>
      <c r="FH334" s="52">
        <f t="shared" si="331"/>
        <v>5.5711045063883349</v>
      </c>
      <c r="FI334" s="52">
        <f t="shared" si="331"/>
        <v>5.6485036041669501</v>
      </c>
      <c r="FJ334" s="52">
        <f t="shared" si="331"/>
        <v>5.6485036041669501</v>
      </c>
      <c r="FK334" s="52">
        <f t="shared" si="331"/>
        <v>5.6485036041669501</v>
      </c>
      <c r="FL334" s="52">
        <f t="shared" si="331"/>
        <v>5.6863857411594649</v>
      </c>
      <c r="FM334" s="52">
        <f t="shared" si="331"/>
        <v>5.6863857411594649</v>
      </c>
      <c r="FN334" s="52">
        <f t="shared" si="331"/>
        <v>5.6863857411594649</v>
      </c>
      <c r="FO334" s="52">
        <f t="shared" si="331"/>
        <v>5.8335336044158659</v>
      </c>
      <c r="FP334" s="52">
        <f t="shared" si="331"/>
        <v>5.8335336044158659</v>
      </c>
      <c r="FQ334" s="52">
        <f t="shared" si="331"/>
        <v>5.8335336044158659</v>
      </c>
      <c r="FR334" s="52">
        <f t="shared" si="331"/>
        <v>5.8496597317077521</v>
      </c>
      <c r="FS334" s="52">
        <f t="shared" si="331"/>
        <v>5.8496597317077521</v>
      </c>
      <c r="FT334" s="52">
        <f t="shared" si="331"/>
        <v>5.8496597317077521</v>
      </c>
      <c r="FU334" s="52">
        <f t="shared" si="331"/>
        <v>5.9309287843752987</v>
      </c>
      <c r="FV334" s="52">
        <f t="shared" si="331"/>
        <v>5.9309287843752987</v>
      </c>
      <c r="FW334" s="52">
        <f t="shared" si="331"/>
        <v>5.9309287843752987</v>
      </c>
      <c r="FX334" s="52">
        <f t="shared" si="331"/>
        <v>5.9707050282174379</v>
      </c>
      <c r="FY334" s="52">
        <f t="shared" si="331"/>
        <v>5.9707050282174379</v>
      </c>
      <c r="FZ334" s="52">
        <f t="shared" si="331"/>
        <v>5.9707050282174379</v>
      </c>
      <c r="GA334" s="52">
        <f t="shared" si="331"/>
        <v>6.1252102846366592</v>
      </c>
      <c r="GB334" s="52">
        <f t="shared" si="331"/>
        <v>6.1252102846366592</v>
      </c>
      <c r="GC334" s="52">
        <f t="shared" si="331"/>
        <v>6.1252102846366592</v>
      </c>
      <c r="GD334" s="52">
        <f t="shared" si="331"/>
        <v>6.1421427182931394</v>
      </c>
      <c r="GE334" s="52">
        <f t="shared" si="331"/>
        <v>6.1421427182931394</v>
      </c>
      <c r="GF334" s="52">
        <f t="shared" si="331"/>
        <v>6.1421427182931394</v>
      </c>
      <c r="GG334" s="52">
        <f t="shared" si="331"/>
        <v>6.2274752235940634</v>
      </c>
      <c r="GH334" s="52">
        <f t="shared" si="331"/>
        <v>6.2274752235940634</v>
      </c>
      <c r="GI334" s="52">
        <f t="shared" si="331"/>
        <v>6.2274752235940634</v>
      </c>
      <c r="GJ334" s="52">
        <f t="shared" si="331"/>
        <v>6.2692402796283098</v>
      </c>
      <c r="GK334" s="52">
        <f t="shared" si="331"/>
        <v>6.2692402796283098</v>
      </c>
      <c r="GL334" s="52">
        <f t="shared" si="331"/>
        <v>6.2692402796283098</v>
      </c>
      <c r="GM334" s="52">
        <f t="shared" si="331"/>
        <v>6.4314707988684923</v>
      </c>
      <c r="GN334" s="52">
        <f t="shared" ref="GN334:IY334" si="332">GN26+GN88+GN152+GN216+GN281</f>
        <v>6.4314707988684923</v>
      </c>
      <c r="GO334" s="52">
        <f t="shared" si="332"/>
        <v>6.4314707988684923</v>
      </c>
      <c r="GP334" s="52">
        <f t="shared" si="332"/>
        <v>6.449249854207797</v>
      </c>
      <c r="GQ334" s="52">
        <f t="shared" si="332"/>
        <v>6.449249854207797</v>
      </c>
      <c r="GR334" s="52">
        <f t="shared" si="332"/>
        <v>6.449249854207797</v>
      </c>
      <c r="GS334" s="52">
        <f t="shared" si="332"/>
        <v>6.5388489847737663</v>
      </c>
      <c r="GT334" s="52">
        <f t="shared" si="332"/>
        <v>6.5388489847737663</v>
      </c>
      <c r="GU334" s="52">
        <f t="shared" si="332"/>
        <v>6.5388489847737663</v>
      </c>
      <c r="GV334" s="52">
        <f t="shared" si="332"/>
        <v>6.5827022936097253</v>
      </c>
      <c r="GW334" s="52">
        <f t="shared" si="332"/>
        <v>6.5827022936097253</v>
      </c>
      <c r="GX334" s="52">
        <f t="shared" si="332"/>
        <v>6.5827022936097253</v>
      </c>
      <c r="GY334" s="52">
        <f t="shared" si="332"/>
        <v>6.7530443388119163</v>
      </c>
      <c r="GZ334" s="52">
        <f t="shared" si="332"/>
        <v>6.7530443388119163</v>
      </c>
      <c r="HA334" s="52">
        <f t="shared" si="332"/>
        <v>6.7530443388119163</v>
      </c>
      <c r="HB334" s="52">
        <f t="shared" si="332"/>
        <v>6.7717123469181866</v>
      </c>
      <c r="HC334" s="52">
        <f t="shared" si="332"/>
        <v>6.7717123469181866</v>
      </c>
      <c r="HD334" s="52">
        <f t="shared" si="332"/>
        <v>6.7717123469181866</v>
      </c>
      <c r="HE334" s="52">
        <f t="shared" si="332"/>
        <v>6.8657914340124551</v>
      </c>
      <c r="HF334" s="52">
        <f t="shared" si="332"/>
        <v>6.8657914340124551</v>
      </c>
      <c r="HG334" s="52">
        <f t="shared" si="332"/>
        <v>6.8657914340124551</v>
      </c>
      <c r="HH334" s="52">
        <f t="shared" si="332"/>
        <v>6.9118374082902125</v>
      </c>
      <c r="HI334" s="52">
        <f t="shared" si="332"/>
        <v>6.9118374082902125</v>
      </c>
      <c r="HJ334" s="52">
        <f t="shared" si="332"/>
        <v>6.9118374082902125</v>
      </c>
      <c r="HK334" s="52">
        <f t="shared" si="332"/>
        <v>7.0906965557525128</v>
      </c>
      <c r="HL334" s="52">
        <f t="shared" si="332"/>
        <v>7.0906965557525128</v>
      </c>
      <c r="HM334" s="52">
        <f t="shared" si="332"/>
        <v>7.0906965557525128</v>
      </c>
      <c r="HN334" s="52">
        <f t="shared" si="332"/>
        <v>7.1102979642640962</v>
      </c>
      <c r="HO334" s="52">
        <f t="shared" si="332"/>
        <v>7.1102979642640962</v>
      </c>
      <c r="HP334" s="52">
        <f t="shared" si="332"/>
        <v>7.1102979642640962</v>
      </c>
      <c r="HQ334" s="52">
        <f t="shared" si="332"/>
        <v>7.2090810057130774</v>
      </c>
      <c r="HR334" s="52">
        <f t="shared" si="332"/>
        <v>7.2090810057130774</v>
      </c>
      <c r="HS334" s="52">
        <f t="shared" si="332"/>
        <v>7.2090810057130774</v>
      </c>
      <c r="HT334" s="52">
        <f t="shared" si="332"/>
        <v>7.2574292787047217</v>
      </c>
      <c r="HU334" s="52">
        <f t="shared" si="332"/>
        <v>7.2574292787047217</v>
      </c>
      <c r="HV334" s="52">
        <f t="shared" si="332"/>
        <v>7.2574292787047217</v>
      </c>
      <c r="HW334" s="52">
        <f t="shared" si="332"/>
        <v>7.445231383540138</v>
      </c>
      <c r="HX334" s="52">
        <f t="shared" si="332"/>
        <v>7.445231383540138</v>
      </c>
      <c r="HY334" s="52">
        <f t="shared" si="332"/>
        <v>7.445231383540138</v>
      </c>
      <c r="HZ334" s="52">
        <f t="shared" si="332"/>
        <v>7.4658128624773008</v>
      </c>
      <c r="IA334" s="52">
        <f t="shared" si="332"/>
        <v>7.4658128624773008</v>
      </c>
      <c r="IB334" s="52">
        <f t="shared" si="332"/>
        <v>7.4658128624773008</v>
      </c>
      <c r="IC334" s="52">
        <f t="shared" si="332"/>
        <v>6.247640271586878</v>
      </c>
      <c r="ID334" s="52">
        <f t="shared" si="332"/>
        <v>6.247640271586878</v>
      </c>
      <c r="IE334" s="52">
        <f t="shared" si="332"/>
        <v>6.247640271586878</v>
      </c>
      <c r="IF334" s="52">
        <f t="shared" si="332"/>
        <v>6.2984059582281047</v>
      </c>
      <c r="IG334" s="52">
        <f t="shared" si="332"/>
        <v>6.2984059582281047</v>
      </c>
      <c r="IH334" s="52">
        <f t="shared" si="332"/>
        <v>6.2984059582281047</v>
      </c>
      <c r="II334" s="52">
        <f t="shared" si="332"/>
        <v>6.4295034290846997</v>
      </c>
      <c r="IJ334" s="52">
        <f t="shared" si="332"/>
        <v>6.4295034290846997</v>
      </c>
      <c r="IK334" s="52">
        <f t="shared" si="332"/>
        <v>6.4295034290846997</v>
      </c>
      <c r="IL334" s="52">
        <f t="shared" si="332"/>
        <v>6.45111398196872</v>
      </c>
      <c r="IM334" s="52">
        <f t="shared" si="332"/>
        <v>6.45111398196872</v>
      </c>
      <c r="IN334" s="52">
        <f t="shared" si="332"/>
        <v>6.45111398196872</v>
      </c>
      <c r="IO334" s="52">
        <f t="shared" si="332"/>
        <v>3.9995817419043003</v>
      </c>
      <c r="IP334" s="52">
        <f t="shared" si="332"/>
        <v>3.9995817419043003</v>
      </c>
      <c r="IQ334" s="52">
        <f t="shared" si="332"/>
        <v>3.9995817419043003</v>
      </c>
      <c r="IR334" s="52">
        <f t="shared" si="332"/>
        <v>4.0528857128775879</v>
      </c>
      <c r="IS334" s="52">
        <f t="shared" si="332"/>
        <v>4.0528857128775879</v>
      </c>
      <c r="IT334" s="52">
        <f t="shared" si="332"/>
        <v>4.0528857128775879</v>
      </c>
      <c r="IU334" s="52">
        <f t="shared" si="332"/>
        <v>4.0625160301139163</v>
      </c>
      <c r="IV334" s="52">
        <f t="shared" si="332"/>
        <v>4.0625160301139163</v>
      </c>
      <c r="IW334" s="52">
        <f t="shared" si="332"/>
        <v>4.0625160301139163</v>
      </c>
      <c r="IX334" s="52">
        <f t="shared" si="332"/>
        <v>3.0178880639444374</v>
      </c>
      <c r="IY334" s="52">
        <f t="shared" si="332"/>
        <v>3.0178880639444374</v>
      </c>
      <c r="IZ334" s="52">
        <f t="shared" ref="IZ334:JI334" si="333">IZ26+IZ88+IZ152+IZ216+IZ281</f>
        <v>3.0178880639444374</v>
      </c>
      <c r="JA334" s="52">
        <f t="shared" si="333"/>
        <v>3.1322417823018149</v>
      </c>
      <c r="JB334" s="52">
        <f t="shared" si="333"/>
        <v>3.1322417823018149</v>
      </c>
      <c r="JC334" s="52">
        <f t="shared" si="333"/>
        <v>3.1322417823018149</v>
      </c>
      <c r="JD334" s="52">
        <f t="shared" si="333"/>
        <v>3.1348449994888825</v>
      </c>
      <c r="JE334" s="52">
        <f t="shared" si="333"/>
        <v>3.1348449994888825</v>
      </c>
      <c r="JF334" s="52">
        <f t="shared" si="333"/>
        <v>3.1348449994888825</v>
      </c>
      <c r="JG334" s="52">
        <f t="shared" si="333"/>
        <v>0.85522307664047115</v>
      </c>
      <c r="JH334" s="52">
        <f t="shared" si="333"/>
        <v>0.85522307664047115</v>
      </c>
      <c r="JI334" s="244">
        <f t="shared" si="333"/>
        <v>0.85522307664047115</v>
      </c>
      <c r="JJ334" s="52"/>
      <c r="JK334" s="52"/>
      <c r="JL334" s="52"/>
      <c r="JM334" s="52"/>
      <c r="JN334" s="52"/>
      <c r="JO334" s="52"/>
      <c r="JP334" s="54"/>
    </row>
    <row r="335" spans="1:276" x14ac:dyDescent="0.3">
      <c r="A335" s="641"/>
      <c r="B335" s="169" t="s">
        <v>326</v>
      </c>
      <c r="C335" s="52">
        <f>C27+C89+C153+C217+C282</f>
        <v>2.7431831845346245E-2</v>
      </c>
      <c r="D335" s="52">
        <f t="shared" ref="D335:BO335" si="334">D27+D89+D153+D217+D282</f>
        <v>2.7431831845346245E-2</v>
      </c>
      <c r="E335" s="52">
        <f t="shared" si="334"/>
        <v>2.7431831845346245E-2</v>
      </c>
      <c r="F335" s="52">
        <f t="shared" si="334"/>
        <v>2.7431831845346245E-2</v>
      </c>
      <c r="G335" s="52">
        <f t="shared" si="334"/>
        <v>2.7431831845346245E-2</v>
      </c>
      <c r="H335" s="52">
        <f t="shared" si="334"/>
        <v>2.7431831845346245E-2</v>
      </c>
      <c r="I335" s="52">
        <f t="shared" si="334"/>
        <v>2.7431831845346245E-2</v>
      </c>
      <c r="J335" s="52">
        <f t="shared" si="334"/>
        <v>2.7431831845346245E-2</v>
      </c>
      <c r="K335" s="52">
        <f t="shared" si="334"/>
        <v>2.7431831845346245E-2</v>
      </c>
      <c r="L335" s="52">
        <f t="shared" si="334"/>
        <v>2.7431831845346245E-2</v>
      </c>
      <c r="M335" s="52">
        <f t="shared" si="334"/>
        <v>2.7431831845346245E-2</v>
      </c>
      <c r="N335" s="52">
        <f t="shared" si="334"/>
        <v>2.7431831845346245E-2</v>
      </c>
      <c r="O335" s="52">
        <f t="shared" si="334"/>
        <v>8.1937436266038943E-2</v>
      </c>
      <c r="P335" s="52">
        <f t="shared" si="334"/>
        <v>8.1937436266038943E-2</v>
      </c>
      <c r="Q335" s="52">
        <f t="shared" si="334"/>
        <v>8.1937436266038943E-2</v>
      </c>
      <c r="R335" s="52">
        <f t="shared" si="334"/>
        <v>8.1937436266038943E-2</v>
      </c>
      <c r="S335" s="52">
        <f t="shared" si="334"/>
        <v>8.1937436266038943E-2</v>
      </c>
      <c r="T335" s="52">
        <f t="shared" si="334"/>
        <v>8.1937436266038943E-2</v>
      </c>
      <c r="U335" s="52">
        <f t="shared" si="334"/>
        <v>8.1937436266038943E-2</v>
      </c>
      <c r="V335" s="52">
        <f t="shared" si="334"/>
        <v>8.1937436266038943E-2</v>
      </c>
      <c r="W335" s="52">
        <f t="shared" si="334"/>
        <v>8.1937436266038943E-2</v>
      </c>
      <c r="X335" s="52">
        <f t="shared" si="334"/>
        <v>0.10408633719189694</v>
      </c>
      <c r="Y335" s="52">
        <f t="shared" si="334"/>
        <v>0.10408633719189694</v>
      </c>
      <c r="Z335" s="52">
        <f t="shared" si="334"/>
        <v>0.10408633719189694</v>
      </c>
      <c r="AA335" s="52">
        <f t="shared" si="334"/>
        <v>0.10818320900519889</v>
      </c>
      <c r="AB335" s="52">
        <f t="shared" si="334"/>
        <v>0.10818320900519889</v>
      </c>
      <c r="AC335" s="52">
        <f t="shared" si="334"/>
        <v>0.10818320900519889</v>
      </c>
      <c r="AD335" s="52">
        <f t="shared" si="334"/>
        <v>0.10818320900519889</v>
      </c>
      <c r="AE335" s="52">
        <f t="shared" si="334"/>
        <v>0.10818320900519889</v>
      </c>
      <c r="AF335" s="52">
        <f t="shared" si="334"/>
        <v>0.10818320900519889</v>
      </c>
      <c r="AG335" s="52">
        <f t="shared" si="334"/>
        <v>0.15569954094358801</v>
      </c>
      <c r="AH335" s="52">
        <f t="shared" si="334"/>
        <v>0.15569954094358801</v>
      </c>
      <c r="AI335" s="52">
        <f t="shared" si="334"/>
        <v>0.15569954094358801</v>
      </c>
      <c r="AJ335" s="52">
        <f t="shared" si="334"/>
        <v>0.15680698598988091</v>
      </c>
      <c r="AK335" s="52">
        <f t="shared" si="334"/>
        <v>0.15680698598988091</v>
      </c>
      <c r="AL335" s="52">
        <f t="shared" si="334"/>
        <v>0.15680698598988091</v>
      </c>
      <c r="AM335" s="52">
        <f t="shared" si="334"/>
        <v>0.16110870139384798</v>
      </c>
      <c r="AN335" s="52">
        <f t="shared" si="334"/>
        <v>0.16110870139384798</v>
      </c>
      <c r="AO335" s="52">
        <f t="shared" si="334"/>
        <v>0.16110870139384798</v>
      </c>
      <c r="AP335" s="52">
        <f t="shared" si="334"/>
        <v>0.17100874466662236</v>
      </c>
      <c r="AQ335" s="52">
        <f t="shared" si="334"/>
        <v>0.17100874466662236</v>
      </c>
      <c r="AR335" s="52">
        <f t="shared" si="334"/>
        <v>0.17100874466662236</v>
      </c>
      <c r="AS335" s="52">
        <f t="shared" si="334"/>
        <v>0.17338456126354182</v>
      </c>
      <c r="AT335" s="52">
        <f t="shared" si="334"/>
        <v>0.17338456126354182</v>
      </c>
      <c r="AU335" s="52">
        <f t="shared" si="334"/>
        <v>0.17338456126354182</v>
      </c>
      <c r="AV335" s="52">
        <f t="shared" si="334"/>
        <v>0.17454737856214936</v>
      </c>
      <c r="AW335" s="52">
        <f t="shared" si="334"/>
        <v>0.17454737856214936</v>
      </c>
      <c r="AX335" s="52">
        <f t="shared" si="334"/>
        <v>0.17454737856214936</v>
      </c>
      <c r="AY335" s="52">
        <f t="shared" si="334"/>
        <v>0.17906417973631478</v>
      </c>
      <c r="AZ335" s="52">
        <f t="shared" si="334"/>
        <v>0.17906417973631478</v>
      </c>
      <c r="BA335" s="52">
        <f t="shared" si="334"/>
        <v>0.17906417973631478</v>
      </c>
      <c r="BB335" s="52">
        <f t="shared" si="334"/>
        <v>0.17955918189995348</v>
      </c>
      <c r="BC335" s="52">
        <f t="shared" si="334"/>
        <v>0.17955918189995348</v>
      </c>
      <c r="BD335" s="52">
        <f t="shared" si="334"/>
        <v>0.17955918189995348</v>
      </c>
      <c r="BE335" s="52">
        <f t="shared" si="334"/>
        <v>0.1820537893267189</v>
      </c>
      <c r="BF335" s="52">
        <f t="shared" si="334"/>
        <v>0.1820537893267189</v>
      </c>
      <c r="BG335" s="52">
        <f t="shared" si="334"/>
        <v>0.1820537893267189</v>
      </c>
      <c r="BH335" s="52">
        <f t="shared" si="334"/>
        <v>0.18327474749025682</v>
      </c>
      <c r="BI335" s="52">
        <f t="shared" si="334"/>
        <v>0.18327474749025682</v>
      </c>
      <c r="BJ335" s="52">
        <f t="shared" si="334"/>
        <v>0.18327474749025682</v>
      </c>
      <c r="BK335" s="52">
        <f t="shared" si="334"/>
        <v>0.18801738872313048</v>
      </c>
      <c r="BL335" s="52">
        <f t="shared" si="334"/>
        <v>0.18801738872313048</v>
      </c>
      <c r="BM335" s="52">
        <f t="shared" si="334"/>
        <v>0.18801738872313048</v>
      </c>
      <c r="BN335" s="52">
        <f t="shared" si="334"/>
        <v>0.18853714099495114</v>
      </c>
      <c r="BO335" s="52">
        <f t="shared" si="334"/>
        <v>0.18853714099495114</v>
      </c>
      <c r="BP335" s="52">
        <f t="shared" ref="BP335:EA335" si="335">BP27+BP89+BP153+BP217+BP282</f>
        <v>0.18853714099495114</v>
      </c>
      <c r="BQ335" s="52">
        <f t="shared" si="335"/>
        <v>0.19115647879305486</v>
      </c>
      <c r="BR335" s="52">
        <f t="shared" si="335"/>
        <v>0.19115647879305486</v>
      </c>
      <c r="BS335" s="52">
        <f t="shared" si="335"/>
        <v>0.19115647879305486</v>
      </c>
      <c r="BT335" s="52">
        <f t="shared" si="335"/>
        <v>0.19243848486476969</v>
      </c>
      <c r="BU335" s="52">
        <f t="shared" si="335"/>
        <v>0.19243848486476969</v>
      </c>
      <c r="BV335" s="52">
        <f t="shared" si="335"/>
        <v>0.19243848486476969</v>
      </c>
      <c r="BW335" s="52">
        <f t="shared" si="335"/>
        <v>0.19741825815928704</v>
      </c>
      <c r="BX335" s="52">
        <f t="shared" si="335"/>
        <v>0.19741825815928704</v>
      </c>
      <c r="BY335" s="52">
        <f t="shared" si="335"/>
        <v>0.19741825815928704</v>
      </c>
      <c r="BZ335" s="52">
        <f t="shared" si="335"/>
        <v>0.19796399804469872</v>
      </c>
      <c r="CA335" s="52">
        <f t="shared" si="335"/>
        <v>0.19796399804469872</v>
      </c>
      <c r="CB335" s="52">
        <f t="shared" si="335"/>
        <v>0.19796399804469872</v>
      </c>
      <c r="CC335" s="52">
        <f t="shared" si="335"/>
        <v>0.2007143027327076</v>
      </c>
      <c r="CD335" s="52">
        <f t="shared" si="335"/>
        <v>0.2007143027327076</v>
      </c>
      <c r="CE335" s="52">
        <f t="shared" si="335"/>
        <v>0.2007143027327076</v>
      </c>
      <c r="CF335" s="52">
        <f t="shared" si="335"/>
        <v>0.20206040910800815</v>
      </c>
      <c r="CG335" s="52">
        <f t="shared" si="335"/>
        <v>0.20206040910800815</v>
      </c>
      <c r="CH335" s="52">
        <f t="shared" si="335"/>
        <v>0.20206040910800815</v>
      </c>
      <c r="CI335" s="52">
        <f t="shared" si="335"/>
        <v>0.20728917106725137</v>
      </c>
      <c r="CJ335" s="52">
        <f t="shared" si="335"/>
        <v>0.20728917106725137</v>
      </c>
      <c r="CK335" s="52">
        <f t="shared" si="335"/>
        <v>0.20728917106725137</v>
      </c>
      <c r="CL335" s="52">
        <f t="shared" si="335"/>
        <v>0.20786219794693364</v>
      </c>
      <c r="CM335" s="52">
        <f t="shared" si="335"/>
        <v>0.20786219794693364</v>
      </c>
      <c r="CN335" s="52">
        <f t="shared" si="335"/>
        <v>0.20786219794693364</v>
      </c>
      <c r="CO335" s="52">
        <f t="shared" si="335"/>
        <v>0.21075001786934297</v>
      </c>
      <c r="CP335" s="52">
        <f t="shared" si="335"/>
        <v>0.21075001786934297</v>
      </c>
      <c r="CQ335" s="52">
        <f t="shared" si="335"/>
        <v>0.21075001786934297</v>
      </c>
      <c r="CR335" s="52">
        <f t="shared" si="335"/>
        <v>0.21216342956340858</v>
      </c>
      <c r="CS335" s="52">
        <f t="shared" si="335"/>
        <v>0.21216342956340858</v>
      </c>
      <c r="CT335" s="52">
        <f t="shared" si="335"/>
        <v>0.21216342956340858</v>
      </c>
      <c r="CU335" s="52">
        <f t="shared" si="335"/>
        <v>0.21765362962061396</v>
      </c>
      <c r="CV335" s="52">
        <f t="shared" si="335"/>
        <v>0.21765362962061396</v>
      </c>
      <c r="CW335" s="52">
        <f t="shared" si="335"/>
        <v>0.21765362962061396</v>
      </c>
      <c r="CX335" s="52">
        <f t="shared" si="335"/>
        <v>0.21825530784428035</v>
      </c>
      <c r="CY335" s="52">
        <f t="shared" si="335"/>
        <v>0.21825530784428035</v>
      </c>
      <c r="CZ335" s="52">
        <f t="shared" si="335"/>
        <v>0.21825530784428035</v>
      </c>
      <c r="DA335" s="52">
        <f t="shared" si="335"/>
        <v>0.22128751876281014</v>
      </c>
      <c r="DB335" s="52">
        <f t="shared" si="335"/>
        <v>0.22128751876281014</v>
      </c>
      <c r="DC335" s="52">
        <f t="shared" si="335"/>
        <v>0.22128751876281014</v>
      </c>
      <c r="DD335" s="52">
        <f t="shared" si="335"/>
        <v>0.22277160104157903</v>
      </c>
      <c r="DE335" s="52">
        <f t="shared" si="335"/>
        <v>0.22277160104157903</v>
      </c>
      <c r="DF335" s="52">
        <f t="shared" si="335"/>
        <v>0.22277160104157903</v>
      </c>
      <c r="DG335" s="52">
        <f t="shared" si="335"/>
        <v>0.22853631110164466</v>
      </c>
      <c r="DH335" s="52">
        <f t="shared" si="335"/>
        <v>0.22853631110164466</v>
      </c>
      <c r="DI335" s="52">
        <f t="shared" si="335"/>
        <v>0.22853631110164466</v>
      </c>
      <c r="DJ335" s="52">
        <f t="shared" si="335"/>
        <v>0.22916807323649438</v>
      </c>
      <c r="DK335" s="52">
        <f t="shared" si="335"/>
        <v>0.22916807323649438</v>
      </c>
      <c r="DL335" s="52">
        <f t="shared" si="335"/>
        <v>0.22916807323649438</v>
      </c>
      <c r="DM335" s="52">
        <f t="shared" si="335"/>
        <v>0.23235189470095066</v>
      </c>
      <c r="DN335" s="52">
        <f t="shared" si="335"/>
        <v>0.23235189470095066</v>
      </c>
      <c r="DO335" s="52">
        <f t="shared" si="335"/>
        <v>0.23235189470095066</v>
      </c>
      <c r="DP335" s="52">
        <f t="shared" si="335"/>
        <v>0.23391018109365799</v>
      </c>
      <c r="DQ335" s="52">
        <f t="shared" si="335"/>
        <v>0.23391018109365799</v>
      </c>
      <c r="DR335" s="52">
        <f t="shared" si="335"/>
        <v>0.23391018109365799</v>
      </c>
      <c r="DS335" s="52">
        <f t="shared" si="335"/>
        <v>0.23996312665672695</v>
      </c>
      <c r="DT335" s="52">
        <f t="shared" si="335"/>
        <v>0.23996312665672695</v>
      </c>
      <c r="DU335" s="52">
        <f t="shared" si="335"/>
        <v>0.23996312665672695</v>
      </c>
      <c r="DV335" s="52">
        <f t="shared" si="335"/>
        <v>0.24062647689831912</v>
      </c>
      <c r="DW335" s="52">
        <f t="shared" si="335"/>
        <v>0.24062647689831912</v>
      </c>
      <c r="DX335" s="52">
        <f t="shared" si="335"/>
        <v>0.24062647689831912</v>
      </c>
      <c r="DY335" s="52">
        <f t="shared" si="335"/>
        <v>0.24396948943599822</v>
      </c>
      <c r="DZ335" s="52">
        <f t="shared" si="335"/>
        <v>0.24396948943599822</v>
      </c>
      <c r="EA335" s="52">
        <f t="shared" si="335"/>
        <v>0.24396948943599822</v>
      </c>
      <c r="EB335" s="52">
        <f t="shared" ref="EB335:GM335" si="336">EB27+EB89+EB153+EB217+EB282</f>
        <v>0.24560569014834088</v>
      </c>
      <c r="EC335" s="52">
        <f t="shared" si="336"/>
        <v>0.24560569014834088</v>
      </c>
      <c r="ED335" s="52">
        <f t="shared" si="336"/>
        <v>0.24560569014834088</v>
      </c>
      <c r="EE335" s="52">
        <f t="shared" si="336"/>
        <v>0.25196128298956327</v>
      </c>
      <c r="EF335" s="52">
        <f t="shared" si="336"/>
        <v>0.25196128298956327</v>
      </c>
      <c r="EG335" s="52">
        <f t="shared" si="336"/>
        <v>0.25196128298956327</v>
      </c>
      <c r="EH335" s="52">
        <f t="shared" si="336"/>
        <v>0.25265780074323507</v>
      </c>
      <c r="EI335" s="52">
        <f t="shared" si="336"/>
        <v>0.25265780074323507</v>
      </c>
      <c r="EJ335" s="52">
        <f t="shared" si="336"/>
        <v>0.25265780074323507</v>
      </c>
      <c r="EK335" s="52">
        <f t="shared" si="336"/>
        <v>0.25616796390779817</v>
      </c>
      <c r="EL335" s="52">
        <f t="shared" si="336"/>
        <v>0.25616796390779817</v>
      </c>
      <c r="EM335" s="52">
        <f t="shared" si="336"/>
        <v>0.25616796390779817</v>
      </c>
      <c r="EN335" s="52">
        <f t="shared" si="336"/>
        <v>0.25788597465575797</v>
      </c>
      <c r="EO335" s="52">
        <f t="shared" si="336"/>
        <v>0.25788597465575797</v>
      </c>
      <c r="EP335" s="52">
        <f t="shared" si="336"/>
        <v>0.25788597465575797</v>
      </c>
      <c r="EQ335" s="52">
        <f t="shared" si="336"/>
        <v>0.2645593471390415</v>
      </c>
      <c r="ER335" s="52">
        <f t="shared" si="336"/>
        <v>0.2645593471390415</v>
      </c>
      <c r="ES335" s="52">
        <f t="shared" si="336"/>
        <v>0.2645593471390415</v>
      </c>
      <c r="ET335" s="52">
        <f t="shared" si="336"/>
        <v>0.26529069078039691</v>
      </c>
      <c r="EU335" s="52">
        <f t="shared" si="336"/>
        <v>0.26529069078039691</v>
      </c>
      <c r="EV335" s="52">
        <f t="shared" si="336"/>
        <v>0.26529069078039691</v>
      </c>
      <c r="EW335" s="52">
        <f t="shared" si="336"/>
        <v>0.26897636210318815</v>
      </c>
      <c r="EX335" s="52">
        <f t="shared" si="336"/>
        <v>0.26897636210318815</v>
      </c>
      <c r="EY335" s="52">
        <f t="shared" si="336"/>
        <v>0.26897636210318815</v>
      </c>
      <c r="EZ335" s="52">
        <f t="shared" si="336"/>
        <v>0.27078027338854593</v>
      </c>
      <c r="FA335" s="52">
        <f t="shared" si="336"/>
        <v>0.27078027338854593</v>
      </c>
      <c r="FB335" s="52">
        <f t="shared" si="336"/>
        <v>0.27078027338854593</v>
      </c>
      <c r="FC335" s="52">
        <f t="shared" si="336"/>
        <v>0.27778731449599364</v>
      </c>
      <c r="FD335" s="52">
        <f t="shared" si="336"/>
        <v>0.27778731449599364</v>
      </c>
      <c r="FE335" s="52">
        <f t="shared" si="336"/>
        <v>0.27778731449599364</v>
      </c>
      <c r="FF335" s="52">
        <f t="shared" si="336"/>
        <v>0.27855522531941679</v>
      </c>
      <c r="FG335" s="52">
        <f t="shared" si="336"/>
        <v>0.27855522531941679</v>
      </c>
      <c r="FH335" s="52">
        <f t="shared" si="336"/>
        <v>0.27855522531941679</v>
      </c>
      <c r="FI335" s="52">
        <f t="shared" si="336"/>
        <v>0.28242518020834756</v>
      </c>
      <c r="FJ335" s="52">
        <f t="shared" si="336"/>
        <v>0.28242518020834756</v>
      </c>
      <c r="FK335" s="52">
        <f t="shared" si="336"/>
        <v>0.28242518020834756</v>
      </c>
      <c r="FL335" s="52">
        <f t="shared" si="336"/>
        <v>0.28431928705797321</v>
      </c>
      <c r="FM335" s="52">
        <f t="shared" si="336"/>
        <v>0.28431928705797321</v>
      </c>
      <c r="FN335" s="52">
        <f t="shared" si="336"/>
        <v>0.28431928705797321</v>
      </c>
      <c r="FO335" s="52">
        <f t="shared" si="336"/>
        <v>0.29167668022079324</v>
      </c>
      <c r="FP335" s="52">
        <f t="shared" si="336"/>
        <v>0.29167668022079324</v>
      </c>
      <c r="FQ335" s="52">
        <f t="shared" si="336"/>
        <v>0.29167668022079324</v>
      </c>
      <c r="FR335" s="52">
        <f t="shared" si="336"/>
        <v>0.29248298658538757</v>
      </c>
      <c r="FS335" s="52">
        <f t="shared" si="336"/>
        <v>0.29248298658538757</v>
      </c>
      <c r="FT335" s="52">
        <f t="shared" si="336"/>
        <v>0.29248298658538757</v>
      </c>
      <c r="FU335" s="52">
        <f t="shared" si="336"/>
        <v>0.29654643921876489</v>
      </c>
      <c r="FV335" s="52">
        <f t="shared" si="336"/>
        <v>0.29654643921876489</v>
      </c>
      <c r="FW335" s="52">
        <f t="shared" si="336"/>
        <v>0.29654643921876489</v>
      </c>
      <c r="FX335" s="52">
        <f t="shared" si="336"/>
        <v>0.29853525141087189</v>
      </c>
      <c r="FY335" s="52">
        <f t="shared" si="336"/>
        <v>0.29853525141087189</v>
      </c>
      <c r="FZ335" s="52">
        <f t="shared" si="336"/>
        <v>0.29853525141087189</v>
      </c>
      <c r="GA335" s="52">
        <f t="shared" si="336"/>
        <v>0.30626051423183298</v>
      </c>
      <c r="GB335" s="52">
        <f t="shared" si="336"/>
        <v>0.30626051423183298</v>
      </c>
      <c r="GC335" s="52">
        <f t="shared" si="336"/>
        <v>0.30626051423183298</v>
      </c>
      <c r="GD335" s="52">
        <f t="shared" si="336"/>
        <v>0.30710713591465699</v>
      </c>
      <c r="GE335" s="52">
        <f t="shared" si="336"/>
        <v>0.30710713591465699</v>
      </c>
      <c r="GF335" s="52">
        <f t="shared" si="336"/>
        <v>0.30710713591465699</v>
      </c>
      <c r="GG335" s="52">
        <f t="shared" si="336"/>
        <v>0.31137376117970317</v>
      </c>
      <c r="GH335" s="52">
        <f t="shared" si="336"/>
        <v>0.31137376117970317</v>
      </c>
      <c r="GI335" s="52">
        <f t="shared" si="336"/>
        <v>0.31137376117970317</v>
      </c>
      <c r="GJ335" s="52">
        <f t="shared" si="336"/>
        <v>0.31346201398141549</v>
      </c>
      <c r="GK335" s="52">
        <f t="shared" si="336"/>
        <v>0.31346201398141549</v>
      </c>
      <c r="GL335" s="52">
        <f t="shared" si="336"/>
        <v>0.31346201398141549</v>
      </c>
      <c r="GM335" s="52">
        <f t="shared" si="336"/>
        <v>0.32157353994342458</v>
      </c>
      <c r="GN335" s="52">
        <f t="shared" ref="GN335:IY335" si="337">GN27+GN89+GN153+GN217+GN282</f>
        <v>0.32157353994342458</v>
      </c>
      <c r="GO335" s="52">
        <f t="shared" si="337"/>
        <v>0.32157353994342458</v>
      </c>
      <c r="GP335" s="52">
        <f t="shared" si="337"/>
        <v>0.32246249271038985</v>
      </c>
      <c r="GQ335" s="52">
        <f t="shared" si="337"/>
        <v>0.32246249271038985</v>
      </c>
      <c r="GR335" s="52">
        <f t="shared" si="337"/>
        <v>0.32246249271038985</v>
      </c>
      <c r="GS335" s="52">
        <f t="shared" si="337"/>
        <v>0.32694244923868837</v>
      </c>
      <c r="GT335" s="52">
        <f t="shared" si="337"/>
        <v>0.32694244923868837</v>
      </c>
      <c r="GU335" s="52">
        <f t="shared" si="337"/>
        <v>0.32694244923868837</v>
      </c>
      <c r="GV335" s="52">
        <f t="shared" si="337"/>
        <v>0.32913511468048634</v>
      </c>
      <c r="GW335" s="52">
        <f t="shared" si="337"/>
        <v>0.32913511468048634</v>
      </c>
      <c r="GX335" s="52">
        <f t="shared" si="337"/>
        <v>0.32913511468048634</v>
      </c>
      <c r="GY335" s="52">
        <f t="shared" si="337"/>
        <v>0.33765221694059588</v>
      </c>
      <c r="GZ335" s="52">
        <f t="shared" si="337"/>
        <v>0.33765221694059588</v>
      </c>
      <c r="HA335" s="52">
        <f t="shared" si="337"/>
        <v>0.33765221694059588</v>
      </c>
      <c r="HB335" s="52">
        <f t="shared" si="337"/>
        <v>0.33858561734590936</v>
      </c>
      <c r="HC335" s="52">
        <f t="shared" si="337"/>
        <v>0.33858561734590936</v>
      </c>
      <c r="HD335" s="52">
        <f t="shared" si="337"/>
        <v>0.33858561734590936</v>
      </c>
      <c r="HE335" s="52">
        <f t="shared" si="337"/>
        <v>0.34328957170062274</v>
      </c>
      <c r="HF335" s="52">
        <f t="shared" si="337"/>
        <v>0.34328957170062274</v>
      </c>
      <c r="HG335" s="52">
        <f t="shared" si="337"/>
        <v>0.34328957170062274</v>
      </c>
      <c r="HH335" s="52">
        <f t="shared" si="337"/>
        <v>0.34559187041451062</v>
      </c>
      <c r="HI335" s="52">
        <f t="shared" si="337"/>
        <v>0.34559187041451062</v>
      </c>
      <c r="HJ335" s="52">
        <f t="shared" si="337"/>
        <v>0.34559187041451062</v>
      </c>
      <c r="HK335" s="52">
        <f t="shared" si="337"/>
        <v>0.35453482778762568</v>
      </c>
      <c r="HL335" s="52">
        <f t="shared" si="337"/>
        <v>0.35453482778762568</v>
      </c>
      <c r="HM335" s="52">
        <f t="shared" si="337"/>
        <v>0.35453482778762568</v>
      </c>
      <c r="HN335" s="52">
        <f t="shared" si="337"/>
        <v>0.35551489821320487</v>
      </c>
      <c r="HO335" s="52">
        <f t="shared" si="337"/>
        <v>0.35551489821320487</v>
      </c>
      <c r="HP335" s="52">
        <f t="shared" si="337"/>
        <v>0.35551489821320487</v>
      </c>
      <c r="HQ335" s="52">
        <f t="shared" si="337"/>
        <v>0.36045405028565397</v>
      </c>
      <c r="HR335" s="52">
        <f t="shared" si="337"/>
        <v>0.36045405028565397</v>
      </c>
      <c r="HS335" s="52">
        <f t="shared" si="337"/>
        <v>0.36045405028565397</v>
      </c>
      <c r="HT335" s="52">
        <f t="shared" si="337"/>
        <v>0.36287146393523617</v>
      </c>
      <c r="HU335" s="52">
        <f t="shared" si="337"/>
        <v>0.36287146393523617</v>
      </c>
      <c r="HV335" s="52">
        <f t="shared" si="337"/>
        <v>0.36287146393523617</v>
      </c>
      <c r="HW335" s="52">
        <f t="shared" si="337"/>
        <v>0.37226156917700698</v>
      </c>
      <c r="HX335" s="52">
        <f t="shared" si="337"/>
        <v>0.37226156917700698</v>
      </c>
      <c r="HY335" s="52">
        <f t="shared" si="337"/>
        <v>0.37226156917700698</v>
      </c>
      <c r="HZ335" s="52">
        <f t="shared" si="337"/>
        <v>0.37329064312386512</v>
      </c>
      <c r="IA335" s="52">
        <f t="shared" si="337"/>
        <v>0.37329064312386512</v>
      </c>
      <c r="IB335" s="52">
        <f t="shared" si="337"/>
        <v>0.37329064312386512</v>
      </c>
      <c r="IC335" s="52">
        <f t="shared" si="337"/>
        <v>0.31238201357934392</v>
      </c>
      <c r="ID335" s="52">
        <f t="shared" si="337"/>
        <v>0.31238201357934392</v>
      </c>
      <c r="IE335" s="52">
        <f t="shared" si="337"/>
        <v>0.31238201357934392</v>
      </c>
      <c r="IF335" s="52">
        <f t="shared" si="337"/>
        <v>0.31492029791140524</v>
      </c>
      <c r="IG335" s="52">
        <f t="shared" si="337"/>
        <v>0.31492029791140524</v>
      </c>
      <c r="IH335" s="52">
        <f t="shared" si="337"/>
        <v>0.31492029791140524</v>
      </c>
      <c r="II335" s="52">
        <f t="shared" si="337"/>
        <v>0.32147517145423499</v>
      </c>
      <c r="IJ335" s="52">
        <f t="shared" si="337"/>
        <v>0.32147517145423499</v>
      </c>
      <c r="IK335" s="52">
        <f t="shared" si="337"/>
        <v>0.32147517145423499</v>
      </c>
      <c r="IL335" s="52">
        <f t="shared" si="337"/>
        <v>0.32255569909843601</v>
      </c>
      <c r="IM335" s="52">
        <f t="shared" si="337"/>
        <v>0.32255569909843601</v>
      </c>
      <c r="IN335" s="52">
        <f t="shared" si="337"/>
        <v>0.32255569909843601</v>
      </c>
      <c r="IO335" s="52">
        <f t="shared" si="337"/>
        <v>0.19997908709521503</v>
      </c>
      <c r="IP335" s="52">
        <f t="shared" si="337"/>
        <v>0.19997908709521503</v>
      </c>
      <c r="IQ335" s="52">
        <f t="shared" si="337"/>
        <v>0.19997908709521503</v>
      </c>
      <c r="IR335" s="52">
        <f t="shared" si="337"/>
        <v>0.20264428564387943</v>
      </c>
      <c r="IS335" s="52">
        <f t="shared" si="337"/>
        <v>0.20264428564387943</v>
      </c>
      <c r="IT335" s="52">
        <f t="shared" si="337"/>
        <v>0.20264428564387943</v>
      </c>
      <c r="IU335" s="52">
        <f t="shared" si="337"/>
        <v>0.20312580150569581</v>
      </c>
      <c r="IV335" s="52">
        <f t="shared" si="337"/>
        <v>0.20312580150569581</v>
      </c>
      <c r="IW335" s="52">
        <f t="shared" si="337"/>
        <v>0.20312580150569581</v>
      </c>
      <c r="IX335" s="52">
        <f t="shared" si="337"/>
        <v>0.15089440319722189</v>
      </c>
      <c r="IY335" s="52">
        <f t="shared" si="337"/>
        <v>0.15089440319722189</v>
      </c>
      <c r="IZ335" s="52">
        <f t="shared" ref="IZ335:JI335" si="338">IZ27+IZ89+IZ153+IZ217+IZ282</f>
        <v>0.15089440319722189</v>
      </c>
      <c r="JA335" s="52">
        <f t="shared" si="338"/>
        <v>0.15661208911509075</v>
      </c>
      <c r="JB335" s="52">
        <f t="shared" si="338"/>
        <v>0.15661208911509075</v>
      </c>
      <c r="JC335" s="52">
        <f t="shared" si="338"/>
        <v>0.15661208911509075</v>
      </c>
      <c r="JD335" s="52">
        <f t="shared" si="338"/>
        <v>0.15674224997444411</v>
      </c>
      <c r="JE335" s="52">
        <f t="shared" si="338"/>
        <v>0.15674224997444411</v>
      </c>
      <c r="JF335" s="52">
        <f t="shared" si="338"/>
        <v>0.15674224997444411</v>
      </c>
      <c r="JG335" s="52">
        <f t="shared" si="338"/>
        <v>4.2761153832023557E-2</v>
      </c>
      <c r="JH335" s="52">
        <f t="shared" si="338"/>
        <v>4.2761153832023557E-2</v>
      </c>
      <c r="JI335" s="244">
        <f t="shared" si="338"/>
        <v>4.2761153832023557E-2</v>
      </c>
      <c r="JJ335" s="52"/>
      <c r="JK335" s="52"/>
      <c r="JL335" s="52"/>
      <c r="JM335" s="52"/>
      <c r="JN335" s="52"/>
      <c r="JO335" s="52"/>
      <c r="JP335" s="54"/>
    </row>
    <row r="336" spans="1:276" x14ac:dyDescent="0.3">
      <c r="A336" s="641"/>
      <c r="B336" s="169" t="s">
        <v>327</v>
      </c>
      <c r="C336" s="52">
        <f>C28+C90+C154+C218+C283</f>
        <v>2.7431831845346245E-2</v>
      </c>
      <c r="D336" s="52">
        <f t="shared" ref="D336:BO336" si="339">D28+D90+D154+D218+D283</f>
        <v>2.7431831845346245E-2</v>
      </c>
      <c r="E336" s="52">
        <f t="shared" si="339"/>
        <v>2.7431831845346245E-2</v>
      </c>
      <c r="F336" s="52">
        <f t="shared" si="339"/>
        <v>2.7431831845346245E-2</v>
      </c>
      <c r="G336" s="52">
        <f t="shared" si="339"/>
        <v>2.7431831845346245E-2</v>
      </c>
      <c r="H336" s="52">
        <f t="shared" si="339"/>
        <v>2.7431831845346245E-2</v>
      </c>
      <c r="I336" s="52">
        <f t="shared" si="339"/>
        <v>2.7431831845346245E-2</v>
      </c>
      <c r="J336" s="52">
        <f t="shared" si="339"/>
        <v>2.7431831845346245E-2</v>
      </c>
      <c r="K336" s="52">
        <f t="shared" si="339"/>
        <v>2.7431831845346245E-2</v>
      </c>
      <c r="L336" s="52">
        <f t="shared" si="339"/>
        <v>2.7431831845346245E-2</v>
      </c>
      <c r="M336" s="52">
        <f t="shared" si="339"/>
        <v>2.7431831845346245E-2</v>
      </c>
      <c r="N336" s="52">
        <f t="shared" si="339"/>
        <v>2.7431831845346245E-2</v>
      </c>
      <c r="O336" s="52">
        <f t="shared" si="339"/>
        <v>8.1937436266038943E-2</v>
      </c>
      <c r="P336" s="52">
        <f t="shared" si="339"/>
        <v>8.1937436266038943E-2</v>
      </c>
      <c r="Q336" s="52">
        <f t="shared" si="339"/>
        <v>8.1937436266038943E-2</v>
      </c>
      <c r="R336" s="52">
        <f t="shared" si="339"/>
        <v>8.1937436266038943E-2</v>
      </c>
      <c r="S336" s="52">
        <f t="shared" si="339"/>
        <v>8.1937436266038943E-2</v>
      </c>
      <c r="T336" s="52">
        <f t="shared" si="339"/>
        <v>8.1937436266038943E-2</v>
      </c>
      <c r="U336" s="52">
        <f t="shared" si="339"/>
        <v>8.1937436266038943E-2</v>
      </c>
      <c r="V336" s="52">
        <f t="shared" si="339"/>
        <v>8.1937436266038943E-2</v>
      </c>
      <c r="W336" s="52">
        <f t="shared" si="339"/>
        <v>8.1937436266038943E-2</v>
      </c>
      <c r="X336" s="52">
        <f t="shared" si="339"/>
        <v>0.10408633719189694</v>
      </c>
      <c r="Y336" s="52">
        <f t="shared" si="339"/>
        <v>0.10408633719189694</v>
      </c>
      <c r="Z336" s="52">
        <f t="shared" si="339"/>
        <v>0.10408633719189694</v>
      </c>
      <c r="AA336" s="52">
        <f t="shared" si="339"/>
        <v>0.10818320900519889</v>
      </c>
      <c r="AB336" s="52">
        <f t="shared" si="339"/>
        <v>0.10818320900519889</v>
      </c>
      <c r="AC336" s="52">
        <f t="shared" si="339"/>
        <v>0.10818320900519889</v>
      </c>
      <c r="AD336" s="52">
        <f t="shared" si="339"/>
        <v>0.10818320900519889</v>
      </c>
      <c r="AE336" s="52">
        <f t="shared" si="339"/>
        <v>0.10818320900519889</v>
      </c>
      <c r="AF336" s="52">
        <f t="shared" si="339"/>
        <v>0.10818320900519889</v>
      </c>
      <c r="AG336" s="52">
        <f t="shared" si="339"/>
        <v>0.15569954094358801</v>
      </c>
      <c r="AH336" s="52">
        <f t="shared" si="339"/>
        <v>0.15569954094358801</v>
      </c>
      <c r="AI336" s="52">
        <f t="shared" si="339"/>
        <v>0.15569954094358801</v>
      </c>
      <c r="AJ336" s="52">
        <f t="shared" si="339"/>
        <v>0.15680698598988091</v>
      </c>
      <c r="AK336" s="52">
        <f t="shared" si="339"/>
        <v>0.15680698598988091</v>
      </c>
      <c r="AL336" s="52">
        <f t="shared" si="339"/>
        <v>0.15680698598988091</v>
      </c>
      <c r="AM336" s="52">
        <f t="shared" si="339"/>
        <v>0.16110870139384798</v>
      </c>
      <c r="AN336" s="52">
        <f t="shared" si="339"/>
        <v>0.16110870139384798</v>
      </c>
      <c r="AO336" s="52">
        <f t="shared" si="339"/>
        <v>0.16110870139384798</v>
      </c>
      <c r="AP336" s="52">
        <f t="shared" si="339"/>
        <v>0.17100874466662236</v>
      </c>
      <c r="AQ336" s="52">
        <f t="shared" si="339"/>
        <v>0.17100874466662236</v>
      </c>
      <c r="AR336" s="52">
        <f t="shared" si="339"/>
        <v>0.17100874466662236</v>
      </c>
      <c r="AS336" s="52">
        <f t="shared" si="339"/>
        <v>0.17338456126354182</v>
      </c>
      <c r="AT336" s="52">
        <f t="shared" si="339"/>
        <v>0.17338456126354182</v>
      </c>
      <c r="AU336" s="52">
        <f t="shared" si="339"/>
        <v>0.17338456126354182</v>
      </c>
      <c r="AV336" s="52">
        <f t="shared" si="339"/>
        <v>0.17454737856214936</v>
      </c>
      <c r="AW336" s="52">
        <f t="shared" si="339"/>
        <v>0.17454737856214936</v>
      </c>
      <c r="AX336" s="52">
        <f t="shared" si="339"/>
        <v>0.17454737856214936</v>
      </c>
      <c r="AY336" s="52">
        <f t="shared" si="339"/>
        <v>0.17906417973631478</v>
      </c>
      <c r="AZ336" s="52">
        <f t="shared" si="339"/>
        <v>0.17906417973631478</v>
      </c>
      <c r="BA336" s="52">
        <f t="shared" si="339"/>
        <v>0.17906417973631478</v>
      </c>
      <c r="BB336" s="52">
        <f t="shared" si="339"/>
        <v>0.17955918189995348</v>
      </c>
      <c r="BC336" s="52">
        <f t="shared" si="339"/>
        <v>0.17955918189995348</v>
      </c>
      <c r="BD336" s="52">
        <f t="shared" si="339"/>
        <v>0.17955918189995348</v>
      </c>
      <c r="BE336" s="52">
        <f t="shared" si="339"/>
        <v>0.1820537893267189</v>
      </c>
      <c r="BF336" s="52">
        <f t="shared" si="339"/>
        <v>0.1820537893267189</v>
      </c>
      <c r="BG336" s="52">
        <f t="shared" si="339"/>
        <v>0.1820537893267189</v>
      </c>
      <c r="BH336" s="52">
        <f t="shared" si="339"/>
        <v>0.18327474749025682</v>
      </c>
      <c r="BI336" s="52">
        <f t="shared" si="339"/>
        <v>0.18327474749025682</v>
      </c>
      <c r="BJ336" s="52">
        <f t="shared" si="339"/>
        <v>0.18327474749025682</v>
      </c>
      <c r="BK336" s="52">
        <f t="shared" si="339"/>
        <v>0.18801738872313048</v>
      </c>
      <c r="BL336" s="52">
        <f t="shared" si="339"/>
        <v>0.18801738872313048</v>
      </c>
      <c r="BM336" s="52">
        <f t="shared" si="339"/>
        <v>0.18801738872313048</v>
      </c>
      <c r="BN336" s="52">
        <f t="shared" si="339"/>
        <v>0.18853714099495114</v>
      </c>
      <c r="BO336" s="52">
        <f t="shared" si="339"/>
        <v>0.18853714099495114</v>
      </c>
      <c r="BP336" s="52">
        <f t="shared" ref="BP336:EA336" si="340">BP28+BP90+BP154+BP218+BP283</f>
        <v>0.18853714099495114</v>
      </c>
      <c r="BQ336" s="52">
        <f t="shared" si="340"/>
        <v>0.19115647879305486</v>
      </c>
      <c r="BR336" s="52">
        <f t="shared" si="340"/>
        <v>0.19115647879305486</v>
      </c>
      <c r="BS336" s="52">
        <f t="shared" si="340"/>
        <v>0.19115647879305486</v>
      </c>
      <c r="BT336" s="52">
        <f t="shared" si="340"/>
        <v>0.19243848486476969</v>
      </c>
      <c r="BU336" s="52">
        <f t="shared" si="340"/>
        <v>0.19243848486476969</v>
      </c>
      <c r="BV336" s="52">
        <f t="shared" si="340"/>
        <v>0.19243848486476969</v>
      </c>
      <c r="BW336" s="52">
        <f t="shared" si="340"/>
        <v>0.19741825815928704</v>
      </c>
      <c r="BX336" s="52">
        <f t="shared" si="340"/>
        <v>0.19741825815928704</v>
      </c>
      <c r="BY336" s="52">
        <f t="shared" si="340"/>
        <v>0.19741825815928704</v>
      </c>
      <c r="BZ336" s="52">
        <f t="shared" si="340"/>
        <v>0.19796399804469872</v>
      </c>
      <c r="CA336" s="52">
        <f t="shared" si="340"/>
        <v>0.19796399804469872</v>
      </c>
      <c r="CB336" s="52">
        <f t="shared" si="340"/>
        <v>0.19796399804469872</v>
      </c>
      <c r="CC336" s="52">
        <f t="shared" si="340"/>
        <v>0.2007143027327076</v>
      </c>
      <c r="CD336" s="52">
        <f t="shared" si="340"/>
        <v>0.2007143027327076</v>
      </c>
      <c r="CE336" s="52">
        <f t="shared" si="340"/>
        <v>0.2007143027327076</v>
      </c>
      <c r="CF336" s="52">
        <f t="shared" si="340"/>
        <v>0.20206040910800815</v>
      </c>
      <c r="CG336" s="52">
        <f t="shared" si="340"/>
        <v>0.20206040910800815</v>
      </c>
      <c r="CH336" s="52">
        <f t="shared" si="340"/>
        <v>0.20206040910800815</v>
      </c>
      <c r="CI336" s="52">
        <f t="shared" si="340"/>
        <v>0.20728917106725137</v>
      </c>
      <c r="CJ336" s="52">
        <f t="shared" si="340"/>
        <v>0.20728917106725137</v>
      </c>
      <c r="CK336" s="52">
        <f t="shared" si="340"/>
        <v>0.20728917106725137</v>
      </c>
      <c r="CL336" s="52">
        <f t="shared" si="340"/>
        <v>0.20786219794693364</v>
      </c>
      <c r="CM336" s="52">
        <f t="shared" si="340"/>
        <v>0.20786219794693364</v>
      </c>
      <c r="CN336" s="52">
        <f t="shared" si="340"/>
        <v>0.20786219794693364</v>
      </c>
      <c r="CO336" s="52">
        <f t="shared" si="340"/>
        <v>0.21075001786934297</v>
      </c>
      <c r="CP336" s="52">
        <f t="shared" si="340"/>
        <v>0.21075001786934297</v>
      </c>
      <c r="CQ336" s="52">
        <f t="shared" si="340"/>
        <v>0.21075001786934297</v>
      </c>
      <c r="CR336" s="52">
        <f t="shared" si="340"/>
        <v>0.21216342956340858</v>
      </c>
      <c r="CS336" s="52">
        <f t="shared" si="340"/>
        <v>0.21216342956340858</v>
      </c>
      <c r="CT336" s="52">
        <f t="shared" si="340"/>
        <v>0.21216342956340858</v>
      </c>
      <c r="CU336" s="52">
        <f t="shared" si="340"/>
        <v>0.21765362962061396</v>
      </c>
      <c r="CV336" s="52">
        <f t="shared" si="340"/>
        <v>0.21765362962061396</v>
      </c>
      <c r="CW336" s="52">
        <f t="shared" si="340"/>
        <v>0.21765362962061396</v>
      </c>
      <c r="CX336" s="52">
        <f t="shared" si="340"/>
        <v>0.21825530784428035</v>
      </c>
      <c r="CY336" s="52">
        <f t="shared" si="340"/>
        <v>0.21825530784428035</v>
      </c>
      <c r="CZ336" s="52">
        <f t="shared" si="340"/>
        <v>0.21825530784428035</v>
      </c>
      <c r="DA336" s="52">
        <f t="shared" si="340"/>
        <v>0.22128751876281014</v>
      </c>
      <c r="DB336" s="52">
        <f t="shared" si="340"/>
        <v>0.22128751876281014</v>
      </c>
      <c r="DC336" s="52">
        <f t="shared" si="340"/>
        <v>0.22128751876281014</v>
      </c>
      <c r="DD336" s="52">
        <f t="shared" si="340"/>
        <v>0.22277160104157903</v>
      </c>
      <c r="DE336" s="52">
        <f t="shared" si="340"/>
        <v>0.22277160104157903</v>
      </c>
      <c r="DF336" s="52">
        <f t="shared" si="340"/>
        <v>0.22277160104157903</v>
      </c>
      <c r="DG336" s="52">
        <f t="shared" si="340"/>
        <v>0.22853631110164466</v>
      </c>
      <c r="DH336" s="52">
        <f t="shared" si="340"/>
        <v>0.22853631110164466</v>
      </c>
      <c r="DI336" s="52">
        <f t="shared" si="340"/>
        <v>0.22853631110164466</v>
      </c>
      <c r="DJ336" s="52">
        <f t="shared" si="340"/>
        <v>0.22916807323649438</v>
      </c>
      <c r="DK336" s="52">
        <f t="shared" si="340"/>
        <v>0.22916807323649438</v>
      </c>
      <c r="DL336" s="52">
        <f t="shared" si="340"/>
        <v>0.22916807323649438</v>
      </c>
      <c r="DM336" s="52">
        <f t="shared" si="340"/>
        <v>0.23235189470095066</v>
      </c>
      <c r="DN336" s="52">
        <f t="shared" si="340"/>
        <v>0.23235189470095066</v>
      </c>
      <c r="DO336" s="52">
        <f t="shared" si="340"/>
        <v>0.23235189470095066</v>
      </c>
      <c r="DP336" s="52">
        <f t="shared" si="340"/>
        <v>0.23391018109365799</v>
      </c>
      <c r="DQ336" s="52">
        <f t="shared" si="340"/>
        <v>0.23391018109365799</v>
      </c>
      <c r="DR336" s="52">
        <f t="shared" si="340"/>
        <v>0.23391018109365799</v>
      </c>
      <c r="DS336" s="52">
        <f t="shared" si="340"/>
        <v>0.23996312665672695</v>
      </c>
      <c r="DT336" s="52">
        <f t="shared" si="340"/>
        <v>0.23996312665672695</v>
      </c>
      <c r="DU336" s="52">
        <f t="shared" si="340"/>
        <v>0.23996312665672695</v>
      </c>
      <c r="DV336" s="52">
        <f t="shared" si="340"/>
        <v>0.24062647689831912</v>
      </c>
      <c r="DW336" s="52">
        <f t="shared" si="340"/>
        <v>0.24062647689831912</v>
      </c>
      <c r="DX336" s="52">
        <f t="shared" si="340"/>
        <v>0.24062647689831912</v>
      </c>
      <c r="DY336" s="52">
        <f t="shared" si="340"/>
        <v>0.24396948943599822</v>
      </c>
      <c r="DZ336" s="52">
        <f t="shared" si="340"/>
        <v>0.24396948943599822</v>
      </c>
      <c r="EA336" s="52">
        <f t="shared" si="340"/>
        <v>0.24396948943599822</v>
      </c>
      <c r="EB336" s="52">
        <f t="shared" ref="EB336:GM336" si="341">EB28+EB90+EB154+EB218+EB283</f>
        <v>0.24560569014834088</v>
      </c>
      <c r="EC336" s="52">
        <f t="shared" si="341"/>
        <v>0.24560569014834088</v>
      </c>
      <c r="ED336" s="52">
        <f t="shared" si="341"/>
        <v>0.24560569014834088</v>
      </c>
      <c r="EE336" s="52">
        <f t="shared" si="341"/>
        <v>0.25196128298956327</v>
      </c>
      <c r="EF336" s="52">
        <f t="shared" si="341"/>
        <v>0.25196128298956327</v>
      </c>
      <c r="EG336" s="52">
        <f t="shared" si="341"/>
        <v>0.25196128298956327</v>
      </c>
      <c r="EH336" s="52">
        <f t="shared" si="341"/>
        <v>0.25265780074323507</v>
      </c>
      <c r="EI336" s="52">
        <f t="shared" si="341"/>
        <v>0.25265780074323507</v>
      </c>
      <c r="EJ336" s="52">
        <f t="shared" si="341"/>
        <v>0.25265780074323507</v>
      </c>
      <c r="EK336" s="52">
        <f t="shared" si="341"/>
        <v>0.25616796390779817</v>
      </c>
      <c r="EL336" s="52">
        <f t="shared" si="341"/>
        <v>0.25616796390779817</v>
      </c>
      <c r="EM336" s="52">
        <f t="shared" si="341"/>
        <v>0.25616796390779817</v>
      </c>
      <c r="EN336" s="52">
        <f t="shared" si="341"/>
        <v>0.25788597465575797</v>
      </c>
      <c r="EO336" s="52">
        <f t="shared" si="341"/>
        <v>0.25788597465575797</v>
      </c>
      <c r="EP336" s="52">
        <f t="shared" si="341"/>
        <v>0.25788597465575797</v>
      </c>
      <c r="EQ336" s="52">
        <f t="shared" si="341"/>
        <v>0.2645593471390415</v>
      </c>
      <c r="ER336" s="52">
        <f t="shared" si="341"/>
        <v>0.2645593471390415</v>
      </c>
      <c r="ES336" s="52">
        <f t="shared" si="341"/>
        <v>0.2645593471390415</v>
      </c>
      <c r="ET336" s="52">
        <f t="shared" si="341"/>
        <v>0.26529069078039691</v>
      </c>
      <c r="EU336" s="52">
        <f t="shared" si="341"/>
        <v>0.26529069078039691</v>
      </c>
      <c r="EV336" s="52">
        <f t="shared" si="341"/>
        <v>0.26529069078039691</v>
      </c>
      <c r="EW336" s="52">
        <f t="shared" si="341"/>
        <v>0.26897636210318815</v>
      </c>
      <c r="EX336" s="52">
        <f t="shared" si="341"/>
        <v>0.26897636210318815</v>
      </c>
      <c r="EY336" s="52">
        <f t="shared" si="341"/>
        <v>0.26897636210318815</v>
      </c>
      <c r="EZ336" s="52">
        <f t="shared" si="341"/>
        <v>0.27078027338854593</v>
      </c>
      <c r="FA336" s="52">
        <f t="shared" si="341"/>
        <v>0.27078027338854593</v>
      </c>
      <c r="FB336" s="52">
        <f t="shared" si="341"/>
        <v>0.27078027338854593</v>
      </c>
      <c r="FC336" s="52">
        <f t="shared" si="341"/>
        <v>0.27778731449599364</v>
      </c>
      <c r="FD336" s="52">
        <f t="shared" si="341"/>
        <v>0.27778731449599364</v>
      </c>
      <c r="FE336" s="52">
        <f t="shared" si="341"/>
        <v>0.27778731449599364</v>
      </c>
      <c r="FF336" s="52">
        <f t="shared" si="341"/>
        <v>0.27855522531941679</v>
      </c>
      <c r="FG336" s="52">
        <f t="shared" si="341"/>
        <v>0.27855522531941679</v>
      </c>
      <c r="FH336" s="52">
        <f t="shared" si="341"/>
        <v>0.27855522531941679</v>
      </c>
      <c r="FI336" s="52">
        <f t="shared" si="341"/>
        <v>0.28242518020834756</v>
      </c>
      <c r="FJ336" s="52">
        <f t="shared" si="341"/>
        <v>0.28242518020834756</v>
      </c>
      <c r="FK336" s="52">
        <f t="shared" si="341"/>
        <v>0.28242518020834756</v>
      </c>
      <c r="FL336" s="52">
        <f t="shared" si="341"/>
        <v>0.28431928705797321</v>
      </c>
      <c r="FM336" s="52">
        <f t="shared" si="341"/>
        <v>0.28431928705797321</v>
      </c>
      <c r="FN336" s="52">
        <f t="shared" si="341"/>
        <v>0.28431928705797321</v>
      </c>
      <c r="FO336" s="52">
        <f t="shared" si="341"/>
        <v>0.29167668022079324</v>
      </c>
      <c r="FP336" s="52">
        <f t="shared" si="341"/>
        <v>0.29167668022079324</v>
      </c>
      <c r="FQ336" s="52">
        <f t="shared" si="341"/>
        <v>0.29167668022079324</v>
      </c>
      <c r="FR336" s="52">
        <f t="shared" si="341"/>
        <v>0.29248298658538757</v>
      </c>
      <c r="FS336" s="52">
        <f t="shared" si="341"/>
        <v>0.29248298658538757</v>
      </c>
      <c r="FT336" s="52">
        <f t="shared" si="341"/>
        <v>0.29248298658538757</v>
      </c>
      <c r="FU336" s="52">
        <f t="shared" si="341"/>
        <v>0.29654643921876489</v>
      </c>
      <c r="FV336" s="52">
        <f t="shared" si="341"/>
        <v>0.29654643921876489</v>
      </c>
      <c r="FW336" s="52">
        <f t="shared" si="341"/>
        <v>0.29654643921876489</v>
      </c>
      <c r="FX336" s="52">
        <f t="shared" si="341"/>
        <v>0.29853525141087189</v>
      </c>
      <c r="FY336" s="52">
        <f t="shared" si="341"/>
        <v>0.29853525141087189</v>
      </c>
      <c r="FZ336" s="52">
        <f t="shared" si="341"/>
        <v>0.29853525141087189</v>
      </c>
      <c r="GA336" s="52">
        <f t="shared" si="341"/>
        <v>0.30626051423183298</v>
      </c>
      <c r="GB336" s="52">
        <f t="shared" si="341"/>
        <v>0.30626051423183298</v>
      </c>
      <c r="GC336" s="52">
        <f t="shared" si="341"/>
        <v>0.30626051423183298</v>
      </c>
      <c r="GD336" s="52">
        <f t="shared" si="341"/>
        <v>0.30710713591465699</v>
      </c>
      <c r="GE336" s="52">
        <f t="shared" si="341"/>
        <v>0.30710713591465699</v>
      </c>
      <c r="GF336" s="52">
        <f t="shared" si="341"/>
        <v>0.30710713591465699</v>
      </c>
      <c r="GG336" s="52">
        <f t="shared" si="341"/>
        <v>0.31137376117970317</v>
      </c>
      <c r="GH336" s="52">
        <f t="shared" si="341"/>
        <v>0.31137376117970317</v>
      </c>
      <c r="GI336" s="52">
        <f t="shared" si="341"/>
        <v>0.31137376117970317</v>
      </c>
      <c r="GJ336" s="52">
        <f t="shared" si="341"/>
        <v>0.31346201398141549</v>
      </c>
      <c r="GK336" s="52">
        <f t="shared" si="341"/>
        <v>0.31346201398141549</v>
      </c>
      <c r="GL336" s="52">
        <f t="shared" si="341"/>
        <v>0.31346201398141549</v>
      </c>
      <c r="GM336" s="52">
        <f t="shared" si="341"/>
        <v>0.32157353994342458</v>
      </c>
      <c r="GN336" s="52">
        <f t="shared" ref="GN336:IY336" si="342">GN28+GN90+GN154+GN218+GN283</f>
        <v>0.32157353994342458</v>
      </c>
      <c r="GO336" s="52">
        <f t="shared" si="342"/>
        <v>0.32157353994342458</v>
      </c>
      <c r="GP336" s="52">
        <f t="shared" si="342"/>
        <v>0.32246249271038985</v>
      </c>
      <c r="GQ336" s="52">
        <f t="shared" si="342"/>
        <v>0.32246249271038985</v>
      </c>
      <c r="GR336" s="52">
        <f t="shared" si="342"/>
        <v>0.32246249271038985</v>
      </c>
      <c r="GS336" s="52">
        <f t="shared" si="342"/>
        <v>0.32694244923868837</v>
      </c>
      <c r="GT336" s="52">
        <f t="shared" si="342"/>
        <v>0.32694244923868837</v>
      </c>
      <c r="GU336" s="52">
        <f t="shared" si="342"/>
        <v>0.32694244923868837</v>
      </c>
      <c r="GV336" s="52">
        <f t="shared" si="342"/>
        <v>0.32913511468048634</v>
      </c>
      <c r="GW336" s="52">
        <f t="shared" si="342"/>
        <v>0.32913511468048634</v>
      </c>
      <c r="GX336" s="52">
        <f t="shared" si="342"/>
        <v>0.32913511468048634</v>
      </c>
      <c r="GY336" s="52">
        <f t="shared" si="342"/>
        <v>0.33765221694059588</v>
      </c>
      <c r="GZ336" s="52">
        <f t="shared" si="342"/>
        <v>0.33765221694059588</v>
      </c>
      <c r="HA336" s="52">
        <f t="shared" si="342"/>
        <v>0.33765221694059588</v>
      </c>
      <c r="HB336" s="52">
        <f t="shared" si="342"/>
        <v>0.33858561734590936</v>
      </c>
      <c r="HC336" s="52">
        <f t="shared" si="342"/>
        <v>0.33858561734590936</v>
      </c>
      <c r="HD336" s="52">
        <f t="shared" si="342"/>
        <v>0.33858561734590936</v>
      </c>
      <c r="HE336" s="52">
        <f t="shared" si="342"/>
        <v>0.34328957170062274</v>
      </c>
      <c r="HF336" s="52">
        <f t="shared" si="342"/>
        <v>0.34328957170062274</v>
      </c>
      <c r="HG336" s="52">
        <f t="shared" si="342"/>
        <v>0.34328957170062274</v>
      </c>
      <c r="HH336" s="52">
        <f t="shared" si="342"/>
        <v>0.34559187041451062</v>
      </c>
      <c r="HI336" s="52">
        <f t="shared" si="342"/>
        <v>0.34559187041451062</v>
      </c>
      <c r="HJ336" s="52">
        <f t="shared" si="342"/>
        <v>0.34559187041451062</v>
      </c>
      <c r="HK336" s="52">
        <f t="shared" si="342"/>
        <v>0.35453482778762568</v>
      </c>
      <c r="HL336" s="52">
        <f t="shared" si="342"/>
        <v>0.35453482778762568</v>
      </c>
      <c r="HM336" s="52">
        <f t="shared" si="342"/>
        <v>0.35453482778762568</v>
      </c>
      <c r="HN336" s="52">
        <f t="shared" si="342"/>
        <v>0.35551489821320487</v>
      </c>
      <c r="HO336" s="52">
        <f t="shared" si="342"/>
        <v>0.35551489821320487</v>
      </c>
      <c r="HP336" s="52">
        <f t="shared" si="342"/>
        <v>0.35551489821320487</v>
      </c>
      <c r="HQ336" s="52">
        <f t="shared" si="342"/>
        <v>0.36045405028565397</v>
      </c>
      <c r="HR336" s="52">
        <f t="shared" si="342"/>
        <v>0.36045405028565397</v>
      </c>
      <c r="HS336" s="52">
        <f t="shared" si="342"/>
        <v>0.36045405028565397</v>
      </c>
      <c r="HT336" s="52">
        <f t="shared" si="342"/>
        <v>0.36287146393523617</v>
      </c>
      <c r="HU336" s="52">
        <f t="shared" si="342"/>
        <v>0.36287146393523617</v>
      </c>
      <c r="HV336" s="52">
        <f t="shared" si="342"/>
        <v>0.36287146393523617</v>
      </c>
      <c r="HW336" s="52">
        <f t="shared" si="342"/>
        <v>0.37226156917700698</v>
      </c>
      <c r="HX336" s="52">
        <f t="shared" si="342"/>
        <v>0.37226156917700698</v>
      </c>
      <c r="HY336" s="52">
        <f t="shared" si="342"/>
        <v>0.37226156917700698</v>
      </c>
      <c r="HZ336" s="52">
        <f t="shared" si="342"/>
        <v>0.37329064312386512</v>
      </c>
      <c r="IA336" s="52">
        <f t="shared" si="342"/>
        <v>0.37329064312386512</v>
      </c>
      <c r="IB336" s="52">
        <f t="shared" si="342"/>
        <v>0.37329064312386512</v>
      </c>
      <c r="IC336" s="52">
        <f t="shared" si="342"/>
        <v>0.31238201357934392</v>
      </c>
      <c r="ID336" s="52">
        <f t="shared" si="342"/>
        <v>0.31238201357934392</v>
      </c>
      <c r="IE336" s="52">
        <f t="shared" si="342"/>
        <v>0.31238201357934392</v>
      </c>
      <c r="IF336" s="52">
        <f t="shared" si="342"/>
        <v>0.31492029791140524</v>
      </c>
      <c r="IG336" s="52">
        <f t="shared" si="342"/>
        <v>0.31492029791140524</v>
      </c>
      <c r="IH336" s="52">
        <f t="shared" si="342"/>
        <v>0.31492029791140524</v>
      </c>
      <c r="II336" s="52">
        <f t="shared" si="342"/>
        <v>0.32147517145423499</v>
      </c>
      <c r="IJ336" s="52">
        <f t="shared" si="342"/>
        <v>0.32147517145423499</v>
      </c>
      <c r="IK336" s="52">
        <f t="shared" si="342"/>
        <v>0.32147517145423499</v>
      </c>
      <c r="IL336" s="52">
        <f t="shared" si="342"/>
        <v>0.32255569909843601</v>
      </c>
      <c r="IM336" s="52">
        <f t="shared" si="342"/>
        <v>0.32255569909843601</v>
      </c>
      <c r="IN336" s="52">
        <f t="shared" si="342"/>
        <v>0.32255569909843601</v>
      </c>
      <c r="IO336" s="52">
        <f t="shared" si="342"/>
        <v>0.19997908709521503</v>
      </c>
      <c r="IP336" s="52">
        <f t="shared" si="342"/>
        <v>0.19997908709521503</v>
      </c>
      <c r="IQ336" s="52">
        <f t="shared" si="342"/>
        <v>0.19997908709521503</v>
      </c>
      <c r="IR336" s="52">
        <f t="shared" si="342"/>
        <v>0.20264428564387943</v>
      </c>
      <c r="IS336" s="52">
        <f t="shared" si="342"/>
        <v>0.20264428564387943</v>
      </c>
      <c r="IT336" s="52">
        <f t="shared" si="342"/>
        <v>0.20264428564387943</v>
      </c>
      <c r="IU336" s="52">
        <f t="shared" si="342"/>
        <v>0.20312580150569581</v>
      </c>
      <c r="IV336" s="52">
        <f t="shared" si="342"/>
        <v>0.20312580150569581</v>
      </c>
      <c r="IW336" s="52">
        <f t="shared" si="342"/>
        <v>0.20312580150569581</v>
      </c>
      <c r="IX336" s="52">
        <f t="shared" si="342"/>
        <v>0.15089440319722189</v>
      </c>
      <c r="IY336" s="52">
        <f t="shared" si="342"/>
        <v>0.15089440319722189</v>
      </c>
      <c r="IZ336" s="52">
        <f t="shared" ref="IZ336:JI336" si="343">IZ28+IZ90+IZ154+IZ218+IZ283</f>
        <v>0.15089440319722189</v>
      </c>
      <c r="JA336" s="52">
        <f t="shared" si="343"/>
        <v>0.15661208911509075</v>
      </c>
      <c r="JB336" s="52">
        <f t="shared" si="343"/>
        <v>0.15661208911509075</v>
      </c>
      <c r="JC336" s="52">
        <f t="shared" si="343"/>
        <v>0.15661208911509075</v>
      </c>
      <c r="JD336" s="52">
        <f t="shared" si="343"/>
        <v>0.15674224997444411</v>
      </c>
      <c r="JE336" s="52">
        <f t="shared" si="343"/>
        <v>0.15674224997444411</v>
      </c>
      <c r="JF336" s="52">
        <f t="shared" si="343"/>
        <v>0.15674224997444411</v>
      </c>
      <c r="JG336" s="52">
        <f t="shared" si="343"/>
        <v>4.2761153832023557E-2</v>
      </c>
      <c r="JH336" s="52">
        <f t="shared" si="343"/>
        <v>4.2761153832023557E-2</v>
      </c>
      <c r="JI336" s="244">
        <f t="shared" si="343"/>
        <v>4.2761153832023557E-2</v>
      </c>
      <c r="JJ336" s="52"/>
      <c r="JK336" s="52"/>
      <c r="JL336" s="52"/>
      <c r="JM336" s="52"/>
      <c r="JN336" s="52"/>
      <c r="JO336" s="52"/>
      <c r="JP336" s="54"/>
    </row>
    <row r="337" spans="1:276" x14ac:dyDescent="0.3">
      <c r="B337" s="163" t="s">
        <v>299</v>
      </c>
      <c r="C337" s="190">
        <f>C334-C335-C336</f>
        <v>0.49377297321623237</v>
      </c>
      <c r="D337" s="190">
        <f t="shared" ref="D337:BO337" si="344">D334-D335-D336</f>
        <v>0.49377297321623237</v>
      </c>
      <c r="E337" s="190">
        <f t="shared" si="344"/>
        <v>0.49377297321623237</v>
      </c>
      <c r="F337" s="190">
        <f t="shared" si="344"/>
        <v>0.49377297321623237</v>
      </c>
      <c r="G337" s="190">
        <f t="shared" si="344"/>
        <v>0.49377297321623237</v>
      </c>
      <c r="H337" s="190">
        <f t="shared" si="344"/>
        <v>0.49377297321623237</v>
      </c>
      <c r="I337" s="190">
        <f t="shared" si="344"/>
        <v>0.49377297321623237</v>
      </c>
      <c r="J337" s="190">
        <f t="shared" si="344"/>
        <v>0.49377297321623237</v>
      </c>
      <c r="K337" s="190">
        <f t="shared" si="344"/>
        <v>0.49377297321623237</v>
      </c>
      <c r="L337" s="190">
        <f t="shared" si="344"/>
        <v>0.49377297321623237</v>
      </c>
      <c r="M337" s="190">
        <f t="shared" si="344"/>
        <v>0.49377297321623237</v>
      </c>
      <c r="N337" s="190">
        <f t="shared" si="344"/>
        <v>0.49377297321623237</v>
      </c>
      <c r="O337" s="190">
        <f t="shared" si="344"/>
        <v>1.4748738527887009</v>
      </c>
      <c r="P337" s="190">
        <f t="shared" si="344"/>
        <v>1.4748738527887009</v>
      </c>
      <c r="Q337" s="190">
        <f t="shared" si="344"/>
        <v>1.4748738527887009</v>
      </c>
      <c r="R337" s="190">
        <f t="shared" si="344"/>
        <v>1.4748738527887009</v>
      </c>
      <c r="S337" s="190">
        <f t="shared" si="344"/>
        <v>1.4748738527887009</v>
      </c>
      <c r="T337" s="190">
        <f t="shared" si="344"/>
        <v>1.4748738527887009</v>
      </c>
      <c r="U337" s="190">
        <f t="shared" si="344"/>
        <v>1.4748738527887009</v>
      </c>
      <c r="V337" s="190">
        <f t="shared" si="344"/>
        <v>1.4748738527887009</v>
      </c>
      <c r="W337" s="190">
        <f t="shared" si="344"/>
        <v>1.4748738527887009</v>
      </c>
      <c r="X337" s="190">
        <f t="shared" si="344"/>
        <v>1.873554069454145</v>
      </c>
      <c r="Y337" s="190">
        <f t="shared" si="344"/>
        <v>1.873554069454145</v>
      </c>
      <c r="Z337" s="190">
        <f t="shared" si="344"/>
        <v>1.873554069454145</v>
      </c>
      <c r="AA337" s="190">
        <f t="shared" si="344"/>
        <v>1.9472977620935801</v>
      </c>
      <c r="AB337" s="190">
        <f t="shared" si="344"/>
        <v>1.9472977620935801</v>
      </c>
      <c r="AC337" s="190">
        <f t="shared" si="344"/>
        <v>1.9472977620935801</v>
      </c>
      <c r="AD337" s="190">
        <f t="shared" si="344"/>
        <v>1.9472977620935801</v>
      </c>
      <c r="AE337" s="190">
        <f t="shared" si="344"/>
        <v>1.9472977620935801</v>
      </c>
      <c r="AF337" s="190">
        <f t="shared" si="344"/>
        <v>1.9472977620935801</v>
      </c>
      <c r="AG337" s="190">
        <f t="shared" si="344"/>
        <v>2.8025917369845845</v>
      </c>
      <c r="AH337" s="190">
        <f t="shared" si="344"/>
        <v>2.8025917369845845</v>
      </c>
      <c r="AI337" s="190">
        <f t="shared" si="344"/>
        <v>2.8025917369845845</v>
      </c>
      <c r="AJ337" s="190">
        <f t="shared" si="344"/>
        <v>2.8225257478178567</v>
      </c>
      <c r="AK337" s="190">
        <f t="shared" si="344"/>
        <v>2.8225257478178567</v>
      </c>
      <c r="AL337" s="190">
        <f t="shared" si="344"/>
        <v>2.8225257478178567</v>
      </c>
      <c r="AM337" s="190">
        <f t="shared" si="344"/>
        <v>2.8999566250892634</v>
      </c>
      <c r="AN337" s="190">
        <f t="shared" si="344"/>
        <v>2.8999566250892634</v>
      </c>
      <c r="AO337" s="190">
        <f t="shared" si="344"/>
        <v>2.8999566250892634</v>
      </c>
      <c r="AP337" s="190">
        <f t="shared" si="344"/>
        <v>3.0781574039992026</v>
      </c>
      <c r="AQ337" s="190">
        <f t="shared" si="344"/>
        <v>3.0781574039992026</v>
      </c>
      <c r="AR337" s="190">
        <f t="shared" si="344"/>
        <v>3.0781574039992026</v>
      </c>
      <c r="AS337" s="190">
        <f t="shared" si="344"/>
        <v>3.1209221027437524</v>
      </c>
      <c r="AT337" s="190">
        <f t="shared" si="344"/>
        <v>3.1209221027437524</v>
      </c>
      <c r="AU337" s="190">
        <f t="shared" si="344"/>
        <v>3.1209221027437524</v>
      </c>
      <c r="AV337" s="190">
        <f t="shared" si="344"/>
        <v>3.1418528141186886</v>
      </c>
      <c r="AW337" s="190">
        <f t="shared" si="344"/>
        <v>3.1418528141186886</v>
      </c>
      <c r="AX337" s="190">
        <f t="shared" si="344"/>
        <v>3.1418528141186886</v>
      </c>
      <c r="AY337" s="190">
        <f t="shared" si="344"/>
        <v>3.2231552352536661</v>
      </c>
      <c r="AZ337" s="190">
        <f t="shared" si="344"/>
        <v>3.2231552352536661</v>
      </c>
      <c r="BA337" s="190">
        <f t="shared" si="344"/>
        <v>3.2231552352536661</v>
      </c>
      <c r="BB337" s="190">
        <f t="shared" si="344"/>
        <v>3.2320652741991625</v>
      </c>
      <c r="BC337" s="190">
        <f t="shared" si="344"/>
        <v>3.2320652741991625</v>
      </c>
      <c r="BD337" s="190">
        <f t="shared" si="344"/>
        <v>3.2320652741991625</v>
      </c>
      <c r="BE337" s="190">
        <f t="shared" si="344"/>
        <v>3.2769682078809401</v>
      </c>
      <c r="BF337" s="190">
        <f t="shared" si="344"/>
        <v>3.2769682078809401</v>
      </c>
      <c r="BG337" s="190">
        <f t="shared" si="344"/>
        <v>3.2769682078809401</v>
      </c>
      <c r="BH337" s="190">
        <f t="shared" si="344"/>
        <v>3.2989454548246231</v>
      </c>
      <c r="BI337" s="190">
        <f t="shared" si="344"/>
        <v>3.2989454548246231</v>
      </c>
      <c r="BJ337" s="190">
        <f t="shared" si="344"/>
        <v>3.2989454548246231</v>
      </c>
      <c r="BK337" s="190">
        <f t="shared" si="344"/>
        <v>3.384312997016349</v>
      </c>
      <c r="BL337" s="190">
        <f t="shared" si="344"/>
        <v>3.384312997016349</v>
      </c>
      <c r="BM337" s="190">
        <f t="shared" si="344"/>
        <v>3.384312997016349</v>
      </c>
      <c r="BN337" s="190">
        <f t="shared" si="344"/>
        <v>3.3936685379091212</v>
      </c>
      <c r="BO337" s="190">
        <f t="shared" si="344"/>
        <v>3.3936685379091212</v>
      </c>
      <c r="BP337" s="190">
        <f t="shared" ref="BP337:EA337" si="345">BP334-BP335-BP336</f>
        <v>3.3936685379091212</v>
      </c>
      <c r="BQ337" s="190">
        <f t="shared" si="345"/>
        <v>3.440816618274988</v>
      </c>
      <c r="BR337" s="190">
        <f t="shared" si="345"/>
        <v>3.440816618274988</v>
      </c>
      <c r="BS337" s="190">
        <f t="shared" si="345"/>
        <v>3.440816618274988</v>
      </c>
      <c r="BT337" s="190">
        <f t="shared" si="345"/>
        <v>3.4638927275658538</v>
      </c>
      <c r="BU337" s="190">
        <f t="shared" si="345"/>
        <v>3.4638927275658538</v>
      </c>
      <c r="BV337" s="190">
        <f t="shared" si="345"/>
        <v>3.4638927275658538</v>
      </c>
      <c r="BW337" s="190">
        <f t="shared" si="345"/>
        <v>3.5535286468671665</v>
      </c>
      <c r="BX337" s="190">
        <f t="shared" si="345"/>
        <v>3.5535286468671665</v>
      </c>
      <c r="BY337" s="190">
        <f t="shared" si="345"/>
        <v>3.5535286468671665</v>
      </c>
      <c r="BZ337" s="190">
        <f t="shared" si="345"/>
        <v>3.5633519648045775</v>
      </c>
      <c r="CA337" s="190">
        <f t="shared" si="345"/>
        <v>3.5633519648045775</v>
      </c>
      <c r="CB337" s="190">
        <f t="shared" si="345"/>
        <v>3.5633519648045775</v>
      </c>
      <c r="CC337" s="190">
        <f t="shared" si="345"/>
        <v>3.6128574491887369</v>
      </c>
      <c r="CD337" s="190">
        <f t="shared" si="345"/>
        <v>3.6128574491887369</v>
      </c>
      <c r="CE337" s="190">
        <f t="shared" si="345"/>
        <v>3.6128574491887369</v>
      </c>
      <c r="CF337" s="190">
        <f t="shared" si="345"/>
        <v>3.6370873639441461</v>
      </c>
      <c r="CG337" s="190">
        <f t="shared" si="345"/>
        <v>3.6370873639441461</v>
      </c>
      <c r="CH337" s="190">
        <f t="shared" si="345"/>
        <v>3.6370873639441461</v>
      </c>
      <c r="CI337" s="190">
        <f t="shared" si="345"/>
        <v>3.7312050792105245</v>
      </c>
      <c r="CJ337" s="190">
        <f t="shared" si="345"/>
        <v>3.7312050792105245</v>
      </c>
      <c r="CK337" s="190">
        <f t="shared" si="345"/>
        <v>3.7312050792105245</v>
      </c>
      <c r="CL337" s="190">
        <f t="shared" si="345"/>
        <v>3.7415195630448057</v>
      </c>
      <c r="CM337" s="190">
        <f t="shared" si="345"/>
        <v>3.7415195630448057</v>
      </c>
      <c r="CN337" s="190">
        <f t="shared" si="345"/>
        <v>3.7415195630448057</v>
      </c>
      <c r="CO337" s="190">
        <f t="shared" si="345"/>
        <v>3.7935003216481733</v>
      </c>
      <c r="CP337" s="190">
        <f t="shared" si="345"/>
        <v>3.7935003216481733</v>
      </c>
      <c r="CQ337" s="190">
        <f t="shared" si="345"/>
        <v>3.7935003216481733</v>
      </c>
      <c r="CR337" s="190">
        <f t="shared" si="345"/>
        <v>3.8189417321413548</v>
      </c>
      <c r="CS337" s="190">
        <f t="shared" si="345"/>
        <v>3.8189417321413548</v>
      </c>
      <c r="CT337" s="190">
        <f t="shared" si="345"/>
        <v>3.8189417321413548</v>
      </c>
      <c r="CU337" s="190">
        <f t="shared" si="345"/>
        <v>3.9177653331710518</v>
      </c>
      <c r="CV337" s="190">
        <f t="shared" si="345"/>
        <v>3.9177653331710518</v>
      </c>
      <c r="CW337" s="190">
        <f t="shared" si="345"/>
        <v>3.9177653331710518</v>
      </c>
      <c r="CX337" s="190">
        <f t="shared" si="345"/>
        <v>3.9285955411970463</v>
      </c>
      <c r="CY337" s="190">
        <f t="shared" si="345"/>
        <v>3.9285955411970463</v>
      </c>
      <c r="CZ337" s="190">
        <f t="shared" si="345"/>
        <v>3.9285955411970463</v>
      </c>
      <c r="DA337" s="190">
        <f t="shared" si="345"/>
        <v>3.9831753377305827</v>
      </c>
      <c r="DB337" s="190">
        <f t="shared" si="345"/>
        <v>3.9831753377305827</v>
      </c>
      <c r="DC337" s="190">
        <f t="shared" si="345"/>
        <v>3.9831753377305827</v>
      </c>
      <c r="DD337" s="190">
        <f t="shared" si="345"/>
        <v>4.0098888187484221</v>
      </c>
      <c r="DE337" s="190">
        <f t="shared" si="345"/>
        <v>4.0098888187484221</v>
      </c>
      <c r="DF337" s="190">
        <f t="shared" si="345"/>
        <v>4.0098888187484221</v>
      </c>
      <c r="DG337" s="190">
        <f t="shared" si="345"/>
        <v>4.1136535998296031</v>
      </c>
      <c r="DH337" s="190">
        <f t="shared" si="345"/>
        <v>4.1136535998296031</v>
      </c>
      <c r="DI337" s="190">
        <f t="shared" si="345"/>
        <v>4.1136535998296031</v>
      </c>
      <c r="DJ337" s="190">
        <f t="shared" si="345"/>
        <v>4.1250253182568981</v>
      </c>
      <c r="DK337" s="190">
        <f t="shared" si="345"/>
        <v>4.1250253182568981</v>
      </c>
      <c r="DL337" s="190">
        <f t="shared" si="345"/>
        <v>4.1250253182568981</v>
      </c>
      <c r="DM337" s="190">
        <f t="shared" si="345"/>
        <v>4.1823341046171114</v>
      </c>
      <c r="DN337" s="190">
        <f t="shared" si="345"/>
        <v>4.1823341046171114</v>
      </c>
      <c r="DO337" s="190">
        <f t="shared" si="345"/>
        <v>4.1823341046171114</v>
      </c>
      <c r="DP337" s="190">
        <f t="shared" si="345"/>
        <v>4.2103832596858428</v>
      </c>
      <c r="DQ337" s="190">
        <f t="shared" si="345"/>
        <v>4.2103832596858428</v>
      </c>
      <c r="DR337" s="190">
        <f t="shared" si="345"/>
        <v>4.2103832596858428</v>
      </c>
      <c r="DS337" s="190">
        <f t="shared" si="345"/>
        <v>4.3193362798210844</v>
      </c>
      <c r="DT337" s="190">
        <f t="shared" si="345"/>
        <v>4.3193362798210844</v>
      </c>
      <c r="DU337" s="190">
        <f t="shared" si="345"/>
        <v>4.3193362798210844</v>
      </c>
      <c r="DV337" s="190">
        <f t="shared" si="345"/>
        <v>4.3312765841697445</v>
      </c>
      <c r="DW337" s="190">
        <f t="shared" si="345"/>
        <v>4.3312765841697445</v>
      </c>
      <c r="DX337" s="190">
        <f t="shared" si="345"/>
        <v>4.3312765841697445</v>
      </c>
      <c r="DY337" s="190">
        <f t="shared" si="345"/>
        <v>4.3914508098479672</v>
      </c>
      <c r="DZ337" s="190">
        <f t="shared" si="345"/>
        <v>4.3914508098479672</v>
      </c>
      <c r="EA337" s="190">
        <f t="shared" si="345"/>
        <v>4.3914508098479672</v>
      </c>
      <c r="EB337" s="190">
        <f t="shared" ref="EB337:GM337" si="346">EB334-EB335-EB336</f>
        <v>4.4209024226701361</v>
      </c>
      <c r="EC337" s="190">
        <f t="shared" si="346"/>
        <v>4.4209024226701361</v>
      </c>
      <c r="ED337" s="190">
        <f t="shared" si="346"/>
        <v>4.4209024226701361</v>
      </c>
      <c r="EE337" s="190">
        <f t="shared" si="346"/>
        <v>4.5353030938121393</v>
      </c>
      <c r="EF337" s="190">
        <f t="shared" si="346"/>
        <v>4.5353030938121393</v>
      </c>
      <c r="EG337" s="190">
        <f t="shared" si="346"/>
        <v>4.5353030938121393</v>
      </c>
      <c r="EH337" s="190">
        <f t="shared" si="346"/>
        <v>4.5478404133782302</v>
      </c>
      <c r="EI337" s="190">
        <f t="shared" si="346"/>
        <v>4.5478404133782302</v>
      </c>
      <c r="EJ337" s="190">
        <f t="shared" si="346"/>
        <v>4.5478404133782302</v>
      </c>
      <c r="EK337" s="190">
        <f t="shared" si="346"/>
        <v>4.6110233503403659</v>
      </c>
      <c r="EL337" s="190">
        <f t="shared" si="346"/>
        <v>4.6110233503403659</v>
      </c>
      <c r="EM337" s="190">
        <f t="shared" si="346"/>
        <v>4.6110233503403659</v>
      </c>
      <c r="EN337" s="190">
        <f t="shared" si="346"/>
        <v>4.6419475438036439</v>
      </c>
      <c r="EO337" s="190">
        <f t="shared" si="346"/>
        <v>4.6419475438036439</v>
      </c>
      <c r="EP337" s="190">
        <f t="shared" si="346"/>
        <v>4.6419475438036439</v>
      </c>
      <c r="EQ337" s="190">
        <f t="shared" si="346"/>
        <v>4.7620682485027466</v>
      </c>
      <c r="ER337" s="190">
        <f t="shared" si="346"/>
        <v>4.7620682485027466</v>
      </c>
      <c r="ES337" s="190">
        <f t="shared" si="346"/>
        <v>4.7620682485027466</v>
      </c>
      <c r="ET337" s="190">
        <f t="shared" si="346"/>
        <v>4.7752324340471439</v>
      </c>
      <c r="EU337" s="190">
        <f t="shared" si="346"/>
        <v>4.7752324340471439</v>
      </c>
      <c r="EV337" s="190">
        <f t="shared" si="346"/>
        <v>4.7752324340471439</v>
      </c>
      <c r="EW337" s="190">
        <f t="shared" si="346"/>
        <v>4.8415745178573859</v>
      </c>
      <c r="EX337" s="190">
        <f t="shared" si="346"/>
        <v>4.8415745178573859</v>
      </c>
      <c r="EY337" s="190">
        <f t="shared" si="346"/>
        <v>4.8415745178573859</v>
      </c>
      <c r="EZ337" s="190">
        <f t="shared" si="346"/>
        <v>4.8740449209938257</v>
      </c>
      <c r="FA337" s="190">
        <f t="shared" si="346"/>
        <v>4.8740449209938257</v>
      </c>
      <c r="FB337" s="190">
        <f t="shared" si="346"/>
        <v>4.8740449209938257</v>
      </c>
      <c r="FC337" s="190">
        <f t="shared" si="346"/>
        <v>5.0001716609278839</v>
      </c>
      <c r="FD337" s="190">
        <f t="shared" si="346"/>
        <v>5.0001716609278839</v>
      </c>
      <c r="FE337" s="190">
        <f t="shared" si="346"/>
        <v>5.0001716609278839</v>
      </c>
      <c r="FF337" s="190">
        <f t="shared" si="346"/>
        <v>5.0139940557495013</v>
      </c>
      <c r="FG337" s="190">
        <f t="shared" si="346"/>
        <v>5.0139940557495013</v>
      </c>
      <c r="FH337" s="190">
        <f t="shared" si="346"/>
        <v>5.0139940557495013</v>
      </c>
      <c r="FI337" s="190">
        <f t="shared" si="346"/>
        <v>5.0836532437502546</v>
      </c>
      <c r="FJ337" s="190">
        <f t="shared" si="346"/>
        <v>5.0836532437502546</v>
      </c>
      <c r="FK337" s="190">
        <f t="shared" si="346"/>
        <v>5.0836532437502546</v>
      </c>
      <c r="FL337" s="190">
        <f t="shared" si="346"/>
        <v>5.1177471670435191</v>
      </c>
      <c r="FM337" s="190">
        <f t="shared" si="346"/>
        <v>5.1177471670435191</v>
      </c>
      <c r="FN337" s="190">
        <f t="shared" si="346"/>
        <v>5.1177471670435191</v>
      </c>
      <c r="FO337" s="190">
        <f t="shared" si="346"/>
        <v>5.2501802439742793</v>
      </c>
      <c r="FP337" s="190">
        <f t="shared" si="346"/>
        <v>5.2501802439742793</v>
      </c>
      <c r="FQ337" s="190">
        <f t="shared" si="346"/>
        <v>5.2501802439742793</v>
      </c>
      <c r="FR337" s="190">
        <f t="shared" si="346"/>
        <v>5.2646937585369775</v>
      </c>
      <c r="FS337" s="190">
        <f t="shared" si="346"/>
        <v>5.2646937585369775</v>
      </c>
      <c r="FT337" s="190">
        <f t="shared" si="346"/>
        <v>5.2646937585369775</v>
      </c>
      <c r="FU337" s="190">
        <f t="shared" si="346"/>
        <v>5.3378359059377694</v>
      </c>
      <c r="FV337" s="190">
        <f t="shared" si="346"/>
        <v>5.3378359059377694</v>
      </c>
      <c r="FW337" s="190">
        <f t="shared" si="346"/>
        <v>5.3378359059377694</v>
      </c>
      <c r="FX337" s="190">
        <f t="shared" si="346"/>
        <v>5.3736345253956941</v>
      </c>
      <c r="FY337" s="190">
        <f t="shared" si="346"/>
        <v>5.3736345253956941</v>
      </c>
      <c r="FZ337" s="190">
        <f t="shared" si="346"/>
        <v>5.3736345253956941</v>
      </c>
      <c r="GA337" s="190">
        <f t="shared" si="346"/>
        <v>5.512689256172993</v>
      </c>
      <c r="GB337" s="190">
        <f t="shared" si="346"/>
        <v>5.512689256172993</v>
      </c>
      <c r="GC337" s="190">
        <f t="shared" si="346"/>
        <v>5.512689256172993</v>
      </c>
      <c r="GD337" s="190">
        <f t="shared" si="346"/>
        <v>5.5279284464638261</v>
      </c>
      <c r="GE337" s="190">
        <f t="shared" si="346"/>
        <v>5.5279284464638261</v>
      </c>
      <c r="GF337" s="190">
        <f t="shared" si="346"/>
        <v>5.5279284464638261</v>
      </c>
      <c r="GG337" s="190">
        <f t="shared" si="346"/>
        <v>5.6047277012346575</v>
      </c>
      <c r="GH337" s="190">
        <f t="shared" si="346"/>
        <v>5.6047277012346575</v>
      </c>
      <c r="GI337" s="190">
        <f t="shared" si="346"/>
        <v>5.6047277012346575</v>
      </c>
      <c r="GJ337" s="190">
        <f t="shared" si="346"/>
        <v>5.6423162516654788</v>
      </c>
      <c r="GK337" s="190">
        <f t="shared" si="346"/>
        <v>5.6423162516654788</v>
      </c>
      <c r="GL337" s="190">
        <f t="shared" si="346"/>
        <v>5.6423162516654788</v>
      </c>
      <c r="GM337" s="190">
        <f t="shared" si="346"/>
        <v>5.7883237189816423</v>
      </c>
      <c r="GN337" s="190">
        <f t="shared" ref="GN337:IY337" si="347">GN334-GN335-GN336</f>
        <v>5.7883237189816423</v>
      </c>
      <c r="GO337" s="190">
        <f t="shared" si="347"/>
        <v>5.7883237189816423</v>
      </c>
      <c r="GP337" s="190">
        <f t="shared" si="347"/>
        <v>5.8043248687870177</v>
      </c>
      <c r="GQ337" s="190">
        <f t="shared" si="347"/>
        <v>5.8043248687870177</v>
      </c>
      <c r="GR337" s="190">
        <f t="shared" si="347"/>
        <v>5.8043248687870177</v>
      </c>
      <c r="GS337" s="190">
        <f t="shared" si="347"/>
        <v>5.8849640862963888</v>
      </c>
      <c r="GT337" s="190">
        <f t="shared" si="347"/>
        <v>5.8849640862963888</v>
      </c>
      <c r="GU337" s="190">
        <f t="shared" si="347"/>
        <v>5.8849640862963888</v>
      </c>
      <c r="GV337" s="190">
        <f t="shared" si="347"/>
        <v>5.9244320642487525</v>
      </c>
      <c r="GW337" s="190">
        <f t="shared" si="347"/>
        <v>5.9244320642487525</v>
      </c>
      <c r="GX337" s="190">
        <f t="shared" si="347"/>
        <v>5.9244320642487525</v>
      </c>
      <c r="GY337" s="190">
        <f t="shared" si="347"/>
        <v>6.0777399049307252</v>
      </c>
      <c r="GZ337" s="190">
        <f t="shared" si="347"/>
        <v>6.0777399049307252</v>
      </c>
      <c r="HA337" s="190">
        <f t="shared" si="347"/>
        <v>6.0777399049307252</v>
      </c>
      <c r="HB337" s="190">
        <f t="shared" si="347"/>
        <v>6.0945411122263673</v>
      </c>
      <c r="HC337" s="190">
        <f t="shared" si="347"/>
        <v>6.0945411122263673</v>
      </c>
      <c r="HD337" s="190">
        <f t="shared" si="347"/>
        <v>6.0945411122263673</v>
      </c>
      <c r="HE337" s="190">
        <f t="shared" si="347"/>
        <v>6.1792122906112104</v>
      </c>
      <c r="HF337" s="190">
        <f t="shared" si="347"/>
        <v>6.1792122906112104</v>
      </c>
      <c r="HG337" s="190">
        <f t="shared" si="347"/>
        <v>6.1792122906112104</v>
      </c>
      <c r="HH337" s="190">
        <f t="shared" si="347"/>
        <v>6.2206536674611908</v>
      </c>
      <c r="HI337" s="190">
        <f t="shared" si="347"/>
        <v>6.2206536674611908</v>
      </c>
      <c r="HJ337" s="190">
        <f t="shared" si="347"/>
        <v>6.2206536674611908</v>
      </c>
      <c r="HK337" s="190">
        <f t="shared" si="347"/>
        <v>6.3816269001772614</v>
      </c>
      <c r="HL337" s="190">
        <f t="shared" si="347"/>
        <v>6.3816269001772614</v>
      </c>
      <c r="HM337" s="190">
        <f t="shared" si="347"/>
        <v>6.3816269001772614</v>
      </c>
      <c r="HN337" s="190">
        <f t="shared" si="347"/>
        <v>6.399268167837687</v>
      </c>
      <c r="HO337" s="190">
        <f t="shared" si="347"/>
        <v>6.399268167837687</v>
      </c>
      <c r="HP337" s="190">
        <f t="shared" si="347"/>
        <v>6.399268167837687</v>
      </c>
      <c r="HQ337" s="190">
        <f t="shared" si="347"/>
        <v>6.48817290514177</v>
      </c>
      <c r="HR337" s="190">
        <f t="shared" si="347"/>
        <v>6.48817290514177</v>
      </c>
      <c r="HS337" s="190">
        <f t="shared" si="347"/>
        <v>6.48817290514177</v>
      </c>
      <c r="HT337" s="190">
        <f t="shared" si="347"/>
        <v>6.5316863508342493</v>
      </c>
      <c r="HU337" s="190">
        <f t="shared" si="347"/>
        <v>6.5316863508342493</v>
      </c>
      <c r="HV337" s="190">
        <f t="shared" si="347"/>
        <v>6.5316863508342493</v>
      </c>
      <c r="HW337" s="190">
        <f t="shared" si="347"/>
        <v>6.7007082451861244</v>
      </c>
      <c r="HX337" s="190">
        <f t="shared" si="347"/>
        <v>6.7007082451861244</v>
      </c>
      <c r="HY337" s="190">
        <f t="shared" si="347"/>
        <v>6.7007082451861244</v>
      </c>
      <c r="HZ337" s="190">
        <f t="shared" si="347"/>
        <v>6.7192315762295705</v>
      </c>
      <c r="IA337" s="190">
        <f t="shared" si="347"/>
        <v>6.7192315762295705</v>
      </c>
      <c r="IB337" s="190">
        <f t="shared" si="347"/>
        <v>6.7192315762295705</v>
      </c>
      <c r="IC337" s="190">
        <f t="shared" si="347"/>
        <v>5.6228762444281895</v>
      </c>
      <c r="ID337" s="190">
        <f t="shared" si="347"/>
        <v>5.6228762444281895</v>
      </c>
      <c r="IE337" s="190">
        <f t="shared" si="347"/>
        <v>5.6228762444281895</v>
      </c>
      <c r="IF337" s="190">
        <f t="shared" si="347"/>
        <v>5.6685653624052934</v>
      </c>
      <c r="IG337" s="190">
        <f t="shared" si="347"/>
        <v>5.6685653624052934</v>
      </c>
      <c r="IH337" s="190">
        <f t="shared" si="347"/>
        <v>5.6685653624052934</v>
      </c>
      <c r="II337" s="190">
        <f t="shared" si="347"/>
        <v>5.7865530861762293</v>
      </c>
      <c r="IJ337" s="190">
        <f t="shared" si="347"/>
        <v>5.7865530861762293</v>
      </c>
      <c r="IK337" s="190">
        <f t="shared" si="347"/>
        <v>5.7865530861762293</v>
      </c>
      <c r="IL337" s="190">
        <f t="shared" si="347"/>
        <v>5.8060025837718472</v>
      </c>
      <c r="IM337" s="190">
        <f t="shared" si="347"/>
        <v>5.8060025837718472</v>
      </c>
      <c r="IN337" s="190">
        <f t="shared" si="347"/>
        <v>5.8060025837718472</v>
      </c>
      <c r="IO337" s="190">
        <f t="shared" si="347"/>
        <v>3.5996235677138704</v>
      </c>
      <c r="IP337" s="190">
        <f t="shared" si="347"/>
        <v>3.5996235677138704</v>
      </c>
      <c r="IQ337" s="190">
        <f t="shared" si="347"/>
        <v>3.5996235677138704</v>
      </c>
      <c r="IR337" s="190">
        <f t="shared" si="347"/>
        <v>3.647597141589829</v>
      </c>
      <c r="IS337" s="190">
        <f t="shared" si="347"/>
        <v>3.647597141589829</v>
      </c>
      <c r="IT337" s="190">
        <f t="shared" si="347"/>
        <v>3.647597141589829</v>
      </c>
      <c r="IU337" s="190">
        <f t="shared" si="347"/>
        <v>3.6562644271025251</v>
      </c>
      <c r="IV337" s="190">
        <f t="shared" si="347"/>
        <v>3.6562644271025251</v>
      </c>
      <c r="IW337" s="190">
        <f t="shared" si="347"/>
        <v>3.6562644271025251</v>
      </c>
      <c r="IX337" s="190">
        <f t="shared" si="347"/>
        <v>2.7160992575499936</v>
      </c>
      <c r="IY337" s="190">
        <f t="shared" si="347"/>
        <v>2.7160992575499936</v>
      </c>
      <c r="IZ337" s="190">
        <f t="shared" ref="IZ337:JI337" si="348">IZ334-IZ335-IZ336</f>
        <v>2.7160992575499936</v>
      </c>
      <c r="JA337" s="190">
        <f t="shared" si="348"/>
        <v>2.8190176040716333</v>
      </c>
      <c r="JB337" s="190">
        <f t="shared" si="348"/>
        <v>2.8190176040716333</v>
      </c>
      <c r="JC337" s="190">
        <f t="shared" si="348"/>
        <v>2.8190176040716333</v>
      </c>
      <c r="JD337" s="190">
        <f t="shared" si="348"/>
        <v>2.8213604995399941</v>
      </c>
      <c r="JE337" s="190">
        <f t="shared" si="348"/>
        <v>2.8213604995399941</v>
      </c>
      <c r="JF337" s="190">
        <f t="shared" si="348"/>
        <v>2.8213604995399941</v>
      </c>
      <c r="JG337" s="190">
        <f t="shared" si="348"/>
        <v>0.76970076897642392</v>
      </c>
      <c r="JH337" s="190">
        <f t="shared" si="348"/>
        <v>0.76970076897642392</v>
      </c>
      <c r="JI337" s="249">
        <f t="shared" si="348"/>
        <v>0.76970076897642392</v>
      </c>
      <c r="JJ337" s="190"/>
      <c r="JK337" s="190"/>
      <c r="JL337" s="190"/>
      <c r="JM337" s="190"/>
      <c r="JN337" s="190"/>
      <c r="JO337" s="190"/>
      <c r="JP337" s="190"/>
    </row>
    <row r="338" spans="1:276" x14ac:dyDescent="0.3">
      <c r="AD338" s="1" t="e">
        <f>XNPV(#REF!,AD337:HB337,AD332:HB332)</f>
        <v>#REF!</v>
      </c>
    </row>
    <row r="340" spans="1:276" x14ac:dyDescent="0.3">
      <c r="B340" s="569" t="s">
        <v>340</v>
      </c>
      <c r="C340" s="471"/>
      <c r="D340" s="471"/>
      <c r="E340" s="471"/>
      <c r="F340" s="471"/>
      <c r="G340" s="471"/>
      <c r="H340" s="471"/>
      <c r="I340" s="471"/>
      <c r="J340" s="471"/>
      <c r="K340" s="471"/>
      <c r="L340" s="471"/>
      <c r="M340" s="471"/>
      <c r="N340" s="471"/>
      <c r="O340" s="471"/>
      <c r="P340" s="471"/>
      <c r="Q340" s="471"/>
      <c r="R340" s="471"/>
      <c r="S340" s="471"/>
      <c r="T340" s="471"/>
      <c r="U340" s="471"/>
      <c r="V340" s="500"/>
      <c r="AD340" s="77">
        <f>EOMONTH(AD332,180)</f>
        <v>52351</v>
      </c>
    </row>
    <row r="341" spans="1:276" x14ac:dyDescent="0.3">
      <c r="B341" s="429"/>
      <c r="C341" s="513">
        <f t="shared" ref="C341:S341" si="349">C301</f>
        <v>46112</v>
      </c>
      <c r="D341" s="513">
        <f t="shared" si="349"/>
        <v>46477</v>
      </c>
      <c r="E341" s="513">
        <f t="shared" si="349"/>
        <v>46843</v>
      </c>
      <c r="F341" s="513">
        <f t="shared" si="349"/>
        <v>47208</v>
      </c>
      <c r="G341" s="513">
        <f t="shared" si="349"/>
        <v>47573</v>
      </c>
      <c r="H341" s="513">
        <f t="shared" si="349"/>
        <v>47938</v>
      </c>
      <c r="I341" s="513">
        <f t="shared" si="349"/>
        <v>48304</v>
      </c>
      <c r="J341" s="513">
        <f t="shared" si="349"/>
        <v>48669</v>
      </c>
      <c r="K341" s="513">
        <f t="shared" si="349"/>
        <v>49034</v>
      </c>
      <c r="L341" s="513">
        <f t="shared" si="349"/>
        <v>49399</v>
      </c>
      <c r="M341" s="513">
        <f t="shared" si="349"/>
        <v>49765</v>
      </c>
      <c r="N341" s="513">
        <f t="shared" si="349"/>
        <v>50130</v>
      </c>
      <c r="O341" s="513">
        <f t="shared" si="349"/>
        <v>50495</v>
      </c>
      <c r="P341" s="513">
        <f t="shared" si="349"/>
        <v>50860</v>
      </c>
      <c r="Q341" s="513">
        <f t="shared" si="349"/>
        <v>51226</v>
      </c>
      <c r="R341" s="513">
        <f t="shared" si="349"/>
        <v>51591</v>
      </c>
      <c r="S341" s="513">
        <f t="shared" si="349"/>
        <v>51956</v>
      </c>
      <c r="T341" s="513">
        <f t="shared" ref="T341:V341" si="350">T301</f>
        <v>52321</v>
      </c>
      <c r="U341" s="513">
        <f t="shared" si="350"/>
        <v>52687</v>
      </c>
      <c r="V341" s="514">
        <f t="shared" si="350"/>
        <v>53052</v>
      </c>
      <c r="W341" s="58"/>
      <c r="X341" s="58"/>
      <c r="Y341" s="58"/>
    </row>
    <row r="342" spans="1:276" x14ac:dyDescent="0.3">
      <c r="B342" s="169" t="s">
        <v>341</v>
      </c>
      <c r="C342" s="258">
        <f>C46+C109+C173+C238+C302</f>
        <v>0</v>
      </c>
      <c r="D342" s="258">
        <f t="shared" ref="D342:V342" ca="1" si="351">D46+D109+D173+D238+D302</f>
        <v>52.8675</v>
      </c>
      <c r="E342" s="258">
        <f t="shared" ca="1" si="351"/>
        <v>159.0445</v>
      </c>
      <c r="F342" s="258">
        <f t="shared" ca="1" si="351"/>
        <v>199.48400000000001</v>
      </c>
      <c r="G342" s="258">
        <f t="shared" ca="1" si="351"/>
        <v>289.82650000000001</v>
      </c>
      <c r="H342" s="258">
        <f t="shared" ca="1" si="351"/>
        <v>302.94274999999999</v>
      </c>
      <c r="I342" s="258">
        <f t="shared" ca="1" si="351"/>
        <v>294.82900000000001</v>
      </c>
      <c r="J342" s="258">
        <f t="shared" ca="1" si="351"/>
        <v>284.12599999999998</v>
      </c>
      <c r="K342" s="258">
        <f t="shared" ca="1" si="351"/>
        <v>270.09649999999999</v>
      </c>
      <c r="L342" s="258">
        <f t="shared" ca="1" si="351"/>
        <v>253.08199999999999</v>
      </c>
      <c r="M342" s="258">
        <f t="shared" ca="1" si="351"/>
        <v>232.49200000000002</v>
      </c>
      <c r="N342" s="258">
        <f t="shared" ca="1" si="351"/>
        <v>207.76899999999998</v>
      </c>
      <c r="O342" s="258">
        <f t="shared" ca="1" si="351"/>
        <v>179.73949999999996</v>
      </c>
      <c r="P342" s="258">
        <f t="shared" ca="1" si="351"/>
        <v>151.36199999999999</v>
      </c>
      <c r="Q342" s="258">
        <f t="shared" ca="1" si="351"/>
        <v>117.64449999999999</v>
      </c>
      <c r="R342" s="258">
        <f t="shared" ca="1" si="351"/>
        <v>83.569499999999991</v>
      </c>
      <c r="S342" s="258">
        <f t="shared" ca="1" si="351"/>
        <v>47.889499999999998</v>
      </c>
      <c r="T342" s="258">
        <f t="shared" ca="1" si="351"/>
        <v>19.272500000000008</v>
      </c>
      <c r="U342" s="258">
        <f t="shared" ca="1" si="351"/>
        <v>5.5880000000000143</v>
      </c>
      <c r="V342" s="246">
        <f t="shared" ca="1" si="351"/>
        <v>0.17550000000000576</v>
      </c>
      <c r="W342" s="258"/>
      <c r="X342" s="258"/>
      <c r="Y342" s="258"/>
    </row>
    <row r="343" spans="1:276" x14ac:dyDescent="0.3">
      <c r="B343" s="169" t="s">
        <v>165</v>
      </c>
      <c r="C343" s="258">
        <f t="shared" ref="C343:V343" ca="1" si="352">C47+C110+C174+C239+C303</f>
        <v>53</v>
      </c>
      <c r="D343" s="258">
        <f t="shared" ca="1" si="352"/>
        <v>107</v>
      </c>
      <c r="E343" s="258">
        <f t="shared" si="352"/>
        <v>43</v>
      </c>
      <c r="F343" s="258">
        <f t="shared" ca="1" si="352"/>
        <v>95</v>
      </c>
      <c r="G343" s="258">
        <f ca="1">G47+G110+G174+G239+G303</f>
        <v>19.5</v>
      </c>
      <c r="H343" s="258">
        <f>H47+H110+H174+H239+H303</f>
        <v>0</v>
      </c>
      <c r="I343" s="258">
        <f t="shared" si="352"/>
        <v>0</v>
      </c>
      <c r="J343" s="258">
        <f t="shared" si="352"/>
        <v>0</v>
      </c>
      <c r="K343" s="258">
        <f t="shared" si="352"/>
        <v>0</v>
      </c>
      <c r="L343" s="258">
        <f t="shared" si="352"/>
        <v>0</v>
      </c>
      <c r="M343" s="258">
        <f t="shared" si="352"/>
        <v>0</v>
      </c>
      <c r="N343" s="258">
        <f t="shared" si="352"/>
        <v>0</v>
      </c>
      <c r="O343" s="258">
        <f t="shared" si="352"/>
        <v>0</v>
      </c>
      <c r="P343" s="258">
        <f t="shared" si="352"/>
        <v>0</v>
      </c>
      <c r="Q343" s="258">
        <f t="shared" si="352"/>
        <v>0</v>
      </c>
      <c r="R343" s="258">
        <f t="shared" si="352"/>
        <v>0</v>
      </c>
      <c r="S343" s="258">
        <f t="shared" si="352"/>
        <v>0</v>
      </c>
      <c r="T343" s="258">
        <f t="shared" si="352"/>
        <v>0</v>
      </c>
      <c r="U343" s="258">
        <f t="shared" si="352"/>
        <v>0</v>
      </c>
      <c r="V343" s="246">
        <f t="shared" si="352"/>
        <v>0</v>
      </c>
      <c r="W343" s="258"/>
      <c r="X343" s="258"/>
      <c r="Y343" s="258"/>
    </row>
    <row r="344" spans="1:276" x14ac:dyDescent="0.3">
      <c r="B344" s="169" t="s">
        <v>342</v>
      </c>
      <c r="C344" s="258">
        <f t="shared" ref="C344:V344" ca="1" si="353">C48+C111+C175+C240+C304</f>
        <v>0.13250000000000001</v>
      </c>
      <c r="D344" s="258">
        <f t="shared" ca="1" si="353"/>
        <v>0.82300000000000006</v>
      </c>
      <c r="E344" s="258">
        <f t="shared" ca="1" si="353"/>
        <v>2.5605000000000002</v>
      </c>
      <c r="F344" s="258">
        <f t="shared" ca="1" si="353"/>
        <v>4.6574999999999998</v>
      </c>
      <c r="G344" s="258">
        <f t="shared" ca="1" si="353"/>
        <v>6.3837500000000009</v>
      </c>
      <c r="H344" s="258">
        <f t="shared" ca="1" si="353"/>
        <v>8.1137500000000014</v>
      </c>
      <c r="I344" s="258">
        <f t="shared" ca="1" si="353"/>
        <v>10.702999999999999</v>
      </c>
      <c r="J344" s="258">
        <f t="shared" ca="1" si="353"/>
        <v>14.029500000000001</v>
      </c>
      <c r="K344" s="258">
        <f t="shared" ca="1" si="353"/>
        <v>17.014500000000002</v>
      </c>
      <c r="L344" s="258">
        <f t="shared" ca="1" si="353"/>
        <v>20.59</v>
      </c>
      <c r="M344" s="258">
        <f t="shared" ca="1" si="353"/>
        <v>24.722999999999999</v>
      </c>
      <c r="N344" s="258">
        <f t="shared" ca="1" si="353"/>
        <v>28.029499999999999</v>
      </c>
      <c r="O344" s="258">
        <f t="shared" ca="1" si="353"/>
        <v>28.377499999999998</v>
      </c>
      <c r="P344" s="258">
        <f t="shared" ca="1" si="353"/>
        <v>33.717500000000001</v>
      </c>
      <c r="Q344" s="258">
        <f t="shared" ca="1" si="353"/>
        <v>34.075000000000003</v>
      </c>
      <c r="R344" s="258">
        <f t="shared" ca="1" si="353"/>
        <v>35.680000000000007</v>
      </c>
      <c r="S344" s="258">
        <f t="shared" ca="1" si="353"/>
        <v>28.617000000000001</v>
      </c>
      <c r="T344" s="258">
        <f t="shared" ca="1" si="353"/>
        <v>13.684499999999996</v>
      </c>
      <c r="U344" s="258">
        <f t="shared" ca="1" si="353"/>
        <v>5.4125000000000085</v>
      </c>
      <c r="V344" s="246">
        <f t="shared" ca="1" si="353"/>
        <v>0.17550000000000232</v>
      </c>
      <c r="W344" s="258"/>
      <c r="X344" s="258"/>
      <c r="Y344" s="258"/>
    </row>
    <row r="345" spans="1:276" x14ac:dyDescent="0.3">
      <c r="B345" s="429" t="s">
        <v>343</v>
      </c>
      <c r="C345" s="462">
        <f ca="1">C342+C343-C344</f>
        <v>52.8675</v>
      </c>
      <c r="D345" s="462">
        <f t="shared" ref="D345:S345" ca="1" si="354">D342+D343-D344</f>
        <v>159.0445</v>
      </c>
      <c r="E345" s="462">
        <f t="shared" ca="1" si="354"/>
        <v>199.48400000000001</v>
      </c>
      <c r="F345" s="462">
        <f t="shared" ca="1" si="354"/>
        <v>289.82650000000001</v>
      </c>
      <c r="G345" s="462">
        <f t="shared" ca="1" si="354"/>
        <v>302.94274999999999</v>
      </c>
      <c r="H345" s="462">
        <f t="shared" ca="1" si="354"/>
        <v>294.82900000000001</v>
      </c>
      <c r="I345" s="462">
        <f t="shared" ca="1" si="354"/>
        <v>284.12600000000003</v>
      </c>
      <c r="J345" s="462">
        <f t="shared" ca="1" si="354"/>
        <v>270.09649999999999</v>
      </c>
      <c r="K345" s="462">
        <f t="shared" ca="1" si="354"/>
        <v>253.08199999999999</v>
      </c>
      <c r="L345" s="462">
        <f t="shared" ca="1" si="354"/>
        <v>232.49199999999999</v>
      </c>
      <c r="M345" s="462">
        <f t="shared" ca="1" si="354"/>
        <v>207.76900000000001</v>
      </c>
      <c r="N345" s="462">
        <f t="shared" ca="1" si="354"/>
        <v>179.73949999999996</v>
      </c>
      <c r="O345" s="462">
        <f t="shared" ca="1" si="354"/>
        <v>151.36199999999997</v>
      </c>
      <c r="P345" s="462">
        <f t="shared" ca="1" si="354"/>
        <v>117.64449999999999</v>
      </c>
      <c r="Q345" s="462">
        <f t="shared" ca="1" si="354"/>
        <v>83.569499999999991</v>
      </c>
      <c r="R345" s="462">
        <f t="shared" ca="1" si="354"/>
        <v>47.889499999999984</v>
      </c>
      <c r="S345" s="462">
        <f t="shared" ca="1" si="354"/>
        <v>19.272499999999997</v>
      </c>
      <c r="T345" s="462">
        <f t="shared" ref="T345:V345" ca="1" si="355">T342+T343-T344</f>
        <v>5.5880000000000116</v>
      </c>
      <c r="U345" s="462">
        <f t="shared" ca="1" si="355"/>
        <v>0.17550000000000576</v>
      </c>
      <c r="V345" s="506">
        <f t="shared" ca="1" si="355"/>
        <v>3.4416913763379853E-15</v>
      </c>
      <c r="W345" s="258"/>
      <c r="X345" s="258"/>
      <c r="Y345" s="258"/>
    </row>
    <row r="346" spans="1:276" x14ac:dyDescent="0.3">
      <c r="B346" s="436" t="s">
        <v>51</v>
      </c>
      <c r="C346" s="548">
        <f t="shared" ref="C346:S346" ca="1" si="356">C50+C113+C177+C242+C306</f>
        <v>1.1248421875000001</v>
      </c>
      <c r="D346" s="548">
        <f t="shared" ca="1" si="356"/>
        <v>6.7376259374999998</v>
      </c>
      <c r="E346" s="548">
        <f t="shared" ca="1" si="356"/>
        <v>14.335133125000002</v>
      </c>
      <c r="F346" s="548">
        <f t="shared" ca="1" si="356"/>
        <v>19.796415000000003</v>
      </c>
      <c r="G346" s="548">
        <f t="shared" ca="1" si="356"/>
        <v>25.884526718749999</v>
      </c>
      <c r="H346" s="548">
        <f t="shared" ca="1" si="356"/>
        <v>25.405299375000002</v>
      </c>
      <c r="I346" s="548">
        <f t="shared" ca="1" si="356"/>
        <v>24.605587499999999</v>
      </c>
      <c r="J346" s="548">
        <f t="shared" ca="1" si="356"/>
        <v>23.554456250000001</v>
      </c>
      <c r="K346" s="548">
        <f t="shared" ca="1" si="356"/>
        <v>22.235086250000002</v>
      </c>
      <c r="L346" s="548">
        <f t="shared" ca="1" si="356"/>
        <v>20.636894999999999</v>
      </c>
      <c r="M346" s="548">
        <f t="shared" ca="1" si="356"/>
        <v>18.711092499999999</v>
      </c>
      <c r="N346" s="548">
        <f t="shared" ca="1" si="356"/>
        <v>16.469111249999997</v>
      </c>
      <c r="O346" s="548">
        <f t="shared" ca="1" si="356"/>
        <v>14.07181375</v>
      </c>
      <c r="P346" s="548">
        <f t="shared" ca="1" si="356"/>
        <v>11.432776250000002</v>
      </c>
      <c r="Q346" s="548">
        <f t="shared" ca="1" si="356"/>
        <v>8.5515950000000007</v>
      </c>
      <c r="R346" s="548">
        <f t="shared" ca="1" si="356"/>
        <v>5.5433653124999998</v>
      </c>
      <c r="S346" s="548">
        <f t="shared" ca="1" si="356"/>
        <v>2.7367184375000004</v>
      </c>
      <c r="T346" s="548">
        <f t="shared" ref="T346:V346" ca="1" si="357">T50+T113+T177+T242+T306</f>
        <v>1.0049443750000013</v>
      </c>
      <c r="U346" s="548">
        <f t="shared" ca="1" si="357"/>
        <v>0.12836593750000019</v>
      </c>
      <c r="V346" s="549">
        <f t="shared" ca="1" si="357"/>
        <v>6.2156249999998855E-4</v>
      </c>
      <c r="W346" s="561"/>
      <c r="X346" s="561"/>
      <c r="Y346" s="561"/>
    </row>
    <row r="349" spans="1:276" ht="14.4" thickBot="1" x14ac:dyDescent="0.35">
      <c r="B349" s="499" t="s">
        <v>344</v>
      </c>
      <c r="C349" s="471"/>
      <c r="D349" s="471"/>
      <c r="E349" s="471"/>
      <c r="F349" s="471"/>
      <c r="G349" s="471"/>
      <c r="H349" s="471"/>
      <c r="I349" s="471"/>
      <c r="J349" s="471"/>
      <c r="K349" s="471"/>
      <c r="L349" s="471"/>
      <c r="M349" s="471"/>
      <c r="N349" s="471"/>
      <c r="O349" s="471"/>
      <c r="P349" s="471"/>
      <c r="Q349" s="471"/>
      <c r="R349" s="471"/>
      <c r="S349" s="471"/>
      <c r="T349" s="471"/>
      <c r="U349" s="471"/>
      <c r="V349" s="500"/>
    </row>
    <row r="350" spans="1:276" ht="14.4" thickTop="1" x14ac:dyDescent="0.3">
      <c r="B350" s="437"/>
      <c r="C350" s="541">
        <f>C341</f>
        <v>46112</v>
      </c>
      <c r="D350" s="541">
        <f t="shared" ref="D350:S350" si="358">D341</f>
        <v>46477</v>
      </c>
      <c r="E350" s="541">
        <f t="shared" si="358"/>
        <v>46843</v>
      </c>
      <c r="F350" s="541">
        <f t="shared" si="358"/>
        <v>47208</v>
      </c>
      <c r="G350" s="541">
        <f t="shared" si="358"/>
        <v>47573</v>
      </c>
      <c r="H350" s="541">
        <f t="shared" si="358"/>
        <v>47938</v>
      </c>
      <c r="I350" s="541">
        <f t="shared" si="358"/>
        <v>48304</v>
      </c>
      <c r="J350" s="541">
        <f t="shared" si="358"/>
        <v>48669</v>
      </c>
      <c r="K350" s="541">
        <f t="shared" si="358"/>
        <v>49034</v>
      </c>
      <c r="L350" s="541">
        <f t="shared" si="358"/>
        <v>49399</v>
      </c>
      <c r="M350" s="541">
        <f t="shared" si="358"/>
        <v>49765</v>
      </c>
      <c r="N350" s="541">
        <f t="shared" si="358"/>
        <v>50130</v>
      </c>
      <c r="O350" s="541">
        <f t="shared" si="358"/>
        <v>50495</v>
      </c>
      <c r="P350" s="541">
        <f t="shared" si="358"/>
        <v>50860</v>
      </c>
      <c r="Q350" s="541">
        <f t="shared" si="358"/>
        <v>51226</v>
      </c>
      <c r="R350" s="541">
        <f t="shared" si="358"/>
        <v>51591</v>
      </c>
      <c r="S350" s="541">
        <f t="shared" si="358"/>
        <v>51956</v>
      </c>
      <c r="T350" s="541">
        <f t="shared" ref="T350:V350" si="359">T341</f>
        <v>52321</v>
      </c>
      <c r="U350" s="541">
        <f t="shared" si="359"/>
        <v>52687</v>
      </c>
      <c r="V350" s="542">
        <f t="shared" si="359"/>
        <v>53052</v>
      </c>
      <c r="W350" s="58"/>
      <c r="X350" s="58"/>
      <c r="Y350" s="58"/>
    </row>
    <row r="351" spans="1:276" x14ac:dyDescent="0.3">
      <c r="A351" s="641"/>
      <c r="B351" s="169" t="s">
        <v>345</v>
      </c>
      <c r="C351" s="52">
        <f>C54+C118+C182+C246+C310</f>
        <v>1.4813189196486971</v>
      </c>
      <c r="D351" s="52">
        <f t="shared" ref="D351:V351" si="360">D54+D118+D182+D246+D310</f>
        <v>8.8685783173121955</v>
      </c>
      <c r="E351" s="52">
        <f t="shared" si="360"/>
        <v>20.311798611375384</v>
      </c>
      <c r="F351" s="52">
        <f t="shared" si="360"/>
        <v>31.417115615955858</v>
      </c>
      <c r="G351" s="52">
        <f t="shared" si="360"/>
        <v>37.692262668345926</v>
      </c>
      <c r="H351" s="52">
        <f t="shared" si="360"/>
        <v>39.576875801763215</v>
      </c>
      <c r="I351" s="52">
        <f t="shared" si="360"/>
        <v>41.555719591851393</v>
      </c>
      <c r="J351" s="52">
        <f t="shared" si="360"/>
        <v>43.633505571443948</v>
      </c>
      <c r="K351" s="52">
        <f t="shared" si="360"/>
        <v>45.815180850016148</v>
      </c>
      <c r="L351" s="52">
        <f t="shared" si="360"/>
        <v>48.105939892516957</v>
      </c>
      <c r="M351" s="52">
        <f t="shared" si="360"/>
        <v>50.5112368871428</v>
      </c>
      <c r="N351" s="52">
        <f t="shared" si="360"/>
        <v>53.036798731499957</v>
      </c>
      <c r="O351" s="52">
        <f t="shared" si="360"/>
        <v>55.688638668074965</v>
      </c>
      <c r="P351" s="52">
        <f t="shared" si="360"/>
        <v>58.473070601478717</v>
      </c>
      <c r="Q351" s="52">
        <f t="shared" si="360"/>
        <v>61.396724131552666</v>
      </c>
      <c r="R351" s="52">
        <f t="shared" si="360"/>
        <v>61.496988823547163</v>
      </c>
      <c r="S351" s="52">
        <f t="shared" si="360"/>
        <v>49.465784444642956</v>
      </c>
      <c r="T351" s="52">
        <f t="shared" si="360"/>
        <v>28.966016198928752</v>
      </c>
      <c r="U351" s="52">
        <f t="shared" si="360"/>
        <v>9.5046850929583968</v>
      </c>
      <c r="V351" s="244">
        <f t="shared" si="360"/>
        <v>0.37046662086892684</v>
      </c>
      <c r="W351" s="52"/>
      <c r="X351" s="52"/>
      <c r="Y351" s="52"/>
    </row>
    <row r="352" spans="1:276" x14ac:dyDescent="0.3">
      <c r="A352" s="641"/>
      <c r="B352" s="169" t="s">
        <v>300</v>
      </c>
      <c r="C352" s="52">
        <f ca="1">C346+C344</f>
        <v>1.2573421875000002</v>
      </c>
      <c r="D352" s="52">
        <f t="shared" ref="D352:S352" ca="1" si="361">D346+D344</f>
        <v>7.5606259375000002</v>
      </c>
      <c r="E352" s="52">
        <f t="shared" ca="1" si="361"/>
        <v>16.895633125000003</v>
      </c>
      <c r="F352" s="52">
        <f t="shared" ca="1" si="361"/>
        <v>24.453915000000002</v>
      </c>
      <c r="G352" s="52">
        <f t="shared" ca="1" si="361"/>
        <v>32.268276718750002</v>
      </c>
      <c r="H352" s="52">
        <f t="shared" ca="1" si="361"/>
        <v>33.519049375000002</v>
      </c>
      <c r="I352" s="52">
        <f t="shared" ca="1" si="361"/>
        <v>35.308587500000002</v>
      </c>
      <c r="J352" s="52">
        <f t="shared" ca="1" si="361"/>
        <v>37.58395625</v>
      </c>
      <c r="K352" s="52">
        <f t="shared" ca="1" si="361"/>
        <v>39.249586250000007</v>
      </c>
      <c r="L352" s="52">
        <f t="shared" ca="1" si="361"/>
        <v>41.226894999999999</v>
      </c>
      <c r="M352" s="52">
        <f t="shared" ca="1" si="361"/>
        <v>43.434092499999998</v>
      </c>
      <c r="N352" s="52">
        <f t="shared" ca="1" si="361"/>
        <v>44.498611249999996</v>
      </c>
      <c r="O352" s="52">
        <f t="shared" ca="1" si="361"/>
        <v>42.449313750000002</v>
      </c>
      <c r="P352" s="52">
        <f t="shared" ca="1" si="361"/>
        <v>45.150276250000005</v>
      </c>
      <c r="Q352" s="52">
        <f t="shared" ca="1" si="361"/>
        <v>42.626595000000002</v>
      </c>
      <c r="R352" s="52">
        <f t="shared" ca="1" si="361"/>
        <v>41.223365312500007</v>
      </c>
      <c r="S352" s="52">
        <f t="shared" ca="1" si="361"/>
        <v>31.3537184375</v>
      </c>
      <c r="T352" s="52">
        <f t="shared" ref="T352:V352" ca="1" si="362">T346+T344</f>
        <v>14.689444374999997</v>
      </c>
      <c r="U352" s="52">
        <f t="shared" ca="1" si="362"/>
        <v>5.5408659375000084</v>
      </c>
      <c r="V352" s="244">
        <f t="shared" ca="1" si="362"/>
        <v>0.1761215625000023</v>
      </c>
      <c r="W352" s="52"/>
      <c r="X352" s="52"/>
      <c r="Y352" s="52"/>
    </row>
    <row r="353" spans="1:22" x14ac:dyDescent="0.3">
      <c r="A353" s="641"/>
      <c r="B353" s="432" t="s">
        <v>190</v>
      </c>
      <c r="C353" s="464">
        <f ca="1">IFERROR(C351/C352,"NA")</f>
        <v>1.1781350648816091</v>
      </c>
      <c r="D353" s="464">
        <f t="shared" ref="D353:E353" ca="1" si="363">IFERROR(D351/D352,"NA")</f>
        <v>1.1729952507404013</v>
      </c>
      <c r="E353" s="464">
        <f t="shared" ca="1" si="363"/>
        <v>1.2021922150594389</v>
      </c>
      <c r="F353" s="464">
        <f t="shared" ref="F353" ca="1" si="364">IFERROR(F351/F352,"NA")</f>
        <v>1.2847478866249373</v>
      </c>
      <c r="G353" s="464">
        <f t="shared" ref="G353" ca="1" si="365">IFERROR(G351/G352,"NA")</f>
        <v>1.1680903506831597</v>
      </c>
      <c r="H353" s="464">
        <f t="shared" ref="H353" ca="1" si="366">IFERROR(H351/H352,"NA")</f>
        <v>1.1807278708590527</v>
      </c>
      <c r="I353" s="464">
        <f t="shared" ref="I353" ca="1" si="367">IFERROR(I351/I352,"NA")</f>
        <v>1.1769295385110319</v>
      </c>
      <c r="J353" s="464">
        <f t="shared" ref="J353" ca="1" si="368">IFERROR(J351/J352,"NA")</f>
        <v>1.1609609504971672</v>
      </c>
      <c r="K353" s="464">
        <f t="shared" ref="K353" ca="1" si="369">IFERROR(K351/K352,"NA")</f>
        <v>1.1672780588869556</v>
      </c>
      <c r="L353" s="464">
        <f t="shared" ref="L353" ca="1" si="370">IFERROR(L351/L352,"NA")</f>
        <v>1.166858185476179</v>
      </c>
      <c r="M353" s="464">
        <f t="shared" ref="M353" ca="1" si="371">IFERROR(M351/M352,"NA")</f>
        <v>1.1629398470140202</v>
      </c>
      <c r="N353" s="464">
        <f t="shared" ref="N353" ca="1" si="372">IFERROR(N351/N352,"NA")</f>
        <v>1.1918753696274051</v>
      </c>
      <c r="O353" s="464">
        <f t="shared" ref="O353" ca="1" si="373">IFERROR(O351/O352,"NA")</f>
        <v>1.3118854876205146</v>
      </c>
      <c r="P353" s="464">
        <f t="shared" ref="P353" ca="1" si="374">IFERROR(P351/P352,"NA")</f>
        <v>1.2950766962689118</v>
      </c>
      <c r="Q353" s="464">
        <f t="shared" ref="Q353" ca="1" si="375">IFERROR(Q351/Q352,"NA")</f>
        <v>1.440338458456573</v>
      </c>
      <c r="R353" s="464">
        <f t="shared" ref="R353" ca="1" si="376">IFERROR(R351/R352,"NA")</f>
        <v>1.4917993316984157</v>
      </c>
      <c r="S353" s="464">
        <f t="shared" ref="S353:V353" ca="1" si="377">IFERROR(S351/S352,"NA")</f>
        <v>1.5776688351414285</v>
      </c>
      <c r="T353" s="464">
        <f t="shared" ca="1" si="377"/>
        <v>1.9718932492930834</v>
      </c>
      <c r="U353" s="464">
        <f t="shared" ca="1" si="377"/>
        <v>1.7153790039624799</v>
      </c>
      <c r="V353" s="465">
        <f t="shared" ca="1" si="377"/>
        <v>2.1034711230711571</v>
      </c>
    </row>
    <row r="355" spans="1:22" x14ac:dyDescent="0.3">
      <c r="B355" s="519" t="s">
        <v>346</v>
      </c>
      <c r="C355" s="520">
        <f ca="1">MIN(C353:V353)</f>
        <v>1.1609609504971672</v>
      </c>
    </row>
    <row r="356" spans="1:22" x14ac:dyDescent="0.3">
      <c r="B356" s="299" t="s">
        <v>347</v>
      </c>
      <c r="C356" s="521">
        <f ca="1">SUM(C351:V351)/SUM(C352:V352)</f>
        <v>1.2875316662723224</v>
      </c>
    </row>
    <row r="358" spans="1:22" x14ac:dyDescent="0.3">
      <c r="C358" s="52"/>
      <c r="D358" s="52"/>
    </row>
    <row r="359" spans="1:22" ht="14.4" thickBot="1" x14ac:dyDescent="0.35">
      <c r="B359" s="540" t="s">
        <v>428</v>
      </c>
      <c r="C359" s="562"/>
      <c r="D359" s="462"/>
      <c r="E359" s="462"/>
      <c r="F359" s="462"/>
      <c r="G359" s="462"/>
      <c r="H359" s="462"/>
      <c r="I359" s="462"/>
      <c r="J359" s="462"/>
      <c r="K359" s="462"/>
      <c r="L359" s="462"/>
      <c r="M359" s="462"/>
      <c r="N359" s="462"/>
      <c r="O359" s="462"/>
      <c r="P359" s="462"/>
      <c r="Q359" s="462"/>
      <c r="R359" s="462"/>
      <c r="S359" s="462"/>
      <c r="T359" s="462"/>
      <c r="U359" s="462"/>
      <c r="V359" s="506"/>
    </row>
    <row r="360" spans="1:22" ht="14.4" thickTop="1" x14ac:dyDescent="0.3">
      <c r="B360" s="163"/>
      <c r="C360" s="563">
        <f>C350</f>
        <v>46112</v>
      </c>
      <c r="D360" s="563">
        <f t="shared" ref="D360:V360" si="378">D350</f>
        <v>46477</v>
      </c>
      <c r="E360" s="563">
        <f t="shared" si="378"/>
        <v>46843</v>
      </c>
      <c r="F360" s="563">
        <f t="shared" si="378"/>
        <v>47208</v>
      </c>
      <c r="G360" s="563">
        <f t="shared" si="378"/>
        <v>47573</v>
      </c>
      <c r="H360" s="563">
        <f t="shared" si="378"/>
        <v>47938</v>
      </c>
      <c r="I360" s="563">
        <f t="shared" si="378"/>
        <v>48304</v>
      </c>
      <c r="J360" s="563">
        <f t="shared" si="378"/>
        <v>48669</v>
      </c>
      <c r="K360" s="563">
        <f t="shared" si="378"/>
        <v>49034</v>
      </c>
      <c r="L360" s="563">
        <f t="shared" si="378"/>
        <v>49399</v>
      </c>
      <c r="M360" s="563">
        <f t="shared" si="378"/>
        <v>49765</v>
      </c>
      <c r="N360" s="563">
        <f t="shared" si="378"/>
        <v>50130</v>
      </c>
      <c r="O360" s="563">
        <f t="shared" si="378"/>
        <v>50495</v>
      </c>
      <c r="P360" s="563">
        <f t="shared" si="378"/>
        <v>50860</v>
      </c>
      <c r="Q360" s="563">
        <f t="shared" si="378"/>
        <v>51226</v>
      </c>
      <c r="R360" s="563">
        <f t="shared" si="378"/>
        <v>51591</v>
      </c>
      <c r="S360" s="563">
        <f t="shared" si="378"/>
        <v>51956</v>
      </c>
      <c r="T360" s="563">
        <f t="shared" si="378"/>
        <v>52321</v>
      </c>
      <c r="U360" s="563">
        <f t="shared" si="378"/>
        <v>52687</v>
      </c>
      <c r="V360" s="564">
        <f t="shared" si="378"/>
        <v>53052</v>
      </c>
    </row>
    <row r="361" spans="1:22" x14ac:dyDescent="0.3">
      <c r="B361" s="290" t="s">
        <v>414</v>
      </c>
      <c r="C361" s="52">
        <f t="shared" ref="C361:V361" ca="1" si="379">C351-C352</f>
        <v>0.22397673214869696</v>
      </c>
      <c r="D361" s="52">
        <f t="shared" ca="1" si="379"/>
        <v>1.3079523798121953</v>
      </c>
      <c r="E361" s="52">
        <f t="shared" ca="1" si="379"/>
        <v>3.4161654863753803</v>
      </c>
      <c r="F361" s="52">
        <f t="shared" ca="1" si="379"/>
        <v>6.9632006159558557</v>
      </c>
      <c r="G361" s="52">
        <f t="shared" ca="1" si="379"/>
        <v>5.4239859495959237</v>
      </c>
      <c r="H361" s="52">
        <f t="shared" ca="1" si="379"/>
        <v>6.0578264267632136</v>
      </c>
      <c r="I361" s="52">
        <f t="shared" ca="1" si="379"/>
        <v>6.2471320918513911</v>
      </c>
      <c r="J361" s="52">
        <f t="shared" ca="1" si="379"/>
        <v>6.0495493214439477</v>
      </c>
      <c r="K361" s="52">
        <f t="shared" ca="1" si="379"/>
        <v>6.5655946000161407</v>
      </c>
      <c r="L361" s="52">
        <f t="shared" ca="1" si="379"/>
        <v>6.8790448925169585</v>
      </c>
      <c r="M361" s="52">
        <f t="shared" ca="1" si="379"/>
        <v>7.0771443871428019</v>
      </c>
      <c r="N361" s="52">
        <f t="shared" ca="1" si="379"/>
        <v>8.5381874814999605</v>
      </c>
      <c r="O361" s="52">
        <f t="shared" ca="1" si="379"/>
        <v>13.239324918074963</v>
      </c>
      <c r="P361" s="52">
        <f t="shared" ca="1" si="379"/>
        <v>13.322794351478713</v>
      </c>
      <c r="Q361" s="52">
        <f t="shared" ca="1" si="379"/>
        <v>18.770129131552665</v>
      </c>
      <c r="R361" s="52">
        <f t="shared" ca="1" si="379"/>
        <v>20.273623511047155</v>
      </c>
      <c r="S361" s="52">
        <f t="shared" ca="1" si="379"/>
        <v>18.112066007142957</v>
      </c>
      <c r="T361" s="52">
        <f t="shared" ca="1" si="379"/>
        <v>14.276571823928755</v>
      </c>
      <c r="U361" s="52">
        <f t="shared" ca="1" si="379"/>
        <v>3.9638191554583884</v>
      </c>
      <c r="V361" s="244">
        <f t="shared" ca="1" si="379"/>
        <v>0.19434505836892454</v>
      </c>
    </row>
    <row r="362" spans="1:22" x14ac:dyDescent="0.3">
      <c r="B362" s="292" t="s">
        <v>415</v>
      </c>
      <c r="C362" s="550">
        <f ca="1">SUM(C361:F361,G361*9/12)</f>
        <v>15.979284676489071</v>
      </c>
      <c r="D362" s="294"/>
      <c r="E362" s="294"/>
      <c r="F362" s="294"/>
      <c r="G362" s="294"/>
      <c r="H362" s="294"/>
      <c r="I362" s="294"/>
      <c r="J362" s="294"/>
      <c r="K362" s="294"/>
      <c r="L362" s="294"/>
      <c r="M362" s="294"/>
      <c r="N362" s="294"/>
      <c r="O362" s="294"/>
      <c r="P362" s="294"/>
      <c r="Q362" s="294"/>
      <c r="R362" s="294"/>
      <c r="S362" s="474"/>
      <c r="T362" s="474"/>
      <c r="U362" s="294"/>
      <c r="V362" s="381"/>
    </row>
  </sheetData>
  <pageMargins left="0.7" right="0.7" top="0.75" bottom="0.75" header="0.3" footer="0.3"/>
  <ignoredErrors>
    <ignoredError sqref="C345:S345 D112:D113 D176 F241 U246 G305:G306 T345:V345" formula="1"/>
    <ignoredError sqref="A10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97FE9-32F5-4C81-9D51-E492655175E8}">
  <dimension ref="A2:Y115"/>
  <sheetViews>
    <sheetView zoomScale="70" zoomScaleNormal="70" workbookViewId="0">
      <selection activeCell="G6" sqref="C6:G6"/>
    </sheetView>
  </sheetViews>
  <sheetFormatPr defaultRowHeight="13.8" x14ac:dyDescent="0.3"/>
  <cols>
    <col min="1" max="1" width="6.77734375" style="1" bestFit="1" customWidth="1"/>
    <col min="2" max="2" width="40.88671875" style="1" bestFit="1" customWidth="1"/>
    <col min="3" max="3" width="10.33203125" style="1" bestFit="1" customWidth="1"/>
    <col min="4" max="4" width="12.21875" style="1" bestFit="1" customWidth="1"/>
    <col min="5" max="6" width="13.88671875" style="1" bestFit="1" customWidth="1"/>
    <col min="7" max="7" width="13.44140625" style="1" bestFit="1" customWidth="1"/>
    <col min="8" max="8" width="12.33203125" style="1" customWidth="1"/>
    <col min="9" max="9" width="10.33203125" style="1" bestFit="1" customWidth="1"/>
    <col min="10" max="21" width="9.33203125" style="1" bestFit="1" customWidth="1"/>
    <col min="22" max="22" width="11.77734375" style="1" bestFit="1" customWidth="1"/>
    <col min="23" max="23" width="9.33203125" style="1" bestFit="1" customWidth="1"/>
    <col min="24" max="16384" width="8.88671875" style="1"/>
  </cols>
  <sheetData>
    <row r="2" spans="2:23" x14ac:dyDescent="0.3">
      <c r="B2" s="449" t="s">
        <v>523</v>
      </c>
    </row>
    <row r="4" spans="2:23" x14ac:dyDescent="0.3">
      <c r="B4" s="444" t="s">
        <v>160</v>
      </c>
      <c r="C4" s="445">
        <v>45747</v>
      </c>
      <c r="D4" s="445">
        <f>EOMONTH(C4,12)</f>
        <v>46112</v>
      </c>
      <c r="E4" s="445">
        <f t="shared" ref="E4:R4" si="0">EOMONTH(D4,12)</f>
        <v>46477</v>
      </c>
      <c r="F4" s="445">
        <f t="shared" si="0"/>
        <v>46843</v>
      </c>
      <c r="G4" s="445">
        <f t="shared" si="0"/>
        <v>47208</v>
      </c>
      <c r="H4" s="445">
        <f t="shared" si="0"/>
        <v>47573</v>
      </c>
      <c r="I4" s="445">
        <f t="shared" si="0"/>
        <v>47938</v>
      </c>
      <c r="J4" s="445">
        <f t="shared" si="0"/>
        <v>48304</v>
      </c>
      <c r="K4" s="445">
        <f t="shared" si="0"/>
        <v>48669</v>
      </c>
      <c r="L4" s="445">
        <f t="shared" si="0"/>
        <v>49034</v>
      </c>
      <c r="M4" s="445">
        <f t="shared" si="0"/>
        <v>49399</v>
      </c>
      <c r="N4" s="445">
        <f t="shared" si="0"/>
        <v>49765</v>
      </c>
      <c r="O4" s="445">
        <f t="shared" si="0"/>
        <v>50130</v>
      </c>
      <c r="P4" s="445">
        <f t="shared" si="0"/>
        <v>50495</v>
      </c>
      <c r="Q4" s="445">
        <f t="shared" si="0"/>
        <v>50860</v>
      </c>
      <c r="R4" s="445">
        <f t="shared" si="0"/>
        <v>51226</v>
      </c>
      <c r="S4" s="445">
        <f t="shared" ref="S4" si="1">EOMONTH(R4,12)</f>
        <v>51591</v>
      </c>
      <c r="T4" s="445">
        <f t="shared" ref="T4" si="2">EOMONTH(S4,12)</f>
        <v>51956</v>
      </c>
      <c r="U4" s="445">
        <f t="shared" ref="U4" si="3">EOMONTH(T4,12)</f>
        <v>52321</v>
      </c>
      <c r="V4" s="445">
        <f t="shared" ref="V4" si="4">EOMONTH(U4,12)</f>
        <v>52687</v>
      </c>
      <c r="W4" s="446">
        <f t="shared" ref="W4" si="5">EOMONTH(V4,12)</f>
        <v>53052</v>
      </c>
    </row>
    <row r="5" spans="2:23" x14ac:dyDescent="0.3">
      <c r="B5" s="169"/>
      <c r="W5" s="377"/>
    </row>
    <row r="6" spans="2:23" x14ac:dyDescent="0.3">
      <c r="B6" s="169" t="s">
        <v>524</v>
      </c>
      <c r="C6" s="52">
        <f ca="1">'CF Statement'!E18-SUMIFS('CF_Debt Schedule'!81:81,'CF_Debt Schedule'!74:74,C4)</f>
        <v>103.63249329179526</v>
      </c>
      <c r="D6" s="52">
        <f ca="1">'CF Statement'!F18-SUMIFS('CF_Debt Schedule'!81:81,'CF_Debt Schedule'!74:74,D4)</f>
        <v>122.04337060692232</v>
      </c>
      <c r="E6" s="52">
        <f ca="1">'CF Statement'!G18-SUMIFS('CF_Debt Schedule'!81:81,'CF_Debt Schedule'!74:74,E4)</f>
        <v>124.46221265792431</v>
      </c>
      <c r="F6" s="52">
        <f ca="1">'CF Statement'!H18-SUMIFS('CF_Debt Schedule'!81:81,'CF_Debt Schedule'!74:74,F4)</f>
        <v>101.64924800619265</v>
      </c>
      <c r="G6" s="52">
        <f ca="1">'CF Statement'!I18-SUMIFS('CF_Debt Schedule'!81:81,'CF_Debt Schedule'!74:74,G4)</f>
        <v>15.381028678492292</v>
      </c>
      <c r="H6" s="52">
        <f>'CF Statement'!J18-SUMIFS('CF_Debt Schedule'!81:81,'CF_Debt Schedule'!74:74,H4)</f>
        <v>0</v>
      </c>
      <c r="I6" s="52">
        <f ca="1">'CF Statement'!K18-SUMIFS('CF_Debt Schedule'!81:81,'CF_Debt Schedule'!74:74,I4)</f>
        <v>0</v>
      </c>
      <c r="J6" s="52">
        <f ca="1">'CF Statement'!L18-SUMIFS('CF_Debt Schedule'!81:81,'CF_Debt Schedule'!74:74,J4)</f>
        <v>0</v>
      </c>
      <c r="K6" s="52">
        <f>'CF Statement'!M18-SUMIFS('CF_Debt Schedule'!81:81,'CF_Debt Schedule'!74:74,K4)</f>
        <v>0</v>
      </c>
      <c r="L6" s="52">
        <f>'CF Statement'!N18-SUMIFS('CF_Debt Schedule'!81:81,'CF_Debt Schedule'!74:74,L4)</f>
        <v>0</v>
      </c>
      <c r="M6" s="52">
        <f>'CF Statement'!O18-SUMIFS('CF_Debt Schedule'!81:81,'CF_Debt Schedule'!74:74,M4)</f>
        <v>0</v>
      </c>
      <c r="N6" s="52">
        <f>'CF Statement'!P18-SUMIFS('CF_Debt Schedule'!81:81,'CF_Debt Schedule'!74:74,N4)</f>
        <v>0</v>
      </c>
      <c r="O6" s="52">
        <f>'CF Statement'!Q18-SUMIFS('CF_Debt Schedule'!81:81,'CF_Debt Schedule'!74:74,O4)</f>
        <v>0</v>
      </c>
      <c r="P6" s="52">
        <f>'CF Statement'!R18-SUMIFS('CF_Debt Schedule'!81:81,'CF_Debt Schedule'!74:74,P4)</f>
        <v>0</v>
      </c>
      <c r="Q6" s="52">
        <f>'CF Statement'!S18-SUMIFS('CF_Debt Schedule'!81:81,'CF_Debt Schedule'!74:74,Q4)</f>
        <v>0</v>
      </c>
      <c r="R6" s="52">
        <f>'CF Statement'!T18-SUMIFS('CF_Debt Schedule'!81:81,'CF_Debt Schedule'!74:74,R4)</f>
        <v>0</v>
      </c>
      <c r="S6" s="52">
        <f>'CF Statement'!U18-SUMIFS('CF_Debt Schedule'!81:81,'CF_Debt Schedule'!74:74,S4)</f>
        <v>0</v>
      </c>
      <c r="T6" s="52">
        <f>'CF Statement'!V18-SUMIFS('CF_Debt Schedule'!81:81,'CF_Debt Schedule'!74:74,T4)</f>
        <v>0</v>
      </c>
      <c r="U6" s="52">
        <f>'CF Statement'!W18-SUMIFS('CF_Debt Schedule'!81:81,'CF_Debt Schedule'!74:74,U4)</f>
        <v>0</v>
      </c>
      <c r="V6" s="52">
        <f>'CF Statement'!X18-SUMIFS('CF_Debt Schedule'!81:81,'CF_Debt Schedule'!74:74,V4)</f>
        <v>0</v>
      </c>
      <c r="W6" s="244">
        <f>'CF Statement'!Y18-SUMIFS('CF_Debt Schedule'!81:81,'CF_Debt Schedule'!74:74,W4)</f>
        <v>0</v>
      </c>
    </row>
    <row r="7" spans="2:23" x14ac:dyDescent="0.3">
      <c r="B7" s="169" t="s">
        <v>525</v>
      </c>
      <c r="C7" s="52"/>
      <c r="D7" s="52"/>
      <c r="E7" s="52"/>
      <c r="F7" s="52"/>
      <c r="G7" s="52"/>
      <c r="H7" s="52"/>
      <c r="I7" s="52"/>
      <c r="J7" s="52"/>
      <c r="K7" s="52"/>
      <c r="L7" s="52"/>
      <c r="M7" s="52"/>
      <c r="N7" s="52"/>
      <c r="O7" s="52"/>
      <c r="P7" s="52"/>
      <c r="Q7" s="52"/>
      <c r="R7" s="52"/>
      <c r="S7" s="52"/>
      <c r="T7" s="52"/>
      <c r="U7" s="52"/>
      <c r="V7" s="52"/>
      <c r="W7" s="244"/>
    </row>
    <row r="8" spans="2:23" x14ac:dyDescent="0.3">
      <c r="B8" s="290" t="s">
        <v>526</v>
      </c>
      <c r="C8" s="54">
        <f ca="1">SUM(C6:C7)</f>
        <v>103.63249329179526</v>
      </c>
      <c r="D8" s="54">
        <f t="shared" ref="D8:R8" ca="1" si="6">SUM(D6:D7)</f>
        <v>122.04337060692232</v>
      </c>
      <c r="E8" s="54">
        <f t="shared" ca="1" si="6"/>
        <v>124.46221265792431</v>
      </c>
      <c r="F8" s="54">
        <f t="shared" ca="1" si="6"/>
        <v>101.64924800619265</v>
      </c>
      <c r="G8" s="54">
        <f t="shared" ca="1" si="6"/>
        <v>15.381028678492292</v>
      </c>
      <c r="H8" s="54">
        <f t="shared" si="6"/>
        <v>0</v>
      </c>
      <c r="I8" s="54">
        <f t="shared" ca="1" si="6"/>
        <v>0</v>
      </c>
      <c r="J8" s="54">
        <f t="shared" ca="1" si="6"/>
        <v>0</v>
      </c>
      <c r="K8" s="54">
        <f t="shared" si="6"/>
        <v>0</v>
      </c>
      <c r="L8" s="54">
        <f t="shared" si="6"/>
        <v>0</v>
      </c>
      <c r="M8" s="54">
        <f t="shared" si="6"/>
        <v>0</v>
      </c>
      <c r="N8" s="54">
        <f t="shared" si="6"/>
        <v>0</v>
      </c>
      <c r="O8" s="54">
        <f t="shared" si="6"/>
        <v>0</v>
      </c>
      <c r="P8" s="54">
        <f t="shared" si="6"/>
        <v>0</v>
      </c>
      <c r="Q8" s="54">
        <f t="shared" si="6"/>
        <v>0</v>
      </c>
      <c r="R8" s="54">
        <f t="shared" si="6"/>
        <v>0</v>
      </c>
      <c r="S8" s="54">
        <f t="shared" ref="S8:W8" si="7">SUM(S6:S7)</f>
        <v>0</v>
      </c>
      <c r="T8" s="54">
        <f t="shared" si="7"/>
        <v>0</v>
      </c>
      <c r="U8" s="54">
        <f t="shared" si="7"/>
        <v>0</v>
      </c>
      <c r="V8" s="54">
        <f t="shared" si="7"/>
        <v>0</v>
      </c>
      <c r="W8" s="565">
        <f t="shared" si="7"/>
        <v>0</v>
      </c>
    </row>
    <row r="9" spans="2:23" x14ac:dyDescent="0.3">
      <c r="B9" s="169"/>
      <c r="W9" s="377"/>
    </row>
    <row r="10" spans="2:23" x14ac:dyDescent="0.3">
      <c r="B10" s="169" t="s">
        <v>527</v>
      </c>
      <c r="W10" s="377"/>
    </row>
    <row r="11" spans="2:23" x14ac:dyDescent="0.3">
      <c r="B11" s="169"/>
      <c r="C11" s="52"/>
      <c r="D11" s="52"/>
      <c r="E11" s="52"/>
      <c r="F11" s="52"/>
      <c r="G11" s="52"/>
      <c r="H11" s="52"/>
      <c r="I11" s="52"/>
      <c r="J11" s="52"/>
      <c r="K11" s="52"/>
      <c r="L11" s="52"/>
      <c r="M11" s="52"/>
      <c r="N11" s="52"/>
      <c r="O11" s="52"/>
      <c r="P11" s="52"/>
      <c r="Q11" s="52"/>
      <c r="R11" s="52"/>
      <c r="S11" s="52"/>
      <c r="T11" s="52"/>
      <c r="U11" s="52"/>
      <c r="V11" s="52"/>
      <c r="W11" s="244"/>
    </row>
    <row r="12" spans="2:23" x14ac:dyDescent="0.3">
      <c r="B12" s="169" t="s">
        <v>528</v>
      </c>
      <c r="C12" s="52">
        <f ca="1">'P&amp;L Statement'!E30</f>
        <v>0</v>
      </c>
      <c r="D12" s="52">
        <f ca="1">'P&amp;L Statement'!F30</f>
        <v>-2.3662400913647237</v>
      </c>
      <c r="E12" s="52">
        <f ca="1">'P&amp;L Statement'!G30</f>
        <v>1.3277438128782171</v>
      </c>
      <c r="F12" s="52">
        <f ca="1">'P&amp;L Statement'!H30</f>
        <v>10.108799565476799</v>
      </c>
      <c r="G12" s="52">
        <f ca="1">'P&amp;L Statement'!I30</f>
        <v>0.7473225481881336</v>
      </c>
      <c r="H12" s="52">
        <f ca="1">'P&amp;L Statement'!J30</f>
        <v>-41.18731114118134</v>
      </c>
      <c r="I12" s="52">
        <f ca="1">'P&amp;L Statement'!K30</f>
        <v>-37.140292194138482</v>
      </c>
      <c r="J12" s="52">
        <f ca="1">'P&amp;L Statement'!L30</f>
        <v>-34.716052772402207</v>
      </c>
      <c r="K12" s="52">
        <f ca="1">'P&amp;L Statement'!M30</f>
        <v>-31.808660522713936</v>
      </c>
      <c r="L12" s="52">
        <f ca="1">'P&amp;L Statement'!N30</f>
        <v>-28.670733817833849</v>
      </c>
      <c r="M12" s="52">
        <f ca="1">'P&amp;L Statement'!O30</f>
        <v>-25.16872296867642</v>
      </c>
      <c r="N12" s="52">
        <f ca="1">'P&amp;L Statement'!P30</f>
        <v>-21.297173787045146</v>
      </c>
      <c r="O12" s="52">
        <f ca="1">'P&amp;L Statement'!Q30</f>
        <v>-17.018484327790219</v>
      </c>
      <c r="P12" s="52">
        <f ca="1">'P&amp;L Statement'!R30</f>
        <v>-12.262891253337898</v>
      </c>
      <c r="Q12" s="52">
        <f ca="1">'P&amp;L Statement'!S30</f>
        <v>-7.1834558967952091</v>
      </c>
      <c r="R12" s="52">
        <f ca="1">'P&amp;L Statement'!T30</f>
        <v>-1.9647989435823874</v>
      </c>
      <c r="S12" s="52">
        <f ca="1">'P&amp;L Statement'!U30</f>
        <v>3.4000406861341759</v>
      </c>
      <c r="T12" s="52">
        <f ca="1">'P&amp;L Statement'!V30</f>
        <v>9.0458723163539787</v>
      </c>
      <c r="U12" s="52">
        <f ca="1">'P&amp;L Statement'!W30</f>
        <v>14.980370537593522</v>
      </c>
      <c r="V12" s="52">
        <f ca="1">'P&amp;L Statement'!X30</f>
        <v>21.084093479720636</v>
      </c>
      <c r="W12" s="244">
        <f ca="1">'P&amp;L Statement'!Y30</f>
        <v>26.704095142250075</v>
      </c>
    </row>
    <row r="13" spans="2:23" x14ac:dyDescent="0.3">
      <c r="B13" s="169" t="s">
        <v>529</v>
      </c>
      <c r="C13" s="52">
        <f ca="1">'P&amp;L Statement'!E31</f>
        <v>0</v>
      </c>
      <c r="D13" s="52">
        <f ca="1">'P&amp;L Statement'!F31</f>
        <v>2.8013217034234712</v>
      </c>
      <c r="E13" s="52">
        <f ca="1">'P&amp;L Statement'!G31</f>
        <v>5.5143279686521716</v>
      </c>
      <c r="F13" s="52">
        <f ca="1">'P&amp;L Statement'!H31</f>
        <v>9.3582502664007396</v>
      </c>
      <c r="G13" s="52">
        <f ca="1">'P&amp;L Statement'!I31</f>
        <v>12.915335514970698</v>
      </c>
      <c r="H13" s="52">
        <f ca="1">'P&amp;L Statement'!J31</f>
        <v>15.846997879294797</v>
      </c>
      <c r="I13" s="52">
        <f ca="1">'P&amp;L Statement'!K31</f>
        <v>16.352491027568803</v>
      </c>
      <c r="J13" s="52">
        <f ca="1">'P&amp;L Statement'!L31</f>
        <v>16.352491027568803</v>
      </c>
      <c r="K13" s="52">
        <f ca="1">'P&amp;L Statement'!M31</f>
        <v>16.352491027568803</v>
      </c>
      <c r="L13" s="52">
        <f ca="1">'P&amp;L Statement'!N31</f>
        <v>16.352491027568803</v>
      </c>
      <c r="M13" s="52">
        <f ca="1">'P&amp;L Statement'!O31</f>
        <v>16.352491027568803</v>
      </c>
      <c r="N13" s="52">
        <f ca="1">'P&amp;L Statement'!P31</f>
        <v>16.352491027568803</v>
      </c>
      <c r="O13" s="52">
        <f ca="1">'P&amp;L Statement'!Q31</f>
        <v>16.352491027568803</v>
      </c>
      <c r="P13" s="52">
        <f ca="1">'P&amp;L Statement'!R31</f>
        <v>16.352491027568803</v>
      </c>
      <c r="Q13" s="52">
        <f ca="1">'P&amp;L Statement'!S31</f>
        <v>16.352491027568803</v>
      </c>
      <c r="R13" s="52">
        <f ca="1">'P&amp;L Statement'!T31</f>
        <v>16.352491027568803</v>
      </c>
      <c r="S13" s="52">
        <f ca="1">'P&amp;L Statement'!U31</f>
        <v>16.352491027568803</v>
      </c>
      <c r="T13" s="52">
        <f ca="1">'P&amp;L Statement'!V31</f>
        <v>16.352491027568803</v>
      </c>
      <c r="U13" s="52">
        <f ca="1">'P&amp;L Statement'!W31</f>
        <v>16.352491027568803</v>
      </c>
      <c r="V13" s="52">
        <f ca="1">'P&amp;L Statement'!X31</f>
        <v>16.352491027568803</v>
      </c>
      <c r="W13" s="244">
        <f ca="1">'P&amp;L Statement'!Y31</f>
        <v>16.352491027568803</v>
      </c>
    </row>
    <row r="14" spans="2:23" x14ac:dyDescent="0.3">
      <c r="B14" s="169" t="s">
        <v>530</v>
      </c>
      <c r="C14" s="52">
        <f>'P&amp;L Statement'!E32</f>
        <v>0</v>
      </c>
      <c r="E14" s="52">
        <f ca="1">'P&amp;L Statement'!F32-'LRD - Combined'!C51*(1-25.17%)</f>
        <v>0</v>
      </c>
      <c r="F14" s="52">
        <f ca="1">'P&amp;L Statement'!H32</f>
        <v>0</v>
      </c>
      <c r="G14" s="52">
        <f ca="1">'P&amp;L Statement'!I32</f>
        <v>7.1625106833256815</v>
      </c>
      <c r="H14" s="52">
        <f ca="1">'P&amp;L Statement'!J32</f>
        <v>26.23972663816787</v>
      </c>
      <c r="I14" s="52">
        <f ca="1">'P&amp;L Statement'!K32</f>
        <v>25.149412511897214</v>
      </c>
      <c r="J14" s="52">
        <f ca="1">'P&amp;L Statement'!L32</f>
        <v>24.607536703656091</v>
      </c>
      <c r="K14" s="52">
        <f ca="1">'P&amp;L Statement'!M32</f>
        <v>23.87441061015338</v>
      </c>
      <c r="L14" s="52">
        <f ca="1">'P&amp;L Statement'!N32</f>
        <v>22.918159183845503</v>
      </c>
      <c r="M14" s="52">
        <f ca="1">'P&amp;L Statement'!O32</f>
        <v>21.706907377188855</v>
      </c>
      <c r="N14" s="52">
        <f ca="1">'P&amp;L Statement'!P32</f>
        <v>20.240655190183439</v>
      </c>
      <c r="O14" s="52">
        <f ca="1">'P&amp;L Statement'!Q32</f>
        <v>18.487527575285661</v>
      </c>
      <c r="P14" s="52">
        <f ca="1">'P&amp;L Statement'!R32</f>
        <v>16.383774437408327</v>
      </c>
      <c r="Q14" s="52">
        <f ca="1">'P&amp;L Statement'!S32</f>
        <v>14.088771014269419</v>
      </c>
      <c r="R14" s="52">
        <f ca="1">'P&amp;L Statement'!T32</f>
        <v>11.793767591130509</v>
      </c>
      <c r="S14" s="52">
        <f ca="1">'P&amp;L Statement'!U32</f>
        <v>9.4987641679915988</v>
      </c>
      <c r="T14" s="52">
        <f ca="1">'P&amp;L Statement'!V32</f>
        <v>7.0762605546783055</v>
      </c>
      <c r="U14" s="52">
        <f ca="1">'P&amp;L Statement'!W32</f>
        <v>4.526256751190628</v>
      </c>
      <c r="V14" s="52">
        <f ca="1">'P&amp;L Statement'!X32</f>
        <v>1.9762529477029496</v>
      </c>
      <c r="W14" s="244">
        <f ca="1">'P&amp;L Statement'!Y32</f>
        <v>8.7656380744888171E-2</v>
      </c>
    </row>
    <row r="15" spans="2:23" x14ac:dyDescent="0.3">
      <c r="B15" s="169" t="s">
        <v>456</v>
      </c>
      <c r="C15" s="52">
        <f>'P&amp;L Statement'!E33</f>
        <v>0</v>
      </c>
      <c r="D15" s="52">
        <f>'P&amp;L Statement'!F33</f>
        <v>0</v>
      </c>
      <c r="E15" s="52">
        <f>'P&amp;L Statement'!G33</f>
        <v>0</v>
      </c>
      <c r="F15" s="52">
        <f>'P&amp;L Statement'!H33</f>
        <v>0</v>
      </c>
      <c r="G15" s="52">
        <f ca="1">'P&amp;L Statement'!I33</f>
        <v>8.7796960699606839</v>
      </c>
      <c r="H15" s="52">
        <f ca="1">'P&amp;L Statement'!J33</f>
        <v>35.215264456435712</v>
      </c>
      <c r="I15" s="52">
        <f ca="1">'P&amp;L Statement'!K33</f>
        <v>35.215264456435712</v>
      </c>
      <c r="J15" s="52">
        <f ca="1">'P&amp;L Statement'!L33</f>
        <v>35.311744633028688</v>
      </c>
      <c r="K15" s="52">
        <f ca="1">'P&amp;L Statement'!M33</f>
        <v>35.215264456435712</v>
      </c>
      <c r="L15" s="52">
        <f ca="1">'P&amp;L Statement'!N33</f>
        <v>35.215264456435712</v>
      </c>
      <c r="M15" s="52">
        <f ca="1">'P&amp;L Statement'!O33</f>
        <v>35.215264456435712</v>
      </c>
      <c r="N15" s="52">
        <f ca="1">'P&amp;L Statement'!P33</f>
        <v>35.215264456435712</v>
      </c>
      <c r="O15" s="52">
        <f ca="1">'P&amp;L Statement'!Q33</f>
        <v>35.215264456435712</v>
      </c>
      <c r="P15" s="52">
        <f ca="1">'P&amp;L Statement'!R33</f>
        <v>35.215264456435712</v>
      </c>
      <c r="Q15" s="52">
        <f ca="1">'P&amp;L Statement'!S33</f>
        <v>35.215264456435712</v>
      </c>
      <c r="R15" s="52">
        <f ca="1">'P&amp;L Statement'!T33</f>
        <v>35.215264456435712</v>
      </c>
      <c r="S15" s="52">
        <f ca="1">'P&amp;L Statement'!U33</f>
        <v>35.215264456435712</v>
      </c>
      <c r="T15" s="52">
        <f ca="1">'P&amp;L Statement'!V33</f>
        <v>35.215264456435712</v>
      </c>
      <c r="U15" s="52">
        <f ca="1">'P&amp;L Statement'!W33</f>
        <v>35.215264456435712</v>
      </c>
      <c r="V15" s="52">
        <f ca="1">'P&amp;L Statement'!X33</f>
        <v>35.215264456435712</v>
      </c>
      <c r="W15" s="244">
        <f ca="1">'P&amp;L Statement'!Y33</f>
        <v>35.215264456435712</v>
      </c>
    </row>
    <row r="16" spans="2:23" x14ac:dyDescent="0.3">
      <c r="B16" s="169" t="s">
        <v>196</v>
      </c>
      <c r="C16" s="52">
        <f>SUMIFS('Quarterly Cashflow'!41:41,'Quarterly Cashflow'!2:2,C4)</f>
        <v>0</v>
      </c>
      <c r="D16" s="52">
        <f>SUMIFS('Quarterly Cashflow'!41:41,'Quarterly Cashflow'!2:2,D4)</f>
        <v>3.1387119227698497</v>
      </c>
      <c r="E16" s="52">
        <f>SUMIFS('Quarterly Cashflow'!41:41,'Quarterly Cashflow'!2:2,E4)</f>
        <v>6.0795196073454152</v>
      </c>
      <c r="F16" s="52">
        <f>SUMIFS('Quarterly Cashflow'!41:41,'Quarterly Cashflow'!2:2,F4)</f>
        <v>2.5342463384935199</v>
      </c>
      <c r="G16" s="52">
        <f>SUMIFS('Quarterly Cashflow'!41:41,'Quarterly Cashflow'!2:2,G4)</f>
        <v>5.436752398531965</v>
      </c>
      <c r="H16" s="52">
        <f>SUMIFS('Quarterly Cashflow'!41:41,'Quarterly Cashflow'!2:2,H4)</f>
        <v>1.1327491372569751</v>
      </c>
      <c r="I16" s="52">
        <f>SUMIFS('Quarterly Cashflow'!41:41,'Quarterly Cashflow'!2:2,I4)</f>
        <v>0</v>
      </c>
      <c r="J16" s="52">
        <f>SUMIFS('Quarterly Cashflow'!41:41,'Quarterly Cashflow'!2:2,J4)</f>
        <v>0</v>
      </c>
      <c r="K16" s="52">
        <f>SUMIFS('Quarterly Cashflow'!41:41,'Quarterly Cashflow'!2:2,K4)</f>
        <v>0</v>
      </c>
      <c r="L16" s="52">
        <f>SUMIFS('Quarterly Cashflow'!41:41,'Quarterly Cashflow'!2:2,L4)</f>
        <v>0</v>
      </c>
      <c r="M16" s="52">
        <f>SUMIFS('Quarterly Cashflow'!41:41,'Quarterly Cashflow'!2:2,M4)</f>
        <v>0</v>
      </c>
      <c r="N16" s="52">
        <f>SUMIFS('Quarterly Cashflow'!41:41,'Quarterly Cashflow'!2:2,N4)</f>
        <v>0</v>
      </c>
      <c r="O16" s="52">
        <f>SUMIFS('Quarterly Cashflow'!41:41,'Quarterly Cashflow'!2:2,O4)</f>
        <v>0</v>
      </c>
      <c r="P16" s="52">
        <f>SUMIFS('Quarterly Cashflow'!41:41,'Quarterly Cashflow'!2:2,P4)</f>
        <v>0</v>
      </c>
      <c r="Q16" s="52">
        <f>SUMIFS('Quarterly Cashflow'!41:41,'Quarterly Cashflow'!2:2,Q4)</f>
        <v>0</v>
      </c>
      <c r="R16" s="52">
        <f>SUMIFS('Quarterly Cashflow'!41:41,'Quarterly Cashflow'!2:2,R4)</f>
        <v>0</v>
      </c>
      <c r="S16" s="52">
        <f>SUMIFS('Quarterly Cashflow'!41:41,'Quarterly Cashflow'!2:2,S4)</f>
        <v>0</v>
      </c>
      <c r="T16" s="52">
        <f>SUMIFS('Quarterly Cashflow'!41:41,'Quarterly Cashflow'!2:2,T4)</f>
        <v>0</v>
      </c>
      <c r="U16" s="52">
        <f>SUMIFS('Quarterly Cashflow'!41:41,'Quarterly Cashflow'!2:2,U4)</f>
        <v>0</v>
      </c>
      <c r="V16" s="52">
        <f>SUMIFS('Quarterly Cashflow'!41:41,'Quarterly Cashflow'!2:2,V4)</f>
        <v>0</v>
      </c>
      <c r="W16" s="244">
        <f>SUMIFS('Quarterly Cashflow'!41:41,'Quarterly Cashflow'!2:2,W4)</f>
        <v>0</v>
      </c>
    </row>
    <row r="17" spans="2:25" x14ac:dyDescent="0.3">
      <c r="B17" s="169" t="s">
        <v>568</v>
      </c>
      <c r="R17" s="52"/>
      <c r="S17" s="52"/>
      <c r="T17" s="52"/>
      <c r="U17" s="52"/>
      <c r="V17" s="52"/>
      <c r="W17" s="244">
        <f ca="1">'Balance sheet'!Y24</f>
        <v>246.92219787741368</v>
      </c>
    </row>
    <row r="18" spans="2:25" x14ac:dyDescent="0.3">
      <c r="B18" s="169"/>
      <c r="W18" s="377"/>
    </row>
    <row r="19" spans="2:25" x14ac:dyDescent="0.3">
      <c r="B19" s="290" t="s">
        <v>531</v>
      </c>
      <c r="C19" s="54">
        <f t="shared" ref="C19:R19" ca="1" si="8">SUM(C12:C17)</f>
        <v>0</v>
      </c>
      <c r="D19" s="54">
        <f t="shared" ca="1" si="8"/>
        <v>3.5737935348285972</v>
      </c>
      <c r="E19" s="54">
        <f t="shared" ca="1" si="8"/>
        <v>12.921591388875804</v>
      </c>
      <c r="F19" s="54">
        <f t="shared" ca="1" si="8"/>
        <v>22.001296170371059</v>
      </c>
      <c r="G19" s="54">
        <f t="shared" ca="1" si="8"/>
        <v>35.041617214977165</v>
      </c>
      <c r="H19" s="54">
        <f t="shared" ca="1" si="8"/>
        <v>37.247426969974008</v>
      </c>
      <c r="I19" s="54">
        <f t="shared" ca="1" si="8"/>
        <v>39.576875801763251</v>
      </c>
      <c r="J19" s="54">
        <f t="shared" ca="1" si="8"/>
        <v>41.555719591851371</v>
      </c>
      <c r="K19" s="54">
        <f t="shared" ca="1" si="8"/>
        <v>43.633505571443962</v>
      </c>
      <c r="L19" s="54">
        <f t="shared" ca="1" si="8"/>
        <v>45.815180850016169</v>
      </c>
      <c r="M19" s="54">
        <f t="shared" ca="1" si="8"/>
        <v>48.10593989251695</v>
      </c>
      <c r="N19" s="54">
        <f t="shared" ca="1" si="8"/>
        <v>50.511236887142807</v>
      </c>
      <c r="O19" s="54">
        <f t="shared" ca="1" si="8"/>
        <v>53.036798731499957</v>
      </c>
      <c r="P19" s="54">
        <f t="shared" ca="1" si="8"/>
        <v>55.688638668074944</v>
      </c>
      <c r="Q19" s="54">
        <f t="shared" ca="1" si="8"/>
        <v>58.473070601478724</v>
      </c>
      <c r="R19" s="54">
        <f t="shared" ca="1" si="8"/>
        <v>61.396724131552638</v>
      </c>
      <c r="S19" s="54">
        <f t="shared" ref="S19:W19" ca="1" si="9">SUM(S12:S17)</f>
        <v>64.466560338130293</v>
      </c>
      <c r="T19" s="54">
        <f t="shared" ca="1" si="9"/>
        <v>67.6898883550368</v>
      </c>
      <c r="U19" s="54">
        <f t="shared" ca="1" si="9"/>
        <v>71.074382772788667</v>
      </c>
      <c r="V19" s="54">
        <f t="shared" ca="1" si="9"/>
        <v>74.628101911428104</v>
      </c>
      <c r="W19" s="565">
        <f t="shared" ca="1" si="9"/>
        <v>325.28170488441316</v>
      </c>
    </row>
    <row r="20" spans="2:25" x14ac:dyDescent="0.3">
      <c r="B20" s="169"/>
      <c r="W20" s="377"/>
    </row>
    <row r="21" spans="2:25" x14ac:dyDescent="0.3">
      <c r="B21" s="163" t="s">
        <v>532</v>
      </c>
      <c r="C21" s="190">
        <f t="shared" ref="C21:R21" ca="1" si="10">C19-C8</f>
        <v>-103.63249329179526</v>
      </c>
      <c r="D21" s="190">
        <f t="shared" ca="1" si="10"/>
        <v>-118.46957707209373</v>
      </c>
      <c r="E21" s="190">
        <f t="shared" ca="1" si="10"/>
        <v>-111.5406212690485</v>
      </c>
      <c r="F21" s="190">
        <f t="shared" ca="1" si="10"/>
        <v>-79.647951835821587</v>
      </c>
      <c r="G21" s="190">
        <f t="shared" ca="1" si="10"/>
        <v>19.660588536484873</v>
      </c>
      <c r="H21" s="190">
        <f t="shared" ca="1" si="10"/>
        <v>37.247426969974008</v>
      </c>
      <c r="I21" s="190">
        <f t="shared" ca="1" si="10"/>
        <v>39.576875801763251</v>
      </c>
      <c r="J21" s="190">
        <f t="shared" ca="1" si="10"/>
        <v>41.555719591851371</v>
      </c>
      <c r="K21" s="190">
        <f t="shared" ca="1" si="10"/>
        <v>43.633505571443962</v>
      </c>
      <c r="L21" s="190">
        <f t="shared" ca="1" si="10"/>
        <v>45.815180850016169</v>
      </c>
      <c r="M21" s="190">
        <f t="shared" ca="1" si="10"/>
        <v>48.10593989251695</v>
      </c>
      <c r="N21" s="190">
        <f t="shared" ca="1" si="10"/>
        <v>50.511236887142807</v>
      </c>
      <c r="O21" s="190">
        <f t="shared" ca="1" si="10"/>
        <v>53.036798731499957</v>
      </c>
      <c r="P21" s="190">
        <f t="shared" ca="1" si="10"/>
        <v>55.688638668074944</v>
      </c>
      <c r="Q21" s="190">
        <f t="shared" ca="1" si="10"/>
        <v>58.473070601478724</v>
      </c>
      <c r="R21" s="190">
        <f t="shared" ca="1" si="10"/>
        <v>61.396724131552638</v>
      </c>
      <c r="S21" s="190">
        <f t="shared" ref="S21:W21" ca="1" si="11">S19-S8</f>
        <v>64.466560338130293</v>
      </c>
      <c r="T21" s="190">
        <f t="shared" ca="1" si="11"/>
        <v>67.6898883550368</v>
      </c>
      <c r="U21" s="190">
        <f t="shared" ca="1" si="11"/>
        <v>71.074382772788667</v>
      </c>
      <c r="V21" s="190">
        <f t="shared" ca="1" si="11"/>
        <v>74.628101911428104</v>
      </c>
      <c r="W21" s="249">
        <f t="shared" ca="1" si="11"/>
        <v>325.28170488441316</v>
      </c>
    </row>
    <row r="22" spans="2:25" x14ac:dyDescent="0.3">
      <c r="B22" s="169"/>
      <c r="W22" s="377"/>
    </row>
    <row r="23" spans="2:25" x14ac:dyDescent="0.3">
      <c r="B23" s="449" t="s">
        <v>533</v>
      </c>
      <c r="C23" s="598">
        <f ca="1">XIRR(C21:W21,C4:W4)</f>
        <v>8.7389537692069988E-2</v>
      </c>
      <c r="D23" s="294"/>
      <c r="E23" s="294"/>
      <c r="F23" s="294"/>
      <c r="G23" s="294"/>
      <c r="H23" s="294"/>
      <c r="I23" s="294"/>
      <c r="J23" s="294"/>
      <c r="K23" s="294"/>
      <c r="L23" s="294"/>
      <c r="M23" s="294"/>
      <c r="N23" s="294"/>
      <c r="O23" s="294"/>
      <c r="P23" s="294"/>
      <c r="Q23" s="294"/>
      <c r="R23" s="294"/>
      <c r="S23" s="294"/>
      <c r="T23" s="294"/>
      <c r="U23" s="294"/>
      <c r="V23" s="294"/>
      <c r="W23" s="381"/>
    </row>
    <row r="24" spans="2:25" x14ac:dyDescent="0.3">
      <c r="C24" s="33"/>
    </row>
    <row r="26" spans="2:25" x14ac:dyDescent="0.3">
      <c r="B26" s="449" t="s">
        <v>535</v>
      </c>
    </row>
    <row r="28" spans="2:25" x14ac:dyDescent="0.3">
      <c r="D28" s="606">
        <v>1</v>
      </c>
      <c r="E28" s="606">
        <f>D28+1</f>
        <v>2</v>
      </c>
      <c r="F28" s="606">
        <f t="shared" ref="F28:W28" si="12">E28+1</f>
        <v>3</v>
      </c>
      <c r="G28" s="606">
        <f t="shared" si="12"/>
        <v>4</v>
      </c>
      <c r="H28" s="606">
        <f t="shared" si="12"/>
        <v>5</v>
      </c>
      <c r="I28" s="606">
        <f t="shared" si="12"/>
        <v>6</v>
      </c>
      <c r="J28" s="606">
        <f t="shared" si="12"/>
        <v>7</v>
      </c>
      <c r="K28" s="606">
        <f t="shared" si="12"/>
        <v>8</v>
      </c>
      <c r="L28" s="606">
        <f t="shared" si="12"/>
        <v>9</v>
      </c>
      <c r="M28" s="606">
        <f t="shared" si="12"/>
        <v>10</v>
      </c>
      <c r="N28" s="606">
        <f t="shared" si="12"/>
        <v>11</v>
      </c>
      <c r="O28" s="606">
        <f t="shared" si="12"/>
        <v>12</v>
      </c>
      <c r="P28" s="606">
        <f t="shared" si="12"/>
        <v>13</v>
      </c>
      <c r="Q28" s="606">
        <f t="shared" si="12"/>
        <v>14</v>
      </c>
      <c r="R28" s="606">
        <f t="shared" si="12"/>
        <v>15</v>
      </c>
      <c r="S28" s="606">
        <f t="shared" si="12"/>
        <v>16</v>
      </c>
      <c r="T28" s="606">
        <f t="shared" si="12"/>
        <v>17</v>
      </c>
      <c r="U28" s="606">
        <f t="shared" si="12"/>
        <v>18</v>
      </c>
      <c r="V28" s="606">
        <f t="shared" si="12"/>
        <v>19</v>
      </c>
      <c r="W28" s="606">
        <f t="shared" si="12"/>
        <v>20</v>
      </c>
    </row>
    <row r="29" spans="2:25" x14ac:dyDescent="0.3">
      <c r="B29" s="444" t="s">
        <v>160</v>
      </c>
      <c r="C29" s="445">
        <v>45747</v>
      </c>
      <c r="D29" s="445">
        <f>EOMONTH(C29,12)</f>
        <v>46112</v>
      </c>
      <c r="E29" s="445">
        <f t="shared" ref="E29" si="13">EOMONTH(D29,12)</f>
        <v>46477</v>
      </c>
      <c r="F29" s="445">
        <f t="shared" ref="F29" si="14">EOMONTH(E29,12)</f>
        <v>46843</v>
      </c>
      <c r="G29" s="445">
        <f t="shared" ref="G29" si="15">EOMONTH(F29,12)</f>
        <v>47208</v>
      </c>
      <c r="H29" s="445">
        <f t="shared" ref="H29" si="16">EOMONTH(G29,12)</f>
        <v>47573</v>
      </c>
      <c r="I29" s="445">
        <f t="shared" ref="I29" si="17">EOMONTH(H29,12)</f>
        <v>47938</v>
      </c>
      <c r="J29" s="445">
        <f t="shared" ref="J29" si="18">EOMONTH(I29,12)</f>
        <v>48304</v>
      </c>
      <c r="K29" s="445">
        <f t="shared" ref="K29" si="19">EOMONTH(J29,12)</f>
        <v>48669</v>
      </c>
      <c r="L29" s="445">
        <f t="shared" ref="L29" si="20">EOMONTH(K29,12)</f>
        <v>49034</v>
      </c>
      <c r="M29" s="445">
        <f t="shared" ref="M29" si="21">EOMONTH(L29,12)</f>
        <v>49399</v>
      </c>
      <c r="N29" s="445">
        <f t="shared" ref="N29" si="22">EOMONTH(M29,12)</f>
        <v>49765</v>
      </c>
      <c r="O29" s="445">
        <f t="shared" ref="O29" si="23">EOMONTH(N29,12)</f>
        <v>50130</v>
      </c>
      <c r="P29" s="445">
        <f t="shared" ref="P29" si="24">EOMONTH(O29,12)</f>
        <v>50495</v>
      </c>
      <c r="Q29" s="445">
        <f t="shared" ref="Q29" si="25">EOMONTH(P29,12)</f>
        <v>50860</v>
      </c>
      <c r="R29" s="446">
        <f t="shared" ref="R29" si="26">EOMONTH(Q29,12)</f>
        <v>51226</v>
      </c>
      <c r="S29" s="446">
        <f t="shared" ref="S29" si="27">EOMONTH(R29,12)</f>
        <v>51591</v>
      </c>
      <c r="T29" s="446">
        <f t="shared" ref="T29" si="28">EOMONTH(S29,12)</f>
        <v>51956</v>
      </c>
      <c r="U29" s="446">
        <f t="shared" ref="U29" si="29">EOMONTH(T29,12)</f>
        <v>52321</v>
      </c>
      <c r="V29" s="446">
        <f t="shared" ref="V29" si="30">EOMONTH(U29,12)</f>
        <v>52687</v>
      </c>
      <c r="W29" s="446">
        <f t="shared" ref="W29" si="31">EOMONTH(V29,12)</f>
        <v>53052</v>
      </c>
    </row>
    <row r="30" spans="2:25" x14ac:dyDescent="0.3">
      <c r="B30" s="169" t="s">
        <v>536</v>
      </c>
      <c r="C30" s="52">
        <f ca="1">-'Cost &amp; Means'!C23</f>
        <v>-551.5380507293936</v>
      </c>
      <c r="D30" s="52">
        <f ca="1">'P&amp;L Statement'!F23+'P&amp;L Statement'!F18+'P&amp;L Statement'!F22</f>
        <v>0.43508161205874751</v>
      </c>
      <c r="E30" s="52">
        <f ca="1">'P&amp;L Statement'!G23+'P&amp;L Statement'!G18+'P&amp;L Statement'!G22</f>
        <v>6.8420717815303886</v>
      </c>
      <c r="F30" s="52">
        <f ca="1">'P&amp;L Statement'!H23+'P&amp;L Statement'!H18+'P&amp;L Statement'!H22</f>
        <v>19.467049831877539</v>
      </c>
      <c r="G30" s="52">
        <f ca="1">'P&amp;L Statement'!I23+'P&amp;L Statement'!I18+'P&amp;L Statement'!I22</f>
        <v>22.442354133119515</v>
      </c>
      <c r="H30" s="52">
        <f ca="1">'P&amp;L Statement'!J23+'P&amp;L Statement'!J18+'P&amp;L Statement'!J22</f>
        <v>9.874951194549169</v>
      </c>
      <c r="I30" s="52">
        <f ca="1">'P&amp;L Statement'!K23+'P&amp;L Statement'!K18+'P&amp;L Statement'!K22</f>
        <v>14.427463289866033</v>
      </c>
      <c r="J30" s="52">
        <f ca="1">'P&amp;L Statement'!L23+'P&amp;L Statement'!L18+'P&amp;L Statement'!L22</f>
        <v>16.948182888195284</v>
      </c>
      <c r="K30" s="52">
        <f ca="1">'P&amp;L Statement'!M23+'P&amp;L Statement'!M18+'P&amp;L Statement'!M22</f>
        <v>19.759094961290579</v>
      </c>
      <c r="L30" s="52">
        <f ca="1">'P&amp;L Statement'!N23+'P&amp;L Statement'!N18+'P&amp;L Statement'!N22</f>
        <v>22.897021666170666</v>
      </c>
      <c r="M30" s="52">
        <f ca="1">'P&amp;L Statement'!O23+'P&amp;L Statement'!O18+'P&amp;L Statement'!O22</f>
        <v>26.399032515328095</v>
      </c>
      <c r="N30" s="52">
        <f ca="1">'P&amp;L Statement'!P23+'P&amp;L Statement'!P18+'P&amp;L Statement'!P22</f>
        <v>30.270581696959368</v>
      </c>
      <c r="O30" s="52">
        <f ca="1">'P&amp;L Statement'!Q23+'P&amp;L Statement'!Q18+'P&amp;L Statement'!Q22</f>
        <v>34.549271156214296</v>
      </c>
      <c r="P30" s="52">
        <f ca="1">'P&amp;L Statement'!R23+'P&amp;L Statement'!R18+'P&amp;L Statement'!R22</f>
        <v>39.304864230666617</v>
      </c>
      <c r="Q30" s="52">
        <f ca="1">'P&amp;L Statement'!S23+'P&amp;L Statement'!S18+'P&amp;L Statement'!S22</f>
        <v>44.384299587209306</v>
      </c>
      <c r="R30" s="52">
        <f ca="1">'P&amp;L Statement'!T23+'P&amp;L Statement'!T18+'P&amp;L Statement'!T22</f>
        <v>49.602956540422127</v>
      </c>
      <c r="S30" s="52">
        <f ca="1">'P&amp;L Statement'!U23+'P&amp;L Statement'!U18+'P&amp;L Statement'!U22</f>
        <v>54.967796170138691</v>
      </c>
      <c r="T30" s="52">
        <f ca="1">'P&amp;L Statement'!V23+'P&amp;L Statement'!V18+'P&amp;L Statement'!V22</f>
        <v>60.613627800358493</v>
      </c>
      <c r="U30" s="52">
        <f ca="1">'P&amp;L Statement'!W23+'P&amp;L Statement'!W18+'P&amp;L Statement'!W22</f>
        <v>66.548126021598037</v>
      </c>
      <c r="V30" s="52">
        <f ca="1">'P&amp;L Statement'!X23+'P&amp;L Statement'!X18+'P&amp;L Statement'!X22</f>
        <v>72.651848963725143</v>
      </c>
      <c r="W30" s="244">
        <f ca="1">'P&amp;L Statement'!Y23+'P&amp;L Statement'!Y18+'P&amp;L Statement'!Y22</f>
        <v>78.27185062625459</v>
      </c>
      <c r="Y30" s="52"/>
    </row>
    <row r="31" spans="2:25" x14ac:dyDescent="0.3">
      <c r="B31" s="169" t="s">
        <v>537</v>
      </c>
      <c r="C31" s="52">
        <f ca="1">C30</f>
        <v>-551.5380507293936</v>
      </c>
      <c r="D31" s="52">
        <f ca="1">C31+D30</f>
        <v>-551.10296911733485</v>
      </c>
      <c r="E31" s="52">
        <f t="shared" ref="E31:R31" ca="1" si="32">D31+E30</f>
        <v>-544.26089733580443</v>
      </c>
      <c r="F31" s="52">
        <f t="shared" ca="1" si="32"/>
        <v>-524.79384750392694</v>
      </c>
      <c r="G31" s="52">
        <f t="shared" ca="1" si="32"/>
        <v>-502.35149337080742</v>
      </c>
      <c r="H31" s="52">
        <f t="shared" ca="1" si="32"/>
        <v>-492.47654217625825</v>
      </c>
      <c r="I31" s="52">
        <f t="shared" ca="1" si="32"/>
        <v>-478.04907888639224</v>
      </c>
      <c r="J31" s="52">
        <f t="shared" ca="1" si="32"/>
        <v>-461.10089599819696</v>
      </c>
      <c r="K31" s="52">
        <f t="shared" ca="1" si="32"/>
        <v>-441.34180103690636</v>
      </c>
      <c r="L31" s="52">
        <f t="shared" ca="1" si="32"/>
        <v>-418.44477937073572</v>
      </c>
      <c r="M31" s="52">
        <f t="shared" ca="1" si="32"/>
        <v>-392.04574685540763</v>
      </c>
      <c r="N31" s="52">
        <f t="shared" ca="1" si="32"/>
        <v>-361.77516515844826</v>
      </c>
      <c r="O31" s="52">
        <f t="shared" ca="1" si="32"/>
        <v>-327.22589400223399</v>
      </c>
      <c r="P31" s="52">
        <f t="shared" ca="1" si="32"/>
        <v>-287.92102977156736</v>
      </c>
      <c r="Q31" s="52">
        <f t="shared" ca="1" si="32"/>
        <v>-243.53673018435805</v>
      </c>
      <c r="R31" s="52">
        <f t="shared" ca="1" si="32"/>
        <v>-193.93377364393592</v>
      </c>
      <c r="S31" s="52">
        <f t="shared" ref="S31" ca="1" si="33">R31+S30</f>
        <v>-138.96597747379724</v>
      </c>
      <c r="T31" s="52">
        <f t="shared" ref="T31" ca="1" si="34">S31+T30</f>
        <v>-78.352349673438738</v>
      </c>
      <c r="U31" s="52">
        <f t="shared" ref="U31" ca="1" si="35">T31+U30</f>
        <v>-11.804223651840701</v>
      </c>
      <c r="V31" s="52">
        <f t="shared" ref="V31" ca="1" si="36">U31+V30</f>
        <v>60.847625311884443</v>
      </c>
      <c r="W31" s="244">
        <f t="shared" ref="W31" ca="1" si="37">V31+W30</f>
        <v>139.11947593813903</v>
      </c>
    </row>
    <row r="32" spans="2:25" x14ac:dyDescent="0.3">
      <c r="B32" s="169" t="s">
        <v>538</v>
      </c>
      <c r="C32" s="52">
        <f ca="1">IF(C31&lt;0.00000001,0,C28)</f>
        <v>0</v>
      </c>
      <c r="D32" s="52">
        <f t="shared" ref="D32:W32" ca="1" si="38">IF(D31&lt;0.00000001,0,D28)</f>
        <v>0</v>
      </c>
      <c r="E32" s="52">
        <f t="shared" ca="1" si="38"/>
        <v>0</v>
      </c>
      <c r="F32" s="52">
        <f t="shared" ca="1" si="38"/>
        <v>0</v>
      </c>
      <c r="G32" s="52">
        <f t="shared" ca="1" si="38"/>
        <v>0</v>
      </c>
      <c r="H32" s="52">
        <f t="shared" ca="1" si="38"/>
        <v>0</v>
      </c>
      <c r="I32" s="52">
        <f t="shared" ca="1" si="38"/>
        <v>0</v>
      </c>
      <c r="J32" s="52">
        <f t="shared" ca="1" si="38"/>
        <v>0</v>
      </c>
      <c r="K32" s="52">
        <f t="shared" ca="1" si="38"/>
        <v>0</v>
      </c>
      <c r="L32" s="52">
        <f t="shared" ca="1" si="38"/>
        <v>0</v>
      </c>
      <c r="M32" s="52">
        <f t="shared" ca="1" si="38"/>
        <v>0</v>
      </c>
      <c r="N32" s="52">
        <f t="shared" ca="1" si="38"/>
        <v>0</v>
      </c>
      <c r="O32" s="52">
        <f t="shared" ca="1" si="38"/>
        <v>0</v>
      </c>
      <c r="P32" s="52">
        <f t="shared" ca="1" si="38"/>
        <v>0</v>
      </c>
      <c r="Q32" s="52">
        <f t="shared" ca="1" si="38"/>
        <v>0</v>
      </c>
      <c r="R32" s="52">
        <f t="shared" ca="1" si="38"/>
        <v>0</v>
      </c>
      <c r="S32" s="52">
        <f t="shared" ca="1" si="38"/>
        <v>0</v>
      </c>
      <c r="T32" s="52">
        <f t="shared" ca="1" si="38"/>
        <v>0</v>
      </c>
      <c r="U32" s="52">
        <f t="shared" ca="1" si="38"/>
        <v>0</v>
      </c>
      <c r="V32" s="52">
        <f t="shared" ca="1" si="38"/>
        <v>19</v>
      </c>
      <c r="W32" s="244">
        <f t="shared" ca="1" si="38"/>
        <v>20</v>
      </c>
    </row>
    <row r="33" spans="2:24" x14ac:dyDescent="0.3">
      <c r="B33" s="169"/>
      <c r="W33" s="377"/>
    </row>
    <row r="34" spans="2:24" x14ac:dyDescent="0.3">
      <c r="B34" s="449" t="s">
        <v>539</v>
      </c>
      <c r="C34" s="599">
        <f ca="1">V32</f>
        <v>19</v>
      </c>
      <c r="D34" s="294"/>
      <c r="E34" s="294"/>
      <c r="F34" s="294"/>
      <c r="G34" s="294"/>
      <c r="H34" s="294"/>
      <c r="I34" s="294"/>
      <c r="J34" s="294"/>
      <c r="K34" s="294"/>
      <c r="L34" s="294"/>
      <c r="M34" s="294"/>
      <c r="N34" s="294"/>
      <c r="O34" s="294"/>
      <c r="P34" s="294"/>
      <c r="Q34" s="294"/>
      <c r="R34" s="294"/>
      <c r="S34" s="294"/>
      <c r="T34" s="294"/>
      <c r="U34" s="294"/>
      <c r="V34" s="294"/>
      <c r="W34" s="381"/>
    </row>
    <row r="37" spans="2:24" x14ac:dyDescent="0.3">
      <c r="B37" s="449" t="s">
        <v>551</v>
      </c>
    </row>
    <row r="39" spans="2:24" x14ac:dyDescent="0.3">
      <c r="B39" s="444" t="s">
        <v>160</v>
      </c>
      <c r="C39" s="445">
        <v>45747</v>
      </c>
      <c r="D39" s="445">
        <f>EOMONTH(C39,12)</f>
        <v>46112</v>
      </c>
      <c r="E39" s="445">
        <f t="shared" ref="E39" si="39">EOMONTH(D39,12)</f>
        <v>46477</v>
      </c>
      <c r="F39" s="445">
        <f t="shared" ref="F39" si="40">EOMONTH(E39,12)</f>
        <v>46843</v>
      </c>
      <c r="G39" s="445">
        <f t="shared" ref="G39" si="41">EOMONTH(F39,12)</f>
        <v>47208</v>
      </c>
      <c r="H39" s="445">
        <f t="shared" ref="H39" si="42">EOMONTH(G39,12)</f>
        <v>47573</v>
      </c>
      <c r="I39" s="445">
        <f t="shared" ref="I39" si="43">EOMONTH(H39,12)</f>
        <v>47938</v>
      </c>
      <c r="J39" s="445">
        <f t="shared" ref="J39" si="44">EOMONTH(I39,12)</f>
        <v>48304</v>
      </c>
      <c r="K39" s="445">
        <f t="shared" ref="K39" si="45">EOMONTH(J39,12)</f>
        <v>48669</v>
      </c>
      <c r="L39" s="445">
        <f t="shared" ref="L39" si="46">EOMONTH(K39,12)</f>
        <v>49034</v>
      </c>
      <c r="M39" s="445">
        <f t="shared" ref="M39" si="47">EOMONTH(L39,12)</f>
        <v>49399</v>
      </c>
      <c r="N39" s="445">
        <f t="shared" ref="N39" si="48">EOMONTH(M39,12)</f>
        <v>49765</v>
      </c>
      <c r="O39" s="445">
        <f t="shared" ref="O39" si="49">EOMONTH(N39,12)</f>
        <v>50130</v>
      </c>
      <c r="P39" s="445">
        <f t="shared" ref="P39" si="50">EOMONTH(O39,12)</f>
        <v>50495</v>
      </c>
      <c r="Q39" s="445">
        <f t="shared" ref="Q39" si="51">EOMONTH(P39,12)</f>
        <v>50860</v>
      </c>
      <c r="R39" s="446">
        <f t="shared" ref="R39" si="52">EOMONTH(Q39,12)</f>
        <v>51226</v>
      </c>
      <c r="S39" s="446">
        <f t="shared" ref="S39" si="53">EOMONTH(R39,12)</f>
        <v>51591</v>
      </c>
      <c r="T39" s="446">
        <f t="shared" ref="T39" si="54">EOMONTH(S39,12)</f>
        <v>51956</v>
      </c>
      <c r="U39" s="446">
        <f t="shared" ref="U39" si="55">EOMONTH(T39,12)</f>
        <v>52321</v>
      </c>
      <c r="V39" s="446">
        <f t="shared" ref="V39" si="56">EOMONTH(U39,12)</f>
        <v>52687</v>
      </c>
      <c r="W39" s="446">
        <f t="shared" ref="W39" si="57">EOMONTH(V39,12)</f>
        <v>53052</v>
      </c>
    </row>
    <row r="40" spans="2:24" x14ac:dyDescent="0.3">
      <c r="B40" s="169"/>
      <c r="W40" s="377"/>
    </row>
    <row r="41" spans="2:24" x14ac:dyDescent="0.3">
      <c r="B41" s="290" t="s">
        <v>540</v>
      </c>
      <c r="C41" s="52">
        <f>'P&amp;L Statement'!E9</f>
        <v>0</v>
      </c>
      <c r="D41" s="52">
        <f>'P&amp;L Statement'!F9</f>
        <v>1.6459099107207749</v>
      </c>
      <c r="E41" s="52">
        <f>'P&amp;L Statement'!G9</f>
        <v>9.8539759081246601</v>
      </c>
      <c r="F41" s="52">
        <f>'P&amp;L Statement'!H9</f>
        <v>22.568665123750421</v>
      </c>
      <c r="G41" s="52">
        <f>'P&amp;L Statement'!I9</f>
        <v>34.907906239950947</v>
      </c>
      <c r="H41" s="52">
        <f>'P&amp;L Statement'!J9</f>
        <v>41.880291853717686</v>
      </c>
      <c r="I41" s="52">
        <f>'P&amp;L Statement'!K9</f>
        <v>43.974306446403595</v>
      </c>
      <c r="J41" s="52">
        <f>'P&amp;L Statement'!L9</f>
        <v>46.173021768723764</v>
      </c>
      <c r="K41" s="52">
        <f>'P&amp;L Statement'!M9</f>
        <v>48.481672857159957</v>
      </c>
      <c r="L41" s="52">
        <f>'P&amp;L Statement'!N9</f>
        <v>50.905756500017958</v>
      </c>
      <c r="M41" s="52">
        <f>'P&amp;L Statement'!O9</f>
        <v>53.451044325018842</v>
      </c>
      <c r="N41" s="52">
        <f>'P&amp;L Statement'!P9</f>
        <v>56.123596541269784</v>
      </c>
      <c r="O41" s="52">
        <f>'P&amp;L Statement'!Q9</f>
        <v>58.929776368333286</v>
      </c>
      <c r="P41" s="52">
        <f>'P&amp;L Statement'!R9</f>
        <v>61.87626518674994</v>
      </c>
      <c r="Q41" s="52">
        <f>'P&amp;L Statement'!S9</f>
        <v>64.97007844608747</v>
      </c>
      <c r="R41" s="52">
        <f>'P&amp;L Statement'!T9</f>
        <v>68.218582368391822</v>
      </c>
      <c r="S41" s="52">
        <f>'P&amp;L Statement'!U9</f>
        <v>71.629511486811438</v>
      </c>
      <c r="T41" s="52">
        <f>'P&amp;L Statement'!V9</f>
        <v>75.210987061151997</v>
      </c>
      <c r="U41" s="52">
        <f>'P&amp;L Statement'!W9</f>
        <v>78.971536414209623</v>
      </c>
      <c r="V41" s="52">
        <f>'P&amp;L Statement'!X9</f>
        <v>82.920113234920109</v>
      </c>
      <c r="W41" s="244">
        <f>'P&amp;L Statement'!Y9</f>
        <v>87.066118896666097</v>
      </c>
      <c r="X41" s="52"/>
    </row>
    <row r="42" spans="2:24" x14ac:dyDescent="0.3">
      <c r="B42" s="169"/>
      <c r="W42" s="377"/>
    </row>
    <row r="43" spans="2:24" x14ac:dyDescent="0.3">
      <c r="B43" s="169" t="s">
        <v>541</v>
      </c>
      <c r="W43" s="377"/>
    </row>
    <row r="44" spans="2:24" x14ac:dyDescent="0.3">
      <c r="B44" s="169" t="s">
        <v>552</v>
      </c>
      <c r="C44" s="52">
        <f>'P&amp;L Statement'!E14</f>
        <v>0</v>
      </c>
      <c r="D44" s="52">
        <f>'P&amp;L Statement'!F14</f>
        <v>1.2108282986620273</v>
      </c>
      <c r="E44" s="52">
        <f>'P&amp;L Statement'!G14</f>
        <v>3.0119041265942714</v>
      </c>
      <c r="F44" s="52">
        <f>'P&amp;L Statement'!H14</f>
        <v>3.1016152918728825</v>
      </c>
      <c r="G44" s="52">
        <f>'P&amp;L Statement'!I14</f>
        <v>5.3030414235057499</v>
      </c>
      <c r="H44" s="52">
        <f>'P&amp;L Statement'!J14</f>
        <v>4.5656122311240956</v>
      </c>
      <c r="I44" s="52">
        <f>'P&amp;L Statement'!K14</f>
        <v>4.3974306446403579</v>
      </c>
      <c r="J44" s="52">
        <f>'P&amp;L Statement'!L14</f>
        <v>4.6173021768723777</v>
      </c>
      <c r="K44" s="52">
        <f>'P&amp;L Statement'!M14</f>
        <v>4.8481672857159959</v>
      </c>
      <c r="L44" s="52">
        <f>'P&amp;L Statement'!N14</f>
        <v>5.0905756500017976</v>
      </c>
      <c r="M44" s="52">
        <f>'P&amp;L Statement'!O14</f>
        <v>5.3451044325018851</v>
      </c>
      <c r="N44" s="52">
        <f>'P&amp;L Statement'!P14</f>
        <v>5.6123596541269789</v>
      </c>
      <c r="O44" s="52">
        <f>'P&amp;L Statement'!Q14</f>
        <v>5.8929776368333302</v>
      </c>
      <c r="P44" s="52">
        <f>'P&amp;L Statement'!R14</f>
        <v>6.1876265186749944</v>
      </c>
      <c r="Q44" s="52">
        <f>'P&amp;L Statement'!S14</f>
        <v>6.4970078446087474</v>
      </c>
      <c r="R44" s="52">
        <f>'P&amp;L Statement'!T14</f>
        <v>6.8218582368391845</v>
      </c>
      <c r="S44" s="52">
        <f>'P&amp;L Statement'!U14</f>
        <v>7.1629511486811444</v>
      </c>
      <c r="T44" s="52">
        <f>'P&amp;L Statement'!V14</f>
        <v>7.5210987061152013</v>
      </c>
      <c r="U44" s="52">
        <f>'P&amp;L Statement'!W14</f>
        <v>7.8971536414209629</v>
      </c>
      <c r="V44" s="52">
        <f>'P&amp;L Statement'!X14</f>
        <v>8.2920113234920123</v>
      </c>
      <c r="W44" s="244">
        <f>'P&amp;L Statement'!Y14</f>
        <v>8.7066118896666111</v>
      </c>
      <c r="X44" s="52"/>
    </row>
    <row r="45" spans="2:24" x14ac:dyDescent="0.3">
      <c r="B45" s="169"/>
      <c r="W45" s="377"/>
    </row>
    <row r="46" spans="2:24" x14ac:dyDescent="0.3">
      <c r="B46" s="290" t="s">
        <v>542</v>
      </c>
      <c r="C46" s="54">
        <f>C41-C44</f>
        <v>0</v>
      </c>
      <c r="D46" s="54">
        <f t="shared" ref="D46:W46" si="58">D41-D44</f>
        <v>0.43508161205874751</v>
      </c>
      <c r="E46" s="54">
        <f t="shared" si="58"/>
        <v>6.8420717815303886</v>
      </c>
      <c r="F46" s="54">
        <f t="shared" si="58"/>
        <v>19.467049831877539</v>
      </c>
      <c r="G46" s="54">
        <f t="shared" si="58"/>
        <v>29.604864816445197</v>
      </c>
      <c r="H46" s="54">
        <f t="shared" si="58"/>
        <v>37.314679622593587</v>
      </c>
      <c r="I46" s="54">
        <f t="shared" si="58"/>
        <v>39.576875801763236</v>
      </c>
      <c r="J46" s="54">
        <f t="shared" si="58"/>
        <v>41.555719591851386</v>
      </c>
      <c r="K46" s="54">
        <f t="shared" si="58"/>
        <v>43.633505571443962</v>
      </c>
      <c r="L46" s="54">
        <f t="shared" si="58"/>
        <v>45.815180850016162</v>
      </c>
      <c r="M46" s="54">
        <f t="shared" si="58"/>
        <v>48.105939892516957</v>
      </c>
      <c r="N46" s="54">
        <f t="shared" si="58"/>
        <v>50.511236887142807</v>
      </c>
      <c r="O46" s="54">
        <f t="shared" si="58"/>
        <v>53.036798731499957</v>
      </c>
      <c r="P46" s="54">
        <f t="shared" si="58"/>
        <v>55.688638668074944</v>
      </c>
      <c r="Q46" s="54">
        <f t="shared" si="58"/>
        <v>58.473070601478724</v>
      </c>
      <c r="R46" s="54">
        <f t="shared" si="58"/>
        <v>61.396724131552638</v>
      </c>
      <c r="S46" s="54">
        <f t="shared" si="58"/>
        <v>64.466560338130293</v>
      </c>
      <c r="T46" s="54">
        <f t="shared" si="58"/>
        <v>67.6898883550368</v>
      </c>
      <c r="U46" s="54">
        <f t="shared" si="58"/>
        <v>71.074382772788667</v>
      </c>
      <c r="V46" s="54">
        <f t="shared" si="58"/>
        <v>74.628101911428104</v>
      </c>
      <c r="W46" s="565">
        <f t="shared" si="58"/>
        <v>78.359507006999479</v>
      </c>
      <c r="X46" s="52"/>
    </row>
    <row r="47" spans="2:24" x14ac:dyDescent="0.3">
      <c r="B47" s="169"/>
      <c r="W47" s="377"/>
    </row>
    <row r="48" spans="2:24" x14ac:dyDescent="0.3">
      <c r="B48" s="290" t="s">
        <v>543</v>
      </c>
      <c r="W48" s="377"/>
    </row>
    <row r="49" spans="2:24" x14ac:dyDescent="0.3">
      <c r="B49" s="169" t="s">
        <v>544</v>
      </c>
      <c r="C49" s="52">
        <f>'P&amp;L Statement'!E20</f>
        <v>0</v>
      </c>
      <c r="D49" s="52">
        <f>'P&amp;L Statement'!F20</f>
        <v>0</v>
      </c>
      <c r="E49" s="52">
        <f>'P&amp;L Statement'!G20</f>
        <v>0</v>
      </c>
      <c r="F49" s="52">
        <f>'P&amp;L Statement'!H20</f>
        <v>0</v>
      </c>
      <c r="G49" s="52">
        <f>'P&amp;L Statement'!I20</f>
        <v>0</v>
      </c>
      <c r="H49" s="52">
        <f ca="1">'P&amp;L Statement'!J20</f>
        <v>1.200001789876554</v>
      </c>
      <c r="I49" s="52">
        <f>'P&amp;L Statement'!K20</f>
        <v>0</v>
      </c>
      <c r="J49" s="52">
        <f>'P&amp;L Statement'!L20</f>
        <v>0</v>
      </c>
      <c r="K49" s="52">
        <f>'P&amp;L Statement'!M20</f>
        <v>0</v>
      </c>
      <c r="L49" s="52">
        <f>'P&amp;L Statement'!N20</f>
        <v>0</v>
      </c>
      <c r="M49" s="52">
        <f>'P&amp;L Statement'!O20</f>
        <v>0</v>
      </c>
      <c r="N49" s="52">
        <f>'P&amp;L Statement'!P20</f>
        <v>0</v>
      </c>
      <c r="O49" s="52">
        <f>'P&amp;L Statement'!Q20</f>
        <v>0</v>
      </c>
      <c r="P49" s="52">
        <f>'P&amp;L Statement'!R20</f>
        <v>0</v>
      </c>
      <c r="Q49" s="52">
        <f>'P&amp;L Statement'!S20</f>
        <v>0</v>
      </c>
      <c r="R49" s="52">
        <f>'P&amp;L Statement'!T20</f>
        <v>0</v>
      </c>
      <c r="S49" s="52">
        <f>'P&amp;L Statement'!U20</f>
        <v>0</v>
      </c>
      <c r="T49" s="52">
        <f>'P&amp;L Statement'!V20</f>
        <v>0</v>
      </c>
      <c r="U49" s="52">
        <f>'P&amp;L Statement'!W20</f>
        <v>0</v>
      </c>
      <c r="V49" s="52">
        <f>'P&amp;L Statement'!X20</f>
        <v>0</v>
      </c>
      <c r="W49" s="244">
        <f>'P&amp;L Statement'!Y20</f>
        <v>0</v>
      </c>
    </row>
    <row r="50" spans="2:24" x14ac:dyDescent="0.3">
      <c r="B50" s="169" t="s">
        <v>545</v>
      </c>
      <c r="C50" s="52">
        <f>'P&amp;L Statement'!E19</f>
        <v>0</v>
      </c>
      <c r="D50" s="52">
        <f>'P&amp;L Statement'!F19</f>
        <v>0</v>
      </c>
      <c r="E50" s="52">
        <f>'P&amp;L Statement'!G19</f>
        <v>0</v>
      </c>
      <c r="F50" s="52">
        <f>'P&amp;L Statement'!H19</f>
        <v>0</v>
      </c>
      <c r="G50" s="52">
        <f ca="1">'P&amp;L Statement'!I19</f>
        <v>7.1625106833256815</v>
      </c>
      <c r="H50" s="52">
        <f ca="1">'P&amp;L Statement'!J19</f>
        <v>7.1625106833256815</v>
      </c>
      <c r="I50" s="52">
        <f>'P&amp;L Statement'!K19</f>
        <v>0</v>
      </c>
      <c r="J50" s="52">
        <f>'P&amp;L Statement'!L19</f>
        <v>0</v>
      </c>
      <c r="K50" s="52">
        <f>'P&amp;L Statement'!M19</f>
        <v>0</v>
      </c>
      <c r="L50" s="52">
        <f>'P&amp;L Statement'!N19</f>
        <v>0</v>
      </c>
      <c r="M50" s="52">
        <f>'P&amp;L Statement'!O19</f>
        <v>0</v>
      </c>
      <c r="N50" s="52">
        <f>'P&amp;L Statement'!P19</f>
        <v>0</v>
      </c>
      <c r="O50" s="52">
        <f>'P&amp;L Statement'!Q19</f>
        <v>0</v>
      </c>
      <c r="P50" s="52">
        <f>'P&amp;L Statement'!R19</f>
        <v>0</v>
      </c>
      <c r="Q50" s="52">
        <f>'P&amp;L Statement'!S19</f>
        <v>0</v>
      </c>
      <c r="R50" s="52">
        <f>'P&amp;L Statement'!T19</f>
        <v>0</v>
      </c>
      <c r="S50" s="52">
        <f>'P&amp;L Statement'!U19</f>
        <v>0</v>
      </c>
      <c r="T50" s="52">
        <f>'P&amp;L Statement'!V19</f>
        <v>0</v>
      </c>
      <c r="U50" s="52">
        <f>'P&amp;L Statement'!W19</f>
        <v>0</v>
      </c>
      <c r="V50" s="52">
        <f>'P&amp;L Statement'!X19</f>
        <v>0</v>
      </c>
      <c r="W50" s="244">
        <f>'P&amp;L Statement'!Y19</f>
        <v>0</v>
      </c>
    </row>
    <row r="51" spans="2:24" x14ac:dyDescent="0.3">
      <c r="B51" s="169" t="s">
        <v>546</v>
      </c>
      <c r="C51" s="52">
        <f>'P&amp;L Statement'!E21</f>
        <v>0</v>
      </c>
      <c r="D51" s="52">
        <f ca="1">'P&amp;L Statement'!F21</f>
        <v>0</v>
      </c>
      <c r="E51" s="52">
        <f ca="1">'P&amp;L Statement'!G21</f>
        <v>0</v>
      </c>
      <c r="F51" s="52">
        <f ca="1">'P&amp;L Statement'!H21</f>
        <v>0</v>
      </c>
      <c r="G51" s="52">
        <f ca="1">'P&amp;L Statement'!I21</f>
        <v>0</v>
      </c>
      <c r="H51" s="52">
        <f ca="1">'P&amp;L Statement'!J21</f>
        <v>19.077215954842188</v>
      </c>
      <c r="I51" s="52">
        <f ca="1">'P&amp;L Statement'!K21</f>
        <v>25.149412511897214</v>
      </c>
      <c r="J51" s="52">
        <f ca="1">'P&amp;L Statement'!L21</f>
        <v>24.607536703656091</v>
      </c>
      <c r="K51" s="52">
        <f ca="1">'P&amp;L Statement'!M21</f>
        <v>23.87441061015338</v>
      </c>
      <c r="L51" s="52">
        <f ca="1">'P&amp;L Statement'!N21</f>
        <v>22.918159183845503</v>
      </c>
      <c r="M51" s="52">
        <f ca="1">'P&amp;L Statement'!O21</f>
        <v>21.706907377188855</v>
      </c>
      <c r="N51" s="52">
        <f ca="1">'P&amp;L Statement'!P21</f>
        <v>20.240655190183439</v>
      </c>
      <c r="O51" s="52">
        <f ca="1">'P&amp;L Statement'!Q21</f>
        <v>18.487527575285661</v>
      </c>
      <c r="P51" s="52">
        <f ca="1">'P&amp;L Statement'!R21</f>
        <v>16.383774437408327</v>
      </c>
      <c r="Q51" s="52">
        <f ca="1">'P&amp;L Statement'!S21</f>
        <v>14.088771014269419</v>
      </c>
      <c r="R51" s="52">
        <f ca="1">'P&amp;L Statement'!T21</f>
        <v>11.793767591130509</v>
      </c>
      <c r="S51" s="52">
        <f ca="1">'P&amp;L Statement'!U21</f>
        <v>9.4987641679915988</v>
      </c>
      <c r="T51" s="52">
        <f ca="1">'P&amp;L Statement'!V21</f>
        <v>7.0762605546783055</v>
      </c>
      <c r="U51" s="52">
        <f ca="1">'P&amp;L Statement'!W21</f>
        <v>4.526256751190628</v>
      </c>
      <c r="V51" s="52">
        <f ca="1">'P&amp;L Statement'!X21</f>
        <v>1.9762529477029496</v>
      </c>
      <c r="W51" s="244">
        <f ca="1">'P&amp;L Statement'!Y21</f>
        <v>8.7656380744888171E-2</v>
      </c>
    </row>
    <row r="52" spans="2:24" x14ac:dyDescent="0.3">
      <c r="B52" s="169" t="s">
        <v>184</v>
      </c>
      <c r="C52" s="52">
        <f ca="1">'P&amp;L Statement'!E18</f>
        <v>0</v>
      </c>
      <c r="D52" s="52">
        <f ca="1">'P&amp;L Statement'!F18</f>
        <v>2.8013217034234712</v>
      </c>
      <c r="E52" s="52">
        <f ca="1">'P&amp;L Statement'!G18</f>
        <v>5.5143279686521716</v>
      </c>
      <c r="F52" s="52">
        <f ca="1">'P&amp;L Statement'!H18</f>
        <v>9.3582502664007396</v>
      </c>
      <c r="G52" s="52">
        <f ca="1">'P&amp;L Statement'!I18</f>
        <v>12.915335514970698</v>
      </c>
      <c r="H52" s="52">
        <f ca="1">'P&amp;L Statement'!J18</f>
        <v>15.846997879294797</v>
      </c>
      <c r="I52" s="52">
        <f ca="1">'P&amp;L Statement'!K18</f>
        <v>16.352491027568803</v>
      </c>
      <c r="J52" s="52">
        <f ca="1">'P&amp;L Statement'!L18</f>
        <v>16.352491027568803</v>
      </c>
      <c r="K52" s="52">
        <f ca="1">'P&amp;L Statement'!M18</f>
        <v>16.352491027568803</v>
      </c>
      <c r="L52" s="52">
        <f ca="1">'P&amp;L Statement'!N18</f>
        <v>16.352491027568803</v>
      </c>
      <c r="M52" s="52">
        <f ca="1">'P&amp;L Statement'!O18</f>
        <v>16.352491027568803</v>
      </c>
      <c r="N52" s="52">
        <f ca="1">'P&amp;L Statement'!P18</f>
        <v>16.352491027568803</v>
      </c>
      <c r="O52" s="52">
        <f ca="1">'P&amp;L Statement'!Q18</f>
        <v>16.352491027568803</v>
      </c>
      <c r="P52" s="52">
        <f ca="1">'P&amp;L Statement'!R18</f>
        <v>16.352491027568803</v>
      </c>
      <c r="Q52" s="52">
        <f ca="1">'P&amp;L Statement'!S18</f>
        <v>16.352491027568803</v>
      </c>
      <c r="R52" s="52">
        <f ca="1">'P&amp;L Statement'!T18</f>
        <v>16.352491027568803</v>
      </c>
      <c r="S52" s="52">
        <f ca="1">'P&amp;L Statement'!U18</f>
        <v>16.352491027568803</v>
      </c>
      <c r="T52" s="52">
        <f ca="1">'P&amp;L Statement'!V18</f>
        <v>16.352491027568803</v>
      </c>
      <c r="U52" s="52">
        <f ca="1">'P&amp;L Statement'!W18</f>
        <v>16.352491027568803</v>
      </c>
      <c r="V52" s="52">
        <f ca="1">'P&amp;L Statement'!X18</f>
        <v>16.352491027568803</v>
      </c>
      <c r="W52" s="244">
        <f ca="1">'P&amp;L Statement'!Y18</f>
        <v>16.352491027568803</v>
      </c>
      <c r="X52" s="52"/>
    </row>
    <row r="53" spans="2:24" x14ac:dyDescent="0.3">
      <c r="B53" s="169"/>
      <c r="C53" s="52"/>
      <c r="D53" s="52"/>
      <c r="E53" s="52"/>
      <c r="F53" s="52"/>
      <c r="G53" s="52"/>
      <c r="H53" s="52"/>
      <c r="I53" s="52"/>
      <c r="J53" s="52"/>
      <c r="K53" s="52"/>
      <c r="L53" s="52"/>
      <c r="M53" s="52"/>
      <c r="N53" s="52"/>
      <c r="O53" s="52"/>
      <c r="P53" s="52"/>
      <c r="Q53" s="52"/>
      <c r="R53" s="52"/>
      <c r="S53" s="52"/>
      <c r="T53" s="52"/>
      <c r="U53" s="52"/>
      <c r="V53" s="52"/>
      <c r="W53" s="244"/>
    </row>
    <row r="54" spans="2:24" x14ac:dyDescent="0.3">
      <c r="B54" s="290" t="s">
        <v>547</v>
      </c>
      <c r="C54" s="54">
        <f ca="1">SUM(C49:C52)</f>
        <v>0</v>
      </c>
      <c r="D54" s="54">
        <f ca="1">SUM(D49:D53)</f>
        <v>2.8013217034234712</v>
      </c>
      <c r="E54" s="54">
        <f t="shared" ref="E54:W54" ca="1" si="59">SUM(E49:E53)</f>
        <v>5.5143279686521716</v>
      </c>
      <c r="F54" s="54">
        <f t="shared" ca="1" si="59"/>
        <v>9.3582502664007396</v>
      </c>
      <c r="G54" s="54">
        <f t="shared" ca="1" si="59"/>
        <v>20.077846198296378</v>
      </c>
      <c r="H54" s="54">
        <f t="shared" ca="1" si="59"/>
        <v>43.286726307339222</v>
      </c>
      <c r="I54" s="54">
        <f t="shared" ca="1" si="59"/>
        <v>41.501903539466014</v>
      </c>
      <c r="J54" s="54">
        <f t="shared" ca="1" si="59"/>
        <v>40.960027731224898</v>
      </c>
      <c r="K54" s="54">
        <f t="shared" ca="1" si="59"/>
        <v>40.226901637722179</v>
      </c>
      <c r="L54" s="54">
        <f t="shared" ca="1" si="59"/>
        <v>39.270650211414306</v>
      </c>
      <c r="M54" s="54">
        <f t="shared" ca="1" si="59"/>
        <v>38.059398404757658</v>
      </c>
      <c r="N54" s="54">
        <f t="shared" ca="1" si="59"/>
        <v>36.593146217752242</v>
      </c>
      <c r="O54" s="54">
        <f t="shared" ca="1" si="59"/>
        <v>34.840018602854464</v>
      </c>
      <c r="P54" s="54">
        <f t="shared" ca="1" si="59"/>
        <v>32.73626546497713</v>
      </c>
      <c r="Q54" s="54">
        <f t="shared" ca="1" si="59"/>
        <v>30.441262041838222</v>
      </c>
      <c r="R54" s="54">
        <f t="shared" ca="1" si="59"/>
        <v>28.146258618699314</v>
      </c>
      <c r="S54" s="54">
        <f t="shared" ca="1" si="59"/>
        <v>25.851255195560402</v>
      </c>
      <c r="T54" s="54">
        <f t="shared" ca="1" si="59"/>
        <v>23.428751582247109</v>
      </c>
      <c r="U54" s="54">
        <f t="shared" ca="1" si="59"/>
        <v>20.878747778759433</v>
      </c>
      <c r="V54" s="54">
        <f t="shared" ca="1" si="59"/>
        <v>18.328743975271752</v>
      </c>
      <c r="W54" s="565">
        <f t="shared" ca="1" si="59"/>
        <v>16.440147408313692</v>
      </c>
      <c r="X54" s="52"/>
    </row>
    <row r="55" spans="2:24" x14ac:dyDescent="0.3">
      <c r="B55" s="169"/>
      <c r="W55" s="377"/>
    </row>
    <row r="56" spans="2:24" x14ac:dyDescent="0.3">
      <c r="B56" s="169" t="s">
        <v>548</v>
      </c>
      <c r="C56" s="600">
        <f t="shared" ref="C56:W56" ca="1" si="60">IFERROR(C54/C46,0)</f>
        <v>0</v>
      </c>
      <c r="D56" s="600">
        <f t="shared" ca="1" si="60"/>
        <v>6.4386120345743745</v>
      </c>
      <c r="E56" s="600">
        <f t="shared" ca="1" si="60"/>
        <v>0.80594418543483382</v>
      </c>
      <c r="F56" s="600">
        <f t="shared" ca="1" si="60"/>
        <v>0.48072257210111452</v>
      </c>
      <c r="G56" s="600">
        <f t="shared" ca="1" si="60"/>
        <v>0.67819415230510838</v>
      </c>
      <c r="H56" s="600">
        <f t="shared" ca="1" si="60"/>
        <v>1.160045503409056</v>
      </c>
      <c r="I56" s="600">
        <f t="shared" ca="1" si="60"/>
        <v>1.0486402147391587</v>
      </c>
      <c r="J56" s="600">
        <f t="shared" ca="1" si="60"/>
        <v>0.98566522571436122</v>
      </c>
      <c r="K56" s="600">
        <f t="shared" ca="1" si="60"/>
        <v>0.92192687960530861</v>
      </c>
      <c r="L56" s="600">
        <f t="shared" ca="1" si="60"/>
        <v>0.85715366572432627</v>
      </c>
      <c r="M56" s="600">
        <f t="shared" ca="1" si="60"/>
        <v>0.79115798360438905</v>
      </c>
      <c r="N56" s="600">
        <f t="shared" ca="1" si="60"/>
        <v>0.72445555628566893</v>
      </c>
      <c r="O56" s="600">
        <f t="shared" ca="1" si="60"/>
        <v>0.65690274368241719</v>
      </c>
      <c r="P56" s="600">
        <f t="shared" ca="1" si="60"/>
        <v>0.58784459896923469</v>
      </c>
      <c r="Q56" s="600">
        <f t="shared" ca="1" si="60"/>
        <v>0.5206031037656571</v>
      </c>
      <c r="R56" s="600">
        <f t="shared" ca="1" si="60"/>
        <v>0.4584325795361866</v>
      </c>
      <c r="S56" s="600">
        <f t="shared" ca="1" si="60"/>
        <v>0.40100255171005389</v>
      </c>
      <c r="T56" s="600">
        <f t="shared" ca="1" si="60"/>
        <v>0.34611892782807019</v>
      </c>
      <c r="U56" s="600">
        <f t="shared" ca="1" si="60"/>
        <v>0.29375911494729168</v>
      </c>
      <c r="V56" s="600">
        <f t="shared" ca="1" si="60"/>
        <v>0.24560110073582078</v>
      </c>
      <c r="W56" s="601">
        <f t="shared" ca="1" si="60"/>
        <v>0.20980411996268905</v>
      </c>
      <c r="X56" s="608"/>
    </row>
    <row r="57" spans="2:24" x14ac:dyDescent="0.3">
      <c r="B57" s="169"/>
      <c r="W57" s="377"/>
    </row>
    <row r="58" spans="2:24" x14ac:dyDescent="0.3">
      <c r="B58" s="290" t="s">
        <v>549</v>
      </c>
      <c r="D58" s="54">
        <f t="shared" ref="D58:W58" ca="1" si="61">D56*D41</f>
        <v>10.597375358992016</v>
      </c>
      <c r="E58" s="54">
        <f t="shared" ca="1" si="61"/>
        <v>7.9417545865680061</v>
      </c>
      <c r="F58" s="54">
        <f t="shared" ca="1" si="61"/>
        <v>10.849266747178021</v>
      </c>
      <c r="G58" s="54">
        <f t="shared" ca="1" si="61"/>
        <v>23.674337881149736</v>
      </c>
      <c r="H58" s="54">
        <f t="shared" ca="1" si="61"/>
        <v>48.583044246364118</v>
      </c>
      <c r="I58" s="54">
        <f t="shared" ca="1" si="61"/>
        <v>46.113226154962234</v>
      </c>
      <c r="J58" s="54">
        <f t="shared" ca="1" si="61"/>
        <v>45.511141923583224</v>
      </c>
      <c r="K58" s="54">
        <f t="shared" ca="1" si="61"/>
        <v>44.696557375246869</v>
      </c>
      <c r="L58" s="54">
        <f t="shared" ca="1" si="61"/>
        <v>43.634055790460344</v>
      </c>
      <c r="M58" s="54">
        <f t="shared" ca="1" si="61"/>
        <v>42.28822044973073</v>
      </c>
      <c r="N58" s="54">
        <f t="shared" ca="1" si="61"/>
        <v>40.659051353058047</v>
      </c>
      <c r="O58" s="54">
        <f t="shared" ca="1" si="61"/>
        <v>38.711131780949408</v>
      </c>
      <c r="P58" s="54">
        <f t="shared" ca="1" si="61"/>
        <v>36.373628294419035</v>
      </c>
      <c r="Q58" s="54">
        <f t="shared" ca="1" si="61"/>
        <v>33.823624490931358</v>
      </c>
      <c r="R58" s="54">
        <f t="shared" ca="1" si="61"/>
        <v>31.273620687443682</v>
      </c>
      <c r="S58" s="54">
        <f t="shared" ca="1" si="61"/>
        <v>28.723616883956002</v>
      </c>
      <c r="T58" s="54">
        <f t="shared" ca="1" si="61"/>
        <v>26.031946202496787</v>
      </c>
      <c r="U58" s="54">
        <f t="shared" ca="1" si="61"/>
        <v>23.198608643066034</v>
      </c>
      <c r="V58" s="54">
        <f t="shared" ca="1" si="61"/>
        <v>20.365271083635278</v>
      </c>
      <c r="W58" s="565">
        <f t="shared" ca="1" si="61"/>
        <v>18.26683045368188</v>
      </c>
      <c r="X58" s="52"/>
    </row>
    <row r="59" spans="2:24" x14ac:dyDescent="0.3">
      <c r="B59" s="169"/>
      <c r="W59" s="377"/>
    </row>
    <row r="60" spans="2:24" x14ac:dyDescent="0.3">
      <c r="B60" s="292" t="s">
        <v>550</v>
      </c>
      <c r="C60" s="293"/>
      <c r="D60" s="602">
        <f t="shared" ref="D60:W60" ca="1" si="62">D58-D52</f>
        <v>7.7960536555685449</v>
      </c>
      <c r="E60" s="602">
        <f t="shared" ca="1" si="62"/>
        <v>2.4274266179158346</v>
      </c>
      <c r="F60" s="602">
        <f t="shared" ca="1" si="62"/>
        <v>1.4910164807772812</v>
      </c>
      <c r="G60" s="602">
        <f t="shared" ca="1" si="62"/>
        <v>10.759002366179038</v>
      </c>
      <c r="H60" s="602">
        <f t="shared" ca="1" si="62"/>
        <v>32.736046367069321</v>
      </c>
      <c r="I60" s="602">
        <f t="shared" ca="1" si="62"/>
        <v>29.760735127393431</v>
      </c>
      <c r="J60" s="602">
        <f t="shared" ca="1" si="62"/>
        <v>29.158650896014422</v>
      </c>
      <c r="K60" s="602">
        <f t="shared" ca="1" si="62"/>
        <v>28.344066347678066</v>
      </c>
      <c r="L60" s="602">
        <f t="shared" ca="1" si="62"/>
        <v>27.281564762891541</v>
      </c>
      <c r="M60" s="602">
        <f t="shared" ca="1" si="62"/>
        <v>25.935729422161927</v>
      </c>
      <c r="N60" s="602">
        <f t="shared" ca="1" si="62"/>
        <v>24.306560325489244</v>
      </c>
      <c r="O60" s="602">
        <f t="shared" ca="1" si="62"/>
        <v>22.358640753380605</v>
      </c>
      <c r="P60" s="602">
        <f t="shared" ca="1" si="62"/>
        <v>20.021137266850232</v>
      </c>
      <c r="Q60" s="602">
        <f t="shared" ca="1" si="62"/>
        <v>17.471133463362555</v>
      </c>
      <c r="R60" s="602">
        <f t="shared" ca="1" si="62"/>
        <v>14.921129659874879</v>
      </c>
      <c r="S60" s="602">
        <f t="shared" ca="1" si="62"/>
        <v>12.371125856387199</v>
      </c>
      <c r="T60" s="602">
        <f t="shared" ca="1" si="62"/>
        <v>9.679455174927984</v>
      </c>
      <c r="U60" s="602">
        <f t="shared" ca="1" si="62"/>
        <v>6.8461176154972314</v>
      </c>
      <c r="V60" s="602">
        <f t="shared" ca="1" si="62"/>
        <v>4.0127800560664753</v>
      </c>
      <c r="W60" s="603">
        <f t="shared" ca="1" si="62"/>
        <v>1.9143394261130773</v>
      </c>
      <c r="X60" s="54"/>
    </row>
    <row r="62" spans="2:24" x14ac:dyDescent="0.3">
      <c r="B62" s="1" t="s">
        <v>600</v>
      </c>
      <c r="C62" s="77">
        <v>47299</v>
      </c>
    </row>
    <row r="63" spans="2:24" x14ac:dyDescent="0.3">
      <c r="C63" s="443">
        <v>11048</v>
      </c>
      <c r="D63" s="443">
        <f>EOMONTH(C63,12)</f>
        <v>11413</v>
      </c>
      <c r="E63" s="443">
        <f t="shared" ref="E63:R63" si="63">EOMONTH(D63,12)</f>
        <v>11779</v>
      </c>
      <c r="F63" s="443">
        <f t="shared" si="63"/>
        <v>12144</v>
      </c>
      <c r="G63" s="443">
        <f t="shared" si="63"/>
        <v>12509</v>
      </c>
      <c r="H63" s="443">
        <f t="shared" si="63"/>
        <v>12874</v>
      </c>
      <c r="I63" s="443">
        <f t="shared" si="63"/>
        <v>13240</v>
      </c>
      <c r="J63" s="443">
        <f t="shared" si="63"/>
        <v>13605</v>
      </c>
      <c r="K63" s="443">
        <f t="shared" si="63"/>
        <v>13970</v>
      </c>
      <c r="L63" s="443">
        <f t="shared" si="63"/>
        <v>14335</v>
      </c>
      <c r="M63" s="443">
        <f t="shared" si="63"/>
        <v>14701</v>
      </c>
      <c r="N63" s="443">
        <f t="shared" si="63"/>
        <v>15066</v>
      </c>
      <c r="O63" s="443">
        <f t="shared" si="63"/>
        <v>15431</v>
      </c>
      <c r="P63" s="443">
        <f t="shared" si="63"/>
        <v>15796</v>
      </c>
      <c r="Q63" s="443">
        <f t="shared" si="63"/>
        <v>16162</v>
      </c>
      <c r="R63" s="443">
        <f t="shared" si="63"/>
        <v>16527</v>
      </c>
      <c r="S63" s="443"/>
      <c r="T63" s="443"/>
      <c r="U63" s="443"/>
      <c r="V63" s="443"/>
      <c r="W63" s="443"/>
    </row>
    <row r="64" spans="2:24" x14ac:dyDescent="0.3">
      <c r="B64" s="609" t="s">
        <v>189</v>
      </c>
      <c r="C64" s="52">
        <f>'P&amp;L Statement'!J15</f>
        <v>37.314679622593587</v>
      </c>
      <c r="D64" s="52">
        <f>'P&amp;L Statement'!K15</f>
        <v>39.576875801763236</v>
      </c>
      <c r="E64" s="52">
        <f>'P&amp;L Statement'!L15</f>
        <v>41.555719591851386</v>
      </c>
      <c r="F64" s="52">
        <f>'P&amp;L Statement'!M15</f>
        <v>43.633505571443962</v>
      </c>
      <c r="G64" s="52">
        <f>'P&amp;L Statement'!N15</f>
        <v>45.815180850016162</v>
      </c>
      <c r="H64" s="52">
        <f>'P&amp;L Statement'!O15</f>
        <v>48.105939892516957</v>
      </c>
      <c r="I64" s="52">
        <f>'P&amp;L Statement'!P15</f>
        <v>50.511236887142807</v>
      </c>
      <c r="J64" s="52">
        <f>'P&amp;L Statement'!Q15</f>
        <v>53.036798731499957</v>
      </c>
      <c r="K64" s="52">
        <f>'P&amp;L Statement'!R15</f>
        <v>55.688638668074944</v>
      </c>
      <c r="L64" s="52">
        <f>'P&amp;L Statement'!S15</f>
        <v>58.473070601478724</v>
      </c>
      <c r="M64" s="52">
        <f>'P&amp;L Statement'!T15</f>
        <v>61.396724131552638</v>
      </c>
      <c r="N64" s="52">
        <f>'P&amp;L Statement'!U15</f>
        <v>64.466560338130293</v>
      </c>
      <c r="O64" s="52">
        <f>'P&amp;L Statement'!V15</f>
        <v>67.6898883550368</v>
      </c>
      <c r="P64" s="52">
        <f>'P&amp;L Statement'!W15</f>
        <v>71.074382772788667</v>
      </c>
      <c r="Q64" s="52">
        <f>'P&amp;L Statement'!X15</f>
        <v>74.628101911428104</v>
      </c>
      <c r="R64" s="52">
        <f>'P&amp;L Statement'!Y15</f>
        <v>78.359507006999479</v>
      </c>
    </row>
    <row r="65" spans="1:23" x14ac:dyDescent="0.3">
      <c r="A65" s="51"/>
      <c r="B65" s="1" t="s">
        <v>554</v>
      </c>
      <c r="C65" s="52"/>
      <c r="D65" s="52"/>
      <c r="E65" s="52"/>
      <c r="F65" s="52"/>
      <c r="G65" s="52"/>
      <c r="H65" s="52"/>
      <c r="I65" s="52"/>
      <c r="J65" s="52"/>
      <c r="K65" s="52"/>
      <c r="L65" s="52"/>
      <c r="M65" s="52"/>
      <c r="N65" s="52"/>
      <c r="O65" s="52"/>
      <c r="P65" s="52"/>
      <c r="Q65" s="52"/>
      <c r="R65" s="52"/>
    </row>
    <row r="66" spans="1:23" x14ac:dyDescent="0.3">
      <c r="A66" s="51"/>
      <c r="C66" s="52"/>
      <c r="D66" s="52"/>
      <c r="E66" s="52"/>
      <c r="F66" s="52"/>
      <c r="G66" s="52"/>
      <c r="H66" s="52"/>
      <c r="I66" s="52"/>
      <c r="J66" s="52"/>
      <c r="K66" s="52"/>
      <c r="L66" s="52"/>
      <c r="M66" s="52"/>
      <c r="N66" s="52"/>
      <c r="O66" s="52"/>
      <c r="P66" s="52"/>
      <c r="Q66" s="52"/>
      <c r="R66" s="52"/>
    </row>
    <row r="67" spans="1:23" x14ac:dyDescent="0.3">
      <c r="B67" s="1" t="s">
        <v>555</v>
      </c>
      <c r="C67" s="52">
        <f>C64-C65+C66</f>
        <v>37.314679622593587</v>
      </c>
      <c r="D67" s="52">
        <f t="shared" ref="D67:R67" si="64">D64-D65</f>
        <v>39.576875801763236</v>
      </c>
      <c r="E67" s="52">
        <f t="shared" si="64"/>
        <v>41.555719591851386</v>
      </c>
      <c r="F67" s="52">
        <f t="shared" si="64"/>
        <v>43.633505571443962</v>
      </c>
      <c r="G67" s="52">
        <f t="shared" si="64"/>
        <v>45.815180850016162</v>
      </c>
      <c r="H67" s="52">
        <f t="shared" si="64"/>
        <v>48.105939892516957</v>
      </c>
      <c r="I67" s="52">
        <f t="shared" si="64"/>
        <v>50.511236887142807</v>
      </c>
      <c r="J67" s="52">
        <f t="shared" si="64"/>
        <v>53.036798731499957</v>
      </c>
      <c r="K67" s="52">
        <f t="shared" si="64"/>
        <v>55.688638668074944</v>
      </c>
      <c r="L67" s="52">
        <f t="shared" si="64"/>
        <v>58.473070601478724</v>
      </c>
      <c r="M67" s="52">
        <f t="shared" si="64"/>
        <v>61.396724131552638</v>
      </c>
      <c r="N67" s="52">
        <f t="shared" si="64"/>
        <v>64.466560338130293</v>
      </c>
      <c r="O67" s="52">
        <f t="shared" si="64"/>
        <v>67.6898883550368</v>
      </c>
      <c r="P67" s="52">
        <f t="shared" si="64"/>
        <v>71.074382772788667</v>
      </c>
      <c r="Q67" s="52">
        <f t="shared" si="64"/>
        <v>74.628101911428104</v>
      </c>
      <c r="R67" s="52">
        <f t="shared" si="64"/>
        <v>78.359507006999479</v>
      </c>
    </row>
    <row r="69" spans="1:23" x14ac:dyDescent="0.3">
      <c r="B69" s="1" t="s">
        <v>556</v>
      </c>
      <c r="C69" s="51">
        <f>$W$73</f>
        <v>0.11552500000000002</v>
      </c>
      <c r="D69" s="51">
        <f t="shared" ref="D69:R69" si="65">$W$73</f>
        <v>0.11552500000000002</v>
      </c>
      <c r="E69" s="51">
        <f t="shared" si="65"/>
        <v>0.11552500000000002</v>
      </c>
      <c r="F69" s="51">
        <f t="shared" si="65"/>
        <v>0.11552500000000002</v>
      </c>
      <c r="G69" s="51">
        <f t="shared" si="65"/>
        <v>0.11552500000000002</v>
      </c>
      <c r="H69" s="51">
        <f t="shared" si="65"/>
        <v>0.11552500000000002</v>
      </c>
      <c r="I69" s="51">
        <f t="shared" si="65"/>
        <v>0.11552500000000002</v>
      </c>
      <c r="J69" s="51">
        <f t="shared" si="65"/>
        <v>0.11552500000000002</v>
      </c>
      <c r="K69" s="51">
        <f t="shared" si="65"/>
        <v>0.11552500000000002</v>
      </c>
      <c r="L69" s="51">
        <f t="shared" si="65"/>
        <v>0.11552500000000002</v>
      </c>
      <c r="M69" s="51">
        <f t="shared" si="65"/>
        <v>0.11552500000000002</v>
      </c>
      <c r="N69" s="51">
        <f t="shared" si="65"/>
        <v>0.11552500000000002</v>
      </c>
      <c r="O69" s="51">
        <f t="shared" si="65"/>
        <v>0.11552500000000002</v>
      </c>
      <c r="P69" s="51">
        <f t="shared" si="65"/>
        <v>0.11552500000000002</v>
      </c>
      <c r="Q69" s="51">
        <f t="shared" si="65"/>
        <v>0.11552500000000002</v>
      </c>
      <c r="R69" s="51">
        <f t="shared" si="65"/>
        <v>0.11552500000000002</v>
      </c>
      <c r="U69" s="53">
        <v>0.55000000000000004</v>
      </c>
      <c r="V69" s="53">
        <v>9.5500000000000002E-2</v>
      </c>
      <c r="W69" s="53">
        <f>U69*V69</f>
        <v>5.2525000000000002E-2</v>
      </c>
    </row>
    <row r="70" spans="1:23" x14ac:dyDescent="0.3">
      <c r="B70" s="1" t="s">
        <v>584</v>
      </c>
      <c r="C70" s="33">
        <f>1</f>
        <v>1</v>
      </c>
      <c r="D70" s="33">
        <f>C70+1</f>
        <v>2</v>
      </c>
      <c r="E70" s="33">
        <f t="shared" ref="E70:R70" si="66">D70+1</f>
        <v>3</v>
      </c>
      <c r="F70" s="33">
        <f t="shared" si="66"/>
        <v>4</v>
      </c>
      <c r="G70" s="33">
        <f t="shared" si="66"/>
        <v>5</v>
      </c>
      <c r="H70" s="33">
        <f t="shared" si="66"/>
        <v>6</v>
      </c>
      <c r="I70" s="33">
        <f t="shared" si="66"/>
        <v>7</v>
      </c>
      <c r="J70" s="33">
        <f t="shared" si="66"/>
        <v>8</v>
      </c>
      <c r="K70" s="33">
        <f t="shared" si="66"/>
        <v>9</v>
      </c>
      <c r="L70" s="33">
        <f t="shared" si="66"/>
        <v>10</v>
      </c>
      <c r="M70" s="33">
        <f t="shared" si="66"/>
        <v>11</v>
      </c>
      <c r="N70" s="33">
        <f t="shared" si="66"/>
        <v>12</v>
      </c>
      <c r="O70" s="33">
        <f t="shared" si="66"/>
        <v>13</v>
      </c>
      <c r="P70" s="33">
        <f t="shared" si="66"/>
        <v>14</v>
      </c>
      <c r="Q70" s="33">
        <f t="shared" si="66"/>
        <v>15</v>
      </c>
      <c r="R70" s="33">
        <f t="shared" si="66"/>
        <v>16</v>
      </c>
      <c r="U70" s="53">
        <v>0.45</v>
      </c>
      <c r="V70" s="53">
        <v>0.14000000000000001</v>
      </c>
      <c r="W70" s="53">
        <f>U70*V70</f>
        <v>6.3000000000000014E-2</v>
      </c>
    </row>
    <row r="71" spans="1:23" x14ac:dyDescent="0.3">
      <c r="B71" s="1" t="s">
        <v>585</v>
      </c>
      <c r="C71" s="33">
        <f>1/(1+C69)^C70</f>
        <v>0.89643889648371833</v>
      </c>
      <c r="D71" s="33">
        <f t="shared" ref="D71:R71" si="67">1/(1+D69)^D70</f>
        <v>0.80360269512894678</v>
      </c>
      <c r="E71" s="33">
        <f t="shared" si="67"/>
        <v>0.720380713232735</v>
      </c>
      <c r="F71" s="33">
        <f t="shared" si="67"/>
        <v>0.64577729161850694</v>
      </c>
      <c r="G71" s="33">
        <f t="shared" si="67"/>
        <v>0.57889988267273873</v>
      </c>
      <c r="H71" s="33">
        <f t="shared" si="67"/>
        <v>0.51894837199770394</v>
      </c>
      <c r="I71" s="33">
        <f t="shared" si="67"/>
        <v>0.46520550592564386</v>
      </c>
      <c r="J71" s="33">
        <f t="shared" si="67"/>
        <v>0.41702831037013416</v>
      </c>
      <c r="K71" s="33">
        <f t="shared" si="67"/>
        <v>0.37384039835067262</v>
      </c>
      <c r="L71" s="33">
        <f t="shared" si="67"/>
        <v>0.33512507415851067</v>
      </c>
      <c r="M71" s="33">
        <f t="shared" si="67"/>
        <v>0.30041915166267963</v>
      </c>
      <c r="N71" s="33">
        <f t="shared" si="67"/>
        <v>0.26930741279906734</v>
      </c>
      <c r="O71" s="33">
        <f t="shared" si="67"/>
        <v>0.24141763994448112</v>
      </c>
      <c r="P71" s="33">
        <f t="shared" si="67"/>
        <v>0.21641616274353428</v>
      </c>
      <c r="Q71" s="33">
        <f t="shared" si="67"/>
        <v>0.19400386611105466</v>
      </c>
      <c r="R71" s="33">
        <f t="shared" si="67"/>
        <v>0.17391261165016894</v>
      </c>
      <c r="U71" s="634">
        <f>SUM(U69:U70)</f>
        <v>1</v>
      </c>
      <c r="V71" s="53"/>
      <c r="W71" s="634">
        <f>SUM(W69:W70)</f>
        <v>0.11552500000000002</v>
      </c>
    </row>
    <row r="72" spans="1:23" x14ac:dyDescent="0.3">
      <c r="B72" s="39" t="s">
        <v>557</v>
      </c>
      <c r="C72" s="272">
        <f>C67*C71</f>
        <v>33.450330223521284</v>
      </c>
      <c r="D72" s="272">
        <f t="shared" ref="D72:R72" si="68">D67*D71</f>
        <v>31.804084059080534</v>
      </c>
      <c r="E72" s="272">
        <f t="shared" si="68"/>
        <v>29.93593891847744</v>
      </c>
      <c r="F72" s="272">
        <f t="shared" si="68"/>
        <v>28.177527051748115</v>
      </c>
      <c r="G72" s="272">
        <f t="shared" si="68"/>
        <v>26.522402818704663</v>
      </c>
      <c r="H72" s="272">
        <f t="shared" si="68"/>
        <v>24.964499190641074</v>
      </c>
      <c r="I72" s="272">
        <f t="shared" si="68"/>
        <v>23.498105511013314</v>
      </c>
      <c r="J72" s="272">
        <f t="shared" si="68"/>
        <v>22.117846562438302</v>
      </c>
      <c r="K72" s="272">
        <f t="shared" si="68"/>
        <v>20.818662863279808</v>
      </c>
      <c r="L72" s="272">
        <f t="shared" si="68"/>
        <v>19.595792121596389</v>
      </c>
      <c r="M72" s="272">
        <f t="shared" si="68"/>
        <v>18.444751778468614</v>
      </c>
      <c r="N72" s="272">
        <f t="shared" si="68"/>
        <v>17.361322576716837</v>
      </c>
      <c r="O72" s="272">
        <f t="shared" si="68"/>
        <v>16.341533094778399</v>
      </c>
      <c r="P72" s="272">
        <f t="shared" si="68"/>
        <v>15.381645189052081</v>
      </c>
      <c r="Q72" s="272">
        <f t="shared" si="68"/>
        <v>14.47814029134684</v>
      </c>
      <c r="R72" s="272">
        <f t="shared" si="68"/>
        <v>13.627706511206993</v>
      </c>
      <c r="U72" s="1" t="s">
        <v>586</v>
      </c>
      <c r="W72" s="51"/>
    </row>
    <row r="73" spans="1:23" x14ac:dyDescent="0.3">
      <c r="B73" s="1" t="s">
        <v>558</v>
      </c>
      <c r="C73" s="50">
        <v>0.05</v>
      </c>
      <c r="U73" s="39" t="s">
        <v>556</v>
      </c>
      <c r="V73" s="39"/>
      <c r="W73" s="159">
        <f>W71+W72</f>
        <v>0.11552500000000002</v>
      </c>
    </row>
    <row r="74" spans="1:23" x14ac:dyDescent="0.3">
      <c r="B74" s="1" t="s">
        <v>559</v>
      </c>
      <c r="C74" s="52">
        <f>R67*(1+C73)/(W71-C73)</f>
        <v>1255.665507170537</v>
      </c>
    </row>
    <row r="75" spans="1:23" x14ac:dyDescent="0.3">
      <c r="B75" s="1" t="s">
        <v>560</v>
      </c>
      <c r="C75" s="52">
        <f>C74/(1+C69)^R70</f>
        <v>218.37606771106203</v>
      </c>
      <c r="F75" s="45"/>
      <c r="I75" s="45"/>
    </row>
    <row r="76" spans="1:23" x14ac:dyDescent="0.3">
      <c r="B76" s="1" t="s">
        <v>561</v>
      </c>
      <c r="C76" s="33">
        <f>SUM(C72:R72)</f>
        <v>356.52028876207072</v>
      </c>
    </row>
    <row r="77" spans="1:23" x14ac:dyDescent="0.3">
      <c r="B77" s="39" t="s">
        <v>562</v>
      </c>
      <c r="C77" s="54">
        <f>SUM(C75:C76)*85%</f>
        <v>488.66190300216283</v>
      </c>
      <c r="E77" s="52"/>
    </row>
    <row r="78" spans="1:23" x14ac:dyDescent="0.3">
      <c r="B78" s="1" t="s">
        <v>194</v>
      </c>
      <c r="C78" s="52">
        <v>300</v>
      </c>
    </row>
    <row r="79" spans="1:23" x14ac:dyDescent="0.3">
      <c r="B79" s="1" t="s">
        <v>563</v>
      </c>
      <c r="C79" s="608">
        <f>C77/C78</f>
        <v>1.6288730100072095</v>
      </c>
    </row>
    <row r="80" spans="1:23" x14ac:dyDescent="0.3">
      <c r="C80" s="33"/>
    </row>
    <row r="81" spans="2:22" x14ac:dyDescent="0.3">
      <c r="B81" s="449" t="s">
        <v>574</v>
      </c>
      <c r="C81" s="631" t="s">
        <v>346</v>
      </c>
      <c r="D81" s="631" t="s">
        <v>580</v>
      </c>
      <c r="E81" s="631" t="s">
        <v>553</v>
      </c>
      <c r="F81" s="631" t="s">
        <v>581</v>
      </c>
      <c r="V81" s="608"/>
    </row>
    <row r="82" spans="2:22" x14ac:dyDescent="0.3">
      <c r="B82" s="39"/>
      <c r="V82" s="50"/>
    </row>
    <row r="83" spans="2:22" x14ac:dyDescent="0.3">
      <c r="B83" s="1" t="s">
        <v>575</v>
      </c>
      <c r="C83" s="33">
        <v>1.2832645264808222</v>
      </c>
      <c r="D83" s="33">
        <v>1.5260442840133863</v>
      </c>
      <c r="E83" s="33">
        <v>2.8717245853234044</v>
      </c>
      <c r="F83" s="632">
        <v>8.7400000000000005E-2</v>
      </c>
      <c r="V83" s="53"/>
    </row>
    <row r="84" spans="2:22" x14ac:dyDescent="0.3">
      <c r="B84" s="1" t="s">
        <v>576</v>
      </c>
      <c r="C84" s="33">
        <v>1.1648825559470897</v>
      </c>
      <c r="D84" s="33">
        <v>1.4502753848042409</v>
      </c>
      <c r="E84" s="33">
        <v>2.868177056496569</v>
      </c>
      <c r="F84" s="632">
        <v>8.7400000000000005E-2</v>
      </c>
      <c r="V84" s="53"/>
    </row>
    <row r="85" spans="2:22" x14ac:dyDescent="0.3">
      <c r="B85" s="1" t="s">
        <v>577</v>
      </c>
      <c r="C85" s="33">
        <v>1.066497483314931</v>
      </c>
      <c r="D85" s="33">
        <v>1.3816745201043581</v>
      </c>
      <c r="E85" s="33">
        <v>2.8646382815965112</v>
      </c>
      <c r="F85" s="632">
        <v>8.7400000000000005E-2</v>
      </c>
      <c r="V85" s="53"/>
    </row>
    <row r="86" spans="2:22" x14ac:dyDescent="0.3">
      <c r="B86" s="1" t="s">
        <v>578</v>
      </c>
      <c r="C86" s="33">
        <v>1.1716408706836987</v>
      </c>
      <c r="D86" s="33">
        <v>1.3933026454500612</v>
      </c>
      <c r="E86" s="33">
        <v>2.6219301188333959</v>
      </c>
      <c r="F86" s="632">
        <v>7.9000000000000001E-2</v>
      </c>
      <c r="V86" s="1" t="s">
        <v>599</v>
      </c>
    </row>
    <row r="87" spans="2:22" x14ac:dyDescent="0.3">
      <c r="B87" s="1" t="s">
        <v>579</v>
      </c>
      <c r="C87" s="33">
        <v>1.0652823732976964</v>
      </c>
      <c r="D87" s="33">
        <v>1.2668222712490027</v>
      </c>
      <c r="E87" s="33">
        <v>2.3839181512555299</v>
      </c>
      <c r="F87" s="632">
        <v>7.0699999999999999E-2</v>
      </c>
    </row>
    <row r="88" spans="2:22" x14ac:dyDescent="0.3">
      <c r="B88" s="1" t="s">
        <v>587</v>
      </c>
      <c r="C88" s="33">
        <v>1.4001454828638078</v>
      </c>
      <c r="D88" s="33">
        <v>1.6650379109314171</v>
      </c>
      <c r="E88" s="33">
        <v>3.1332843547613329</v>
      </c>
      <c r="F88" s="632">
        <v>9.6000000000000002E-2</v>
      </c>
    </row>
    <row r="89" spans="2:22" x14ac:dyDescent="0.3">
      <c r="B89" s="1" t="s">
        <v>588</v>
      </c>
      <c r="C89" s="33">
        <v>1.5222757074531974</v>
      </c>
      <c r="D89" s="33">
        <v>1.8102737996676854</v>
      </c>
      <c r="E89" s="33">
        <v>3.4065903839393781</v>
      </c>
      <c r="F89" s="632">
        <v>0.1047</v>
      </c>
    </row>
    <row r="92" spans="2:22" ht="14.4" x14ac:dyDescent="0.3">
      <c r="B92" s="640" t="s">
        <v>595</v>
      </c>
      <c r="C92" s="640" t="s">
        <v>28</v>
      </c>
      <c r="D92" s="640" t="s">
        <v>596</v>
      </c>
      <c r="E92" s="640" t="s">
        <v>601</v>
      </c>
      <c r="F92" s="640" t="s">
        <v>597</v>
      </c>
      <c r="G92" s="640" t="s">
        <v>43</v>
      </c>
      <c r="H92" s="640" t="s">
        <v>598</v>
      </c>
    </row>
    <row r="93" spans="2:22" x14ac:dyDescent="0.3">
      <c r="C93" s="77">
        <v>46112</v>
      </c>
      <c r="D93" s="33"/>
      <c r="F93" s="33"/>
      <c r="G93" s="642"/>
      <c r="H93" s="52"/>
    </row>
    <row r="94" spans="2:22" x14ac:dyDescent="0.3">
      <c r="C94" s="77">
        <f>EOMONTH(C93,12)</f>
        <v>46477</v>
      </c>
      <c r="D94" s="33"/>
      <c r="F94" s="33"/>
      <c r="G94" s="642"/>
      <c r="H94" s="52"/>
    </row>
    <row r="95" spans="2:22" x14ac:dyDescent="0.3">
      <c r="C95" s="77">
        <f t="shared" ref="C95:C109" si="69">EOMONTH(C94,12)</f>
        <v>46843</v>
      </c>
      <c r="D95" s="33"/>
      <c r="F95" s="33"/>
      <c r="G95" s="642"/>
      <c r="H95" s="52"/>
    </row>
    <row r="96" spans="2:22" x14ac:dyDescent="0.3">
      <c r="B96" s="1">
        <v>0</v>
      </c>
      <c r="C96" s="77">
        <f>EOMONTH(C95,12)</f>
        <v>47208</v>
      </c>
      <c r="D96" s="33" cm="1">
        <f t="array" ref="D96:D112">TRANSPOSE('P&amp;L Statement'!I9:Y9)</f>
        <v>34.907906239950947</v>
      </c>
      <c r="E96" s="52">
        <f>D96*$A$65</f>
        <v>0</v>
      </c>
      <c r="F96" s="33" cm="1">
        <f t="array" ref="F96:F112">TRANSPOSE('P&amp;L Statement'!I14:Y14)</f>
        <v>5.3030414235057499</v>
      </c>
      <c r="G96" s="642">
        <f>D96-F96-E96</f>
        <v>29.604864816445197</v>
      </c>
      <c r="H96" s="52">
        <f>G96/(1+$W$71)^B96</f>
        <v>29.604864816445197</v>
      </c>
      <c r="J96" s="33"/>
    </row>
    <row r="97" spans="2:10" x14ac:dyDescent="0.3">
      <c r="B97" s="1">
        <f t="shared" ref="B97:B109" si="70">B96+1</f>
        <v>1</v>
      </c>
      <c r="C97" s="77">
        <f t="shared" si="69"/>
        <v>47573</v>
      </c>
      <c r="D97" s="33">
        <v>41.880291853717686</v>
      </c>
      <c r="E97" s="52">
        <f t="shared" ref="E97:E112" si="71">D97*$A$65</f>
        <v>0</v>
      </c>
      <c r="F97" s="33">
        <v>4.5656122311240956</v>
      </c>
      <c r="G97" s="642">
        <f t="shared" ref="G97:G112" si="72">D97-F97-E97</f>
        <v>37.314679622593587</v>
      </c>
      <c r="H97" s="52">
        <f t="shared" ref="H97:H111" si="73">G97/(1+$W$71)^B97</f>
        <v>33.450330223521284</v>
      </c>
      <c r="J97" s="33"/>
    </row>
    <row r="98" spans="2:10" x14ac:dyDescent="0.3">
      <c r="B98" s="1">
        <f t="shared" si="70"/>
        <v>2</v>
      </c>
      <c r="C98" s="77">
        <f t="shared" si="69"/>
        <v>47938</v>
      </c>
      <c r="D98" s="33">
        <v>43.974306446403595</v>
      </c>
      <c r="E98" s="52">
        <f t="shared" si="71"/>
        <v>0</v>
      </c>
      <c r="F98" s="33">
        <v>4.3974306446403579</v>
      </c>
      <c r="G98" s="642">
        <f t="shared" si="72"/>
        <v>39.576875801763236</v>
      </c>
      <c r="H98" s="52">
        <f t="shared" si="73"/>
        <v>31.80408405908053</v>
      </c>
      <c r="J98" s="33"/>
    </row>
    <row r="99" spans="2:10" x14ac:dyDescent="0.3">
      <c r="B99" s="1">
        <f t="shared" si="70"/>
        <v>3</v>
      </c>
      <c r="C99" s="77">
        <f t="shared" si="69"/>
        <v>48304</v>
      </c>
      <c r="D99" s="33">
        <v>46.173021768723764</v>
      </c>
      <c r="E99" s="52">
        <f t="shared" si="71"/>
        <v>0</v>
      </c>
      <c r="F99" s="33">
        <v>4.6173021768723777</v>
      </c>
      <c r="G99" s="642">
        <f t="shared" si="72"/>
        <v>41.555719591851386</v>
      </c>
      <c r="H99" s="52">
        <f t="shared" si="73"/>
        <v>29.93593891847744</v>
      </c>
      <c r="J99" s="33"/>
    </row>
    <row r="100" spans="2:10" x14ac:dyDescent="0.3">
      <c r="B100" s="1">
        <f t="shared" si="70"/>
        <v>4</v>
      </c>
      <c r="C100" s="77">
        <f t="shared" si="69"/>
        <v>48669</v>
      </c>
      <c r="D100" s="33">
        <v>48.481672857159957</v>
      </c>
      <c r="E100" s="52">
        <f t="shared" si="71"/>
        <v>0</v>
      </c>
      <c r="F100" s="33">
        <v>4.8481672857159959</v>
      </c>
      <c r="G100" s="642">
        <f t="shared" si="72"/>
        <v>43.633505571443962</v>
      </c>
      <c r="H100" s="52">
        <f t="shared" si="73"/>
        <v>28.177527051748115</v>
      </c>
      <c r="J100" s="33"/>
    </row>
    <row r="101" spans="2:10" x14ac:dyDescent="0.3">
      <c r="B101" s="1">
        <f t="shared" si="70"/>
        <v>5</v>
      </c>
      <c r="C101" s="77">
        <f t="shared" si="69"/>
        <v>49034</v>
      </c>
      <c r="D101" s="33">
        <v>50.905756500017958</v>
      </c>
      <c r="E101" s="52">
        <f t="shared" si="71"/>
        <v>0</v>
      </c>
      <c r="F101" s="33">
        <v>5.0905756500017976</v>
      </c>
      <c r="G101" s="642">
        <f t="shared" si="72"/>
        <v>45.815180850016162</v>
      </c>
      <c r="H101" s="52">
        <f t="shared" si="73"/>
        <v>26.522402818704663</v>
      </c>
      <c r="J101" s="33"/>
    </row>
    <row r="102" spans="2:10" x14ac:dyDescent="0.3">
      <c r="B102" s="1">
        <f t="shared" si="70"/>
        <v>6</v>
      </c>
      <c r="C102" s="77">
        <f t="shared" si="69"/>
        <v>49399</v>
      </c>
      <c r="D102" s="33">
        <v>53.451044325018842</v>
      </c>
      <c r="E102" s="52">
        <f t="shared" si="71"/>
        <v>0</v>
      </c>
      <c r="F102" s="33">
        <v>5.3451044325018851</v>
      </c>
      <c r="G102" s="642">
        <f t="shared" si="72"/>
        <v>48.105939892516957</v>
      </c>
      <c r="H102" s="52">
        <f t="shared" si="73"/>
        <v>24.964499190641074</v>
      </c>
      <c r="J102" s="33"/>
    </row>
    <row r="103" spans="2:10" x14ac:dyDescent="0.3">
      <c r="B103" s="1">
        <f t="shared" si="70"/>
        <v>7</v>
      </c>
      <c r="C103" s="77">
        <f t="shared" si="69"/>
        <v>49765</v>
      </c>
      <c r="D103" s="33">
        <v>56.123596541269784</v>
      </c>
      <c r="E103" s="52">
        <f t="shared" si="71"/>
        <v>0</v>
      </c>
      <c r="F103" s="33">
        <v>5.6123596541269789</v>
      </c>
      <c r="G103" s="642">
        <f t="shared" si="72"/>
        <v>50.511236887142807</v>
      </c>
      <c r="H103" s="52">
        <f t="shared" si="73"/>
        <v>23.498105511013314</v>
      </c>
      <c r="J103" s="33"/>
    </row>
    <row r="104" spans="2:10" x14ac:dyDescent="0.3">
      <c r="B104" s="1">
        <f t="shared" si="70"/>
        <v>8</v>
      </c>
      <c r="C104" s="77">
        <f t="shared" si="69"/>
        <v>50130</v>
      </c>
      <c r="D104" s="33">
        <v>58.929776368333286</v>
      </c>
      <c r="E104" s="52">
        <f t="shared" si="71"/>
        <v>0</v>
      </c>
      <c r="F104" s="33">
        <v>5.8929776368333302</v>
      </c>
      <c r="G104" s="642">
        <f t="shared" si="72"/>
        <v>53.036798731499957</v>
      </c>
      <c r="H104" s="52">
        <f t="shared" si="73"/>
        <v>22.117846562438302</v>
      </c>
      <c r="J104" s="33"/>
    </row>
    <row r="105" spans="2:10" x14ac:dyDescent="0.3">
      <c r="B105" s="1">
        <f t="shared" si="70"/>
        <v>9</v>
      </c>
      <c r="C105" s="77">
        <f t="shared" si="69"/>
        <v>50495</v>
      </c>
      <c r="D105" s="33">
        <v>61.87626518674994</v>
      </c>
      <c r="E105" s="52">
        <f t="shared" si="71"/>
        <v>0</v>
      </c>
      <c r="F105" s="33">
        <v>6.1876265186749944</v>
      </c>
      <c r="G105" s="642">
        <f t="shared" si="72"/>
        <v>55.688638668074944</v>
      </c>
      <c r="H105" s="52">
        <f t="shared" si="73"/>
        <v>20.818662863279808</v>
      </c>
      <c r="J105" s="33"/>
    </row>
    <row r="106" spans="2:10" x14ac:dyDescent="0.3">
      <c r="B106" s="1">
        <f t="shared" si="70"/>
        <v>10</v>
      </c>
      <c r="C106" s="77">
        <f t="shared" si="69"/>
        <v>50860</v>
      </c>
      <c r="D106" s="33">
        <v>64.97007844608747</v>
      </c>
      <c r="E106" s="52">
        <f t="shared" si="71"/>
        <v>0</v>
      </c>
      <c r="F106" s="33">
        <v>6.4970078446087474</v>
      </c>
      <c r="G106" s="642">
        <f t="shared" si="72"/>
        <v>58.473070601478724</v>
      </c>
      <c r="H106" s="52">
        <f t="shared" si="73"/>
        <v>19.595792121596389</v>
      </c>
      <c r="J106" s="33"/>
    </row>
    <row r="107" spans="2:10" x14ac:dyDescent="0.3">
      <c r="B107" s="1">
        <f t="shared" si="70"/>
        <v>11</v>
      </c>
      <c r="C107" s="77">
        <f t="shared" si="69"/>
        <v>51226</v>
      </c>
      <c r="D107" s="33">
        <v>68.218582368391822</v>
      </c>
      <c r="E107" s="52">
        <f t="shared" si="71"/>
        <v>0</v>
      </c>
      <c r="F107" s="33">
        <v>6.8218582368391845</v>
      </c>
      <c r="G107" s="642">
        <f t="shared" si="72"/>
        <v>61.396724131552638</v>
      </c>
      <c r="H107" s="52">
        <f t="shared" si="73"/>
        <v>18.444751778468614</v>
      </c>
      <c r="J107" s="33"/>
    </row>
    <row r="108" spans="2:10" x14ac:dyDescent="0.3">
      <c r="B108" s="1">
        <f t="shared" si="70"/>
        <v>12</v>
      </c>
      <c r="C108" s="77">
        <f t="shared" si="69"/>
        <v>51591</v>
      </c>
      <c r="D108" s="33">
        <v>71.629511486811438</v>
      </c>
      <c r="E108" s="52">
        <f t="shared" si="71"/>
        <v>0</v>
      </c>
      <c r="F108" s="33">
        <v>7.1629511486811444</v>
      </c>
      <c r="G108" s="642">
        <f t="shared" si="72"/>
        <v>64.466560338130293</v>
      </c>
      <c r="H108" s="52">
        <f t="shared" si="73"/>
        <v>17.361322576716837</v>
      </c>
      <c r="J108" s="33"/>
    </row>
    <row r="109" spans="2:10" x14ac:dyDescent="0.3">
      <c r="B109" s="1">
        <f t="shared" si="70"/>
        <v>13</v>
      </c>
      <c r="C109" s="77">
        <f t="shared" si="69"/>
        <v>51956</v>
      </c>
      <c r="D109" s="33">
        <v>75.210987061151997</v>
      </c>
      <c r="E109" s="52">
        <f t="shared" si="71"/>
        <v>0</v>
      </c>
      <c r="F109" s="33">
        <v>7.5210987061152013</v>
      </c>
      <c r="G109" s="642">
        <f t="shared" si="72"/>
        <v>67.6898883550368</v>
      </c>
      <c r="H109" s="52">
        <f t="shared" si="73"/>
        <v>16.341533094778399</v>
      </c>
      <c r="J109" s="33"/>
    </row>
    <row r="110" spans="2:10" x14ac:dyDescent="0.3">
      <c r="B110" s="1">
        <f t="shared" ref="B110:B112" si="74">B109+1</f>
        <v>14</v>
      </c>
      <c r="C110" s="77">
        <f t="shared" ref="C110:C112" si="75">EOMONTH(C109,12)</f>
        <v>52321</v>
      </c>
      <c r="D110" s="33">
        <v>78.971536414209623</v>
      </c>
      <c r="E110" s="52">
        <f t="shared" si="71"/>
        <v>0</v>
      </c>
      <c r="F110" s="33">
        <v>7.8971536414209629</v>
      </c>
      <c r="G110" s="642">
        <f t="shared" si="72"/>
        <v>71.074382772788667</v>
      </c>
      <c r="H110" s="52">
        <f t="shared" si="73"/>
        <v>15.381645189052083</v>
      </c>
      <c r="J110" s="33"/>
    </row>
    <row r="111" spans="2:10" x14ac:dyDescent="0.3">
      <c r="B111" s="1">
        <f t="shared" si="74"/>
        <v>15</v>
      </c>
      <c r="C111" s="77">
        <f t="shared" si="75"/>
        <v>52687</v>
      </c>
      <c r="D111" s="33">
        <v>82.920113234920109</v>
      </c>
      <c r="E111" s="52">
        <f t="shared" si="71"/>
        <v>0</v>
      </c>
      <c r="F111" s="33">
        <v>8.2920113234920123</v>
      </c>
      <c r="G111" s="642">
        <f t="shared" si="72"/>
        <v>74.628101911428104</v>
      </c>
      <c r="H111" s="52">
        <f t="shared" si="73"/>
        <v>14.478140291346842</v>
      </c>
      <c r="J111" s="33"/>
    </row>
    <row r="112" spans="2:10" x14ac:dyDescent="0.3">
      <c r="B112" s="1">
        <f t="shared" si="74"/>
        <v>16</v>
      </c>
      <c r="C112" s="77">
        <f t="shared" si="75"/>
        <v>53052</v>
      </c>
      <c r="D112" s="33">
        <v>87.066118896666097</v>
      </c>
      <c r="E112" s="52">
        <f t="shared" si="71"/>
        <v>0</v>
      </c>
      <c r="F112" s="33">
        <v>8.7066118896666111</v>
      </c>
      <c r="G112" s="642">
        <f t="shared" si="72"/>
        <v>78.359507006999479</v>
      </c>
      <c r="H112" s="52">
        <f>(G112+D113)/(1+$W$71)^B112</f>
        <v>256.26778174572041</v>
      </c>
      <c r="J112" s="33"/>
    </row>
    <row r="113" spans="3:9" x14ac:dyDescent="0.3">
      <c r="C113" s="77"/>
      <c r="D113" s="33">
        <f>D112*(1+C73)/(W71-C73)</f>
        <v>1395.1838968561524</v>
      </c>
      <c r="F113" s="33"/>
      <c r="G113" s="642"/>
      <c r="H113" s="52"/>
    </row>
    <row r="114" spans="3:9" x14ac:dyDescent="0.3">
      <c r="F114" s="33"/>
      <c r="H114" s="54">
        <f>SUM(H97:H113)</f>
        <v>599.16036399658412</v>
      </c>
      <c r="I114" s="52">
        <f>H114*90%</f>
        <v>539.2443275969257</v>
      </c>
    </row>
    <row r="115" spans="3:9" x14ac:dyDescent="0.3">
      <c r="F115" s="33"/>
      <c r="I115" s="52">
        <f>I114/300</f>
        <v>1.7974810919897524</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1"/>
  <dimension ref="D4:Q26"/>
  <sheetViews>
    <sheetView workbookViewId="0">
      <selection activeCell="A6" sqref="A6"/>
    </sheetView>
  </sheetViews>
  <sheetFormatPr defaultColWidth="8.88671875" defaultRowHeight="14.4" x14ac:dyDescent="0.3"/>
  <cols>
    <col min="1" max="3" width="8.88671875" style="4" customWidth="1"/>
    <col min="4" max="4" width="18" style="4" customWidth="1"/>
    <col min="5" max="7" width="14.33203125" style="4" customWidth="1"/>
    <col min="8" max="8" width="14" style="4" customWidth="1"/>
    <col min="9" max="9" width="12.33203125" style="4" customWidth="1"/>
    <col min="10" max="10" width="12.6640625" style="4" customWidth="1"/>
    <col min="11" max="11" width="15.6640625" style="4" customWidth="1"/>
    <col min="12" max="12" width="15.44140625" style="4" customWidth="1"/>
    <col min="13" max="13" width="15" style="4" customWidth="1"/>
    <col min="14" max="14" width="12.44140625" style="4" customWidth="1"/>
    <col min="15" max="15" width="13.109375" style="4" customWidth="1"/>
    <col min="16" max="16" width="13.33203125" style="4" customWidth="1"/>
    <col min="17" max="17" width="12" style="4" customWidth="1"/>
    <col min="18" max="18" width="8.88671875" style="4" customWidth="1"/>
    <col min="19" max="16384" width="8.88671875" style="4"/>
  </cols>
  <sheetData>
    <row r="4" spans="4:17" x14ac:dyDescent="0.3">
      <c r="K4" s="4">
        <v>2397</v>
      </c>
      <c r="L4" s="21">
        <f>K4-F6</f>
        <v>855</v>
      </c>
    </row>
    <row r="5" spans="4:17" ht="28.8" x14ac:dyDescent="0.3">
      <c r="D5" s="2"/>
      <c r="E5" s="3" t="s">
        <v>14</v>
      </c>
      <c r="F5" s="3" t="s">
        <v>74</v>
      </c>
      <c r="G5" s="3" t="s">
        <v>25</v>
      </c>
      <c r="H5" s="3" t="s">
        <v>75</v>
      </c>
      <c r="I5" s="3" t="s">
        <v>72</v>
      </c>
      <c r="J5" s="3" t="s">
        <v>76</v>
      </c>
      <c r="K5" s="3" t="s">
        <v>77</v>
      </c>
      <c r="L5" s="3" t="s">
        <v>78</v>
      </c>
      <c r="M5" s="3" t="s">
        <v>79</v>
      </c>
      <c r="N5" s="3" t="s">
        <v>80</v>
      </c>
      <c r="O5" s="3" t="s">
        <v>81</v>
      </c>
      <c r="P5" s="3" t="s">
        <v>82</v>
      </c>
      <c r="Q5" s="3" t="s">
        <v>83</v>
      </c>
    </row>
    <row r="6" spans="4:17" x14ac:dyDescent="0.3">
      <c r="D6" s="5" t="s">
        <v>84</v>
      </c>
      <c r="E6" s="6">
        <v>596057</v>
      </c>
      <c r="F6" s="7">
        <v>1542</v>
      </c>
      <c r="G6" s="7">
        <v>25</v>
      </c>
      <c r="H6" s="7">
        <f>F6*1.18+G6</f>
        <v>1844.56</v>
      </c>
      <c r="I6" s="7">
        <v>855</v>
      </c>
      <c r="J6" s="7">
        <f t="shared" ref="J6:J12" si="0">I6*1.18</f>
        <v>1008.9</v>
      </c>
      <c r="K6" s="7">
        <f t="shared" ref="K6:K12" si="1">H6+J6</f>
        <v>2853.46</v>
      </c>
      <c r="L6" s="7">
        <f>(F6+I6+G6)*E6</f>
        <v>1443650054</v>
      </c>
      <c r="M6" s="7">
        <f t="shared" ref="M6:M12" si="2">K6*E6</f>
        <v>1700824807.22</v>
      </c>
      <c r="N6" s="7">
        <v>22</v>
      </c>
      <c r="O6" s="7">
        <v>5.4</v>
      </c>
      <c r="P6" s="7">
        <f>(N6+O6)*E6</f>
        <v>16331961.799999999</v>
      </c>
      <c r="Q6" s="8">
        <f>(P6*12)*90%/(E18+M6)</f>
        <v>8.2231786578141203E-2</v>
      </c>
    </row>
    <row r="7" spans="4:17" x14ac:dyDescent="0.3">
      <c r="D7" s="9">
        <v>1</v>
      </c>
      <c r="E7" s="6">
        <v>139744.81</v>
      </c>
      <c r="F7" s="7">
        <v>1542</v>
      </c>
      <c r="G7" s="7">
        <v>25</v>
      </c>
      <c r="H7" s="7">
        <f t="shared" ref="H7:H12" si="3">F7*1.18+G7</f>
        <v>1844.56</v>
      </c>
      <c r="I7" s="7">
        <v>0</v>
      </c>
      <c r="J7" s="7">
        <f t="shared" si="0"/>
        <v>0</v>
      </c>
      <c r="K7" s="7">
        <f t="shared" si="1"/>
        <v>1844.56</v>
      </c>
      <c r="L7" s="7">
        <f t="shared" ref="L7:L12" si="4">(F7+I7+G7)*E7</f>
        <v>218980117.27000001</v>
      </c>
      <c r="M7" s="7">
        <f t="shared" si="2"/>
        <v>257767686.73359999</v>
      </c>
      <c r="N7" s="7">
        <v>22</v>
      </c>
      <c r="O7" s="7">
        <v>0</v>
      </c>
      <c r="P7" s="7">
        <f t="shared" ref="P7:P12" si="5">(N7+O7)*E7*1.1</f>
        <v>3381824.4020000002</v>
      </c>
      <c r="Q7" s="8">
        <f t="shared" ref="Q7:Q12" si="6">(P7*12)*90%/(E19+M7)</f>
        <v>0.10092255848417157</v>
      </c>
    </row>
    <row r="8" spans="4:17" x14ac:dyDescent="0.3">
      <c r="D8" s="9">
        <f>D7+1</f>
        <v>2</v>
      </c>
      <c r="E8" s="6">
        <v>278163.61</v>
      </c>
      <c r="F8" s="7">
        <v>1542</v>
      </c>
      <c r="G8" s="7">
        <v>25</v>
      </c>
      <c r="H8" s="7">
        <f t="shared" si="3"/>
        <v>1844.56</v>
      </c>
      <c r="I8" s="7">
        <v>0</v>
      </c>
      <c r="J8" s="7">
        <f t="shared" si="0"/>
        <v>0</v>
      </c>
      <c r="K8" s="7">
        <f t="shared" si="1"/>
        <v>1844.56</v>
      </c>
      <c r="L8" s="7">
        <f t="shared" si="4"/>
        <v>435882376.87</v>
      </c>
      <c r="M8" s="7">
        <f t="shared" si="2"/>
        <v>513089468.46159995</v>
      </c>
      <c r="N8" s="7">
        <v>22</v>
      </c>
      <c r="O8" s="7">
        <v>0</v>
      </c>
      <c r="P8" s="7">
        <f t="shared" si="5"/>
        <v>6731559.3620000007</v>
      </c>
      <c r="Q8" s="8">
        <f t="shared" si="6"/>
        <v>0.10092255848417157</v>
      </c>
    </row>
    <row r="9" spans="4:17" x14ac:dyDescent="0.3">
      <c r="D9" s="9">
        <f>D8+1</f>
        <v>3</v>
      </c>
      <c r="E9" s="6">
        <v>222422.78</v>
      </c>
      <c r="F9" s="7">
        <v>1542</v>
      </c>
      <c r="G9" s="7">
        <v>25</v>
      </c>
      <c r="H9" s="7">
        <f t="shared" si="3"/>
        <v>1844.56</v>
      </c>
      <c r="I9" s="7">
        <v>0</v>
      </c>
      <c r="J9" s="7">
        <f t="shared" si="0"/>
        <v>0</v>
      </c>
      <c r="K9" s="7">
        <f t="shared" si="1"/>
        <v>1844.56</v>
      </c>
      <c r="L9" s="7">
        <f t="shared" si="4"/>
        <v>348536496.25999999</v>
      </c>
      <c r="M9" s="7">
        <f t="shared" si="2"/>
        <v>410272163.07679999</v>
      </c>
      <c r="N9" s="7">
        <v>22</v>
      </c>
      <c r="O9" s="7">
        <v>0</v>
      </c>
      <c r="P9" s="7">
        <f t="shared" si="5"/>
        <v>5382631.2760000005</v>
      </c>
      <c r="Q9" s="8">
        <f t="shared" si="6"/>
        <v>0.10092255848417157</v>
      </c>
    </row>
    <row r="10" spans="4:17" x14ac:dyDescent="0.3">
      <c r="D10" s="9">
        <f>D9+1</f>
        <v>4</v>
      </c>
      <c r="E10" s="6">
        <v>290299.7</v>
      </c>
      <c r="F10" s="7">
        <v>1542</v>
      </c>
      <c r="G10" s="7">
        <v>25</v>
      </c>
      <c r="H10" s="7">
        <f t="shared" si="3"/>
        <v>1844.56</v>
      </c>
      <c r="I10" s="7">
        <v>0</v>
      </c>
      <c r="J10" s="7">
        <f t="shared" si="0"/>
        <v>0</v>
      </c>
      <c r="K10" s="7">
        <f t="shared" si="1"/>
        <v>1844.56</v>
      </c>
      <c r="L10" s="7">
        <f t="shared" si="4"/>
        <v>454899629.90000004</v>
      </c>
      <c r="M10" s="7">
        <f t="shared" si="2"/>
        <v>535475214.63200003</v>
      </c>
      <c r="N10" s="7">
        <v>22</v>
      </c>
      <c r="O10" s="7">
        <v>0</v>
      </c>
      <c r="P10" s="7">
        <f t="shared" si="5"/>
        <v>7025252.7400000012</v>
      </c>
      <c r="Q10" s="8">
        <f t="shared" si="6"/>
        <v>0.10092255848417156</v>
      </c>
    </row>
    <row r="11" spans="4:17" x14ac:dyDescent="0.3">
      <c r="D11" s="9">
        <f>D9+1</f>
        <v>4</v>
      </c>
      <c r="E11" s="6">
        <v>29933.07</v>
      </c>
      <c r="F11" s="7">
        <v>1542</v>
      </c>
      <c r="G11" s="7">
        <v>25</v>
      </c>
      <c r="H11" s="7">
        <f t="shared" si="3"/>
        <v>1844.56</v>
      </c>
      <c r="I11" s="7">
        <v>0</v>
      </c>
      <c r="J11" s="7">
        <f t="shared" si="0"/>
        <v>0</v>
      </c>
      <c r="K11" s="7">
        <f>H11+J11</f>
        <v>1844.56</v>
      </c>
      <c r="L11" s="7">
        <f t="shared" si="4"/>
        <v>46905120.689999998</v>
      </c>
      <c r="M11" s="7">
        <f t="shared" si="2"/>
        <v>55213343.599199995</v>
      </c>
      <c r="N11" s="7">
        <v>22</v>
      </c>
      <c r="O11" s="7">
        <v>0</v>
      </c>
      <c r="P11" s="7">
        <f t="shared" si="5"/>
        <v>724380.29400000011</v>
      </c>
      <c r="Q11" s="8">
        <f t="shared" si="6"/>
        <v>0.10092255848417159</v>
      </c>
    </row>
    <row r="12" spans="4:17" x14ac:dyDescent="0.3">
      <c r="D12" s="9">
        <f>D10+1</f>
        <v>5</v>
      </c>
      <c r="E12" s="6">
        <v>51486.26</v>
      </c>
      <c r="F12" s="7">
        <v>1542</v>
      </c>
      <c r="G12" s="7">
        <v>25</v>
      </c>
      <c r="H12" s="7">
        <f t="shared" si="3"/>
        <v>1844.56</v>
      </c>
      <c r="I12" s="7">
        <v>0</v>
      </c>
      <c r="J12" s="7">
        <f t="shared" si="0"/>
        <v>0</v>
      </c>
      <c r="K12" s="7">
        <f t="shared" si="1"/>
        <v>1844.56</v>
      </c>
      <c r="L12" s="7">
        <f t="shared" si="4"/>
        <v>80678969.420000002</v>
      </c>
      <c r="M12" s="7">
        <f t="shared" si="2"/>
        <v>94969495.7456</v>
      </c>
      <c r="N12" s="7">
        <v>22</v>
      </c>
      <c r="O12" s="7">
        <v>0</v>
      </c>
      <c r="P12" s="7">
        <f t="shared" si="5"/>
        <v>1245967.4920000001</v>
      </c>
      <c r="Q12" s="8">
        <f t="shared" si="6"/>
        <v>0.10092255848417157</v>
      </c>
    </row>
    <row r="13" spans="4:17" x14ac:dyDescent="0.3">
      <c r="D13" s="10"/>
      <c r="E13" s="11">
        <f>SUM(E6:E12)</f>
        <v>1608107.23</v>
      </c>
      <c r="F13" s="11"/>
      <c r="G13" s="11"/>
      <c r="H13" s="11"/>
      <c r="I13" s="11">
        <f>SUM(I6:I12)</f>
        <v>855</v>
      </c>
      <c r="J13" s="11"/>
      <c r="K13" s="11"/>
      <c r="L13" s="11">
        <f>SUM(L6:L12)</f>
        <v>3029532764.4099998</v>
      </c>
      <c r="M13" s="11">
        <f>SUM(M6:M12)</f>
        <v>3567612179.4687996</v>
      </c>
      <c r="N13" s="11"/>
      <c r="O13" s="11"/>
      <c r="P13" s="11">
        <f>SUM(P6:P12)</f>
        <v>40823577.365999997</v>
      </c>
      <c r="Q13" s="12">
        <f>SUMPRODUCT(Q6:Q12,E6:E12)/E13</f>
        <v>9.399468376154331E-2</v>
      </c>
    </row>
    <row r="14" spans="4:17" x14ac:dyDescent="0.3">
      <c r="D14" s="13"/>
      <c r="E14" s="14"/>
    </row>
    <row r="15" spans="4:17" x14ac:dyDescent="0.3">
      <c r="D15" s="15" t="s">
        <v>85</v>
      </c>
      <c r="E15" s="16">
        <f>1198278570</f>
        <v>1198278570</v>
      </c>
    </row>
    <row r="16" spans="4:17" x14ac:dyDescent="0.3">
      <c r="D16" s="13"/>
      <c r="E16" s="14"/>
    </row>
    <row r="17" spans="4:5" x14ac:dyDescent="0.3">
      <c r="D17" s="4" t="s">
        <v>86</v>
      </c>
    </row>
    <row r="18" spans="4:5" x14ac:dyDescent="0.3">
      <c r="D18" s="17" t="str">
        <f>D6</f>
        <v>Amazon</v>
      </c>
      <c r="E18" s="18">
        <f>(E6/$E$13)*$E$15</f>
        <v>444150934.88416815</v>
      </c>
    </row>
    <row r="19" spans="4:5" x14ac:dyDescent="0.3">
      <c r="D19" s="19">
        <v>1</v>
      </c>
      <c r="E19" s="18">
        <f t="shared" ref="E19:E24" si="7">(E7/$E$13)*$E$15</f>
        <v>104130625.10248256</v>
      </c>
    </row>
    <row r="20" spans="4:5" x14ac:dyDescent="0.3">
      <c r="D20" s="19">
        <f>D19+1</f>
        <v>2</v>
      </c>
      <c r="E20" s="18">
        <f t="shared" si="7"/>
        <v>207273175.94165513</v>
      </c>
    </row>
    <row r="21" spans="4:5" x14ac:dyDescent="0.3">
      <c r="D21" s="19">
        <f>D20+1</f>
        <v>3</v>
      </c>
      <c r="E21" s="18">
        <f t="shared" si="7"/>
        <v>165737984.24737173</v>
      </c>
    </row>
    <row r="22" spans="4:5" x14ac:dyDescent="0.3">
      <c r="D22" s="19">
        <f>D21+1</f>
        <v>4</v>
      </c>
      <c r="E22" s="18">
        <f t="shared" si="7"/>
        <v>216316364.29333699</v>
      </c>
    </row>
    <row r="23" spans="4:5" x14ac:dyDescent="0.3">
      <c r="D23" s="19">
        <f>D21+1</f>
        <v>4</v>
      </c>
      <c r="E23" s="18">
        <f t="shared" si="7"/>
        <v>22304579.972138982</v>
      </c>
    </row>
    <row r="24" spans="4:5" x14ac:dyDescent="0.3">
      <c r="D24" s="19">
        <f>D22+1</f>
        <v>5</v>
      </c>
      <c r="E24" s="18">
        <f t="shared" si="7"/>
        <v>38364905.558846474</v>
      </c>
    </row>
    <row r="26" spans="4:5" x14ac:dyDescent="0.3">
      <c r="D26" s="20" t="s">
        <v>87</v>
      </c>
    </row>
  </sheetData>
  <sheetProtection algorithmName="SHA-512" hashValue="KQFn7yJZMpA34QZJmrCds9wsl50k3S0N6Yfd6NlK7ihVYRb04KLKoUxG6DwVpjT4gKWHAw4GVPItLwQ0OlJeHw==" saltValue="tN9fII2bsOu8kea/gOn28w==" spinCount="100000" sheet="1" formatCells="0" formatColumns="0" formatRows="0" insertColumns="0" insertRows="0" insertHyperlinks="0" deleteColumns="0" deleteRows="0" sort="0" autoFilter="0" pivotTables="0"/>
  <pageMargins left="0.70000000000000007" right="0.70000000000000007" top="0.75" bottom="0.75" header="0.30000000000000004" footer="0.30000000000000004"/>
  <pageSetup fitToWidth="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dimension ref="A2:Q23"/>
  <sheetViews>
    <sheetView workbookViewId="0">
      <selection activeCell="E27" sqref="E27"/>
    </sheetView>
  </sheetViews>
  <sheetFormatPr defaultColWidth="8.88671875" defaultRowHeight="14.4" x14ac:dyDescent="0.3"/>
  <cols>
    <col min="1" max="1" width="18" style="4" customWidth="1"/>
    <col min="2" max="4" width="14.33203125" style="4" customWidth="1"/>
    <col min="5" max="5" width="14" style="4" customWidth="1"/>
    <col min="6" max="6" width="12.33203125" style="4" customWidth="1"/>
    <col min="7" max="7" width="12.6640625" style="4" customWidth="1"/>
    <col min="8" max="8" width="15.6640625" style="4" customWidth="1"/>
    <col min="9" max="9" width="15.44140625" style="4" customWidth="1"/>
    <col min="10" max="11" width="15" style="4" customWidth="1"/>
    <col min="12" max="12" width="12.44140625" style="4" customWidth="1"/>
    <col min="13" max="13" width="13.109375" style="4" customWidth="1"/>
    <col min="14" max="14" width="13.33203125" style="4" customWidth="1"/>
    <col min="15" max="15" width="12" style="4" customWidth="1"/>
    <col min="16" max="16" width="12" style="4" bestFit="1" customWidth="1"/>
    <col min="17" max="16384" width="8.88671875" style="4"/>
  </cols>
  <sheetData>
    <row r="2" spans="1:17" ht="28.8" x14ac:dyDescent="0.3">
      <c r="A2" s="2"/>
      <c r="B2" s="3" t="s">
        <v>14</v>
      </c>
      <c r="C2" s="3" t="s">
        <v>74</v>
      </c>
      <c r="D2" s="3" t="s">
        <v>25</v>
      </c>
      <c r="E2" s="3" t="s">
        <v>75</v>
      </c>
      <c r="F2" s="3" t="s">
        <v>72</v>
      </c>
      <c r="G2" s="3" t="s">
        <v>76</v>
      </c>
      <c r="H2" s="3" t="s">
        <v>77</v>
      </c>
      <c r="I2" s="3" t="s">
        <v>78</v>
      </c>
      <c r="J2" s="3" t="s">
        <v>79</v>
      </c>
      <c r="K2" s="3" t="s">
        <v>88</v>
      </c>
      <c r="L2" s="3" t="s">
        <v>80</v>
      </c>
      <c r="M2" s="3" t="s">
        <v>81</v>
      </c>
      <c r="N2" s="3" t="s">
        <v>82</v>
      </c>
      <c r="O2" s="3" t="s">
        <v>89</v>
      </c>
      <c r="P2" s="3" t="s">
        <v>90</v>
      </c>
    </row>
    <row r="3" spans="1:17" x14ac:dyDescent="0.3">
      <c r="A3" s="5" t="s">
        <v>84</v>
      </c>
      <c r="B3" s="6">
        <f>'Assumption Sheet'!H3</f>
        <v>0</v>
      </c>
      <c r="C3" s="7">
        <f>('Assumption Sheet'!B43+'Assumption Sheet'!B42+'Assumption Sheet'!B46)/1.18</f>
        <v>1127.1186440677966</v>
      </c>
      <c r="D3" s="7">
        <f>'Assumption Sheet'!B45</f>
        <v>35.4</v>
      </c>
      <c r="E3" s="7">
        <f>C3*1.18+D3</f>
        <v>1365.4</v>
      </c>
      <c r="F3" s="7">
        <f>'Assumption Sheet'!M3</f>
        <v>0</v>
      </c>
      <c r="G3" s="7">
        <f t="shared" ref="G3:G9" si="0">F3*1.18</f>
        <v>0</v>
      </c>
      <c r="H3" s="7">
        <f t="shared" ref="H3:H9" si="1">E3+G3</f>
        <v>1365.4</v>
      </c>
      <c r="I3" s="7">
        <f t="shared" ref="I3:I9" si="2">(C3+F3+D3)*B3</f>
        <v>0</v>
      </c>
      <c r="J3" s="7">
        <f t="shared" ref="J3:J9" si="3">H3*B3</f>
        <v>0</v>
      </c>
      <c r="K3" s="7" t="e">
        <f>B3/$B$10*(#REF!+#REF!+#REF!+#REF!+#REF!+#REF!+#REF!)*10^7</f>
        <v>#REF!</v>
      </c>
      <c r="L3" s="7">
        <v>22</v>
      </c>
      <c r="M3" s="7">
        <f>'Assumption Sheet'!K3-'As per model'!L3</f>
        <v>-22</v>
      </c>
      <c r="N3" s="7">
        <f>(L3+M3)*B3</f>
        <v>0</v>
      </c>
      <c r="O3" s="8" t="e">
        <f>(N3*12)/(B15+J3+K3)</f>
        <v>#REF!</v>
      </c>
      <c r="P3" s="22" t="e">
        <f>(N3*12)/(B15+J3+K3)*1.18/1.13</f>
        <v>#REF!</v>
      </c>
      <c r="Q3" s="21"/>
    </row>
    <row r="4" spans="1:17" x14ac:dyDescent="0.3">
      <c r="A4" s="9">
        <v>1</v>
      </c>
      <c r="B4" s="6">
        <v>139744.81</v>
      </c>
      <c r="C4" s="7">
        <f>('Assumption Sheet'!B43+'Assumption Sheet'!B42+'Assumption Sheet'!B46)/1.18</f>
        <v>1127.1186440677966</v>
      </c>
      <c r="D4" s="7">
        <f>'Assumption Sheet'!B45</f>
        <v>35.4</v>
      </c>
      <c r="E4" s="7">
        <f t="shared" ref="E4:E9" si="4">C4*1.18+D4</f>
        <v>1365.4</v>
      </c>
      <c r="F4" s="7">
        <v>0</v>
      </c>
      <c r="G4" s="7">
        <f t="shared" si="0"/>
        <v>0</v>
      </c>
      <c r="H4" s="7">
        <f t="shared" si="1"/>
        <v>1365.4</v>
      </c>
      <c r="I4" s="7">
        <f t="shared" si="2"/>
        <v>162455947.03671187</v>
      </c>
      <c r="J4" s="7">
        <f t="shared" si="3"/>
        <v>190807563.574</v>
      </c>
      <c r="K4" s="7" t="e">
        <f>B4/$B$10*(#REF!+#REF!+#REF!+#REF!+#REF!+#REF!+#REF!)*10^7</f>
        <v>#REF!</v>
      </c>
      <c r="L4" s="7">
        <v>22</v>
      </c>
      <c r="M4" s="7">
        <v>0</v>
      </c>
      <c r="N4" s="7">
        <f t="shared" ref="N4:N9" si="5">(L4+M4)*B4*1.1</f>
        <v>3381824.4020000002</v>
      </c>
      <c r="O4" s="8" t="e">
        <f t="shared" ref="O4:O9" si="6">(N4*12)/(B16+J4+K4)</f>
        <v>#REF!</v>
      </c>
      <c r="P4" s="22" t="e">
        <f t="shared" ref="P4:P9" si="7">(N4*12)/(B16+J4+K4)*1.18/1.13</f>
        <v>#REF!</v>
      </c>
      <c r="Q4" s="21"/>
    </row>
    <row r="5" spans="1:17" x14ac:dyDescent="0.3">
      <c r="A5" s="9">
        <f>A4+1</f>
        <v>2</v>
      </c>
      <c r="B5" s="6">
        <v>278163.61</v>
      </c>
      <c r="C5" s="7">
        <f>('Assumption Sheet'!B43+'Assumption Sheet'!B42+'Assumption Sheet'!B46)/1.18</f>
        <v>1127.1186440677966</v>
      </c>
      <c r="D5" s="7">
        <f>'Assumption Sheet'!B45</f>
        <v>35.4</v>
      </c>
      <c r="E5" s="7">
        <f t="shared" si="4"/>
        <v>1365.4</v>
      </c>
      <c r="F5" s="7">
        <v>0</v>
      </c>
      <c r="G5" s="7">
        <f t="shared" si="0"/>
        <v>0</v>
      </c>
      <c r="H5" s="7">
        <f t="shared" si="1"/>
        <v>1365.4</v>
      </c>
      <c r="I5" s="7">
        <f t="shared" si="2"/>
        <v>323370382.72620338</v>
      </c>
      <c r="J5" s="7">
        <f t="shared" si="3"/>
        <v>379804593.09399998</v>
      </c>
      <c r="K5" s="7" t="e">
        <f>B5/$B$10*(#REF!+#REF!+#REF!+#REF!+#REF!+#REF!+#REF!)*10^7</f>
        <v>#REF!</v>
      </c>
      <c r="L5" s="7">
        <v>22</v>
      </c>
      <c r="M5" s="7">
        <v>0</v>
      </c>
      <c r="N5" s="7">
        <f t="shared" si="5"/>
        <v>6731559.3620000007</v>
      </c>
      <c r="O5" s="8" t="e">
        <f t="shared" si="6"/>
        <v>#REF!</v>
      </c>
      <c r="P5" s="22" t="e">
        <f t="shared" si="7"/>
        <v>#REF!</v>
      </c>
      <c r="Q5" s="21"/>
    </row>
    <row r="6" spans="1:17" x14ac:dyDescent="0.3">
      <c r="A6" s="9">
        <f>A5+1</f>
        <v>3</v>
      </c>
      <c r="B6" s="6">
        <v>222422.78</v>
      </c>
      <c r="C6" s="7">
        <f>('Assumption Sheet'!B43+'Assumption Sheet'!B42+'Assumption Sheet'!B46)/1.18</f>
        <v>1127.1186440677966</v>
      </c>
      <c r="D6" s="7">
        <f>'Assumption Sheet'!B45</f>
        <v>35.4</v>
      </c>
      <c r="E6" s="7">
        <f t="shared" si="4"/>
        <v>1365.4</v>
      </c>
      <c r="F6" s="7">
        <v>0</v>
      </c>
      <c r="G6" s="7">
        <f t="shared" si="0"/>
        <v>0</v>
      </c>
      <c r="H6" s="7">
        <f t="shared" si="1"/>
        <v>1365.4</v>
      </c>
      <c r="I6" s="7">
        <f t="shared" si="2"/>
        <v>258570628.61538985</v>
      </c>
      <c r="J6" s="7">
        <f t="shared" si="3"/>
        <v>303696063.81200004</v>
      </c>
      <c r="K6" s="7" t="e">
        <f>B6/$B$10*(#REF!+#REF!+#REF!+#REF!+#REF!+#REF!+#REF!)*10^7</f>
        <v>#REF!</v>
      </c>
      <c r="L6" s="7">
        <v>22</v>
      </c>
      <c r="M6" s="7">
        <v>0</v>
      </c>
      <c r="N6" s="7">
        <f t="shared" si="5"/>
        <v>5382631.2760000005</v>
      </c>
      <c r="O6" s="8" t="e">
        <f t="shared" si="6"/>
        <v>#REF!</v>
      </c>
      <c r="P6" s="22" t="e">
        <f t="shared" si="7"/>
        <v>#REF!</v>
      </c>
      <c r="Q6" s="21"/>
    </row>
    <row r="7" spans="1:17" x14ac:dyDescent="0.3">
      <c r="A7" s="9">
        <f>A6+1</f>
        <v>4</v>
      </c>
      <c r="B7" s="6">
        <v>290299.7</v>
      </c>
      <c r="C7" s="7">
        <f>('Assumption Sheet'!B43+'Assumption Sheet'!B42+'Assumption Sheet'!B46)/1.18</f>
        <v>1127.1186440677966</v>
      </c>
      <c r="D7" s="7">
        <f>'Assumption Sheet'!B45</f>
        <v>35.4</v>
      </c>
      <c r="E7" s="7">
        <f t="shared" si="4"/>
        <v>1365.4</v>
      </c>
      <c r="F7" s="7">
        <v>0</v>
      </c>
      <c r="G7" s="7">
        <f t="shared" si="0"/>
        <v>0</v>
      </c>
      <c r="H7" s="7">
        <f t="shared" si="1"/>
        <v>1365.4</v>
      </c>
      <c r="I7" s="7">
        <f t="shared" si="2"/>
        <v>337478813.61728817</v>
      </c>
      <c r="J7" s="7">
        <f t="shared" si="3"/>
        <v>396375210.38000005</v>
      </c>
      <c r="K7" s="7" t="e">
        <f>B7/$B$10*(#REF!+#REF!+#REF!+#REF!+#REF!+#REF!+#REF!)*10^7</f>
        <v>#REF!</v>
      </c>
      <c r="L7" s="7">
        <v>22</v>
      </c>
      <c r="M7" s="7">
        <v>0</v>
      </c>
      <c r="N7" s="7">
        <f t="shared" si="5"/>
        <v>7025252.7400000012</v>
      </c>
      <c r="O7" s="8" t="e">
        <f t="shared" si="6"/>
        <v>#REF!</v>
      </c>
      <c r="P7" s="22" t="e">
        <f t="shared" si="7"/>
        <v>#REF!</v>
      </c>
      <c r="Q7" s="21"/>
    </row>
    <row r="8" spans="1:17" x14ac:dyDescent="0.3">
      <c r="A8" s="9">
        <f>A7+1</f>
        <v>5</v>
      </c>
      <c r="B8" s="6">
        <v>29933.07</v>
      </c>
      <c r="C8" s="7">
        <f>('Assumption Sheet'!B43+'Assumption Sheet'!B42+'Assumption Sheet'!B46)/1.18</f>
        <v>1127.1186440677966</v>
      </c>
      <c r="D8" s="7">
        <f>'Assumption Sheet'!B45</f>
        <v>35.4</v>
      </c>
      <c r="E8" s="7">
        <f t="shared" si="4"/>
        <v>1365.4</v>
      </c>
      <c r="F8" s="7">
        <v>0</v>
      </c>
      <c r="G8" s="7">
        <f t="shared" si="0"/>
        <v>0</v>
      </c>
      <c r="H8" s="7">
        <f t="shared" si="1"/>
        <v>1365.4</v>
      </c>
      <c r="I8" s="7">
        <f t="shared" si="2"/>
        <v>34797751.949186444</v>
      </c>
      <c r="J8" s="7">
        <f t="shared" si="3"/>
        <v>40870613.778000005</v>
      </c>
      <c r="K8" s="7" t="e">
        <f>B8/$B$10*(#REF!+#REF!+#REF!+#REF!+#REF!+#REF!+#REF!)*10^7</f>
        <v>#REF!</v>
      </c>
      <c r="L8" s="7">
        <v>22</v>
      </c>
      <c r="M8" s="7">
        <v>0</v>
      </c>
      <c r="N8" s="7">
        <f t="shared" si="5"/>
        <v>724380.29400000011</v>
      </c>
      <c r="O8" s="8" t="e">
        <f t="shared" si="6"/>
        <v>#REF!</v>
      </c>
      <c r="P8" s="22" t="e">
        <f t="shared" si="7"/>
        <v>#REF!</v>
      </c>
      <c r="Q8" s="21"/>
    </row>
    <row r="9" spans="1:17" x14ac:dyDescent="0.3">
      <c r="A9" s="9">
        <f>A8+1</f>
        <v>6</v>
      </c>
      <c r="B9" s="6">
        <v>51486.26</v>
      </c>
      <c r="C9" s="7">
        <f>('Assumption Sheet'!B43+'Assumption Sheet'!B42+'Assumption Sheet'!B46)/1.18</f>
        <v>1127.1186440677966</v>
      </c>
      <c r="D9" s="7">
        <f>'Assumption Sheet'!B45</f>
        <v>35.4</v>
      </c>
      <c r="E9" s="7">
        <f t="shared" si="4"/>
        <v>1365.4</v>
      </c>
      <c r="F9" s="7">
        <v>0</v>
      </c>
      <c r="G9" s="7">
        <f t="shared" si="0"/>
        <v>0</v>
      </c>
      <c r="H9" s="7">
        <f t="shared" si="1"/>
        <v>1365.4</v>
      </c>
      <c r="I9" s="7">
        <f t="shared" si="2"/>
        <v>59853737.163322039</v>
      </c>
      <c r="J9" s="7">
        <f t="shared" si="3"/>
        <v>70299339.404000014</v>
      </c>
      <c r="K9" s="7" t="e">
        <f>B9/$B$10*(#REF!+#REF!+#REF!+#REF!+#REF!+#REF!+#REF!)*10^7</f>
        <v>#REF!</v>
      </c>
      <c r="L9" s="7">
        <v>22</v>
      </c>
      <c r="M9" s="7">
        <v>0</v>
      </c>
      <c r="N9" s="7">
        <f t="shared" si="5"/>
        <v>1245967.4920000001</v>
      </c>
      <c r="O9" s="8" t="e">
        <f t="shared" si="6"/>
        <v>#REF!</v>
      </c>
      <c r="P9" s="22" t="e">
        <f t="shared" si="7"/>
        <v>#REF!</v>
      </c>
      <c r="Q9" s="21"/>
    </row>
    <row r="10" spans="1:17" x14ac:dyDescent="0.3">
      <c r="A10" s="10"/>
      <c r="B10" s="11">
        <f>SUM(B3:B9)</f>
        <v>1012050.2299999999</v>
      </c>
      <c r="C10" s="11"/>
      <c r="D10" s="11"/>
      <c r="E10" s="11"/>
      <c r="F10" s="11"/>
      <c r="G10" s="11"/>
      <c r="H10" s="11"/>
      <c r="I10" s="11">
        <f>SUM(I3:I9)</f>
        <v>1176527261.1081018</v>
      </c>
      <c r="J10" s="11">
        <f>SUM(J3:J9)</f>
        <v>1381853384.0420003</v>
      </c>
      <c r="K10" s="11" t="e">
        <f>SUM(K3:K9)</f>
        <v>#REF!</v>
      </c>
      <c r="L10" s="11"/>
      <c r="M10" s="11"/>
      <c r="N10" s="11">
        <f>SUM(N3:N9)</f>
        <v>24491615.566</v>
      </c>
      <c r="O10" s="12" t="e">
        <f>SUMPRODUCT(O3:O9,B3:B9)/B10</f>
        <v>#REF!</v>
      </c>
      <c r="P10" s="12" t="e">
        <f>SUMPRODUCT(P3:P9,B3:B9)/B10</f>
        <v>#REF!</v>
      </c>
    </row>
    <row r="11" spans="1:17" x14ac:dyDescent="0.3">
      <c r="A11" s="13"/>
      <c r="B11" s="14"/>
    </row>
    <row r="12" spans="1:17" x14ac:dyDescent="0.3">
      <c r="A12" s="15" t="s">
        <v>85</v>
      </c>
      <c r="B12" s="16">
        <f>1198278570</f>
        <v>1198278570</v>
      </c>
    </row>
    <row r="13" spans="1:17" x14ac:dyDescent="0.3">
      <c r="A13" s="13"/>
      <c r="B13" s="14"/>
    </row>
    <row r="14" spans="1:17" x14ac:dyDescent="0.3">
      <c r="A14" s="4" t="s">
        <v>86</v>
      </c>
    </row>
    <row r="15" spans="1:17" x14ac:dyDescent="0.3">
      <c r="A15" s="17" t="str">
        <f>A3</f>
        <v>Amazon</v>
      </c>
      <c r="B15" s="18">
        <f t="shared" ref="B15:B21" si="8">(B3/$B$10)*$B$12</f>
        <v>0</v>
      </c>
    </row>
    <row r="16" spans="1:17" x14ac:dyDescent="0.3">
      <c r="A16" s="19">
        <v>1</v>
      </c>
      <c r="B16" s="18">
        <f t="shared" si="8"/>
        <v>165459387.41767958</v>
      </c>
    </row>
    <row r="17" spans="1:2" x14ac:dyDescent="0.3">
      <c r="A17" s="19">
        <f>A16+1</f>
        <v>2</v>
      </c>
      <c r="B17" s="18">
        <f t="shared" si="8"/>
        <v>329348764.4549399</v>
      </c>
    </row>
    <row r="18" spans="1:2" x14ac:dyDescent="0.3">
      <c r="A18" s="19">
        <f>A17+1</f>
        <v>3</v>
      </c>
      <c r="B18" s="18">
        <f t="shared" si="8"/>
        <v>263351010.50648904</v>
      </c>
    </row>
    <row r="19" spans="1:2" x14ac:dyDescent="0.3">
      <c r="A19" s="19">
        <f>A18+1</f>
        <v>4</v>
      </c>
      <c r="B19" s="18">
        <f t="shared" si="8"/>
        <v>343718028.09375292</v>
      </c>
    </row>
    <row r="20" spans="1:2" x14ac:dyDescent="0.3">
      <c r="A20" s="19">
        <f>A19+1</f>
        <v>5</v>
      </c>
      <c r="B20" s="18">
        <f t="shared" si="8"/>
        <v>35441083.112356886</v>
      </c>
    </row>
    <row r="21" spans="1:2" x14ac:dyDescent="0.3">
      <c r="A21" s="19">
        <f>A20+1</f>
        <v>6</v>
      </c>
      <c r="B21" s="18">
        <f t="shared" si="8"/>
        <v>60960296.414781913</v>
      </c>
    </row>
    <row r="23" spans="1:2" x14ac:dyDescent="0.3">
      <c r="A23" s="20"/>
    </row>
  </sheetData>
  <sheetProtection algorithmName="SHA-512" hashValue="g333Z2IJ7fq5M6AxyaJ0eZld3AHOY65Gu064I0tZKVno299G0T9kQi3oql4fUa49i8GWcLaWym7bBJI1raf8Yw==" saltValue="rxkNT5JgE0Ca3JjQxzaqBQ==" spinCount="100000" sheet="1" formatCells="0" formatColumns="0" formatRows="0" insertColumns="0" insertRows="0" insertHyperlinks="0" deleteColumns="0" deleteRows="0" sort="0" autoFilter="0" pivotTables="0"/>
  <pageMargins left="0.70000000000000007" right="0.70000000000000007" top="0.75" bottom="0.75" header="0.30000000000000004" footer="0.30000000000000004"/>
  <pageSetup fitToWidth="0"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5" tint="0.59999389629810485"/>
  </sheetPr>
  <dimension ref="A2:AF115"/>
  <sheetViews>
    <sheetView showGridLines="0" zoomScale="80" zoomScaleNormal="80" workbookViewId="0">
      <selection activeCell="B19" sqref="B19"/>
    </sheetView>
  </sheetViews>
  <sheetFormatPr defaultColWidth="8.88671875" defaultRowHeight="13.8" x14ac:dyDescent="0.3"/>
  <cols>
    <col min="1" max="1" width="30.88671875" style="1" bestFit="1" customWidth="1"/>
    <col min="2" max="2" width="23.109375" style="1" customWidth="1"/>
    <col min="3" max="3" width="15.21875" style="1" bestFit="1" customWidth="1"/>
    <col min="4" max="4" width="23.33203125" style="1" bestFit="1" customWidth="1"/>
    <col min="5" max="5" width="20.21875" style="1" customWidth="1"/>
    <col min="6" max="6" width="20" style="1" bestFit="1" customWidth="1"/>
    <col min="7" max="7" width="18.77734375" style="1" bestFit="1" customWidth="1"/>
    <col min="8" max="8" width="26" style="1" bestFit="1" customWidth="1"/>
    <col min="9" max="9" width="25.33203125" style="1" bestFit="1" customWidth="1"/>
    <col min="10" max="10" width="15" style="1" bestFit="1" customWidth="1"/>
    <col min="11" max="11" width="14.77734375" style="1" customWidth="1"/>
    <col min="12" max="12" width="14.77734375" style="1" bestFit="1" customWidth="1"/>
    <col min="13" max="13" width="16.5546875" style="1" bestFit="1" customWidth="1"/>
    <col min="14" max="14" width="6.77734375" style="1" customWidth="1"/>
    <col min="15" max="15" width="10.33203125" style="1" bestFit="1" customWidth="1"/>
    <col min="16" max="16" width="6.6640625" style="1" bestFit="1" customWidth="1"/>
    <col min="17" max="17" width="5.5546875" style="1" bestFit="1" customWidth="1"/>
    <col min="18" max="18" width="10.5546875" style="1" bestFit="1" customWidth="1"/>
    <col min="19" max="19" width="9.109375" style="1" bestFit="1" customWidth="1"/>
    <col min="20" max="20" width="12.6640625" style="1" bestFit="1" customWidth="1"/>
    <col min="21" max="21" width="8.77734375" style="1" bestFit="1" customWidth="1"/>
    <col min="22" max="22" width="13.109375" style="1" bestFit="1" customWidth="1"/>
    <col min="23" max="23" width="9.6640625" style="1" bestFit="1" customWidth="1"/>
    <col min="24" max="24" width="7" style="1" bestFit="1" customWidth="1"/>
    <col min="25" max="25" width="9.33203125" style="1" bestFit="1" customWidth="1"/>
    <col min="26" max="26" width="21.33203125" style="1" bestFit="1" customWidth="1"/>
    <col min="27" max="27" width="21.33203125" style="1" customWidth="1"/>
    <col min="28" max="28" width="8.77734375" style="1" bestFit="1" customWidth="1"/>
    <col min="29" max="30" width="7.33203125" style="1" bestFit="1" customWidth="1"/>
    <col min="31" max="31" width="4.33203125" style="1" bestFit="1" customWidth="1"/>
    <col min="32" max="32" width="12" style="1" bestFit="1" customWidth="1"/>
    <col min="33" max="38" width="11.44140625" style="1" bestFit="1" customWidth="1"/>
    <col min="39" max="154" width="12.33203125" style="1" bestFit="1" customWidth="1"/>
    <col min="155" max="16384" width="8.88671875" style="1"/>
  </cols>
  <sheetData>
    <row r="2" spans="1:17" x14ac:dyDescent="0.3">
      <c r="A2" s="645" t="s">
        <v>7</v>
      </c>
      <c r="B2" s="645"/>
      <c r="D2" s="60" t="s">
        <v>6</v>
      </c>
      <c r="E2" s="61"/>
    </row>
    <row r="3" spans="1:17" x14ac:dyDescent="0.3">
      <c r="A3" s="170"/>
      <c r="B3" s="170"/>
      <c r="D3" s="62" t="s">
        <v>511</v>
      </c>
      <c r="E3" s="63">
        <v>56.86</v>
      </c>
      <c r="O3" s="52"/>
      <c r="P3" s="52"/>
      <c r="Q3" s="52"/>
    </row>
    <row r="4" spans="1:17" x14ac:dyDescent="0.3">
      <c r="A4" s="171" t="s">
        <v>0</v>
      </c>
      <c r="B4" s="172" t="s">
        <v>233</v>
      </c>
      <c r="D4" s="62" t="s">
        <v>237</v>
      </c>
      <c r="E4" s="64">
        <f>E3*43560</f>
        <v>2476821.6</v>
      </c>
      <c r="O4" s="52"/>
    </row>
    <row r="5" spans="1:17" x14ac:dyDescent="0.3">
      <c r="A5" s="171" t="s">
        <v>1</v>
      </c>
      <c r="B5" s="172" t="s">
        <v>255</v>
      </c>
      <c r="D5" s="65" t="s">
        <v>8</v>
      </c>
      <c r="E5" s="63">
        <v>0.57277394448393049</v>
      </c>
      <c r="O5" s="52"/>
      <c r="Q5" s="52"/>
    </row>
    <row r="6" spans="1:17" x14ac:dyDescent="0.3">
      <c r="A6" s="171" t="s">
        <v>2</v>
      </c>
      <c r="B6" s="172" t="s">
        <v>256</v>
      </c>
      <c r="D6" s="62" t="s">
        <v>9</v>
      </c>
      <c r="E6" s="63"/>
      <c r="O6" s="52"/>
      <c r="P6" s="52"/>
      <c r="Q6" s="52"/>
    </row>
    <row r="7" spans="1:17" x14ac:dyDescent="0.3">
      <c r="A7" s="171" t="s">
        <v>3</v>
      </c>
      <c r="B7" s="172" t="s">
        <v>407</v>
      </c>
      <c r="D7" s="62" t="s">
        <v>10</v>
      </c>
      <c r="E7" s="63">
        <f>E5+E6</f>
        <v>0.57277394448393049</v>
      </c>
    </row>
    <row r="8" spans="1:17" ht="13.8" customHeight="1" x14ac:dyDescent="0.3">
      <c r="A8" s="171" t="s">
        <v>4</v>
      </c>
      <c r="B8" s="172" t="s">
        <v>257</v>
      </c>
      <c r="D8" s="62" t="s">
        <v>512</v>
      </c>
      <c r="E8" s="576">
        <f>E5*E4</f>
        <v>1418658.8776149999</v>
      </c>
      <c r="F8" s="52"/>
    </row>
    <row r="9" spans="1:17" ht="13.8" customHeight="1" x14ac:dyDescent="0.3">
      <c r="A9" s="173" t="s">
        <v>5</v>
      </c>
      <c r="B9" s="176">
        <v>45474</v>
      </c>
      <c r="D9" s="62" t="s">
        <v>105</v>
      </c>
      <c r="E9" s="165">
        <f>E10/E8</f>
        <v>1</v>
      </c>
    </row>
    <row r="10" spans="1:17" x14ac:dyDescent="0.3">
      <c r="A10" s="174"/>
      <c r="B10" s="175"/>
      <c r="C10" s="177"/>
      <c r="D10" s="62" t="s">
        <v>11</v>
      </c>
      <c r="E10" s="66">
        <f>SUM(E12:E21)</f>
        <v>1418658.8776149999</v>
      </c>
    </row>
    <row r="11" spans="1:17" x14ac:dyDescent="0.3">
      <c r="A11" s="173" t="s">
        <v>91</v>
      </c>
      <c r="B11" s="176">
        <f>D28</f>
        <v>45474</v>
      </c>
      <c r="C11" s="45"/>
      <c r="D11" s="62"/>
      <c r="E11" s="66">
        <v>0</v>
      </c>
      <c r="H11" s="39" t="s">
        <v>513</v>
      </c>
      <c r="O11" s="67"/>
      <c r="P11" s="67"/>
    </row>
    <row r="12" spans="1:17" x14ac:dyDescent="0.3">
      <c r="A12" s="173" t="s">
        <v>288</v>
      </c>
      <c r="B12" s="175">
        <v>54</v>
      </c>
      <c r="D12" s="62" t="s">
        <v>230</v>
      </c>
      <c r="E12" s="66">
        <v>243028.41058999998</v>
      </c>
      <c r="F12" s="575" t="s">
        <v>261</v>
      </c>
      <c r="G12" s="50"/>
      <c r="H12" s="46" t="s">
        <v>514</v>
      </c>
      <c r="I12" s="50">
        <v>1</v>
      </c>
      <c r="K12" s="53"/>
      <c r="L12" s="52"/>
      <c r="O12" s="67"/>
      <c r="P12" s="67"/>
    </row>
    <row r="13" spans="1:17" x14ac:dyDescent="0.3">
      <c r="A13" s="173" t="s">
        <v>291</v>
      </c>
      <c r="B13" s="176">
        <f>MIN(EOMONTH(B11,B12-1),H32)</f>
        <v>47118</v>
      </c>
      <c r="D13" s="62" t="s">
        <v>231</v>
      </c>
      <c r="E13" s="66">
        <v>470733.22550099995</v>
      </c>
      <c r="F13" s="575" t="s">
        <v>508</v>
      </c>
      <c r="G13" s="50"/>
      <c r="H13" s="46" t="s">
        <v>569</v>
      </c>
      <c r="I13" s="608">
        <v>0</v>
      </c>
      <c r="J13" s="68"/>
      <c r="K13" s="53"/>
      <c r="L13" s="52"/>
      <c r="M13" s="67"/>
      <c r="N13" s="67"/>
      <c r="O13" s="67"/>
      <c r="P13" s="67"/>
    </row>
    <row r="14" spans="1:17" x14ac:dyDescent="0.3">
      <c r="A14" s="173" t="s">
        <v>285</v>
      </c>
      <c r="B14" s="175">
        <f>60-B12</f>
        <v>6</v>
      </c>
      <c r="D14" s="62" t="s">
        <v>232</v>
      </c>
      <c r="E14" s="66">
        <v>196225.03588799998</v>
      </c>
      <c r="F14" s="575" t="s">
        <v>509</v>
      </c>
      <c r="G14" s="50"/>
      <c r="H14" s="46"/>
      <c r="I14" s="46"/>
      <c r="J14" s="69"/>
      <c r="K14" s="53"/>
      <c r="L14" s="52"/>
      <c r="M14" s="67"/>
      <c r="N14" s="67"/>
      <c r="O14" s="67"/>
      <c r="P14" s="67"/>
    </row>
    <row r="15" spans="1:17" x14ac:dyDescent="0.3">
      <c r="A15" s="173" t="s">
        <v>286</v>
      </c>
      <c r="B15" s="176">
        <f>EOMONTH(B13,B14)</f>
        <v>47299</v>
      </c>
      <c r="D15" s="62" t="s">
        <v>234</v>
      </c>
      <c r="E15" s="66">
        <v>420964.181071</v>
      </c>
      <c r="F15" s="575" t="s">
        <v>510</v>
      </c>
      <c r="G15" s="50"/>
      <c r="H15" s="46"/>
      <c r="I15" s="46"/>
      <c r="J15" s="70"/>
      <c r="K15" s="53"/>
      <c r="L15" s="52"/>
    </row>
    <row r="16" spans="1:17" ht="13.8" customHeight="1" x14ac:dyDescent="0.3">
      <c r="A16" s="173" t="s">
        <v>287</v>
      </c>
      <c r="B16" s="176">
        <f>B15</f>
        <v>47299</v>
      </c>
      <c r="D16" s="62" t="s">
        <v>259</v>
      </c>
      <c r="E16" s="66">
        <v>87708.024565</v>
      </c>
      <c r="F16" s="575" t="s">
        <v>260</v>
      </c>
      <c r="G16" s="50"/>
      <c r="H16" s="46"/>
      <c r="I16" s="46"/>
      <c r="K16" s="53"/>
      <c r="L16" s="52"/>
    </row>
    <row r="17" spans="1:31" x14ac:dyDescent="0.3">
      <c r="A17" s="58"/>
      <c r="B17" s="643"/>
      <c r="D17" s="62"/>
      <c r="E17" s="66"/>
      <c r="F17" s="71"/>
      <c r="H17" s="46"/>
      <c r="I17" s="46"/>
      <c r="K17" s="159"/>
      <c r="L17" s="54"/>
    </row>
    <row r="18" spans="1:31" x14ac:dyDescent="0.3">
      <c r="A18" s="58"/>
      <c r="B18" s="58"/>
      <c r="D18" s="62"/>
      <c r="E18" s="66"/>
    </row>
    <row r="19" spans="1:31" x14ac:dyDescent="0.3">
      <c r="A19" s="178" t="s">
        <v>455</v>
      </c>
      <c r="B19" s="179">
        <v>0.14000000000000001</v>
      </c>
      <c r="D19" s="62"/>
      <c r="E19" s="66"/>
    </row>
    <row r="20" spans="1:31" x14ac:dyDescent="0.3">
      <c r="A20" s="178" t="s">
        <v>589</v>
      </c>
      <c r="B20" s="175">
        <v>300</v>
      </c>
      <c r="D20" s="62"/>
      <c r="E20" s="66"/>
    </row>
    <row r="21" spans="1:31" x14ac:dyDescent="0.3">
      <c r="A21" s="72"/>
      <c r="B21" s="73"/>
      <c r="D21" s="62"/>
      <c r="E21" s="66"/>
      <c r="F21" s="52"/>
    </row>
    <row r="22" spans="1:31" x14ac:dyDescent="0.3">
      <c r="A22" s="72"/>
      <c r="B22" s="73"/>
      <c r="D22" s="62"/>
      <c r="E22" s="66"/>
      <c r="I22" s="74"/>
    </row>
    <row r="23" spans="1:31" x14ac:dyDescent="0.3">
      <c r="A23" s="75"/>
      <c r="B23" s="73"/>
      <c r="D23" s="62" t="s">
        <v>12</v>
      </c>
      <c r="E23" s="66" t="b">
        <f>E8=SUM(E11:E21)</f>
        <v>1</v>
      </c>
      <c r="G23" s="58"/>
      <c r="I23" s="58"/>
    </row>
    <row r="24" spans="1:31" x14ac:dyDescent="0.3">
      <c r="A24" s="75"/>
      <c r="B24" s="76"/>
      <c r="C24" s="52"/>
      <c r="I24" s="77"/>
      <c r="M24" s="78"/>
    </row>
    <row r="25" spans="1:31" x14ac:dyDescent="0.3">
      <c r="A25" s="79" t="s">
        <v>151</v>
      </c>
      <c r="B25" s="80"/>
      <c r="C25" s="80"/>
      <c r="D25" s="80"/>
      <c r="E25" s="80"/>
      <c r="F25" s="80"/>
      <c r="G25" s="80"/>
      <c r="H25" s="80"/>
      <c r="I25" s="80"/>
      <c r="J25" s="80"/>
      <c r="K25" s="80"/>
      <c r="L25" s="80"/>
      <c r="M25" s="80"/>
      <c r="N25" s="80"/>
      <c r="O25" s="80"/>
      <c r="P25" s="80"/>
      <c r="Q25" s="80"/>
      <c r="R25" s="80"/>
      <c r="S25" s="80"/>
      <c r="T25" s="80"/>
      <c r="U25" s="80"/>
      <c r="V25" s="80"/>
      <c r="W25" s="80"/>
      <c r="X25" s="80"/>
      <c r="Y25" s="80"/>
    </row>
    <row r="26" spans="1:31" ht="41.4" x14ac:dyDescent="0.3">
      <c r="A26" s="65" t="s">
        <v>13</v>
      </c>
      <c r="B26" s="81" t="s">
        <v>70</v>
      </c>
      <c r="C26" s="81" t="s">
        <v>71</v>
      </c>
      <c r="D26" s="81" t="s">
        <v>91</v>
      </c>
      <c r="E26" s="81" t="s">
        <v>94</v>
      </c>
      <c r="F26" s="81" t="s">
        <v>238</v>
      </c>
      <c r="G26" s="81" t="s">
        <v>92</v>
      </c>
      <c r="H26" s="81" t="s">
        <v>95</v>
      </c>
      <c r="I26" s="81" t="s">
        <v>93</v>
      </c>
      <c r="J26" s="81" t="s">
        <v>96</v>
      </c>
      <c r="K26" s="81" t="s">
        <v>106</v>
      </c>
      <c r="L26" s="81" t="s">
        <v>107</v>
      </c>
      <c r="M26" s="81" t="s">
        <v>97</v>
      </c>
      <c r="N26" s="81" t="s">
        <v>23</v>
      </c>
      <c r="O26" s="81" t="s">
        <v>35</v>
      </c>
      <c r="P26" s="82" t="s">
        <v>73</v>
      </c>
      <c r="Q26" s="81" t="s">
        <v>153</v>
      </c>
      <c r="R26" s="81" t="s">
        <v>15</v>
      </c>
      <c r="S26" s="81" t="s">
        <v>16</v>
      </c>
      <c r="T26" s="81" t="s">
        <v>118</v>
      </c>
      <c r="U26" s="81" t="s">
        <v>100</v>
      </c>
      <c r="V26" s="81" t="s">
        <v>101</v>
      </c>
      <c r="W26" s="81" t="s">
        <v>119</v>
      </c>
      <c r="X26" s="81" t="s">
        <v>122</v>
      </c>
      <c r="Y26" s="81" t="s">
        <v>121</v>
      </c>
    </row>
    <row r="27" spans="1:31" x14ac:dyDescent="0.3">
      <c r="A27" s="62"/>
      <c r="B27" s="83"/>
      <c r="C27" s="84"/>
      <c r="D27" s="85"/>
      <c r="E27" s="86"/>
      <c r="F27" s="87"/>
      <c r="G27" s="86"/>
      <c r="H27" s="86"/>
      <c r="I27" s="86"/>
      <c r="J27" s="88"/>
      <c r="K27" s="86"/>
      <c r="L27" s="86"/>
      <c r="M27" s="89"/>
      <c r="N27" s="90"/>
      <c r="O27" s="91"/>
      <c r="P27" s="92"/>
      <c r="Q27" s="93"/>
      <c r="R27" s="90"/>
      <c r="S27" s="90"/>
      <c r="T27" s="94"/>
      <c r="U27" s="95"/>
      <c r="V27" s="90"/>
      <c r="W27" s="96"/>
      <c r="X27" s="90"/>
      <c r="Y27" s="86"/>
      <c r="Z27" s="52"/>
      <c r="AA27" s="52"/>
      <c r="AB27" s="52"/>
    </row>
    <row r="28" spans="1:31" x14ac:dyDescent="0.3">
      <c r="A28" s="62" t="str">
        <f>D12</f>
        <v>Phase 1</v>
      </c>
      <c r="B28" s="83">
        <v>0.05</v>
      </c>
      <c r="C28" s="84">
        <f>E12*(1+B28)</f>
        <v>255179.83111949998</v>
      </c>
      <c r="D28" s="166">
        <v>45474</v>
      </c>
      <c r="E28" s="86">
        <f>EOMONTH(D28,0)</f>
        <v>45504</v>
      </c>
      <c r="F28" s="87">
        <v>12</v>
      </c>
      <c r="G28" s="86">
        <f>EOMONTH(D28,F28-1)</f>
        <v>45838</v>
      </c>
      <c r="H28" s="86">
        <f>G28</f>
        <v>45838</v>
      </c>
      <c r="I28" s="86">
        <f>G28+1</f>
        <v>45839</v>
      </c>
      <c r="J28" s="87">
        <v>6</v>
      </c>
      <c r="K28" s="86">
        <f>EDATE(I28,J28)</f>
        <v>46023</v>
      </c>
      <c r="L28" s="86">
        <f>EOMONTH(K28,0)</f>
        <v>46053</v>
      </c>
      <c r="M28" s="89">
        <f>18*I12</f>
        <v>18</v>
      </c>
      <c r="N28" s="97">
        <v>1</v>
      </c>
      <c r="O28" s="91">
        <v>0</v>
      </c>
      <c r="P28" s="92">
        <v>2.5</v>
      </c>
      <c r="Q28" s="93">
        <f>(P28+M28)*$I$12</f>
        <v>20.5</v>
      </c>
      <c r="R28" s="90">
        <v>6</v>
      </c>
      <c r="S28" s="90">
        <v>2</v>
      </c>
      <c r="T28" s="94">
        <f>EOMONTH(I28,V28)</f>
        <v>46234</v>
      </c>
      <c r="U28" s="95">
        <v>0.05</v>
      </c>
      <c r="V28" s="90">
        <v>12</v>
      </c>
      <c r="W28" s="98">
        <f>SUMIF(Leasing!$E$1:$CH$1,EOMONTH(L28,0),Leasing!$E$5:$CH$5)</f>
        <v>19</v>
      </c>
      <c r="X28" s="90">
        <v>240</v>
      </c>
      <c r="Y28" s="86">
        <f>EOMONTH(I28,X28-1)</f>
        <v>53143</v>
      </c>
      <c r="Z28" s="52"/>
      <c r="AA28" s="52"/>
      <c r="AB28" s="52"/>
      <c r="AC28" s="52"/>
      <c r="AD28" s="52"/>
      <c r="AE28" s="50"/>
    </row>
    <row r="29" spans="1:31" x14ac:dyDescent="0.3">
      <c r="A29" s="62" t="str">
        <f>D13</f>
        <v>Phase 2</v>
      </c>
      <c r="B29" s="83">
        <v>0.05</v>
      </c>
      <c r="C29" s="84">
        <f>E13*(1+B29)</f>
        <v>494269.88677604997</v>
      </c>
      <c r="D29" s="166">
        <f>EDATE(D28,12)</f>
        <v>45839</v>
      </c>
      <c r="E29" s="86">
        <f>EOMONTH(D29,0)</f>
        <v>45869</v>
      </c>
      <c r="F29" s="87">
        <v>12</v>
      </c>
      <c r="G29" s="86">
        <f>EOMONTH(D29,F29-1)</f>
        <v>46203</v>
      </c>
      <c r="H29" s="86">
        <f>G29</f>
        <v>46203</v>
      </c>
      <c r="I29" s="86">
        <f>G29+1</f>
        <v>46204</v>
      </c>
      <c r="J29" s="87">
        <v>6</v>
      </c>
      <c r="K29" s="86">
        <f>EDATE(I29,J29)</f>
        <v>46388</v>
      </c>
      <c r="L29" s="86">
        <f>EOMONTH(K29,0)</f>
        <v>46418</v>
      </c>
      <c r="M29" s="89">
        <f>M28</f>
        <v>18</v>
      </c>
      <c r="N29" s="97">
        <v>1</v>
      </c>
      <c r="O29" s="91">
        <v>0</v>
      </c>
      <c r="P29" s="92">
        <v>2.5</v>
      </c>
      <c r="Q29" s="93">
        <f t="shared" ref="Q29:Q32" si="0">(P29+M29)*$I$12</f>
        <v>20.5</v>
      </c>
      <c r="R29" s="90">
        <v>6</v>
      </c>
      <c r="S29" s="90">
        <v>2</v>
      </c>
      <c r="T29" s="94">
        <f>EOMONTH(I29,V29)</f>
        <v>46599</v>
      </c>
      <c r="U29" s="95">
        <v>0.05</v>
      </c>
      <c r="V29" s="90">
        <v>12</v>
      </c>
      <c r="W29" s="98">
        <f>SUMIF(Leasing!$E$1:$CH$1,EOMONTH(L29,0),Leasing!$E$5:$CH$5)</f>
        <v>31</v>
      </c>
      <c r="X29" s="90">
        <v>240</v>
      </c>
      <c r="Y29" s="86">
        <f>EOMONTH(I29,X29-1)</f>
        <v>53508</v>
      </c>
      <c r="Z29" s="52"/>
      <c r="AA29" s="52"/>
      <c r="AB29" s="52"/>
      <c r="AC29" s="52"/>
      <c r="AD29" s="52"/>
      <c r="AE29" s="50"/>
    </row>
    <row r="30" spans="1:31" x14ac:dyDescent="0.3">
      <c r="A30" s="62" t="str">
        <f t="shared" ref="A30:A32" si="1">D14</f>
        <v>Phase 3</v>
      </c>
      <c r="B30" s="83">
        <v>0.05</v>
      </c>
      <c r="C30" s="84">
        <f>E14*(1+B30)</f>
        <v>206036.2876824</v>
      </c>
      <c r="D30" s="166">
        <f>EDATE(D29,9)</f>
        <v>46113</v>
      </c>
      <c r="E30" s="86">
        <f>EOMONTH(D30,0)</f>
        <v>46142</v>
      </c>
      <c r="F30" s="87">
        <v>12</v>
      </c>
      <c r="G30" s="86">
        <f>EOMONTH(D30,F30-1)</f>
        <v>46477</v>
      </c>
      <c r="H30" s="86">
        <f>G30</f>
        <v>46477</v>
      </c>
      <c r="I30" s="86">
        <f>G30+1</f>
        <v>46478</v>
      </c>
      <c r="J30" s="87">
        <v>6</v>
      </c>
      <c r="K30" s="86">
        <f>EDATE(I30,J30)</f>
        <v>46661</v>
      </c>
      <c r="L30" s="86">
        <f>EOMONTH(K30,0)</f>
        <v>46691</v>
      </c>
      <c r="M30" s="89">
        <f t="shared" ref="M30:M32" si="2">M29</f>
        <v>18</v>
      </c>
      <c r="N30" s="97">
        <v>1</v>
      </c>
      <c r="O30" s="91">
        <v>0</v>
      </c>
      <c r="P30" s="92">
        <v>2.5</v>
      </c>
      <c r="Q30" s="93">
        <f t="shared" si="0"/>
        <v>20.5</v>
      </c>
      <c r="R30" s="90">
        <v>6</v>
      </c>
      <c r="S30" s="90">
        <v>2</v>
      </c>
      <c r="T30" s="94">
        <f>EOMONTH(I30,V30)</f>
        <v>46873</v>
      </c>
      <c r="U30" s="95">
        <v>0.05</v>
      </c>
      <c r="V30" s="90">
        <v>12</v>
      </c>
      <c r="W30" s="98">
        <f>SUMIF(Leasing!$E$1:$CH$1,EOMONTH(L30,0),Leasing!$E$5:$CH$5)</f>
        <v>40</v>
      </c>
      <c r="X30" s="90">
        <v>240</v>
      </c>
      <c r="Y30" s="86">
        <f>EOMONTH(I30,X30-1)</f>
        <v>53782</v>
      </c>
      <c r="Z30" s="52"/>
      <c r="AA30" s="52"/>
      <c r="AB30" s="52"/>
      <c r="AC30" s="52"/>
      <c r="AD30" s="52"/>
      <c r="AE30" s="50"/>
    </row>
    <row r="31" spans="1:31" x14ac:dyDescent="0.3">
      <c r="A31" s="62" t="str">
        <f t="shared" si="1"/>
        <v>Phase 4</v>
      </c>
      <c r="B31" s="83">
        <v>0.05</v>
      </c>
      <c r="C31" s="84">
        <f t="shared" ref="C31:C37" si="3">E15*(1+B31)</f>
        <v>442012.39012455003</v>
      </c>
      <c r="D31" s="166">
        <f t="shared" ref="D31" si="4">EDATE(D30,9)</f>
        <v>46388</v>
      </c>
      <c r="E31" s="86">
        <f>EOMONTH(D31,0)</f>
        <v>46418</v>
      </c>
      <c r="F31" s="87">
        <v>12</v>
      </c>
      <c r="G31" s="86">
        <f>EOMONTH(D31,F31-1)</f>
        <v>46752</v>
      </c>
      <c r="H31" s="86">
        <f>G31</f>
        <v>46752</v>
      </c>
      <c r="I31" s="86">
        <f>G31+1</f>
        <v>46753</v>
      </c>
      <c r="J31" s="87">
        <v>6</v>
      </c>
      <c r="K31" s="86">
        <f>EDATE(I31,J31)</f>
        <v>46935</v>
      </c>
      <c r="L31" s="86">
        <f>EOMONTH(K31,0)</f>
        <v>46965</v>
      </c>
      <c r="M31" s="89">
        <f t="shared" si="2"/>
        <v>18</v>
      </c>
      <c r="N31" s="97">
        <v>1</v>
      </c>
      <c r="O31" s="91">
        <v>0</v>
      </c>
      <c r="P31" s="92">
        <v>2.5</v>
      </c>
      <c r="Q31" s="93">
        <f t="shared" si="0"/>
        <v>20.5</v>
      </c>
      <c r="R31" s="90">
        <v>6</v>
      </c>
      <c r="S31" s="90">
        <v>2</v>
      </c>
      <c r="T31" s="94">
        <f>EOMONTH(I31,V31)</f>
        <v>47149</v>
      </c>
      <c r="U31" s="95">
        <v>0.05</v>
      </c>
      <c r="V31" s="90">
        <v>12</v>
      </c>
      <c r="W31" s="98">
        <f>SUMIF(Leasing!$E$1:$CH$1,EOMONTH(L31,0),Leasing!$E$5:$CH$5)</f>
        <v>49</v>
      </c>
      <c r="X31" s="90">
        <v>240</v>
      </c>
      <c r="Y31" s="86">
        <f>EOMONTH(I31,X31-1)</f>
        <v>54057</v>
      </c>
      <c r="Z31" s="52"/>
      <c r="AA31" s="52"/>
      <c r="AB31" s="52"/>
      <c r="AC31" s="52"/>
      <c r="AD31" s="52"/>
      <c r="AE31" s="50"/>
    </row>
    <row r="32" spans="1:31" x14ac:dyDescent="0.3">
      <c r="A32" s="99" t="str">
        <f t="shared" si="1"/>
        <v>Phase 5</v>
      </c>
      <c r="B32" s="83">
        <v>0.05</v>
      </c>
      <c r="C32" s="84">
        <f>E16*(1+B32)</f>
        <v>92093.425793250004</v>
      </c>
      <c r="D32" s="166">
        <f>EDATE(D31,9)</f>
        <v>46661</v>
      </c>
      <c r="E32" s="86">
        <f>EOMONTH(D32,0)</f>
        <v>46691</v>
      </c>
      <c r="F32" s="87">
        <v>15</v>
      </c>
      <c r="G32" s="86">
        <f>EOMONTH(D32,F32-1)</f>
        <v>47118</v>
      </c>
      <c r="H32" s="86">
        <f>G32</f>
        <v>47118</v>
      </c>
      <c r="I32" s="86">
        <f>G32+1</f>
        <v>47119</v>
      </c>
      <c r="J32" s="87">
        <v>3</v>
      </c>
      <c r="K32" s="86">
        <f t="shared" ref="K32" si="5">EDATE(I32,J32)</f>
        <v>47209</v>
      </c>
      <c r="L32" s="86">
        <f t="shared" ref="L32" si="6">EOMONTH(K32,0)</f>
        <v>47238</v>
      </c>
      <c r="M32" s="89">
        <f t="shared" si="2"/>
        <v>18</v>
      </c>
      <c r="N32" s="97">
        <v>1</v>
      </c>
      <c r="O32" s="91">
        <v>0</v>
      </c>
      <c r="P32" s="92">
        <v>2.5</v>
      </c>
      <c r="Q32" s="93">
        <f t="shared" si="0"/>
        <v>20.5</v>
      </c>
      <c r="R32" s="90">
        <v>6</v>
      </c>
      <c r="S32" s="90">
        <v>2</v>
      </c>
      <c r="T32" s="94">
        <f t="shared" ref="T32" si="7">EOMONTH(I32,V32)</f>
        <v>47514</v>
      </c>
      <c r="U32" s="95">
        <v>0.05</v>
      </c>
      <c r="V32" s="90">
        <v>12</v>
      </c>
      <c r="W32" s="98">
        <f>SUMIF(Leasing!$E$1:$CH$1,EOMONTH(L32,0),Leasing!$E$5:$CH$5)</f>
        <v>58</v>
      </c>
      <c r="X32" s="90">
        <v>240</v>
      </c>
      <c r="Y32" s="86">
        <f t="shared" ref="Y32" si="8">EOMONTH(I32,X32-1)</f>
        <v>54423</v>
      </c>
      <c r="Z32" s="52"/>
      <c r="AA32" s="52"/>
      <c r="AB32" s="52"/>
      <c r="AC32" s="52"/>
      <c r="AD32" s="52"/>
      <c r="AE32" s="50"/>
    </row>
    <row r="33" spans="1:32" x14ac:dyDescent="0.3">
      <c r="A33" s="99"/>
      <c r="B33" s="83"/>
      <c r="C33" s="84">
        <f>E17*(1+B33)</f>
        <v>0</v>
      </c>
      <c r="D33" s="85"/>
      <c r="E33" s="86"/>
      <c r="G33" s="86"/>
      <c r="H33" s="86"/>
      <c r="I33" s="86"/>
      <c r="J33" s="88"/>
      <c r="K33" s="86"/>
      <c r="L33" s="86"/>
      <c r="M33" s="89"/>
      <c r="N33" s="97"/>
      <c r="O33" s="91"/>
      <c r="P33" s="92"/>
      <c r="Q33" s="93"/>
      <c r="R33" s="90"/>
      <c r="S33" s="90"/>
      <c r="T33" s="94"/>
      <c r="U33" s="95"/>
      <c r="V33" s="90"/>
      <c r="W33" s="98"/>
      <c r="X33" s="90"/>
      <c r="Y33" s="86"/>
      <c r="Z33" s="52"/>
      <c r="AA33" s="52"/>
      <c r="AB33" s="52"/>
      <c r="AC33" s="52"/>
      <c r="AD33" s="52"/>
      <c r="AE33" s="52"/>
      <c r="AF33" s="52"/>
    </row>
    <row r="34" spans="1:32" x14ac:dyDescent="0.3">
      <c r="A34" s="99"/>
      <c r="B34" s="83"/>
      <c r="C34" s="84">
        <f>E18*(1+B34)</f>
        <v>0</v>
      </c>
      <c r="D34" s="85"/>
      <c r="E34" s="86"/>
      <c r="F34" s="86"/>
      <c r="G34" s="86"/>
      <c r="H34" s="86"/>
      <c r="I34" s="86"/>
      <c r="J34" s="88"/>
      <c r="K34" s="86"/>
      <c r="L34" s="86"/>
      <c r="M34" s="89"/>
      <c r="N34" s="97"/>
      <c r="O34" s="91"/>
      <c r="P34" s="92"/>
      <c r="Q34" s="93"/>
      <c r="R34" s="90"/>
      <c r="S34" s="90"/>
      <c r="T34" s="94"/>
      <c r="U34" s="95"/>
      <c r="V34" s="90"/>
      <c r="W34" s="98"/>
      <c r="X34" s="90"/>
      <c r="Y34" s="86"/>
      <c r="Z34" s="52"/>
      <c r="AA34" s="52"/>
      <c r="AB34" s="52"/>
      <c r="AC34" s="52"/>
      <c r="AD34" s="52"/>
    </row>
    <row r="35" spans="1:32" x14ac:dyDescent="0.3">
      <c r="A35" s="99"/>
      <c r="B35" s="83"/>
      <c r="C35" s="84">
        <f>E19*(1+B35)</f>
        <v>0</v>
      </c>
      <c r="D35" s="85"/>
      <c r="E35" s="86"/>
      <c r="F35" s="88"/>
      <c r="G35" s="86"/>
      <c r="H35" s="86"/>
      <c r="I35" s="86"/>
      <c r="J35" s="88"/>
      <c r="K35" s="86"/>
      <c r="L35" s="86"/>
      <c r="M35" s="89"/>
      <c r="N35" s="97"/>
      <c r="O35" s="91"/>
      <c r="P35" s="92"/>
      <c r="Q35" s="93"/>
      <c r="R35" s="90"/>
      <c r="S35" s="90"/>
      <c r="T35" s="94"/>
      <c r="U35" s="95"/>
      <c r="V35" s="90"/>
      <c r="W35" s="96"/>
      <c r="X35" s="90"/>
      <c r="Y35" s="86"/>
      <c r="Z35" s="52"/>
      <c r="AA35" s="52"/>
      <c r="AB35" s="52"/>
    </row>
    <row r="36" spans="1:32" x14ac:dyDescent="0.3">
      <c r="A36" s="99"/>
      <c r="B36" s="83"/>
      <c r="C36" s="84">
        <f t="shared" si="3"/>
        <v>0</v>
      </c>
      <c r="D36" s="85"/>
      <c r="E36" s="86"/>
      <c r="F36" s="88"/>
      <c r="G36" s="86"/>
      <c r="H36" s="86"/>
      <c r="I36" s="86"/>
      <c r="J36" s="88"/>
      <c r="K36" s="86"/>
      <c r="L36" s="86"/>
      <c r="M36" s="89"/>
      <c r="N36" s="97"/>
      <c r="O36" s="91"/>
      <c r="P36" s="92"/>
      <c r="Q36" s="93"/>
      <c r="R36" s="90"/>
      <c r="S36" s="90"/>
      <c r="T36" s="94"/>
      <c r="U36" s="95"/>
      <c r="V36" s="90"/>
      <c r="W36" s="96"/>
      <c r="X36" s="90"/>
      <c r="Y36" s="86"/>
      <c r="Z36" s="52"/>
      <c r="AA36" s="52"/>
      <c r="AB36" s="52"/>
    </row>
    <row r="37" spans="1:32" x14ac:dyDescent="0.3">
      <c r="A37" s="99"/>
      <c r="B37" s="83"/>
      <c r="C37" s="84">
        <f t="shared" si="3"/>
        <v>0</v>
      </c>
      <c r="D37" s="85"/>
      <c r="E37" s="86"/>
      <c r="F37" s="88"/>
      <c r="G37" s="86"/>
      <c r="H37" s="86"/>
      <c r="I37" s="86"/>
      <c r="J37" s="88"/>
      <c r="K37" s="86"/>
      <c r="L37" s="86"/>
      <c r="M37" s="89"/>
      <c r="N37" s="97"/>
      <c r="O37" s="91"/>
      <c r="P37" s="92"/>
      <c r="Q37" s="93"/>
      <c r="R37" s="90"/>
      <c r="S37" s="90"/>
      <c r="T37" s="94"/>
      <c r="U37" s="95"/>
      <c r="V37" s="90"/>
      <c r="W37" s="96"/>
      <c r="X37" s="90"/>
      <c r="Y37" s="86"/>
      <c r="Z37" s="52"/>
      <c r="AA37" s="52"/>
    </row>
    <row r="38" spans="1:32" x14ac:dyDescent="0.3">
      <c r="B38" s="83"/>
      <c r="C38" s="100">
        <f>SUM(C27:C37)</f>
        <v>1489591.82149575</v>
      </c>
      <c r="D38" s="100"/>
      <c r="E38" s="101"/>
      <c r="F38" s="88"/>
      <c r="G38" s="102"/>
      <c r="H38" s="102"/>
      <c r="I38" s="102"/>
      <c r="J38" s="75"/>
      <c r="K38" s="102"/>
      <c r="L38" s="103"/>
      <c r="M38" s="57"/>
      <c r="N38" s="104"/>
      <c r="O38" s="105"/>
      <c r="P38" s="105"/>
      <c r="R38" s="104"/>
      <c r="S38" s="104"/>
      <c r="T38" s="44"/>
      <c r="U38" s="106"/>
      <c r="V38" s="106"/>
      <c r="W38" s="107"/>
      <c r="X38" s="105"/>
      <c r="Y38" s="104"/>
      <c r="Z38" s="52"/>
      <c r="AA38" s="52"/>
      <c r="AB38" s="52"/>
    </row>
    <row r="39" spans="1:32" x14ac:dyDescent="0.3">
      <c r="A39" s="108"/>
      <c r="B39" s="109"/>
      <c r="C39" s="71"/>
      <c r="D39" s="110"/>
      <c r="E39" s="102"/>
      <c r="F39" s="111"/>
      <c r="G39" s="102"/>
      <c r="H39" s="102"/>
      <c r="I39" s="102"/>
      <c r="J39" s="75"/>
      <c r="K39" s="102"/>
      <c r="L39" s="102"/>
      <c r="M39" s="57"/>
      <c r="N39" s="52"/>
      <c r="O39" s="104"/>
      <c r="P39" s="105"/>
      <c r="Q39" s="105"/>
      <c r="R39" s="104"/>
      <c r="S39" s="104"/>
      <c r="T39" s="44"/>
      <c r="U39" s="106"/>
      <c r="V39" s="106"/>
      <c r="W39" s="107"/>
      <c r="X39" s="105"/>
      <c r="Y39" s="104"/>
      <c r="Z39" s="52"/>
      <c r="AA39" s="52"/>
      <c r="AB39" s="52"/>
    </row>
    <row r="40" spans="1:32" x14ac:dyDescent="0.3">
      <c r="A40" s="653" t="s">
        <v>117</v>
      </c>
      <c r="B40" s="654"/>
      <c r="C40" s="59"/>
      <c r="D40" s="110"/>
      <c r="E40" s="651" t="s">
        <v>52</v>
      </c>
      <c r="F40" s="652"/>
      <c r="G40" s="652"/>
      <c r="H40" s="102"/>
      <c r="I40" s="102"/>
      <c r="J40" s="102"/>
      <c r="K40" s="102"/>
      <c r="L40" s="102"/>
      <c r="M40" s="112"/>
      <c r="N40" s="52"/>
      <c r="O40" s="104"/>
      <c r="P40" s="105"/>
      <c r="Q40" s="105"/>
      <c r="R40" s="104"/>
      <c r="S40" s="104"/>
      <c r="T40" s="44"/>
      <c r="U40" s="106"/>
      <c r="V40" s="106"/>
      <c r="W40" s="107"/>
      <c r="X40" s="105"/>
      <c r="Y40" s="104"/>
      <c r="Z40" s="52"/>
      <c r="AA40" s="52"/>
      <c r="AB40" s="52"/>
    </row>
    <row r="41" spans="1:32" x14ac:dyDescent="0.3">
      <c r="A41" s="113" t="s">
        <v>104</v>
      </c>
      <c r="B41" s="615">
        <f>(47.58*10^7)/E8</f>
        <v>335.38717975662934</v>
      </c>
      <c r="C41" s="115" t="s">
        <v>18</v>
      </c>
      <c r="D41" s="110"/>
      <c r="E41" s="116" t="s">
        <v>53</v>
      </c>
      <c r="F41" s="116"/>
      <c r="G41" s="117"/>
      <c r="H41" s="102"/>
      <c r="I41" s="163" t="s">
        <v>517</v>
      </c>
      <c r="J41" s="624" t="s">
        <v>518</v>
      </c>
      <c r="K41" s="625" t="s">
        <v>519</v>
      </c>
      <c r="L41" s="102"/>
      <c r="M41" s="112"/>
      <c r="N41" s="52"/>
      <c r="O41" s="104"/>
      <c r="P41" s="105"/>
      <c r="Q41" s="105"/>
      <c r="R41" s="104"/>
      <c r="S41" s="104"/>
      <c r="T41" s="44"/>
      <c r="U41" s="106"/>
      <c r="V41" s="106"/>
      <c r="W41" s="107"/>
      <c r="X41" s="105"/>
      <c r="Y41" s="104"/>
      <c r="Z41" s="52"/>
      <c r="AA41" s="52"/>
      <c r="AB41" s="52"/>
    </row>
    <row r="42" spans="1:32" x14ac:dyDescent="0.3">
      <c r="A42" s="113"/>
      <c r="B42" s="114"/>
      <c r="C42" s="115"/>
      <c r="D42" s="59" t="s">
        <v>205</v>
      </c>
      <c r="E42" s="116" t="s">
        <v>54</v>
      </c>
      <c r="F42" s="118" t="s">
        <v>55</v>
      </c>
      <c r="G42" s="636">
        <v>9.5500000000000002E-2</v>
      </c>
      <c r="H42" s="102"/>
      <c r="I42" s="169" t="s">
        <v>520</v>
      </c>
      <c r="J42" s="52">
        <v>56.86</v>
      </c>
      <c r="K42" s="626">
        <f>457406250/10^7</f>
        <v>45.740625000000001</v>
      </c>
      <c r="L42" s="102"/>
      <c r="M42" s="112"/>
      <c r="N42" s="52"/>
      <c r="O42" s="104"/>
      <c r="P42" s="105"/>
      <c r="Q42" s="105"/>
      <c r="R42" s="104"/>
      <c r="S42" s="104"/>
      <c r="T42" s="44"/>
      <c r="U42" s="106"/>
      <c r="V42" s="106"/>
      <c r="W42" s="107"/>
      <c r="X42" s="105"/>
      <c r="Y42" s="104"/>
      <c r="Z42" s="52"/>
      <c r="AA42" s="52"/>
      <c r="AB42" s="52"/>
    </row>
    <row r="43" spans="1:32" x14ac:dyDescent="0.3">
      <c r="A43" s="113" t="s">
        <v>17</v>
      </c>
      <c r="B43" s="615">
        <v>1220</v>
      </c>
      <c r="C43" s="115" t="s">
        <v>18</v>
      </c>
      <c r="D43" s="614">
        <f>B43*(1+$B$52)</f>
        <v>1439.6</v>
      </c>
      <c r="E43" s="116" t="s">
        <v>56</v>
      </c>
      <c r="F43" s="118"/>
      <c r="G43" s="636">
        <f>8.5%+I13</f>
        <v>8.5000000000000006E-2</v>
      </c>
      <c r="I43" s="169" t="s">
        <v>521</v>
      </c>
      <c r="K43" s="626">
        <f>1.23</f>
        <v>1.23</v>
      </c>
    </row>
    <row r="44" spans="1:32" x14ac:dyDescent="0.3">
      <c r="A44" s="113" t="s">
        <v>258</v>
      </c>
      <c r="B44" s="615">
        <v>368</v>
      </c>
      <c r="C44" s="115" t="s">
        <v>18</v>
      </c>
      <c r="D44" s="614">
        <f>B44*(1+$B$52)</f>
        <v>434.23999999999995</v>
      </c>
      <c r="E44" s="116" t="s">
        <v>226</v>
      </c>
      <c r="F44" s="118" t="s">
        <v>55</v>
      </c>
      <c r="G44" s="119"/>
      <c r="I44" s="169" t="s">
        <v>44</v>
      </c>
      <c r="K44" s="626">
        <v>0.61</v>
      </c>
      <c r="L44" s="120"/>
    </row>
    <row r="45" spans="1:32" ht="14.4" customHeight="1" x14ac:dyDescent="0.3">
      <c r="A45" s="113" t="s">
        <v>20</v>
      </c>
      <c r="B45" s="616">
        <v>35.4</v>
      </c>
      <c r="C45" s="115" t="s">
        <v>18</v>
      </c>
      <c r="D45" s="614">
        <f>B45</f>
        <v>35.4</v>
      </c>
      <c r="E45" s="116" t="s">
        <v>225</v>
      </c>
      <c r="F45" s="118" t="s">
        <v>55</v>
      </c>
      <c r="G45" s="119"/>
      <c r="I45" s="292" t="s">
        <v>21</v>
      </c>
      <c r="J45" s="627"/>
      <c r="K45" s="628">
        <f>SUM(K42:K44)</f>
        <v>47.580624999999998</v>
      </c>
    </row>
    <row r="46" spans="1:32" ht="14.4" customHeight="1" x14ac:dyDescent="0.3">
      <c r="A46" s="62" t="s">
        <v>263</v>
      </c>
      <c r="B46" s="615">
        <v>110</v>
      </c>
      <c r="C46" s="115" t="s">
        <v>18</v>
      </c>
      <c r="D46" s="614">
        <f>B46*(1+$B$52)</f>
        <v>129.79999999999998</v>
      </c>
      <c r="E46" s="116" t="s">
        <v>227</v>
      </c>
      <c r="F46" s="118" t="s">
        <v>55</v>
      </c>
      <c r="G46" s="636">
        <v>6.0000000000000001E-3</v>
      </c>
      <c r="I46" s="33"/>
      <c r="J46" s="33"/>
      <c r="K46" s="102"/>
    </row>
    <row r="47" spans="1:32" ht="14.4" customHeight="1" x14ac:dyDescent="0.3">
      <c r="A47" s="62" t="s">
        <v>235</v>
      </c>
      <c r="B47" s="615">
        <v>149</v>
      </c>
      <c r="C47" s="115" t="s">
        <v>18</v>
      </c>
      <c r="D47" s="614">
        <f>B47*(1+$B$52)</f>
        <v>175.82</v>
      </c>
      <c r="E47" s="116"/>
      <c r="F47" s="118"/>
      <c r="G47" s="633"/>
      <c r="I47" s="33"/>
      <c r="J47" s="33"/>
      <c r="K47" s="102"/>
    </row>
    <row r="48" spans="1:32" ht="14.4" customHeight="1" x14ac:dyDescent="0.3">
      <c r="A48" s="62" t="s">
        <v>363</v>
      </c>
      <c r="B48" s="635">
        <v>5</v>
      </c>
      <c r="C48" s="121" t="s">
        <v>18</v>
      </c>
      <c r="D48" s="623">
        <f>SUM(D43:D47)</f>
        <v>2214.86</v>
      </c>
      <c r="E48" s="116" t="s">
        <v>58</v>
      </c>
      <c r="F48" s="118" t="s">
        <v>59</v>
      </c>
      <c r="G48" s="626">
        <v>3</v>
      </c>
      <c r="H48" s="46">
        <f>D44-B44</f>
        <v>66.239999999999952</v>
      </c>
      <c r="I48" s="33"/>
      <c r="J48" s="33"/>
    </row>
    <row r="49" spans="1:16" ht="14.4" customHeight="1" x14ac:dyDescent="0.3">
      <c r="A49" s="122" t="s">
        <v>565</v>
      </c>
      <c r="B49" s="635">
        <v>300</v>
      </c>
      <c r="C49" s="123"/>
      <c r="D49" s="614">
        <f>B49*(1+$B$52)</f>
        <v>354</v>
      </c>
      <c r="E49" s="124" t="s">
        <v>42</v>
      </c>
      <c r="F49" s="116"/>
      <c r="G49" s="125"/>
      <c r="I49" s="33"/>
      <c r="J49" s="33"/>
    </row>
    <row r="50" spans="1:16" ht="14.4" customHeight="1" x14ac:dyDescent="0.3">
      <c r="A50" s="62" t="s">
        <v>262</v>
      </c>
      <c r="B50" s="617">
        <v>0.1</v>
      </c>
      <c r="C50" s="115"/>
      <c r="D50" s="55">
        <f>D48+D49</f>
        <v>2568.86</v>
      </c>
      <c r="E50" s="116" t="s">
        <v>154</v>
      </c>
      <c r="F50" s="118" t="s">
        <v>55</v>
      </c>
      <c r="G50" s="636">
        <v>4.0000000000000001E-3</v>
      </c>
      <c r="H50" s="46">
        <f>D47-B47</f>
        <v>26.819999999999993</v>
      </c>
      <c r="I50" s="33"/>
      <c r="J50" s="33"/>
    </row>
    <row r="51" spans="1:16" ht="14.4" customHeight="1" x14ac:dyDescent="0.3">
      <c r="A51" s="62" t="s">
        <v>110</v>
      </c>
      <c r="B51" s="618">
        <v>0.05</v>
      </c>
      <c r="C51" s="115"/>
      <c r="D51" s="164"/>
      <c r="E51" s="116" t="s">
        <v>58</v>
      </c>
      <c r="F51" s="118" t="s">
        <v>60</v>
      </c>
      <c r="G51" s="626">
        <v>3</v>
      </c>
      <c r="H51" s="46">
        <f>SUM(H48:H50)</f>
        <v>93.059999999999945</v>
      </c>
      <c r="J51" s="33"/>
    </row>
    <row r="52" spans="1:16" x14ac:dyDescent="0.3">
      <c r="A52" s="62" t="s">
        <v>108</v>
      </c>
      <c r="B52" s="618">
        <v>0.18</v>
      </c>
      <c r="C52" s="115"/>
      <c r="D52" s="126"/>
      <c r="I52" s="52"/>
      <c r="J52" s="33"/>
    </row>
    <row r="53" spans="1:16" x14ac:dyDescent="0.3">
      <c r="A53" s="655" t="s">
        <v>22</v>
      </c>
      <c r="B53" s="656">
        <f>1659.01760166425*1.18</f>
        <v>1957.6407699638148</v>
      </c>
      <c r="C53" s="127"/>
      <c r="D53" s="46"/>
      <c r="J53" s="33"/>
      <c r="P53" s="52"/>
    </row>
    <row r="54" spans="1:16" x14ac:dyDescent="0.3">
      <c r="A54" s="128" t="s">
        <v>126</v>
      </c>
      <c r="B54" s="619">
        <v>0.1</v>
      </c>
      <c r="C54" s="115"/>
      <c r="D54" s="52"/>
      <c r="J54" s="33"/>
    </row>
    <row r="55" spans="1:16" x14ac:dyDescent="0.3">
      <c r="A55" s="128"/>
      <c r="B55" s="620"/>
      <c r="C55" s="115"/>
      <c r="D55" s="46"/>
      <c r="I55" s="52"/>
      <c r="J55" s="33"/>
    </row>
    <row r="56" spans="1:16" x14ac:dyDescent="0.3">
      <c r="A56" s="128" t="s">
        <v>24</v>
      </c>
      <c r="B56" s="621">
        <v>0</v>
      </c>
      <c r="C56" s="129"/>
      <c r="D56" s="46"/>
    </row>
    <row r="57" spans="1:16" x14ac:dyDescent="0.3">
      <c r="A57" s="128" t="s">
        <v>98</v>
      </c>
      <c r="B57" s="622">
        <v>12</v>
      </c>
      <c r="C57" s="129" t="s">
        <v>99</v>
      </c>
      <c r="D57" s="46"/>
      <c r="I57" s="52"/>
      <c r="J57" s="52"/>
    </row>
    <row r="58" spans="1:16" x14ac:dyDescent="0.3">
      <c r="A58" s="128" t="s">
        <v>451</v>
      </c>
      <c r="B58" s="621">
        <v>0.25169999999999998</v>
      </c>
      <c r="C58" s="129"/>
      <c r="D58" s="46"/>
    </row>
    <row r="59" spans="1:16" x14ac:dyDescent="0.3">
      <c r="D59" s="46"/>
    </row>
    <row r="60" spans="1:16" ht="14.4" hidden="1" thickBot="1" x14ac:dyDescent="0.35">
      <c r="B60" s="1" t="s">
        <v>236</v>
      </c>
      <c r="F60" s="131">
        <f>B52</f>
        <v>0.18</v>
      </c>
    </row>
    <row r="61" spans="1:16" ht="14.4" hidden="1" thickBot="1" x14ac:dyDescent="0.35">
      <c r="A61" s="649" t="s">
        <v>152</v>
      </c>
      <c r="B61" s="650"/>
      <c r="C61" s="650"/>
      <c r="D61" s="132"/>
      <c r="E61" s="132"/>
      <c r="F61" s="132"/>
      <c r="G61" s="132"/>
      <c r="H61" s="132"/>
    </row>
    <row r="62" spans="1:16" hidden="1" x14ac:dyDescent="0.3">
      <c r="A62" s="81" t="s">
        <v>109</v>
      </c>
      <c r="B62" s="133" t="s">
        <v>103</v>
      </c>
      <c r="C62" s="134" t="s">
        <v>112</v>
      </c>
      <c r="D62" s="135" t="s">
        <v>111</v>
      </c>
      <c r="E62" s="135" t="s">
        <v>204</v>
      </c>
      <c r="F62" s="135" t="s">
        <v>140</v>
      </c>
      <c r="G62" s="136" t="s">
        <v>113</v>
      </c>
      <c r="H62" s="137" t="s">
        <v>128</v>
      </c>
    </row>
    <row r="63" spans="1:16" hidden="1" x14ac:dyDescent="0.3">
      <c r="A63" s="81"/>
      <c r="B63" s="133"/>
      <c r="C63" s="646" t="s">
        <v>116</v>
      </c>
      <c r="D63" s="647"/>
      <c r="E63" s="647"/>
      <c r="F63" s="647"/>
      <c r="G63" s="648"/>
      <c r="H63" s="138" t="s">
        <v>127</v>
      </c>
    </row>
    <row r="64" spans="1:16" hidden="1" x14ac:dyDescent="0.3">
      <c r="A64" s="116"/>
      <c r="B64" s="139"/>
      <c r="C64" s="140"/>
      <c r="D64" s="141"/>
      <c r="E64" s="141"/>
      <c r="F64" s="141"/>
      <c r="G64" s="142"/>
      <c r="H64" s="143"/>
    </row>
    <row r="65" spans="1:11" hidden="1" x14ac:dyDescent="0.3">
      <c r="A65" s="116" t="str">
        <f t="shared" ref="A65:A69" si="9">A28</f>
        <v>Phase 1</v>
      </c>
      <c r="B65" s="139">
        <f>'Assumption Sheet'!E12</f>
        <v>243028.41058999998</v>
      </c>
      <c r="C65" s="140">
        <f>'Assumption Sheet'!$B$43</f>
        <v>1220</v>
      </c>
      <c r="D65" s="141">
        <v>300</v>
      </c>
      <c r="E65" s="144">
        <f>SUM(C65:D65)*$B$50</f>
        <v>152</v>
      </c>
      <c r="F65" s="141">
        <f>SUM(C65:E65)*'Assumption Sheet'!$F$60</f>
        <v>300.95999999999998</v>
      </c>
      <c r="G65" s="142">
        <f t="shared" ref="G65:G69" si="10">SUM(C65:F65)</f>
        <v>1972.96</v>
      </c>
      <c r="H65" s="143" t="e">
        <f>#REF!</f>
        <v>#REF!</v>
      </c>
      <c r="I65" s="45" t="e">
        <f t="shared" ref="I65:I69" si="11">H65/B65*10^6</f>
        <v>#REF!</v>
      </c>
      <c r="J65" s="52"/>
    </row>
    <row r="66" spans="1:11" hidden="1" x14ac:dyDescent="0.3">
      <c r="A66" s="116" t="str">
        <f t="shared" si="9"/>
        <v>Phase 2</v>
      </c>
      <c r="B66" s="139">
        <f>'Assumption Sheet'!E13</f>
        <v>470733.22550099995</v>
      </c>
      <c r="C66" s="140">
        <f>'Assumption Sheet'!$B$43</f>
        <v>1220</v>
      </c>
      <c r="D66" s="141">
        <v>300</v>
      </c>
      <c r="E66" s="144">
        <f t="shared" ref="E66:E69" si="12">SUM(C66:D66)*$B$50</f>
        <v>152</v>
      </c>
      <c r="F66" s="141">
        <f>SUM(C66:E66)*'Assumption Sheet'!$F$60</f>
        <v>300.95999999999998</v>
      </c>
      <c r="G66" s="142">
        <f t="shared" si="10"/>
        <v>1972.96</v>
      </c>
      <c r="H66" s="143" t="e">
        <f>#REF!</f>
        <v>#REF!</v>
      </c>
      <c r="I66" s="45" t="e">
        <f t="shared" si="11"/>
        <v>#REF!</v>
      </c>
      <c r="J66" s="52"/>
    </row>
    <row r="67" spans="1:11" hidden="1" x14ac:dyDescent="0.3">
      <c r="A67" s="116" t="str">
        <f t="shared" si="9"/>
        <v>Phase 3</v>
      </c>
      <c r="B67" s="139">
        <f>'Assumption Sheet'!E14</f>
        <v>196225.03588799998</v>
      </c>
      <c r="C67" s="140">
        <f>'Assumption Sheet'!$B$43</f>
        <v>1220</v>
      </c>
      <c r="D67" s="141">
        <v>300</v>
      </c>
      <c r="E67" s="144">
        <f t="shared" si="12"/>
        <v>152</v>
      </c>
      <c r="F67" s="141">
        <f>SUM(C67:E67)*'Assumption Sheet'!$F$60</f>
        <v>300.95999999999998</v>
      </c>
      <c r="G67" s="142">
        <f t="shared" si="10"/>
        <v>1972.96</v>
      </c>
      <c r="H67" s="143" t="e">
        <f>#REF!</f>
        <v>#REF!</v>
      </c>
      <c r="I67" s="45" t="e">
        <f t="shared" si="11"/>
        <v>#REF!</v>
      </c>
      <c r="J67" s="52"/>
    </row>
    <row r="68" spans="1:11" hidden="1" x14ac:dyDescent="0.3">
      <c r="A68" s="116" t="str">
        <f t="shared" si="9"/>
        <v>Phase 4</v>
      </c>
      <c r="B68" s="139">
        <f>'Assumption Sheet'!E15</f>
        <v>420964.181071</v>
      </c>
      <c r="C68" s="140">
        <f>'Assumption Sheet'!$B$43</f>
        <v>1220</v>
      </c>
      <c r="D68" s="141">
        <v>300</v>
      </c>
      <c r="E68" s="144">
        <f t="shared" si="12"/>
        <v>152</v>
      </c>
      <c r="F68" s="141">
        <f>SUM(C68:E68)*'Assumption Sheet'!$F$60</f>
        <v>300.95999999999998</v>
      </c>
      <c r="G68" s="142">
        <f>SUM(C68:F68)</f>
        <v>1972.96</v>
      </c>
      <c r="H68" s="143" t="e">
        <f>#REF!</f>
        <v>#REF!</v>
      </c>
      <c r="I68" s="45" t="e">
        <f t="shared" si="11"/>
        <v>#REF!</v>
      </c>
      <c r="J68" s="52"/>
    </row>
    <row r="69" spans="1:11" hidden="1" x14ac:dyDescent="0.3">
      <c r="A69" s="116" t="str">
        <f t="shared" si="9"/>
        <v>Phase 5</v>
      </c>
      <c r="B69" s="139">
        <f>'Assumption Sheet'!E16</f>
        <v>87708.024565</v>
      </c>
      <c r="C69" s="140">
        <f>'Assumption Sheet'!$B$43</f>
        <v>1220</v>
      </c>
      <c r="D69" s="141">
        <v>300</v>
      </c>
      <c r="E69" s="144">
        <f t="shared" si="12"/>
        <v>152</v>
      </c>
      <c r="F69" s="141">
        <f>SUM(C69:E69)*'Assumption Sheet'!$F$60</f>
        <v>300.95999999999998</v>
      </c>
      <c r="G69" s="142">
        <f t="shared" si="10"/>
        <v>1972.96</v>
      </c>
      <c r="H69" s="143" t="e">
        <f>#REF!</f>
        <v>#REF!</v>
      </c>
      <c r="I69" s="45" t="e">
        <f t="shared" si="11"/>
        <v>#REF!</v>
      </c>
      <c r="J69" s="52"/>
    </row>
    <row r="70" spans="1:11" hidden="1" x14ac:dyDescent="0.3">
      <c r="A70" s="116"/>
      <c r="B70" s="139"/>
      <c r="C70" s="140"/>
      <c r="D70" s="141"/>
      <c r="E70" s="144"/>
      <c r="F70" s="141"/>
      <c r="G70" s="142"/>
      <c r="H70" s="143"/>
      <c r="I70" s="45"/>
    </row>
    <row r="71" spans="1:11" hidden="1" x14ac:dyDescent="0.3">
      <c r="A71" s="116"/>
      <c r="B71" s="139"/>
      <c r="C71" s="140"/>
      <c r="D71" s="141"/>
      <c r="E71" s="144"/>
      <c r="F71" s="141"/>
      <c r="G71" s="142"/>
      <c r="H71" s="143"/>
      <c r="I71" s="45"/>
    </row>
    <row r="72" spans="1:11" hidden="1" x14ac:dyDescent="0.3">
      <c r="A72" s="116"/>
      <c r="B72" s="139"/>
      <c r="C72" s="140"/>
      <c r="D72" s="141"/>
      <c r="E72" s="144"/>
      <c r="F72" s="141"/>
      <c r="G72" s="142"/>
      <c r="H72" s="143"/>
      <c r="I72" s="45"/>
    </row>
    <row r="73" spans="1:11" hidden="1" x14ac:dyDescent="0.3">
      <c r="A73" s="116"/>
      <c r="B73" s="139"/>
      <c r="C73" s="140"/>
      <c r="D73" s="141"/>
      <c r="E73" s="144"/>
      <c r="F73" s="141"/>
      <c r="G73" s="142"/>
      <c r="H73" s="143"/>
      <c r="I73" s="45"/>
      <c r="J73" s="52"/>
      <c r="K73" s="52"/>
    </row>
    <row r="74" spans="1:11" ht="14.4" hidden="1" thickBot="1" x14ac:dyDescent="0.35">
      <c r="A74" s="116"/>
      <c r="B74" s="139"/>
      <c r="C74" s="145"/>
      <c r="D74" s="146"/>
      <c r="E74" s="147"/>
      <c r="F74" s="148"/>
      <c r="G74" s="149"/>
      <c r="H74" s="143"/>
      <c r="I74" s="45"/>
      <c r="J74" s="52"/>
      <c r="K74" s="52"/>
    </row>
    <row r="75" spans="1:11" x14ac:dyDescent="0.3">
      <c r="D75" s="46"/>
      <c r="J75" s="33"/>
    </row>
    <row r="77" spans="1:11" x14ac:dyDescent="0.3">
      <c r="A77" s="49" t="s">
        <v>215</v>
      </c>
      <c r="B77" s="49" t="s">
        <v>220</v>
      </c>
      <c r="C77" s="49" t="s">
        <v>216</v>
      </c>
      <c r="D77" s="49" t="s">
        <v>217</v>
      </c>
      <c r="E77" s="49" t="s">
        <v>218</v>
      </c>
      <c r="F77" s="49" t="s">
        <v>213</v>
      </c>
      <c r="G77" s="49" t="s">
        <v>219</v>
      </c>
      <c r="H77" s="49" t="s">
        <v>221</v>
      </c>
      <c r="I77" s="49" t="s">
        <v>222</v>
      </c>
    </row>
    <row r="78" spans="1:11" hidden="1" x14ac:dyDescent="0.3">
      <c r="A78" s="150">
        <f>A36</f>
        <v>0</v>
      </c>
      <c r="B78" s="47">
        <f>C36</f>
        <v>0</v>
      </c>
      <c r="C78" s="151">
        <f>E36</f>
        <v>0</v>
      </c>
      <c r="D78" s="151">
        <f>G36</f>
        <v>0</v>
      </c>
      <c r="E78" s="151">
        <f>I36</f>
        <v>0</v>
      </c>
      <c r="F78" s="151">
        <f>K36</f>
        <v>0</v>
      </c>
      <c r="G78" s="152">
        <f>M36</f>
        <v>0</v>
      </c>
      <c r="H78" s="152">
        <f>P36</f>
        <v>0</v>
      </c>
      <c r="I78" s="152">
        <f t="shared" ref="I78:I84" si="13">SUM(G78:H78)</f>
        <v>0</v>
      </c>
    </row>
    <row r="79" spans="1:11" hidden="1" x14ac:dyDescent="0.3">
      <c r="A79" s="150">
        <f>A37</f>
        <v>0</v>
      </c>
      <c r="B79" s="47">
        <f>C37</f>
        <v>0</v>
      </c>
      <c r="C79" s="151">
        <f>E37</f>
        <v>0</v>
      </c>
      <c r="D79" s="151">
        <f>G37</f>
        <v>0</v>
      </c>
      <c r="E79" s="151">
        <f>I37</f>
        <v>0</v>
      </c>
      <c r="F79" s="151">
        <f>K37</f>
        <v>0</v>
      </c>
      <c r="G79" s="152">
        <f>M37</f>
        <v>0</v>
      </c>
      <c r="H79" s="152">
        <f>P37</f>
        <v>0</v>
      </c>
      <c r="I79" s="152">
        <f t="shared" si="13"/>
        <v>0</v>
      </c>
    </row>
    <row r="80" spans="1:11" x14ac:dyDescent="0.3">
      <c r="A80" s="150" t="str">
        <f>A28</f>
        <v>Phase 1</v>
      </c>
      <c r="B80" s="47">
        <f>C28</f>
        <v>255179.83111949998</v>
      </c>
      <c r="C80" s="151">
        <f>E28</f>
        <v>45504</v>
      </c>
      <c r="D80" s="151">
        <f>G28</f>
        <v>45838</v>
      </c>
      <c r="E80" s="151">
        <f>I28</f>
        <v>45839</v>
      </c>
      <c r="F80" s="151">
        <f>K28</f>
        <v>46023</v>
      </c>
      <c r="G80" s="152">
        <f>18</f>
        <v>18</v>
      </c>
      <c r="H80" s="152">
        <v>2.5</v>
      </c>
      <c r="I80" s="152">
        <f t="shared" si="13"/>
        <v>20.5</v>
      </c>
    </row>
    <row r="81" spans="1:9" x14ac:dyDescent="0.3">
      <c r="A81" s="150" t="str">
        <f>A29</f>
        <v>Phase 2</v>
      </c>
      <c r="B81" s="47">
        <f>C29</f>
        <v>494269.88677604997</v>
      </c>
      <c r="C81" s="151">
        <f>E29</f>
        <v>45869</v>
      </c>
      <c r="D81" s="151">
        <f>G29</f>
        <v>46203</v>
      </c>
      <c r="E81" s="151">
        <f>I29</f>
        <v>46204</v>
      </c>
      <c r="F81" s="151">
        <f>K29</f>
        <v>46388</v>
      </c>
      <c r="G81" s="152">
        <f>18</f>
        <v>18</v>
      </c>
      <c r="H81" s="152">
        <f>H80</f>
        <v>2.5</v>
      </c>
      <c r="I81" s="152">
        <f t="shared" si="13"/>
        <v>20.5</v>
      </c>
    </row>
    <row r="82" spans="1:9" x14ac:dyDescent="0.3">
      <c r="A82" s="150" t="str">
        <f>A30</f>
        <v>Phase 3</v>
      </c>
      <c r="B82" s="47">
        <f>C30</f>
        <v>206036.2876824</v>
      </c>
      <c r="C82" s="151">
        <f>E30</f>
        <v>46142</v>
      </c>
      <c r="D82" s="151">
        <f>G30</f>
        <v>46477</v>
      </c>
      <c r="E82" s="151">
        <f>I30</f>
        <v>46478</v>
      </c>
      <c r="F82" s="151">
        <f>K30</f>
        <v>46661</v>
      </c>
      <c r="G82" s="152">
        <f>18</f>
        <v>18</v>
      </c>
      <c r="H82" s="152">
        <f t="shared" ref="H82:H84" si="14">H81</f>
        <v>2.5</v>
      </c>
      <c r="I82" s="152">
        <f t="shared" si="13"/>
        <v>20.5</v>
      </c>
    </row>
    <row r="83" spans="1:9" x14ac:dyDescent="0.3">
      <c r="A83" s="150" t="str">
        <f>A31</f>
        <v>Phase 4</v>
      </c>
      <c r="B83" s="47">
        <f>C31</f>
        <v>442012.39012455003</v>
      </c>
      <c r="C83" s="151">
        <f>E31</f>
        <v>46418</v>
      </c>
      <c r="D83" s="151">
        <f>G31</f>
        <v>46752</v>
      </c>
      <c r="E83" s="151">
        <f>I31</f>
        <v>46753</v>
      </c>
      <c r="F83" s="151">
        <f>K31</f>
        <v>46935</v>
      </c>
      <c r="G83" s="152">
        <f>18</f>
        <v>18</v>
      </c>
      <c r="H83" s="152">
        <f t="shared" si="14"/>
        <v>2.5</v>
      </c>
      <c r="I83" s="152">
        <f t="shared" si="13"/>
        <v>20.5</v>
      </c>
    </row>
    <row r="84" spans="1:9" x14ac:dyDescent="0.3">
      <c r="A84" s="150" t="str">
        <f>A32</f>
        <v>Phase 5</v>
      </c>
      <c r="B84" s="47">
        <f>C32</f>
        <v>92093.425793250004</v>
      </c>
      <c r="C84" s="151">
        <f>E32</f>
        <v>46691</v>
      </c>
      <c r="D84" s="151">
        <f>G32</f>
        <v>47118</v>
      </c>
      <c r="E84" s="151">
        <f>I32</f>
        <v>47119</v>
      </c>
      <c r="F84" s="151">
        <f>K32</f>
        <v>47209</v>
      </c>
      <c r="G84" s="152">
        <f>18</f>
        <v>18</v>
      </c>
      <c r="H84" s="152">
        <f t="shared" si="14"/>
        <v>2.5</v>
      </c>
      <c r="I84" s="152">
        <f t="shared" si="13"/>
        <v>20.5</v>
      </c>
    </row>
    <row r="85" spans="1:9" x14ac:dyDescent="0.3">
      <c r="A85" s="153"/>
      <c r="B85" s="48">
        <f>SUM(B78:B84)</f>
        <v>1489591.82149575</v>
      </c>
      <c r="C85" s="153"/>
      <c r="D85" s="153"/>
      <c r="E85" s="153"/>
      <c r="F85" s="153"/>
      <c r="G85" s="153"/>
      <c r="H85" s="153"/>
      <c r="I85" s="153"/>
    </row>
    <row r="87" spans="1:9" x14ac:dyDescent="0.3">
      <c r="A87" s="49" t="s">
        <v>223</v>
      </c>
      <c r="B87" s="49" t="s">
        <v>224</v>
      </c>
    </row>
    <row r="88" spans="1:9" hidden="1" x14ac:dyDescent="0.3">
      <c r="A88" s="150">
        <f t="shared" ref="A88:A94" si="15">A78</f>
        <v>0</v>
      </c>
      <c r="B88" s="47">
        <f>E20</f>
        <v>0</v>
      </c>
    </row>
    <row r="89" spans="1:9" hidden="1" x14ac:dyDescent="0.3">
      <c r="A89" s="150">
        <f t="shared" si="15"/>
        <v>0</v>
      </c>
      <c r="B89" s="47">
        <f>E21</f>
        <v>0</v>
      </c>
    </row>
    <row r="90" spans="1:9" x14ac:dyDescent="0.3">
      <c r="A90" s="150" t="str">
        <f t="shared" si="15"/>
        <v>Phase 1</v>
      </c>
      <c r="B90" s="47">
        <f>E12</f>
        <v>243028.41058999998</v>
      </c>
      <c r="D90" s="52">
        <f>SUM($B$43,$B$44,$B$47)*B90</f>
        <v>422140349.19483</v>
      </c>
    </row>
    <row r="91" spans="1:9" x14ac:dyDescent="0.3">
      <c r="A91" s="150" t="str">
        <f t="shared" si="15"/>
        <v>Phase 2</v>
      </c>
      <c r="B91" s="47">
        <f>E13</f>
        <v>470733.22550099995</v>
      </c>
      <c r="D91" s="52">
        <f t="shared" ref="D91:D94" si="16">SUM($B$43,$B$44,$B$47)*B91</f>
        <v>817663612.69523692</v>
      </c>
      <c r="I91" s="45"/>
    </row>
    <row r="92" spans="1:9" x14ac:dyDescent="0.3">
      <c r="A92" s="150" t="str">
        <f t="shared" si="15"/>
        <v>Phase 3</v>
      </c>
      <c r="B92" s="47">
        <f>E14</f>
        <v>196225.03588799998</v>
      </c>
      <c r="D92" s="52">
        <f t="shared" si="16"/>
        <v>340842887.33745599</v>
      </c>
    </row>
    <row r="93" spans="1:9" x14ac:dyDescent="0.3">
      <c r="A93" s="150" t="str">
        <f t="shared" si="15"/>
        <v>Phase 4</v>
      </c>
      <c r="B93" s="47">
        <f>E15</f>
        <v>420964.181071</v>
      </c>
      <c r="D93" s="52">
        <f t="shared" si="16"/>
        <v>731214782.52032697</v>
      </c>
      <c r="I93" s="45"/>
    </row>
    <row r="94" spans="1:9" x14ac:dyDescent="0.3">
      <c r="A94" s="150" t="str">
        <f t="shared" si="15"/>
        <v>Phase 5</v>
      </c>
      <c r="B94" s="47">
        <f>E16</f>
        <v>87708.024565</v>
      </c>
      <c r="D94" s="52">
        <f t="shared" si="16"/>
        <v>152348838.66940501</v>
      </c>
      <c r="I94" s="154"/>
    </row>
    <row r="95" spans="1:9" x14ac:dyDescent="0.3">
      <c r="A95" s="155"/>
      <c r="B95" s="156">
        <f>SUM(B88:B94)</f>
        <v>1418658.8776149999</v>
      </c>
      <c r="D95" s="52">
        <f>SUM(D91:D94)</f>
        <v>2042070121.222425</v>
      </c>
      <c r="I95" s="55"/>
    </row>
    <row r="101" spans="1:2" x14ac:dyDescent="0.3">
      <c r="B101" s="25"/>
    </row>
    <row r="102" spans="1:2" x14ac:dyDescent="0.3">
      <c r="B102" s="25"/>
    </row>
    <row r="103" spans="1:2" x14ac:dyDescent="0.3">
      <c r="B103" s="25"/>
    </row>
    <row r="104" spans="1:2" x14ac:dyDescent="0.3">
      <c r="B104" s="25"/>
    </row>
    <row r="105" spans="1:2" x14ac:dyDescent="0.3">
      <c r="B105" s="25"/>
    </row>
    <row r="106" spans="1:2" x14ac:dyDescent="0.3">
      <c r="B106" s="25"/>
    </row>
    <row r="107" spans="1:2" x14ac:dyDescent="0.3">
      <c r="B107" s="25"/>
    </row>
    <row r="108" spans="1:2" x14ac:dyDescent="0.3">
      <c r="B108" s="25"/>
    </row>
    <row r="109" spans="1:2" x14ac:dyDescent="0.3">
      <c r="B109" s="25"/>
    </row>
    <row r="110" spans="1:2" x14ac:dyDescent="0.3">
      <c r="B110" s="25"/>
    </row>
    <row r="111" spans="1:2" x14ac:dyDescent="0.3">
      <c r="A111" s="162"/>
    </row>
    <row r="112" spans="1:2" x14ac:dyDescent="0.3">
      <c r="A112" s="162"/>
    </row>
    <row r="113" spans="1:1" x14ac:dyDescent="0.3">
      <c r="A113" s="162"/>
    </row>
    <row r="114" spans="1:1" x14ac:dyDescent="0.3">
      <c r="A114" s="162"/>
    </row>
    <row r="115" spans="1:1" x14ac:dyDescent="0.3">
      <c r="A115" s="162"/>
    </row>
  </sheetData>
  <mergeCells count="6">
    <mergeCell ref="A2:B2"/>
    <mergeCell ref="C63:G63"/>
    <mergeCell ref="A61:C61"/>
    <mergeCell ref="E40:G40"/>
    <mergeCell ref="A40:B40"/>
    <mergeCell ref="A53:B53"/>
  </mergeCells>
  <dataValidations disablePrompts="1" count="2">
    <dataValidation type="list" allowBlank="1" showInputMessage="1" showErrorMessage="1" sqref="I12" xr:uid="{AC9D288D-7A7F-4151-9280-1300BE830D47}">
      <formula1>"90%,95%,100%,105%,110%"</formula1>
    </dataValidation>
    <dataValidation type="list" allowBlank="1" showInputMessage="1" showErrorMessage="1" sqref="I13" xr:uid="{DB5B8414-F702-43A0-B890-1115D4FFE501}">
      <formula1>"1%,2%,0%"</formula1>
    </dataValidation>
  </dataValidations>
  <pageMargins left="0.7" right="0.7" top="0.75" bottom="0.75" header="0.3" footer="0.3"/>
  <pageSetup orientation="portrait" r:id="rId1"/>
  <ignoredErrors>
    <ignoredError sqref="E10" formulaRange="1"/>
    <ignoredError sqref="D45 D48"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FC83-28F9-4E91-B5B4-5810F6BE2003}">
  <dimension ref="B2:BS150"/>
  <sheetViews>
    <sheetView showGridLines="0" topLeftCell="B118" zoomScale="55" zoomScaleNormal="55" workbookViewId="0">
      <selection activeCell="J138" sqref="J138:L143"/>
    </sheetView>
  </sheetViews>
  <sheetFormatPr defaultColWidth="8.77734375" defaultRowHeight="13.8" x14ac:dyDescent="0.3"/>
  <cols>
    <col min="1" max="1" width="8.77734375" style="1" customWidth="1"/>
    <col min="2" max="2" width="37.33203125" style="1" bestFit="1" customWidth="1"/>
    <col min="3" max="3" width="14" style="1" bestFit="1" customWidth="1"/>
    <col min="4" max="4" width="16.77734375" style="1" bestFit="1" customWidth="1"/>
    <col min="5" max="5" width="17.88671875" style="1" bestFit="1" customWidth="1"/>
    <col min="6" max="8" width="21" style="1" bestFit="1" customWidth="1"/>
    <col min="9" max="9" width="17.33203125" style="1" bestFit="1" customWidth="1"/>
    <col min="10" max="10" width="16.77734375" style="1" bestFit="1" customWidth="1"/>
    <col min="11" max="11" width="10.109375" style="1" bestFit="1" customWidth="1"/>
    <col min="12" max="13" width="9.77734375" style="1" bestFit="1" customWidth="1"/>
    <col min="14" max="14" width="9" style="1" bestFit="1" customWidth="1"/>
    <col min="15" max="16" width="9.33203125" style="1" bestFit="1" customWidth="1"/>
    <col min="17" max="17" width="9.21875" style="1" bestFit="1" customWidth="1"/>
    <col min="18" max="19" width="9.33203125" style="1" bestFit="1" customWidth="1"/>
    <col min="20" max="20" width="9.21875" style="1" bestFit="1" customWidth="1"/>
    <col min="21" max="21" width="9.77734375" style="1" bestFit="1" customWidth="1"/>
    <col min="22" max="22" width="9.33203125" style="1" bestFit="1" customWidth="1"/>
    <col min="23" max="23" width="8.6640625" style="1" bestFit="1" customWidth="1"/>
    <col min="24" max="24" width="9.77734375" style="1" bestFit="1" customWidth="1"/>
    <col min="25" max="25" width="9.5546875" style="1" bestFit="1" customWidth="1"/>
    <col min="26" max="26" width="9" style="1" bestFit="1" customWidth="1"/>
    <col min="27" max="28" width="9.33203125" style="1" bestFit="1" customWidth="1"/>
    <col min="29" max="29" width="9.21875" style="1" bestFit="1" customWidth="1"/>
    <col min="30" max="31" width="9.33203125" style="1" bestFit="1" customWidth="1"/>
    <col min="32" max="32" width="9.21875" style="1" bestFit="1" customWidth="1"/>
    <col min="33" max="33" width="9.77734375" style="1" bestFit="1" customWidth="1"/>
    <col min="34" max="34" width="9.33203125" style="1" bestFit="1" customWidth="1"/>
    <col min="35" max="35" width="8.6640625" style="1" bestFit="1" customWidth="1"/>
    <col min="36" max="36" width="9.77734375" style="1" bestFit="1" customWidth="1"/>
    <col min="37" max="37" width="9.5546875" style="1" bestFit="1" customWidth="1"/>
    <col min="38" max="38" width="9" style="1" bestFit="1" customWidth="1"/>
    <col min="39" max="40" width="9.33203125" style="1" bestFit="1" customWidth="1"/>
    <col min="41" max="41" width="9.21875" style="1" bestFit="1" customWidth="1"/>
    <col min="42" max="43" width="9.33203125" style="1" bestFit="1" customWidth="1"/>
    <col min="44" max="44" width="9.21875" style="1" bestFit="1" customWidth="1"/>
    <col min="45" max="45" width="9.77734375" style="1" bestFit="1" customWidth="1"/>
    <col min="46" max="46" width="9.33203125" style="1" bestFit="1" customWidth="1"/>
    <col min="47" max="47" width="8.6640625" style="1" bestFit="1" customWidth="1"/>
    <col min="48" max="48" width="9.77734375" style="1" bestFit="1" customWidth="1"/>
    <col min="49" max="49" width="9.5546875" style="1" bestFit="1" customWidth="1"/>
    <col min="50" max="50" width="9" style="1" bestFit="1" customWidth="1"/>
    <col min="51" max="52" width="9.33203125" style="1" bestFit="1" customWidth="1"/>
    <col min="53" max="53" width="9.21875" style="1" bestFit="1" customWidth="1"/>
    <col min="54" max="55" width="9.33203125" style="1" bestFit="1" customWidth="1"/>
    <col min="56" max="56" width="9.21875" style="1" bestFit="1" customWidth="1"/>
    <col min="57" max="57" width="9.77734375" style="1" bestFit="1" customWidth="1"/>
    <col min="58" max="58" width="9.33203125" style="1" bestFit="1" customWidth="1"/>
    <col min="59" max="59" width="8.6640625" style="1" bestFit="1" customWidth="1"/>
    <col min="60" max="60" width="9.77734375" style="1" bestFit="1" customWidth="1"/>
    <col min="61" max="61" width="9.5546875" style="1" bestFit="1" customWidth="1"/>
    <col min="62" max="62" width="9" style="1" bestFit="1" customWidth="1"/>
    <col min="63" max="64" width="9.33203125" style="1" bestFit="1" customWidth="1"/>
    <col min="65" max="16384" width="8.77734375" style="1"/>
  </cols>
  <sheetData>
    <row r="2" spans="2:71" ht="14.4" thickBot="1" x14ac:dyDescent="0.35">
      <c r="C2" s="180" t="s">
        <v>368</v>
      </c>
      <c r="D2" s="180"/>
      <c r="E2" s="180"/>
      <c r="F2" s="180"/>
      <c r="G2" s="180"/>
      <c r="H2" s="180"/>
      <c r="I2" s="180"/>
      <c r="J2" s="180"/>
      <c r="K2" s="180"/>
    </row>
    <row r="3" spans="2:71" s="181" customFormat="1" ht="28.2" thickTop="1" x14ac:dyDescent="0.3">
      <c r="C3" s="182" t="s">
        <v>369</v>
      </c>
      <c r="D3" s="182" t="s">
        <v>376</v>
      </c>
      <c r="E3" s="182" t="s">
        <v>377</v>
      </c>
      <c r="F3" s="182" t="s">
        <v>378</v>
      </c>
      <c r="G3" s="182" t="s">
        <v>379</v>
      </c>
      <c r="H3" s="182" t="s">
        <v>380</v>
      </c>
      <c r="I3" s="182" t="s">
        <v>20</v>
      </c>
      <c r="J3" s="182" t="s">
        <v>381</v>
      </c>
      <c r="K3" s="182" t="s">
        <v>157</v>
      </c>
    </row>
    <row r="4" spans="2:71" x14ac:dyDescent="0.3">
      <c r="C4" s="130" t="s">
        <v>230</v>
      </c>
      <c r="D4" s="183">
        <f>'Assumption Sheet'!$B$43*(1+'Assumption Sheet'!$B$52)</f>
        <v>1439.6</v>
      </c>
      <c r="E4" s="183">
        <f>'Assumption Sheet'!D65*(1+'Assumption Sheet'!$B$52)</f>
        <v>354</v>
      </c>
      <c r="F4" s="183">
        <f>'Assumption Sheet'!$B$44*(1+'Assumption Sheet'!$B$52)</f>
        <v>434.23999999999995</v>
      </c>
      <c r="G4" s="183">
        <f>'Assumption Sheet'!$B$46*(1+'Assumption Sheet'!$B$52)</f>
        <v>129.79999999999998</v>
      </c>
      <c r="H4" s="183">
        <f>'Assumption Sheet'!$B$47*(1+'Assumption Sheet'!$B$52)</f>
        <v>175.82</v>
      </c>
      <c r="I4" s="183">
        <f>'Assumption Sheet'!$B$45</f>
        <v>35.4</v>
      </c>
      <c r="J4" s="52">
        <f>SUM(D4:I4)*5%</f>
        <v>128.44300000000001</v>
      </c>
      <c r="K4" s="183">
        <f>SUM(D4:J4)</f>
        <v>2697.3030000000003</v>
      </c>
      <c r="M4" s="52"/>
    </row>
    <row r="5" spans="2:71" x14ac:dyDescent="0.3">
      <c r="C5" s="130" t="s">
        <v>231</v>
      </c>
      <c r="D5" s="183">
        <f>'Assumption Sheet'!$B$43*(1+'Assumption Sheet'!$B$52)</f>
        <v>1439.6</v>
      </c>
      <c r="E5" s="183">
        <f>'Assumption Sheet'!D66*(1+'Assumption Sheet'!$B$52)</f>
        <v>354</v>
      </c>
      <c r="F5" s="183">
        <f>'Assumption Sheet'!$B$44*(1+'Assumption Sheet'!$B$52)</f>
        <v>434.23999999999995</v>
      </c>
      <c r="G5" s="183">
        <f>'Assumption Sheet'!$B$46*(1+'Assumption Sheet'!$B$52)</f>
        <v>129.79999999999998</v>
      </c>
      <c r="H5" s="183">
        <f>'Assumption Sheet'!$B$47*(1+'Assumption Sheet'!$B$52)</f>
        <v>175.82</v>
      </c>
      <c r="I5" s="183">
        <f>'Assumption Sheet'!$B$45</f>
        <v>35.4</v>
      </c>
      <c r="J5" s="52">
        <f t="shared" ref="J5:J8" si="0">SUM(D5:I5)*5%</f>
        <v>128.44300000000001</v>
      </c>
      <c r="K5" s="183">
        <f t="shared" ref="K5:K8" si="1">SUM(D5:J5)</f>
        <v>2697.3030000000003</v>
      </c>
    </row>
    <row r="6" spans="2:71" x14ac:dyDescent="0.3">
      <c r="C6" s="130" t="s">
        <v>232</v>
      </c>
      <c r="D6" s="183">
        <f>'Assumption Sheet'!$B$43*(1+'Assumption Sheet'!$B$52)</f>
        <v>1439.6</v>
      </c>
      <c r="E6" s="183">
        <f>'Assumption Sheet'!D67*(1+'Assumption Sheet'!$B$52)</f>
        <v>354</v>
      </c>
      <c r="F6" s="183">
        <f>'Assumption Sheet'!$B$44*(1+'Assumption Sheet'!$B$52)</f>
        <v>434.23999999999995</v>
      </c>
      <c r="G6" s="183">
        <f>'Assumption Sheet'!$B$46*(1+'Assumption Sheet'!$B$52)</f>
        <v>129.79999999999998</v>
      </c>
      <c r="H6" s="183">
        <f>'Assumption Sheet'!$B$47*(1+'Assumption Sheet'!$B$52)</f>
        <v>175.82</v>
      </c>
      <c r="I6" s="183">
        <f>'Assumption Sheet'!$B$45</f>
        <v>35.4</v>
      </c>
      <c r="J6" s="52">
        <f t="shared" si="0"/>
        <v>128.44300000000001</v>
      </c>
      <c r="K6" s="183">
        <f t="shared" si="1"/>
        <v>2697.3030000000003</v>
      </c>
      <c r="M6" s="52"/>
    </row>
    <row r="7" spans="2:71" x14ac:dyDescent="0.3">
      <c r="C7" s="130" t="s">
        <v>234</v>
      </c>
      <c r="D7" s="183">
        <f>'Assumption Sheet'!$B$43*(1+'Assumption Sheet'!$B$52)</f>
        <v>1439.6</v>
      </c>
      <c r="E7" s="183">
        <f>'Assumption Sheet'!D68*(1+'Assumption Sheet'!$B$52)</f>
        <v>354</v>
      </c>
      <c r="F7" s="183">
        <f>'Assumption Sheet'!$B$44*(1+'Assumption Sheet'!$B$52)</f>
        <v>434.23999999999995</v>
      </c>
      <c r="G7" s="183">
        <f>'Assumption Sheet'!$B$46*(1+'Assumption Sheet'!$B$52)</f>
        <v>129.79999999999998</v>
      </c>
      <c r="H7" s="183">
        <f>'Assumption Sheet'!$B$47*(1+'Assumption Sheet'!$B$52)</f>
        <v>175.82</v>
      </c>
      <c r="I7" s="183">
        <f>'Assumption Sheet'!$B$45</f>
        <v>35.4</v>
      </c>
      <c r="J7" s="52">
        <f t="shared" si="0"/>
        <v>128.44300000000001</v>
      </c>
      <c r="K7" s="183">
        <f t="shared" si="1"/>
        <v>2697.3030000000003</v>
      </c>
    </row>
    <row r="8" spans="2:71" x14ac:dyDescent="0.3">
      <c r="C8" s="130" t="s">
        <v>259</v>
      </c>
      <c r="D8" s="183">
        <f>'Assumption Sheet'!$B$43*(1+'Assumption Sheet'!$B$52)</f>
        <v>1439.6</v>
      </c>
      <c r="E8" s="183">
        <f>'Assumption Sheet'!D69*(1+'Assumption Sheet'!$B$52)</f>
        <v>354</v>
      </c>
      <c r="F8" s="183">
        <f>'Assumption Sheet'!$B$44*(1+'Assumption Sheet'!$B$52)</f>
        <v>434.23999999999995</v>
      </c>
      <c r="G8" s="183">
        <f>'Assumption Sheet'!$B$46*(1+'Assumption Sheet'!$B$52)</f>
        <v>129.79999999999998</v>
      </c>
      <c r="H8" s="183">
        <f>'Assumption Sheet'!$B$47*(1+'Assumption Sheet'!$B$52)</f>
        <v>175.82</v>
      </c>
      <c r="I8" s="183">
        <f>'Assumption Sheet'!$B$45</f>
        <v>35.4</v>
      </c>
      <c r="J8" s="52">
        <f t="shared" si="0"/>
        <v>128.44300000000001</v>
      </c>
      <c r="K8" s="183">
        <f t="shared" si="1"/>
        <v>2697.3030000000003</v>
      </c>
    </row>
    <row r="9" spans="2:71" x14ac:dyDescent="0.3">
      <c r="C9" s="130"/>
      <c r="D9" s="183"/>
      <c r="E9" s="183"/>
      <c r="F9" s="183"/>
      <c r="G9" s="183"/>
      <c r="H9" s="183"/>
      <c r="I9" s="183"/>
      <c r="J9" s="183"/>
    </row>
    <row r="11" spans="2:71" x14ac:dyDescent="0.3">
      <c r="B11" s="56" t="s">
        <v>390</v>
      </c>
    </row>
    <row r="12" spans="2:71" s="41" customFormat="1" x14ac:dyDescent="0.3">
      <c r="C12" s="184" t="s">
        <v>208</v>
      </c>
      <c r="D12" s="184" t="s">
        <v>371</v>
      </c>
      <c r="E12" s="24" t="s">
        <v>372</v>
      </c>
      <c r="F12" s="184" t="s">
        <v>384</v>
      </c>
      <c r="G12" s="184" t="s">
        <v>373</v>
      </c>
      <c r="H12" s="184" t="s">
        <v>374</v>
      </c>
      <c r="I12" s="184" t="s">
        <v>375</v>
      </c>
      <c r="J12" s="184" t="s">
        <v>21</v>
      </c>
      <c r="K12" s="185">
        <f>EOMONTH(MIN(G13:G17),0)</f>
        <v>45504</v>
      </c>
      <c r="L12" s="185">
        <f>EOMONTH(K12,1)</f>
        <v>45535</v>
      </c>
      <c r="M12" s="185">
        <f t="shared" ref="M12:BL12" si="2">EOMONTH(L12,1)</f>
        <v>45565</v>
      </c>
      <c r="N12" s="185">
        <f t="shared" si="2"/>
        <v>45596</v>
      </c>
      <c r="O12" s="185">
        <f t="shared" si="2"/>
        <v>45626</v>
      </c>
      <c r="P12" s="185">
        <f t="shared" si="2"/>
        <v>45657</v>
      </c>
      <c r="Q12" s="185">
        <f t="shared" si="2"/>
        <v>45688</v>
      </c>
      <c r="R12" s="185">
        <f t="shared" si="2"/>
        <v>45716</v>
      </c>
      <c r="S12" s="185">
        <f t="shared" si="2"/>
        <v>45747</v>
      </c>
      <c r="T12" s="185">
        <f t="shared" si="2"/>
        <v>45777</v>
      </c>
      <c r="U12" s="185">
        <f t="shared" si="2"/>
        <v>45808</v>
      </c>
      <c r="V12" s="185">
        <f t="shared" si="2"/>
        <v>45838</v>
      </c>
      <c r="W12" s="185">
        <f t="shared" si="2"/>
        <v>45869</v>
      </c>
      <c r="X12" s="185">
        <f t="shared" si="2"/>
        <v>45900</v>
      </c>
      <c r="Y12" s="185">
        <f t="shared" si="2"/>
        <v>45930</v>
      </c>
      <c r="Z12" s="185">
        <f t="shared" si="2"/>
        <v>45961</v>
      </c>
      <c r="AA12" s="185">
        <f t="shared" si="2"/>
        <v>45991</v>
      </c>
      <c r="AB12" s="185">
        <f t="shared" si="2"/>
        <v>46022</v>
      </c>
      <c r="AC12" s="185">
        <f t="shared" si="2"/>
        <v>46053</v>
      </c>
      <c r="AD12" s="185">
        <f t="shared" si="2"/>
        <v>46081</v>
      </c>
      <c r="AE12" s="185">
        <f t="shared" si="2"/>
        <v>46112</v>
      </c>
      <c r="AF12" s="185">
        <f t="shared" si="2"/>
        <v>46142</v>
      </c>
      <c r="AG12" s="185">
        <f t="shared" si="2"/>
        <v>46173</v>
      </c>
      <c r="AH12" s="185">
        <f t="shared" si="2"/>
        <v>46203</v>
      </c>
      <c r="AI12" s="185">
        <f t="shared" si="2"/>
        <v>46234</v>
      </c>
      <c r="AJ12" s="185">
        <f t="shared" si="2"/>
        <v>46265</v>
      </c>
      <c r="AK12" s="185">
        <f t="shared" si="2"/>
        <v>46295</v>
      </c>
      <c r="AL12" s="185">
        <f t="shared" si="2"/>
        <v>46326</v>
      </c>
      <c r="AM12" s="185">
        <f t="shared" si="2"/>
        <v>46356</v>
      </c>
      <c r="AN12" s="185">
        <f t="shared" si="2"/>
        <v>46387</v>
      </c>
      <c r="AO12" s="185">
        <f t="shared" si="2"/>
        <v>46418</v>
      </c>
      <c r="AP12" s="185">
        <f t="shared" si="2"/>
        <v>46446</v>
      </c>
      <c r="AQ12" s="185">
        <f t="shared" si="2"/>
        <v>46477</v>
      </c>
      <c r="AR12" s="185">
        <f t="shared" si="2"/>
        <v>46507</v>
      </c>
      <c r="AS12" s="185">
        <f t="shared" si="2"/>
        <v>46538</v>
      </c>
      <c r="AT12" s="185">
        <f t="shared" si="2"/>
        <v>46568</v>
      </c>
      <c r="AU12" s="185">
        <f t="shared" si="2"/>
        <v>46599</v>
      </c>
      <c r="AV12" s="185">
        <f t="shared" si="2"/>
        <v>46630</v>
      </c>
      <c r="AW12" s="185">
        <f t="shared" si="2"/>
        <v>46660</v>
      </c>
      <c r="AX12" s="185">
        <f t="shared" si="2"/>
        <v>46691</v>
      </c>
      <c r="AY12" s="185">
        <f t="shared" si="2"/>
        <v>46721</v>
      </c>
      <c r="AZ12" s="185">
        <f t="shared" si="2"/>
        <v>46752</v>
      </c>
      <c r="BA12" s="185">
        <f t="shared" si="2"/>
        <v>46783</v>
      </c>
      <c r="BB12" s="185">
        <f t="shared" si="2"/>
        <v>46812</v>
      </c>
      <c r="BC12" s="185">
        <f t="shared" si="2"/>
        <v>46843</v>
      </c>
      <c r="BD12" s="185">
        <f t="shared" si="2"/>
        <v>46873</v>
      </c>
      <c r="BE12" s="185">
        <f t="shared" si="2"/>
        <v>46904</v>
      </c>
      <c r="BF12" s="185">
        <f t="shared" si="2"/>
        <v>46934</v>
      </c>
      <c r="BG12" s="185">
        <f t="shared" si="2"/>
        <v>46965</v>
      </c>
      <c r="BH12" s="185">
        <f t="shared" si="2"/>
        <v>46996</v>
      </c>
      <c r="BI12" s="185">
        <f t="shared" si="2"/>
        <v>47026</v>
      </c>
      <c r="BJ12" s="185">
        <f t="shared" si="2"/>
        <v>47057</v>
      </c>
      <c r="BK12" s="185">
        <f t="shared" si="2"/>
        <v>47087</v>
      </c>
      <c r="BL12" s="185">
        <f t="shared" si="2"/>
        <v>47118</v>
      </c>
      <c r="BM12" s="185"/>
      <c r="BN12" s="185"/>
      <c r="BO12" s="185"/>
      <c r="BP12" s="185"/>
      <c r="BQ12" s="185"/>
      <c r="BR12" s="185"/>
      <c r="BS12" s="185"/>
    </row>
    <row r="13" spans="2:71" x14ac:dyDescent="0.3">
      <c r="C13" s="130" t="s">
        <v>230</v>
      </c>
      <c r="D13" s="45">
        <f>'Assumption Sheet'!$E12</f>
        <v>243028.41058999998</v>
      </c>
      <c r="E13" s="45">
        <f>'Assumption Sheet'!C28</f>
        <v>255179.83111949998</v>
      </c>
      <c r="F13" s="52">
        <f>D4+E4</f>
        <v>1793.6</v>
      </c>
      <c r="G13" s="77">
        <f>'Assumption Sheet'!D28</f>
        <v>45474</v>
      </c>
      <c r="H13" s="77">
        <f>'Assumption Sheet'!G28</f>
        <v>45838</v>
      </c>
      <c r="I13" s="45">
        <f>'Assumption Sheet'!$F$28</f>
        <v>12</v>
      </c>
      <c r="J13" s="157">
        <f>SUM(K13:BL13)</f>
        <v>1</v>
      </c>
      <c r="K13" s="157">
        <f>IF(AND(K$12&gt;=$G13,K$12&lt;=$H13),1/$I13,0)</f>
        <v>8.3333333333333329E-2</v>
      </c>
      <c r="L13" s="157">
        <f t="shared" ref="L13:BL17" si="3">IF(AND(L$12&gt;=$G13,L$12&lt;=$H13),1/$I13,0)</f>
        <v>8.3333333333333329E-2</v>
      </c>
      <c r="M13" s="157">
        <f t="shared" si="3"/>
        <v>8.3333333333333329E-2</v>
      </c>
      <c r="N13" s="157">
        <f t="shared" si="3"/>
        <v>8.3333333333333329E-2</v>
      </c>
      <c r="O13" s="157">
        <f t="shared" si="3"/>
        <v>8.3333333333333329E-2</v>
      </c>
      <c r="P13" s="157">
        <f t="shared" si="3"/>
        <v>8.3333333333333329E-2</v>
      </c>
      <c r="Q13" s="157">
        <f t="shared" si="3"/>
        <v>8.3333333333333329E-2</v>
      </c>
      <c r="R13" s="157">
        <f t="shared" si="3"/>
        <v>8.3333333333333329E-2</v>
      </c>
      <c r="S13" s="157">
        <f t="shared" si="3"/>
        <v>8.3333333333333329E-2</v>
      </c>
      <c r="T13" s="157">
        <f t="shared" si="3"/>
        <v>8.3333333333333329E-2</v>
      </c>
      <c r="U13" s="157">
        <f t="shared" si="3"/>
        <v>8.3333333333333329E-2</v>
      </c>
      <c r="V13" s="157">
        <f t="shared" si="3"/>
        <v>8.3333333333333329E-2</v>
      </c>
      <c r="W13" s="186">
        <f t="shared" si="3"/>
        <v>0</v>
      </c>
      <c r="X13" s="186">
        <f t="shared" si="3"/>
        <v>0</v>
      </c>
      <c r="Y13" s="186">
        <f t="shared" si="3"/>
        <v>0</v>
      </c>
      <c r="Z13" s="186">
        <f t="shared" si="3"/>
        <v>0</v>
      </c>
      <c r="AA13" s="186">
        <f t="shared" si="3"/>
        <v>0</v>
      </c>
      <c r="AB13" s="186">
        <f t="shared" si="3"/>
        <v>0</v>
      </c>
      <c r="AC13" s="186">
        <f t="shared" si="3"/>
        <v>0</v>
      </c>
      <c r="AD13" s="186">
        <f t="shared" si="3"/>
        <v>0</v>
      </c>
      <c r="AE13" s="186">
        <f t="shared" si="3"/>
        <v>0</v>
      </c>
      <c r="AF13" s="186">
        <f t="shared" si="3"/>
        <v>0</v>
      </c>
      <c r="AG13" s="186">
        <f t="shared" si="3"/>
        <v>0</v>
      </c>
      <c r="AH13" s="186">
        <f t="shared" si="3"/>
        <v>0</v>
      </c>
      <c r="AI13" s="186">
        <f t="shared" si="3"/>
        <v>0</v>
      </c>
      <c r="AJ13" s="186">
        <f t="shared" si="3"/>
        <v>0</v>
      </c>
      <c r="AK13" s="186">
        <f t="shared" si="3"/>
        <v>0</v>
      </c>
      <c r="AL13" s="186">
        <f t="shared" si="3"/>
        <v>0</v>
      </c>
      <c r="AM13" s="186">
        <f t="shared" si="3"/>
        <v>0</v>
      </c>
      <c r="AN13" s="186">
        <f t="shared" si="3"/>
        <v>0</v>
      </c>
      <c r="AO13" s="186">
        <f t="shared" si="3"/>
        <v>0</v>
      </c>
      <c r="AP13" s="186">
        <f t="shared" si="3"/>
        <v>0</v>
      </c>
      <c r="AQ13" s="186">
        <f t="shared" si="3"/>
        <v>0</v>
      </c>
      <c r="AR13" s="186">
        <f t="shared" si="3"/>
        <v>0</v>
      </c>
      <c r="AS13" s="186">
        <f t="shared" si="3"/>
        <v>0</v>
      </c>
      <c r="AT13" s="186">
        <f t="shared" si="3"/>
        <v>0</v>
      </c>
      <c r="AU13" s="186">
        <f t="shared" si="3"/>
        <v>0</v>
      </c>
      <c r="AV13" s="186">
        <f t="shared" si="3"/>
        <v>0</v>
      </c>
      <c r="AW13" s="186">
        <f t="shared" si="3"/>
        <v>0</v>
      </c>
      <c r="AX13" s="186">
        <f t="shared" si="3"/>
        <v>0</v>
      </c>
      <c r="AY13" s="186">
        <f t="shared" si="3"/>
        <v>0</v>
      </c>
      <c r="AZ13" s="186">
        <f t="shared" si="3"/>
        <v>0</v>
      </c>
      <c r="BA13" s="186">
        <f t="shared" si="3"/>
        <v>0</v>
      </c>
      <c r="BB13" s="186">
        <f t="shared" si="3"/>
        <v>0</v>
      </c>
      <c r="BC13" s="186">
        <f t="shared" si="3"/>
        <v>0</v>
      </c>
      <c r="BD13" s="186">
        <f t="shared" si="3"/>
        <v>0</v>
      </c>
      <c r="BE13" s="186">
        <f t="shared" si="3"/>
        <v>0</v>
      </c>
      <c r="BF13" s="186">
        <f t="shared" si="3"/>
        <v>0</v>
      </c>
      <c r="BG13" s="186">
        <f t="shared" si="3"/>
        <v>0</v>
      </c>
      <c r="BH13" s="186">
        <f t="shared" si="3"/>
        <v>0</v>
      </c>
      <c r="BI13" s="186">
        <f t="shared" si="3"/>
        <v>0</v>
      </c>
      <c r="BJ13" s="186">
        <f t="shared" si="3"/>
        <v>0</v>
      </c>
      <c r="BK13" s="186">
        <f t="shared" si="3"/>
        <v>0</v>
      </c>
      <c r="BL13" s="186">
        <f t="shared" si="3"/>
        <v>0</v>
      </c>
    </row>
    <row r="14" spans="2:71" x14ac:dyDescent="0.3">
      <c r="C14" s="130" t="s">
        <v>231</v>
      </c>
      <c r="D14" s="45">
        <f>'Assumption Sheet'!$E13</f>
        <v>470733.22550099995</v>
      </c>
      <c r="E14" s="45">
        <f>'Assumption Sheet'!C29</f>
        <v>494269.88677604997</v>
      </c>
      <c r="F14" s="52">
        <f t="shared" ref="F14:F17" si="4">D5+E5</f>
        <v>1793.6</v>
      </c>
      <c r="G14" s="77">
        <f>'Assumption Sheet'!D29</f>
        <v>45839</v>
      </c>
      <c r="H14" s="77">
        <f>'Assumption Sheet'!G29</f>
        <v>46203</v>
      </c>
      <c r="I14" s="45">
        <f>'Assumption Sheet'!$F$29</f>
        <v>12</v>
      </c>
      <c r="J14" s="157">
        <f t="shared" ref="J14:J17" si="5">SUM(K14:BL14)</f>
        <v>1</v>
      </c>
      <c r="K14" s="186">
        <f t="shared" ref="K14:Z17" si="6">IF(AND(K$12&gt;=$G14,K$12&lt;=$H14),1/$I14,0)</f>
        <v>0</v>
      </c>
      <c r="L14" s="186">
        <f t="shared" si="6"/>
        <v>0</v>
      </c>
      <c r="M14" s="186">
        <f t="shared" si="6"/>
        <v>0</v>
      </c>
      <c r="N14" s="186">
        <f t="shared" si="6"/>
        <v>0</v>
      </c>
      <c r="O14" s="186">
        <f t="shared" si="6"/>
        <v>0</v>
      </c>
      <c r="P14" s="186">
        <f t="shared" si="6"/>
        <v>0</v>
      </c>
      <c r="Q14" s="186">
        <f t="shared" si="6"/>
        <v>0</v>
      </c>
      <c r="R14" s="186">
        <f t="shared" si="6"/>
        <v>0</v>
      </c>
      <c r="S14" s="186">
        <f t="shared" si="6"/>
        <v>0</v>
      </c>
      <c r="T14" s="186">
        <f t="shared" si="6"/>
        <v>0</v>
      </c>
      <c r="U14" s="186">
        <f t="shared" si="6"/>
        <v>0</v>
      </c>
      <c r="V14" s="186">
        <f t="shared" si="6"/>
        <v>0</v>
      </c>
      <c r="W14" s="157">
        <f t="shared" si="6"/>
        <v>8.3333333333333329E-2</v>
      </c>
      <c r="X14" s="157">
        <f t="shared" si="6"/>
        <v>8.3333333333333329E-2</v>
      </c>
      <c r="Y14" s="157">
        <f t="shared" si="6"/>
        <v>8.3333333333333329E-2</v>
      </c>
      <c r="Z14" s="157">
        <f t="shared" si="6"/>
        <v>8.3333333333333329E-2</v>
      </c>
      <c r="AA14" s="157">
        <f t="shared" si="3"/>
        <v>8.3333333333333329E-2</v>
      </c>
      <c r="AB14" s="157">
        <f t="shared" si="3"/>
        <v>8.3333333333333329E-2</v>
      </c>
      <c r="AC14" s="157">
        <f t="shared" si="3"/>
        <v>8.3333333333333329E-2</v>
      </c>
      <c r="AD14" s="157">
        <f t="shared" si="3"/>
        <v>8.3333333333333329E-2</v>
      </c>
      <c r="AE14" s="157">
        <f t="shared" si="3"/>
        <v>8.3333333333333329E-2</v>
      </c>
      <c r="AF14" s="157">
        <f t="shared" si="3"/>
        <v>8.3333333333333329E-2</v>
      </c>
      <c r="AG14" s="157">
        <f t="shared" si="3"/>
        <v>8.3333333333333329E-2</v>
      </c>
      <c r="AH14" s="157">
        <f t="shared" si="3"/>
        <v>8.3333333333333329E-2</v>
      </c>
      <c r="AI14" s="186">
        <f t="shared" si="3"/>
        <v>0</v>
      </c>
      <c r="AJ14" s="186">
        <f t="shared" si="3"/>
        <v>0</v>
      </c>
      <c r="AK14" s="186">
        <f t="shared" si="3"/>
        <v>0</v>
      </c>
      <c r="AL14" s="186">
        <f t="shared" si="3"/>
        <v>0</v>
      </c>
      <c r="AM14" s="186">
        <f t="shared" si="3"/>
        <v>0</v>
      </c>
      <c r="AN14" s="186">
        <f t="shared" si="3"/>
        <v>0</v>
      </c>
      <c r="AO14" s="186">
        <f t="shared" si="3"/>
        <v>0</v>
      </c>
      <c r="AP14" s="186">
        <f t="shared" si="3"/>
        <v>0</v>
      </c>
      <c r="AQ14" s="186">
        <f t="shared" si="3"/>
        <v>0</v>
      </c>
      <c r="AR14" s="186">
        <f t="shared" si="3"/>
        <v>0</v>
      </c>
      <c r="AS14" s="186">
        <f t="shared" si="3"/>
        <v>0</v>
      </c>
      <c r="AT14" s="186">
        <f t="shared" si="3"/>
        <v>0</v>
      </c>
      <c r="AU14" s="186">
        <f t="shared" si="3"/>
        <v>0</v>
      </c>
      <c r="AV14" s="186">
        <f t="shared" si="3"/>
        <v>0</v>
      </c>
      <c r="AW14" s="186">
        <f t="shared" si="3"/>
        <v>0</v>
      </c>
      <c r="AX14" s="186">
        <f t="shared" si="3"/>
        <v>0</v>
      </c>
      <c r="AY14" s="186">
        <f t="shared" si="3"/>
        <v>0</v>
      </c>
      <c r="AZ14" s="186">
        <f t="shared" si="3"/>
        <v>0</v>
      </c>
      <c r="BA14" s="186">
        <f t="shared" si="3"/>
        <v>0</v>
      </c>
      <c r="BB14" s="186">
        <f t="shared" si="3"/>
        <v>0</v>
      </c>
      <c r="BC14" s="186">
        <f t="shared" si="3"/>
        <v>0</v>
      </c>
      <c r="BD14" s="186">
        <f t="shared" si="3"/>
        <v>0</v>
      </c>
      <c r="BE14" s="186">
        <f t="shared" si="3"/>
        <v>0</v>
      </c>
      <c r="BF14" s="186">
        <f t="shared" si="3"/>
        <v>0</v>
      </c>
      <c r="BG14" s="186">
        <f t="shared" si="3"/>
        <v>0</v>
      </c>
      <c r="BH14" s="186">
        <f t="shared" si="3"/>
        <v>0</v>
      </c>
      <c r="BI14" s="186">
        <f t="shared" si="3"/>
        <v>0</v>
      </c>
      <c r="BJ14" s="186">
        <f t="shared" si="3"/>
        <v>0</v>
      </c>
      <c r="BK14" s="186">
        <f t="shared" si="3"/>
        <v>0</v>
      </c>
      <c r="BL14" s="186">
        <f t="shared" si="3"/>
        <v>0</v>
      </c>
    </row>
    <row r="15" spans="2:71" x14ac:dyDescent="0.3">
      <c r="C15" s="130" t="s">
        <v>232</v>
      </c>
      <c r="D15" s="45">
        <f>'Assumption Sheet'!$E14</f>
        <v>196225.03588799998</v>
      </c>
      <c r="E15" s="45">
        <f>'Assumption Sheet'!C30</f>
        <v>206036.2876824</v>
      </c>
      <c r="F15" s="52">
        <f t="shared" si="4"/>
        <v>1793.6</v>
      </c>
      <c r="G15" s="77">
        <f>'Assumption Sheet'!D30</f>
        <v>46113</v>
      </c>
      <c r="H15" s="77">
        <f>'Assumption Sheet'!G30</f>
        <v>46477</v>
      </c>
      <c r="I15" s="45">
        <f>'Assumption Sheet'!$F$30</f>
        <v>12</v>
      </c>
      <c r="J15" s="157">
        <f t="shared" si="5"/>
        <v>1</v>
      </c>
      <c r="K15" s="186">
        <f t="shared" si="6"/>
        <v>0</v>
      </c>
      <c r="L15" s="186">
        <f t="shared" si="3"/>
        <v>0</v>
      </c>
      <c r="M15" s="186">
        <f t="shared" si="3"/>
        <v>0</v>
      </c>
      <c r="N15" s="186">
        <f t="shared" si="3"/>
        <v>0</v>
      </c>
      <c r="O15" s="186">
        <f t="shared" si="3"/>
        <v>0</v>
      </c>
      <c r="P15" s="186">
        <f t="shared" si="3"/>
        <v>0</v>
      </c>
      <c r="Q15" s="186">
        <f t="shared" si="3"/>
        <v>0</v>
      </c>
      <c r="R15" s="186">
        <f t="shared" si="3"/>
        <v>0</v>
      </c>
      <c r="S15" s="186">
        <f t="shared" si="3"/>
        <v>0</v>
      </c>
      <c r="T15" s="186">
        <f t="shared" si="3"/>
        <v>0</v>
      </c>
      <c r="U15" s="186">
        <f t="shared" si="3"/>
        <v>0</v>
      </c>
      <c r="V15" s="186">
        <f t="shared" si="3"/>
        <v>0</v>
      </c>
      <c r="W15" s="186">
        <f t="shared" si="3"/>
        <v>0</v>
      </c>
      <c r="X15" s="186">
        <f t="shared" si="3"/>
        <v>0</v>
      </c>
      <c r="Y15" s="186">
        <f t="shared" si="3"/>
        <v>0</v>
      </c>
      <c r="Z15" s="186">
        <f t="shared" si="3"/>
        <v>0</v>
      </c>
      <c r="AA15" s="186">
        <f t="shared" si="3"/>
        <v>0</v>
      </c>
      <c r="AB15" s="186">
        <f t="shared" si="3"/>
        <v>0</v>
      </c>
      <c r="AC15" s="186">
        <f t="shared" si="3"/>
        <v>0</v>
      </c>
      <c r="AD15" s="186">
        <f t="shared" si="3"/>
        <v>0</v>
      </c>
      <c r="AE15" s="186">
        <f t="shared" si="3"/>
        <v>0</v>
      </c>
      <c r="AF15" s="157">
        <f t="shared" si="3"/>
        <v>8.3333333333333329E-2</v>
      </c>
      <c r="AG15" s="157">
        <f t="shared" si="3"/>
        <v>8.3333333333333329E-2</v>
      </c>
      <c r="AH15" s="157">
        <f t="shared" si="3"/>
        <v>8.3333333333333329E-2</v>
      </c>
      <c r="AI15" s="157">
        <f t="shared" si="3"/>
        <v>8.3333333333333329E-2</v>
      </c>
      <c r="AJ15" s="157">
        <f t="shared" si="3"/>
        <v>8.3333333333333329E-2</v>
      </c>
      <c r="AK15" s="157">
        <f t="shared" si="3"/>
        <v>8.3333333333333329E-2</v>
      </c>
      <c r="AL15" s="157">
        <f t="shared" si="3"/>
        <v>8.3333333333333329E-2</v>
      </c>
      <c r="AM15" s="157">
        <f t="shared" si="3"/>
        <v>8.3333333333333329E-2</v>
      </c>
      <c r="AN15" s="157">
        <f t="shared" si="3"/>
        <v>8.3333333333333329E-2</v>
      </c>
      <c r="AO15" s="157">
        <f t="shared" si="3"/>
        <v>8.3333333333333329E-2</v>
      </c>
      <c r="AP15" s="157">
        <f t="shared" si="3"/>
        <v>8.3333333333333329E-2</v>
      </c>
      <c r="AQ15" s="157">
        <f t="shared" si="3"/>
        <v>8.3333333333333329E-2</v>
      </c>
      <c r="AR15" s="186">
        <f t="shared" si="3"/>
        <v>0</v>
      </c>
      <c r="AS15" s="186">
        <f t="shared" si="3"/>
        <v>0</v>
      </c>
      <c r="AT15" s="186">
        <f t="shared" si="3"/>
        <v>0</v>
      </c>
      <c r="AU15" s="186">
        <f t="shared" si="3"/>
        <v>0</v>
      </c>
      <c r="AV15" s="186">
        <f t="shared" si="3"/>
        <v>0</v>
      </c>
      <c r="AW15" s="186">
        <f t="shared" si="3"/>
        <v>0</v>
      </c>
      <c r="AX15" s="186">
        <f t="shared" si="3"/>
        <v>0</v>
      </c>
      <c r="AY15" s="186">
        <f t="shared" si="3"/>
        <v>0</v>
      </c>
      <c r="AZ15" s="186">
        <f t="shared" si="3"/>
        <v>0</v>
      </c>
      <c r="BA15" s="186">
        <f t="shared" si="3"/>
        <v>0</v>
      </c>
      <c r="BB15" s="186">
        <f t="shared" si="3"/>
        <v>0</v>
      </c>
      <c r="BC15" s="186">
        <f t="shared" si="3"/>
        <v>0</v>
      </c>
      <c r="BD15" s="186">
        <f t="shared" si="3"/>
        <v>0</v>
      </c>
      <c r="BE15" s="186">
        <f t="shared" si="3"/>
        <v>0</v>
      </c>
      <c r="BF15" s="186">
        <f t="shared" si="3"/>
        <v>0</v>
      </c>
      <c r="BG15" s="186">
        <f t="shared" si="3"/>
        <v>0</v>
      </c>
      <c r="BH15" s="186">
        <f t="shared" si="3"/>
        <v>0</v>
      </c>
      <c r="BI15" s="186">
        <f t="shared" si="3"/>
        <v>0</v>
      </c>
      <c r="BJ15" s="186">
        <f t="shared" si="3"/>
        <v>0</v>
      </c>
      <c r="BK15" s="186">
        <f t="shared" si="3"/>
        <v>0</v>
      </c>
      <c r="BL15" s="186">
        <f t="shared" si="3"/>
        <v>0</v>
      </c>
    </row>
    <row r="16" spans="2:71" x14ac:dyDescent="0.3">
      <c r="C16" s="130" t="s">
        <v>234</v>
      </c>
      <c r="D16" s="45">
        <f>'Assumption Sheet'!$E15</f>
        <v>420964.181071</v>
      </c>
      <c r="E16" s="45">
        <f>'Assumption Sheet'!C31</f>
        <v>442012.39012455003</v>
      </c>
      <c r="F16" s="52">
        <f t="shared" si="4"/>
        <v>1793.6</v>
      </c>
      <c r="G16" s="77">
        <f>'Assumption Sheet'!D31</f>
        <v>46388</v>
      </c>
      <c r="H16" s="77">
        <f>'Assumption Sheet'!G31</f>
        <v>46752</v>
      </c>
      <c r="I16" s="45">
        <f>'Assumption Sheet'!$F$31</f>
        <v>12</v>
      </c>
      <c r="J16" s="157">
        <f t="shared" si="5"/>
        <v>1</v>
      </c>
      <c r="K16" s="186">
        <f t="shared" si="6"/>
        <v>0</v>
      </c>
      <c r="L16" s="186">
        <f t="shared" si="3"/>
        <v>0</v>
      </c>
      <c r="M16" s="186">
        <f t="shared" si="3"/>
        <v>0</v>
      </c>
      <c r="N16" s="186">
        <f t="shared" si="3"/>
        <v>0</v>
      </c>
      <c r="O16" s="186">
        <f t="shared" si="3"/>
        <v>0</v>
      </c>
      <c r="P16" s="186">
        <f t="shared" si="3"/>
        <v>0</v>
      </c>
      <c r="Q16" s="186">
        <f t="shared" si="3"/>
        <v>0</v>
      </c>
      <c r="R16" s="186">
        <f t="shared" si="3"/>
        <v>0</v>
      </c>
      <c r="S16" s="186">
        <f t="shared" si="3"/>
        <v>0</v>
      </c>
      <c r="T16" s="186">
        <f t="shared" si="3"/>
        <v>0</v>
      </c>
      <c r="U16" s="186">
        <f t="shared" si="3"/>
        <v>0</v>
      </c>
      <c r="V16" s="186">
        <f t="shared" si="3"/>
        <v>0</v>
      </c>
      <c r="W16" s="186">
        <f t="shared" si="3"/>
        <v>0</v>
      </c>
      <c r="X16" s="186">
        <f t="shared" si="3"/>
        <v>0</v>
      </c>
      <c r="Y16" s="186">
        <f t="shared" si="3"/>
        <v>0</v>
      </c>
      <c r="Z16" s="186">
        <f t="shared" si="3"/>
        <v>0</v>
      </c>
      <c r="AA16" s="186">
        <f t="shared" si="3"/>
        <v>0</v>
      </c>
      <c r="AB16" s="186">
        <f t="shared" si="3"/>
        <v>0</v>
      </c>
      <c r="AC16" s="186">
        <f t="shared" si="3"/>
        <v>0</v>
      </c>
      <c r="AD16" s="186">
        <f t="shared" si="3"/>
        <v>0</v>
      </c>
      <c r="AE16" s="186">
        <f t="shared" si="3"/>
        <v>0</v>
      </c>
      <c r="AF16" s="186">
        <f t="shared" si="3"/>
        <v>0</v>
      </c>
      <c r="AG16" s="186">
        <f t="shared" si="3"/>
        <v>0</v>
      </c>
      <c r="AH16" s="186">
        <f t="shared" si="3"/>
        <v>0</v>
      </c>
      <c r="AI16" s="186">
        <f t="shared" si="3"/>
        <v>0</v>
      </c>
      <c r="AJ16" s="186">
        <f t="shared" si="3"/>
        <v>0</v>
      </c>
      <c r="AK16" s="186">
        <f t="shared" si="3"/>
        <v>0</v>
      </c>
      <c r="AL16" s="186">
        <f t="shared" si="3"/>
        <v>0</v>
      </c>
      <c r="AM16" s="186">
        <f t="shared" si="3"/>
        <v>0</v>
      </c>
      <c r="AN16" s="186">
        <f t="shared" si="3"/>
        <v>0</v>
      </c>
      <c r="AO16" s="157">
        <f t="shared" si="3"/>
        <v>8.3333333333333329E-2</v>
      </c>
      <c r="AP16" s="157">
        <f t="shared" si="3"/>
        <v>8.3333333333333329E-2</v>
      </c>
      <c r="AQ16" s="157">
        <f t="shared" si="3"/>
        <v>8.3333333333333329E-2</v>
      </c>
      <c r="AR16" s="157">
        <f t="shared" si="3"/>
        <v>8.3333333333333329E-2</v>
      </c>
      <c r="AS16" s="157">
        <f t="shared" si="3"/>
        <v>8.3333333333333329E-2</v>
      </c>
      <c r="AT16" s="157">
        <f t="shared" si="3"/>
        <v>8.3333333333333329E-2</v>
      </c>
      <c r="AU16" s="157">
        <f t="shared" si="3"/>
        <v>8.3333333333333329E-2</v>
      </c>
      <c r="AV16" s="157">
        <f t="shared" si="3"/>
        <v>8.3333333333333329E-2</v>
      </c>
      <c r="AW16" s="157">
        <f t="shared" si="3"/>
        <v>8.3333333333333329E-2</v>
      </c>
      <c r="AX16" s="157">
        <f t="shared" si="3"/>
        <v>8.3333333333333329E-2</v>
      </c>
      <c r="AY16" s="157">
        <f t="shared" si="3"/>
        <v>8.3333333333333329E-2</v>
      </c>
      <c r="AZ16" s="157">
        <f t="shared" si="3"/>
        <v>8.3333333333333329E-2</v>
      </c>
      <c r="BA16" s="186">
        <f t="shared" si="3"/>
        <v>0</v>
      </c>
      <c r="BB16" s="186">
        <f t="shared" si="3"/>
        <v>0</v>
      </c>
      <c r="BC16" s="186">
        <f t="shared" si="3"/>
        <v>0</v>
      </c>
      <c r="BD16" s="186">
        <f t="shared" si="3"/>
        <v>0</v>
      </c>
      <c r="BE16" s="186">
        <f t="shared" si="3"/>
        <v>0</v>
      </c>
      <c r="BF16" s="186">
        <f t="shared" si="3"/>
        <v>0</v>
      </c>
      <c r="BG16" s="186">
        <f t="shared" si="3"/>
        <v>0</v>
      </c>
      <c r="BH16" s="186">
        <f t="shared" si="3"/>
        <v>0</v>
      </c>
      <c r="BI16" s="186">
        <f t="shared" si="3"/>
        <v>0</v>
      </c>
      <c r="BJ16" s="186">
        <f t="shared" si="3"/>
        <v>0</v>
      </c>
      <c r="BK16" s="186">
        <f t="shared" si="3"/>
        <v>0</v>
      </c>
      <c r="BL16" s="186">
        <f t="shared" si="3"/>
        <v>0</v>
      </c>
    </row>
    <row r="17" spans="2:64" x14ac:dyDescent="0.3">
      <c r="C17" s="130" t="s">
        <v>259</v>
      </c>
      <c r="D17" s="45">
        <f>'Assumption Sheet'!$E16</f>
        <v>87708.024565</v>
      </c>
      <c r="E17" s="45">
        <f>'Assumption Sheet'!C32</f>
        <v>92093.425793250004</v>
      </c>
      <c r="F17" s="52">
        <f t="shared" si="4"/>
        <v>1793.6</v>
      </c>
      <c r="G17" s="77">
        <f>'Assumption Sheet'!D32</f>
        <v>46661</v>
      </c>
      <c r="H17" s="77">
        <f>'Assumption Sheet'!G32</f>
        <v>47118</v>
      </c>
      <c r="I17" s="45">
        <f>'Assumption Sheet'!$F$32</f>
        <v>15</v>
      </c>
      <c r="J17" s="157">
        <f t="shared" si="5"/>
        <v>0.99999999999999989</v>
      </c>
      <c r="K17" s="186">
        <f t="shared" si="6"/>
        <v>0</v>
      </c>
      <c r="L17" s="186">
        <f t="shared" si="3"/>
        <v>0</v>
      </c>
      <c r="M17" s="186">
        <f t="shared" si="3"/>
        <v>0</v>
      </c>
      <c r="N17" s="186">
        <f t="shared" si="3"/>
        <v>0</v>
      </c>
      <c r="O17" s="186">
        <f t="shared" si="3"/>
        <v>0</v>
      </c>
      <c r="P17" s="186">
        <f t="shared" si="3"/>
        <v>0</v>
      </c>
      <c r="Q17" s="186">
        <f t="shared" si="3"/>
        <v>0</v>
      </c>
      <c r="R17" s="186">
        <f t="shared" si="3"/>
        <v>0</v>
      </c>
      <c r="S17" s="186">
        <f t="shared" si="3"/>
        <v>0</v>
      </c>
      <c r="T17" s="186">
        <f t="shared" si="3"/>
        <v>0</v>
      </c>
      <c r="U17" s="186">
        <f t="shared" si="3"/>
        <v>0</v>
      </c>
      <c r="V17" s="186">
        <f t="shared" si="3"/>
        <v>0</v>
      </c>
      <c r="W17" s="186">
        <f t="shared" si="3"/>
        <v>0</v>
      </c>
      <c r="X17" s="186">
        <f t="shared" si="3"/>
        <v>0</v>
      </c>
      <c r="Y17" s="186">
        <f t="shared" si="3"/>
        <v>0</v>
      </c>
      <c r="Z17" s="186">
        <f t="shared" si="3"/>
        <v>0</v>
      </c>
      <c r="AA17" s="186">
        <f t="shared" si="3"/>
        <v>0</v>
      </c>
      <c r="AB17" s="186">
        <f t="shared" si="3"/>
        <v>0</v>
      </c>
      <c r="AC17" s="186">
        <f t="shared" si="3"/>
        <v>0</v>
      </c>
      <c r="AD17" s="186">
        <f t="shared" si="3"/>
        <v>0</v>
      </c>
      <c r="AE17" s="186">
        <f t="shared" si="3"/>
        <v>0</v>
      </c>
      <c r="AF17" s="186">
        <f t="shared" si="3"/>
        <v>0</v>
      </c>
      <c r="AG17" s="186">
        <f t="shared" si="3"/>
        <v>0</v>
      </c>
      <c r="AH17" s="186">
        <f t="shared" si="3"/>
        <v>0</v>
      </c>
      <c r="AI17" s="186">
        <f t="shared" si="3"/>
        <v>0</v>
      </c>
      <c r="AJ17" s="186">
        <f t="shared" si="3"/>
        <v>0</v>
      </c>
      <c r="AK17" s="186">
        <f t="shared" si="3"/>
        <v>0</v>
      </c>
      <c r="AL17" s="186">
        <f t="shared" si="3"/>
        <v>0</v>
      </c>
      <c r="AM17" s="186">
        <f t="shared" si="3"/>
        <v>0</v>
      </c>
      <c r="AN17" s="186">
        <f t="shared" si="3"/>
        <v>0</v>
      </c>
      <c r="AO17" s="186">
        <f t="shared" si="3"/>
        <v>0</v>
      </c>
      <c r="AP17" s="186">
        <f t="shared" si="3"/>
        <v>0</v>
      </c>
      <c r="AQ17" s="186">
        <f t="shared" si="3"/>
        <v>0</v>
      </c>
      <c r="AR17" s="186">
        <f t="shared" si="3"/>
        <v>0</v>
      </c>
      <c r="AS17" s="186">
        <f t="shared" si="3"/>
        <v>0</v>
      </c>
      <c r="AT17" s="186">
        <f t="shared" si="3"/>
        <v>0</v>
      </c>
      <c r="AU17" s="186">
        <f t="shared" si="3"/>
        <v>0</v>
      </c>
      <c r="AV17" s="186">
        <f t="shared" si="3"/>
        <v>0</v>
      </c>
      <c r="AW17" s="186">
        <f t="shared" si="3"/>
        <v>0</v>
      </c>
      <c r="AX17" s="157">
        <f t="shared" si="3"/>
        <v>6.6666666666666666E-2</v>
      </c>
      <c r="AY17" s="157">
        <f t="shared" si="3"/>
        <v>6.6666666666666666E-2</v>
      </c>
      <c r="AZ17" s="157">
        <f t="shared" si="3"/>
        <v>6.6666666666666666E-2</v>
      </c>
      <c r="BA17" s="157">
        <f t="shared" si="3"/>
        <v>6.6666666666666666E-2</v>
      </c>
      <c r="BB17" s="157">
        <f t="shared" si="3"/>
        <v>6.6666666666666666E-2</v>
      </c>
      <c r="BC17" s="157">
        <f t="shared" si="3"/>
        <v>6.6666666666666666E-2</v>
      </c>
      <c r="BD17" s="157">
        <f t="shared" si="3"/>
        <v>6.6666666666666666E-2</v>
      </c>
      <c r="BE17" s="157">
        <f t="shared" si="3"/>
        <v>6.6666666666666666E-2</v>
      </c>
      <c r="BF17" s="157">
        <f t="shared" si="3"/>
        <v>6.6666666666666666E-2</v>
      </c>
      <c r="BG17" s="157">
        <f t="shared" si="3"/>
        <v>6.6666666666666666E-2</v>
      </c>
      <c r="BH17" s="157">
        <f t="shared" si="3"/>
        <v>6.6666666666666666E-2</v>
      </c>
      <c r="BI17" s="157">
        <f t="shared" si="3"/>
        <v>6.6666666666666666E-2</v>
      </c>
      <c r="BJ17" s="157">
        <f t="shared" si="3"/>
        <v>6.6666666666666666E-2</v>
      </c>
      <c r="BK17" s="157">
        <f t="shared" si="3"/>
        <v>6.6666666666666666E-2</v>
      </c>
      <c r="BL17" s="157">
        <f t="shared" si="3"/>
        <v>6.6666666666666666E-2</v>
      </c>
    </row>
    <row r="19" spans="2:64" ht="27.6" x14ac:dyDescent="0.3">
      <c r="C19" s="184" t="s">
        <v>208</v>
      </c>
      <c r="D19" s="184" t="s">
        <v>371</v>
      </c>
      <c r="E19" s="24" t="s">
        <v>372</v>
      </c>
      <c r="F19" s="184" t="s">
        <v>384</v>
      </c>
      <c r="G19" s="184" t="s">
        <v>373</v>
      </c>
      <c r="H19" s="184" t="s">
        <v>374</v>
      </c>
      <c r="I19" s="184" t="s">
        <v>375</v>
      </c>
      <c r="J19" s="187" t="s">
        <v>504</v>
      </c>
      <c r="K19" s="185">
        <f>EOMONTH(MIN(G13:G17),0)</f>
        <v>45504</v>
      </c>
      <c r="L19" s="185">
        <f>EOMONTH(K19,1)</f>
        <v>45535</v>
      </c>
      <c r="M19" s="185">
        <f t="shared" ref="M19:BL19" si="7">EOMONTH(L19,1)</f>
        <v>45565</v>
      </c>
      <c r="N19" s="185">
        <f t="shared" si="7"/>
        <v>45596</v>
      </c>
      <c r="O19" s="185">
        <f t="shared" si="7"/>
        <v>45626</v>
      </c>
      <c r="P19" s="185">
        <f t="shared" si="7"/>
        <v>45657</v>
      </c>
      <c r="Q19" s="185">
        <f t="shared" si="7"/>
        <v>45688</v>
      </c>
      <c r="R19" s="185">
        <f t="shared" si="7"/>
        <v>45716</v>
      </c>
      <c r="S19" s="185">
        <f t="shared" si="7"/>
        <v>45747</v>
      </c>
      <c r="T19" s="185">
        <f t="shared" si="7"/>
        <v>45777</v>
      </c>
      <c r="U19" s="185">
        <f t="shared" si="7"/>
        <v>45808</v>
      </c>
      <c r="V19" s="185">
        <f t="shared" si="7"/>
        <v>45838</v>
      </c>
      <c r="W19" s="185">
        <f t="shared" si="7"/>
        <v>45869</v>
      </c>
      <c r="X19" s="185">
        <f t="shared" si="7"/>
        <v>45900</v>
      </c>
      <c r="Y19" s="185">
        <f t="shared" si="7"/>
        <v>45930</v>
      </c>
      <c r="Z19" s="185">
        <f t="shared" si="7"/>
        <v>45961</v>
      </c>
      <c r="AA19" s="185">
        <f t="shared" si="7"/>
        <v>45991</v>
      </c>
      <c r="AB19" s="185">
        <f t="shared" si="7"/>
        <v>46022</v>
      </c>
      <c r="AC19" s="185">
        <f t="shared" si="7"/>
        <v>46053</v>
      </c>
      <c r="AD19" s="185">
        <f t="shared" si="7"/>
        <v>46081</v>
      </c>
      <c r="AE19" s="185">
        <f t="shared" si="7"/>
        <v>46112</v>
      </c>
      <c r="AF19" s="185">
        <f t="shared" si="7"/>
        <v>46142</v>
      </c>
      <c r="AG19" s="185">
        <f t="shared" si="7"/>
        <v>46173</v>
      </c>
      <c r="AH19" s="185">
        <f t="shared" si="7"/>
        <v>46203</v>
      </c>
      <c r="AI19" s="185">
        <f t="shared" si="7"/>
        <v>46234</v>
      </c>
      <c r="AJ19" s="185">
        <f t="shared" si="7"/>
        <v>46265</v>
      </c>
      <c r="AK19" s="185">
        <f t="shared" si="7"/>
        <v>46295</v>
      </c>
      <c r="AL19" s="185">
        <f t="shared" si="7"/>
        <v>46326</v>
      </c>
      <c r="AM19" s="185">
        <f t="shared" si="7"/>
        <v>46356</v>
      </c>
      <c r="AN19" s="185">
        <f t="shared" si="7"/>
        <v>46387</v>
      </c>
      <c r="AO19" s="185">
        <f t="shared" si="7"/>
        <v>46418</v>
      </c>
      <c r="AP19" s="185">
        <f t="shared" si="7"/>
        <v>46446</v>
      </c>
      <c r="AQ19" s="185">
        <f t="shared" si="7"/>
        <v>46477</v>
      </c>
      <c r="AR19" s="185">
        <f t="shared" si="7"/>
        <v>46507</v>
      </c>
      <c r="AS19" s="185">
        <f t="shared" si="7"/>
        <v>46538</v>
      </c>
      <c r="AT19" s="185">
        <f t="shared" si="7"/>
        <v>46568</v>
      </c>
      <c r="AU19" s="185">
        <f t="shared" si="7"/>
        <v>46599</v>
      </c>
      <c r="AV19" s="185">
        <f t="shared" si="7"/>
        <v>46630</v>
      </c>
      <c r="AW19" s="185">
        <f t="shared" si="7"/>
        <v>46660</v>
      </c>
      <c r="AX19" s="185">
        <f t="shared" si="7"/>
        <v>46691</v>
      </c>
      <c r="AY19" s="185">
        <f t="shared" si="7"/>
        <v>46721</v>
      </c>
      <c r="AZ19" s="185">
        <f t="shared" si="7"/>
        <v>46752</v>
      </c>
      <c r="BA19" s="185">
        <f t="shared" si="7"/>
        <v>46783</v>
      </c>
      <c r="BB19" s="185">
        <f t="shared" si="7"/>
        <v>46812</v>
      </c>
      <c r="BC19" s="185">
        <f t="shared" si="7"/>
        <v>46843</v>
      </c>
      <c r="BD19" s="185">
        <f t="shared" si="7"/>
        <v>46873</v>
      </c>
      <c r="BE19" s="185">
        <f t="shared" si="7"/>
        <v>46904</v>
      </c>
      <c r="BF19" s="185">
        <f t="shared" si="7"/>
        <v>46934</v>
      </c>
      <c r="BG19" s="185">
        <f t="shared" si="7"/>
        <v>46965</v>
      </c>
      <c r="BH19" s="185">
        <f t="shared" si="7"/>
        <v>46996</v>
      </c>
      <c r="BI19" s="185">
        <f t="shared" si="7"/>
        <v>47026</v>
      </c>
      <c r="BJ19" s="185">
        <f t="shared" si="7"/>
        <v>47057</v>
      </c>
      <c r="BK19" s="185">
        <f t="shared" si="7"/>
        <v>47087</v>
      </c>
      <c r="BL19" s="185">
        <f t="shared" si="7"/>
        <v>47118</v>
      </c>
    </row>
    <row r="20" spans="2:64" x14ac:dyDescent="0.3">
      <c r="C20" s="130" t="s">
        <v>230</v>
      </c>
      <c r="D20" s="45">
        <f>D13</f>
        <v>243028.41058999998</v>
      </c>
      <c r="E20" s="45">
        <f>E13</f>
        <v>255179.83111949998</v>
      </c>
      <c r="F20" s="33">
        <f>F13</f>
        <v>1793.6</v>
      </c>
      <c r="G20" s="188">
        <f t="shared" ref="G20:H20" si="8">G13</f>
        <v>45474</v>
      </c>
      <c r="H20" s="188">
        <f t="shared" si="8"/>
        <v>45838</v>
      </c>
      <c r="I20" s="45">
        <f>'Assumption Sheet'!$F$28</f>
        <v>12</v>
      </c>
      <c r="J20" s="186">
        <f>SUM(K20:BL20)</f>
        <v>43.589575723422392</v>
      </c>
      <c r="K20" s="186">
        <f>K13*$F20*$D20/10^7</f>
        <v>3.6324646436185324</v>
      </c>
      <c r="L20" s="186">
        <f t="shared" ref="L20:BL20" si="9">L13*$F20*$D20/10^7</f>
        <v>3.6324646436185324</v>
      </c>
      <c r="M20" s="186">
        <f t="shared" si="9"/>
        <v>3.6324646436185324</v>
      </c>
      <c r="N20" s="186">
        <f t="shared" si="9"/>
        <v>3.6324646436185324</v>
      </c>
      <c r="O20" s="186">
        <f t="shared" si="9"/>
        <v>3.6324646436185324</v>
      </c>
      <c r="P20" s="186">
        <f t="shared" si="9"/>
        <v>3.6324646436185324</v>
      </c>
      <c r="Q20" s="186">
        <f t="shared" si="9"/>
        <v>3.6324646436185324</v>
      </c>
      <c r="R20" s="186">
        <f t="shared" si="9"/>
        <v>3.6324646436185324</v>
      </c>
      <c r="S20" s="186">
        <f t="shared" si="9"/>
        <v>3.6324646436185324</v>
      </c>
      <c r="T20" s="186">
        <f t="shared" si="9"/>
        <v>3.6324646436185324</v>
      </c>
      <c r="U20" s="186">
        <f t="shared" si="9"/>
        <v>3.6324646436185324</v>
      </c>
      <c r="V20" s="186">
        <f t="shared" si="9"/>
        <v>3.6324646436185324</v>
      </c>
      <c r="W20" s="186">
        <f t="shared" si="9"/>
        <v>0</v>
      </c>
      <c r="X20" s="186">
        <f t="shared" si="9"/>
        <v>0</v>
      </c>
      <c r="Y20" s="186">
        <f t="shared" si="9"/>
        <v>0</v>
      </c>
      <c r="Z20" s="186">
        <f t="shared" si="9"/>
        <v>0</v>
      </c>
      <c r="AA20" s="186">
        <f t="shared" si="9"/>
        <v>0</v>
      </c>
      <c r="AB20" s="186">
        <f t="shared" si="9"/>
        <v>0</v>
      </c>
      <c r="AC20" s="186">
        <f t="shared" si="9"/>
        <v>0</v>
      </c>
      <c r="AD20" s="186">
        <f t="shared" si="9"/>
        <v>0</v>
      </c>
      <c r="AE20" s="186">
        <f t="shared" si="9"/>
        <v>0</v>
      </c>
      <c r="AF20" s="186">
        <f t="shared" si="9"/>
        <v>0</v>
      </c>
      <c r="AG20" s="186">
        <f t="shared" si="9"/>
        <v>0</v>
      </c>
      <c r="AH20" s="186">
        <f t="shared" si="9"/>
        <v>0</v>
      </c>
      <c r="AI20" s="186">
        <f t="shared" si="9"/>
        <v>0</v>
      </c>
      <c r="AJ20" s="186">
        <f t="shared" si="9"/>
        <v>0</v>
      </c>
      <c r="AK20" s="186">
        <f t="shared" si="9"/>
        <v>0</v>
      </c>
      <c r="AL20" s="186">
        <f t="shared" si="9"/>
        <v>0</v>
      </c>
      <c r="AM20" s="186">
        <f t="shared" si="9"/>
        <v>0</v>
      </c>
      <c r="AN20" s="186">
        <f t="shared" si="9"/>
        <v>0</v>
      </c>
      <c r="AO20" s="186">
        <f t="shared" si="9"/>
        <v>0</v>
      </c>
      <c r="AP20" s="186">
        <f t="shared" si="9"/>
        <v>0</v>
      </c>
      <c r="AQ20" s="186">
        <f t="shared" si="9"/>
        <v>0</v>
      </c>
      <c r="AR20" s="186">
        <f t="shared" si="9"/>
        <v>0</v>
      </c>
      <c r="AS20" s="186">
        <f t="shared" si="9"/>
        <v>0</v>
      </c>
      <c r="AT20" s="186">
        <f t="shared" si="9"/>
        <v>0</v>
      </c>
      <c r="AU20" s="186">
        <f t="shared" si="9"/>
        <v>0</v>
      </c>
      <c r="AV20" s="186">
        <f t="shared" si="9"/>
        <v>0</v>
      </c>
      <c r="AW20" s="186">
        <f t="shared" si="9"/>
        <v>0</v>
      </c>
      <c r="AX20" s="186">
        <f t="shared" si="9"/>
        <v>0</v>
      </c>
      <c r="AY20" s="186">
        <f t="shared" si="9"/>
        <v>0</v>
      </c>
      <c r="AZ20" s="186">
        <f t="shared" si="9"/>
        <v>0</v>
      </c>
      <c r="BA20" s="186">
        <f t="shared" si="9"/>
        <v>0</v>
      </c>
      <c r="BB20" s="186">
        <f t="shared" si="9"/>
        <v>0</v>
      </c>
      <c r="BC20" s="186">
        <f t="shared" si="9"/>
        <v>0</v>
      </c>
      <c r="BD20" s="186">
        <f t="shared" si="9"/>
        <v>0</v>
      </c>
      <c r="BE20" s="186">
        <f t="shared" si="9"/>
        <v>0</v>
      </c>
      <c r="BF20" s="186">
        <f t="shared" si="9"/>
        <v>0</v>
      </c>
      <c r="BG20" s="186">
        <f t="shared" si="9"/>
        <v>0</v>
      </c>
      <c r="BH20" s="186">
        <f t="shared" si="9"/>
        <v>0</v>
      </c>
      <c r="BI20" s="186">
        <f t="shared" si="9"/>
        <v>0</v>
      </c>
      <c r="BJ20" s="186">
        <f t="shared" si="9"/>
        <v>0</v>
      </c>
      <c r="BK20" s="186">
        <f t="shared" si="9"/>
        <v>0</v>
      </c>
      <c r="BL20" s="186">
        <f t="shared" si="9"/>
        <v>0</v>
      </c>
    </row>
    <row r="21" spans="2:64" x14ac:dyDescent="0.3">
      <c r="C21" s="130" t="s">
        <v>231</v>
      </c>
      <c r="D21" s="45">
        <f t="shared" ref="D21:E24" si="10">D14</f>
        <v>470733.22550099995</v>
      </c>
      <c r="E21" s="45">
        <f t="shared" si="10"/>
        <v>494269.88677604997</v>
      </c>
      <c r="F21" s="33">
        <f t="shared" ref="F21:H21" si="11">F14</f>
        <v>1793.6</v>
      </c>
      <c r="G21" s="188">
        <f t="shared" si="11"/>
        <v>45839</v>
      </c>
      <c r="H21" s="188">
        <f t="shared" si="11"/>
        <v>46203</v>
      </c>
      <c r="I21" s="45">
        <f>'Assumption Sheet'!$F$29</f>
        <v>12</v>
      </c>
      <c r="J21" s="186">
        <f t="shared" ref="J21:J24" si="12">SUM(K21:BL21)</f>
        <v>84.43071132585932</v>
      </c>
      <c r="K21" s="186">
        <f t="shared" ref="K21:BL21" si="13">K14*$F21*$D21/10^7</f>
        <v>0</v>
      </c>
      <c r="L21" s="186">
        <f t="shared" si="13"/>
        <v>0</v>
      </c>
      <c r="M21" s="186">
        <f t="shared" si="13"/>
        <v>0</v>
      </c>
      <c r="N21" s="186">
        <f t="shared" si="13"/>
        <v>0</v>
      </c>
      <c r="O21" s="186">
        <f t="shared" si="13"/>
        <v>0</v>
      </c>
      <c r="P21" s="186">
        <f t="shared" si="13"/>
        <v>0</v>
      </c>
      <c r="Q21" s="186">
        <f t="shared" si="13"/>
        <v>0</v>
      </c>
      <c r="R21" s="186">
        <f t="shared" si="13"/>
        <v>0</v>
      </c>
      <c r="S21" s="186">
        <f t="shared" si="13"/>
        <v>0</v>
      </c>
      <c r="T21" s="186">
        <f t="shared" si="13"/>
        <v>0</v>
      </c>
      <c r="U21" s="186">
        <f t="shared" si="13"/>
        <v>0</v>
      </c>
      <c r="V21" s="186">
        <f t="shared" si="13"/>
        <v>0</v>
      </c>
      <c r="W21" s="186">
        <f t="shared" si="13"/>
        <v>7.0358926104882773</v>
      </c>
      <c r="X21" s="186">
        <f t="shared" si="13"/>
        <v>7.0358926104882773</v>
      </c>
      <c r="Y21" s="186">
        <f t="shared" si="13"/>
        <v>7.0358926104882773</v>
      </c>
      <c r="Z21" s="186">
        <f t="shared" si="13"/>
        <v>7.0358926104882773</v>
      </c>
      <c r="AA21" s="186">
        <f t="shared" si="13"/>
        <v>7.0358926104882773</v>
      </c>
      <c r="AB21" s="186">
        <f t="shared" si="13"/>
        <v>7.0358926104882773</v>
      </c>
      <c r="AC21" s="186">
        <f t="shared" si="13"/>
        <v>7.0358926104882773</v>
      </c>
      <c r="AD21" s="186">
        <f t="shared" si="13"/>
        <v>7.0358926104882773</v>
      </c>
      <c r="AE21" s="186">
        <f t="shared" si="13"/>
        <v>7.0358926104882773</v>
      </c>
      <c r="AF21" s="186">
        <f t="shared" si="13"/>
        <v>7.0358926104882773</v>
      </c>
      <c r="AG21" s="186">
        <f t="shared" si="13"/>
        <v>7.0358926104882773</v>
      </c>
      <c r="AH21" s="186">
        <f t="shared" si="13"/>
        <v>7.0358926104882773</v>
      </c>
      <c r="AI21" s="186">
        <f t="shared" si="13"/>
        <v>0</v>
      </c>
      <c r="AJ21" s="186">
        <f t="shared" si="13"/>
        <v>0</v>
      </c>
      <c r="AK21" s="186">
        <f t="shared" si="13"/>
        <v>0</v>
      </c>
      <c r="AL21" s="186">
        <f t="shared" si="13"/>
        <v>0</v>
      </c>
      <c r="AM21" s="186">
        <f t="shared" si="13"/>
        <v>0</v>
      </c>
      <c r="AN21" s="186">
        <f t="shared" si="13"/>
        <v>0</v>
      </c>
      <c r="AO21" s="186">
        <f t="shared" si="13"/>
        <v>0</v>
      </c>
      <c r="AP21" s="186">
        <f t="shared" si="13"/>
        <v>0</v>
      </c>
      <c r="AQ21" s="186">
        <f t="shared" si="13"/>
        <v>0</v>
      </c>
      <c r="AR21" s="186">
        <f t="shared" si="13"/>
        <v>0</v>
      </c>
      <c r="AS21" s="186">
        <f t="shared" si="13"/>
        <v>0</v>
      </c>
      <c r="AT21" s="186">
        <f t="shared" si="13"/>
        <v>0</v>
      </c>
      <c r="AU21" s="186">
        <f t="shared" si="13"/>
        <v>0</v>
      </c>
      <c r="AV21" s="186">
        <f t="shared" si="13"/>
        <v>0</v>
      </c>
      <c r="AW21" s="186">
        <f t="shared" si="13"/>
        <v>0</v>
      </c>
      <c r="AX21" s="186">
        <f t="shared" si="13"/>
        <v>0</v>
      </c>
      <c r="AY21" s="186">
        <f t="shared" si="13"/>
        <v>0</v>
      </c>
      <c r="AZ21" s="186">
        <f t="shared" si="13"/>
        <v>0</v>
      </c>
      <c r="BA21" s="186">
        <f t="shared" si="13"/>
        <v>0</v>
      </c>
      <c r="BB21" s="186">
        <f t="shared" si="13"/>
        <v>0</v>
      </c>
      <c r="BC21" s="186">
        <f t="shared" si="13"/>
        <v>0</v>
      </c>
      <c r="BD21" s="186">
        <f t="shared" si="13"/>
        <v>0</v>
      </c>
      <c r="BE21" s="186">
        <f t="shared" si="13"/>
        <v>0</v>
      </c>
      <c r="BF21" s="186">
        <f t="shared" si="13"/>
        <v>0</v>
      </c>
      <c r="BG21" s="186">
        <f t="shared" si="13"/>
        <v>0</v>
      </c>
      <c r="BH21" s="186">
        <f t="shared" si="13"/>
        <v>0</v>
      </c>
      <c r="BI21" s="186">
        <f t="shared" si="13"/>
        <v>0</v>
      </c>
      <c r="BJ21" s="186">
        <f t="shared" si="13"/>
        <v>0</v>
      </c>
      <c r="BK21" s="186">
        <f t="shared" si="13"/>
        <v>0</v>
      </c>
      <c r="BL21" s="186">
        <f t="shared" si="13"/>
        <v>0</v>
      </c>
    </row>
    <row r="22" spans="2:64" x14ac:dyDescent="0.3">
      <c r="C22" s="130" t="s">
        <v>232</v>
      </c>
      <c r="D22" s="45">
        <f t="shared" si="10"/>
        <v>196225.03588799998</v>
      </c>
      <c r="E22" s="45">
        <f t="shared" si="10"/>
        <v>206036.2876824</v>
      </c>
      <c r="F22" s="33">
        <f t="shared" ref="F22:H22" si="14">F15</f>
        <v>1793.6</v>
      </c>
      <c r="G22" s="188">
        <f t="shared" si="14"/>
        <v>46113</v>
      </c>
      <c r="H22" s="188">
        <f t="shared" si="14"/>
        <v>46477</v>
      </c>
      <c r="I22" s="45">
        <f>'Assumption Sheet'!$F$30</f>
        <v>12</v>
      </c>
      <c r="J22" s="186">
        <f t="shared" si="12"/>
        <v>35.194922436871664</v>
      </c>
      <c r="K22" s="186">
        <f t="shared" ref="K22:BL22" si="15">K15*$F22*$D22/10^7</f>
        <v>0</v>
      </c>
      <c r="L22" s="186">
        <f t="shared" si="15"/>
        <v>0</v>
      </c>
      <c r="M22" s="186">
        <f t="shared" si="15"/>
        <v>0</v>
      </c>
      <c r="N22" s="186">
        <f t="shared" si="15"/>
        <v>0</v>
      </c>
      <c r="O22" s="186">
        <f t="shared" si="15"/>
        <v>0</v>
      </c>
      <c r="P22" s="186">
        <f t="shared" si="15"/>
        <v>0</v>
      </c>
      <c r="Q22" s="186">
        <f t="shared" si="15"/>
        <v>0</v>
      </c>
      <c r="R22" s="186">
        <f t="shared" si="15"/>
        <v>0</v>
      </c>
      <c r="S22" s="186">
        <f t="shared" si="15"/>
        <v>0</v>
      </c>
      <c r="T22" s="186">
        <f t="shared" si="15"/>
        <v>0</v>
      </c>
      <c r="U22" s="186">
        <f t="shared" si="15"/>
        <v>0</v>
      </c>
      <c r="V22" s="186">
        <f t="shared" si="15"/>
        <v>0</v>
      </c>
      <c r="W22" s="186">
        <f t="shared" si="15"/>
        <v>0</v>
      </c>
      <c r="X22" s="186">
        <f t="shared" si="15"/>
        <v>0</v>
      </c>
      <c r="Y22" s="186">
        <f t="shared" si="15"/>
        <v>0</v>
      </c>
      <c r="Z22" s="186">
        <f t="shared" si="15"/>
        <v>0</v>
      </c>
      <c r="AA22" s="186">
        <f t="shared" si="15"/>
        <v>0</v>
      </c>
      <c r="AB22" s="186">
        <f t="shared" si="15"/>
        <v>0</v>
      </c>
      <c r="AC22" s="186">
        <f t="shared" si="15"/>
        <v>0</v>
      </c>
      <c r="AD22" s="186">
        <f t="shared" si="15"/>
        <v>0</v>
      </c>
      <c r="AE22" s="186">
        <f t="shared" si="15"/>
        <v>0</v>
      </c>
      <c r="AF22" s="186">
        <f t="shared" si="15"/>
        <v>2.9329102030726393</v>
      </c>
      <c r="AG22" s="186">
        <f t="shared" si="15"/>
        <v>2.9329102030726393</v>
      </c>
      <c r="AH22" s="186">
        <f t="shared" si="15"/>
        <v>2.9329102030726393</v>
      </c>
      <c r="AI22" s="186">
        <f t="shared" si="15"/>
        <v>2.9329102030726393</v>
      </c>
      <c r="AJ22" s="186">
        <f t="shared" si="15"/>
        <v>2.9329102030726393</v>
      </c>
      <c r="AK22" s="186">
        <f t="shared" si="15"/>
        <v>2.9329102030726393</v>
      </c>
      <c r="AL22" s="186">
        <f t="shared" si="15"/>
        <v>2.9329102030726393</v>
      </c>
      <c r="AM22" s="186">
        <f t="shared" si="15"/>
        <v>2.9329102030726393</v>
      </c>
      <c r="AN22" s="186">
        <f t="shared" si="15"/>
        <v>2.9329102030726393</v>
      </c>
      <c r="AO22" s="186">
        <f t="shared" si="15"/>
        <v>2.9329102030726393</v>
      </c>
      <c r="AP22" s="186">
        <f t="shared" si="15"/>
        <v>2.9329102030726393</v>
      </c>
      <c r="AQ22" s="186">
        <f t="shared" si="15"/>
        <v>2.9329102030726393</v>
      </c>
      <c r="AR22" s="186">
        <f t="shared" si="15"/>
        <v>0</v>
      </c>
      <c r="AS22" s="186">
        <f t="shared" si="15"/>
        <v>0</v>
      </c>
      <c r="AT22" s="186">
        <f t="shared" si="15"/>
        <v>0</v>
      </c>
      <c r="AU22" s="186">
        <f t="shared" si="15"/>
        <v>0</v>
      </c>
      <c r="AV22" s="186">
        <f t="shared" si="15"/>
        <v>0</v>
      </c>
      <c r="AW22" s="186">
        <f t="shared" si="15"/>
        <v>0</v>
      </c>
      <c r="AX22" s="186">
        <f t="shared" si="15"/>
        <v>0</v>
      </c>
      <c r="AY22" s="186">
        <f t="shared" si="15"/>
        <v>0</v>
      </c>
      <c r="AZ22" s="186">
        <f t="shared" si="15"/>
        <v>0</v>
      </c>
      <c r="BA22" s="186">
        <f t="shared" si="15"/>
        <v>0</v>
      </c>
      <c r="BB22" s="186">
        <f t="shared" si="15"/>
        <v>0</v>
      </c>
      <c r="BC22" s="186">
        <f t="shared" si="15"/>
        <v>0</v>
      </c>
      <c r="BD22" s="186">
        <f t="shared" si="15"/>
        <v>0</v>
      </c>
      <c r="BE22" s="186">
        <f t="shared" si="15"/>
        <v>0</v>
      </c>
      <c r="BF22" s="186">
        <f t="shared" si="15"/>
        <v>0</v>
      </c>
      <c r="BG22" s="186">
        <f t="shared" si="15"/>
        <v>0</v>
      </c>
      <c r="BH22" s="186">
        <f t="shared" si="15"/>
        <v>0</v>
      </c>
      <c r="BI22" s="186">
        <f t="shared" si="15"/>
        <v>0</v>
      </c>
      <c r="BJ22" s="186">
        <f t="shared" si="15"/>
        <v>0</v>
      </c>
      <c r="BK22" s="186">
        <f t="shared" si="15"/>
        <v>0</v>
      </c>
      <c r="BL22" s="186">
        <f t="shared" si="15"/>
        <v>0</v>
      </c>
    </row>
    <row r="23" spans="2:64" x14ac:dyDescent="0.3">
      <c r="C23" s="130" t="s">
        <v>234</v>
      </c>
      <c r="D23" s="45">
        <f t="shared" si="10"/>
        <v>420964.181071</v>
      </c>
      <c r="E23" s="45">
        <f t="shared" si="10"/>
        <v>442012.39012455003</v>
      </c>
      <c r="F23" s="33">
        <f t="shared" ref="F23:H23" si="16">F16</f>
        <v>1793.6</v>
      </c>
      <c r="G23" s="188">
        <f t="shared" si="16"/>
        <v>46388</v>
      </c>
      <c r="H23" s="188">
        <f t="shared" si="16"/>
        <v>46752</v>
      </c>
      <c r="I23" s="45">
        <f>'Assumption Sheet'!$F$31</f>
        <v>12</v>
      </c>
      <c r="J23" s="186">
        <f t="shared" si="12"/>
        <v>75.50413551689455</v>
      </c>
      <c r="K23" s="186">
        <f t="shared" ref="K23:BL23" si="17">K16*$F23*$D23/10^7</f>
        <v>0</v>
      </c>
      <c r="L23" s="186">
        <f t="shared" si="17"/>
        <v>0</v>
      </c>
      <c r="M23" s="186">
        <f t="shared" si="17"/>
        <v>0</v>
      </c>
      <c r="N23" s="186">
        <f t="shared" si="17"/>
        <v>0</v>
      </c>
      <c r="O23" s="186">
        <f t="shared" si="17"/>
        <v>0</v>
      </c>
      <c r="P23" s="186">
        <f t="shared" si="17"/>
        <v>0</v>
      </c>
      <c r="Q23" s="186">
        <f t="shared" si="17"/>
        <v>0</v>
      </c>
      <c r="R23" s="186">
        <f t="shared" si="17"/>
        <v>0</v>
      </c>
      <c r="S23" s="186">
        <f t="shared" si="17"/>
        <v>0</v>
      </c>
      <c r="T23" s="186">
        <f t="shared" si="17"/>
        <v>0</v>
      </c>
      <c r="U23" s="186">
        <f t="shared" si="17"/>
        <v>0</v>
      </c>
      <c r="V23" s="186">
        <f t="shared" si="17"/>
        <v>0</v>
      </c>
      <c r="W23" s="186">
        <f t="shared" si="17"/>
        <v>0</v>
      </c>
      <c r="X23" s="186">
        <f t="shared" si="17"/>
        <v>0</v>
      </c>
      <c r="Y23" s="186">
        <f t="shared" si="17"/>
        <v>0</v>
      </c>
      <c r="Z23" s="186">
        <f t="shared" si="17"/>
        <v>0</v>
      </c>
      <c r="AA23" s="186">
        <f t="shared" si="17"/>
        <v>0</v>
      </c>
      <c r="AB23" s="186">
        <f t="shared" si="17"/>
        <v>0</v>
      </c>
      <c r="AC23" s="186">
        <f t="shared" si="17"/>
        <v>0</v>
      </c>
      <c r="AD23" s="186">
        <f t="shared" si="17"/>
        <v>0</v>
      </c>
      <c r="AE23" s="186">
        <f t="shared" si="17"/>
        <v>0</v>
      </c>
      <c r="AF23" s="186">
        <f t="shared" si="17"/>
        <v>0</v>
      </c>
      <c r="AG23" s="186">
        <f t="shared" si="17"/>
        <v>0</v>
      </c>
      <c r="AH23" s="186">
        <f t="shared" si="17"/>
        <v>0</v>
      </c>
      <c r="AI23" s="186">
        <f t="shared" si="17"/>
        <v>0</v>
      </c>
      <c r="AJ23" s="186">
        <f t="shared" si="17"/>
        <v>0</v>
      </c>
      <c r="AK23" s="186">
        <f t="shared" si="17"/>
        <v>0</v>
      </c>
      <c r="AL23" s="186">
        <f t="shared" si="17"/>
        <v>0</v>
      </c>
      <c r="AM23" s="186">
        <f t="shared" si="17"/>
        <v>0</v>
      </c>
      <c r="AN23" s="186">
        <f t="shared" si="17"/>
        <v>0</v>
      </c>
      <c r="AO23" s="186">
        <f t="shared" si="17"/>
        <v>6.2920112930745455</v>
      </c>
      <c r="AP23" s="186">
        <f t="shared" si="17"/>
        <v>6.2920112930745455</v>
      </c>
      <c r="AQ23" s="186">
        <f t="shared" si="17"/>
        <v>6.2920112930745455</v>
      </c>
      <c r="AR23" s="186">
        <f t="shared" si="17"/>
        <v>6.2920112930745455</v>
      </c>
      <c r="AS23" s="186">
        <f t="shared" si="17"/>
        <v>6.2920112930745455</v>
      </c>
      <c r="AT23" s="186">
        <f t="shared" si="17"/>
        <v>6.2920112930745455</v>
      </c>
      <c r="AU23" s="186">
        <f t="shared" si="17"/>
        <v>6.2920112930745455</v>
      </c>
      <c r="AV23" s="186">
        <f t="shared" si="17"/>
        <v>6.2920112930745455</v>
      </c>
      <c r="AW23" s="186">
        <f t="shared" si="17"/>
        <v>6.2920112930745455</v>
      </c>
      <c r="AX23" s="186">
        <f t="shared" si="17"/>
        <v>6.2920112930745455</v>
      </c>
      <c r="AY23" s="186">
        <f t="shared" si="17"/>
        <v>6.2920112930745455</v>
      </c>
      <c r="AZ23" s="186">
        <f t="shared" si="17"/>
        <v>6.2920112930745455</v>
      </c>
      <c r="BA23" s="186">
        <f t="shared" si="17"/>
        <v>0</v>
      </c>
      <c r="BB23" s="186">
        <f t="shared" si="17"/>
        <v>0</v>
      </c>
      <c r="BC23" s="186">
        <f t="shared" si="17"/>
        <v>0</v>
      </c>
      <c r="BD23" s="186">
        <f t="shared" si="17"/>
        <v>0</v>
      </c>
      <c r="BE23" s="186">
        <f t="shared" si="17"/>
        <v>0</v>
      </c>
      <c r="BF23" s="186">
        <f t="shared" si="17"/>
        <v>0</v>
      </c>
      <c r="BG23" s="186">
        <f t="shared" si="17"/>
        <v>0</v>
      </c>
      <c r="BH23" s="186">
        <f t="shared" si="17"/>
        <v>0</v>
      </c>
      <c r="BI23" s="186">
        <f t="shared" si="17"/>
        <v>0</v>
      </c>
      <c r="BJ23" s="186">
        <f t="shared" si="17"/>
        <v>0</v>
      </c>
      <c r="BK23" s="186">
        <f t="shared" si="17"/>
        <v>0</v>
      </c>
      <c r="BL23" s="186">
        <f t="shared" si="17"/>
        <v>0</v>
      </c>
    </row>
    <row r="24" spans="2:64" x14ac:dyDescent="0.3">
      <c r="C24" s="130" t="s">
        <v>259</v>
      </c>
      <c r="D24" s="45">
        <f t="shared" si="10"/>
        <v>87708.024565</v>
      </c>
      <c r="E24" s="45">
        <f t="shared" si="10"/>
        <v>92093.425793250004</v>
      </c>
      <c r="F24" s="33">
        <f t="shared" ref="F24:H24" si="18">F17</f>
        <v>1793.6</v>
      </c>
      <c r="G24" s="188">
        <f t="shared" si="18"/>
        <v>46661</v>
      </c>
      <c r="H24" s="188">
        <f t="shared" si="18"/>
        <v>47118</v>
      </c>
      <c r="I24" s="45">
        <f>'Assumption Sheet'!$F$32</f>
        <v>15</v>
      </c>
      <c r="J24" s="186">
        <f t="shared" si="12"/>
        <v>15.7313112859784</v>
      </c>
      <c r="K24" s="186">
        <f t="shared" ref="K24:BL24" si="19">K17*$F24*$D24/10^7</f>
        <v>0</v>
      </c>
      <c r="L24" s="186">
        <f t="shared" si="19"/>
        <v>0</v>
      </c>
      <c r="M24" s="186">
        <f t="shared" si="19"/>
        <v>0</v>
      </c>
      <c r="N24" s="186">
        <f t="shared" si="19"/>
        <v>0</v>
      </c>
      <c r="O24" s="186">
        <f t="shared" si="19"/>
        <v>0</v>
      </c>
      <c r="P24" s="186">
        <f t="shared" si="19"/>
        <v>0</v>
      </c>
      <c r="Q24" s="186">
        <f t="shared" si="19"/>
        <v>0</v>
      </c>
      <c r="R24" s="186">
        <f t="shared" si="19"/>
        <v>0</v>
      </c>
      <c r="S24" s="186">
        <f t="shared" si="19"/>
        <v>0</v>
      </c>
      <c r="T24" s="186">
        <f t="shared" si="19"/>
        <v>0</v>
      </c>
      <c r="U24" s="186">
        <f t="shared" si="19"/>
        <v>0</v>
      </c>
      <c r="V24" s="186">
        <f t="shared" si="19"/>
        <v>0</v>
      </c>
      <c r="W24" s="186">
        <f t="shared" si="19"/>
        <v>0</v>
      </c>
      <c r="X24" s="186">
        <f t="shared" si="19"/>
        <v>0</v>
      </c>
      <c r="Y24" s="186">
        <f t="shared" si="19"/>
        <v>0</v>
      </c>
      <c r="Z24" s="186">
        <f t="shared" si="19"/>
        <v>0</v>
      </c>
      <c r="AA24" s="186">
        <f t="shared" si="19"/>
        <v>0</v>
      </c>
      <c r="AB24" s="186">
        <f t="shared" si="19"/>
        <v>0</v>
      </c>
      <c r="AC24" s="186">
        <f t="shared" si="19"/>
        <v>0</v>
      </c>
      <c r="AD24" s="186">
        <f t="shared" si="19"/>
        <v>0</v>
      </c>
      <c r="AE24" s="186">
        <f t="shared" si="19"/>
        <v>0</v>
      </c>
      <c r="AF24" s="186">
        <f t="shared" si="19"/>
        <v>0</v>
      </c>
      <c r="AG24" s="186">
        <f t="shared" si="19"/>
        <v>0</v>
      </c>
      <c r="AH24" s="186">
        <f t="shared" si="19"/>
        <v>0</v>
      </c>
      <c r="AI24" s="186">
        <f t="shared" si="19"/>
        <v>0</v>
      </c>
      <c r="AJ24" s="186">
        <f t="shared" si="19"/>
        <v>0</v>
      </c>
      <c r="AK24" s="186">
        <f t="shared" si="19"/>
        <v>0</v>
      </c>
      <c r="AL24" s="186">
        <f t="shared" si="19"/>
        <v>0</v>
      </c>
      <c r="AM24" s="186">
        <f t="shared" si="19"/>
        <v>0</v>
      </c>
      <c r="AN24" s="186">
        <f t="shared" si="19"/>
        <v>0</v>
      </c>
      <c r="AO24" s="186">
        <f t="shared" si="19"/>
        <v>0</v>
      </c>
      <c r="AP24" s="186">
        <f t="shared" si="19"/>
        <v>0</v>
      </c>
      <c r="AQ24" s="186">
        <f t="shared" si="19"/>
        <v>0</v>
      </c>
      <c r="AR24" s="186">
        <f t="shared" si="19"/>
        <v>0</v>
      </c>
      <c r="AS24" s="186">
        <f t="shared" si="19"/>
        <v>0</v>
      </c>
      <c r="AT24" s="186">
        <f t="shared" si="19"/>
        <v>0</v>
      </c>
      <c r="AU24" s="186">
        <f t="shared" si="19"/>
        <v>0</v>
      </c>
      <c r="AV24" s="186">
        <f t="shared" si="19"/>
        <v>0</v>
      </c>
      <c r="AW24" s="186">
        <f t="shared" si="19"/>
        <v>0</v>
      </c>
      <c r="AX24" s="186">
        <f t="shared" si="19"/>
        <v>1.0487540857318933</v>
      </c>
      <c r="AY24" s="186">
        <f t="shared" si="19"/>
        <v>1.0487540857318933</v>
      </c>
      <c r="AZ24" s="186">
        <f t="shared" si="19"/>
        <v>1.0487540857318933</v>
      </c>
      <c r="BA24" s="186">
        <f t="shared" si="19"/>
        <v>1.0487540857318933</v>
      </c>
      <c r="BB24" s="186">
        <f t="shared" si="19"/>
        <v>1.0487540857318933</v>
      </c>
      <c r="BC24" s="186">
        <f t="shared" si="19"/>
        <v>1.0487540857318933</v>
      </c>
      <c r="BD24" s="186">
        <f t="shared" si="19"/>
        <v>1.0487540857318933</v>
      </c>
      <c r="BE24" s="186">
        <f t="shared" si="19"/>
        <v>1.0487540857318933</v>
      </c>
      <c r="BF24" s="186">
        <f t="shared" si="19"/>
        <v>1.0487540857318933</v>
      </c>
      <c r="BG24" s="186">
        <f t="shared" si="19"/>
        <v>1.0487540857318933</v>
      </c>
      <c r="BH24" s="186">
        <f t="shared" si="19"/>
        <v>1.0487540857318933</v>
      </c>
      <c r="BI24" s="186">
        <f t="shared" si="19"/>
        <v>1.0487540857318933</v>
      </c>
      <c r="BJ24" s="186">
        <f t="shared" si="19"/>
        <v>1.0487540857318933</v>
      </c>
      <c r="BK24" s="186">
        <f t="shared" si="19"/>
        <v>1.0487540857318933</v>
      </c>
      <c r="BL24" s="186">
        <f t="shared" si="19"/>
        <v>1.0487540857318933</v>
      </c>
    </row>
    <row r="25" spans="2:64" x14ac:dyDescent="0.3">
      <c r="J25" s="189">
        <f>SUM(J20:J24)</f>
        <v>254.45065628902631</v>
      </c>
      <c r="K25" s="190">
        <f>SUM(K20:K24)</f>
        <v>3.6324646436185324</v>
      </c>
      <c r="L25" s="190">
        <f t="shared" ref="L25:BL25" si="20">SUM(L20:L24)</f>
        <v>3.6324646436185324</v>
      </c>
      <c r="M25" s="190">
        <f t="shared" si="20"/>
        <v>3.6324646436185324</v>
      </c>
      <c r="N25" s="190">
        <f t="shared" si="20"/>
        <v>3.6324646436185324</v>
      </c>
      <c r="O25" s="190">
        <f t="shared" si="20"/>
        <v>3.6324646436185324</v>
      </c>
      <c r="P25" s="190">
        <f t="shared" si="20"/>
        <v>3.6324646436185324</v>
      </c>
      <c r="Q25" s="190">
        <f t="shared" si="20"/>
        <v>3.6324646436185324</v>
      </c>
      <c r="R25" s="190">
        <f t="shared" si="20"/>
        <v>3.6324646436185324</v>
      </c>
      <c r="S25" s="190">
        <f t="shared" si="20"/>
        <v>3.6324646436185324</v>
      </c>
      <c r="T25" s="190">
        <f t="shared" si="20"/>
        <v>3.6324646436185324</v>
      </c>
      <c r="U25" s="190">
        <f t="shared" si="20"/>
        <v>3.6324646436185324</v>
      </c>
      <c r="V25" s="190">
        <f t="shared" si="20"/>
        <v>3.6324646436185324</v>
      </c>
      <c r="W25" s="190">
        <f t="shared" si="20"/>
        <v>7.0358926104882773</v>
      </c>
      <c r="X25" s="190">
        <f t="shared" si="20"/>
        <v>7.0358926104882773</v>
      </c>
      <c r="Y25" s="190">
        <f t="shared" si="20"/>
        <v>7.0358926104882773</v>
      </c>
      <c r="Z25" s="190">
        <f t="shared" si="20"/>
        <v>7.0358926104882773</v>
      </c>
      <c r="AA25" s="190">
        <f t="shared" si="20"/>
        <v>7.0358926104882773</v>
      </c>
      <c r="AB25" s="190">
        <f t="shared" si="20"/>
        <v>7.0358926104882773</v>
      </c>
      <c r="AC25" s="190">
        <f t="shared" si="20"/>
        <v>7.0358926104882773</v>
      </c>
      <c r="AD25" s="190">
        <f t="shared" si="20"/>
        <v>7.0358926104882773</v>
      </c>
      <c r="AE25" s="190">
        <f t="shared" si="20"/>
        <v>7.0358926104882773</v>
      </c>
      <c r="AF25" s="190">
        <f t="shared" si="20"/>
        <v>9.9688028135609166</v>
      </c>
      <c r="AG25" s="190">
        <f t="shared" si="20"/>
        <v>9.9688028135609166</v>
      </c>
      <c r="AH25" s="190">
        <f t="shared" si="20"/>
        <v>9.9688028135609166</v>
      </c>
      <c r="AI25" s="190">
        <f t="shared" si="20"/>
        <v>2.9329102030726393</v>
      </c>
      <c r="AJ25" s="190">
        <f t="shared" si="20"/>
        <v>2.9329102030726393</v>
      </c>
      <c r="AK25" s="190">
        <f t="shared" si="20"/>
        <v>2.9329102030726393</v>
      </c>
      <c r="AL25" s="190">
        <f t="shared" si="20"/>
        <v>2.9329102030726393</v>
      </c>
      <c r="AM25" s="190">
        <f t="shared" si="20"/>
        <v>2.9329102030726393</v>
      </c>
      <c r="AN25" s="190">
        <f t="shared" si="20"/>
        <v>2.9329102030726393</v>
      </c>
      <c r="AO25" s="190">
        <f t="shared" si="20"/>
        <v>9.2249214961471857</v>
      </c>
      <c r="AP25" s="190">
        <f t="shared" si="20"/>
        <v>9.2249214961471857</v>
      </c>
      <c r="AQ25" s="190">
        <f t="shared" si="20"/>
        <v>9.2249214961471857</v>
      </c>
      <c r="AR25" s="190">
        <f t="shared" si="20"/>
        <v>6.2920112930745455</v>
      </c>
      <c r="AS25" s="190">
        <f t="shared" si="20"/>
        <v>6.2920112930745455</v>
      </c>
      <c r="AT25" s="190">
        <f t="shared" si="20"/>
        <v>6.2920112930745455</v>
      </c>
      <c r="AU25" s="190">
        <f t="shared" si="20"/>
        <v>6.2920112930745455</v>
      </c>
      <c r="AV25" s="190">
        <f t="shared" si="20"/>
        <v>6.2920112930745455</v>
      </c>
      <c r="AW25" s="190">
        <f t="shared" si="20"/>
        <v>6.2920112930745455</v>
      </c>
      <c r="AX25" s="190">
        <f t="shared" si="20"/>
        <v>7.3407653788064389</v>
      </c>
      <c r="AY25" s="190">
        <f t="shared" si="20"/>
        <v>7.3407653788064389</v>
      </c>
      <c r="AZ25" s="190">
        <f t="shared" si="20"/>
        <v>7.3407653788064389</v>
      </c>
      <c r="BA25" s="190">
        <f t="shared" si="20"/>
        <v>1.0487540857318933</v>
      </c>
      <c r="BB25" s="190">
        <f t="shared" si="20"/>
        <v>1.0487540857318933</v>
      </c>
      <c r="BC25" s="190">
        <f t="shared" si="20"/>
        <v>1.0487540857318933</v>
      </c>
      <c r="BD25" s="190">
        <f t="shared" si="20"/>
        <v>1.0487540857318933</v>
      </c>
      <c r="BE25" s="190">
        <f t="shared" si="20"/>
        <v>1.0487540857318933</v>
      </c>
      <c r="BF25" s="190">
        <f t="shared" si="20"/>
        <v>1.0487540857318933</v>
      </c>
      <c r="BG25" s="190">
        <f t="shared" si="20"/>
        <v>1.0487540857318933</v>
      </c>
      <c r="BH25" s="190">
        <f t="shared" si="20"/>
        <v>1.0487540857318933</v>
      </c>
      <c r="BI25" s="190">
        <f t="shared" si="20"/>
        <v>1.0487540857318933</v>
      </c>
      <c r="BJ25" s="190">
        <f t="shared" si="20"/>
        <v>1.0487540857318933</v>
      </c>
      <c r="BK25" s="190">
        <f t="shared" si="20"/>
        <v>1.0487540857318933</v>
      </c>
      <c r="BL25" s="190">
        <f t="shared" si="20"/>
        <v>1.0487540857318933</v>
      </c>
    </row>
    <row r="27" spans="2:64" x14ac:dyDescent="0.3">
      <c r="B27" s="56" t="s">
        <v>370</v>
      </c>
    </row>
    <row r="28" spans="2:64" x14ac:dyDescent="0.3">
      <c r="C28" s="184" t="s">
        <v>208</v>
      </c>
      <c r="D28" s="184" t="s">
        <v>371</v>
      </c>
      <c r="E28" s="24" t="s">
        <v>372</v>
      </c>
      <c r="F28" s="184" t="s">
        <v>384</v>
      </c>
      <c r="G28" s="184" t="s">
        <v>373</v>
      </c>
      <c r="H28" s="184" t="s">
        <v>374</v>
      </c>
      <c r="I28" s="184" t="s">
        <v>375</v>
      </c>
      <c r="J28" s="184" t="s">
        <v>21</v>
      </c>
      <c r="K28" s="185">
        <f>MIN(G29:G33)</f>
        <v>45474</v>
      </c>
      <c r="L28" s="185">
        <f>EOMONTH(K28,1)</f>
        <v>45535</v>
      </c>
      <c r="M28" s="185">
        <f t="shared" ref="M28:BL28" si="21">EOMONTH(L28,1)</f>
        <v>45565</v>
      </c>
      <c r="N28" s="185">
        <f t="shared" si="21"/>
        <v>45596</v>
      </c>
      <c r="O28" s="185">
        <f t="shared" si="21"/>
        <v>45626</v>
      </c>
      <c r="P28" s="185">
        <f t="shared" si="21"/>
        <v>45657</v>
      </c>
      <c r="Q28" s="185">
        <f t="shared" si="21"/>
        <v>45688</v>
      </c>
      <c r="R28" s="185">
        <f t="shared" si="21"/>
        <v>45716</v>
      </c>
      <c r="S28" s="185">
        <f t="shared" si="21"/>
        <v>45747</v>
      </c>
      <c r="T28" s="185">
        <f t="shared" si="21"/>
        <v>45777</v>
      </c>
      <c r="U28" s="185">
        <f t="shared" si="21"/>
        <v>45808</v>
      </c>
      <c r="V28" s="185">
        <f t="shared" si="21"/>
        <v>45838</v>
      </c>
      <c r="W28" s="185">
        <f t="shared" si="21"/>
        <v>45869</v>
      </c>
      <c r="X28" s="185">
        <f t="shared" si="21"/>
        <v>45900</v>
      </c>
      <c r="Y28" s="185">
        <f t="shared" si="21"/>
        <v>45930</v>
      </c>
      <c r="Z28" s="185">
        <f t="shared" si="21"/>
        <v>45961</v>
      </c>
      <c r="AA28" s="185">
        <f t="shared" si="21"/>
        <v>45991</v>
      </c>
      <c r="AB28" s="185">
        <f t="shared" si="21"/>
        <v>46022</v>
      </c>
      <c r="AC28" s="185">
        <f t="shared" si="21"/>
        <v>46053</v>
      </c>
      <c r="AD28" s="185">
        <f t="shared" si="21"/>
        <v>46081</v>
      </c>
      <c r="AE28" s="185">
        <f t="shared" si="21"/>
        <v>46112</v>
      </c>
      <c r="AF28" s="185">
        <f t="shared" si="21"/>
        <v>46142</v>
      </c>
      <c r="AG28" s="185">
        <f t="shared" si="21"/>
        <v>46173</v>
      </c>
      <c r="AH28" s="185">
        <f t="shared" si="21"/>
        <v>46203</v>
      </c>
      <c r="AI28" s="185">
        <f t="shared" si="21"/>
        <v>46234</v>
      </c>
      <c r="AJ28" s="185">
        <f t="shared" si="21"/>
        <v>46265</v>
      </c>
      <c r="AK28" s="185">
        <f t="shared" si="21"/>
        <v>46295</v>
      </c>
      <c r="AL28" s="185">
        <f t="shared" si="21"/>
        <v>46326</v>
      </c>
      <c r="AM28" s="185">
        <f t="shared" si="21"/>
        <v>46356</v>
      </c>
      <c r="AN28" s="185">
        <f t="shared" si="21"/>
        <v>46387</v>
      </c>
      <c r="AO28" s="185">
        <f t="shared" si="21"/>
        <v>46418</v>
      </c>
      <c r="AP28" s="185">
        <f t="shared" si="21"/>
        <v>46446</v>
      </c>
      <c r="AQ28" s="185">
        <f t="shared" si="21"/>
        <v>46477</v>
      </c>
      <c r="AR28" s="185">
        <f t="shared" si="21"/>
        <v>46507</v>
      </c>
      <c r="AS28" s="185">
        <f t="shared" si="21"/>
        <v>46538</v>
      </c>
      <c r="AT28" s="185">
        <f t="shared" si="21"/>
        <v>46568</v>
      </c>
      <c r="AU28" s="185">
        <f t="shared" si="21"/>
        <v>46599</v>
      </c>
      <c r="AV28" s="185">
        <f t="shared" si="21"/>
        <v>46630</v>
      </c>
      <c r="AW28" s="185">
        <f t="shared" si="21"/>
        <v>46660</v>
      </c>
      <c r="AX28" s="185">
        <f t="shared" si="21"/>
        <v>46691</v>
      </c>
      <c r="AY28" s="185">
        <f t="shared" si="21"/>
        <v>46721</v>
      </c>
      <c r="AZ28" s="185">
        <f t="shared" si="21"/>
        <v>46752</v>
      </c>
      <c r="BA28" s="185">
        <f t="shared" si="21"/>
        <v>46783</v>
      </c>
      <c r="BB28" s="185">
        <f t="shared" si="21"/>
        <v>46812</v>
      </c>
      <c r="BC28" s="185">
        <f t="shared" si="21"/>
        <v>46843</v>
      </c>
      <c r="BD28" s="185">
        <f t="shared" si="21"/>
        <v>46873</v>
      </c>
      <c r="BE28" s="185">
        <f t="shared" si="21"/>
        <v>46904</v>
      </c>
      <c r="BF28" s="185">
        <f t="shared" si="21"/>
        <v>46934</v>
      </c>
      <c r="BG28" s="185">
        <f t="shared" si="21"/>
        <v>46965</v>
      </c>
      <c r="BH28" s="185">
        <f t="shared" si="21"/>
        <v>46996</v>
      </c>
      <c r="BI28" s="185">
        <f t="shared" si="21"/>
        <v>47026</v>
      </c>
      <c r="BJ28" s="185">
        <f t="shared" si="21"/>
        <v>47057</v>
      </c>
      <c r="BK28" s="185">
        <f t="shared" si="21"/>
        <v>47087</v>
      </c>
      <c r="BL28" s="185">
        <f t="shared" si="21"/>
        <v>47118</v>
      </c>
    </row>
    <row r="29" spans="2:64" x14ac:dyDescent="0.3">
      <c r="C29" s="130" t="s">
        <v>230</v>
      </c>
      <c r="D29" s="45">
        <f>D20</f>
        <v>243028.41058999998</v>
      </c>
      <c r="E29" s="45">
        <f>E20</f>
        <v>255179.83111949998</v>
      </c>
      <c r="F29" s="52">
        <f>F4</f>
        <v>434.23999999999995</v>
      </c>
      <c r="G29" s="188">
        <f>G20</f>
        <v>45474</v>
      </c>
      <c r="H29" s="188">
        <f>H20</f>
        <v>45838</v>
      </c>
      <c r="I29" s="45">
        <f>'Assumption Sheet'!$F$28</f>
        <v>12</v>
      </c>
      <c r="J29" s="157">
        <f>SUM(K29:BL29)</f>
        <v>0.99999999999999978</v>
      </c>
      <c r="K29" s="157">
        <f>IF(AND(K$28&gt;=$G29,K$28&lt;=$H29),10%,0)</f>
        <v>0.1</v>
      </c>
      <c r="L29" s="157">
        <f>IF(AND(L$28&gt;=$G29,L$28&lt;=$H29),10%,0)</f>
        <v>0.1</v>
      </c>
      <c r="M29" s="157">
        <f>IF(AND(M$28&gt;=$G29,M$28&lt;=$H29),80%/10,0)</f>
        <v>0.08</v>
      </c>
      <c r="N29" s="157">
        <f t="shared" ref="N29:BL33" si="22">IF(AND(N$28&gt;=$G29,N$28&lt;=$H29),80%/10,0)</f>
        <v>0.08</v>
      </c>
      <c r="O29" s="157">
        <f t="shared" si="22"/>
        <v>0.08</v>
      </c>
      <c r="P29" s="157">
        <f t="shared" si="22"/>
        <v>0.08</v>
      </c>
      <c r="Q29" s="157">
        <f t="shared" si="22"/>
        <v>0.08</v>
      </c>
      <c r="R29" s="157">
        <f t="shared" si="22"/>
        <v>0.08</v>
      </c>
      <c r="S29" s="157">
        <f t="shared" si="22"/>
        <v>0.08</v>
      </c>
      <c r="T29" s="157">
        <f t="shared" si="22"/>
        <v>0.08</v>
      </c>
      <c r="U29" s="157">
        <f t="shared" si="22"/>
        <v>0.08</v>
      </c>
      <c r="V29" s="157">
        <f t="shared" si="22"/>
        <v>0.08</v>
      </c>
      <c r="W29" s="186">
        <f t="shared" si="22"/>
        <v>0</v>
      </c>
      <c r="X29" s="186">
        <f t="shared" si="22"/>
        <v>0</v>
      </c>
      <c r="Y29" s="186">
        <f t="shared" si="22"/>
        <v>0</v>
      </c>
      <c r="Z29" s="186">
        <f t="shared" si="22"/>
        <v>0</v>
      </c>
      <c r="AA29" s="186">
        <f t="shared" si="22"/>
        <v>0</v>
      </c>
      <c r="AB29" s="186">
        <f t="shared" si="22"/>
        <v>0</v>
      </c>
      <c r="AC29" s="186">
        <f t="shared" si="22"/>
        <v>0</v>
      </c>
      <c r="AD29" s="186">
        <f t="shared" si="22"/>
        <v>0</v>
      </c>
      <c r="AE29" s="186">
        <f t="shared" si="22"/>
        <v>0</v>
      </c>
      <c r="AF29" s="186">
        <f t="shared" si="22"/>
        <v>0</v>
      </c>
      <c r="AG29" s="186">
        <f t="shared" si="22"/>
        <v>0</v>
      </c>
      <c r="AH29" s="186">
        <f t="shared" si="22"/>
        <v>0</v>
      </c>
      <c r="AI29" s="186">
        <f t="shared" si="22"/>
        <v>0</v>
      </c>
      <c r="AJ29" s="186">
        <f t="shared" si="22"/>
        <v>0</v>
      </c>
      <c r="AK29" s="186">
        <f t="shared" si="22"/>
        <v>0</v>
      </c>
      <c r="AL29" s="186">
        <f t="shared" si="22"/>
        <v>0</v>
      </c>
      <c r="AM29" s="186">
        <f t="shared" si="22"/>
        <v>0</v>
      </c>
      <c r="AN29" s="186">
        <f t="shared" si="22"/>
        <v>0</v>
      </c>
      <c r="AO29" s="186">
        <f t="shared" si="22"/>
        <v>0</v>
      </c>
      <c r="AP29" s="186">
        <f t="shared" si="22"/>
        <v>0</v>
      </c>
      <c r="AQ29" s="186">
        <f t="shared" si="22"/>
        <v>0</v>
      </c>
      <c r="AR29" s="186">
        <f t="shared" si="22"/>
        <v>0</v>
      </c>
      <c r="AS29" s="186">
        <f t="shared" si="22"/>
        <v>0</v>
      </c>
      <c r="AT29" s="186">
        <f t="shared" si="22"/>
        <v>0</v>
      </c>
      <c r="AU29" s="186">
        <f t="shared" si="22"/>
        <v>0</v>
      </c>
      <c r="AV29" s="186">
        <f t="shared" si="22"/>
        <v>0</v>
      </c>
      <c r="AW29" s="186">
        <f t="shared" si="22"/>
        <v>0</v>
      </c>
      <c r="AX29" s="186">
        <f t="shared" si="22"/>
        <v>0</v>
      </c>
      <c r="AY29" s="186">
        <f t="shared" si="22"/>
        <v>0</v>
      </c>
      <c r="AZ29" s="186">
        <f t="shared" si="22"/>
        <v>0</v>
      </c>
      <c r="BA29" s="186">
        <f t="shared" si="22"/>
        <v>0</v>
      </c>
      <c r="BB29" s="186">
        <f t="shared" si="22"/>
        <v>0</v>
      </c>
      <c r="BC29" s="186">
        <f t="shared" si="22"/>
        <v>0</v>
      </c>
      <c r="BD29" s="186">
        <f t="shared" si="22"/>
        <v>0</v>
      </c>
      <c r="BE29" s="186">
        <f t="shared" si="22"/>
        <v>0</v>
      </c>
      <c r="BF29" s="186">
        <f t="shared" si="22"/>
        <v>0</v>
      </c>
      <c r="BG29" s="186">
        <f t="shared" si="22"/>
        <v>0</v>
      </c>
      <c r="BH29" s="186">
        <f t="shared" si="22"/>
        <v>0</v>
      </c>
      <c r="BI29" s="186">
        <f t="shared" si="22"/>
        <v>0</v>
      </c>
      <c r="BJ29" s="186">
        <f t="shared" si="22"/>
        <v>0</v>
      </c>
      <c r="BK29" s="186">
        <f t="shared" si="22"/>
        <v>0</v>
      </c>
      <c r="BL29" s="186">
        <f t="shared" si="22"/>
        <v>0</v>
      </c>
    </row>
    <row r="30" spans="2:64" x14ac:dyDescent="0.3">
      <c r="C30" s="130" t="s">
        <v>231</v>
      </c>
      <c r="D30" s="45">
        <f t="shared" ref="D30:E33" si="23">D21</f>
        <v>470733.22550099995</v>
      </c>
      <c r="E30" s="45">
        <f t="shared" si="23"/>
        <v>494269.88677604997</v>
      </c>
      <c r="F30" s="52">
        <f t="shared" ref="F30:F33" si="24">F5</f>
        <v>434.23999999999995</v>
      </c>
      <c r="G30" s="188">
        <f t="shared" ref="G30:H30" si="25">G21</f>
        <v>45839</v>
      </c>
      <c r="H30" s="188">
        <f t="shared" si="25"/>
        <v>46203</v>
      </c>
      <c r="I30" s="45">
        <f>'Assumption Sheet'!$F$29</f>
        <v>12</v>
      </c>
      <c r="J30" s="157">
        <f>SUM(K30:BL30)</f>
        <v>0.99999999999999978</v>
      </c>
      <c r="K30" s="186">
        <f>IF(AND(K$28&gt;=$G30,K$28&lt;=$H30),10%,0)</f>
        <v>0</v>
      </c>
      <c r="L30" s="186">
        <f>IF(AND(L$28&gt;=$G30,L$28&lt;=$H30),10%,0)</f>
        <v>0</v>
      </c>
      <c r="M30" s="186">
        <f>IF(AND(M$28&gt;=$G30,M$28&lt;=$H30),80%/10,0)</f>
        <v>0</v>
      </c>
      <c r="N30" s="186">
        <f t="shared" si="22"/>
        <v>0</v>
      </c>
      <c r="O30" s="186">
        <f t="shared" si="22"/>
        <v>0</v>
      </c>
      <c r="P30" s="186">
        <f t="shared" si="22"/>
        <v>0</v>
      </c>
      <c r="Q30" s="186">
        <f t="shared" si="22"/>
        <v>0</v>
      </c>
      <c r="R30" s="186">
        <f t="shared" si="22"/>
        <v>0</v>
      </c>
      <c r="S30" s="186">
        <f t="shared" si="22"/>
        <v>0</v>
      </c>
      <c r="T30" s="186">
        <f t="shared" si="22"/>
        <v>0</v>
      </c>
      <c r="U30" s="186">
        <f t="shared" si="22"/>
        <v>0</v>
      </c>
      <c r="V30" s="186">
        <f t="shared" si="22"/>
        <v>0</v>
      </c>
      <c r="W30" s="157">
        <f>IF(AND(W$28&gt;=$G30,W$28&lt;=$H30),10%,0)</f>
        <v>0.1</v>
      </c>
      <c r="X30" s="157">
        <f>IF(AND(X$28&gt;=$G30,X$28&lt;=$H30),10%,0)</f>
        <v>0.1</v>
      </c>
      <c r="Y30" s="157">
        <f t="shared" si="22"/>
        <v>0.08</v>
      </c>
      <c r="Z30" s="157">
        <f t="shared" si="22"/>
        <v>0.08</v>
      </c>
      <c r="AA30" s="157">
        <f t="shared" si="22"/>
        <v>0.08</v>
      </c>
      <c r="AB30" s="157">
        <f t="shared" si="22"/>
        <v>0.08</v>
      </c>
      <c r="AC30" s="157">
        <f t="shared" si="22"/>
        <v>0.08</v>
      </c>
      <c r="AD30" s="157">
        <f t="shared" si="22"/>
        <v>0.08</v>
      </c>
      <c r="AE30" s="157">
        <f t="shared" si="22"/>
        <v>0.08</v>
      </c>
      <c r="AF30" s="157">
        <f t="shared" si="22"/>
        <v>0.08</v>
      </c>
      <c r="AG30" s="157">
        <f t="shared" si="22"/>
        <v>0.08</v>
      </c>
      <c r="AH30" s="157">
        <f t="shared" si="22"/>
        <v>0.08</v>
      </c>
      <c r="AI30" s="186">
        <f t="shared" si="22"/>
        <v>0</v>
      </c>
      <c r="AJ30" s="186">
        <f t="shared" si="22"/>
        <v>0</v>
      </c>
      <c r="AK30" s="186">
        <f t="shared" si="22"/>
        <v>0</v>
      </c>
      <c r="AL30" s="186">
        <f t="shared" si="22"/>
        <v>0</v>
      </c>
      <c r="AM30" s="186">
        <f t="shared" si="22"/>
        <v>0</v>
      </c>
      <c r="AN30" s="186">
        <f t="shared" si="22"/>
        <v>0</v>
      </c>
      <c r="AO30" s="186">
        <f t="shared" si="22"/>
        <v>0</v>
      </c>
      <c r="AP30" s="186">
        <f t="shared" si="22"/>
        <v>0</v>
      </c>
      <c r="AQ30" s="186">
        <f t="shared" si="22"/>
        <v>0</v>
      </c>
      <c r="AR30" s="186">
        <f t="shared" si="22"/>
        <v>0</v>
      </c>
      <c r="AS30" s="186">
        <f t="shared" si="22"/>
        <v>0</v>
      </c>
      <c r="AT30" s="186">
        <f t="shared" si="22"/>
        <v>0</v>
      </c>
      <c r="AU30" s="186">
        <f t="shared" si="22"/>
        <v>0</v>
      </c>
      <c r="AV30" s="186">
        <f t="shared" si="22"/>
        <v>0</v>
      </c>
      <c r="AW30" s="186">
        <f t="shared" si="22"/>
        <v>0</v>
      </c>
      <c r="AX30" s="186">
        <f t="shared" si="22"/>
        <v>0</v>
      </c>
      <c r="AY30" s="186">
        <f t="shared" si="22"/>
        <v>0</v>
      </c>
      <c r="AZ30" s="186">
        <f t="shared" si="22"/>
        <v>0</v>
      </c>
      <c r="BA30" s="186">
        <f t="shared" si="22"/>
        <v>0</v>
      </c>
      <c r="BB30" s="186">
        <f t="shared" si="22"/>
        <v>0</v>
      </c>
      <c r="BC30" s="186">
        <f t="shared" si="22"/>
        <v>0</v>
      </c>
      <c r="BD30" s="186">
        <f t="shared" si="22"/>
        <v>0</v>
      </c>
      <c r="BE30" s="186">
        <f t="shared" si="22"/>
        <v>0</v>
      </c>
      <c r="BF30" s="186">
        <f t="shared" si="22"/>
        <v>0</v>
      </c>
      <c r="BG30" s="186">
        <f t="shared" si="22"/>
        <v>0</v>
      </c>
      <c r="BH30" s="186">
        <f t="shared" si="22"/>
        <v>0</v>
      </c>
      <c r="BI30" s="186">
        <f t="shared" si="22"/>
        <v>0</v>
      </c>
      <c r="BJ30" s="186">
        <f t="shared" si="22"/>
        <v>0</v>
      </c>
      <c r="BK30" s="186">
        <f t="shared" si="22"/>
        <v>0</v>
      </c>
      <c r="BL30" s="186">
        <f t="shared" si="22"/>
        <v>0</v>
      </c>
    </row>
    <row r="31" spans="2:64" x14ac:dyDescent="0.3">
      <c r="C31" s="130" t="s">
        <v>232</v>
      </c>
      <c r="D31" s="45">
        <f t="shared" si="23"/>
        <v>196225.03588799998</v>
      </c>
      <c r="E31" s="45">
        <f t="shared" si="23"/>
        <v>206036.2876824</v>
      </c>
      <c r="F31" s="52">
        <f t="shared" si="24"/>
        <v>434.23999999999995</v>
      </c>
      <c r="G31" s="188">
        <f t="shared" ref="G31:H31" si="26">G22</f>
        <v>46113</v>
      </c>
      <c r="H31" s="188">
        <f t="shared" si="26"/>
        <v>46477</v>
      </c>
      <c r="I31" s="45">
        <f>'Assumption Sheet'!$F$30</f>
        <v>12</v>
      </c>
      <c r="J31" s="157">
        <f t="shared" ref="J31:J33" si="27">SUM(K31:BL31)</f>
        <v>0.99999999999999978</v>
      </c>
      <c r="K31" s="186">
        <f t="shared" ref="K31:L33" si="28">IF(AND(K$28&gt;=$G31,K$28&lt;=$H31),10%,0)</f>
        <v>0</v>
      </c>
      <c r="L31" s="186">
        <f t="shared" si="28"/>
        <v>0</v>
      </c>
      <c r="M31" s="186">
        <f t="shared" ref="M31:M32" si="29">IF(AND(M$28&gt;=$G31,M$28&lt;=$H31),80%/10,0)</f>
        <v>0</v>
      </c>
      <c r="N31" s="186">
        <f t="shared" si="22"/>
        <v>0</v>
      </c>
      <c r="O31" s="186">
        <f t="shared" si="22"/>
        <v>0</v>
      </c>
      <c r="P31" s="186">
        <f t="shared" si="22"/>
        <v>0</v>
      </c>
      <c r="Q31" s="186">
        <f t="shared" si="22"/>
        <v>0</v>
      </c>
      <c r="R31" s="186">
        <f t="shared" si="22"/>
        <v>0</v>
      </c>
      <c r="S31" s="186">
        <f t="shared" si="22"/>
        <v>0</v>
      </c>
      <c r="T31" s="186">
        <f t="shared" si="22"/>
        <v>0</v>
      </c>
      <c r="U31" s="186">
        <f t="shared" si="22"/>
        <v>0</v>
      </c>
      <c r="V31" s="186">
        <f t="shared" si="22"/>
        <v>0</v>
      </c>
      <c r="W31" s="186">
        <f t="shared" ref="W31:X33" si="30">IF(AND(W$28&gt;=$G31,W$28&lt;=$H31),10%,0)</f>
        <v>0</v>
      </c>
      <c r="X31" s="186">
        <f t="shared" si="30"/>
        <v>0</v>
      </c>
      <c r="Y31" s="186">
        <f t="shared" si="22"/>
        <v>0</v>
      </c>
      <c r="Z31" s="186">
        <f t="shared" si="22"/>
        <v>0</v>
      </c>
      <c r="AA31" s="186">
        <f t="shared" si="22"/>
        <v>0</v>
      </c>
      <c r="AB31" s="186">
        <f t="shared" si="22"/>
        <v>0</v>
      </c>
      <c r="AC31" s="186">
        <f t="shared" si="22"/>
        <v>0</v>
      </c>
      <c r="AD31" s="186">
        <f t="shared" si="22"/>
        <v>0</v>
      </c>
      <c r="AE31" s="186">
        <f t="shared" si="22"/>
        <v>0</v>
      </c>
      <c r="AF31" s="157">
        <f>IF(AND(AF$28&gt;=$G31,AF$28&lt;=$H31),10%,0)</f>
        <v>0.1</v>
      </c>
      <c r="AG31" s="157">
        <f>IF(AND(AG$28&gt;=$G31,AG$28&lt;=$H31),10%,0)</f>
        <v>0.1</v>
      </c>
      <c r="AH31" s="157">
        <f t="shared" si="22"/>
        <v>0.08</v>
      </c>
      <c r="AI31" s="157">
        <f t="shared" si="22"/>
        <v>0.08</v>
      </c>
      <c r="AJ31" s="157">
        <f t="shared" si="22"/>
        <v>0.08</v>
      </c>
      <c r="AK31" s="157">
        <f t="shared" si="22"/>
        <v>0.08</v>
      </c>
      <c r="AL31" s="157">
        <f t="shared" si="22"/>
        <v>0.08</v>
      </c>
      <c r="AM31" s="157">
        <f t="shared" si="22"/>
        <v>0.08</v>
      </c>
      <c r="AN31" s="157">
        <f t="shared" si="22"/>
        <v>0.08</v>
      </c>
      <c r="AO31" s="157">
        <f t="shared" si="22"/>
        <v>0.08</v>
      </c>
      <c r="AP31" s="157">
        <f t="shared" si="22"/>
        <v>0.08</v>
      </c>
      <c r="AQ31" s="157">
        <f t="shared" si="22"/>
        <v>0.08</v>
      </c>
      <c r="AR31" s="186">
        <f t="shared" si="22"/>
        <v>0</v>
      </c>
      <c r="AS31" s="186">
        <f t="shared" si="22"/>
        <v>0</v>
      </c>
      <c r="AT31" s="186">
        <f t="shared" si="22"/>
        <v>0</v>
      </c>
      <c r="AU31" s="186">
        <f t="shared" si="22"/>
        <v>0</v>
      </c>
      <c r="AV31" s="186">
        <f t="shared" si="22"/>
        <v>0</v>
      </c>
      <c r="AW31" s="186">
        <f t="shared" si="22"/>
        <v>0</v>
      </c>
      <c r="AX31" s="186">
        <f t="shared" si="22"/>
        <v>0</v>
      </c>
      <c r="AY31" s="186">
        <f t="shared" si="22"/>
        <v>0</v>
      </c>
      <c r="AZ31" s="186">
        <f t="shared" si="22"/>
        <v>0</v>
      </c>
      <c r="BA31" s="186">
        <f t="shared" si="22"/>
        <v>0</v>
      </c>
      <c r="BB31" s="186">
        <f t="shared" si="22"/>
        <v>0</v>
      </c>
      <c r="BC31" s="186">
        <f t="shared" si="22"/>
        <v>0</v>
      </c>
      <c r="BD31" s="186">
        <f t="shared" si="22"/>
        <v>0</v>
      </c>
      <c r="BE31" s="186">
        <f t="shared" si="22"/>
        <v>0</v>
      </c>
      <c r="BF31" s="186">
        <f t="shared" si="22"/>
        <v>0</v>
      </c>
      <c r="BG31" s="186">
        <f t="shared" si="22"/>
        <v>0</v>
      </c>
      <c r="BH31" s="186">
        <f t="shared" si="22"/>
        <v>0</v>
      </c>
      <c r="BI31" s="186">
        <f t="shared" si="22"/>
        <v>0</v>
      </c>
      <c r="BJ31" s="186">
        <f t="shared" si="22"/>
        <v>0</v>
      </c>
      <c r="BK31" s="186">
        <f t="shared" si="22"/>
        <v>0</v>
      </c>
      <c r="BL31" s="186">
        <f t="shared" si="22"/>
        <v>0</v>
      </c>
    </row>
    <row r="32" spans="2:64" x14ac:dyDescent="0.3">
      <c r="C32" s="130" t="s">
        <v>234</v>
      </c>
      <c r="D32" s="45">
        <f t="shared" si="23"/>
        <v>420964.181071</v>
      </c>
      <c r="E32" s="45">
        <f t="shared" si="23"/>
        <v>442012.39012455003</v>
      </c>
      <c r="F32" s="52">
        <f t="shared" si="24"/>
        <v>434.23999999999995</v>
      </c>
      <c r="G32" s="188">
        <f t="shared" ref="G32:H32" si="31">G23</f>
        <v>46388</v>
      </c>
      <c r="H32" s="188">
        <f t="shared" si="31"/>
        <v>46752</v>
      </c>
      <c r="I32" s="45">
        <f>'Assumption Sheet'!$F$31</f>
        <v>12</v>
      </c>
      <c r="J32" s="157">
        <f t="shared" si="27"/>
        <v>0.99999999999999978</v>
      </c>
      <c r="K32" s="186">
        <f t="shared" si="28"/>
        <v>0</v>
      </c>
      <c r="L32" s="186">
        <f t="shared" si="28"/>
        <v>0</v>
      </c>
      <c r="M32" s="186">
        <f t="shared" si="29"/>
        <v>0</v>
      </c>
      <c r="N32" s="186">
        <f t="shared" si="22"/>
        <v>0</v>
      </c>
      <c r="O32" s="186">
        <f t="shared" si="22"/>
        <v>0</v>
      </c>
      <c r="P32" s="186">
        <f t="shared" si="22"/>
        <v>0</v>
      </c>
      <c r="Q32" s="186">
        <f t="shared" si="22"/>
        <v>0</v>
      </c>
      <c r="R32" s="186">
        <f t="shared" si="22"/>
        <v>0</v>
      </c>
      <c r="S32" s="186">
        <f t="shared" si="22"/>
        <v>0</v>
      </c>
      <c r="T32" s="186">
        <f t="shared" si="22"/>
        <v>0</v>
      </c>
      <c r="U32" s="186">
        <f t="shared" si="22"/>
        <v>0</v>
      </c>
      <c r="V32" s="186">
        <f t="shared" si="22"/>
        <v>0</v>
      </c>
      <c r="W32" s="186">
        <f t="shared" si="30"/>
        <v>0</v>
      </c>
      <c r="X32" s="186">
        <f t="shared" si="30"/>
        <v>0</v>
      </c>
      <c r="Y32" s="186">
        <f t="shared" si="22"/>
        <v>0</v>
      </c>
      <c r="Z32" s="186">
        <f t="shared" si="22"/>
        <v>0</v>
      </c>
      <c r="AA32" s="186">
        <f t="shared" si="22"/>
        <v>0</v>
      </c>
      <c r="AB32" s="186">
        <f t="shared" si="22"/>
        <v>0</v>
      </c>
      <c r="AC32" s="186">
        <f t="shared" si="22"/>
        <v>0</v>
      </c>
      <c r="AD32" s="186">
        <f t="shared" si="22"/>
        <v>0</v>
      </c>
      <c r="AE32" s="186">
        <f t="shared" si="22"/>
        <v>0</v>
      </c>
      <c r="AF32" s="186">
        <f t="shared" si="22"/>
        <v>0</v>
      </c>
      <c r="AG32" s="186">
        <f t="shared" si="22"/>
        <v>0</v>
      </c>
      <c r="AH32" s="186">
        <f t="shared" si="22"/>
        <v>0</v>
      </c>
      <c r="AI32" s="186">
        <f t="shared" si="22"/>
        <v>0</v>
      </c>
      <c r="AJ32" s="186">
        <f t="shared" si="22"/>
        <v>0</v>
      </c>
      <c r="AK32" s="186">
        <f t="shared" si="22"/>
        <v>0</v>
      </c>
      <c r="AL32" s="186">
        <f t="shared" si="22"/>
        <v>0</v>
      </c>
      <c r="AM32" s="186">
        <f t="shared" si="22"/>
        <v>0</v>
      </c>
      <c r="AN32" s="186">
        <f t="shared" si="22"/>
        <v>0</v>
      </c>
      <c r="AO32" s="157">
        <f>IF(AND(AO$28&gt;=$G32,AO$28&lt;=$H32),10%,0)</f>
        <v>0.1</v>
      </c>
      <c r="AP32" s="157">
        <f>IF(AND(AP$28&gt;=$G32,AP$28&lt;=$H32),10%,0)</f>
        <v>0.1</v>
      </c>
      <c r="AQ32" s="157">
        <f t="shared" si="22"/>
        <v>0.08</v>
      </c>
      <c r="AR32" s="157">
        <f t="shared" si="22"/>
        <v>0.08</v>
      </c>
      <c r="AS32" s="157">
        <f t="shared" si="22"/>
        <v>0.08</v>
      </c>
      <c r="AT32" s="157">
        <f t="shared" si="22"/>
        <v>0.08</v>
      </c>
      <c r="AU32" s="157">
        <f t="shared" si="22"/>
        <v>0.08</v>
      </c>
      <c r="AV32" s="157">
        <f t="shared" si="22"/>
        <v>0.08</v>
      </c>
      <c r="AW32" s="157">
        <f t="shared" si="22"/>
        <v>0.08</v>
      </c>
      <c r="AX32" s="157">
        <f t="shared" si="22"/>
        <v>0.08</v>
      </c>
      <c r="AY32" s="157">
        <f t="shared" si="22"/>
        <v>0.08</v>
      </c>
      <c r="AZ32" s="157">
        <f t="shared" si="22"/>
        <v>0.08</v>
      </c>
      <c r="BA32" s="186">
        <f t="shared" si="22"/>
        <v>0</v>
      </c>
      <c r="BB32" s="186">
        <f t="shared" si="22"/>
        <v>0</v>
      </c>
      <c r="BC32" s="186">
        <f t="shared" si="22"/>
        <v>0</v>
      </c>
      <c r="BD32" s="186">
        <f t="shared" si="22"/>
        <v>0</v>
      </c>
      <c r="BE32" s="186">
        <f t="shared" si="22"/>
        <v>0</v>
      </c>
      <c r="BF32" s="186">
        <f t="shared" si="22"/>
        <v>0</v>
      </c>
      <c r="BG32" s="186">
        <f t="shared" si="22"/>
        <v>0</v>
      </c>
      <c r="BH32" s="186">
        <f t="shared" si="22"/>
        <v>0</v>
      </c>
      <c r="BI32" s="186">
        <f t="shared" si="22"/>
        <v>0</v>
      </c>
      <c r="BJ32" s="186">
        <f t="shared" si="22"/>
        <v>0</v>
      </c>
      <c r="BK32" s="186">
        <f t="shared" si="22"/>
        <v>0</v>
      </c>
      <c r="BL32" s="186">
        <f t="shared" si="22"/>
        <v>0</v>
      </c>
    </row>
    <row r="33" spans="2:64" x14ac:dyDescent="0.3">
      <c r="C33" s="130" t="s">
        <v>259</v>
      </c>
      <c r="D33" s="45">
        <f t="shared" si="23"/>
        <v>87708.024565</v>
      </c>
      <c r="E33" s="45">
        <f t="shared" si="23"/>
        <v>92093.425793250004</v>
      </c>
      <c r="F33" s="52">
        <f t="shared" si="24"/>
        <v>434.23999999999995</v>
      </c>
      <c r="G33" s="188">
        <f t="shared" ref="G33:H33" si="32">G24</f>
        <v>46661</v>
      </c>
      <c r="H33" s="188">
        <f t="shared" si="32"/>
        <v>47118</v>
      </c>
      <c r="I33" s="45">
        <f>'Assumption Sheet'!$F$32</f>
        <v>15</v>
      </c>
      <c r="J33" s="157">
        <f t="shared" si="27"/>
        <v>0.99999999999999989</v>
      </c>
      <c r="K33" s="186">
        <f t="shared" si="28"/>
        <v>0</v>
      </c>
      <c r="L33" s="186">
        <f t="shared" si="28"/>
        <v>0</v>
      </c>
      <c r="M33" s="186">
        <f>IF(AND(M$28&gt;=$G33,M$28&lt;=$H33),80%/13,0)</f>
        <v>0</v>
      </c>
      <c r="N33" s="186">
        <f t="shared" si="22"/>
        <v>0</v>
      </c>
      <c r="O33" s="186">
        <f t="shared" si="22"/>
        <v>0</v>
      </c>
      <c r="P33" s="186">
        <f t="shared" si="22"/>
        <v>0</v>
      </c>
      <c r="Q33" s="186">
        <f t="shared" si="22"/>
        <v>0</v>
      </c>
      <c r="R33" s="186">
        <f t="shared" si="22"/>
        <v>0</v>
      </c>
      <c r="S33" s="186">
        <f t="shared" si="22"/>
        <v>0</v>
      </c>
      <c r="T33" s="186">
        <f t="shared" si="22"/>
        <v>0</v>
      </c>
      <c r="U33" s="186">
        <f t="shared" si="22"/>
        <v>0</v>
      </c>
      <c r="V33" s="186">
        <f t="shared" si="22"/>
        <v>0</v>
      </c>
      <c r="W33" s="186">
        <f t="shared" si="30"/>
        <v>0</v>
      </c>
      <c r="X33" s="186">
        <f t="shared" si="30"/>
        <v>0</v>
      </c>
      <c r="Y33" s="186">
        <f t="shared" si="22"/>
        <v>0</v>
      </c>
      <c r="Z33" s="186">
        <f t="shared" si="22"/>
        <v>0</v>
      </c>
      <c r="AA33" s="186">
        <f t="shared" si="22"/>
        <v>0</v>
      </c>
      <c r="AB33" s="186">
        <f t="shared" si="22"/>
        <v>0</v>
      </c>
      <c r="AC33" s="186">
        <f t="shared" si="22"/>
        <v>0</v>
      </c>
      <c r="AD33" s="186">
        <f t="shared" si="22"/>
        <v>0</v>
      </c>
      <c r="AE33" s="186">
        <f t="shared" si="22"/>
        <v>0</v>
      </c>
      <c r="AF33" s="186">
        <f t="shared" si="22"/>
        <v>0</v>
      </c>
      <c r="AG33" s="186">
        <f t="shared" si="22"/>
        <v>0</v>
      </c>
      <c r="AH33" s="186">
        <f t="shared" si="22"/>
        <v>0</v>
      </c>
      <c r="AI33" s="186">
        <f t="shared" si="22"/>
        <v>0</v>
      </c>
      <c r="AJ33" s="186">
        <f t="shared" si="22"/>
        <v>0</v>
      </c>
      <c r="AK33" s="186">
        <f t="shared" si="22"/>
        <v>0</v>
      </c>
      <c r="AL33" s="186">
        <f t="shared" si="22"/>
        <v>0</v>
      </c>
      <c r="AM33" s="186">
        <f t="shared" si="22"/>
        <v>0</v>
      </c>
      <c r="AN33" s="186">
        <f t="shared" si="22"/>
        <v>0</v>
      </c>
      <c r="AO33" s="186">
        <f t="shared" si="22"/>
        <v>0</v>
      </c>
      <c r="AP33" s="186">
        <f t="shared" si="22"/>
        <v>0</v>
      </c>
      <c r="AQ33" s="186">
        <f t="shared" si="22"/>
        <v>0</v>
      </c>
      <c r="AR33" s="186">
        <f t="shared" si="22"/>
        <v>0</v>
      </c>
      <c r="AS33" s="186">
        <f t="shared" si="22"/>
        <v>0</v>
      </c>
      <c r="AT33" s="186">
        <f t="shared" si="22"/>
        <v>0</v>
      </c>
      <c r="AU33" s="186">
        <f t="shared" si="22"/>
        <v>0</v>
      </c>
      <c r="AV33" s="186">
        <f t="shared" si="22"/>
        <v>0</v>
      </c>
      <c r="AW33" s="186">
        <f t="shared" si="22"/>
        <v>0</v>
      </c>
      <c r="AX33" s="157">
        <f>IF(AND(AX$28&gt;=$G33,AX$28&lt;=$H33),100%/15,0)</f>
        <v>6.6666666666666666E-2</v>
      </c>
      <c r="AY33" s="157">
        <f t="shared" ref="AY33:BL33" si="33">IF(AND(AY$28&gt;=$G33,AY$28&lt;=$H33),100%/15,0)</f>
        <v>6.6666666666666666E-2</v>
      </c>
      <c r="AZ33" s="157">
        <f t="shared" si="33"/>
        <v>6.6666666666666666E-2</v>
      </c>
      <c r="BA33" s="157">
        <f t="shared" si="33"/>
        <v>6.6666666666666666E-2</v>
      </c>
      <c r="BB33" s="157">
        <f t="shared" si="33"/>
        <v>6.6666666666666666E-2</v>
      </c>
      <c r="BC33" s="157">
        <f t="shared" si="33"/>
        <v>6.6666666666666666E-2</v>
      </c>
      <c r="BD33" s="157">
        <f t="shared" si="33"/>
        <v>6.6666666666666666E-2</v>
      </c>
      <c r="BE33" s="157">
        <f t="shared" si="33"/>
        <v>6.6666666666666666E-2</v>
      </c>
      <c r="BF33" s="157">
        <f t="shared" si="33"/>
        <v>6.6666666666666666E-2</v>
      </c>
      <c r="BG33" s="157">
        <f t="shared" si="33"/>
        <v>6.6666666666666666E-2</v>
      </c>
      <c r="BH33" s="157">
        <f t="shared" si="33"/>
        <v>6.6666666666666666E-2</v>
      </c>
      <c r="BI33" s="157">
        <f t="shared" si="33"/>
        <v>6.6666666666666666E-2</v>
      </c>
      <c r="BJ33" s="157">
        <f t="shared" si="33"/>
        <v>6.6666666666666666E-2</v>
      </c>
      <c r="BK33" s="157">
        <f t="shared" si="33"/>
        <v>6.6666666666666666E-2</v>
      </c>
      <c r="BL33" s="157">
        <f t="shared" si="33"/>
        <v>6.6666666666666666E-2</v>
      </c>
    </row>
    <row r="35" spans="2:64" ht="27.6" x14ac:dyDescent="0.3">
      <c r="C35" s="184" t="s">
        <v>208</v>
      </c>
      <c r="D35" s="184" t="s">
        <v>371</v>
      </c>
      <c r="E35" s="24" t="s">
        <v>372</v>
      </c>
      <c r="F35" s="184" t="s">
        <v>384</v>
      </c>
      <c r="G35" s="184" t="s">
        <v>373</v>
      </c>
      <c r="H35" s="184" t="s">
        <v>374</v>
      </c>
      <c r="I35" s="184" t="s">
        <v>375</v>
      </c>
      <c r="J35" s="187" t="s">
        <v>504</v>
      </c>
      <c r="K35" s="185">
        <f>EOMONTH(MIN(G13:G17),0)</f>
        <v>45504</v>
      </c>
      <c r="L35" s="185">
        <f>EOMONTH(K35,1)</f>
        <v>45535</v>
      </c>
      <c r="M35" s="185">
        <f t="shared" ref="M35:BL35" si="34">EOMONTH(L35,1)</f>
        <v>45565</v>
      </c>
      <c r="N35" s="185">
        <f t="shared" si="34"/>
        <v>45596</v>
      </c>
      <c r="O35" s="185">
        <f t="shared" si="34"/>
        <v>45626</v>
      </c>
      <c r="P35" s="185">
        <f t="shared" si="34"/>
        <v>45657</v>
      </c>
      <c r="Q35" s="185">
        <f t="shared" si="34"/>
        <v>45688</v>
      </c>
      <c r="R35" s="185">
        <f t="shared" si="34"/>
        <v>45716</v>
      </c>
      <c r="S35" s="185">
        <f t="shared" si="34"/>
        <v>45747</v>
      </c>
      <c r="T35" s="185">
        <f t="shared" si="34"/>
        <v>45777</v>
      </c>
      <c r="U35" s="185">
        <f t="shared" si="34"/>
        <v>45808</v>
      </c>
      <c r="V35" s="185">
        <f t="shared" si="34"/>
        <v>45838</v>
      </c>
      <c r="W35" s="185">
        <f t="shared" si="34"/>
        <v>45869</v>
      </c>
      <c r="X35" s="185">
        <f t="shared" si="34"/>
        <v>45900</v>
      </c>
      <c r="Y35" s="185">
        <f t="shared" si="34"/>
        <v>45930</v>
      </c>
      <c r="Z35" s="185">
        <f t="shared" si="34"/>
        <v>45961</v>
      </c>
      <c r="AA35" s="185">
        <f t="shared" si="34"/>
        <v>45991</v>
      </c>
      <c r="AB35" s="185">
        <f t="shared" si="34"/>
        <v>46022</v>
      </c>
      <c r="AC35" s="185">
        <f t="shared" si="34"/>
        <v>46053</v>
      </c>
      <c r="AD35" s="185">
        <f t="shared" si="34"/>
        <v>46081</v>
      </c>
      <c r="AE35" s="185">
        <f t="shared" si="34"/>
        <v>46112</v>
      </c>
      <c r="AF35" s="185">
        <f t="shared" si="34"/>
        <v>46142</v>
      </c>
      <c r="AG35" s="185">
        <f t="shared" si="34"/>
        <v>46173</v>
      </c>
      <c r="AH35" s="185">
        <f t="shared" si="34"/>
        <v>46203</v>
      </c>
      <c r="AI35" s="185">
        <f t="shared" si="34"/>
        <v>46234</v>
      </c>
      <c r="AJ35" s="185">
        <f t="shared" si="34"/>
        <v>46265</v>
      </c>
      <c r="AK35" s="185">
        <f t="shared" si="34"/>
        <v>46295</v>
      </c>
      <c r="AL35" s="185">
        <f t="shared" si="34"/>
        <v>46326</v>
      </c>
      <c r="AM35" s="185">
        <f t="shared" si="34"/>
        <v>46356</v>
      </c>
      <c r="AN35" s="185">
        <f t="shared" si="34"/>
        <v>46387</v>
      </c>
      <c r="AO35" s="185">
        <f t="shared" si="34"/>
        <v>46418</v>
      </c>
      <c r="AP35" s="185">
        <f t="shared" si="34"/>
        <v>46446</v>
      </c>
      <c r="AQ35" s="185">
        <f t="shared" si="34"/>
        <v>46477</v>
      </c>
      <c r="AR35" s="185">
        <f t="shared" si="34"/>
        <v>46507</v>
      </c>
      <c r="AS35" s="185">
        <f t="shared" si="34"/>
        <v>46538</v>
      </c>
      <c r="AT35" s="185">
        <f t="shared" si="34"/>
        <v>46568</v>
      </c>
      <c r="AU35" s="185">
        <f t="shared" si="34"/>
        <v>46599</v>
      </c>
      <c r="AV35" s="185">
        <f t="shared" si="34"/>
        <v>46630</v>
      </c>
      <c r="AW35" s="185">
        <f t="shared" si="34"/>
        <v>46660</v>
      </c>
      <c r="AX35" s="185">
        <f t="shared" si="34"/>
        <v>46691</v>
      </c>
      <c r="AY35" s="185">
        <f t="shared" si="34"/>
        <v>46721</v>
      </c>
      <c r="AZ35" s="185">
        <f t="shared" si="34"/>
        <v>46752</v>
      </c>
      <c r="BA35" s="185">
        <f t="shared" si="34"/>
        <v>46783</v>
      </c>
      <c r="BB35" s="185">
        <f t="shared" si="34"/>
        <v>46812</v>
      </c>
      <c r="BC35" s="185">
        <f t="shared" si="34"/>
        <v>46843</v>
      </c>
      <c r="BD35" s="185">
        <f t="shared" si="34"/>
        <v>46873</v>
      </c>
      <c r="BE35" s="185">
        <f t="shared" si="34"/>
        <v>46904</v>
      </c>
      <c r="BF35" s="185">
        <f t="shared" si="34"/>
        <v>46934</v>
      </c>
      <c r="BG35" s="185">
        <f t="shared" si="34"/>
        <v>46965</v>
      </c>
      <c r="BH35" s="185">
        <f t="shared" si="34"/>
        <v>46996</v>
      </c>
      <c r="BI35" s="185">
        <f t="shared" si="34"/>
        <v>47026</v>
      </c>
      <c r="BJ35" s="185">
        <f t="shared" si="34"/>
        <v>47057</v>
      </c>
      <c r="BK35" s="185">
        <f t="shared" si="34"/>
        <v>47087</v>
      </c>
      <c r="BL35" s="185">
        <f t="shared" si="34"/>
        <v>47118</v>
      </c>
    </row>
    <row r="36" spans="2:64" x14ac:dyDescent="0.3">
      <c r="C36" s="130" t="s">
        <v>230</v>
      </c>
      <c r="D36" s="45">
        <f>D29</f>
        <v>243028.41058999998</v>
      </c>
      <c r="E36" s="45">
        <f>E29</f>
        <v>255179.83111949998</v>
      </c>
      <c r="F36" s="33">
        <f>F29</f>
        <v>434.23999999999995</v>
      </c>
      <c r="G36" s="188">
        <f t="shared" ref="G36:H36" si="35">G29</f>
        <v>45474</v>
      </c>
      <c r="H36" s="188">
        <f t="shared" si="35"/>
        <v>45838</v>
      </c>
      <c r="I36" s="45">
        <f>'Assumption Sheet'!$F$28</f>
        <v>12</v>
      </c>
      <c r="J36" s="186">
        <f>SUM(K36:BL36)</f>
        <v>10.553265701460159</v>
      </c>
      <c r="K36" s="186">
        <f>K29*$F36*$D36/10^7</f>
        <v>1.0553265701460159</v>
      </c>
      <c r="L36" s="186">
        <f t="shared" ref="L36:BL36" si="36">L29*$F36*$D36/10^7</f>
        <v>1.0553265701460159</v>
      </c>
      <c r="M36" s="186">
        <f t="shared" si="36"/>
        <v>0.84426125611681269</v>
      </c>
      <c r="N36" s="186">
        <f t="shared" si="36"/>
        <v>0.84426125611681269</v>
      </c>
      <c r="O36" s="186">
        <f t="shared" si="36"/>
        <v>0.84426125611681269</v>
      </c>
      <c r="P36" s="186">
        <f t="shared" si="36"/>
        <v>0.84426125611681269</v>
      </c>
      <c r="Q36" s="186">
        <f t="shared" si="36"/>
        <v>0.84426125611681269</v>
      </c>
      <c r="R36" s="186">
        <f t="shared" si="36"/>
        <v>0.84426125611681269</v>
      </c>
      <c r="S36" s="186">
        <f t="shared" si="36"/>
        <v>0.84426125611681269</v>
      </c>
      <c r="T36" s="186">
        <f t="shared" si="36"/>
        <v>0.84426125611681269</v>
      </c>
      <c r="U36" s="186">
        <f t="shared" si="36"/>
        <v>0.84426125611681269</v>
      </c>
      <c r="V36" s="186">
        <f t="shared" si="36"/>
        <v>0.84426125611681269</v>
      </c>
      <c r="W36" s="186">
        <f t="shared" si="36"/>
        <v>0</v>
      </c>
      <c r="X36" s="186">
        <f t="shared" si="36"/>
        <v>0</v>
      </c>
      <c r="Y36" s="186">
        <f t="shared" si="36"/>
        <v>0</v>
      </c>
      <c r="Z36" s="186">
        <f t="shared" si="36"/>
        <v>0</v>
      </c>
      <c r="AA36" s="186">
        <f t="shared" si="36"/>
        <v>0</v>
      </c>
      <c r="AB36" s="186">
        <f t="shared" si="36"/>
        <v>0</v>
      </c>
      <c r="AC36" s="186">
        <f t="shared" si="36"/>
        <v>0</v>
      </c>
      <c r="AD36" s="186">
        <f t="shared" si="36"/>
        <v>0</v>
      </c>
      <c r="AE36" s="186">
        <f t="shared" si="36"/>
        <v>0</v>
      </c>
      <c r="AF36" s="186">
        <f t="shared" si="36"/>
        <v>0</v>
      </c>
      <c r="AG36" s="186">
        <f t="shared" si="36"/>
        <v>0</v>
      </c>
      <c r="AH36" s="186">
        <f t="shared" si="36"/>
        <v>0</v>
      </c>
      <c r="AI36" s="186">
        <f t="shared" si="36"/>
        <v>0</v>
      </c>
      <c r="AJ36" s="186">
        <f t="shared" si="36"/>
        <v>0</v>
      </c>
      <c r="AK36" s="186">
        <f t="shared" si="36"/>
        <v>0</v>
      </c>
      <c r="AL36" s="186">
        <f t="shared" si="36"/>
        <v>0</v>
      </c>
      <c r="AM36" s="186">
        <f t="shared" si="36"/>
        <v>0</v>
      </c>
      <c r="AN36" s="186">
        <f t="shared" si="36"/>
        <v>0</v>
      </c>
      <c r="AO36" s="186">
        <f t="shared" si="36"/>
        <v>0</v>
      </c>
      <c r="AP36" s="186">
        <f t="shared" si="36"/>
        <v>0</v>
      </c>
      <c r="AQ36" s="186">
        <f t="shared" si="36"/>
        <v>0</v>
      </c>
      <c r="AR36" s="186">
        <f t="shared" si="36"/>
        <v>0</v>
      </c>
      <c r="AS36" s="186">
        <f t="shared" si="36"/>
        <v>0</v>
      </c>
      <c r="AT36" s="186">
        <f t="shared" si="36"/>
        <v>0</v>
      </c>
      <c r="AU36" s="186">
        <f t="shared" si="36"/>
        <v>0</v>
      </c>
      <c r="AV36" s="186">
        <f t="shared" si="36"/>
        <v>0</v>
      </c>
      <c r="AW36" s="186">
        <f t="shared" si="36"/>
        <v>0</v>
      </c>
      <c r="AX36" s="186">
        <f t="shared" si="36"/>
        <v>0</v>
      </c>
      <c r="AY36" s="186">
        <f t="shared" si="36"/>
        <v>0</v>
      </c>
      <c r="AZ36" s="186">
        <f t="shared" si="36"/>
        <v>0</v>
      </c>
      <c r="BA36" s="186">
        <f t="shared" si="36"/>
        <v>0</v>
      </c>
      <c r="BB36" s="186">
        <f t="shared" si="36"/>
        <v>0</v>
      </c>
      <c r="BC36" s="186">
        <f t="shared" si="36"/>
        <v>0</v>
      </c>
      <c r="BD36" s="186">
        <f t="shared" si="36"/>
        <v>0</v>
      </c>
      <c r="BE36" s="186">
        <f t="shared" si="36"/>
        <v>0</v>
      </c>
      <c r="BF36" s="186">
        <f t="shared" si="36"/>
        <v>0</v>
      </c>
      <c r="BG36" s="186">
        <f t="shared" si="36"/>
        <v>0</v>
      </c>
      <c r="BH36" s="186">
        <f t="shared" si="36"/>
        <v>0</v>
      </c>
      <c r="BI36" s="186">
        <f t="shared" si="36"/>
        <v>0</v>
      </c>
      <c r="BJ36" s="186">
        <f t="shared" si="36"/>
        <v>0</v>
      </c>
      <c r="BK36" s="186">
        <f t="shared" si="36"/>
        <v>0</v>
      </c>
      <c r="BL36" s="186">
        <f t="shared" si="36"/>
        <v>0</v>
      </c>
    </row>
    <row r="37" spans="2:64" x14ac:dyDescent="0.3">
      <c r="C37" s="130" t="s">
        <v>231</v>
      </c>
      <c r="D37" s="45">
        <f t="shared" ref="D37:H37" si="37">D30</f>
        <v>470733.22550099995</v>
      </c>
      <c r="E37" s="45">
        <f t="shared" si="37"/>
        <v>494269.88677604997</v>
      </c>
      <c r="F37" s="33">
        <f t="shared" si="37"/>
        <v>434.23999999999995</v>
      </c>
      <c r="G37" s="188">
        <f t="shared" si="37"/>
        <v>45839</v>
      </c>
      <c r="H37" s="188">
        <f t="shared" si="37"/>
        <v>46203</v>
      </c>
      <c r="I37" s="45">
        <f>'Assumption Sheet'!$F$29</f>
        <v>12</v>
      </c>
      <c r="J37" s="186">
        <f t="shared" ref="J37:J40" si="38">SUM(K37:BL37)</f>
        <v>20.441119584155416</v>
      </c>
      <c r="K37" s="186">
        <f t="shared" ref="K37:BL37" si="39">K30*$F37*$D37/10^7</f>
        <v>0</v>
      </c>
      <c r="L37" s="186">
        <f t="shared" si="39"/>
        <v>0</v>
      </c>
      <c r="M37" s="186">
        <f t="shared" si="39"/>
        <v>0</v>
      </c>
      <c r="N37" s="186">
        <f t="shared" si="39"/>
        <v>0</v>
      </c>
      <c r="O37" s="186">
        <f t="shared" si="39"/>
        <v>0</v>
      </c>
      <c r="P37" s="186">
        <f t="shared" si="39"/>
        <v>0</v>
      </c>
      <c r="Q37" s="186">
        <f t="shared" si="39"/>
        <v>0</v>
      </c>
      <c r="R37" s="186">
        <f t="shared" si="39"/>
        <v>0</v>
      </c>
      <c r="S37" s="186">
        <f t="shared" si="39"/>
        <v>0</v>
      </c>
      <c r="T37" s="186">
        <f t="shared" si="39"/>
        <v>0</v>
      </c>
      <c r="U37" s="186">
        <f t="shared" si="39"/>
        <v>0</v>
      </c>
      <c r="V37" s="186">
        <f t="shared" si="39"/>
        <v>0</v>
      </c>
      <c r="W37" s="186">
        <f t="shared" si="39"/>
        <v>2.0441119584155421</v>
      </c>
      <c r="X37" s="186">
        <f t="shared" si="39"/>
        <v>2.0441119584155421</v>
      </c>
      <c r="Y37" s="186">
        <f t="shared" si="39"/>
        <v>1.6352895667324336</v>
      </c>
      <c r="Z37" s="186">
        <f t="shared" si="39"/>
        <v>1.6352895667324336</v>
      </c>
      <c r="AA37" s="186">
        <f t="shared" si="39"/>
        <v>1.6352895667324336</v>
      </c>
      <c r="AB37" s="186">
        <f t="shared" si="39"/>
        <v>1.6352895667324336</v>
      </c>
      <c r="AC37" s="186">
        <f t="shared" si="39"/>
        <v>1.6352895667324336</v>
      </c>
      <c r="AD37" s="186">
        <f t="shared" si="39"/>
        <v>1.6352895667324336</v>
      </c>
      <c r="AE37" s="186">
        <f t="shared" si="39"/>
        <v>1.6352895667324336</v>
      </c>
      <c r="AF37" s="186">
        <f t="shared" si="39"/>
        <v>1.6352895667324336</v>
      </c>
      <c r="AG37" s="186">
        <f t="shared" si="39"/>
        <v>1.6352895667324336</v>
      </c>
      <c r="AH37" s="186">
        <f t="shared" si="39"/>
        <v>1.6352895667324336</v>
      </c>
      <c r="AI37" s="186">
        <f t="shared" si="39"/>
        <v>0</v>
      </c>
      <c r="AJ37" s="186">
        <f t="shared" si="39"/>
        <v>0</v>
      </c>
      <c r="AK37" s="186">
        <f t="shared" si="39"/>
        <v>0</v>
      </c>
      <c r="AL37" s="186">
        <f t="shared" si="39"/>
        <v>0</v>
      </c>
      <c r="AM37" s="186">
        <f t="shared" si="39"/>
        <v>0</v>
      </c>
      <c r="AN37" s="186">
        <f t="shared" si="39"/>
        <v>0</v>
      </c>
      <c r="AO37" s="186">
        <f t="shared" si="39"/>
        <v>0</v>
      </c>
      <c r="AP37" s="186">
        <f t="shared" si="39"/>
        <v>0</v>
      </c>
      <c r="AQ37" s="186">
        <f t="shared" si="39"/>
        <v>0</v>
      </c>
      <c r="AR37" s="186">
        <f t="shared" si="39"/>
        <v>0</v>
      </c>
      <c r="AS37" s="186">
        <f t="shared" si="39"/>
        <v>0</v>
      </c>
      <c r="AT37" s="186">
        <f t="shared" si="39"/>
        <v>0</v>
      </c>
      <c r="AU37" s="186">
        <f t="shared" si="39"/>
        <v>0</v>
      </c>
      <c r="AV37" s="186">
        <f t="shared" si="39"/>
        <v>0</v>
      </c>
      <c r="AW37" s="186">
        <f t="shared" si="39"/>
        <v>0</v>
      </c>
      <c r="AX37" s="186">
        <f t="shared" si="39"/>
        <v>0</v>
      </c>
      <c r="AY37" s="186">
        <f t="shared" si="39"/>
        <v>0</v>
      </c>
      <c r="AZ37" s="186">
        <f t="shared" si="39"/>
        <v>0</v>
      </c>
      <c r="BA37" s="186">
        <f t="shared" si="39"/>
        <v>0</v>
      </c>
      <c r="BB37" s="186">
        <f t="shared" si="39"/>
        <v>0</v>
      </c>
      <c r="BC37" s="186">
        <f t="shared" si="39"/>
        <v>0</v>
      </c>
      <c r="BD37" s="186">
        <f t="shared" si="39"/>
        <v>0</v>
      </c>
      <c r="BE37" s="186">
        <f t="shared" si="39"/>
        <v>0</v>
      </c>
      <c r="BF37" s="186">
        <f t="shared" si="39"/>
        <v>0</v>
      </c>
      <c r="BG37" s="186">
        <f t="shared" si="39"/>
        <v>0</v>
      </c>
      <c r="BH37" s="186">
        <f t="shared" si="39"/>
        <v>0</v>
      </c>
      <c r="BI37" s="186">
        <f t="shared" si="39"/>
        <v>0</v>
      </c>
      <c r="BJ37" s="186">
        <f t="shared" si="39"/>
        <v>0</v>
      </c>
      <c r="BK37" s="186">
        <f t="shared" si="39"/>
        <v>0</v>
      </c>
      <c r="BL37" s="186">
        <f t="shared" si="39"/>
        <v>0</v>
      </c>
    </row>
    <row r="38" spans="2:64" x14ac:dyDescent="0.3">
      <c r="C38" s="130" t="s">
        <v>232</v>
      </c>
      <c r="D38" s="45">
        <f t="shared" ref="D38:H38" si="40">D31</f>
        <v>196225.03588799998</v>
      </c>
      <c r="E38" s="45">
        <f t="shared" si="40"/>
        <v>206036.2876824</v>
      </c>
      <c r="F38" s="33">
        <f t="shared" si="40"/>
        <v>434.23999999999995</v>
      </c>
      <c r="G38" s="188">
        <f t="shared" si="40"/>
        <v>46113</v>
      </c>
      <c r="H38" s="188">
        <f t="shared" si="40"/>
        <v>46477</v>
      </c>
      <c r="I38" s="45">
        <f>'Assumption Sheet'!$F$30</f>
        <v>12</v>
      </c>
      <c r="J38" s="186">
        <f t="shared" si="38"/>
        <v>8.5208759584005112</v>
      </c>
      <c r="K38" s="186">
        <f t="shared" ref="K38:BL38" si="41">K31*$F38*$D38/10^7</f>
        <v>0</v>
      </c>
      <c r="L38" s="186">
        <f t="shared" si="41"/>
        <v>0</v>
      </c>
      <c r="M38" s="186">
        <f t="shared" si="41"/>
        <v>0</v>
      </c>
      <c r="N38" s="186">
        <f t="shared" si="41"/>
        <v>0</v>
      </c>
      <c r="O38" s="186">
        <f t="shared" si="41"/>
        <v>0</v>
      </c>
      <c r="P38" s="186">
        <f t="shared" si="41"/>
        <v>0</v>
      </c>
      <c r="Q38" s="186">
        <f t="shared" si="41"/>
        <v>0</v>
      </c>
      <c r="R38" s="186">
        <f t="shared" si="41"/>
        <v>0</v>
      </c>
      <c r="S38" s="186">
        <f t="shared" si="41"/>
        <v>0</v>
      </c>
      <c r="T38" s="186">
        <f t="shared" si="41"/>
        <v>0</v>
      </c>
      <c r="U38" s="186">
        <f t="shared" si="41"/>
        <v>0</v>
      </c>
      <c r="V38" s="186">
        <f t="shared" si="41"/>
        <v>0</v>
      </c>
      <c r="W38" s="186">
        <f t="shared" si="41"/>
        <v>0</v>
      </c>
      <c r="X38" s="186">
        <f t="shared" si="41"/>
        <v>0</v>
      </c>
      <c r="Y38" s="186">
        <f t="shared" si="41"/>
        <v>0</v>
      </c>
      <c r="Z38" s="186">
        <f t="shared" si="41"/>
        <v>0</v>
      </c>
      <c r="AA38" s="186">
        <f t="shared" si="41"/>
        <v>0</v>
      </c>
      <c r="AB38" s="186">
        <f t="shared" si="41"/>
        <v>0</v>
      </c>
      <c r="AC38" s="186">
        <f t="shared" si="41"/>
        <v>0</v>
      </c>
      <c r="AD38" s="186">
        <f t="shared" si="41"/>
        <v>0</v>
      </c>
      <c r="AE38" s="186">
        <f t="shared" si="41"/>
        <v>0</v>
      </c>
      <c r="AF38" s="186">
        <f t="shared" si="41"/>
        <v>0.85208759584005123</v>
      </c>
      <c r="AG38" s="186">
        <f t="shared" si="41"/>
        <v>0.85208759584005123</v>
      </c>
      <c r="AH38" s="186">
        <f t="shared" si="41"/>
        <v>0.68167007667204083</v>
      </c>
      <c r="AI38" s="186">
        <f t="shared" si="41"/>
        <v>0.68167007667204083</v>
      </c>
      <c r="AJ38" s="186">
        <f t="shared" si="41"/>
        <v>0.68167007667204083</v>
      </c>
      <c r="AK38" s="186">
        <f t="shared" si="41"/>
        <v>0.68167007667204083</v>
      </c>
      <c r="AL38" s="186">
        <f t="shared" si="41"/>
        <v>0.68167007667204083</v>
      </c>
      <c r="AM38" s="186">
        <f t="shared" si="41"/>
        <v>0.68167007667204083</v>
      </c>
      <c r="AN38" s="186">
        <f t="shared" si="41"/>
        <v>0.68167007667204083</v>
      </c>
      <c r="AO38" s="186">
        <f t="shared" si="41"/>
        <v>0.68167007667204083</v>
      </c>
      <c r="AP38" s="186">
        <f t="shared" si="41"/>
        <v>0.68167007667204083</v>
      </c>
      <c r="AQ38" s="186">
        <f t="shared" si="41"/>
        <v>0.68167007667204083</v>
      </c>
      <c r="AR38" s="186">
        <f t="shared" si="41"/>
        <v>0</v>
      </c>
      <c r="AS38" s="186">
        <f t="shared" si="41"/>
        <v>0</v>
      </c>
      <c r="AT38" s="186">
        <f t="shared" si="41"/>
        <v>0</v>
      </c>
      <c r="AU38" s="186">
        <f t="shared" si="41"/>
        <v>0</v>
      </c>
      <c r="AV38" s="186">
        <f t="shared" si="41"/>
        <v>0</v>
      </c>
      <c r="AW38" s="186">
        <f t="shared" si="41"/>
        <v>0</v>
      </c>
      <c r="AX38" s="186">
        <f t="shared" si="41"/>
        <v>0</v>
      </c>
      <c r="AY38" s="186">
        <f t="shared" si="41"/>
        <v>0</v>
      </c>
      <c r="AZ38" s="186">
        <f t="shared" si="41"/>
        <v>0</v>
      </c>
      <c r="BA38" s="186">
        <f t="shared" si="41"/>
        <v>0</v>
      </c>
      <c r="BB38" s="186">
        <f t="shared" si="41"/>
        <v>0</v>
      </c>
      <c r="BC38" s="186">
        <f t="shared" si="41"/>
        <v>0</v>
      </c>
      <c r="BD38" s="186">
        <f t="shared" si="41"/>
        <v>0</v>
      </c>
      <c r="BE38" s="186">
        <f t="shared" si="41"/>
        <v>0</v>
      </c>
      <c r="BF38" s="186">
        <f t="shared" si="41"/>
        <v>0</v>
      </c>
      <c r="BG38" s="186">
        <f t="shared" si="41"/>
        <v>0</v>
      </c>
      <c r="BH38" s="186">
        <f t="shared" si="41"/>
        <v>0</v>
      </c>
      <c r="BI38" s="186">
        <f t="shared" si="41"/>
        <v>0</v>
      </c>
      <c r="BJ38" s="186">
        <f t="shared" si="41"/>
        <v>0</v>
      </c>
      <c r="BK38" s="186">
        <f t="shared" si="41"/>
        <v>0</v>
      </c>
      <c r="BL38" s="186">
        <f t="shared" si="41"/>
        <v>0</v>
      </c>
    </row>
    <row r="39" spans="2:64" x14ac:dyDescent="0.3">
      <c r="C39" s="130" t="s">
        <v>234</v>
      </c>
      <c r="D39" s="45">
        <f t="shared" ref="D39:H39" si="42">D32</f>
        <v>420964.181071</v>
      </c>
      <c r="E39" s="45">
        <f t="shared" si="42"/>
        <v>442012.39012455003</v>
      </c>
      <c r="F39" s="33">
        <f t="shared" si="42"/>
        <v>434.23999999999995</v>
      </c>
      <c r="G39" s="188">
        <f t="shared" si="42"/>
        <v>46388</v>
      </c>
      <c r="H39" s="188">
        <f t="shared" si="42"/>
        <v>46752</v>
      </c>
      <c r="I39" s="45">
        <f>'Assumption Sheet'!$F$31</f>
        <v>12</v>
      </c>
      <c r="J39" s="186">
        <f t="shared" si="38"/>
        <v>18.279948598827108</v>
      </c>
      <c r="K39" s="186">
        <f t="shared" ref="K39:BL39" si="43">K32*$F39*$D39/10^7</f>
        <v>0</v>
      </c>
      <c r="L39" s="186">
        <f t="shared" si="43"/>
        <v>0</v>
      </c>
      <c r="M39" s="186">
        <f t="shared" si="43"/>
        <v>0</v>
      </c>
      <c r="N39" s="186">
        <f t="shared" si="43"/>
        <v>0</v>
      </c>
      <c r="O39" s="186">
        <f t="shared" si="43"/>
        <v>0</v>
      </c>
      <c r="P39" s="186">
        <f t="shared" si="43"/>
        <v>0</v>
      </c>
      <c r="Q39" s="186">
        <f t="shared" si="43"/>
        <v>0</v>
      </c>
      <c r="R39" s="186">
        <f t="shared" si="43"/>
        <v>0</v>
      </c>
      <c r="S39" s="186">
        <f t="shared" si="43"/>
        <v>0</v>
      </c>
      <c r="T39" s="186">
        <f t="shared" si="43"/>
        <v>0</v>
      </c>
      <c r="U39" s="186">
        <f t="shared" si="43"/>
        <v>0</v>
      </c>
      <c r="V39" s="186">
        <f t="shared" si="43"/>
        <v>0</v>
      </c>
      <c r="W39" s="186">
        <f t="shared" si="43"/>
        <v>0</v>
      </c>
      <c r="X39" s="186">
        <f t="shared" si="43"/>
        <v>0</v>
      </c>
      <c r="Y39" s="186">
        <f t="shared" si="43"/>
        <v>0</v>
      </c>
      <c r="Z39" s="186">
        <f t="shared" si="43"/>
        <v>0</v>
      </c>
      <c r="AA39" s="186">
        <f t="shared" si="43"/>
        <v>0</v>
      </c>
      <c r="AB39" s="186">
        <f t="shared" si="43"/>
        <v>0</v>
      </c>
      <c r="AC39" s="186">
        <f t="shared" si="43"/>
        <v>0</v>
      </c>
      <c r="AD39" s="186">
        <f t="shared" si="43"/>
        <v>0</v>
      </c>
      <c r="AE39" s="186">
        <f t="shared" si="43"/>
        <v>0</v>
      </c>
      <c r="AF39" s="186">
        <f t="shared" si="43"/>
        <v>0</v>
      </c>
      <c r="AG39" s="186">
        <f t="shared" si="43"/>
        <v>0</v>
      </c>
      <c r="AH39" s="186">
        <f t="shared" si="43"/>
        <v>0</v>
      </c>
      <c r="AI39" s="186">
        <f t="shared" si="43"/>
        <v>0</v>
      </c>
      <c r="AJ39" s="186">
        <f t="shared" si="43"/>
        <v>0</v>
      </c>
      <c r="AK39" s="186">
        <f t="shared" si="43"/>
        <v>0</v>
      </c>
      <c r="AL39" s="186">
        <f t="shared" si="43"/>
        <v>0</v>
      </c>
      <c r="AM39" s="186">
        <f t="shared" si="43"/>
        <v>0</v>
      </c>
      <c r="AN39" s="186">
        <f t="shared" si="43"/>
        <v>0</v>
      </c>
      <c r="AO39" s="186">
        <f t="shared" si="43"/>
        <v>1.8279948598827105</v>
      </c>
      <c r="AP39" s="186">
        <f t="shared" si="43"/>
        <v>1.8279948598827105</v>
      </c>
      <c r="AQ39" s="186">
        <f t="shared" si="43"/>
        <v>1.4623958879061683</v>
      </c>
      <c r="AR39" s="186">
        <f t="shared" si="43"/>
        <v>1.4623958879061683</v>
      </c>
      <c r="AS39" s="186">
        <f t="shared" si="43"/>
        <v>1.4623958879061683</v>
      </c>
      <c r="AT39" s="186">
        <f t="shared" si="43"/>
        <v>1.4623958879061683</v>
      </c>
      <c r="AU39" s="186">
        <f t="shared" si="43"/>
        <v>1.4623958879061683</v>
      </c>
      <c r="AV39" s="186">
        <f t="shared" si="43"/>
        <v>1.4623958879061683</v>
      </c>
      <c r="AW39" s="186">
        <f t="shared" si="43"/>
        <v>1.4623958879061683</v>
      </c>
      <c r="AX39" s="186">
        <f t="shared" si="43"/>
        <v>1.4623958879061683</v>
      </c>
      <c r="AY39" s="186">
        <f t="shared" si="43"/>
        <v>1.4623958879061683</v>
      </c>
      <c r="AZ39" s="186">
        <f t="shared" si="43"/>
        <v>1.4623958879061683</v>
      </c>
      <c r="BA39" s="186">
        <f t="shared" si="43"/>
        <v>0</v>
      </c>
      <c r="BB39" s="186">
        <f t="shared" si="43"/>
        <v>0</v>
      </c>
      <c r="BC39" s="186">
        <f t="shared" si="43"/>
        <v>0</v>
      </c>
      <c r="BD39" s="186">
        <f t="shared" si="43"/>
        <v>0</v>
      </c>
      <c r="BE39" s="186">
        <f t="shared" si="43"/>
        <v>0</v>
      </c>
      <c r="BF39" s="186">
        <f t="shared" si="43"/>
        <v>0</v>
      </c>
      <c r="BG39" s="186">
        <f t="shared" si="43"/>
        <v>0</v>
      </c>
      <c r="BH39" s="186">
        <f t="shared" si="43"/>
        <v>0</v>
      </c>
      <c r="BI39" s="186">
        <f t="shared" si="43"/>
        <v>0</v>
      </c>
      <c r="BJ39" s="186">
        <f t="shared" si="43"/>
        <v>0</v>
      </c>
      <c r="BK39" s="186">
        <f t="shared" si="43"/>
        <v>0</v>
      </c>
      <c r="BL39" s="186">
        <f t="shared" si="43"/>
        <v>0</v>
      </c>
    </row>
    <row r="40" spans="2:64" x14ac:dyDescent="0.3">
      <c r="C40" s="130" t="s">
        <v>259</v>
      </c>
      <c r="D40" s="45">
        <f t="shared" ref="D40:H40" si="44">D33</f>
        <v>87708.024565</v>
      </c>
      <c r="E40" s="45">
        <f t="shared" si="44"/>
        <v>92093.425793250004</v>
      </c>
      <c r="F40" s="33">
        <f t="shared" si="44"/>
        <v>434.23999999999995</v>
      </c>
      <c r="G40" s="188">
        <f t="shared" si="44"/>
        <v>46661</v>
      </c>
      <c r="H40" s="188">
        <f t="shared" si="44"/>
        <v>47118</v>
      </c>
      <c r="I40" s="45">
        <f>'Assumption Sheet'!$F$32</f>
        <v>15</v>
      </c>
      <c r="J40" s="186">
        <f t="shared" si="38"/>
        <v>3.8086332587105578</v>
      </c>
      <c r="K40" s="186">
        <f t="shared" ref="K40:BL40" si="45">K33*$F40*$D40/10^7</f>
        <v>0</v>
      </c>
      <c r="L40" s="186">
        <f t="shared" si="45"/>
        <v>0</v>
      </c>
      <c r="M40" s="186">
        <f t="shared" si="45"/>
        <v>0</v>
      </c>
      <c r="N40" s="186">
        <f t="shared" si="45"/>
        <v>0</v>
      </c>
      <c r="O40" s="186">
        <f t="shared" si="45"/>
        <v>0</v>
      </c>
      <c r="P40" s="186">
        <f t="shared" si="45"/>
        <v>0</v>
      </c>
      <c r="Q40" s="186">
        <f t="shared" si="45"/>
        <v>0</v>
      </c>
      <c r="R40" s="186">
        <f t="shared" si="45"/>
        <v>0</v>
      </c>
      <c r="S40" s="186">
        <f t="shared" si="45"/>
        <v>0</v>
      </c>
      <c r="T40" s="186">
        <f t="shared" si="45"/>
        <v>0</v>
      </c>
      <c r="U40" s="186">
        <f t="shared" si="45"/>
        <v>0</v>
      </c>
      <c r="V40" s="186">
        <f t="shared" si="45"/>
        <v>0</v>
      </c>
      <c r="W40" s="186">
        <f t="shared" si="45"/>
        <v>0</v>
      </c>
      <c r="X40" s="186">
        <f t="shared" si="45"/>
        <v>0</v>
      </c>
      <c r="Y40" s="186">
        <f t="shared" si="45"/>
        <v>0</v>
      </c>
      <c r="Z40" s="186">
        <f t="shared" si="45"/>
        <v>0</v>
      </c>
      <c r="AA40" s="186">
        <f t="shared" si="45"/>
        <v>0</v>
      </c>
      <c r="AB40" s="186">
        <f t="shared" si="45"/>
        <v>0</v>
      </c>
      <c r="AC40" s="186">
        <f t="shared" si="45"/>
        <v>0</v>
      </c>
      <c r="AD40" s="186">
        <f t="shared" si="45"/>
        <v>0</v>
      </c>
      <c r="AE40" s="186">
        <f t="shared" si="45"/>
        <v>0</v>
      </c>
      <c r="AF40" s="186">
        <f t="shared" si="45"/>
        <v>0</v>
      </c>
      <c r="AG40" s="186">
        <f t="shared" si="45"/>
        <v>0</v>
      </c>
      <c r="AH40" s="186">
        <f t="shared" si="45"/>
        <v>0</v>
      </c>
      <c r="AI40" s="186">
        <f t="shared" si="45"/>
        <v>0</v>
      </c>
      <c r="AJ40" s="186">
        <f t="shared" si="45"/>
        <v>0</v>
      </c>
      <c r="AK40" s="186">
        <f t="shared" si="45"/>
        <v>0</v>
      </c>
      <c r="AL40" s="186">
        <f t="shared" si="45"/>
        <v>0</v>
      </c>
      <c r="AM40" s="186">
        <f t="shared" si="45"/>
        <v>0</v>
      </c>
      <c r="AN40" s="186">
        <f t="shared" si="45"/>
        <v>0</v>
      </c>
      <c r="AO40" s="186">
        <f t="shared" si="45"/>
        <v>0</v>
      </c>
      <c r="AP40" s="186">
        <f t="shared" si="45"/>
        <v>0</v>
      </c>
      <c r="AQ40" s="186">
        <f t="shared" si="45"/>
        <v>0</v>
      </c>
      <c r="AR40" s="186">
        <f t="shared" si="45"/>
        <v>0</v>
      </c>
      <c r="AS40" s="186">
        <f t="shared" si="45"/>
        <v>0</v>
      </c>
      <c r="AT40" s="186">
        <f t="shared" si="45"/>
        <v>0</v>
      </c>
      <c r="AU40" s="186">
        <f t="shared" si="45"/>
        <v>0</v>
      </c>
      <c r="AV40" s="186">
        <f t="shared" si="45"/>
        <v>0</v>
      </c>
      <c r="AW40" s="186">
        <f t="shared" si="45"/>
        <v>0</v>
      </c>
      <c r="AX40" s="186">
        <f t="shared" si="45"/>
        <v>0.25390888391403726</v>
      </c>
      <c r="AY40" s="186">
        <f t="shared" si="45"/>
        <v>0.25390888391403726</v>
      </c>
      <c r="AZ40" s="186">
        <f t="shared" si="45"/>
        <v>0.25390888391403726</v>
      </c>
      <c r="BA40" s="186">
        <f t="shared" si="45"/>
        <v>0.25390888391403726</v>
      </c>
      <c r="BB40" s="186">
        <f t="shared" si="45"/>
        <v>0.25390888391403726</v>
      </c>
      <c r="BC40" s="186">
        <f t="shared" si="45"/>
        <v>0.25390888391403726</v>
      </c>
      <c r="BD40" s="186">
        <f t="shared" si="45"/>
        <v>0.25390888391403726</v>
      </c>
      <c r="BE40" s="186">
        <f t="shared" si="45"/>
        <v>0.25390888391403726</v>
      </c>
      <c r="BF40" s="186">
        <f t="shared" si="45"/>
        <v>0.25390888391403726</v>
      </c>
      <c r="BG40" s="186">
        <f t="shared" si="45"/>
        <v>0.25390888391403726</v>
      </c>
      <c r="BH40" s="186">
        <f t="shared" si="45"/>
        <v>0.25390888391403726</v>
      </c>
      <c r="BI40" s="186">
        <f t="shared" si="45"/>
        <v>0.25390888391403726</v>
      </c>
      <c r="BJ40" s="186">
        <f t="shared" si="45"/>
        <v>0.25390888391403726</v>
      </c>
      <c r="BK40" s="186">
        <f t="shared" si="45"/>
        <v>0.25390888391403726</v>
      </c>
      <c r="BL40" s="186">
        <f t="shared" si="45"/>
        <v>0.25390888391403726</v>
      </c>
    </row>
    <row r="41" spans="2:64" x14ac:dyDescent="0.3">
      <c r="J41" s="189">
        <f>SUM(J36:J40)</f>
        <v>61.60384310155375</v>
      </c>
      <c r="K41" s="190">
        <f>SUM(K36:K40)</f>
        <v>1.0553265701460159</v>
      </c>
      <c r="L41" s="190">
        <f t="shared" ref="L41" si="46">SUM(L36:L40)</f>
        <v>1.0553265701460159</v>
      </c>
      <c r="M41" s="190">
        <f t="shared" ref="M41" si="47">SUM(M36:M40)</f>
        <v>0.84426125611681269</v>
      </c>
      <c r="N41" s="190">
        <f t="shared" ref="N41" si="48">SUM(N36:N40)</f>
        <v>0.84426125611681269</v>
      </c>
      <c r="O41" s="190">
        <f t="shared" ref="O41" si="49">SUM(O36:O40)</f>
        <v>0.84426125611681269</v>
      </c>
      <c r="P41" s="190">
        <f t="shared" ref="P41" si="50">SUM(P36:P40)</f>
        <v>0.84426125611681269</v>
      </c>
      <c r="Q41" s="190">
        <f t="shared" ref="Q41" si="51">SUM(Q36:Q40)</f>
        <v>0.84426125611681269</v>
      </c>
      <c r="R41" s="190">
        <f t="shared" ref="R41" si="52">SUM(R36:R40)</f>
        <v>0.84426125611681269</v>
      </c>
      <c r="S41" s="190">
        <f t="shared" ref="S41" si="53">SUM(S36:S40)</f>
        <v>0.84426125611681269</v>
      </c>
      <c r="T41" s="190">
        <f t="shared" ref="T41" si="54">SUM(T36:T40)</f>
        <v>0.84426125611681269</v>
      </c>
      <c r="U41" s="190">
        <f t="shared" ref="U41" si="55">SUM(U36:U40)</f>
        <v>0.84426125611681269</v>
      </c>
      <c r="V41" s="190">
        <f t="shared" ref="V41" si="56">SUM(V36:V40)</f>
        <v>0.84426125611681269</v>
      </c>
      <c r="W41" s="190">
        <f t="shared" ref="W41" si="57">SUM(W36:W40)</f>
        <v>2.0441119584155421</v>
      </c>
      <c r="X41" s="190">
        <f t="shared" ref="X41" si="58">SUM(X36:X40)</f>
        <v>2.0441119584155421</v>
      </c>
      <c r="Y41" s="190">
        <f t="shared" ref="Y41" si="59">SUM(Y36:Y40)</f>
        <v>1.6352895667324336</v>
      </c>
      <c r="Z41" s="190">
        <f t="shared" ref="Z41" si="60">SUM(Z36:Z40)</f>
        <v>1.6352895667324336</v>
      </c>
      <c r="AA41" s="190">
        <f t="shared" ref="AA41" si="61">SUM(AA36:AA40)</f>
        <v>1.6352895667324336</v>
      </c>
      <c r="AB41" s="190">
        <f t="shared" ref="AB41" si="62">SUM(AB36:AB40)</f>
        <v>1.6352895667324336</v>
      </c>
      <c r="AC41" s="190">
        <f t="shared" ref="AC41" si="63">SUM(AC36:AC40)</f>
        <v>1.6352895667324336</v>
      </c>
      <c r="AD41" s="190">
        <f t="shared" ref="AD41" si="64">SUM(AD36:AD40)</f>
        <v>1.6352895667324336</v>
      </c>
      <c r="AE41" s="190">
        <f t="shared" ref="AE41" si="65">SUM(AE36:AE40)</f>
        <v>1.6352895667324336</v>
      </c>
      <c r="AF41" s="190">
        <f t="shared" ref="AF41" si="66">SUM(AF36:AF40)</f>
        <v>2.4873771625724848</v>
      </c>
      <c r="AG41" s="190">
        <f t="shared" ref="AG41" si="67">SUM(AG36:AG40)</f>
        <v>2.4873771625724848</v>
      </c>
      <c r="AH41" s="190">
        <f t="shared" ref="AH41" si="68">SUM(AH36:AH40)</f>
        <v>2.3169596434044744</v>
      </c>
      <c r="AI41" s="190">
        <f t="shared" ref="AI41" si="69">SUM(AI36:AI40)</f>
        <v>0.68167007667204083</v>
      </c>
      <c r="AJ41" s="190">
        <f t="shared" ref="AJ41" si="70">SUM(AJ36:AJ40)</f>
        <v>0.68167007667204083</v>
      </c>
      <c r="AK41" s="190">
        <f t="shared" ref="AK41" si="71">SUM(AK36:AK40)</f>
        <v>0.68167007667204083</v>
      </c>
      <c r="AL41" s="190">
        <f t="shared" ref="AL41" si="72">SUM(AL36:AL40)</f>
        <v>0.68167007667204083</v>
      </c>
      <c r="AM41" s="190">
        <f t="shared" ref="AM41" si="73">SUM(AM36:AM40)</f>
        <v>0.68167007667204083</v>
      </c>
      <c r="AN41" s="190">
        <f t="shared" ref="AN41" si="74">SUM(AN36:AN40)</f>
        <v>0.68167007667204083</v>
      </c>
      <c r="AO41" s="190">
        <f t="shared" ref="AO41" si="75">SUM(AO36:AO40)</f>
        <v>2.5096649365547514</v>
      </c>
      <c r="AP41" s="190">
        <f t="shared" ref="AP41" si="76">SUM(AP36:AP40)</f>
        <v>2.5096649365547514</v>
      </c>
      <c r="AQ41" s="190">
        <f t="shared" ref="AQ41" si="77">SUM(AQ36:AQ40)</f>
        <v>2.1440659645782092</v>
      </c>
      <c r="AR41" s="190">
        <f t="shared" ref="AR41" si="78">SUM(AR36:AR40)</f>
        <v>1.4623958879061683</v>
      </c>
      <c r="AS41" s="190">
        <f t="shared" ref="AS41" si="79">SUM(AS36:AS40)</f>
        <v>1.4623958879061683</v>
      </c>
      <c r="AT41" s="190">
        <f t="shared" ref="AT41" si="80">SUM(AT36:AT40)</f>
        <v>1.4623958879061683</v>
      </c>
      <c r="AU41" s="190">
        <f t="shared" ref="AU41" si="81">SUM(AU36:AU40)</f>
        <v>1.4623958879061683</v>
      </c>
      <c r="AV41" s="190">
        <f t="shared" ref="AV41" si="82">SUM(AV36:AV40)</f>
        <v>1.4623958879061683</v>
      </c>
      <c r="AW41" s="190">
        <f t="shared" ref="AW41" si="83">SUM(AW36:AW40)</f>
        <v>1.4623958879061683</v>
      </c>
      <c r="AX41" s="190">
        <f t="shared" ref="AX41" si="84">SUM(AX36:AX40)</f>
        <v>1.7163047718202056</v>
      </c>
      <c r="AY41" s="190">
        <f t="shared" ref="AY41" si="85">SUM(AY36:AY40)</f>
        <v>1.7163047718202056</v>
      </c>
      <c r="AZ41" s="190">
        <f t="shared" ref="AZ41" si="86">SUM(AZ36:AZ40)</f>
        <v>1.7163047718202056</v>
      </c>
      <c r="BA41" s="190">
        <f t="shared" ref="BA41" si="87">SUM(BA36:BA40)</f>
        <v>0.25390888391403726</v>
      </c>
      <c r="BB41" s="190">
        <f t="shared" ref="BB41" si="88">SUM(BB36:BB40)</f>
        <v>0.25390888391403726</v>
      </c>
      <c r="BC41" s="190">
        <f t="shared" ref="BC41" si="89">SUM(BC36:BC40)</f>
        <v>0.25390888391403726</v>
      </c>
      <c r="BD41" s="190">
        <f t="shared" ref="BD41" si="90">SUM(BD36:BD40)</f>
        <v>0.25390888391403726</v>
      </c>
      <c r="BE41" s="190">
        <f t="shared" ref="BE41" si="91">SUM(BE36:BE40)</f>
        <v>0.25390888391403726</v>
      </c>
      <c r="BF41" s="190">
        <f t="shared" ref="BF41" si="92">SUM(BF36:BF40)</f>
        <v>0.25390888391403726</v>
      </c>
      <c r="BG41" s="190">
        <f t="shared" ref="BG41" si="93">SUM(BG36:BG40)</f>
        <v>0.25390888391403726</v>
      </c>
      <c r="BH41" s="190">
        <f t="shared" ref="BH41" si="94">SUM(BH36:BH40)</f>
        <v>0.25390888391403726</v>
      </c>
      <c r="BI41" s="190">
        <f t="shared" ref="BI41" si="95">SUM(BI36:BI40)</f>
        <v>0.25390888391403726</v>
      </c>
      <c r="BJ41" s="190">
        <f t="shared" ref="BJ41" si="96">SUM(BJ36:BJ40)</f>
        <v>0.25390888391403726</v>
      </c>
      <c r="BK41" s="190">
        <f t="shared" ref="BK41" si="97">SUM(BK36:BK40)</f>
        <v>0.25390888391403726</v>
      </c>
      <c r="BL41" s="190">
        <f t="shared" ref="BL41" si="98">SUM(BL36:BL40)</f>
        <v>0.25390888391403726</v>
      </c>
    </row>
    <row r="43" spans="2:64" x14ac:dyDescent="0.3">
      <c r="B43" s="56" t="s">
        <v>264</v>
      </c>
    </row>
    <row r="44" spans="2:64" x14ac:dyDescent="0.3">
      <c r="C44" s="184" t="s">
        <v>208</v>
      </c>
      <c r="D44" s="184" t="s">
        <v>371</v>
      </c>
      <c r="E44" s="24" t="s">
        <v>372</v>
      </c>
      <c r="F44" s="184" t="s">
        <v>384</v>
      </c>
      <c r="G44" s="184" t="s">
        <v>373</v>
      </c>
      <c r="H44" s="184" t="s">
        <v>374</v>
      </c>
      <c r="I44" s="184" t="s">
        <v>375</v>
      </c>
      <c r="J44" s="184" t="s">
        <v>21</v>
      </c>
      <c r="K44" s="185">
        <f>K35</f>
        <v>45504</v>
      </c>
      <c r="L44" s="185">
        <f>EOMONTH(K44,1)</f>
        <v>45535</v>
      </c>
      <c r="M44" s="185">
        <f t="shared" ref="M44:BL44" si="99">EOMONTH(L44,1)</f>
        <v>45565</v>
      </c>
      <c r="N44" s="185">
        <f t="shared" si="99"/>
        <v>45596</v>
      </c>
      <c r="O44" s="185">
        <f t="shared" si="99"/>
        <v>45626</v>
      </c>
      <c r="P44" s="185">
        <f t="shared" si="99"/>
        <v>45657</v>
      </c>
      <c r="Q44" s="185">
        <f t="shared" si="99"/>
        <v>45688</v>
      </c>
      <c r="R44" s="185">
        <f t="shared" si="99"/>
        <v>45716</v>
      </c>
      <c r="S44" s="185">
        <f t="shared" si="99"/>
        <v>45747</v>
      </c>
      <c r="T44" s="185">
        <f t="shared" si="99"/>
        <v>45777</v>
      </c>
      <c r="U44" s="185">
        <f t="shared" si="99"/>
        <v>45808</v>
      </c>
      <c r="V44" s="185">
        <f t="shared" si="99"/>
        <v>45838</v>
      </c>
      <c r="W44" s="185">
        <f t="shared" si="99"/>
        <v>45869</v>
      </c>
      <c r="X44" s="185">
        <f t="shared" si="99"/>
        <v>45900</v>
      </c>
      <c r="Y44" s="185">
        <f t="shared" si="99"/>
        <v>45930</v>
      </c>
      <c r="Z44" s="185">
        <f t="shared" si="99"/>
        <v>45961</v>
      </c>
      <c r="AA44" s="185">
        <f t="shared" si="99"/>
        <v>45991</v>
      </c>
      <c r="AB44" s="185">
        <f t="shared" si="99"/>
        <v>46022</v>
      </c>
      <c r="AC44" s="185">
        <f t="shared" si="99"/>
        <v>46053</v>
      </c>
      <c r="AD44" s="185">
        <f t="shared" si="99"/>
        <v>46081</v>
      </c>
      <c r="AE44" s="185">
        <f t="shared" si="99"/>
        <v>46112</v>
      </c>
      <c r="AF44" s="185">
        <f t="shared" si="99"/>
        <v>46142</v>
      </c>
      <c r="AG44" s="185">
        <f t="shared" si="99"/>
        <v>46173</v>
      </c>
      <c r="AH44" s="185">
        <f t="shared" si="99"/>
        <v>46203</v>
      </c>
      <c r="AI44" s="185">
        <f t="shared" si="99"/>
        <v>46234</v>
      </c>
      <c r="AJ44" s="185">
        <f t="shared" si="99"/>
        <v>46265</v>
      </c>
      <c r="AK44" s="185">
        <f t="shared" si="99"/>
        <v>46295</v>
      </c>
      <c r="AL44" s="185">
        <f t="shared" si="99"/>
        <v>46326</v>
      </c>
      <c r="AM44" s="185">
        <f t="shared" si="99"/>
        <v>46356</v>
      </c>
      <c r="AN44" s="185">
        <f t="shared" si="99"/>
        <v>46387</v>
      </c>
      <c r="AO44" s="185">
        <f t="shared" si="99"/>
        <v>46418</v>
      </c>
      <c r="AP44" s="185">
        <f t="shared" si="99"/>
        <v>46446</v>
      </c>
      <c r="AQ44" s="185">
        <f t="shared" si="99"/>
        <v>46477</v>
      </c>
      <c r="AR44" s="185">
        <f t="shared" si="99"/>
        <v>46507</v>
      </c>
      <c r="AS44" s="185">
        <f t="shared" si="99"/>
        <v>46538</v>
      </c>
      <c r="AT44" s="185">
        <f t="shared" si="99"/>
        <v>46568</v>
      </c>
      <c r="AU44" s="185">
        <f t="shared" si="99"/>
        <v>46599</v>
      </c>
      <c r="AV44" s="185">
        <f t="shared" si="99"/>
        <v>46630</v>
      </c>
      <c r="AW44" s="185">
        <f t="shared" si="99"/>
        <v>46660</v>
      </c>
      <c r="AX44" s="185">
        <f t="shared" si="99"/>
        <v>46691</v>
      </c>
      <c r="AY44" s="185">
        <f t="shared" si="99"/>
        <v>46721</v>
      </c>
      <c r="AZ44" s="185">
        <f t="shared" si="99"/>
        <v>46752</v>
      </c>
      <c r="BA44" s="185">
        <f t="shared" si="99"/>
        <v>46783</v>
      </c>
      <c r="BB44" s="185">
        <f t="shared" si="99"/>
        <v>46812</v>
      </c>
      <c r="BC44" s="185">
        <f t="shared" si="99"/>
        <v>46843</v>
      </c>
      <c r="BD44" s="185">
        <f t="shared" si="99"/>
        <v>46873</v>
      </c>
      <c r="BE44" s="185">
        <f t="shared" si="99"/>
        <v>46904</v>
      </c>
      <c r="BF44" s="185">
        <f t="shared" si="99"/>
        <v>46934</v>
      </c>
      <c r="BG44" s="185">
        <f t="shared" si="99"/>
        <v>46965</v>
      </c>
      <c r="BH44" s="185">
        <f t="shared" si="99"/>
        <v>46996</v>
      </c>
      <c r="BI44" s="185">
        <f t="shared" si="99"/>
        <v>47026</v>
      </c>
      <c r="BJ44" s="185">
        <f t="shared" si="99"/>
        <v>47057</v>
      </c>
      <c r="BK44" s="185">
        <f t="shared" si="99"/>
        <v>47087</v>
      </c>
      <c r="BL44" s="185">
        <f t="shared" si="99"/>
        <v>47118</v>
      </c>
    </row>
    <row r="45" spans="2:64" x14ac:dyDescent="0.3">
      <c r="C45" s="130" t="s">
        <v>230</v>
      </c>
      <c r="D45" s="45">
        <f>D36</f>
        <v>243028.41058999998</v>
      </c>
      <c r="E45" s="45">
        <f>E36</f>
        <v>255179.83111949998</v>
      </c>
      <c r="F45" s="52">
        <f>G4</f>
        <v>129.79999999999998</v>
      </c>
      <c r="G45" s="188">
        <f>G36</f>
        <v>45474</v>
      </c>
      <c r="H45" s="188">
        <f>H36</f>
        <v>45838</v>
      </c>
      <c r="I45" s="45">
        <f>'Assumption Sheet'!$F$28</f>
        <v>12</v>
      </c>
      <c r="J45" s="157">
        <f>SUM(K45:BL45)</f>
        <v>0.99999999999999978</v>
      </c>
      <c r="K45" s="157">
        <f>IF(AND(K$28&gt;=$G45,K$28&lt;=$H45),10%,0)</f>
        <v>0.1</v>
      </c>
      <c r="L45" s="157">
        <f>IF(AND(L$28&gt;=$G45,L$28&lt;=$H45),10%,0)</f>
        <v>0.1</v>
      </c>
      <c r="M45" s="157">
        <f>IF(AND(M$28&gt;=$G45,M$28&lt;=$H45),80%/10,0)</f>
        <v>0.08</v>
      </c>
      <c r="N45" s="157">
        <f t="shared" ref="N45:BL49" si="100">IF(AND(N$28&gt;=$G45,N$28&lt;=$H45),80%/10,0)</f>
        <v>0.08</v>
      </c>
      <c r="O45" s="157">
        <f t="shared" si="100"/>
        <v>0.08</v>
      </c>
      <c r="P45" s="157">
        <f t="shared" si="100"/>
        <v>0.08</v>
      </c>
      <c r="Q45" s="157">
        <f t="shared" si="100"/>
        <v>0.08</v>
      </c>
      <c r="R45" s="157">
        <f t="shared" si="100"/>
        <v>0.08</v>
      </c>
      <c r="S45" s="157">
        <f t="shared" si="100"/>
        <v>0.08</v>
      </c>
      <c r="T45" s="157">
        <f t="shared" si="100"/>
        <v>0.08</v>
      </c>
      <c r="U45" s="157">
        <f t="shared" si="100"/>
        <v>0.08</v>
      </c>
      <c r="V45" s="157">
        <f t="shared" si="100"/>
        <v>0.08</v>
      </c>
      <c r="W45" s="186">
        <f t="shared" si="100"/>
        <v>0</v>
      </c>
      <c r="X45" s="186">
        <f t="shared" si="100"/>
        <v>0</v>
      </c>
      <c r="Y45" s="186">
        <f t="shared" si="100"/>
        <v>0</v>
      </c>
      <c r="Z45" s="186">
        <f t="shared" si="100"/>
        <v>0</v>
      </c>
      <c r="AA45" s="186">
        <f t="shared" si="100"/>
        <v>0</v>
      </c>
      <c r="AB45" s="186">
        <f t="shared" si="100"/>
        <v>0</v>
      </c>
      <c r="AC45" s="186">
        <f t="shared" si="100"/>
        <v>0</v>
      </c>
      <c r="AD45" s="186">
        <f t="shared" si="100"/>
        <v>0</v>
      </c>
      <c r="AE45" s="186">
        <f t="shared" si="100"/>
        <v>0</v>
      </c>
      <c r="AF45" s="186">
        <f t="shared" si="100"/>
        <v>0</v>
      </c>
      <c r="AG45" s="186">
        <f t="shared" si="100"/>
        <v>0</v>
      </c>
      <c r="AH45" s="186">
        <f t="shared" si="100"/>
        <v>0</v>
      </c>
      <c r="AI45" s="186">
        <f t="shared" si="100"/>
        <v>0</v>
      </c>
      <c r="AJ45" s="186">
        <f t="shared" si="100"/>
        <v>0</v>
      </c>
      <c r="AK45" s="186">
        <f t="shared" si="100"/>
        <v>0</v>
      </c>
      <c r="AL45" s="186">
        <f t="shared" si="100"/>
        <v>0</v>
      </c>
      <c r="AM45" s="186">
        <f t="shared" si="100"/>
        <v>0</v>
      </c>
      <c r="AN45" s="186">
        <f t="shared" si="100"/>
        <v>0</v>
      </c>
      <c r="AO45" s="186">
        <f t="shared" si="100"/>
        <v>0</v>
      </c>
      <c r="AP45" s="186">
        <f t="shared" si="100"/>
        <v>0</v>
      </c>
      <c r="AQ45" s="186">
        <f t="shared" si="100"/>
        <v>0</v>
      </c>
      <c r="AR45" s="186">
        <f t="shared" si="100"/>
        <v>0</v>
      </c>
      <c r="AS45" s="186">
        <f t="shared" si="100"/>
        <v>0</v>
      </c>
      <c r="AT45" s="186">
        <f t="shared" si="100"/>
        <v>0</v>
      </c>
      <c r="AU45" s="186">
        <f t="shared" si="100"/>
        <v>0</v>
      </c>
      <c r="AV45" s="186">
        <f t="shared" si="100"/>
        <v>0</v>
      </c>
      <c r="AW45" s="186">
        <f t="shared" si="100"/>
        <v>0</v>
      </c>
      <c r="AX45" s="186">
        <f t="shared" si="100"/>
        <v>0</v>
      </c>
      <c r="AY45" s="186">
        <f t="shared" si="100"/>
        <v>0</v>
      </c>
      <c r="AZ45" s="186">
        <f t="shared" si="100"/>
        <v>0</v>
      </c>
      <c r="BA45" s="186">
        <f t="shared" si="100"/>
        <v>0</v>
      </c>
      <c r="BB45" s="186">
        <f t="shared" si="100"/>
        <v>0</v>
      </c>
      <c r="BC45" s="186">
        <f t="shared" si="100"/>
        <v>0</v>
      </c>
      <c r="BD45" s="186">
        <f t="shared" si="100"/>
        <v>0</v>
      </c>
      <c r="BE45" s="186">
        <f t="shared" si="100"/>
        <v>0</v>
      </c>
      <c r="BF45" s="186">
        <f t="shared" si="100"/>
        <v>0</v>
      </c>
      <c r="BG45" s="186">
        <f t="shared" si="100"/>
        <v>0</v>
      </c>
      <c r="BH45" s="186">
        <f t="shared" si="100"/>
        <v>0</v>
      </c>
      <c r="BI45" s="186">
        <f t="shared" si="100"/>
        <v>0</v>
      </c>
      <c r="BJ45" s="186">
        <f t="shared" si="100"/>
        <v>0</v>
      </c>
      <c r="BK45" s="186">
        <f t="shared" si="100"/>
        <v>0</v>
      </c>
      <c r="BL45" s="186">
        <f t="shared" si="100"/>
        <v>0</v>
      </c>
    </row>
    <row r="46" spans="2:64" x14ac:dyDescent="0.3">
      <c r="C46" s="130" t="s">
        <v>231</v>
      </c>
      <c r="D46" s="45">
        <f t="shared" ref="D46:E46" si="101">D37</f>
        <v>470733.22550099995</v>
      </c>
      <c r="E46" s="45">
        <f t="shared" si="101"/>
        <v>494269.88677604997</v>
      </c>
      <c r="F46" s="52">
        <f t="shared" ref="F46:F49" si="102">G5</f>
        <v>129.79999999999998</v>
      </c>
      <c r="G46" s="188">
        <f t="shared" ref="G46:H46" si="103">G37</f>
        <v>45839</v>
      </c>
      <c r="H46" s="188">
        <f t="shared" si="103"/>
        <v>46203</v>
      </c>
      <c r="I46" s="45">
        <f>'Assumption Sheet'!$F$29</f>
        <v>12</v>
      </c>
      <c r="J46" s="157">
        <f t="shared" ref="J46:J49" si="104">SUM(K46:BL46)</f>
        <v>0.99999999999999978</v>
      </c>
      <c r="K46" s="186">
        <f>IF(AND(K$28&gt;=$G46,K$28&lt;=$H46),10%,0)</f>
        <v>0</v>
      </c>
      <c r="L46" s="186">
        <f>IF(AND(L$28&gt;=$G46,L$28&lt;=$H46),10%,0)</f>
        <v>0</v>
      </c>
      <c r="M46" s="186">
        <f>IF(AND(M$28&gt;=$G46,M$28&lt;=$H46),80%/10,0)</f>
        <v>0</v>
      </c>
      <c r="N46" s="186">
        <f t="shared" si="100"/>
        <v>0</v>
      </c>
      <c r="O46" s="186">
        <f t="shared" si="100"/>
        <v>0</v>
      </c>
      <c r="P46" s="186">
        <f t="shared" si="100"/>
        <v>0</v>
      </c>
      <c r="Q46" s="186">
        <f t="shared" si="100"/>
        <v>0</v>
      </c>
      <c r="R46" s="186">
        <f t="shared" si="100"/>
        <v>0</v>
      </c>
      <c r="S46" s="186">
        <f t="shared" si="100"/>
        <v>0</v>
      </c>
      <c r="T46" s="186">
        <f t="shared" si="100"/>
        <v>0</v>
      </c>
      <c r="U46" s="186">
        <f t="shared" si="100"/>
        <v>0</v>
      </c>
      <c r="V46" s="186">
        <f t="shared" si="100"/>
        <v>0</v>
      </c>
      <c r="W46" s="157">
        <f>IF(AND(W$28&gt;=$G46,W$28&lt;=$H46),10%,0)</f>
        <v>0.1</v>
      </c>
      <c r="X46" s="157">
        <f>IF(AND(X$28&gt;=$G46,X$28&lt;=$H46),10%,0)</f>
        <v>0.1</v>
      </c>
      <c r="Y46" s="157">
        <f t="shared" si="100"/>
        <v>0.08</v>
      </c>
      <c r="Z46" s="157">
        <f t="shared" si="100"/>
        <v>0.08</v>
      </c>
      <c r="AA46" s="157">
        <f t="shared" si="100"/>
        <v>0.08</v>
      </c>
      <c r="AB46" s="157">
        <f t="shared" si="100"/>
        <v>0.08</v>
      </c>
      <c r="AC46" s="157">
        <f t="shared" si="100"/>
        <v>0.08</v>
      </c>
      <c r="AD46" s="157">
        <f t="shared" si="100"/>
        <v>0.08</v>
      </c>
      <c r="AE46" s="157">
        <f t="shared" si="100"/>
        <v>0.08</v>
      </c>
      <c r="AF46" s="157">
        <f t="shared" si="100"/>
        <v>0.08</v>
      </c>
      <c r="AG46" s="157">
        <f t="shared" si="100"/>
        <v>0.08</v>
      </c>
      <c r="AH46" s="157">
        <f t="shared" si="100"/>
        <v>0.08</v>
      </c>
      <c r="AI46" s="186">
        <f t="shared" si="100"/>
        <v>0</v>
      </c>
      <c r="AJ46" s="186">
        <f t="shared" si="100"/>
        <v>0</v>
      </c>
      <c r="AK46" s="186">
        <f t="shared" si="100"/>
        <v>0</v>
      </c>
      <c r="AL46" s="186">
        <f t="shared" si="100"/>
        <v>0</v>
      </c>
      <c r="AM46" s="186">
        <f t="shared" si="100"/>
        <v>0</v>
      </c>
      <c r="AN46" s="186">
        <f t="shared" si="100"/>
        <v>0</v>
      </c>
      <c r="AO46" s="186">
        <f t="shared" si="100"/>
        <v>0</v>
      </c>
      <c r="AP46" s="186">
        <f t="shared" si="100"/>
        <v>0</v>
      </c>
      <c r="AQ46" s="186">
        <f t="shared" si="100"/>
        <v>0</v>
      </c>
      <c r="AR46" s="186">
        <f t="shared" si="100"/>
        <v>0</v>
      </c>
      <c r="AS46" s="186">
        <f t="shared" si="100"/>
        <v>0</v>
      </c>
      <c r="AT46" s="186">
        <f t="shared" si="100"/>
        <v>0</v>
      </c>
      <c r="AU46" s="186">
        <f t="shared" si="100"/>
        <v>0</v>
      </c>
      <c r="AV46" s="186">
        <f t="shared" si="100"/>
        <v>0</v>
      </c>
      <c r="AW46" s="186">
        <f t="shared" si="100"/>
        <v>0</v>
      </c>
      <c r="AX46" s="186">
        <f t="shared" si="100"/>
        <v>0</v>
      </c>
      <c r="AY46" s="186">
        <f t="shared" si="100"/>
        <v>0</v>
      </c>
      <c r="AZ46" s="186">
        <f t="shared" si="100"/>
        <v>0</v>
      </c>
      <c r="BA46" s="186">
        <f t="shared" si="100"/>
        <v>0</v>
      </c>
      <c r="BB46" s="186">
        <f t="shared" si="100"/>
        <v>0</v>
      </c>
      <c r="BC46" s="186">
        <f t="shared" si="100"/>
        <v>0</v>
      </c>
      <c r="BD46" s="186">
        <f t="shared" si="100"/>
        <v>0</v>
      </c>
      <c r="BE46" s="186">
        <f t="shared" si="100"/>
        <v>0</v>
      </c>
      <c r="BF46" s="186">
        <f t="shared" si="100"/>
        <v>0</v>
      </c>
      <c r="BG46" s="186">
        <f t="shared" si="100"/>
        <v>0</v>
      </c>
      <c r="BH46" s="186">
        <f t="shared" si="100"/>
        <v>0</v>
      </c>
      <c r="BI46" s="186">
        <f t="shared" si="100"/>
        <v>0</v>
      </c>
      <c r="BJ46" s="186">
        <f t="shared" si="100"/>
        <v>0</v>
      </c>
      <c r="BK46" s="186">
        <f t="shared" si="100"/>
        <v>0</v>
      </c>
      <c r="BL46" s="186">
        <f t="shared" si="100"/>
        <v>0</v>
      </c>
    </row>
    <row r="47" spans="2:64" x14ac:dyDescent="0.3">
      <c r="C47" s="130" t="s">
        <v>232</v>
      </c>
      <c r="D47" s="45">
        <f t="shared" ref="D47:E47" si="105">D38</f>
        <v>196225.03588799998</v>
      </c>
      <c r="E47" s="45">
        <f t="shared" si="105"/>
        <v>206036.2876824</v>
      </c>
      <c r="F47" s="52">
        <f t="shared" si="102"/>
        <v>129.79999999999998</v>
      </c>
      <c r="G47" s="188">
        <f t="shared" ref="G47:H47" si="106">G38</f>
        <v>46113</v>
      </c>
      <c r="H47" s="188">
        <f t="shared" si="106"/>
        <v>46477</v>
      </c>
      <c r="I47" s="45">
        <f>'Assumption Sheet'!$F$30</f>
        <v>12</v>
      </c>
      <c r="J47" s="157">
        <f t="shared" si="104"/>
        <v>0.99999999999999978</v>
      </c>
      <c r="K47" s="186">
        <f t="shared" ref="K47:L49" si="107">IF(AND(K$28&gt;=$G47,K$28&lt;=$H47),10%,0)</f>
        <v>0</v>
      </c>
      <c r="L47" s="186">
        <f t="shared" si="107"/>
        <v>0</v>
      </c>
      <c r="M47" s="186">
        <f t="shared" ref="M47:M48" si="108">IF(AND(M$28&gt;=$G47,M$28&lt;=$H47),80%/10,0)</f>
        <v>0</v>
      </c>
      <c r="N47" s="186">
        <f t="shared" si="100"/>
        <v>0</v>
      </c>
      <c r="O47" s="186">
        <f t="shared" si="100"/>
        <v>0</v>
      </c>
      <c r="P47" s="186">
        <f t="shared" si="100"/>
        <v>0</v>
      </c>
      <c r="Q47" s="186">
        <f t="shared" si="100"/>
        <v>0</v>
      </c>
      <c r="R47" s="186">
        <f t="shared" si="100"/>
        <v>0</v>
      </c>
      <c r="S47" s="186">
        <f t="shared" si="100"/>
        <v>0</v>
      </c>
      <c r="T47" s="186">
        <f t="shared" si="100"/>
        <v>0</v>
      </c>
      <c r="U47" s="186">
        <f t="shared" si="100"/>
        <v>0</v>
      </c>
      <c r="V47" s="186">
        <f t="shared" si="100"/>
        <v>0</v>
      </c>
      <c r="W47" s="186">
        <f t="shared" ref="W47:X49" si="109">IF(AND(W$28&gt;=$G47,W$28&lt;=$H47),10%,0)</f>
        <v>0</v>
      </c>
      <c r="X47" s="186">
        <f t="shared" si="109"/>
        <v>0</v>
      </c>
      <c r="Y47" s="186">
        <f t="shared" si="100"/>
        <v>0</v>
      </c>
      <c r="Z47" s="186">
        <f t="shared" si="100"/>
        <v>0</v>
      </c>
      <c r="AA47" s="186">
        <f t="shared" si="100"/>
        <v>0</v>
      </c>
      <c r="AB47" s="186">
        <f t="shared" si="100"/>
        <v>0</v>
      </c>
      <c r="AC47" s="186">
        <f t="shared" si="100"/>
        <v>0</v>
      </c>
      <c r="AD47" s="186">
        <f t="shared" si="100"/>
        <v>0</v>
      </c>
      <c r="AE47" s="186">
        <f t="shared" si="100"/>
        <v>0</v>
      </c>
      <c r="AF47" s="157">
        <f>IF(AND(AF$28&gt;=$G47,AF$28&lt;=$H47),10%,0)</f>
        <v>0.1</v>
      </c>
      <c r="AG47" s="157">
        <f>IF(AND(AG$28&gt;=$G47,AG$28&lt;=$H47),10%,0)</f>
        <v>0.1</v>
      </c>
      <c r="AH47" s="157">
        <f t="shared" si="100"/>
        <v>0.08</v>
      </c>
      <c r="AI47" s="157">
        <f t="shared" si="100"/>
        <v>0.08</v>
      </c>
      <c r="AJ47" s="157">
        <f t="shared" si="100"/>
        <v>0.08</v>
      </c>
      <c r="AK47" s="157">
        <f t="shared" si="100"/>
        <v>0.08</v>
      </c>
      <c r="AL47" s="157">
        <f t="shared" si="100"/>
        <v>0.08</v>
      </c>
      <c r="AM47" s="157">
        <f t="shared" si="100"/>
        <v>0.08</v>
      </c>
      <c r="AN47" s="157">
        <f t="shared" si="100"/>
        <v>0.08</v>
      </c>
      <c r="AO47" s="157">
        <f t="shared" si="100"/>
        <v>0.08</v>
      </c>
      <c r="AP47" s="157">
        <f t="shared" si="100"/>
        <v>0.08</v>
      </c>
      <c r="AQ47" s="157">
        <f t="shared" si="100"/>
        <v>0.08</v>
      </c>
      <c r="AR47" s="186">
        <f t="shared" si="100"/>
        <v>0</v>
      </c>
      <c r="AS47" s="186">
        <f t="shared" si="100"/>
        <v>0</v>
      </c>
      <c r="AT47" s="186">
        <f t="shared" si="100"/>
        <v>0</v>
      </c>
      <c r="AU47" s="186">
        <f t="shared" si="100"/>
        <v>0</v>
      </c>
      <c r="AV47" s="186">
        <f t="shared" si="100"/>
        <v>0</v>
      </c>
      <c r="AW47" s="186">
        <f t="shared" si="100"/>
        <v>0</v>
      </c>
      <c r="AX47" s="186">
        <f t="shared" si="100"/>
        <v>0</v>
      </c>
      <c r="AY47" s="186">
        <f t="shared" si="100"/>
        <v>0</v>
      </c>
      <c r="AZ47" s="186">
        <f t="shared" si="100"/>
        <v>0</v>
      </c>
      <c r="BA47" s="186">
        <f t="shared" si="100"/>
        <v>0</v>
      </c>
      <c r="BB47" s="186">
        <f t="shared" si="100"/>
        <v>0</v>
      </c>
      <c r="BC47" s="186">
        <f t="shared" si="100"/>
        <v>0</v>
      </c>
      <c r="BD47" s="186">
        <f t="shared" si="100"/>
        <v>0</v>
      </c>
      <c r="BE47" s="186">
        <f t="shared" si="100"/>
        <v>0</v>
      </c>
      <c r="BF47" s="186">
        <f t="shared" si="100"/>
        <v>0</v>
      </c>
      <c r="BG47" s="186">
        <f t="shared" si="100"/>
        <v>0</v>
      </c>
      <c r="BH47" s="186">
        <f t="shared" si="100"/>
        <v>0</v>
      </c>
      <c r="BI47" s="186">
        <f t="shared" si="100"/>
        <v>0</v>
      </c>
      <c r="BJ47" s="186">
        <f t="shared" si="100"/>
        <v>0</v>
      </c>
      <c r="BK47" s="186">
        <f t="shared" si="100"/>
        <v>0</v>
      </c>
      <c r="BL47" s="186">
        <f t="shared" si="100"/>
        <v>0</v>
      </c>
    </row>
    <row r="48" spans="2:64" x14ac:dyDescent="0.3">
      <c r="C48" s="130" t="s">
        <v>234</v>
      </c>
      <c r="D48" s="45">
        <f t="shared" ref="D48:E48" si="110">D39</f>
        <v>420964.181071</v>
      </c>
      <c r="E48" s="45">
        <f t="shared" si="110"/>
        <v>442012.39012455003</v>
      </c>
      <c r="F48" s="52">
        <f t="shared" si="102"/>
        <v>129.79999999999998</v>
      </c>
      <c r="G48" s="188">
        <f t="shared" ref="G48:H48" si="111">G39</f>
        <v>46388</v>
      </c>
      <c r="H48" s="188">
        <f t="shared" si="111"/>
        <v>46752</v>
      </c>
      <c r="I48" s="45">
        <f>'Assumption Sheet'!$F$31</f>
        <v>12</v>
      </c>
      <c r="J48" s="157">
        <f t="shared" si="104"/>
        <v>0.99999999999999978</v>
      </c>
      <c r="K48" s="186">
        <f t="shared" si="107"/>
        <v>0</v>
      </c>
      <c r="L48" s="186">
        <f t="shared" si="107"/>
        <v>0</v>
      </c>
      <c r="M48" s="186">
        <f t="shared" si="108"/>
        <v>0</v>
      </c>
      <c r="N48" s="186">
        <f t="shared" si="100"/>
        <v>0</v>
      </c>
      <c r="O48" s="186">
        <f t="shared" si="100"/>
        <v>0</v>
      </c>
      <c r="P48" s="186">
        <f t="shared" si="100"/>
        <v>0</v>
      </c>
      <c r="Q48" s="186">
        <f t="shared" si="100"/>
        <v>0</v>
      </c>
      <c r="R48" s="186">
        <f t="shared" si="100"/>
        <v>0</v>
      </c>
      <c r="S48" s="186">
        <f t="shared" si="100"/>
        <v>0</v>
      </c>
      <c r="T48" s="186">
        <f t="shared" si="100"/>
        <v>0</v>
      </c>
      <c r="U48" s="186">
        <f t="shared" si="100"/>
        <v>0</v>
      </c>
      <c r="V48" s="186">
        <f t="shared" si="100"/>
        <v>0</v>
      </c>
      <c r="W48" s="186">
        <f t="shared" si="109"/>
        <v>0</v>
      </c>
      <c r="X48" s="186">
        <f t="shared" si="109"/>
        <v>0</v>
      </c>
      <c r="Y48" s="186">
        <f t="shared" si="100"/>
        <v>0</v>
      </c>
      <c r="Z48" s="186">
        <f t="shared" si="100"/>
        <v>0</v>
      </c>
      <c r="AA48" s="186">
        <f t="shared" si="100"/>
        <v>0</v>
      </c>
      <c r="AB48" s="186">
        <f t="shared" si="100"/>
        <v>0</v>
      </c>
      <c r="AC48" s="186">
        <f t="shared" si="100"/>
        <v>0</v>
      </c>
      <c r="AD48" s="186">
        <f t="shared" si="100"/>
        <v>0</v>
      </c>
      <c r="AE48" s="186">
        <f t="shared" si="100"/>
        <v>0</v>
      </c>
      <c r="AF48" s="186">
        <f t="shared" si="100"/>
        <v>0</v>
      </c>
      <c r="AG48" s="186">
        <f t="shared" si="100"/>
        <v>0</v>
      </c>
      <c r="AH48" s="186">
        <f t="shared" si="100"/>
        <v>0</v>
      </c>
      <c r="AI48" s="186">
        <f t="shared" si="100"/>
        <v>0</v>
      </c>
      <c r="AJ48" s="186">
        <f t="shared" si="100"/>
        <v>0</v>
      </c>
      <c r="AK48" s="186">
        <f t="shared" si="100"/>
        <v>0</v>
      </c>
      <c r="AL48" s="186">
        <f t="shared" si="100"/>
        <v>0</v>
      </c>
      <c r="AM48" s="186">
        <f t="shared" si="100"/>
        <v>0</v>
      </c>
      <c r="AN48" s="186">
        <f t="shared" si="100"/>
        <v>0</v>
      </c>
      <c r="AO48" s="157">
        <f>IF(AND(AO$28&gt;=$G48,AO$28&lt;=$H48),10%,0)</f>
        <v>0.1</v>
      </c>
      <c r="AP48" s="157">
        <f>IF(AND(AP$28&gt;=$G48,AP$28&lt;=$H48),10%,0)</f>
        <v>0.1</v>
      </c>
      <c r="AQ48" s="157">
        <f t="shared" si="100"/>
        <v>0.08</v>
      </c>
      <c r="AR48" s="157">
        <f t="shared" si="100"/>
        <v>0.08</v>
      </c>
      <c r="AS48" s="157">
        <f t="shared" si="100"/>
        <v>0.08</v>
      </c>
      <c r="AT48" s="157">
        <f t="shared" si="100"/>
        <v>0.08</v>
      </c>
      <c r="AU48" s="157">
        <f t="shared" si="100"/>
        <v>0.08</v>
      </c>
      <c r="AV48" s="157">
        <f t="shared" si="100"/>
        <v>0.08</v>
      </c>
      <c r="AW48" s="157">
        <f t="shared" si="100"/>
        <v>0.08</v>
      </c>
      <c r="AX48" s="157">
        <f t="shared" si="100"/>
        <v>0.08</v>
      </c>
      <c r="AY48" s="157">
        <f t="shared" si="100"/>
        <v>0.08</v>
      </c>
      <c r="AZ48" s="157">
        <f t="shared" si="100"/>
        <v>0.08</v>
      </c>
      <c r="BA48" s="186">
        <f t="shared" si="100"/>
        <v>0</v>
      </c>
      <c r="BB48" s="186">
        <f t="shared" si="100"/>
        <v>0</v>
      </c>
      <c r="BC48" s="186">
        <f t="shared" si="100"/>
        <v>0</v>
      </c>
      <c r="BD48" s="186">
        <f t="shared" si="100"/>
        <v>0</v>
      </c>
      <c r="BE48" s="186">
        <f t="shared" si="100"/>
        <v>0</v>
      </c>
      <c r="BF48" s="186">
        <f t="shared" si="100"/>
        <v>0</v>
      </c>
      <c r="BG48" s="186">
        <f t="shared" si="100"/>
        <v>0</v>
      </c>
      <c r="BH48" s="186">
        <f t="shared" si="100"/>
        <v>0</v>
      </c>
      <c r="BI48" s="186">
        <f t="shared" si="100"/>
        <v>0</v>
      </c>
      <c r="BJ48" s="186">
        <f t="shared" si="100"/>
        <v>0</v>
      </c>
      <c r="BK48" s="186">
        <f t="shared" si="100"/>
        <v>0</v>
      </c>
      <c r="BL48" s="186">
        <f t="shared" si="100"/>
        <v>0</v>
      </c>
    </row>
    <row r="49" spans="2:64" x14ac:dyDescent="0.3">
      <c r="C49" s="130" t="s">
        <v>259</v>
      </c>
      <c r="D49" s="45">
        <f t="shared" ref="D49:E49" si="112">D40</f>
        <v>87708.024565</v>
      </c>
      <c r="E49" s="45">
        <f t="shared" si="112"/>
        <v>92093.425793250004</v>
      </c>
      <c r="F49" s="52">
        <f t="shared" si="102"/>
        <v>129.79999999999998</v>
      </c>
      <c r="G49" s="188">
        <f t="shared" ref="G49:H49" si="113">G40</f>
        <v>46661</v>
      </c>
      <c r="H49" s="188">
        <f t="shared" si="113"/>
        <v>47118</v>
      </c>
      <c r="I49" s="45">
        <f>'Assumption Sheet'!$F$32</f>
        <v>15</v>
      </c>
      <c r="J49" s="157">
        <f t="shared" si="104"/>
        <v>0.99999999999999989</v>
      </c>
      <c r="K49" s="186">
        <f t="shared" si="107"/>
        <v>0</v>
      </c>
      <c r="L49" s="186">
        <f t="shared" si="107"/>
        <v>0</v>
      </c>
      <c r="M49" s="186">
        <f>IF(AND(M$28&gt;=$G49,M$28&lt;=$H49),80%/13,0)</f>
        <v>0</v>
      </c>
      <c r="N49" s="186">
        <f t="shared" si="100"/>
        <v>0</v>
      </c>
      <c r="O49" s="186">
        <f t="shared" si="100"/>
        <v>0</v>
      </c>
      <c r="P49" s="186">
        <f t="shared" si="100"/>
        <v>0</v>
      </c>
      <c r="Q49" s="186">
        <f t="shared" si="100"/>
        <v>0</v>
      </c>
      <c r="R49" s="186">
        <f t="shared" si="100"/>
        <v>0</v>
      </c>
      <c r="S49" s="186">
        <f t="shared" si="100"/>
        <v>0</v>
      </c>
      <c r="T49" s="186">
        <f t="shared" si="100"/>
        <v>0</v>
      </c>
      <c r="U49" s="186">
        <f t="shared" si="100"/>
        <v>0</v>
      </c>
      <c r="V49" s="186">
        <f t="shared" si="100"/>
        <v>0</v>
      </c>
      <c r="W49" s="186">
        <f t="shared" si="109"/>
        <v>0</v>
      </c>
      <c r="X49" s="186">
        <f t="shared" si="109"/>
        <v>0</v>
      </c>
      <c r="Y49" s="186">
        <f t="shared" si="100"/>
        <v>0</v>
      </c>
      <c r="Z49" s="186">
        <f t="shared" si="100"/>
        <v>0</v>
      </c>
      <c r="AA49" s="186">
        <f t="shared" si="100"/>
        <v>0</v>
      </c>
      <c r="AB49" s="186">
        <f t="shared" si="100"/>
        <v>0</v>
      </c>
      <c r="AC49" s="186">
        <f t="shared" si="100"/>
        <v>0</v>
      </c>
      <c r="AD49" s="186">
        <f t="shared" si="100"/>
        <v>0</v>
      </c>
      <c r="AE49" s="186">
        <f t="shared" si="100"/>
        <v>0</v>
      </c>
      <c r="AF49" s="186">
        <f t="shared" si="100"/>
        <v>0</v>
      </c>
      <c r="AG49" s="186">
        <f t="shared" si="100"/>
        <v>0</v>
      </c>
      <c r="AH49" s="186">
        <f t="shared" si="100"/>
        <v>0</v>
      </c>
      <c r="AI49" s="186">
        <f t="shared" si="100"/>
        <v>0</v>
      </c>
      <c r="AJ49" s="186">
        <f t="shared" si="100"/>
        <v>0</v>
      </c>
      <c r="AK49" s="186">
        <f t="shared" si="100"/>
        <v>0</v>
      </c>
      <c r="AL49" s="186">
        <f t="shared" si="100"/>
        <v>0</v>
      </c>
      <c r="AM49" s="186">
        <f t="shared" si="100"/>
        <v>0</v>
      </c>
      <c r="AN49" s="186">
        <f t="shared" si="100"/>
        <v>0</v>
      </c>
      <c r="AO49" s="186">
        <f t="shared" si="100"/>
        <v>0</v>
      </c>
      <c r="AP49" s="186">
        <f t="shared" si="100"/>
        <v>0</v>
      </c>
      <c r="AQ49" s="186">
        <f t="shared" si="100"/>
        <v>0</v>
      </c>
      <c r="AR49" s="186">
        <f t="shared" si="100"/>
        <v>0</v>
      </c>
      <c r="AS49" s="186">
        <f t="shared" si="100"/>
        <v>0</v>
      </c>
      <c r="AT49" s="186">
        <f t="shared" si="100"/>
        <v>0</v>
      </c>
      <c r="AU49" s="186">
        <f t="shared" si="100"/>
        <v>0</v>
      </c>
      <c r="AV49" s="186">
        <f t="shared" si="100"/>
        <v>0</v>
      </c>
      <c r="AW49" s="186">
        <f t="shared" si="100"/>
        <v>0</v>
      </c>
      <c r="AX49" s="157">
        <f>IF(AND(AX$28&gt;=$G49,AX$28&lt;=$H49),100%/15,0)</f>
        <v>6.6666666666666666E-2</v>
      </c>
      <c r="AY49" s="157">
        <f t="shared" ref="AY49:BL49" si="114">IF(AND(AY$28&gt;=$G49,AY$28&lt;=$H49),100%/15,0)</f>
        <v>6.6666666666666666E-2</v>
      </c>
      <c r="AZ49" s="157">
        <f t="shared" si="114"/>
        <v>6.6666666666666666E-2</v>
      </c>
      <c r="BA49" s="157">
        <f t="shared" si="114"/>
        <v>6.6666666666666666E-2</v>
      </c>
      <c r="BB49" s="157">
        <f t="shared" si="114"/>
        <v>6.6666666666666666E-2</v>
      </c>
      <c r="BC49" s="157">
        <f t="shared" si="114"/>
        <v>6.6666666666666666E-2</v>
      </c>
      <c r="BD49" s="157">
        <f t="shared" si="114"/>
        <v>6.6666666666666666E-2</v>
      </c>
      <c r="BE49" s="157">
        <f t="shared" si="114"/>
        <v>6.6666666666666666E-2</v>
      </c>
      <c r="BF49" s="157">
        <f t="shared" si="114"/>
        <v>6.6666666666666666E-2</v>
      </c>
      <c r="BG49" s="157">
        <f t="shared" si="114"/>
        <v>6.6666666666666666E-2</v>
      </c>
      <c r="BH49" s="157">
        <f t="shared" si="114"/>
        <v>6.6666666666666666E-2</v>
      </c>
      <c r="BI49" s="157">
        <f t="shared" si="114"/>
        <v>6.6666666666666666E-2</v>
      </c>
      <c r="BJ49" s="157">
        <f t="shared" si="114"/>
        <v>6.6666666666666666E-2</v>
      </c>
      <c r="BK49" s="157">
        <f t="shared" si="114"/>
        <v>6.6666666666666666E-2</v>
      </c>
      <c r="BL49" s="157">
        <f t="shared" si="114"/>
        <v>6.6666666666666666E-2</v>
      </c>
    </row>
    <row r="51" spans="2:64" ht="27.6" x14ac:dyDescent="0.3">
      <c r="C51" s="184" t="s">
        <v>208</v>
      </c>
      <c r="D51" s="184" t="s">
        <v>371</v>
      </c>
      <c r="E51" s="24" t="s">
        <v>372</v>
      </c>
      <c r="F51" s="184" t="s">
        <v>384</v>
      </c>
      <c r="G51" s="184" t="s">
        <v>373</v>
      </c>
      <c r="H51" s="184" t="s">
        <v>374</v>
      </c>
      <c r="I51" s="184" t="s">
        <v>375</v>
      </c>
      <c r="J51" s="187" t="s">
        <v>383</v>
      </c>
      <c r="K51" s="185">
        <f>EOMONTH(MIN(G13:G17),0)</f>
        <v>45504</v>
      </c>
      <c r="L51" s="185">
        <f>EOMONTH(K51,1)</f>
        <v>45535</v>
      </c>
      <c r="M51" s="185">
        <f t="shared" ref="M51:BL51" si="115">EOMONTH(L51,1)</f>
        <v>45565</v>
      </c>
      <c r="N51" s="185">
        <f t="shared" si="115"/>
        <v>45596</v>
      </c>
      <c r="O51" s="185">
        <f t="shared" si="115"/>
        <v>45626</v>
      </c>
      <c r="P51" s="185">
        <f t="shared" si="115"/>
        <v>45657</v>
      </c>
      <c r="Q51" s="185">
        <f t="shared" si="115"/>
        <v>45688</v>
      </c>
      <c r="R51" s="185">
        <f t="shared" si="115"/>
        <v>45716</v>
      </c>
      <c r="S51" s="185">
        <f t="shared" si="115"/>
        <v>45747</v>
      </c>
      <c r="T51" s="185">
        <f t="shared" si="115"/>
        <v>45777</v>
      </c>
      <c r="U51" s="185">
        <f t="shared" si="115"/>
        <v>45808</v>
      </c>
      <c r="V51" s="185">
        <f t="shared" si="115"/>
        <v>45838</v>
      </c>
      <c r="W51" s="185">
        <f t="shared" si="115"/>
        <v>45869</v>
      </c>
      <c r="X51" s="185">
        <f t="shared" si="115"/>
        <v>45900</v>
      </c>
      <c r="Y51" s="185">
        <f t="shared" si="115"/>
        <v>45930</v>
      </c>
      <c r="Z51" s="185">
        <f t="shared" si="115"/>
        <v>45961</v>
      </c>
      <c r="AA51" s="185">
        <f t="shared" si="115"/>
        <v>45991</v>
      </c>
      <c r="AB51" s="185">
        <f t="shared" si="115"/>
        <v>46022</v>
      </c>
      <c r="AC51" s="185">
        <f t="shared" si="115"/>
        <v>46053</v>
      </c>
      <c r="AD51" s="185">
        <f t="shared" si="115"/>
        <v>46081</v>
      </c>
      <c r="AE51" s="185">
        <f t="shared" si="115"/>
        <v>46112</v>
      </c>
      <c r="AF51" s="185">
        <f t="shared" si="115"/>
        <v>46142</v>
      </c>
      <c r="AG51" s="185">
        <f t="shared" si="115"/>
        <v>46173</v>
      </c>
      <c r="AH51" s="185">
        <f t="shared" si="115"/>
        <v>46203</v>
      </c>
      <c r="AI51" s="185">
        <f t="shared" si="115"/>
        <v>46234</v>
      </c>
      <c r="AJ51" s="185">
        <f t="shared" si="115"/>
        <v>46265</v>
      </c>
      <c r="AK51" s="185">
        <f t="shared" si="115"/>
        <v>46295</v>
      </c>
      <c r="AL51" s="185">
        <f t="shared" si="115"/>
        <v>46326</v>
      </c>
      <c r="AM51" s="185">
        <f t="shared" si="115"/>
        <v>46356</v>
      </c>
      <c r="AN51" s="185">
        <f t="shared" si="115"/>
        <v>46387</v>
      </c>
      <c r="AO51" s="185">
        <f t="shared" si="115"/>
        <v>46418</v>
      </c>
      <c r="AP51" s="185">
        <f t="shared" si="115"/>
        <v>46446</v>
      </c>
      <c r="AQ51" s="185">
        <f t="shared" si="115"/>
        <v>46477</v>
      </c>
      <c r="AR51" s="185">
        <f t="shared" si="115"/>
        <v>46507</v>
      </c>
      <c r="AS51" s="185">
        <f t="shared" si="115"/>
        <v>46538</v>
      </c>
      <c r="AT51" s="185">
        <f t="shared" si="115"/>
        <v>46568</v>
      </c>
      <c r="AU51" s="185">
        <f t="shared" si="115"/>
        <v>46599</v>
      </c>
      <c r="AV51" s="185">
        <f t="shared" si="115"/>
        <v>46630</v>
      </c>
      <c r="AW51" s="185">
        <f t="shared" si="115"/>
        <v>46660</v>
      </c>
      <c r="AX51" s="185">
        <f t="shared" si="115"/>
        <v>46691</v>
      </c>
      <c r="AY51" s="185">
        <f t="shared" si="115"/>
        <v>46721</v>
      </c>
      <c r="AZ51" s="185">
        <f t="shared" si="115"/>
        <v>46752</v>
      </c>
      <c r="BA51" s="185">
        <f t="shared" si="115"/>
        <v>46783</v>
      </c>
      <c r="BB51" s="185">
        <f t="shared" si="115"/>
        <v>46812</v>
      </c>
      <c r="BC51" s="185">
        <f t="shared" si="115"/>
        <v>46843</v>
      </c>
      <c r="BD51" s="185">
        <f t="shared" si="115"/>
        <v>46873</v>
      </c>
      <c r="BE51" s="185">
        <f t="shared" si="115"/>
        <v>46904</v>
      </c>
      <c r="BF51" s="185">
        <f t="shared" si="115"/>
        <v>46934</v>
      </c>
      <c r="BG51" s="185">
        <f t="shared" si="115"/>
        <v>46965</v>
      </c>
      <c r="BH51" s="185">
        <f t="shared" si="115"/>
        <v>46996</v>
      </c>
      <c r="BI51" s="185">
        <f t="shared" si="115"/>
        <v>47026</v>
      </c>
      <c r="BJ51" s="185">
        <f t="shared" si="115"/>
        <v>47057</v>
      </c>
      <c r="BK51" s="185">
        <f t="shared" si="115"/>
        <v>47087</v>
      </c>
      <c r="BL51" s="185">
        <f t="shared" si="115"/>
        <v>47118</v>
      </c>
    </row>
    <row r="52" spans="2:64" x14ac:dyDescent="0.3">
      <c r="C52" s="130" t="s">
        <v>230</v>
      </c>
      <c r="D52" s="45">
        <f>D45</f>
        <v>243028.41058999998</v>
      </c>
      <c r="E52" s="45">
        <f>E45</f>
        <v>255179.83111949998</v>
      </c>
      <c r="F52" s="33">
        <f>F45</f>
        <v>129.79999999999998</v>
      </c>
      <c r="G52" s="188">
        <f t="shared" ref="G52:H52" si="116">G45</f>
        <v>45474</v>
      </c>
      <c r="H52" s="188">
        <f t="shared" si="116"/>
        <v>45838</v>
      </c>
      <c r="I52" s="45">
        <f>'Assumption Sheet'!$F$28</f>
        <v>12</v>
      </c>
      <c r="J52" s="186">
        <f>SUM(K52:BL52)</f>
        <v>3.1545087694581988</v>
      </c>
      <c r="K52" s="186">
        <f>K45*$F52*$D52/10^7</f>
        <v>0.31545087694581991</v>
      </c>
      <c r="L52" s="186">
        <f t="shared" ref="L52:BL52" si="117">L45*$F52*$D52/10^7</f>
        <v>0.31545087694581991</v>
      </c>
      <c r="M52" s="186">
        <f t="shared" si="117"/>
        <v>0.25236070155665596</v>
      </c>
      <c r="N52" s="186">
        <f t="shared" si="117"/>
        <v>0.25236070155665596</v>
      </c>
      <c r="O52" s="186">
        <f t="shared" si="117"/>
        <v>0.25236070155665596</v>
      </c>
      <c r="P52" s="186">
        <f t="shared" si="117"/>
        <v>0.25236070155665596</v>
      </c>
      <c r="Q52" s="186">
        <f t="shared" si="117"/>
        <v>0.25236070155665596</v>
      </c>
      <c r="R52" s="186">
        <f t="shared" si="117"/>
        <v>0.25236070155665596</v>
      </c>
      <c r="S52" s="186">
        <f t="shared" si="117"/>
        <v>0.25236070155665596</v>
      </c>
      <c r="T52" s="186">
        <f t="shared" si="117"/>
        <v>0.25236070155665596</v>
      </c>
      <c r="U52" s="186">
        <f t="shared" si="117"/>
        <v>0.25236070155665596</v>
      </c>
      <c r="V52" s="186">
        <f t="shared" si="117"/>
        <v>0.25236070155665596</v>
      </c>
      <c r="W52" s="186">
        <f t="shared" si="117"/>
        <v>0</v>
      </c>
      <c r="X52" s="186">
        <f t="shared" si="117"/>
        <v>0</v>
      </c>
      <c r="Y52" s="186">
        <f t="shared" si="117"/>
        <v>0</v>
      </c>
      <c r="Z52" s="186">
        <f t="shared" si="117"/>
        <v>0</v>
      </c>
      <c r="AA52" s="186">
        <f t="shared" si="117"/>
        <v>0</v>
      </c>
      <c r="AB52" s="186">
        <f t="shared" si="117"/>
        <v>0</v>
      </c>
      <c r="AC52" s="186">
        <f t="shared" si="117"/>
        <v>0</v>
      </c>
      <c r="AD52" s="186">
        <f t="shared" si="117"/>
        <v>0</v>
      </c>
      <c r="AE52" s="186">
        <f t="shared" si="117"/>
        <v>0</v>
      </c>
      <c r="AF52" s="186">
        <f t="shared" si="117"/>
        <v>0</v>
      </c>
      <c r="AG52" s="186">
        <f t="shared" si="117"/>
        <v>0</v>
      </c>
      <c r="AH52" s="186">
        <f t="shared" si="117"/>
        <v>0</v>
      </c>
      <c r="AI52" s="186">
        <f t="shared" si="117"/>
        <v>0</v>
      </c>
      <c r="AJ52" s="186">
        <f t="shared" si="117"/>
        <v>0</v>
      </c>
      <c r="AK52" s="186">
        <f t="shared" si="117"/>
        <v>0</v>
      </c>
      <c r="AL52" s="186">
        <f t="shared" si="117"/>
        <v>0</v>
      </c>
      <c r="AM52" s="186">
        <f t="shared" si="117"/>
        <v>0</v>
      </c>
      <c r="AN52" s="186">
        <f t="shared" si="117"/>
        <v>0</v>
      </c>
      <c r="AO52" s="186">
        <f t="shared" si="117"/>
        <v>0</v>
      </c>
      <c r="AP52" s="186">
        <f t="shared" si="117"/>
        <v>0</v>
      </c>
      <c r="AQ52" s="186">
        <f t="shared" si="117"/>
        <v>0</v>
      </c>
      <c r="AR52" s="186">
        <f t="shared" si="117"/>
        <v>0</v>
      </c>
      <c r="AS52" s="186">
        <f t="shared" si="117"/>
        <v>0</v>
      </c>
      <c r="AT52" s="186">
        <f t="shared" si="117"/>
        <v>0</v>
      </c>
      <c r="AU52" s="186">
        <f t="shared" si="117"/>
        <v>0</v>
      </c>
      <c r="AV52" s="186">
        <f t="shared" si="117"/>
        <v>0</v>
      </c>
      <c r="AW52" s="186">
        <f t="shared" si="117"/>
        <v>0</v>
      </c>
      <c r="AX52" s="186">
        <f t="shared" si="117"/>
        <v>0</v>
      </c>
      <c r="AY52" s="186">
        <f t="shared" si="117"/>
        <v>0</v>
      </c>
      <c r="AZ52" s="186">
        <f t="shared" si="117"/>
        <v>0</v>
      </c>
      <c r="BA52" s="186">
        <f t="shared" si="117"/>
        <v>0</v>
      </c>
      <c r="BB52" s="186">
        <f t="shared" si="117"/>
        <v>0</v>
      </c>
      <c r="BC52" s="186">
        <f t="shared" si="117"/>
        <v>0</v>
      </c>
      <c r="BD52" s="186">
        <f t="shared" si="117"/>
        <v>0</v>
      </c>
      <c r="BE52" s="186">
        <f t="shared" si="117"/>
        <v>0</v>
      </c>
      <c r="BF52" s="186">
        <f t="shared" si="117"/>
        <v>0</v>
      </c>
      <c r="BG52" s="186">
        <f t="shared" si="117"/>
        <v>0</v>
      </c>
      <c r="BH52" s="186">
        <f t="shared" si="117"/>
        <v>0</v>
      </c>
      <c r="BI52" s="186">
        <f t="shared" si="117"/>
        <v>0</v>
      </c>
      <c r="BJ52" s="186">
        <f t="shared" si="117"/>
        <v>0</v>
      </c>
      <c r="BK52" s="186">
        <f t="shared" si="117"/>
        <v>0</v>
      </c>
      <c r="BL52" s="186">
        <f t="shared" si="117"/>
        <v>0</v>
      </c>
    </row>
    <row r="53" spans="2:64" x14ac:dyDescent="0.3">
      <c r="C53" s="130" t="s">
        <v>231</v>
      </c>
      <c r="D53" s="45">
        <f t="shared" ref="D53:H53" si="118">D46</f>
        <v>470733.22550099995</v>
      </c>
      <c r="E53" s="45">
        <f t="shared" si="118"/>
        <v>494269.88677604997</v>
      </c>
      <c r="F53" s="33">
        <f t="shared" si="118"/>
        <v>129.79999999999998</v>
      </c>
      <c r="G53" s="188">
        <f t="shared" si="118"/>
        <v>45839</v>
      </c>
      <c r="H53" s="188">
        <f t="shared" si="118"/>
        <v>46203</v>
      </c>
      <c r="I53" s="45">
        <f>'Assumption Sheet'!$F$29</f>
        <v>12</v>
      </c>
      <c r="J53" s="186">
        <f t="shared" ref="J53:J56" si="119">SUM(K53:BL53)</f>
        <v>6.1101172670029786</v>
      </c>
      <c r="K53" s="186">
        <f t="shared" ref="K53:BL53" si="120">K46*$F53*$D53/10^7</f>
        <v>0</v>
      </c>
      <c r="L53" s="186">
        <f t="shared" si="120"/>
        <v>0</v>
      </c>
      <c r="M53" s="186">
        <f t="shared" si="120"/>
        <v>0</v>
      </c>
      <c r="N53" s="186">
        <f t="shared" si="120"/>
        <v>0</v>
      </c>
      <c r="O53" s="186">
        <f t="shared" si="120"/>
        <v>0</v>
      </c>
      <c r="P53" s="186">
        <f t="shared" si="120"/>
        <v>0</v>
      </c>
      <c r="Q53" s="186">
        <f t="shared" si="120"/>
        <v>0</v>
      </c>
      <c r="R53" s="186">
        <f t="shared" si="120"/>
        <v>0</v>
      </c>
      <c r="S53" s="186">
        <f t="shared" si="120"/>
        <v>0</v>
      </c>
      <c r="T53" s="186">
        <f t="shared" si="120"/>
        <v>0</v>
      </c>
      <c r="U53" s="186">
        <f t="shared" si="120"/>
        <v>0</v>
      </c>
      <c r="V53" s="186">
        <f t="shared" si="120"/>
        <v>0</v>
      </c>
      <c r="W53" s="186">
        <f t="shared" si="120"/>
        <v>0.6110117267002978</v>
      </c>
      <c r="X53" s="186">
        <f t="shared" si="120"/>
        <v>0.6110117267002978</v>
      </c>
      <c r="Y53" s="186">
        <f t="shared" si="120"/>
        <v>0.48880938136023833</v>
      </c>
      <c r="Z53" s="186">
        <f t="shared" si="120"/>
        <v>0.48880938136023833</v>
      </c>
      <c r="AA53" s="186">
        <f t="shared" si="120"/>
        <v>0.48880938136023833</v>
      </c>
      <c r="AB53" s="186">
        <f t="shared" si="120"/>
        <v>0.48880938136023833</v>
      </c>
      <c r="AC53" s="186">
        <f t="shared" si="120"/>
        <v>0.48880938136023833</v>
      </c>
      <c r="AD53" s="186">
        <f t="shared" si="120"/>
        <v>0.48880938136023833</v>
      </c>
      <c r="AE53" s="186">
        <f t="shared" si="120"/>
        <v>0.48880938136023833</v>
      </c>
      <c r="AF53" s="186">
        <f t="shared" si="120"/>
        <v>0.48880938136023833</v>
      </c>
      <c r="AG53" s="186">
        <f t="shared" si="120"/>
        <v>0.48880938136023833</v>
      </c>
      <c r="AH53" s="186">
        <f t="shared" si="120"/>
        <v>0.48880938136023833</v>
      </c>
      <c r="AI53" s="186">
        <f t="shared" si="120"/>
        <v>0</v>
      </c>
      <c r="AJ53" s="186">
        <f t="shared" si="120"/>
        <v>0</v>
      </c>
      <c r="AK53" s="186">
        <f t="shared" si="120"/>
        <v>0</v>
      </c>
      <c r="AL53" s="186">
        <f t="shared" si="120"/>
        <v>0</v>
      </c>
      <c r="AM53" s="186">
        <f t="shared" si="120"/>
        <v>0</v>
      </c>
      <c r="AN53" s="186">
        <f t="shared" si="120"/>
        <v>0</v>
      </c>
      <c r="AO53" s="186">
        <f t="shared" si="120"/>
        <v>0</v>
      </c>
      <c r="AP53" s="186">
        <f t="shared" si="120"/>
        <v>0</v>
      </c>
      <c r="AQ53" s="186">
        <f t="shared" si="120"/>
        <v>0</v>
      </c>
      <c r="AR53" s="186">
        <f t="shared" si="120"/>
        <v>0</v>
      </c>
      <c r="AS53" s="186">
        <f t="shared" si="120"/>
        <v>0</v>
      </c>
      <c r="AT53" s="186">
        <f t="shared" si="120"/>
        <v>0</v>
      </c>
      <c r="AU53" s="186">
        <f t="shared" si="120"/>
        <v>0</v>
      </c>
      <c r="AV53" s="186">
        <f t="shared" si="120"/>
        <v>0</v>
      </c>
      <c r="AW53" s="186">
        <f t="shared" si="120"/>
        <v>0</v>
      </c>
      <c r="AX53" s="186">
        <f t="shared" si="120"/>
        <v>0</v>
      </c>
      <c r="AY53" s="186">
        <f t="shared" si="120"/>
        <v>0</v>
      </c>
      <c r="AZ53" s="186">
        <f t="shared" si="120"/>
        <v>0</v>
      </c>
      <c r="BA53" s="186">
        <f t="shared" si="120"/>
        <v>0</v>
      </c>
      <c r="BB53" s="186">
        <f t="shared" si="120"/>
        <v>0</v>
      </c>
      <c r="BC53" s="186">
        <f t="shared" si="120"/>
        <v>0</v>
      </c>
      <c r="BD53" s="186">
        <f t="shared" si="120"/>
        <v>0</v>
      </c>
      <c r="BE53" s="186">
        <f t="shared" si="120"/>
        <v>0</v>
      </c>
      <c r="BF53" s="186">
        <f t="shared" si="120"/>
        <v>0</v>
      </c>
      <c r="BG53" s="186">
        <f t="shared" si="120"/>
        <v>0</v>
      </c>
      <c r="BH53" s="186">
        <f t="shared" si="120"/>
        <v>0</v>
      </c>
      <c r="BI53" s="186">
        <f t="shared" si="120"/>
        <v>0</v>
      </c>
      <c r="BJ53" s="186">
        <f t="shared" si="120"/>
        <v>0</v>
      </c>
      <c r="BK53" s="186">
        <f t="shared" si="120"/>
        <v>0</v>
      </c>
      <c r="BL53" s="186">
        <f t="shared" si="120"/>
        <v>0</v>
      </c>
    </row>
    <row r="54" spans="2:64" x14ac:dyDescent="0.3">
      <c r="C54" s="130" t="s">
        <v>232</v>
      </c>
      <c r="D54" s="45">
        <f t="shared" ref="D54:H54" si="121">D47</f>
        <v>196225.03588799998</v>
      </c>
      <c r="E54" s="45">
        <f t="shared" si="121"/>
        <v>206036.2876824</v>
      </c>
      <c r="F54" s="33">
        <f t="shared" si="121"/>
        <v>129.79999999999998</v>
      </c>
      <c r="G54" s="188">
        <f t="shared" si="121"/>
        <v>46113</v>
      </c>
      <c r="H54" s="188">
        <f t="shared" si="121"/>
        <v>46477</v>
      </c>
      <c r="I54" s="45">
        <f>'Assumption Sheet'!$F$30</f>
        <v>12</v>
      </c>
      <c r="J54" s="186">
        <f t="shared" si="119"/>
        <v>2.54700096582624</v>
      </c>
      <c r="K54" s="186">
        <f t="shared" ref="K54:BL54" si="122">K47*$F54*$D54/10^7</f>
        <v>0</v>
      </c>
      <c r="L54" s="186">
        <f t="shared" si="122"/>
        <v>0</v>
      </c>
      <c r="M54" s="186">
        <f t="shared" si="122"/>
        <v>0</v>
      </c>
      <c r="N54" s="186">
        <f t="shared" si="122"/>
        <v>0</v>
      </c>
      <c r="O54" s="186">
        <f t="shared" si="122"/>
        <v>0</v>
      </c>
      <c r="P54" s="186">
        <f t="shared" si="122"/>
        <v>0</v>
      </c>
      <c r="Q54" s="186">
        <f t="shared" si="122"/>
        <v>0</v>
      </c>
      <c r="R54" s="186">
        <f t="shared" si="122"/>
        <v>0</v>
      </c>
      <c r="S54" s="186">
        <f t="shared" si="122"/>
        <v>0</v>
      </c>
      <c r="T54" s="186">
        <f t="shared" si="122"/>
        <v>0</v>
      </c>
      <c r="U54" s="186">
        <f t="shared" si="122"/>
        <v>0</v>
      </c>
      <c r="V54" s="186">
        <f t="shared" si="122"/>
        <v>0</v>
      </c>
      <c r="W54" s="186">
        <f t="shared" si="122"/>
        <v>0</v>
      </c>
      <c r="X54" s="186">
        <f t="shared" si="122"/>
        <v>0</v>
      </c>
      <c r="Y54" s="186">
        <f t="shared" si="122"/>
        <v>0</v>
      </c>
      <c r="Z54" s="186">
        <f t="shared" si="122"/>
        <v>0</v>
      </c>
      <c r="AA54" s="186">
        <f t="shared" si="122"/>
        <v>0</v>
      </c>
      <c r="AB54" s="186">
        <f t="shared" si="122"/>
        <v>0</v>
      </c>
      <c r="AC54" s="186">
        <f t="shared" si="122"/>
        <v>0</v>
      </c>
      <c r="AD54" s="186">
        <f t="shared" si="122"/>
        <v>0</v>
      </c>
      <c r="AE54" s="186">
        <f t="shared" si="122"/>
        <v>0</v>
      </c>
      <c r="AF54" s="186">
        <f t="shared" si="122"/>
        <v>0.25470009658262394</v>
      </c>
      <c r="AG54" s="186">
        <f t="shared" si="122"/>
        <v>0.25470009658262394</v>
      </c>
      <c r="AH54" s="186">
        <f t="shared" si="122"/>
        <v>0.20376007726609915</v>
      </c>
      <c r="AI54" s="186">
        <f t="shared" si="122"/>
        <v>0.20376007726609915</v>
      </c>
      <c r="AJ54" s="186">
        <f t="shared" si="122"/>
        <v>0.20376007726609915</v>
      </c>
      <c r="AK54" s="186">
        <f t="shared" si="122"/>
        <v>0.20376007726609915</v>
      </c>
      <c r="AL54" s="186">
        <f t="shared" si="122"/>
        <v>0.20376007726609915</v>
      </c>
      <c r="AM54" s="186">
        <f t="shared" si="122"/>
        <v>0.20376007726609915</v>
      </c>
      <c r="AN54" s="186">
        <f t="shared" si="122"/>
        <v>0.20376007726609915</v>
      </c>
      <c r="AO54" s="186">
        <f t="shared" si="122"/>
        <v>0.20376007726609915</v>
      </c>
      <c r="AP54" s="186">
        <f t="shared" si="122"/>
        <v>0.20376007726609915</v>
      </c>
      <c r="AQ54" s="186">
        <f t="shared" si="122"/>
        <v>0.20376007726609915</v>
      </c>
      <c r="AR54" s="186">
        <f t="shared" si="122"/>
        <v>0</v>
      </c>
      <c r="AS54" s="186">
        <f t="shared" si="122"/>
        <v>0</v>
      </c>
      <c r="AT54" s="186">
        <f t="shared" si="122"/>
        <v>0</v>
      </c>
      <c r="AU54" s="186">
        <f t="shared" si="122"/>
        <v>0</v>
      </c>
      <c r="AV54" s="186">
        <f t="shared" si="122"/>
        <v>0</v>
      </c>
      <c r="AW54" s="186">
        <f t="shared" si="122"/>
        <v>0</v>
      </c>
      <c r="AX54" s="186">
        <f t="shared" si="122"/>
        <v>0</v>
      </c>
      <c r="AY54" s="186">
        <f t="shared" si="122"/>
        <v>0</v>
      </c>
      <c r="AZ54" s="186">
        <f t="shared" si="122"/>
        <v>0</v>
      </c>
      <c r="BA54" s="186">
        <f t="shared" si="122"/>
        <v>0</v>
      </c>
      <c r="BB54" s="186">
        <f t="shared" si="122"/>
        <v>0</v>
      </c>
      <c r="BC54" s="186">
        <f t="shared" si="122"/>
        <v>0</v>
      </c>
      <c r="BD54" s="186">
        <f t="shared" si="122"/>
        <v>0</v>
      </c>
      <c r="BE54" s="186">
        <f t="shared" si="122"/>
        <v>0</v>
      </c>
      <c r="BF54" s="186">
        <f t="shared" si="122"/>
        <v>0</v>
      </c>
      <c r="BG54" s="186">
        <f t="shared" si="122"/>
        <v>0</v>
      </c>
      <c r="BH54" s="186">
        <f t="shared" si="122"/>
        <v>0</v>
      </c>
      <c r="BI54" s="186">
        <f t="shared" si="122"/>
        <v>0</v>
      </c>
      <c r="BJ54" s="186">
        <f t="shared" si="122"/>
        <v>0</v>
      </c>
      <c r="BK54" s="186">
        <f t="shared" si="122"/>
        <v>0</v>
      </c>
      <c r="BL54" s="186">
        <f t="shared" si="122"/>
        <v>0</v>
      </c>
    </row>
    <row r="55" spans="2:64" x14ac:dyDescent="0.3">
      <c r="C55" s="130" t="s">
        <v>234</v>
      </c>
      <c r="D55" s="45">
        <f t="shared" ref="D55:H55" si="123">D48</f>
        <v>420964.181071</v>
      </c>
      <c r="E55" s="45">
        <f t="shared" si="123"/>
        <v>442012.39012455003</v>
      </c>
      <c r="F55" s="33">
        <f t="shared" si="123"/>
        <v>129.79999999999998</v>
      </c>
      <c r="G55" s="188">
        <f t="shared" si="123"/>
        <v>46388</v>
      </c>
      <c r="H55" s="188">
        <f t="shared" si="123"/>
        <v>46752</v>
      </c>
      <c r="I55" s="45">
        <f>'Assumption Sheet'!$F$31</f>
        <v>12</v>
      </c>
      <c r="J55" s="186">
        <f t="shared" si="119"/>
        <v>5.4641150703015793</v>
      </c>
      <c r="K55" s="186">
        <f t="shared" ref="K55:BL55" si="124">K48*$F55*$D55/10^7</f>
        <v>0</v>
      </c>
      <c r="L55" s="186">
        <f t="shared" si="124"/>
        <v>0</v>
      </c>
      <c r="M55" s="186">
        <f t="shared" si="124"/>
        <v>0</v>
      </c>
      <c r="N55" s="186">
        <f t="shared" si="124"/>
        <v>0</v>
      </c>
      <c r="O55" s="186">
        <f t="shared" si="124"/>
        <v>0</v>
      </c>
      <c r="P55" s="186">
        <f t="shared" si="124"/>
        <v>0</v>
      </c>
      <c r="Q55" s="186">
        <f t="shared" si="124"/>
        <v>0</v>
      </c>
      <c r="R55" s="186">
        <f t="shared" si="124"/>
        <v>0</v>
      </c>
      <c r="S55" s="186">
        <f t="shared" si="124"/>
        <v>0</v>
      </c>
      <c r="T55" s="186">
        <f t="shared" si="124"/>
        <v>0</v>
      </c>
      <c r="U55" s="186">
        <f t="shared" si="124"/>
        <v>0</v>
      </c>
      <c r="V55" s="186">
        <f t="shared" si="124"/>
        <v>0</v>
      </c>
      <c r="W55" s="186">
        <f t="shared" si="124"/>
        <v>0</v>
      </c>
      <c r="X55" s="186">
        <f t="shared" si="124"/>
        <v>0</v>
      </c>
      <c r="Y55" s="186">
        <f t="shared" si="124"/>
        <v>0</v>
      </c>
      <c r="Z55" s="186">
        <f t="shared" si="124"/>
        <v>0</v>
      </c>
      <c r="AA55" s="186">
        <f t="shared" si="124"/>
        <v>0</v>
      </c>
      <c r="AB55" s="186">
        <f t="shared" si="124"/>
        <v>0</v>
      </c>
      <c r="AC55" s="186">
        <f t="shared" si="124"/>
        <v>0</v>
      </c>
      <c r="AD55" s="186">
        <f t="shared" si="124"/>
        <v>0</v>
      </c>
      <c r="AE55" s="186">
        <f t="shared" si="124"/>
        <v>0</v>
      </c>
      <c r="AF55" s="186">
        <f t="shared" si="124"/>
        <v>0</v>
      </c>
      <c r="AG55" s="186">
        <f t="shared" si="124"/>
        <v>0</v>
      </c>
      <c r="AH55" s="186">
        <f t="shared" si="124"/>
        <v>0</v>
      </c>
      <c r="AI55" s="186">
        <f t="shared" si="124"/>
        <v>0</v>
      </c>
      <c r="AJ55" s="186">
        <f t="shared" si="124"/>
        <v>0</v>
      </c>
      <c r="AK55" s="186">
        <f t="shared" si="124"/>
        <v>0</v>
      </c>
      <c r="AL55" s="186">
        <f t="shared" si="124"/>
        <v>0</v>
      </c>
      <c r="AM55" s="186">
        <f t="shared" si="124"/>
        <v>0</v>
      </c>
      <c r="AN55" s="186">
        <f t="shared" si="124"/>
        <v>0</v>
      </c>
      <c r="AO55" s="186">
        <f t="shared" si="124"/>
        <v>0.54641150703015795</v>
      </c>
      <c r="AP55" s="186">
        <f t="shared" si="124"/>
        <v>0.54641150703015795</v>
      </c>
      <c r="AQ55" s="186">
        <f t="shared" si="124"/>
        <v>0.43712920562412638</v>
      </c>
      <c r="AR55" s="186">
        <f t="shared" si="124"/>
        <v>0.43712920562412638</v>
      </c>
      <c r="AS55" s="186">
        <f t="shared" si="124"/>
        <v>0.43712920562412638</v>
      </c>
      <c r="AT55" s="186">
        <f t="shared" si="124"/>
        <v>0.43712920562412638</v>
      </c>
      <c r="AU55" s="186">
        <f t="shared" si="124"/>
        <v>0.43712920562412638</v>
      </c>
      <c r="AV55" s="186">
        <f t="shared" si="124"/>
        <v>0.43712920562412638</v>
      </c>
      <c r="AW55" s="186">
        <f t="shared" si="124"/>
        <v>0.43712920562412638</v>
      </c>
      <c r="AX55" s="186">
        <f t="shared" si="124"/>
        <v>0.43712920562412638</v>
      </c>
      <c r="AY55" s="186">
        <f t="shared" si="124"/>
        <v>0.43712920562412638</v>
      </c>
      <c r="AZ55" s="186">
        <f t="shared" si="124"/>
        <v>0.43712920562412638</v>
      </c>
      <c r="BA55" s="186">
        <f t="shared" si="124"/>
        <v>0</v>
      </c>
      <c r="BB55" s="186">
        <f t="shared" si="124"/>
        <v>0</v>
      </c>
      <c r="BC55" s="186">
        <f t="shared" si="124"/>
        <v>0</v>
      </c>
      <c r="BD55" s="186">
        <f t="shared" si="124"/>
        <v>0</v>
      </c>
      <c r="BE55" s="186">
        <f t="shared" si="124"/>
        <v>0</v>
      </c>
      <c r="BF55" s="186">
        <f t="shared" si="124"/>
        <v>0</v>
      </c>
      <c r="BG55" s="186">
        <f t="shared" si="124"/>
        <v>0</v>
      </c>
      <c r="BH55" s="186">
        <f t="shared" si="124"/>
        <v>0</v>
      </c>
      <c r="BI55" s="186">
        <f t="shared" si="124"/>
        <v>0</v>
      </c>
      <c r="BJ55" s="186">
        <f t="shared" si="124"/>
        <v>0</v>
      </c>
      <c r="BK55" s="186">
        <f t="shared" si="124"/>
        <v>0</v>
      </c>
      <c r="BL55" s="186">
        <f t="shared" si="124"/>
        <v>0</v>
      </c>
    </row>
    <row r="56" spans="2:64" x14ac:dyDescent="0.3">
      <c r="C56" s="130" t="s">
        <v>259</v>
      </c>
      <c r="D56" s="45">
        <f t="shared" ref="D56:H56" si="125">D49</f>
        <v>87708.024565</v>
      </c>
      <c r="E56" s="45">
        <f t="shared" si="125"/>
        <v>92093.425793250004</v>
      </c>
      <c r="F56" s="33">
        <f t="shared" si="125"/>
        <v>129.79999999999998</v>
      </c>
      <c r="G56" s="188">
        <f t="shared" si="125"/>
        <v>46661</v>
      </c>
      <c r="H56" s="188">
        <f t="shared" si="125"/>
        <v>47118</v>
      </c>
      <c r="I56" s="45">
        <f>'Assumption Sheet'!$F$32</f>
        <v>15</v>
      </c>
      <c r="J56" s="186">
        <f t="shared" si="119"/>
        <v>1.1384501588536997</v>
      </c>
      <c r="K56" s="186">
        <f t="shared" ref="K56:BL56" si="126">K49*$F56*$D56/10^7</f>
        <v>0</v>
      </c>
      <c r="L56" s="186">
        <f t="shared" si="126"/>
        <v>0</v>
      </c>
      <c r="M56" s="186">
        <f t="shared" si="126"/>
        <v>0</v>
      </c>
      <c r="N56" s="186">
        <f t="shared" si="126"/>
        <v>0</v>
      </c>
      <c r="O56" s="186">
        <f t="shared" si="126"/>
        <v>0</v>
      </c>
      <c r="P56" s="186">
        <f t="shared" si="126"/>
        <v>0</v>
      </c>
      <c r="Q56" s="186">
        <f t="shared" si="126"/>
        <v>0</v>
      </c>
      <c r="R56" s="186">
        <f t="shared" si="126"/>
        <v>0</v>
      </c>
      <c r="S56" s="186">
        <f t="shared" si="126"/>
        <v>0</v>
      </c>
      <c r="T56" s="186">
        <f t="shared" si="126"/>
        <v>0</v>
      </c>
      <c r="U56" s="186">
        <f t="shared" si="126"/>
        <v>0</v>
      </c>
      <c r="V56" s="186">
        <f t="shared" si="126"/>
        <v>0</v>
      </c>
      <c r="W56" s="186">
        <f t="shared" si="126"/>
        <v>0</v>
      </c>
      <c r="X56" s="186">
        <f t="shared" si="126"/>
        <v>0</v>
      </c>
      <c r="Y56" s="186">
        <f t="shared" si="126"/>
        <v>0</v>
      </c>
      <c r="Z56" s="186">
        <f t="shared" si="126"/>
        <v>0</v>
      </c>
      <c r="AA56" s="186">
        <f t="shared" si="126"/>
        <v>0</v>
      </c>
      <c r="AB56" s="186">
        <f t="shared" si="126"/>
        <v>0</v>
      </c>
      <c r="AC56" s="186">
        <f t="shared" si="126"/>
        <v>0</v>
      </c>
      <c r="AD56" s="186">
        <f t="shared" si="126"/>
        <v>0</v>
      </c>
      <c r="AE56" s="186">
        <f t="shared" si="126"/>
        <v>0</v>
      </c>
      <c r="AF56" s="186">
        <f t="shared" si="126"/>
        <v>0</v>
      </c>
      <c r="AG56" s="186">
        <f t="shared" si="126"/>
        <v>0</v>
      </c>
      <c r="AH56" s="186">
        <f t="shared" si="126"/>
        <v>0</v>
      </c>
      <c r="AI56" s="186">
        <f t="shared" si="126"/>
        <v>0</v>
      </c>
      <c r="AJ56" s="186">
        <f t="shared" si="126"/>
        <v>0</v>
      </c>
      <c r="AK56" s="186">
        <f t="shared" si="126"/>
        <v>0</v>
      </c>
      <c r="AL56" s="186">
        <f t="shared" si="126"/>
        <v>0</v>
      </c>
      <c r="AM56" s="186">
        <f t="shared" si="126"/>
        <v>0</v>
      </c>
      <c r="AN56" s="186">
        <f t="shared" si="126"/>
        <v>0</v>
      </c>
      <c r="AO56" s="186">
        <f t="shared" si="126"/>
        <v>0</v>
      </c>
      <c r="AP56" s="186">
        <f t="shared" si="126"/>
        <v>0</v>
      </c>
      <c r="AQ56" s="186">
        <f t="shared" si="126"/>
        <v>0</v>
      </c>
      <c r="AR56" s="186">
        <f t="shared" si="126"/>
        <v>0</v>
      </c>
      <c r="AS56" s="186">
        <f t="shared" si="126"/>
        <v>0</v>
      </c>
      <c r="AT56" s="186">
        <f t="shared" si="126"/>
        <v>0</v>
      </c>
      <c r="AU56" s="186">
        <f t="shared" si="126"/>
        <v>0</v>
      </c>
      <c r="AV56" s="186">
        <f t="shared" si="126"/>
        <v>0</v>
      </c>
      <c r="AW56" s="186">
        <f t="shared" si="126"/>
        <v>0</v>
      </c>
      <c r="AX56" s="186">
        <f t="shared" si="126"/>
        <v>7.589667725691332E-2</v>
      </c>
      <c r="AY56" s="186">
        <f t="shared" si="126"/>
        <v>7.589667725691332E-2</v>
      </c>
      <c r="AZ56" s="186">
        <f t="shared" si="126"/>
        <v>7.589667725691332E-2</v>
      </c>
      <c r="BA56" s="186">
        <f t="shared" si="126"/>
        <v>7.589667725691332E-2</v>
      </c>
      <c r="BB56" s="186">
        <f t="shared" si="126"/>
        <v>7.589667725691332E-2</v>
      </c>
      <c r="BC56" s="186">
        <f t="shared" si="126"/>
        <v>7.589667725691332E-2</v>
      </c>
      <c r="BD56" s="186">
        <f t="shared" si="126"/>
        <v>7.589667725691332E-2</v>
      </c>
      <c r="BE56" s="186">
        <f t="shared" si="126"/>
        <v>7.589667725691332E-2</v>
      </c>
      <c r="BF56" s="186">
        <f t="shared" si="126"/>
        <v>7.589667725691332E-2</v>
      </c>
      <c r="BG56" s="186">
        <f t="shared" si="126"/>
        <v>7.589667725691332E-2</v>
      </c>
      <c r="BH56" s="186">
        <f t="shared" si="126"/>
        <v>7.589667725691332E-2</v>
      </c>
      <c r="BI56" s="186">
        <f t="shared" si="126"/>
        <v>7.589667725691332E-2</v>
      </c>
      <c r="BJ56" s="186">
        <f t="shared" si="126"/>
        <v>7.589667725691332E-2</v>
      </c>
      <c r="BK56" s="186">
        <f t="shared" si="126"/>
        <v>7.589667725691332E-2</v>
      </c>
      <c r="BL56" s="186">
        <f t="shared" si="126"/>
        <v>7.589667725691332E-2</v>
      </c>
    </row>
    <row r="57" spans="2:64" x14ac:dyDescent="0.3">
      <c r="J57" s="189">
        <f>SUM(J52:J56)</f>
        <v>18.414192231442698</v>
      </c>
      <c r="K57" s="190">
        <f>SUM(K52:K56)</f>
        <v>0.31545087694581991</v>
      </c>
      <c r="L57" s="190">
        <f t="shared" ref="L57" si="127">SUM(L52:L56)</f>
        <v>0.31545087694581991</v>
      </c>
      <c r="M57" s="190">
        <f t="shared" ref="M57" si="128">SUM(M52:M56)</f>
        <v>0.25236070155665596</v>
      </c>
      <c r="N57" s="190">
        <f t="shared" ref="N57" si="129">SUM(N52:N56)</f>
        <v>0.25236070155665596</v>
      </c>
      <c r="O57" s="190">
        <f t="shared" ref="O57" si="130">SUM(O52:O56)</f>
        <v>0.25236070155665596</v>
      </c>
      <c r="P57" s="190">
        <f t="shared" ref="P57" si="131">SUM(P52:P56)</f>
        <v>0.25236070155665596</v>
      </c>
      <c r="Q57" s="190">
        <f t="shared" ref="Q57" si="132">SUM(Q52:Q56)</f>
        <v>0.25236070155665596</v>
      </c>
      <c r="R57" s="190">
        <f t="shared" ref="R57" si="133">SUM(R52:R56)</f>
        <v>0.25236070155665596</v>
      </c>
      <c r="S57" s="190">
        <f t="shared" ref="S57" si="134">SUM(S52:S56)</f>
        <v>0.25236070155665596</v>
      </c>
      <c r="T57" s="190">
        <f t="shared" ref="T57" si="135">SUM(T52:T56)</f>
        <v>0.25236070155665596</v>
      </c>
      <c r="U57" s="190">
        <f t="shared" ref="U57" si="136">SUM(U52:U56)</f>
        <v>0.25236070155665596</v>
      </c>
      <c r="V57" s="190">
        <f t="shared" ref="V57" si="137">SUM(V52:V56)</f>
        <v>0.25236070155665596</v>
      </c>
      <c r="W57" s="190">
        <f t="shared" ref="W57" si="138">SUM(W52:W56)</f>
        <v>0.6110117267002978</v>
      </c>
      <c r="X57" s="190">
        <f t="shared" ref="X57" si="139">SUM(X52:X56)</f>
        <v>0.6110117267002978</v>
      </c>
      <c r="Y57" s="190">
        <f t="shared" ref="Y57" si="140">SUM(Y52:Y56)</f>
        <v>0.48880938136023833</v>
      </c>
      <c r="Z57" s="190">
        <f t="shared" ref="Z57" si="141">SUM(Z52:Z56)</f>
        <v>0.48880938136023833</v>
      </c>
      <c r="AA57" s="190">
        <f t="shared" ref="AA57" si="142">SUM(AA52:AA56)</f>
        <v>0.48880938136023833</v>
      </c>
      <c r="AB57" s="190">
        <f t="shared" ref="AB57" si="143">SUM(AB52:AB56)</f>
        <v>0.48880938136023833</v>
      </c>
      <c r="AC57" s="190">
        <f t="shared" ref="AC57" si="144">SUM(AC52:AC56)</f>
        <v>0.48880938136023833</v>
      </c>
      <c r="AD57" s="190">
        <f t="shared" ref="AD57" si="145">SUM(AD52:AD56)</f>
        <v>0.48880938136023833</v>
      </c>
      <c r="AE57" s="190">
        <f t="shared" ref="AE57" si="146">SUM(AE52:AE56)</f>
        <v>0.48880938136023833</v>
      </c>
      <c r="AF57" s="190">
        <f t="shared" ref="AF57" si="147">SUM(AF52:AF56)</f>
        <v>0.74350947794286226</v>
      </c>
      <c r="AG57" s="190">
        <f t="shared" ref="AG57" si="148">SUM(AG52:AG56)</f>
        <v>0.74350947794286226</v>
      </c>
      <c r="AH57" s="190">
        <f t="shared" ref="AH57" si="149">SUM(AH52:AH56)</f>
        <v>0.69256945862633745</v>
      </c>
      <c r="AI57" s="190">
        <f t="shared" ref="AI57" si="150">SUM(AI52:AI56)</f>
        <v>0.20376007726609915</v>
      </c>
      <c r="AJ57" s="190">
        <f t="shared" ref="AJ57" si="151">SUM(AJ52:AJ56)</f>
        <v>0.20376007726609915</v>
      </c>
      <c r="AK57" s="190">
        <f t="shared" ref="AK57" si="152">SUM(AK52:AK56)</f>
        <v>0.20376007726609915</v>
      </c>
      <c r="AL57" s="190">
        <f t="shared" ref="AL57" si="153">SUM(AL52:AL56)</f>
        <v>0.20376007726609915</v>
      </c>
      <c r="AM57" s="190">
        <f t="shared" ref="AM57" si="154">SUM(AM52:AM56)</f>
        <v>0.20376007726609915</v>
      </c>
      <c r="AN57" s="190">
        <f t="shared" ref="AN57" si="155">SUM(AN52:AN56)</f>
        <v>0.20376007726609915</v>
      </c>
      <c r="AO57" s="190">
        <f t="shared" ref="AO57" si="156">SUM(AO52:AO56)</f>
        <v>0.75017158429625708</v>
      </c>
      <c r="AP57" s="190">
        <f t="shared" ref="AP57" si="157">SUM(AP52:AP56)</f>
        <v>0.75017158429625708</v>
      </c>
      <c r="AQ57" s="190">
        <f t="shared" ref="AQ57" si="158">SUM(AQ52:AQ56)</f>
        <v>0.64088928289022551</v>
      </c>
      <c r="AR57" s="190">
        <f t="shared" ref="AR57" si="159">SUM(AR52:AR56)</f>
        <v>0.43712920562412638</v>
      </c>
      <c r="AS57" s="190">
        <f t="shared" ref="AS57" si="160">SUM(AS52:AS56)</f>
        <v>0.43712920562412638</v>
      </c>
      <c r="AT57" s="190">
        <f t="shared" ref="AT57" si="161">SUM(AT52:AT56)</f>
        <v>0.43712920562412638</v>
      </c>
      <c r="AU57" s="190">
        <f t="shared" ref="AU57" si="162">SUM(AU52:AU56)</f>
        <v>0.43712920562412638</v>
      </c>
      <c r="AV57" s="190">
        <f t="shared" ref="AV57" si="163">SUM(AV52:AV56)</f>
        <v>0.43712920562412638</v>
      </c>
      <c r="AW57" s="190">
        <f t="shared" ref="AW57" si="164">SUM(AW52:AW56)</f>
        <v>0.43712920562412638</v>
      </c>
      <c r="AX57" s="190">
        <f t="shared" ref="AX57" si="165">SUM(AX52:AX56)</f>
        <v>0.51302588288103967</v>
      </c>
      <c r="AY57" s="190">
        <f t="shared" ref="AY57" si="166">SUM(AY52:AY56)</f>
        <v>0.51302588288103967</v>
      </c>
      <c r="AZ57" s="190">
        <f t="shared" ref="AZ57" si="167">SUM(AZ52:AZ56)</f>
        <v>0.51302588288103967</v>
      </c>
      <c r="BA57" s="190">
        <f t="shared" ref="BA57" si="168">SUM(BA52:BA56)</f>
        <v>7.589667725691332E-2</v>
      </c>
      <c r="BB57" s="190">
        <f t="shared" ref="BB57" si="169">SUM(BB52:BB56)</f>
        <v>7.589667725691332E-2</v>
      </c>
      <c r="BC57" s="190">
        <f t="shared" ref="BC57" si="170">SUM(BC52:BC56)</f>
        <v>7.589667725691332E-2</v>
      </c>
      <c r="BD57" s="190">
        <f t="shared" ref="BD57" si="171">SUM(BD52:BD56)</f>
        <v>7.589667725691332E-2</v>
      </c>
      <c r="BE57" s="190">
        <f t="shared" ref="BE57" si="172">SUM(BE52:BE56)</f>
        <v>7.589667725691332E-2</v>
      </c>
      <c r="BF57" s="190">
        <f t="shared" ref="BF57" si="173">SUM(BF52:BF56)</f>
        <v>7.589667725691332E-2</v>
      </c>
      <c r="BG57" s="190">
        <f t="shared" ref="BG57" si="174">SUM(BG52:BG56)</f>
        <v>7.589667725691332E-2</v>
      </c>
      <c r="BH57" s="190">
        <f t="shared" ref="BH57" si="175">SUM(BH52:BH56)</f>
        <v>7.589667725691332E-2</v>
      </c>
      <c r="BI57" s="190">
        <f t="shared" ref="BI57" si="176">SUM(BI52:BI56)</f>
        <v>7.589667725691332E-2</v>
      </c>
      <c r="BJ57" s="190">
        <f t="shared" ref="BJ57" si="177">SUM(BJ52:BJ56)</f>
        <v>7.589667725691332E-2</v>
      </c>
      <c r="BK57" s="190">
        <f t="shared" ref="BK57" si="178">SUM(BK52:BK56)</f>
        <v>7.589667725691332E-2</v>
      </c>
      <c r="BL57" s="190">
        <f t="shared" ref="BL57" si="179">SUM(BL52:BL56)</f>
        <v>7.589667725691332E-2</v>
      </c>
    </row>
    <row r="59" spans="2:64" x14ac:dyDescent="0.3">
      <c r="B59" s="56" t="s">
        <v>235</v>
      </c>
    </row>
    <row r="60" spans="2:64" x14ac:dyDescent="0.3">
      <c r="C60" s="184" t="s">
        <v>208</v>
      </c>
      <c r="D60" s="184" t="s">
        <v>371</v>
      </c>
      <c r="E60" s="24" t="s">
        <v>372</v>
      </c>
      <c r="F60" s="184" t="s">
        <v>384</v>
      </c>
      <c r="G60" s="184" t="s">
        <v>373</v>
      </c>
      <c r="H60" s="184" t="s">
        <v>374</v>
      </c>
      <c r="I60" s="184" t="s">
        <v>375</v>
      </c>
      <c r="J60" s="184" t="s">
        <v>21</v>
      </c>
      <c r="K60" s="185">
        <f>MIN(G61:G65)</f>
        <v>45474</v>
      </c>
      <c r="L60" s="185">
        <f>EOMONTH(K60,1)</f>
        <v>45535</v>
      </c>
      <c r="M60" s="185">
        <f t="shared" ref="M60:BL60" si="180">EOMONTH(L60,1)</f>
        <v>45565</v>
      </c>
      <c r="N60" s="185">
        <f t="shared" si="180"/>
        <v>45596</v>
      </c>
      <c r="O60" s="185">
        <f t="shared" si="180"/>
        <v>45626</v>
      </c>
      <c r="P60" s="185">
        <f t="shared" si="180"/>
        <v>45657</v>
      </c>
      <c r="Q60" s="185">
        <f t="shared" si="180"/>
        <v>45688</v>
      </c>
      <c r="R60" s="185">
        <f t="shared" si="180"/>
        <v>45716</v>
      </c>
      <c r="S60" s="185">
        <f t="shared" si="180"/>
        <v>45747</v>
      </c>
      <c r="T60" s="185">
        <f t="shared" si="180"/>
        <v>45777</v>
      </c>
      <c r="U60" s="185">
        <f t="shared" si="180"/>
        <v>45808</v>
      </c>
      <c r="V60" s="185">
        <f t="shared" si="180"/>
        <v>45838</v>
      </c>
      <c r="W60" s="185">
        <f t="shared" si="180"/>
        <v>45869</v>
      </c>
      <c r="X60" s="185">
        <f t="shared" si="180"/>
        <v>45900</v>
      </c>
      <c r="Y60" s="185">
        <f t="shared" si="180"/>
        <v>45930</v>
      </c>
      <c r="Z60" s="185">
        <f t="shared" si="180"/>
        <v>45961</v>
      </c>
      <c r="AA60" s="185">
        <f t="shared" si="180"/>
        <v>45991</v>
      </c>
      <c r="AB60" s="185">
        <f t="shared" si="180"/>
        <v>46022</v>
      </c>
      <c r="AC60" s="185">
        <f t="shared" si="180"/>
        <v>46053</v>
      </c>
      <c r="AD60" s="185">
        <f t="shared" si="180"/>
        <v>46081</v>
      </c>
      <c r="AE60" s="185">
        <f t="shared" si="180"/>
        <v>46112</v>
      </c>
      <c r="AF60" s="185">
        <f t="shared" si="180"/>
        <v>46142</v>
      </c>
      <c r="AG60" s="185">
        <f t="shared" si="180"/>
        <v>46173</v>
      </c>
      <c r="AH60" s="185">
        <f t="shared" si="180"/>
        <v>46203</v>
      </c>
      <c r="AI60" s="185">
        <f t="shared" si="180"/>
        <v>46234</v>
      </c>
      <c r="AJ60" s="185">
        <f t="shared" si="180"/>
        <v>46265</v>
      </c>
      <c r="AK60" s="185">
        <f t="shared" si="180"/>
        <v>46295</v>
      </c>
      <c r="AL60" s="185">
        <f t="shared" si="180"/>
        <v>46326</v>
      </c>
      <c r="AM60" s="185">
        <f t="shared" si="180"/>
        <v>46356</v>
      </c>
      <c r="AN60" s="185">
        <f t="shared" si="180"/>
        <v>46387</v>
      </c>
      <c r="AO60" s="185">
        <f t="shared" si="180"/>
        <v>46418</v>
      </c>
      <c r="AP60" s="185">
        <f t="shared" si="180"/>
        <v>46446</v>
      </c>
      <c r="AQ60" s="185">
        <f t="shared" si="180"/>
        <v>46477</v>
      </c>
      <c r="AR60" s="185">
        <f t="shared" si="180"/>
        <v>46507</v>
      </c>
      <c r="AS60" s="185">
        <f t="shared" si="180"/>
        <v>46538</v>
      </c>
      <c r="AT60" s="185">
        <f t="shared" si="180"/>
        <v>46568</v>
      </c>
      <c r="AU60" s="185">
        <f t="shared" si="180"/>
        <v>46599</v>
      </c>
      <c r="AV60" s="185">
        <f t="shared" si="180"/>
        <v>46630</v>
      </c>
      <c r="AW60" s="185">
        <f t="shared" si="180"/>
        <v>46660</v>
      </c>
      <c r="AX60" s="185">
        <f t="shared" si="180"/>
        <v>46691</v>
      </c>
      <c r="AY60" s="185">
        <f t="shared" si="180"/>
        <v>46721</v>
      </c>
      <c r="AZ60" s="185">
        <f t="shared" si="180"/>
        <v>46752</v>
      </c>
      <c r="BA60" s="185">
        <f t="shared" si="180"/>
        <v>46783</v>
      </c>
      <c r="BB60" s="185">
        <f t="shared" si="180"/>
        <v>46812</v>
      </c>
      <c r="BC60" s="185">
        <f t="shared" si="180"/>
        <v>46843</v>
      </c>
      <c r="BD60" s="185">
        <f t="shared" si="180"/>
        <v>46873</v>
      </c>
      <c r="BE60" s="185">
        <f t="shared" si="180"/>
        <v>46904</v>
      </c>
      <c r="BF60" s="185">
        <f t="shared" si="180"/>
        <v>46934</v>
      </c>
      <c r="BG60" s="185">
        <f t="shared" si="180"/>
        <v>46965</v>
      </c>
      <c r="BH60" s="185">
        <f t="shared" si="180"/>
        <v>46996</v>
      </c>
      <c r="BI60" s="185">
        <f t="shared" si="180"/>
        <v>47026</v>
      </c>
      <c r="BJ60" s="185">
        <f t="shared" si="180"/>
        <v>47057</v>
      </c>
      <c r="BK60" s="185">
        <f t="shared" si="180"/>
        <v>47087</v>
      </c>
      <c r="BL60" s="185">
        <f t="shared" si="180"/>
        <v>47118</v>
      </c>
    </row>
    <row r="61" spans="2:64" x14ac:dyDescent="0.3">
      <c r="C61" s="130" t="s">
        <v>230</v>
      </c>
      <c r="D61" s="45">
        <f>D52</f>
        <v>243028.41058999998</v>
      </c>
      <c r="E61" s="45">
        <f>E52</f>
        <v>255179.83111949998</v>
      </c>
      <c r="F61" s="52">
        <f>H4</f>
        <v>175.82</v>
      </c>
      <c r="G61" s="188">
        <f>G52</f>
        <v>45474</v>
      </c>
      <c r="H61" s="188">
        <f>H52</f>
        <v>45838</v>
      </c>
      <c r="I61" s="45">
        <f>'Assumption Sheet'!$F$28</f>
        <v>12</v>
      </c>
      <c r="J61" s="157">
        <f>SUM(K61:BL61)</f>
        <v>0.99999999999999978</v>
      </c>
      <c r="K61" s="157">
        <f>IF(AND(K$28&gt;=$G61,K$28&lt;=$H61),10%,0)</f>
        <v>0.1</v>
      </c>
      <c r="L61" s="157">
        <f>IF(AND(L$28&gt;=$G61,L$28&lt;=$H61),10%,0)</f>
        <v>0.1</v>
      </c>
      <c r="M61" s="157">
        <f>IF(AND(M$28&gt;=$G61,M$28&lt;=$H61),80%/10,0)</f>
        <v>0.08</v>
      </c>
      <c r="N61" s="157">
        <f t="shared" ref="N61:BL65" si="181">IF(AND(N$28&gt;=$G61,N$28&lt;=$H61),80%/10,0)</f>
        <v>0.08</v>
      </c>
      <c r="O61" s="157">
        <f t="shared" si="181"/>
        <v>0.08</v>
      </c>
      <c r="P61" s="157">
        <f t="shared" si="181"/>
        <v>0.08</v>
      </c>
      <c r="Q61" s="157">
        <f t="shared" si="181"/>
        <v>0.08</v>
      </c>
      <c r="R61" s="157">
        <f t="shared" si="181"/>
        <v>0.08</v>
      </c>
      <c r="S61" s="157">
        <f t="shared" si="181"/>
        <v>0.08</v>
      </c>
      <c r="T61" s="157">
        <f t="shared" si="181"/>
        <v>0.08</v>
      </c>
      <c r="U61" s="157">
        <f t="shared" si="181"/>
        <v>0.08</v>
      </c>
      <c r="V61" s="157">
        <f t="shared" si="181"/>
        <v>0.08</v>
      </c>
      <c r="W61" s="186">
        <f t="shared" si="181"/>
        <v>0</v>
      </c>
      <c r="X61" s="186">
        <f t="shared" si="181"/>
        <v>0</v>
      </c>
      <c r="Y61" s="186">
        <f t="shared" si="181"/>
        <v>0</v>
      </c>
      <c r="Z61" s="186">
        <f t="shared" si="181"/>
        <v>0</v>
      </c>
      <c r="AA61" s="186">
        <f t="shared" si="181"/>
        <v>0</v>
      </c>
      <c r="AB61" s="186">
        <f t="shared" si="181"/>
        <v>0</v>
      </c>
      <c r="AC61" s="186">
        <f t="shared" si="181"/>
        <v>0</v>
      </c>
      <c r="AD61" s="186">
        <f t="shared" si="181"/>
        <v>0</v>
      </c>
      <c r="AE61" s="186">
        <f t="shared" si="181"/>
        <v>0</v>
      </c>
      <c r="AF61" s="186">
        <f t="shared" si="181"/>
        <v>0</v>
      </c>
      <c r="AG61" s="186">
        <f t="shared" si="181"/>
        <v>0</v>
      </c>
      <c r="AH61" s="186">
        <f t="shared" si="181"/>
        <v>0</v>
      </c>
      <c r="AI61" s="186">
        <f t="shared" si="181"/>
        <v>0</v>
      </c>
      <c r="AJ61" s="186">
        <f t="shared" si="181"/>
        <v>0</v>
      </c>
      <c r="AK61" s="186">
        <f t="shared" si="181"/>
        <v>0</v>
      </c>
      <c r="AL61" s="186">
        <f t="shared" si="181"/>
        <v>0</v>
      </c>
      <c r="AM61" s="186">
        <f t="shared" si="181"/>
        <v>0</v>
      </c>
      <c r="AN61" s="186">
        <f t="shared" si="181"/>
        <v>0</v>
      </c>
      <c r="AO61" s="186">
        <f t="shared" si="181"/>
        <v>0</v>
      </c>
      <c r="AP61" s="186">
        <f t="shared" si="181"/>
        <v>0</v>
      </c>
      <c r="AQ61" s="186">
        <f t="shared" si="181"/>
        <v>0</v>
      </c>
      <c r="AR61" s="186">
        <f t="shared" si="181"/>
        <v>0</v>
      </c>
      <c r="AS61" s="186">
        <f t="shared" si="181"/>
        <v>0</v>
      </c>
      <c r="AT61" s="186">
        <f t="shared" si="181"/>
        <v>0</v>
      </c>
      <c r="AU61" s="186">
        <f t="shared" si="181"/>
        <v>0</v>
      </c>
      <c r="AV61" s="186">
        <f t="shared" si="181"/>
        <v>0</v>
      </c>
      <c r="AW61" s="186">
        <f t="shared" si="181"/>
        <v>0</v>
      </c>
      <c r="AX61" s="186">
        <f t="shared" si="181"/>
        <v>0</v>
      </c>
      <c r="AY61" s="186">
        <f t="shared" si="181"/>
        <v>0</v>
      </c>
      <c r="AZ61" s="186">
        <f t="shared" si="181"/>
        <v>0</v>
      </c>
      <c r="BA61" s="186">
        <f t="shared" si="181"/>
        <v>0</v>
      </c>
      <c r="BB61" s="186">
        <f t="shared" si="181"/>
        <v>0</v>
      </c>
      <c r="BC61" s="186">
        <f t="shared" si="181"/>
        <v>0</v>
      </c>
      <c r="BD61" s="186">
        <f t="shared" si="181"/>
        <v>0</v>
      </c>
      <c r="BE61" s="186">
        <f t="shared" si="181"/>
        <v>0</v>
      </c>
      <c r="BF61" s="186">
        <f t="shared" si="181"/>
        <v>0</v>
      </c>
      <c r="BG61" s="186">
        <f t="shared" si="181"/>
        <v>0</v>
      </c>
      <c r="BH61" s="186">
        <f t="shared" si="181"/>
        <v>0</v>
      </c>
      <c r="BI61" s="186">
        <f t="shared" si="181"/>
        <v>0</v>
      </c>
      <c r="BJ61" s="186">
        <f t="shared" si="181"/>
        <v>0</v>
      </c>
      <c r="BK61" s="186">
        <f t="shared" si="181"/>
        <v>0</v>
      </c>
      <c r="BL61" s="186">
        <f t="shared" si="181"/>
        <v>0</v>
      </c>
    </row>
    <row r="62" spans="2:64" x14ac:dyDescent="0.3">
      <c r="C62" s="130" t="s">
        <v>231</v>
      </c>
      <c r="D62" s="45">
        <f t="shared" ref="D62:E62" si="182">D53</f>
        <v>470733.22550099995</v>
      </c>
      <c r="E62" s="45">
        <f t="shared" si="182"/>
        <v>494269.88677604997</v>
      </c>
      <c r="F62" s="52">
        <f t="shared" ref="F62:F65" si="183">H5</f>
        <v>175.82</v>
      </c>
      <c r="G62" s="188">
        <f t="shared" ref="G62:H62" si="184">G53</f>
        <v>45839</v>
      </c>
      <c r="H62" s="188">
        <f t="shared" si="184"/>
        <v>46203</v>
      </c>
      <c r="I62" s="45">
        <f>'Assumption Sheet'!$F$29</f>
        <v>12</v>
      </c>
      <c r="J62" s="157">
        <f t="shared" ref="J62:J65" si="185">SUM(K62:BL62)</f>
        <v>0.99999999999999978</v>
      </c>
      <c r="K62" s="186">
        <f>IF(AND(K$28&gt;=$G62,K$28&lt;=$H62),10%,0)</f>
        <v>0</v>
      </c>
      <c r="L62" s="186">
        <f>IF(AND(L$28&gt;=$G62,L$28&lt;=$H62),10%,0)</f>
        <v>0</v>
      </c>
      <c r="M62" s="186">
        <f>IF(AND(M$28&gt;=$G62,M$28&lt;=$H62),80%/10,0)</f>
        <v>0</v>
      </c>
      <c r="N62" s="186">
        <f t="shared" si="181"/>
        <v>0</v>
      </c>
      <c r="O62" s="186">
        <f t="shared" si="181"/>
        <v>0</v>
      </c>
      <c r="P62" s="186">
        <f t="shared" si="181"/>
        <v>0</v>
      </c>
      <c r="Q62" s="186">
        <f t="shared" si="181"/>
        <v>0</v>
      </c>
      <c r="R62" s="186">
        <f t="shared" si="181"/>
        <v>0</v>
      </c>
      <c r="S62" s="186">
        <f t="shared" si="181"/>
        <v>0</v>
      </c>
      <c r="T62" s="186">
        <f t="shared" si="181"/>
        <v>0</v>
      </c>
      <c r="U62" s="186">
        <f t="shared" si="181"/>
        <v>0</v>
      </c>
      <c r="V62" s="186">
        <f t="shared" si="181"/>
        <v>0</v>
      </c>
      <c r="W62" s="157">
        <f>IF(AND(W$28&gt;=$G62,W$28&lt;=$H62),10%,0)</f>
        <v>0.1</v>
      </c>
      <c r="X62" s="157">
        <f>IF(AND(X$28&gt;=$G62,X$28&lt;=$H62),10%,0)</f>
        <v>0.1</v>
      </c>
      <c r="Y62" s="157">
        <f t="shared" si="181"/>
        <v>0.08</v>
      </c>
      <c r="Z62" s="157">
        <f t="shared" si="181"/>
        <v>0.08</v>
      </c>
      <c r="AA62" s="157">
        <f t="shared" si="181"/>
        <v>0.08</v>
      </c>
      <c r="AB62" s="157">
        <f t="shared" si="181"/>
        <v>0.08</v>
      </c>
      <c r="AC62" s="157">
        <f t="shared" si="181"/>
        <v>0.08</v>
      </c>
      <c r="AD62" s="157">
        <f t="shared" si="181"/>
        <v>0.08</v>
      </c>
      <c r="AE62" s="157">
        <f t="shared" si="181"/>
        <v>0.08</v>
      </c>
      <c r="AF62" s="157">
        <f t="shared" si="181"/>
        <v>0.08</v>
      </c>
      <c r="AG62" s="157">
        <f t="shared" si="181"/>
        <v>0.08</v>
      </c>
      <c r="AH62" s="157">
        <f t="shared" si="181"/>
        <v>0.08</v>
      </c>
      <c r="AI62" s="186">
        <f t="shared" si="181"/>
        <v>0</v>
      </c>
      <c r="AJ62" s="186">
        <f t="shared" si="181"/>
        <v>0</v>
      </c>
      <c r="AK62" s="186">
        <f t="shared" si="181"/>
        <v>0</v>
      </c>
      <c r="AL62" s="186">
        <f t="shared" si="181"/>
        <v>0</v>
      </c>
      <c r="AM62" s="186">
        <f t="shared" si="181"/>
        <v>0</v>
      </c>
      <c r="AN62" s="186">
        <f t="shared" si="181"/>
        <v>0</v>
      </c>
      <c r="AO62" s="186">
        <f t="shared" si="181"/>
        <v>0</v>
      </c>
      <c r="AP62" s="186">
        <f t="shared" si="181"/>
        <v>0</v>
      </c>
      <c r="AQ62" s="186">
        <f t="shared" si="181"/>
        <v>0</v>
      </c>
      <c r="AR62" s="186">
        <f t="shared" si="181"/>
        <v>0</v>
      </c>
      <c r="AS62" s="186">
        <f t="shared" si="181"/>
        <v>0</v>
      </c>
      <c r="AT62" s="186">
        <f t="shared" si="181"/>
        <v>0</v>
      </c>
      <c r="AU62" s="186">
        <f t="shared" si="181"/>
        <v>0</v>
      </c>
      <c r="AV62" s="186">
        <f t="shared" si="181"/>
        <v>0</v>
      </c>
      <c r="AW62" s="186">
        <f t="shared" si="181"/>
        <v>0</v>
      </c>
      <c r="AX62" s="186">
        <f t="shared" si="181"/>
        <v>0</v>
      </c>
      <c r="AY62" s="186">
        <f t="shared" si="181"/>
        <v>0</v>
      </c>
      <c r="AZ62" s="186">
        <f t="shared" si="181"/>
        <v>0</v>
      </c>
      <c r="BA62" s="186">
        <f t="shared" si="181"/>
        <v>0</v>
      </c>
      <c r="BB62" s="186">
        <f t="shared" si="181"/>
        <v>0</v>
      </c>
      <c r="BC62" s="186">
        <f t="shared" si="181"/>
        <v>0</v>
      </c>
      <c r="BD62" s="186">
        <f t="shared" si="181"/>
        <v>0</v>
      </c>
      <c r="BE62" s="186">
        <f t="shared" si="181"/>
        <v>0</v>
      </c>
      <c r="BF62" s="186">
        <f t="shared" si="181"/>
        <v>0</v>
      </c>
      <c r="BG62" s="186">
        <f t="shared" si="181"/>
        <v>0</v>
      </c>
      <c r="BH62" s="186">
        <f t="shared" si="181"/>
        <v>0</v>
      </c>
      <c r="BI62" s="186">
        <f t="shared" si="181"/>
        <v>0</v>
      </c>
      <c r="BJ62" s="186">
        <f t="shared" si="181"/>
        <v>0</v>
      </c>
      <c r="BK62" s="186">
        <f t="shared" si="181"/>
        <v>0</v>
      </c>
      <c r="BL62" s="186">
        <f t="shared" si="181"/>
        <v>0</v>
      </c>
    </row>
    <row r="63" spans="2:64" x14ac:dyDescent="0.3">
      <c r="C63" s="130" t="s">
        <v>232</v>
      </c>
      <c r="D63" s="45">
        <f t="shared" ref="D63:E63" si="186">D54</f>
        <v>196225.03588799998</v>
      </c>
      <c r="E63" s="45">
        <f t="shared" si="186"/>
        <v>206036.2876824</v>
      </c>
      <c r="F63" s="52">
        <f t="shared" si="183"/>
        <v>175.82</v>
      </c>
      <c r="G63" s="188">
        <f t="shared" ref="G63:H63" si="187">G54</f>
        <v>46113</v>
      </c>
      <c r="H63" s="188">
        <f t="shared" si="187"/>
        <v>46477</v>
      </c>
      <c r="I63" s="45">
        <f>'Assumption Sheet'!$F$30</f>
        <v>12</v>
      </c>
      <c r="J63" s="157">
        <f t="shared" si="185"/>
        <v>0.99999999999999978</v>
      </c>
      <c r="K63" s="186">
        <f t="shared" ref="K63:L65" si="188">IF(AND(K$28&gt;=$G63,K$28&lt;=$H63),10%,0)</f>
        <v>0</v>
      </c>
      <c r="L63" s="186">
        <f t="shared" si="188"/>
        <v>0</v>
      </c>
      <c r="M63" s="186">
        <f t="shared" ref="M63:M64" si="189">IF(AND(M$28&gt;=$G63,M$28&lt;=$H63),80%/10,0)</f>
        <v>0</v>
      </c>
      <c r="N63" s="186">
        <f t="shared" si="181"/>
        <v>0</v>
      </c>
      <c r="O63" s="186">
        <f t="shared" si="181"/>
        <v>0</v>
      </c>
      <c r="P63" s="186">
        <f t="shared" si="181"/>
        <v>0</v>
      </c>
      <c r="Q63" s="186">
        <f t="shared" si="181"/>
        <v>0</v>
      </c>
      <c r="R63" s="186">
        <f t="shared" si="181"/>
        <v>0</v>
      </c>
      <c r="S63" s="186">
        <f t="shared" si="181"/>
        <v>0</v>
      </c>
      <c r="T63" s="186">
        <f t="shared" si="181"/>
        <v>0</v>
      </c>
      <c r="U63" s="186">
        <f t="shared" si="181"/>
        <v>0</v>
      </c>
      <c r="V63" s="186">
        <f t="shared" si="181"/>
        <v>0</v>
      </c>
      <c r="W63" s="186">
        <f t="shared" ref="W63:X65" si="190">IF(AND(W$28&gt;=$G63,W$28&lt;=$H63),10%,0)</f>
        <v>0</v>
      </c>
      <c r="X63" s="186">
        <f t="shared" si="190"/>
        <v>0</v>
      </c>
      <c r="Y63" s="186">
        <f t="shared" si="181"/>
        <v>0</v>
      </c>
      <c r="Z63" s="186">
        <f t="shared" si="181"/>
        <v>0</v>
      </c>
      <c r="AA63" s="186">
        <f t="shared" si="181"/>
        <v>0</v>
      </c>
      <c r="AB63" s="186">
        <f t="shared" si="181"/>
        <v>0</v>
      </c>
      <c r="AC63" s="186">
        <f t="shared" si="181"/>
        <v>0</v>
      </c>
      <c r="AD63" s="186">
        <f t="shared" si="181"/>
        <v>0</v>
      </c>
      <c r="AE63" s="186">
        <f t="shared" si="181"/>
        <v>0</v>
      </c>
      <c r="AF63" s="157">
        <f>IF(AND(AF$28&gt;=$G63,AF$28&lt;=$H63),10%,0)</f>
        <v>0.1</v>
      </c>
      <c r="AG63" s="157">
        <f>IF(AND(AG$28&gt;=$G63,AG$28&lt;=$H63),10%,0)</f>
        <v>0.1</v>
      </c>
      <c r="AH63" s="157">
        <f t="shared" si="181"/>
        <v>0.08</v>
      </c>
      <c r="AI63" s="157">
        <f t="shared" si="181"/>
        <v>0.08</v>
      </c>
      <c r="AJ63" s="157">
        <f t="shared" si="181"/>
        <v>0.08</v>
      </c>
      <c r="AK63" s="157">
        <f t="shared" si="181"/>
        <v>0.08</v>
      </c>
      <c r="AL63" s="157">
        <f t="shared" si="181"/>
        <v>0.08</v>
      </c>
      <c r="AM63" s="157">
        <f t="shared" si="181"/>
        <v>0.08</v>
      </c>
      <c r="AN63" s="157">
        <f t="shared" si="181"/>
        <v>0.08</v>
      </c>
      <c r="AO63" s="157">
        <f t="shared" si="181"/>
        <v>0.08</v>
      </c>
      <c r="AP63" s="157">
        <f t="shared" si="181"/>
        <v>0.08</v>
      </c>
      <c r="AQ63" s="157">
        <f t="shared" si="181"/>
        <v>0.08</v>
      </c>
      <c r="AR63" s="186">
        <f t="shared" si="181"/>
        <v>0</v>
      </c>
      <c r="AS63" s="186">
        <f t="shared" si="181"/>
        <v>0</v>
      </c>
      <c r="AT63" s="186">
        <f t="shared" si="181"/>
        <v>0</v>
      </c>
      <c r="AU63" s="186">
        <f t="shared" si="181"/>
        <v>0</v>
      </c>
      <c r="AV63" s="186">
        <f t="shared" si="181"/>
        <v>0</v>
      </c>
      <c r="AW63" s="186">
        <f t="shared" si="181"/>
        <v>0</v>
      </c>
      <c r="AX63" s="186">
        <f t="shared" si="181"/>
        <v>0</v>
      </c>
      <c r="AY63" s="186">
        <f t="shared" si="181"/>
        <v>0</v>
      </c>
      <c r="AZ63" s="186">
        <f t="shared" si="181"/>
        <v>0</v>
      </c>
      <c r="BA63" s="186">
        <f t="shared" si="181"/>
        <v>0</v>
      </c>
      <c r="BB63" s="186">
        <f t="shared" si="181"/>
        <v>0</v>
      </c>
      <c r="BC63" s="186">
        <f t="shared" si="181"/>
        <v>0</v>
      </c>
      <c r="BD63" s="186">
        <f t="shared" si="181"/>
        <v>0</v>
      </c>
      <c r="BE63" s="186">
        <f t="shared" si="181"/>
        <v>0</v>
      </c>
      <c r="BF63" s="186">
        <f t="shared" si="181"/>
        <v>0</v>
      </c>
      <c r="BG63" s="186">
        <f t="shared" si="181"/>
        <v>0</v>
      </c>
      <c r="BH63" s="186">
        <f t="shared" si="181"/>
        <v>0</v>
      </c>
      <c r="BI63" s="186">
        <f t="shared" si="181"/>
        <v>0</v>
      </c>
      <c r="BJ63" s="186">
        <f t="shared" si="181"/>
        <v>0</v>
      </c>
      <c r="BK63" s="186">
        <f t="shared" si="181"/>
        <v>0</v>
      </c>
      <c r="BL63" s="186">
        <f t="shared" si="181"/>
        <v>0</v>
      </c>
    </row>
    <row r="64" spans="2:64" x14ac:dyDescent="0.3">
      <c r="C64" s="130" t="s">
        <v>234</v>
      </c>
      <c r="D64" s="45">
        <f t="shared" ref="D64:E64" si="191">D55</f>
        <v>420964.181071</v>
      </c>
      <c r="E64" s="45">
        <f t="shared" si="191"/>
        <v>442012.39012455003</v>
      </c>
      <c r="F64" s="52">
        <f t="shared" si="183"/>
        <v>175.82</v>
      </c>
      <c r="G64" s="188">
        <f t="shared" ref="G64:H64" si="192">G55</f>
        <v>46388</v>
      </c>
      <c r="H64" s="188">
        <f t="shared" si="192"/>
        <v>46752</v>
      </c>
      <c r="I64" s="45">
        <f>'Assumption Sheet'!$F$31</f>
        <v>12</v>
      </c>
      <c r="J64" s="157">
        <f t="shared" si="185"/>
        <v>0.99999999999999978</v>
      </c>
      <c r="K64" s="186">
        <f t="shared" si="188"/>
        <v>0</v>
      </c>
      <c r="L64" s="186">
        <f t="shared" si="188"/>
        <v>0</v>
      </c>
      <c r="M64" s="186">
        <f t="shared" si="189"/>
        <v>0</v>
      </c>
      <c r="N64" s="186">
        <f t="shared" si="181"/>
        <v>0</v>
      </c>
      <c r="O64" s="186">
        <f t="shared" si="181"/>
        <v>0</v>
      </c>
      <c r="P64" s="186">
        <f t="shared" si="181"/>
        <v>0</v>
      </c>
      <c r="Q64" s="186">
        <f t="shared" si="181"/>
        <v>0</v>
      </c>
      <c r="R64" s="186">
        <f t="shared" si="181"/>
        <v>0</v>
      </c>
      <c r="S64" s="186">
        <f t="shared" si="181"/>
        <v>0</v>
      </c>
      <c r="T64" s="186">
        <f t="shared" si="181"/>
        <v>0</v>
      </c>
      <c r="U64" s="186">
        <f t="shared" si="181"/>
        <v>0</v>
      </c>
      <c r="V64" s="186">
        <f t="shared" si="181"/>
        <v>0</v>
      </c>
      <c r="W64" s="186">
        <f t="shared" si="190"/>
        <v>0</v>
      </c>
      <c r="X64" s="186">
        <f t="shared" si="190"/>
        <v>0</v>
      </c>
      <c r="Y64" s="186">
        <f t="shared" si="181"/>
        <v>0</v>
      </c>
      <c r="Z64" s="186">
        <f t="shared" si="181"/>
        <v>0</v>
      </c>
      <c r="AA64" s="186">
        <f t="shared" si="181"/>
        <v>0</v>
      </c>
      <c r="AB64" s="186">
        <f t="shared" si="181"/>
        <v>0</v>
      </c>
      <c r="AC64" s="186">
        <f t="shared" si="181"/>
        <v>0</v>
      </c>
      <c r="AD64" s="186">
        <f t="shared" si="181"/>
        <v>0</v>
      </c>
      <c r="AE64" s="186">
        <f t="shared" si="181"/>
        <v>0</v>
      </c>
      <c r="AF64" s="186">
        <f t="shared" si="181"/>
        <v>0</v>
      </c>
      <c r="AG64" s="186">
        <f t="shared" si="181"/>
        <v>0</v>
      </c>
      <c r="AH64" s="186">
        <f t="shared" si="181"/>
        <v>0</v>
      </c>
      <c r="AI64" s="186">
        <f t="shared" si="181"/>
        <v>0</v>
      </c>
      <c r="AJ64" s="186">
        <f t="shared" si="181"/>
        <v>0</v>
      </c>
      <c r="AK64" s="186">
        <f t="shared" si="181"/>
        <v>0</v>
      </c>
      <c r="AL64" s="186">
        <f t="shared" si="181"/>
        <v>0</v>
      </c>
      <c r="AM64" s="186">
        <f t="shared" si="181"/>
        <v>0</v>
      </c>
      <c r="AN64" s="186">
        <f t="shared" si="181"/>
        <v>0</v>
      </c>
      <c r="AO64" s="157">
        <f>IF(AND(AO$28&gt;=$G64,AO$28&lt;=$H64),10%,0)</f>
        <v>0.1</v>
      </c>
      <c r="AP64" s="157">
        <f>IF(AND(AP$28&gt;=$G64,AP$28&lt;=$H64),10%,0)</f>
        <v>0.1</v>
      </c>
      <c r="AQ64" s="157">
        <f t="shared" si="181"/>
        <v>0.08</v>
      </c>
      <c r="AR64" s="157">
        <f t="shared" si="181"/>
        <v>0.08</v>
      </c>
      <c r="AS64" s="157">
        <f t="shared" si="181"/>
        <v>0.08</v>
      </c>
      <c r="AT64" s="157">
        <f t="shared" si="181"/>
        <v>0.08</v>
      </c>
      <c r="AU64" s="157">
        <f t="shared" si="181"/>
        <v>0.08</v>
      </c>
      <c r="AV64" s="157">
        <f t="shared" si="181"/>
        <v>0.08</v>
      </c>
      <c r="AW64" s="157">
        <f t="shared" si="181"/>
        <v>0.08</v>
      </c>
      <c r="AX64" s="157">
        <f t="shared" si="181"/>
        <v>0.08</v>
      </c>
      <c r="AY64" s="157">
        <f t="shared" si="181"/>
        <v>0.08</v>
      </c>
      <c r="AZ64" s="157">
        <f t="shared" si="181"/>
        <v>0.08</v>
      </c>
      <c r="BA64" s="186">
        <f t="shared" si="181"/>
        <v>0</v>
      </c>
      <c r="BB64" s="186">
        <f t="shared" si="181"/>
        <v>0</v>
      </c>
      <c r="BC64" s="186">
        <f t="shared" si="181"/>
        <v>0</v>
      </c>
      <c r="BD64" s="186">
        <f t="shared" si="181"/>
        <v>0</v>
      </c>
      <c r="BE64" s="186">
        <f t="shared" si="181"/>
        <v>0</v>
      </c>
      <c r="BF64" s="186">
        <f t="shared" si="181"/>
        <v>0</v>
      </c>
      <c r="BG64" s="186">
        <f t="shared" si="181"/>
        <v>0</v>
      </c>
      <c r="BH64" s="186">
        <f t="shared" si="181"/>
        <v>0</v>
      </c>
      <c r="BI64" s="186">
        <f t="shared" si="181"/>
        <v>0</v>
      </c>
      <c r="BJ64" s="186">
        <f t="shared" si="181"/>
        <v>0</v>
      </c>
      <c r="BK64" s="186">
        <f t="shared" si="181"/>
        <v>0</v>
      </c>
      <c r="BL64" s="186">
        <f t="shared" si="181"/>
        <v>0</v>
      </c>
    </row>
    <row r="65" spans="2:64" x14ac:dyDescent="0.3">
      <c r="C65" s="130" t="s">
        <v>259</v>
      </c>
      <c r="D65" s="45">
        <f t="shared" ref="D65:E65" si="193">D56</f>
        <v>87708.024565</v>
      </c>
      <c r="E65" s="45">
        <f t="shared" si="193"/>
        <v>92093.425793250004</v>
      </c>
      <c r="F65" s="52">
        <f t="shared" si="183"/>
        <v>175.82</v>
      </c>
      <c r="G65" s="188">
        <f t="shared" ref="G65:H65" si="194">G56</f>
        <v>46661</v>
      </c>
      <c r="H65" s="188">
        <f t="shared" si="194"/>
        <v>47118</v>
      </c>
      <c r="I65" s="45">
        <f>'Assumption Sheet'!$F$32</f>
        <v>15</v>
      </c>
      <c r="J65" s="157">
        <f t="shared" si="185"/>
        <v>0.99999999999999989</v>
      </c>
      <c r="K65" s="186">
        <f t="shared" si="188"/>
        <v>0</v>
      </c>
      <c r="L65" s="186">
        <f t="shared" si="188"/>
        <v>0</v>
      </c>
      <c r="M65" s="186">
        <f>IF(AND(M$28&gt;=$G65,M$28&lt;=$H65),80%/13,0)</f>
        <v>0</v>
      </c>
      <c r="N65" s="186">
        <f t="shared" si="181"/>
        <v>0</v>
      </c>
      <c r="O65" s="186">
        <f t="shared" si="181"/>
        <v>0</v>
      </c>
      <c r="P65" s="186">
        <f t="shared" si="181"/>
        <v>0</v>
      </c>
      <c r="Q65" s="186">
        <f t="shared" si="181"/>
        <v>0</v>
      </c>
      <c r="R65" s="186">
        <f t="shared" si="181"/>
        <v>0</v>
      </c>
      <c r="S65" s="186">
        <f t="shared" si="181"/>
        <v>0</v>
      </c>
      <c r="T65" s="186">
        <f t="shared" si="181"/>
        <v>0</v>
      </c>
      <c r="U65" s="186">
        <f t="shared" si="181"/>
        <v>0</v>
      </c>
      <c r="V65" s="186">
        <f t="shared" si="181"/>
        <v>0</v>
      </c>
      <c r="W65" s="186">
        <f t="shared" si="190"/>
        <v>0</v>
      </c>
      <c r="X65" s="186">
        <f t="shared" si="190"/>
        <v>0</v>
      </c>
      <c r="Y65" s="186">
        <f t="shared" si="181"/>
        <v>0</v>
      </c>
      <c r="Z65" s="186">
        <f t="shared" si="181"/>
        <v>0</v>
      </c>
      <c r="AA65" s="186">
        <f t="shared" si="181"/>
        <v>0</v>
      </c>
      <c r="AB65" s="186">
        <f t="shared" si="181"/>
        <v>0</v>
      </c>
      <c r="AC65" s="186">
        <f t="shared" si="181"/>
        <v>0</v>
      </c>
      <c r="AD65" s="186">
        <f t="shared" si="181"/>
        <v>0</v>
      </c>
      <c r="AE65" s="186">
        <f t="shared" si="181"/>
        <v>0</v>
      </c>
      <c r="AF65" s="186">
        <f t="shared" si="181"/>
        <v>0</v>
      </c>
      <c r="AG65" s="186">
        <f t="shared" si="181"/>
        <v>0</v>
      </c>
      <c r="AH65" s="186">
        <f t="shared" si="181"/>
        <v>0</v>
      </c>
      <c r="AI65" s="186">
        <f t="shared" si="181"/>
        <v>0</v>
      </c>
      <c r="AJ65" s="186">
        <f t="shared" si="181"/>
        <v>0</v>
      </c>
      <c r="AK65" s="186">
        <f t="shared" si="181"/>
        <v>0</v>
      </c>
      <c r="AL65" s="186">
        <f t="shared" si="181"/>
        <v>0</v>
      </c>
      <c r="AM65" s="186">
        <f t="shared" si="181"/>
        <v>0</v>
      </c>
      <c r="AN65" s="186">
        <f t="shared" si="181"/>
        <v>0</v>
      </c>
      <c r="AO65" s="186">
        <f t="shared" si="181"/>
        <v>0</v>
      </c>
      <c r="AP65" s="186">
        <f t="shared" si="181"/>
        <v>0</v>
      </c>
      <c r="AQ65" s="186">
        <f t="shared" si="181"/>
        <v>0</v>
      </c>
      <c r="AR65" s="186">
        <f t="shared" si="181"/>
        <v>0</v>
      </c>
      <c r="AS65" s="186">
        <f t="shared" si="181"/>
        <v>0</v>
      </c>
      <c r="AT65" s="186">
        <f t="shared" si="181"/>
        <v>0</v>
      </c>
      <c r="AU65" s="186">
        <f t="shared" si="181"/>
        <v>0</v>
      </c>
      <c r="AV65" s="186">
        <f t="shared" si="181"/>
        <v>0</v>
      </c>
      <c r="AW65" s="186">
        <f t="shared" si="181"/>
        <v>0</v>
      </c>
      <c r="AX65" s="157">
        <f>IF(AND(AX$28&gt;=$G65,AX$28&lt;=$H65),100%/15,0)</f>
        <v>6.6666666666666666E-2</v>
      </c>
      <c r="AY65" s="157">
        <f t="shared" ref="AY65:BL65" si="195">IF(AND(AY$28&gt;=$G65,AY$28&lt;=$H65),100%/15,0)</f>
        <v>6.6666666666666666E-2</v>
      </c>
      <c r="AZ65" s="157">
        <f t="shared" si="195"/>
        <v>6.6666666666666666E-2</v>
      </c>
      <c r="BA65" s="157">
        <f t="shared" si="195"/>
        <v>6.6666666666666666E-2</v>
      </c>
      <c r="BB65" s="157">
        <f t="shared" si="195"/>
        <v>6.6666666666666666E-2</v>
      </c>
      <c r="BC65" s="157">
        <f t="shared" si="195"/>
        <v>6.6666666666666666E-2</v>
      </c>
      <c r="BD65" s="157">
        <f t="shared" si="195"/>
        <v>6.6666666666666666E-2</v>
      </c>
      <c r="BE65" s="157">
        <f t="shared" si="195"/>
        <v>6.6666666666666666E-2</v>
      </c>
      <c r="BF65" s="157">
        <f t="shared" si="195"/>
        <v>6.6666666666666666E-2</v>
      </c>
      <c r="BG65" s="157">
        <f t="shared" si="195"/>
        <v>6.6666666666666666E-2</v>
      </c>
      <c r="BH65" s="157">
        <f t="shared" si="195"/>
        <v>6.6666666666666666E-2</v>
      </c>
      <c r="BI65" s="157">
        <f t="shared" si="195"/>
        <v>6.6666666666666666E-2</v>
      </c>
      <c r="BJ65" s="157">
        <f t="shared" si="195"/>
        <v>6.6666666666666666E-2</v>
      </c>
      <c r="BK65" s="157">
        <f t="shared" si="195"/>
        <v>6.6666666666666666E-2</v>
      </c>
      <c r="BL65" s="157">
        <f t="shared" si="195"/>
        <v>6.6666666666666666E-2</v>
      </c>
    </row>
    <row r="67" spans="2:64" ht="27.6" x14ac:dyDescent="0.3">
      <c r="C67" s="184" t="s">
        <v>208</v>
      </c>
      <c r="D67" s="184" t="s">
        <v>371</v>
      </c>
      <c r="E67" s="24" t="s">
        <v>372</v>
      </c>
      <c r="F67" s="184" t="s">
        <v>384</v>
      </c>
      <c r="G67" s="184" t="s">
        <v>373</v>
      </c>
      <c r="H67" s="184" t="s">
        <v>374</v>
      </c>
      <c r="I67" s="184" t="s">
        <v>375</v>
      </c>
      <c r="J67" s="187" t="s">
        <v>504</v>
      </c>
      <c r="K67" s="185">
        <f>EOMONTH(MIN(G13:G17),0)</f>
        <v>45504</v>
      </c>
      <c r="L67" s="185">
        <f>EOMONTH(K67,1)</f>
        <v>45535</v>
      </c>
      <c r="M67" s="185">
        <f t="shared" ref="M67:BL67" si="196">EOMONTH(L67,1)</f>
        <v>45565</v>
      </c>
      <c r="N67" s="185">
        <f t="shared" si="196"/>
        <v>45596</v>
      </c>
      <c r="O67" s="185">
        <f t="shared" si="196"/>
        <v>45626</v>
      </c>
      <c r="P67" s="185">
        <f t="shared" si="196"/>
        <v>45657</v>
      </c>
      <c r="Q67" s="185">
        <f t="shared" si="196"/>
        <v>45688</v>
      </c>
      <c r="R67" s="185">
        <f t="shared" si="196"/>
        <v>45716</v>
      </c>
      <c r="S67" s="185">
        <f t="shared" si="196"/>
        <v>45747</v>
      </c>
      <c r="T67" s="185">
        <f t="shared" si="196"/>
        <v>45777</v>
      </c>
      <c r="U67" s="185">
        <f t="shared" si="196"/>
        <v>45808</v>
      </c>
      <c r="V67" s="185">
        <f t="shared" si="196"/>
        <v>45838</v>
      </c>
      <c r="W67" s="185">
        <f t="shared" si="196"/>
        <v>45869</v>
      </c>
      <c r="X67" s="185">
        <f t="shared" si="196"/>
        <v>45900</v>
      </c>
      <c r="Y67" s="185">
        <f t="shared" si="196"/>
        <v>45930</v>
      </c>
      <c r="Z67" s="185">
        <f t="shared" si="196"/>
        <v>45961</v>
      </c>
      <c r="AA67" s="185">
        <f t="shared" si="196"/>
        <v>45991</v>
      </c>
      <c r="AB67" s="185">
        <f t="shared" si="196"/>
        <v>46022</v>
      </c>
      <c r="AC67" s="185">
        <f t="shared" si="196"/>
        <v>46053</v>
      </c>
      <c r="AD67" s="185">
        <f t="shared" si="196"/>
        <v>46081</v>
      </c>
      <c r="AE67" s="185">
        <f t="shared" si="196"/>
        <v>46112</v>
      </c>
      <c r="AF67" s="185">
        <f t="shared" si="196"/>
        <v>46142</v>
      </c>
      <c r="AG67" s="185">
        <f t="shared" si="196"/>
        <v>46173</v>
      </c>
      <c r="AH67" s="185">
        <f t="shared" si="196"/>
        <v>46203</v>
      </c>
      <c r="AI67" s="185">
        <f t="shared" si="196"/>
        <v>46234</v>
      </c>
      <c r="AJ67" s="185">
        <f t="shared" si="196"/>
        <v>46265</v>
      </c>
      <c r="AK67" s="185">
        <f t="shared" si="196"/>
        <v>46295</v>
      </c>
      <c r="AL67" s="185">
        <f t="shared" si="196"/>
        <v>46326</v>
      </c>
      <c r="AM67" s="185">
        <f t="shared" si="196"/>
        <v>46356</v>
      </c>
      <c r="AN67" s="185">
        <f t="shared" si="196"/>
        <v>46387</v>
      </c>
      <c r="AO67" s="185">
        <f t="shared" si="196"/>
        <v>46418</v>
      </c>
      <c r="AP67" s="185">
        <f t="shared" si="196"/>
        <v>46446</v>
      </c>
      <c r="AQ67" s="185">
        <f t="shared" si="196"/>
        <v>46477</v>
      </c>
      <c r="AR67" s="185">
        <f t="shared" si="196"/>
        <v>46507</v>
      </c>
      <c r="AS67" s="185">
        <f t="shared" si="196"/>
        <v>46538</v>
      </c>
      <c r="AT67" s="185">
        <f t="shared" si="196"/>
        <v>46568</v>
      </c>
      <c r="AU67" s="185">
        <f t="shared" si="196"/>
        <v>46599</v>
      </c>
      <c r="AV67" s="185">
        <f t="shared" si="196"/>
        <v>46630</v>
      </c>
      <c r="AW67" s="185">
        <f t="shared" si="196"/>
        <v>46660</v>
      </c>
      <c r="AX67" s="185">
        <f t="shared" si="196"/>
        <v>46691</v>
      </c>
      <c r="AY67" s="185">
        <f t="shared" si="196"/>
        <v>46721</v>
      </c>
      <c r="AZ67" s="185">
        <f t="shared" si="196"/>
        <v>46752</v>
      </c>
      <c r="BA67" s="185">
        <f t="shared" si="196"/>
        <v>46783</v>
      </c>
      <c r="BB67" s="185">
        <f t="shared" si="196"/>
        <v>46812</v>
      </c>
      <c r="BC67" s="185">
        <f t="shared" si="196"/>
        <v>46843</v>
      </c>
      <c r="BD67" s="185">
        <f t="shared" si="196"/>
        <v>46873</v>
      </c>
      <c r="BE67" s="185">
        <f t="shared" si="196"/>
        <v>46904</v>
      </c>
      <c r="BF67" s="185">
        <f t="shared" si="196"/>
        <v>46934</v>
      </c>
      <c r="BG67" s="185">
        <f t="shared" si="196"/>
        <v>46965</v>
      </c>
      <c r="BH67" s="185">
        <f t="shared" si="196"/>
        <v>46996</v>
      </c>
      <c r="BI67" s="185">
        <f t="shared" si="196"/>
        <v>47026</v>
      </c>
      <c r="BJ67" s="185">
        <f t="shared" si="196"/>
        <v>47057</v>
      </c>
      <c r="BK67" s="185">
        <f t="shared" si="196"/>
        <v>47087</v>
      </c>
      <c r="BL67" s="185">
        <f t="shared" si="196"/>
        <v>47118</v>
      </c>
    </row>
    <row r="68" spans="2:64" x14ac:dyDescent="0.3">
      <c r="C68" s="130" t="s">
        <v>230</v>
      </c>
      <c r="D68" s="45">
        <f>D61</f>
        <v>243028.41058999998</v>
      </c>
      <c r="E68" s="45">
        <f>E61</f>
        <v>255179.83111949998</v>
      </c>
      <c r="F68" s="33">
        <f>F61</f>
        <v>175.82</v>
      </c>
      <c r="G68" s="188">
        <f t="shared" ref="G68:H68" si="197">G61</f>
        <v>45474</v>
      </c>
      <c r="H68" s="188">
        <f t="shared" si="197"/>
        <v>45838</v>
      </c>
      <c r="I68" s="45">
        <f>'Assumption Sheet'!$F$28</f>
        <v>12</v>
      </c>
      <c r="J68" s="186">
        <f>SUM(K68:BL68)</f>
        <v>4.2729255149933802</v>
      </c>
      <c r="K68" s="186">
        <f>K61*$F68*$D68/10^7</f>
        <v>0.42729255149933798</v>
      </c>
      <c r="L68" s="186">
        <f t="shared" ref="L68:BL68" si="198">L61*$F68*$D68/10^7</f>
        <v>0.42729255149933798</v>
      </c>
      <c r="M68" s="186">
        <f t="shared" si="198"/>
        <v>0.34183404119947036</v>
      </c>
      <c r="N68" s="186">
        <f t="shared" si="198"/>
        <v>0.34183404119947036</v>
      </c>
      <c r="O68" s="186">
        <f t="shared" si="198"/>
        <v>0.34183404119947036</v>
      </c>
      <c r="P68" s="186">
        <f t="shared" si="198"/>
        <v>0.34183404119947036</v>
      </c>
      <c r="Q68" s="186">
        <f t="shared" si="198"/>
        <v>0.34183404119947036</v>
      </c>
      <c r="R68" s="186">
        <f t="shared" si="198"/>
        <v>0.34183404119947036</v>
      </c>
      <c r="S68" s="186">
        <f t="shared" si="198"/>
        <v>0.34183404119947036</v>
      </c>
      <c r="T68" s="186">
        <f t="shared" si="198"/>
        <v>0.34183404119947036</v>
      </c>
      <c r="U68" s="186">
        <f t="shared" si="198"/>
        <v>0.34183404119947036</v>
      </c>
      <c r="V68" s="186">
        <f t="shared" si="198"/>
        <v>0.34183404119947036</v>
      </c>
      <c r="W68" s="186">
        <f t="shared" si="198"/>
        <v>0</v>
      </c>
      <c r="X68" s="186">
        <f t="shared" si="198"/>
        <v>0</v>
      </c>
      <c r="Y68" s="186">
        <f t="shared" si="198"/>
        <v>0</v>
      </c>
      <c r="Z68" s="186">
        <f t="shared" si="198"/>
        <v>0</v>
      </c>
      <c r="AA68" s="186">
        <f t="shared" si="198"/>
        <v>0</v>
      </c>
      <c r="AB68" s="186">
        <f t="shared" si="198"/>
        <v>0</v>
      </c>
      <c r="AC68" s="186">
        <f t="shared" si="198"/>
        <v>0</v>
      </c>
      <c r="AD68" s="186">
        <f t="shared" si="198"/>
        <v>0</v>
      </c>
      <c r="AE68" s="186">
        <f t="shared" si="198"/>
        <v>0</v>
      </c>
      <c r="AF68" s="186">
        <f t="shared" si="198"/>
        <v>0</v>
      </c>
      <c r="AG68" s="186">
        <f t="shared" si="198"/>
        <v>0</v>
      </c>
      <c r="AH68" s="186">
        <f t="shared" si="198"/>
        <v>0</v>
      </c>
      <c r="AI68" s="186">
        <f t="shared" si="198"/>
        <v>0</v>
      </c>
      <c r="AJ68" s="186">
        <f t="shared" si="198"/>
        <v>0</v>
      </c>
      <c r="AK68" s="186">
        <f t="shared" si="198"/>
        <v>0</v>
      </c>
      <c r="AL68" s="186">
        <f t="shared" si="198"/>
        <v>0</v>
      </c>
      <c r="AM68" s="186">
        <f t="shared" si="198"/>
        <v>0</v>
      </c>
      <c r="AN68" s="186">
        <f t="shared" si="198"/>
        <v>0</v>
      </c>
      <c r="AO68" s="186">
        <f t="shared" si="198"/>
        <v>0</v>
      </c>
      <c r="AP68" s="186">
        <f t="shared" si="198"/>
        <v>0</v>
      </c>
      <c r="AQ68" s="186">
        <f t="shared" si="198"/>
        <v>0</v>
      </c>
      <c r="AR68" s="186">
        <f t="shared" si="198"/>
        <v>0</v>
      </c>
      <c r="AS68" s="186">
        <f t="shared" si="198"/>
        <v>0</v>
      </c>
      <c r="AT68" s="186">
        <f t="shared" si="198"/>
        <v>0</v>
      </c>
      <c r="AU68" s="186">
        <f t="shared" si="198"/>
        <v>0</v>
      </c>
      <c r="AV68" s="186">
        <f t="shared" si="198"/>
        <v>0</v>
      </c>
      <c r="AW68" s="186">
        <f t="shared" si="198"/>
        <v>0</v>
      </c>
      <c r="AX68" s="186">
        <f t="shared" si="198"/>
        <v>0</v>
      </c>
      <c r="AY68" s="186">
        <f t="shared" si="198"/>
        <v>0</v>
      </c>
      <c r="AZ68" s="186">
        <f t="shared" si="198"/>
        <v>0</v>
      </c>
      <c r="BA68" s="186">
        <f t="shared" si="198"/>
        <v>0</v>
      </c>
      <c r="BB68" s="186">
        <f t="shared" si="198"/>
        <v>0</v>
      </c>
      <c r="BC68" s="186">
        <f t="shared" si="198"/>
        <v>0</v>
      </c>
      <c r="BD68" s="186">
        <f t="shared" si="198"/>
        <v>0</v>
      </c>
      <c r="BE68" s="186">
        <f t="shared" si="198"/>
        <v>0</v>
      </c>
      <c r="BF68" s="186">
        <f t="shared" si="198"/>
        <v>0</v>
      </c>
      <c r="BG68" s="186">
        <f t="shared" si="198"/>
        <v>0</v>
      </c>
      <c r="BH68" s="186">
        <f t="shared" si="198"/>
        <v>0</v>
      </c>
      <c r="BI68" s="186">
        <f t="shared" si="198"/>
        <v>0</v>
      </c>
      <c r="BJ68" s="186">
        <f t="shared" si="198"/>
        <v>0</v>
      </c>
      <c r="BK68" s="186">
        <f t="shared" si="198"/>
        <v>0</v>
      </c>
      <c r="BL68" s="186">
        <f t="shared" si="198"/>
        <v>0</v>
      </c>
    </row>
    <row r="69" spans="2:64" x14ac:dyDescent="0.3">
      <c r="C69" s="130" t="s">
        <v>231</v>
      </c>
      <c r="D69" s="45">
        <f t="shared" ref="D69:H69" si="199">D62</f>
        <v>470733.22550099995</v>
      </c>
      <c r="E69" s="45">
        <f t="shared" si="199"/>
        <v>494269.88677604997</v>
      </c>
      <c r="F69" s="33">
        <f t="shared" si="199"/>
        <v>175.82</v>
      </c>
      <c r="G69" s="188">
        <f t="shared" si="199"/>
        <v>45839</v>
      </c>
      <c r="H69" s="188">
        <f t="shared" si="199"/>
        <v>46203</v>
      </c>
      <c r="I69" s="45">
        <f>'Assumption Sheet'!$F$29</f>
        <v>12</v>
      </c>
      <c r="J69" s="186">
        <f t="shared" ref="J69:J72" si="200">SUM(K69:BL69)</f>
        <v>8.2764315707585805</v>
      </c>
      <c r="K69" s="186">
        <f>K62*$F69*$D69/10^7</f>
        <v>0</v>
      </c>
      <c r="L69" s="186">
        <f t="shared" ref="L69:BL69" si="201">L62*$F69*$D69/10^7</f>
        <v>0</v>
      </c>
      <c r="M69" s="186">
        <f t="shared" si="201"/>
        <v>0</v>
      </c>
      <c r="N69" s="186">
        <f t="shared" si="201"/>
        <v>0</v>
      </c>
      <c r="O69" s="186">
        <f t="shared" si="201"/>
        <v>0</v>
      </c>
      <c r="P69" s="186">
        <f t="shared" si="201"/>
        <v>0</v>
      </c>
      <c r="Q69" s="186">
        <f t="shared" si="201"/>
        <v>0</v>
      </c>
      <c r="R69" s="186">
        <f t="shared" si="201"/>
        <v>0</v>
      </c>
      <c r="S69" s="186">
        <f t="shared" si="201"/>
        <v>0</v>
      </c>
      <c r="T69" s="186">
        <f t="shared" si="201"/>
        <v>0</v>
      </c>
      <c r="U69" s="186">
        <f t="shared" si="201"/>
        <v>0</v>
      </c>
      <c r="V69" s="186">
        <f t="shared" si="201"/>
        <v>0</v>
      </c>
      <c r="W69" s="186">
        <f t="shared" si="201"/>
        <v>0.82764315707585812</v>
      </c>
      <c r="X69" s="186">
        <f t="shared" si="201"/>
        <v>0.82764315707585812</v>
      </c>
      <c r="Y69" s="186">
        <f t="shared" si="201"/>
        <v>0.66211452566068651</v>
      </c>
      <c r="Z69" s="186">
        <f t="shared" si="201"/>
        <v>0.66211452566068651</v>
      </c>
      <c r="AA69" s="186">
        <f t="shared" si="201"/>
        <v>0.66211452566068651</v>
      </c>
      <c r="AB69" s="186">
        <f t="shared" si="201"/>
        <v>0.66211452566068651</v>
      </c>
      <c r="AC69" s="186">
        <f t="shared" si="201"/>
        <v>0.66211452566068651</v>
      </c>
      <c r="AD69" s="186">
        <f t="shared" si="201"/>
        <v>0.66211452566068651</v>
      </c>
      <c r="AE69" s="186">
        <f t="shared" si="201"/>
        <v>0.66211452566068651</v>
      </c>
      <c r="AF69" s="186">
        <f t="shared" si="201"/>
        <v>0.66211452566068651</v>
      </c>
      <c r="AG69" s="186">
        <f t="shared" si="201"/>
        <v>0.66211452566068651</v>
      </c>
      <c r="AH69" s="186">
        <f t="shared" si="201"/>
        <v>0.66211452566068651</v>
      </c>
      <c r="AI69" s="186">
        <f t="shared" si="201"/>
        <v>0</v>
      </c>
      <c r="AJ69" s="186">
        <f t="shared" si="201"/>
        <v>0</v>
      </c>
      <c r="AK69" s="186">
        <f t="shared" si="201"/>
        <v>0</v>
      </c>
      <c r="AL69" s="186">
        <f t="shared" si="201"/>
        <v>0</v>
      </c>
      <c r="AM69" s="186">
        <f t="shared" si="201"/>
        <v>0</v>
      </c>
      <c r="AN69" s="186">
        <f t="shared" si="201"/>
        <v>0</v>
      </c>
      <c r="AO69" s="186">
        <f t="shared" si="201"/>
        <v>0</v>
      </c>
      <c r="AP69" s="186">
        <f t="shared" si="201"/>
        <v>0</v>
      </c>
      <c r="AQ69" s="186">
        <f t="shared" si="201"/>
        <v>0</v>
      </c>
      <c r="AR69" s="186">
        <f t="shared" si="201"/>
        <v>0</v>
      </c>
      <c r="AS69" s="186">
        <f t="shared" si="201"/>
        <v>0</v>
      </c>
      <c r="AT69" s="186">
        <f t="shared" si="201"/>
        <v>0</v>
      </c>
      <c r="AU69" s="186">
        <f t="shared" si="201"/>
        <v>0</v>
      </c>
      <c r="AV69" s="186">
        <f t="shared" si="201"/>
        <v>0</v>
      </c>
      <c r="AW69" s="186">
        <f t="shared" si="201"/>
        <v>0</v>
      </c>
      <c r="AX69" s="186">
        <f t="shared" si="201"/>
        <v>0</v>
      </c>
      <c r="AY69" s="186">
        <f t="shared" si="201"/>
        <v>0</v>
      </c>
      <c r="AZ69" s="186">
        <f t="shared" si="201"/>
        <v>0</v>
      </c>
      <c r="BA69" s="186">
        <f t="shared" si="201"/>
        <v>0</v>
      </c>
      <c r="BB69" s="186">
        <f t="shared" si="201"/>
        <v>0</v>
      </c>
      <c r="BC69" s="186">
        <f t="shared" si="201"/>
        <v>0</v>
      </c>
      <c r="BD69" s="186">
        <f t="shared" si="201"/>
        <v>0</v>
      </c>
      <c r="BE69" s="186">
        <f t="shared" si="201"/>
        <v>0</v>
      </c>
      <c r="BF69" s="186">
        <f t="shared" si="201"/>
        <v>0</v>
      </c>
      <c r="BG69" s="186">
        <f t="shared" si="201"/>
        <v>0</v>
      </c>
      <c r="BH69" s="186">
        <f t="shared" si="201"/>
        <v>0</v>
      </c>
      <c r="BI69" s="186">
        <f t="shared" si="201"/>
        <v>0</v>
      </c>
      <c r="BJ69" s="186">
        <f t="shared" si="201"/>
        <v>0</v>
      </c>
      <c r="BK69" s="186">
        <f t="shared" si="201"/>
        <v>0</v>
      </c>
      <c r="BL69" s="186">
        <f t="shared" si="201"/>
        <v>0</v>
      </c>
    </row>
    <row r="70" spans="2:64" x14ac:dyDescent="0.3">
      <c r="C70" s="130" t="s">
        <v>232</v>
      </c>
      <c r="D70" s="45">
        <f t="shared" ref="D70:H70" si="202">D63</f>
        <v>196225.03588799998</v>
      </c>
      <c r="E70" s="45">
        <f t="shared" si="202"/>
        <v>206036.2876824</v>
      </c>
      <c r="F70" s="33">
        <f t="shared" si="202"/>
        <v>175.82</v>
      </c>
      <c r="G70" s="188">
        <f t="shared" si="202"/>
        <v>46113</v>
      </c>
      <c r="H70" s="188">
        <f t="shared" si="202"/>
        <v>46477</v>
      </c>
      <c r="I70" s="45">
        <f>'Assumption Sheet'!$F$30</f>
        <v>12</v>
      </c>
      <c r="J70" s="186">
        <f t="shared" si="200"/>
        <v>3.4500285809828162</v>
      </c>
      <c r="K70" s="186">
        <f>K63*$F70*$D70/10^7</f>
        <v>0</v>
      </c>
      <c r="L70" s="186">
        <f t="shared" ref="L70:BL70" si="203">L63*$F70*$D70/10^7</f>
        <v>0</v>
      </c>
      <c r="M70" s="186">
        <f t="shared" si="203"/>
        <v>0</v>
      </c>
      <c r="N70" s="186">
        <f t="shared" si="203"/>
        <v>0</v>
      </c>
      <c r="O70" s="186">
        <f t="shared" si="203"/>
        <v>0</v>
      </c>
      <c r="P70" s="186">
        <f t="shared" si="203"/>
        <v>0</v>
      </c>
      <c r="Q70" s="186">
        <f t="shared" si="203"/>
        <v>0</v>
      </c>
      <c r="R70" s="186">
        <f t="shared" si="203"/>
        <v>0</v>
      </c>
      <c r="S70" s="186">
        <f t="shared" si="203"/>
        <v>0</v>
      </c>
      <c r="T70" s="186">
        <f t="shared" si="203"/>
        <v>0</v>
      </c>
      <c r="U70" s="186">
        <f t="shared" si="203"/>
        <v>0</v>
      </c>
      <c r="V70" s="186">
        <f t="shared" si="203"/>
        <v>0</v>
      </c>
      <c r="W70" s="186">
        <f t="shared" si="203"/>
        <v>0</v>
      </c>
      <c r="X70" s="186">
        <f t="shared" si="203"/>
        <v>0</v>
      </c>
      <c r="Y70" s="186">
        <f t="shared" si="203"/>
        <v>0</v>
      </c>
      <c r="Z70" s="186">
        <f t="shared" si="203"/>
        <v>0</v>
      </c>
      <c r="AA70" s="186">
        <f t="shared" si="203"/>
        <v>0</v>
      </c>
      <c r="AB70" s="186">
        <f t="shared" si="203"/>
        <v>0</v>
      </c>
      <c r="AC70" s="186">
        <f t="shared" si="203"/>
        <v>0</v>
      </c>
      <c r="AD70" s="186">
        <f t="shared" si="203"/>
        <v>0</v>
      </c>
      <c r="AE70" s="186">
        <f t="shared" si="203"/>
        <v>0</v>
      </c>
      <c r="AF70" s="186">
        <f t="shared" si="203"/>
        <v>0.34500285809828157</v>
      </c>
      <c r="AG70" s="186">
        <f t="shared" si="203"/>
        <v>0.34500285809828157</v>
      </c>
      <c r="AH70" s="186">
        <f t="shared" si="203"/>
        <v>0.27600228647862524</v>
      </c>
      <c r="AI70" s="186">
        <f t="shared" si="203"/>
        <v>0.27600228647862524</v>
      </c>
      <c r="AJ70" s="186">
        <f t="shared" si="203"/>
        <v>0.27600228647862524</v>
      </c>
      <c r="AK70" s="186">
        <f t="shared" si="203"/>
        <v>0.27600228647862524</v>
      </c>
      <c r="AL70" s="186">
        <f t="shared" si="203"/>
        <v>0.27600228647862524</v>
      </c>
      <c r="AM70" s="186">
        <f t="shared" si="203"/>
        <v>0.27600228647862524</v>
      </c>
      <c r="AN70" s="186">
        <f t="shared" si="203"/>
        <v>0.27600228647862524</v>
      </c>
      <c r="AO70" s="186">
        <f t="shared" si="203"/>
        <v>0.27600228647862524</v>
      </c>
      <c r="AP70" s="186">
        <f t="shared" si="203"/>
        <v>0.27600228647862524</v>
      </c>
      <c r="AQ70" s="186">
        <f t="shared" si="203"/>
        <v>0.27600228647862524</v>
      </c>
      <c r="AR70" s="186">
        <f t="shared" si="203"/>
        <v>0</v>
      </c>
      <c r="AS70" s="186">
        <f t="shared" si="203"/>
        <v>0</v>
      </c>
      <c r="AT70" s="186">
        <f t="shared" si="203"/>
        <v>0</v>
      </c>
      <c r="AU70" s="186">
        <f t="shared" si="203"/>
        <v>0</v>
      </c>
      <c r="AV70" s="186">
        <f t="shared" si="203"/>
        <v>0</v>
      </c>
      <c r="AW70" s="186">
        <f t="shared" si="203"/>
        <v>0</v>
      </c>
      <c r="AX70" s="186">
        <f t="shared" si="203"/>
        <v>0</v>
      </c>
      <c r="AY70" s="186">
        <f t="shared" si="203"/>
        <v>0</v>
      </c>
      <c r="AZ70" s="186">
        <f t="shared" si="203"/>
        <v>0</v>
      </c>
      <c r="BA70" s="186">
        <f t="shared" si="203"/>
        <v>0</v>
      </c>
      <c r="BB70" s="186">
        <f t="shared" si="203"/>
        <v>0</v>
      </c>
      <c r="BC70" s="186">
        <f t="shared" si="203"/>
        <v>0</v>
      </c>
      <c r="BD70" s="186">
        <f t="shared" si="203"/>
        <v>0</v>
      </c>
      <c r="BE70" s="186">
        <f t="shared" si="203"/>
        <v>0</v>
      </c>
      <c r="BF70" s="186">
        <f t="shared" si="203"/>
        <v>0</v>
      </c>
      <c r="BG70" s="186">
        <f t="shared" si="203"/>
        <v>0</v>
      </c>
      <c r="BH70" s="186">
        <f t="shared" si="203"/>
        <v>0</v>
      </c>
      <c r="BI70" s="186">
        <f t="shared" si="203"/>
        <v>0</v>
      </c>
      <c r="BJ70" s="186">
        <f t="shared" si="203"/>
        <v>0</v>
      </c>
      <c r="BK70" s="186">
        <f t="shared" si="203"/>
        <v>0</v>
      </c>
      <c r="BL70" s="186">
        <f t="shared" si="203"/>
        <v>0</v>
      </c>
    </row>
    <row r="71" spans="2:64" x14ac:dyDescent="0.3">
      <c r="C71" s="130" t="s">
        <v>234</v>
      </c>
      <c r="D71" s="45">
        <f t="shared" ref="D71:H71" si="204">D64</f>
        <v>420964.181071</v>
      </c>
      <c r="E71" s="45">
        <f t="shared" si="204"/>
        <v>442012.39012455003</v>
      </c>
      <c r="F71" s="33">
        <f t="shared" si="204"/>
        <v>175.82</v>
      </c>
      <c r="G71" s="188">
        <f t="shared" si="204"/>
        <v>46388</v>
      </c>
      <c r="H71" s="188">
        <f t="shared" si="204"/>
        <v>46752</v>
      </c>
      <c r="I71" s="45">
        <f>'Assumption Sheet'!$F$31</f>
        <v>12</v>
      </c>
      <c r="J71" s="186">
        <f t="shared" si="200"/>
        <v>7.4013922315903207</v>
      </c>
      <c r="K71" s="186">
        <f>K64*$F71*$D71/10^7</f>
        <v>0</v>
      </c>
      <c r="L71" s="186">
        <f t="shared" ref="L71:BL71" si="205">L64*$F71*$D71/10^7</f>
        <v>0</v>
      </c>
      <c r="M71" s="186">
        <f t="shared" si="205"/>
        <v>0</v>
      </c>
      <c r="N71" s="186">
        <f t="shared" si="205"/>
        <v>0</v>
      </c>
      <c r="O71" s="186">
        <f t="shared" si="205"/>
        <v>0</v>
      </c>
      <c r="P71" s="186">
        <f t="shared" si="205"/>
        <v>0</v>
      </c>
      <c r="Q71" s="186">
        <f t="shared" si="205"/>
        <v>0</v>
      </c>
      <c r="R71" s="186">
        <f t="shared" si="205"/>
        <v>0</v>
      </c>
      <c r="S71" s="186">
        <f t="shared" si="205"/>
        <v>0</v>
      </c>
      <c r="T71" s="186">
        <f t="shared" si="205"/>
        <v>0</v>
      </c>
      <c r="U71" s="186">
        <f t="shared" si="205"/>
        <v>0</v>
      </c>
      <c r="V71" s="186">
        <f t="shared" si="205"/>
        <v>0</v>
      </c>
      <c r="W71" s="186">
        <f t="shared" si="205"/>
        <v>0</v>
      </c>
      <c r="X71" s="186">
        <f t="shared" si="205"/>
        <v>0</v>
      </c>
      <c r="Y71" s="186">
        <f t="shared" si="205"/>
        <v>0</v>
      </c>
      <c r="Z71" s="186">
        <f t="shared" si="205"/>
        <v>0</v>
      </c>
      <c r="AA71" s="186">
        <f t="shared" si="205"/>
        <v>0</v>
      </c>
      <c r="AB71" s="186">
        <f t="shared" si="205"/>
        <v>0</v>
      </c>
      <c r="AC71" s="186">
        <f t="shared" si="205"/>
        <v>0</v>
      </c>
      <c r="AD71" s="186">
        <f t="shared" si="205"/>
        <v>0</v>
      </c>
      <c r="AE71" s="186">
        <f t="shared" si="205"/>
        <v>0</v>
      </c>
      <c r="AF71" s="186">
        <f t="shared" si="205"/>
        <v>0</v>
      </c>
      <c r="AG71" s="186">
        <f t="shared" si="205"/>
        <v>0</v>
      </c>
      <c r="AH71" s="186">
        <f t="shared" si="205"/>
        <v>0</v>
      </c>
      <c r="AI71" s="186">
        <f t="shared" si="205"/>
        <v>0</v>
      </c>
      <c r="AJ71" s="186">
        <f t="shared" si="205"/>
        <v>0</v>
      </c>
      <c r="AK71" s="186">
        <f t="shared" si="205"/>
        <v>0</v>
      </c>
      <c r="AL71" s="186">
        <f t="shared" si="205"/>
        <v>0</v>
      </c>
      <c r="AM71" s="186">
        <f t="shared" si="205"/>
        <v>0</v>
      </c>
      <c r="AN71" s="186">
        <f t="shared" si="205"/>
        <v>0</v>
      </c>
      <c r="AO71" s="186">
        <f t="shared" si="205"/>
        <v>0.74013922315903224</v>
      </c>
      <c r="AP71" s="186">
        <f t="shared" si="205"/>
        <v>0.74013922315903224</v>
      </c>
      <c r="AQ71" s="186">
        <f t="shared" si="205"/>
        <v>0.59211137852722573</v>
      </c>
      <c r="AR71" s="186">
        <f t="shared" si="205"/>
        <v>0.59211137852722573</v>
      </c>
      <c r="AS71" s="186">
        <f t="shared" si="205"/>
        <v>0.59211137852722573</v>
      </c>
      <c r="AT71" s="186">
        <f t="shared" si="205"/>
        <v>0.59211137852722573</v>
      </c>
      <c r="AU71" s="186">
        <f t="shared" si="205"/>
        <v>0.59211137852722573</v>
      </c>
      <c r="AV71" s="186">
        <f t="shared" si="205"/>
        <v>0.59211137852722573</v>
      </c>
      <c r="AW71" s="186">
        <f t="shared" si="205"/>
        <v>0.59211137852722573</v>
      </c>
      <c r="AX71" s="186">
        <f t="shared" si="205"/>
        <v>0.59211137852722573</v>
      </c>
      <c r="AY71" s="186">
        <f t="shared" si="205"/>
        <v>0.59211137852722573</v>
      </c>
      <c r="AZ71" s="186">
        <f t="shared" si="205"/>
        <v>0.59211137852722573</v>
      </c>
      <c r="BA71" s="186">
        <f t="shared" si="205"/>
        <v>0</v>
      </c>
      <c r="BB71" s="186">
        <f t="shared" si="205"/>
        <v>0</v>
      </c>
      <c r="BC71" s="186">
        <f t="shared" si="205"/>
        <v>0</v>
      </c>
      <c r="BD71" s="186">
        <f t="shared" si="205"/>
        <v>0</v>
      </c>
      <c r="BE71" s="186">
        <f t="shared" si="205"/>
        <v>0</v>
      </c>
      <c r="BF71" s="186">
        <f t="shared" si="205"/>
        <v>0</v>
      </c>
      <c r="BG71" s="186">
        <f t="shared" si="205"/>
        <v>0</v>
      </c>
      <c r="BH71" s="186">
        <f t="shared" si="205"/>
        <v>0</v>
      </c>
      <c r="BI71" s="186">
        <f t="shared" si="205"/>
        <v>0</v>
      </c>
      <c r="BJ71" s="186">
        <f t="shared" si="205"/>
        <v>0</v>
      </c>
      <c r="BK71" s="186">
        <f t="shared" si="205"/>
        <v>0</v>
      </c>
      <c r="BL71" s="186">
        <f t="shared" si="205"/>
        <v>0</v>
      </c>
    </row>
    <row r="72" spans="2:64" x14ac:dyDescent="0.3">
      <c r="C72" s="130" t="s">
        <v>259</v>
      </c>
      <c r="D72" s="45">
        <f t="shared" ref="D72:H72" si="206">D65</f>
        <v>87708.024565</v>
      </c>
      <c r="E72" s="45">
        <f t="shared" si="206"/>
        <v>92093.425793250004</v>
      </c>
      <c r="F72" s="33">
        <f t="shared" si="206"/>
        <v>175.82</v>
      </c>
      <c r="G72" s="188">
        <f t="shared" si="206"/>
        <v>46661</v>
      </c>
      <c r="H72" s="188">
        <f t="shared" si="206"/>
        <v>47118</v>
      </c>
      <c r="I72" s="45">
        <f>'Assumption Sheet'!$F$32</f>
        <v>15</v>
      </c>
      <c r="J72" s="186">
        <f t="shared" si="200"/>
        <v>1.5420824879018293</v>
      </c>
      <c r="K72" s="186">
        <f>K65*$F72*$D72/10^7</f>
        <v>0</v>
      </c>
      <c r="L72" s="186">
        <f t="shared" ref="L72:BL72" si="207">L65*$F72*$D72/10^7</f>
        <v>0</v>
      </c>
      <c r="M72" s="186">
        <f t="shared" si="207"/>
        <v>0</v>
      </c>
      <c r="N72" s="186">
        <f t="shared" si="207"/>
        <v>0</v>
      </c>
      <c r="O72" s="186">
        <f t="shared" si="207"/>
        <v>0</v>
      </c>
      <c r="P72" s="186">
        <f t="shared" si="207"/>
        <v>0</v>
      </c>
      <c r="Q72" s="186">
        <f t="shared" si="207"/>
        <v>0</v>
      </c>
      <c r="R72" s="186">
        <f t="shared" si="207"/>
        <v>0</v>
      </c>
      <c r="S72" s="186">
        <f t="shared" si="207"/>
        <v>0</v>
      </c>
      <c r="T72" s="186">
        <f t="shared" si="207"/>
        <v>0</v>
      </c>
      <c r="U72" s="186">
        <f t="shared" si="207"/>
        <v>0</v>
      </c>
      <c r="V72" s="186">
        <f t="shared" si="207"/>
        <v>0</v>
      </c>
      <c r="W72" s="186">
        <f t="shared" si="207"/>
        <v>0</v>
      </c>
      <c r="X72" s="186">
        <f t="shared" si="207"/>
        <v>0</v>
      </c>
      <c r="Y72" s="186">
        <f t="shared" si="207"/>
        <v>0</v>
      </c>
      <c r="Z72" s="186">
        <f t="shared" si="207"/>
        <v>0</v>
      </c>
      <c r="AA72" s="186">
        <f t="shared" si="207"/>
        <v>0</v>
      </c>
      <c r="AB72" s="186">
        <f t="shared" si="207"/>
        <v>0</v>
      </c>
      <c r="AC72" s="186">
        <f t="shared" si="207"/>
        <v>0</v>
      </c>
      <c r="AD72" s="186">
        <f t="shared" si="207"/>
        <v>0</v>
      </c>
      <c r="AE72" s="186">
        <f t="shared" si="207"/>
        <v>0</v>
      </c>
      <c r="AF72" s="186">
        <f t="shared" si="207"/>
        <v>0</v>
      </c>
      <c r="AG72" s="186">
        <f t="shared" si="207"/>
        <v>0</v>
      </c>
      <c r="AH72" s="186">
        <f t="shared" si="207"/>
        <v>0</v>
      </c>
      <c r="AI72" s="186">
        <f t="shared" si="207"/>
        <v>0</v>
      </c>
      <c r="AJ72" s="186">
        <f t="shared" si="207"/>
        <v>0</v>
      </c>
      <c r="AK72" s="186">
        <f t="shared" si="207"/>
        <v>0</v>
      </c>
      <c r="AL72" s="186">
        <f t="shared" si="207"/>
        <v>0</v>
      </c>
      <c r="AM72" s="186">
        <f t="shared" si="207"/>
        <v>0</v>
      </c>
      <c r="AN72" s="186">
        <f t="shared" si="207"/>
        <v>0</v>
      </c>
      <c r="AO72" s="186">
        <f t="shared" si="207"/>
        <v>0</v>
      </c>
      <c r="AP72" s="186">
        <f t="shared" si="207"/>
        <v>0</v>
      </c>
      <c r="AQ72" s="186">
        <f t="shared" si="207"/>
        <v>0</v>
      </c>
      <c r="AR72" s="186">
        <f t="shared" si="207"/>
        <v>0</v>
      </c>
      <c r="AS72" s="186">
        <f t="shared" si="207"/>
        <v>0</v>
      </c>
      <c r="AT72" s="186">
        <f t="shared" si="207"/>
        <v>0</v>
      </c>
      <c r="AU72" s="186">
        <f t="shared" si="207"/>
        <v>0</v>
      </c>
      <c r="AV72" s="186">
        <f t="shared" si="207"/>
        <v>0</v>
      </c>
      <c r="AW72" s="186">
        <f t="shared" si="207"/>
        <v>0</v>
      </c>
      <c r="AX72" s="186">
        <f t="shared" si="207"/>
        <v>0.10280549919345533</v>
      </c>
      <c r="AY72" s="186">
        <f t="shared" si="207"/>
        <v>0.10280549919345533</v>
      </c>
      <c r="AZ72" s="186">
        <f t="shared" si="207"/>
        <v>0.10280549919345533</v>
      </c>
      <c r="BA72" s="186">
        <f t="shared" si="207"/>
        <v>0.10280549919345533</v>
      </c>
      <c r="BB72" s="186">
        <f t="shared" si="207"/>
        <v>0.10280549919345533</v>
      </c>
      <c r="BC72" s="186">
        <f t="shared" si="207"/>
        <v>0.10280549919345533</v>
      </c>
      <c r="BD72" s="186">
        <f t="shared" si="207"/>
        <v>0.10280549919345533</v>
      </c>
      <c r="BE72" s="186">
        <f t="shared" si="207"/>
        <v>0.10280549919345533</v>
      </c>
      <c r="BF72" s="186">
        <f t="shared" si="207"/>
        <v>0.10280549919345533</v>
      </c>
      <c r="BG72" s="186">
        <f t="shared" si="207"/>
        <v>0.10280549919345533</v>
      </c>
      <c r="BH72" s="186">
        <f t="shared" si="207"/>
        <v>0.10280549919345533</v>
      </c>
      <c r="BI72" s="186">
        <f t="shared" si="207"/>
        <v>0.10280549919345533</v>
      </c>
      <c r="BJ72" s="186">
        <f t="shared" si="207"/>
        <v>0.10280549919345533</v>
      </c>
      <c r="BK72" s="186">
        <f t="shared" si="207"/>
        <v>0.10280549919345533</v>
      </c>
      <c r="BL72" s="186">
        <f t="shared" si="207"/>
        <v>0.10280549919345533</v>
      </c>
    </row>
    <row r="73" spans="2:64" x14ac:dyDescent="0.3">
      <c r="J73" s="189">
        <f>SUM(J68:J72)</f>
        <v>24.942860386226929</v>
      </c>
      <c r="K73" s="190">
        <f>SUM(K68:K72)</f>
        <v>0.42729255149933798</v>
      </c>
      <c r="L73" s="190">
        <f t="shared" ref="L73" si="208">SUM(L68:L72)</f>
        <v>0.42729255149933798</v>
      </c>
      <c r="M73" s="190">
        <f t="shared" ref="M73" si="209">SUM(M68:M72)</f>
        <v>0.34183404119947036</v>
      </c>
      <c r="N73" s="190">
        <f t="shared" ref="N73" si="210">SUM(N68:N72)</f>
        <v>0.34183404119947036</v>
      </c>
      <c r="O73" s="190">
        <f t="shared" ref="O73" si="211">SUM(O68:O72)</f>
        <v>0.34183404119947036</v>
      </c>
      <c r="P73" s="190">
        <f t="shared" ref="P73" si="212">SUM(P68:P72)</f>
        <v>0.34183404119947036</v>
      </c>
      <c r="Q73" s="190">
        <f t="shared" ref="Q73" si="213">SUM(Q68:Q72)</f>
        <v>0.34183404119947036</v>
      </c>
      <c r="R73" s="190">
        <f t="shared" ref="R73" si="214">SUM(R68:R72)</f>
        <v>0.34183404119947036</v>
      </c>
      <c r="S73" s="190">
        <f t="shared" ref="S73" si="215">SUM(S68:S72)</f>
        <v>0.34183404119947036</v>
      </c>
      <c r="T73" s="190">
        <f t="shared" ref="T73" si="216">SUM(T68:T72)</f>
        <v>0.34183404119947036</v>
      </c>
      <c r="U73" s="190">
        <f t="shared" ref="U73" si="217">SUM(U68:U72)</f>
        <v>0.34183404119947036</v>
      </c>
      <c r="V73" s="190">
        <f t="shared" ref="V73" si="218">SUM(V68:V72)</f>
        <v>0.34183404119947036</v>
      </c>
      <c r="W73" s="190">
        <f t="shared" ref="W73" si="219">SUM(W68:W72)</f>
        <v>0.82764315707585812</v>
      </c>
      <c r="X73" s="190">
        <f t="shared" ref="X73" si="220">SUM(X68:X72)</f>
        <v>0.82764315707585812</v>
      </c>
      <c r="Y73" s="190">
        <f t="shared" ref="Y73" si="221">SUM(Y68:Y72)</f>
        <v>0.66211452566068651</v>
      </c>
      <c r="Z73" s="190">
        <f t="shared" ref="Z73" si="222">SUM(Z68:Z72)</f>
        <v>0.66211452566068651</v>
      </c>
      <c r="AA73" s="190">
        <f t="shared" ref="AA73" si="223">SUM(AA68:AA72)</f>
        <v>0.66211452566068651</v>
      </c>
      <c r="AB73" s="190">
        <f t="shared" ref="AB73" si="224">SUM(AB68:AB72)</f>
        <v>0.66211452566068651</v>
      </c>
      <c r="AC73" s="190">
        <f t="shared" ref="AC73" si="225">SUM(AC68:AC72)</f>
        <v>0.66211452566068651</v>
      </c>
      <c r="AD73" s="190">
        <f t="shared" ref="AD73" si="226">SUM(AD68:AD72)</f>
        <v>0.66211452566068651</v>
      </c>
      <c r="AE73" s="190">
        <f t="shared" ref="AE73" si="227">SUM(AE68:AE72)</f>
        <v>0.66211452566068651</v>
      </c>
      <c r="AF73" s="190">
        <f t="shared" ref="AF73" si="228">SUM(AF68:AF72)</f>
        <v>1.0071173837589682</v>
      </c>
      <c r="AG73" s="190">
        <f t="shared" ref="AG73" si="229">SUM(AG68:AG72)</f>
        <v>1.0071173837589682</v>
      </c>
      <c r="AH73" s="190">
        <f t="shared" ref="AH73" si="230">SUM(AH68:AH72)</f>
        <v>0.93811681213931175</v>
      </c>
      <c r="AI73" s="190">
        <f t="shared" ref="AI73" si="231">SUM(AI68:AI72)</f>
        <v>0.27600228647862524</v>
      </c>
      <c r="AJ73" s="190">
        <f t="shared" ref="AJ73" si="232">SUM(AJ68:AJ72)</f>
        <v>0.27600228647862524</v>
      </c>
      <c r="AK73" s="190">
        <f t="shared" ref="AK73" si="233">SUM(AK68:AK72)</f>
        <v>0.27600228647862524</v>
      </c>
      <c r="AL73" s="190">
        <f t="shared" ref="AL73" si="234">SUM(AL68:AL72)</f>
        <v>0.27600228647862524</v>
      </c>
      <c r="AM73" s="190">
        <f t="shared" ref="AM73" si="235">SUM(AM68:AM72)</f>
        <v>0.27600228647862524</v>
      </c>
      <c r="AN73" s="190">
        <f t="shared" ref="AN73" si="236">SUM(AN68:AN72)</f>
        <v>0.27600228647862524</v>
      </c>
      <c r="AO73" s="190">
        <f t="shared" ref="AO73" si="237">SUM(AO68:AO72)</f>
        <v>1.0161415096376576</v>
      </c>
      <c r="AP73" s="190">
        <f t="shared" ref="AP73" si="238">SUM(AP68:AP72)</f>
        <v>1.0161415096376576</v>
      </c>
      <c r="AQ73" s="190">
        <f t="shared" ref="AQ73" si="239">SUM(AQ68:AQ72)</f>
        <v>0.86811366500585097</v>
      </c>
      <c r="AR73" s="190">
        <f t="shared" ref="AR73" si="240">SUM(AR68:AR72)</f>
        <v>0.59211137852722573</v>
      </c>
      <c r="AS73" s="190">
        <f t="shared" ref="AS73" si="241">SUM(AS68:AS72)</f>
        <v>0.59211137852722573</v>
      </c>
      <c r="AT73" s="190">
        <f t="shared" ref="AT73" si="242">SUM(AT68:AT72)</f>
        <v>0.59211137852722573</v>
      </c>
      <c r="AU73" s="190">
        <f t="shared" ref="AU73" si="243">SUM(AU68:AU72)</f>
        <v>0.59211137852722573</v>
      </c>
      <c r="AV73" s="190">
        <f t="shared" ref="AV73" si="244">SUM(AV68:AV72)</f>
        <v>0.59211137852722573</v>
      </c>
      <c r="AW73" s="190">
        <f t="shared" ref="AW73" si="245">SUM(AW68:AW72)</f>
        <v>0.59211137852722573</v>
      </c>
      <c r="AX73" s="190">
        <f t="shared" ref="AX73" si="246">SUM(AX68:AX72)</f>
        <v>0.69491687772068111</v>
      </c>
      <c r="AY73" s="190">
        <f t="shared" ref="AY73" si="247">SUM(AY68:AY72)</f>
        <v>0.69491687772068111</v>
      </c>
      <c r="AZ73" s="190">
        <f t="shared" ref="AZ73" si="248">SUM(AZ68:AZ72)</f>
        <v>0.69491687772068111</v>
      </c>
      <c r="BA73" s="190">
        <f t="shared" ref="BA73" si="249">SUM(BA68:BA72)</f>
        <v>0.10280549919345533</v>
      </c>
      <c r="BB73" s="190">
        <f t="shared" ref="BB73" si="250">SUM(BB68:BB72)</f>
        <v>0.10280549919345533</v>
      </c>
      <c r="BC73" s="190">
        <f t="shared" ref="BC73" si="251">SUM(BC68:BC72)</f>
        <v>0.10280549919345533</v>
      </c>
      <c r="BD73" s="190">
        <f t="shared" ref="BD73" si="252">SUM(BD68:BD72)</f>
        <v>0.10280549919345533</v>
      </c>
      <c r="BE73" s="190">
        <f t="shared" ref="BE73" si="253">SUM(BE68:BE72)</f>
        <v>0.10280549919345533</v>
      </c>
      <c r="BF73" s="190">
        <f t="shared" ref="BF73" si="254">SUM(BF68:BF72)</f>
        <v>0.10280549919345533</v>
      </c>
      <c r="BG73" s="190">
        <f t="shared" ref="BG73" si="255">SUM(BG68:BG72)</f>
        <v>0.10280549919345533</v>
      </c>
      <c r="BH73" s="190">
        <f t="shared" ref="BH73" si="256">SUM(BH68:BH72)</f>
        <v>0.10280549919345533</v>
      </c>
      <c r="BI73" s="190">
        <f t="shared" ref="BI73" si="257">SUM(BI68:BI72)</f>
        <v>0.10280549919345533</v>
      </c>
      <c r="BJ73" s="190">
        <f t="shared" ref="BJ73" si="258">SUM(BJ68:BJ72)</f>
        <v>0.10280549919345533</v>
      </c>
      <c r="BK73" s="190">
        <f t="shared" ref="BK73" si="259">SUM(BK68:BK72)</f>
        <v>0.10280549919345533</v>
      </c>
      <c r="BL73" s="190">
        <f t="shared" ref="BL73" si="260">SUM(BL68:BL72)</f>
        <v>0.10280549919345533</v>
      </c>
    </row>
    <row r="75" spans="2:64" x14ac:dyDescent="0.3">
      <c r="B75" s="56" t="s">
        <v>20</v>
      </c>
    </row>
    <row r="76" spans="2:64" x14ac:dyDescent="0.3">
      <c r="C76" s="184" t="s">
        <v>208</v>
      </c>
      <c r="D76" s="184" t="s">
        <v>371</v>
      </c>
      <c r="E76" s="24" t="s">
        <v>372</v>
      </c>
      <c r="F76" s="184" t="s">
        <v>384</v>
      </c>
      <c r="G76" s="184" t="s">
        <v>373</v>
      </c>
      <c r="H76" s="184" t="s">
        <v>374</v>
      </c>
      <c r="I76" s="184" t="s">
        <v>375</v>
      </c>
      <c r="J76" s="184" t="s">
        <v>21</v>
      </c>
      <c r="K76" s="185">
        <f>K67</f>
        <v>45504</v>
      </c>
      <c r="L76" s="185">
        <f>EOMONTH(K76,1)</f>
        <v>45535</v>
      </c>
      <c r="M76" s="185">
        <f t="shared" ref="M76:BL76" si="261">EOMONTH(L76,1)</f>
        <v>45565</v>
      </c>
      <c r="N76" s="185">
        <f t="shared" si="261"/>
        <v>45596</v>
      </c>
      <c r="O76" s="185">
        <f t="shared" si="261"/>
        <v>45626</v>
      </c>
      <c r="P76" s="185">
        <f t="shared" si="261"/>
        <v>45657</v>
      </c>
      <c r="Q76" s="185">
        <f t="shared" si="261"/>
        <v>45688</v>
      </c>
      <c r="R76" s="185">
        <f t="shared" si="261"/>
        <v>45716</v>
      </c>
      <c r="S76" s="185">
        <f t="shared" si="261"/>
        <v>45747</v>
      </c>
      <c r="T76" s="185">
        <f t="shared" si="261"/>
        <v>45777</v>
      </c>
      <c r="U76" s="185">
        <f t="shared" si="261"/>
        <v>45808</v>
      </c>
      <c r="V76" s="185">
        <f t="shared" si="261"/>
        <v>45838</v>
      </c>
      <c r="W76" s="185">
        <f t="shared" si="261"/>
        <v>45869</v>
      </c>
      <c r="X76" s="185">
        <f t="shared" si="261"/>
        <v>45900</v>
      </c>
      <c r="Y76" s="185">
        <f t="shared" si="261"/>
        <v>45930</v>
      </c>
      <c r="Z76" s="185">
        <f t="shared" si="261"/>
        <v>45961</v>
      </c>
      <c r="AA76" s="185">
        <f t="shared" si="261"/>
        <v>45991</v>
      </c>
      <c r="AB76" s="185">
        <f t="shared" si="261"/>
        <v>46022</v>
      </c>
      <c r="AC76" s="185">
        <f t="shared" si="261"/>
        <v>46053</v>
      </c>
      <c r="AD76" s="185">
        <f t="shared" si="261"/>
        <v>46081</v>
      </c>
      <c r="AE76" s="185">
        <f t="shared" si="261"/>
        <v>46112</v>
      </c>
      <c r="AF76" s="185">
        <f t="shared" si="261"/>
        <v>46142</v>
      </c>
      <c r="AG76" s="185">
        <f t="shared" si="261"/>
        <v>46173</v>
      </c>
      <c r="AH76" s="185">
        <f t="shared" si="261"/>
        <v>46203</v>
      </c>
      <c r="AI76" s="185">
        <f t="shared" si="261"/>
        <v>46234</v>
      </c>
      <c r="AJ76" s="185">
        <f t="shared" si="261"/>
        <v>46265</v>
      </c>
      <c r="AK76" s="185">
        <f t="shared" si="261"/>
        <v>46295</v>
      </c>
      <c r="AL76" s="185">
        <f t="shared" si="261"/>
        <v>46326</v>
      </c>
      <c r="AM76" s="185">
        <f t="shared" si="261"/>
        <v>46356</v>
      </c>
      <c r="AN76" s="185">
        <f t="shared" si="261"/>
        <v>46387</v>
      </c>
      <c r="AO76" s="185">
        <f t="shared" si="261"/>
        <v>46418</v>
      </c>
      <c r="AP76" s="185">
        <f t="shared" si="261"/>
        <v>46446</v>
      </c>
      <c r="AQ76" s="185">
        <f t="shared" si="261"/>
        <v>46477</v>
      </c>
      <c r="AR76" s="185">
        <f t="shared" si="261"/>
        <v>46507</v>
      </c>
      <c r="AS76" s="185">
        <f t="shared" si="261"/>
        <v>46538</v>
      </c>
      <c r="AT76" s="185">
        <f t="shared" si="261"/>
        <v>46568</v>
      </c>
      <c r="AU76" s="185">
        <f t="shared" si="261"/>
        <v>46599</v>
      </c>
      <c r="AV76" s="185">
        <f t="shared" si="261"/>
        <v>46630</v>
      </c>
      <c r="AW76" s="185">
        <f t="shared" si="261"/>
        <v>46660</v>
      </c>
      <c r="AX76" s="185">
        <f t="shared" si="261"/>
        <v>46691</v>
      </c>
      <c r="AY76" s="185">
        <f t="shared" si="261"/>
        <v>46721</v>
      </c>
      <c r="AZ76" s="185">
        <f t="shared" si="261"/>
        <v>46752</v>
      </c>
      <c r="BA76" s="185">
        <f t="shared" si="261"/>
        <v>46783</v>
      </c>
      <c r="BB76" s="185">
        <f t="shared" si="261"/>
        <v>46812</v>
      </c>
      <c r="BC76" s="185">
        <f t="shared" si="261"/>
        <v>46843</v>
      </c>
      <c r="BD76" s="185">
        <f t="shared" si="261"/>
        <v>46873</v>
      </c>
      <c r="BE76" s="185">
        <f t="shared" si="261"/>
        <v>46904</v>
      </c>
      <c r="BF76" s="185">
        <f t="shared" si="261"/>
        <v>46934</v>
      </c>
      <c r="BG76" s="185">
        <f t="shared" si="261"/>
        <v>46965</v>
      </c>
      <c r="BH76" s="185">
        <f t="shared" si="261"/>
        <v>46996</v>
      </c>
      <c r="BI76" s="185">
        <f t="shared" si="261"/>
        <v>47026</v>
      </c>
      <c r="BJ76" s="185">
        <f t="shared" si="261"/>
        <v>47057</v>
      </c>
      <c r="BK76" s="185">
        <f t="shared" si="261"/>
        <v>47087</v>
      </c>
      <c r="BL76" s="185">
        <f t="shared" si="261"/>
        <v>47118</v>
      </c>
    </row>
    <row r="77" spans="2:64" x14ac:dyDescent="0.3">
      <c r="C77" s="130" t="s">
        <v>230</v>
      </c>
      <c r="D77" s="45">
        <f>D68</f>
        <v>243028.41058999998</v>
      </c>
      <c r="E77" s="45">
        <f>E68</f>
        <v>255179.83111949998</v>
      </c>
      <c r="F77" s="52">
        <f>I4</f>
        <v>35.4</v>
      </c>
      <c r="G77" s="188">
        <f>G68</f>
        <v>45474</v>
      </c>
      <c r="H77" s="188">
        <f>H68</f>
        <v>45838</v>
      </c>
      <c r="I77" s="45">
        <f>'Assumption Sheet'!$F$28</f>
        <v>12</v>
      </c>
      <c r="J77" s="157">
        <f>SUM(K77:BL77)</f>
        <v>1.0000000000000002</v>
      </c>
      <c r="K77" s="157">
        <f>IF(AND(K$28&gt;=$G77,K$28&lt;=$H77),60%,0)</f>
        <v>0.6</v>
      </c>
      <c r="L77" s="157">
        <f>IF(AND(L$28&gt;=$G77,L$28&lt;=$H77),5%,0)</f>
        <v>0.05</v>
      </c>
      <c r="M77" s="157">
        <f>IF(AND(M$28&gt;=$G77,M$28&lt;=$H77),35%/10,0)</f>
        <v>3.4999999999999996E-2</v>
      </c>
      <c r="N77" s="157">
        <f t="shared" ref="N77:BL81" si="262">IF(AND(N$28&gt;=$G77,N$28&lt;=$H77),35%/10,0)</f>
        <v>3.4999999999999996E-2</v>
      </c>
      <c r="O77" s="157">
        <f t="shared" si="262"/>
        <v>3.4999999999999996E-2</v>
      </c>
      <c r="P77" s="157">
        <f t="shared" si="262"/>
        <v>3.4999999999999996E-2</v>
      </c>
      <c r="Q77" s="157">
        <f t="shared" si="262"/>
        <v>3.4999999999999996E-2</v>
      </c>
      <c r="R77" s="157">
        <f t="shared" si="262"/>
        <v>3.4999999999999996E-2</v>
      </c>
      <c r="S77" s="157">
        <f t="shared" si="262"/>
        <v>3.4999999999999996E-2</v>
      </c>
      <c r="T77" s="157">
        <f t="shared" si="262"/>
        <v>3.4999999999999996E-2</v>
      </c>
      <c r="U77" s="157">
        <f t="shared" si="262"/>
        <v>3.4999999999999996E-2</v>
      </c>
      <c r="V77" s="157">
        <f t="shared" si="262"/>
        <v>3.4999999999999996E-2</v>
      </c>
      <c r="W77" s="186">
        <f t="shared" si="262"/>
        <v>0</v>
      </c>
      <c r="X77" s="186">
        <f t="shared" si="262"/>
        <v>0</v>
      </c>
      <c r="Y77" s="186">
        <f t="shared" si="262"/>
        <v>0</v>
      </c>
      <c r="Z77" s="186">
        <f t="shared" si="262"/>
        <v>0</v>
      </c>
      <c r="AA77" s="186">
        <f t="shared" si="262"/>
        <v>0</v>
      </c>
      <c r="AB77" s="186">
        <f t="shared" si="262"/>
        <v>0</v>
      </c>
      <c r="AC77" s="186">
        <f t="shared" si="262"/>
        <v>0</v>
      </c>
      <c r="AD77" s="186">
        <f t="shared" si="262"/>
        <v>0</v>
      </c>
      <c r="AE77" s="186">
        <f t="shared" si="262"/>
        <v>0</v>
      </c>
      <c r="AF77" s="186">
        <f t="shared" si="262"/>
        <v>0</v>
      </c>
      <c r="AG77" s="186">
        <f t="shared" si="262"/>
        <v>0</v>
      </c>
      <c r="AH77" s="186">
        <f t="shared" si="262"/>
        <v>0</v>
      </c>
      <c r="AI77" s="186">
        <f t="shared" si="262"/>
        <v>0</v>
      </c>
      <c r="AJ77" s="186">
        <f t="shared" si="262"/>
        <v>0</v>
      </c>
      <c r="AK77" s="186">
        <f t="shared" si="262"/>
        <v>0</v>
      </c>
      <c r="AL77" s="186">
        <f t="shared" si="262"/>
        <v>0</v>
      </c>
      <c r="AM77" s="186">
        <f t="shared" si="262"/>
        <v>0</v>
      </c>
      <c r="AN77" s="186">
        <f t="shared" si="262"/>
        <v>0</v>
      </c>
      <c r="AO77" s="186">
        <f t="shared" si="262"/>
        <v>0</v>
      </c>
      <c r="AP77" s="186">
        <f t="shared" si="262"/>
        <v>0</v>
      </c>
      <c r="AQ77" s="186">
        <f t="shared" si="262"/>
        <v>0</v>
      </c>
      <c r="AR77" s="186">
        <f t="shared" si="262"/>
        <v>0</v>
      </c>
      <c r="AS77" s="186">
        <f t="shared" si="262"/>
        <v>0</v>
      </c>
      <c r="AT77" s="186">
        <f t="shared" si="262"/>
        <v>0</v>
      </c>
      <c r="AU77" s="186">
        <f t="shared" si="262"/>
        <v>0</v>
      </c>
      <c r="AV77" s="186">
        <f t="shared" si="262"/>
        <v>0</v>
      </c>
      <c r="AW77" s="186">
        <f t="shared" si="262"/>
        <v>0</v>
      </c>
      <c r="AX77" s="186">
        <f t="shared" si="262"/>
        <v>0</v>
      </c>
      <c r="AY77" s="186">
        <f t="shared" si="262"/>
        <v>0</v>
      </c>
      <c r="AZ77" s="186">
        <f t="shared" si="262"/>
        <v>0</v>
      </c>
      <c r="BA77" s="186">
        <f t="shared" si="262"/>
        <v>0</v>
      </c>
      <c r="BB77" s="186">
        <f t="shared" si="262"/>
        <v>0</v>
      </c>
      <c r="BC77" s="186">
        <f t="shared" si="262"/>
        <v>0</v>
      </c>
      <c r="BD77" s="186">
        <f t="shared" si="262"/>
        <v>0</v>
      </c>
      <c r="BE77" s="186">
        <f t="shared" si="262"/>
        <v>0</v>
      </c>
      <c r="BF77" s="186">
        <f t="shared" si="262"/>
        <v>0</v>
      </c>
      <c r="BG77" s="186">
        <f t="shared" si="262"/>
        <v>0</v>
      </c>
      <c r="BH77" s="186">
        <f t="shared" si="262"/>
        <v>0</v>
      </c>
      <c r="BI77" s="186">
        <f t="shared" si="262"/>
        <v>0</v>
      </c>
      <c r="BJ77" s="186">
        <f t="shared" si="262"/>
        <v>0</v>
      </c>
      <c r="BK77" s="186">
        <f t="shared" si="262"/>
        <v>0</v>
      </c>
      <c r="BL77" s="186">
        <f t="shared" si="262"/>
        <v>0</v>
      </c>
    </row>
    <row r="78" spans="2:64" x14ac:dyDescent="0.3">
      <c r="C78" s="130" t="s">
        <v>231</v>
      </c>
      <c r="D78" s="45">
        <f t="shared" ref="D78:E78" si="263">D69</f>
        <v>470733.22550099995</v>
      </c>
      <c r="E78" s="45">
        <f t="shared" si="263"/>
        <v>494269.88677604997</v>
      </c>
      <c r="F78" s="52">
        <f t="shared" ref="F78:F81" si="264">I5</f>
        <v>35.4</v>
      </c>
      <c r="G78" s="188">
        <f t="shared" ref="G78:H78" si="265">G69</f>
        <v>45839</v>
      </c>
      <c r="H78" s="188">
        <f t="shared" si="265"/>
        <v>46203</v>
      </c>
      <c r="I78" s="45">
        <f>'Assumption Sheet'!$F$29</f>
        <v>12</v>
      </c>
      <c r="J78" s="157">
        <f t="shared" ref="J78:J81" si="266">SUM(K78:BL78)</f>
        <v>1.0000000000000002</v>
      </c>
      <c r="K78" s="186">
        <f t="shared" ref="K78:K81" si="267">IF(AND(K$28&gt;=$G78,K$28&lt;=$H78),60%,0)</f>
        <v>0</v>
      </c>
      <c r="L78" s="186">
        <f t="shared" ref="L78:L81" si="268">IF(AND(L$28&gt;=$G78,L$28&lt;=$H78),5%,0)</f>
        <v>0</v>
      </c>
      <c r="M78" s="186">
        <f t="shared" ref="M78:M81" si="269">IF(AND(M$28&gt;=$G78,M$28&lt;=$H78),35%/10,0)</f>
        <v>0</v>
      </c>
      <c r="N78" s="186">
        <f t="shared" si="262"/>
        <v>0</v>
      </c>
      <c r="O78" s="186">
        <f t="shared" si="262"/>
        <v>0</v>
      </c>
      <c r="P78" s="186">
        <f t="shared" si="262"/>
        <v>0</v>
      </c>
      <c r="Q78" s="186">
        <f t="shared" si="262"/>
        <v>0</v>
      </c>
      <c r="R78" s="186">
        <f t="shared" si="262"/>
        <v>0</v>
      </c>
      <c r="S78" s="186">
        <f t="shared" si="262"/>
        <v>0</v>
      </c>
      <c r="T78" s="186">
        <f t="shared" si="262"/>
        <v>0</v>
      </c>
      <c r="U78" s="186">
        <f t="shared" si="262"/>
        <v>0</v>
      </c>
      <c r="V78" s="186">
        <f t="shared" si="262"/>
        <v>0</v>
      </c>
      <c r="W78" s="157">
        <f>IF(AND(W$28&gt;=$G78,W$28&lt;=$H78),60%,0)</f>
        <v>0.6</v>
      </c>
      <c r="X78" s="157">
        <f>IF(AND(X$28&gt;=$G78,X$28&lt;=$H78),5%,0)</f>
        <v>0.05</v>
      </c>
      <c r="Y78" s="157">
        <f t="shared" si="262"/>
        <v>3.4999999999999996E-2</v>
      </c>
      <c r="Z78" s="157">
        <f t="shared" si="262"/>
        <v>3.4999999999999996E-2</v>
      </c>
      <c r="AA78" s="157">
        <f t="shared" si="262"/>
        <v>3.4999999999999996E-2</v>
      </c>
      <c r="AB78" s="157">
        <f t="shared" si="262"/>
        <v>3.4999999999999996E-2</v>
      </c>
      <c r="AC78" s="157">
        <f t="shared" si="262"/>
        <v>3.4999999999999996E-2</v>
      </c>
      <c r="AD78" s="157">
        <f t="shared" si="262"/>
        <v>3.4999999999999996E-2</v>
      </c>
      <c r="AE78" s="157">
        <f t="shared" si="262"/>
        <v>3.4999999999999996E-2</v>
      </c>
      <c r="AF78" s="157">
        <f t="shared" si="262"/>
        <v>3.4999999999999996E-2</v>
      </c>
      <c r="AG78" s="157">
        <f t="shared" si="262"/>
        <v>3.4999999999999996E-2</v>
      </c>
      <c r="AH78" s="157">
        <f t="shared" si="262"/>
        <v>3.4999999999999996E-2</v>
      </c>
      <c r="AI78" s="186">
        <f t="shared" si="262"/>
        <v>0</v>
      </c>
      <c r="AJ78" s="186">
        <f t="shared" si="262"/>
        <v>0</v>
      </c>
      <c r="AK78" s="186">
        <f t="shared" si="262"/>
        <v>0</v>
      </c>
      <c r="AL78" s="186">
        <f t="shared" si="262"/>
        <v>0</v>
      </c>
      <c r="AM78" s="186">
        <f t="shared" si="262"/>
        <v>0</v>
      </c>
      <c r="AN78" s="186">
        <f t="shared" si="262"/>
        <v>0</v>
      </c>
      <c r="AO78" s="186">
        <f t="shared" si="262"/>
        <v>0</v>
      </c>
      <c r="AP78" s="186">
        <f t="shared" si="262"/>
        <v>0</v>
      </c>
      <c r="AQ78" s="186">
        <f t="shared" si="262"/>
        <v>0</v>
      </c>
      <c r="AR78" s="186">
        <f t="shared" si="262"/>
        <v>0</v>
      </c>
      <c r="AS78" s="186">
        <f t="shared" si="262"/>
        <v>0</v>
      </c>
      <c r="AT78" s="186">
        <f t="shared" si="262"/>
        <v>0</v>
      </c>
      <c r="AU78" s="186">
        <f t="shared" si="262"/>
        <v>0</v>
      </c>
      <c r="AV78" s="186">
        <f t="shared" si="262"/>
        <v>0</v>
      </c>
      <c r="AW78" s="186">
        <f t="shared" si="262"/>
        <v>0</v>
      </c>
      <c r="AX78" s="186">
        <f t="shared" si="262"/>
        <v>0</v>
      </c>
      <c r="AY78" s="186">
        <f t="shared" si="262"/>
        <v>0</v>
      </c>
      <c r="AZ78" s="186">
        <f t="shared" si="262"/>
        <v>0</v>
      </c>
      <c r="BA78" s="186">
        <f t="shared" si="262"/>
        <v>0</v>
      </c>
      <c r="BB78" s="186">
        <f t="shared" si="262"/>
        <v>0</v>
      </c>
      <c r="BC78" s="186">
        <f t="shared" si="262"/>
        <v>0</v>
      </c>
      <c r="BD78" s="186">
        <f t="shared" si="262"/>
        <v>0</v>
      </c>
      <c r="BE78" s="186">
        <f t="shared" si="262"/>
        <v>0</v>
      </c>
      <c r="BF78" s="186">
        <f t="shared" si="262"/>
        <v>0</v>
      </c>
      <c r="BG78" s="186">
        <f t="shared" si="262"/>
        <v>0</v>
      </c>
      <c r="BH78" s="186">
        <f t="shared" si="262"/>
        <v>0</v>
      </c>
      <c r="BI78" s="186">
        <f t="shared" si="262"/>
        <v>0</v>
      </c>
      <c r="BJ78" s="186">
        <f t="shared" si="262"/>
        <v>0</v>
      </c>
      <c r="BK78" s="186">
        <f t="shared" si="262"/>
        <v>0</v>
      </c>
      <c r="BL78" s="186">
        <f t="shared" si="262"/>
        <v>0</v>
      </c>
    </row>
    <row r="79" spans="2:64" x14ac:dyDescent="0.3">
      <c r="C79" s="130" t="s">
        <v>232</v>
      </c>
      <c r="D79" s="45">
        <f t="shared" ref="D79:E79" si="270">D70</f>
        <v>196225.03588799998</v>
      </c>
      <c r="E79" s="45">
        <f t="shared" si="270"/>
        <v>206036.2876824</v>
      </c>
      <c r="F79" s="52">
        <f t="shared" si="264"/>
        <v>35.4</v>
      </c>
      <c r="G79" s="188">
        <f t="shared" ref="G79:H79" si="271">G70</f>
        <v>46113</v>
      </c>
      <c r="H79" s="188">
        <f t="shared" si="271"/>
        <v>46477</v>
      </c>
      <c r="I79" s="45">
        <f>'Assumption Sheet'!$F$30</f>
        <v>12</v>
      </c>
      <c r="J79" s="157">
        <f t="shared" si="266"/>
        <v>1.0000000000000002</v>
      </c>
      <c r="K79" s="186">
        <f t="shared" si="267"/>
        <v>0</v>
      </c>
      <c r="L79" s="186">
        <f t="shared" si="268"/>
        <v>0</v>
      </c>
      <c r="M79" s="186">
        <f t="shared" si="269"/>
        <v>0</v>
      </c>
      <c r="N79" s="186">
        <f t="shared" si="262"/>
        <v>0</v>
      </c>
      <c r="O79" s="186">
        <f t="shared" si="262"/>
        <v>0</v>
      </c>
      <c r="P79" s="186">
        <f t="shared" si="262"/>
        <v>0</v>
      </c>
      <c r="Q79" s="186">
        <f t="shared" si="262"/>
        <v>0</v>
      </c>
      <c r="R79" s="186">
        <f t="shared" si="262"/>
        <v>0</v>
      </c>
      <c r="S79" s="186">
        <f t="shared" si="262"/>
        <v>0</v>
      </c>
      <c r="T79" s="186">
        <f t="shared" si="262"/>
        <v>0</v>
      </c>
      <c r="U79" s="186">
        <f t="shared" si="262"/>
        <v>0</v>
      </c>
      <c r="V79" s="186">
        <f t="shared" si="262"/>
        <v>0</v>
      </c>
      <c r="W79" s="186">
        <f t="shared" ref="W79:AE81" si="272">IF(AND(W$28&gt;=$G79,W$28&lt;=$H79),35%/10,0)</f>
        <v>0</v>
      </c>
      <c r="X79" s="186">
        <f t="shared" si="272"/>
        <v>0</v>
      </c>
      <c r="Y79" s="186">
        <f t="shared" si="272"/>
        <v>0</v>
      </c>
      <c r="Z79" s="186">
        <f t="shared" si="272"/>
        <v>0</v>
      </c>
      <c r="AA79" s="186">
        <f t="shared" si="272"/>
        <v>0</v>
      </c>
      <c r="AB79" s="186">
        <f t="shared" si="272"/>
        <v>0</v>
      </c>
      <c r="AC79" s="186">
        <f t="shared" si="272"/>
        <v>0</v>
      </c>
      <c r="AD79" s="186">
        <f t="shared" si="272"/>
        <v>0</v>
      </c>
      <c r="AE79" s="186">
        <f t="shared" si="272"/>
        <v>0</v>
      </c>
      <c r="AF79" s="157">
        <f>IF(AND(AF$28&gt;=$G79,AF$28&lt;=$H79),60%,0)</f>
        <v>0.6</v>
      </c>
      <c r="AG79" s="157">
        <f>IF(AND(AG$28&gt;=$G79,AG$28&lt;=$H79),5%,0)</f>
        <v>0.05</v>
      </c>
      <c r="AH79" s="157">
        <f t="shared" si="262"/>
        <v>3.4999999999999996E-2</v>
      </c>
      <c r="AI79" s="157">
        <f t="shared" si="262"/>
        <v>3.4999999999999996E-2</v>
      </c>
      <c r="AJ79" s="157">
        <f t="shared" si="262"/>
        <v>3.4999999999999996E-2</v>
      </c>
      <c r="AK79" s="157">
        <f t="shared" si="262"/>
        <v>3.4999999999999996E-2</v>
      </c>
      <c r="AL79" s="157">
        <f t="shared" si="262"/>
        <v>3.4999999999999996E-2</v>
      </c>
      <c r="AM79" s="157">
        <f t="shared" si="262"/>
        <v>3.4999999999999996E-2</v>
      </c>
      <c r="AN79" s="157">
        <f t="shared" si="262"/>
        <v>3.4999999999999996E-2</v>
      </c>
      <c r="AO79" s="157">
        <f t="shared" si="262"/>
        <v>3.4999999999999996E-2</v>
      </c>
      <c r="AP79" s="157">
        <f t="shared" si="262"/>
        <v>3.4999999999999996E-2</v>
      </c>
      <c r="AQ79" s="157">
        <f t="shared" si="262"/>
        <v>3.4999999999999996E-2</v>
      </c>
      <c r="AR79" s="186">
        <f t="shared" ref="AR79:BL79" si="273">IF(AND(AR$28&gt;=$G79,AR$28&lt;=$H79),35%/10,0)</f>
        <v>0</v>
      </c>
      <c r="AS79" s="186">
        <f t="shared" si="273"/>
        <v>0</v>
      </c>
      <c r="AT79" s="186">
        <f t="shared" si="273"/>
        <v>0</v>
      </c>
      <c r="AU79" s="186">
        <f t="shared" si="273"/>
        <v>0</v>
      </c>
      <c r="AV79" s="186">
        <f t="shared" si="273"/>
        <v>0</v>
      </c>
      <c r="AW79" s="186">
        <f t="shared" si="273"/>
        <v>0</v>
      </c>
      <c r="AX79" s="186">
        <f t="shared" si="273"/>
        <v>0</v>
      </c>
      <c r="AY79" s="186">
        <f t="shared" si="273"/>
        <v>0</v>
      </c>
      <c r="AZ79" s="186">
        <f t="shared" si="273"/>
        <v>0</v>
      </c>
      <c r="BA79" s="186">
        <f t="shared" si="273"/>
        <v>0</v>
      </c>
      <c r="BB79" s="186">
        <f t="shared" si="273"/>
        <v>0</v>
      </c>
      <c r="BC79" s="186">
        <f t="shared" si="273"/>
        <v>0</v>
      </c>
      <c r="BD79" s="186">
        <f t="shared" si="273"/>
        <v>0</v>
      </c>
      <c r="BE79" s="186">
        <f t="shared" si="273"/>
        <v>0</v>
      </c>
      <c r="BF79" s="186">
        <f t="shared" si="273"/>
        <v>0</v>
      </c>
      <c r="BG79" s="186">
        <f t="shared" si="273"/>
        <v>0</v>
      </c>
      <c r="BH79" s="186">
        <f t="shared" si="273"/>
        <v>0</v>
      </c>
      <c r="BI79" s="186">
        <f t="shared" si="273"/>
        <v>0</v>
      </c>
      <c r="BJ79" s="186">
        <f t="shared" si="273"/>
        <v>0</v>
      </c>
      <c r="BK79" s="186">
        <f t="shared" si="273"/>
        <v>0</v>
      </c>
      <c r="BL79" s="186">
        <f t="shared" si="273"/>
        <v>0</v>
      </c>
    </row>
    <row r="80" spans="2:64" x14ac:dyDescent="0.3">
      <c r="C80" s="130" t="s">
        <v>234</v>
      </c>
      <c r="D80" s="45">
        <f t="shared" ref="D80:E80" si="274">D71</f>
        <v>420964.181071</v>
      </c>
      <c r="E80" s="45">
        <f t="shared" si="274"/>
        <v>442012.39012455003</v>
      </c>
      <c r="F80" s="52">
        <f t="shared" si="264"/>
        <v>35.4</v>
      </c>
      <c r="G80" s="188">
        <f t="shared" ref="G80:H80" si="275">G71</f>
        <v>46388</v>
      </c>
      <c r="H80" s="188">
        <f t="shared" si="275"/>
        <v>46752</v>
      </c>
      <c r="I80" s="45">
        <f>'Assumption Sheet'!$F$31</f>
        <v>12</v>
      </c>
      <c r="J80" s="157">
        <f t="shared" si="266"/>
        <v>1.0000000000000002</v>
      </c>
      <c r="K80" s="186">
        <f t="shared" si="267"/>
        <v>0</v>
      </c>
      <c r="L80" s="186">
        <f t="shared" si="268"/>
        <v>0</v>
      </c>
      <c r="M80" s="186">
        <f t="shared" si="269"/>
        <v>0</v>
      </c>
      <c r="N80" s="186">
        <f t="shared" si="262"/>
        <v>0</v>
      </c>
      <c r="O80" s="186">
        <f t="shared" si="262"/>
        <v>0</v>
      </c>
      <c r="P80" s="186">
        <f t="shared" si="262"/>
        <v>0</v>
      </c>
      <c r="Q80" s="186">
        <f t="shared" si="262"/>
        <v>0</v>
      </c>
      <c r="R80" s="186">
        <f t="shared" si="262"/>
        <v>0</v>
      </c>
      <c r="S80" s="186">
        <f t="shared" si="262"/>
        <v>0</v>
      </c>
      <c r="T80" s="186">
        <f t="shared" si="262"/>
        <v>0</v>
      </c>
      <c r="U80" s="186">
        <f t="shared" si="262"/>
        <v>0</v>
      </c>
      <c r="V80" s="186">
        <f t="shared" si="262"/>
        <v>0</v>
      </c>
      <c r="W80" s="186">
        <f t="shared" si="272"/>
        <v>0</v>
      </c>
      <c r="X80" s="186">
        <f t="shared" si="272"/>
        <v>0</v>
      </c>
      <c r="Y80" s="186">
        <f t="shared" si="272"/>
        <v>0</v>
      </c>
      <c r="Z80" s="186">
        <f t="shared" si="272"/>
        <v>0</v>
      </c>
      <c r="AA80" s="186">
        <f t="shared" si="272"/>
        <v>0</v>
      </c>
      <c r="AB80" s="186">
        <f t="shared" si="272"/>
        <v>0</v>
      </c>
      <c r="AC80" s="186">
        <f t="shared" si="272"/>
        <v>0</v>
      </c>
      <c r="AD80" s="186">
        <f t="shared" si="272"/>
        <v>0</v>
      </c>
      <c r="AE80" s="186">
        <f t="shared" si="272"/>
        <v>0</v>
      </c>
      <c r="AF80" s="186">
        <f t="shared" si="262"/>
        <v>0</v>
      </c>
      <c r="AG80" s="186">
        <f t="shared" si="262"/>
        <v>0</v>
      </c>
      <c r="AH80" s="186">
        <f t="shared" si="262"/>
        <v>0</v>
      </c>
      <c r="AI80" s="186">
        <f t="shared" si="262"/>
        <v>0</v>
      </c>
      <c r="AJ80" s="186">
        <f t="shared" si="262"/>
        <v>0</v>
      </c>
      <c r="AK80" s="186">
        <f t="shared" si="262"/>
        <v>0</v>
      </c>
      <c r="AL80" s="186">
        <f t="shared" si="262"/>
        <v>0</v>
      </c>
      <c r="AM80" s="186">
        <f t="shared" si="262"/>
        <v>0</v>
      </c>
      <c r="AN80" s="186">
        <f t="shared" si="262"/>
        <v>0</v>
      </c>
      <c r="AO80" s="157">
        <f>IF(AND(AO$28&gt;=$G80,AO$28&lt;=$H80),60%,0)</f>
        <v>0.6</v>
      </c>
      <c r="AP80" s="157">
        <f>IF(AND(AP$28&gt;=$G80,AP$28&lt;=$H80),5%,0)</f>
        <v>0.05</v>
      </c>
      <c r="AQ80" s="157">
        <f t="shared" si="262"/>
        <v>3.4999999999999996E-2</v>
      </c>
      <c r="AR80" s="157">
        <f t="shared" si="262"/>
        <v>3.4999999999999996E-2</v>
      </c>
      <c r="AS80" s="157">
        <f t="shared" si="262"/>
        <v>3.4999999999999996E-2</v>
      </c>
      <c r="AT80" s="157">
        <f t="shared" si="262"/>
        <v>3.4999999999999996E-2</v>
      </c>
      <c r="AU80" s="157">
        <f t="shared" si="262"/>
        <v>3.4999999999999996E-2</v>
      </c>
      <c r="AV80" s="157">
        <f t="shared" si="262"/>
        <v>3.4999999999999996E-2</v>
      </c>
      <c r="AW80" s="157">
        <f t="shared" si="262"/>
        <v>3.4999999999999996E-2</v>
      </c>
      <c r="AX80" s="157">
        <f t="shared" si="262"/>
        <v>3.4999999999999996E-2</v>
      </c>
      <c r="AY80" s="157">
        <f t="shared" si="262"/>
        <v>3.4999999999999996E-2</v>
      </c>
      <c r="AZ80" s="157">
        <f t="shared" si="262"/>
        <v>3.4999999999999996E-2</v>
      </c>
      <c r="BA80" s="186">
        <f t="shared" si="262"/>
        <v>0</v>
      </c>
      <c r="BB80" s="186">
        <f t="shared" si="262"/>
        <v>0</v>
      </c>
      <c r="BC80" s="186">
        <f t="shared" si="262"/>
        <v>0</v>
      </c>
      <c r="BD80" s="186">
        <f t="shared" si="262"/>
        <v>0</v>
      </c>
      <c r="BE80" s="186">
        <f t="shared" si="262"/>
        <v>0</v>
      </c>
      <c r="BF80" s="186">
        <f t="shared" si="262"/>
        <v>0</v>
      </c>
      <c r="BG80" s="186">
        <f t="shared" si="262"/>
        <v>0</v>
      </c>
      <c r="BH80" s="186">
        <f t="shared" si="262"/>
        <v>0</v>
      </c>
      <c r="BI80" s="186">
        <f t="shared" si="262"/>
        <v>0</v>
      </c>
      <c r="BJ80" s="186">
        <f t="shared" si="262"/>
        <v>0</v>
      </c>
      <c r="BK80" s="186">
        <f t="shared" si="262"/>
        <v>0</v>
      </c>
      <c r="BL80" s="186">
        <f t="shared" si="262"/>
        <v>0</v>
      </c>
    </row>
    <row r="81" spans="2:64" x14ac:dyDescent="0.3">
      <c r="C81" s="130" t="s">
        <v>259</v>
      </c>
      <c r="D81" s="45">
        <f t="shared" ref="D81:E81" si="276">D72</f>
        <v>87708.024565</v>
      </c>
      <c r="E81" s="45">
        <f t="shared" si="276"/>
        <v>92093.425793250004</v>
      </c>
      <c r="F81" s="52">
        <f t="shared" si="264"/>
        <v>35.4</v>
      </c>
      <c r="G81" s="188">
        <f t="shared" ref="G81:H81" si="277">G72</f>
        <v>46661</v>
      </c>
      <c r="H81" s="188">
        <f t="shared" si="277"/>
        <v>47118</v>
      </c>
      <c r="I81" s="45">
        <f>'Assumption Sheet'!$F$32</f>
        <v>15</v>
      </c>
      <c r="J81" s="157">
        <f t="shared" si="266"/>
        <v>1.0000000000000002</v>
      </c>
      <c r="K81" s="186">
        <f t="shared" si="267"/>
        <v>0</v>
      </c>
      <c r="L81" s="186">
        <f t="shared" si="268"/>
        <v>0</v>
      </c>
      <c r="M81" s="186">
        <f t="shared" si="269"/>
        <v>0</v>
      </c>
      <c r="N81" s="186">
        <f t="shared" si="262"/>
        <v>0</v>
      </c>
      <c r="O81" s="186">
        <f t="shared" si="262"/>
        <v>0</v>
      </c>
      <c r="P81" s="186">
        <f t="shared" si="262"/>
        <v>0</v>
      </c>
      <c r="Q81" s="186">
        <f t="shared" si="262"/>
        <v>0</v>
      </c>
      <c r="R81" s="186">
        <f t="shared" si="262"/>
        <v>0</v>
      </c>
      <c r="S81" s="186">
        <f t="shared" si="262"/>
        <v>0</v>
      </c>
      <c r="T81" s="186">
        <f t="shared" si="262"/>
        <v>0</v>
      </c>
      <c r="U81" s="186">
        <f t="shared" si="262"/>
        <v>0</v>
      </c>
      <c r="V81" s="186">
        <f t="shared" si="262"/>
        <v>0</v>
      </c>
      <c r="W81" s="186">
        <f t="shared" si="272"/>
        <v>0</v>
      </c>
      <c r="X81" s="186">
        <f t="shared" si="272"/>
        <v>0</v>
      </c>
      <c r="Y81" s="186">
        <f t="shared" si="272"/>
        <v>0</v>
      </c>
      <c r="Z81" s="186">
        <f t="shared" si="272"/>
        <v>0</v>
      </c>
      <c r="AA81" s="186">
        <f t="shared" si="272"/>
        <v>0</v>
      </c>
      <c r="AB81" s="186">
        <f t="shared" si="272"/>
        <v>0</v>
      </c>
      <c r="AC81" s="186">
        <f t="shared" si="272"/>
        <v>0</v>
      </c>
      <c r="AD81" s="186">
        <f t="shared" si="272"/>
        <v>0</v>
      </c>
      <c r="AE81" s="186">
        <f t="shared" si="272"/>
        <v>0</v>
      </c>
      <c r="AF81" s="186">
        <f t="shared" si="262"/>
        <v>0</v>
      </c>
      <c r="AG81" s="186">
        <f t="shared" si="262"/>
        <v>0</v>
      </c>
      <c r="AH81" s="186">
        <f t="shared" si="262"/>
        <v>0</v>
      </c>
      <c r="AI81" s="186">
        <f t="shared" si="262"/>
        <v>0</v>
      </c>
      <c r="AJ81" s="186">
        <f t="shared" si="262"/>
        <v>0</v>
      </c>
      <c r="AK81" s="186">
        <f t="shared" si="262"/>
        <v>0</v>
      </c>
      <c r="AL81" s="186">
        <f t="shared" si="262"/>
        <v>0</v>
      </c>
      <c r="AM81" s="186">
        <f t="shared" si="262"/>
        <v>0</v>
      </c>
      <c r="AN81" s="186">
        <f t="shared" si="262"/>
        <v>0</v>
      </c>
      <c r="AO81" s="186">
        <f t="shared" si="262"/>
        <v>0</v>
      </c>
      <c r="AP81" s="186">
        <f t="shared" si="262"/>
        <v>0</v>
      </c>
      <c r="AQ81" s="186">
        <f t="shared" si="262"/>
        <v>0</v>
      </c>
      <c r="AR81" s="186">
        <f t="shared" si="262"/>
        <v>0</v>
      </c>
      <c r="AS81" s="186">
        <f t="shared" si="262"/>
        <v>0</v>
      </c>
      <c r="AT81" s="186">
        <f t="shared" si="262"/>
        <v>0</v>
      </c>
      <c r="AU81" s="186">
        <f t="shared" si="262"/>
        <v>0</v>
      </c>
      <c r="AV81" s="186">
        <f t="shared" si="262"/>
        <v>0</v>
      </c>
      <c r="AW81" s="186">
        <f t="shared" si="262"/>
        <v>0</v>
      </c>
      <c r="AX81" s="157">
        <f>IF(AND(AX$28&gt;=$G81,AX$28&lt;=$H81),60%,0)</f>
        <v>0.6</v>
      </c>
      <c r="AY81" s="157">
        <f>IF(AND(AY$28&gt;=$G81,AY$28&lt;=$H81),7.5%,0)</f>
        <v>7.4999999999999997E-2</v>
      </c>
      <c r="AZ81" s="157">
        <f>IF(AND(AZ$28&gt;=$G81,AZ$28&lt;=$H81),32.5%/13,0)</f>
        <v>2.5000000000000001E-2</v>
      </c>
      <c r="BA81" s="157">
        <f t="shared" ref="BA81:BL81" si="278">IF(AND(BA$28&gt;=$G81,BA$28&lt;=$H81),32.5%/13,0)</f>
        <v>2.5000000000000001E-2</v>
      </c>
      <c r="BB81" s="157">
        <f t="shared" si="278"/>
        <v>2.5000000000000001E-2</v>
      </c>
      <c r="BC81" s="157">
        <f t="shared" si="278"/>
        <v>2.5000000000000001E-2</v>
      </c>
      <c r="BD81" s="157">
        <f t="shared" si="278"/>
        <v>2.5000000000000001E-2</v>
      </c>
      <c r="BE81" s="157">
        <f t="shared" si="278"/>
        <v>2.5000000000000001E-2</v>
      </c>
      <c r="BF81" s="157">
        <f t="shared" si="278"/>
        <v>2.5000000000000001E-2</v>
      </c>
      <c r="BG81" s="157">
        <f t="shared" si="278"/>
        <v>2.5000000000000001E-2</v>
      </c>
      <c r="BH81" s="157">
        <f t="shared" si="278"/>
        <v>2.5000000000000001E-2</v>
      </c>
      <c r="BI81" s="157">
        <f t="shared" si="278"/>
        <v>2.5000000000000001E-2</v>
      </c>
      <c r="BJ81" s="157">
        <f t="shared" si="278"/>
        <v>2.5000000000000001E-2</v>
      </c>
      <c r="BK81" s="157">
        <f t="shared" si="278"/>
        <v>2.5000000000000001E-2</v>
      </c>
      <c r="BL81" s="157">
        <f t="shared" si="278"/>
        <v>2.5000000000000001E-2</v>
      </c>
    </row>
    <row r="83" spans="2:64" ht="27.6" x14ac:dyDescent="0.3">
      <c r="C83" s="184" t="s">
        <v>208</v>
      </c>
      <c r="D83" s="184" t="s">
        <v>371</v>
      </c>
      <c r="E83" s="24" t="s">
        <v>372</v>
      </c>
      <c r="F83" s="184" t="s">
        <v>384</v>
      </c>
      <c r="G83" s="184" t="s">
        <v>373</v>
      </c>
      <c r="H83" s="184" t="s">
        <v>374</v>
      </c>
      <c r="I83" s="184" t="s">
        <v>375</v>
      </c>
      <c r="J83" s="187" t="s">
        <v>504</v>
      </c>
      <c r="K83" s="185">
        <f>K76</f>
        <v>45504</v>
      </c>
      <c r="L83" s="185">
        <f>EOMONTH(K83,1)</f>
        <v>45535</v>
      </c>
      <c r="M83" s="185">
        <f t="shared" ref="M83:BL83" si="279">EOMONTH(L83,1)</f>
        <v>45565</v>
      </c>
      <c r="N83" s="185">
        <f t="shared" si="279"/>
        <v>45596</v>
      </c>
      <c r="O83" s="185">
        <f t="shared" si="279"/>
        <v>45626</v>
      </c>
      <c r="P83" s="185">
        <f t="shared" si="279"/>
        <v>45657</v>
      </c>
      <c r="Q83" s="185">
        <f t="shared" si="279"/>
        <v>45688</v>
      </c>
      <c r="R83" s="185">
        <f t="shared" si="279"/>
        <v>45716</v>
      </c>
      <c r="S83" s="185">
        <f t="shared" si="279"/>
        <v>45747</v>
      </c>
      <c r="T83" s="185">
        <f t="shared" si="279"/>
        <v>45777</v>
      </c>
      <c r="U83" s="185">
        <f t="shared" si="279"/>
        <v>45808</v>
      </c>
      <c r="V83" s="185">
        <f t="shared" si="279"/>
        <v>45838</v>
      </c>
      <c r="W83" s="185">
        <f t="shared" si="279"/>
        <v>45869</v>
      </c>
      <c r="X83" s="185">
        <f t="shared" si="279"/>
        <v>45900</v>
      </c>
      <c r="Y83" s="185">
        <f t="shared" si="279"/>
        <v>45930</v>
      </c>
      <c r="Z83" s="185">
        <f t="shared" si="279"/>
        <v>45961</v>
      </c>
      <c r="AA83" s="185">
        <f t="shared" si="279"/>
        <v>45991</v>
      </c>
      <c r="AB83" s="185">
        <f t="shared" si="279"/>
        <v>46022</v>
      </c>
      <c r="AC83" s="185">
        <f t="shared" si="279"/>
        <v>46053</v>
      </c>
      <c r="AD83" s="185">
        <f t="shared" si="279"/>
        <v>46081</v>
      </c>
      <c r="AE83" s="185">
        <f t="shared" si="279"/>
        <v>46112</v>
      </c>
      <c r="AF83" s="185">
        <f t="shared" si="279"/>
        <v>46142</v>
      </c>
      <c r="AG83" s="185">
        <f t="shared" si="279"/>
        <v>46173</v>
      </c>
      <c r="AH83" s="185">
        <f t="shared" si="279"/>
        <v>46203</v>
      </c>
      <c r="AI83" s="185">
        <f t="shared" si="279"/>
        <v>46234</v>
      </c>
      <c r="AJ83" s="185">
        <f t="shared" si="279"/>
        <v>46265</v>
      </c>
      <c r="AK83" s="185">
        <f t="shared" si="279"/>
        <v>46295</v>
      </c>
      <c r="AL83" s="185">
        <f t="shared" si="279"/>
        <v>46326</v>
      </c>
      <c r="AM83" s="185">
        <f t="shared" si="279"/>
        <v>46356</v>
      </c>
      <c r="AN83" s="185">
        <f t="shared" si="279"/>
        <v>46387</v>
      </c>
      <c r="AO83" s="185">
        <f t="shared" si="279"/>
        <v>46418</v>
      </c>
      <c r="AP83" s="185">
        <f t="shared" si="279"/>
        <v>46446</v>
      </c>
      <c r="AQ83" s="185">
        <f t="shared" si="279"/>
        <v>46477</v>
      </c>
      <c r="AR83" s="185">
        <f t="shared" si="279"/>
        <v>46507</v>
      </c>
      <c r="AS83" s="185">
        <f t="shared" si="279"/>
        <v>46538</v>
      </c>
      <c r="AT83" s="185">
        <f t="shared" si="279"/>
        <v>46568</v>
      </c>
      <c r="AU83" s="185">
        <f t="shared" si="279"/>
        <v>46599</v>
      </c>
      <c r="AV83" s="185">
        <f t="shared" si="279"/>
        <v>46630</v>
      </c>
      <c r="AW83" s="185">
        <f t="shared" si="279"/>
        <v>46660</v>
      </c>
      <c r="AX83" s="185">
        <f t="shared" si="279"/>
        <v>46691</v>
      </c>
      <c r="AY83" s="185">
        <f t="shared" si="279"/>
        <v>46721</v>
      </c>
      <c r="AZ83" s="185">
        <f t="shared" si="279"/>
        <v>46752</v>
      </c>
      <c r="BA83" s="185">
        <f t="shared" si="279"/>
        <v>46783</v>
      </c>
      <c r="BB83" s="185">
        <f t="shared" si="279"/>
        <v>46812</v>
      </c>
      <c r="BC83" s="185">
        <f t="shared" si="279"/>
        <v>46843</v>
      </c>
      <c r="BD83" s="185">
        <f t="shared" si="279"/>
        <v>46873</v>
      </c>
      <c r="BE83" s="185">
        <f t="shared" si="279"/>
        <v>46904</v>
      </c>
      <c r="BF83" s="185">
        <f t="shared" si="279"/>
        <v>46934</v>
      </c>
      <c r="BG83" s="185">
        <f t="shared" si="279"/>
        <v>46965</v>
      </c>
      <c r="BH83" s="185">
        <f t="shared" si="279"/>
        <v>46996</v>
      </c>
      <c r="BI83" s="185">
        <f t="shared" si="279"/>
        <v>47026</v>
      </c>
      <c r="BJ83" s="185">
        <f t="shared" si="279"/>
        <v>47057</v>
      </c>
      <c r="BK83" s="185">
        <f t="shared" si="279"/>
        <v>47087</v>
      </c>
      <c r="BL83" s="185">
        <f t="shared" si="279"/>
        <v>47118</v>
      </c>
    </row>
    <row r="84" spans="2:64" x14ac:dyDescent="0.3">
      <c r="C84" s="130" t="s">
        <v>230</v>
      </c>
      <c r="D84" s="45">
        <f>D77</f>
        <v>243028.41058999998</v>
      </c>
      <c r="E84" s="45">
        <f>E77</f>
        <v>255179.83111949998</v>
      </c>
      <c r="F84" s="33">
        <f>F77</f>
        <v>35.4</v>
      </c>
      <c r="G84" s="188">
        <f t="shared" ref="G84:H84" si="280">G77</f>
        <v>45474</v>
      </c>
      <c r="H84" s="188">
        <f t="shared" si="280"/>
        <v>45838</v>
      </c>
      <c r="I84" s="45">
        <f>'Assumption Sheet'!$F$28</f>
        <v>12</v>
      </c>
      <c r="J84" s="186">
        <f>SUM(K84:BL84)</f>
        <v>0.8603205734885998</v>
      </c>
      <c r="K84" s="186">
        <f>K77*$F84*$D84/10^7</f>
        <v>0.51619234409315995</v>
      </c>
      <c r="L84" s="186">
        <f t="shared" ref="L84:BL84" si="281">L77*$F84*$D84/10^7</f>
        <v>4.3016028674429996E-2</v>
      </c>
      <c r="M84" s="186">
        <f t="shared" si="281"/>
        <v>3.0111220072100993E-2</v>
      </c>
      <c r="N84" s="186">
        <f t="shared" si="281"/>
        <v>3.0111220072100993E-2</v>
      </c>
      <c r="O84" s="186">
        <f t="shared" si="281"/>
        <v>3.0111220072100993E-2</v>
      </c>
      <c r="P84" s="186">
        <f t="shared" si="281"/>
        <v>3.0111220072100993E-2</v>
      </c>
      <c r="Q84" s="186">
        <f t="shared" si="281"/>
        <v>3.0111220072100993E-2</v>
      </c>
      <c r="R84" s="186">
        <f t="shared" si="281"/>
        <v>3.0111220072100993E-2</v>
      </c>
      <c r="S84" s="186">
        <f t="shared" si="281"/>
        <v>3.0111220072100993E-2</v>
      </c>
      <c r="T84" s="186">
        <f t="shared" si="281"/>
        <v>3.0111220072100993E-2</v>
      </c>
      <c r="U84" s="186">
        <f t="shared" si="281"/>
        <v>3.0111220072100993E-2</v>
      </c>
      <c r="V84" s="186">
        <f t="shared" si="281"/>
        <v>3.0111220072100993E-2</v>
      </c>
      <c r="W84" s="186">
        <f t="shared" si="281"/>
        <v>0</v>
      </c>
      <c r="X84" s="186">
        <f t="shared" si="281"/>
        <v>0</v>
      </c>
      <c r="Y84" s="186">
        <f t="shared" si="281"/>
        <v>0</v>
      </c>
      <c r="Z84" s="186">
        <f t="shared" si="281"/>
        <v>0</v>
      </c>
      <c r="AA84" s="186">
        <f t="shared" si="281"/>
        <v>0</v>
      </c>
      <c r="AB84" s="186">
        <f t="shared" si="281"/>
        <v>0</v>
      </c>
      <c r="AC84" s="186">
        <f t="shared" si="281"/>
        <v>0</v>
      </c>
      <c r="AD84" s="186">
        <f t="shared" si="281"/>
        <v>0</v>
      </c>
      <c r="AE84" s="186">
        <f t="shared" si="281"/>
        <v>0</v>
      </c>
      <c r="AF84" s="186">
        <f t="shared" si="281"/>
        <v>0</v>
      </c>
      <c r="AG84" s="186">
        <f t="shared" si="281"/>
        <v>0</v>
      </c>
      <c r="AH84" s="186">
        <f t="shared" si="281"/>
        <v>0</v>
      </c>
      <c r="AI84" s="186">
        <f t="shared" si="281"/>
        <v>0</v>
      </c>
      <c r="AJ84" s="186">
        <f t="shared" si="281"/>
        <v>0</v>
      </c>
      <c r="AK84" s="186">
        <f t="shared" si="281"/>
        <v>0</v>
      </c>
      <c r="AL84" s="186">
        <f t="shared" si="281"/>
        <v>0</v>
      </c>
      <c r="AM84" s="186">
        <f t="shared" si="281"/>
        <v>0</v>
      </c>
      <c r="AN84" s="186">
        <f t="shared" si="281"/>
        <v>0</v>
      </c>
      <c r="AO84" s="186">
        <f t="shared" si="281"/>
        <v>0</v>
      </c>
      <c r="AP84" s="186">
        <f t="shared" si="281"/>
        <v>0</v>
      </c>
      <c r="AQ84" s="186">
        <f t="shared" si="281"/>
        <v>0</v>
      </c>
      <c r="AR84" s="186">
        <f t="shared" si="281"/>
        <v>0</v>
      </c>
      <c r="AS84" s="186">
        <f t="shared" si="281"/>
        <v>0</v>
      </c>
      <c r="AT84" s="186">
        <f t="shared" si="281"/>
        <v>0</v>
      </c>
      <c r="AU84" s="186">
        <f t="shared" si="281"/>
        <v>0</v>
      </c>
      <c r="AV84" s="186">
        <f t="shared" si="281"/>
        <v>0</v>
      </c>
      <c r="AW84" s="186">
        <f t="shared" si="281"/>
        <v>0</v>
      </c>
      <c r="AX84" s="186">
        <f t="shared" si="281"/>
        <v>0</v>
      </c>
      <c r="AY84" s="186">
        <f t="shared" si="281"/>
        <v>0</v>
      </c>
      <c r="AZ84" s="186">
        <f t="shared" si="281"/>
        <v>0</v>
      </c>
      <c r="BA84" s="186">
        <f t="shared" si="281"/>
        <v>0</v>
      </c>
      <c r="BB84" s="186">
        <f t="shared" si="281"/>
        <v>0</v>
      </c>
      <c r="BC84" s="186">
        <f t="shared" si="281"/>
        <v>0</v>
      </c>
      <c r="BD84" s="186">
        <f t="shared" si="281"/>
        <v>0</v>
      </c>
      <c r="BE84" s="186">
        <f t="shared" si="281"/>
        <v>0</v>
      </c>
      <c r="BF84" s="186">
        <f t="shared" si="281"/>
        <v>0</v>
      </c>
      <c r="BG84" s="186">
        <f t="shared" si="281"/>
        <v>0</v>
      </c>
      <c r="BH84" s="186">
        <f t="shared" si="281"/>
        <v>0</v>
      </c>
      <c r="BI84" s="186">
        <f t="shared" si="281"/>
        <v>0</v>
      </c>
      <c r="BJ84" s="186">
        <f t="shared" si="281"/>
        <v>0</v>
      </c>
      <c r="BK84" s="186">
        <f t="shared" si="281"/>
        <v>0</v>
      </c>
      <c r="BL84" s="186">
        <f t="shared" si="281"/>
        <v>0</v>
      </c>
    </row>
    <row r="85" spans="2:64" x14ac:dyDescent="0.3">
      <c r="C85" s="130" t="s">
        <v>231</v>
      </c>
      <c r="D85" s="45">
        <f t="shared" ref="D85:H85" si="282">D78</f>
        <v>470733.22550099995</v>
      </c>
      <c r="E85" s="45">
        <f t="shared" si="282"/>
        <v>494269.88677604997</v>
      </c>
      <c r="F85" s="33">
        <f t="shared" si="282"/>
        <v>35.4</v>
      </c>
      <c r="G85" s="188">
        <f t="shared" si="282"/>
        <v>45839</v>
      </c>
      <c r="H85" s="188">
        <f t="shared" si="282"/>
        <v>46203</v>
      </c>
      <c r="I85" s="45">
        <f>'Assumption Sheet'!$F$29</f>
        <v>12</v>
      </c>
      <c r="J85" s="186">
        <f t="shared" ref="J85:J88" si="283">SUM(K85:BL85)</f>
        <v>1.66639561827354</v>
      </c>
      <c r="K85" s="186">
        <f t="shared" ref="K85:BL85" si="284">K78*$F85*$D85/10^7</f>
        <v>0</v>
      </c>
      <c r="L85" s="186">
        <f t="shared" si="284"/>
        <v>0</v>
      </c>
      <c r="M85" s="186">
        <f t="shared" si="284"/>
        <v>0</v>
      </c>
      <c r="N85" s="186">
        <f t="shared" si="284"/>
        <v>0</v>
      </c>
      <c r="O85" s="186">
        <f t="shared" si="284"/>
        <v>0</v>
      </c>
      <c r="P85" s="186">
        <f t="shared" si="284"/>
        <v>0</v>
      </c>
      <c r="Q85" s="186">
        <f t="shared" si="284"/>
        <v>0</v>
      </c>
      <c r="R85" s="186">
        <f t="shared" si="284"/>
        <v>0</v>
      </c>
      <c r="S85" s="186">
        <f t="shared" si="284"/>
        <v>0</v>
      </c>
      <c r="T85" s="186">
        <f t="shared" si="284"/>
        <v>0</v>
      </c>
      <c r="U85" s="186">
        <f t="shared" si="284"/>
        <v>0</v>
      </c>
      <c r="V85" s="186">
        <f t="shared" si="284"/>
        <v>0</v>
      </c>
      <c r="W85" s="186">
        <f t="shared" si="284"/>
        <v>0.99983737096412384</v>
      </c>
      <c r="X85" s="186">
        <f t="shared" si="284"/>
        <v>8.3319780913676991E-2</v>
      </c>
      <c r="Y85" s="186">
        <f t="shared" si="284"/>
        <v>5.8323846639573886E-2</v>
      </c>
      <c r="Z85" s="186">
        <f t="shared" si="284"/>
        <v>5.8323846639573886E-2</v>
      </c>
      <c r="AA85" s="186">
        <f t="shared" si="284"/>
        <v>5.8323846639573886E-2</v>
      </c>
      <c r="AB85" s="186">
        <f t="shared" si="284"/>
        <v>5.8323846639573886E-2</v>
      </c>
      <c r="AC85" s="186">
        <f t="shared" si="284"/>
        <v>5.8323846639573886E-2</v>
      </c>
      <c r="AD85" s="186">
        <f t="shared" si="284"/>
        <v>5.8323846639573886E-2</v>
      </c>
      <c r="AE85" s="186">
        <f t="shared" si="284"/>
        <v>5.8323846639573886E-2</v>
      </c>
      <c r="AF85" s="186">
        <f t="shared" si="284"/>
        <v>5.8323846639573886E-2</v>
      </c>
      <c r="AG85" s="186">
        <f t="shared" si="284"/>
        <v>5.8323846639573886E-2</v>
      </c>
      <c r="AH85" s="186">
        <f t="shared" si="284"/>
        <v>5.8323846639573886E-2</v>
      </c>
      <c r="AI85" s="186">
        <f t="shared" si="284"/>
        <v>0</v>
      </c>
      <c r="AJ85" s="186">
        <f t="shared" si="284"/>
        <v>0</v>
      </c>
      <c r="AK85" s="186">
        <f t="shared" si="284"/>
        <v>0</v>
      </c>
      <c r="AL85" s="186">
        <f t="shared" si="284"/>
        <v>0</v>
      </c>
      <c r="AM85" s="186">
        <f t="shared" si="284"/>
        <v>0</v>
      </c>
      <c r="AN85" s="186">
        <f t="shared" si="284"/>
        <v>0</v>
      </c>
      <c r="AO85" s="186">
        <f t="shared" si="284"/>
        <v>0</v>
      </c>
      <c r="AP85" s="186">
        <f t="shared" si="284"/>
        <v>0</v>
      </c>
      <c r="AQ85" s="186">
        <f t="shared" si="284"/>
        <v>0</v>
      </c>
      <c r="AR85" s="186">
        <f t="shared" si="284"/>
        <v>0</v>
      </c>
      <c r="AS85" s="186">
        <f t="shared" si="284"/>
        <v>0</v>
      </c>
      <c r="AT85" s="186">
        <f t="shared" si="284"/>
        <v>0</v>
      </c>
      <c r="AU85" s="186">
        <f t="shared" si="284"/>
        <v>0</v>
      </c>
      <c r="AV85" s="186">
        <f t="shared" si="284"/>
        <v>0</v>
      </c>
      <c r="AW85" s="186">
        <f t="shared" si="284"/>
        <v>0</v>
      </c>
      <c r="AX85" s="186">
        <f t="shared" si="284"/>
        <v>0</v>
      </c>
      <c r="AY85" s="186">
        <f t="shared" si="284"/>
        <v>0</v>
      </c>
      <c r="AZ85" s="186">
        <f t="shared" si="284"/>
        <v>0</v>
      </c>
      <c r="BA85" s="186">
        <f t="shared" si="284"/>
        <v>0</v>
      </c>
      <c r="BB85" s="186">
        <f t="shared" si="284"/>
        <v>0</v>
      </c>
      <c r="BC85" s="186">
        <f t="shared" si="284"/>
        <v>0</v>
      </c>
      <c r="BD85" s="186">
        <f t="shared" si="284"/>
        <v>0</v>
      </c>
      <c r="BE85" s="186">
        <f t="shared" si="284"/>
        <v>0</v>
      </c>
      <c r="BF85" s="186">
        <f t="shared" si="284"/>
        <v>0</v>
      </c>
      <c r="BG85" s="186">
        <f t="shared" si="284"/>
        <v>0</v>
      </c>
      <c r="BH85" s="186">
        <f t="shared" si="284"/>
        <v>0</v>
      </c>
      <c r="BI85" s="186">
        <f t="shared" si="284"/>
        <v>0</v>
      </c>
      <c r="BJ85" s="186">
        <f t="shared" si="284"/>
        <v>0</v>
      </c>
      <c r="BK85" s="186">
        <f t="shared" si="284"/>
        <v>0</v>
      </c>
      <c r="BL85" s="186">
        <f t="shared" si="284"/>
        <v>0</v>
      </c>
    </row>
    <row r="86" spans="2:64" x14ac:dyDescent="0.3">
      <c r="C86" s="130" t="s">
        <v>232</v>
      </c>
      <c r="D86" s="45">
        <f t="shared" ref="D86:H86" si="285">D79</f>
        <v>196225.03588799998</v>
      </c>
      <c r="E86" s="45">
        <f t="shared" si="285"/>
        <v>206036.2876824</v>
      </c>
      <c r="F86" s="33">
        <f t="shared" si="285"/>
        <v>35.4</v>
      </c>
      <c r="G86" s="188">
        <f t="shared" si="285"/>
        <v>46113</v>
      </c>
      <c r="H86" s="188">
        <f t="shared" si="285"/>
        <v>46477</v>
      </c>
      <c r="I86" s="45">
        <f>'Assumption Sheet'!$F$30</f>
        <v>12</v>
      </c>
      <c r="J86" s="186">
        <f t="shared" si="283"/>
        <v>0.69463662704352025</v>
      </c>
      <c r="K86" s="186">
        <f t="shared" ref="K86:BL86" si="286">K79*$F86*$D86/10^7</f>
        <v>0</v>
      </c>
      <c r="L86" s="186">
        <f t="shared" si="286"/>
        <v>0</v>
      </c>
      <c r="M86" s="186">
        <f t="shared" si="286"/>
        <v>0</v>
      </c>
      <c r="N86" s="186">
        <f t="shared" si="286"/>
        <v>0</v>
      </c>
      <c r="O86" s="186">
        <f t="shared" si="286"/>
        <v>0</v>
      </c>
      <c r="P86" s="186">
        <f t="shared" si="286"/>
        <v>0</v>
      </c>
      <c r="Q86" s="186">
        <f t="shared" si="286"/>
        <v>0</v>
      </c>
      <c r="R86" s="186">
        <f t="shared" si="286"/>
        <v>0</v>
      </c>
      <c r="S86" s="186">
        <f t="shared" si="286"/>
        <v>0</v>
      </c>
      <c r="T86" s="186">
        <f t="shared" si="286"/>
        <v>0</v>
      </c>
      <c r="U86" s="186">
        <f t="shared" si="286"/>
        <v>0</v>
      </c>
      <c r="V86" s="186">
        <f t="shared" si="286"/>
        <v>0</v>
      </c>
      <c r="W86" s="186">
        <f t="shared" si="286"/>
        <v>0</v>
      </c>
      <c r="X86" s="186">
        <f t="shared" si="286"/>
        <v>0</v>
      </c>
      <c r="Y86" s="186">
        <f t="shared" si="286"/>
        <v>0</v>
      </c>
      <c r="Z86" s="186">
        <f t="shared" si="286"/>
        <v>0</v>
      </c>
      <c r="AA86" s="186">
        <f t="shared" si="286"/>
        <v>0</v>
      </c>
      <c r="AB86" s="186">
        <f t="shared" si="286"/>
        <v>0</v>
      </c>
      <c r="AC86" s="186">
        <f t="shared" si="286"/>
        <v>0</v>
      </c>
      <c r="AD86" s="186">
        <f t="shared" si="286"/>
        <v>0</v>
      </c>
      <c r="AE86" s="186">
        <f t="shared" si="286"/>
        <v>0</v>
      </c>
      <c r="AF86" s="186">
        <f t="shared" si="286"/>
        <v>0.41678197622611191</v>
      </c>
      <c r="AG86" s="186">
        <f t="shared" si="286"/>
        <v>3.4731831352176001E-2</v>
      </c>
      <c r="AH86" s="186">
        <f t="shared" si="286"/>
        <v>2.4312281946523198E-2</v>
      </c>
      <c r="AI86" s="186">
        <f t="shared" si="286"/>
        <v>2.4312281946523198E-2</v>
      </c>
      <c r="AJ86" s="186">
        <f t="shared" si="286"/>
        <v>2.4312281946523198E-2</v>
      </c>
      <c r="AK86" s="186">
        <f t="shared" si="286"/>
        <v>2.4312281946523198E-2</v>
      </c>
      <c r="AL86" s="186">
        <f t="shared" si="286"/>
        <v>2.4312281946523198E-2</v>
      </c>
      <c r="AM86" s="186">
        <f t="shared" si="286"/>
        <v>2.4312281946523198E-2</v>
      </c>
      <c r="AN86" s="186">
        <f t="shared" si="286"/>
        <v>2.4312281946523198E-2</v>
      </c>
      <c r="AO86" s="186">
        <f t="shared" si="286"/>
        <v>2.4312281946523198E-2</v>
      </c>
      <c r="AP86" s="186">
        <f t="shared" si="286"/>
        <v>2.4312281946523198E-2</v>
      </c>
      <c r="AQ86" s="186">
        <f t="shared" si="286"/>
        <v>2.4312281946523198E-2</v>
      </c>
      <c r="AR86" s="186">
        <f t="shared" si="286"/>
        <v>0</v>
      </c>
      <c r="AS86" s="186">
        <f t="shared" si="286"/>
        <v>0</v>
      </c>
      <c r="AT86" s="186">
        <f t="shared" si="286"/>
        <v>0</v>
      </c>
      <c r="AU86" s="186">
        <f t="shared" si="286"/>
        <v>0</v>
      </c>
      <c r="AV86" s="186">
        <f t="shared" si="286"/>
        <v>0</v>
      </c>
      <c r="AW86" s="186">
        <f t="shared" si="286"/>
        <v>0</v>
      </c>
      <c r="AX86" s="186">
        <f t="shared" si="286"/>
        <v>0</v>
      </c>
      <c r="AY86" s="186">
        <f t="shared" si="286"/>
        <v>0</v>
      </c>
      <c r="AZ86" s="186">
        <f t="shared" si="286"/>
        <v>0</v>
      </c>
      <c r="BA86" s="186">
        <f t="shared" si="286"/>
        <v>0</v>
      </c>
      <c r="BB86" s="186">
        <f t="shared" si="286"/>
        <v>0</v>
      </c>
      <c r="BC86" s="186">
        <f t="shared" si="286"/>
        <v>0</v>
      </c>
      <c r="BD86" s="186">
        <f t="shared" si="286"/>
        <v>0</v>
      </c>
      <c r="BE86" s="186">
        <f t="shared" si="286"/>
        <v>0</v>
      </c>
      <c r="BF86" s="186">
        <f t="shared" si="286"/>
        <v>0</v>
      </c>
      <c r="BG86" s="186">
        <f t="shared" si="286"/>
        <v>0</v>
      </c>
      <c r="BH86" s="186">
        <f t="shared" si="286"/>
        <v>0</v>
      </c>
      <c r="BI86" s="186">
        <f t="shared" si="286"/>
        <v>0</v>
      </c>
      <c r="BJ86" s="186">
        <f t="shared" si="286"/>
        <v>0</v>
      </c>
      <c r="BK86" s="186">
        <f t="shared" si="286"/>
        <v>0</v>
      </c>
      <c r="BL86" s="186">
        <f t="shared" si="286"/>
        <v>0</v>
      </c>
    </row>
    <row r="87" spans="2:64" x14ac:dyDescent="0.3">
      <c r="C87" s="130" t="s">
        <v>234</v>
      </c>
      <c r="D87" s="45">
        <f t="shared" ref="D87:H87" si="287">D80</f>
        <v>420964.181071</v>
      </c>
      <c r="E87" s="45">
        <f t="shared" si="287"/>
        <v>442012.39012455003</v>
      </c>
      <c r="F87" s="33">
        <f t="shared" si="287"/>
        <v>35.4</v>
      </c>
      <c r="G87" s="188">
        <f t="shared" si="287"/>
        <v>46388</v>
      </c>
      <c r="H87" s="188">
        <f t="shared" si="287"/>
        <v>46752</v>
      </c>
      <c r="I87" s="45">
        <f>'Assumption Sheet'!$F$31</f>
        <v>12</v>
      </c>
      <c r="J87" s="186">
        <f t="shared" si="283"/>
        <v>1.4902132009913405</v>
      </c>
      <c r="K87" s="186">
        <f t="shared" ref="K87:BL87" si="288">K80*$F87*$D87/10^7</f>
        <v>0</v>
      </c>
      <c r="L87" s="186">
        <f t="shared" si="288"/>
        <v>0</v>
      </c>
      <c r="M87" s="186">
        <f t="shared" si="288"/>
        <v>0</v>
      </c>
      <c r="N87" s="186">
        <f t="shared" si="288"/>
        <v>0</v>
      </c>
      <c r="O87" s="186">
        <f t="shared" si="288"/>
        <v>0</v>
      </c>
      <c r="P87" s="186">
        <f t="shared" si="288"/>
        <v>0</v>
      </c>
      <c r="Q87" s="186">
        <f t="shared" si="288"/>
        <v>0</v>
      </c>
      <c r="R87" s="186">
        <f t="shared" si="288"/>
        <v>0</v>
      </c>
      <c r="S87" s="186">
        <f t="shared" si="288"/>
        <v>0</v>
      </c>
      <c r="T87" s="186">
        <f t="shared" si="288"/>
        <v>0</v>
      </c>
      <c r="U87" s="186">
        <f t="shared" si="288"/>
        <v>0</v>
      </c>
      <c r="V87" s="186">
        <f t="shared" si="288"/>
        <v>0</v>
      </c>
      <c r="W87" s="186">
        <f t="shared" si="288"/>
        <v>0</v>
      </c>
      <c r="X87" s="186">
        <f t="shared" si="288"/>
        <v>0</v>
      </c>
      <c r="Y87" s="186">
        <f t="shared" si="288"/>
        <v>0</v>
      </c>
      <c r="Z87" s="186">
        <f t="shared" si="288"/>
        <v>0</v>
      </c>
      <c r="AA87" s="186">
        <f t="shared" si="288"/>
        <v>0</v>
      </c>
      <c r="AB87" s="186">
        <f t="shared" si="288"/>
        <v>0</v>
      </c>
      <c r="AC87" s="186">
        <f t="shared" si="288"/>
        <v>0</v>
      </c>
      <c r="AD87" s="186">
        <f t="shared" si="288"/>
        <v>0</v>
      </c>
      <c r="AE87" s="186">
        <f t="shared" si="288"/>
        <v>0</v>
      </c>
      <c r="AF87" s="186">
        <f t="shared" si="288"/>
        <v>0</v>
      </c>
      <c r="AG87" s="186">
        <f t="shared" si="288"/>
        <v>0</v>
      </c>
      <c r="AH87" s="186">
        <f t="shared" si="288"/>
        <v>0</v>
      </c>
      <c r="AI87" s="186">
        <f t="shared" si="288"/>
        <v>0</v>
      </c>
      <c r="AJ87" s="186">
        <f t="shared" si="288"/>
        <v>0</v>
      </c>
      <c r="AK87" s="186">
        <f t="shared" si="288"/>
        <v>0</v>
      </c>
      <c r="AL87" s="186">
        <f t="shared" si="288"/>
        <v>0</v>
      </c>
      <c r="AM87" s="186">
        <f t="shared" si="288"/>
        <v>0</v>
      </c>
      <c r="AN87" s="186">
        <f t="shared" si="288"/>
        <v>0</v>
      </c>
      <c r="AO87" s="186">
        <f t="shared" si="288"/>
        <v>0.89412792059480395</v>
      </c>
      <c r="AP87" s="186">
        <f t="shared" si="288"/>
        <v>7.4510660049566996E-2</v>
      </c>
      <c r="AQ87" s="186">
        <f t="shared" si="288"/>
        <v>5.2157462034696893E-2</v>
      </c>
      <c r="AR87" s="186">
        <f t="shared" si="288"/>
        <v>5.2157462034696893E-2</v>
      </c>
      <c r="AS87" s="186">
        <f t="shared" si="288"/>
        <v>5.2157462034696893E-2</v>
      </c>
      <c r="AT87" s="186">
        <f t="shared" si="288"/>
        <v>5.2157462034696893E-2</v>
      </c>
      <c r="AU87" s="186">
        <f t="shared" si="288"/>
        <v>5.2157462034696893E-2</v>
      </c>
      <c r="AV87" s="186">
        <f t="shared" si="288"/>
        <v>5.2157462034696893E-2</v>
      </c>
      <c r="AW87" s="186">
        <f t="shared" si="288"/>
        <v>5.2157462034696893E-2</v>
      </c>
      <c r="AX87" s="186">
        <f t="shared" si="288"/>
        <v>5.2157462034696893E-2</v>
      </c>
      <c r="AY87" s="186">
        <f t="shared" si="288"/>
        <v>5.2157462034696893E-2</v>
      </c>
      <c r="AZ87" s="186">
        <f t="shared" si="288"/>
        <v>5.2157462034696893E-2</v>
      </c>
      <c r="BA87" s="186">
        <f t="shared" si="288"/>
        <v>0</v>
      </c>
      <c r="BB87" s="186">
        <f t="shared" si="288"/>
        <v>0</v>
      </c>
      <c r="BC87" s="186">
        <f t="shared" si="288"/>
        <v>0</v>
      </c>
      <c r="BD87" s="186">
        <f t="shared" si="288"/>
        <v>0</v>
      </c>
      <c r="BE87" s="186">
        <f t="shared" si="288"/>
        <v>0</v>
      </c>
      <c r="BF87" s="186">
        <f t="shared" si="288"/>
        <v>0</v>
      </c>
      <c r="BG87" s="186">
        <f t="shared" si="288"/>
        <v>0</v>
      </c>
      <c r="BH87" s="186">
        <f t="shared" si="288"/>
        <v>0</v>
      </c>
      <c r="BI87" s="186">
        <f t="shared" si="288"/>
        <v>0</v>
      </c>
      <c r="BJ87" s="186">
        <f t="shared" si="288"/>
        <v>0</v>
      </c>
      <c r="BK87" s="186">
        <f t="shared" si="288"/>
        <v>0</v>
      </c>
      <c r="BL87" s="186">
        <f t="shared" si="288"/>
        <v>0</v>
      </c>
    </row>
    <row r="88" spans="2:64" x14ac:dyDescent="0.3">
      <c r="C88" s="130" t="s">
        <v>259</v>
      </c>
      <c r="D88" s="45">
        <f t="shared" ref="D88:H88" si="289">D81</f>
        <v>87708.024565</v>
      </c>
      <c r="E88" s="45">
        <f t="shared" si="289"/>
        <v>92093.425793250004</v>
      </c>
      <c r="F88" s="33">
        <f t="shared" si="289"/>
        <v>35.4</v>
      </c>
      <c r="G88" s="188">
        <f t="shared" si="289"/>
        <v>46661</v>
      </c>
      <c r="H88" s="188">
        <f t="shared" si="289"/>
        <v>47118</v>
      </c>
      <c r="I88" s="45">
        <f>'Assumption Sheet'!$F$32</f>
        <v>15</v>
      </c>
      <c r="J88" s="186">
        <f t="shared" si="283"/>
        <v>0.31048640696009994</v>
      </c>
      <c r="K88" s="186">
        <f t="shared" ref="K88:BL88" si="290">K81*$F88*$D88/10^7</f>
        <v>0</v>
      </c>
      <c r="L88" s="186">
        <f t="shared" si="290"/>
        <v>0</v>
      </c>
      <c r="M88" s="186">
        <f t="shared" si="290"/>
        <v>0</v>
      </c>
      <c r="N88" s="186">
        <f t="shared" si="290"/>
        <v>0</v>
      </c>
      <c r="O88" s="186">
        <f t="shared" si="290"/>
        <v>0</v>
      </c>
      <c r="P88" s="186">
        <f t="shared" si="290"/>
        <v>0</v>
      </c>
      <c r="Q88" s="186">
        <f t="shared" si="290"/>
        <v>0</v>
      </c>
      <c r="R88" s="186">
        <f t="shared" si="290"/>
        <v>0</v>
      </c>
      <c r="S88" s="186">
        <f t="shared" si="290"/>
        <v>0</v>
      </c>
      <c r="T88" s="186">
        <f t="shared" si="290"/>
        <v>0</v>
      </c>
      <c r="U88" s="186">
        <f t="shared" si="290"/>
        <v>0</v>
      </c>
      <c r="V88" s="186">
        <f t="shared" si="290"/>
        <v>0</v>
      </c>
      <c r="W88" s="186">
        <f t="shared" si="290"/>
        <v>0</v>
      </c>
      <c r="X88" s="186">
        <f t="shared" si="290"/>
        <v>0</v>
      </c>
      <c r="Y88" s="186">
        <f t="shared" si="290"/>
        <v>0</v>
      </c>
      <c r="Z88" s="186">
        <f t="shared" si="290"/>
        <v>0</v>
      </c>
      <c r="AA88" s="186">
        <f t="shared" si="290"/>
        <v>0</v>
      </c>
      <c r="AB88" s="186">
        <f t="shared" si="290"/>
        <v>0</v>
      </c>
      <c r="AC88" s="186">
        <f t="shared" si="290"/>
        <v>0</v>
      </c>
      <c r="AD88" s="186">
        <f t="shared" si="290"/>
        <v>0</v>
      </c>
      <c r="AE88" s="186">
        <f t="shared" si="290"/>
        <v>0</v>
      </c>
      <c r="AF88" s="186">
        <f t="shared" si="290"/>
        <v>0</v>
      </c>
      <c r="AG88" s="186">
        <f t="shared" si="290"/>
        <v>0</v>
      </c>
      <c r="AH88" s="186">
        <f t="shared" si="290"/>
        <v>0</v>
      </c>
      <c r="AI88" s="186">
        <f t="shared" si="290"/>
        <v>0</v>
      </c>
      <c r="AJ88" s="186">
        <f t="shared" si="290"/>
        <v>0</v>
      </c>
      <c r="AK88" s="186">
        <f t="shared" si="290"/>
        <v>0</v>
      </c>
      <c r="AL88" s="186">
        <f t="shared" si="290"/>
        <v>0</v>
      </c>
      <c r="AM88" s="186">
        <f t="shared" si="290"/>
        <v>0</v>
      </c>
      <c r="AN88" s="186">
        <f t="shared" si="290"/>
        <v>0</v>
      </c>
      <c r="AO88" s="186">
        <f t="shared" si="290"/>
        <v>0</v>
      </c>
      <c r="AP88" s="186">
        <f t="shared" si="290"/>
        <v>0</v>
      </c>
      <c r="AQ88" s="186">
        <f t="shared" si="290"/>
        <v>0</v>
      </c>
      <c r="AR88" s="186">
        <f t="shared" si="290"/>
        <v>0</v>
      </c>
      <c r="AS88" s="186">
        <f t="shared" si="290"/>
        <v>0</v>
      </c>
      <c r="AT88" s="186">
        <f t="shared" si="290"/>
        <v>0</v>
      </c>
      <c r="AU88" s="186">
        <f t="shared" si="290"/>
        <v>0</v>
      </c>
      <c r="AV88" s="186">
        <f t="shared" si="290"/>
        <v>0</v>
      </c>
      <c r="AW88" s="186">
        <f t="shared" si="290"/>
        <v>0</v>
      </c>
      <c r="AX88" s="186">
        <f t="shared" si="290"/>
        <v>0.18629184417605998</v>
      </c>
      <c r="AY88" s="186">
        <f t="shared" si="290"/>
        <v>2.3286480522007498E-2</v>
      </c>
      <c r="AZ88" s="186">
        <f t="shared" si="290"/>
        <v>7.7621601740024996E-3</v>
      </c>
      <c r="BA88" s="186">
        <f t="shared" si="290"/>
        <v>7.7621601740024996E-3</v>
      </c>
      <c r="BB88" s="186">
        <f t="shared" si="290"/>
        <v>7.7621601740024996E-3</v>
      </c>
      <c r="BC88" s="186">
        <f t="shared" si="290"/>
        <v>7.7621601740024996E-3</v>
      </c>
      <c r="BD88" s="186">
        <f t="shared" si="290"/>
        <v>7.7621601740024996E-3</v>
      </c>
      <c r="BE88" s="186">
        <f t="shared" si="290"/>
        <v>7.7621601740024996E-3</v>
      </c>
      <c r="BF88" s="186">
        <f t="shared" si="290"/>
        <v>7.7621601740024996E-3</v>
      </c>
      <c r="BG88" s="186">
        <f t="shared" si="290"/>
        <v>7.7621601740024996E-3</v>
      </c>
      <c r="BH88" s="186">
        <f t="shared" si="290"/>
        <v>7.7621601740024996E-3</v>
      </c>
      <c r="BI88" s="186">
        <f t="shared" si="290"/>
        <v>7.7621601740024996E-3</v>
      </c>
      <c r="BJ88" s="186">
        <f t="shared" si="290"/>
        <v>7.7621601740024996E-3</v>
      </c>
      <c r="BK88" s="186">
        <f t="shared" si="290"/>
        <v>7.7621601740024996E-3</v>
      </c>
      <c r="BL88" s="186">
        <f t="shared" si="290"/>
        <v>7.7621601740024996E-3</v>
      </c>
    </row>
    <row r="89" spans="2:64" x14ac:dyDescent="0.3">
      <c r="J89" s="189">
        <f>SUM(J84:J88)</f>
        <v>5.0220524267571012</v>
      </c>
      <c r="K89" s="190">
        <f>SUM(K84:K88)</f>
        <v>0.51619234409315995</v>
      </c>
      <c r="L89" s="190">
        <f t="shared" ref="L89" si="291">SUM(L84:L88)</f>
        <v>4.3016028674429996E-2</v>
      </c>
      <c r="M89" s="190">
        <f t="shared" ref="M89" si="292">SUM(M84:M88)</f>
        <v>3.0111220072100993E-2</v>
      </c>
      <c r="N89" s="190">
        <f t="shared" ref="N89" si="293">SUM(N84:N88)</f>
        <v>3.0111220072100993E-2</v>
      </c>
      <c r="O89" s="190">
        <f t="shared" ref="O89" si="294">SUM(O84:O88)</f>
        <v>3.0111220072100993E-2</v>
      </c>
      <c r="P89" s="190">
        <f t="shared" ref="P89" si="295">SUM(P84:P88)</f>
        <v>3.0111220072100993E-2</v>
      </c>
      <c r="Q89" s="190">
        <f t="shared" ref="Q89" si="296">SUM(Q84:Q88)</f>
        <v>3.0111220072100993E-2</v>
      </c>
      <c r="R89" s="190">
        <f t="shared" ref="R89" si="297">SUM(R84:R88)</f>
        <v>3.0111220072100993E-2</v>
      </c>
      <c r="S89" s="190">
        <f t="shared" ref="S89" si="298">SUM(S84:S88)</f>
        <v>3.0111220072100993E-2</v>
      </c>
      <c r="T89" s="190">
        <f t="shared" ref="T89" si="299">SUM(T84:T88)</f>
        <v>3.0111220072100993E-2</v>
      </c>
      <c r="U89" s="190">
        <f t="shared" ref="U89" si="300">SUM(U84:U88)</f>
        <v>3.0111220072100993E-2</v>
      </c>
      <c r="V89" s="190">
        <f t="shared" ref="V89" si="301">SUM(V84:V88)</f>
        <v>3.0111220072100993E-2</v>
      </c>
      <c r="W89" s="190">
        <f t="shared" ref="W89" si="302">SUM(W84:W88)</f>
        <v>0.99983737096412384</v>
      </c>
      <c r="X89" s="190">
        <f t="shared" ref="X89" si="303">SUM(X84:X88)</f>
        <v>8.3319780913676991E-2</v>
      </c>
      <c r="Y89" s="190">
        <f t="shared" ref="Y89" si="304">SUM(Y84:Y88)</f>
        <v>5.8323846639573886E-2</v>
      </c>
      <c r="Z89" s="190">
        <f t="shared" ref="Z89" si="305">SUM(Z84:Z88)</f>
        <v>5.8323846639573886E-2</v>
      </c>
      <c r="AA89" s="190">
        <f t="shared" ref="AA89" si="306">SUM(AA84:AA88)</f>
        <v>5.8323846639573886E-2</v>
      </c>
      <c r="AB89" s="190">
        <f t="shared" ref="AB89" si="307">SUM(AB84:AB88)</f>
        <v>5.8323846639573886E-2</v>
      </c>
      <c r="AC89" s="190">
        <f t="shared" ref="AC89" si="308">SUM(AC84:AC88)</f>
        <v>5.8323846639573886E-2</v>
      </c>
      <c r="AD89" s="190">
        <f t="shared" ref="AD89" si="309">SUM(AD84:AD88)</f>
        <v>5.8323846639573886E-2</v>
      </c>
      <c r="AE89" s="190">
        <f t="shared" ref="AE89" si="310">SUM(AE84:AE88)</f>
        <v>5.8323846639573886E-2</v>
      </c>
      <c r="AF89" s="190">
        <f t="shared" ref="AF89" si="311">SUM(AF84:AF88)</f>
        <v>0.47510582286568581</v>
      </c>
      <c r="AG89" s="190">
        <f t="shared" ref="AG89" si="312">SUM(AG84:AG88)</f>
        <v>9.305567799174988E-2</v>
      </c>
      <c r="AH89" s="190">
        <f t="shared" ref="AH89" si="313">SUM(AH84:AH88)</f>
        <v>8.2636128586097091E-2</v>
      </c>
      <c r="AI89" s="190">
        <f t="shared" ref="AI89" si="314">SUM(AI84:AI88)</f>
        <v>2.4312281946523198E-2</v>
      </c>
      <c r="AJ89" s="190">
        <f t="shared" ref="AJ89" si="315">SUM(AJ84:AJ88)</f>
        <v>2.4312281946523198E-2</v>
      </c>
      <c r="AK89" s="190">
        <f t="shared" ref="AK89" si="316">SUM(AK84:AK88)</f>
        <v>2.4312281946523198E-2</v>
      </c>
      <c r="AL89" s="190">
        <f t="shared" ref="AL89" si="317">SUM(AL84:AL88)</f>
        <v>2.4312281946523198E-2</v>
      </c>
      <c r="AM89" s="190">
        <f t="shared" ref="AM89" si="318">SUM(AM84:AM88)</f>
        <v>2.4312281946523198E-2</v>
      </c>
      <c r="AN89" s="190">
        <f t="shared" ref="AN89" si="319">SUM(AN84:AN88)</f>
        <v>2.4312281946523198E-2</v>
      </c>
      <c r="AO89" s="190">
        <f t="shared" ref="AO89" si="320">SUM(AO84:AO88)</f>
        <v>0.91844020254132719</v>
      </c>
      <c r="AP89" s="190">
        <f t="shared" ref="AP89" si="321">SUM(AP84:AP88)</f>
        <v>9.8822941996090194E-2</v>
      </c>
      <c r="AQ89" s="190">
        <f t="shared" ref="AQ89" si="322">SUM(AQ84:AQ88)</f>
        <v>7.6469743981220084E-2</v>
      </c>
      <c r="AR89" s="190">
        <f t="shared" ref="AR89" si="323">SUM(AR84:AR88)</f>
        <v>5.2157462034696893E-2</v>
      </c>
      <c r="AS89" s="190">
        <f t="shared" ref="AS89" si="324">SUM(AS84:AS88)</f>
        <v>5.2157462034696893E-2</v>
      </c>
      <c r="AT89" s="190">
        <f t="shared" ref="AT89" si="325">SUM(AT84:AT88)</f>
        <v>5.2157462034696893E-2</v>
      </c>
      <c r="AU89" s="190">
        <f t="shared" ref="AU89" si="326">SUM(AU84:AU88)</f>
        <v>5.2157462034696893E-2</v>
      </c>
      <c r="AV89" s="190">
        <f t="shared" ref="AV89" si="327">SUM(AV84:AV88)</f>
        <v>5.2157462034696893E-2</v>
      </c>
      <c r="AW89" s="190">
        <f t="shared" ref="AW89" si="328">SUM(AW84:AW88)</f>
        <v>5.2157462034696893E-2</v>
      </c>
      <c r="AX89" s="190">
        <f t="shared" ref="AX89" si="329">SUM(AX84:AX88)</f>
        <v>0.23844930621075688</v>
      </c>
      <c r="AY89" s="190">
        <f t="shared" ref="AY89" si="330">SUM(AY84:AY88)</f>
        <v>7.5443942556704391E-2</v>
      </c>
      <c r="AZ89" s="190">
        <f t="shared" ref="AZ89" si="331">SUM(AZ84:AZ88)</f>
        <v>5.991962220869939E-2</v>
      </c>
      <c r="BA89" s="190">
        <f t="shared" ref="BA89" si="332">SUM(BA84:BA88)</f>
        <v>7.7621601740024996E-3</v>
      </c>
      <c r="BB89" s="190">
        <f t="shared" ref="BB89" si="333">SUM(BB84:BB88)</f>
        <v>7.7621601740024996E-3</v>
      </c>
      <c r="BC89" s="190">
        <f t="shared" ref="BC89" si="334">SUM(BC84:BC88)</f>
        <v>7.7621601740024996E-3</v>
      </c>
      <c r="BD89" s="190">
        <f t="shared" ref="BD89" si="335">SUM(BD84:BD88)</f>
        <v>7.7621601740024996E-3</v>
      </c>
      <c r="BE89" s="190">
        <f t="shared" ref="BE89" si="336">SUM(BE84:BE88)</f>
        <v>7.7621601740024996E-3</v>
      </c>
      <c r="BF89" s="190">
        <f t="shared" ref="BF89" si="337">SUM(BF84:BF88)</f>
        <v>7.7621601740024996E-3</v>
      </c>
      <c r="BG89" s="190">
        <f t="shared" ref="BG89" si="338">SUM(BG84:BG88)</f>
        <v>7.7621601740024996E-3</v>
      </c>
      <c r="BH89" s="190">
        <f t="shared" ref="BH89" si="339">SUM(BH84:BH88)</f>
        <v>7.7621601740024996E-3</v>
      </c>
      <c r="BI89" s="190">
        <f t="shared" ref="BI89" si="340">SUM(BI84:BI88)</f>
        <v>7.7621601740024996E-3</v>
      </c>
      <c r="BJ89" s="190">
        <f t="shared" ref="BJ89" si="341">SUM(BJ84:BJ88)</f>
        <v>7.7621601740024996E-3</v>
      </c>
      <c r="BK89" s="190">
        <f t="shared" ref="BK89" si="342">SUM(BK84:BK88)</f>
        <v>7.7621601740024996E-3</v>
      </c>
      <c r="BL89" s="190">
        <f t="shared" ref="BL89" si="343">SUM(BL84:BL88)</f>
        <v>7.7621601740024996E-3</v>
      </c>
    </row>
    <row r="91" spans="2:64" x14ac:dyDescent="0.3">
      <c r="B91" s="56" t="s">
        <v>382</v>
      </c>
    </row>
    <row r="92" spans="2:64" ht="27.6" x14ac:dyDescent="0.3">
      <c r="C92" s="184" t="s">
        <v>208</v>
      </c>
      <c r="D92" s="184" t="s">
        <v>371</v>
      </c>
      <c r="E92" s="24" t="s">
        <v>372</v>
      </c>
      <c r="F92" s="184" t="s">
        <v>388</v>
      </c>
      <c r="G92" s="184" t="s">
        <v>373</v>
      </c>
      <c r="H92" s="184" t="s">
        <v>374</v>
      </c>
      <c r="I92" s="184" t="s">
        <v>375</v>
      </c>
      <c r="J92" s="187" t="s">
        <v>504</v>
      </c>
      <c r="K92" s="185">
        <f>K83</f>
        <v>45504</v>
      </c>
      <c r="L92" s="185">
        <f>EOMONTH(K92,1)</f>
        <v>45535</v>
      </c>
      <c r="M92" s="185">
        <f t="shared" ref="M92:BL92" si="344">EOMONTH(L92,1)</f>
        <v>45565</v>
      </c>
      <c r="N92" s="185">
        <f t="shared" si="344"/>
        <v>45596</v>
      </c>
      <c r="O92" s="185">
        <f t="shared" si="344"/>
        <v>45626</v>
      </c>
      <c r="P92" s="185">
        <f t="shared" si="344"/>
        <v>45657</v>
      </c>
      <c r="Q92" s="185">
        <f t="shared" si="344"/>
        <v>45688</v>
      </c>
      <c r="R92" s="185">
        <f t="shared" si="344"/>
        <v>45716</v>
      </c>
      <c r="S92" s="185">
        <f t="shared" si="344"/>
        <v>45747</v>
      </c>
      <c r="T92" s="185">
        <f t="shared" si="344"/>
        <v>45777</v>
      </c>
      <c r="U92" s="185">
        <f t="shared" si="344"/>
        <v>45808</v>
      </c>
      <c r="V92" s="185">
        <f t="shared" si="344"/>
        <v>45838</v>
      </c>
      <c r="W92" s="185">
        <f t="shared" si="344"/>
        <v>45869</v>
      </c>
      <c r="X92" s="185">
        <f t="shared" si="344"/>
        <v>45900</v>
      </c>
      <c r="Y92" s="185">
        <f t="shared" si="344"/>
        <v>45930</v>
      </c>
      <c r="Z92" s="185">
        <f t="shared" si="344"/>
        <v>45961</v>
      </c>
      <c r="AA92" s="185">
        <f t="shared" si="344"/>
        <v>45991</v>
      </c>
      <c r="AB92" s="185">
        <f t="shared" si="344"/>
        <v>46022</v>
      </c>
      <c r="AC92" s="185">
        <f t="shared" si="344"/>
        <v>46053</v>
      </c>
      <c r="AD92" s="185">
        <f t="shared" si="344"/>
        <v>46081</v>
      </c>
      <c r="AE92" s="185">
        <f t="shared" si="344"/>
        <v>46112</v>
      </c>
      <c r="AF92" s="185">
        <f t="shared" si="344"/>
        <v>46142</v>
      </c>
      <c r="AG92" s="185">
        <f t="shared" si="344"/>
        <v>46173</v>
      </c>
      <c r="AH92" s="185">
        <f t="shared" si="344"/>
        <v>46203</v>
      </c>
      <c r="AI92" s="185">
        <f t="shared" si="344"/>
        <v>46234</v>
      </c>
      <c r="AJ92" s="185">
        <f t="shared" si="344"/>
        <v>46265</v>
      </c>
      <c r="AK92" s="185">
        <f t="shared" si="344"/>
        <v>46295</v>
      </c>
      <c r="AL92" s="185">
        <f t="shared" si="344"/>
        <v>46326</v>
      </c>
      <c r="AM92" s="185">
        <f t="shared" si="344"/>
        <v>46356</v>
      </c>
      <c r="AN92" s="185">
        <f t="shared" si="344"/>
        <v>46387</v>
      </c>
      <c r="AO92" s="185">
        <f t="shared" si="344"/>
        <v>46418</v>
      </c>
      <c r="AP92" s="185">
        <f t="shared" si="344"/>
        <v>46446</v>
      </c>
      <c r="AQ92" s="185">
        <f t="shared" si="344"/>
        <v>46477</v>
      </c>
      <c r="AR92" s="185">
        <f t="shared" si="344"/>
        <v>46507</v>
      </c>
      <c r="AS92" s="185">
        <f t="shared" si="344"/>
        <v>46538</v>
      </c>
      <c r="AT92" s="185">
        <f t="shared" si="344"/>
        <v>46568</v>
      </c>
      <c r="AU92" s="185">
        <f t="shared" si="344"/>
        <v>46599</v>
      </c>
      <c r="AV92" s="185">
        <f t="shared" si="344"/>
        <v>46630</v>
      </c>
      <c r="AW92" s="185">
        <f t="shared" si="344"/>
        <v>46660</v>
      </c>
      <c r="AX92" s="185">
        <f t="shared" si="344"/>
        <v>46691</v>
      </c>
      <c r="AY92" s="185">
        <f t="shared" si="344"/>
        <v>46721</v>
      </c>
      <c r="AZ92" s="185">
        <f t="shared" si="344"/>
        <v>46752</v>
      </c>
      <c r="BA92" s="185">
        <f t="shared" si="344"/>
        <v>46783</v>
      </c>
      <c r="BB92" s="185">
        <f t="shared" si="344"/>
        <v>46812</v>
      </c>
      <c r="BC92" s="185">
        <f t="shared" si="344"/>
        <v>46843</v>
      </c>
      <c r="BD92" s="185">
        <f t="shared" si="344"/>
        <v>46873</v>
      </c>
      <c r="BE92" s="185">
        <f t="shared" si="344"/>
        <v>46904</v>
      </c>
      <c r="BF92" s="185">
        <f t="shared" si="344"/>
        <v>46934</v>
      </c>
      <c r="BG92" s="185">
        <f t="shared" si="344"/>
        <v>46965</v>
      </c>
      <c r="BH92" s="185">
        <f t="shared" si="344"/>
        <v>46996</v>
      </c>
      <c r="BI92" s="185">
        <f t="shared" si="344"/>
        <v>47026</v>
      </c>
      <c r="BJ92" s="185">
        <f t="shared" si="344"/>
        <v>47057</v>
      </c>
      <c r="BK92" s="185">
        <f t="shared" si="344"/>
        <v>47087</v>
      </c>
      <c r="BL92" s="185">
        <f t="shared" si="344"/>
        <v>47118</v>
      </c>
    </row>
    <row r="93" spans="2:64" x14ac:dyDescent="0.3">
      <c r="C93" s="130" t="s">
        <v>230</v>
      </c>
      <c r="D93" s="45">
        <f>D84</f>
        <v>243028.41058999998</v>
      </c>
      <c r="E93" s="45">
        <f>E84</f>
        <v>255179.83111949998</v>
      </c>
      <c r="F93" s="191">
        <f>'Assumption Sheet'!$B$51</f>
        <v>0.05</v>
      </c>
      <c r="G93" s="188">
        <f>G84</f>
        <v>45474</v>
      </c>
      <c r="H93" s="188">
        <f>H84</f>
        <v>45838</v>
      </c>
      <c r="I93" s="45">
        <f>'Assumption Sheet'!$F$28</f>
        <v>12</v>
      </c>
      <c r="J93" s="186">
        <f>SUM(K93:BL93)</f>
        <v>3.1215298141411361</v>
      </c>
      <c r="K93" s="186">
        <f>(($F93*(K84+K68+K52+K36+K20)))</f>
        <v>0.2973363493151433</v>
      </c>
      <c r="L93" s="186">
        <f t="shared" ref="L93:BL97" si="345">(($F93*(L84+L68+L52+L36+L20)))</f>
        <v>0.27367753354420682</v>
      </c>
      <c r="M93" s="186">
        <f t="shared" si="345"/>
        <v>0.25505159312817866</v>
      </c>
      <c r="N93" s="186">
        <f t="shared" si="345"/>
        <v>0.25505159312817866</v>
      </c>
      <c r="O93" s="186">
        <f t="shared" si="345"/>
        <v>0.25505159312817866</v>
      </c>
      <c r="P93" s="186">
        <f t="shared" si="345"/>
        <v>0.25505159312817866</v>
      </c>
      <c r="Q93" s="186">
        <f t="shared" si="345"/>
        <v>0.25505159312817866</v>
      </c>
      <c r="R93" s="186">
        <f t="shared" si="345"/>
        <v>0.25505159312817866</v>
      </c>
      <c r="S93" s="186">
        <f t="shared" si="345"/>
        <v>0.25505159312817866</v>
      </c>
      <c r="T93" s="186">
        <f t="shared" si="345"/>
        <v>0.25505159312817866</v>
      </c>
      <c r="U93" s="186">
        <f t="shared" si="345"/>
        <v>0.25505159312817866</v>
      </c>
      <c r="V93" s="186">
        <f t="shared" si="345"/>
        <v>0.25505159312817866</v>
      </c>
      <c r="W93" s="186">
        <f t="shared" si="345"/>
        <v>0</v>
      </c>
      <c r="X93" s="186">
        <f t="shared" si="345"/>
        <v>0</v>
      </c>
      <c r="Y93" s="186">
        <f t="shared" si="345"/>
        <v>0</v>
      </c>
      <c r="Z93" s="186">
        <f t="shared" si="345"/>
        <v>0</v>
      </c>
      <c r="AA93" s="186">
        <f t="shared" si="345"/>
        <v>0</v>
      </c>
      <c r="AB93" s="186">
        <f t="shared" si="345"/>
        <v>0</v>
      </c>
      <c r="AC93" s="186">
        <f t="shared" si="345"/>
        <v>0</v>
      </c>
      <c r="AD93" s="186">
        <f t="shared" si="345"/>
        <v>0</v>
      </c>
      <c r="AE93" s="186">
        <f t="shared" si="345"/>
        <v>0</v>
      </c>
      <c r="AF93" s="186">
        <f t="shared" si="345"/>
        <v>0</v>
      </c>
      <c r="AG93" s="186">
        <f t="shared" si="345"/>
        <v>0</v>
      </c>
      <c r="AH93" s="186">
        <f t="shared" si="345"/>
        <v>0</v>
      </c>
      <c r="AI93" s="186">
        <f t="shared" si="345"/>
        <v>0</v>
      </c>
      <c r="AJ93" s="186">
        <f t="shared" si="345"/>
        <v>0</v>
      </c>
      <c r="AK93" s="186">
        <f t="shared" si="345"/>
        <v>0</v>
      </c>
      <c r="AL93" s="186">
        <f t="shared" si="345"/>
        <v>0</v>
      </c>
      <c r="AM93" s="186">
        <f t="shared" si="345"/>
        <v>0</v>
      </c>
      <c r="AN93" s="186">
        <f t="shared" si="345"/>
        <v>0</v>
      </c>
      <c r="AO93" s="186">
        <f t="shared" si="345"/>
        <v>0</v>
      </c>
      <c r="AP93" s="186">
        <f t="shared" si="345"/>
        <v>0</v>
      </c>
      <c r="AQ93" s="186">
        <f t="shared" si="345"/>
        <v>0</v>
      </c>
      <c r="AR93" s="186">
        <f t="shared" si="345"/>
        <v>0</v>
      </c>
      <c r="AS93" s="186">
        <f t="shared" si="345"/>
        <v>0</v>
      </c>
      <c r="AT93" s="186">
        <f t="shared" si="345"/>
        <v>0</v>
      </c>
      <c r="AU93" s="186">
        <f t="shared" si="345"/>
        <v>0</v>
      </c>
      <c r="AV93" s="186">
        <f t="shared" si="345"/>
        <v>0</v>
      </c>
      <c r="AW93" s="186">
        <f t="shared" si="345"/>
        <v>0</v>
      </c>
      <c r="AX93" s="186">
        <f t="shared" si="345"/>
        <v>0</v>
      </c>
      <c r="AY93" s="186">
        <f t="shared" si="345"/>
        <v>0</v>
      </c>
      <c r="AZ93" s="186">
        <f t="shared" si="345"/>
        <v>0</v>
      </c>
      <c r="BA93" s="186">
        <f t="shared" si="345"/>
        <v>0</v>
      </c>
      <c r="BB93" s="186">
        <f t="shared" si="345"/>
        <v>0</v>
      </c>
      <c r="BC93" s="186">
        <f t="shared" si="345"/>
        <v>0</v>
      </c>
      <c r="BD93" s="186">
        <f t="shared" si="345"/>
        <v>0</v>
      </c>
      <c r="BE93" s="186">
        <f t="shared" si="345"/>
        <v>0</v>
      </c>
      <c r="BF93" s="186">
        <f t="shared" si="345"/>
        <v>0</v>
      </c>
      <c r="BG93" s="186">
        <f t="shared" si="345"/>
        <v>0</v>
      </c>
      <c r="BH93" s="186">
        <f t="shared" si="345"/>
        <v>0</v>
      </c>
      <c r="BI93" s="186">
        <f t="shared" si="345"/>
        <v>0</v>
      </c>
      <c r="BJ93" s="186">
        <f t="shared" si="345"/>
        <v>0</v>
      </c>
      <c r="BK93" s="186">
        <f t="shared" si="345"/>
        <v>0</v>
      </c>
      <c r="BL93" s="186">
        <f t="shared" si="345"/>
        <v>0</v>
      </c>
    </row>
    <row r="94" spans="2:64" x14ac:dyDescent="0.3">
      <c r="C94" s="130" t="s">
        <v>231</v>
      </c>
      <c r="D94" s="45">
        <f t="shared" ref="D94:E97" si="346">D85</f>
        <v>470733.22550099995</v>
      </c>
      <c r="E94" s="45">
        <f t="shared" si="346"/>
        <v>494269.88677604997</v>
      </c>
      <c r="F94" s="191">
        <f>'Assumption Sheet'!$B$51</f>
        <v>0.05</v>
      </c>
      <c r="G94" s="188">
        <f t="shared" ref="G94:H97" si="347">G85</f>
        <v>45839</v>
      </c>
      <c r="H94" s="188">
        <f t="shared" si="347"/>
        <v>46203</v>
      </c>
      <c r="I94" s="45">
        <f>'Assumption Sheet'!$F$29</f>
        <v>12</v>
      </c>
      <c r="J94" s="186">
        <f t="shared" ref="J94:J97" si="348">SUM(K94:BL94)</f>
        <v>6.0462387683024916</v>
      </c>
      <c r="K94" s="186">
        <f t="shared" ref="K94:Z97" si="349">(($F94*(K85+K69+K53+K37+K21)))</f>
        <v>0</v>
      </c>
      <c r="L94" s="186">
        <f t="shared" si="349"/>
        <v>0</v>
      </c>
      <c r="M94" s="186">
        <f t="shared" si="349"/>
        <v>0</v>
      </c>
      <c r="N94" s="186">
        <f t="shared" si="349"/>
        <v>0</v>
      </c>
      <c r="O94" s="186">
        <f t="shared" si="349"/>
        <v>0</v>
      </c>
      <c r="P94" s="186">
        <f t="shared" si="349"/>
        <v>0</v>
      </c>
      <c r="Q94" s="186">
        <f t="shared" si="349"/>
        <v>0</v>
      </c>
      <c r="R94" s="186">
        <f t="shared" si="349"/>
        <v>0</v>
      </c>
      <c r="S94" s="186">
        <f t="shared" si="349"/>
        <v>0</v>
      </c>
      <c r="T94" s="186">
        <f t="shared" si="349"/>
        <v>0</v>
      </c>
      <c r="U94" s="186">
        <f t="shared" si="349"/>
        <v>0</v>
      </c>
      <c r="V94" s="186">
        <f t="shared" si="349"/>
        <v>0</v>
      </c>
      <c r="W94" s="186">
        <f t="shared" si="349"/>
        <v>0.57592484118220499</v>
      </c>
      <c r="X94" s="186">
        <f t="shared" si="349"/>
        <v>0.53009896167968262</v>
      </c>
      <c r="Y94" s="186">
        <f t="shared" si="349"/>
        <v>0.49402149654406052</v>
      </c>
      <c r="Z94" s="186">
        <f t="shared" si="349"/>
        <v>0.49402149654406052</v>
      </c>
      <c r="AA94" s="186">
        <f t="shared" si="345"/>
        <v>0.49402149654406052</v>
      </c>
      <c r="AB94" s="186">
        <f t="shared" si="345"/>
        <v>0.49402149654406052</v>
      </c>
      <c r="AC94" s="186">
        <f t="shared" si="345"/>
        <v>0.49402149654406052</v>
      </c>
      <c r="AD94" s="186">
        <f t="shared" si="345"/>
        <v>0.49402149654406052</v>
      </c>
      <c r="AE94" s="186">
        <f t="shared" si="345"/>
        <v>0.49402149654406052</v>
      </c>
      <c r="AF94" s="186">
        <f t="shared" si="345"/>
        <v>0.49402149654406052</v>
      </c>
      <c r="AG94" s="186">
        <f t="shared" si="345"/>
        <v>0.49402149654406052</v>
      </c>
      <c r="AH94" s="186">
        <f t="shared" si="345"/>
        <v>0.49402149654406052</v>
      </c>
      <c r="AI94" s="186">
        <f t="shared" si="345"/>
        <v>0</v>
      </c>
      <c r="AJ94" s="186">
        <f t="shared" si="345"/>
        <v>0</v>
      </c>
      <c r="AK94" s="186">
        <f t="shared" si="345"/>
        <v>0</v>
      </c>
      <c r="AL94" s="186">
        <f t="shared" si="345"/>
        <v>0</v>
      </c>
      <c r="AM94" s="186">
        <f t="shared" si="345"/>
        <v>0</v>
      </c>
      <c r="AN94" s="186">
        <f t="shared" si="345"/>
        <v>0</v>
      </c>
      <c r="AO94" s="186">
        <f t="shared" si="345"/>
        <v>0</v>
      </c>
      <c r="AP94" s="186">
        <f t="shared" si="345"/>
        <v>0</v>
      </c>
      <c r="AQ94" s="186">
        <f t="shared" si="345"/>
        <v>0</v>
      </c>
      <c r="AR94" s="186">
        <f t="shared" si="345"/>
        <v>0</v>
      </c>
      <c r="AS94" s="186">
        <f t="shared" si="345"/>
        <v>0</v>
      </c>
      <c r="AT94" s="186">
        <f t="shared" si="345"/>
        <v>0</v>
      </c>
      <c r="AU94" s="186">
        <f t="shared" si="345"/>
        <v>0</v>
      </c>
      <c r="AV94" s="186">
        <f t="shared" si="345"/>
        <v>0</v>
      </c>
      <c r="AW94" s="186">
        <f t="shared" si="345"/>
        <v>0</v>
      </c>
      <c r="AX94" s="186">
        <f t="shared" si="345"/>
        <v>0</v>
      </c>
      <c r="AY94" s="186">
        <f t="shared" si="345"/>
        <v>0</v>
      </c>
      <c r="AZ94" s="186">
        <f t="shared" si="345"/>
        <v>0</v>
      </c>
      <c r="BA94" s="186">
        <f t="shared" si="345"/>
        <v>0</v>
      </c>
      <c r="BB94" s="186">
        <f t="shared" si="345"/>
        <v>0</v>
      </c>
      <c r="BC94" s="186">
        <f t="shared" si="345"/>
        <v>0</v>
      </c>
      <c r="BD94" s="186">
        <f t="shared" si="345"/>
        <v>0</v>
      </c>
      <c r="BE94" s="186">
        <f t="shared" si="345"/>
        <v>0</v>
      </c>
      <c r="BF94" s="186">
        <f t="shared" si="345"/>
        <v>0</v>
      </c>
      <c r="BG94" s="186">
        <f t="shared" si="345"/>
        <v>0</v>
      </c>
      <c r="BH94" s="186">
        <f t="shared" si="345"/>
        <v>0</v>
      </c>
      <c r="BI94" s="186">
        <f t="shared" si="345"/>
        <v>0</v>
      </c>
      <c r="BJ94" s="186">
        <f t="shared" si="345"/>
        <v>0</v>
      </c>
      <c r="BK94" s="186">
        <f t="shared" si="345"/>
        <v>0</v>
      </c>
      <c r="BL94" s="186">
        <f t="shared" si="345"/>
        <v>0</v>
      </c>
    </row>
    <row r="95" spans="2:64" x14ac:dyDescent="0.3">
      <c r="C95" s="130" t="s">
        <v>232</v>
      </c>
      <c r="D95" s="45">
        <f t="shared" si="346"/>
        <v>196225.03588799998</v>
      </c>
      <c r="E95" s="45">
        <f t="shared" si="346"/>
        <v>206036.2876824</v>
      </c>
      <c r="F95" s="191">
        <f>'Assumption Sheet'!$B$51</f>
        <v>0.05</v>
      </c>
      <c r="G95" s="188">
        <f t="shared" si="347"/>
        <v>46113</v>
      </c>
      <c r="H95" s="188">
        <f t="shared" si="347"/>
        <v>46477</v>
      </c>
      <c r="I95" s="45">
        <f>'Assumption Sheet'!$F$30</f>
        <v>12</v>
      </c>
      <c r="J95" s="186">
        <f t="shared" si="348"/>
        <v>2.5203732284562381</v>
      </c>
      <c r="K95" s="186">
        <f t="shared" si="349"/>
        <v>0</v>
      </c>
      <c r="L95" s="186">
        <f t="shared" si="345"/>
        <v>0</v>
      </c>
      <c r="M95" s="186">
        <f t="shared" si="345"/>
        <v>0</v>
      </c>
      <c r="N95" s="186">
        <f t="shared" si="345"/>
        <v>0</v>
      </c>
      <c r="O95" s="186">
        <f t="shared" si="345"/>
        <v>0</v>
      </c>
      <c r="P95" s="186">
        <f t="shared" si="345"/>
        <v>0</v>
      </c>
      <c r="Q95" s="186">
        <f t="shared" si="345"/>
        <v>0</v>
      </c>
      <c r="R95" s="186">
        <f t="shared" si="345"/>
        <v>0</v>
      </c>
      <c r="S95" s="186">
        <f t="shared" si="345"/>
        <v>0</v>
      </c>
      <c r="T95" s="186">
        <f t="shared" si="345"/>
        <v>0</v>
      </c>
      <c r="U95" s="186">
        <f t="shared" si="345"/>
        <v>0</v>
      </c>
      <c r="V95" s="186">
        <f t="shared" si="345"/>
        <v>0</v>
      </c>
      <c r="W95" s="186">
        <f t="shared" si="345"/>
        <v>0</v>
      </c>
      <c r="X95" s="186">
        <f t="shared" si="345"/>
        <v>0</v>
      </c>
      <c r="Y95" s="186">
        <f t="shared" si="345"/>
        <v>0</v>
      </c>
      <c r="Z95" s="186">
        <f t="shared" si="345"/>
        <v>0</v>
      </c>
      <c r="AA95" s="186">
        <f t="shared" si="345"/>
        <v>0</v>
      </c>
      <c r="AB95" s="186">
        <f t="shared" si="345"/>
        <v>0</v>
      </c>
      <c r="AC95" s="186">
        <f t="shared" si="345"/>
        <v>0</v>
      </c>
      <c r="AD95" s="186">
        <f t="shared" si="345"/>
        <v>0</v>
      </c>
      <c r="AE95" s="186">
        <f t="shared" si="345"/>
        <v>0</v>
      </c>
      <c r="AF95" s="186">
        <f t="shared" si="345"/>
        <v>0.24007413649098541</v>
      </c>
      <c r="AG95" s="186">
        <f t="shared" si="345"/>
        <v>0.22097162924728864</v>
      </c>
      <c r="AH95" s="186">
        <f t="shared" si="345"/>
        <v>0.20593274627179642</v>
      </c>
      <c r="AI95" s="186">
        <f t="shared" si="345"/>
        <v>0.20593274627179642</v>
      </c>
      <c r="AJ95" s="186">
        <f t="shared" si="345"/>
        <v>0.20593274627179642</v>
      </c>
      <c r="AK95" s="186">
        <f t="shared" si="345"/>
        <v>0.20593274627179642</v>
      </c>
      <c r="AL95" s="186">
        <f t="shared" si="345"/>
        <v>0.20593274627179642</v>
      </c>
      <c r="AM95" s="186">
        <f t="shared" si="345"/>
        <v>0.20593274627179642</v>
      </c>
      <c r="AN95" s="186">
        <f t="shared" si="345"/>
        <v>0.20593274627179642</v>
      </c>
      <c r="AO95" s="186">
        <f t="shared" si="345"/>
        <v>0.20593274627179642</v>
      </c>
      <c r="AP95" s="186">
        <f t="shared" si="345"/>
        <v>0.20593274627179642</v>
      </c>
      <c r="AQ95" s="186">
        <f t="shared" si="345"/>
        <v>0.20593274627179642</v>
      </c>
      <c r="AR95" s="186">
        <f t="shared" si="345"/>
        <v>0</v>
      </c>
      <c r="AS95" s="186">
        <f t="shared" si="345"/>
        <v>0</v>
      </c>
      <c r="AT95" s="186">
        <f t="shared" si="345"/>
        <v>0</v>
      </c>
      <c r="AU95" s="186">
        <f t="shared" si="345"/>
        <v>0</v>
      </c>
      <c r="AV95" s="186">
        <f t="shared" si="345"/>
        <v>0</v>
      </c>
      <c r="AW95" s="186">
        <f t="shared" si="345"/>
        <v>0</v>
      </c>
      <c r="AX95" s="186">
        <f t="shared" si="345"/>
        <v>0</v>
      </c>
      <c r="AY95" s="186">
        <f t="shared" si="345"/>
        <v>0</v>
      </c>
      <c r="AZ95" s="186">
        <f t="shared" si="345"/>
        <v>0</v>
      </c>
      <c r="BA95" s="186">
        <f t="shared" si="345"/>
        <v>0</v>
      </c>
      <c r="BB95" s="186">
        <f t="shared" si="345"/>
        <v>0</v>
      </c>
      <c r="BC95" s="186">
        <f t="shared" si="345"/>
        <v>0</v>
      </c>
      <c r="BD95" s="186">
        <f t="shared" si="345"/>
        <v>0</v>
      </c>
      <c r="BE95" s="186">
        <f t="shared" si="345"/>
        <v>0</v>
      </c>
      <c r="BF95" s="186">
        <f t="shared" si="345"/>
        <v>0</v>
      </c>
      <c r="BG95" s="186">
        <f t="shared" si="345"/>
        <v>0</v>
      </c>
      <c r="BH95" s="186">
        <f t="shared" si="345"/>
        <v>0</v>
      </c>
      <c r="BI95" s="186">
        <f t="shared" si="345"/>
        <v>0</v>
      </c>
      <c r="BJ95" s="186">
        <f t="shared" si="345"/>
        <v>0</v>
      </c>
      <c r="BK95" s="186">
        <f t="shared" si="345"/>
        <v>0</v>
      </c>
      <c r="BL95" s="186">
        <f t="shared" si="345"/>
        <v>0</v>
      </c>
    </row>
    <row r="96" spans="2:64" x14ac:dyDescent="0.3">
      <c r="C96" s="130" t="s">
        <v>234</v>
      </c>
      <c r="D96" s="45">
        <f t="shared" si="346"/>
        <v>420964.181071</v>
      </c>
      <c r="E96" s="45">
        <f t="shared" si="346"/>
        <v>442012.39012455003</v>
      </c>
      <c r="F96" s="191">
        <f>'Assumption Sheet'!$B$51</f>
        <v>0.05</v>
      </c>
      <c r="G96" s="188">
        <f t="shared" si="347"/>
        <v>46388</v>
      </c>
      <c r="H96" s="188">
        <f t="shared" si="347"/>
        <v>46752</v>
      </c>
      <c r="I96" s="45">
        <f>'Assumption Sheet'!$F$31</f>
        <v>12</v>
      </c>
      <c r="J96" s="186">
        <f t="shared" si="348"/>
        <v>5.4069902309302433</v>
      </c>
      <c r="K96" s="186">
        <f t="shared" si="349"/>
        <v>0</v>
      </c>
      <c r="L96" s="186">
        <f t="shared" si="345"/>
        <v>0</v>
      </c>
      <c r="M96" s="186">
        <f t="shared" si="345"/>
        <v>0</v>
      </c>
      <c r="N96" s="186">
        <f t="shared" si="345"/>
        <v>0</v>
      </c>
      <c r="O96" s="186">
        <f t="shared" si="345"/>
        <v>0</v>
      </c>
      <c r="P96" s="186">
        <f t="shared" si="345"/>
        <v>0</v>
      </c>
      <c r="Q96" s="186">
        <f t="shared" si="345"/>
        <v>0</v>
      </c>
      <c r="R96" s="186">
        <f t="shared" si="345"/>
        <v>0</v>
      </c>
      <c r="S96" s="186">
        <f t="shared" si="345"/>
        <v>0</v>
      </c>
      <c r="T96" s="186">
        <f t="shared" si="345"/>
        <v>0</v>
      </c>
      <c r="U96" s="186">
        <f t="shared" si="345"/>
        <v>0</v>
      </c>
      <c r="V96" s="186">
        <f t="shared" si="345"/>
        <v>0</v>
      </c>
      <c r="W96" s="186">
        <f t="shared" si="345"/>
        <v>0</v>
      </c>
      <c r="X96" s="186">
        <f t="shared" si="345"/>
        <v>0</v>
      </c>
      <c r="Y96" s="186">
        <f t="shared" si="345"/>
        <v>0</v>
      </c>
      <c r="Z96" s="186">
        <f t="shared" si="345"/>
        <v>0</v>
      </c>
      <c r="AA96" s="186">
        <f t="shared" si="345"/>
        <v>0</v>
      </c>
      <c r="AB96" s="186">
        <f t="shared" si="345"/>
        <v>0</v>
      </c>
      <c r="AC96" s="186">
        <f t="shared" si="345"/>
        <v>0</v>
      </c>
      <c r="AD96" s="186">
        <f t="shared" si="345"/>
        <v>0</v>
      </c>
      <c r="AE96" s="186">
        <f t="shared" si="345"/>
        <v>0</v>
      </c>
      <c r="AF96" s="186">
        <f t="shared" si="345"/>
        <v>0</v>
      </c>
      <c r="AG96" s="186">
        <f t="shared" si="345"/>
        <v>0</v>
      </c>
      <c r="AH96" s="186">
        <f t="shared" si="345"/>
        <v>0</v>
      </c>
      <c r="AI96" s="186">
        <f t="shared" si="345"/>
        <v>0</v>
      </c>
      <c r="AJ96" s="186">
        <f t="shared" si="345"/>
        <v>0</v>
      </c>
      <c r="AK96" s="186">
        <f t="shared" si="345"/>
        <v>0</v>
      </c>
      <c r="AL96" s="186">
        <f t="shared" si="345"/>
        <v>0</v>
      </c>
      <c r="AM96" s="186">
        <f t="shared" si="345"/>
        <v>0</v>
      </c>
      <c r="AN96" s="186">
        <f t="shared" si="345"/>
        <v>0</v>
      </c>
      <c r="AO96" s="186">
        <f t="shared" si="345"/>
        <v>0.51503424018706256</v>
      </c>
      <c r="AP96" s="186">
        <f t="shared" si="345"/>
        <v>0.47405337715980062</v>
      </c>
      <c r="AQ96" s="186">
        <f t="shared" si="345"/>
        <v>0.44179026135833815</v>
      </c>
      <c r="AR96" s="186">
        <f t="shared" si="345"/>
        <v>0.44179026135833815</v>
      </c>
      <c r="AS96" s="186">
        <f t="shared" si="345"/>
        <v>0.44179026135833815</v>
      </c>
      <c r="AT96" s="186">
        <f t="shared" si="345"/>
        <v>0.44179026135833815</v>
      </c>
      <c r="AU96" s="186">
        <f t="shared" si="345"/>
        <v>0.44179026135833815</v>
      </c>
      <c r="AV96" s="186">
        <f t="shared" si="345"/>
        <v>0.44179026135833815</v>
      </c>
      <c r="AW96" s="186">
        <f t="shared" si="345"/>
        <v>0.44179026135833815</v>
      </c>
      <c r="AX96" s="186">
        <f t="shared" si="345"/>
        <v>0.44179026135833815</v>
      </c>
      <c r="AY96" s="186">
        <f t="shared" si="345"/>
        <v>0.44179026135833815</v>
      </c>
      <c r="AZ96" s="186">
        <f t="shared" si="345"/>
        <v>0.44179026135833815</v>
      </c>
      <c r="BA96" s="186">
        <f t="shared" si="345"/>
        <v>0</v>
      </c>
      <c r="BB96" s="186">
        <f t="shared" si="345"/>
        <v>0</v>
      </c>
      <c r="BC96" s="186">
        <f t="shared" si="345"/>
        <v>0</v>
      </c>
      <c r="BD96" s="186">
        <f t="shared" si="345"/>
        <v>0</v>
      </c>
      <c r="BE96" s="186">
        <f t="shared" si="345"/>
        <v>0</v>
      </c>
      <c r="BF96" s="186">
        <f t="shared" si="345"/>
        <v>0</v>
      </c>
      <c r="BG96" s="186">
        <f t="shared" si="345"/>
        <v>0</v>
      </c>
      <c r="BH96" s="186">
        <f t="shared" si="345"/>
        <v>0</v>
      </c>
      <c r="BI96" s="186">
        <f t="shared" si="345"/>
        <v>0</v>
      </c>
      <c r="BJ96" s="186">
        <f t="shared" si="345"/>
        <v>0</v>
      </c>
      <c r="BK96" s="186">
        <f t="shared" si="345"/>
        <v>0</v>
      </c>
      <c r="BL96" s="186">
        <f t="shared" si="345"/>
        <v>0</v>
      </c>
    </row>
    <row r="97" spans="2:64" x14ac:dyDescent="0.3">
      <c r="C97" s="130" t="s">
        <v>259</v>
      </c>
      <c r="D97" s="45">
        <f t="shared" si="346"/>
        <v>87708.024565</v>
      </c>
      <c r="E97" s="45">
        <f t="shared" si="346"/>
        <v>92093.425793250004</v>
      </c>
      <c r="F97" s="191">
        <f>'Assumption Sheet'!$B$51</f>
        <v>0.05</v>
      </c>
      <c r="G97" s="188">
        <f t="shared" si="347"/>
        <v>46661</v>
      </c>
      <c r="H97" s="188">
        <f t="shared" si="347"/>
        <v>47118</v>
      </c>
      <c r="I97" s="45">
        <f>'Assumption Sheet'!$F$32</f>
        <v>15</v>
      </c>
      <c r="J97" s="186">
        <f t="shared" si="348"/>
        <v>1.1265481799202293</v>
      </c>
      <c r="K97" s="186">
        <f t="shared" si="349"/>
        <v>0</v>
      </c>
      <c r="L97" s="186">
        <f t="shared" si="345"/>
        <v>0</v>
      </c>
      <c r="M97" s="186">
        <f t="shared" si="345"/>
        <v>0</v>
      </c>
      <c r="N97" s="186">
        <f t="shared" si="345"/>
        <v>0</v>
      </c>
      <c r="O97" s="186">
        <f t="shared" si="345"/>
        <v>0</v>
      </c>
      <c r="P97" s="186">
        <f t="shared" si="345"/>
        <v>0</v>
      </c>
      <c r="Q97" s="186">
        <f t="shared" si="345"/>
        <v>0</v>
      </c>
      <c r="R97" s="186">
        <f t="shared" si="345"/>
        <v>0</v>
      </c>
      <c r="S97" s="186">
        <f t="shared" si="345"/>
        <v>0</v>
      </c>
      <c r="T97" s="186">
        <f t="shared" si="345"/>
        <v>0</v>
      </c>
      <c r="U97" s="186">
        <f t="shared" si="345"/>
        <v>0</v>
      </c>
      <c r="V97" s="186">
        <f t="shared" si="345"/>
        <v>0</v>
      </c>
      <c r="W97" s="186">
        <f t="shared" si="345"/>
        <v>0</v>
      </c>
      <c r="X97" s="186">
        <f t="shared" si="345"/>
        <v>0</v>
      </c>
      <c r="Y97" s="186">
        <f t="shared" si="345"/>
        <v>0</v>
      </c>
      <c r="Z97" s="186">
        <f t="shared" si="345"/>
        <v>0</v>
      </c>
      <c r="AA97" s="186">
        <f t="shared" si="345"/>
        <v>0</v>
      </c>
      <c r="AB97" s="186">
        <f t="shared" si="345"/>
        <v>0</v>
      </c>
      <c r="AC97" s="186">
        <f t="shared" si="345"/>
        <v>0</v>
      </c>
      <c r="AD97" s="186">
        <f t="shared" si="345"/>
        <v>0</v>
      </c>
      <c r="AE97" s="186">
        <f t="shared" si="345"/>
        <v>0</v>
      </c>
      <c r="AF97" s="186">
        <f t="shared" si="345"/>
        <v>0</v>
      </c>
      <c r="AG97" s="186">
        <f t="shared" si="345"/>
        <v>0</v>
      </c>
      <c r="AH97" s="186">
        <f t="shared" si="345"/>
        <v>0</v>
      </c>
      <c r="AI97" s="186">
        <f t="shared" si="345"/>
        <v>0</v>
      </c>
      <c r="AJ97" s="186">
        <f t="shared" si="345"/>
        <v>0</v>
      </c>
      <c r="AK97" s="186">
        <f t="shared" si="345"/>
        <v>0</v>
      </c>
      <c r="AL97" s="186">
        <f t="shared" si="345"/>
        <v>0</v>
      </c>
      <c r="AM97" s="186">
        <f t="shared" si="345"/>
        <v>0</v>
      </c>
      <c r="AN97" s="186">
        <f t="shared" si="345"/>
        <v>0</v>
      </c>
      <c r="AO97" s="186">
        <f t="shared" si="345"/>
        <v>0</v>
      </c>
      <c r="AP97" s="186">
        <f t="shared" si="345"/>
        <v>0</v>
      </c>
      <c r="AQ97" s="186">
        <f t="shared" si="345"/>
        <v>0</v>
      </c>
      <c r="AR97" s="186">
        <f t="shared" si="345"/>
        <v>0</v>
      </c>
      <c r="AS97" s="186">
        <f t="shared" si="345"/>
        <v>0</v>
      </c>
      <c r="AT97" s="186">
        <f t="shared" si="345"/>
        <v>0</v>
      </c>
      <c r="AU97" s="186">
        <f t="shared" si="345"/>
        <v>0</v>
      </c>
      <c r="AV97" s="186">
        <f t="shared" si="345"/>
        <v>0</v>
      </c>
      <c r="AW97" s="186">
        <f t="shared" si="345"/>
        <v>0</v>
      </c>
      <c r="AX97" s="186">
        <f t="shared" si="345"/>
        <v>8.3382849513617963E-2</v>
      </c>
      <c r="AY97" s="186">
        <f t="shared" si="345"/>
        <v>7.5232581330915343E-2</v>
      </c>
      <c r="AZ97" s="186">
        <f t="shared" si="345"/>
        <v>7.4456365313515099E-2</v>
      </c>
      <c r="BA97" s="186">
        <f t="shared" si="345"/>
        <v>7.4456365313515099E-2</v>
      </c>
      <c r="BB97" s="186">
        <f t="shared" si="345"/>
        <v>7.4456365313515099E-2</v>
      </c>
      <c r="BC97" s="186">
        <f t="shared" si="345"/>
        <v>7.4456365313515099E-2</v>
      </c>
      <c r="BD97" s="186">
        <f t="shared" si="345"/>
        <v>7.4456365313515099E-2</v>
      </c>
      <c r="BE97" s="186">
        <f t="shared" si="345"/>
        <v>7.4456365313515099E-2</v>
      </c>
      <c r="BF97" s="186">
        <f t="shared" si="345"/>
        <v>7.4456365313515099E-2</v>
      </c>
      <c r="BG97" s="186">
        <f t="shared" si="345"/>
        <v>7.4456365313515099E-2</v>
      </c>
      <c r="BH97" s="186">
        <f t="shared" si="345"/>
        <v>7.4456365313515099E-2</v>
      </c>
      <c r="BI97" s="186">
        <f t="shared" si="345"/>
        <v>7.4456365313515099E-2</v>
      </c>
      <c r="BJ97" s="186">
        <f t="shared" si="345"/>
        <v>7.4456365313515099E-2</v>
      </c>
      <c r="BK97" s="186">
        <f t="shared" si="345"/>
        <v>7.4456365313515099E-2</v>
      </c>
      <c r="BL97" s="186">
        <f t="shared" si="345"/>
        <v>7.4456365313515099E-2</v>
      </c>
    </row>
    <row r="98" spans="2:64" x14ac:dyDescent="0.3">
      <c r="J98" s="189">
        <f>SUM(J93:J97)</f>
        <v>18.221680221750336</v>
      </c>
      <c r="K98" s="190">
        <f>SUM(K93:K97)</f>
        <v>0.2973363493151433</v>
      </c>
      <c r="L98" s="190">
        <f t="shared" ref="L98" si="350">SUM(L93:L97)</f>
        <v>0.27367753354420682</v>
      </c>
      <c r="M98" s="190">
        <f t="shared" ref="M98" si="351">SUM(M93:M97)</f>
        <v>0.25505159312817866</v>
      </c>
      <c r="N98" s="190">
        <f t="shared" ref="N98" si="352">SUM(N93:N97)</f>
        <v>0.25505159312817866</v>
      </c>
      <c r="O98" s="190">
        <f t="shared" ref="O98" si="353">SUM(O93:O97)</f>
        <v>0.25505159312817866</v>
      </c>
      <c r="P98" s="190">
        <f t="shared" ref="P98" si="354">SUM(P93:P97)</f>
        <v>0.25505159312817866</v>
      </c>
      <c r="Q98" s="190">
        <f t="shared" ref="Q98" si="355">SUM(Q93:Q97)</f>
        <v>0.25505159312817866</v>
      </c>
      <c r="R98" s="190">
        <f t="shared" ref="R98" si="356">SUM(R93:R97)</f>
        <v>0.25505159312817866</v>
      </c>
      <c r="S98" s="190">
        <f t="shared" ref="S98" si="357">SUM(S93:S97)</f>
        <v>0.25505159312817866</v>
      </c>
      <c r="T98" s="190">
        <f t="shared" ref="T98" si="358">SUM(T93:T97)</f>
        <v>0.25505159312817866</v>
      </c>
      <c r="U98" s="190">
        <f t="shared" ref="U98" si="359">SUM(U93:U97)</f>
        <v>0.25505159312817866</v>
      </c>
      <c r="V98" s="190">
        <f t="shared" ref="V98" si="360">SUM(V93:V97)</f>
        <v>0.25505159312817866</v>
      </c>
      <c r="W98" s="190">
        <f t="shared" ref="W98" si="361">SUM(W93:W97)</f>
        <v>0.57592484118220499</v>
      </c>
      <c r="X98" s="190">
        <f t="shared" ref="X98" si="362">SUM(X93:X97)</f>
        <v>0.53009896167968262</v>
      </c>
      <c r="Y98" s="190">
        <f t="shared" ref="Y98" si="363">SUM(Y93:Y97)</f>
        <v>0.49402149654406052</v>
      </c>
      <c r="Z98" s="190">
        <f t="shared" ref="Z98" si="364">SUM(Z93:Z97)</f>
        <v>0.49402149654406052</v>
      </c>
      <c r="AA98" s="190">
        <f t="shared" ref="AA98" si="365">SUM(AA93:AA97)</f>
        <v>0.49402149654406052</v>
      </c>
      <c r="AB98" s="190">
        <f t="shared" ref="AB98" si="366">SUM(AB93:AB97)</f>
        <v>0.49402149654406052</v>
      </c>
      <c r="AC98" s="190">
        <f t="shared" ref="AC98" si="367">SUM(AC93:AC97)</f>
        <v>0.49402149654406052</v>
      </c>
      <c r="AD98" s="190">
        <f t="shared" ref="AD98" si="368">SUM(AD93:AD97)</f>
        <v>0.49402149654406052</v>
      </c>
      <c r="AE98" s="190">
        <f t="shared" ref="AE98" si="369">SUM(AE93:AE97)</f>
        <v>0.49402149654406052</v>
      </c>
      <c r="AF98" s="190">
        <f t="shared" ref="AF98" si="370">SUM(AF93:AF97)</f>
        <v>0.73409563303504588</v>
      </c>
      <c r="AG98" s="190">
        <f t="shared" ref="AG98" si="371">SUM(AG93:AG97)</f>
        <v>0.7149931257913491</v>
      </c>
      <c r="AH98" s="190">
        <f t="shared" ref="AH98" si="372">SUM(AH93:AH97)</f>
        <v>0.69995424281585694</v>
      </c>
      <c r="AI98" s="190">
        <f t="shared" ref="AI98" si="373">SUM(AI93:AI97)</f>
        <v>0.20593274627179642</v>
      </c>
      <c r="AJ98" s="190">
        <f t="shared" ref="AJ98" si="374">SUM(AJ93:AJ97)</f>
        <v>0.20593274627179642</v>
      </c>
      <c r="AK98" s="190">
        <f t="shared" ref="AK98" si="375">SUM(AK93:AK97)</f>
        <v>0.20593274627179642</v>
      </c>
      <c r="AL98" s="190">
        <f t="shared" ref="AL98" si="376">SUM(AL93:AL97)</f>
        <v>0.20593274627179642</v>
      </c>
      <c r="AM98" s="190">
        <f t="shared" ref="AM98" si="377">SUM(AM93:AM97)</f>
        <v>0.20593274627179642</v>
      </c>
      <c r="AN98" s="190">
        <f t="shared" ref="AN98" si="378">SUM(AN93:AN97)</f>
        <v>0.20593274627179642</v>
      </c>
      <c r="AO98" s="190">
        <f t="shared" ref="AO98" si="379">SUM(AO93:AO97)</f>
        <v>0.72096698645885904</v>
      </c>
      <c r="AP98" s="190">
        <f t="shared" ref="AP98" si="380">SUM(AP93:AP97)</f>
        <v>0.67998612343159703</v>
      </c>
      <c r="AQ98" s="190">
        <f t="shared" ref="AQ98" si="381">SUM(AQ93:AQ97)</f>
        <v>0.64772300763013457</v>
      </c>
      <c r="AR98" s="190">
        <f t="shared" ref="AR98" si="382">SUM(AR93:AR97)</f>
        <v>0.44179026135833815</v>
      </c>
      <c r="AS98" s="190">
        <f t="shared" ref="AS98" si="383">SUM(AS93:AS97)</f>
        <v>0.44179026135833815</v>
      </c>
      <c r="AT98" s="190">
        <f t="shared" ref="AT98" si="384">SUM(AT93:AT97)</f>
        <v>0.44179026135833815</v>
      </c>
      <c r="AU98" s="190">
        <f t="shared" ref="AU98" si="385">SUM(AU93:AU97)</f>
        <v>0.44179026135833815</v>
      </c>
      <c r="AV98" s="190">
        <f t="shared" ref="AV98" si="386">SUM(AV93:AV97)</f>
        <v>0.44179026135833815</v>
      </c>
      <c r="AW98" s="190">
        <f t="shared" ref="AW98" si="387">SUM(AW93:AW97)</f>
        <v>0.44179026135833815</v>
      </c>
      <c r="AX98" s="190">
        <f t="shared" ref="AX98" si="388">SUM(AX93:AX97)</f>
        <v>0.52517311087195617</v>
      </c>
      <c r="AY98" s="190">
        <f t="shared" ref="AY98" si="389">SUM(AY93:AY97)</f>
        <v>0.51702284268925347</v>
      </c>
      <c r="AZ98" s="190">
        <f t="shared" ref="AZ98" si="390">SUM(AZ93:AZ97)</f>
        <v>0.51624662667185328</v>
      </c>
      <c r="BA98" s="190">
        <f t="shared" ref="BA98" si="391">SUM(BA93:BA97)</f>
        <v>7.4456365313515099E-2</v>
      </c>
      <c r="BB98" s="190">
        <f t="shared" ref="BB98" si="392">SUM(BB93:BB97)</f>
        <v>7.4456365313515099E-2</v>
      </c>
      <c r="BC98" s="190">
        <f t="shared" ref="BC98" si="393">SUM(BC93:BC97)</f>
        <v>7.4456365313515099E-2</v>
      </c>
      <c r="BD98" s="190">
        <f t="shared" ref="BD98" si="394">SUM(BD93:BD97)</f>
        <v>7.4456365313515099E-2</v>
      </c>
      <c r="BE98" s="190">
        <f t="shared" ref="BE98" si="395">SUM(BE93:BE97)</f>
        <v>7.4456365313515099E-2</v>
      </c>
      <c r="BF98" s="190">
        <f t="shared" ref="BF98" si="396">SUM(BF93:BF97)</f>
        <v>7.4456365313515099E-2</v>
      </c>
      <c r="BG98" s="190">
        <f t="shared" ref="BG98" si="397">SUM(BG93:BG97)</f>
        <v>7.4456365313515099E-2</v>
      </c>
      <c r="BH98" s="190">
        <f t="shared" ref="BH98" si="398">SUM(BH93:BH97)</f>
        <v>7.4456365313515099E-2</v>
      </c>
      <c r="BI98" s="190">
        <f t="shared" ref="BI98" si="399">SUM(BI93:BI97)</f>
        <v>7.4456365313515099E-2</v>
      </c>
      <c r="BJ98" s="190">
        <f t="shared" ref="BJ98" si="400">SUM(BJ93:BJ97)</f>
        <v>7.4456365313515099E-2</v>
      </c>
      <c r="BK98" s="190">
        <f t="shared" ref="BK98" si="401">SUM(BK93:BK97)</f>
        <v>7.4456365313515099E-2</v>
      </c>
      <c r="BL98" s="190">
        <f t="shared" ref="BL98" si="402">SUM(BL93:BL97)</f>
        <v>7.4456365313515099E-2</v>
      </c>
    </row>
    <row r="100" spans="2:64" x14ac:dyDescent="0.3">
      <c r="B100" s="56" t="s">
        <v>387</v>
      </c>
    </row>
    <row r="101" spans="2:64" ht="27.6" x14ac:dyDescent="0.3">
      <c r="C101" s="184" t="s">
        <v>208</v>
      </c>
      <c r="D101" s="184" t="s">
        <v>371</v>
      </c>
      <c r="E101" s="24" t="s">
        <v>372</v>
      </c>
      <c r="F101" s="184" t="s">
        <v>388</v>
      </c>
      <c r="G101" s="184" t="s">
        <v>373</v>
      </c>
      <c r="H101" s="184" t="s">
        <v>374</v>
      </c>
      <c r="I101" s="184" t="s">
        <v>375</v>
      </c>
      <c r="J101" s="187" t="s">
        <v>504</v>
      </c>
      <c r="K101" s="185">
        <f>K83</f>
        <v>45504</v>
      </c>
      <c r="L101" s="185">
        <f>EOMONTH(K101,1)</f>
        <v>45535</v>
      </c>
      <c r="M101" s="185">
        <f t="shared" ref="M101:BL101" si="403">EOMONTH(L101,1)</f>
        <v>45565</v>
      </c>
      <c r="N101" s="185">
        <f t="shared" si="403"/>
        <v>45596</v>
      </c>
      <c r="O101" s="185">
        <f t="shared" si="403"/>
        <v>45626</v>
      </c>
      <c r="P101" s="185">
        <f t="shared" si="403"/>
        <v>45657</v>
      </c>
      <c r="Q101" s="185">
        <f t="shared" si="403"/>
        <v>45688</v>
      </c>
      <c r="R101" s="185">
        <f t="shared" si="403"/>
        <v>45716</v>
      </c>
      <c r="S101" s="185">
        <f t="shared" si="403"/>
        <v>45747</v>
      </c>
      <c r="T101" s="185">
        <f t="shared" si="403"/>
        <v>45777</v>
      </c>
      <c r="U101" s="185">
        <f t="shared" si="403"/>
        <v>45808</v>
      </c>
      <c r="V101" s="185">
        <f t="shared" si="403"/>
        <v>45838</v>
      </c>
      <c r="W101" s="185">
        <f t="shared" si="403"/>
        <v>45869</v>
      </c>
      <c r="X101" s="185">
        <f t="shared" si="403"/>
        <v>45900</v>
      </c>
      <c r="Y101" s="185">
        <f t="shared" si="403"/>
        <v>45930</v>
      </c>
      <c r="Z101" s="185">
        <f t="shared" si="403"/>
        <v>45961</v>
      </c>
      <c r="AA101" s="185">
        <f t="shared" si="403"/>
        <v>45991</v>
      </c>
      <c r="AB101" s="185">
        <f t="shared" si="403"/>
        <v>46022</v>
      </c>
      <c r="AC101" s="185">
        <f t="shared" si="403"/>
        <v>46053</v>
      </c>
      <c r="AD101" s="185">
        <f t="shared" si="403"/>
        <v>46081</v>
      </c>
      <c r="AE101" s="185">
        <f t="shared" si="403"/>
        <v>46112</v>
      </c>
      <c r="AF101" s="185">
        <f t="shared" si="403"/>
        <v>46142</v>
      </c>
      <c r="AG101" s="185">
        <f t="shared" si="403"/>
        <v>46173</v>
      </c>
      <c r="AH101" s="185">
        <f t="shared" si="403"/>
        <v>46203</v>
      </c>
      <c r="AI101" s="185">
        <f t="shared" si="403"/>
        <v>46234</v>
      </c>
      <c r="AJ101" s="185">
        <f t="shared" si="403"/>
        <v>46265</v>
      </c>
      <c r="AK101" s="185">
        <f t="shared" si="403"/>
        <v>46295</v>
      </c>
      <c r="AL101" s="185">
        <f t="shared" si="403"/>
        <v>46326</v>
      </c>
      <c r="AM101" s="185">
        <f t="shared" si="403"/>
        <v>46356</v>
      </c>
      <c r="AN101" s="185">
        <f t="shared" si="403"/>
        <v>46387</v>
      </c>
      <c r="AO101" s="185">
        <f t="shared" si="403"/>
        <v>46418</v>
      </c>
      <c r="AP101" s="185">
        <f t="shared" si="403"/>
        <v>46446</v>
      </c>
      <c r="AQ101" s="185">
        <f t="shared" si="403"/>
        <v>46477</v>
      </c>
      <c r="AR101" s="185">
        <f t="shared" si="403"/>
        <v>46507</v>
      </c>
      <c r="AS101" s="185">
        <f t="shared" si="403"/>
        <v>46538</v>
      </c>
      <c r="AT101" s="185">
        <f t="shared" si="403"/>
        <v>46568</v>
      </c>
      <c r="AU101" s="185">
        <f t="shared" si="403"/>
        <v>46599</v>
      </c>
      <c r="AV101" s="185">
        <f t="shared" si="403"/>
        <v>46630</v>
      </c>
      <c r="AW101" s="185">
        <f t="shared" si="403"/>
        <v>46660</v>
      </c>
      <c r="AX101" s="185">
        <f t="shared" si="403"/>
        <v>46691</v>
      </c>
      <c r="AY101" s="185">
        <f t="shared" si="403"/>
        <v>46721</v>
      </c>
      <c r="AZ101" s="185">
        <f t="shared" si="403"/>
        <v>46752</v>
      </c>
      <c r="BA101" s="185">
        <f t="shared" si="403"/>
        <v>46783</v>
      </c>
      <c r="BB101" s="185">
        <f t="shared" si="403"/>
        <v>46812</v>
      </c>
      <c r="BC101" s="185">
        <f t="shared" si="403"/>
        <v>46843</v>
      </c>
      <c r="BD101" s="185">
        <f t="shared" si="403"/>
        <v>46873</v>
      </c>
      <c r="BE101" s="185">
        <f t="shared" si="403"/>
        <v>46904</v>
      </c>
      <c r="BF101" s="185">
        <f t="shared" si="403"/>
        <v>46934</v>
      </c>
      <c r="BG101" s="185">
        <f t="shared" si="403"/>
        <v>46965</v>
      </c>
      <c r="BH101" s="185">
        <f t="shared" si="403"/>
        <v>46996</v>
      </c>
      <c r="BI101" s="185">
        <f t="shared" si="403"/>
        <v>47026</v>
      </c>
      <c r="BJ101" s="185">
        <f t="shared" si="403"/>
        <v>47057</v>
      </c>
      <c r="BK101" s="185">
        <f t="shared" si="403"/>
        <v>47087</v>
      </c>
      <c r="BL101" s="185">
        <f t="shared" si="403"/>
        <v>47118</v>
      </c>
    </row>
    <row r="102" spans="2:64" x14ac:dyDescent="0.3">
      <c r="C102" s="130" t="s">
        <v>230</v>
      </c>
      <c r="D102" s="45">
        <f>D93</f>
        <v>243028.41058999998</v>
      </c>
      <c r="E102" s="45">
        <f>E93</f>
        <v>255179.83111949998</v>
      </c>
      <c r="F102" s="191">
        <f>'Assumption Sheet'!$B$50</f>
        <v>0.1</v>
      </c>
      <c r="G102" s="188">
        <f>G93</f>
        <v>45474</v>
      </c>
      <c r="H102" s="188">
        <f>H93</f>
        <v>45838</v>
      </c>
      <c r="I102" s="45">
        <f>'Assumption Sheet'!$F$28</f>
        <v>12</v>
      </c>
      <c r="J102" s="186">
        <f>SUM(K102:BL102)</f>
        <v>5.8415766939875935</v>
      </c>
      <c r="K102" s="186">
        <f>(K68+K36+K20)*$F102</f>
        <v>0.5115083765263887</v>
      </c>
      <c r="L102" s="186">
        <f t="shared" ref="L102:BL102" si="404">(L68+L36+L20)*$F102</f>
        <v>0.5115083765263887</v>
      </c>
      <c r="M102" s="186">
        <f t="shared" si="404"/>
        <v>0.48185599409348151</v>
      </c>
      <c r="N102" s="186">
        <f t="shared" si="404"/>
        <v>0.48185599409348151</v>
      </c>
      <c r="O102" s="186">
        <f t="shared" si="404"/>
        <v>0.48185599409348151</v>
      </c>
      <c r="P102" s="186">
        <f t="shared" si="404"/>
        <v>0.48185599409348151</v>
      </c>
      <c r="Q102" s="186">
        <f t="shared" si="404"/>
        <v>0.48185599409348151</v>
      </c>
      <c r="R102" s="186">
        <f t="shared" si="404"/>
        <v>0.48185599409348151</v>
      </c>
      <c r="S102" s="186">
        <f t="shared" si="404"/>
        <v>0.48185599409348151</v>
      </c>
      <c r="T102" s="186">
        <f t="shared" si="404"/>
        <v>0.48185599409348151</v>
      </c>
      <c r="U102" s="186">
        <f t="shared" si="404"/>
        <v>0.48185599409348151</v>
      </c>
      <c r="V102" s="186">
        <f t="shared" si="404"/>
        <v>0.48185599409348151</v>
      </c>
      <c r="W102" s="186">
        <f t="shared" si="404"/>
        <v>0</v>
      </c>
      <c r="X102" s="186">
        <f t="shared" si="404"/>
        <v>0</v>
      </c>
      <c r="Y102" s="186">
        <f t="shared" si="404"/>
        <v>0</v>
      </c>
      <c r="Z102" s="186">
        <f t="shared" si="404"/>
        <v>0</v>
      </c>
      <c r="AA102" s="186">
        <f t="shared" si="404"/>
        <v>0</v>
      </c>
      <c r="AB102" s="186">
        <f t="shared" si="404"/>
        <v>0</v>
      </c>
      <c r="AC102" s="186">
        <f t="shared" si="404"/>
        <v>0</v>
      </c>
      <c r="AD102" s="186">
        <f t="shared" si="404"/>
        <v>0</v>
      </c>
      <c r="AE102" s="186">
        <f t="shared" si="404"/>
        <v>0</v>
      </c>
      <c r="AF102" s="186">
        <f t="shared" si="404"/>
        <v>0</v>
      </c>
      <c r="AG102" s="186">
        <f t="shared" si="404"/>
        <v>0</v>
      </c>
      <c r="AH102" s="186">
        <f t="shared" si="404"/>
        <v>0</v>
      </c>
      <c r="AI102" s="186">
        <f t="shared" si="404"/>
        <v>0</v>
      </c>
      <c r="AJ102" s="186">
        <f t="shared" si="404"/>
        <v>0</v>
      </c>
      <c r="AK102" s="186">
        <f t="shared" si="404"/>
        <v>0</v>
      </c>
      <c r="AL102" s="186">
        <f t="shared" si="404"/>
        <v>0</v>
      </c>
      <c r="AM102" s="186">
        <f t="shared" si="404"/>
        <v>0</v>
      </c>
      <c r="AN102" s="186">
        <f t="shared" si="404"/>
        <v>0</v>
      </c>
      <c r="AO102" s="186">
        <f t="shared" si="404"/>
        <v>0</v>
      </c>
      <c r="AP102" s="186">
        <f t="shared" si="404"/>
        <v>0</v>
      </c>
      <c r="AQ102" s="186">
        <f t="shared" si="404"/>
        <v>0</v>
      </c>
      <c r="AR102" s="186">
        <f t="shared" si="404"/>
        <v>0</v>
      </c>
      <c r="AS102" s="186">
        <f t="shared" si="404"/>
        <v>0</v>
      </c>
      <c r="AT102" s="186">
        <f t="shared" si="404"/>
        <v>0</v>
      </c>
      <c r="AU102" s="186">
        <f t="shared" si="404"/>
        <v>0</v>
      </c>
      <c r="AV102" s="186">
        <f t="shared" si="404"/>
        <v>0</v>
      </c>
      <c r="AW102" s="186">
        <f t="shared" si="404"/>
        <v>0</v>
      </c>
      <c r="AX102" s="186">
        <f t="shared" si="404"/>
        <v>0</v>
      </c>
      <c r="AY102" s="186">
        <f t="shared" si="404"/>
        <v>0</v>
      </c>
      <c r="AZ102" s="186">
        <f t="shared" si="404"/>
        <v>0</v>
      </c>
      <c r="BA102" s="186">
        <f t="shared" si="404"/>
        <v>0</v>
      </c>
      <c r="BB102" s="186">
        <f t="shared" si="404"/>
        <v>0</v>
      </c>
      <c r="BC102" s="186">
        <f t="shared" si="404"/>
        <v>0</v>
      </c>
      <c r="BD102" s="186">
        <f t="shared" si="404"/>
        <v>0</v>
      </c>
      <c r="BE102" s="186">
        <f t="shared" si="404"/>
        <v>0</v>
      </c>
      <c r="BF102" s="186">
        <f t="shared" si="404"/>
        <v>0</v>
      </c>
      <c r="BG102" s="186">
        <f t="shared" si="404"/>
        <v>0</v>
      </c>
      <c r="BH102" s="186">
        <f t="shared" si="404"/>
        <v>0</v>
      </c>
      <c r="BI102" s="186">
        <f t="shared" si="404"/>
        <v>0</v>
      </c>
      <c r="BJ102" s="186">
        <f t="shared" si="404"/>
        <v>0</v>
      </c>
      <c r="BK102" s="186">
        <f t="shared" si="404"/>
        <v>0</v>
      </c>
      <c r="BL102" s="186">
        <f t="shared" si="404"/>
        <v>0</v>
      </c>
    </row>
    <row r="103" spans="2:64" x14ac:dyDescent="0.3">
      <c r="C103" s="130" t="s">
        <v>231</v>
      </c>
      <c r="D103" s="45">
        <f t="shared" ref="D103:E103" si="405">D94</f>
        <v>470733.22550099995</v>
      </c>
      <c r="E103" s="45">
        <f t="shared" si="405"/>
        <v>494269.88677604997</v>
      </c>
      <c r="F103" s="191">
        <f>'Assumption Sheet'!$B$50</f>
        <v>0.1</v>
      </c>
      <c r="G103" s="188">
        <f t="shared" ref="G103:H103" si="406">G94</f>
        <v>45839</v>
      </c>
      <c r="H103" s="188">
        <f t="shared" si="406"/>
        <v>46203</v>
      </c>
      <c r="I103" s="45">
        <f>'Assumption Sheet'!$F$29</f>
        <v>12</v>
      </c>
      <c r="J103" s="186">
        <f t="shared" ref="J103:J106" si="407">SUM(K103:BL103)</f>
        <v>11.314826248077337</v>
      </c>
      <c r="K103" s="186">
        <f t="shared" ref="K103:BL103" si="408">(K69+K37+K21)*$F103</f>
        <v>0</v>
      </c>
      <c r="L103" s="186">
        <f t="shared" si="408"/>
        <v>0</v>
      </c>
      <c r="M103" s="186">
        <f t="shared" si="408"/>
        <v>0</v>
      </c>
      <c r="N103" s="186">
        <f t="shared" si="408"/>
        <v>0</v>
      </c>
      <c r="O103" s="186">
        <f t="shared" si="408"/>
        <v>0</v>
      </c>
      <c r="P103" s="186">
        <f t="shared" si="408"/>
        <v>0</v>
      </c>
      <c r="Q103" s="186">
        <f t="shared" si="408"/>
        <v>0</v>
      </c>
      <c r="R103" s="186">
        <f t="shared" si="408"/>
        <v>0</v>
      </c>
      <c r="S103" s="186">
        <f t="shared" si="408"/>
        <v>0</v>
      </c>
      <c r="T103" s="186">
        <f t="shared" si="408"/>
        <v>0</v>
      </c>
      <c r="U103" s="186">
        <f t="shared" si="408"/>
        <v>0</v>
      </c>
      <c r="V103" s="186">
        <f t="shared" si="408"/>
        <v>0</v>
      </c>
      <c r="W103" s="186">
        <f t="shared" si="408"/>
        <v>0.9907647725979678</v>
      </c>
      <c r="X103" s="186">
        <f t="shared" si="408"/>
        <v>0.9907647725979678</v>
      </c>
      <c r="Y103" s="186">
        <f t="shared" si="408"/>
        <v>0.93332967028813985</v>
      </c>
      <c r="Z103" s="186">
        <f t="shared" si="408"/>
        <v>0.93332967028813985</v>
      </c>
      <c r="AA103" s="186">
        <f t="shared" si="408"/>
        <v>0.93332967028813985</v>
      </c>
      <c r="AB103" s="186">
        <f t="shared" si="408"/>
        <v>0.93332967028813985</v>
      </c>
      <c r="AC103" s="186">
        <f t="shared" si="408"/>
        <v>0.93332967028813985</v>
      </c>
      <c r="AD103" s="186">
        <f t="shared" si="408"/>
        <v>0.93332967028813985</v>
      </c>
      <c r="AE103" s="186">
        <f t="shared" si="408"/>
        <v>0.93332967028813985</v>
      </c>
      <c r="AF103" s="186">
        <f t="shared" si="408"/>
        <v>0.93332967028813985</v>
      </c>
      <c r="AG103" s="186">
        <f t="shared" si="408"/>
        <v>0.93332967028813985</v>
      </c>
      <c r="AH103" s="186">
        <f t="shared" si="408"/>
        <v>0.93332967028813985</v>
      </c>
      <c r="AI103" s="186">
        <f t="shared" si="408"/>
        <v>0</v>
      </c>
      <c r="AJ103" s="186">
        <f t="shared" si="408"/>
        <v>0</v>
      </c>
      <c r="AK103" s="186">
        <f t="shared" si="408"/>
        <v>0</v>
      </c>
      <c r="AL103" s="186">
        <f t="shared" si="408"/>
        <v>0</v>
      </c>
      <c r="AM103" s="186">
        <f t="shared" si="408"/>
        <v>0</v>
      </c>
      <c r="AN103" s="186">
        <f t="shared" si="408"/>
        <v>0</v>
      </c>
      <c r="AO103" s="186">
        <f t="shared" si="408"/>
        <v>0</v>
      </c>
      <c r="AP103" s="186">
        <f t="shared" si="408"/>
        <v>0</v>
      </c>
      <c r="AQ103" s="186">
        <f t="shared" si="408"/>
        <v>0</v>
      </c>
      <c r="AR103" s="186">
        <f t="shared" si="408"/>
        <v>0</v>
      </c>
      <c r="AS103" s="186">
        <f t="shared" si="408"/>
        <v>0</v>
      </c>
      <c r="AT103" s="186">
        <f t="shared" si="408"/>
        <v>0</v>
      </c>
      <c r="AU103" s="186">
        <f t="shared" si="408"/>
        <v>0</v>
      </c>
      <c r="AV103" s="186">
        <f t="shared" si="408"/>
        <v>0</v>
      </c>
      <c r="AW103" s="186">
        <f t="shared" si="408"/>
        <v>0</v>
      </c>
      <c r="AX103" s="186">
        <f t="shared" si="408"/>
        <v>0</v>
      </c>
      <c r="AY103" s="186">
        <f t="shared" si="408"/>
        <v>0</v>
      </c>
      <c r="AZ103" s="186">
        <f t="shared" si="408"/>
        <v>0</v>
      </c>
      <c r="BA103" s="186">
        <f t="shared" si="408"/>
        <v>0</v>
      </c>
      <c r="BB103" s="186">
        <f t="shared" si="408"/>
        <v>0</v>
      </c>
      <c r="BC103" s="186">
        <f t="shared" si="408"/>
        <v>0</v>
      </c>
      <c r="BD103" s="186">
        <f t="shared" si="408"/>
        <v>0</v>
      </c>
      <c r="BE103" s="186">
        <f t="shared" si="408"/>
        <v>0</v>
      </c>
      <c r="BF103" s="186">
        <f t="shared" si="408"/>
        <v>0</v>
      </c>
      <c r="BG103" s="186">
        <f t="shared" si="408"/>
        <v>0</v>
      </c>
      <c r="BH103" s="186">
        <f t="shared" si="408"/>
        <v>0</v>
      </c>
      <c r="BI103" s="186">
        <f t="shared" si="408"/>
        <v>0</v>
      </c>
      <c r="BJ103" s="186">
        <f t="shared" si="408"/>
        <v>0</v>
      </c>
      <c r="BK103" s="186">
        <f t="shared" si="408"/>
        <v>0</v>
      </c>
      <c r="BL103" s="186">
        <f t="shared" si="408"/>
        <v>0</v>
      </c>
    </row>
    <row r="104" spans="2:64" x14ac:dyDescent="0.3">
      <c r="C104" s="130" t="s">
        <v>232</v>
      </c>
      <c r="D104" s="45">
        <f t="shared" ref="D104:E104" si="409">D95</f>
        <v>196225.03588799998</v>
      </c>
      <c r="E104" s="45">
        <f t="shared" si="409"/>
        <v>206036.2876824</v>
      </c>
      <c r="F104" s="191">
        <f>'Assumption Sheet'!$B$50</f>
        <v>0.1</v>
      </c>
      <c r="G104" s="188">
        <f t="shared" ref="G104:H104" si="410">G95</f>
        <v>46113</v>
      </c>
      <c r="H104" s="188">
        <f t="shared" si="410"/>
        <v>46477</v>
      </c>
      <c r="I104" s="45">
        <f>'Assumption Sheet'!$F$30</f>
        <v>12</v>
      </c>
      <c r="J104" s="186">
        <f t="shared" si="407"/>
        <v>4.7165826976255003</v>
      </c>
      <c r="K104" s="186">
        <f t="shared" ref="K104:BL104" si="411">(K70+K38+K22)*$F104</f>
        <v>0</v>
      </c>
      <c r="L104" s="186">
        <f t="shared" si="411"/>
        <v>0</v>
      </c>
      <c r="M104" s="186">
        <f t="shared" si="411"/>
        <v>0</v>
      </c>
      <c r="N104" s="186">
        <f t="shared" si="411"/>
        <v>0</v>
      </c>
      <c r="O104" s="186">
        <f t="shared" si="411"/>
        <v>0</v>
      </c>
      <c r="P104" s="186">
        <f t="shared" si="411"/>
        <v>0</v>
      </c>
      <c r="Q104" s="186">
        <f t="shared" si="411"/>
        <v>0</v>
      </c>
      <c r="R104" s="186">
        <f t="shared" si="411"/>
        <v>0</v>
      </c>
      <c r="S104" s="186">
        <f t="shared" si="411"/>
        <v>0</v>
      </c>
      <c r="T104" s="186">
        <f t="shared" si="411"/>
        <v>0</v>
      </c>
      <c r="U104" s="186">
        <f t="shared" si="411"/>
        <v>0</v>
      </c>
      <c r="V104" s="186">
        <f t="shared" si="411"/>
        <v>0</v>
      </c>
      <c r="W104" s="186">
        <f t="shared" si="411"/>
        <v>0</v>
      </c>
      <c r="X104" s="186">
        <f t="shared" si="411"/>
        <v>0</v>
      </c>
      <c r="Y104" s="186">
        <f t="shared" si="411"/>
        <v>0</v>
      </c>
      <c r="Z104" s="186">
        <f t="shared" si="411"/>
        <v>0</v>
      </c>
      <c r="AA104" s="186">
        <f t="shared" si="411"/>
        <v>0</v>
      </c>
      <c r="AB104" s="186">
        <f t="shared" si="411"/>
        <v>0</v>
      </c>
      <c r="AC104" s="186">
        <f t="shared" si="411"/>
        <v>0</v>
      </c>
      <c r="AD104" s="186">
        <f t="shared" si="411"/>
        <v>0</v>
      </c>
      <c r="AE104" s="186">
        <f t="shared" si="411"/>
        <v>0</v>
      </c>
      <c r="AF104" s="186">
        <f t="shared" si="411"/>
        <v>0.41300006570109726</v>
      </c>
      <c r="AG104" s="186">
        <f t="shared" si="411"/>
        <v>0.41300006570109726</v>
      </c>
      <c r="AH104" s="186">
        <f t="shared" si="411"/>
        <v>0.38905825662233057</v>
      </c>
      <c r="AI104" s="186">
        <f t="shared" si="411"/>
        <v>0.38905825662233057</v>
      </c>
      <c r="AJ104" s="186">
        <f t="shared" si="411"/>
        <v>0.38905825662233057</v>
      </c>
      <c r="AK104" s="186">
        <f t="shared" si="411"/>
        <v>0.38905825662233057</v>
      </c>
      <c r="AL104" s="186">
        <f t="shared" si="411"/>
        <v>0.38905825662233057</v>
      </c>
      <c r="AM104" s="186">
        <f t="shared" si="411"/>
        <v>0.38905825662233057</v>
      </c>
      <c r="AN104" s="186">
        <f t="shared" si="411"/>
        <v>0.38905825662233057</v>
      </c>
      <c r="AO104" s="186">
        <f t="shared" si="411"/>
        <v>0.38905825662233057</v>
      </c>
      <c r="AP104" s="186">
        <f t="shared" si="411"/>
        <v>0.38905825662233057</v>
      </c>
      <c r="AQ104" s="186">
        <f t="shared" si="411"/>
        <v>0.38905825662233057</v>
      </c>
      <c r="AR104" s="186">
        <f t="shared" si="411"/>
        <v>0</v>
      </c>
      <c r="AS104" s="186">
        <f t="shared" si="411"/>
        <v>0</v>
      </c>
      <c r="AT104" s="186">
        <f t="shared" si="411"/>
        <v>0</v>
      </c>
      <c r="AU104" s="186">
        <f t="shared" si="411"/>
        <v>0</v>
      </c>
      <c r="AV104" s="186">
        <f t="shared" si="411"/>
        <v>0</v>
      </c>
      <c r="AW104" s="186">
        <f t="shared" si="411"/>
        <v>0</v>
      </c>
      <c r="AX104" s="186">
        <f t="shared" si="411"/>
        <v>0</v>
      </c>
      <c r="AY104" s="186">
        <f t="shared" si="411"/>
        <v>0</v>
      </c>
      <c r="AZ104" s="186">
        <f t="shared" si="411"/>
        <v>0</v>
      </c>
      <c r="BA104" s="186">
        <f t="shared" si="411"/>
        <v>0</v>
      </c>
      <c r="BB104" s="186">
        <f t="shared" si="411"/>
        <v>0</v>
      </c>
      <c r="BC104" s="186">
        <f t="shared" si="411"/>
        <v>0</v>
      </c>
      <c r="BD104" s="186">
        <f t="shared" si="411"/>
        <v>0</v>
      </c>
      <c r="BE104" s="186">
        <f t="shared" si="411"/>
        <v>0</v>
      </c>
      <c r="BF104" s="186">
        <f t="shared" si="411"/>
        <v>0</v>
      </c>
      <c r="BG104" s="186">
        <f t="shared" si="411"/>
        <v>0</v>
      </c>
      <c r="BH104" s="186">
        <f t="shared" si="411"/>
        <v>0</v>
      </c>
      <c r="BI104" s="186">
        <f t="shared" si="411"/>
        <v>0</v>
      </c>
      <c r="BJ104" s="186">
        <f t="shared" si="411"/>
        <v>0</v>
      </c>
      <c r="BK104" s="186">
        <f t="shared" si="411"/>
        <v>0</v>
      </c>
      <c r="BL104" s="186">
        <f t="shared" si="411"/>
        <v>0</v>
      </c>
    </row>
    <row r="105" spans="2:64" x14ac:dyDescent="0.3">
      <c r="C105" s="130" t="s">
        <v>234</v>
      </c>
      <c r="D105" s="45">
        <f t="shared" ref="D105:E105" si="412">D96</f>
        <v>420964.181071</v>
      </c>
      <c r="E105" s="45">
        <f t="shared" si="412"/>
        <v>442012.39012455003</v>
      </c>
      <c r="F105" s="191">
        <f>'Assumption Sheet'!$B$50</f>
        <v>0.1</v>
      </c>
      <c r="G105" s="188">
        <f t="shared" ref="G105:H105" si="413">G96</f>
        <v>46388</v>
      </c>
      <c r="H105" s="188">
        <f t="shared" si="413"/>
        <v>46752</v>
      </c>
      <c r="I105" s="45">
        <f>'Assumption Sheet'!$F$31</f>
        <v>12</v>
      </c>
      <c r="J105" s="186">
        <f t="shared" si="407"/>
        <v>10.118547634731197</v>
      </c>
      <c r="K105" s="186">
        <f t="shared" ref="K105:BL105" si="414">(K71+K39+K23)*$F105</f>
        <v>0</v>
      </c>
      <c r="L105" s="186">
        <f t="shared" si="414"/>
        <v>0</v>
      </c>
      <c r="M105" s="186">
        <f t="shared" si="414"/>
        <v>0</v>
      </c>
      <c r="N105" s="186">
        <f t="shared" si="414"/>
        <v>0</v>
      </c>
      <c r="O105" s="186">
        <f t="shared" si="414"/>
        <v>0</v>
      </c>
      <c r="P105" s="186">
        <f t="shared" si="414"/>
        <v>0</v>
      </c>
      <c r="Q105" s="186">
        <f t="shared" si="414"/>
        <v>0</v>
      </c>
      <c r="R105" s="186">
        <f t="shared" si="414"/>
        <v>0</v>
      </c>
      <c r="S105" s="186">
        <f t="shared" si="414"/>
        <v>0</v>
      </c>
      <c r="T105" s="186">
        <f t="shared" si="414"/>
        <v>0</v>
      </c>
      <c r="U105" s="186">
        <f t="shared" si="414"/>
        <v>0</v>
      </c>
      <c r="V105" s="186">
        <f t="shared" si="414"/>
        <v>0</v>
      </c>
      <c r="W105" s="186">
        <f t="shared" si="414"/>
        <v>0</v>
      </c>
      <c r="X105" s="186">
        <f t="shared" si="414"/>
        <v>0</v>
      </c>
      <c r="Y105" s="186">
        <f t="shared" si="414"/>
        <v>0</v>
      </c>
      <c r="Z105" s="186">
        <f t="shared" si="414"/>
        <v>0</v>
      </c>
      <c r="AA105" s="186">
        <f t="shared" si="414"/>
        <v>0</v>
      </c>
      <c r="AB105" s="186">
        <f t="shared" si="414"/>
        <v>0</v>
      </c>
      <c r="AC105" s="186">
        <f t="shared" si="414"/>
        <v>0</v>
      </c>
      <c r="AD105" s="186">
        <f t="shared" si="414"/>
        <v>0</v>
      </c>
      <c r="AE105" s="186">
        <f t="shared" si="414"/>
        <v>0</v>
      </c>
      <c r="AF105" s="186">
        <f t="shared" si="414"/>
        <v>0</v>
      </c>
      <c r="AG105" s="186">
        <f t="shared" si="414"/>
        <v>0</v>
      </c>
      <c r="AH105" s="186">
        <f t="shared" si="414"/>
        <v>0</v>
      </c>
      <c r="AI105" s="186">
        <f t="shared" si="414"/>
        <v>0</v>
      </c>
      <c r="AJ105" s="186">
        <f t="shared" si="414"/>
        <v>0</v>
      </c>
      <c r="AK105" s="186">
        <f t="shared" si="414"/>
        <v>0</v>
      </c>
      <c r="AL105" s="186">
        <f t="shared" si="414"/>
        <v>0</v>
      </c>
      <c r="AM105" s="186">
        <f t="shared" si="414"/>
        <v>0</v>
      </c>
      <c r="AN105" s="186">
        <f t="shared" si="414"/>
        <v>0</v>
      </c>
      <c r="AO105" s="186">
        <f t="shared" si="414"/>
        <v>0.88601453761162896</v>
      </c>
      <c r="AP105" s="186">
        <f t="shared" si="414"/>
        <v>0.88601453761162896</v>
      </c>
      <c r="AQ105" s="186">
        <f t="shared" si="414"/>
        <v>0.83465185595079405</v>
      </c>
      <c r="AR105" s="186">
        <f t="shared" si="414"/>
        <v>0.83465185595079405</v>
      </c>
      <c r="AS105" s="186">
        <f t="shared" si="414"/>
        <v>0.83465185595079405</v>
      </c>
      <c r="AT105" s="186">
        <f t="shared" si="414"/>
        <v>0.83465185595079405</v>
      </c>
      <c r="AU105" s="186">
        <f t="shared" si="414"/>
        <v>0.83465185595079405</v>
      </c>
      <c r="AV105" s="186">
        <f t="shared" si="414"/>
        <v>0.83465185595079405</v>
      </c>
      <c r="AW105" s="186">
        <f t="shared" si="414"/>
        <v>0.83465185595079405</v>
      </c>
      <c r="AX105" s="186">
        <f t="shared" si="414"/>
        <v>0.83465185595079405</v>
      </c>
      <c r="AY105" s="186">
        <f t="shared" si="414"/>
        <v>0.83465185595079405</v>
      </c>
      <c r="AZ105" s="186">
        <f t="shared" si="414"/>
        <v>0.83465185595079405</v>
      </c>
      <c r="BA105" s="186">
        <f t="shared" si="414"/>
        <v>0</v>
      </c>
      <c r="BB105" s="186">
        <f t="shared" si="414"/>
        <v>0</v>
      </c>
      <c r="BC105" s="186">
        <f t="shared" si="414"/>
        <v>0</v>
      </c>
      <c r="BD105" s="186">
        <f t="shared" si="414"/>
        <v>0</v>
      </c>
      <c r="BE105" s="186">
        <f t="shared" si="414"/>
        <v>0</v>
      </c>
      <c r="BF105" s="186">
        <f t="shared" si="414"/>
        <v>0</v>
      </c>
      <c r="BG105" s="186">
        <f t="shared" si="414"/>
        <v>0</v>
      </c>
      <c r="BH105" s="186">
        <f t="shared" si="414"/>
        <v>0</v>
      </c>
      <c r="BI105" s="186">
        <f t="shared" si="414"/>
        <v>0</v>
      </c>
      <c r="BJ105" s="186">
        <f t="shared" si="414"/>
        <v>0</v>
      </c>
      <c r="BK105" s="186">
        <f t="shared" si="414"/>
        <v>0</v>
      </c>
      <c r="BL105" s="186">
        <f t="shared" si="414"/>
        <v>0</v>
      </c>
    </row>
    <row r="106" spans="2:64" x14ac:dyDescent="0.3">
      <c r="C106" s="130" t="s">
        <v>259</v>
      </c>
      <c r="D106" s="45">
        <f t="shared" ref="D106:E106" si="415">D97</f>
        <v>87708.024565</v>
      </c>
      <c r="E106" s="45">
        <f t="shared" si="415"/>
        <v>92093.425793250004</v>
      </c>
      <c r="F106" s="191">
        <f>'Assumption Sheet'!$B$50</f>
        <v>0.1</v>
      </c>
      <c r="G106" s="188">
        <f t="shared" ref="G106:H106" si="416">G97</f>
        <v>46661</v>
      </c>
      <c r="H106" s="188">
        <f t="shared" si="416"/>
        <v>47118</v>
      </c>
      <c r="I106" s="45">
        <f>'Assumption Sheet'!$F$32</f>
        <v>15</v>
      </c>
      <c r="J106" s="186">
        <f t="shared" si="407"/>
        <v>2.1082027032590789</v>
      </c>
      <c r="K106" s="186">
        <f t="shared" ref="K106:BL106" si="417">(K72+K40+K24)*$F106</f>
        <v>0</v>
      </c>
      <c r="L106" s="186">
        <f t="shared" si="417"/>
        <v>0</v>
      </c>
      <c r="M106" s="186">
        <f t="shared" si="417"/>
        <v>0</v>
      </c>
      <c r="N106" s="186">
        <f t="shared" si="417"/>
        <v>0</v>
      </c>
      <c r="O106" s="186">
        <f t="shared" si="417"/>
        <v>0</v>
      </c>
      <c r="P106" s="186">
        <f t="shared" si="417"/>
        <v>0</v>
      </c>
      <c r="Q106" s="186">
        <f t="shared" si="417"/>
        <v>0</v>
      </c>
      <c r="R106" s="186">
        <f t="shared" si="417"/>
        <v>0</v>
      </c>
      <c r="S106" s="186">
        <f t="shared" si="417"/>
        <v>0</v>
      </c>
      <c r="T106" s="186">
        <f t="shared" si="417"/>
        <v>0</v>
      </c>
      <c r="U106" s="186">
        <f t="shared" si="417"/>
        <v>0</v>
      </c>
      <c r="V106" s="186">
        <f t="shared" si="417"/>
        <v>0</v>
      </c>
      <c r="W106" s="186">
        <f t="shared" si="417"/>
        <v>0</v>
      </c>
      <c r="X106" s="186">
        <f t="shared" si="417"/>
        <v>0</v>
      </c>
      <c r="Y106" s="186">
        <f t="shared" si="417"/>
        <v>0</v>
      </c>
      <c r="Z106" s="186">
        <f t="shared" si="417"/>
        <v>0</v>
      </c>
      <c r="AA106" s="186">
        <f t="shared" si="417"/>
        <v>0</v>
      </c>
      <c r="AB106" s="186">
        <f t="shared" si="417"/>
        <v>0</v>
      </c>
      <c r="AC106" s="186">
        <f t="shared" si="417"/>
        <v>0</v>
      </c>
      <c r="AD106" s="186">
        <f t="shared" si="417"/>
        <v>0</v>
      </c>
      <c r="AE106" s="186">
        <f t="shared" si="417"/>
        <v>0</v>
      </c>
      <c r="AF106" s="186">
        <f t="shared" si="417"/>
        <v>0</v>
      </c>
      <c r="AG106" s="186">
        <f t="shared" si="417"/>
        <v>0</v>
      </c>
      <c r="AH106" s="186">
        <f t="shared" si="417"/>
        <v>0</v>
      </c>
      <c r="AI106" s="186">
        <f t="shared" si="417"/>
        <v>0</v>
      </c>
      <c r="AJ106" s="186">
        <f t="shared" si="417"/>
        <v>0</v>
      </c>
      <c r="AK106" s="186">
        <f t="shared" si="417"/>
        <v>0</v>
      </c>
      <c r="AL106" s="186">
        <f t="shared" si="417"/>
        <v>0</v>
      </c>
      <c r="AM106" s="186">
        <f t="shared" si="417"/>
        <v>0</v>
      </c>
      <c r="AN106" s="186">
        <f t="shared" si="417"/>
        <v>0</v>
      </c>
      <c r="AO106" s="186">
        <f t="shared" si="417"/>
        <v>0</v>
      </c>
      <c r="AP106" s="186">
        <f t="shared" si="417"/>
        <v>0</v>
      </c>
      <c r="AQ106" s="186">
        <f t="shared" si="417"/>
        <v>0</v>
      </c>
      <c r="AR106" s="186">
        <f t="shared" si="417"/>
        <v>0</v>
      </c>
      <c r="AS106" s="186">
        <f t="shared" si="417"/>
        <v>0</v>
      </c>
      <c r="AT106" s="186">
        <f t="shared" si="417"/>
        <v>0</v>
      </c>
      <c r="AU106" s="186">
        <f t="shared" si="417"/>
        <v>0</v>
      </c>
      <c r="AV106" s="186">
        <f t="shared" si="417"/>
        <v>0</v>
      </c>
      <c r="AW106" s="186">
        <f t="shared" si="417"/>
        <v>0</v>
      </c>
      <c r="AX106" s="186">
        <f t="shared" si="417"/>
        <v>0.14054684688393859</v>
      </c>
      <c r="AY106" s="186">
        <f t="shared" si="417"/>
        <v>0.14054684688393859</v>
      </c>
      <c r="AZ106" s="186">
        <f t="shared" si="417"/>
        <v>0.14054684688393859</v>
      </c>
      <c r="BA106" s="186">
        <f t="shared" si="417"/>
        <v>0.14054684688393859</v>
      </c>
      <c r="BB106" s="186">
        <f t="shared" si="417"/>
        <v>0.14054684688393859</v>
      </c>
      <c r="BC106" s="186">
        <f t="shared" si="417"/>
        <v>0.14054684688393859</v>
      </c>
      <c r="BD106" s="186">
        <f t="shared" si="417"/>
        <v>0.14054684688393859</v>
      </c>
      <c r="BE106" s="186">
        <f t="shared" si="417"/>
        <v>0.14054684688393859</v>
      </c>
      <c r="BF106" s="186">
        <f t="shared" si="417"/>
        <v>0.14054684688393859</v>
      </c>
      <c r="BG106" s="186">
        <f t="shared" si="417"/>
        <v>0.14054684688393859</v>
      </c>
      <c r="BH106" s="186">
        <f t="shared" si="417"/>
        <v>0.14054684688393859</v>
      </c>
      <c r="BI106" s="186">
        <f t="shared" si="417"/>
        <v>0.14054684688393859</v>
      </c>
      <c r="BJ106" s="186">
        <f t="shared" si="417"/>
        <v>0.14054684688393859</v>
      </c>
      <c r="BK106" s="186">
        <f t="shared" si="417"/>
        <v>0.14054684688393859</v>
      </c>
      <c r="BL106" s="186">
        <f t="shared" si="417"/>
        <v>0.14054684688393859</v>
      </c>
    </row>
    <row r="107" spans="2:64" x14ac:dyDescent="0.3">
      <c r="C107" s="130"/>
      <c r="D107" s="33"/>
      <c r="E107" s="33"/>
      <c r="F107" s="191"/>
      <c r="G107" s="188"/>
      <c r="H107" s="188"/>
      <c r="I107" s="45"/>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row>
    <row r="108" spans="2:64" x14ac:dyDescent="0.3">
      <c r="J108" s="189">
        <f>SUM(J102:J106)</f>
        <v>34.099735977680709</v>
      </c>
      <c r="K108" s="190">
        <f>SUM(K102:K106)</f>
        <v>0.5115083765263887</v>
      </c>
      <c r="L108" s="190">
        <f t="shared" ref="L108" si="418">SUM(L102:L106)</f>
        <v>0.5115083765263887</v>
      </c>
      <c r="M108" s="190">
        <f t="shared" ref="M108" si="419">SUM(M102:M106)</f>
        <v>0.48185599409348151</v>
      </c>
      <c r="N108" s="190">
        <f t="shared" ref="N108" si="420">SUM(N102:N106)</f>
        <v>0.48185599409348151</v>
      </c>
      <c r="O108" s="190">
        <f t="shared" ref="O108" si="421">SUM(O102:O106)</f>
        <v>0.48185599409348151</v>
      </c>
      <c r="P108" s="190">
        <f t="shared" ref="P108" si="422">SUM(P102:P106)</f>
        <v>0.48185599409348151</v>
      </c>
      <c r="Q108" s="190">
        <f t="shared" ref="Q108" si="423">SUM(Q102:Q106)</f>
        <v>0.48185599409348151</v>
      </c>
      <c r="R108" s="190">
        <f t="shared" ref="R108" si="424">SUM(R102:R106)</f>
        <v>0.48185599409348151</v>
      </c>
      <c r="S108" s="190">
        <f t="shared" ref="S108" si="425">SUM(S102:S106)</f>
        <v>0.48185599409348151</v>
      </c>
      <c r="T108" s="190">
        <f t="shared" ref="T108" si="426">SUM(T102:T106)</f>
        <v>0.48185599409348151</v>
      </c>
      <c r="U108" s="190">
        <f t="shared" ref="U108" si="427">SUM(U102:U106)</f>
        <v>0.48185599409348151</v>
      </c>
      <c r="V108" s="190">
        <f t="shared" ref="V108" si="428">SUM(V102:V106)</f>
        <v>0.48185599409348151</v>
      </c>
      <c r="W108" s="190">
        <f t="shared" ref="W108" si="429">SUM(W102:W106)</f>
        <v>0.9907647725979678</v>
      </c>
      <c r="X108" s="190">
        <f t="shared" ref="X108" si="430">SUM(X102:X106)</f>
        <v>0.9907647725979678</v>
      </c>
      <c r="Y108" s="190">
        <f t="shared" ref="Y108" si="431">SUM(Y102:Y106)</f>
        <v>0.93332967028813985</v>
      </c>
      <c r="Z108" s="190">
        <f t="shared" ref="Z108" si="432">SUM(Z102:Z106)</f>
        <v>0.93332967028813985</v>
      </c>
      <c r="AA108" s="190">
        <f t="shared" ref="AA108" si="433">SUM(AA102:AA106)</f>
        <v>0.93332967028813985</v>
      </c>
      <c r="AB108" s="190">
        <f t="shared" ref="AB108" si="434">SUM(AB102:AB106)</f>
        <v>0.93332967028813985</v>
      </c>
      <c r="AC108" s="190">
        <f t="shared" ref="AC108" si="435">SUM(AC102:AC106)</f>
        <v>0.93332967028813985</v>
      </c>
      <c r="AD108" s="190">
        <f t="shared" ref="AD108" si="436">SUM(AD102:AD106)</f>
        <v>0.93332967028813985</v>
      </c>
      <c r="AE108" s="190">
        <f t="shared" ref="AE108" si="437">SUM(AE102:AE106)</f>
        <v>0.93332967028813985</v>
      </c>
      <c r="AF108" s="190">
        <f t="shared" ref="AF108" si="438">SUM(AF102:AF106)</f>
        <v>1.346329735989237</v>
      </c>
      <c r="AG108" s="190">
        <f t="shared" ref="AG108" si="439">SUM(AG102:AG106)</f>
        <v>1.346329735989237</v>
      </c>
      <c r="AH108" s="190">
        <f t="shared" ref="AH108" si="440">SUM(AH102:AH106)</f>
        <v>1.3223879269104704</v>
      </c>
      <c r="AI108" s="190">
        <f t="shared" ref="AI108" si="441">SUM(AI102:AI106)</f>
        <v>0.38905825662233057</v>
      </c>
      <c r="AJ108" s="190">
        <f t="shared" ref="AJ108" si="442">SUM(AJ102:AJ106)</f>
        <v>0.38905825662233057</v>
      </c>
      <c r="AK108" s="190">
        <f t="shared" ref="AK108" si="443">SUM(AK102:AK106)</f>
        <v>0.38905825662233057</v>
      </c>
      <c r="AL108" s="190">
        <f t="shared" ref="AL108" si="444">SUM(AL102:AL106)</f>
        <v>0.38905825662233057</v>
      </c>
      <c r="AM108" s="190">
        <f t="shared" ref="AM108" si="445">SUM(AM102:AM106)</f>
        <v>0.38905825662233057</v>
      </c>
      <c r="AN108" s="190">
        <f t="shared" ref="AN108" si="446">SUM(AN102:AN106)</f>
        <v>0.38905825662233057</v>
      </c>
      <c r="AO108" s="190">
        <f t="shared" ref="AO108" si="447">SUM(AO102:AO106)</f>
        <v>1.2750727942339595</v>
      </c>
      <c r="AP108" s="190">
        <f t="shared" ref="AP108" si="448">SUM(AP102:AP106)</f>
        <v>1.2750727942339595</v>
      </c>
      <c r="AQ108" s="190">
        <f t="shared" ref="AQ108" si="449">SUM(AQ102:AQ106)</f>
        <v>1.2237101125731247</v>
      </c>
      <c r="AR108" s="190">
        <f t="shared" ref="AR108" si="450">SUM(AR102:AR106)</f>
        <v>0.83465185595079405</v>
      </c>
      <c r="AS108" s="190">
        <f t="shared" ref="AS108" si="451">SUM(AS102:AS106)</f>
        <v>0.83465185595079405</v>
      </c>
      <c r="AT108" s="190">
        <f t="shared" ref="AT108" si="452">SUM(AT102:AT106)</f>
        <v>0.83465185595079405</v>
      </c>
      <c r="AU108" s="190">
        <f t="shared" ref="AU108" si="453">SUM(AU102:AU106)</f>
        <v>0.83465185595079405</v>
      </c>
      <c r="AV108" s="190">
        <f t="shared" ref="AV108" si="454">SUM(AV102:AV106)</f>
        <v>0.83465185595079405</v>
      </c>
      <c r="AW108" s="190">
        <f t="shared" ref="AW108" si="455">SUM(AW102:AW106)</f>
        <v>0.83465185595079405</v>
      </c>
      <c r="AX108" s="190">
        <f t="shared" ref="AX108" si="456">SUM(AX102:AX106)</f>
        <v>0.97519870283473264</v>
      </c>
      <c r="AY108" s="190">
        <f t="shared" ref="AY108" si="457">SUM(AY102:AY106)</f>
        <v>0.97519870283473264</v>
      </c>
      <c r="AZ108" s="190">
        <f t="shared" ref="AZ108" si="458">SUM(AZ102:AZ106)</f>
        <v>0.97519870283473264</v>
      </c>
      <c r="BA108" s="190">
        <f t="shared" ref="BA108" si="459">SUM(BA102:BA106)</f>
        <v>0.14054684688393859</v>
      </c>
      <c r="BB108" s="190">
        <f t="shared" ref="BB108" si="460">SUM(BB102:BB106)</f>
        <v>0.14054684688393859</v>
      </c>
      <c r="BC108" s="190">
        <f t="shared" ref="BC108" si="461">SUM(BC102:BC106)</f>
        <v>0.14054684688393859</v>
      </c>
      <c r="BD108" s="190">
        <f t="shared" ref="BD108" si="462">SUM(BD102:BD106)</f>
        <v>0.14054684688393859</v>
      </c>
      <c r="BE108" s="190">
        <f t="shared" ref="BE108" si="463">SUM(BE102:BE106)</f>
        <v>0.14054684688393859</v>
      </c>
      <c r="BF108" s="190">
        <f t="shared" ref="BF108" si="464">SUM(BF102:BF106)</f>
        <v>0.14054684688393859</v>
      </c>
      <c r="BG108" s="190">
        <f t="shared" ref="BG108" si="465">SUM(BG102:BG106)</f>
        <v>0.14054684688393859</v>
      </c>
      <c r="BH108" s="190">
        <f t="shared" ref="BH108" si="466">SUM(BH102:BH106)</f>
        <v>0.14054684688393859</v>
      </c>
      <c r="BI108" s="190">
        <f t="shared" ref="BI108" si="467">SUM(BI102:BI106)</f>
        <v>0.14054684688393859</v>
      </c>
      <c r="BJ108" s="190">
        <f t="shared" ref="BJ108" si="468">SUM(BJ102:BJ106)</f>
        <v>0.14054684688393859</v>
      </c>
      <c r="BK108" s="190">
        <f t="shared" ref="BK108" si="469">SUM(BK102:BK106)</f>
        <v>0.14054684688393859</v>
      </c>
      <c r="BL108" s="190">
        <f t="shared" ref="BL108" si="470">SUM(BL102:BL106)</f>
        <v>0.14054684688393859</v>
      </c>
    </row>
    <row r="109" spans="2:64" x14ac:dyDescent="0.3">
      <c r="B109" s="56" t="s">
        <v>389</v>
      </c>
    </row>
    <row r="110" spans="2:64" ht="27.6" x14ac:dyDescent="0.3">
      <c r="C110" s="184" t="s">
        <v>208</v>
      </c>
      <c r="D110" s="184" t="s">
        <v>371</v>
      </c>
      <c r="E110" s="24" t="s">
        <v>372</v>
      </c>
      <c r="F110" s="184" t="s">
        <v>384</v>
      </c>
      <c r="G110" s="184" t="s">
        <v>373</v>
      </c>
      <c r="H110" s="184" t="s">
        <v>374</v>
      </c>
      <c r="I110" s="184" t="s">
        <v>375</v>
      </c>
      <c r="J110" s="187" t="s">
        <v>504</v>
      </c>
      <c r="K110" s="185">
        <f>K83</f>
        <v>45504</v>
      </c>
      <c r="L110" s="185">
        <f>EOMONTH(K110,1)</f>
        <v>45535</v>
      </c>
      <c r="M110" s="185">
        <f t="shared" ref="M110:BL110" si="471">EOMONTH(L110,1)</f>
        <v>45565</v>
      </c>
      <c r="N110" s="185">
        <f t="shared" si="471"/>
        <v>45596</v>
      </c>
      <c r="O110" s="185">
        <f t="shared" si="471"/>
        <v>45626</v>
      </c>
      <c r="P110" s="185">
        <f t="shared" si="471"/>
        <v>45657</v>
      </c>
      <c r="Q110" s="185">
        <f t="shared" si="471"/>
        <v>45688</v>
      </c>
      <c r="R110" s="185">
        <f t="shared" si="471"/>
        <v>45716</v>
      </c>
      <c r="S110" s="185">
        <f t="shared" si="471"/>
        <v>45747</v>
      </c>
      <c r="T110" s="185">
        <f t="shared" si="471"/>
        <v>45777</v>
      </c>
      <c r="U110" s="185">
        <f t="shared" si="471"/>
        <v>45808</v>
      </c>
      <c r="V110" s="185">
        <f t="shared" si="471"/>
        <v>45838</v>
      </c>
      <c r="W110" s="185">
        <f t="shared" si="471"/>
        <v>45869</v>
      </c>
      <c r="X110" s="185">
        <f t="shared" si="471"/>
        <v>45900</v>
      </c>
      <c r="Y110" s="185">
        <f t="shared" si="471"/>
        <v>45930</v>
      </c>
      <c r="Z110" s="185">
        <f t="shared" si="471"/>
        <v>45961</v>
      </c>
      <c r="AA110" s="185">
        <f t="shared" si="471"/>
        <v>45991</v>
      </c>
      <c r="AB110" s="185">
        <f t="shared" si="471"/>
        <v>46022</v>
      </c>
      <c r="AC110" s="185">
        <f t="shared" si="471"/>
        <v>46053</v>
      </c>
      <c r="AD110" s="185">
        <f t="shared" si="471"/>
        <v>46081</v>
      </c>
      <c r="AE110" s="185">
        <f t="shared" si="471"/>
        <v>46112</v>
      </c>
      <c r="AF110" s="185">
        <f t="shared" si="471"/>
        <v>46142</v>
      </c>
      <c r="AG110" s="185">
        <f t="shared" si="471"/>
        <v>46173</v>
      </c>
      <c r="AH110" s="185">
        <f t="shared" si="471"/>
        <v>46203</v>
      </c>
      <c r="AI110" s="185">
        <f t="shared" si="471"/>
        <v>46234</v>
      </c>
      <c r="AJ110" s="185">
        <f t="shared" si="471"/>
        <v>46265</v>
      </c>
      <c r="AK110" s="185">
        <f t="shared" si="471"/>
        <v>46295</v>
      </c>
      <c r="AL110" s="185">
        <f t="shared" si="471"/>
        <v>46326</v>
      </c>
      <c r="AM110" s="185">
        <f t="shared" si="471"/>
        <v>46356</v>
      </c>
      <c r="AN110" s="185">
        <f t="shared" si="471"/>
        <v>46387</v>
      </c>
      <c r="AO110" s="185">
        <f t="shared" si="471"/>
        <v>46418</v>
      </c>
      <c r="AP110" s="185">
        <f t="shared" si="471"/>
        <v>46446</v>
      </c>
      <c r="AQ110" s="185">
        <f t="shared" si="471"/>
        <v>46477</v>
      </c>
      <c r="AR110" s="185">
        <f t="shared" si="471"/>
        <v>46507</v>
      </c>
      <c r="AS110" s="185">
        <f t="shared" si="471"/>
        <v>46538</v>
      </c>
      <c r="AT110" s="185">
        <f t="shared" si="471"/>
        <v>46568</v>
      </c>
      <c r="AU110" s="185">
        <f t="shared" si="471"/>
        <v>46599</v>
      </c>
      <c r="AV110" s="185">
        <f t="shared" si="471"/>
        <v>46630</v>
      </c>
      <c r="AW110" s="185">
        <f t="shared" si="471"/>
        <v>46660</v>
      </c>
      <c r="AX110" s="185">
        <f t="shared" si="471"/>
        <v>46691</v>
      </c>
      <c r="AY110" s="185">
        <f t="shared" si="471"/>
        <v>46721</v>
      </c>
      <c r="AZ110" s="185">
        <f t="shared" si="471"/>
        <v>46752</v>
      </c>
      <c r="BA110" s="185">
        <f t="shared" si="471"/>
        <v>46783</v>
      </c>
      <c r="BB110" s="185">
        <f t="shared" si="471"/>
        <v>46812</v>
      </c>
      <c r="BC110" s="185">
        <f t="shared" si="471"/>
        <v>46843</v>
      </c>
      <c r="BD110" s="185">
        <f t="shared" si="471"/>
        <v>46873</v>
      </c>
      <c r="BE110" s="185">
        <f t="shared" si="471"/>
        <v>46904</v>
      </c>
      <c r="BF110" s="185">
        <f t="shared" si="471"/>
        <v>46934</v>
      </c>
      <c r="BG110" s="185">
        <f t="shared" si="471"/>
        <v>46965</v>
      </c>
      <c r="BH110" s="185">
        <f t="shared" si="471"/>
        <v>46996</v>
      </c>
      <c r="BI110" s="185">
        <f t="shared" si="471"/>
        <v>47026</v>
      </c>
      <c r="BJ110" s="185">
        <f t="shared" si="471"/>
        <v>47057</v>
      </c>
      <c r="BK110" s="185">
        <f t="shared" si="471"/>
        <v>47087</v>
      </c>
      <c r="BL110" s="185">
        <f t="shared" si="471"/>
        <v>47118</v>
      </c>
    </row>
    <row r="111" spans="2:64" x14ac:dyDescent="0.3">
      <c r="C111" s="130" t="s">
        <v>230</v>
      </c>
      <c r="D111" s="45">
        <f>D102</f>
        <v>243028.41058999998</v>
      </c>
      <c r="E111" s="45">
        <f>E102</f>
        <v>255179.83111949998</v>
      </c>
      <c r="F111" s="192"/>
      <c r="G111" s="188">
        <f>G102</f>
        <v>45474</v>
      </c>
      <c r="H111" s="188">
        <f>H102</f>
        <v>45838</v>
      </c>
      <c r="I111" s="45">
        <f>'Assumption Sheet'!$F$28</f>
        <v>12</v>
      </c>
      <c r="J111" s="186">
        <f>SUM(K111:BL111)</f>
        <v>58.415766939875937</v>
      </c>
      <c r="K111" s="186">
        <f>K20+K36+K68</f>
        <v>5.1150837652638863</v>
      </c>
      <c r="L111" s="186">
        <f t="shared" ref="L111:BL111" si="472">L20+L36+L68</f>
        <v>5.1150837652638863</v>
      </c>
      <c r="M111" s="186">
        <f t="shared" si="472"/>
        <v>4.818559940934815</v>
      </c>
      <c r="N111" s="186">
        <f t="shared" si="472"/>
        <v>4.818559940934815</v>
      </c>
      <c r="O111" s="186">
        <f t="shared" si="472"/>
        <v>4.818559940934815</v>
      </c>
      <c r="P111" s="186">
        <f t="shared" si="472"/>
        <v>4.818559940934815</v>
      </c>
      <c r="Q111" s="186">
        <f t="shared" si="472"/>
        <v>4.818559940934815</v>
      </c>
      <c r="R111" s="186">
        <f t="shared" si="472"/>
        <v>4.818559940934815</v>
      </c>
      <c r="S111" s="186">
        <f t="shared" si="472"/>
        <v>4.818559940934815</v>
      </c>
      <c r="T111" s="186">
        <f t="shared" si="472"/>
        <v>4.818559940934815</v>
      </c>
      <c r="U111" s="186">
        <f t="shared" si="472"/>
        <v>4.818559940934815</v>
      </c>
      <c r="V111" s="186">
        <f t="shared" si="472"/>
        <v>4.818559940934815</v>
      </c>
      <c r="W111" s="186">
        <f t="shared" si="472"/>
        <v>0</v>
      </c>
      <c r="X111" s="186">
        <f t="shared" si="472"/>
        <v>0</v>
      </c>
      <c r="Y111" s="186">
        <f t="shared" si="472"/>
        <v>0</v>
      </c>
      <c r="Z111" s="186">
        <f t="shared" si="472"/>
        <v>0</v>
      </c>
      <c r="AA111" s="186">
        <f t="shared" si="472"/>
        <v>0</v>
      </c>
      <c r="AB111" s="186">
        <f t="shared" si="472"/>
        <v>0</v>
      </c>
      <c r="AC111" s="186">
        <f t="shared" si="472"/>
        <v>0</v>
      </c>
      <c r="AD111" s="186">
        <f t="shared" si="472"/>
        <v>0</v>
      </c>
      <c r="AE111" s="186">
        <f t="shared" si="472"/>
        <v>0</v>
      </c>
      <c r="AF111" s="186">
        <f t="shared" si="472"/>
        <v>0</v>
      </c>
      <c r="AG111" s="186">
        <f t="shared" si="472"/>
        <v>0</v>
      </c>
      <c r="AH111" s="186">
        <f t="shared" si="472"/>
        <v>0</v>
      </c>
      <c r="AI111" s="186">
        <f t="shared" si="472"/>
        <v>0</v>
      </c>
      <c r="AJ111" s="186">
        <f t="shared" si="472"/>
        <v>0</v>
      </c>
      <c r="AK111" s="186">
        <f t="shared" si="472"/>
        <v>0</v>
      </c>
      <c r="AL111" s="186">
        <f t="shared" si="472"/>
        <v>0</v>
      </c>
      <c r="AM111" s="186">
        <f t="shared" si="472"/>
        <v>0</v>
      </c>
      <c r="AN111" s="186">
        <f t="shared" si="472"/>
        <v>0</v>
      </c>
      <c r="AO111" s="186">
        <f t="shared" si="472"/>
        <v>0</v>
      </c>
      <c r="AP111" s="186">
        <f t="shared" si="472"/>
        <v>0</v>
      </c>
      <c r="AQ111" s="186">
        <f t="shared" si="472"/>
        <v>0</v>
      </c>
      <c r="AR111" s="186">
        <f t="shared" si="472"/>
        <v>0</v>
      </c>
      <c r="AS111" s="186">
        <f t="shared" si="472"/>
        <v>0</v>
      </c>
      <c r="AT111" s="186">
        <f t="shared" si="472"/>
        <v>0</v>
      </c>
      <c r="AU111" s="186">
        <f t="shared" si="472"/>
        <v>0</v>
      </c>
      <c r="AV111" s="186">
        <f t="shared" si="472"/>
        <v>0</v>
      </c>
      <c r="AW111" s="186">
        <f t="shared" si="472"/>
        <v>0</v>
      </c>
      <c r="AX111" s="186">
        <f t="shared" si="472"/>
        <v>0</v>
      </c>
      <c r="AY111" s="186">
        <f t="shared" si="472"/>
        <v>0</v>
      </c>
      <c r="AZ111" s="186">
        <f t="shared" si="472"/>
        <v>0</v>
      </c>
      <c r="BA111" s="186">
        <f t="shared" si="472"/>
        <v>0</v>
      </c>
      <c r="BB111" s="186">
        <f t="shared" si="472"/>
        <v>0</v>
      </c>
      <c r="BC111" s="186">
        <f t="shared" si="472"/>
        <v>0</v>
      </c>
      <c r="BD111" s="186">
        <f t="shared" si="472"/>
        <v>0</v>
      </c>
      <c r="BE111" s="186">
        <f t="shared" si="472"/>
        <v>0</v>
      </c>
      <c r="BF111" s="186">
        <f t="shared" si="472"/>
        <v>0</v>
      </c>
      <c r="BG111" s="186">
        <f t="shared" si="472"/>
        <v>0</v>
      </c>
      <c r="BH111" s="186">
        <f t="shared" si="472"/>
        <v>0</v>
      </c>
      <c r="BI111" s="186">
        <f t="shared" si="472"/>
        <v>0</v>
      </c>
      <c r="BJ111" s="186">
        <f t="shared" si="472"/>
        <v>0</v>
      </c>
      <c r="BK111" s="186">
        <f t="shared" si="472"/>
        <v>0</v>
      </c>
      <c r="BL111" s="186">
        <f t="shared" si="472"/>
        <v>0</v>
      </c>
    </row>
    <row r="112" spans="2:64" x14ac:dyDescent="0.3">
      <c r="C112" s="130" t="s">
        <v>231</v>
      </c>
      <c r="D112" s="45">
        <f t="shared" ref="D112:E112" si="473">D103</f>
        <v>470733.22550099995</v>
      </c>
      <c r="E112" s="45">
        <f t="shared" si="473"/>
        <v>494269.88677604997</v>
      </c>
      <c r="F112" s="192"/>
      <c r="G112" s="188">
        <f t="shared" ref="G112:H112" si="474">G103</f>
        <v>45839</v>
      </c>
      <c r="H112" s="188">
        <f t="shared" si="474"/>
        <v>46203</v>
      </c>
      <c r="I112" s="45">
        <f>'Assumption Sheet'!$F$29</f>
        <v>12</v>
      </c>
      <c r="J112" s="186">
        <f t="shared" ref="J112:J115" si="475">SUM(K112:BL112)</f>
        <v>113.14826248077334</v>
      </c>
      <c r="K112" s="186">
        <f t="shared" ref="K112:BL112" si="476">K21+K37+K69</f>
        <v>0</v>
      </c>
      <c r="L112" s="186">
        <f t="shared" si="476"/>
        <v>0</v>
      </c>
      <c r="M112" s="186">
        <f t="shared" si="476"/>
        <v>0</v>
      </c>
      <c r="N112" s="186">
        <f t="shared" si="476"/>
        <v>0</v>
      </c>
      <c r="O112" s="186">
        <f t="shared" si="476"/>
        <v>0</v>
      </c>
      <c r="P112" s="186">
        <f t="shared" si="476"/>
        <v>0</v>
      </c>
      <c r="Q112" s="186">
        <f t="shared" si="476"/>
        <v>0</v>
      </c>
      <c r="R112" s="186">
        <f t="shared" si="476"/>
        <v>0</v>
      </c>
      <c r="S112" s="186">
        <f t="shared" si="476"/>
        <v>0</v>
      </c>
      <c r="T112" s="186">
        <f t="shared" si="476"/>
        <v>0</v>
      </c>
      <c r="U112" s="186">
        <f t="shared" si="476"/>
        <v>0</v>
      </c>
      <c r="V112" s="186">
        <f t="shared" si="476"/>
        <v>0</v>
      </c>
      <c r="W112" s="186">
        <f t="shared" si="476"/>
        <v>9.9076477259796771</v>
      </c>
      <c r="X112" s="186">
        <f t="shared" si="476"/>
        <v>9.9076477259796771</v>
      </c>
      <c r="Y112" s="186">
        <f t="shared" si="476"/>
        <v>9.3332967028813982</v>
      </c>
      <c r="Z112" s="186">
        <f t="shared" si="476"/>
        <v>9.3332967028813982</v>
      </c>
      <c r="AA112" s="186">
        <f t="shared" si="476"/>
        <v>9.3332967028813982</v>
      </c>
      <c r="AB112" s="186">
        <f t="shared" si="476"/>
        <v>9.3332967028813982</v>
      </c>
      <c r="AC112" s="186">
        <f t="shared" si="476"/>
        <v>9.3332967028813982</v>
      </c>
      <c r="AD112" s="186">
        <f t="shared" si="476"/>
        <v>9.3332967028813982</v>
      </c>
      <c r="AE112" s="186">
        <f t="shared" si="476"/>
        <v>9.3332967028813982</v>
      </c>
      <c r="AF112" s="186">
        <f t="shared" si="476"/>
        <v>9.3332967028813982</v>
      </c>
      <c r="AG112" s="186">
        <f t="shared" si="476"/>
        <v>9.3332967028813982</v>
      </c>
      <c r="AH112" s="186">
        <f t="shared" si="476"/>
        <v>9.3332967028813982</v>
      </c>
      <c r="AI112" s="186">
        <f t="shared" si="476"/>
        <v>0</v>
      </c>
      <c r="AJ112" s="186">
        <f t="shared" si="476"/>
        <v>0</v>
      </c>
      <c r="AK112" s="186">
        <f t="shared" si="476"/>
        <v>0</v>
      </c>
      <c r="AL112" s="186">
        <f t="shared" si="476"/>
        <v>0</v>
      </c>
      <c r="AM112" s="186">
        <f t="shared" si="476"/>
        <v>0</v>
      </c>
      <c r="AN112" s="186">
        <f t="shared" si="476"/>
        <v>0</v>
      </c>
      <c r="AO112" s="186">
        <f t="shared" si="476"/>
        <v>0</v>
      </c>
      <c r="AP112" s="186">
        <f t="shared" si="476"/>
        <v>0</v>
      </c>
      <c r="AQ112" s="186">
        <f t="shared" si="476"/>
        <v>0</v>
      </c>
      <c r="AR112" s="186">
        <f t="shared" si="476"/>
        <v>0</v>
      </c>
      <c r="AS112" s="186">
        <f t="shared" si="476"/>
        <v>0</v>
      </c>
      <c r="AT112" s="186">
        <f t="shared" si="476"/>
        <v>0</v>
      </c>
      <c r="AU112" s="186">
        <f t="shared" si="476"/>
        <v>0</v>
      </c>
      <c r="AV112" s="186">
        <f t="shared" si="476"/>
        <v>0</v>
      </c>
      <c r="AW112" s="186">
        <f t="shared" si="476"/>
        <v>0</v>
      </c>
      <c r="AX112" s="186">
        <f t="shared" si="476"/>
        <v>0</v>
      </c>
      <c r="AY112" s="186">
        <f t="shared" si="476"/>
        <v>0</v>
      </c>
      <c r="AZ112" s="186">
        <f t="shared" si="476"/>
        <v>0</v>
      </c>
      <c r="BA112" s="186">
        <f t="shared" si="476"/>
        <v>0</v>
      </c>
      <c r="BB112" s="186">
        <f t="shared" si="476"/>
        <v>0</v>
      </c>
      <c r="BC112" s="186">
        <f t="shared" si="476"/>
        <v>0</v>
      </c>
      <c r="BD112" s="186">
        <f t="shared" si="476"/>
        <v>0</v>
      </c>
      <c r="BE112" s="186">
        <f t="shared" si="476"/>
        <v>0</v>
      </c>
      <c r="BF112" s="186">
        <f t="shared" si="476"/>
        <v>0</v>
      </c>
      <c r="BG112" s="186">
        <f t="shared" si="476"/>
        <v>0</v>
      </c>
      <c r="BH112" s="186">
        <f t="shared" si="476"/>
        <v>0</v>
      </c>
      <c r="BI112" s="186">
        <f t="shared" si="476"/>
        <v>0</v>
      </c>
      <c r="BJ112" s="186">
        <f t="shared" si="476"/>
        <v>0</v>
      </c>
      <c r="BK112" s="186">
        <f t="shared" si="476"/>
        <v>0</v>
      </c>
      <c r="BL112" s="186">
        <f t="shared" si="476"/>
        <v>0</v>
      </c>
    </row>
    <row r="113" spans="2:65" x14ac:dyDescent="0.3">
      <c r="C113" s="130" t="s">
        <v>232</v>
      </c>
      <c r="D113" s="45">
        <f t="shared" ref="D113:E113" si="477">D104</f>
        <v>196225.03588799998</v>
      </c>
      <c r="E113" s="45">
        <f t="shared" si="477"/>
        <v>206036.2876824</v>
      </c>
      <c r="F113" s="192"/>
      <c r="G113" s="188">
        <f t="shared" ref="G113:H113" si="478">G104</f>
        <v>46113</v>
      </c>
      <c r="H113" s="188">
        <f t="shared" si="478"/>
        <v>46477</v>
      </c>
      <c r="I113" s="45">
        <f>'Assumption Sheet'!$F$30</f>
        <v>12</v>
      </c>
      <c r="J113" s="186">
        <f t="shared" si="475"/>
        <v>47.165826976255005</v>
      </c>
      <c r="K113" s="186">
        <f t="shared" ref="K113:BL113" si="479">K22+K38+K70</f>
        <v>0</v>
      </c>
      <c r="L113" s="186">
        <f t="shared" si="479"/>
        <v>0</v>
      </c>
      <c r="M113" s="186">
        <f t="shared" si="479"/>
        <v>0</v>
      </c>
      <c r="N113" s="186">
        <f t="shared" si="479"/>
        <v>0</v>
      </c>
      <c r="O113" s="186">
        <f t="shared" si="479"/>
        <v>0</v>
      </c>
      <c r="P113" s="186">
        <f t="shared" si="479"/>
        <v>0</v>
      </c>
      <c r="Q113" s="186">
        <f t="shared" si="479"/>
        <v>0</v>
      </c>
      <c r="R113" s="186">
        <f t="shared" si="479"/>
        <v>0</v>
      </c>
      <c r="S113" s="186">
        <f t="shared" si="479"/>
        <v>0</v>
      </c>
      <c r="T113" s="186">
        <f t="shared" si="479"/>
        <v>0</v>
      </c>
      <c r="U113" s="186">
        <f t="shared" si="479"/>
        <v>0</v>
      </c>
      <c r="V113" s="186">
        <f t="shared" si="479"/>
        <v>0</v>
      </c>
      <c r="W113" s="186">
        <f t="shared" si="479"/>
        <v>0</v>
      </c>
      <c r="X113" s="186">
        <f t="shared" si="479"/>
        <v>0</v>
      </c>
      <c r="Y113" s="186">
        <f t="shared" si="479"/>
        <v>0</v>
      </c>
      <c r="Z113" s="186">
        <f t="shared" si="479"/>
        <v>0</v>
      </c>
      <c r="AA113" s="186">
        <f t="shared" si="479"/>
        <v>0</v>
      </c>
      <c r="AB113" s="186">
        <f t="shared" si="479"/>
        <v>0</v>
      </c>
      <c r="AC113" s="186">
        <f t="shared" si="479"/>
        <v>0</v>
      </c>
      <c r="AD113" s="186">
        <f t="shared" si="479"/>
        <v>0</v>
      </c>
      <c r="AE113" s="186">
        <f t="shared" si="479"/>
        <v>0</v>
      </c>
      <c r="AF113" s="186">
        <f t="shared" si="479"/>
        <v>4.1300006570109717</v>
      </c>
      <c r="AG113" s="186">
        <f t="shared" si="479"/>
        <v>4.1300006570109717</v>
      </c>
      <c r="AH113" s="186">
        <f t="shared" si="479"/>
        <v>3.8905825662233053</v>
      </c>
      <c r="AI113" s="186">
        <f t="shared" si="479"/>
        <v>3.8905825662233053</v>
      </c>
      <c r="AJ113" s="186">
        <f t="shared" si="479"/>
        <v>3.8905825662233053</v>
      </c>
      <c r="AK113" s="186">
        <f t="shared" si="479"/>
        <v>3.8905825662233053</v>
      </c>
      <c r="AL113" s="186">
        <f t="shared" si="479"/>
        <v>3.8905825662233053</v>
      </c>
      <c r="AM113" s="186">
        <f t="shared" si="479"/>
        <v>3.8905825662233053</v>
      </c>
      <c r="AN113" s="186">
        <f t="shared" si="479"/>
        <v>3.8905825662233053</v>
      </c>
      <c r="AO113" s="186">
        <f t="shared" si="479"/>
        <v>3.8905825662233053</v>
      </c>
      <c r="AP113" s="186">
        <f t="shared" si="479"/>
        <v>3.8905825662233053</v>
      </c>
      <c r="AQ113" s="186">
        <f t="shared" si="479"/>
        <v>3.8905825662233053</v>
      </c>
      <c r="AR113" s="186">
        <f t="shared" si="479"/>
        <v>0</v>
      </c>
      <c r="AS113" s="186">
        <f t="shared" si="479"/>
        <v>0</v>
      </c>
      <c r="AT113" s="186">
        <f t="shared" si="479"/>
        <v>0</v>
      </c>
      <c r="AU113" s="186">
        <f t="shared" si="479"/>
        <v>0</v>
      </c>
      <c r="AV113" s="186">
        <f t="shared" si="479"/>
        <v>0</v>
      </c>
      <c r="AW113" s="186">
        <f t="shared" si="479"/>
        <v>0</v>
      </c>
      <c r="AX113" s="186">
        <f t="shared" si="479"/>
        <v>0</v>
      </c>
      <c r="AY113" s="186">
        <f t="shared" si="479"/>
        <v>0</v>
      </c>
      <c r="AZ113" s="186">
        <f t="shared" si="479"/>
        <v>0</v>
      </c>
      <c r="BA113" s="186">
        <f t="shared" si="479"/>
        <v>0</v>
      </c>
      <c r="BB113" s="186">
        <f t="shared" si="479"/>
        <v>0</v>
      </c>
      <c r="BC113" s="186">
        <f t="shared" si="479"/>
        <v>0</v>
      </c>
      <c r="BD113" s="186">
        <f t="shared" si="479"/>
        <v>0</v>
      </c>
      <c r="BE113" s="186">
        <f t="shared" si="479"/>
        <v>0</v>
      </c>
      <c r="BF113" s="186">
        <f t="shared" si="479"/>
        <v>0</v>
      </c>
      <c r="BG113" s="186">
        <f t="shared" si="479"/>
        <v>0</v>
      </c>
      <c r="BH113" s="186">
        <f t="shared" si="479"/>
        <v>0</v>
      </c>
      <c r="BI113" s="186">
        <f t="shared" si="479"/>
        <v>0</v>
      </c>
      <c r="BJ113" s="186">
        <f t="shared" si="479"/>
        <v>0</v>
      </c>
      <c r="BK113" s="186">
        <f t="shared" si="479"/>
        <v>0</v>
      </c>
      <c r="BL113" s="186">
        <f t="shared" si="479"/>
        <v>0</v>
      </c>
    </row>
    <row r="114" spans="2:65" x14ac:dyDescent="0.3">
      <c r="C114" s="130" t="s">
        <v>234</v>
      </c>
      <c r="D114" s="45">
        <f t="shared" ref="D114:E114" si="480">D105</f>
        <v>420964.181071</v>
      </c>
      <c r="E114" s="45">
        <f t="shared" si="480"/>
        <v>442012.39012455003</v>
      </c>
      <c r="F114" s="192"/>
      <c r="G114" s="188">
        <f t="shared" ref="G114:H114" si="481">G105</f>
        <v>46388</v>
      </c>
      <c r="H114" s="188">
        <f t="shared" si="481"/>
        <v>46752</v>
      </c>
      <c r="I114" s="45">
        <f>'Assumption Sheet'!$F$31</f>
        <v>12</v>
      </c>
      <c r="J114" s="186">
        <f t="shared" si="475"/>
        <v>101.18547634731199</v>
      </c>
      <c r="K114" s="186">
        <f t="shared" ref="K114:BL114" si="482">K23+K39+K71</f>
        <v>0</v>
      </c>
      <c r="L114" s="186">
        <f t="shared" si="482"/>
        <v>0</v>
      </c>
      <c r="M114" s="186">
        <f t="shared" si="482"/>
        <v>0</v>
      </c>
      <c r="N114" s="186">
        <f t="shared" si="482"/>
        <v>0</v>
      </c>
      <c r="O114" s="186">
        <f t="shared" si="482"/>
        <v>0</v>
      </c>
      <c r="P114" s="186">
        <f t="shared" si="482"/>
        <v>0</v>
      </c>
      <c r="Q114" s="186">
        <f t="shared" si="482"/>
        <v>0</v>
      </c>
      <c r="R114" s="186">
        <f t="shared" si="482"/>
        <v>0</v>
      </c>
      <c r="S114" s="186">
        <f t="shared" si="482"/>
        <v>0</v>
      </c>
      <c r="T114" s="186">
        <f t="shared" si="482"/>
        <v>0</v>
      </c>
      <c r="U114" s="186">
        <f t="shared" si="482"/>
        <v>0</v>
      </c>
      <c r="V114" s="186">
        <f t="shared" si="482"/>
        <v>0</v>
      </c>
      <c r="W114" s="186">
        <f t="shared" si="482"/>
        <v>0</v>
      </c>
      <c r="X114" s="186">
        <f t="shared" si="482"/>
        <v>0</v>
      </c>
      <c r="Y114" s="186">
        <f t="shared" si="482"/>
        <v>0</v>
      </c>
      <c r="Z114" s="186">
        <f t="shared" si="482"/>
        <v>0</v>
      </c>
      <c r="AA114" s="186">
        <f t="shared" si="482"/>
        <v>0</v>
      </c>
      <c r="AB114" s="186">
        <f t="shared" si="482"/>
        <v>0</v>
      </c>
      <c r="AC114" s="186">
        <f t="shared" si="482"/>
        <v>0</v>
      </c>
      <c r="AD114" s="186">
        <f t="shared" si="482"/>
        <v>0</v>
      </c>
      <c r="AE114" s="186">
        <f t="shared" si="482"/>
        <v>0</v>
      </c>
      <c r="AF114" s="186">
        <f t="shared" si="482"/>
        <v>0</v>
      </c>
      <c r="AG114" s="186">
        <f t="shared" si="482"/>
        <v>0</v>
      </c>
      <c r="AH114" s="186">
        <f t="shared" si="482"/>
        <v>0</v>
      </c>
      <c r="AI114" s="186">
        <f t="shared" si="482"/>
        <v>0</v>
      </c>
      <c r="AJ114" s="186">
        <f t="shared" si="482"/>
        <v>0</v>
      </c>
      <c r="AK114" s="186">
        <f t="shared" si="482"/>
        <v>0</v>
      </c>
      <c r="AL114" s="186">
        <f t="shared" si="482"/>
        <v>0</v>
      </c>
      <c r="AM114" s="186">
        <f t="shared" si="482"/>
        <v>0</v>
      </c>
      <c r="AN114" s="186">
        <f t="shared" si="482"/>
        <v>0</v>
      </c>
      <c r="AO114" s="186">
        <f t="shared" si="482"/>
        <v>8.8601453761162876</v>
      </c>
      <c r="AP114" s="186">
        <f t="shared" si="482"/>
        <v>8.8601453761162876</v>
      </c>
      <c r="AQ114" s="186">
        <f t="shared" si="482"/>
        <v>8.3465185595079401</v>
      </c>
      <c r="AR114" s="186">
        <f t="shared" si="482"/>
        <v>8.3465185595079401</v>
      </c>
      <c r="AS114" s="186">
        <f t="shared" si="482"/>
        <v>8.3465185595079401</v>
      </c>
      <c r="AT114" s="186">
        <f t="shared" si="482"/>
        <v>8.3465185595079401</v>
      </c>
      <c r="AU114" s="186">
        <f t="shared" si="482"/>
        <v>8.3465185595079401</v>
      </c>
      <c r="AV114" s="186">
        <f t="shared" si="482"/>
        <v>8.3465185595079401</v>
      </c>
      <c r="AW114" s="186">
        <f t="shared" si="482"/>
        <v>8.3465185595079401</v>
      </c>
      <c r="AX114" s="186">
        <f t="shared" si="482"/>
        <v>8.3465185595079401</v>
      </c>
      <c r="AY114" s="186">
        <f t="shared" si="482"/>
        <v>8.3465185595079401</v>
      </c>
      <c r="AZ114" s="186">
        <f t="shared" si="482"/>
        <v>8.3465185595079401</v>
      </c>
      <c r="BA114" s="186">
        <f t="shared" si="482"/>
        <v>0</v>
      </c>
      <c r="BB114" s="186">
        <f t="shared" si="482"/>
        <v>0</v>
      </c>
      <c r="BC114" s="186">
        <f t="shared" si="482"/>
        <v>0</v>
      </c>
      <c r="BD114" s="186">
        <f t="shared" si="482"/>
        <v>0</v>
      </c>
      <c r="BE114" s="186">
        <f t="shared" si="482"/>
        <v>0</v>
      </c>
      <c r="BF114" s="186">
        <f t="shared" si="482"/>
        <v>0</v>
      </c>
      <c r="BG114" s="186">
        <f t="shared" si="482"/>
        <v>0</v>
      </c>
      <c r="BH114" s="186">
        <f t="shared" si="482"/>
        <v>0</v>
      </c>
      <c r="BI114" s="186">
        <f t="shared" si="482"/>
        <v>0</v>
      </c>
      <c r="BJ114" s="186">
        <f t="shared" si="482"/>
        <v>0</v>
      </c>
      <c r="BK114" s="186">
        <f t="shared" si="482"/>
        <v>0</v>
      </c>
      <c r="BL114" s="186">
        <f t="shared" si="482"/>
        <v>0</v>
      </c>
    </row>
    <row r="115" spans="2:65" x14ac:dyDescent="0.3">
      <c r="C115" s="130" t="s">
        <v>259</v>
      </c>
      <c r="D115" s="45">
        <f t="shared" ref="D115:E115" si="483">D106</f>
        <v>87708.024565</v>
      </c>
      <c r="E115" s="45">
        <f t="shared" si="483"/>
        <v>92093.425793250004</v>
      </c>
      <c r="F115" s="192"/>
      <c r="G115" s="188">
        <f t="shared" ref="G115:H115" si="484">G106</f>
        <v>46661</v>
      </c>
      <c r="H115" s="188">
        <f t="shared" si="484"/>
        <v>47118</v>
      </c>
      <c r="I115" s="45">
        <f>'Assumption Sheet'!$F$32</f>
        <v>15</v>
      </c>
      <c r="J115" s="186">
        <f t="shared" si="475"/>
        <v>21.082027032590794</v>
      </c>
      <c r="K115" s="186">
        <f t="shared" ref="K115:BL115" si="485">K24+K40+K72</f>
        <v>0</v>
      </c>
      <c r="L115" s="186">
        <f t="shared" si="485"/>
        <v>0</v>
      </c>
      <c r="M115" s="186">
        <f t="shared" si="485"/>
        <v>0</v>
      </c>
      <c r="N115" s="186">
        <f t="shared" si="485"/>
        <v>0</v>
      </c>
      <c r="O115" s="186">
        <f t="shared" si="485"/>
        <v>0</v>
      </c>
      <c r="P115" s="186">
        <f t="shared" si="485"/>
        <v>0</v>
      </c>
      <c r="Q115" s="186">
        <f t="shared" si="485"/>
        <v>0</v>
      </c>
      <c r="R115" s="186">
        <f t="shared" si="485"/>
        <v>0</v>
      </c>
      <c r="S115" s="186">
        <f t="shared" si="485"/>
        <v>0</v>
      </c>
      <c r="T115" s="186">
        <f t="shared" si="485"/>
        <v>0</v>
      </c>
      <c r="U115" s="186">
        <f t="shared" si="485"/>
        <v>0</v>
      </c>
      <c r="V115" s="186">
        <f t="shared" si="485"/>
        <v>0</v>
      </c>
      <c r="W115" s="186">
        <f t="shared" si="485"/>
        <v>0</v>
      </c>
      <c r="X115" s="186">
        <f t="shared" si="485"/>
        <v>0</v>
      </c>
      <c r="Y115" s="186">
        <f t="shared" si="485"/>
        <v>0</v>
      </c>
      <c r="Z115" s="186">
        <f t="shared" si="485"/>
        <v>0</v>
      </c>
      <c r="AA115" s="186">
        <f t="shared" si="485"/>
        <v>0</v>
      </c>
      <c r="AB115" s="186">
        <f t="shared" si="485"/>
        <v>0</v>
      </c>
      <c r="AC115" s="186">
        <f t="shared" si="485"/>
        <v>0</v>
      </c>
      <c r="AD115" s="186">
        <f t="shared" si="485"/>
        <v>0</v>
      </c>
      <c r="AE115" s="186">
        <f t="shared" si="485"/>
        <v>0</v>
      </c>
      <c r="AF115" s="186">
        <f t="shared" si="485"/>
        <v>0</v>
      </c>
      <c r="AG115" s="186">
        <f t="shared" si="485"/>
        <v>0</v>
      </c>
      <c r="AH115" s="186">
        <f t="shared" si="485"/>
        <v>0</v>
      </c>
      <c r="AI115" s="186">
        <f t="shared" si="485"/>
        <v>0</v>
      </c>
      <c r="AJ115" s="186">
        <f t="shared" si="485"/>
        <v>0</v>
      </c>
      <c r="AK115" s="186">
        <f t="shared" si="485"/>
        <v>0</v>
      </c>
      <c r="AL115" s="186">
        <f t="shared" si="485"/>
        <v>0</v>
      </c>
      <c r="AM115" s="186">
        <f t="shared" si="485"/>
        <v>0</v>
      </c>
      <c r="AN115" s="186">
        <f t="shared" si="485"/>
        <v>0</v>
      </c>
      <c r="AO115" s="186">
        <f t="shared" si="485"/>
        <v>0</v>
      </c>
      <c r="AP115" s="186">
        <f t="shared" si="485"/>
        <v>0</v>
      </c>
      <c r="AQ115" s="186">
        <f t="shared" si="485"/>
        <v>0</v>
      </c>
      <c r="AR115" s="186">
        <f t="shared" si="485"/>
        <v>0</v>
      </c>
      <c r="AS115" s="186">
        <f t="shared" si="485"/>
        <v>0</v>
      </c>
      <c r="AT115" s="186">
        <f t="shared" si="485"/>
        <v>0</v>
      </c>
      <c r="AU115" s="186">
        <f t="shared" si="485"/>
        <v>0</v>
      </c>
      <c r="AV115" s="186">
        <f t="shared" si="485"/>
        <v>0</v>
      </c>
      <c r="AW115" s="186">
        <f t="shared" si="485"/>
        <v>0</v>
      </c>
      <c r="AX115" s="186">
        <f t="shared" si="485"/>
        <v>1.4054684688393859</v>
      </c>
      <c r="AY115" s="186">
        <f t="shared" si="485"/>
        <v>1.4054684688393859</v>
      </c>
      <c r="AZ115" s="186">
        <f t="shared" si="485"/>
        <v>1.4054684688393859</v>
      </c>
      <c r="BA115" s="186">
        <f t="shared" si="485"/>
        <v>1.4054684688393859</v>
      </c>
      <c r="BB115" s="186">
        <f t="shared" si="485"/>
        <v>1.4054684688393859</v>
      </c>
      <c r="BC115" s="186">
        <f t="shared" si="485"/>
        <v>1.4054684688393859</v>
      </c>
      <c r="BD115" s="186">
        <f t="shared" si="485"/>
        <v>1.4054684688393859</v>
      </c>
      <c r="BE115" s="186">
        <f t="shared" si="485"/>
        <v>1.4054684688393859</v>
      </c>
      <c r="BF115" s="186">
        <f t="shared" si="485"/>
        <v>1.4054684688393859</v>
      </c>
      <c r="BG115" s="186">
        <f t="shared" si="485"/>
        <v>1.4054684688393859</v>
      </c>
      <c r="BH115" s="186">
        <f t="shared" si="485"/>
        <v>1.4054684688393859</v>
      </c>
      <c r="BI115" s="186">
        <f t="shared" si="485"/>
        <v>1.4054684688393859</v>
      </c>
      <c r="BJ115" s="186">
        <f t="shared" si="485"/>
        <v>1.4054684688393859</v>
      </c>
      <c r="BK115" s="186">
        <f t="shared" si="485"/>
        <v>1.4054684688393859</v>
      </c>
      <c r="BL115" s="186">
        <f t="shared" si="485"/>
        <v>1.4054684688393859</v>
      </c>
    </row>
    <row r="116" spans="2:65" x14ac:dyDescent="0.3">
      <c r="J116" s="189">
        <f>SUM(J111:J115)</f>
        <v>340.99735977680706</v>
      </c>
      <c r="K116" s="190">
        <f>SUM(K111:K115)</f>
        <v>5.1150837652638863</v>
      </c>
      <c r="L116" s="190">
        <f t="shared" ref="L116" si="486">SUM(L111:L115)</f>
        <v>5.1150837652638863</v>
      </c>
      <c r="M116" s="190">
        <f t="shared" ref="M116" si="487">SUM(M111:M115)</f>
        <v>4.818559940934815</v>
      </c>
      <c r="N116" s="190">
        <f t="shared" ref="N116" si="488">SUM(N111:N115)</f>
        <v>4.818559940934815</v>
      </c>
      <c r="O116" s="190">
        <f t="shared" ref="O116" si="489">SUM(O111:O115)</f>
        <v>4.818559940934815</v>
      </c>
      <c r="P116" s="190">
        <f t="shared" ref="P116" si="490">SUM(P111:P115)</f>
        <v>4.818559940934815</v>
      </c>
      <c r="Q116" s="190">
        <f t="shared" ref="Q116" si="491">SUM(Q111:Q115)</f>
        <v>4.818559940934815</v>
      </c>
      <c r="R116" s="190">
        <f t="shared" ref="R116" si="492">SUM(R111:R115)</f>
        <v>4.818559940934815</v>
      </c>
      <c r="S116" s="190">
        <f t="shared" ref="S116" si="493">SUM(S111:S115)</f>
        <v>4.818559940934815</v>
      </c>
      <c r="T116" s="190">
        <f t="shared" ref="T116" si="494">SUM(T111:T115)</f>
        <v>4.818559940934815</v>
      </c>
      <c r="U116" s="190">
        <f t="shared" ref="U116" si="495">SUM(U111:U115)</f>
        <v>4.818559940934815</v>
      </c>
      <c r="V116" s="190">
        <f t="shared" ref="V116" si="496">SUM(V111:V115)</f>
        <v>4.818559940934815</v>
      </c>
      <c r="W116" s="190">
        <f t="shared" ref="W116" si="497">SUM(W111:W115)</f>
        <v>9.9076477259796771</v>
      </c>
      <c r="X116" s="190">
        <f t="shared" ref="X116" si="498">SUM(X111:X115)</f>
        <v>9.9076477259796771</v>
      </c>
      <c r="Y116" s="190">
        <f t="shared" ref="Y116" si="499">SUM(Y111:Y115)</f>
        <v>9.3332967028813982</v>
      </c>
      <c r="Z116" s="190">
        <f t="shared" ref="Z116" si="500">SUM(Z111:Z115)</f>
        <v>9.3332967028813982</v>
      </c>
      <c r="AA116" s="190">
        <f t="shared" ref="AA116" si="501">SUM(AA111:AA115)</f>
        <v>9.3332967028813982</v>
      </c>
      <c r="AB116" s="190">
        <f t="shared" ref="AB116" si="502">SUM(AB111:AB115)</f>
        <v>9.3332967028813982</v>
      </c>
      <c r="AC116" s="190">
        <f t="shared" ref="AC116" si="503">SUM(AC111:AC115)</f>
        <v>9.3332967028813982</v>
      </c>
      <c r="AD116" s="190">
        <f t="shared" ref="AD116" si="504">SUM(AD111:AD115)</f>
        <v>9.3332967028813982</v>
      </c>
      <c r="AE116" s="190">
        <f t="shared" ref="AE116" si="505">SUM(AE111:AE115)</f>
        <v>9.3332967028813982</v>
      </c>
      <c r="AF116" s="190">
        <f t="shared" ref="AF116" si="506">SUM(AF111:AF115)</f>
        <v>13.463297359892369</v>
      </c>
      <c r="AG116" s="190">
        <f t="shared" ref="AG116" si="507">SUM(AG111:AG115)</f>
        <v>13.463297359892369</v>
      </c>
      <c r="AH116" s="190">
        <f t="shared" ref="AH116" si="508">SUM(AH111:AH115)</f>
        <v>13.223879269104703</v>
      </c>
      <c r="AI116" s="190">
        <f t="shared" ref="AI116" si="509">SUM(AI111:AI115)</f>
        <v>3.8905825662233053</v>
      </c>
      <c r="AJ116" s="190">
        <f t="shared" ref="AJ116" si="510">SUM(AJ111:AJ115)</f>
        <v>3.8905825662233053</v>
      </c>
      <c r="AK116" s="190">
        <f t="shared" ref="AK116" si="511">SUM(AK111:AK115)</f>
        <v>3.8905825662233053</v>
      </c>
      <c r="AL116" s="190">
        <f t="shared" ref="AL116" si="512">SUM(AL111:AL115)</f>
        <v>3.8905825662233053</v>
      </c>
      <c r="AM116" s="190">
        <f t="shared" ref="AM116" si="513">SUM(AM111:AM115)</f>
        <v>3.8905825662233053</v>
      </c>
      <c r="AN116" s="190">
        <f t="shared" ref="AN116" si="514">SUM(AN111:AN115)</f>
        <v>3.8905825662233053</v>
      </c>
      <c r="AO116" s="190">
        <f t="shared" ref="AO116" si="515">SUM(AO111:AO115)</f>
        <v>12.750727942339593</v>
      </c>
      <c r="AP116" s="190">
        <f t="shared" ref="AP116" si="516">SUM(AP111:AP115)</f>
        <v>12.750727942339593</v>
      </c>
      <c r="AQ116" s="190">
        <f t="shared" ref="AQ116" si="517">SUM(AQ111:AQ115)</f>
        <v>12.237101125731245</v>
      </c>
      <c r="AR116" s="190">
        <f t="shared" ref="AR116" si="518">SUM(AR111:AR115)</f>
        <v>8.3465185595079401</v>
      </c>
      <c r="AS116" s="190">
        <f t="shared" ref="AS116" si="519">SUM(AS111:AS115)</f>
        <v>8.3465185595079401</v>
      </c>
      <c r="AT116" s="190">
        <f t="shared" ref="AT116" si="520">SUM(AT111:AT115)</f>
        <v>8.3465185595079401</v>
      </c>
      <c r="AU116" s="190">
        <f t="shared" ref="AU116" si="521">SUM(AU111:AU115)</f>
        <v>8.3465185595079401</v>
      </c>
      <c r="AV116" s="190">
        <f t="shared" ref="AV116" si="522">SUM(AV111:AV115)</f>
        <v>8.3465185595079401</v>
      </c>
      <c r="AW116" s="190">
        <f t="shared" ref="AW116" si="523">SUM(AW111:AW115)</f>
        <v>8.3465185595079401</v>
      </c>
      <c r="AX116" s="190">
        <f t="shared" ref="AX116" si="524">SUM(AX111:AX115)</f>
        <v>9.751987028347326</v>
      </c>
      <c r="AY116" s="190">
        <f t="shared" ref="AY116" si="525">SUM(AY111:AY115)</f>
        <v>9.751987028347326</v>
      </c>
      <c r="AZ116" s="190">
        <f t="shared" ref="AZ116" si="526">SUM(AZ111:AZ115)</f>
        <v>9.751987028347326</v>
      </c>
      <c r="BA116" s="190">
        <f t="shared" ref="BA116" si="527">SUM(BA111:BA115)</f>
        <v>1.4054684688393859</v>
      </c>
      <c r="BB116" s="190">
        <f t="shared" ref="BB116" si="528">SUM(BB111:BB115)</f>
        <v>1.4054684688393859</v>
      </c>
      <c r="BC116" s="190">
        <f t="shared" ref="BC116" si="529">SUM(BC111:BC115)</f>
        <v>1.4054684688393859</v>
      </c>
      <c r="BD116" s="190">
        <f t="shared" ref="BD116" si="530">SUM(BD111:BD115)</f>
        <v>1.4054684688393859</v>
      </c>
      <c r="BE116" s="190">
        <f t="shared" ref="BE116" si="531">SUM(BE111:BE115)</f>
        <v>1.4054684688393859</v>
      </c>
      <c r="BF116" s="190">
        <f t="shared" ref="BF116" si="532">SUM(BF111:BF115)</f>
        <v>1.4054684688393859</v>
      </c>
      <c r="BG116" s="190">
        <f t="shared" ref="BG116" si="533">SUM(BG111:BG115)</f>
        <v>1.4054684688393859</v>
      </c>
      <c r="BH116" s="190">
        <f t="shared" ref="BH116" si="534">SUM(BH111:BH115)</f>
        <v>1.4054684688393859</v>
      </c>
      <c r="BI116" s="190">
        <f t="shared" ref="BI116" si="535">SUM(BI111:BI115)</f>
        <v>1.4054684688393859</v>
      </c>
      <c r="BJ116" s="190">
        <f t="shared" ref="BJ116" si="536">SUM(BJ111:BJ115)</f>
        <v>1.4054684688393859</v>
      </c>
      <c r="BK116" s="190">
        <f t="shared" ref="BK116" si="537">SUM(BK111:BK115)</f>
        <v>1.4054684688393859</v>
      </c>
      <c r="BL116" s="190">
        <f t="shared" ref="BL116" si="538">SUM(BL111:BL115)</f>
        <v>1.4054684688393859</v>
      </c>
    </row>
    <row r="117" spans="2:65" x14ac:dyDescent="0.3">
      <c r="J117" s="52"/>
    </row>
    <row r="119" spans="2:65" x14ac:dyDescent="0.3">
      <c r="B119" s="56" t="s">
        <v>363</v>
      </c>
    </row>
    <row r="120" spans="2:65" x14ac:dyDescent="0.3">
      <c r="C120" s="184" t="s">
        <v>208</v>
      </c>
      <c r="D120" s="184" t="s">
        <v>371</v>
      </c>
      <c r="E120" s="24" t="s">
        <v>372</v>
      </c>
      <c r="F120" s="184" t="s">
        <v>384</v>
      </c>
      <c r="G120" s="184" t="s">
        <v>373</v>
      </c>
      <c r="H120" s="184" t="s">
        <v>374</v>
      </c>
      <c r="I120" s="184" t="s">
        <v>375</v>
      </c>
      <c r="J120" s="187" t="str">
        <f>J76</f>
        <v>Total</v>
      </c>
      <c r="K120" s="185">
        <f t="shared" ref="K120:BL120" si="539">K110</f>
        <v>45504</v>
      </c>
      <c r="L120" s="185">
        <f t="shared" si="539"/>
        <v>45535</v>
      </c>
      <c r="M120" s="185">
        <f t="shared" si="539"/>
        <v>45565</v>
      </c>
      <c r="N120" s="185">
        <f t="shared" si="539"/>
        <v>45596</v>
      </c>
      <c r="O120" s="185">
        <f t="shared" si="539"/>
        <v>45626</v>
      </c>
      <c r="P120" s="185">
        <f t="shared" si="539"/>
        <v>45657</v>
      </c>
      <c r="Q120" s="185">
        <f t="shared" si="539"/>
        <v>45688</v>
      </c>
      <c r="R120" s="185">
        <f t="shared" si="539"/>
        <v>45716</v>
      </c>
      <c r="S120" s="185">
        <f t="shared" si="539"/>
        <v>45747</v>
      </c>
      <c r="T120" s="185">
        <f t="shared" si="539"/>
        <v>45777</v>
      </c>
      <c r="U120" s="185">
        <f t="shared" si="539"/>
        <v>45808</v>
      </c>
      <c r="V120" s="185">
        <f t="shared" si="539"/>
        <v>45838</v>
      </c>
      <c r="W120" s="185">
        <f t="shared" si="539"/>
        <v>45869</v>
      </c>
      <c r="X120" s="185">
        <f t="shared" si="539"/>
        <v>45900</v>
      </c>
      <c r="Y120" s="185">
        <f t="shared" si="539"/>
        <v>45930</v>
      </c>
      <c r="Z120" s="185">
        <f t="shared" si="539"/>
        <v>45961</v>
      </c>
      <c r="AA120" s="185">
        <f t="shared" si="539"/>
        <v>45991</v>
      </c>
      <c r="AB120" s="185">
        <f t="shared" si="539"/>
        <v>46022</v>
      </c>
      <c r="AC120" s="185">
        <f t="shared" si="539"/>
        <v>46053</v>
      </c>
      <c r="AD120" s="185">
        <f t="shared" si="539"/>
        <v>46081</v>
      </c>
      <c r="AE120" s="185">
        <f t="shared" si="539"/>
        <v>46112</v>
      </c>
      <c r="AF120" s="185">
        <f t="shared" si="539"/>
        <v>46142</v>
      </c>
      <c r="AG120" s="185">
        <f t="shared" si="539"/>
        <v>46173</v>
      </c>
      <c r="AH120" s="185">
        <f t="shared" si="539"/>
        <v>46203</v>
      </c>
      <c r="AI120" s="185">
        <f t="shared" si="539"/>
        <v>46234</v>
      </c>
      <c r="AJ120" s="185">
        <f t="shared" si="539"/>
        <v>46265</v>
      </c>
      <c r="AK120" s="185">
        <f t="shared" si="539"/>
        <v>46295</v>
      </c>
      <c r="AL120" s="185">
        <f t="shared" si="539"/>
        <v>46326</v>
      </c>
      <c r="AM120" s="185">
        <f t="shared" si="539"/>
        <v>46356</v>
      </c>
      <c r="AN120" s="185">
        <f t="shared" si="539"/>
        <v>46387</v>
      </c>
      <c r="AO120" s="185">
        <f t="shared" si="539"/>
        <v>46418</v>
      </c>
      <c r="AP120" s="185">
        <f t="shared" si="539"/>
        <v>46446</v>
      </c>
      <c r="AQ120" s="185">
        <f t="shared" si="539"/>
        <v>46477</v>
      </c>
      <c r="AR120" s="185">
        <f t="shared" si="539"/>
        <v>46507</v>
      </c>
      <c r="AS120" s="185">
        <f t="shared" si="539"/>
        <v>46538</v>
      </c>
      <c r="AT120" s="185">
        <f t="shared" si="539"/>
        <v>46568</v>
      </c>
      <c r="AU120" s="185">
        <f t="shared" si="539"/>
        <v>46599</v>
      </c>
      <c r="AV120" s="185">
        <f t="shared" si="539"/>
        <v>46630</v>
      </c>
      <c r="AW120" s="185">
        <f t="shared" si="539"/>
        <v>46660</v>
      </c>
      <c r="AX120" s="185">
        <f t="shared" si="539"/>
        <v>46691</v>
      </c>
      <c r="AY120" s="185">
        <f t="shared" si="539"/>
        <v>46721</v>
      </c>
      <c r="AZ120" s="185">
        <f t="shared" si="539"/>
        <v>46752</v>
      </c>
      <c r="BA120" s="185">
        <f t="shared" si="539"/>
        <v>46783</v>
      </c>
      <c r="BB120" s="185">
        <f t="shared" si="539"/>
        <v>46812</v>
      </c>
      <c r="BC120" s="185">
        <f t="shared" si="539"/>
        <v>46843</v>
      </c>
      <c r="BD120" s="185">
        <f t="shared" si="539"/>
        <v>46873</v>
      </c>
      <c r="BE120" s="185">
        <f t="shared" si="539"/>
        <v>46904</v>
      </c>
      <c r="BF120" s="185">
        <f t="shared" si="539"/>
        <v>46934</v>
      </c>
      <c r="BG120" s="185">
        <f t="shared" si="539"/>
        <v>46965</v>
      </c>
      <c r="BH120" s="185">
        <f t="shared" si="539"/>
        <v>46996</v>
      </c>
      <c r="BI120" s="185">
        <f t="shared" si="539"/>
        <v>47026</v>
      </c>
      <c r="BJ120" s="185">
        <f t="shared" si="539"/>
        <v>47057</v>
      </c>
      <c r="BK120" s="185">
        <f t="shared" si="539"/>
        <v>47087</v>
      </c>
      <c r="BL120" s="185">
        <f t="shared" si="539"/>
        <v>47118</v>
      </c>
    </row>
    <row r="121" spans="2:65" x14ac:dyDescent="0.3">
      <c r="C121" s="130" t="s">
        <v>230</v>
      </c>
      <c r="D121" s="45">
        <f>D111</f>
        <v>243028.41058999998</v>
      </c>
      <c r="E121" s="45">
        <f t="shared" ref="E121:H121" si="540">E111</f>
        <v>255179.83111949998</v>
      </c>
      <c r="F121" s="33">
        <f>'Assumption Sheet'!$B$48</f>
        <v>5</v>
      </c>
      <c r="G121" s="188">
        <f t="shared" si="540"/>
        <v>45474</v>
      </c>
      <c r="H121" s="188">
        <f t="shared" si="540"/>
        <v>45838</v>
      </c>
      <c r="I121" s="45">
        <f>'Assumption Sheet'!$F$28</f>
        <v>12</v>
      </c>
      <c r="J121" s="50">
        <f>SUM(K121:BL121)</f>
        <v>1</v>
      </c>
      <c r="K121" s="157">
        <f>IF(AND(K$28&gt;=$G121,K$28&lt;=$H121),0%,0)</f>
        <v>0</v>
      </c>
      <c r="L121" s="157">
        <f t="shared" ref="L121:O121" si="541">IF(AND(L$28&gt;=$G121,L$28&lt;=$H121),0%,0)</f>
        <v>0</v>
      </c>
      <c r="M121" s="157">
        <f t="shared" si="541"/>
        <v>0</v>
      </c>
      <c r="N121" s="157">
        <f t="shared" si="541"/>
        <v>0</v>
      </c>
      <c r="O121" s="157">
        <f t="shared" si="541"/>
        <v>0</v>
      </c>
      <c r="P121" s="157">
        <f>IF(AND(P$28&gt;=$G121,P$28&lt;=$H121),0%,0)</f>
        <v>0</v>
      </c>
      <c r="Q121" s="157">
        <f>IF(AND(Q$28&gt;=$G121,Q$28&lt;=$H121),0%,0)</f>
        <v>0</v>
      </c>
      <c r="R121" s="157">
        <f>IF(AND(R$28&gt;=$G121,R$28&lt;=$H121),20%,0)</f>
        <v>0.2</v>
      </c>
      <c r="S121" s="157">
        <f t="shared" ref="S121:V121" si="542">IF(AND(S$28&gt;=$G121,S$28&lt;=$H121),20%,0)</f>
        <v>0.2</v>
      </c>
      <c r="T121" s="157">
        <f t="shared" si="542"/>
        <v>0.2</v>
      </c>
      <c r="U121" s="157">
        <f t="shared" si="542"/>
        <v>0.2</v>
      </c>
      <c r="V121" s="157">
        <f t="shared" si="542"/>
        <v>0.2</v>
      </c>
      <c r="W121" s="157">
        <f t="shared" ref="W121:Y121" si="543">IF(AND(W$28&gt;=$G121,W$28&lt;=$H121),10%,0)</f>
        <v>0</v>
      </c>
      <c r="X121" s="157">
        <f t="shared" si="543"/>
        <v>0</v>
      </c>
      <c r="Y121" s="157">
        <f t="shared" si="543"/>
        <v>0</v>
      </c>
      <c r="Z121" s="186">
        <f t="shared" ref="Z121:BL122" si="544">IF(AND(Z$28&gt;=$G121,Z$28&lt;=$H121),35%/10,0)</f>
        <v>0</v>
      </c>
      <c r="AA121" s="186">
        <f t="shared" si="544"/>
        <v>0</v>
      </c>
      <c r="AB121" s="186">
        <f t="shared" si="544"/>
        <v>0</v>
      </c>
      <c r="AC121" s="186">
        <f t="shared" si="544"/>
        <v>0</v>
      </c>
      <c r="AD121" s="186">
        <f t="shared" si="544"/>
        <v>0</v>
      </c>
      <c r="AE121" s="186">
        <f t="shared" si="544"/>
        <v>0</v>
      </c>
      <c r="AF121" s="186">
        <f t="shared" si="544"/>
        <v>0</v>
      </c>
      <c r="AG121" s="186">
        <f t="shared" si="544"/>
        <v>0</v>
      </c>
      <c r="AH121" s="186">
        <f t="shared" si="544"/>
        <v>0</v>
      </c>
      <c r="AI121" s="186">
        <f t="shared" si="544"/>
        <v>0</v>
      </c>
      <c r="AJ121" s="186">
        <f t="shared" si="544"/>
        <v>0</v>
      </c>
      <c r="AK121" s="186">
        <f t="shared" si="544"/>
        <v>0</v>
      </c>
      <c r="AL121" s="186">
        <f t="shared" si="544"/>
        <v>0</v>
      </c>
      <c r="AM121" s="186">
        <f t="shared" si="544"/>
        <v>0</v>
      </c>
      <c r="AN121" s="186">
        <f t="shared" si="544"/>
        <v>0</v>
      </c>
      <c r="AO121" s="186">
        <f t="shared" si="544"/>
        <v>0</v>
      </c>
      <c r="AP121" s="186">
        <f t="shared" si="544"/>
        <v>0</v>
      </c>
      <c r="AQ121" s="186">
        <f t="shared" si="544"/>
        <v>0</v>
      </c>
      <c r="AR121" s="186">
        <f t="shared" si="544"/>
        <v>0</v>
      </c>
      <c r="AS121" s="186">
        <f t="shared" si="544"/>
        <v>0</v>
      </c>
      <c r="AT121" s="186">
        <f t="shared" si="544"/>
        <v>0</v>
      </c>
      <c r="AU121" s="186">
        <f t="shared" si="544"/>
        <v>0</v>
      </c>
      <c r="AV121" s="186">
        <f t="shared" si="544"/>
        <v>0</v>
      </c>
      <c r="AW121" s="186">
        <f t="shared" si="544"/>
        <v>0</v>
      </c>
      <c r="AX121" s="186">
        <f t="shared" si="544"/>
        <v>0</v>
      </c>
      <c r="AY121" s="186">
        <f t="shared" si="544"/>
        <v>0</v>
      </c>
      <c r="AZ121" s="186">
        <f t="shared" si="544"/>
        <v>0</v>
      </c>
      <c r="BA121" s="186">
        <f t="shared" si="544"/>
        <v>0</v>
      </c>
      <c r="BB121" s="186">
        <f t="shared" si="544"/>
        <v>0</v>
      </c>
      <c r="BC121" s="186">
        <f t="shared" si="544"/>
        <v>0</v>
      </c>
      <c r="BD121" s="186">
        <f t="shared" si="544"/>
        <v>0</v>
      </c>
      <c r="BE121" s="186">
        <f t="shared" si="544"/>
        <v>0</v>
      </c>
      <c r="BF121" s="186">
        <f t="shared" si="544"/>
        <v>0</v>
      </c>
      <c r="BG121" s="186">
        <f t="shared" si="544"/>
        <v>0</v>
      </c>
      <c r="BH121" s="186">
        <f t="shared" si="544"/>
        <v>0</v>
      </c>
      <c r="BI121" s="186">
        <f t="shared" si="544"/>
        <v>0</v>
      </c>
      <c r="BJ121" s="186">
        <f t="shared" si="544"/>
        <v>0</v>
      </c>
      <c r="BK121" s="186">
        <f t="shared" si="544"/>
        <v>0</v>
      </c>
      <c r="BL121" s="186">
        <f t="shared" si="544"/>
        <v>0</v>
      </c>
    </row>
    <row r="122" spans="2:65" x14ac:dyDescent="0.3">
      <c r="C122" s="130" t="s">
        <v>231</v>
      </c>
      <c r="D122" s="45">
        <f t="shared" ref="D122:H122" si="545">D112</f>
        <v>470733.22550099995</v>
      </c>
      <c r="E122" s="45">
        <f t="shared" si="545"/>
        <v>494269.88677604997</v>
      </c>
      <c r="F122" s="33">
        <f>'Assumption Sheet'!$B$48</f>
        <v>5</v>
      </c>
      <c r="G122" s="188">
        <f t="shared" si="545"/>
        <v>45839</v>
      </c>
      <c r="H122" s="188">
        <f t="shared" si="545"/>
        <v>46203</v>
      </c>
      <c r="I122" s="45">
        <f>'Assumption Sheet'!$F$29</f>
        <v>12</v>
      </c>
      <c r="J122" s="50">
        <f t="shared" ref="J122:J125" si="546">SUM(K122:BL122)</f>
        <v>1</v>
      </c>
      <c r="K122" s="186">
        <f t="shared" ref="K122:K125" si="547">IF(AND(K$28&gt;=$G122,K$28&lt;=$H122),60%,0)</f>
        <v>0</v>
      </c>
      <c r="L122" s="186">
        <f t="shared" ref="L122:L125" si="548">IF(AND(L$28&gt;=$G122,L$28&lt;=$H122),5%,0)</f>
        <v>0</v>
      </c>
      <c r="M122" s="186">
        <f t="shared" ref="M122:AB125" si="549">IF(AND(M$28&gt;=$G122,M$28&lt;=$H122),35%/10,0)</f>
        <v>0</v>
      </c>
      <c r="N122" s="186">
        <f t="shared" si="549"/>
        <v>0</v>
      </c>
      <c r="O122" s="186">
        <f t="shared" si="549"/>
        <v>0</v>
      </c>
      <c r="P122" s="186">
        <f t="shared" si="549"/>
        <v>0</v>
      </c>
      <c r="Q122" s="186">
        <f t="shared" si="549"/>
        <v>0</v>
      </c>
      <c r="R122" s="186">
        <f t="shared" si="549"/>
        <v>0</v>
      </c>
      <c r="S122" s="186">
        <f t="shared" si="549"/>
        <v>0</v>
      </c>
      <c r="T122" s="186">
        <f t="shared" si="549"/>
        <v>0</v>
      </c>
      <c r="U122" s="186">
        <f t="shared" si="549"/>
        <v>0</v>
      </c>
      <c r="V122" s="186">
        <f t="shared" si="549"/>
        <v>0</v>
      </c>
      <c r="W122" s="157">
        <f t="shared" ref="W122:AC122" si="550">IF(AND(W$28&gt;=$G122,W$28&lt;=$H122),0%,0)</f>
        <v>0</v>
      </c>
      <c r="X122" s="157">
        <f t="shared" si="550"/>
        <v>0</v>
      </c>
      <c r="Y122" s="157">
        <f t="shared" si="550"/>
        <v>0</v>
      </c>
      <c r="Z122" s="157">
        <f t="shared" si="550"/>
        <v>0</v>
      </c>
      <c r="AA122" s="157">
        <f t="shared" si="550"/>
        <v>0</v>
      </c>
      <c r="AB122" s="157">
        <f t="shared" si="550"/>
        <v>0</v>
      </c>
      <c r="AC122" s="157">
        <f t="shared" si="550"/>
        <v>0</v>
      </c>
      <c r="AD122" s="157">
        <f t="shared" ref="AD122:AE122" si="551">IF(AND(AD$28&gt;=$G122,AD$28&lt;=$H122),20%,0)</f>
        <v>0.2</v>
      </c>
      <c r="AE122" s="157">
        <f t="shared" si="551"/>
        <v>0.2</v>
      </c>
      <c r="AF122" s="157">
        <f>IF(AND(AF$28&gt;=$G122,AF$28&lt;=$H122),20%,0)</f>
        <v>0.2</v>
      </c>
      <c r="AG122" s="157">
        <f>IF(AND(AG$28&gt;=$G122,AG$28&lt;=$H122),20%,0)</f>
        <v>0.2</v>
      </c>
      <c r="AH122" s="157">
        <f t="shared" ref="AH122:AK122" si="552">IF(AND(AH$28&gt;=$G122,AH$28&lt;=$H122),20%,0)</f>
        <v>0.2</v>
      </c>
      <c r="AI122" s="157">
        <f t="shared" si="552"/>
        <v>0</v>
      </c>
      <c r="AJ122" s="157">
        <f t="shared" si="552"/>
        <v>0</v>
      </c>
      <c r="AK122" s="157">
        <f t="shared" si="552"/>
        <v>0</v>
      </c>
      <c r="AL122" s="186">
        <f t="shared" si="544"/>
        <v>0</v>
      </c>
      <c r="AM122" s="186">
        <f t="shared" si="544"/>
        <v>0</v>
      </c>
      <c r="AN122" s="186">
        <f t="shared" si="544"/>
        <v>0</v>
      </c>
      <c r="AO122" s="186">
        <f t="shared" si="544"/>
        <v>0</v>
      </c>
      <c r="AP122" s="186">
        <f t="shared" si="544"/>
        <v>0</v>
      </c>
      <c r="AQ122" s="186">
        <f t="shared" si="544"/>
        <v>0</v>
      </c>
      <c r="AR122" s="186">
        <f t="shared" si="544"/>
        <v>0</v>
      </c>
      <c r="AS122" s="186">
        <f t="shared" si="544"/>
        <v>0</v>
      </c>
      <c r="AT122" s="186">
        <f t="shared" si="544"/>
        <v>0</v>
      </c>
      <c r="AU122" s="186">
        <f t="shared" si="544"/>
        <v>0</v>
      </c>
      <c r="AV122" s="186">
        <f t="shared" si="544"/>
        <v>0</v>
      </c>
      <c r="AW122" s="186">
        <f t="shared" si="544"/>
        <v>0</v>
      </c>
      <c r="AX122" s="186">
        <f t="shared" si="544"/>
        <v>0</v>
      </c>
      <c r="AY122" s="186">
        <f t="shared" si="544"/>
        <v>0</v>
      </c>
      <c r="AZ122" s="186">
        <f t="shared" si="544"/>
        <v>0</v>
      </c>
      <c r="BA122" s="186">
        <f t="shared" si="544"/>
        <v>0</v>
      </c>
      <c r="BB122" s="186">
        <f t="shared" si="544"/>
        <v>0</v>
      </c>
      <c r="BC122" s="186">
        <f t="shared" si="544"/>
        <v>0</v>
      </c>
      <c r="BD122" s="186">
        <f t="shared" si="544"/>
        <v>0</v>
      </c>
      <c r="BE122" s="186">
        <f t="shared" si="544"/>
        <v>0</v>
      </c>
      <c r="BF122" s="186">
        <f t="shared" si="544"/>
        <v>0</v>
      </c>
      <c r="BG122" s="186">
        <f t="shared" si="544"/>
        <v>0</v>
      </c>
      <c r="BH122" s="186">
        <f t="shared" si="544"/>
        <v>0</v>
      </c>
      <c r="BI122" s="186">
        <f t="shared" si="544"/>
        <v>0</v>
      </c>
      <c r="BJ122" s="186">
        <f t="shared" si="544"/>
        <v>0</v>
      </c>
      <c r="BK122" s="186">
        <f t="shared" si="544"/>
        <v>0</v>
      </c>
      <c r="BL122" s="186">
        <f t="shared" si="544"/>
        <v>0</v>
      </c>
    </row>
    <row r="123" spans="2:65" x14ac:dyDescent="0.3">
      <c r="C123" s="130" t="s">
        <v>232</v>
      </c>
      <c r="D123" s="45">
        <f t="shared" ref="D123:H123" si="553">D113</f>
        <v>196225.03588799998</v>
      </c>
      <c r="E123" s="45">
        <f t="shared" si="553"/>
        <v>206036.2876824</v>
      </c>
      <c r="F123" s="33">
        <f>'Assumption Sheet'!$B$48</f>
        <v>5</v>
      </c>
      <c r="G123" s="188">
        <f t="shared" si="553"/>
        <v>46113</v>
      </c>
      <c r="H123" s="188">
        <f t="shared" si="553"/>
        <v>46477</v>
      </c>
      <c r="I123" s="45">
        <f>'Assumption Sheet'!$F$30</f>
        <v>12</v>
      </c>
      <c r="J123" s="50">
        <f t="shared" si="546"/>
        <v>1</v>
      </c>
      <c r="K123" s="186">
        <f t="shared" si="547"/>
        <v>0</v>
      </c>
      <c r="L123" s="186">
        <f t="shared" si="548"/>
        <v>0</v>
      </c>
      <c r="M123" s="186">
        <f t="shared" si="549"/>
        <v>0</v>
      </c>
      <c r="N123" s="186">
        <f t="shared" si="549"/>
        <v>0</v>
      </c>
      <c r="O123" s="186">
        <f t="shared" si="549"/>
        <v>0</v>
      </c>
      <c r="P123" s="186">
        <f t="shared" si="549"/>
        <v>0</v>
      </c>
      <c r="Q123" s="186">
        <f t="shared" si="549"/>
        <v>0</v>
      </c>
      <c r="R123" s="186">
        <f t="shared" si="549"/>
        <v>0</v>
      </c>
      <c r="S123" s="186">
        <f t="shared" si="549"/>
        <v>0</v>
      </c>
      <c r="T123" s="186">
        <f t="shared" si="549"/>
        <v>0</v>
      </c>
      <c r="U123" s="186">
        <f t="shared" si="549"/>
        <v>0</v>
      </c>
      <c r="V123" s="186">
        <f t="shared" si="549"/>
        <v>0</v>
      </c>
      <c r="W123" s="186">
        <f t="shared" si="549"/>
        <v>0</v>
      </c>
      <c r="X123" s="186">
        <f t="shared" si="549"/>
        <v>0</v>
      </c>
      <c r="Y123" s="186">
        <f t="shared" si="549"/>
        <v>0</v>
      </c>
      <c r="Z123" s="186">
        <f t="shared" si="549"/>
        <v>0</v>
      </c>
      <c r="AA123" s="186">
        <f t="shared" si="549"/>
        <v>0</v>
      </c>
      <c r="AB123" s="186">
        <f t="shared" si="549"/>
        <v>0</v>
      </c>
      <c r="AC123" s="186">
        <f t="shared" ref="AC123:BL125" si="554">IF(AND(AC$28&gt;=$G123,AC$28&lt;=$H123),35%/10,0)</f>
        <v>0</v>
      </c>
      <c r="AD123" s="186">
        <f t="shared" si="554"/>
        <v>0</v>
      </c>
      <c r="AE123" s="186">
        <f t="shared" si="554"/>
        <v>0</v>
      </c>
      <c r="AF123" s="157">
        <f>IF(AND(AF$28&gt;=$G123,AF$28&lt;=$H123),0%,0)</f>
        <v>0</v>
      </c>
      <c r="AG123" s="157">
        <f t="shared" ref="AG123:AL123" si="555">IF(AND(AG$28&gt;=$G123,AG$28&lt;=$H123),0%,0)</f>
        <v>0</v>
      </c>
      <c r="AH123" s="157">
        <f t="shared" si="555"/>
        <v>0</v>
      </c>
      <c r="AI123" s="157">
        <f t="shared" si="555"/>
        <v>0</v>
      </c>
      <c r="AJ123" s="157">
        <f t="shared" si="555"/>
        <v>0</v>
      </c>
      <c r="AK123" s="157">
        <f t="shared" si="555"/>
        <v>0</v>
      </c>
      <c r="AL123" s="157">
        <f t="shared" si="555"/>
        <v>0</v>
      </c>
      <c r="AM123" s="157">
        <f>IF(AND(AM$28&gt;=$G123,AM$28&lt;=$H123),20%,0)</f>
        <v>0.2</v>
      </c>
      <c r="AN123" s="157">
        <f>IF(AND(AN$28&gt;=$G123,AN$28&lt;=$H123),20%,0)</f>
        <v>0.2</v>
      </c>
      <c r="AO123" s="157">
        <f>IF(AND(AO$28&gt;=$G123,AO$28&lt;=$H123),20%,0)</f>
        <v>0.2</v>
      </c>
      <c r="AP123" s="157">
        <f t="shared" ref="AP123:BC124" si="556">IF(AND(AP$28&gt;=$G123,AP$28&lt;=$H123),20%,0)</f>
        <v>0.2</v>
      </c>
      <c r="AQ123" s="157">
        <f t="shared" si="556"/>
        <v>0.2</v>
      </c>
      <c r="AR123" s="157">
        <f t="shared" si="556"/>
        <v>0</v>
      </c>
      <c r="AS123" s="157">
        <f t="shared" si="556"/>
        <v>0</v>
      </c>
      <c r="AT123" s="157">
        <f t="shared" si="556"/>
        <v>0</v>
      </c>
      <c r="AU123" s="186">
        <f t="shared" si="554"/>
        <v>0</v>
      </c>
      <c r="AV123" s="186">
        <f t="shared" si="554"/>
        <v>0</v>
      </c>
      <c r="AW123" s="186">
        <f t="shared" si="554"/>
        <v>0</v>
      </c>
      <c r="AX123" s="186">
        <f t="shared" si="554"/>
        <v>0</v>
      </c>
      <c r="AY123" s="186">
        <f t="shared" si="554"/>
        <v>0</v>
      </c>
      <c r="AZ123" s="186">
        <f t="shared" si="554"/>
        <v>0</v>
      </c>
      <c r="BA123" s="186">
        <f t="shared" si="554"/>
        <v>0</v>
      </c>
      <c r="BB123" s="186">
        <f t="shared" si="554"/>
        <v>0</v>
      </c>
      <c r="BC123" s="186">
        <f t="shared" si="554"/>
        <v>0</v>
      </c>
      <c r="BD123" s="186">
        <f t="shared" si="554"/>
        <v>0</v>
      </c>
      <c r="BE123" s="186">
        <f t="shared" si="554"/>
        <v>0</v>
      </c>
      <c r="BF123" s="186">
        <f t="shared" si="554"/>
        <v>0</v>
      </c>
      <c r="BG123" s="186">
        <f t="shared" si="554"/>
        <v>0</v>
      </c>
      <c r="BH123" s="186">
        <f t="shared" si="554"/>
        <v>0</v>
      </c>
      <c r="BI123" s="186">
        <f t="shared" si="554"/>
        <v>0</v>
      </c>
      <c r="BJ123" s="186">
        <f t="shared" si="554"/>
        <v>0</v>
      </c>
      <c r="BK123" s="186">
        <f t="shared" si="554"/>
        <v>0</v>
      </c>
      <c r="BL123" s="186">
        <f t="shared" si="554"/>
        <v>0</v>
      </c>
    </row>
    <row r="124" spans="2:65" x14ac:dyDescent="0.3">
      <c r="C124" s="130" t="s">
        <v>234</v>
      </c>
      <c r="D124" s="45">
        <f t="shared" ref="D124:H124" si="557">D114</f>
        <v>420964.181071</v>
      </c>
      <c r="E124" s="45">
        <f t="shared" si="557"/>
        <v>442012.39012455003</v>
      </c>
      <c r="F124" s="33">
        <f>'Assumption Sheet'!$B$48</f>
        <v>5</v>
      </c>
      <c r="G124" s="188">
        <f t="shared" si="557"/>
        <v>46388</v>
      </c>
      <c r="H124" s="188">
        <f t="shared" si="557"/>
        <v>46752</v>
      </c>
      <c r="I124" s="45">
        <f>'Assumption Sheet'!$F$31</f>
        <v>12</v>
      </c>
      <c r="J124" s="50">
        <f t="shared" si="546"/>
        <v>1</v>
      </c>
      <c r="K124" s="186">
        <f t="shared" si="547"/>
        <v>0</v>
      </c>
      <c r="L124" s="186">
        <f t="shared" si="548"/>
        <v>0</v>
      </c>
      <c r="M124" s="186">
        <f t="shared" si="549"/>
        <v>0</v>
      </c>
      <c r="N124" s="186">
        <f t="shared" si="549"/>
        <v>0</v>
      </c>
      <c r="O124" s="186">
        <f t="shared" si="549"/>
        <v>0</v>
      </c>
      <c r="P124" s="186">
        <f t="shared" si="549"/>
        <v>0</v>
      </c>
      <c r="Q124" s="186">
        <f t="shared" si="549"/>
        <v>0</v>
      </c>
      <c r="R124" s="186">
        <f t="shared" si="549"/>
        <v>0</v>
      </c>
      <c r="S124" s="186">
        <f t="shared" si="549"/>
        <v>0</v>
      </c>
      <c r="T124" s="186">
        <f t="shared" si="549"/>
        <v>0</v>
      </c>
      <c r="U124" s="186">
        <f t="shared" si="549"/>
        <v>0</v>
      </c>
      <c r="V124" s="186">
        <f t="shared" si="549"/>
        <v>0</v>
      </c>
      <c r="W124" s="186">
        <f t="shared" si="549"/>
        <v>0</v>
      </c>
      <c r="X124" s="186">
        <f t="shared" si="549"/>
        <v>0</v>
      </c>
      <c r="Y124" s="186">
        <f t="shared" si="549"/>
        <v>0</v>
      </c>
      <c r="Z124" s="186">
        <f t="shared" si="549"/>
        <v>0</v>
      </c>
      <c r="AA124" s="186">
        <f t="shared" si="549"/>
        <v>0</v>
      </c>
      <c r="AB124" s="186">
        <f t="shared" si="549"/>
        <v>0</v>
      </c>
      <c r="AC124" s="186">
        <f t="shared" si="554"/>
        <v>0</v>
      </c>
      <c r="AD124" s="186">
        <f t="shared" si="554"/>
        <v>0</v>
      </c>
      <c r="AE124" s="186">
        <f t="shared" si="554"/>
        <v>0</v>
      </c>
      <c r="AF124" s="186">
        <f t="shared" si="554"/>
        <v>0</v>
      </c>
      <c r="AG124" s="186">
        <f t="shared" si="554"/>
        <v>0</v>
      </c>
      <c r="AH124" s="186">
        <f t="shared" si="554"/>
        <v>0</v>
      </c>
      <c r="AI124" s="186">
        <f t="shared" si="554"/>
        <v>0</v>
      </c>
      <c r="AJ124" s="186">
        <f t="shared" si="554"/>
        <v>0</v>
      </c>
      <c r="AK124" s="186">
        <f t="shared" si="554"/>
        <v>0</v>
      </c>
      <c r="AL124" s="186">
        <f t="shared" si="554"/>
        <v>0</v>
      </c>
      <c r="AM124" s="186">
        <f t="shared" si="554"/>
        <v>0</v>
      </c>
      <c r="AN124" s="186">
        <f t="shared" si="554"/>
        <v>0</v>
      </c>
      <c r="AO124" s="157">
        <f t="shared" ref="AO124:AU124" si="558">IF(AND(AO$28&gt;=$G124,AO$28&lt;=$H124),0%,0)</f>
        <v>0</v>
      </c>
      <c r="AP124" s="157">
        <f t="shared" si="558"/>
        <v>0</v>
      </c>
      <c r="AQ124" s="157">
        <f t="shared" si="558"/>
        <v>0</v>
      </c>
      <c r="AR124" s="157">
        <f t="shared" si="558"/>
        <v>0</v>
      </c>
      <c r="AS124" s="157">
        <f t="shared" si="558"/>
        <v>0</v>
      </c>
      <c r="AT124" s="157">
        <f t="shared" si="558"/>
        <v>0</v>
      </c>
      <c r="AU124" s="157">
        <f t="shared" si="558"/>
        <v>0</v>
      </c>
      <c r="AV124" s="157">
        <f t="shared" si="556"/>
        <v>0.2</v>
      </c>
      <c r="AW124" s="157">
        <f t="shared" si="556"/>
        <v>0.2</v>
      </c>
      <c r="AX124" s="157">
        <f t="shared" si="556"/>
        <v>0.2</v>
      </c>
      <c r="AY124" s="157">
        <f t="shared" si="556"/>
        <v>0.2</v>
      </c>
      <c r="AZ124" s="157">
        <f t="shared" si="556"/>
        <v>0.2</v>
      </c>
      <c r="BA124" s="157">
        <f t="shared" si="556"/>
        <v>0</v>
      </c>
      <c r="BB124" s="157">
        <f t="shared" si="556"/>
        <v>0</v>
      </c>
      <c r="BC124" s="157">
        <f t="shared" si="556"/>
        <v>0</v>
      </c>
      <c r="BD124" s="186">
        <f t="shared" si="554"/>
        <v>0</v>
      </c>
      <c r="BE124" s="186">
        <f t="shared" si="554"/>
        <v>0</v>
      </c>
      <c r="BF124" s="186">
        <f t="shared" si="554"/>
        <v>0</v>
      </c>
      <c r="BG124" s="186">
        <f t="shared" si="554"/>
        <v>0</v>
      </c>
      <c r="BH124" s="186">
        <f t="shared" si="554"/>
        <v>0</v>
      </c>
      <c r="BI124" s="186">
        <f t="shared" si="554"/>
        <v>0</v>
      </c>
      <c r="BJ124" s="186">
        <f t="shared" si="554"/>
        <v>0</v>
      </c>
      <c r="BK124" s="186">
        <f t="shared" si="554"/>
        <v>0</v>
      </c>
      <c r="BL124" s="186">
        <f t="shared" si="554"/>
        <v>0</v>
      </c>
    </row>
    <row r="125" spans="2:65" x14ac:dyDescent="0.3">
      <c r="C125" s="130" t="s">
        <v>259</v>
      </c>
      <c r="D125" s="45">
        <f t="shared" ref="D125:H125" si="559">D115</f>
        <v>87708.024565</v>
      </c>
      <c r="E125" s="45">
        <f t="shared" si="559"/>
        <v>92093.425793250004</v>
      </c>
      <c r="F125" s="33">
        <f>'Assumption Sheet'!$B$48</f>
        <v>5</v>
      </c>
      <c r="G125" s="188">
        <f t="shared" si="559"/>
        <v>46661</v>
      </c>
      <c r="H125" s="188">
        <f t="shared" si="559"/>
        <v>47118</v>
      </c>
      <c r="I125" s="45">
        <f>'Assumption Sheet'!$F$32</f>
        <v>15</v>
      </c>
      <c r="J125" s="50">
        <f t="shared" si="546"/>
        <v>1</v>
      </c>
      <c r="K125" s="186">
        <f t="shared" si="547"/>
        <v>0</v>
      </c>
      <c r="L125" s="186">
        <f t="shared" si="548"/>
        <v>0</v>
      </c>
      <c r="M125" s="186">
        <f t="shared" si="549"/>
        <v>0</v>
      </c>
      <c r="N125" s="186">
        <f t="shared" si="549"/>
        <v>0</v>
      </c>
      <c r="O125" s="186">
        <f t="shared" si="549"/>
        <v>0</v>
      </c>
      <c r="P125" s="186">
        <f t="shared" si="549"/>
        <v>0</v>
      </c>
      <c r="Q125" s="186">
        <f t="shared" si="549"/>
        <v>0</v>
      </c>
      <c r="R125" s="186">
        <f t="shared" si="549"/>
        <v>0</v>
      </c>
      <c r="S125" s="186">
        <f t="shared" si="549"/>
        <v>0</v>
      </c>
      <c r="T125" s="186">
        <f t="shared" si="549"/>
        <v>0</v>
      </c>
      <c r="U125" s="186">
        <f t="shared" si="549"/>
        <v>0</v>
      </c>
      <c r="V125" s="186">
        <f t="shared" si="549"/>
        <v>0</v>
      </c>
      <c r="W125" s="186">
        <f t="shared" si="549"/>
        <v>0</v>
      </c>
      <c r="X125" s="186">
        <f t="shared" si="549"/>
        <v>0</v>
      </c>
      <c r="Y125" s="186">
        <f t="shared" si="549"/>
        <v>0</v>
      </c>
      <c r="Z125" s="186">
        <f t="shared" si="549"/>
        <v>0</v>
      </c>
      <c r="AA125" s="186">
        <f t="shared" si="549"/>
        <v>0</v>
      </c>
      <c r="AB125" s="186">
        <f t="shared" si="549"/>
        <v>0</v>
      </c>
      <c r="AC125" s="186">
        <f t="shared" si="554"/>
        <v>0</v>
      </c>
      <c r="AD125" s="186">
        <f t="shared" si="554"/>
        <v>0</v>
      </c>
      <c r="AE125" s="186">
        <f t="shared" si="554"/>
        <v>0</v>
      </c>
      <c r="AF125" s="186">
        <f t="shared" si="554"/>
        <v>0</v>
      </c>
      <c r="AG125" s="186">
        <f t="shared" si="554"/>
        <v>0</v>
      </c>
      <c r="AH125" s="186">
        <f t="shared" si="554"/>
        <v>0</v>
      </c>
      <c r="AI125" s="186">
        <f t="shared" si="554"/>
        <v>0</v>
      </c>
      <c r="AJ125" s="186">
        <f t="shared" si="554"/>
        <v>0</v>
      </c>
      <c r="AK125" s="186">
        <f t="shared" si="554"/>
        <v>0</v>
      </c>
      <c r="AL125" s="186">
        <f t="shared" si="554"/>
        <v>0</v>
      </c>
      <c r="AM125" s="186">
        <f t="shared" si="554"/>
        <v>0</v>
      </c>
      <c r="AN125" s="186">
        <f t="shared" si="554"/>
        <v>0</v>
      </c>
      <c r="AO125" s="186">
        <f t="shared" si="554"/>
        <v>0</v>
      </c>
      <c r="AP125" s="186">
        <f t="shared" si="554"/>
        <v>0</v>
      </c>
      <c r="AQ125" s="186">
        <f t="shared" si="554"/>
        <v>0</v>
      </c>
      <c r="AR125" s="186">
        <f t="shared" si="554"/>
        <v>0</v>
      </c>
      <c r="AS125" s="186">
        <f t="shared" si="554"/>
        <v>0</v>
      </c>
      <c r="AT125" s="186">
        <f t="shared" si="554"/>
        <v>0</v>
      </c>
      <c r="AU125" s="186">
        <f t="shared" si="554"/>
        <v>0</v>
      </c>
      <c r="AV125" s="186">
        <f t="shared" si="554"/>
        <v>0</v>
      </c>
      <c r="AW125" s="186">
        <f t="shared" si="554"/>
        <v>0</v>
      </c>
      <c r="AX125" s="186">
        <f>IF(AND(AX$28&gt;=$G125,AX$28&lt;=$H125),,0)</f>
        <v>0</v>
      </c>
      <c r="AY125" s="186">
        <f t="shared" ref="AY125:BG125" si="560">IF(AND(AY$28&gt;=$G125,AY$28&lt;=$H125),,0)</f>
        <v>0</v>
      </c>
      <c r="AZ125" s="186">
        <f t="shared" si="560"/>
        <v>0</v>
      </c>
      <c r="BA125" s="186">
        <f t="shared" si="560"/>
        <v>0</v>
      </c>
      <c r="BB125" s="186">
        <f t="shared" si="560"/>
        <v>0</v>
      </c>
      <c r="BC125" s="186">
        <f t="shared" si="560"/>
        <v>0</v>
      </c>
      <c r="BD125" s="186">
        <f t="shared" si="560"/>
        <v>0</v>
      </c>
      <c r="BE125" s="186">
        <f t="shared" si="560"/>
        <v>0</v>
      </c>
      <c r="BF125" s="186">
        <f t="shared" si="560"/>
        <v>0</v>
      </c>
      <c r="BG125" s="186">
        <f t="shared" si="560"/>
        <v>0</v>
      </c>
      <c r="BH125" s="157">
        <f t="shared" ref="BH125:BL125" si="561">IF(AND(BH$28&gt;=$G125,BH$28&lt;=$H125),20%,0)</f>
        <v>0.2</v>
      </c>
      <c r="BI125" s="157">
        <f t="shared" si="561"/>
        <v>0.2</v>
      </c>
      <c r="BJ125" s="157">
        <f t="shared" si="561"/>
        <v>0.2</v>
      </c>
      <c r="BK125" s="157">
        <f t="shared" si="561"/>
        <v>0.2</v>
      </c>
      <c r="BL125" s="157">
        <f t="shared" si="561"/>
        <v>0.2</v>
      </c>
      <c r="BM125" s="157"/>
    </row>
    <row r="127" spans="2:65" ht="27.6" x14ac:dyDescent="0.3">
      <c r="C127" s="184" t="s">
        <v>208</v>
      </c>
      <c r="D127" s="184" t="s">
        <v>371</v>
      </c>
      <c r="E127" s="24" t="s">
        <v>372</v>
      </c>
      <c r="F127" s="184" t="s">
        <v>384</v>
      </c>
      <c r="G127" s="184" t="s">
        <v>373</v>
      </c>
      <c r="H127" s="184" t="s">
        <v>374</v>
      </c>
      <c r="I127" s="184" t="s">
        <v>375</v>
      </c>
      <c r="J127" s="187" t="s">
        <v>504</v>
      </c>
      <c r="K127" s="185">
        <f>K120</f>
        <v>45504</v>
      </c>
      <c r="L127" s="185">
        <f t="shared" ref="L127:BL127" si="562">L120</f>
        <v>45535</v>
      </c>
      <c r="M127" s="185">
        <f t="shared" si="562"/>
        <v>45565</v>
      </c>
      <c r="N127" s="185">
        <f t="shared" si="562"/>
        <v>45596</v>
      </c>
      <c r="O127" s="185">
        <f t="shared" si="562"/>
        <v>45626</v>
      </c>
      <c r="P127" s="185">
        <f t="shared" si="562"/>
        <v>45657</v>
      </c>
      <c r="Q127" s="185">
        <f t="shared" si="562"/>
        <v>45688</v>
      </c>
      <c r="R127" s="185">
        <f t="shared" si="562"/>
        <v>45716</v>
      </c>
      <c r="S127" s="185">
        <f t="shared" si="562"/>
        <v>45747</v>
      </c>
      <c r="T127" s="185">
        <f t="shared" si="562"/>
        <v>45777</v>
      </c>
      <c r="U127" s="185">
        <f t="shared" si="562"/>
        <v>45808</v>
      </c>
      <c r="V127" s="185">
        <f t="shared" si="562"/>
        <v>45838</v>
      </c>
      <c r="W127" s="185">
        <f t="shared" si="562"/>
        <v>45869</v>
      </c>
      <c r="X127" s="185">
        <f t="shared" si="562"/>
        <v>45900</v>
      </c>
      <c r="Y127" s="185">
        <f t="shared" si="562"/>
        <v>45930</v>
      </c>
      <c r="Z127" s="185">
        <f t="shared" si="562"/>
        <v>45961</v>
      </c>
      <c r="AA127" s="185">
        <f t="shared" si="562"/>
        <v>45991</v>
      </c>
      <c r="AB127" s="185">
        <f t="shared" si="562"/>
        <v>46022</v>
      </c>
      <c r="AC127" s="185">
        <f t="shared" si="562"/>
        <v>46053</v>
      </c>
      <c r="AD127" s="185">
        <f t="shared" si="562"/>
        <v>46081</v>
      </c>
      <c r="AE127" s="185">
        <f t="shared" si="562"/>
        <v>46112</v>
      </c>
      <c r="AF127" s="185">
        <f t="shared" si="562"/>
        <v>46142</v>
      </c>
      <c r="AG127" s="185">
        <f t="shared" si="562"/>
        <v>46173</v>
      </c>
      <c r="AH127" s="185">
        <f t="shared" si="562"/>
        <v>46203</v>
      </c>
      <c r="AI127" s="185">
        <f t="shared" si="562"/>
        <v>46234</v>
      </c>
      <c r="AJ127" s="185">
        <f t="shared" si="562"/>
        <v>46265</v>
      </c>
      <c r="AK127" s="185">
        <f t="shared" si="562"/>
        <v>46295</v>
      </c>
      <c r="AL127" s="185">
        <f t="shared" si="562"/>
        <v>46326</v>
      </c>
      <c r="AM127" s="185">
        <f t="shared" si="562"/>
        <v>46356</v>
      </c>
      <c r="AN127" s="185">
        <f t="shared" si="562"/>
        <v>46387</v>
      </c>
      <c r="AO127" s="185">
        <f t="shared" si="562"/>
        <v>46418</v>
      </c>
      <c r="AP127" s="185">
        <f t="shared" si="562"/>
        <v>46446</v>
      </c>
      <c r="AQ127" s="185">
        <f t="shared" si="562"/>
        <v>46477</v>
      </c>
      <c r="AR127" s="185">
        <f t="shared" si="562"/>
        <v>46507</v>
      </c>
      <c r="AS127" s="185">
        <f t="shared" si="562"/>
        <v>46538</v>
      </c>
      <c r="AT127" s="185">
        <f t="shared" si="562"/>
        <v>46568</v>
      </c>
      <c r="AU127" s="185">
        <f t="shared" si="562"/>
        <v>46599</v>
      </c>
      <c r="AV127" s="185">
        <f t="shared" si="562"/>
        <v>46630</v>
      </c>
      <c r="AW127" s="185">
        <f t="shared" si="562"/>
        <v>46660</v>
      </c>
      <c r="AX127" s="185">
        <f t="shared" si="562"/>
        <v>46691</v>
      </c>
      <c r="AY127" s="185">
        <f t="shared" si="562"/>
        <v>46721</v>
      </c>
      <c r="AZ127" s="185">
        <f t="shared" si="562"/>
        <v>46752</v>
      </c>
      <c r="BA127" s="185">
        <f t="shared" si="562"/>
        <v>46783</v>
      </c>
      <c r="BB127" s="185">
        <f t="shared" si="562"/>
        <v>46812</v>
      </c>
      <c r="BC127" s="185">
        <f t="shared" si="562"/>
        <v>46843</v>
      </c>
      <c r="BD127" s="185">
        <f t="shared" si="562"/>
        <v>46873</v>
      </c>
      <c r="BE127" s="185">
        <f t="shared" si="562"/>
        <v>46904</v>
      </c>
      <c r="BF127" s="185">
        <f t="shared" si="562"/>
        <v>46934</v>
      </c>
      <c r="BG127" s="185">
        <f t="shared" si="562"/>
        <v>46965</v>
      </c>
      <c r="BH127" s="185">
        <f t="shared" si="562"/>
        <v>46996</v>
      </c>
      <c r="BI127" s="185">
        <f t="shared" si="562"/>
        <v>47026</v>
      </c>
      <c r="BJ127" s="185">
        <f t="shared" si="562"/>
        <v>47057</v>
      </c>
      <c r="BK127" s="185">
        <f t="shared" si="562"/>
        <v>47087</v>
      </c>
      <c r="BL127" s="185">
        <f t="shared" si="562"/>
        <v>47118</v>
      </c>
    </row>
    <row r="128" spans="2:65" x14ac:dyDescent="0.3">
      <c r="C128" s="130" t="s">
        <v>230</v>
      </c>
      <c r="D128" s="45">
        <f>D121</f>
        <v>243028.41058999998</v>
      </c>
      <c r="E128" s="45">
        <f t="shared" ref="E128:H128" si="563">E121</f>
        <v>255179.83111949998</v>
      </c>
      <c r="F128" s="33">
        <f t="shared" si="563"/>
        <v>5</v>
      </c>
      <c r="G128" s="188">
        <f t="shared" si="563"/>
        <v>45474</v>
      </c>
      <c r="H128" s="188">
        <f t="shared" si="563"/>
        <v>45838</v>
      </c>
      <c r="I128" s="45">
        <f>'Assumption Sheet'!$F$28</f>
        <v>12</v>
      </c>
      <c r="J128" s="193">
        <f>SUM(K128:BL128)</f>
        <v>0.12151420529499998</v>
      </c>
      <c r="K128" s="186">
        <f>K121*$F128*$D128/10^7</f>
        <v>0</v>
      </c>
      <c r="L128" s="186">
        <f t="shared" ref="L128:BL128" si="564">L121*$F128*$D128/10^7</f>
        <v>0</v>
      </c>
      <c r="M128" s="186">
        <f t="shared" si="564"/>
        <v>0</v>
      </c>
      <c r="N128" s="186">
        <f t="shared" si="564"/>
        <v>0</v>
      </c>
      <c r="O128" s="186">
        <f t="shared" si="564"/>
        <v>0</v>
      </c>
      <c r="P128" s="186">
        <f t="shared" si="564"/>
        <v>0</v>
      </c>
      <c r="Q128" s="186">
        <f t="shared" si="564"/>
        <v>0</v>
      </c>
      <c r="R128" s="186">
        <f t="shared" si="564"/>
        <v>2.4302841058999998E-2</v>
      </c>
      <c r="S128" s="186">
        <f t="shared" si="564"/>
        <v>2.4302841058999998E-2</v>
      </c>
      <c r="T128" s="186">
        <f t="shared" si="564"/>
        <v>2.4302841058999998E-2</v>
      </c>
      <c r="U128" s="186">
        <f t="shared" si="564"/>
        <v>2.4302841058999998E-2</v>
      </c>
      <c r="V128" s="186">
        <f t="shared" si="564"/>
        <v>2.4302841058999998E-2</v>
      </c>
      <c r="W128" s="186">
        <f t="shared" si="564"/>
        <v>0</v>
      </c>
      <c r="X128" s="186">
        <f t="shared" si="564"/>
        <v>0</v>
      </c>
      <c r="Y128" s="186">
        <f t="shared" si="564"/>
        <v>0</v>
      </c>
      <c r="Z128" s="186">
        <f t="shared" si="564"/>
        <v>0</v>
      </c>
      <c r="AA128" s="186">
        <f t="shared" si="564"/>
        <v>0</v>
      </c>
      <c r="AB128" s="186">
        <f t="shared" si="564"/>
        <v>0</v>
      </c>
      <c r="AC128" s="186">
        <f t="shared" si="564"/>
        <v>0</v>
      </c>
      <c r="AD128" s="186">
        <f t="shared" si="564"/>
        <v>0</v>
      </c>
      <c r="AE128" s="186">
        <f t="shared" si="564"/>
        <v>0</v>
      </c>
      <c r="AF128" s="186">
        <f t="shared" si="564"/>
        <v>0</v>
      </c>
      <c r="AG128" s="186">
        <f t="shared" si="564"/>
        <v>0</v>
      </c>
      <c r="AH128" s="186">
        <f t="shared" si="564"/>
        <v>0</v>
      </c>
      <c r="AI128" s="186">
        <f t="shared" si="564"/>
        <v>0</v>
      </c>
      <c r="AJ128" s="186">
        <f t="shared" si="564"/>
        <v>0</v>
      </c>
      <c r="AK128" s="186">
        <f t="shared" si="564"/>
        <v>0</v>
      </c>
      <c r="AL128" s="186">
        <f t="shared" si="564"/>
        <v>0</v>
      </c>
      <c r="AM128" s="186">
        <f t="shared" si="564"/>
        <v>0</v>
      </c>
      <c r="AN128" s="186">
        <f t="shared" si="564"/>
        <v>0</v>
      </c>
      <c r="AO128" s="186">
        <f t="shared" si="564"/>
        <v>0</v>
      </c>
      <c r="AP128" s="186">
        <f t="shared" si="564"/>
        <v>0</v>
      </c>
      <c r="AQ128" s="186">
        <f t="shared" si="564"/>
        <v>0</v>
      </c>
      <c r="AR128" s="186">
        <f t="shared" si="564"/>
        <v>0</v>
      </c>
      <c r="AS128" s="186">
        <f t="shared" si="564"/>
        <v>0</v>
      </c>
      <c r="AT128" s="186">
        <f t="shared" si="564"/>
        <v>0</v>
      </c>
      <c r="AU128" s="186">
        <f t="shared" si="564"/>
        <v>0</v>
      </c>
      <c r="AV128" s="186">
        <f t="shared" si="564"/>
        <v>0</v>
      </c>
      <c r="AW128" s="186">
        <f t="shared" si="564"/>
        <v>0</v>
      </c>
      <c r="AX128" s="186">
        <f t="shared" si="564"/>
        <v>0</v>
      </c>
      <c r="AY128" s="186">
        <f t="shared" si="564"/>
        <v>0</v>
      </c>
      <c r="AZ128" s="186">
        <f t="shared" si="564"/>
        <v>0</v>
      </c>
      <c r="BA128" s="186">
        <f t="shared" si="564"/>
        <v>0</v>
      </c>
      <c r="BB128" s="186">
        <f t="shared" si="564"/>
        <v>0</v>
      </c>
      <c r="BC128" s="186">
        <f t="shared" si="564"/>
        <v>0</v>
      </c>
      <c r="BD128" s="186">
        <f t="shared" si="564"/>
        <v>0</v>
      </c>
      <c r="BE128" s="186">
        <f t="shared" si="564"/>
        <v>0</v>
      </c>
      <c r="BF128" s="186">
        <f t="shared" si="564"/>
        <v>0</v>
      </c>
      <c r="BG128" s="186">
        <f t="shared" si="564"/>
        <v>0</v>
      </c>
      <c r="BH128" s="186">
        <f t="shared" si="564"/>
        <v>0</v>
      </c>
      <c r="BI128" s="186">
        <f t="shared" si="564"/>
        <v>0</v>
      </c>
      <c r="BJ128" s="186">
        <f t="shared" si="564"/>
        <v>0</v>
      </c>
      <c r="BK128" s="186">
        <f t="shared" si="564"/>
        <v>0</v>
      </c>
      <c r="BL128" s="186">
        <f t="shared" si="564"/>
        <v>0</v>
      </c>
    </row>
    <row r="129" spans="3:64" x14ac:dyDescent="0.3">
      <c r="C129" s="130" t="s">
        <v>231</v>
      </c>
      <c r="D129" s="45">
        <f t="shared" ref="D129:H132" si="565">D122</f>
        <v>470733.22550099995</v>
      </c>
      <c r="E129" s="45">
        <f t="shared" si="565"/>
        <v>494269.88677604997</v>
      </c>
      <c r="F129" s="33">
        <f t="shared" si="565"/>
        <v>5</v>
      </c>
      <c r="G129" s="188">
        <f t="shared" si="565"/>
        <v>45839</v>
      </c>
      <c r="H129" s="188">
        <f t="shared" si="565"/>
        <v>46203</v>
      </c>
      <c r="I129" s="45">
        <f>'Assumption Sheet'!$F$29</f>
        <v>12</v>
      </c>
      <c r="J129" s="193">
        <f t="shared" ref="J129:J132" si="566">SUM(K129:BL129)</f>
        <v>0.23536661275049997</v>
      </c>
      <c r="K129" s="186">
        <f t="shared" ref="K129:BL129" si="567">K122*$F129*$D129/10^7</f>
        <v>0</v>
      </c>
      <c r="L129" s="186">
        <f t="shared" si="567"/>
        <v>0</v>
      </c>
      <c r="M129" s="186">
        <f t="shared" si="567"/>
        <v>0</v>
      </c>
      <c r="N129" s="186">
        <f t="shared" si="567"/>
        <v>0</v>
      </c>
      <c r="O129" s="186">
        <f t="shared" si="567"/>
        <v>0</v>
      </c>
      <c r="P129" s="186">
        <f t="shared" si="567"/>
        <v>0</v>
      </c>
      <c r="Q129" s="186">
        <f t="shared" si="567"/>
        <v>0</v>
      </c>
      <c r="R129" s="186">
        <f t="shared" si="567"/>
        <v>0</v>
      </c>
      <c r="S129" s="186">
        <f t="shared" si="567"/>
        <v>0</v>
      </c>
      <c r="T129" s="186">
        <f t="shared" si="567"/>
        <v>0</v>
      </c>
      <c r="U129" s="186">
        <f t="shared" si="567"/>
        <v>0</v>
      </c>
      <c r="V129" s="186">
        <f t="shared" si="567"/>
        <v>0</v>
      </c>
      <c r="W129" s="186">
        <f t="shared" si="567"/>
        <v>0</v>
      </c>
      <c r="X129" s="186">
        <f t="shared" si="567"/>
        <v>0</v>
      </c>
      <c r="Y129" s="186">
        <f t="shared" si="567"/>
        <v>0</v>
      </c>
      <c r="Z129" s="186">
        <f t="shared" si="567"/>
        <v>0</v>
      </c>
      <c r="AA129" s="186">
        <f t="shared" si="567"/>
        <v>0</v>
      </c>
      <c r="AB129" s="186">
        <f t="shared" si="567"/>
        <v>0</v>
      </c>
      <c r="AC129" s="186">
        <f t="shared" si="567"/>
        <v>0</v>
      </c>
      <c r="AD129" s="186">
        <f t="shared" si="567"/>
        <v>4.7073322550099994E-2</v>
      </c>
      <c r="AE129" s="186">
        <f t="shared" si="567"/>
        <v>4.7073322550099994E-2</v>
      </c>
      <c r="AF129" s="186">
        <f t="shared" si="567"/>
        <v>4.7073322550099994E-2</v>
      </c>
      <c r="AG129" s="186">
        <f t="shared" si="567"/>
        <v>4.7073322550099994E-2</v>
      </c>
      <c r="AH129" s="186">
        <f t="shared" si="567"/>
        <v>4.7073322550099994E-2</v>
      </c>
      <c r="AI129" s="186">
        <f t="shared" si="567"/>
        <v>0</v>
      </c>
      <c r="AJ129" s="186">
        <f t="shared" si="567"/>
        <v>0</v>
      </c>
      <c r="AK129" s="186">
        <f t="shared" si="567"/>
        <v>0</v>
      </c>
      <c r="AL129" s="186">
        <f t="shared" si="567"/>
        <v>0</v>
      </c>
      <c r="AM129" s="186">
        <f t="shared" si="567"/>
        <v>0</v>
      </c>
      <c r="AN129" s="186">
        <f t="shared" si="567"/>
        <v>0</v>
      </c>
      <c r="AO129" s="186">
        <f t="shared" si="567"/>
        <v>0</v>
      </c>
      <c r="AP129" s="186">
        <f t="shared" si="567"/>
        <v>0</v>
      </c>
      <c r="AQ129" s="186">
        <f t="shared" si="567"/>
        <v>0</v>
      </c>
      <c r="AR129" s="186">
        <f t="shared" si="567"/>
        <v>0</v>
      </c>
      <c r="AS129" s="186">
        <f t="shared" si="567"/>
        <v>0</v>
      </c>
      <c r="AT129" s="186">
        <f t="shared" si="567"/>
        <v>0</v>
      </c>
      <c r="AU129" s="186">
        <f t="shared" si="567"/>
        <v>0</v>
      </c>
      <c r="AV129" s="186">
        <f t="shared" si="567"/>
        <v>0</v>
      </c>
      <c r="AW129" s="186">
        <f t="shared" si="567"/>
        <v>0</v>
      </c>
      <c r="AX129" s="186">
        <f t="shared" si="567"/>
        <v>0</v>
      </c>
      <c r="AY129" s="186">
        <f t="shared" si="567"/>
        <v>0</v>
      </c>
      <c r="AZ129" s="186">
        <f t="shared" si="567"/>
        <v>0</v>
      </c>
      <c r="BA129" s="186">
        <f t="shared" si="567"/>
        <v>0</v>
      </c>
      <c r="BB129" s="186">
        <f t="shared" si="567"/>
        <v>0</v>
      </c>
      <c r="BC129" s="186">
        <f t="shared" si="567"/>
        <v>0</v>
      </c>
      <c r="BD129" s="186">
        <f t="shared" si="567"/>
        <v>0</v>
      </c>
      <c r="BE129" s="186">
        <f t="shared" si="567"/>
        <v>0</v>
      </c>
      <c r="BF129" s="186">
        <f t="shared" si="567"/>
        <v>0</v>
      </c>
      <c r="BG129" s="186">
        <f t="shared" si="567"/>
        <v>0</v>
      </c>
      <c r="BH129" s="186">
        <f t="shared" si="567"/>
        <v>0</v>
      </c>
      <c r="BI129" s="186">
        <f t="shared" si="567"/>
        <v>0</v>
      </c>
      <c r="BJ129" s="186">
        <f t="shared" si="567"/>
        <v>0</v>
      </c>
      <c r="BK129" s="186">
        <f t="shared" si="567"/>
        <v>0</v>
      </c>
      <c r="BL129" s="186">
        <f t="shared" si="567"/>
        <v>0</v>
      </c>
    </row>
    <row r="130" spans="3:64" x14ac:dyDescent="0.3">
      <c r="C130" s="130" t="s">
        <v>232</v>
      </c>
      <c r="D130" s="45">
        <f t="shared" si="565"/>
        <v>196225.03588799998</v>
      </c>
      <c r="E130" s="45">
        <f t="shared" si="565"/>
        <v>206036.2876824</v>
      </c>
      <c r="F130" s="33">
        <f t="shared" si="565"/>
        <v>5</v>
      </c>
      <c r="G130" s="188">
        <f t="shared" si="565"/>
        <v>46113</v>
      </c>
      <c r="H130" s="188">
        <f t="shared" si="565"/>
        <v>46477</v>
      </c>
      <c r="I130" s="45">
        <f>'Assumption Sheet'!$F$30</f>
        <v>12</v>
      </c>
      <c r="J130" s="193">
        <f t="shared" si="566"/>
        <v>9.8112517943999986E-2</v>
      </c>
      <c r="K130" s="186">
        <f t="shared" ref="K130:BL130" si="568">K123*$F130*$D130/10^7</f>
        <v>0</v>
      </c>
      <c r="L130" s="186">
        <f t="shared" si="568"/>
        <v>0</v>
      </c>
      <c r="M130" s="186">
        <f t="shared" si="568"/>
        <v>0</v>
      </c>
      <c r="N130" s="186">
        <f t="shared" si="568"/>
        <v>0</v>
      </c>
      <c r="O130" s="186">
        <f t="shared" si="568"/>
        <v>0</v>
      </c>
      <c r="P130" s="186">
        <f t="shared" si="568"/>
        <v>0</v>
      </c>
      <c r="Q130" s="186">
        <f t="shared" si="568"/>
        <v>0</v>
      </c>
      <c r="R130" s="186">
        <f t="shared" si="568"/>
        <v>0</v>
      </c>
      <c r="S130" s="186">
        <f t="shared" si="568"/>
        <v>0</v>
      </c>
      <c r="T130" s="186">
        <f t="shared" si="568"/>
        <v>0</v>
      </c>
      <c r="U130" s="186">
        <f t="shared" si="568"/>
        <v>0</v>
      </c>
      <c r="V130" s="186">
        <f t="shared" si="568"/>
        <v>0</v>
      </c>
      <c r="W130" s="186">
        <f t="shared" si="568"/>
        <v>0</v>
      </c>
      <c r="X130" s="186">
        <f t="shared" si="568"/>
        <v>0</v>
      </c>
      <c r="Y130" s="186">
        <f t="shared" si="568"/>
        <v>0</v>
      </c>
      <c r="Z130" s="186">
        <f t="shared" si="568"/>
        <v>0</v>
      </c>
      <c r="AA130" s="186">
        <f t="shared" si="568"/>
        <v>0</v>
      </c>
      <c r="AB130" s="186">
        <f t="shared" si="568"/>
        <v>0</v>
      </c>
      <c r="AC130" s="186">
        <f t="shared" si="568"/>
        <v>0</v>
      </c>
      <c r="AD130" s="186">
        <f t="shared" si="568"/>
        <v>0</v>
      </c>
      <c r="AE130" s="186">
        <f t="shared" si="568"/>
        <v>0</v>
      </c>
      <c r="AF130" s="186">
        <f t="shared" si="568"/>
        <v>0</v>
      </c>
      <c r="AG130" s="186">
        <f t="shared" si="568"/>
        <v>0</v>
      </c>
      <c r="AH130" s="186">
        <f t="shared" si="568"/>
        <v>0</v>
      </c>
      <c r="AI130" s="186">
        <f t="shared" si="568"/>
        <v>0</v>
      </c>
      <c r="AJ130" s="186">
        <f t="shared" si="568"/>
        <v>0</v>
      </c>
      <c r="AK130" s="186">
        <f t="shared" si="568"/>
        <v>0</v>
      </c>
      <c r="AL130" s="186">
        <f t="shared" si="568"/>
        <v>0</v>
      </c>
      <c r="AM130" s="186">
        <f t="shared" si="568"/>
        <v>1.9622503588799998E-2</v>
      </c>
      <c r="AN130" s="186">
        <f t="shared" si="568"/>
        <v>1.9622503588799998E-2</v>
      </c>
      <c r="AO130" s="186">
        <f t="shared" si="568"/>
        <v>1.9622503588799998E-2</v>
      </c>
      <c r="AP130" s="186">
        <f t="shared" si="568"/>
        <v>1.9622503588799998E-2</v>
      </c>
      <c r="AQ130" s="186">
        <f t="shared" si="568"/>
        <v>1.9622503588799998E-2</v>
      </c>
      <c r="AR130" s="186">
        <f t="shared" si="568"/>
        <v>0</v>
      </c>
      <c r="AS130" s="186">
        <f t="shared" si="568"/>
        <v>0</v>
      </c>
      <c r="AT130" s="186">
        <f t="shared" si="568"/>
        <v>0</v>
      </c>
      <c r="AU130" s="186">
        <f t="shared" si="568"/>
        <v>0</v>
      </c>
      <c r="AV130" s="186">
        <f t="shared" si="568"/>
        <v>0</v>
      </c>
      <c r="AW130" s="186">
        <f t="shared" si="568"/>
        <v>0</v>
      </c>
      <c r="AX130" s="186">
        <f t="shared" si="568"/>
        <v>0</v>
      </c>
      <c r="AY130" s="186">
        <f t="shared" si="568"/>
        <v>0</v>
      </c>
      <c r="AZ130" s="186">
        <f t="shared" si="568"/>
        <v>0</v>
      </c>
      <c r="BA130" s="186">
        <f t="shared" si="568"/>
        <v>0</v>
      </c>
      <c r="BB130" s="186">
        <f t="shared" si="568"/>
        <v>0</v>
      </c>
      <c r="BC130" s="186">
        <f t="shared" si="568"/>
        <v>0</v>
      </c>
      <c r="BD130" s="186">
        <f t="shared" si="568"/>
        <v>0</v>
      </c>
      <c r="BE130" s="186">
        <f t="shared" si="568"/>
        <v>0</v>
      </c>
      <c r="BF130" s="186">
        <f t="shared" si="568"/>
        <v>0</v>
      </c>
      <c r="BG130" s="186">
        <f t="shared" si="568"/>
        <v>0</v>
      </c>
      <c r="BH130" s="186">
        <f t="shared" si="568"/>
        <v>0</v>
      </c>
      <c r="BI130" s="186">
        <f t="shared" si="568"/>
        <v>0</v>
      </c>
      <c r="BJ130" s="186">
        <f t="shared" si="568"/>
        <v>0</v>
      </c>
      <c r="BK130" s="186">
        <f t="shared" si="568"/>
        <v>0</v>
      </c>
      <c r="BL130" s="186">
        <f t="shared" si="568"/>
        <v>0</v>
      </c>
    </row>
    <row r="131" spans="3:64" x14ac:dyDescent="0.3">
      <c r="C131" s="130" t="s">
        <v>234</v>
      </c>
      <c r="D131" s="45">
        <f t="shared" si="565"/>
        <v>420964.181071</v>
      </c>
      <c r="E131" s="45">
        <f t="shared" si="565"/>
        <v>442012.39012455003</v>
      </c>
      <c r="F131" s="33">
        <f t="shared" si="565"/>
        <v>5</v>
      </c>
      <c r="G131" s="188">
        <f t="shared" si="565"/>
        <v>46388</v>
      </c>
      <c r="H131" s="188">
        <f t="shared" si="565"/>
        <v>46752</v>
      </c>
      <c r="I131" s="45">
        <f>'Assumption Sheet'!$F$31</f>
        <v>12</v>
      </c>
      <c r="J131" s="193">
        <f t="shared" si="566"/>
        <v>0.21048209053549999</v>
      </c>
      <c r="K131" s="186">
        <f t="shared" ref="K131:BL131" si="569">K124*$F131*$D131/10^7</f>
        <v>0</v>
      </c>
      <c r="L131" s="186">
        <f t="shared" si="569"/>
        <v>0</v>
      </c>
      <c r="M131" s="186">
        <f t="shared" si="569"/>
        <v>0</v>
      </c>
      <c r="N131" s="186">
        <f t="shared" si="569"/>
        <v>0</v>
      </c>
      <c r="O131" s="186">
        <f t="shared" si="569"/>
        <v>0</v>
      </c>
      <c r="P131" s="186">
        <f t="shared" si="569"/>
        <v>0</v>
      </c>
      <c r="Q131" s="186">
        <f t="shared" si="569"/>
        <v>0</v>
      </c>
      <c r="R131" s="186">
        <f t="shared" si="569"/>
        <v>0</v>
      </c>
      <c r="S131" s="186">
        <f t="shared" si="569"/>
        <v>0</v>
      </c>
      <c r="T131" s="186">
        <f t="shared" si="569"/>
        <v>0</v>
      </c>
      <c r="U131" s="186">
        <f t="shared" si="569"/>
        <v>0</v>
      </c>
      <c r="V131" s="186">
        <f t="shared" si="569"/>
        <v>0</v>
      </c>
      <c r="W131" s="186">
        <f t="shared" si="569"/>
        <v>0</v>
      </c>
      <c r="X131" s="186">
        <f t="shared" si="569"/>
        <v>0</v>
      </c>
      <c r="Y131" s="186">
        <f t="shared" si="569"/>
        <v>0</v>
      </c>
      <c r="Z131" s="186">
        <f t="shared" si="569"/>
        <v>0</v>
      </c>
      <c r="AA131" s="186">
        <f t="shared" si="569"/>
        <v>0</v>
      </c>
      <c r="AB131" s="186">
        <f t="shared" si="569"/>
        <v>0</v>
      </c>
      <c r="AC131" s="186">
        <f t="shared" si="569"/>
        <v>0</v>
      </c>
      <c r="AD131" s="186">
        <f t="shared" si="569"/>
        <v>0</v>
      </c>
      <c r="AE131" s="186">
        <f t="shared" si="569"/>
        <v>0</v>
      </c>
      <c r="AF131" s="186">
        <f t="shared" si="569"/>
        <v>0</v>
      </c>
      <c r="AG131" s="186">
        <f t="shared" si="569"/>
        <v>0</v>
      </c>
      <c r="AH131" s="186">
        <f t="shared" si="569"/>
        <v>0</v>
      </c>
      <c r="AI131" s="186">
        <f t="shared" si="569"/>
        <v>0</v>
      </c>
      <c r="AJ131" s="186">
        <f t="shared" si="569"/>
        <v>0</v>
      </c>
      <c r="AK131" s="186">
        <f t="shared" si="569"/>
        <v>0</v>
      </c>
      <c r="AL131" s="186">
        <f t="shared" si="569"/>
        <v>0</v>
      </c>
      <c r="AM131" s="186">
        <f t="shared" si="569"/>
        <v>0</v>
      </c>
      <c r="AN131" s="186">
        <f t="shared" si="569"/>
        <v>0</v>
      </c>
      <c r="AO131" s="186">
        <f t="shared" si="569"/>
        <v>0</v>
      </c>
      <c r="AP131" s="186">
        <f t="shared" si="569"/>
        <v>0</v>
      </c>
      <c r="AQ131" s="186">
        <f t="shared" si="569"/>
        <v>0</v>
      </c>
      <c r="AR131" s="186">
        <f t="shared" si="569"/>
        <v>0</v>
      </c>
      <c r="AS131" s="186">
        <f t="shared" si="569"/>
        <v>0</v>
      </c>
      <c r="AT131" s="186">
        <f t="shared" si="569"/>
        <v>0</v>
      </c>
      <c r="AU131" s="186">
        <f t="shared" si="569"/>
        <v>0</v>
      </c>
      <c r="AV131" s="186">
        <f t="shared" si="569"/>
        <v>4.2096418107099999E-2</v>
      </c>
      <c r="AW131" s="186">
        <f t="shared" si="569"/>
        <v>4.2096418107099999E-2</v>
      </c>
      <c r="AX131" s="186">
        <f t="shared" si="569"/>
        <v>4.2096418107099999E-2</v>
      </c>
      <c r="AY131" s="186">
        <f t="shared" si="569"/>
        <v>4.2096418107099999E-2</v>
      </c>
      <c r="AZ131" s="186">
        <f t="shared" si="569"/>
        <v>4.2096418107099999E-2</v>
      </c>
      <c r="BA131" s="186">
        <f t="shared" si="569"/>
        <v>0</v>
      </c>
      <c r="BB131" s="186">
        <f t="shared" si="569"/>
        <v>0</v>
      </c>
      <c r="BC131" s="186">
        <f t="shared" si="569"/>
        <v>0</v>
      </c>
      <c r="BD131" s="186">
        <f t="shared" si="569"/>
        <v>0</v>
      </c>
      <c r="BE131" s="186">
        <f t="shared" si="569"/>
        <v>0</v>
      </c>
      <c r="BF131" s="186">
        <f t="shared" si="569"/>
        <v>0</v>
      </c>
      <c r="BG131" s="186">
        <f t="shared" si="569"/>
        <v>0</v>
      </c>
      <c r="BH131" s="186">
        <f t="shared" si="569"/>
        <v>0</v>
      </c>
      <c r="BI131" s="186">
        <f t="shared" si="569"/>
        <v>0</v>
      </c>
      <c r="BJ131" s="186">
        <f t="shared" si="569"/>
        <v>0</v>
      </c>
      <c r="BK131" s="186">
        <f t="shared" si="569"/>
        <v>0</v>
      </c>
      <c r="BL131" s="186">
        <f t="shared" si="569"/>
        <v>0</v>
      </c>
    </row>
    <row r="132" spans="3:64" x14ac:dyDescent="0.3">
      <c r="C132" s="130" t="s">
        <v>259</v>
      </c>
      <c r="D132" s="45">
        <f t="shared" si="565"/>
        <v>87708.024565</v>
      </c>
      <c r="E132" s="45">
        <f t="shared" si="565"/>
        <v>92093.425793250004</v>
      </c>
      <c r="F132" s="33">
        <f t="shared" si="565"/>
        <v>5</v>
      </c>
      <c r="G132" s="188">
        <f t="shared" si="565"/>
        <v>46661</v>
      </c>
      <c r="H132" s="188">
        <f t="shared" si="565"/>
        <v>47118</v>
      </c>
      <c r="I132" s="45">
        <f>'Assumption Sheet'!$F$32</f>
        <v>15</v>
      </c>
      <c r="J132" s="193">
        <f t="shared" si="566"/>
        <v>4.38540122825E-2</v>
      </c>
      <c r="K132" s="186">
        <f t="shared" ref="K132:BL132" si="570">K125*$F132*$D132/10^7</f>
        <v>0</v>
      </c>
      <c r="L132" s="186">
        <f t="shared" si="570"/>
        <v>0</v>
      </c>
      <c r="M132" s="186">
        <f t="shared" si="570"/>
        <v>0</v>
      </c>
      <c r="N132" s="186">
        <f t="shared" si="570"/>
        <v>0</v>
      </c>
      <c r="O132" s="186">
        <f t="shared" si="570"/>
        <v>0</v>
      </c>
      <c r="P132" s="186">
        <f t="shared" si="570"/>
        <v>0</v>
      </c>
      <c r="Q132" s="186">
        <f t="shared" si="570"/>
        <v>0</v>
      </c>
      <c r="R132" s="186">
        <f t="shared" si="570"/>
        <v>0</v>
      </c>
      <c r="S132" s="186">
        <f t="shared" si="570"/>
        <v>0</v>
      </c>
      <c r="T132" s="186">
        <f t="shared" si="570"/>
        <v>0</v>
      </c>
      <c r="U132" s="186">
        <f t="shared" si="570"/>
        <v>0</v>
      </c>
      <c r="V132" s="186">
        <f t="shared" si="570"/>
        <v>0</v>
      </c>
      <c r="W132" s="186">
        <f t="shared" si="570"/>
        <v>0</v>
      </c>
      <c r="X132" s="186">
        <f t="shared" si="570"/>
        <v>0</v>
      </c>
      <c r="Y132" s="186">
        <f t="shared" si="570"/>
        <v>0</v>
      </c>
      <c r="Z132" s="186">
        <f t="shared" si="570"/>
        <v>0</v>
      </c>
      <c r="AA132" s="186">
        <f t="shared" si="570"/>
        <v>0</v>
      </c>
      <c r="AB132" s="186">
        <f t="shared" si="570"/>
        <v>0</v>
      </c>
      <c r="AC132" s="186">
        <f t="shared" si="570"/>
        <v>0</v>
      </c>
      <c r="AD132" s="186">
        <f t="shared" si="570"/>
        <v>0</v>
      </c>
      <c r="AE132" s="186">
        <f t="shared" si="570"/>
        <v>0</v>
      </c>
      <c r="AF132" s="186">
        <f t="shared" si="570"/>
        <v>0</v>
      </c>
      <c r="AG132" s="186">
        <f t="shared" si="570"/>
        <v>0</v>
      </c>
      <c r="AH132" s="186">
        <f t="shared" si="570"/>
        <v>0</v>
      </c>
      <c r="AI132" s="186">
        <f t="shared" si="570"/>
        <v>0</v>
      </c>
      <c r="AJ132" s="186">
        <f t="shared" si="570"/>
        <v>0</v>
      </c>
      <c r="AK132" s="186">
        <f t="shared" si="570"/>
        <v>0</v>
      </c>
      <c r="AL132" s="186">
        <f t="shared" si="570"/>
        <v>0</v>
      </c>
      <c r="AM132" s="186">
        <f t="shared" si="570"/>
        <v>0</v>
      </c>
      <c r="AN132" s="186">
        <f t="shared" si="570"/>
        <v>0</v>
      </c>
      <c r="AO132" s="186">
        <f t="shared" si="570"/>
        <v>0</v>
      </c>
      <c r="AP132" s="186">
        <f t="shared" si="570"/>
        <v>0</v>
      </c>
      <c r="AQ132" s="186">
        <f t="shared" si="570"/>
        <v>0</v>
      </c>
      <c r="AR132" s="186">
        <f t="shared" si="570"/>
        <v>0</v>
      </c>
      <c r="AS132" s="186">
        <f t="shared" si="570"/>
        <v>0</v>
      </c>
      <c r="AT132" s="186">
        <f t="shared" si="570"/>
        <v>0</v>
      </c>
      <c r="AU132" s="186">
        <f t="shared" si="570"/>
        <v>0</v>
      </c>
      <c r="AV132" s="186">
        <f t="shared" si="570"/>
        <v>0</v>
      </c>
      <c r="AW132" s="186">
        <f t="shared" si="570"/>
        <v>0</v>
      </c>
      <c r="AX132" s="186">
        <f t="shared" si="570"/>
        <v>0</v>
      </c>
      <c r="AY132" s="186">
        <f t="shared" si="570"/>
        <v>0</v>
      </c>
      <c r="AZ132" s="186">
        <f t="shared" si="570"/>
        <v>0</v>
      </c>
      <c r="BA132" s="186">
        <f t="shared" si="570"/>
        <v>0</v>
      </c>
      <c r="BB132" s="186">
        <f t="shared" si="570"/>
        <v>0</v>
      </c>
      <c r="BC132" s="186">
        <f t="shared" si="570"/>
        <v>0</v>
      </c>
      <c r="BD132" s="186">
        <f t="shared" si="570"/>
        <v>0</v>
      </c>
      <c r="BE132" s="186">
        <f t="shared" si="570"/>
        <v>0</v>
      </c>
      <c r="BF132" s="186">
        <f t="shared" si="570"/>
        <v>0</v>
      </c>
      <c r="BG132" s="186">
        <f t="shared" si="570"/>
        <v>0</v>
      </c>
      <c r="BH132" s="186">
        <f t="shared" si="570"/>
        <v>8.7708024565000004E-3</v>
      </c>
      <c r="BI132" s="186">
        <f t="shared" si="570"/>
        <v>8.7708024565000004E-3</v>
      </c>
      <c r="BJ132" s="186">
        <f t="shared" si="570"/>
        <v>8.7708024565000004E-3</v>
      </c>
      <c r="BK132" s="186">
        <f t="shared" si="570"/>
        <v>8.7708024565000004E-3</v>
      </c>
      <c r="BL132" s="186">
        <f t="shared" si="570"/>
        <v>8.7708024565000004E-3</v>
      </c>
    </row>
    <row r="133" spans="3:64" x14ac:dyDescent="0.3">
      <c r="J133" s="194">
        <f>SUM(J128:J132)</f>
        <v>0.70932943880749999</v>
      </c>
      <c r="K133" s="194">
        <f t="shared" ref="K133:BL133" si="571">SUM(K128:K132)</f>
        <v>0</v>
      </c>
      <c r="L133" s="194">
        <f t="shared" si="571"/>
        <v>0</v>
      </c>
      <c r="M133" s="194">
        <f t="shared" si="571"/>
        <v>0</v>
      </c>
      <c r="N133" s="194">
        <f t="shared" si="571"/>
        <v>0</v>
      </c>
      <c r="O133" s="194">
        <f t="shared" si="571"/>
        <v>0</v>
      </c>
      <c r="P133" s="194">
        <f t="shared" si="571"/>
        <v>0</v>
      </c>
      <c r="Q133" s="194">
        <f t="shared" si="571"/>
        <v>0</v>
      </c>
      <c r="R133" s="194">
        <f t="shared" si="571"/>
        <v>2.4302841058999998E-2</v>
      </c>
      <c r="S133" s="194">
        <f t="shared" si="571"/>
        <v>2.4302841058999998E-2</v>
      </c>
      <c r="T133" s="194">
        <f t="shared" si="571"/>
        <v>2.4302841058999998E-2</v>
      </c>
      <c r="U133" s="194">
        <f t="shared" si="571"/>
        <v>2.4302841058999998E-2</v>
      </c>
      <c r="V133" s="194">
        <f t="shared" si="571"/>
        <v>2.4302841058999998E-2</v>
      </c>
      <c r="W133" s="194">
        <f t="shared" si="571"/>
        <v>0</v>
      </c>
      <c r="X133" s="194">
        <f t="shared" si="571"/>
        <v>0</v>
      </c>
      <c r="Y133" s="194">
        <f t="shared" si="571"/>
        <v>0</v>
      </c>
      <c r="Z133" s="194">
        <f t="shared" si="571"/>
        <v>0</v>
      </c>
      <c r="AA133" s="194">
        <f t="shared" si="571"/>
        <v>0</v>
      </c>
      <c r="AB133" s="194">
        <f t="shared" si="571"/>
        <v>0</v>
      </c>
      <c r="AC133" s="194">
        <f t="shared" si="571"/>
        <v>0</v>
      </c>
      <c r="AD133" s="194">
        <f t="shared" si="571"/>
        <v>4.7073322550099994E-2</v>
      </c>
      <c r="AE133" s="194">
        <f t="shared" si="571"/>
        <v>4.7073322550099994E-2</v>
      </c>
      <c r="AF133" s="194">
        <f t="shared" si="571"/>
        <v>4.7073322550099994E-2</v>
      </c>
      <c r="AG133" s="194">
        <f t="shared" si="571"/>
        <v>4.7073322550099994E-2</v>
      </c>
      <c r="AH133" s="194">
        <f t="shared" si="571"/>
        <v>4.7073322550099994E-2</v>
      </c>
      <c r="AI133" s="194">
        <f t="shared" si="571"/>
        <v>0</v>
      </c>
      <c r="AJ133" s="194">
        <f t="shared" si="571"/>
        <v>0</v>
      </c>
      <c r="AK133" s="194">
        <f t="shared" si="571"/>
        <v>0</v>
      </c>
      <c r="AL133" s="194">
        <f t="shared" si="571"/>
        <v>0</v>
      </c>
      <c r="AM133" s="194">
        <f t="shared" si="571"/>
        <v>1.9622503588799998E-2</v>
      </c>
      <c r="AN133" s="194">
        <f t="shared" si="571"/>
        <v>1.9622503588799998E-2</v>
      </c>
      <c r="AO133" s="194">
        <f t="shared" si="571"/>
        <v>1.9622503588799998E-2</v>
      </c>
      <c r="AP133" s="194">
        <f t="shared" si="571"/>
        <v>1.9622503588799998E-2</v>
      </c>
      <c r="AQ133" s="194">
        <f t="shared" si="571"/>
        <v>1.9622503588799998E-2</v>
      </c>
      <c r="AR133" s="194">
        <f t="shared" si="571"/>
        <v>0</v>
      </c>
      <c r="AS133" s="194">
        <f t="shared" si="571"/>
        <v>0</v>
      </c>
      <c r="AT133" s="194">
        <f t="shared" si="571"/>
        <v>0</v>
      </c>
      <c r="AU133" s="194">
        <f t="shared" si="571"/>
        <v>0</v>
      </c>
      <c r="AV133" s="194">
        <f t="shared" si="571"/>
        <v>4.2096418107099999E-2</v>
      </c>
      <c r="AW133" s="194">
        <f t="shared" si="571"/>
        <v>4.2096418107099999E-2</v>
      </c>
      <c r="AX133" s="194">
        <f t="shared" si="571"/>
        <v>4.2096418107099999E-2</v>
      </c>
      <c r="AY133" s="194">
        <f t="shared" si="571"/>
        <v>4.2096418107099999E-2</v>
      </c>
      <c r="AZ133" s="194">
        <f t="shared" si="571"/>
        <v>4.2096418107099999E-2</v>
      </c>
      <c r="BA133" s="194">
        <f t="shared" si="571"/>
        <v>0</v>
      </c>
      <c r="BB133" s="194">
        <f t="shared" si="571"/>
        <v>0</v>
      </c>
      <c r="BC133" s="194">
        <f t="shared" si="571"/>
        <v>0</v>
      </c>
      <c r="BD133" s="194">
        <f t="shared" si="571"/>
        <v>0</v>
      </c>
      <c r="BE133" s="194">
        <f t="shared" si="571"/>
        <v>0</v>
      </c>
      <c r="BF133" s="194">
        <f t="shared" si="571"/>
        <v>0</v>
      </c>
      <c r="BG133" s="194">
        <f t="shared" si="571"/>
        <v>0</v>
      </c>
      <c r="BH133" s="194">
        <f t="shared" si="571"/>
        <v>8.7708024565000004E-3</v>
      </c>
      <c r="BI133" s="194">
        <f t="shared" si="571"/>
        <v>8.7708024565000004E-3</v>
      </c>
      <c r="BJ133" s="194">
        <f t="shared" si="571"/>
        <v>8.7708024565000004E-3</v>
      </c>
      <c r="BK133" s="194">
        <f t="shared" si="571"/>
        <v>8.7708024565000004E-3</v>
      </c>
      <c r="BL133" s="194">
        <f t="shared" si="571"/>
        <v>8.7708024565000004E-3</v>
      </c>
    </row>
    <row r="138" spans="3:64" x14ac:dyDescent="0.3">
      <c r="J138" s="52"/>
      <c r="K138" s="52"/>
      <c r="L138" s="52"/>
    </row>
    <row r="139" spans="3:64" x14ac:dyDescent="0.3">
      <c r="J139" s="52"/>
      <c r="K139" s="52"/>
      <c r="L139" s="52"/>
    </row>
    <row r="140" spans="3:64" x14ac:dyDescent="0.3">
      <c r="J140" s="52"/>
      <c r="K140" s="52"/>
      <c r="L140" s="52"/>
    </row>
    <row r="141" spans="3:64" x14ac:dyDescent="0.3">
      <c r="J141" s="52"/>
      <c r="K141" s="52"/>
      <c r="L141" s="52"/>
    </row>
    <row r="142" spans="3:64" x14ac:dyDescent="0.3">
      <c r="J142" s="52"/>
      <c r="K142" s="52"/>
      <c r="L142" s="52"/>
    </row>
    <row r="143" spans="3:64" x14ac:dyDescent="0.3">
      <c r="J143" s="52"/>
    </row>
    <row r="145" spans="18:20" x14ac:dyDescent="0.3">
      <c r="R145" s="52"/>
    </row>
    <row r="146" spans="18:20" x14ac:dyDescent="0.3">
      <c r="T146" s="52"/>
    </row>
    <row r="149" spans="18:20" x14ac:dyDescent="0.3">
      <c r="T149" s="52"/>
    </row>
    <row r="150" spans="18:20" x14ac:dyDescent="0.3">
      <c r="T150" s="52"/>
    </row>
  </sheetData>
  <pageMargins left="0.7" right="0.7" top="0.75" bottom="0.75" header="0.3" footer="0.3"/>
  <pageSetup orientation="portrait" r:id="rId1"/>
  <ignoredErrors>
    <ignoredError sqref="A1:XFD5 A116:XFD120 A111:H111 BM111:XFD111 A112:H115 BM112:XFD115 A107:XFD109 A102:H102 BM102:XFD102 A103:H106 BM103:XFD106 A25:XFD28 A19:I19 K19:XFD19 A41:XFD44 A35:I35 K35:XFD35 A73:XFD76 A67:I67 K67:XFD67 A89:XFD91 A83:I83 K83:XFD83 A98:XFD100 A92:I92 K92:XFD92 A101:I101 K101:XFD101 A110:I110 K110:XFD110 A133:XFD136 A127:I127 K127:XFD127 A145:XFD151 A138:B144 W138:XFD144 A137:B137 W137:XFD137 A126:XFD126 A121:H125 BM121:XFD125 A18:XFD18 A13:H13 J13:XFD13 A14:H17 J14:XFD16 A20:H24 J20:XFD24 A34:XFD34 A29:H33 J29:XFD32 A36:H40 J36:XFD40 A50:XFD51 A45:H49 J45:XFD48 A66:XFD66 A61:H65 J61:XFD64 A57:XFD60 A52:H56 J52:XFD56 A68:H72 J68:XFD72 A82:XFD82 A77:H81 J77:XFD80 A84:H88 J84:XFD88 A93:H97 J94:XFD97 J102 J103:J106 J111 J112:J115 J121:J125 A128:H132 J128:XFD132 J17:AW17 BA17:XFD17 J33:AW33 BM33:XFD33 J49:AW49 BM49:XFD49 J65:AW65 BM65:XFD65 J81:AW81 BM81:XFD81 A7:XFD12 A6:L6 N6:XFD6 AU124:AY124 J93 L93:XFD93 A153:XFD1048576 B152:XFD15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4" tint="0.39997558519241921"/>
  </sheetPr>
  <dimension ref="A1:KC124"/>
  <sheetViews>
    <sheetView zoomScale="90" zoomScaleNormal="90" zoomScaleSheetLayoutView="90" workbookViewId="0">
      <pane xSplit="2" ySplit="7" topLeftCell="C10" activePane="bottomRight" state="frozen"/>
      <selection activeCell="L22" sqref="L22"/>
      <selection pane="topRight" activeCell="L22" sqref="L22"/>
      <selection pane="bottomLeft" activeCell="L22" sqref="L22"/>
      <selection pane="bottomRight" activeCell="D10" sqref="D10"/>
    </sheetView>
  </sheetViews>
  <sheetFormatPr defaultColWidth="8.88671875" defaultRowHeight="13.8" x14ac:dyDescent="0.3"/>
  <cols>
    <col min="1" max="1" width="47.33203125" style="1" bestFit="1" customWidth="1"/>
    <col min="2" max="2" width="9.44140625" style="1" customWidth="1"/>
    <col min="3" max="29" width="9.33203125" style="1" customWidth="1"/>
    <col min="30" max="288" width="8.88671875" style="1" customWidth="1"/>
    <col min="289" max="289" width="11.5546875" style="1" bestFit="1" customWidth="1"/>
    <col min="290" max="16384" width="8.88671875" style="1"/>
  </cols>
  <sheetData>
    <row r="1" spans="1:289" x14ac:dyDescent="0.3">
      <c r="A1" s="39" t="s">
        <v>156</v>
      </c>
      <c r="B1" s="33"/>
      <c r="C1" s="1">
        <v>1</v>
      </c>
      <c r="D1" s="1">
        <f>C1+1</f>
        <v>2</v>
      </c>
      <c r="E1" s="1">
        <f t="shared" ref="E1:BP1" si="0">D1+1</f>
        <v>3</v>
      </c>
      <c r="F1" s="1">
        <f t="shared" si="0"/>
        <v>4</v>
      </c>
      <c r="G1" s="1">
        <f t="shared" si="0"/>
        <v>5</v>
      </c>
      <c r="H1" s="1">
        <f t="shared" si="0"/>
        <v>6</v>
      </c>
      <c r="I1" s="1">
        <f t="shared" si="0"/>
        <v>7</v>
      </c>
      <c r="J1" s="1">
        <f t="shared" si="0"/>
        <v>8</v>
      </c>
      <c r="K1" s="1">
        <f t="shared" si="0"/>
        <v>9</v>
      </c>
      <c r="L1" s="1">
        <f t="shared" si="0"/>
        <v>10</v>
      </c>
      <c r="M1" s="1">
        <f t="shared" si="0"/>
        <v>11</v>
      </c>
      <c r="N1" s="1">
        <f t="shared" si="0"/>
        <v>12</v>
      </c>
      <c r="O1" s="1">
        <f t="shared" si="0"/>
        <v>13</v>
      </c>
      <c r="P1" s="1">
        <f t="shared" si="0"/>
        <v>14</v>
      </c>
      <c r="Q1" s="1">
        <f t="shared" si="0"/>
        <v>15</v>
      </c>
      <c r="R1" s="1">
        <f t="shared" si="0"/>
        <v>16</v>
      </c>
      <c r="S1" s="1">
        <f t="shared" si="0"/>
        <v>17</v>
      </c>
      <c r="T1" s="1">
        <f t="shared" si="0"/>
        <v>18</v>
      </c>
      <c r="U1" s="1">
        <f t="shared" si="0"/>
        <v>19</v>
      </c>
      <c r="V1" s="1">
        <f t="shared" si="0"/>
        <v>20</v>
      </c>
      <c r="W1" s="1">
        <f t="shared" si="0"/>
        <v>21</v>
      </c>
      <c r="X1" s="1">
        <f t="shared" si="0"/>
        <v>22</v>
      </c>
      <c r="Y1" s="1">
        <f t="shared" si="0"/>
        <v>23</v>
      </c>
      <c r="Z1" s="1">
        <f t="shared" si="0"/>
        <v>24</v>
      </c>
      <c r="AA1" s="1">
        <f t="shared" si="0"/>
        <v>25</v>
      </c>
      <c r="AB1" s="1">
        <f t="shared" si="0"/>
        <v>26</v>
      </c>
      <c r="AC1" s="1">
        <f t="shared" si="0"/>
        <v>27</v>
      </c>
      <c r="AD1" s="1">
        <f t="shared" si="0"/>
        <v>28</v>
      </c>
      <c r="AE1" s="1">
        <f t="shared" si="0"/>
        <v>29</v>
      </c>
      <c r="AF1" s="1">
        <f t="shared" si="0"/>
        <v>30</v>
      </c>
      <c r="AG1" s="1">
        <f t="shared" si="0"/>
        <v>31</v>
      </c>
      <c r="AH1" s="1">
        <f t="shared" si="0"/>
        <v>32</v>
      </c>
      <c r="AI1" s="1">
        <f t="shared" si="0"/>
        <v>33</v>
      </c>
      <c r="AJ1" s="1">
        <f t="shared" si="0"/>
        <v>34</v>
      </c>
      <c r="AK1" s="1">
        <f t="shared" si="0"/>
        <v>35</v>
      </c>
      <c r="AL1" s="1">
        <f t="shared" si="0"/>
        <v>36</v>
      </c>
      <c r="AM1" s="1">
        <f t="shared" si="0"/>
        <v>37</v>
      </c>
      <c r="AN1" s="1">
        <f t="shared" si="0"/>
        <v>38</v>
      </c>
      <c r="AO1" s="1">
        <f t="shared" si="0"/>
        <v>39</v>
      </c>
      <c r="AP1" s="1">
        <f t="shared" si="0"/>
        <v>40</v>
      </c>
      <c r="AQ1" s="1">
        <f t="shared" si="0"/>
        <v>41</v>
      </c>
      <c r="AR1" s="1">
        <f t="shared" si="0"/>
        <v>42</v>
      </c>
      <c r="AS1" s="1">
        <f t="shared" si="0"/>
        <v>43</v>
      </c>
      <c r="AT1" s="1">
        <f t="shared" si="0"/>
        <v>44</v>
      </c>
      <c r="AU1" s="1">
        <f t="shared" si="0"/>
        <v>45</v>
      </c>
      <c r="AV1" s="1">
        <f t="shared" si="0"/>
        <v>46</v>
      </c>
      <c r="AW1" s="1">
        <f t="shared" si="0"/>
        <v>47</v>
      </c>
      <c r="AX1" s="1">
        <f t="shared" si="0"/>
        <v>48</v>
      </c>
      <c r="AY1" s="1">
        <f t="shared" si="0"/>
        <v>49</v>
      </c>
      <c r="AZ1" s="1">
        <f t="shared" si="0"/>
        <v>50</v>
      </c>
      <c r="BA1" s="1">
        <f t="shared" si="0"/>
        <v>51</v>
      </c>
      <c r="BB1" s="1">
        <f t="shared" si="0"/>
        <v>52</v>
      </c>
      <c r="BC1" s="1">
        <f t="shared" si="0"/>
        <v>53</v>
      </c>
      <c r="BD1" s="1">
        <f t="shared" si="0"/>
        <v>54</v>
      </c>
      <c r="BE1" s="1">
        <f t="shared" si="0"/>
        <v>55</v>
      </c>
      <c r="BF1" s="1">
        <f t="shared" si="0"/>
        <v>56</v>
      </c>
      <c r="BG1" s="1">
        <f t="shared" si="0"/>
        <v>57</v>
      </c>
      <c r="BH1" s="1">
        <f t="shared" si="0"/>
        <v>58</v>
      </c>
      <c r="BI1" s="1">
        <f t="shared" si="0"/>
        <v>59</v>
      </c>
      <c r="BJ1" s="1">
        <f t="shared" si="0"/>
        <v>60</v>
      </c>
      <c r="BK1" s="1">
        <f t="shared" si="0"/>
        <v>61</v>
      </c>
      <c r="BL1" s="1">
        <f t="shared" si="0"/>
        <v>62</v>
      </c>
      <c r="BM1" s="1">
        <f t="shared" si="0"/>
        <v>63</v>
      </c>
      <c r="BN1" s="1">
        <f t="shared" si="0"/>
        <v>64</v>
      </c>
      <c r="BO1" s="1">
        <f t="shared" si="0"/>
        <v>65</v>
      </c>
      <c r="BP1" s="1">
        <f t="shared" si="0"/>
        <v>66</v>
      </c>
      <c r="BQ1" s="1">
        <f t="shared" ref="BQ1:EB1" si="1">BP1+1</f>
        <v>67</v>
      </c>
      <c r="BR1" s="1">
        <f t="shared" si="1"/>
        <v>68</v>
      </c>
      <c r="BS1" s="1">
        <f t="shared" si="1"/>
        <v>69</v>
      </c>
      <c r="BT1" s="1">
        <f t="shared" si="1"/>
        <v>70</v>
      </c>
      <c r="BU1" s="1">
        <f t="shared" si="1"/>
        <v>71</v>
      </c>
      <c r="BV1" s="1">
        <f t="shared" si="1"/>
        <v>72</v>
      </c>
      <c r="BW1" s="1">
        <f t="shared" si="1"/>
        <v>73</v>
      </c>
      <c r="BX1" s="1">
        <f t="shared" si="1"/>
        <v>74</v>
      </c>
      <c r="BY1" s="1">
        <f t="shared" si="1"/>
        <v>75</v>
      </c>
      <c r="BZ1" s="1">
        <f t="shared" si="1"/>
        <v>76</v>
      </c>
      <c r="CA1" s="1">
        <f t="shared" si="1"/>
        <v>77</v>
      </c>
      <c r="CB1" s="1">
        <f t="shared" si="1"/>
        <v>78</v>
      </c>
      <c r="CC1" s="1">
        <f t="shared" si="1"/>
        <v>79</v>
      </c>
      <c r="CD1" s="1">
        <f t="shared" si="1"/>
        <v>80</v>
      </c>
      <c r="CE1" s="1">
        <f t="shared" si="1"/>
        <v>81</v>
      </c>
      <c r="CF1" s="1">
        <f t="shared" si="1"/>
        <v>82</v>
      </c>
      <c r="CG1" s="1">
        <f t="shared" si="1"/>
        <v>83</v>
      </c>
      <c r="CH1" s="1">
        <f t="shared" si="1"/>
        <v>84</v>
      </c>
      <c r="CI1" s="1">
        <f t="shared" si="1"/>
        <v>85</v>
      </c>
      <c r="CJ1" s="1">
        <f t="shared" si="1"/>
        <v>86</v>
      </c>
      <c r="CK1" s="1">
        <f t="shared" si="1"/>
        <v>87</v>
      </c>
      <c r="CL1" s="1">
        <f t="shared" si="1"/>
        <v>88</v>
      </c>
      <c r="CM1" s="1">
        <f t="shared" si="1"/>
        <v>89</v>
      </c>
      <c r="CN1" s="1">
        <f t="shared" si="1"/>
        <v>90</v>
      </c>
      <c r="CO1" s="1">
        <f t="shared" si="1"/>
        <v>91</v>
      </c>
      <c r="CP1" s="1">
        <f t="shared" si="1"/>
        <v>92</v>
      </c>
      <c r="CQ1" s="1">
        <f t="shared" si="1"/>
        <v>93</v>
      </c>
      <c r="CR1" s="1">
        <f t="shared" si="1"/>
        <v>94</v>
      </c>
      <c r="CS1" s="1">
        <f t="shared" si="1"/>
        <v>95</v>
      </c>
      <c r="CT1" s="1">
        <f t="shared" si="1"/>
        <v>96</v>
      </c>
      <c r="CU1" s="1">
        <f t="shared" si="1"/>
        <v>97</v>
      </c>
      <c r="CV1" s="1">
        <f t="shared" si="1"/>
        <v>98</v>
      </c>
      <c r="CW1" s="1">
        <f t="shared" si="1"/>
        <v>99</v>
      </c>
      <c r="CX1" s="1">
        <f t="shared" si="1"/>
        <v>100</v>
      </c>
      <c r="CY1" s="1">
        <f t="shared" si="1"/>
        <v>101</v>
      </c>
      <c r="CZ1" s="1">
        <f t="shared" si="1"/>
        <v>102</v>
      </c>
      <c r="DA1" s="1">
        <f t="shared" si="1"/>
        <v>103</v>
      </c>
      <c r="DB1" s="1">
        <f t="shared" si="1"/>
        <v>104</v>
      </c>
      <c r="DC1" s="1">
        <f t="shared" si="1"/>
        <v>105</v>
      </c>
      <c r="DD1" s="1">
        <f t="shared" si="1"/>
        <v>106</v>
      </c>
      <c r="DE1" s="1">
        <f t="shared" si="1"/>
        <v>107</v>
      </c>
      <c r="DF1" s="1">
        <f t="shared" si="1"/>
        <v>108</v>
      </c>
      <c r="DG1" s="1">
        <f t="shared" si="1"/>
        <v>109</v>
      </c>
      <c r="DH1" s="1">
        <f t="shared" si="1"/>
        <v>110</v>
      </c>
      <c r="DI1" s="1">
        <f t="shared" si="1"/>
        <v>111</v>
      </c>
      <c r="DJ1" s="1">
        <f t="shared" si="1"/>
        <v>112</v>
      </c>
      <c r="DK1" s="1">
        <f t="shared" si="1"/>
        <v>113</v>
      </c>
      <c r="DL1" s="1">
        <f t="shared" si="1"/>
        <v>114</v>
      </c>
      <c r="DM1" s="1">
        <f t="shared" si="1"/>
        <v>115</v>
      </c>
      <c r="DN1" s="1">
        <f t="shared" si="1"/>
        <v>116</v>
      </c>
      <c r="DO1" s="1">
        <f t="shared" si="1"/>
        <v>117</v>
      </c>
      <c r="DP1" s="1">
        <f t="shared" si="1"/>
        <v>118</v>
      </c>
      <c r="DQ1" s="1">
        <f t="shared" si="1"/>
        <v>119</v>
      </c>
      <c r="DR1" s="1">
        <f t="shared" si="1"/>
        <v>120</v>
      </c>
      <c r="DS1" s="1">
        <f t="shared" si="1"/>
        <v>121</v>
      </c>
      <c r="DT1" s="1">
        <f t="shared" si="1"/>
        <v>122</v>
      </c>
      <c r="DU1" s="1">
        <f t="shared" si="1"/>
        <v>123</v>
      </c>
      <c r="DV1" s="1">
        <f t="shared" si="1"/>
        <v>124</v>
      </c>
      <c r="DW1" s="1">
        <f t="shared" si="1"/>
        <v>125</v>
      </c>
      <c r="DX1" s="1">
        <f t="shared" si="1"/>
        <v>126</v>
      </c>
      <c r="DY1" s="1">
        <f t="shared" si="1"/>
        <v>127</v>
      </c>
      <c r="DZ1" s="1">
        <f t="shared" si="1"/>
        <v>128</v>
      </c>
      <c r="EA1" s="1">
        <f t="shared" si="1"/>
        <v>129</v>
      </c>
      <c r="EB1" s="1">
        <f t="shared" si="1"/>
        <v>130</v>
      </c>
      <c r="EC1" s="1">
        <f t="shared" ref="EC1:GN1" si="2">EB1+1</f>
        <v>131</v>
      </c>
      <c r="ED1" s="1">
        <f t="shared" si="2"/>
        <v>132</v>
      </c>
      <c r="EE1" s="1">
        <f t="shared" si="2"/>
        <v>133</v>
      </c>
      <c r="EF1" s="1">
        <f t="shared" si="2"/>
        <v>134</v>
      </c>
      <c r="EG1" s="1">
        <f t="shared" si="2"/>
        <v>135</v>
      </c>
      <c r="EH1" s="1">
        <f t="shared" si="2"/>
        <v>136</v>
      </c>
      <c r="EI1" s="1">
        <f t="shared" si="2"/>
        <v>137</v>
      </c>
      <c r="EJ1" s="1">
        <f t="shared" si="2"/>
        <v>138</v>
      </c>
      <c r="EK1" s="1">
        <f t="shared" si="2"/>
        <v>139</v>
      </c>
      <c r="EL1" s="1">
        <f t="shared" si="2"/>
        <v>140</v>
      </c>
      <c r="EM1" s="1">
        <f t="shared" si="2"/>
        <v>141</v>
      </c>
      <c r="EN1" s="1">
        <f t="shared" si="2"/>
        <v>142</v>
      </c>
      <c r="EO1" s="1">
        <f t="shared" si="2"/>
        <v>143</v>
      </c>
      <c r="EP1" s="1">
        <f t="shared" si="2"/>
        <v>144</v>
      </c>
      <c r="EQ1" s="1">
        <f t="shared" si="2"/>
        <v>145</v>
      </c>
      <c r="ER1" s="1">
        <f t="shared" si="2"/>
        <v>146</v>
      </c>
      <c r="ES1" s="1">
        <f t="shared" si="2"/>
        <v>147</v>
      </c>
      <c r="ET1" s="1">
        <f t="shared" si="2"/>
        <v>148</v>
      </c>
      <c r="EU1" s="1">
        <f t="shared" si="2"/>
        <v>149</v>
      </c>
      <c r="EV1" s="1">
        <f t="shared" si="2"/>
        <v>150</v>
      </c>
      <c r="EW1" s="1">
        <f t="shared" si="2"/>
        <v>151</v>
      </c>
      <c r="EX1" s="1">
        <f t="shared" si="2"/>
        <v>152</v>
      </c>
      <c r="EY1" s="1">
        <f t="shared" si="2"/>
        <v>153</v>
      </c>
      <c r="EZ1" s="1">
        <f t="shared" si="2"/>
        <v>154</v>
      </c>
      <c r="FA1" s="1">
        <f t="shared" si="2"/>
        <v>155</v>
      </c>
      <c r="FB1" s="1">
        <f t="shared" si="2"/>
        <v>156</v>
      </c>
      <c r="FC1" s="1">
        <f t="shared" si="2"/>
        <v>157</v>
      </c>
      <c r="FD1" s="1">
        <f t="shared" si="2"/>
        <v>158</v>
      </c>
      <c r="FE1" s="1">
        <f t="shared" si="2"/>
        <v>159</v>
      </c>
      <c r="FF1" s="1">
        <f t="shared" si="2"/>
        <v>160</v>
      </c>
      <c r="FG1" s="1">
        <f t="shared" si="2"/>
        <v>161</v>
      </c>
      <c r="FH1" s="1">
        <f t="shared" si="2"/>
        <v>162</v>
      </c>
      <c r="FI1" s="1">
        <f t="shared" si="2"/>
        <v>163</v>
      </c>
      <c r="FJ1" s="1">
        <f t="shared" si="2"/>
        <v>164</v>
      </c>
      <c r="FK1" s="1">
        <f t="shared" si="2"/>
        <v>165</v>
      </c>
      <c r="FL1" s="1">
        <f t="shared" si="2"/>
        <v>166</v>
      </c>
      <c r="FM1" s="1">
        <f t="shared" si="2"/>
        <v>167</v>
      </c>
      <c r="FN1" s="1">
        <f t="shared" si="2"/>
        <v>168</v>
      </c>
      <c r="FO1" s="1">
        <f t="shared" si="2"/>
        <v>169</v>
      </c>
      <c r="FP1" s="1">
        <f t="shared" si="2"/>
        <v>170</v>
      </c>
      <c r="FQ1" s="1">
        <f t="shared" si="2"/>
        <v>171</v>
      </c>
      <c r="FR1" s="1">
        <f t="shared" si="2"/>
        <v>172</v>
      </c>
      <c r="FS1" s="1">
        <f t="shared" si="2"/>
        <v>173</v>
      </c>
      <c r="FT1" s="1">
        <f t="shared" si="2"/>
        <v>174</v>
      </c>
      <c r="FU1" s="1">
        <f t="shared" si="2"/>
        <v>175</v>
      </c>
      <c r="FV1" s="1">
        <f t="shared" si="2"/>
        <v>176</v>
      </c>
      <c r="FW1" s="1">
        <f t="shared" si="2"/>
        <v>177</v>
      </c>
      <c r="FX1" s="1">
        <f t="shared" si="2"/>
        <v>178</v>
      </c>
      <c r="FY1" s="1">
        <f t="shared" si="2"/>
        <v>179</v>
      </c>
      <c r="FZ1" s="1">
        <f t="shared" si="2"/>
        <v>180</v>
      </c>
      <c r="GA1" s="1">
        <f t="shared" si="2"/>
        <v>181</v>
      </c>
      <c r="GB1" s="1">
        <f t="shared" si="2"/>
        <v>182</v>
      </c>
      <c r="GC1" s="1">
        <f t="shared" si="2"/>
        <v>183</v>
      </c>
      <c r="GD1" s="1">
        <f t="shared" si="2"/>
        <v>184</v>
      </c>
      <c r="GE1" s="1">
        <f t="shared" si="2"/>
        <v>185</v>
      </c>
      <c r="GF1" s="1">
        <f t="shared" si="2"/>
        <v>186</v>
      </c>
      <c r="GG1" s="1">
        <f t="shared" si="2"/>
        <v>187</v>
      </c>
      <c r="GH1" s="1">
        <f t="shared" si="2"/>
        <v>188</v>
      </c>
      <c r="GI1" s="1">
        <f t="shared" si="2"/>
        <v>189</v>
      </c>
      <c r="GJ1" s="1">
        <f t="shared" si="2"/>
        <v>190</v>
      </c>
      <c r="GK1" s="1">
        <f t="shared" si="2"/>
        <v>191</v>
      </c>
      <c r="GL1" s="1">
        <f t="shared" si="2"/>
        <v>192</v>
      </c>
      <c r="GM1" s="1">
        <f t="shared" si="2"/>
        <v>193</v>
      </c>
      <c r="GN1" s="1">
        <f t="shared" si="2"/>
        <v>194</v>
      </c>
      <c r="GO1" s="1">
        <f t="shared" ref="GO1:IZ1" si="3">GN1+1</f>
        <v>195</v>
      </c>
      <c r="GP1" s="1">
        <f t="shared" si="3"/>
        <v>196</v>
      </c>
      <c r="GQ1" s="1">
        <f t="shared" si="3"/>
        <v>197</v>
      </c>
      <c r="GR1" s="1">
        <f t="shared" si="3"/>
        <v>198</v>
      </c>
      <c r="GS1" s="1">
        <f t="shared" si="3"/>
        <v>199</v>
      </c>
      <c r="GT1" s="1">
        <f t="shared" si="3"/>
        <v>200</v>
      </c>
      <c r="GU1" s="1">
        <f t="shared" si="3"/>
        <v>201</v>
      </c>
      <c r="GV1" s="1">
        <f t="shared" si="3"/>
        <v>202</v>
      </c>
      <c r="GW1" s="1">
        <f t="shared" si="3"/>
        <v>203</v>
      </c>
      <c r="GX1" s="1">
        <f t="shared" si="3"/>
        <v>204</v>
      </c>
      <c r="GY1" s="1">
        <f t="shared" si="3"/>
        <v>205</v>
      </c>
      <c r="GZ1" s="1">
        <f t="shared" si="3"/>
        <v>206</v>
      </c>
      <c r="HA1" s="1">
        <f t="shared" si="3"/>
        <v>207</v>
      </c>
      <c r="HB1" s="1">
        <f t="shared" si="3"/>
        <v>208</v>
      </c>
      <c r="HC1" s="1">
        <f t="shared" si="3"/>
        <v>209</v>
      </c>
      <c r="HD1" s="1">
        <f t="shared" si="3"/>
        <v>210</v>
      </c>
      <c r="HE1" s="1">
        <f t="shared" si="3"/>
        <v>211</v>
      </c>
      <c r="HF1" s="1">
        <f t="shared" si="3"/>
        <v>212</v>
      </c>
      <c r="HG1" s="1">
        <f t="shared" si="3"/>
        <v>213</v>
      </c>
      <c r="HH1" s="1">
        <f t="shared" si="3"/>
        <v>214</v>
      </c>
      <c r="HI1" s="1">
        <f t="shared" si="3"/>
        <v>215</v>
      </c>
      <c r="HJ1" s="1">
        <f t="shared" si="3"/>
        <v>216</v>
      </c>
      <c r="HK1" s="1">
        <f t="shared" si="3"/>
        <v>217</v>
      </c>
      <c r="HL1" s="1">
        <f t="shared" si="3"/>
        <v>218</v>
      </c>
      <c r="HM1" s="1">
        <f t="shared" si="3"/>
        <v>219</v>
      </c>
      <c r="HN1" s="1">
        <f t="shared" si="3"/>
        <v>220</v>
      </c>
      <c r="HO1" s="1">
        <f t="shared" si="3"/>
        <v>221</v>
      </c>
      <c r="HP1" s="1">
        <f t="shared" si="3"/>
        <v>222</v>
      </c>
      <c r="HQ1" s="1">
        <f t="shared" si="3"/>
        <v>223</v>
      </c>
      <c r="HR1" s="1">
        <f t="shared" si="3"/>
        <v>224</v>
      </c>
      <c r="HS1" s="1">
        <f t="shared" si="3"/>
        <v>225</v>
      </c>
      <c r="HT1" s="1">
        <f t="shared" si="3"/>
        <v>226</v>
      </c>
      <c r="HU1" s="1">
        <f t="shared" si="3"/>
        <v>227</v>
      </c>
      <c r="HV1" s="1">
        <f t="shared" si="3"/>
        <v>228</v>
      </c>
      <c r="HW1" s="1">
        <f t="shared" si="3"/>
        <v>229</v>
      </c>
      <c r="HX1" s="1">
        <f t="shared" si="3"/>
        <v>230</v>
      </c>
      <c r="HY1" s="1">
        <f t="shared" si="3"/>
        <v>231</v>
      </c>
      <c r="HZ1" s="1">
        <f t="shared" si="3"/>
        <v>232</v>
      </c>
      <c r="IA1" s="1">
        <f t="shared" si="3"/>
        <v>233</v>
      </c>
      <c r="IB1" s="1">
        <f t="shared" si="3"/>
        <v>234</v>
      </c>
      <c r="IC1" s="1">
        <f t="shared" si="3"/>
        <v>235</v>
      </c>
      <c r="ID1" s="1">
        <f t="shared" si="3"/>
        <v>236</v>
      </c>
      <c r="IE1" s="1">
        <f t="shared" si="3"/>
        <v>237</v>
      </c>
      <c r="IF1" s="1">
        <f t="shared" si="3"/>
        <v>238</v>
      </c>
      <c r="IG1" s="1">
        <f t="shared" si="3"/>
        <v>239</v>
      </c>
      <c r="IH1" s="1">
        <f t="shared" si="3"/>
        <v>240</v>
      </c>
      <c r="II1" s="1">
        <f t="shared" si="3"/>
        <v>241</v>
      </c>
      <c r="IJ1" s="1">
        <f t="shared" si="3"/>
        <v>242</v>
      </c>
      <c r="IK1" s="1">
        <f t="shared" si="3"/>
        <v>243</v>
      </c>
      <c r="IL1" s="1">
        <f t="shared" si="3"/>
        <v>244</v>
      </c>
      <c r="IM1" s="1">
        <f t="shared" si="3"/>
        <v>245</v>
      </c>
      <c r="IN1" s="1">
        <f t="shared" si="3"/>
        <v>246</v>
      </c>
      <c r="IO1" s="1">
        <f t="shared" si="3"/>
        <v>247</v>
      </c>
      <c r="IP1" s="1">
        <f t="shared" si="3"/>
        <v>248</v>
      </c>
      <c r="IQ1" s="1">
        <f t="shared" si="3"/>
        <v>249</v>
      </c>
      <c r="IR1" s="1">
        <f t="shared" si="3"/>
        <v>250</v>
      </c>
      <c r="IS1" s="1">
        <f t="shared" si="3"/>
        <v>251</v>
      </c>
      <c r="IT1" s="1">
        <f t="shared" si="3"/>
        <v>252</v>
      </c>
      <c r="IU1" s="1">
        <f t="shared" si="3"/>
        <v>253</v>
      </c>
      <c r="IV1" s="1">
        <f t="shared" si="3"/>
        <v>254</v>
      </c>
      <c r="IW1" s="1">
        <f t="shared" si="3"/>
        <v>255</v>
      </c>
      <c r="IX1" s="1">
        <f t="shared" si="3"/>
        <v>256</v>
      </c>
      <c r="IY1" s="1">
        <f t="shared" si="3"/>
        <v>257</v>
      </c>
      <c r="IZ1" s="1">
        <f t="shared" si="3"/>
        <v>258</v>
      </c>
      <c r="JA1" s="1">
        <f t="shared" ref="JA1:KB1" si="4">IZ1+1</f>
        <v>259</v>
      </c>
      <c r="JB1" s="1">
        <f t="shared" si="4"/>
        <v>260</v>
      </c>
      <c r="JC1" s="1">
        <f t="shared" si="4"/>
        <v>261</v>
      </c>
      <c r="JD1" s="1">
        <f t="shared" si="4"/>
        <v>262</v>
      </c>
      <c r="JE1" s="1">
        <f t="shared" si="4"/>
        <v>263</v>
      </c>
      <c r="JF1" s="1">
        <f t="shared" si="4"/>
        <v>264</v>
      </c>
      <c r="JG1" s="1">
        <f t="shared" si="4"/>
        <v>265</v>
      </c>
      <c r="JH1" s="1">
        <f t="shared" si="4"/>
        <v>266</v>
      </c>
      <c r="JI1" s="1">
        <f t="shared" si="4"/>
        <v>267</v>
      </c>
      <c r="JJ1" s="1">
        <f t="shared" si="4"/>
        <v>268</v>
      </c>
      <c r="JK1" s="1">
        <f t="shared" si="4"/>
        <v>269</v>
      </c>
      <c r="JL1" s="1">
        <f t="shared" si="4"/>
        <v>270</v>
      </c>
      <c r="JM1" s="1">
        <f t="shared" si="4"/>
        <v>271</v>
      </c>
      <c r="JN1" s="1">
        <f t="shared" si="4"/>
        <v>272</v>
      </c>
      <c r="JO1" s="1">
        <f t="shared" si="4"/>
        <v>273</v>
      </c>
      <c r="JP1" s="1">
        <f t="shared" si="4"/>
        <v>274</v>
      </c>
      <c r="JQ1" s="1">
        <f t="shared" si="4"/>
        <v>275</v>
      </c>
      <c r="JR1" s="1">
        <f t="shared" si="4"/>
        <v>276</v>
      </c>
      <c r="JS1" s="1">
        <f t="shared" si="4"/>
        <v>277</v>
      </c>
      <c r="JT1" s="1">
        <f t="shared" si="4"/>
        <v>278</v>
      </c>
      <c r="JU1" s="1">
        <f t="shared" si="4"/>
        <v>279</v>
      </c>
      <c r="JV1" s="1">
        <f t="shared" si="4"/>
        <v>280</v>
      </c>
      <c r="JW1" s="1">
        <f t="shared" si="4"/>
        <v>281</v>
      </c>
      <c r="JX1" s="1">
        <f t="shared" si="4"/>
        <v>282</v>
      </c>
      <c r="JY1" s="1">
        <f t="shared" si="4"/>
        <v>283</v>
      </c>
      <c r="JZ1" s="1">
        <f t="shared" si="4"/>
        <v>284</v>
      </c>
      <c r="KA1" s="1">
        <f t="shared" si="4"/>
        <v>285</v>
      </c>
      <c r="KB1" s="1">
        <f t="shared" si="4"/>
        <v>286</v>
      </c>
    </row>
    <row r="2" spans="1:289" x14ac:dyDescent="0.3">
      <c r="A2" s="251" t="s">
        <v>127</v>
      </c>
      <c r="C2" s="252">
        <f>IF(MONTH(C7)&gt;3,DATE(YEAR(C7)+1,3,31),DATE(YEAR(C7),3,31))</f>
        <v>45747</v>
      </c>
      <c r="D2" s="252">
        <f t="shared" ref="D2:BO2" si="5">IF(MONTH(D7)&gt;3,DATE(YEAR(D7)+1,3,31),DATE(YEAR(D7),3,31))</f>
        <v>45747</v>
      </c>
      <c r="E2" s="252">
        <f t="shared" si="5"/>
        <v>45747</v>
      </c>
      <c r="F2" s="252">
        <f t="shared" si="5"/>
        <v>45747</v>
      </c>
      <c r="G2" s="252">
        <f t="shared" si="5"/>
        <v>45747</v>
      </c>
      <c r="H2" s="252">
        <f t="shared" si="5"/>
        <v>45747</v>
      </c>
      <c r="I2" s="252">
        <f t="shared" si="5"/>
        <v>45747</v>
      </c>
      <c r="J2" s="252">
        <f t="shared" si="5"/>
        <v>45747</v>
      </c>
      <c r="K2" s="252">
        <f t="shared" si="5"/>
        <v>45747</v>
      </c>
      <c r="L2" s="252">
        <f t="shared" si="5"/>
        <v>45747</v>
      </c>
      <c r="M2" s="252">
        <f t="shared" si="5"/>
        <v>46112</v>
      </c>
      <c r="N2" s="252">
        <f t="shared" si="5"/>
        <v>46112</v>
      </c>
      <c r="O2" s="252">
        <f t="shared" si="5"/>
        <v>46112</v>
      </c>
      <c r="P2" s="252">
        <f t="shared" si="5"/>
        <v>46112</v>
      </c>
      <c r="Q2" s="252">
        <f t="shared" si="5"/>
        <v>46112</v>
      </c>
      <c r="R2" s="252">
        <f t="shared" si="5"/>
        <v>46112</v>
      </c>
      <c r="S2" s="252">
        <f t="shared" si="5"/>
        <v>46112</v>
      </c>
      <c r="T2" s="252">
        <f t="shared" si="5"/>
        <v>46112</v>
      </c>
      <c r="U2" s="252">
        <f t="shared" si="5"/>
        <v>46112</v>
      </c>
      <c r="V2" s="252">
        <f t="shared" si="5"/>
        <v>46112</v>
      </c>
      <c r="W2" s="252">
        <f t="shared" si="5"/>
        <v>46112</v>
      </c>
      <c r="X2" s="252">
        <f t="shared" si="5"/>
        <v>46112</v>
      </c>
      <c r="Y2" s="252">
        <f t="shared" si="5"/>
        <v>46477</v>
      </c>
      <c r="Z2" s="252">
        <f t="shared" si="5"/>
        <v>46477</v>
      </c>
      <c r="AA2" s="252">
        <f t="shared" si="5"/>
        <v>46477</v>
      </c>
      <c r="AB2" s="252">
        <f t="shared" si="5"/>
        <v>46477</v>
      </c>
      <c r="AC2" s="252">
        <f t="shared" si="5"/>
        <v>46477</v>
      </c>
      <c r="AD2" s="252">
        <f t="shared" si="5"/>
        <v>46477</v>
      </c>
      <c r="AE2" s="252">
        <f t="shared" si="5"/>
        <v>46477</v>
      </c>
      <c r="AF2" s="252">
        <f t="shared" si="5"/>
        <v>46477</v>
      </c>
      <c r="AG2" s="252">
        <f t="shared" si="5"/>
        <v>46477</v>
      </c>
      <c r="AH2" s="252">
        <f t="shared" si="5"/>
        <v>46477</v>
      </c>
      <c r="AI2" s="252">
        <f t="shared" si="5"/>
        <v>46477</v>
      </c>
      <c r="AJ2" s="252">
        <f t="shared" si="5"/>
        <v>46477</v>
      </c>
      <c r="AK2" s="252">
        <f t="shared" si="5"/>
        <v>46843</v>
      </c>
      <c r="AL2" s="252">
        <f t="shared" si="5"/>
        <v>46843</v>
      </c>
      <c r="AM2" s="252">
        <f t="shared" si="5"/>
        <v>46843</v>
      </c>
      <c r="AN2" s="252">
        <f t="shared" si="5"/>
        <v>46843</v>
      </c>
      <c r="AO2" s="252">
        <f t="shared" si="5"/>
        <v>46843</v>
      </c>
      <c r="AP2" s="252">
        <f t="shared" si="5"/>
        <v>46843</v>
      </c>
      <c r="AQ2" s="252">
        <f t="shared" si="5"/>
        <v>46843</v>
      </c>
      <c r="AR2" s="252">
        <f t="shared" si="5"/>
        <v>46843</v>
      </c>
      <c r="AS2" s="252">
        <f t="shared" si="5"/>
        <v>46843</v>
      </c>
      <c r="AT2" s="252">
        <f t="shared" si="5"/>
        <v>46843</v>
      </c>
      <c r="AU2" s="252">
        <f t="shared" si="5"/>
        <v>46843</v>
      </c>
      <c r="AV2" s="252">
        <f t="shared" si="5"/>
        <v>46843</v>
      </c>
      <c r="AW2" s="252">
        <f t="shared" si="5"/>
        <v>47208</v>
      </c>
      <c r="AX2" s="252">
        <f t="shared" si="5"/>
        <v>47208</v>
      </c>
      <c r="AY2" s="252">
        <f t="shared" si="5"/>
        <v>47208</v>
      </c>
      <c r="AZ2" s="252">
        <f t="shared" si="5"/>
        <v>47208</v>
      </c>
      <c r="BA2" s="252">
        <f t="shared" si="5"/>
        <v>47208</v>
      </c>
      <c r="BB2" s="252">
        <f t="shared" si="5"/>
        <v>47208</v>
      </c>
      <c r="BC2" s="252">
        <f t="shared" si="5"/>
        <v>47208</v>
      </c>
      <c r="BD2" s="252">
        <f t="shared" si="5"/>
        <v>47208</v>
      </c>
      <c r="BE2" s="252">
        <f t="shared" si="5"/>
        <v>47208</v>
      </c>
      <c r="BF2" s="252">
        <f t="shared" si="5"/>
        <v>47208</v>
      </c>
      <c r="BG2" s="252">
        <f t="shared" si="5"/>
        <v>47208</v>
      </c>
      <c r="BH2" s="252">
        <f t="shared" si="5"/>
        <v>47208</v>
      </c>
      <c r="BI2" s="252">
        <f t="shared" si="5"/>
        <v>47573</v>
      </c>
      <c r="BJ2" s="252">
        <f t="shared" si="5"/>
        <v>47573</v>
      </c>
      <c r="BK2" s="252">
        <f t="shared" si="5"/>
        <v>47573</v>
      </c>
      <c r="BL2" s="252">
        <f t="shared" si="5"/>
        <v>47573</v>
      </c>
      <c r="BM2" s="252">
        <f t="shared" si="5"/>
        <v>47573</v>
      </c>
      <c r="BN2" s="252">
        <f t="shared" si="5"/>
        <v>47573</v>
      </c>
      <c r="BO2" s="252">
        <f t="shared" si="5"/>
        <v>47573</v>
      </c>
      <c r="BP2" s="252">
        <f t="shared" ref="BP2:EA2" si="6">IF(MONTH(BP7)&gt;3,DATE(YEAR(BP7)+1,3,31),DATE(YEAR(BP7),3,31))</f>
        <v>47573</v>
      </c>
      <c r="BQ2" s="252">
        <f t="shared" si="6"/>
        <v>47573</v>
      </c>
      <c r="BR2" s="252">
        <f t="shared" si="6"/>
        <v>47573</v>
      </c>
      <c r="BS2" s="252">
        <f t="shared" si="6"/>
        <v>47573</v>
      </c>
      <c r="BT2" s="252">
        <f t="shared" si="6"/>
        <v>47573</v>
      </c>
      <c r="BU2" s="252">
        <f t="shared" si="6"/>
        <v>47938</v>
      </c>
      <c r="BV2" s="252">
        <f t="shared" si="6"/>
        <v>47938</v>
      </c>
      <c r="BW2" s="252">
        <f t="shared" si="6"/>
        <v>47938</v>
      </c>
      <c r="BX2" s="252">
        <f t="shared" si="6"/>
        <v>47938</v>
      </c>
      <c r="BY2" s="252">
        <f t="shared" si="6"/>
        <v>47938</v>
      </c>
      <c r="BZ2" s="252">
        <f t="shared" si="6"/>
        <v>47938</v>
      </c>
      <c r="CA2" s="252">
        <f t="shared" si="6"/>
        <v>47938</v>
      </c>
      <c r="CB2" s="252">
        <f t="shared" si="6"/>
        <v>47938</v>
      </c>
      <c r="CC2" s="252">
        <f t="shared" si="6"/>
        <v>47938</v>
      </c>
      <c r="CD2" s="252">
        <f t="shared" si="6"/>
        <v>47938</v>
      </c>
      <c r="CE2" s="252">
        <f t="shared" si="6"/>
        <v>47938</v>
      </c>
      <c r="CF2" s="252">
        <f t="shared" si="6"/>
        <v>47938</v>
      </c>
      <c r="CG2" s="252">
        <f t="shared" si="6"/>
        <v>48304</v>
      </c>
      <c r="CH2" s="252">
        <f t="shared" si="6"/>
        <v>48304</v>
      </c>
      <c r="CI2" s="252">
        <f t="shared" si="6"/>
        <v>48304</v>
      </c>
      <c r="CJ2" s="252">
        <f t="shared" si="6"/>
        <v>48304</v>
      </c>
      <c r="CK2" s="252">
        <f t="shared" si="6"/>
        <v>48304</v>
      </c>
      <c r="CL2" s="252">
        <f t="shared" si="6"/>
        <v>48304</v>
      </c>
      <c r="CM2" s="252">
        <f t="shared" si="6"/>
        <v>48304</v>
      </c>
      <c r="CN2" s="252">
        <f t="shared" si="6"/>
        <v>48304</v>
      </c>
      <c r="CO2" s="252">
        <f t="shared" si="6"/>
        <v>48304</v>
      </c>
      <c r="CP2" s="252">
        <f t="shared" si="6"/>
        <v>48304</v>
      </c>
      <c r="CQ2" s="252">
        <f t="shared" si="6"/>
        <v>48304</v>
      </c>
      <c r="CR2" s="252">
        <f t="shared" si="6"/>
        <v>48304</v>
      </c>
      <c r="CS2" s="252">
        <f t="shared" si="6"/>
        <v>48669</v>
      </c>
      <c r="CT2" s="252">
        <f t="shared" si="6"/>
        <v>48669</v>
      </c>
      <c r="CU2" s="252">
        <f t="shared" si="6"/>
        <v>48669</v>
      </c>
      <c r="CV2" s="252">
        <f t="shared" si="6"/>
        <v>48669</v>
      </c>
      <c r="CW2" s="252">
        <f t="shared" si="6"/>
        <v>48669</v>
      </c>
      <c r="CX2" s="252">
        <f t="shared" si="6"/>
        <v>48669</v>
      </c>
      <c r="CY2" s="252">
        <f t="shared" si="6"/>
        <v>48669</v>
      </c>
      <c r="CZ2" s="252">
        <f t="shared" si="6"/>
        <v>48669</v>
      </c>
      <c r="DA2" s="252">
        <f t="shared" si="6"/>
        <v>48669</v>
      </c>
      <c r="DB2" s="252">
        <f t="shared" si="6"/>
        <v>48669</v>
      </c>
      <c r="DC2" s="252">
        <f t="shared" si="6"/>
        <v>48669</v>
      </c>
      <c r="DD2" s="252">
        <f t="shared" si="6"/>
        <v>48669</v>
      </c>
      <c r="DE2" s="252">
        <f t="shared" si="6"/>
        <v>49034</v>
      </c>
      <c r="DF2" s="252">
        <f t="shared" si="6"/>
        <v>49034</v>
      </c>
      <c r="DG2" s="252">
        <f t="shared" si="6"/>
        <v>49034</v>
      </c>
      <c r="DH2" s="252">
        <f t="shared" si="6"/>
        <v>49034</v>
      </c>
      <c r="DI2" s="252">
        <f t="shared" si="6"/>
        <v>49034</v>
      </c>
      <c r="DJ2" s="252">
        <f t="shared" si="6"/>
        <v>49034</v>
      </c>
      <c r="DK2" s="252">
        <f t="shared" si="6"/>
        <v>49034</v>
      </c>
      <c r="DL2" s="252">
        <f t="shared" si="6"/>
        <v>49034</v>
      </c>
      <c r="DM2" s="252">
        <f t="shared" si="6"/>
        <v>49034</v>
      </c>
      <c r="DN2" s="252">
        <f t="shared" si="6"/>
        <v>49034</v>
      </c>
      <c r="DO2" s="252">
        <f t="shared" si="6"/>
        <v>49034</v>
      </c>
      <c r="DP2" s="252">
        <f t="shared" si="6"/>
        <v>49034</v>
      </c>
      <c r="DQ2" s="252">
        <f t="shared" si="6"/>
        <v>49399</v>
      </c>
      <c r="DR2" s="252">
        <f t="shared" si="6"/>
        <v>49399</v>
      </c>
      <c r="DS2" s="252">
        <f t="shared" si="6"/>
        <v>49399</v>
      </c>
      <c r="DT2" s="252">
        <f t="shared" si="6"/>
        <v>49399</v>
      </c>
      <c r="DU2" s="252">
        <f t="shared" si="6"/>
        <v>49399</v>
      </c>
      <c r="DV2" s="252">
        <f t="shared" si="6"/>
        <v>49399</v>
      </c>
      <c r="DW2" s="252">
        <f t="shared" si="6"/>
        <v>49399</v>
      </c>
      <c r="DX2" s="252">
        <f t="shared" si="6"/>
        <v>49399</v>
      </c>
      <c r="DY2" s="252">
        <f t="shared" si="6"/>
        <v>49399</v>
      </c>
      <c r="DZ2" s="252">
        <f t="shared" si="6"/>
        <v>49399</v>
      </c>
      <c r="EA2" s="252">
        <f t="shared" si="6"/>
        <v>49399</v>
      </c>
      <c r="EB2" s="252">
        <f t="shared" ref="EB2:GM2" si="7">IF(MONTH(EB7)&gt;3,DATE(YEAR(EB7)+1,3,31),DATE(YEAR(EB7),3,31))</f>
        <v>49399</v>
      </c>
      <c r="EC2" s="252">
        <f t="shared" si="7"/>
        <v>49765</v>
      </c>
      <c r="ED2" s="252">
        <f t="shared" si="7"/>
        <v>49765</v>
      </c>
      <c r="EE2" s="252">
        <f t="shared" si="7"/>
        <v>49765</v>
      </c>
      <c r="EF2" s="252">
        <f t="shared" si="7"/>
        <v>49765</v>
      </c>
      <c r="EG2" s="252">
        <f t="shared" si="7"/>
        <v>49765</v>
      </c>
      <c r="EH2" s="252">
        <f t="shared" si="7"/>
        <v>49765</v>
      </c>
      <c r="EI2" s="252">
        <f t="shared" si="7"/>
        <v>49765</v>
      </c>
      <c r="EJ2" s="252">
        <f t="shared" si="7"/>
        <v>49765</v>
      </c>
      <c r="EK2" s="252">
        <f t="shared" si="7"/>
        <v>49765</v>
      </c>
      <c r="EL2" s="252">
        <f t="shared" si="7"/>
        <v>49765</v>
      </c>
      <c r="EM2" s="252">
        <f t="shared" si="7"/>
        <v>49765</v>
      </c>
      <c r="EN2" s="252">
        <f t="shared" si="7"/>
        <v>49765</v>
      </c>
      <c r="EO2" s="252">
        <f t="shared" si="7"/>
        <v>50130</v>
      </c>
      <c r="EP2" s="252">
        <f t="shared" si="7"/>
        <v>50130</v>
      </c>
      <c r="EQ2" s="252">
        <f t="shared" si="7"/>
        <v>50130</v>
      </c>
      <c r="ER2" s="252">
        <f t="shared" si="7"/>
        <v>50130</v>
      </c>
      <c r="ES2" s="252">
        <f t="shared" si="7"/>
        <v>50130</v>
      </c>
      <c r="ET2" s="252">
        <f t="shared" si="7"/>
        <v>50130</v>
      </c>
      <c r="EU2" s="252">
        <f t="shared" si="7"/>
        <v>50130</v>
      </c>
      <c r="EV2" s="252">
        <f t="shared" si="7"/>
        <v>50130</v>
      </c>
      <c r="EW2" s="252">
        <f t="shared" si="7"/>
        <v>50130</v>
      </c>
      <c r="EX2" s="252">
        <f t="shared" si="7"/>
        <v>50130</v>
      </c>
      <c r="EY2" s="252">
        <f t="shared" si="7"/>
        <v>50130</v>
      </c>
      <c r="EZ2" s="252">
        <f t="shared" si="7"/>
        <v>50130</v>
      </c>
      <c r="FA2" s="252">
        <f t="shared" si="7"/>
        <v>50495</v>
      </c>
      <c r="FB2" s="252">
        <f t="shared" si="7"/>
        <v>50495</v>
      </c>
      <c r="FC2" s="252">
        <f t="shared" si="7"/>
        <v>50495</v>
      </c>
      <c r="FD2" s="252">
        <f t="shared" si="7"/>
        <v>50495</v>
      </c>
      <c r="FE2" s="252">
        <f t="shared" si="7"/>
        <v>50495</v>
      </c>
      <c r="FF2" s="252">
        <f t="shared" si="7"/>
        <v>50495</v>
      </c>
      <c r="FG2" s="252">
        <f t="shared" si="7"/>
        <v>50495</v>
      </c>
      <c r="FH2" s="252">
        <f t="shared" si="7"/>
        <v>50495</v>
      </c>
      <c r="FI2" s="252">
        <f t="shared" si="7"/>
        <v>50495</v>
      </c>
      <c r="FJ2" s="252">
        <f t="shared" si="7"/>
        <v>50495</v>
      </c>
      <c r="FK2" s="252">
        <f t="shared" si="7"/>
        <v>50495</v>
      </c>
      <c r="FL2" s="252">
        <f t="shared" si="7"/>
        <v>50495</v>
      </c>
      <c r="FM2" s="252">
        <f t="shared" si="7"/>
        <v>50860</v>
      </c>
      <c r="FN2" s="252">
        <f t="shared" si="7"/>
        <v>50860</v>
      </c>
      <c r="FO2" s="252">
        <f t="shared" si="7"/>
        <v>50860</v>
      </c>
      <c r="FP2" s="252">
        <f t="shared" si="7"/>
        <v>50860</v>
      </c>
      <c r="FQ2" s="252">
        <f t="shared" si="7"/>
        <v>50860</v>
      </c>
      <c r="FR2" s="252">
        <f t="shared" si="7"/>
        <v>50860</v>
      </c>
      <c r="FS2" s="252">
        <f t="shared" si="7"/>
        <v>50860</v>
      </c>
      <c r="FT2" s="252">
        <f t="shared" si="7"/>
        <v>50860</v>
      </c>
      <c r="FU2" s="252">
        <f t="shared" si="7"/>
        <v>50860</v>
      </c>
      <c r="FV2" s="252">
        <f t="shared" si="7"/>
        <v>50860</v>
      </c>
      <c r="FW2" s="252">
        <f t="shared" si="7"/>
        <v>50860</v>
      </c>
      <c r="FX2" s="252">
        <f t="shared" si="7"/>
        <v>50860</v>
      </c>
      <c r="FY2" s="252">
        <f t="shared" si="7"/>
        <v>51226</v>
      </c>
      <c r="FZ2" s="252">
        <f t="shared" si="7"/>
        <v>51226</v>
      </c>
      <c r="GA2" s="252">
        <f t="shared" si="7"/>
        <v>51226</v>
      </c>
      <c r="GB2" s="252">
        <f t="shared" si="7"/>
        <v>51226</v>
      </c>
      <c r="GC2" s="252">
        <f t="shared" si="7"/>
        <v>51226</v>
      </c>
      <c r="GD2" s="252">
        <f t="shared" si="7"/>
        <v>51226</v>
      </c>
      <c r="GE2" s="252">
        <f t="shared" si="7"/>
        <v>51226</v>
      </c>
      <c r="GF2" s="252">
        <f t="shared" si="7"/>
        <v>51226</v>
      </c>
      <c r="GG2" s="252">
        <f t="shared" si="7"/>
        <v>51226</v>
      </c>
      <c r="GH2" s="252">
        <f t="shared" si="7"/>
        <v>51226</v>
      </c>
      <c r="GI2" s="252">
        <f t="shared" si="7"/>
        <v>51226</v>
      </c>
      <c r="GJ2" s="252">
        <f t="shared" si="7"/>
        <v>51226</v>
      </c>
      <c r="GK2" s="252">
        <f t="shared" si="7"/>
        <v>51591</v>
      </c>
      <c r="GL2" s="252">
        <f t="shared" si="7"/>
        <v>51591</v>
      </c>
      <c r="GM2" s="252">
        <f t="shared" si="7"/>
        <v>51591</v>
      </c>
      <c r="GN2" s="252">
        <f t="shared" ref="GN2:IY2" si="8">IF(MONTH(GN7)&gt;3,DATE(YEAR(GN7)+1,3,31),DATE(YEAR(GN7),3,31))</f>
        <v>51591</v>
      </c>
      <c r="GO2" s="252">
        <f t="shared" si="8"/>
        <v>51591</v>
      </c>
      <c r="GP2" s="252">
        <f t="shared" si="8"/>
        <v>51591</v>
      </c>
      <c r="GQ2" s="252">
        <f t="shared" si="8"/>
        <v>51591</v>
      </c>
      <c r="GR2" s="252">
        <f t="shared" si="8"/>
        <v>51591</v>
      </c>
      <c r="GS2" s="252">
        <f t="shared" si="8"/>
        <v>51591</v>
      </c>
      <c r="GT2" s="252">
        <f t="shared" si="8"/>
        <v>51591</v>
      </c>
      <c r="GU2" s="252">
        <f t="shared" si="8"/>
        <v>51591</v>
      </c>
      <c r="GV2" s="252">
        <f t="shared" si="8"/>
        <v>51591</v>
      </c>
      <c r="GW2" s="252">
        <f t="shared" si="8"/>
        <v>51956</v>
      </c>
      <c r="GX2" s="252">
        <f t="shared" si="8"/>
        <v>51956</v>
      </c>
      <c r="GY2" s="252">
        <f t="shared" si="8"/>
        <v>51956</v>
      </c>
      <c r="GZ2" s="252">
        <f t="shared" si="8"/>
        <v>51956</v>
      </c>
      <c r="HA2" s="252">
        <f t="shared" si="8"/>
        <v>51956</v>
      </c>
      <c r="HB2" s="252">
        <f t="shared" si="8"/>
        <v>51956</v>
      </c>
      <c r="HC2" s="252">
        <f t="shared" si="8"/>
        <v>51956</v>
      </c>
      <c r="HD2" s="252">
        <f t="shared" si="8"/>
        <v>51956</v>
      </c>
      <c r="HE2" s="252">
        <f t="shared" si="8"/>
        <v>51956</v>
      </c>
      <c r="HF2" s="252">
        <f t="shared" si="8"/>
        <v>51956</v>
      </c>
      <c r="HG2" s="252">
        <f t="shared" si="8"/>
        <v>51956</v>
      </c>
      <c r="HH2" s="252">
        <f t="shared" si="8"/>
        <v>51956</v>
      </c>
      <c r="HI2" s="252">
        <f t="shared" si="8"/>
        <v>52321</v>
      </c>
      <c r="HJ2" s="252">
        <f t="shared" si="8"/>
        <v>52321</v>
      </c>
      <c r="HK2" s="252">
        <f t="shared" si="8"/>
        <v>52321</v>
      </c>
      <c r="HL2" s="252">
        <f t="shared" si="8"/>
        <v>52321</v>
      </c>
      <c r="HM2" s="252">
        <f t="shared" si="8"/>
        <v>52321</v>
      </c>
      <c r="HN2" s="252">
        <f t="shared" si="8"/>
        <v>52321</v>
      </c>
      <c r="HO2" s="252">
        <f t="shared" si="8"/>
        <v>52321</v>
      </c>
      <c r="HP2" s="252">
        <f t="shared" si="8"/>
        <v>52321</v>
      </c>
      <c r="HQ2" s="252">
        <f t="shared" si="8"/>
        <v>52321</v>
      </c>
      <c r="HR2" s="252">
        <f t="shared" si="8"/>
        <v>52321</v>
      </c>
      <c r="HS2" s="252">
        <f t="shared" si="8"/>
        <v>52321</v>
      </c>
      <c r="HT2" s="252">
        <f t="shared" si="8"/>
        <v>52321</v>
      </c>
      <c r="HU2" s="252">
        <f t="shared" si="8"/>
        <v>52687</v>
      </c>
      <c r="HV2" s="252">
        <f t="shared" si="8"/>
        <v>52687</v>
      </c>
      <c r="HW2" s="252">
        <f t="shared" si="8"/>
        <v>52687</v>
      </c>
      <c r="HX2" s="252">
        <f t="shared" si="8"/>
        <v>52687</v>
      </c>
      <c r="HY2" s="252">
        <f t="shared" si="8"/>
        <v>52687</v>
      </c>
      <c r="HZ2" s="252">
        <f t="shared" si="8"/>
        <v>52687</v>
      </c>
      <c r="IA2" s="252">
        <f t="shared" si="8"/>
        <v>52687</v>
      </c>
      <c r="IB2" s="252">
        <f t="shared" si="8"/>
        <v>52687</v>
      </c>
      <c r="IC2" s="252">
        <f t="shared" si="8"/>
        <v>52687</v>
      </c>
      <c r="ID2" s="252">
        <f t="shared" si="8"/>
        <v>52687</v>
      </c>
      <c r="IE2" s="252">
        <f t="shared" si="8"/>
        <v>52687</v>
      </c>
      <c r="IF2" s="252">
        <f t="shared" si="8"/>
        <v>52687</v>
      </c>
      <c r="IG2" s="252">
        <f t="shared" si="8"/>
        <v>53052</v>
      </c>
      <c r="IH2" s="252">
        <f t="shared" si="8"/>
        <v>53052</v>
      </c>
      <c r="II2" s="252">
        <f t="shared" si="8"/>
        <v>53052</v>
      </c>
      <c r="IJ2" s="252">
        <f t="shared" si="8"/>
        <v>53052</v>
      </c>
      <c r="IK2" s="252">
        <f t="shared" si="8"/>
        <v>53052</v>
      </c>
      <c r="IL2" s="252">
        <f t="shared" si="8"/>
        <v>53052</v>
      </c>
      <c r="IM2" s="252">
        <f t="shared" si="8"/>
        <v>53052</v>
      </c>
      <c r="IN2" s="252">
        <f t="shared" si="8"/>
        <v>53052</v>
      </c>
      <c r="IO2" s="252">
        <f t="shared" si="8"/>
        <v>53052</v>
      </c>
      <c r="IP2" s="252">
        <f t="shared" si="8"/>
        <v>53052</v>
      </c>
      <c r="IQ2" s="252">
        <f t="shared" si="8"/>
        <v>53052</v>
      </c>
      <c r="IR2" s="252">
        <f t="shared" si="8"/>
        <v>53052</v>
      </c>
      <c r="IS2" s="252">
        <f t="shared" si="8"/>
        <v>53417</v>
      </c>
      <c r="IT2" s="252">
        <f t="shared" si="8"/>
        <v>53417</v>
      </c>
      <c r="IU2" s="252">
        <f t="shared" si="8"/>
        <v>53417</v>
      </c>
      <c r="IV2" s="252">
        <f t="shared" si="8"/>
        <v>53417</v>
      </c>
      <c r="IW2" s="252">
        <f t="shared" si="8"/>
        <v>53417</v>
      </c>
      <c r="IX2" s="252">
        <f t="shared" si="8"/>
        <v>53417</v>
      </c>
      <c r="IY2" s="252">
        <f t="shared" si="8"/>
        <v>53417</v>
      </c>
      <c r="IZ2" s="252">
        <f t="shared" ref="IZ2:KB2" si="9">IF(MONTH(IZ7)&gt;3,DATE(YEAR(IZ7)+1,3,31),DATE(YEAR(IZ7),3,31))</f>
        <v>53417</v>
      </c>
      <c r="JA2" s="252">
        <f t="shared" si="9"/>
        <v>53417</v>
      </c>
      <c r="JB2" s="252">
        <f t="shared" si="9"/>
        <v>53417</v>
      </c>
      <c r="JC2" s="252">
        <f t="shared" si="9"/>
        <v>53417</v>
      </c>
      <c r="JD2" s="252">
        <f t="shared" si="9"/>
        <v>53417</v>
      </c>
      <c r="JE2" s="252">
        <f t="shared" si="9"/>
        <v>53782</v>
      </c>
      <c r="JF2" s="252">
        <f t="shared" si="9"/>
        <v>53782</v>
      </c>
      <c r="JG2" s="252">
        <f t="shared" si="9"/>
        <v>53782</v>
      </c>
      <c r="JH2" s="252">
        <f t="shared" si="9"/>
        <v>53782</v>
      </c>
      <c r="JI2" s="252">
        <f t="shared" si="9"/>
        <v>53782</v>
      </c>
      <c r="JJ2" s="252">
        <f t="shared" si="9"/>
        <v>53782</v>
      </c>
      <c r="JK2" s="252">
        <f t="shared" si="9"/>
        <v>53782</v>
      </c>
      <c r="JL2" s="252">
        <f t="shared" si="9"/>
        <v>53782</v>
      </c>
      <c r="JM2" s="252">
        <f t="shared" si="9"/>
        <v>53782</v>
      </c>
      <c r="JN2" s="252">
        <f t="shared" si="9"/>
        <v>53782</v>
      </c>
      <c r="JO2" s="252">
        <f t="shared" si="9"/>
        <v>53782</v>
      </c>
      <c r="JP2" s="252">
        <f t="shared" si="9"/>
        <v>53782</v>
      </c>
      <c r="JQ2" s="252">
        <f t="shared" si="9"/>
        <v>54148</v>
      </c>
      <c r="JR2" s="252">
        <f t="shared" si="9"/>
        <v>54148</v>
      </c>
      <c r="JS2" s="252">
        <f t="shared" si="9"/>
        <v>54148</v>
      </c>
      <c r="JT2" s="252">
        <f t="shared" si="9"/>
        <v>54148</v>
      </c>
      <c r="JU2" s="252">
        <f t="shared" si="9"/>
        <v>54148</v>
      </c>
      <c r="JV2" s="252">
        <f t="shared" si="9"/>
        <v>54148</v>
      </c>
      <c r="JW2" s="252">
        <f t="shared" si="9"/>
        <v>54148</v>
      </c>
      <c r="JX2" s="252">
        <f t="shared" si="9"/>
        <v>54148</v>
      </c>
      <c r="JY2" s="252">
        <f t="shared" si="9"/>
        <v>54148</v>
      </c>
      <c r="JZ2" s="252">
        <f t="shared" si="9"/>
        <v>54148</v>
      </c>
      <c r="KA2" s="252">
        <f t="shared" si="9"/>
        <v>54148</v>
      </c>
      <c r="KB2" s="252">
        <f t="shared" si="9"/>
        <v>54148</v>
      </c>
    </row>
    <row r="3" spans="1:289" x14ac:dyDescent="0.3">
      <c r="A3" s="251"/>
      <c r="C3" s="252">
        <v>45473</v>
      </c>
      <c r="D3" s="252">
        <v>45565</v>
      </c>
      <c r="E3" s="252">
        <v>45565</v>
      </c>
      <c r="F3" s="252">
        <v>45565</v>
      </c>
      <c r="G3" s="252">
        <f>EOMONTH(D3,3)</f>
        <v>45657</v>
      </c>
      <c r="H3" s="252">
        <f t="shared" ref="H3:BS3" si="10">EOMONTH(E3,3)</f>
        <v>45657</v>
      </c>
      <c r="I3" s="252">
        <f t="shared" si="10"/>
        <v>45657</v>
      </c>
      <c r="J3" s="252">
        <f t="shared" si="10"/>
        <v>45747</v>
      </c>
      <c r="K3" s="252">
        <f t="shared" si="10"/>
        <v>45747</v>
      </c>
      <c r="L3" s="252">
        <f t="shared" si="10"/>
        <v>45747</v>
      </c>
      <c r="M3" s="252">
        <f t="shared" si="10"/>
        <v>45838</v>
      </c>
      <c r="N3" s="252">
        <f t="shared" si="10"/>
        <v>45838</v>
      </c>
      <c r="O3" s="252">
        <f t="shared" si="10"/>
        <v>45838</v>
      </c>
      <c r="P3" s="252">
        <f t="shared" si="10"/>
        <v>45930</v>
      </c>
      <c r="Q3" s="252">
        <f t="shared" si="10"/>
        <v>45930</v>
      </c>
      <c r="R3" s="252">
        <f t="shared" si="10"/>
        <v>45930</v>
      </c>
      <c r="S3" s="252">
        <f t="shared" si="10"/>
        <v>46022</v>
      </c>
      <c r="T3" s="252">
        <f t="shared" si="10"/>
        <v>46022</v>
      </c>
      <c r="U3" s="252">
        <f t="shared" si="10"/>
        <v>46022</v>
      </c>
      <c r="V3" s="252">
        <f t="shared" si="10"/>
        <v>46112</v>
      </c>
      <c r="W3" s="252">
        <f t="shared" si="10"/>
        <v>46112</v>
      </c>
      <c r="X3" s="252">
        <f t="shared" si="10"/>
        <v>46112</v>
      </c>
      <c r="Y3" s="252">
        <f t="shared" si="10"/>
        <v>46203</v>
      </c>
      <c r="Z3" s="252">
        <f t="shared" si="10"/>
        <v>46203</v>
      </c>
      <c r="AA3" s="252">
        <f t="shared" si="10"/>
        <v>46203</v>
      </c>
      <c r="AB3" s="252">
        <f t="shared" si="10"/>
        <v>46295</v>
      </c>
      <c r="AC3" s="252">
        <f t="shared" si="10"/>
        <v>46295</v>
      </c>
      <c r="AD3" s="252">
        <f t="shared" si="10"/>
        <v>46295</v>
      </c>
      <c r="AE3" s="252">
        <f t="shared" si="10"/>
        <v>46387</v>
      </c>
      <c r="AF3" s="252">
        <f t="shared" si="10"/>
        <v>46387</v>
      </c>
      <c r="AG3" s="252">
        <f t="shared" si="10"/>
        <v>46387</v>
      </c>
      <c r="AH3" s="252">
        <f t="shared" si="10"/>
        <v>46477</v>
      </c>
      <c r="AI3" s="252">
        <f t="shared" si="10"/>
        <v>46477</v>
      </c>
      <c r="AJ3" s="252">
        <f t="shared" si="10"/>
        <v>46477</v>
      </c>
      <c r="AK3" s="252">
        <f t="shared" si="10"/>
        <v>46568</v>
      </c>
      <c r="AL3" s="252">
        <f t="shared" si="10"/>
        <v>46568</v>
      </c>
      <c r="AM3" s="252">
        <f t="shared" si="10"/>
        <v>46568</v>
      </c>
      <c r="AN3" s="252">
        <f t="shared" si="10"/>
        <v>46660</v>
      </c>
      <c r="AO3" s="252">
        <f t="shared" si="10"/>
        <v>46660</v>
      </c>
      <c r="AP3" s="252">
        <f t="shared" si="10"/>
        <v>46660</v>
      </c>
      <c r="AQ3" s="252">
        <f t="shared" si="10"/>
        <v>46752</v>
      </c>
      <c r="AR3" s="252">
        <f t="shared" si="10"/>
        <v>46752</v>
      </c>
      <c r="AS3" s="252">
        <f t="shared" si="10"/>
        <v>46752</v>
      </c>
      <c r="AT3" s="252">
        <f t="shared" si="10"/>
        <v>46843</v>
      </c>
      <c r="AU3" s="252">
        <f t="shared" si="10"/>
        <v>46843</v>
      </c>
      <c r="AV3" s="252">
        <f t="shared" si="10"/>
        <v>46843</v>
      </c>
      <c r="AW3" s="252">
        <f t="shared" si="10"/>
        <v>46934</v>
      </c>
      <c r="AX3" s="252">
        <f t="shared" si="10"/>
        <v>46934</v>
      </c>
      <c r="AY3" s="252">
        <f t="shared" si="10"/>
        <v>46934</v>
      </c>
      <c r="AZ3" s="252">
        <f t="shared" si="10"/>
        <v>47026</v>
      </c>
      <c r="BA3" s="252">
        <f t="shared" si="10"/>
        <v>47026</v>
      </c>
      <c r="BB3" s="252">
        <f t="shared" si="10"/>
        <v>47026</v>
      </c>
      <c r="BC3" s="252">
        <f t="shared" si="10"/>
        <v>47118</v>
      </c>
      <c r="BD3" s="252">
        <f t="shared" si="10"/>
        <v>47118</v>
      </c>
      <c r="BE3" s="252">
        <f t="shared" si="10"/>
        <v>47118</v>
      </c>
      <c r="BF3" s="252">
        <f t="shared" si="10"/>
        <v>47208</v>
      </c>
      <c r="BG3" s="252">
        <f t="shared" si="10"/>
        <v>47208</v>
      </c>
      <c r="BH3" s="252">
        <f t="shared" si="10"/>
        <v>47208</v>
      </c>
      <c r="BI3" s="252">
        <f t="shared" si="10"/>
        <v>47299</v>
      </c>
      <c r="BJ3" s="252">
        <f t="shared" si="10"/>
        <v>47299</v>
      </c>
      <c r="BK3" s="252">
        <f t="shared" si="10"/>
        <v>47299</v>
      </c>
      <c r="BL3" s="252">
        <f t="shared" si="10"/>
        <v>47391</v>
      </c>
      <c r="BM3" s="252">
        <f t="shared" si="10"/>
        <v>47391</v>
      </c>
      <c r="BN3" s="252">
        <f t="shared" si="10"/>
        <v>47391</v>
      </c>
      <c r="BO3" s="252">
        <f t="shared" si="10"/>
        <v>47483</v>
      </c>
      <c r="BP3" s="252">
        <f t="shared" si="10"/>
        <v>47483</v>
      </c>
      <c r="BQ3" s="252">
        <f t="shared" si="10"/>
        <v>47483</v>
      </c>
      <c r="BR3" s="252">
        <f t="shared" si="10"/>
        <v>47573</v>
      </c>
      <c r="BS3" s="252">
        <f t="shared" si="10"/>
        <v>47573</v>
      </c>
      <c r="BT3" s="252">
        <f t="shared" ref="BT3:EE3" si="11">EOMONTH(BQ3,3)</f>
        <v>47573</v>
      </c>
      <c r="BU3" s="252">
        <f t="shared" si="11"/>
        <v>47664</v>
      </c>
      <c r="BV3" s="252">
        <f t="shared" si="11"/>
        <v>47664</v>
      </c>
      <c r="BW3" s="252">
        <f t="shared" si="11"/>
        <v>47664</v>
      </c>
      <c r="BX3" s="252">
        <f t="shared" si="11"/>
        <v>47756</v>
      </c>
      <c r="BY3" s="252">
        <f t="shared" si="11"/>
        <v>47756</v>
      </c>
      <c r="BZ3" s="252">
        <f t="shared" si="11"/>
        <v>47756</v>
      </c>
      <c r="CA3" s="252">
        <f t="shared" si="11"/>
        <v>47848</v>
      </c>
      <c r="CB3" s="252">
        <f t="shared" si="11"/>
        <v>47848</v>
      </c>
      <c r="CC3" s="252">
        <f t="shared" si="11"/>
        <v>47848</v>
      </c>
      <c r="CD3" s="252">
        <f t="shared" si="11"/>
        <v>47938</v>
      </c>
      <c r="CE3" s="252">
        <f t="shared" si="11"/>
        <v>47938</v>
      </c>
      <c r="CF3" s="252">
        <f t="shared" si="11"/>
        <v>47938</v>
      </c>
      <c r="CG3" s="252">
        <f t="shared" si="11"/>
        <v>48029</v>
      </c>
      <c r="CH3" s="252">
        <f t="shared" si="11"/>
        <v>48029</v>
      </c>
      <c r="CI3" s="252">
        <f t="shared" si="11"/>
        <v>48029</v>
      </c>
      <c r="CJ3" s="252">
        <f t="shared" si="11"/>
        <v>48121</v>
      </c>
      <c r="CK3" s="252">
        <f t="shared" si="11"/>
        <v>48121</v>
      </c>
      <c r="CL3" s="252">
        <f t="shared" si="11"/>
        <v>48121</v>
      </c>
      <c r="CM3" s="252">
        <f t="shared" si="11"/>
        <v>48213</v>
      </c>
      <c r="CN3" s="252">
        <f t="shared" si="11"/>
        <v>48213</v>
      </c>
      <c r="CO3" s="252">
        <f t="shared" si="11"/>
        <v>48213</v>
      </c>
      <c r="CP3" s="252">
        <f t="shared" si="11"/>
        <v>48304</v>
      </c>
      <c r="CQ3" s="252">
        <f t="shared" si="11"/>
        <v>48304</v>
      </c>
      <c r="CR3" s="252">
        <f t="shared" si="11"/>
        <v>48304</v>
      </c>
      <c r="CS3" s="252">
        <f t="shared" si="11"/>
        <v>48395</v>
      </c>
      <c r="CT3" s="252">
        <f t="shared" si="11"/>
        <v>48395</v>
      </c>
      <c r="CU3" s="252">
        <f t="shared" si="11"/>
        <v>48395</v>
      </c>
      <c r="CV3" s="252">
        <f t="shared" si="11"/>
        <v>48487</v>
      </c>
      <c r="CW3" s="252">
        <f t="shared" si="11"/>
        <v>48487</v>
      </c>
      <c r="CX3" s="252">
        <f t="shared" si="11"/>
        <v>48487</v>
      </c>
      <c r="CY3" s="252">
        <f t="shared" si="11"/>
        <v>48579</v>
      </c>
      <c r="CZ3" s="252">
        <f t="shared" si="11"/>
        <v>48579</v>
      </c>
      <c r="DA3" s="252">
        <f t="shared" si="11"/>
        <v>48579</v>
      </c>
      <c r="DB3" s="252">
        <f t="shared" si="11"/>
        <v>48669</v>
      </c>
      <c r="DC3" s="252">
        <f t="shared" si="11"/>
        <v>48669</v>
      </c>
      <c r="DD3" s="252">
        <f t="shared" si="11"/>
        <v>48669</v>
      </c>
      <c r="DE3" s="252">
        <f t="shared" si="11"/>
        <v>48760</v>
      </c>
      <c r="DF3" s="252">
        <f t="shared" si="11"/>
        <v>48760</v>
      </c>
      <c r="DG3" s="252">
        <f t="shared" si="11"/>
        <v>48760</v>
      </c>
      <c r="DH3" s="252">
        <f t="shared" si="11"/>
        <v>48852</v>
      </c>
      <c r="DI3" s="252">
        <f t="shared" si="11"/>
        <v>48852</v>
      </c>
      <c r="DJ3" s="252">
        <f t="shared" si="11"/>
        <v>48852</v>
      </c>
      <c r="DK3" s="252">
        <f t="shared" si="11"/>
        <v>48944</v>
      </c>
      <c r="DL3" s="252">
        <f t="shared" si="11"/>
        <v>48944</v>
      </c>
      <c r="DM3" s="252">
        <f t="shared" si="11"/>
        <v>48944</v>
      </c>
      <c r="DN3" s="252">
        <f t="shared" si="11"/>
        <v>49034</v>
      </c>
      <c r="DO3" s="252">
        <f t="shared" si="11"/>
        <v>49034</v>
      </c>
      <c r="DP3" s="252">
        <f t="shared" si="11"/>
        <v>49034</v>
      </c>
      <c r="DQ3" s="252">
        <f t="shared" si="11"/>
        <v>49125</v>
      </c>
      <c r="DR3" s="252">
        <f t="shared" si="11"/>
        <v>49125</v>
      </c>
      <c r="DS3" s="252">
        <f t="shared" si="11"/>
        <v>49125</v>
      </c>
      <c r="DT3" s="252">
        <f t="shared" si="11"/>
        <v>49217</v>
      </c>
      <c r="DU3" s="252">
        <f t="shared" si="11"/>
        <v>49217</v>
      </c>
      <c r="DV3" s="252">
        <f t="shared" si="11"/>
        <v>49217</v>
      </c>
      <c r="DW3" s="252">
        <f t="shared" si="11"/>
        <v>49309</v>
      </c>
      <c r="DX3" s="252">
        <f t="shared" si="11"/>
        <v>49309</v>
      </c>
      <c r="DY3" s="252">
        <f t="shared" si="11"/>
        <v>49309</v>
      </c>
      <c r="DZ3" s="252">
        <f t="shared" si="11"/>
        <v>49399</v>
      </c>
      <c r="EA3" s="252">
        <f t="shared" si="11"/>
        <v>49399</v>
      </c>
      <c r="EB3" s="252">
        <f t="shared" si="11"/>
        <v>49399</v>
      </c>
      <c r="EC3" s="252">
        <f t="shared" si="11"/>
        <v>49490</v>
      </c>
      <c r="ED3" s="252">
        <f t="shared" si="11"/>
        <v>49490</v>
      </c>
      <c r="EE3" s="252">
        <f t="shared" si="11"/>
        <v>49490</v>
      </c>
      <c r="EF3" s="252">
        <f t="shared" ref="EF3:GQ3" si="12">EOMONTH(EC3,3)</f>
        <v>49582</v>
      </c>
      <c r="EG3" s="252">
        <f t="shared" si="12"/>
        <v>49582</v>
      </c>
      <c r="EH3" s="252">
        <f t="shared" si="12"/>
        <v>49582</v>
      </c>
      <c r="EI3" s="252">
        <f t="shared" si="12"/>
        <v>49674</v>
      </c>
      <c r="EJ3" s="252">
        <f t="shared" si="12"/>
        <v>49674</v>
      </c>
      <c r="EK3" s="252">
        <f t="shared" si="12"/>
        <v>49674</v>
      </c>
      <c r="EL3" s="252">
        <f t="shared" si="12"/>
        <v>49765</v>
      </c>
      <c r="EM3" s="252">
        <f t="shared" si="12"/>
        <v>49765</v>
      </c>
      <c r="EN3" s="252">
        <f t="shared" si="12"/>
        <v>49765</v>
      </c>
      <c r="EO3" s="252">
        <f t="shared" si="12"/>
        <v>49856</v>
      </c>
      <c r="EP3" s="252">
        <f t="shared" si="12"/>
        <v>49856</v>
      </c>
      <c r="EQ3" s="252">
        <f t="shared" si="12"/>
        <v>49856</v>
      </c>
      <c r="ER3" s="252">
        <f t="shared" si="12"/>
        <v>49948</v>
      </c>
      <c r="ES3" s="252">
        <f t="shared" si="12"/>
        <v>49948</v>
      </c>
      <c r="ET3" s="252">
        <f t="shared" si="12"/>
        <v>49948</v>
      </c>
      <c r="EU3" s="252">
        <f t="shared" si="12"/>
        <v>50040</v>
      </c>
      <c r="EV3" s="252">
        <f t="shared" si="12"/>
        <v>50040</v>
      </c>
      <c r="EW3" s="252">
        <f t="shared" si="12"/>
        <v>50040</v>
      </c>
      <c r="EX3" s="252">
        <f t="shared" si="12"/>
        <v>50130</v>
      </c>
      <c r="EY3" s="252">
        <f t="shared" si="12"/>
        <v>50130</v>
      </c>
      <c r="EZ3" s="252">
        <f t="shared" si="12"/>
        <v>50130</v>
      </c>
      <c r="FA3" s="252">
        <f t="shared" si="12"/>
        <v>50221</v>
      </c>
      <c r="FB3" s="252">
        <f t="shared" si="12"/>
        <v>50221</v>
      </c>
      <c r="FC3" s="252">
        <f t="shared" si="12"/>
        <v>50221</v>
      </c>
      <c r="FD3" s="252">
        <f t="shared" si="12"/>
        <v>50313</v>
      </c>
      <c r="FE3" s="252">
        <f t="shared" si="12"/>
        <v>50313</v>
      </c>
      <c r="FF3" s="252">
        <f t="shared" si="12"/>
        <v>50313</v>
      </c>
      <c r="FG3" s="252">
        <f t="shared" si="12"/>
        <v>50405</v>
      </c>
      <c r="FH3" s="252">
        <f t="shared" si="12"/>
        <v>50405</v>
      </c>
      <c r="FI3" s="252">
        <f t="shared" si="12"/>
        <v>50405</v>
      </c>
      <c r="FJ3" s="252">
        <f t="shared" si="12"/>
        <v>50495</v>
      </c>
      <c r="FK3" s="252">
        <f t="shared" si="12"/>
        <v>50495</v>
      </c>
      <c r="FL3" s="252">
        <f t="shared" si="12"/>
        <v>50495</v>
      </c>
      <c r="FM3" s="252">
        <f t="shared" si="12"/>
        <v>50586</v>
      </c>
      <c r="FN3" s="252">
        <f t="shared" si="12"/>
        <v>50586</v>
      </c>
      <c r="FO3" s="252">
        <f t="shared" si="12"/>
        <v>50586</v>
      </c>
      <c r="FP3" s="252">
        <f t="shared" si="12"/>
        <v>50678</v>
      </c>
      <c r="FQ3" s="252">
        <f t="shared" si="12"/>
        <v>50678</v>
      </c>
      <c r="FR3" s="252">
        <f t="shared" si="12"/>
        <v>50678</v>
      </c>
      <c r="FS3" s="252">
        <f t="shared" si="12"/>
        <v>50770</v>
      </c>
      <c r="FT3" s="252">
        <f t="shared" si="12"/>
        <v>50770</v>
      </c>
      <c r="FU3" s="252">
        <f t="shared" si="12"/>
        <v>50770</v>
      </c>
      <c r="FV3" s="252">
        <f t="shared" si="12"/>
        <v>50860</v>
      </c>
      <c r="FW3" s="252">
        <f t="shared" si="12"/>
        <v>50860</v>
      </c>
      <c r="FX3" s="252">
        <f t="shared" si="12"/>
        <v>50860</v>
      </c>
      <c r="FY3" s="252">
        <f t="shared" si="12"/>
        <v>50951</v>
      </c>
      <c r="FZ3" s="252">
        <f t="shared" si="12"/>
        <v>50951</v>
      </c>
      <c r="GA3" s="252">
        <f t="shared" si="12"/>
        <v>50951</v>
      </c>
      <c r="GB3" s="252">
        <f t="shared" si="12"/>
        <v>51043</v>
      </c>
      <c r="GC3" s="252">
        <f t="shared" si="12"/>
        <v>51043</v>
      </c>
      <c r="GD3" s="252">
        <f t="shared" si="12"/>
        <v>51043</v>
      </c>
      <c r="GE3" s="252">
        <f t="shared" si="12"/>
        <v>51135</v>
      </c>
      <c r="GF3" s="252">
        <f t="shared" si="12"/>
        <v>51135</v>
      </c>
      <c r="GG3" s="252">
        <f t="shared" si="12"/>
        <v>51135</v>
      </c>
      <c r="GH3" s="252">
        <f t="shared" si="12"/>
        <v>51226</v>
      </c>
      <c r="GI3" s="252">
        <f t="shared" si="12"/>
        <v>51226</v>
      </c>
      <c r="GJ3" s="252">
        <f t="shared" si="12"/>
        <v>51226</v>
      </c>
      <c r="GK3" s="252">
        <f t="shared" si="12"/>
        <v>51317</v>
      </c>
      <c r="GL3" s="252">
        <f t="shared" si="12"/>
        <v>51317</v>
      </c>
      <c r="GM3" s="252">
        <f t="shared" si="12"/>
        <v>51317</v>
      </c>
      <c r="GN3" s="252">
        <f t="shared" si="12"/>
        <v>51409</v>
      </c>
      <c r="GO3" s="252">
        <f t="shared" si="12"/>
        <v>51409</v>
      </c>
      <c r="GP3" s="252">
        <f t="shared" si="12"/>
        <v>51409</v>
      </c>
      <c r="GQ3" s="252">
        <f t="shared" si="12"/>
        <v>51501</v>
      </c>
      <c r="GR3" s="252">
        <f t="shared" ref="GR3:JC3" si="13">EOMONTH(GO3,3)</f>
        <v>51501</v>
      </c>
      <c r="GS3" s="252">
        <f t="shared" si="13"/>
        <v>51501</v>
      </c>
      <c r="GT3" s="252">
        <f t="shared" si="13"/>
        <v>51591</v>
      </c>
      <c r="GU3" s="252">
        <f t="shared" si="13"/>
        <v>51591</v>
      </c>
      <c r="GV3" s="252">
        <f t="shared" si="13"/>
        <v>51591</v>
      </c>
      <c r="GW3" s="252">
        <f t="shared" si="13"/>
        <v>51682</v>
      </c>
      <c r="GX3" s="252">
        <f t="shared" si="13"/>
        <v>51682</v>
      </c>
      <c r="GY3" s="252">
        <f t="shared" si="13"/>
        <v>51682</v>
      </c>
      <c r="GZ3" s="252">
        <f t="shared" si="13"/>
        <v>51774</v>
      </c>
      <c r="HA3" s="252">
        <f t="shared" si="13"/>
        <v>51774</v>
      </c>
      <c r="HB3" s="252">
        <f t="shared" si="13"/>
        <v>51774</v>
      </c>
      <c r="HC3" s="252">
        <f t="shared" si="13"/>
        <v>51866</v>
      </c>
      <c r="HD3" s="252">
        <f t="shared" si="13"/>
        <v>51866</v>
      </c>
      <c r="HE3" s="252">
        <f t="shared" si="13"/>
        <v>51866</v>
      </c>
      <c r="HF3" s="252">
        <f t="shared" si="13"/>
        <v>51956</v>
      </c>
      <c r="HG3" s="252">
        <f t="shared" si="13"/>
        <v>51956</v>
      </c>
      <c r="HH3" s="252">
        <f t="shared" si="13"/>
        <v>51956</v>
      </c>
      <c r="HI3" s="252">
        <f t="shared" si="13"/>
        <v>52047</v>
      </c>
      <c r="HJ3" s="252">
        <f t="shared" si="13"/>
        <v>52047</v>
      </c>
      <c r="HK3" s="252">
        <f t="shared" si="13"/>
        <v>52047</v>
      </c>
      <c r="HL3" s="252">
        <f t="shared" si="13"/>
        <v>52139</v>
      </c>
      <c r="HM3" s="252">
        <f t="shared" si="13"/>
        <v>52139</v>
      </c>
      <c r="HN3" s="252">
        <f t="shared" si="13"/>
        <v>52139</v>
      </c>
      <c r="HO3" s="252">
        <f t="shared" si="13"/>
        <v>52231</v>
      </c>
      <c r="HP3" s="252">
        <f t="shared" si="13"/>
        <v>52231</v>
      </c>
      <c r="HQ3" s="252">
        <f t="shared" si="13"/>
        <v>52231</v>
      </c>
      <c r="HR3" s="252">
        <f t="shared" si="13"/>
        <v>52321</v>
      </c>
      <c r="HS3" s="252">
        <f t="shared" si="13"/>
        <v>52321</v>
      </c>
      <c r="HT3" s="252">
        <f t="shared" si="13"/>
        <v>52321</v>
      </c>
      <c r="HU3" s="252">
        <f t="shared" si="13"/>
        <v>52412</v>
      </c>
      <c r="HV3" s="252">
        <f t="shared" si="13"/>
        <v>52412</v>
      </c>
      <c r="HW3" s="252">
        <f t="shared" si="13"/>
        <v>52412</v>
      </c>
      <c r="HX3" s="252">
        <f t="shared" si="13"/>
        <v>52504</v>
      </c>
      <c r="HY3" s="252">
        <f t="shared" si="13"/>
        <v>52504</v>
      </c>
      <c r="HZ3" s="252">
        <f t="shared" si="13"/>
        <v>52504</v>
      </c>
      <c r="IA3" s="252">
        <f t="shared" si="13"/>
        <v>52596</v>
      </c>
      <c r="IB3" s="252">
        <f t="shared" si="13"/>
        <v>52596</v>
      </c>
      <c r="IC3" s="252">
        <f t="shared" si="13"/>
        <v>52596</v>
      </c>
      <c r="ID3" s="252">
        <f t="shared" si="13"/>
        <v>52687</v>
      </c>
      <c r="IE3" s="252">
        <f t="shared" si="13"/>
        <v>52687</v>
      </c>
      <c r="IF3" s="252">
        <f t="shared" si="13"/>
        <v>52687</v>
      </c>
      <c r="IG3" s="252">
        <f t="shared" si="13"/>
        <v>52778</v>
      </c>
      <c r="IH3" s="252">
        <f t="shared" si="13"/>
        <v>52778</v>
      </c>
      <c r="II3" s="252">
        <f t="shared" si="13"/>
        <v>52778</v>
      </c>
      <c r="IJ3" s="252">
        <f t="shared" si="13"/>
        <v>52870</v>
      </c>
      <c r="IK3" s="252">
        <f t="shared" si="13"/>
        <v>52870</v>
      </c>
      <c r="IL3" s="252">
        <f t="shared" si="13"/>
        <v>52870</v>
      </c>
      <c r="IM3" s="252">
        <f t="shared" si="13"/>
        <v>52962</v>
      </c>
      <c r="IN3" s="252">
        <f t="shared" si="13"/>
        <v>52962</v>
      </c>
      <c r="IO3" s="252">
        <f t="shared" si="13"/>
        <v>52962</v>
      </c>
      <c r="IP3" s="252">
        <f t="shared" si="13"/>
        <v>53052</v>
      </c>
      <c r="IQ3" s="252">
        <f t="shared" si="13"/>
        <v>53052</v>
      </c>
      <c r="IR3" s="252">
        <f t="shared" si="13"/>
        <v>53052</v>
      </c>
      <c r="IS3" s="252">
        <f t="shared" si="13"/>
        <v>53143</v>
      </c>
      <c r="IT3" s="252">
        <f t="shared" si="13"/>
        <v>53143</v>
      </c>
      <c r="IU3" s="252">
        <f t="shared" si="13"/>
        <v>53143</v>
      </c>
      <c r="IV3" s="252">
        <f t="shared" si="13"/>
        <v>53235</v>
      </c>
      <c r="IW3" s="252">
        <f t="shared" si="13"/>
        <v>53235</v>
      </c>
      <c r="IX3" s="252">
        <f t="shared" si="13"/>
        <v>53235</v>
      </c>
      <c r="IY3" s="252">
        <f t="shared" si="13"/>
        <v>53327</v>
      </c>
      <c r="IZ3" s="252">
        <f t="shared" si="13"/>
        <v>53327</v>
      </c>
      <c r="JA3" s="252">
        <f t="shared" si="13"/>
        <v>53327</v>
      </c>
      <c r="JB3" s="252">
        <f t="shared" si="13"/>
        <v>53417</v>
      </c>
      <c r="JC3" s="252">
        <f t="shared" si="13"/>
        <v>53417</v>
      </c>
      <c r="JD3" s="252">
        <f t="shared" ref="JD3:KB3" si="14">EOMONTH(JA3,3)</f>
        <v>53417</v>
      </c>
      <c r="JE3" s="252">
        <f t="shared" si="14"/>
        <v>53508</v>
      </c>
      <c r="JF3" s="252">
        <f t="shared" si="14"/>
        <v>53508</v>
      </c>
      <c r="JG3" s="252">
        <f t="shared" si="14"/>
        <v>53508</v>
      </c>
      <c r="JH3" s="252">
        <f t="shared" si="14"/>
        <v>53600</v>
      </c>
      <c r="JI3" s="252">
        <f t="shared" si="14"/>
        <v>53600</v>
      </c>
      <c r="JJ3" s="252">
        <f t="shared" si="14"/>
        <v>53600</v>
      </c>
      <c r="JK3" s="252">
        <f t="shared" si="14"/>
        <v>53692</v>
      </c>
      <c r="JL3" s="252">
        <f t="shared" si="14"/>
        <v>53692</v>
      </c>
      <c r="JM3" s="252">
        <f t="shared" si="14"/>
        <v>53692</v>
      </c>
      <c r="JN3" s="252">
        <f t="shared" si="14"/>
        <v>53782</v>
      </c>
      <c r="JO3" s="252">
        <f t="shared" si="14"/>
        <v>53782</v>
      </c>
      <c r="JP3" s="252">
        <f t="shared" si="14"/>
        <v>53782</v>
      </c>
      <c r="JQ3" s="252">
        <f t="shared" si="14"/>
        <v>53873</v>
      </c>
      <c r="JR3" s="252">
        <f t="shared" si="14"/>
        <v>53873</v>
      </c>
      <c r="JS3" s="252">
        <f t="shared" si="14"/>
        <v>53873</v>
      </c>
      <c r="JT3" s="252">
        <f t="shared" si="14"/>
        <v>53965</v>
      </c>
      <c r="JU3" s="252">
        <f t="shared" si="14"/>
        <v>53965</v>
      </c>
      <c r="JV3" s="252">
        <f t="shared" si="14"/>
        <v>53965</v>
      </c>
      <c r="JW3" s="252">
        <f t="shared" si="14"/>
        <v>54057</v>
      </c>
      <c r="JX3" s="252">
        <f t="shared" si="14"/>
        <v>54057</v>
      </c>
      <c r="JY3" s="252">
        <f t="shared" si="14"/>
        <v>54057</v>
      </c>
      <c r="JZ3" s="252">
        <f t="shared" si="14"/>
        <v>54148</v>
      </c>
      <c r="KA3" s="252">
        <f t="shared" si="14"/>
        <v>54148</v>
      </c>
      <c r="KB3" s="252">
        <f t="shared" si="14"/>
        <v>54148</v>
      </c>
    </row>
    <row r="4" spans="1:289" x14ac:dyDescent="0.3">
      <c r="A4" s="657" t="s">
        <v>28</v>
      </c>
      <c r="B4" s="657"/>
      <c r="C4" s="253">
        <v>1</v>
      </c>
      <c r="D4" s="253">
        <v>1</v>
      </c>
      <c r="E4" s="253">
        <f t="shared" ref="E4:O4" si="15">D4</f>
        <v>1</v>
      </c>
      <c r="F4" s="253">
        <f t="shared" si="15"/>
        <v>1</v>
      </c>
      <c r="G4" s="253">
        <f t="shared" si="15"/>
        <v>1</v>
      </c>
      <c r="H4" s="253">
        <f t="shared" si="15"/>
        <v>1</v>
      </c>
      <c r="I4" s="253">
        <f t="shared" si="15"/>
        <v>1</v>
      </c>
      <c r="J4" s="253">
        <f t="shared" si="15"/>
        <v>1</v>
      </c>
      <c r="K4" s="253">
        <f t="shared" si="15"/>
        <v>1</v>
      </c>
      <c r="L4" s="253">
        <f t="shared" si="15"/>
        <v>1</v>
      </c>
      <c r="M4" s="253">
        <f t="shared" si="15"/>
        <v>1</v>
      </c>
      <c r="N4" s="253">
        <f t="shared" si="15"/>
        <v>1</v>
      </c>
      <c r="O4" s="253">
        <f t="shared" si="15"/>
        <v>1</v>
      </c>
      <c r="P4" s="253">
        <f t="shared" ref="P4:AU4" si="16">D4+1</f>
        <v>2</v>
      </c>
      <c r="Q4" s="253">
        <f t="shared" si="16"/>
        <v>2</v>
      </c>
      <c r="R4" s="253">
        <f t="shared" si="16"/>
        <v>2</v>
      </c>
      <c r="S4" s="253">
        <f t="shared" si="16"/>
        <v>2</v>
      </c>
      <c r="T4" s="253">
        <f t="shared" si="16"/>
        <v>2</v>
      </c>
      <c r="U4" s="253">
        <f t="shared" si="16"/>
        <v>2</v>
      </c>
      <c r="V4" s="253">
        <f t="shared" si="16"/>
        <v>2</v>
      </c>
      <c r="W4" s="253">
        <f t="shared" si="16"/>
        <v>2</v>
      </c>
      <c r="X4" s="253">
        <f t="shared" si="16"/>
        <v>2</v>
      </c>
      <c r="Y4" s="253">
        <f t="shared" si="16"/>
        <v>2</v>
      </c>
      <c r="Z4" s="253">
        <f t="shared" si="16"/>
        <v>2</v>
      </c>
      <c r="AA4" s="253">
        <f t="shared" si="16"/>
        <v>2</v>
      </c>
      <c r="AB4" s="253">
        <f t="shared" si="16"/>
        <v>3</v>
      </c>
      <c r="AC4" s="253">
        <f t="shared" si="16"/>
        <v>3</v>
      </c>
      <c r="AD4" s="253">
        <f t="shared" si="16"/>
        <v>3</v>
      </c>
      <c r="AE4" s="253">
        <f t="shared" si="16"/>
        <v>3</v>
      </c>
      <c r="AF4" s="253">
        <f t="shared" si="16"/>
        <v>3</v>
      </c>
      <c r="AG4" s="253">
        <f t="shared" si="16"/>
        <v>3</v>
      </c>
      <c r="AH4" s="253">
        <f t="shared" si="16"/>
        <v>3</v>
      </c>
      <c r="AI4" s="253">
        <f t="shared" si="16"/>
        <v>3</v>
      </c>
      <c r="AJ4" s="253">
        <f t="shared" si="16"/>
        <v>3</v>
      </c>
      <c r="AK4" s="253">
        <f t="shared" si="16"/>
        <v>3</v>
      </c>
      <c r="AL4" s="253">
        <f t="shared" si="16"/>
        <v>3</v>
      </c>
      <c r="AM4" s="253">
        <f t="shared" si="16"/>
        <v>3</v>
      </c>
      <c r="AN4" s="253">
        <f t="shared" si="16"/>
        <v>4</v>
      </c>
      <c r="AO4" s="253">
        <f t="shared" si="16"/>
        <v>4</v>
      </c>
      <c r="AP4" s="253">
        <f t="shared" si="16"/>
        <v>4</v>
      </c>
      <c r="AQ4" s="253">
        <f t="shared" si="16"/>
        <v>4</v>
      </c>
      <c r="AR4" s="253">
        <f t="shared" si="16"/>
        <v>4</v>
      </c>
      <c r="AS4" s="253">
        <f t="shared" si="16"/>
        <v>4</v>
      </c>
      <c r="AT4" s="253">
        <f t="shared" si="16"/>
        <v>4</v>
      </c>
      <c r="AU4" s="253">
        <f t="shared" si="16"/>
        <v>4</v>
      </c>
      <c r="AV4" s="253">
        <f t="shared" ref="AV4:CA4" si="17">AJ4+1</f>
        <v>4</v>
      </c>
      <c r="AW4" s="253">
        <f t="shared" si="17"/>
        <v>4</v>
      </c>
      <c r="AX4" s="253">
        <f t="shared" si="17"/>
        <v>4</v>
      </c>
      <c r="AY4" s="253">
        <f t="shared" si="17"/>
        <v>4</v>
      </c>
      <c r="AZ4" s="253">
        <f t="shared" si="17"/>
        <v>5</v>
      </c>
      <c r="BA4" s="253">
        <f t="shared" si="17"/>
        <v>5</v>
      </c>
      <c r="BB4" s="253">
        <f t="shared" si="17"/>
        <v>5</v>
      </c>
      <c r="BC4" s="253">
        <f t="shared" si="17"/>
        <v>5</v>
      </c>
      <c r="BD4" s="253">
        <f t="shared" si="17"/>
        <v>5</v>
      </c>
      <c r="BE4" s="253">
        <f t="shared" si="17"/>
        <v>5</v>
      </c>
      <c r="BF4" s="253">
        <f t="shared" si="17"/>
        <v>5</v>
      </c>
      <c r="BG4" s="253">
        <f t="shared" si="17"/>
        <v>5</v>
      </c>
      <c r="BH4" s="253">
        <f t="shared" si="17"/>
        <v>5</v>
      </c>
      <c r="BI4" s="253">
        <f t="shared" si="17"/>
        <v>5</v>
      </c>
      <c r="BJ4" s="253">
        <f t="shared" si="17"/>
        <v>5</v>
      </c>
      <c r="BK4" s="253">
        <f t="shared" si="17"/>
        <v>5</v>
      </c>
      <c r="BL4" s="253">
        <f t="shared" si="17"/>
        <v>6</v>
      </c>
      <c r="BM4" s="253">
        <f t="shared" si="17"/>
        <v>6</v>
      </c>
      <c r="BN4" s="253">
        <f t="shared" si="17"/>
        <v>6</v>
      </c>
      <c r="BO4" s="253">
        <f t="shared" si="17"/>
        <v>6</v>
      </c>
      <c r="BP4" s="253">
        <f t="shared" si="17"/>
        <v>6</v>
      </c>
      <c r="BQ4" s="253">
        <f t="shared" si="17"/>
        <v>6</v>
      </c>
      <c r="BR4" s="253">
        <f t="shared" si="17"/>
        <v>6</v>
      </c>
      <c r="BS4" s="253">
        <f t="shared" si="17"/>
        <v>6</v>
      </c>
      <c r="BT4" s="253">
        <f t="shared" si="17"/>
        <v>6</v>
      </c>
      <c r="BU4" s="253">
        <f t="shared" si="17"/>
        <v>6</v>
      </c>
      <c r="BV4" s="253">
        <f t="shared" si="17"/>
        <v>6</v>
      </c>
      <c r="BW4" s="253">
        <f t="shared" si="17"/>
        <v>6</v>
      </c>
      <c r="BX4" s="253">
        <f t="shared" si="17"/>
        <v>7</v>
      </c>
      <c r="BY4" s="253">
        <f t="shared" si="17"/>
        <v>7</v>
      </c>
      <c r="BZ4" s="253">
        <f t="shared" si="17"/>
        <v>7</v>
      </c>
      <c r="CA4" s="253">
        <f t="shared" si="17"/>
        <v>7</v>
      </c>
      <c r="CB4" s="253">
        <f t="shared" ref="CB4:DG4" si="18">BP4+1</f>
        <v>7</v>
      </c>
      <c r="CC4" s="253">
        <f t="shared" si="18"/>
        <v>7</v>
      </c>
      <c r="CD4" s="253">
        <f t="shared" si="18"/>
        <v>7</v>
      </c>
      <c r="CE4" s="253">
        <f t="shared" si="18"/>
        <v>7</v>
      </c>
      <c r="CF4" s="253">
        <f t="shared" si="18"/>
        <v>7</v>
      </c>
      <c r="CG4" s="253">
        <f t="shared" si="18"/>
        <v>7</v>
      </c>
      <c r="CH4" s="253">
        <f t="shared" si="18"/>
        <v>7</v>
      </c>
      <c r="CI4" s="253">
        <f t="shared" si="18"/>
        <v>7</v>
      </c>
      <c r="CJ4" s="253">
        <f t="shared" si="18"/>
        <v>8</v>
      </c>
      <c r="CK4" s="253">
        <f t="shared" si="18"/>
        <v>8</v>
      </c>
      <c r="CL4" s="253">
        <f t="shared" si="18"/>
        <v>8</v>
      </c>
      <c r="CM4" s="253">
        <f t="shared" si="18"/>
        <v>8</v>
      </c>
      <c r="CN4" s="253">
        <f t="shared" si="18"/>
        <v>8</v>
      </c>
      <c r="CO4" s="253">
        <f t="shared" si="18"/>
        <v>8</v>
      </c>
      <c r="CP4" s="253">
        <f t="shared" si="18"/>
        <v>8</v>
      </c>
      <c r="CQ4" s="253">
        <f t="shared" si="18"/>
        <v>8</v>
      </c>
      <c r="CR4" s="253">
        <f t="shared" si="18"/>
        <v>8</v>
      </c>
      <c r="CS4" s="253">
        <f t="shared" si="18"/>
        <v>8</v>
      </c>
      <c r="CT4" s="253">
        <f t="shared" si="18"/>
        <v>8</v>
      </c>
      <c r="CU4" s="253">
        <f t="shared" si="18"/>
        <v>8</v>
      </c>
      <c r="CV4" s="253">
        <f t="shared" si="18"/>
        <v>9</v>
      </c>
      <c r="CW4" s="253">
        <f t="shared" si="18"/>
        <v>9</v>
      </c>
      <c r="CX4" s="253">
        <f t="shared" si="18"/>
        <v>9</v>
      </c>
      <c r="CY4" s="253">
        <f t="shared" si="18"/>
        <v>9</v>
      </c>
      <c r="CZ4" s="253">
        <f t="shared" si="18"/>
        <v>9</v>
      </c>
      <c r="DA4" s="253">
        <f t="shared" si="18"/>
        <v>9</v>
      </c>
      <c r="DB4" s="253">
        <f t="shared" si="18"/>
        <v>9</v>
      </c>
      <c r="DC4" s="253">
        <f t="shared" si="18"/>
        <v>9</v>
      </c>
      <c r="DD4" s="253">
        <f t="shared" si="18"/>
        <v>9</v>
      </c>
      <c r="DE4" s="253">
        <f t="shared" si="18"/>
        <v>9</v>
      </c>
      <c r="DF4" s="253">
        <f t="shared" si="18"/>
        <v>9</v>
      </c>
      <c r="DG4" s="253">
        <f t="shared" si="18"/>
        <v>9</v>
      </c>
      <c r="DH4" s="253">
        <f t="shared" ref="DH4:EM4" si="19">CV4+1</f>
        <v>10</v>
      </c>
      <c r="DI4" s="253">
        <f t="shared" si="19"/>
        <v>10</v>
      </c>
      <c r="DJ4" s="253">
        <f t="shared" si="19"/>
        <v>10</v>
      </c>
      <c r="DK4" s="253">
        <f t="shared" si="19"/>
        <v>10</v>
      </c>
      <c r="DL4" s="253">
        <f t="shared" si="19"/>
        <v>10</v>
      </c>
      <c r="DM4" s="253">
        <f t="shared" si="19"/>
        <v>10</v>
      </c>
      <c r="DN4" s="253">
        <f t="shared" si="19"/>
        <v>10</v>
      </c>
      <c r="DO4" s="253">
        <f t="shared" si="19"/>
        <v>10</v>
      </c>
      <c r="DP4" s="253">
        <f t="shared" si="19"/>
        <v>10</v>
      </c>
      <c r="DQ4" s="253">
        <f t="shared" si="19"/>
        <v>10</v>
      </c>
      <c r="DR4" s="253">
        <f t="shared" si="19"/>
        <v>10</v>
      </c>
      <c r="DS4" s="253">
        <f t="shared" si="19"/>
        <v>10</v>
      </c>
      <c r="DT4" s="253">
        <f t="shared" si="19"/>
        <v>11</v>
      </c>
      <c r="DU4" s="253">
        <f t="shared" si="19"/>
        <v>11</v>
      </c>
      <c r="DV4" s="253">
        <f t="shared" si="19"/>
        <v>11</v>
      </c>
      <c r="DW4" s="253">
        <f t="shared" si="19"/>
        <v>11</v>
      </c>
      <c r="DX4" s="253">
        <f t="shared" si="19"/>
        <v>11</v>
      </c>
      <c r="DY4" s="253">
        <f t="shared" si="19"/>
        <v>11</v>
      </c>
      <c r="DZ4" s="253">
        <f t="shared" si="19"/>
        <v>11</v>
      </c>
      <c r="EA4" s="253">
        <f t="shared" si="19"/>
        <v>11</v>
      </c>
      <c r="EB4" s="253">
        <f t="shared" si="19"/>
        <v>11</v>
      </c>
      <c r="EC4" s="253">
        <f t="shared" si="19"/>
        <v>11</v>
      </c>
      <c r="ED4" s="253">
        <f t="shared" si="19"/>
        <v>11</v>
      </c>
      <c r="EE4" s="253">
        <f t="shared" si="19"/>
        <v>11</v>
      </c>
      <c r="EF4" s="253">
        <f t="shared" si="19"/>
        <v>12</v>
      </c>
      <c r="EG4" s="253">
        <f t="shared" si="19"/>
        <v>12</v>
      </c>
      <c r="EH4" s="253">
        <f t="shared" si="19"/>
        <v>12</v>
      </c>
      <c r="EI4" s="253">
        <f t="shared" si="19"/>
        <v>12</v>
      </c>
      <c r="EJ4" s="253">
        <f t="shared" si="19"/>
        <v>12</v>
      </c>
      <c r="EK4" s="253">
        <f t="shared" si="19"/>
        <v>12</v>
      </c>
      <c r="EL4" s="253">
        <f t="shared" si="19"/>
        <v>12</v>
      </c>
      <c r="EM4" s="253">
        <f t="shared" si="19"/>
        <v>12</v>
      </c>
      <c r="EN4" s="253">
        <f t="shared" ref="EN4:FS4" si="20">EB4+1</f>
        <v>12</v>
      </c>
      <c r="EO4" s="253">
        <f t="shared" si="20"/>
        <v>12</v>
      </c>
      <c r="EP4" s="253">
        <f t="shared" si="20"/>
        <v>12</v>
      </c>
      <c r="EQ4" s="253">
        <f t="shared" si="20"/>
        <v>12</v>
      </c>
      <c r="ER4" s="253">
        <f t="shared" si="20"/>
        <v>13</v>
      </c>
      <c r="ES4" s="253">
        <f t="shared" si="20"/>
        <v>13</v>
      </c>
      <c r="ET4" s="253">
        <f t="shared" si="20"/>
        <v>13</v>
      </c>
      <c r="EU4" s="253">
        <f t="shared" si="20"/>
        <v>13</v>
      </c>
      <c r="EV4" s="253">
        <f t="shared" si="20"/>
        <v>13</v>
      </c>
      <c r="EW4" s="253">
        <f t="shared" si="20"/>
        <v>13</v>
      </c>
      <c r="EX4" s="253">
        <f t="shared" si="20"/>
        <v>13</v>
      </c>
      <c r="EY4" s="253">
        <f t="shared" si="20"/>
        <v>13</v>
      </c>
      <c r="EZ4" s="253">
        <f t="shared" si="20"/>
        <v>13</v>
      </c>
      <c r="FA4" s="253">
        <f t="shared" si="20"/>
        <v>13</v>
      </c>
      <c r="FB4" s="253">
        <f t="shared" si="20"/>
        <v>13</v>
      </c>
      <c r="FC4" s="253">
        <f t="shared" si="20"/>
        <v>13</v>
      </c>
      <c r="FD4" s="253">
        <f t="shared" si="20"/>
        <v>14</v>
      </c>
      <c r="FE4" s="253">
        <f t="shared" si="20"/>
        <v>14</v>
      </c>
      <c r="FF4" s="253">
        <f t="shared" si="20"/>
        <v>14</v>
      </c>
      <c r="FG4" s="253">
        <f t="shared" si="20"/>
        <v>14</v>
      </c>
      <c r="FH4" s="253">
        <f t="shared" si="20"/>
        <v>14</v>
      </c>
      <c r="FI4" s="253">
        <f t="shared" si="20"/>
        <v>14</v>
      </c>
      <c r="FJ4" s="253">
        <f t="shared" si="20"/>
        <v>14</v>
      </c>
      <c r="FK4" s="253">
        <f t="shared" si="20"/>
        <v>14</v>
      </c>
      <c r="FL4" s="253">
        <f t="shared" si="20"/>
        <v>14</v>
      </c>
      <c r="FM4" s="253">
        <f t="shared" si="20"/>
        <v>14</v>
      </c>
      <c r="FN4" s="253">
        <f t="shared" si="20"/>
        <v>14</v>
      </c>
      <c r="FO4" s="253">
        <f t="shared" si="20"/>
        <v>14</v>
      </c>
      <c r="FP4" s="253">
        <f t="shared" si="20"/>
        <v>15</v>
      </c>
      <c r="FQ4" s="253">
        <f t="shared" si="20"/>
        <v>15</v>
      </c>
      <c r="FR4" s="253">
        <f t="shared" si="20"/>
        <v>15</v>
      </c>
      <c r="FS4" s="253">
        <f t="shared" si="20"/>
        <v>15</v>
      </c>
      <c r="FT4" s="253">
        <f>FH4+1</f>
        <v>15</v>
      </c>
      <c r="FU4" s="253">
        <f>FI4+1</f>
        <v>15</v>
      </c>
      <c r="FV4" s="253">
        <f>FJ4+1</f>
        <v>15</v>
      </c>
      <c r="FW4" s="253">
        <f>FK4+1</f>
        <v>15</v>
      </c>
      <c r="FX4" s="253">
        <f t="shared" ref="FX4:HS4" si="21">FL4+1</f>
        <v>15</v>
      </c>
      <c r="FY4" s="253">
        <f t="shared" si="21"/>
        <v>15</v>
      </c>
      <c r="FZ4" s="253">
        <f t="shared" si="21"/>
        <v>15</v>
      </c>
      <c r="GA4" s="253">
        <f t="shared" si="21"/>
        <v>15</v>
      </c>
      <c r="GB4" s="253">
        <f t="shared" si="21"/>
        <v>16</v>
      </c>
      <c r="GC4" s="253">
        <f t="shared" si="21"/>
        <v>16</v>
      </c>
      <c r="GD4" s="253">
        <f t="shared" si="21"/>
        <v>16</v>
      </c>
      <c r="GE4" s="253">
        <f t="shared" si="21"/>
        <v>16</v>
      </c>
      <c r="GF4" s="253">
        <f t="shared" si="21"/>
        <v>16</v>
      </c>
      <c r="GG4" s="253">
        <f t="shared" si="21"/>
        <v>16</v>
      </c>
      <c r="GH4" s="253">
        <f t="shared" si="21"/>
        <v>16</v>
      </c>
      <c r="GI4" s="253">
        <f t="shared" si="21"/>
        <v>16</v>
      </c>
      <c r="GJ4" s="253">
        <f t="shared" si="21"/>
        <v>16</v>
      </c>
      <c r="GK4" s="253">
        <f t="shared" si="21"/>
        <v>16</v>
      </c>
      <c r="GL4" s="253">
        <f t="shared" si="21"/>
        <v>16</v>
      </c>
      <c r="GM4" s="253">
        <f t="shared" si="21"/>
        <v>16</v>
      </c>
      <c r="GN4" s="253">
        <f t="shared" si="21"/>
        <v>17</v>
      </c>
      <c r="GO4" s="253">
        <f t="shared" si="21"/>
        <v>17</v>
      </c>
      <c r="GP4" s="253">
        <f t="shared" si="21"/>
        <v>17</v>
      </c>
      <c r="GQ4" s="253">
        <f t="shared" si="21"/>
        <v>17</v>
      </c>
      <c r="GR4" s="253">
        <f t="shared" si="21"/>
        <v>17</v>
      </c>
      <c r="GS4" s="253">
        <f t="shared" si="21"/>
        <v>17</v>
      </c>
      <c r="GT4" s="253">
        <f t="shared" si="21"/>
        <v>17</v>
      </c>
      <c r="GU4" s="253">
        <f t="shared" si="21"/>
        <v>17</v>
      </c>
      <c r="GV4" s="253">
        <f t="shared" si="21"/>
        <v>17</v>
      </c>
      <c r="GW4" s="253">
        <f t="shared" si="21"/>
        <v>17</v>
      </c>
      <c r="GX4" s="253">
        <f t="shared" si="21"/>
        <v>17</v>
      </c>
      <c r="GY4" s="253">
        <f t="shared" si="21"/>
        <v>17</v>
      </c>
      <c r="GZ4" s="253">
        <f t="shared" si="21"/>
        <v>18</v>
      </c>
      <c r="HA4" s="253">
        <f t="shared" si="21"/>
        <v>18</v>
      </c>
      <c r="HB4" s="253">
        <f t="shared" si="21"/>
        <v>18</v>
      </c>
      <c r="HC4" s="253">
        <f t="shared" si="21"/>
        <v>18</v>
      </c>
      <c r="HD4" s="253">
        <f t="shared" si="21"/>
        <v>18</v>
      </c>
      <c r="HE4" s="253">
        <f t="shared" si="21"/>
        <v>18</v>
      </c>
      <c r="HF4" s="253">
        <f t="shared" si="21"/>
        <v>18</v>
      </c>
      <c r="HG4" s="253">
        <f t="shared" si="21"/>
        <v>18</v>
      </c>
      <c r="HH4" s="253">
        <f t="shared" si="21"/>
        <v>18</v>
      </c>
      <c r="HI4" s="253">
        <f t="shared" si="21"/>
        <v>18</v>
      </c>
      <c r="HJ4" s="253">
        <f t="shared" si="21"/>
        <v>18</v>
      </c>
      <c r="HK4" s="253">
        <f t="shared" si="21"/>
        <v>18</v>
      </c>
      <c r="HL4" s="253">
        <f t="shared" si="21"/>
        <v>19</v>
      </c>
      <c r="HM4" s="253">
        <f t="shared" si="21"/>
        <v>19</v>
      </c>
      <c r="HN4" s="253">
        <f t="shared" si="21"/>
        <v>19</v>
      </c>
      <c r="HO4" s="253">
        <f t="shared" si="21"/>
        <v>19</v>
      </c>
      <c r="HP4" s="253">
        <f t="shared" si="21"/>
        <v>19</v>
      </c>
      <c r="HQ4" s="253">
        <f t="shared" si="21"/>
        <v>19</v>
      </c>
      <c r="HR4" s="253">
        <f t="shared" si="21"/>
        <v>19</v>
      </c>
      <c r="HS4" s="253">
        <f t="shared" si="21"/>
        <v>19</v>
      </c>
      <c r="HT4" s="253">
        <f t="shared" ref="HT4" si="22">HH4+1</f>
        <v>19</v>
      </c>
      <c r="HU4" s="253">
        <f t="shared" ref="HU4" si="23">HI4+1</f>
        <v>19</v>
      </c>
      <c r="HV4" s="253">
        <f t="shared" ref="HV4" si="24">HJ4+1</f>
        <v>19</v>
      </c>
      <c r="HW4" s="253">
        <f t="shared" ref="HW4" si="25">HK4+1</f>
        <v>19</v>
      </c>
      <c r="HX4" s="253">
        <f t="shared" ref="HX4" si="26">HL4+1</f>
        <v>20</v>
      </c>
      <c r="HY4" s="253">
        <f t="shared" ref="HY4" si="27">HM4+1</f>
        <v>20</v>
      </c>
      <c r="HZ4" s="253">
        <f t="shared" ref="HZ4" si="28">HN4+1</f>
        <v>20</v>
      </c>
      <c r="IA4" s="253">
        <f t="shared" ref="IA4" si="29">HO4+1</f>
        <v>20</v>
      </c>
      <c r="IB4" s="253">
        <f t="shared" ref="IB4" si="30">HP4+1</f>
        <v>20</v>
      </c>
      <c r="IC4" s="253">
        <f t="shared" ref="IC4" si="31">HQ4+1</f>
        <v>20</v>
      </c>
      <c r="ID4" s="253">
        <f t="shared" ref="ID4" si="32">HR4+1</f>
        <v>20</v>
      </c>
      <c r="IE4" s="253">
        <f t="shared" ref="IE4" si="33">HS4+1</f>
        <v>20</v>
      </c>
      <c r="IF4" s="253">
        <f t="shared" ref="IF4" si="34">HT4+1</f>
        <v>20</v>
      </c>
      <c r="IG4" s="253">
        <f t="shared" ref="IG4" si="35">HU4+1</f>
        <v>20</v>
      </c>
      <c r="IH4" s="253">
        <f t="shared" ref="IH4" si="36">HV4+1</f>
        <v>20</v>
      </c>
      <c r="II4" s="253">
        <f t="shared" ref="II4" si="37">HW4+1</f>
        <v>20</v>
      </c>
      <c r="IJ4" s="253">
        <f t="shared" ref="IJ4" si="38">HX4+1</f>
        <v>21</v>
      </c>
      <c r="IK4" s="253">
        <f t="shared" ref="IK4" si="39">HY4+1</f>
        <v>21</v>
      </c>
      <c r="IL4" s="253">
        <f t="shared" ref="IL4" si="40">HZ4+1</f>
        <v>21</v>
      </c>
      <c r="IM4" s="253">
        <f t="shared" ref="IM4" si="41">IA4+1</f>
        <v>21</v>
      </c>
      <c r="IN4" s="253">
        <f t="shared" ref="IN4" si="42">IB4+1</f>
        <v>21</v>
      </c>
      <c r="IO4" s="253">
        <f t="shared" ref="IO4" si="43">IC4+1</f>
        <v>21</v>
      </c>
      <c r="IP4" s="253">
        <f t="shared" ref="IP4" si="44">ID4+1</f>
        <v>21</v>
      </c>
      <c r="IQ4" s="253">
        <f t="shared" ref="IQ4" si="45">IE4+1</f>
        <v>21</v>
      </c>
      <c r="IR4" s="253">
        <f t="shared" ref="IR4" si="46">IF4+1</f>
        <v>21</v>
      </c>
      <c r="IS4" s="253">
        <f t="shared" ref="IS4" si="47">IG4+1</f>
        <v>21</v>
      </c>
      <c r="IT4" s="253">
        <f t="shared" ref="IT4" si="48">IH4+1</f>
        <v>21</v>
      </c>
      <c r="IU4" s="253">
        <f t="shared" ref="IU4" si="49">II4+1</f>
        <v>21</v>
      </c>
      <c r="IV4" s="253">
        <f t="shared" ref="IV4" si="50">IJ4+1</f>
        <v>22</v>
      </c>
      <c r="IW4" s="253">
        <f t="shared" ref="IW4" si="51">IK4+1</f>
        <v>22</v>
      </c>
      <c r="IX4" s="253">
        <f t="shared" ref="IX4" si="52">IL4+1</f>
        <v>22</v>
      </c>
      <c r="IY4" s="253">
        <f t="shared" ref="IY4" si="53">IM4+1</f>
        <v>22</v>
      </c>
      <c r="IZ4" s="253">
        <f t="shared" ref="IZ4" si="54">IN4+1</f>
        <v>22</v>
      </c>
      <c r="JA4" s="253">
        <f t="shared" ref="JA4" si="55">IO4+1</f>
        <v>22</v>
      </c>
      <c r="JB4" s="253">
        <f t="shared" ref="JB4" si="56">IP4+1</f>
        <v>22</v>
      </c>
      <c r="JC4" s="253">
        <f t="shared" ref="JC4" si="57">IQ4+1</f>
        <v>22</v>
      </c>
      <c r="JD4" s="253">
        <f t="shared" ref="JD4" si="58">IR4+1</f>
        <v>22</v>
      </c>
      <c r="JE4" s="253">
        <f t="shared" ref="JE4" si="59">IS4+1</f>
        <v>22</v>
      </c>
      <c r="JF4" s="253">
        <f t="shared" ref="JF4" si="60">IT4+1</f>
        <v>22</v>
      </c>
      <c r="JG4" s="253">
        <f t="shared" ref="JG4" si="61">IU4+1</f>
        <v>22</v>
      </c>
      <c r="JH4" s="253">
        <f t="shared" ref="JH4" si="62">IV4+1</f>
        <v>23</v>
      </c>
      <c r="JI4" s="253">
        <f t="shared" ref="JI4" si="63">IW4+1</f>
        <v>23</v>
      </c>
      <c r="JJ4" s="253">
        <f t="shared" ref="JJ4" si="64">IX4+1</f>
        <v>23</v>
      </c>
      <c r="JK4" s="253">
        <f t="shared" ref="JK4" si="65">IY4+1</f>
        <v>23</v>
      </c>
      <c r="JL4" s="253">
        <f t="shared" ref="JL4" si="66">IZ4+1</f>
        <v>23</v>
      </c>
      <c r="JM4" s="253">
        <f t="shared" ref="JM4" si="67">JA4+1</f>
        <v>23</v>
      </c>
      <c r="JN4" s="253">
        <f t="shared" ref="JN4" si="68">JB4+1</f>
        <v>23</v>
      </c>
      <c r="JO4" s="253">
        <f t="shared" ref="JO4" si="69">JC4+1</f>
        <v>23</v>
      </c>
      <c r="JP4" s="253">
        <f t="shared" ref="JP4" si="70">JD4+1</f>
        <v>23</v>
      </c>
      <c r="JQ4" s="253">
        <f t="shared" ref="JQ4" si="71">JE4+1</f>
        <v>23</v>
      </c>
      <c r="JR4" s="253">
        <f t="shared" ref="JR4" si="72">JF4+1</f>
        <v>23</v>
      </c>
      <c r="JS4" s="253">
        <f t="shared" ref="JS4" si="73">JG4+1</f>
        <v>23</v>
      </c>
      <c r="JT4" s="253">
        <f t="shared" ref="JT4" si="74">JH4+1</f>
        <v>24</v>
      </c>
      <c r="JU4" s="253">
        <f t="shared" ref="JU4" si="75">JI4+1</f>
        <v>24</v>
      </c>
      <c r="JV4" s="253">
        <f t="shared" ref="JV4" si="76">JJ4+1</f>
        <v>24</v>
      </c>
      <c r="JW4" s="253">
        <f t="shared" ref="JW4" si="77">JK4+1</f>
        <v>24</v>
      </c>
      <c r="JX4" s="253">
        <f t="shared" ref="JX4" si="78">JL4+1</f>
        <v>24</v>
      </c>
      <c r="JY4" s="253">
        <f t="shared" ref="JY4" si="79">JM4+1</f>
        <v>24</v>
      </c>
      <c r="JZ4" s="253">
        <f t="shared" ref="JZ4" si="80">JN4+1</f>
        <v>24</v>
      </c>
      <c r="KA4" s="253">
        <f t="shared" ref="KA4" si="81">JO4+1</f>
        <v>24</v>
      </c>
      <c r="KB4" s="253">
        <f t="shared" ref="KB4" si="82">JP4+1</f>
        <v>24</v>
      </c>
    </row>
    <row r="5" spans="1:289" x14ac:dyDescent="0.3">
      <c r="A5" s="657" t="s">
        <v>27</v>
      </c>
      <c r="B5" s="657"/>
      <c r="C5" s="253">
        <v>1</v>
      </c>
      <c r="D5" s="253">
        <v>1</v>
      </c>
      <c r="E5" s="253">
        <v>1</v>
      </c>
      <c r="F5" s="253">
        <v>1</v>
      </c>
      <c r="G5" s="253">
        <f t="shared" ref="G5:AL5" si="83">D5+1</f>
        <v>2</v>
      </c>
      <c r="H5" s="253">
        <f t="shared" si="83"/>
        <v>2</v>
      </c>
      <c r="I5" s="253">
        <f t="shared" si="83"/>
        <v>2</v>
      </c>
      <c r="J5" s="253">
        <f t="shared" si="83"/>
        <v>3</v>
      </c>
      <c r="K5" s="253">
        <f t="shared" si="83"/>
        <v>3</v>
      </c>
      <c r="L5" s="253">
        <f t="shared" si="83"/>
        <v>3</v>
      </c>
      <c r="M5" s="253">
        <f t="shared" si="83"/>
        <v>4</v>
      </c>
      <c r="N5" s="253">
        <f t="shared" si="83"/>
        <v>4</v>
      </c>
      <c r="O5" s="253">
        <f t="shared" si="83"/>
        <v>4</v>
      </c>
      <c r="P5" s="253">
        <f t="shared" si="83"/>
        <v>5</v>
      </c>
      <c r="Q5" s="253">
        <f t="shared" si="83"/>
        <v>5</v>
      </c>
      <c r="R5" s="253">
        <f t="shared" si="83"/>
        <v>5</v>
      </c>
      <c r="S5" s="253">
        <f t="shared" si="83"/>
        <v>6</v>
      </c>
      <c r="T5" s="253">
        <f t="shared" si="83"/>
        <v>6</v>
      </c>
      <c r="U5" s="253">
        <f t="shared" si="83"/>
        <v>6</v>
      </c>
      <c r="V5" s="253">
        <f t="shared" si="83"/>
        <v>7</v>
      </c>
      <c r="W5" s="253">
        <f t="shared" si="83"/>
        <v>7</v>
      </c>
      <c r="X5" s="253">
        <f t="shared" si="83"/>
        <v>7</v>
      </c>
      <c r="Y5" s="253">
        <f t="shared" si="83"/>
        <v>8</v>
      </c>
      <c r="Z5" s="253">
        <f t="shared" si="83"/>
        <v>8</v>
      </c>
      <c r="AA5" s="253">
        <f t="shared" si="83"/>
        <v>8</v>
      </c>
      <c r="AB5" s="253">
        <f t="shared" si="83"/>
        <v>9</v>
      </c>
      <c r="AC5" s="253">
        <f t="shared" si="83"/>
        <v>9</v>
      </c>
      <c r="AD5" s="253">
        <f t="shared" si="83"/>
        <v>9</v>
      </c>
      <c r="AE5" s="253">
        <f t="shared" si="83"/>
        <v>10</v>
      </c>
      <c r="AF5" s="253">
        <f t="shared" si="83"/>
        <v>10</v>
      </c>
      <c r="AG5" s="253">
        <f t="shared" si="83"/>
        <v>10</v>
      </c>
      <c r="AH5" s="253">
        <f t="shared" si="83"/>
        <v>11</v>
      </c>
      <c r="AI5" s="253">
        <f t="shared" si="83"/>
        <v>11</v>
      </c>
      <c r="AJ5" s="253">
        <f t="shared" si="83"/>
        <v>11</v>
      </c>
      <c r="AK5" s="253">
        <f t="shared" si="83"/>
        <v>12</v>
      </c>
      <c r="AL5" s="253">
        <f t="shared" si="83"/>
        <v>12</v>
      </c>
      <c r="AM5" s="253">
        <f t="shared" ref="AM5:BR5" si="84">AJ5+1</f>
        <v>12</v>
      </c>
      <c r="AN5" s="253">
        <f t="shared" si="84"/>
        <v>13</v>
      </c>
      <c r="AO5" s="253">
        <f t="shared" si="84"/>
        <v>13</v>
      </c>
      <c r="AP5" s="253">
        <f t="shared" si="84"/>
        <v>13</v>
      </c>
      <c r="AQ5" s="253">
        <f t="shared" si="84"/>
        <v>14</v>
      </c>
      <c r="AR5" s="253">
        <f t="shared" si="84"/>
        <v>14</v>
      </c>
      <c r="AS5" s="253">
        <f t="shared" si="84"/>
        <v>14</v>
      </c>
      <c r="AT5" s="253">
        <f t="shared" si="84"/>
        <v>15</v>
      </c>
      <c r="AU5" s="253">
        <f t="shared" si="84"/>
        <v>15</v>
      </c>
      <c r="AV5" s="253">
        <f t="shared" si="84"/>
        <v>15</v>
      </c>
      <c r="AW5" s="253">
        <f t="shared" si="84"/>
        <v>16</v>
      </c>
      <c r="AX5" s="253">
        <f t="shared" si="84"/>
        <v>16</v>
      </c>
      <c r="AY5" s="253">
        <f t="shared" si="84"/>
        <v>16</v>
      </c>
      <c r="AZ5" s="253">
        <f t="shared" si="84"/>
        <v>17</v>
      </c>
      <c r="BA5" s="253">
        <f t="shared" si="84"/>
        <v>17</v>
      </c>
      <c r="BB5" s="253">
        <f t="shared" si="84"/>
        <v>17</v>
      </c>
      <c r="BC5" s="253">
        <f t="shared" si="84"/>
        <v>18</v>
      </c>
      <c r="BD5" s="253">
        <f t="shared" si="84"/>
        <v>18</v>
      </c>
      <c r="BE5" s="253">
        <f t="shared" si="84"/>
        <v>18</v>
      </c>
      <c r="BF5" s="253">
        <f t="shared" si="84"/>
        <v>19</v>
      </c>
      <c r="BG5" s="253">
        <f t="shared" si="84"/>
        <v>19</v>
      </c>
      <c r="BH5" s="253">
        <f t="shared" si="84"/>
        <v>19</v>
      </c>
      <c r="BI5" s="253">
        <f t="shared" si="84"/>
        <v>20</v>
      </c>
      <c r="BJ5" s="253">
        <f t="shared" si="84"/>
        <v>20</v>
      </c>
      <c r="BK5" s="253">
        <f t="shared" si="84"/>
        <v>20</v>
      </c>
      <c r="BL5" s="253">
        <f t="shared" si="84"/>
        <v>21</v>
      </c>
      <c r="BM5" s="253">
        <f t="shared" si="84"/>
        <v>21</v>
      </c>
      <c r="BN5" s="253">
        <f t="shared" si="84"/>
        <v>21</v>
      </c>
      <c r="BO5" s="253">
        <f t="shared" si="84"/>
        <v>22</v>
      </c>
      <c r="BP5" s="253">
        <f t="shared" si="84"/>
        <v>22</v>
      </c>
      <c r="BQ5" s="253">
        <f t="shared" si="84"/>
        <v>22</v>
      </c>
      <c r="BR5" s="253">
        <f t="shared" si="84"/>
        <v>23</v>
      </c>
      <c r="BS5" s="253">
        <f t="shared" ref="BS5:CX5" si="85">BP5+1</f>
        <v>23</v>
      </c>
      <c r="BT5" s="253">
        <f t="shared" si="85"/>
        <v>23</v>
      </c>
      <c r="BU5" s="253">
        <f t="shared" si="85"/>
        <v>24</v>
      </c>
      <c r="BV5" s="253">
        <f t="shared" si="85"/>
        <v>24</v>
      </c>
      <c r="BW5" s="253">
        <f t="shared" si="85"/>
        <v>24</v>
      </c>
      <c r="BX5" s="253">
        <f t="shared" si="85"/>
        <v>25</v>
      </c>
      <c r="BY5" s="253">
        <f t="shared" si="85"/>
        <v>25</v>
      </c>
      <c r="BZ5" s="253">
        <f t="shared" si="85"/>
        <v>25</v>
      </c>
      <c r="CA5" s="253">
        <f t="shared" si="85"/>
        <v>26</v>
      </c>
      <c r="CB5" s="253">
        <f t="shared" si="85"/>
        <v>26</v>
      </c>
      <c r="CC5" s="253">
        <f t="shared" si="85"/>
        <v>26</v>
      </c>
      <c r="CD5" s="253">
        <f t="shared" si="85"/>
        <v>27</v>
      </c>
      <c r="CE5" s="253">
        <f t="shared" si="85"/>
        <v>27</v>
      </c>
      <c r="CF5" s="253">
        <f t="shared" si="85"/>
        <v>27</v>
      </c>
      <c r="CG5" s="253">
        <f t="shared" si="85"/>
        <v>28</v>
      </c>
      <c r="CH5" s="253">
        <f t="shared" si="85"/>
        <v>28</v>
      </c>
      <c r="CI5" s="253">
        <f t="shared" si="85"/>
        <v>28</v>
      </c>
      <c r="CJ5" s="253">
        <f t="shared" si="85"/>
        <v>29</v>
      </c>
      <c r="CK5" s="253">
        <f t="shared" si="85"/>
        <v>29</v>
      </c>
      <c r="CL5" s="253">
        <f t="shared" si="85"/>
        <v>29</v>
      </c>
      <c r="CM5" s="253">
        <f t="shared" si="85"/>
        <v>30</v>
      </c>
      <c r="CN5" s="253">
        <f t="shared" si="85"/>
        <v>30</v>
      </c>
      <c r="CO5" s="253">
        <f t="shared" si="85"/>
        <v>30</v>
      </c>
      <c r="CP5" s="253">
        <f t="shared" si="85"/>
        <v>31</v>
      </c>
      <c r="CQ5" s="253">
        <f t="shared" si="85"/>
        <v>31</v>
      </c>
      <c r="CR5" s="253">
        <f t="shared" si="85"/>
        <v>31</v>
      </c>
      <c r="CS5" s="253">
        <f t="shared" si="85"/>
        <v>32</v>
      </c>
      <c r="CT5" s="253">
        <f t="shared" si="85"/>
        <v>32</v>
      </c>
      <c r="CU5" s="253">
        <f t="shared" si="85"/>
        <v>32</v>
      </c>
      <c r="CV5" s="253">
        <f t="shared" si="85"/>
        <v>33</v>
      </c>
      <c r="CW5" s="253">
        <f t="shared" si="85"/>
        <v>33</v>
      </c>
      <c r="CX5" s="253">
        <f t="shared" si="85"/>
        <v>33</v>
      </c>
      <c r="CY5" s="253">
        <f t="shared" ref="CY5:ED5" si="86">CV5+1</f>
        <v>34</v>
      </c>
      <c r="CZ5" s="253">
        <f t="shared" si="86"/>
        <v>34</v>
      </c>
      <c r="DA5" s="253">
        <f t="shared" si="86"/>
        <v>34</v>
      </c>
      <c r="DB5" s="253">
        <f t="shared" si="86"/>
        <v>35</v>
      </c>
      <c r="DC5" s="253">
        <f t="shared" si="86"/>
        <v>35</v>
      </c>
      <c r="DD5" s="253">
        <f t="shared" si="86"/>
        <v>35</v>
      </c>
      <c r="DE5" s="253">
        <f t="shared" si="86"/>
        <v>36</v>
      </c>
      <c r="DF5" s="253">
        <f t="shared" si="86"/>
        <v>36</v>
      </c>
      <c r="DG5" s="253">
        <f t="shared" si="86"/>
        <v>36</v>
      </c>
      <c r="DH5" s="253">
        <f t="shared" si="86"/>
        <v>37</v>
      </c>
      <c r="DI5" s="253">
        <f t="shared" si="86"/>
        <v>37</v>
      </c>
      <c r="DJ5" s="253">
        <f t="shared" si="86"/>
        <v>37</v>
      </c>
      <c r="DK5" s="253">
        <f t="shared" si="86"/>
        <v>38</v>
      </c>
      <c r="DL5" s="253">
        <f t="shared" si="86"/>
        <v>38</v>
      </c>
      <c r="DM5" s="253">
        <f t="shared" si="86"/>
        <v>38</v>
      </c>
      <c r="DN5" s="253">
        <f t="shared" si="86"/>
        <v>39</v>
      </c>
      <c r="DO5" s="253">
        <f t="shared" si="86"/>
        <v>39</v>
      </c>
      <c r="DP5" s="253">
        <f t="shared" si="86"/>
        <v>39</v>
      </c>
      <c r="DQ5" s="253">
        <f t="shared" si="86"/>
        <v>40</v>
      </c>
      <c r="DR5" s="253">
        <f t="shared" si="86"/>
        <v>40</v>
      </c>
      <c r="DS5" s="253">
        <f t="shared" si="86"/>
        <v>40</v>
      </c>
      <c r="DT5" s="253">
        <f t="shared" si="86"/>
        <v>41</v>
      </c>
      <c r="DU5" s="253">
        <f t="shared" si="86"/>
        <v>41</v>
      </c>
      <c r="DV5" s="253">
        <f t="shared" si="86"/>
        <v>41</v>
      </c>
      <c r="DW5" s="253">
        <f t="shared" si="86"/>
        <v>42</v>
      </c>
      <c r="DX5" s="253">
        <f t="shared" si="86"/>
        <v>42</v>
      </c>
      <c r="DY5" s="253">
        <f t="shared" si="86"/>
        <v>42</v>
      </c>
      <c r="DZ5" s="253">
        <f t="shared" si="86"/>
        <v>43</v>
      </c>
      <c r="EA5" s="253">
        <f t="shared" si="86"/>
        <v>43</v>
      </c>
      <c r="EB5" s="253">
        <f t="shared" si="86"/>
        <v>43</v>
      </c>
      <c r="EC5" s="253">
        <f t="shared" si="86"/>
        <v>44</v>
      </c>
      <c r="ED5" s="253">
        <f t="shared" si="86"/>
        <v>44</v>
      </c>
      <c r="EE5" s="253">
        <f t="shared" ref="EE5:FJ5" si="87">EB5+1</f>
        <v>44</v>
      </c>
      <c r="EF5" s="253">
        <f t="shared" si="87"/>
        <v>45</v>
      </c>
      <c r="EG5" s="253">
        <f t="shared" si="87"/>
        <v>45</v>
      </c>
      <c r="EH5" s="253">
        <f t="shared" si="87"/>
        <v>45</v>
      </c>
      <c r="EI5" s="253">
        <f t="shared" si="87"/>
        <v>46</v>
      </c>
      <c r="EJ5" s="253">
        <f t="shared" si="87"/>
        <v>46</v>
      </c>
      <c r="EK5" s="253">
        <f t="shared" si="87"/>
        <v>46</v>
      </c>
      <c r="EL5" s="253">
        <f t="shared" si="87"/>
        <v>47</v>
      </c>
      <c r="EM5" s="253">
        <f t="shared" si="87"/>
        <v>47</v>
      </c>
      <c r="EN5" s="253">
        <f t="shared" si="87"/>
        <v>47</v>
      </c>
      <c r="EO5" s="253">
        <f t="shared" si="87"/>
        <v>48</v>
      </c>
      <c r="EP5" s="253">
        <f t="shared" si="87"/>
        <v>48</v>
      </c>
      <c r="EQ5" s="253">
        <f t="shared" si="87"/>
        <v>48</v>
      </c>
      <c r="ER5" s="253">
        <f t="shared" si="87"/>
        <v>49</v>
      </c>
      <c r="ES5" s="253">
        <f t="shared" si="87"/>
        <v>49</v>
      </c>
      <c r="ET5" s="253">
        <f t="shared" si="87"/>
        <v>49</v>
      </c>
      <c r="EU5" s="253">
        <f t="shared" si="87"/>
        <v>50</v>
      </c>
      <c r="EV5" s="253">
        <f t="shared" si="87"/>
        <v>50</v>
      </c>
      <c r="EW5" s="253">
        <f t="shared" si="87"/>
        <v>50</v>
      </c>
      <c r="EX5" s="253">
        <f t="shared" si="87"/>
        <v>51</v>
      </c>
      <c r="EY5" s="253">
        <f t="shared" si="87"/>
        <v>51</v>
      </c>
      <c r="EZ5" s="253">
        <f t="shared" si="87"/>
        <v>51</v>
      </c>
      <c r="FA5" s="253">
        <f t="shared" si="87"/>
        <v>52</v>
      </c>
      <c r="FB5" s="253">
        <f t="shared" si="87"/>
        <v>52</v>
      </c>
      <c r="FC5" s="253">
        <f t="shared" si="87"/>
        <v>52</v>
      </c>
      <c r="FD5" s="253">
        <f t="shared" si="87"/>
        <v>53</v>
      </c>
      <c r="FE5" s="253">
        <f t="shared" si="87"/>
        <v>53</v>
      </c>
      <c r="FF5" s="253">
        <f t="shared" si="87"/>
        <v>53</v>
      </c>
      <c r="FG5" s="253">
        <f t="shared" si="87"/>
        <v>54</v>
      </c>
      <c r="FH5" s="253">
        <f t="shared" si="87"/>
        <v>54</v>
      </c>
      <c r="FI5" s="253">
        <f t="shared" si="87"/>
        <v>54</v>
      </c>
      <c r="FJ5" s="253">
        <f t="shared" si="87"/>
        <v>55</v>
      </c>
      <c r="FK5" s="253">
        <f t="shared" ref="FK5:FW5" si="88">FH5+1</f>
        <v>55</v>
      </c>
      <c r="FL5" s="253">
        <f t="shared" si="88"/>
        <v>55</v>
      </c>
      <c r="FM5" s="253">
        <f t="shared" si="88"/>
        <v>56</v>
      </c>
      <c r="FN5" s="253">
        <f t="shared" si="88"/>
        <v>56</v>
      </c>
      <c r="FO5" s="253">
        <f t="shared" si="88"/>
        <v>56</v>
      </c>
      <c r="FP5" s="253">
        <f t="shared" si="88"/>
        <v>57</v>
      </c>
      <c r="FQ5" s="253">
        <f t="shared" si="88"/>
        <v>57</v>
      </c>
      <c r="FR5" s="253">
        <f t="shared" si="88"/>
        <v>57</v>
      </c>
      <c r="FS5" s="253">
        <f t="shared" si="88"/>
        <v>58</v>
      </c>
      <c r="FT5" s="253">
        <f t="shared" si="88"/>
        <v>58</v>
      </c>
      <c r="FU5" s="253">
        <f t="shared" si="88"/>
        <v>58</v>
      </c>
      <c r="FV5" s="253">
        <f t="shared" si="88"/>
        <v>59</v>
      </c>
      <c r="FW5" s="253">
        <f t="shared" si="88"/>
        <v>59</v>
      </c>
      <c r="FX5" s="253">
        <f t="shared" ref="FX5" si="89">FU5+1</f>
        <v>59</v>
      </c>
      <c r="FY5" s="253">
        <f t="shared" ref="FY5" si="90">FV5+1</f>
        <v>60</v>
      </c>
      <c r="FZ5" s="253">
        <f t="shared" ref="FZ5" si="91">FW5+1</f>
        <v>60</v>
      </c>
      <c r="GA5" s="253">
        <f t="shared" ref="GA5" si="92">FX5+1</f>
        <v>60</v>
      </c>
      <c r="GB5" s="253">
        <f t="shared" ref="GB5" si="93">FY5+1</f>
        <v>61</v>
      </c>
      <c r="GC5" s="253">
        <f t="shared" ref="GC5" si="94">FZ5+1</f>
        <v>61</v>
      </c>
      <c r="GD5" s="253">
        <f t="shared" ref="GD5" si="95">GA5+1</f>
        <v>61</v>
      </c>
      <c r="GE5" s="253">
        <f t="shared" ref="GE5" si="96">GB5+1</f>
        <v>62</v>
      </c>
      <c r="GF5" s="253">
        <f t="shared" ref="GF5" si="97">GC5+1</f>
        <v>62</v>
      </c>
      <c r="GG5" s="253">
        <f t="shared" ref="GG5" si="98">GD5+1</f>
        <v>62</v>
      </c>
      <c r="GH5" s="253">
        <f t="shared" ref="GH5" si="99">GE5+1</f>
        <v>63</v>
      </c>
      <c r="GI5" s="253">
        <f t="shared" ref="GI5" si="100">GF5+1</f>
        <v>63</v>
      </c>
      <c r="GJ5" s="253">
        <f t="shared" ref="GJ5" si="101">GG5+1</f>
        <v>63</v>
      </c>
      <c r="GK5" s="253">
        <f t="shared" ref="GK5" si="102">GH5+1</f>
        <v>64</v>
      </c>
      <c r="GL5" s="253">
        <f t="shared" ref="GL5" si="103">GI5+1</f>
        <v>64</v>
      </c>
      <c r="GM5" s="253">
        <f t="shared" ref="GM5" si="104">GJ5+1</f>
        <v>64</v>
      </c>
      <c r="GN5" s="253">
        <f t="shared" ref="GN5" si="105">GK5+1</f>
        <v>65</v>
      </c>
      <c r="GO5" s="253">
        <f t="shared" ref="GO5" si="106">GL5+1</f>
        <v>65</v>
      </c>
      <c r="GP5" s="253">
        <f t="shared" ref="GP5" si="107">GM5+1</f>
        <v>65</v>
      </c>
      <c r="GQ5" s="253">
        <f t="shared" ref="GQ5" si="108">GN5+1</f>
        <v>66</v>
      </c>
      <c r="GR5" s="253">
        <f t="shared" ref="GR5" si="109">GO5+1</f>
        <v>66</v>
      </c>
      <c r="GS5" s="253">
        <f t="shared" ref="GS5" si="110">GP5+1</f>
        <v>66</v>
      </c>
      <c r="GT5" s="253">
        <f t="shared" ref="GT5" si="111">GQ5+1</f>
        <v>67</v>
      </c>
      <c r="GU5" s="253">
        <f t="shared" ref="GU5" si="112">GR5+1</f>
        <v>67</v>
      </c>
      <c r="GV5" s="253">
        <f t="shared" ref="GV5" si="113">GS5+1</f>
        <v>67</v>
      </c>
      <c r="GW5" s="253">
        <f t="shared" ref="GW5" si="114">GT5+1</f>
        <v>68</v>
      </c>
      <c r="GX5" s="253">
        <f t="shared" ref="GX5" si="115">GU5+1</f>
        <v>68</v>
      </c>
      <c r="GY5" s="253">
        <f t="shared" ref="GY5" si="116">GV5+1</f>
        <v>68</v>
      </c>
      <c r="GZ5" s="253">
        <f t="shared" ref="GZ5" si="117">GW5+1</f>
        <v>69</v>
      </c>
      <c r="HA5" s="253">
        <f t="shared" ref="HA5" si="118">GX5+1</f>
        <v>69</v>
      </c>
      <c r="HB5" s="253">
        <f t="shared" ref="HB5" si="119">GY5+1</f>
        <v>69</v>
      </c>
      <c r="HC5" s="253">
        <f t="shared" ref="HC5" si="120">GZ5+1</f>
        <v>70</v>
      </c>
      <c r="HD5" s="253">
        <f t="shared" ref="HD5" si="121">HA5+1</f>
        <v>70</v>
      </c>
      <c r="HE5" s="253">
        <f t="shared" ref="HE5" si="122">HB5+1</f>
        <v>70</v>
      </c>
      <c r="HF5" s="253">
        <f t="shared" ref="HF5" si="123">HC5+1</f>
        <v>71</v>
      </c>
      <c r="HG5" s="253">
        <f t="shared" ref="HG5" si="124">HD5+1</f>
        <v>71</v>
      </c>
      <c r="HH5" s="253">
        <f t="shared" ref="HH5" si="125">HE5+1</f>
        <v>71</v>
      </c>
      <c r="HI5" s="253">
        <f t="shared" ref="HI5" si="126">HF5+1</f>
        <v>72</v>
      </c>
      <c r="HJ5" s="253">
        <f t="shared" ref="HJ5" si="127">HG5+1</f>
        <v>72</v>
      </c>
      <c r="HK5" s="253">
        <f t="shared" ref="HK5" si="128">HH5+1</f>
        <v>72</v>
      </c>
      <c r="HL5" s="253">
        <f t="shared" ref="HL5" si="129">HI5+1</f>
        <v>73</v>
      </c>
      <c r="HM5" s="253">
        <f t="shared" ref="HM5" si="130">HJ5+1</f>
        <v>73</v>
      </c>
      <c r="HN5" s="253">
        <f t="shared" ref="HN5" si="131">HK5+1</f>
        <v>73</v>
      </c>
      <c r="HO5" s="253">
        <f t="shared" ref="HO5" si="132">HL5+1</f>
        <v>74</v>
      </c>
      <c r="HP5" s="253">
        <f t="shared" ref="HP5" si="133">HM5+1</f>
        <v>74</v>
      </c>
      <c r="HQ5" s="253">
        <f t="shared" ref="HQ5" si="134">HN5+1</f>
        <v>74</v>
      </c>
      <c r="HR5" s="253">
        <f t="shared" ref="HR5" si="135">HO5+1</f>
        <v>75</v>
      </c>
      <c r="HS5" s="253">
        <f t="shared" ref="HS5" si="136">HP5+1</f>
        <v>75</v>
      </c>
      <c r="HT5" s="253">
        <f t="shared" ref="HT5" si="137">HQ5+1</f>
        <v>75</v>
      </c>
      <c r="HU5" s="253">
        <f t="shared" ref="HU5" si="138">HR5+1</f>
        <v>76</v>
      </c>
      <c r="HV5" s="253">
        <f t="shared" ref="HV5" si="139">HS5+1</f>
        <v>76</v>
      </c>
      <c r="HW5" s="253">
        <f t="shared" ref="HW5" si="140">HT5+1</f>
        <v>76</v>
      </c>
      <c r="HX5" s="253">
        <f t="shared" ref="HX5" si="141">HU5+1</f>
        <v>77</v>
      </c>
      <c r="HY5" s="253">
        <f t="shared" ref="HY5" si="142">HV5+1</f>
        <v>77</v>
      </c>
      <c r="HZ5" s="253">
        <f t="shared" ref="HZ5" si="143">HW5+1</f>
        <v>77</v>
      </c>
      <c r="IA5" s="253">
        <f t="shared" ref="IA5" si="144">HX5+1</f>
        <v>78</v>
      </c>
      <c r="IB5" s="253">
        <f t="shared" ref="IB5" si="145">HY5+1</f>
        <v>78</v>
      </c>
      <c r="IC5" s="253">
        <f t="shared" ref="IC5" si="146">HZ5+1</f>
        <v>78</v>
      </c>
      <c r="ID5" s="253">
        <f t="shared" ref="ID5" si="147">IA5+1</f>
        <v>79</v>
      </c>
      <c r="IE5" s="253">
        <f t="shared" ref="IE5" si="148">IB5+1</f>
        <v>79</v>
      </c>
      <c r="IF5" s="253">
        <f t="shared" ref="IF5" si="149">IC5+1</f>
        <v>79</v>
      </c>
      <c r="IG5" s="253">
        <f t="shared" ref="IG5" si="150">ID5+1</f>
        <v>80</v>
      </c>
      <c r="IH5" s="253">
        <f t="shared" ref="IH5" si="151">IE5+1</f>
        <v>80</v>
      </c>
      <c r="II5" s="253">
        <f t="shared" ref="II5" si="152">IF5+1</f>
        <v>80</v>
      </c>
      <c r="IJ5" s="253">
        <f t="shared" ref="IJ5" si="153">IG5+1</f>
        <v>81</v>
      </c>
      <c r="IK5" s="253">
        <f t="shared" ref="IK5" si="154">IH5+1</f>
        <v>81</v>
      </c>
      <c r="IL5" s="253">
        <f t="shared" ref="IL5" si="155">II5+1</f>
        <v>81</v>
      </c>
      <c r="IM5" s="253">
        <f t="shared" ref="IM5" si="156">IJ5+1</f>
        <v>82</v>
      </c>
      <c r="IN5" s="253">
        <f t="shared" ref="IN5" si="157">IK5+1</f>
        <v>82</v>
      </c>
      <c r="IO5" s="253">
        <f t="shared" ref="IO5" si="158">IL5+1</f>
        <v>82</v>
      </c>
      <c r="IP5" s="253">
        <f t="shared" ref="IP5" si="159">IM5+1</f>
        <v>83</v>
      </c>
      <c r="IQ5" s="253">
        <f t="shared" ref="IQ5" si="160">IN5+1</f>
        <v>83</v>
      </c>
      <c r="IR5" s="253">
        <f t="shared" ref="IR5" si="161">IO5+1</f>
        <v>83</v>
      </c>
      <c r="IS5" s="253">
        <f t="shared" ref="IS5" si="162">IP5+1</f>
        <v>84</v>
      </c>
      <c r="IT5" s="253">
        <f t="shared" ref="IT5" si="163">IQ5+1</f>
        <v>84</v>
      </c>
      <c r="IU5" s="253">
        <f t="shared" ref="IU5" si="164">IR5+1</f>
        <v>84</v>
      </c>
      <c r="IV5" s="253">
        <f t="shared" ref="IV5" si="165">IS5+1</f>
        <v>85</v>
      </c>
      <c r="IW5" s="253">
        <f t="shared" ref="IW5" si="166">IT5+1</f>
        <v>85</v>
      </c>
      <c r="IX5" s="253">
        <f t="shared" ref="IX5" si="167">IU5+1</f>
        <v>85</v>
      </c>
      <c r="IY5" s="253">
        <f t="shared" ref="IY5" si="168">IV5+1</f>
        <v>86</v>
      </c>
      <c r="IZ5" s="253">
        <f t="shared" ref="IZ5" si="169">IW5+1</f>
        <v>86</v>
      </c>
      <c r="JA5" s="253">
        <f t="shared" ref="JA5" si="170">IX5+1</f>
        <v>86</v>
      </c>
      <c r="JB5" s="253">
        <f t="shared" ref="JB5" si="171">IY5+1</f>
        <v>87</v>
      </c>
      <c r="JC5" s="253">
        <f t="shared" ref="JC5" si="172">IZ5+1</f>
        <v>87</v>
      </c>
      <c r="JD5" s="253">
        <f t="shared" ref="JD5" si="173">JA5+1</f>
        <v>87</v>
      </c>
      <c r="JE5" s="253">
        <f t="shared" ref="JE5" si="174">JB5+1</f>
        <v>88</v>
      </c>
      <c r="JF5" s="253">
        <f t="shared" ref="JF5" si="175">JC5+1</f>
        <v>88</v>
      </c>
      <c r="JG5" s="253">
        <f t="shared" ref="JG5" si="176">JD5+1</f>
        <v>88</v>
      </c>
      <c r="JH5" s="253">
        <f t="shared" ref="JH5" si="177">JE5+1</f>
        <v>89</v>
      </c>
      <c r="JI5" s="253">
        <f t="shared" ref="JI5" si="178">JF5+1</f>
        <v>89</v>
      </c>
      <c r="JJ5" s="253">
        <f t="shared" ref="JJ5" si="179">JG5+1</f>
        <v>89</v>
      </c>
      <c r="JK5" s="253">
        <f t="shared" ref="JK5" si="180">JH5+1</f>
        <v>90</v>
      </c>
      <c r="JL5" s="253">
        <f t="shared" ref="JL5" si="181">JI5+1</f>
        <v>90</v>
      </c>
      <c r="JM5" s="253">
        <f t="shared" ref="JM5" si="182">JJ5+1</f>
        <v>90</v>
      </c>
      <c r="JN5" s="253">
        <f t="shared" ref="JN5" si="183">JK5+1</f>
        <v>91</v>
      </c>
      <c r="JO5" s="253">
        <f t="shared" ref="JO5" si="184">JL5+1</f>
        <v>91</v>
      </c>
      <c r="JP5" s="253">
        <f t="shared" ref="JP5" si="185">JM5+1</f>
        <v>91</v>
      </c>
      <c r="JQ5" s="253">
        <f t="shared" ref="JQ5" si="186">JN5+1</f>
        <v>92</v>
      </c>
      <c r="JR5" s="253">
        <f t="shared" ref="JR5" si="187">JO5+1</f>
        <v>92</v>
      </c>
      <c r="JS5" s="253">
        <f t="shared" ref="JS5" si="188">JP5+1</f>
        <v>92</v>
      </c>
      <c r="JT5" s="253">
        <f t="shared" ref="JT5" si="189">JQ5+1</f>
        <v>93</v>
      </c>
      <c r="JU5" s="253">
        <f t="shared" ref="JU5" si="190">JR5+1</f>
        <v>93</v>
      </c>
      <c r="JV5" s="253">
        <f t="shared" ref="JV5" si="191">JS5+1</f>
        <v>93</v>
      </c>
      <c r="JW5" s="253">
        <f t="shared" ref="JW5" si="192">JT5+1</f>
        <v>94</v>
      </c>
      <c r="JX5" s="253">
        <f t="shared" ref="JX5" si="193">JU5+1</f>
        <v>94</v>
      </c>
      <c r="JY5" s="253">
        <f t="shared" ref="JY5" si="194">JV5+1</f>
        <v>94</v>
      </c>
      <c r="JZ5" s="253">
        <f t="shared" ref="JZ5" si="195">JW5+1</f>
        <v>95</v>
      </c>
      <c r="KA5" s="253">
        <f t="shared" ref="KA5" si="196">JX5+1</f>
        <v>95</v>
      </c>
      <c r="KB5" s="253">
        <f t="shared" ref="KB5" si="197">JY5+1</f>
        <v>95</v>
      </c>
    </row>
    <row r="6" spans="1:289" x14ac:dyDescent="0.3">
      <c r="A6" s="253" t="s">
        <v>160</v>
      </c>
      <c r="B6" s="253"/>
      <c r="C6" s="253">
        <v>1</v>
      </c>
      <c r="D6" s="253">
        <v>1</v>
      </c>
      <c r="E6" s="253">
        <v>1</v>
      </c>
      <c r="F6" s="253">
        <v>1</v>
      </c>
      <c r="G6" s="253">
        <v>1</v>
      </c>
      <c r="H6" s="253">
        <v>1</v>
      </c>
      <c r="I6" s="253">
        <v>1</v>
      </c>
      <c r="J6" s="253">
        <v>1</v>
      </c>
      <c r="K6" s="253">
        <v>1</v>
      </c>
      <c r="L6" s="253">
        <v>1</v>
      </c>
      <c r="M6" s="253">
        <v>2</v>
      </c>
      <c r="N6" s="253">
        <v>2</v>
      </c>
      <c r="O6" s="253">
        <v>2</v>
      </c>
      <c r="P6" s="253">
        <f>D6+1</f>
        <v>2</v>
      </c>
      <c r="Q6" s="253">
        <f t="shared" ref="Q6:CB6" si="198">E6+1</f>
        <v>2</v>
      </c>
      <c r="R6" s="253">
        <f t="shared" si="198"/>
        <v>2</v>
      </c>
      <c r="S6" s="253">
        <f t="shared" si="198"/>
        <v>2</v>
      </c>
      <c r="T6" s="253">
        <f t="shared" si="198"/>
        <v>2</v>
      </c>
      <c r="U6" s="253">
        <f t="shared" si="198"/>
        <v>2</v>
      </c>
      <c r="V6" s="253">
        <f t="shared" si="198"/>
        <v>2</v>
      </c>
      <c r="W6" s="253">
        <f t="shared" si="198"/>
        <v>2</v>
      </c>
      <c r="X6" s="253">
        <f t="shared" si="198"/>
        <v>2</v>
      </c>
      <c r="Y6" s="253">
        <f t="shared" si="198"/>
        <v>3</v>
      </c>
      <c r="Z6" s="253">
        <f t="shared" si="198"/>
        <v>3</v>
      </c>
      <c r="AA6" s="253">
        <v>3</v>
      </c>
      <c r="AB6" s="253">
        <f t="shared" si="198"/>
        <v>3</v>
      </c>
      <c r="AC6" s="253">
        <f t="shared" si="198"/>
        <v>3</v>
      </c>
      <c r="AD6" s="253">
        <f t="shared" si="198"/>
        <v>3</v>
      </c>
      <c r="AE6" s="253">
        <f t="shared" si="198"/>
        <v>3</v>
      </c>
      <c r="AF6" s="253">
        <f t="shared" si="198"/>
        <v>3</v>
      </c>
      <c r="AG6" s="253">
        <f t="shared" si="198"/>
        <v>3</v>
      </c>
      <c r="AH6" s="253">
        <f t="shared" si="198"/>
        <v>3</v>
      </c>
      <c r="AI6" s="253">
        <f t="shared" si="198"/>
        <v>3</v>
      </c>
      <c r="AJ6" s="253">
        <f t="shared" si="198"/>
        <v>3</v>
      </c>
      <c r="AK6" s="253">
        <f t="shared" si="198"/>
        <v>4</v>
      </c>
      <c r="AL6" s="253">
        <f t="shared" si="198"/>
        <v>4</v>
      </c>
      <c r="AM6" s="253">
        <v>4</v>
      </c>
      <c r="AN6" s="253">
        <f t="shared" si="198"/>
        <v>4</v>
      </c>
      <c r="AO6" s="253">
        <f t="shared" si="198"/>
        <v>4</v>
      </c>
      <c r="AP6" s="253">
        <f t="shared" si="198"/>
        <v>4</v>
      </c>
      <c r="AQ6" s="253">
        <f t="shared" si="198"/>
        <v>4</v>
      </c>
      <c r="AR6" s="253">
        <f t="shared" si="198"/>
        <v>4</v>
      </c>
      <c r="AS6" s="253">
        <f t="shared" si="198"/>
        <v>4</v>
      </c>
      <c r="AT6" s="253">
        <f t="shared" si="198"/>
        <v>4</v>
      </c>
      <c r="AU6" s="253">
        <f t="shared" si="198"/>
        <v>4</v>
      </c>
      <c r="AV6" s="253">
        <f t="shared" si="198"/>
        <v>4</v>
      </c>
      <c r="AW6" s="253">
        <f t="shared" si="198"/>
        <v>5</v>
      </c>
      <c r="AX6" s="253">
        <f t="shared" si="198"/>
        <v>5</v>
      </c>
      <c r="AY6" s="253">
        <v>5</v>
      </c>
      <c r="AZ6" s="253">
        <f t="shared" si="198"/>
        <v>5</v>
      </c>
      <c r="BA6" s="253">
        <f t="shared" si="198"/>
        <v>5</v>
      </c>
      <c r="BB6" s="253">
        <f t="shared" si="198"/>
        <v>5</v>
      </c>
      <c r="BC6" s="253">
        <f t="shared" si="198"/>
        <v>5</v>
      </c>
      <c r="BD6" s="253">
        <f t="shared" si="198"/>
        <v>5</v>
      </c>
      <c r="BE6" s="253">
        <f t="shared" si="198"/>
        <v>5</v>
      </c>
      <c r="BF6" s="253">
        <f t="shared" si="198"/>
        <v>5</v>
      </c>
      <c r="BG6" s="253">
        <f t="shared" si="198"/>
        <v>5</v>
      </c>
      <c r="BH6" s="253">
        <f t="shared" si="198"/>
        <v>5</v>
      </c>
      <c r="BI6" s="253">
        <f t="shared" si="198"/>
        <v>6</v>
      </c>
      <c r="BJ6" s="253">
        <f t="shared" si="198"/>
        <v>6</v>
      </c>
      <c r="BK6" s="253">
        <v>6</v>
      </c>
      <c r="BL6" s="253">
        <f t="shared" si="198"/>
        <v>6</v>
      </c>
      <c r="BM6" s="253">
        <f t="shared" si="198"/>
        <v>6</v>
      </c>
      <c r="BN6" s="253">
        <f t="shared" si="198"/>
        <v>6</v>
      </c>
      <c r="BO6" s="253">
        <f t="shared" si="198"/>
        <v>6</v>
      </c>
      <c r="BP6" s="253">
        <f t="shared" si="198"/>
        <v>6</v>
      </c>
      <c r="BQ6" s="253">
        <f t="shared" si="198"/>
        <v>6</v>
      </c>
      <c r="BR6" s="253">
        <f t="shared" si="198"/>
        <v>6</v>
      </c>
      <c r="BS6" s="253">
        <f t="shared" si="198"/>
        <v>6</v>
      </c>
      <c r="BT6" s="253">
        <f t="shared" si="198"/>
        <v>6</v>
      </c>
      <c r="BU6" s="253">
        <v>7</v>
      </c>
      <c r="BV6" s="253">
        <v>7</v>
      </c>
      <c r="BW6" s="253">
        <v>7</v>
      </c>
      <c r="BX6" s="253">
        <f t="shared" si="198"/>
        <v>7</v>
      </c>
      <c r="BY6" s="253">
        <f t="shared" si="198"/>
        <v>7</v>
      </c>
      <c r="BZ6" s="253">
        <f t="shared" si="198"/>
        <v>7</v>
      </c>
      <c r="CA6" s="253">
        <f t="shared" si="198"/>
        <v>7</v>
      </c>
      <c r="CB6" s="253">
        <f t="shared" si="198"/>
        <v>7</v>
      </c>
      <c r="CC6" s="253">
        <f t="shared" ref="CC6:EN6" si="199">BQ6+1</f>
        <v>7</v>
      </c>
      <c r="CD6" s="253">
        <f t="shared" si="199"/>
        <v>7</v>
      </c>
      <c r="CE6" s="253">
        <f t="shared" si="199"/>
        <v>7</v>
      </c>
      <c r="CF6" s="253">
        <f t="shared" si="199"/>
        <v>7</v>
      </c>
      <c r="CG6" s="253">
        <f t="shared" si="199"/>
        <v>8</v>
      </c>
      <c r="CH6" s="253">
        <f t="shared" si="199"/>
        <v>8</v>
      </c>
      <c r="CI6" s="253">
        <f t="shared" si="199"/>
        <v>8</v>
      </c>
      <c r="CJ6" s="253">
        <f t="shared" si="199"/>
        <v>8</v>
      </c>
      <c r="CK6" s="253">
        <f t="shared" si="199"/>
        <v>8</v>
      </c>
      <c r="CL6" s="253">
        <f t="shared" si="199"/>
        <v>8</v>
      </c>
      <c r="CM6" s="253">
        <f t="shared" si="199"/>
        <v>8</v>
      </c>
      <c r="CN6" s="253">
        <f t="shared" si="199"/>
        <v>8</v>
      </c>
      <c r="CO6" s="253">
        <f t="shared" si="199"/>
        <v>8</v>
      </c>
      <c r="CP6" s="253">
        <f t="shared" si="199"/>
        <v>8</v>
      </c>
      <c r="CQ6" s="253">
        <f t="shared" si="199"/>
        <v>8</v>
      </c>
      <c r="CR6" s="253">
        <f t="shared" si="199"/>
        <v>8</v>
      </c>
      <c r="CS6" s="253">
        <f t="shared" si="199"/>
        <v>9</v>
      </c>
      <c r="CT6" s="253">
        <f t="shared" si="199"/>
        <v>9</v>
      </c>
      <c r="CU6" s="253">
        <f t="shared" si="199"/>
        <v>9</v>
      </c>
      <c r="CV6" s="253">
        <f t="shared" si="199"/>
        <v>9</v>
      </c>
      <c r="CW6" s="253">
        <f t="shared" si="199"/>
        <v>9</v>
      </c>
      <c r="CX6" s="253">
        <f t="shared" si="199"/>
        <v>9</v>
      </c>
      <c r="CY6" s="253">
        <f t="shared" si="199"/>
        <v>9</v>
      </c>
      <c r="CZ6" s="253">
        <f t="shared" si="199"/>
        <v>9</v>
      </c>
      <c r="DA6" s="253">
        <f t="shared" si="199"/>
        <v>9</v>
      </c>
      <c r="DB6" s="253">
        <f t="shared" si="199"/>
        <v>9</v>
      </c>
      <c r="DC6" s="253">
        <f t="shared" si="199"/>
        <v>9</v>
      </c>
      <c r="DD6" s="253">
        <f t="shared" si="199"/>
        <v>9</v>
      </c>
      <c r="DE6" s="253">
        <f t="shared" si="199"/>
        <v>10</v>
      </c>
      <c r="DF6" s="253">
        <f t="shared" si="199"/>
        <v>10</v>
      </c>
      <c r="DG6" s="253">
        <f t="shared" si="199"/>
        <v>10</v>
      </c>
      <c r="DH6" s="253">
        <f t="shared" si="199"/>
        <v>10</v>
      </c>
      <c r="DI6" s="253">
        <f t="shared" si="199"/>
        <v>10</v>
      </c>
      <c r="DJ6" s="253">
        <f t="shared" si="199"/>
        <v>10</v>
      </c>
      <c r="DK6" s="253">
        <f t="shared" si="199"/>
        <v>10</v>
      </c>
      <c r="DL6" s="253">
        <f t="shared" si="199"/>
        <v>10</v>
      </c>
      <c r="DM6" s="253">
        <f t="shared" si="199"/>
        <v>10</v>
      </c>
      <c r="DN6" s="253">
        <f t="shared" si="199"/>
        <v>10</v>
      </c>
      <c r="DO6" s="253">
        <f t="shared" si="199"/>
        <v>10</v>
      </c>
      <c r="DP6" s="253">
        <f t="shared" si="199"/>
        <v>10</v>
      </c>
      <c r="DQ6" s="253">
        <f t="shared" si="199"/>
        <v>11</v>
      </c>
      <c r="DR6" s="253">
        <f t="shared" si="199"/>
        <v>11</v>
      </c>
      <c r="DS6" s="253">
        <f t="shared" si="199"/>
        <v>11</v>
      </c>
      <c r="DT6" s="253">
        <f t="shared" si="199"/>
        <v>11</v>
      </c>
      <c r="DU6" s="253">
        <f t="shared" si="199"/>
        <v>11</v>
      </c>
      <c r="DV6" s="253">
        <f t="shared" si="199"/>
        <v>11</v>
      </c>
      <c r="DW6" s="253">
        <f t="shared" si="199"/>
        <v>11</v>
      </c>
      <c r="DX6" s="253">
        <f t="shared" si="199"/>
        <v>11</v>
      </c>
      <c r="DY6" s="253">
        <f t="shared" si="199"/>
        <v>11</v>
      </c>
      <c r="DZ6" s="253">
        <f t="shared" si="199"/>
        <v>11</v>
      </c>
      <c r="EA6" s="253">
        <f t="shared" si="199"/>
        <v>11</v>
      </c>
      <c r="EB6" s="253">
        <f t="shared" si="199"/>
        <v>11</v>
      </c>
      <c r="EC6" s="253">
        <f t="shared" si="199"/>
        <v>12</v>
      </c>
      <c r="ED6" s="253">
        <f t="shared" si="199"/>
        <v>12</v>
      </c>
      <c r="EE6" s="253">
        <f t="shared" si="199"/>
        <v>12</v>
      </c>
      <c r="EF6" s="253">
        <f t="shared" si="199"/>
        <v>12</v>
      </c>
      <c r="EG6" s="253">
        <f t="shared" si="199"/>
        <v>12</v>
      </c>
      <c r="EH6" s="253">
        <f t="shared" si="199"/>
        <v>12</v>
      </c>
      <c r="EI6" s="253">
        <f t="shared" si="199"/>
        <v>12</v>
      </c>
      <c r="EJ6" s="253">
        <f t="shared" si="199"/>
        <v>12</v>
      </c>
      <c r="EK6" s="253">
        <f t="shared" si="199"/>
        <v>12</v>
      </c>
      <c r="EL6" s="253">
        <f t="shared" si="199"/>
        <v>12</v>
      </c>
      <c r="EM6" s="253">
        <f t="shared" si="199"/>
        <v>12</v>
      </c>
      <c r="EN6" s="253">
        <f t="shared" si="199"/>
        <v>12</v>
      </c>
      <c r="EO6" s="253">
        <f t="shared" ref="EO6:FW6" si="200">EC6+1</f>
        <v>13</v>
      </c>
      <c r="EP6" s="253">
        <f t="shared" si="200"/>
        <v>13</v>
      </c>
      <c r="EQ6" s="253">
        <f t="shared" si="200"/>
        <v>13</v>
      </c>
      <c r="ER6" s="253">
        <f t="shared" si="200"/>
        <v>13</v>
      </c>
      <c r="ES6" s="253">
        <f t="shared" si="200"/>
        <v>13</v>
      </c>
      <c r="ET6" s="253">
        <f t="shared" si="200"/>
        <v>13</v>
      </c>
      <c r="EU6" s="253">
        <f t="shared" si="200"/>
        <v>13</v>
      </c>
      <c r="EV6" s="253">
        <f t="shared" si="200"/>
        <v>13</v>
      </c>
      <c r="EW6" s="253">
        <f t="shared" si="200"/>
        <v>13</v>
      </c>
      <c r="EX6" s="253">
        <f t="shared" si="200"/>
        <v>13</v>
      </c>
      <c r="EY6" s="253">
        <f t="shared" si="200"/>
        <v>13</v>
      </c>
      <c r="EZ6" s="253">
        <f t="shared" si="200"/>
        <v>13</v>
      </c>
      <c r="FA6" s="253">
        <f t="shared" si="200"/>
        <v>14</v>
      </c>
      <c r="FB6" s="253">
        <f t="shared" si="200"/>
        <v>14</v>
      </c>
      <c r="FC6" s="253">
        <f t="shared" si="200"/>
        <v>14</v>
      </c>
      <c r="FD6" s="253">
        <f t="shared" si="200"/>
        <v>14</v>
      </c>
      <c r="FE6" s="253">
        <f t="shared" si="200"/>
        <v>14</v>
      </c>
      <c r="FF6" s="253">
        <f t="shared" si="200"/>
        <v>14</v>
      </c>
      <c r="FG6" s="253">
        <f t="shared" si="200"/>
        <v>14</v>
      </c>
      <c r="FH6" s="253">
        <f t="shared" si="200"/>
        <v>14</v>
      </c>
      <c r="FI6" s="253">
        <f t="shared" si="200"/>
        <v>14</v>
      </c>
      <c r="FJ6" s="253">
        <f t="shared" si="200"/>
        <v>14</v>
      </c>
      <c r="FK6" s="253">
        <f t="shared" si="200"/>
        <v>14</v>
      </c>
      <c r="FL6" s="253">
        <f t="shared" si="200"/>
        <v>14</v>
      </c>
      <c r="FM6" s="253">
        <f t="shared" si="200"/>
        <v>15</v>
      </c>
      <c r="FN6" s="253">
        <f t="shared" si="200"/>
        <v>15</v>
      </c>
      <c r="FO6" s="253">
        <f t="shared" si="200"/>
        <v>15</v>
      </c>
      <c r="FP6" s="253">
        <f t="shared" si="200"/>
        <v>15</v>
      </c>
      <c r="FQ6" s="253">
        <f t="shared" si="200"/>
        <v>15</v>
      </c>
      <c r="FR6" s="253">
        <f t="shared" si="200"/>
        <v>15</v>
      </c>
      <c r="FS6" s="253">
        <f t="shared" si="200"/>
        <v>15</v>
      </c>
      <c r="FT6" s="253">
        <f t="shared" si="200"/>
        <v>15</v>
      </c>
      <c r="FU6" s="253">
        <f t="shared" si="200"/>
        <v>15</v>
      </c>
      <c r="FV6" s="253">
        <f t="shared" si="200"/>
        <v>15</v>
      </c>
      <c r="FW6" s="253">
        <f t="shared" si="200"/>
        <v>15</v>
      </c>
      <c r="FX6" s="253">
        <f t="shared" ref="FX6" si="201">FL6+1</f>
        <v>15</v>
      </c>
      <c r="FY6" s="253">
        <f t="shared" ref="FY6" si="202">FM6+1</f>
        <v>16</v>
      </c>
      <c r="FZ6" s="253">
        <f t="shared" ref="FZ6" si="203">FN6+1</f>
        <v>16</v>
      </c>
      <c r="GA6" s="253">
        <f t="shared" ref="GA6" si="204">FO6+1</f>
        <v>16</v>
      </c>
      <c r="GB6" s="253">
        <f t="shared" ref="GB6" si="205">FP6+1</f>
        <v>16</v>
      </c>
      <c r="GC6" s="253">
        <f t="shared" ref="GC6" si="206">FQ6+1</f>
        <v>16</v>
      </c>
      <c r="GD6" s="253">
        <f t="shared" ref="GD6" si="207">FR6+1</f>
        <v>16</v>
      </c>
      <c r="GE6" s="253">
        <f t="shared" ref="GE6" si="208">FS6+1</f>
        <v>16</v>
      </c>
      <c r="GF6" s="253">
        <f t="shared" ref="GF6" si="209">FT6+1</f>
        <v>16</v>
      </c>
      <c r="GG6" s="253">
        <f t="shared" ref="GG6" si="210">FU6+1</f>
        <v>16</v>
      </c>
      <c r="GH6" s="253">
        <f t="shared" ref="GH6" si="211">FV6+1</f>
        <v>16</v>
      </c>
      <c r="GI6" s="253">
        <f t="shared" ref="GI6" si="212">FW6+1</f>
        <v>16</v>
      </c>
      <c r="GJ6" s="253">
        <f t="shared" ref="GJ6" si="213">FX6+1</f>
        <v>16</v>
      </c>
      <c r="GK6" s="253">
        <f t="shared" ref="GK6" si="214">FY6+1</f>
        <v>17</v>
      </c>
      <c r="GL6" s="253">
        <f t="shared" ref="GL6" si="215">FZ6+1</f>
        <v>17</v>
      </c>
      <c r="GM6" s="253">
        <f t="shared" ref="GM6" si="216">GA6+1</f>
        <v>17</v>
      </c>
      <c r="GN6" s="253">
        <f t="shared" ref="GN6" si="217">GB6+1</f>
        <v>17</v>
      </c>
      <c r="GO6" s="253">
        <f t="shared" ref="GO6" si="218">GC6+1</f>
        <v>17</v>
      </c>
      <c r="GP6" s="253">
        <f t="shared" ref="GP6" si="219">GD6+1</f>
        <v>17</v>
      </c>
      <c r="GQ6" s="253">
        <f t="shared" ref="GQ6" si="220">GE6+1</f>
        <v>17</v>
      </c>
      <c r="GR6" s="253">
        <f t="shared" ref="GR6" si="221">GF6+1</f>
        <v>17</v>
      </c>
      <c r="GS6" s="253">
        <f t="shared" ref="GS6" si="222">GG6+1</f>
        <v>17</v>
      </c>
      <c r="GT6" s="253">
        <f t="shared" ref="GT6" si="223">GH6+1</f>
        <v>17</v>
      </c>
      <c r="GU6" s="253">
        <f t="shared" ref="GU6" si="224">GI6+1</f>
        <v>17</v>
      </c>
      <c r="GV6" s="253">
        <f t="shared" ref="GV6" si="225">GJ6+1</f>
        <v>17</v>
      </c>
      <c r="GW6" s="253">
        <f t="shared" ref="GW6" si="226">GK6+1</f>
        <v>18</v>
      </c>
      <c r="GX6" s="253">
        <f t="shared" ref="GX6" si="227">GL6+1</f>
        <v>18</v>
      </c>
      <c r="GY6" s="253">
        <f t="shared" ref="GY6" si="228">GM6+1</f>
        <v>18</v>
      </c>
      <c r="GZ6" s="253">
        <f t="shared" ref="GZ6" si="229">GN6+1</f>
        <v>18</v>
      </c>
      <c r="HA6" s="253">
        <f t="shared" ref="HA6" si="230">GO6+1</f>
        <v>18</v>
      </c>
      <c r="HB6" s="253">
        <f t="shared" ref="HB6" si="231">GP6+1</f>
        <v>18</v>
      </c>
      <c r="HC6" s="253">
        <f t="shared" ref="HC6" si="232">GQ6+1</f>
        <v>18</v>
      </c>
      <c r="HD6" s="253">
        <f t="shared" ref="HD6" si="233">GR6+1</f>
        <v>18</v>
      </c>
      <c r="HE6" s="253">
        <f t="shared" ref="HE6" si="234">GS6+1</f>
        <v>18</v>
      </c>
      <c r="HF6" s="253">
        <f t="shared" ref="HF6" si="235">GT6+1</f>
        <v>18</v>
      </c>
      <c r="HG6" s="253">
        <f t="shared" ref="HG6" si="236">GU6+1</f>
        <v>18</v>
      </c>
      <c r="HH6" s="253">
        <f t="shared" ref="HH6" si="237">GV6+1</f>
        <v>18</v>
      </c>
      <c r="HI6" s="253">
        <f t="shared" ref="HI6" si="238">GW6+1</f>
        <v>19</v>
      </c>
      <c r="HJ6" s="253">
        <f t="shared" ref="HJ6" si="239">GX6+1</f>
        <v>19</v>
      </c>
      <c r="HK6" s="253">
        <f t="shared" ref="HK6" si="240">GY6+1</f>
        <v>19</v>
      </c>
      <c r="HL6" s="253">
        <f t="shared" ref="HL6" si="241">GZ6+1</f>
        <v>19</v>
      </c>
      <c r="HM6" s="253">
        <f t="shared" ref="HM6" si="242">HA6+1</f>
        <v>19</v>
      </c>
      <c r="HN6" s="253">
        <f t="shared" ref="HN6" si="243">HB6+1</f>
        <v>19</v>
      </c>
      <c r="HO6" s="253">
        <f t="shared" ref="HO6" si="244">HC6+1</f>
        <v>19</v>
      </c>
      <c r="HP6" s="253">
        <f t="shared" ref="HP6" si="245">HD6+1</f>
        <v>19</v>
      </c>
      <c r="HQ6" s="253">
        <f t="shared" ref="HQ6" si="246">HE6+1</f>
        <v>19</v>
      </c>
      <c r="HR6" s="253">
        <f t="shared" ref="HR6" si="247">HF6+1</f>
        <v>19</v>
      </c>
      <c r="HS6" s="253">
        <f t="shared" ref="HS6" si="248">HG6+1</f>
        <v>19</v>
      </c>
      <c r="HT6" s="253">
        <f t="shared" ref="HT6" si="249">HH6+1</f>
        <v>19</v>
      </c>
      <c r="HU6" s="253">
        <f t="shared" ref="HU6" si="250">HI6+1</f>
        <v>20</v>
      </c>
      <c r="HV6" s="253">
        <f t="shared" ref="HV6" si="251">HJ6+1</f>
        <v>20</v>
      </c>
      <c r="HW6" s="253">
        <f t="shared" ref="HW6" si="252">HK6+1</f>
        <v>20</v>
      </c>
      <c r="HX6" s="253">
        <f t="shared" ref="HX6" si="253">HL6+1</f>
        <v>20</v>
      </c>
      <c r="HY6" s="253">
        <f t="shared" ref="HY6" si="254">HM6+1</f>
        <v>20</v>
      </c>
      <c r="HZ6" s="253">
        <f t="shared" ref="HZ6" si="255">HN6+1</f>
        <v>20</v>
      </c>
      <c r="IA6" s="253">
        <f t="shared" ref="IA6" si="256">HO6+1</f>
        <v>20</v>
      </c>
      <c r="IB6" s="253">
        <f t="shared" ref="IB6" si="257">HP6+1</f>
        <v>20</v>
      </c>
      <c r="IC6" s="253">
        <f t="shared" ref="IC6" si="258">HQ6+1</f>
        <v>20</v>
      </c>
      <c r="ID6" s="253">
        <f t="shared" ref="ID6" si="259">HR6+1</f>
        <v>20</v>
      </c>
      <c r="IE6" s="253">
        <f t="shared" ref="IE6" si="260">HS6+1</f>
        <v>20</v>
      </c>
      <c r="IF6" s="253">
        <f t="shared" ref="IF6" si="261">HT6+1</f>
        <v>20</v>
      </c>
      <c r="IG6" s="253">
        <f t="shared" ref="IG6" si="262">HU6+1</f>
        <v>21</v>
      </c>
      <c r="IH6" s="253">
        <f t="shared" ref="IH6" si="263">HV6+1</f>
        <v>21</v>
      </c>
      <c r="II6" s="253">
        <f t="shared" ref="II6" si="264">HW6+1</f>
        <v>21</v>
      </c>
      <c r="IJ6" s="253">
        <f t="shared" ref="IJ6" si="265">HX6+1</f>
        <v>21</v>
      </c>
      <c r="IK6" s="253">
        <f t="shared" ref="IK6" si="266">HY6+1</f>
        <v>21</v>
      </c>
      <c r="IL6" s="253">
        <f t="shared" ref="IL6" si="267">HZ6+1</f>
        <v>21</v>
      </c>
      <c r="IM6" s="253">
        <f t="shared" ref="IM6" si="268">IA6+1</f>
        <v>21</v>
      </c>
      <c r="IN6" s="253">
        <f t="shared" ref="IN6" si="269">IB6+1</f>
        <v>21</v>
      </c>
      <c r="IO6" s="253">
        <f t="shared" ref="IO6" si="270">IC6+1</f>
        <v>21</v>
      </c>
      <c r="IP6" s="253">
        <f t="shared" ref="IP6" si="271">ID6+1</f>
        <v>21</v>
      </c>
      <c r="IQ6" s="253">
        <f t="shared" ref="IQ6" si="272">IE6+1</f>
        <v>21</v>
      </c>
      <c r="IR6" s="253">
        <f t="shared" ref="IR6" si="273">IF6+1</f>
        <v>21</v>
      </c>
      <c r="IS6" s="253">
        <f t="shared" ref="IS6" si="274">IG6+1</f>
        <v>22</v>
      </c>
      <c r="IT6" s="253">
        <f t="shared" ref="IT6" si="275">IH6+1</f>
        <v>22</v>
      </c>
      <c r="IU6" s="253">
        <f t="shared" ref="IU6" si="276">II6+1</f>
        <v>22</v>
      </c>
      <c r="IV6" s="253">
        <f t="shared" ref="IV6" si="277">IJ6+1</f>
        <v>22</v>
      </c>
      <c r="IW6" s="253">
        <f t="shared" ref="IW6" si="278">IK6+1</f>
        <v>22</v>
      </c>
      <c r="IX6" s="253">
        <f t="shared" ref="IX6" si="279">IL6+1</f>
        <v>22</v>
      </c>
      <c r="IY6" s="253">
        <f t="shared" ref="IY6" si="280">IM6+1</f>
        <v>22</v>
      </c>
      <c r="IZ6" s="253">
        <f t="shared" ref="IZ6" si="281">IN6+1</f>
        <v>22</v>
      </c>
      <c r="JA6" s="253">
        <f t="shared" ref="JA6" si="282">IO6+1</f>
        <v>22</v>
      </c>
      <c r="JB6" s="253">
        <f t="shared" ref="JB6" si="283">IP6+1</f>
        <v>22</v>
      </c>
      <c r="JC6" s="253">
        <f t="shared" ref="JC6" si="284">IQ6+1</f>
        <v>22</v>
      </c>
      <c r="JD6" s="253">
        <f t="shared" ref="JD6" si="285">IR6+1</f>
        <v>22</v>
      </c>
      <c r="JE6" s="253">
        <f t="shared" ref="JE6" si="286">IS6+1</f>
        <v>23</v>
      </c>
      <c r="JF6" s="253">
        <f t="shared" ref="JF6" si="287">IT6+1</f>
        <v>23</v>
      </c>
      <c r="JG6" s="253">
        <f t="shared" ref="JG6" si="288">IU6+1</f>
        <v>23</v>
      </c>
      <c r="JH6" s="253">
        <f t="shared" ref="JH6" si="289">IV6+1</f>
        <v>23</v>
      </c>
      <c r="JI6" s="253">
        <f t="shared" ref="JI6" si="290">IW6+1</f>
        <v>23</v>
      </c>
      <c r="JJ6" s="253">
        <f t="shared" ref="JJ6" si="291">IX6+1</f>
        <v>23</v>
      </c>
      <c r="JK6" s="253">
        <f t="shared" ref="JK6" si="292">IY6+1</f>
        <v>23</v>
      </c>
      <c r="JL6" s="253">
        <f t="shared" ref="JL6" si="293">IZ6+1</f>
        <v>23</v>
      </c>
      <c r="JM6" s="253">
        <f t="shared" ref="JM6" si="294">JA6+1</f>
        <v>23</v>
      </c>
      <c r="JN6" s="253">
        <f t="shared" ref="JN6" si="295">JB6+1</f>
        <v>23</v>
      </c>
      <c r="JO6" s="253">
        <f t="shared" ref="JO6" si="296">JC6+1</f>
        <v>23</v>
      </c>
      <c r="JP6" s="253">
        <f t="shared" ref="JP6" si="297">JD6+1</f>
        <v>23</v>
      </c>
      <c r="JQ6" s="253">
        <f t="shared" ref="JQ6" si="298">JE6+1</f>
        <v>24</v>
      </c>
      <c r="JR6" s="253">
        <f t="shared" ref="JR6" si="299">JF6+1</f>
        <v>24</v>
      </c>
      <c r="JS6" s="253">
        <f t="shared" ref="JS6" si="300">JG6+1</f>
        <v>24</v>
      </c>
      <c r="JT6" s="253">
        <f t="shared" ref="JT6" si="301">JH6+1</f>
        <v>24</v>
      </c>
      <c r="JU6" s="253">
        <f t="shared" ref="JU6" si="302">JI6+1</f>
        <v>24</v>
      </c>
      <c r="JV6" s="253">
        <f t="shared" ref="JV6" si="303">JJ6+1</f>
        <v>24</v>
      </c>
      <c r="JW6" s="253">
        <f t="shared" ref="JW6" si="304">JK6+1</f>
        <v>24</v>
      </c>
      <c r="JX6" s="253">
        <f t="shared" ref="JX6" si="305">JL6+1</f>
        <v>24</v>
      </c>
      <c r="JY6" s="253">
        <f t="shared" ref="JY6" si="306">JM6+1</f>
        <v>24</v>
      </c>
      <c r="JZ6" s="253">
        <f t="shared" ref="JZ6" si="307">JN6+1</f>
        <v>24</v>
      </c>
      <c r="KA6" s="253">
        <f t="shared" ref="KA6" si="308">JO6+1</f>
        <v>24</v>
      </c>
      <c r="KB6" s="253">
        <f t="shared" ref="KB6" si="309">JP6+1</f>
        <v>24</v>
      </c>
      <c r="KC6" s="254">
        <f>MAX('Assumption Sheet'!L28:L37)</f>
        <v>47238</v>
      </c>
    </row>
    <row r="7" spans="1:289" ht="27.6" x14ac:dyDescent="0.3">
      <c r="A7" s="253" t="s">
        <v>102</v>
      </c>
      <c r="B7" s="253" t="s">
        <v>26</v>
      </c>
      <c r="C7" s="255">
        <f>EOMONTH('Assumption Sheet'!B9,-1)</f>
        <v>45473</v>
      </c>
      <c r="D7" s="256">
        <f t="shared" ref="D7:AC7" si="310">EOMONTH(C7,1)</f>
        <v>45504</v>
      </c>
      <c r="E7" s="254">
        <f t="shared" si="310"/>
        <v>45535</v>
      </c>
      <c r="F7" s="254">
        <f t="shared" si="310"/>
        <v>45565</v>
      </c>
      <c r="G7" s="254">
        <f t="shared" si="310"/>
        <v>45596</v>
      </c>
      <c r="H7" s="254">
        <f t="shared" si="310"/>
        <v>45626</v>
      </c>
      <c r="I7" s="254">
        <f t="shared" si="310"/>
        <v>45657</v>
      </c>
      <c r="J7" s="254">
        <f t="shared" si="310"/>
        <v>45688</v>
      </c>
      <c r="K7" s="254">
        <f t="shared" si="310"/>
        <v>45716</v>
      </c>
      <c r="L7" s="254">
        <f t="shared" si="310"/>
        <v>45747</v>
      </c>
      <c r="M7" s="254">
        <f t="shared" si="310"/>
        <v>45777</v>
      </c>
      <c r="N7" s="254">
        <f t="shared" si="310"/>
        <v>45808</v>
      </c>
      <c r="O7" s="254">
        <f t="shared" si="310"/>
        <v>45838</v>
      </c>
      <c r="P7" s="254">
        <f t="shared" si="310"/>
        <v>45869</v>
      </c>
      <c r="Q7" s="254">
        <f t="shared" si="310"/>
        <v>45900</v>
      </c>
      <c r="R7" s="254">
        <f t="shared" si="310"/>
        <v>45930</v>
      </c>
      <c r="S7" s="254">
        <f t="shared" si="310"/>
        <v>45961</v>
      </c>
      <c r="T7" s="254">
        <f t="shared" si="310"/>
        <v>45991</v>
      </c>
      <c r="U7" s="254">
        <f t="shared" si="310"/>
        <v>46022</v>
      </c>
      <c r="V7" s="254">
        <f t="shared" si="310"/>
        <v>46053</v>
      </c>
      <c r="W7" s="254">
        <f t="shared" si="310"/>
        <v>46081</v>
      </c>
      <c r="X7" s="254">
        <f t="shared" si="310"/>
        <v>46112</v>
      </c>
      <c r="Y7" s="254">
        <f t="shared" si="310"/>
        <v>46142</v>
      </c>
      <c r="Z7" s="254">
        <f t="shared" si="310"/>
        <v>46173</v>
      </c>
      <c r="AA7" s="254">
        <f t="shared" si="310"/>
        <v>46203</v>
      </c>
      <c r="AB7" s="254">
        <f t="shared" si="310"/>
        <v>46234</v>
      </c>
      <c r="AC7" s="254">
        <f t="shared" si="310"/>
        <v>46265</v>
      </c>
      <c r="AD7" s="254">
        <f t="shared" ref="AD7:BI7" si="311">EOMONTH(AC7,1)</f>
        <v>46295</v>
      </c>
      <c r="AE7" s="254">
        <f t="shared" si="311"/>
        <v>46326</v>
      </c>
      <c r="AF7" s="254">
        <f t="shared" si="311"/>
        <v>46356</v>
      </c>
      <c r="AG7" s="254">
        <f t="shared" si="311"/>
        <v>46387</v>
      </c>
      <c r="AH7" s="254">
        <f t="shared" si="311"/>
        <v>46418</v>
      </c>
      <c r="AI7" s="254">
        <f t="shared" si="311"/>
        <v>46446</v>
      </c>
      <c r="AJ7" s="254">
        <f t="shared" si="311"/>
        <v>46477</v>
      </c>
      <c r="AK7" s="254">
        <f t="shared" si="311"/>
        <v>46507</v>
      </c>
      <c r="AL7" s="254">
        <f t="shared" si="311"/>
        <v>46538</v>
      </c>
      <c r="AM7" s="254">
        <f t="shared" si="311"/>
        <v>46568</v>
      </c>
      <c r="AN7" s="254">
        <f t="shared" si="311"/>
        <v>46599</v>
      </c>
      <c r="AO7" s="254">
        <f t="shared" si="311"/>
        <v>46630</v>
      </c>
      <c r="AP7" s="254">
        <f t="shared" si="311"/>
        <v>46660</v>
      </c>
      <c r="AQ7" s="254">
        <f t="shared" si="311"/>
        <v>46691</v>
      </c>
      <c r="AR7" s="254">
        <f t="shared" si="311"/>
        <v>46721</v>
      </c>
      <c r="AS7" s="254">
        <f t="shared" si="311"/>
        <v>46752</v>
      </c>
      <c r="AT7" s="254">
        <f t="shared" si="311"/>
        <v>46783</v>
      </c>
      <c r="AU7" s="254">
        <f t="shared" si="311"/>
        <v>46812</v>
      </c>
      <c r="AV7" s="254">
        <f t="shared" si="311"/>
        <v>46843</v>
      </c>
      <c r="AW7" s="254">
        <f t="shared" si="311"/>
        <v>46873</v>
      </c>
      <c r="AX7" s="254">
        <f t="shared" si="311"/>
        <v>46904</v>
      </c>
      <c r="AY7" s="254">
        <f t="shared" si="311"/>
        <v>46934</v>
      </c>
      <c r="AZ7" s="254">
        <f t="shared" si="311"/>
        <v>46965</v>
      </c>
      <c r="BA7" s="254">
        <f t="shared" si="311"/>
        <v>46996</v>
      </c>
      <c r="BB7" s="254">
        <f t="shared" si="311"/>
        <v>47026</v>
      </c>
      <c r="BC7" s="254">
        <f t="shared" si="311"/>
        <v>47057</v>
      </c>
      <c r="BD7" s="254">
        <f t="shared" si="311"/>
        <v>47087</v>
      </c>
      <c r="BE7" s="254">
        <f t="shared" si="311"/>
        <v>47118</v>
      </c>
      <c r="BF7" s="254">
        <f t="shared" si="311"/>
        <v>47149</v>
      </c>
      <c r="BG7" s="254">
        <f t="shared" si="311"/>
        <v>47177</v>
      </c>
      <c r="BH7" s="254">
        <f t="shared" si="311"/>
        <v>47208</v>
      </c>
      <c r="BI7" s="254">
        <f t="shared" si="311"/>
        <v>47238</v>
      </c>
      <c r="BJ7" s="254">
        <f t="shared" ref="BJ7:CO7" si="312">EOMONTH(BI7,1)</f>
        <v>47269</v>
      </c>
      <c r="BK7" s="254">
        <f t="shared" si="312"/>
        <v>47299</v>
      </c>
      <c r="BL7" s="254">
        <f t="shared" si="312"/>
        <v>47330</v>
      </c>
      <c r="BM7" s="254">
        <f t="shared" si="312"/>
        <v>47361</v>
      </c>
      <c r="BN7" s="254">
        <f t="shared" si="312"/>
        <v>47391</v>
      </c>
      <c r="BO7" s="254">
        <f t="shared" si="312"/>
        <v>47422</v>
      </c>
      <c r="BP7" s="254">
        <f t="shared" si="312"/>
        <v>47452</v>
      </c>
      <c r="BQ7" s="254">
        <f t="shared" si="312"/>
        <v>47483</v>
      </c>
      <c r="BR7" s="254">
        <f t="shared" si="312"/>
        <v>47514</v>
      </c>
      <c r="BS7" s="254">
        <f t="shared" si="312"/>
        <v>47542</v>
      </c>
      <c r="BT7" s="254">
        <f t="shared" si="312"/>
        <v>47573</v>
      </c>
      <c r="BU7" s="254">
        <f t="shared" si="312"/>
        <v>47603</v>
      </c>
      <c r="BV7" s="254">
        <f t="shared" si="312"/>
        <v>47634</v>
      </c>
      <c r="BW7" s="254">
        <f t="shared" si="312"/>
        <v>47664</v>
      </c>
      <c r="BX7" s="254">
        <f t="shared" si="312"/>
        <v>47695</v>
      </c>
      <c r="BY7" s="254">
        <f t="shared" si="312"/>
        <v>47726</v>
      </c>
      <c r="BZ7" s="254">
        <f t="shared" si="312"/>
        <v>47756</v>
      </c>
      <c r="CA7" s="254">
        <f t="shared" si="312"/>
        <v>47787</v>
      </c>
      <c r="CB7" s="254">
        <f t="shared" si="312"/>
        <v>47817</v>
      </c>
      <c r="CC7" s="254">
        <f t="shared" si="312"/>
        <v>47848</v>
      </c>
      <c r="CD7" s="254">
        <f t="shared" si="312"/>
        <v>47879</v>
      </c>
      <c r="CE7" s="254">
        <f t="shared" si="312"/>
        <v>47907</v>
      </c>
      <c r="CF7" s="254">
        <f t="shared" si="312"/>
        <v>47938</v>
      </c>
      <c r="CG7" s="254">
        <f t="shared" si="312"/>
        <v>47968</v>
      </c>
      <c r="CH7" s="254">
        <f t="shared" si="312"/>
        <v>47999</v>
      </c>
      <c r="CI7" s="254">
        <f t="shared" si="312"/>
        <v>48029</v>
      </c>
      <c r="CJ7" s="254">
        <f t="shared" si="312"/>
        <v>48060</v>
      </c>
      <c r="CK7" s="254">
        <f t="shared" si="312"/>
        <v>48091</v>
      </c>
      <c r="CL7" s="254">
        <f t="shared" si="312"/>
        <v>48121</v>
      </c>
      <c r="CM7" s="254">
        <f t="shared" si="312"/>
        <v>48152</v>
      </c>
      <c r="CN7" s="254">
        <f t="shared" si="312"/>
        <v>48182</v>
      </c>
      <c r="CO7" s="254">
        <f t="shared" si="312"/>
        <v>48213</v>
      </c>
      <c r="CP7" s="254">
        <f t="shared" ref="CP7:DU7" si="313">EOMONTH(CO7,1)</f>
        <v>48244</v>
      </c>
      <c r="CQ7" s="254">
        <f t="shared" si="313"/>
        <v>48273</v>
      </c>
      <c r="CR7" s="254">
        <f t="shared" si="313"/>
        <v>48304</v>
      </c>
      <c r="CS7" s="254">
        <f t="shared" si="313"/>
        <v>48334</v>
      </c>
      <c r="CT7" s="254">
        <f t="shared" si="313"/>
        <v>48365</v>
      </c>
      <c r="CU7" s="254">
        <f t="shared" si="313"/>
        <v>48395</v>
      </c>
      <c r="CV7" s="254">
        <f t="shared" si="313"/>
        <v>48426</v>
      </c>
      <c r="CW7" s="254">
        <f t="shared" si="313"/>
        <v>48457</v>
      </c>
      <c r="CX7" s="254">
        <f t="shared" si="313"/>
        <v>48487</v>
      </c>
      <c r="CY7" s="254">
        <f t="shared" si="313"/>
        <v>48518</v>
      </c>
      <c r="CZ7" s="254">
        <f t="shared" si="313"/>
        <v>48548</v>
      </c>
      <c r="DA7" s="254">
        <f t="shared" si="313"/>
        <v>48579</v>
      </c>
      <c r="DB7" s="254">
        <f t="shared" si="313"/>
        <v>48610</v>
      </c>
      <c r="DC7" s="254">
        <f t="shared" si="313"/>
        <v>48638</v>
      </c>
      <c r="DD7" s="254">
        <f t="shared" si="313"/>
        <v>48669</v>
      </c>
      <c r="DE7" s="254">
        <f t="shared" si="313"/>
        <v>48699</v>
      </c>
      <c r="DF7" s="254">
        <f t="shared" si="313"/>
        <v>48730</v>
      </c>
      <c r="DG7" s="254">
        <f t="shared" si="313"/>
        <v>48760</v>
      </c>
      <c r="DH7" s="254">
        <f t="shared" si="313"/>
        <v>48791</v>
      </c>
      <c r="DI7" s="254">
        <f t="shared" si="313"/>
        <v>48822</v>
      </c>
      <c r="DJ7" s="254">
        <f t="shared" si="313"/>
        <v>48852</v>
      </c>
      <c r="DK7" s="254">
        <f t="shared" si="313"/>
        <v>48883</v>
      </c>
      <c r="DL7" s="254">
        <f t="shared" si="313"/>
        <v>48913</v>
      </c>
      <c r="DM7" s="254">
        <f t="shared" si="313"/>
        <v>48944</v>
      </c>
      <c r="DN7" s="254">
        <f t="shared" si="313"/>
        <v>48975</v>
      </c>
      <c r="DO7" s="254">
        <f t="shared" si="313"/>
        <v>49003</v>
      </c>
      <c r="DP7" s="254">
        <f t="shared" si="313"/>
        <v>49034</v>
      </c>
      <c r="DQ7" s="254">
        <f t="shared" si="313"/>
        <v>49064</v>
      </c>
      <c r="DR7" s="254">
        <f t="shared" si="313"/>
        <v>49095</v>
      </c>
      <c r="DS7" s="254">
        <f t="shared" si="313"/>
        <v>49125</v>
      </c>
      <c r="DT7" s="254">
        <f t="shared" si="313"/>
        <v>49156</v>
      </c>
      <c r="DU7" s="254">
        <f t="shared" si="313"/>
        <v>49187</v>
      </c>
      <c r="DV7" s="254">
        <f t="shared" ref="DV7:FA7" si="314">EOMONTH(DU7,1)</f>
        <v>49217</v>
      </c>
      <c r="DW7" s="254">
        <f t="shared" si="314"/>
        <v>49248</v>
      </c>
      <c r="DX7" s="254">
        <f t="shared" si="314"/>
        <v>49278</v>
      </c>
      <c r="DY7" s="254">
        <f t="shared" si="314"/>
        <v>49309</v>
      </c>
      <c r="DZ7" s="254">
        <f t="shared" si="314"/>
        <v>49340</v>
      </c>
      <c r="EA7" s="254">
        <f t="shared" si="314"/>
        <v>49368</v>
      </c>
      <c r="EB7" s="254">
        <f t="shared" si="314"/>
        <v>49399</v>
      </c>
      <c r="EC7" s="254">
        <f t="shared" si="314"/>
        <v>49429</v>
      </c>
      <c r="ED7" s="254">
        <f t="shared" si="314"/>
        <v>49460</v>
      </c>
      <c r="EE7" s="254">
        <f t="shared" si="314"/>
        <v>49490</v>
      </c>
      <c r="EF7" s="254">
        <f t="shared" si="314"/>
        <v>49521</v>
      </c>
      <c r="EG7" s="254">
        <f t="shared" si="314"/>
        <v>49552</v>
      </c>
      <c r="EH7" s="254">
        <f t="shared" si="314"/>
        <v>49582</v>
      </c>
      <c r="EI7" s="254">
        <f t="shared" si="314"/>
        <v>49613</v>
      </c>
      <c r="EJ7" s="254">
        <f t="shared" si="314"/>
        <v>49643</v>
      </c>
      <c r="EK7" s="254">
        <f t="shared" si="314"/>
        <v>49674</v>
      </c>
      <c r="EL7" s="254">
        <f t="shared" si="314"/>
        <v>49705</v>
      </c>
      <c r="EM7" s="254">
        <f t="shared" si="314"/>
        <v>49734</v>
      </c>
      <c r="EN7" s="254">
        <f t="shared" si="314"/>
        <v>49765</v>
      </c>
      <c r="EO7" s="254">
        <f t="shared" si="314"/>
        <v>49795</v>
      </c>
      <c r="EP7" s="254">
        <f t="shared" si="314"/>
        <v>49826</v>
      </c>
      <c r="EQ7" s="254">
        <f t="shared" si="314"/>
        <v>49856</v>
      </c>
      <c r="ER7" s="254">
        <f t="shared" si="314"/>
        <v>49887</v>
      </c>
      <c r="ES7" s="254">
        <f t="shared" si="314"/>
        <v>49918</v>
      </c>
      <c r="ET7" s="254">
        <f t="shared" si="314"/>
        <v>49948</v>
      </c>
      <c r="EU7" s="254">
        <f t="shared" si="314"/>
        <v>49979</v>
      </c>
      <c r="EV7" s="254">
        <f t="shared" si="314"/>
        <v>50009</v>
      </c>
      <c r="EW7" s="254">
        <f t="shared" si="314"/>
        <v>50040</v>
      </c>
      <c r="EX7" s="254">
        <f t="shared" si="314"/>
        <v>50071</v>
      </c>
      <c r="EY7" s="254">
        <f t="shared" si="314"/>
        <v>50099</v>
      </c>
      <c r="EZ7" s="254">
        <f t="shared" si="314"/>
        <v>50130</v>
      </c>
      <c r="FA7" s="254">
        <f t="shared" si="314"/>
        <v>50160</v>
      </c>
      <c r="FB7" s="254">
        <f t="shared" ref="FB7:FW7" si="315">EOMONTH(FA7,1)</f>
        <v>50191</v>
      </c>
      <c r="FC7" s="254">
        <f t="shared" si="315"/>
        <v>50221</v>
      </c>
      <c r="FD7" s="254">
        <f t="shared" si="315"/>
        <v>50252</v>
      </c>
      <c r="FE7" s="254">
        <f t="shared" si="315"/>
        <v>50283</v>
      </c>
      <c r="FF7" s="254">
        <f t="shared" si="315"/>
        <v>50313</v>
      </c>
      <c r="FG7" s="254">
        <f t="shared" si="315"/>
        <v>50344</v>
      </c>
      <c r="FH7" s="254">
        <f t="shared" si="315"/>
        <v>50374</v>
      </c>
      <c r="FI7" s="254">
        <f t="shared" si="315"/>
        <v>50405</v>
      </c>
      <c r="FJ7" s="254">
        <f t="shared" si="315"/>
        <v>50436</v>
      </c>
      <c r="FK7" s="254">
        <f t="shared" si="315"/>
        <v>50464</v>
      </c>
      <c r="FL7" s="254">
        <f t="shared" si="315"/>
        <v>50495</v>
      </c>
      <c r="FM7" s="254">
        <f t="shared" si="315"/>
        <v>50525</v>
      </c>
      <c r="FN7" s="254">
        <f t="shared" si="315"/>
        <v>50556</v>
      </c>
      <c r="FO7" s="254">
        <f t="shared" si="315"/>
        <v>50586</v>
      </c>
      <c r="FP7" s="254">
        <f t="shared" si="315"/>
        <v>50617</v>
      </c>
      <c r="FQ7" s="254">
        <f t="shared" si="315"/>
        <v>50648</v>
      </c>
      <c r="FR7" s="254">
        <f t="shared" si="315"/>
        <v>50678</v>
      </c>
      <c r="FS7" s="254">
        <f t="shared" si="315"/>
        <v>50709</v>
      </c>
      <c r="FT7" s="254">
        <f t="shared" si="315"/>
        <v>50739</v>
      </c>
      <c r="FU7" s="254">
        <f t="shared" si="315"/>
        <v>50770</v>
      </c>
      <c r="FV7" s="254">
        <f t="shared" si="315"/>
        <v>50801</v>
      </c>
      <c r="FW7" s="254">
        <f t="shared" si="315"/>
        <v>50829</v>
      </c>
      <c r="FX7" s="254">
        <f t="shared" ref="FX7" si="316">EOMONTH(FW7,1)</f>
        <v>50860</v>
      </c>
      <c r="FY7" s="254">
        <f t="shared" ref="FY7" si="317">EOMONTH(FX7,1)</f>
        <v>50890</v>
      </c>
      <c r="FZ7" s="254">
        <f t="shared" ref="FZ7" si="318">EOMONTH(FY7,1)</f>
        <v>50921</v>
      </c>
      <c r="GA7" s="254">
        <f t="shared" ref="GA7" si="319">EOMONTH(FZ7,1)</f>
        <v>50951</v>
      </c>
      <c r="GB7" s="254">
        <f t="shared" ref="GB7" si="320">EOMONTH(GA7,1)</f>
        <v>50982</v>
      </c>
      <c r="GC7" s="254">
        <f t="shared" ref="GC7" si="321">EOMONTH(GB7,1)</f>
        <v>51013</v>
      </c>
      <c r="GD7" s="254">
        <f t="shared" ref="GD7" si="322">EOMONTH(GC7,1)</f>
        <v>51043</v>
      </c>
      <c r="GE7" s="254">
        <f t="shared" ref="GE7" si="323">EOMONTH(GD7,1)</f>
        <v>51074</v>
      </c>
      <c r="GF7" s="254">
        <f t="shared" ref="GF7" si="324">EOMONTH(GE7,1)</f>
        <v>51104</v>
      </c>
      <c r="GG7" s="254">
        <f t="shared" ref="GG7" si="325">EOMONTH(GF7,1)</f>
        <v>51135</v>
      </c>
      <c r="GH7" s="254">
        <f t="shared" ref="GH7" si="326">EOMONTH(GG7,1)</f>
        <v>51166</v>
      </c>
      <c r="GI7" s="254">
        <f t="shared" ref="GI7" si="327">EOMONTH(GH7,1)</f>
        <v>51195</v>
      </c>
      <c r="GJ7" s="254">
        <f t="shared" ref="GJ7" si="328">EOMONTH(GI7,1)</f>
        <v>51226</v>
      </c>
      <c r="GK7" s="254">
        <f t="shared" ref="GK7" si="329">EOMONTH(GJ7,1)</f>
        <v>51256</v>
      </c>
      <c r="GL7" s="254">
        <f t="shared" ref="GL7" si="330">EOMONTH(GK7,1)</f>
        <v>51287</v>
      </c>
      <c r="GM7" s="254">
        <f t="shared" ref="GM7" si="331">EOMONTH(GL7,1)</f>
        <v>51317</v>
      </c>
      <c r="GN7" s="254">
        <f t="shared" ref="GN7" si="332">EOMONTH(GM7,1)</f>
        <v>51348</v>
      </c>
      <c r="GO7" s="254">
        <f t="shared" ref="GO7" si="333">EOMONTH(GN7,1)</f>
        <v>51379</v>
      </c>
      <c r="GP7" s="254">
        <f t="shared" ref="GP7" si="334">EOMONTH(GO7,1)</f>
        <v>51409</v>
      </c>
      <c r="GQ7" s="254">
        <f t="shared" ref="GQ7" si="335">EOMONTH(GP7,1)</f>
        <v>51440</v>
      </c>
      <c r="GR7" s="254">
        <f t="shared" ref="GR7" si="336">EOMONTH(GQ7,1)</f>
        <v>51470</v>
      </c>
      <c r="GS7" s="254">
        <f t="shared" ref="GS7" si="337">EOMONTH(GR7,1)</f>
        <v>51501</v>
      </c>
      <c r="GT7" s="254">
        <f t="shared" ref="GT7" si="338">EOMONTH(GS7,1)</f>
        <v>51532</v>
      </c>
      <c r="GU7" s="254">
        <f t="shared" ref="GU7" si="339">EOMONTH(GT7,1)</f>
        <v>51560</v>
      </c>
      <c r="GV7" s="254">
        <f t="shared" ref="GV7" si="340">EOMONTH(GU7,1)</f>
        <v>51591</v>
      </c>
      <c r="GW7" s="254">
        <f t="shared" ref="GW7" si="341">EOMONTH(GV7,1)</f>
        <v>51621</v>
      </c>
      <c r="GX7" s="254">
        <f t="shared" ref="GX7" si="342">EOMONTH(GW7,1)</f>
        <v>51652</v>
      </c>
      <c r="GY7" s="254">
        <f t="shared" ref="GY7" si="343">EOMONTH(GX7,1)</f>
        <v>51682</v>
      </c>
      <c r="GZ7" s="254">
        <f t="shared" ref="GZ7" si="344">EOMONTH(GY7,1)</f>
        <v>51713</v>
      </c>
      <c r="HA7" s="254">
        <f t="shared" ref="HA7" si="345">EOMONTH(GZ7,1)</f>
        <v>51744</v>
      </c>
      <c r="HB7" s="254">
        <f t="shared" ref="HB7" si="346">EOMONTH(HA7,1)</f>
        <v>51774</v>
      </c>
      <c r="HC7" s="254">
        <f t="shared" ref="HC7" si="347">EOMONTH(HB7,1)</f>
        <v>51805</v>
      </c>
      <c r="HD7" s="254">
        <f t="shared" ref="HD7" si="348">EOMONTH(HC7,1)</f>
        <v>51835</v>
      </c>
      <c r="HE7" s="254">
        <f t="shared" ref="HE7" si="349">EOMONTH(HD7,1)</f>
        <v>51866</v>
      </c>
      <c r="HF7" s="254">
        <f t="shared" ref="HF7" si="350">EOMONTH(HE7,1)</f>
        <v>51897</v>
      </c>
      <c r="HG7" s="254">
        <f t="shared" ref="HG7" si="351">EOMONTH(HF7,1)</f>
        <v>51925</v>
      </c>
      <c r="HH7" s="254">
        <f t="shared" ref="HH7" si="352">EOMONTH(HG7,1)</f>
        <v>51956</v>
      </c>
      <c r="HI7" s="254">
        <f t="shared" ref="HI7" si="353">EOMONTH(HH7,1)</f>
        <v>51986</v>
      </c>
      <c r="HJ7" s="254">
        <f t="shared" ref="HJ7" si="354">EOMONTH(HI7,1)</f>
        <v>52017</v>
      </c>
      <c r="HK7" s="254">
        <f t="shared" ref="HK7" si="355">EOMONTH(HJ7,1)</f>
        <v>52047</v>
      </c>
      <c r="HL7" s="254">
        <f t="shared" ref="HL7" si="356">EOMONTH(HK7,1)</f>
        <v>52078</v>
      </c>
      <c r="HM7" s="254">
        <f t="shared" ref="HM7" si="357">EOMONTH(HL7,1)</f>
        <v>52109</v>
      </c>
      <c r="HN7" s="254">
        <f t="shared" ref="HN7" si="358">EOMONTH(HM7,1)</f>
        <v>52139</v>
      </c>
      <c r="HO7" s="254">
        <f t="shared" ref="HO7" si="359">EOMONTH(HN7,1)</f>
        <v>52170</v>
      </c>
      <c r="HP7" s="254">
        <f t="shared" ref="HP7" si="360">EOMONTH(HO7,1)</f>
        <v>52200</v>
      </c>
      <c r="HQ7" s="254">
        <f t="shared" ref="HQ7" si="361">EOMONTH(HP7,1)</f>
        <v>52231</v>
      </c>
      <c r="HR7" s="254">
        <f t="shared" ref="HR7" si="362">EOMONTH(HQ7,1)</f>
        <v>52262</v>
      </c>
      <c r="HS7" s="254">
        <f t="shared" ref="HS7" si="363">EOMONTH(HR7,1)</f>
        <v>52290</v>
      </c>
      <c r="HT7" s="254">
        <f t="shared" ref="HT7" si="364">EOMONTH(HS7,1)</f>
        <v>52321</v>
      </c>
      <c r="HU7" s="254">
        <f t="shared" ref="HU7" si="365">EOMONTH(HT7,1)</f>
        <v>52351</v>
      </c>
      <c r="HV7" s="254">
        <f t="shared" ref="HV7" si="366">EOMONTH(HU7,1)</f>
        <v>52382</v>
      </c>
      <c r="HW7" s="254">
        <f t="shared" ref="HW7" si="367">EOMONTH(HV7,1)</f>
        <v>52412</v>
      </c>
      <c r="HX7" s="254">
        <f t="shared" ref="HX7" si="368">EOMONTH(HW7,1)</f>
        <v>52443</v>
      </c>
      <c r="HY7" s="254">
        <f t="shared" ref="HY7" si="369">EOMONTH(HX7,1)</f>
        <v>52474</v>
      </c>
      <c r="HZ7" s="254">
        <f t="shared" ref="HZ7" si="370">EOMONTH(HY7,1)</f>
        <v>52504</v>
      </c>
      <c r="IA7" s="254">
        <f t="shared" ref="IA7" si="371">EOMONTH(HZ7,1)</f>
        <v>52535</v>
      </c>
      <c r="IB7" s="254">
        <f t="shared" ref="IB7" si="372">EOMONTH(IA7,1)</f>
        <v>52565</v>
      </c>
      <c r="IC7" s="254">
        <f t="shared" ref="IC7" si="373">EOMONTH(IB7,1)</f>
        <v>52596</v>
      </c>
      <c r="ID7" s="254">
        <f t="shared" ref="ID7" si="374">EOMONTH(IC7,1)</f>
        <v>52627</v>
      </c>
      <c r="IE7" s="254">
        <f t="shared" ref="IE7" si="375">EOMONTH(ID7,1)</f>
        <v>52656</v>
      </c>
      <c r="IF7" s="254">
        <f t="shared" ref="IF7" si="376">EOMONTH(IE7,1)</f>
        <v>52687</v>
      </c>
      <c r="IG7" s="254">
        <f t="shared" ref="IG7" si="377">EOMONTH(IF7,1)</f>
        <v>52717</v>
      </c>
      <c r="IH7" s="254">
        <f t="shared" ref="IH7" si="378">EOMONTH(IG7,1)</f>
        <v>52748</v>
      </c>
      <c r="II7" s="254">
        <f t="shared" ref="II7" si="379">EOMONTH(IH7,1)</f>
        <v>52778</v>
      </c>
      <c r="IJ7" s="254">
        <f t="shared" ref="IJ7" si="380">EOMONTH(II7,1)</f>
        <v>52809</v>
      </c>
      <c r="IK7" s="254">
        <f t="shared" ref="IK7" si="381">EOMONTH(IJ7,1)</f>
        <v>52840</v>
      </c>
      <c r="IL7" s="254">
        <f t="shared" ref="IL7" si="382">EOMONTH(IK7,1)</f>
        <v>52870</v>
      </c>
      <c r="IM7" s="254">
        <f t="shared" ref="IM7" si="383">EOMONTH(IL7,1)</f>
        <v>52901</v>
      </c>
      <c r="IN7" s="254">
        <f t="shared" ref="IN7" si="384">EOMONTH(IM7,1)</f>
        <v>52931</v>
      </c>
      <c r="IO7" s="254">
        <f t="shared" ref="IO7" si="385">EOMONTH(IN7,1)</f>
        <v>52962</v>
      </c>
      <c r="IP7" s="254">
        <f t="shared" ref="IP7" si="386">EOMONTH(IO7,1)</f>
        <v>52993</v>
      </c>
      <c r="IQ7" s="254">
        <f t="shared" ref="IQ7" si="387">EOMONTH(IP7,1)</f>
        <v>53021</v>
      </c>
      <c r="IR7" s="254">
        <f t="shared" ref="IR7" si="388">EOMONTH(IQ7,1)</f>
        <v>53052</v>
      </c>
      <c r="IS7" s="254">
        <f t="shared" ref="IS7" si="389">EOMONTH(IR7,1)</f>
        <v>53082</v>
      </c>
      <c r="IT7" s="254">
        <f t="shared" ref="IT7" si="390">EOMONTH(IS7,1)</f>
        <v>53113</v>
      </c>
      <c r="IU7" s="254">
        <f t="shared" ref="IU7" si="391">EOMONTH(IT7,1)</f>
        <v>53143</v>
      </c>
      <c r="IV7" s="254">
        <f t="shared" ref="IV7" si="392">EOMONTH(IU7,1)</f>
        <v>53174</v>
      </c>
      <c r="IW7" s="254">
        <f t="shared" ref="IW7" si="393">EOMONTH(IV7,1)</f>
        <v>53205</v>
      </c>
      <c r="IX7" s="254">
        <f t="shared" ref="IX7" si="394">EOMONTH(IW7,1)</f>
        <v>53235</v>
      </c>
      <c r="IY7" s="254">
        <f t="shared" ref="IY7" si="395">EOMONTH(IX7,1)</f>
        <v>53266</v>
      </c>
      <c r="IZ7" s="254">
        <f t="shared" ref="IZ7" si="396">EOMONTH(IY7,1)</f>
        <v>53296</v>
      </c>
      <c r="JA7" s="254">
        <f t="shared" ref="JA7" si="397">EOMONTH(IZ7,1)</f>
        <v>53327</v>
      </c>
      <c r="JB7" s="254">
        <f t="shared" ref="JB7" si="398">EOMONTH(JA7,1)</f>
        <v>53358</v>
      </c>
      <c r="JC7" s="254">
        <f t="shared" ref="JC7" si="399">EOMONTH(JB7,1)</f>
        <v>53386</v>
      </c>
      <c r="JD7" s="254">
        <f t="shared" ref="JD7" si="400">EOMONTH(JC7,1)</f>
        <v>53417</v>
      </c>
      <c r="JE7" s="254">
        <f t="shared" ref="JE7" si="401">EOMONTH(JD7,1)</f>
        <v>53447</v>
      </c>
      <c r="JF7" s="254">
        <f t="shared" ref="JF7" si="402">EOMONTH(JE7,1)</f>
        <v>53478</v>
      </c>
      <c r="JG7" s="254">
        <f t="shared" ref="JG7" si="403">EOMONTH(JF7,1)</f>
        <v>53508</v>
      </c>
      <c r="JH7" s="254">
        <f t="shared" ref="JH7" si="404">EOMONTH(JG7,1)</f>
        <v>53539</v>
      </c>
      <c r="JI7" s="254">
        <f t="shared" ref="JI7" si="405">EOMONTH(JH7,1)</f>
        <v>53570</v>
      </c>
      <c r="JJ7" s="254">
        <f t="shared" ref="JJ7" si="406">EOMONTH(JI7,1)</f>
        <v>53600</v>
      </c>
      <c r="JK7" s="254">
        <f t="shared" ref="JK7" si="407">EOMONTH(JJ7,1)</f>
        <v>53631</v>
      </c>
      <c r="JL7" s="254">
        <f t="shared" ref="JL7" si="408">EOMONTH(JK7,1)</f>
        <v>53661</v>
      </c>
      <c r="JM7" s="254">
        <f t="shared" ref="JM7" si="409">EOMONTH(JL7,1)</f>
        <v>53692</v>
      </c>
      <c r="JN7" s="254">
        <f t="shared" ref="JN7" si="410">EOMONTH(JM7,1)</f>
        <v>53723</v>
      </c>
      <c r="JO7" s="254">
        <f t="shared" ref="JO7" si="411">EOMONTH(JN7,1)</f>
        <v>53751</v>
      </c>
      <c r="JP7" s="254">
        <f t="shared" ref="JP7" si="412">EOMONTH(JO7,1)</f>
        <v>53782</v>
      </c>
      <c r="JQ7" s="254">
        <f t="shared" ref="JQ7" si="413">EOMONTH(JP7,1)</f>
        <v>53812</v>
      </c>
      <c r="JR7" s="254">
        <f t="shared" ref="JR7" si="414">EOMONTH(JQ7,1)</f>
        <v>53843</v>
      </c>
      <c r="JS7" s="254">
        <f t="shared" ref="JS7" si="415">EOMONTH(JR7,1)</f>
        <v>53873</v>
      </c>
      <c r="JT7" s="254">
        <f t="shared" ref="JT7" si="416">EOMONTH(JS7,1)</f>
        <v>53904</v>
      </c>
      <c r="JU7" s="254">
        <f t="shared" ref="JU7" si="417">EOMONTH(JT7,1)</f>
        <v>53935</v>
      </c>
      <c r="JV7" s="254">
        <f t="shared" ref="JV7" si="418">EOMONTH(JU7,1)</f>
        <v>53965</v>
      </c>
      <c r="JW7" s="254">
        <f t="shared" ref="JW7" si="419">EOMONTH(JV7,1)</f>
        <v>53996</v>
      </c>
      <c r="JX7" s="254">
        <f t="shared" ref="JX7" si="420">EOMONTH(JW7,1)</f>
        <v>54026</v>
      </c>
      <c r="JY7" s="254">
        <f t="shared" ref="JY7" si="421">EOMONTH(JX7,1)</f>
        <v>54057</v>
      </c>
      <c r="JZ7" s="254">
        <f t="shared" ref="JZ7" si="422">EOMONTH(JY7,1)</f>
        <v>54088</v>
      </c>
      <c r="KA7" s="254">
        <f t="shared" ref="KA7" si="423">EOMONTH(JZ7,1)</f>
        <v>54117</v>
      </c>
      <c r="KB7" s="254">
        <f t="shared" ref="KB7" si="424">EOMONTH(KA7,1)</f>
        <v>54148</v>
      </c>
      <c r="KC7" s="255" t="s">
        <v>191</v>
      </c>
    </row>
    <row r="9" spans="1:289" x14ac:dyDescent="0.3">
      <c r="A9" s="39" t="s">
        <v>29</v>
      </c>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c r="IW9" s="44"/>
      <c r="IX9" s="44"/>
      <c r="IY9" s="44"/>
      <c r="IZ9" s="44"/>
      <c r="JA9" s="44"/>
      <c r="JB9" s="44"/>
      <c r="JC9" s="44"/>
      <c r="JD9" s="44"/>
      <c r="JE9" s="44"/>
      <c r="JF9" s="44"/>
      <c r="JG9" s="44"/>
      <c r="JH9" s="44"/>
      <c r="JI9" s="44"/>
      <c r="JJ9" s="44"/>
      <c r="JK9" s="44"/>
      <c r="JL9" s="44"/>
      <c r="JM9" s="44"/>
      <c r="JN9" s="44"/>
      <c r="JO9" s="44"/>
      <c r="JP9" s="44"/>
      <c r="JQ9" s="44"/>
      <c r="JR9" s="44"/>
      <c r="JS9" s="44"/>
      <c r="JT9" s="44"/>
      <c r="JU9" s="44"/>
      <c r="JV9" s="44"/>
      <c r="JW9" s="44"/>
      <c r="JX9" s="44"/>
      <c r="JY9" s="44"/>
      <c r="JZ9" s="44"/>
      <c r="KA9" s="44"/>
      <c r="KB9" s="44"/>
      <c r="KC9" s="44"/>
    </row>
    <row r="10" spans="1:289" x14ac:dyDescent="0.3">
      <c r="A10" s="1" t="s">
        <v>201</v>
      </c>
      <c r="B10" s="257">
        <f>SUM(C10:KB10)</f>
        <v>1162.506330030451</v>
      </c>
      <c r="C10" s="258">
        <f>IFERROR(_xlfn.XLOOKUP(C7,Leasing!$1:$1,Leasing!33:33),0)</f>
        <v>0</v>
      </c>
      <c r="D10" s="258">
        <f>IFERROR(_xlfn.XLOOKUP(D7,Leasing!$1:$1,Leasing!33:33),0)</f>
        <v>0</v>
      </c>
      <c r="E10" s="258">
        <f>IFERROR(_xlfn.XLOOKUP(E7,Leasing!$1:$1,Leasing!33:33),0)</f>
        <v>0</v>
      </c>
      <c r="F10" s="258">
        <f>IFERROR(_xlfn.XLOOKUP(F7,Leasing!$1:$1,Leasing!33:33),0)</f>
        <v>0</v>
      </c>
      <c r="G10" s="258">
        <f>IFERROR(_xlfn.XLOOKUP(G7,Leasing!$1:$1,Leasing!33:33),0)</f>
        <v>0</v>
      </c>
      <c r="H10" s="258">
        <f>IFERROR(_xlfn.XLOOKUP(H7,Leasing!$1:$1,Leasing!33:33),0)</f>
        <v>0</v>
      </c>
      <c r="I10" s="258">
        <f>IFERROR(_xlfn.XLOOKUP(I7,Leasing!$1:$1,Leasing!33:33),0)</f>
        <v>0</v>
      </c>
      <c r="J10" s="258">
        <f>IFERROR(_xlfn.XLOOKUP(J7,Leasing!$1:$1,Leasing!33:33),0)</f>
        <v>0</v>
      </c>
      <c r="K10" s="258">
        <f>IFERROR(_xlfn.XLOOKUP(K7,Leasing!$1:$1,Leasing!33:33),0)</f>
        <v>0</v>
      </c>
      <c r="L10" s="258">
        <f>IFERROR(_xlfn.XLOOKUP(L7,Leasing!$1:$1,Leasing!33:33),0)</f>
        <v>0</v>
      </c>
      <c r="M10" s="258">
        <f>IFERROR(_xlfn.XLOOKUP(M7,Leasing!$1:$1,Leasing!33:33),0)</f>
        <v>0</v>
      </c>
      <c r="N10" s="258">
        <f>IFERROR(_xlfn.XLOOKUP(N7,Leasing!$1:$1,Leasing!33:33),0)</f>
        <v>0</v>
      </c>
      <c r="O10" s="258">
        <f>IFERROR(_xlfn.XLOOKUP(O7,Leasing!$1:$1,Leasing!33:33),0)</f>
        <v>0</v>
      </c>
      <c r="P10" s="258">
        <f>IFERROR(_xlfn.XLOOKUP(P7,Leasing!$1:$1,Leasing!33:33),0)</f>
        <v>0</v>
      </c>
      <c r="Q10" s="258">
        <f>IFERROR(_xlfn.XLOOKUP(Q7,Leasing!$1:$1,Leasing!33:33),0)</f>
        <v>0</v>
      </c>
      <c r="R10" s="258">
        <f>IFERROR(_xlfn.XLOOKUP(R7,Leasing!$1:$1,Leasing!33:33),0)</f>
        <v>0</v>
      </c>
      <c r="S10" s="258">
        <f>IFERROR(_xlfn.XLOOKUP(S7,Leasing!$1:$1,Leasing!33:33),0)</f>
        <v>0</v>
      </c>
      <c r="T10" s="258">
        <f>IFERROR(_xlfn.XLOOKUP(T7,Leasing!$1:$1,Leasing!33:33),0)</f>
        <v>0</v>
      </c>
      <c r="U10" s="258">
        <f>IFERROR(_xlfn.XLOOKUP(U7,Leasing!$1:$1,Leasing!33:33),0)</f>
        <v>0</v>
      </c>
      <c r="V10" s="258">
        <f>IFERROR(_xlfn.XLOOKUP(V7,Leasing!$1:$1,Leasing!33:33),0)</f>
        <v>0.52311865379497491</v>
      </c>
      <c r="W10" s="258">
        <f>IFERROR(_xlfn.XLOOKUP(W7,Leasing!$1:$1,Leasing!33:33),0)</f>
        <v>0.52311865379497491</v>
      </c>
      <c r="X10" s="258">
        <f>IFERROR(_xlfn.XLOOKUP(X7,Leasing!$1:$1,Leasing!33:33),0)</f>
        <v>0.52311865379497491</v>
      </c>
      <c r="Y10" s="258">
        <f>IFERROR(_xlfn.XLOOKUP(Y7,Leasing!$1:$1,Leasing!33:33),0)</f>
        <v>0.52311865379497491</v>
      </c>
      <c r="Z10" s="258">
        <f>IFERROR(_xlfn.XLOOKUP(Z7,Leasing!$1:$1,Leasing!33:33),0)</f>
        <v>0.52311865379497491</v>
      </c>
      <c r="AA10" s="258">
        <f>IFERROR(_xlfn.XLOOKUP(AA7,Leasing!$1:$1,Leasing!33:33),0)</f>
        <v>0.52311865379497491</v>
      </c>
      <c r="AB10" s="258">
        <f>IFERROR(_xlfn.XLOOKUP(AB7,Leasing!$1:$1,Leasing!33:33),0)</f>
        <v>0.52311865379497491</v>
      </c>
      <c r="AC10" s="258">
        <f>IFERROR(_xlfn.XLOOKUP(AC7,Leasing!$1:$1,Leasing!33:33),0)</f>
        <v>0.52311865379497491</v>
      </c>
      <c r="AD10" s="258">
        <f>IFERROR(_xlfn.XLOOKUP(AD7,Leasing!$1:$1,Leasing!33:33),0)</f>
        <v>0.52311865379497491</v>
      </c>
      <c r="AE10" s="258">
        <f>IFERROR(_xlfn.XLOOKUP(AE7,Leasing!$1:$1,Leasing!33:33),0)</f>
        <v>0.52311865379497491</v>
      </c>
      <c r="AF10" s="258">
        <f>IFERROR(_xlfn.XLOOKUP(AF7,Leasing!$1:$1,Leasing!33:33),0)</f>
        <v>0.52311865379497491</v>
      </c>
      <c r="AG10" s="258">
        <f>IFERROR(_xlfn.XLOOKUP(AG7,Leasing!$1:$1,Leasing!33:33),0)</f>
        <v>0.52311865379497491</v>
      </c>
      <c r="AH10" s="258">
        <f>IFERROR(_xlfn.XLOOKUP(AH7,Leasing!$1:$1,Leasing!33:33),0)</f>
        <v>1.5625278543756262</v>
      </c>
      <c r="AI10" s="258">
        <f>IFERROR(_xlfn.XLOOKUP(AI7,Leasing!$1:$1,Leasing!33:33),0)</f>
        <v>1.5625278543756262</v>
      </c>
      <c r="AJ10" s="258">
        <f>IFERROR(_xlfn.XLOOKUP(AJ7,Leasing!$1:$1,Leasing!33:33),0)</f>
        <v>1.5625278543756262</v>
      </c>
      <c r="AK10" s="258">
        <f>IFERROR(_xlfn.XLOOKUP(AK7,Leasing!$1:$1,Leasing!33:33),0)</f>
        <v>1.5625278543756262</v>
      </c>
      <c r="AL10" s="258">
        <f>IFERROR(_xlfn.XLOOKUP(AL7,Leasing!$1:$1,Leasing!33:33),0)</f>
        <v>1.5625278543756262</v>
      </c>
      <c r="AM10" s="258">
        <f>IFERROR(_xlfn.XLOOKUP(AM7,Leasing!$1:$1,Leasing!33:33),0)</f>
        <v>1.5625278543756262</v>
      </c>
      <c r="AN10" s="258">
        <f>IFERROR(_xlfn.XLOOKUP(AN7,Leasing!$1:$1,Leasing!33:33),0)</f>
        <v>1.5625278543756262</v>
      </c>
      <c r="AO10" s="258">
        <f>IFERROR(_xlfn.XLOOKUP(AO7,Leasing!$1:$1,Leasing!33:33),0)</f>
        <v>1.5625278543756262</v>
      </c>
      <c r="AP10" s="258">
        <f>IFERROR(_xlfn.XLOOKUP(AP7,Leasing!$1:$1,Leasing!33:33),0)</f>
        <v>1.5625278543756262</v>
      </c>
      <c r="AQ10" s="258">
        <f>IFERROR(_xlfn.XLOOKUP(AQ7,Leasing!$1:$1,Leasing!33:33),0)</f>
        <v>1.9849022441245463</v>
      </c>
      <c r="AR10" s="258">
        <f>IFERROR(_xlfn.XLOOKUP(AR7,Leasing!$1:$1,Leasing!33:33),0)</f>
        <v>1.9849022441245463</v>
      </c>
      <c r="AS10" s="258">
        <f>IFERROR(_xlfn.XLOOKUP(AS7,Leasing!$1:$1,Leasing!33:33),0)</f>
        <v>1.9849022441245463</v>
      </c>
      <c r="AT10" s="258">
        <f>IFERROR(_xlfn.XLOOKUP(AT7,Leasing!$1:$1,Leasing!33:33),0)</f>
        <v>2.0630286368433275</v>
      </c>
      <c r="AU10" s="258">
        <f>IFERROR(_xlfn.XLOOKUP(AU7,Leasing!$1:$1,Leasing!33:33),0)</f>
        <v>2.0630286368433275</v>
      </c>
      <c r="AV10" s="258">
        <f>IFERROR(_xlfn.XLOOKUP(AV7,Leasing!$1:$1,Leasing!33:33),0)</f>
        <v>2.0630286368433275</v>
      </c>
      <c r="AW10" s="258">
        <f>IFERROR(_xlfn.XLOOKUP(AW7,Leasing!$1:$1,Leasing!33:33),0)</f>
        <v>2.0630286368433275</v>
      </c>
      <c r="AX10" s="258">
        <f>IFERROR(_xlfn.XLOOKUP(AX7,Leasing!$1:$1,Leasing!33:33),0)</f>
        <v>2.0630286368433275</v>
      </c>
      <c r="AY10" s="258">
        <f>IFERROR(_xlfn.XLOOKUP(AY7,Leasing!$1:$1,Leasing!33:33),0)</f>
        <v>2.0630286368433275</v>
      </c>
      <c r="AZ10" s="258">
        <f>IFERROR(_xlfn.XLOOKUP(AZ7,Leasing!$1:$1,Leasing!33:33),0)</f>
        <v>2.9691540365986553</v>
      </c>
      <c r="BA10" s="258">
        <f>IFERROR(_xlfn.XLOOKUP(BA7,Leasing!$1:$1,Leasing!33:33),0)</f>
        <v>2.9691540365986553</v>
      </c>
      <c r="BB10" s="258">
        <f>IFERROR(_xlfn.XLOOKUP(BB7,Leasing!$1:$1,Leasing!33:33),0)</f>
        <v>2.9691540365986553</v>
      </c>
      <c r="BC10" s="258">
        <f>IFERROR(_xlfn.XLOOKUP(BC7,Leasing!$1:$1,Leasing!33:33),0)</f>
        <v>2.9902727560861013</v>
      </c>
      <c r="BD10" s="258">
        <f>IFERROR(_xlfn.XLOOKUP(BD7,Leasing!$1:$1,Leasing!33:33),0)</f>
        <v>2.9902727560861013</v>
      </c>
      <c r="BE10" s="258">
        <f>IFERROR(_xlfn.XLOOKUP(BE7,Leasing!$1:$1,Leasing!33:33),0)</f>
        <v>2.9902727560861013</v>
      </c>
      <c r="BF10" s="258">
        <f>IFERROR(_xlfn.XLOOKUP(BF7,Leasing!$1:$1,Leasing!33:33),0)</f>
        <v>3.0723054684408213</v>
      </c>
      <c r="BG10" s="258">
        <f>IFERROR(_xlfn.XLOOKUP(BG7,Leasing!$1:$1,Leasing!33:33),0)</f>
        <v>3.0723054684408213</v>
      </c>
      <c r="BH10" s="258">
        <f>IFERROR(_xlfn.XLOOKUP(BH7,Leasing!$1:$1,Leasing!33:33),0)</f>
        <v>3.0723054684408213</v>
      </c>
      <c r="BI10" s="258">
        <f>IFERROR(_xlfn.XLOOKUP(BI7,Leasing!$1:$1,Leasing!33:33),0)</f>
        <v>3.2610969913169838</v>
      </c>
      <c r="BJ10" s="258">
        <f>IFERROR(_xlfn.XLOOKUP(BJ7,Leasing!$1:$1,Leasing!33:33),0)</f>
        <v>3.2610969913169838</v>
      </c>
      <c r="BK10" s="258">
        <f>IFERROR(_xlfn.XLOOKUP(BK7,Leasing!$1:$1,Leasing!33:33),0)</f>
        <v>3.2610969913169838</v>
      </c>
      <c r="BL10" s="258">
        <f>IFERROR(_xlfn.XLOOKUP(BL7,Leasing!$1:$1,Leasing!33:33),0)</f>
        <v>3.3064032613047503</v>
      </c>
      <c r="BM10" s="258">
        <f>IFERROR(_xlfn.XLOOKUP(BM7,Leasing!$1:$1,Leasing!33:33),0)</f>
        <v>3.3064032613047503</v>
      </c>
      <c r="BN10" s="258">
        <f>IFERROR(_xlfn.XLOOKUP(BN7,Leasing!$1:$1,Leasing!33:33),0)</f>
        <v>3.3064032613047503</v>
      </c>
      <c r="BO10" s="258">
        <f>IFERROR(_xlfn.XLOOKUP(BO7,Leasing!$1:$1,Leasing!33:33),0)</f>
        <v>3.328577916766569</v>
      </c>
      <c r="BP10" s="258">
        <f>IFERROR(_xlfn.XLOOKUP(BP7,Leasing!$1:$1,Leasing!33:33),0)</f>
        <v>3.328577916766569</v>
      </c>
      <c r="BQ10" s="258">
        <f>IFERROR(_xlfn.XLOOKUP(BQ7,Leasing!$1:$1,Leasing!33:33),0)</f>
        <v>3.328577916766569</v>
      </c>
      <c r="BR10" s="258">
        <f>IFERROR(_xlfn.XLOOKUP(BR7,Leasing!$1:$1,Leasing!33:33),0)</f>
        <v>3.4147122647390256</v>
      </c>
      <c r="BS10" s="258">
        <f>IFERROR(_xlfn.XLOOKUP(BS7,Leasing!$1:$1,Leasing!33:33),0)</f>
        <v>3.4147122647390256</v>
      </c>
      <c r="BT10" s="258">
        <f>IFERROR(_xlfn.XLOOKUP(BT7,Leasing!$1:$1,Leasing!33:33),0)</f>
        <v>3.4147122647390256</v>
      </c>
      <c r="BU10" s="258">
        <f>IFERROR(_xlfn.XLOOKUP(BU7,Leasing!$1:$1,Leasing!33:33),0)</f>
        <v>3.4241518408828338</v>
      </c>
      <c r="BV10" s="258">
        <f>IFERROR(_xlfn.XLOOKUP(BV7,Leasing!$1:$1,Leasing!33:33),0)</f>
        <v>3.4241518408828338</v>
      </c>
      <c r="BW10" s="258">
        <f>IFERROR(_xlfn.XLOOKUP(BW7,Leasing!$1:$1,Leasing!33:33),0)</f>
        <v>3.4241518408828338</v>
      </c>
      <c r="BX10" s="258">
        <f>IFERROR(_xlfn.XLOOKUP(BX7,Leasing!$1:$1,Leasing!33:33),0)</f>
        <v>3.4717234243699884</v>
      </c>
      <c r="BY10" s="258">
        <f>IFERROR(_xlfn.XLOOKUP(BY7,Leasing!$1:$1,Leasing!33:33),0)</f>
        <v>3.4717234243699884</v>
      </c>
      <c r="BZ10" s="258">
        <f>IFERROR(_xlfn.XLOOKUP(BZ7,Leasing!$1:$1,Leasing!33:33),0)</f>
        <v>3.4717234243699884</v>
      </c>
      <c r="CA10" s="258">
        <f>IFERROR(_xlfn.XLOOKUP(CA7,Leasing!$1:$1,Leasing!33:33),0)</f>
        <v>3.4950068126048977</v>
      </c>
      <c r="CB10" s="258">
        <f>IFERROR(_xlfn.XLOOKUP(CB7,Leasing!$1:$1,Leasing!33:33),0)</f>
        <v>3.4950068126048977</v>
      </c>
      <c r="CC10" s="258">
        <f>IFERROR(_xlfn.XLOOKUP(CC7,Leasing!$1:$1,Leasing!33:33),0)</f>
        <v>3.4950068126048977</v>
      </c>
      <c r="CD10" s="258">
        <f>IFERROR(_xlfn.XLOOKUP(CD7,Leasing!$1:$1,Leasing!33:33),0)</f>
        <v>3.5854478779759771</v>
      </c>
      <c r="CE10" s="258">
        <f>IFERROR(_xlfn.XLOOKUP(CE7,Leasing!$1:$1,Leasing!33:33),0)</f>
        <v>3.5854478779759771</v>
      </c>
      <c r="CF10" s="258">
        <f>IFERROR(_xlfn.XLOOKUP(CF7,Leasing!$1:$1,Leasing!33:33),0)</f>
        <v>3.5854478779759771</v>
      </c>
      <c r="CG10" s="258">
        <f>IFERROR(_xlfn.XLOOKUP(CG7,Leasing!$1:$1,Leasing!33:33),0)</f>
        <v>3.5953594329269754</v>
      </c>
      <c r="CH10" s="258">
        <f>IFERROR(_xlfn.XLOOKUP(CH7,Leasing!$1:$1,Leasing!33:33),0)</f>
        <v>3.5953594329269754</v>
      </c>
      <c r="CI10" s="258">
        <f>IFERROR(_xlfn.XLOOKUP(CI7,Leasing!$1:$1,Leasing!33:33),0)</f>
        <v>3.5953594329269754</v>
      </c>
      <c r="CJ10" s="258">
        <f>IFERROR(_xlfn.XLOOKUP(CJ7,Leasing!$1:$1,Leasing!33:33),0)</f>
        <v>3.645309595588488</v>
      </c>
      <c r="CK10" s="258">
        <f>IFERROR(_xlfn.XLOOKUP(CK7,Leasing!$1:$1,Leasing!33:33),0)</f>
        <v>3.645309595588488</v>
      </c>
      <c r="CL10" s="258">
        <f>IFERROR(_xlfn.XLOOKUP(CL7,Leasing!$1:$1,Leasing!33:33),0)</f>
        <v>3.645309595588488</v>
      </c>
      <c r="CM10" s="258">
        <f>IFERROR(_xlfn.XLOOKUP(CM7,Leasing!$1:$1,Leasing!33:33),0)</f>
        <v>3.6697571532351425</v>
      </c>
      <c r="CN10" s="258">
        <f>IFERROR(_xlfn.XLOOKUP(CN7,Leasing!$1:$1,Leasing!33:33),0)</f>
        <v>3.6697571532351425</v>
      </c>
      <c r="CO10" s="258">
        <f>IFERROR(_xlfn.XLOOKUP(CO7,Leasing!$1:$1,Leasing!33:33),0)</f>
        <v>3.6697571532351425</v>
      </c>
      <c r="CP10" s="258">
        <f>IFERROR(_xlfn.XLOOKUP(CP7,Leasing!$1:$1,Leasing!33:33),0)</f>
        <v>3.7647202718747765</v>
      </c>
      <c r="CQ10" s="258">
        <f>IFERROR(_xlfn.XLOOKUP(CQ7,Leasing!$1:$1,Leasing!33:33),0)</f>
        <v>3.7647202718747765</v>
      </c>
      <c r="CR10" s="258">
        <f>IFERROR(_xlfn.XLOOKUP(CR7,Leasing!$1:$1,Leasing!33:33),0)</f>
        <v>3.7647202718747765</v>
      </c>
      <c r="CS10" s="258">
        <f>IFERROR(_xlfn.XLOOKUP(CS7,Leasing!$1:$1,Leasing!33:33),0)</f>
        <v>3.775127404573325</v>
      </c>
      <c r="CT10" s="258">
        <f>IFERROR(_xlfn.XLOOKUP(CT7,Leasing!$1:$1,Leasing!33:33),0)</f>
        <v>3.775127404573325</v>
      </c>
      <c r="CU10" s="258">
        <f>IFERROR(_xlfn.XLOOKUP(CU7,Leasing!$1:$1,Leasing!33:33),0)</f>
        <v>3.775127404573325</v>
      </c>
      <c r="CV10" s="258">
        <f>IFERROR(_xlfn.XLOOKUP(CV7,Leasing!$1:$1,Leasing!33:33),0)</f>
        <v>3.8275750753679127</v>
      </c>
      <c r="CW10" s="258">
        <f>IFERROR(_xlfn.XLOOKUP(CW7,Leasing!$1:$1,Leasing!33:33),0)</f>
        <v>3.8275750753679127</v>
      </c>
      <c r="CX10" s="258">
        <f>IFERROR(_xlfn.XLOOKUP(CX7,Leasing!$1:$1,Leasing!33:33),0)</f>
        <v>3.8275750753679127</v>
      </c>
      <c r="CY10" s="258">
        <f>IFERROR(_xlfn.XLOOKUP(CY7,Leasing!$1:$1,Leasing!33:33),0)</f>
        <v>3.8532450108969001</v>
      </c>
      <c r="CZ10" s="258">
        <f>IFERROR(_xlfn.XLOOKUP(CZ7,Leasing!$1:$1,Leasing!33:33),0)</f>
        <v>3.8532450108969001</v>
      </c>
      <c r="DA10" s="258">
        <f>IFERROR(_xlfn.XLOOKUP(DA7,Leasing!$1:$1,Leasing!33:33),0)</f>
        <v>3.8532450108969001</v>
      </c>
      <c r="DB10" s="258">
        <f>IFERROR(_xlfn.XLOOKUP(DB7,Leasing!$1:$1,Leasing!33:33),0)</f>
        <v>3.952956285468515</v>
      </c>
      <c r="DC10" s="258">
        <f>IFERROR(_xlfn.XLOOKUP(DC7,Leasing!$1:$1,Leasing!33:33),0)</f>
        <v>3.952956285468515</v>
      </c>
      <c r="DD10" s="258">
        <f>IFERROR(_xlfn.XLOOKUP(DD7,Leasing!$1:$1,Leasing!33:33),0)</f>
        <v>3.952956285468515</v>
      </c>
      <c r="DE10" s="258">
        <f>IFERROR(_xlfn.XLOOKUP(DE7,Leasing!$1:$1,Leasing!33:33),0)</f>
        <v>3.9638837748019906</v>
      </c>
      <c r="DF10" s="258">
        <f>IFERROR(_xlfn.XLOOKUP(DF7,Leasing!$1:$1,Leasing!33:33),0)</f>
        <v>3.9638837748019906</v>
      </c>
      <c r="DG10" s="258">
        <f>IFERROR(_xlfn.XLOOKUP(DG7,Leasing!$1:$1,Leasing!33:33),0)</f>
        <v>3.9638837748019906</v>
      </c>
      <c r="DH10" s="258">
        <f>IFERROR(_xlfn.XLOOKUP(DH7,Leasing!$1:$1,Leasing!33:33),0)</f>
        <v>4.0189538291363087</v>
      </c>
      <c r="DI10" s="258">
        <f>IFERROR(_xlfn.XLOOKUP(DI7,Leasing!$1:$1,Leasing!33:33),0)</f>
        <v>4.0189538291363087</v>
      </c>
      <c r="DJ10" s="258">
        <f>IFERROR(_xlfn.XLOOKUP(DJ7,Leasing!$1:$1,Leasing!33:33),0)</f>
        <v>4.0189538291363087</v>
      </c>
      <c r="DK10" s="258">
        <f>IFERROR(_xlfn.XLOOKUP(DK7,Leasing!$1:$1,Leasing!33:33),0)</f>
        <v>4.0459072614417453</v>
      </c>
      <c r="DL10" s="258">
        <f>IFERROR(_xlfn.XLOOKUP(DL7,Leasing!$1:$1,Leasing!33:33),0)</f>
        <v>4.0459072614417453</v>
      </c>
      <c r="DM10" s="258">
        <f>IFERROR(_xlfn.XLOOKUP(DM7,Leasing!$1:$1,Leasing!33:33),0)</f>
        <v>4.0459072614417453</v>
      </c>
      <c r="DN10" s="258">
        <f>IFERROR(_xlfn.XLOOKUP(DN7,Leasing!$1:$1,Leasing!33:33),0)</f>
        <v>4.1506040997419413</v>
      </c>
      <c r="DO10" s="258">
        <f>IFERROR(_xlfn.XLOOKUP(DO7,Leasing!$1:$1,Leasing!33:33),0)</f>
        <v>4.1506040997419413</v>
      </c>
      <c r="DP10" s="258">
        <f>IFERROR(_xlfn.XLOOKUP(DP7,Leasing!$1:$1,Leasing!33:33),0)</f>
        <v>4.1506040997419413</v>
      </c>
      <c r="DQ10" s="258">
        <f>IFERROR(_xlfn.XLOOKUP(DQ7,Leasing!$1:$1,Leasing!33:33),0)</f>
        <v>4.1620779635420906</v>
      </c>
      <c r="DR10" s="258">
        <f>IFERROR(_xlfn.XLOOKUP(DR7,Leasing!$1:$1,Leasing!33:33),0)</f>
        <v>4.1620779635420906</v>
      </c>
      <c r="DS10" s="258">
        <f>IFERROR(_xlfn.XLOOKUP(DS7,Leasing!$1:$1,Leasing!33:33),0)</f>
        <v>4.1620779635420906</v>
      </c>
      <c r="DT10" s="258">
        <f>IFERROR(_xlfn.XLOOKUP(DT7,Leasing!$1:$1,Leasing!33:33),0)</f>
        <v>4.2199015205931243</v>
      </c>
      <c r="DU10" s="258">
        <f>IFERROR(_xlfn.XLOOKUP(DU7,Leasing!$1:$1,Leasing!33:33),0)</f>
        <v>4.2199015205931243</v>
      </c>
      <c r="DV10" s="258">
        <f>IFERROR(_xlfn.XLOOKUP(DV7,Leasing!$1:$1,Leasing!33:33),0)</f>
        <v>4.2199015205931243</v>
      </c>
      <c r="DW10" s="258">
        <f>IFERROR(_xlfn.XLOOKUP(DW7,Leasing!$1:$1,Leasing!33:33),0)</f>
        <v>4.2482026245138327</v>
      </c>
      <c r="DX10" s="258">
        <f>IFERROR(_xlfn.XLOOKUP(DX7,Leasing!$1:$1,Leasing!33:33),0)</f>
        <v>4.2482026245138327</v>
      </c>
      <c r="DY10" s="258">
        <f>IFERROR(_xlfn.XLOOKUP(DY7,Leasing!$1:$1,Leasing!33:33),0)</f>
        <v>4.2482026245138327</v>
      </c>
      <c r="DZ10" s="258">
        <f>IFERROR(_xlfn.XLOOKUP(DZ7,Leasing!$1:$1,Leasing!33:33),0)</f>
        <v>4.3581343047290373</v>
      </c>
      <c r="EA10" s="258">
        <f>IFERROR(_xlfn.XLOOKUP(EA7,Leasing!$1:$1,Leasing!33:33),0)</f>
        <v>4.3581343047290373</v>
      </c>
      <c r="EB10" s="258">
        <f>IFERROR(_xlfn.XLOOKUP(EB7,Leasing!$1:$1,Leasing!33:33),0)</f>
        <v>4.3581343047290373</v>
      </c>
      <c r="EC10" s="258">
        <f>IFERROR(_xlfn.XLOOKUP(EC7,Leasing!$1:$1,Leasing!33:33),0)</f>
        <v>4.3701818617191943</v>
      </c>
      <c r="ED10" s="258">
        <f>IFERROR(_xlfn.XLOOKUP(ED7,Leasing!$1:$1,Leasing!33:33),0)</f>
        <v>4.3701818617191943</v>
      </c>
      <c r="EE10" s="258">
        <f>IFERROR(_xlfn.XLOOKUP(EE7,Leasing!$1:$1,Leasing!33:33),0)</f>
        <v>4.3701818617191943</v>
      </c>
      <c r="EF10" s="258">
        <f>IFERROR(_xlfn.XLOOKUP(EF7,Leasing!$1:$1,Leasing!33:33),0)</f>
        <v>4.4308965966227802</v>
      </c>
      <c r="EG10" s="258">
        <f>IFERROR(_xlfn.XLOOKUP(EG7,Leasing!$1:$1,Leasing!33:33),0)</f>
        <v>4.4308965966227802</v>
      </c>
      <c r="EH10" s="258">
        <f>IFERROR(_xlfn.XLOOKUP(EH7,Leasing!$1:$1,Leasing!33:33),0)</f>
        <v>4.4308965966227802</v>
      </c>
      <c r="EI10" s="258">
        <f>IFERROR(_xlfn.XLOOKUP(EI7,Leasing!$1:$1,Leasing!33:33),0)</f>
        <v>4.4606127557395236</v>
      </c>
      <c r="EJ10" s="258">
        <f>IFERROR(_xlfn.XLOOKUP(EJ7,Leasing!$1:$1,Leasing!33:33),0)</f>
        <v>4.4606127557395236</v>
      </c>
      <c r="EK10" s="258">
        <f>IFERROR(_xlfn.XLOOKUP(EK7,Leasing!$1:$1,Leasing!33:33),0)</f>
        <v>4.4606127557395236</v>
      </c>
      <c r="EL10" s="258">
        <f>IFERROR(_xlfn.XLOOKUP(EL7,Leasing!$1:$1,Leasing!33:33),0)</f>
        <v>4.5760410199654906</v>
      </c>
      <c r="EM10" s="258">
        <f>IFERROR(_xlfn.XLOOKUP(EM7,Leasing!$1:$1,Leasing!33:33),0)</f>
        <v>4.5760410199654906</v>
      </c>
      <c r="EN10" s="258">
        <f>IFERROR(_xlfn.XLOOKUP(EN7,Leasing!$1:$1,Leasing!33:33),0)</f>
        <v>4.5760410199654906</v>
      </c>
      <c r="EO10" s="258">
        <f>IFERROR(_xlfn.XLOOKUP(EO7,Leasing!$1:$1,Leasing!33:33),0)</f>
        <v>4.5886909548051555</v>
      </c>
      <c r="EP10" s="258">
        <f>IFERROR(_xlfn.XLOOKUP(EP7,Leasing!$1:$1,Leasing!33:33),0)</f>
        <v>4.5886909548051555</v>
      </c>
      <c r="EQ10" s="258">
        <f>IFERROR(_xlfn.XLOOKUP(EQ7,Leasing!$1:$1,Leasing!33:33),0)</f>
        <v>4.5886909548051555</v>
      </c>
      <c r="ER10" s="258">
        <f>IFERROR(_xlfn.XLOOKUP(ER7,Leasing!$1:$1,Leasing!33:33),0)</f>
        <v>4.6524414264539189</v>
      </c>
      <c r="ES10" s="258">
        <f>IFERROR(_xlfn.XLOOKUP(ES7,Leasing!$1:$1,Leasing!33:33),0)</f>
        <v>4.6524414264539189</v>
      </c>
      <c r="ET10" s="258">
        <f>IFERROR(_xlfn.XLOOKUP(ET7,Leasing!$1:$1,Leasing!33:33),0)</f>
        <v>4.6524414264539189</v>
      </c>
      <c r="EU10" s="258">
        <f>IFERROR(_xlfn.XLOOKUP(EU7,Leasing!$1:$1,Leasing!33:33),0)</f>
        <v>4.6836433935265003</v>
      </c>
      <c r="EV10" s="258">
        <f>IFERROR(_xlfn.XLOOKUP(EV7,Leasing!$1:$1,Leasing!33:33),0)</f>
        <v>4.6836433935265003</v>
      </c>
      <c r="EW10" s="258">
        <f>IFERROR(_xlfn.XLOOKUP(EW7,Leasing!$1:$1,Leasing!33:33),0)</f>
        <v>4.6836433935265003</v>
      </c>
      <c r="EX10" s="258">
        <f>IFERROR(_xlfn.XLOOKUP(EX7,Leasing!$1:$1,Leasing!33:33),0)</f>
        <v>4.8048430709637646</v>
      </c>
      <c r="EY10" s="258">
        <f>IFERROR(_xlfn.XLOOKUP(EY7,Leasing!$1:$1,Leasing!33:33),0)</f>
        <v>4.8048430709637646</v>
      </c>
      <c r="EZ10" s="258">
        <f>IFERROR(_xlfn.XLOOKUP(EZ7,Leasing!$1:$1,Leasing!33:33),0)</f>
        <v>4.8048430709637646</v>
      </c>
      <c r="FA10" s="258">
        <f>IFERROR(_xlfn.XLOOKUP(FA7,Leasing!$1:$1,Leasing!33:33),0)</f>
        <v>4.8181255025454135</v>
      </c>
      <c r="FB10" s="258">
        <f>IFERROR(_xlfn.XLOOKUP(FB7,Leasing!$1:$1,Leasing!33:33),0)</f>
        <v>4.8181255025454135</v>
      </c>
      <c r="FC10" s="258">
        <f>IFERROR(_xlfn.XLOOKUP(FC7,Leasing!$1:$1,Leasing!33:33),0)</f>
        <v>4.8181255025454135</v>
      </c>
      <c r="FD10" s="258">
        <f>IFERROR(_xlfn.XLOOKUP(FD7,Leasing!$1:$1,Leasing!33:33),0)</f>
        <v>4.8850634977766152</v>
      </c>
      <c r="FE10" s="258">
        <f>IFERROR(_xlfn.XLOOKUP(FE7,Leasing!$1:$1,Leasing!33:33),0)</f>
        <v>4.8850634977766152</v>
      </c>
      <c r="FF10" s="258">
        <f>IFERROR(_xlfn.XLOOKUP(FF7,Leasing!$1:$1,Leasing!33:33),0)</f>
        <v>4.8850634977766152</v>
      </c>
      <c r="FG10" s="258">
        <f>IFERROR(_xlfn.XLOOKUP(FG7,Leasing!$1:$1,Leasing!33:33),0)</f>
        <v>4.9178255632028263</v>
      </c>
      <c r="FH10" s="258">
        <f>IFERROR(_xlfn.XLOOKUP(FH7,Leasing!$1:$1,Leasing!33:33),0)</f>
        <v>4.9178255632028263</v>
      </c>
      <c r="FI10" s="258">
        <f>IFERROR(_xlfn.XLOOKUP(FI7,Leasing!$1:$1,Leasing!33:33),0)</f>
        <v>4.9178255632028263</v>
      </c>
      <c r="FJ10" s="258">
        <f>IFERROR(_xlfn.XLOOKUP(FJ7,Leasing!$1:$1,Leasing!33:33),0)</f>
        <v>5.0450852245119542</v>
      </c>
      <c r="FK10" s="258">
        <f>IFERROR(_xlfn.XLOOKUP(FK7,Leasing!$1:$1,Leasing!33:33),0)</f>
        <v>5.0450852245119542</v>
      </c>
      <c r="FL10" s="258">
        <f>IFERROR(_xlfn.XLOOKUP(FL7,Leasing!$1:$1,Leasing!33:33),0)</f>
        <v>5.0450852245119542</v>
      </c>
      <c r="FM10" s="258">
        <f>IFERROR(_xlfn.XLOOKUP(FM7,Leasing!$1:$1,Leasing!33:33),0)</f>
        <v>5.0590317776726845</v>
      </c>
      <c r="FN10" s="258">
        <f>IFERROR(_xlfn.XLOOKUP(FN7,Leasing!$1:$1,Leasing!33:33),0)</f>
        <v>5.0590317776726845</v>
      </c>
      <c r="FO10" s="258">
        <f>IFERROR(_xlfn.XLOOKUP(FO7,Leasing!$1:$1,Leasing!33:33),0)</f>
        <v>5.0590317776726845</v>
      </c>
      <c r="FP10" s="258">
        <f>IFERROR(_xlfn.XLOOKUP(FP7,Leasing!$1:$1,Leasing!33:33),0)</f>
        <v>5.1293166726654471</v>
      </c>
      <c r="FQ10" s="258">
        <f>IFERROR(_xlfn.XLOOKUP(FQ7,Leasing!$1:$1,Leasing!33:33),0)</f>
        <v>5.1293166726654471</v>
      </c>
      <c r="FR10" s="258">
        <f>IFERROR(_xlfn.XLOOKUP(FR7,Leasing!$1:$1,Leasing!33:33),0)</f>
        <v>5.1293166726654471</v>
      </c>
      <c r="FS10" s="258">
        <f>IFERROR(_xlfn.XLOOKUP(FS7,Leasing!$1:$1,Leasing!33:33),0)</f>
        <v>5.1637168413629686</v>
      </c>
      <c r="FT10" s="258">
        <f>IFERROR(_xlfn.XLOOKUP(FT7,Leasing!$1:$1,Leasing!33:33),0)</f>
        <v>5.1637168413629686</v>
      </c>
      <c r="FU10" s="258">
        <f>IFERROR(_xlfn.XLOOKUP(FU7,Leasing!$1:$1,Leasing!33:33),0)</f>
        <v>5.1637168413629686</v>
      </c>
      <c r="FV10" s="258">
        <f>IFERROR(_xlfn.XLOOKUP(FV7,Leasing!$1:$1,Leasing!33:33),0)</f>
        <v>5.2973394857375515</v>
      </c>
      <c r="FW10" s="258">
        <f>IFERROR(_xlfn.XLOOKUP(FW7,Leasing!$1:$1,Leasing!33:33),0)</f>
        <v>5.2973394857375515</v>
      </c>
      <c r="FX10" s="258">
        <f>IFERROR(_xlfn.XLOOKUP(FX7,Leasing!$1:$1,Leasing!33:33),0)</f>
        <v>5.2973394857375515</v>
      </c>
      <c r="FY10" s="258">
        <f>IFERROR(_xlfn.XLOOKUP(FY7,Leasing!$1:$1,Leasing!33:33),0)</f>
        <v>5.3119833665563192</v>
      </c>
      <c r="FZ10" s="258">
        <f>IFERROR(_xlfn.XLOOKUP(FZ7,Leasing!$1:$1,Leasing!33:33),0)</f>
        <v>5.3119833665563192</v>
      </c>
      <c r="GA10" s="258">
        <f>IFERROR(_xlfn.XLOOKUP(GA7,Leasing!$1:$1,Leasing!33:33),0)</f>
        <v>5.3119833665563192</v>
      </c>
      <c r="GB10" s="258">
        <f>IFERROR(_xlfn.XLOOKUP(GB7,Leasing!$1:$1,Leasing!33:33),0)</f>
        <v>5.3857825062987201</v>
      </c>
      <c r="GC10" s="258">
        <f>IFERROR(_xlfn.XLOOKUP(GC7,Leasing!$1:$1,Leasing!33:33),0)</f>
        <v>5.3857825062987201</v>
      </c>
      <c r="GD10" s="258">
        <f>IFERROR(_xlfn.XLOOKUP(GD7,Leasing!$1:$1,Leasing!33:33),0)</f>
        <v>5.3857825062987201</v>
      </c>
      <c r="GE10" s="258">
        <f>IFERROR(_xlfn.XLOOKUP(GE7,Leasing!$1:$1,Leasing!33:33),0)</f>
        <v>5.4219026834311173</v>
      </c>
      <c r="GF10" s="258">
        <f>IFERROR(_xlfn.XLOOKUP(GF7,Leasing!$1:$1,Leasing!33:33),0)</f>
        <v>5.4219026834311173</v>
      </c>
      <c r="GG10" s="258">
        <f>IFERROR(_xlfn.XLOOKUP(GG7,Leasing!$1:$1,Leasing!33:33),0)</f>
        <v>5.4219026834311173</v>
      </c>
      <c r="GH10" s="258">
        <f>IFERROR(_xlfn.XLOOKUP(GH7,Leasing!$1:$1,Leasing!33:33),0)</f>
        <v>5.5622064600244299</v>
      </c>
      <c r="GI10" s="258">
        <f>IFERROR(_xlfn.XLOOKUP(GI7,Leasing!$1:$1,Leasing!33:33),0)</f>
        <v>5.5622064600244299</v>
      </c>
      <c r="GJ10" s="258">
        <f>IFERROR(_xlfn.XLOOKUP(GJ7,Leasing!$1:$1,Leasing!33:33),0)</f>
        <v>5.5622064600244299</v>
      </c>
      <c r="GK10" s="258">
        <f>IFERROR(_xlfn.XLOOKUP(GK7,Leasing!$1:$1,Leasing!33:33),0)</f>
        <v>5.5775825348841348</v>
      </c>
      <c r="GL10" s="258">
        <f>IFERROR(_xlfn.XLOOKUP(GL7,Leasing!$1:$1,Leasing!33:33),0)</f>
        <v>5.5775825348841348</v>
      </c>
      <c r="GM10" s="258">
        <f>IFERROR(_xlfn.XLOOKUP(GM7,Leasing!$1:$1,Leasing!33:33),0)</f>
        <v>5.5775825348841348</v>
      </c>
      <c r="GN10" s="258">
        <f>IFERROR(_xlfn.XLOOKUP(GN7,Leasing!$1:$1,Leasing!33:33),0)</f>
        <v>5.655071631613656</v>
      </c>
      <c r="GO10" s="258">
        <f>IFERROR(_xlfn.XLOOKUP(GO7,Leasing!$1:$1,Leasing!33:33),0)</f>
        <v>5.655071631613656</v>
      </c>
      <c r="GP10" s="258">
        <f>IFERROR(_xlfn.XLOOKUP(GP7,Leasing!$1:$1,Leasing!33:33),0)</f>
        <v>5.655071631613656</v>
      </c>
      <c r="GQ10" s="258">
        <f>IFERROR(_xlfn.XLOOKUP(GQ7,Leasing!$1:$1,Leasing!33:33),0)</f>
        <v>5.6929978176026728</v>
      </c>
      <c r="GR10" s="258">
        <f>IFERROR(_xlfn.XLOOKUP(GR7,Leasing!$1:$1,Leasing!33:33),0)</f>
        <v>5.6929978176026728</v>
      </c>
      <c r="GS10" s="258">
        <f>IFERROR(_xlfn.XLOOKUP(GS7,Leasing!$1:$1,Leasing!33:33),0)</f>
        <v>5.6929978176026728</v>
      </c>
      <c r="GT10" s="258">
        <f>IFERROR(_xlfn.XLOOKUP(GT7,Leasing!$1:$1,Leasing!33:33),0)</f>
        <v>5.840316783025651</v>
      </c>
      <c r="GU10" s="258">
        <f>IFERROR(_xlfn.XLOOKUP(GU7,Leasing!$1:$1,Leasing!33:33),0)</f>
        <v>5.840316783025651</v>
      </c>
      <c r="GV10" s="258">
        <f>IFERROR(_xlfn.XLOOKUP(GV7,Leasing!$1:$1,Leasing!33:33),0)</f>
        <v>5.840316783025651</v>
      </c>
      <c r="GW10" s="258">
        <f>IFERROR(_xlfn.XLOOKUP(GW7,Leasing!$1:$1,Leasing!33:33),0)</f>
        <v>5.8564616616283427</v>
      </c>
      <c r="GX10" s="258">
        <f>IFERROR(_xlfn.XLOOKUP(GX7,Leasing!$1:$1,Leasing!33:33),0)</f>
        <v>5.8564616616283427</v>
      </c>
      <c r="GY10" s="258">
        <f>IFERROR(_xlfn.XLOOKUP(GY7,Leasing!$1:$1,Leasing!33:33),0)</f>
        <v>5.8564616616283427</v>
      </c>
      <c r="GZ10" s="258">
        <f>IFERROR(_xlfn.XLOOKUP(GZ7,Leasing!$1:$1,Leasing!33:33),0)</f>
        <v>5.9378252131943388</v>
      </c>
      <c r="HA10" s="258">
        <f>IFERROR(_xlfn.XLOOKUP(HA7,Leasing!$1:$1,Leasing!33:33),0)</f>
        <v>5.9378252131943388</v>
      </c>
      <c r="HB10" s="258">
        <f>IFERROR(_xlfn.XLOOKUP(HB7,Leasing!$1:$1,Leasing!33:33),0)</f>
        <v>5.9378252131943388</v>
      </c>
      <c r="HC10" s="258">
        <f>IFERROR(_xlfn.XLOOKUP(HC7,Leasing!$1:$1,Leasing!33:33),0)</f>
        <v>5.9776477084828077</v>
      </c>
      <c r="HD10" s="258">
        <f>IFERROR(_xlfn.XLOOKUP(HD7,Leasing!$1:$1,Leasing!33:33),0)</f>
        <v>5.9776477084828077</v>
      </c>
      <c r="HE10" s="258">
        <f>IFERROR(_xlfn.XLOOKUP(HE7,Leasing!$1:$1,Leasing!33:33),0)</f>
        <v>5.9776477084828077</v>
      </c>
      <c r="HF10" s="258">
        <f>IFERROR(_xlfn.XLOOKUP(HF7,Leasing!$1:$1,Leasing!33:33),0)</f>
        <v>6.1323326221769339</v>
      </c>
      <c r="HG10" s="258">
        <f>IFERROR(_xlfn.XLOOKUP(HG7,Leasing!$1:$1,Leasing!33:33),0)</f>
        <v>6.1323326221769339</v>
      </c>
      <c r="HH10" s="258">
        <f>IFERROR(_xlfn.XLOOKUP(HH7,Leasing!$1:$1,Leasing!33:33),0)</f>
        <v>6.1323326221769339</v>
      </c>
      <c r="HI10" s="258">
        <f>IFERROR(_xlfn.XLOOKUP(HI7,Leasing!$1:$1,Leasing!33:33),0)</f>
        <v>6.1492847447097585</v>
      </c>
      <c r="HJ10" s="258">
        <f>IFERROR(_xlfn.XLOOKUP(HJ7,Leasing!$1:$1,Leasing!33:33),0)</f>
        <v>6.1492847447097585</v>
      </c>
      <c r="HK10" s="258">
        <f>IFERROR(_xlfn.XLOOKUP(HK7,Leasing!$1:$1,Leasing!33:33),0)</f>
        <v>6.1492847447097585</v>
      </c>
      <c r="HL10" s="258">
        <f>IFERROR(_xlfn.XLOOKUP(HL7,Leasing!$1:$1,Leasing!33:33),0)</f>
        <v>6.2347164738540553</v>
      </c>
      <c r="HM10" s="258">
        <f>IFERROR(_xlfn.XLOOKUP(HM7,Leasing!$1:$1,Leasing!33:33),0)</f>
        <v>6.2347164738540553</v>
      </c>
      <c r="HN10" s="258">
        <f>IFERROR(_xlfn.XLOOKUP(HN7,Leasing!$1:$1,Leasing!33:33),0)</f>
        <v>6.2347164738540553</v>
      </c>
      <c r="HO10" s="258">
        <f>IFERROR(_xlfn.XLOOKUP(HO7,Leasing!$1:$1,Leasing!33:33),0)</f>
        <v>6.2765300939069473</v>
      </c>
      <c r="HP10" s="258">
        <f>IFERROR(_xlfn.XLOOKUP(HP7,Leasing!$1:$1,Leasing!33:33),0)</f>
        <v>6.2765300939069473</v>
      </c>
      <c r="HQ10" s="258">
        <f>IFERROR(_xlfn.XLOOKUP(HQ7,Leasing!$1:$1,Leasing!33:33),0)</f>
        <v>6.2765300939069473</v>
      </c>
      <c r="HR10" s="258">
        <f>IFERROR(_xlfn.XLOOKUP(HR7,Leasing!$1:$1,Leasing!33:33),0)</f>
        <v>6.4389492532857808</v>
      </c>
      <c r="HS10" s="258">
        <f>IFERROR(_xlfn.XLOOKUP(HS7,Leasing!$1:$1,Leasing!33:33),0)</f>
        <v>6.4389492532857808</v>
      </c>
      <c r="HT10" s="258">
        <f>IFERROR(_xlfn.XLOOKUP(HT7,Leasing!$1:$1,Leasing!33:33),0)</f>
        <v>6.4389492532857808</v>
      </c>
      <c r="HU10" s="258">
        <f>IFERROR(_xlfn.XLOOKUP(HU7,Leasing!$1:$1,Leasing!33:33),0)</f>
        <v>6.4567489819452479</v>
      </c>
      <c r="HV10" s="258">
        <f>IFERROR(_xlfn.XLOOKUP(HV7,Leasing!$1:$1,Leasing!33:33),0)</f>
        <v>6.4567489819452479</v>
      </c>
      <c r="HW10" s="258">
        <f>IFERROR(_xlfn.XLOOKUP(HW7,Leasing!$1:$1,Leasing!33:33),0)</f>
        <v>6.4567489819452479</v>
      </c>
      <c r="HX10" s="258">
        <f>IFERROR(_xlfn.XLOOKUP(HX7,Leasing!$1:$1,Leasing!33:33),0)</f>
        <v>6.5464522975467601</v>
      </c>
      <c r="HY10" s="258">
        <f>IFERROR(_xlfn.XLOOKUP(HY7,Leasing!$1:$1,Leasing!33:33),0)</f>
        <v>6.5464522975467601</v>
      </c>
      <c r="HZ10" s="258">
        <f>IFERROR(_xlfn.XLOOKUP(HZ7,Leasing!$1:$1,Leasing!33:33),0)</f>
        <v>6.5464522975467601</v>
      </c>
      <c r="IA10" s="258">
        <f>IFERROR(_xlfn.XLOOKUP(IA7,Leasing!$1:$1,Leasing!33:33),0)</f>
        <v>6.5903565986022956</v>
      </c>
      <c r="IB10" s="258">
        <f>IFERROR(_xlfn.XLOOKUP(IB7,Leasing!$1:$1,Leasing!33:33),0)</f>
        <v>6.5903565986022956</v>
      </c>
      <c r="IC10" s="258">
        <f>IFERROR(_xlfn.XLOOKUP(IC7,Leasing!$1:$1,Leasing!33:33),0)</f>
        <v>6.5903565986022956</v>
      </c>
      <c r="ID10" s="258">
        <f>IFERROR(_xlfn.XLOOKUP(ID7,Leasing!$1:$1,Leasing!33:33),0)</f>
        <v>6.7608967159500706</v>
      </c>
      <c r="IE10" s="258">
        <f>IFERROR(_xlfn.XLOOKUP(IE7,Leasing!$1:$1,Leasing!33:33),0)</f>
        <v>6.7608967159500706</v>
      </c>
      <c r="IF10" s="258">
        <f>IFERROR(_xlfn.XLOOKUP(IF7,Leasing!$1:$1,Leasing!33:33),0)</f>
        <v>6.7608967159500706</v>
      </c>
      <c r="IG10" s="258">
        <f>IFERROR(_xlfn.XLOOKUP(IG7,Leasing!$1:$1,Leasing!33:33),0)</f>
        <v>6.7795864310425102</v>
      </c>
      <c r="IH10" s="258">
        <f>IFERROR(_xlfn.XLOOKUP(IH7,Leasing!$1:$1,Leasing!33:33),0)</f>
        <v>6.7795864310425102</v>
      </c>
      <c r="II10" s="258">
        <f>IFERROR(_xlfn.XLOOKUP(II7,Leasing!$1:$1,Leasing!33:33),0)</f>
        <v>6.7795864310425102</v>
      </c>
      <c r="IJ10" s="258">
        <f>IFERROR(_xlfn.XLOOKUP(IJ7,Leasing!$1:$1,Leasing!33:33),0)</f>
        <v>6.8737749124240972</v>
      </c>
      <c r="IK10" s="258">
        <f>IFERROR(_xlfn.XLOOKUP(IK7,Leasing!$1:$1,Leasing!33:33),0)</f>
        <v>6.8737749124240972</v>
      </c>
      <c r="IL10" s="258">
        <f>IFERROR(_xlfn.XLOOKUP(IL7,Leasing!$1:$1,Leasing!33:33),0)</f>
        <v>6.8737749124240972</v>
      </c>
      <c r="IM10" s="258">
        <f>IFERROR(_xlfn.XLOOKUP(IM7,Leasing!$1:$1,Leasing!33:33),0)</f>
        <v>6.9198744285324096</v>
      </c>
      <c r="IN10" s="258">
        <f>IFERROR(_xlfn.XLOOKUP(IN7,Leasing!$1:$1,Leasing!33:33),0)</f>
        <v>6.9198744285324096</v>
      </c>
      <c r="IO10" s="258">
        <f>IFERROR(_xlfn.XLOOKUP(IO7,Leasing!$1:$1,Leasing!33:33),0)</f>
        <v>6.9198744285324096</v>
      </c>
      <c r="IP10" s="258">
        <f>IFERROR(_xlfn.XLOOKUP(IP7,Leasing!$1:$1,Leasing!33:33),0)</f>
        <v>7.0989415517475738</v>
      </c>
      <c r="IQ10" s="258">
        <f>IFERROR(_xlfn.XLOOKUP(IQ7,Leasing!$1:$1,Leasing!33:33),0)</f>
        <v>7.0989415517475738</v>
      </c>
      <c r="IR10" s="258">
        <f>IFERROR(_xlfn.XLOOKUP(IR7,Leasing!$1:$1,Leasing!33:33),0)</f>
        <v>7.0989415517475738</v>
      </c>
      <c r="IS10" s="258">
        <f>IFERROR(_xlfn.XLOOKUP(IS7,Leasing!$1:$1,Leasing!33:33),0)</f>
        <v>7.1185657525946358</v>
      </c>
      <c r="IT10" s="258">
        <f>IFERROR(_xlfn.XLOOKUP(IT7,Leasing!$1:$1,Leasing!33:33),0)</f>
        <v>7.1185657525946358</v>
      </c>
      <c r="IU10" s="258">
        <f>IFERROR(_xlfn.XLOOKUP(IU7,Leasing!$1:$1,Leasing!33:33),0)</f>
        <v>7.1185657525946358</v>
      </c>
      <c r="IV10" s="258">
        <f>IFERROR(_xlfn.XLOOKUP(IV7,Leasing!$1:$1,Leasing!33:33),0)</f>
        <v>5.8955688736334482</v>
      </c>
      <c r="IW10" s="258">
        <f>IFERROR(_xlfn.XLOOKUP(IW7,Leasing!$1:$1,Leasing!33:33),0)</f>
        <v>5.8955688736334482</v>
      </c>
      <c r="IX10" s="258">
        <f>IFERROR(_xlfn.XLOOKUP(IX7,Leasing!$1:$1,Leasing!33:33),0)</f>
        <v>5.8955688736334482</v>
      </c>
      <c r="IY10" s="258">
        <f>IFERROR(_xlfn.XLOOKUP(IY7,Leasing!$1:$1,Leasing!33:33),0)</f>
        <v>5.9439733655471763</v>
      </c>
      <c r="IZ10" s="258">
        <f>IFERROR(_xlfn.XLOOKUP(IZ7,Leasing!$1:$1,Leasing!33:33),0)</f>
        <v>5.9439733655471763</v>
      </c>
      <c r="JA10" s="258">
        <f>IFERROR(_xlfn.XLOOKUP(JA7,Leasing!$1:$1,Leasing!33:33),0)</f>
        <v>5.9439733655471763</v>
      </c>
      <c r="JB10" s="258">
        <f>IFERROR(_xlfn.XLOOKUP(JB7,Leasing!$1:$1,Leasing!33:33),0)</f>
        <v>6.0658991057025062</v>
      </c>
      <c r="JC10" s="258">
        <f>IFERROR(_xlfn.XLOOKUP(JC7,Leasing!$1:$1,Leasing!33:33),0)</f>
        <v>6.0658991057025062</v>
      </c>
      <c r="JD10" s="258">
        <f>IFERROR(_xlfn.XLOOKUP(JD7,Leasing!$1:$1,Leasing!33:33),0)</f>
        <v>6.0658991057025062</v>
      </c>
      <c r="JE10" s="258">
        <f>IFERROR(_xlfn.XLOOKUP(JE7,Leasing!$1:$1,Leasing!33:33),0)</f>
        <v>6.0865045165919218</v>
      </c>
      <c r="JF10" s="258">
        <f>IFERROR(_xlfn.XLOOKUP(JF7,Leasing!$1:$1,Leasing!33:33),0)</f>
        <v>6.0865045165919218</v>
      </c>
      <c r="JG10" s="258">
        <f>IFERROR(_xlfn.XLOOKUP(JG7,Leasing!$1:$1,Leasing!33:33),0)</f>
        <v>6.0865045165919218</v>
      </c>
      <c r="JH10" s="258">
        <f>IFERROR(_xlfn.XLOOKUP(JH7,Leasing!$1:$1,Leasing!33:33),0)</f>
        <v>3.6299067740531994</v>
      </c>
      <c r="JI10" s="258">
        <f>IFERROR(_xlfn.XLOOKUP(JI7,Leasing!$1:$1,Leasing!33:33),0)</f>
        <v>3.6299067740531994</v>
      </c>
      <c r="JJ10" s="258">
        <f>IFERROR(_xlfn.XLOOKUP(JJ7,Leasing!$1:$1,Leasing!33:33),0)</f>
        <v>3.6299067740531994</v>
      </c>
      <c r="JK10" s="258">
        <f>IFERROR(_xlfn.XLOOKUP(JK7,Leasing!$1:$1,Leasing!33:33),0)</f>
        <v>3.6807314905626134</v>
      </c>
      <c r="JL10" s="258">
        <f>IFERROR(_xlfn.XLOOKUP(JL7,Leasing!$1:$1,Leasing!33:33),0)</f>
        <v>3.6807314905626134</v>
      </c>
      <c r="JM10" s="258">
        <f>IFERROR(_xlfn.XLOOKUP(JM7,Leasing!$1:$1,Leasing!33:33),0)</f>
        <v>3.6807314905626134</v>
      </c>
      <c r="JN10" s="258">
        <f>IFERROR(_xlfn.XLOOKUP(JN7,Leasing!$1:$1,Leasing!33:33),0)</f>
        <v>3.6807314905626134</v>
      </c>
      <c r="JO10" s="258">
        <f>IFERROR(_xlfn.XLOOKUP(JO7,Leasing!$1:$1,Leasing!33:33),0)</f>
        <v>3.6807314905626134</v>
      </c>
      <c r="JP10" s="258">
        <f>IFERROR(_xlfn.XLOOKUP(JP7,Leasing!$1:$1,Leasing!33:33),0)</f>
        <v>3.6807314905626134</v>
      </c>
      <c r="JQ10" s="258">
        <f>IFERROR(_xlfn.XLOOKUP(JQ7,Leasing!$1:$1,Leasing!33:33),0)</f>
        <v>2.6350481252987992</v>
      </c>
      <c r="JR10" s="258">
        <f>IFERROR(_xlfn.XLOOKUP(JR7,Leasing!$1:$1,Leasing!33:33),0)</f>
        <v>2.6350481252987992</v>
      </c>
      <c r="JS10" s="258">
        <f>IFERROR(_xlfn.XLOOKUP(JS7,Leasing!$1:$1,Leasing!33:33),0)</f>
        <v>2.6350481252987992</v>
      </c>
      <c r="JT10" s="258">
        <f>IFERROR(_xlfn.XLOOKUP(JT7,Leasing!$1:$1,Leasing!33:33),0)</f>
        <v>2.7440830660581588</v>
      </c>
      <c r="JU10" s="258">
        <f>IFERROR(_xlfn.XLOOKUP(JU7,Leasing!$1:$1,Leasing!33:33),0)</f>
        <v>2.7440830660581588</v>
      </c>
      <c r="JV10" s="258">
        <f>IFERROR(_xlfn.XLOOKUP(JV7,Leasing!$1:$1,Leasing!33:33),0)</f>
        <v>2.7440830660581588</v>
      </c>
      <c r="JW10" s="258">
        <f>IFERROR(_xlfn.XLOOKUP(JW7,Leasing!$1:$1,Leasing!33:33),0)</f>
        <v>2.7440830660581588</v>
      </c>
      <c r="JX10" s="258">
        <f>IFERROR(_xlfn.XLOOKUP(JX7,Leasing!$1:$1,Leasing!33:33),0)</f>
        <v>2.7440830660581588</v>
      </c>
      <c r="JY10" s="258">
        <f>IFERROR(_xlfn.XLOOKUP(JY7,Leasing!$1:$1,Leasing!33:33),0)</f>
        <v>2.7440830660581588</v>
      </c>
      <c r="JZ10" s="258">
        <f>IFERROR(_xlfn.XLOOKUP(JZ7,Leasing!$1:$1,Leasing!33:33),0)</f>
        <v>0.4543493101116034</v>
      </c>
      <c r="KA10" s="258">
        <f>IFERROR(_xlfn.XLOOKUP(KA7,Leasing!$1:$1,Leasing!33:33),0)</f>
        <v>0.4543493101116034</v>
      </c>
      <c r="KB10" s="258">
        <f>IFERROR(_xlfn.XLOOKUP(KB7,Leasing!$1:$1,Leasing!33:33),0)</f>
        <v>0.4543493101116034</v>
      </c>
      <c r="KC10" s="258">
        <f>SUMIF($C$7:$KB$7,"&lt;="&amp;$KC$6,C10:KB10)</f>
        <v>69.02934686304765</v>
      </c>
    </row>
    <row r="11" spans="1:289" x14ac:dyDescent="0.3">
      <c r="A11" s="1" t="s">
        <v>202</v>
      </c>
      <c r="B11" s="257">
        <f>SUM(C11:KB11)</f>
        <v>62.695760639581756</v>
      </c>
      <c r="C11" s="258">
        <f>IFERROR(_xlfn.XLOOKUP(C7,Leasing!$1:$1,Leasing!$42:$42),0)</f>
        <v>0</v>
      </c>
      <c r="D11" s="258">
        <f>IFERROR(_xlfn.XLOOKUP(D7,Leasing!$1:$1,Leasing!$42:$42),0)</f>
        <v>0</v>
      </c>
      <c r="E11" s="258">
        <f>IFERROR(_xlfn.XLOOKUP(E7,Leasing!$1:$1,Leasing!$42:$42),0)</f>
        <v>0</v>
      </c>
      <c r="F11" s="258">
        <f>IFERROR(_xlfn.XLOOKUP(F7,Leasing!$1:$1,Leasing!$42:$42),0)</f>
        <v>0</v>
      </c>
      <c r="G11" s="258">
        <f>IFERROR(_xlfn.XLOOKUP(G7,Leasing!$1:$1,Leasing!$42:$42),0)</f>
        <v>0</v>
      </c>
      <c r="H11" s="258">
        <f>IFERROR(_xlfn.XLOOKUP(H7,Leasing!$1:$1,Leasing!$42:$42),0)</f>
        <v>0</v>
      </c>
      <c r="I11" s="258">
        <f>IFERROR(_xlfn.XLOOKUP(I7,Leasing!$1:$1,Leasing!$42:$42),0)</f>
        <v>0</v>
      </c>
      <c r="J11" s="258">
        <f>IFERROR(_xlfn.XLOOKUP(J7,Leasing!$1:$1,Leasing!$42:$42),0)</f>
        <v>0</v>
      </c>
      <c r="K11" s="258">
        <f>IFERROR(_xlfn.XLOOKUP(K7,Leasing!$1:$1,Leasing!$42:$42),0)</f>
        <v>0</v>
      </c>
      <c r="L11" s="258">
        <f>IFERROR(_xlfn.XLOOKUP(L7,Leasing!$1:$1,Leasing!$42:$42),0)</f>
        <v>0</v>
      </c>
      <c r="M11" s="258">
        <f>IFERROR(_xlfn.XLOOKUP(M7,Leasing!$1:$1,Leasing!$42:$42),0)</f>
        <v>0</v>
      </c>
      <c r="N11" s="258">
        <f>IFERROR(_xlfn.XLOOKUP(N7,Leasing!$1:$1,Leasing!$42:$42),0)</f>
        <v>0</v>
      </c>
      <c r="O11" s="258">
        <f>IFERROR(_xlfn.XLOOKUP(O7,Leasing!$1:$1,Leasing!$42:$42),0)</f>
        <v>0</v>
      </c>
      <c r="P11" s="258">
        <f>IFERROR(_xlfn.XLOOKUP(P7,Leasing!$1:$1,Leasing!$42:$42),0)</f>
        <v>0</v>
      </c>
      <c r="Q11" s="258">
        <f>IFERROR(_xlfn.XLOOKUP(Q7,Leasing!$1:$1,Leasing!$42:$42),0)</f>
        <v>0</v>
      </c>
      <c r="R11" s="258">
        <f>IFERROR(_xlfn.XLOOKUP(R7,Leasing!$1:$1,Leasing!$42:$42),0)</f>
        <v>0</v>
      </c>
      <c r="S11" s="258">
        <f>IFERROR(_xlfn.XLOOKUP(S7,Leasing!$1:$1,Leasing!$42:$42),0)</f>
        <v>0</v>
      </c>
      <c r="T11" s="258">
        <f>IFERROR(_xlfn.XLOOKUP(T7,Leasing!$1:$1,Leasing!$42:$42),0)</f>
        <v>0</v>
      </c>
      <c r="U11" s="258">
        <f>IFERROR(_xlfn.XLOOKUP(U7,Leasing!$1:$1,Leasing!$42:$42),0)</f>
        <v>0</v>
      </c>
      <c r="V11" s="258">
        <f>IFERROR(_xlfn.XLOOKUP(V7,Leasing!$1:$1,Leasing!$42:$42),0)</f>
        <v>2.5517983111949999E-2</v>
      </c>
      <c r="W11" s="258">
        <f>IFERROR(_xlfn.XLOOKUP(W7,Leasing!$1:$1,Leasing!$42:$42),0)</f>
        <v>2.5517983111949995E-2</v>
      </c>
      <c r="X11" s="258">
        <f>IFERROR(_xlfn.XLOOKUP(X7,Leasing!$1:$1,Leasing!$42:$42),0)</f>
        <v>2.5517983111949995E-2</v>
      </c>
      <c r="Y11" s="258">
        <f>IFERROR(_xlfn.XLOOKUP(Y7,Leasing!$1:$1,Leasing!$42:$42),0)</f>
        <v>2.5517983111949995E-2</v>
      </c>
      <c r="Z11" s="258">
        <f>IFERROR(_xlfn.XLOOKUP(Z7,Leasing!$1:$1,Leasing!$42:$42),0)</f>
        <v>2.5517983111949995E-2</v>
      </c>
      <c r="AA11" s="258">
        <f>IFERROR(_xlfn.XLOOKUP(AA7,Leasing!$1:$1,Leasing!$42:$42),0)</f>
        <v>2.5517983111949995E-2</v>
      </c>
      <c r="AB11" s="258">
        <f>IFERROR(_xlfn.XLOOKUP(AB7,Leasing!$1:$1,Leasing!$42:$42),0)</f>
        <v>2.5517983111949995E-2</v>
      </c>
      <c r="AC11" s="258">
        <f>IFERROR(_xlfn.XLOOKUP(AC7,Leasing!$1:$1,Leasing!$42:$42),0)</f>
        <v>2.5517983111949995E-2</v>
      </c>
      <c r="AD11" s="258">
        <f>IFERROR(_xlfn.XLOOKUP(AD7,Leasing!$1:$1,Leasing!$42:$42),0)</f>
        <v>2.5517983111949995E-2</v>
      </c>
      <c r="AE11" s="258">
        <f>IFERROR(_xlfn.XLOOKUP(AE7,Leasing!$1:$1,Leasing!$42:$42),0)</f>
        <v>2.5517983111949995E-2</v>
      </c>
      <c r="AF11" s="258">
        <f>IFERROR(_xlfn.XLOOKUP(AF7,Leasing!$1:$1,Leasing!$42:$42),0)</f>
        <v>2.5517983111949995E-2</v>
      </c>
      <c r="AG11" s="258">
        <f>IFERROR(_xlfn.XLOOKUP(AG7,Leasing!$1:$1,Leasing!$42:$42),0)</f>
        <v>2.5517983111949995E-2</v>
      </c>
      <c r="AH11" s="258">
        <f>IFERROR(_xlfn.XLOOKUP(AH7,Leasing!$1:$1,Leasing!$42:$42),0)</f>
        <v>7.6220870945152494E-2</v>
      </c>
      <c r="AI11" s="258">
        <f>IFERROR(_xlfn.XLOOKUP(AI7,Leasing!$1:$1,Leasing!$42:$42),0)</f>
        <v>7.6220870945152494E-2</v>
      </c>
      <c r="AJ11" s="258">
        <f>IFERROR(_xlfn.XLOOKUP(AJ7,Leasing!$1:$1,Leasing!$42:$42),0)</f>
        <v>7.6220870945152494E-2</v>
      </c>
      <c r="AK11" s="258">
        <f>IFERROR(_xlfn.XLOOKUP(AK7,Leasing!$1:$1,Leasing!$42:$42),0)</f>
        <v>7.6220870945152494E-2</v>
      </c>
      <c r="AL11" s="258">
        <f>IFERROR(_xlfn.XLOOKUP(AL7,Leasing!$1:$1,Leasing!$42:$42),0)</f>
        <v>7.6220870945152494E-2</v>
      </c>
      <c r="AM11" s="258">
        <f>IFERROR(_xlfn.XLOOKUP(AM7,Leasing!$1:$1,Leasing!$42:$42),0)</f>
        <v>7.6220870945152494E-2</v>
      </c>
      <c r="AN11" s="258">
        <f>IFERROR(_xlfn.XLOOKUP(AN7,Leasing!$1:$1,Leasing!$42:$42),0)</f>
        <v>7.6220870945152494E-2</v>
      </c>
      <c r="AO11" s="258">
        <f>IFERROR(_xlfn.XLOOKUP(AO7,Leasing!$1:$1,Leasing!$42:$42),0)</f>
        <v>7.6220870945152494E-2</v>
      </c>
      <c r="AP11" s="258">
        <f>IFERROR(_xlfn.XLOOKUP(AP7,Leasing!$1:$1,Leasing!$42:$42),0)</f>
        <v>7.6220870945152494E-2</v>
      </c>
      <c r="AQ11" s="258">
        <f>IFERROR(_xlfn.XLOOKUP(AQ7,Leasing!$1:$1,Leasing!$42:$42),0)</f>
        <v>9.6824499713392492E-2</v>
      </c>
      <c r="AR11" s="258">
        <f>IFERROR(_xlfn.XLOOKUP(AR7,Leasing!$1:$1,Leasing!$42:$42),0)</f>
        <v>9.6824499713392492E-2</v>
      </c>
      <c r="AS11" s="258">
        <f>IFERROR(_xlfn.XLOOKUP(AS7,Leasing!$1:$1,Leasing!$42:$42),0)</f>
        <v>9.6824499713392492E-2</v>
      </c>
      <c r="AT11" s="258">
        <f>IFERROR(_xlfn.XLOOKUP(AT7,Leasing!$1:$1,Leasing!$42:$42),0)</f>
        <v>0.10063554326065012</v>
      </c>
      <c r="AU11" s="258">
        <f>IFERROR(_xlfn.XLOOKUP(AU7,Leasing!$1:$1,Leasing!$42:$42),0)</f>
        <v>0.10063554326065012</v>
      </c>
      <c r="AV11" s="258">
        <f>IFERROR(_xlfn.XLOOKUP(AV7,Leasing!$1:$1,Leasing!$42:$42),0)</f>
        <v>0.10063554326065012</v>
      </c>
      <c r="AW11" s="258">
        <f>IFERROR(_xlfn.XLOOKUP(AW7,Leasing!$1:$1,Leasing!$42:$42),0)</f>
        <v>0.10063554326065012</v>
      </c>
      <c r="AX11" s="258">
        <f>IFERROR(_xlfn.XLOOKUP(AX7,Leasing!$1:$1,Leasing!$42:$42),0)</f>
        <v>0.10063554326065012</v>
      </c>
      <c r="AY11" s="258">
        <f>IFERROR(_xlfn.XLOOKUP(AY7,Leasing!$1:$1,Leasing!$42:$42),0)</f>
        <v>0.10063554326065012</v>
      </c>
      <c r="AZ11" s="258">
        <f>IFERROR(_xlfn.XLOOKUP(AZ7,Leasing!$1:$1,Leasing!$42:$42),0)</f>
        <v>0.14483678227310512</v>
      </c>
      <c r="BA11" s="258">
        <f>IFERROR(_xlfn.XLOOKUP(BA7,Leasing!$1:$1,Leasing!$42:$42),0)</f>
        <v>0.14483678227310512</v>
      </c>
      <c r="BB11" s="258">
        <f>IFERROR(_xlfn.XLOOKUP(BB7,Leasing!$1:$1,Leasing!$42:$42),0)</f>
        <v>0.14483678227310512</v>
      </c>
      <c r="BC11" s="258">
        <f>IFERROR(_xlfn.XLOOKUP(BC7,Leasing!$1:$1,Leasing!$42:$42),0)</f>
        <v>0.14586696371151714</v>
      </c>
      <c r="BD11" s="258">
        <f>IFERROR(_xlfn.XLOOKUP(BD7,Leasing!$1:$1,Leasing!$42:$42),0)</f>
        <v>0.14586696371151714</v>
      </c>
      <c r="BE11" s="258">
        <f>IFERROR(_xlfn.XLOOKUP(BE7,Leasing!$1:$1,Leasing!$42:$42),0)</f>
        <v>0.14586696371151714</v>
      </c>
      <c r="BF11" s="258">
        <f>IFERROR(_xlfn.XLOOKUP(BF7,Leasing!$1:$1,Leasing!$42:$42),0)</f>
        <v>0.14986855943613767</v>
      </c>
      <c r="BG11" s="258">
        <f>IFERROR(_xlfn.XLOOKUP(BG7,Leasing!$1:$1,Leasing!$42:$42),0)</f>
        <v>0.14986855943613767</v>
      </c>
      <c r="BH11" s="258">
        <f>IFERROR(_xlfn.XLOOKUP(BH7,Leasing!$1:$1,Leasing!$42:$42),0)</f>
        <v>0.14986855943613767</v>
      </c>
      <c r="BI11" s="258">
        <f>IFERROR(_xlfn.XLOOKUP(BI7,Leasing!$1:$1,Leasing!$42:$42),0)</f>
        <v>0.15907790201546268</v>
      </c>
      <c r="BJ11" s="258">
        <f>IFERROR(_xlfn.XLOOKUP(BJ7,Leasing!$1:$1,Leasing!$42:$42),0)</f>
        <v>0.15907790201546268</v>
      </c>
      <c r="BK11" s="258">
        <f>IFERROR(_xlfn.XLOOKUP(BK7,Leasing!$1:$1,Leasing!$42:$42),0)</f>
        <v>0.15907790201546268</v>
      </c>
      <c r="BL11" s="258">
        <f>IFERROR(_xlfn.XLOOKUP(BL7,Leasing!$1:$1,Leasing!$42:$42),0)</f>
        <v>0.16128796396608541</v>
      </c>
      <c r="BM11" s="258">
        <f>IFERROR(_xlfn.XLOOKUP(BM7,Leasing!$1:$1,Leasing!$42:$42),0)</f>
        <v>0.16128796396608541</v>
      </c>
      <c r="BN11" s="258">
        <f>IFERROR(_xlfn.XLOOKUP(BN7,Leasing!$1:$1,Leasing!$42:$42),0)</f>
        <v>0.16128796396608541</v>
      </c>
      <c r="BO11" s="258">
        <f>IFERROR(_xlfn.XLOOKUP(BO7,Leasing!$1:$1,Leasing!$42:$42),0)</f>
        <v>0.16236965447641805</v>
      </c>
      <c r="BP11" s="258">
        <f>IFERROR(_xlfn.XLOOKUP(BP7,Leasing!$1:$1,Leasing!$42:$42),0)</f>
        <v>0.16236965447641805</v>
      </c>
      <c r="BQ11" s="258">
        <f>IFERROR(_xlfn.XLOOKUP(BQ7,Leasing!$1:$1,Leasing!$42:$42),0)</f>
        <v>0.16236965447641805</v>
      </c>
      <c r="BR11" s="258">
        <f>IFERROR(_xlfn.XLOOKUP(BR7,Leasing!$1:$1,Leasing!$42:$42),0)</f>
        <v>0.16657132998726953</v>
      </c>
      <c r="BS11" s="258">
        <f>IFERROR(_xlfn.XLOOKUP(BS7,Leasing!$1:$1,Leasing!$42:$42),0)</f>
        <v>0.16657132998726953</v>
      </c>
      <c r="BT11" s="258">
        <f>IFERROR(_xlfn.XLOOKUP(BT7,Leasing!$1:$1,Leasing!$42:$42),0)</f>
        <v>0.16657132998726953</v>
      </c>
      <c r="BU11" s="258">
        <f>IFERROR(_xlfn.XLOOKUP(BU7,Leasing!$1:$1,Leasing!$42:$42),0)</f>
        <v>0.16703179711623581</v>
      </c>
      <c r="BV11" s="258">
        <f>IFERROR(_xlfn.XLOOKUP(BV7,Leasing!$1:$1,Leasing!$42:$42),0)</f>
        <v>0.16703179711623581</v>
      </c>
      <c r="BW11" s="258">
        <f>IFERROR(_xlfn.XLOOKUP(BW7,Leasing!$1:$1,Leasing!$42:$42),0)</f>
        <v>0.16703179711623581</v>
      </c>
      <c r="BX11" s="258">
        <f>IFERROR(_xlfn.XLOOKUP(BX7,Leasing!$1:$1,Leasing!$42:$42),0)</f>
        <v>0.16935236216438967</v>
      </c>
      <c r="BY11" s="258">
        <f>IFERROR(_xlfn.XLOOKUP(BY7,Leasing!$1:$1,Leasing!$42:$42),0)</f>
        <v>0.16935236216438967</v>
      </c>
      <c r="BZ11" s="258">
        <f>IFERROR(_xlfn.XLOOKUP(BZ7,Leasing!$1:$1,Leasing!$42:$42),0)</f>
        <v>0.16935236216438967</v>
      </c>
      <c r="CA11" s="258">
        <f>IFERROR(_xlfn.XLOOKUP(CA7,Leasing!$1:$1,Leasing!$42:$42),0)</f>
        <v>0.17048813720023895</v>
      </c>
      <c r="CB11" s="258">
        <f>IFERROR(_xlfn.XLOOKUP(CB7,Leasing!$1:$1,Leasing!$42:$42),0)</f>
        <v>0.17048813720023895</v>
      </c>
      <c r="CC11" s="258">
        <f>IFERROR(_xlfn.XLOOKUP(CC7,Leasing!$1:$1,Leasing!$42:$42),0)</f>
        <v>0.17048813720023895</v>
      </c>
      <c r="CD11" s="258">
        <f>IFERROR(_xlfn.XLOOKUP(CD7,Leasing!$1:$1,Leasing!$42:$42),0)</f>
        <v>0.17489989648663304</v>
      </c>
      <c r="CE11" s="258">
        <f>IFERROR(_xlfn.XLOOKUP(CE7,Leasing!$1:$1,Leasing!$42:$42),0)</f>
        <v>0.17489989648663304</v>
      </c>
      <c r="CF11" s="258">
        <f>IFERROR(_xlfn.XLOOKUP(CF7,Leasing!$1:$1,Leasing!$42:$42),0)</f>
        <v>0.17489989648663304</v>
      </c>
      <c r="CG11" s="258">
        <f>IFERROR(_xlfn.XLOOKUP(CG7,Leasing!$1:$1,Leasing!$42:$42),0)</f>
        <v>0.17538338697204758</v>
      </c>
      <c r="CH11" s="258">
        <f>IFERROR(_xlfn.XLOOKUP(CH7,Leasing!$1:$1,Leasing!$42:$42),0)</f>
        <v>0.17538338697204758</v>
      </c>
      <c r="CI11" s="258">
        <f>IFERROR(_xlfn.XLOOKUP(CI7,Leasing!$1:$1,Leasing!$42:$42),0)</f>
        <v>0.17538338697204758</v>
      </c>
      <c r="CJ11" s="258">
        <f>IFERROR(_xlfn.XLOOKUP(CJ7,Leasing!$1:$1,Leasing!$42:$42),0)</f>
        <v>0.17781998027260915</v>
      </c>
      <c r="CK11" s="258">
        <f>IFERROR(_xlfn.XLOOKUP(CK7,Leasing!$1:$1,Leasing!$42:$42),0)</f>
        <v>0.17781998027260915</v>
      </c>
      <c r="CL11" s="258">
        <f>IFERROR(_xlfn.XLOOKUP(CL7,Leasing!$1:$1,Leasing!$42:$42),0)</f>
        <v>0.17781998027260915</v>
      </c>
      <c r="CM11" s="258">
        <f>IFERROR(_xlfn.XLOOKUP(CM7,Leasing!$1:$1,Leasing!$42:$42),0)</f>
        <v>0.17901254406025086</v>
      </c>
      <c r="CN11" s="258">
        <f>IFERROR(_xlfn.XLOOKUP(CN7,Leasing!$1:$1,Leasing!$42:$42),0)</f>
        <v>0.17901254406025086</v>
      </c>
      <c r="CO11" s="258">
        <f>IFERROR(_xlfn.XLOOKUP(CO7,Leasing!$1:$1,Leasing!$42:$42),0)</f>
        <v>0.17901254406025086</v>
      </c>
      <c r="CP11" s="258">
        <f>IFERROR(_xlfn.XLOOKUP(CP7,Leasing!$1:$1,Leasing!$42:$42),0)</f>
        <v>0.18364489131096468</v>
      </c>
      <c r="CQ11" s="258">
        <f>IFERROR(_xlfn.XLOOKUP(CQ7,Leasing!$1:$1,Leasing!$42:$42),0)</f>
        <v>0.18364489131096468</v>
      </c>
      <c r="CR11" s="258">
        <f>IFERROR(_xlfn.XLOOKUP(CR7,Leasing!$1:$1,Leasing!$42:$42),0)</f>
        <v>0.18364489131096468</v>
      </c>
      <c r="CS11" s="258">
        <f>IFERROR(_xlfn.XLOOKUP(CS7,Leasing!$1:$1,Leasing!$42:$42),0)</f>
        <v>0.18415255632064997</v>
      </c>
      <c r="CT11" s="258">
        <f>IFERROR(_xlfn.XLOOKUP(CT7,Leasing!$1:$1,Leasing!$42:$42),0)</f>
        <v>0.18415255632064997</v>
      </c>
      <c r="CU11" s="258">
        <f>IFERROR(_xlfn.XLOOKUP(CU7,Leasing!$1:$1,Leasing!$42:$42),0)</f>
        <v>0.18415255632064997</v>
      </c>
      <c r="CV11" s="258">
        <f>IFERROR(_xlfn.XLOOKUP(CV7,Leasing!$1:$1,Leasing!$42:$42),0)</f>
        <v>0.18671097928623964</v>
      </c>
      <c r="CW11" s="258">
        <f>IFERROR(_xlfn.XLOOKUP(CW7,Leasing!$1:$1,Leasing!$42:$42),0)</f>
        <v>0.18671097928623964</v>
      </c>
      <c r="CX11" s="258">
        <f>IFERROR(_xlfn.XLOOKUP(CX7,Leasing!$1:$1,Leasing!$42:$42),0)</f>
        <v>0.18671097928623964</v>
      </c>
      <c r="CY11" s="258">
        <f>IFERROR(_xlfn.XLOOKUP(CY7,Leasing!$1:$1,Leasing!$42:$42),0)</f>
        <v>0.1879631712632634</v>
      </c>
      <c r="CZ11" s="258">
        <f>IFERROR(_xlfn.XLOOKUP(CZ7,Leasing!$1:$1,Leasing!$42:$42),0)</f>
        <v>0.1879631712632634</v>
      </c>
      <c r="DA11" s="258">
        <f>IFERROR(_xlfn.XLOOKUP(DA7,Leasing!$1:$1,Leasing!$42:$42),0)</f>
        <v>0.1879631712632634</v>
      </c>
      <c r="DB11" s="258">
        <f>IFERROR(_xlfn.XLOOKUP(DB7,Leasing!$1:$1,Leasing!$42:$42),0)</f>
        <v>0.1928271358765129</v>
      </c>
      <c r="DC11" s="258">
        <f>IFERROR(_xlfn.XLOOKUP(DC7,Leasing!$1:$1,Leasing!$42:$42),0)</f>
        <v>0.1928271358765129</v>
      </c>
      <c r="DD11" s="258">
        <f>IFERROR(_xlfn.XLOOKUP(DD7,Leasing!$1:$1,Leasing!$42:$42),0)</f>
        <v>0.1928271358765129</v>
      </c>
      <c r="DE11" s="258">
        <f>IFERROR(_xlfn.XLOOKUP(DE7,Leasing!$1:$1,Leasing!$42:$42),0)</f>
        <v>0.19336018413668246</v>
      </c>
      <c r="DF11" s="258">
        <f>IFERROR(_xlfn.XLOOKUP(DF7,Leasing!$1:$1,Leasing!$42:$42),0)</f>
        <v>0.19336018413668246</v>
      </c>
      <c r="DG11" s="258">
        <f>IFERROR(_xlfn.XLOOKUP(DG7,Leasing!$1:$1,Leasing!$42:$42),0)</f>
        <v>0.19336018413668246</v>
      </c>
      <c r="DH11" s="258">
        <f>IFERROR(_xlfn.XLOOKUP(DH7,Leasing!$1:$1,Leasing!$42:$42),0)</f>
        <v>0.1960465282505516</v>
      </c>
      <c r="DI11" s="258">
        <f>IFERROR(_xlfn.XLOOKUP(DI7,Leasing!$1:$1,Leasing!$42:$42),0)</f>
        <v>0.1960465282505516</v>
      </c>
      <c r="DJ11" s="258">
        <f>IFERROR(_xlfn.XLOOKUP(DJ7,Leasing!$1:$1,Leasing!$42:$42),0)</f>
        <v>0.1960465282505516</v>
      </c>
      <c r="DK11" s="258">
        <f>IFERROR(_xlfn.XLOOKUP(DK7,Leasing!$1:$1,Leasing!$42:$42),0)</f>
        <v>0.19736132982642657</v>
      </c>
      <c r="DL11" s="258">
        <f>IFERROR(_xlfn.XLOOKUP(DL7,Leasing!$1:$1,Leasing!$42:$42),0)</f>
        <v>0.19736132982642657</v>
      </c>
      <c r="DM11" s="258">
        <f>IFERROR(_xlfn.XLOOKUP(DM7,Leasing!$1:$1,Leasing!$42:$42),0)</f>
        <v>0.19736132982642657</v>
      </c>
      <c r="DN11" s="258">
        <f>IFERROR(_xlfn.XLOOKUP(DN7,Leasing!$1:$1,Leasing!$42:$42),0)</f>
        <v>0.20246849267033856</v>
      </c>
      <c r="DO11" s="258">
        <f>IFERROR(_xlfn.XLOOKUP(DO7,Leasing!$1:$1,Leasing!$42:$42),0)</f>
        <v>0.20246849267033856</v>
      </c>
      <c r="DP11" s="258">
        <f>IFERROR(_xlfn.XLOOKUP(DP7,Leasing!$1:$1,Leasing!$42:$42),0)</f>
        <v>0.20246849267033856</v>
      </c>
      <c r="DQ11" s="258">
        <f>IFERROR(_xlfn.XLOOKUP(DQ7,Leasing!$1:$1,Leasing!$42:$42),0)</f>
        <v>0.2030281933435166</v>
      </c>
      <c r="DR11" s="258">
        <f>IFERROR(_xlfn.XLOOKUP(DR7,Leasing!$1:$1,Leasing!$42:$42),0)</f>
        <v>0.2030281933435166</v>
      </c>
      <c r="DS11" s="258">
        <f>IFERROR(_xlfn.XLOOKUP(DS7,Leasing!$1:$1,Leasing!$42:$42),0)</f>
        <v>0.2030281933435166</v>
      </c>
      <c r="DT11" s="258">
        <f>IFERROR(_xlfn.XLOOKUP(DT7,Leasing!$1:$1,Leasing!$42:$42),0)</f>
        <v>0.2058488546630792</v>
      </c>
      <c r="DU11" s="258">
        <f>IFERROR(_xlfn.XLOOKUP(DU7,Leasing!$1:$1,Leasing!$42:$42),0)</f>
        <v>0.2058488546630792</v>
      </c>
      <c r="DV11" s="258">
        <f>IFERROR(_xlfn.XLOOKUP(DV7,Leasing!$1:$1,Leasing!$42:$42),0)</f>
        <v>0.2058488546630792</v>
      </c>
      <c r="DW11" s="258">
        <f>IFERROR(_xlfn.XLOOKUP(DW7,Leasing!$1:$1,Leasing!$42:$42),0)</f>
        <v>0.20722939631774789</v>
      </c>
      <c r="DX11" s="258">
        <f>IFERROR(_xlfn.XLOOKUP(DX7,Leasing!$1:$1,Leasing!$42:$42),0)</f>
        <v>0.20722939631774789</v>
      </c>
      <c r="DY11" s="258">
        <f>IFERROR(_xlfn.XLOOKUP(DY7,Leasing!$1:$1,Leasing!$42:$42),0)</f>
        <v>0.20722939631774789</v>
      </c>
      <c r="DZ11" s="258">
        <f>IFERROR(_xlfn.XLOOKUP(DZ7,Leasing!$1:$1,Leasing!$42:$42),0)</f>
        <v>0.21259191730385552</v>
      </c>
      <c r="EA11" s="258">
        <f>IFERROR(_xlfn.XLOOKUP(EA7,Leasing!$1:$1,Leasing!$42:$42),0)</f>
        <v>0.21259191730385552</v>
      </c>
      <c r="EB11" s="258">
        <f>IFERROR(_xlfn.XLOOKUP(EB7,Leasing!$1:$1,Leasing!$42:$42),0)</f>
        <v>0.21259191730385552</v>
      </c>
      <c r="EC11" s="258">
        <f>IFERROR(_xlfn.XLOOKUP(EC7,Leasing!$1:$1,Leasing!$42:$42),0)</f>
        <v>0.21317960301069244</v>
      </c>
      <c r="ED11" s="258">
        <f>IFERROR(_xlfn.XLOOKUP(ED7,Leasing!$1:$1,Leasing!$42:$42),0)</f>
        <v>0.21317960301069244</v>
      </c>
      <c r="EE11" s="258">
        <f>IFERROR(_xlfn.XLOOKUP(EE7,Leasing!$1:$1,Leasing!$42:$42),0)</f>
        <v>0.21317960301069244</v>
      </c>
      <c r="EF11" s="258">
        <f>IFERROR(_xlfn.XLOOKUP(EF7,Leasing!$1:$1,Leasing!$42:$42),0)</f>
        <v>0.21614129739623317</v>
      </c>
      <c r="EG11" s="258">
        <f>IFERROR(_xlfn.XLOOKUP(EG7,Leasing!$1:$1,Leasing!$42:$42),0)</f>
        <v>0.21614129739623317</v>
      </c>
      <c r="EH11" s="258">
        <f>IFERROR(_xlfn.XLOOKUP(EH7,Leasing!$1:$1,Leasing!$42:$42),0)</f>
        <v>0.21614129739623317</v>
      </c>
      <c r="EI11" s="258">
        <f>IFERROR(_xlfn.XLOOKUP(EI7,Leasing!$1:$1,Leasing!$42:$42),0)</f>
        <v>0.21759086613363532</v>
      </c>
      <c r="EJ11" s="258">
        <f>IFERROR(_xlfn.XLOOKUP(EJ7,Leasing!$1:$1,Leasing!$42:$42),0)</f>
        <v>0.21759086613363532</v>
      </c>
      <c r="EK11" s="258">
        <f>IFERROR(_xlfn.XLOOKUP(EK7,Leasing!$1:$1,Leasing!$42:$42),0)</f>
        <v>0.21759086613363532</v>
      </c>
      <c r="EL11" s="258">
        <f>IFERROR(_xlfn.XLOOKUP(EL7,Leasing!$1:$1,Leasing!$42:$42),0)</f>
        <v>0.22322151316904826</v>
      </c>
      <c r="EM11" s="258">
        <f>IFERROR(_xlfn.XLOOKUP(EM7,Leasing!$1:$1,Leasing!$42:$42),0)</f>
        <v>0.22322151316904826</v>
      </c>
      <c r="EN11" s="258">
        <f>IFERROR(_xlfn.XLOOKUP(EN7,Leasing!$1:$1,Leasing!$42:$42),0)</f>
        <v>0.22322151316904826</v>
      </c>
      <c r="EO11" s="258">
        <f>IFERROR(_xlfn.XLOOKUP(EO7,Leasing!$1:$1,Leasing!$42:$42),0)</f>
        <v>0.22383858316122704</v>
      </c>
      <c r="EP11" s="258">
        <f>IFERROR(_xlfn.XLOOKUP(EP7,Leasing!$1:$1,Leasing!$42:$42),0)</f>
        <v>0.22383858316122704</v>
      </c>
      <c r="EQ11" s="258">
        <f>IFERROR(_xlfn.XLOOKUP(EQ7,Leasing!$1:$1,Leasing!$42:$42),0)</f>
        <v>0.22383858316122704</v>
      </c>
      <c r="ER11" s="258">
        <f>IFERROR(_xlfn.XLOOKUP(ER7,Leasing!$1:$1,Leasing!$42:$42),0)</f>
        <v>0.22694836226604484</v>
      </c>
      <c r="ES11" s="258">
        <f>IFERROR(_xlfn.XLOOKUP(ES7,Leasing!$1:$1,Leasing!$42:$42),0)</f>
        <v>0.22694836226604484</v>
      </c>
      <c r="ET11" s="258">
        <f>IFERROR(_xlfn.XLOOKUP(ET7,Leasing!$1:$1,Leasing!$42:$42),0)</f>
        <v>0.22694836226604484</v>
      </c>
      <c r="EU11" s="258">
        <f>IFERROR(_xlfn.XLOOKUP(EU7,Leasing!$1:$1,Leasing!$42:$42),0)</f>
        <v>0.22847040944031707</v>
      </c>
      <c r="EV11" s="258">
        <f>IFERROR(_xlfn.XLOOKUP(EV7,Leasing!$1:$1,Leasing!$42:$42),0)</f>
        <v>0.22847040944031707</v>
      </c>
      <c r="EW11" s="258">
        <f>IFERROR(_xlfn.XLOOKUP(EW7,Leasing!$1:$1,Leasing!$42:$42),0)</f>
        <v>0.22847040944031707</v>
      </c>
      <c r="EX11" s="258">
        <f>IFERROR(_xlfn.XLOOKUP(EX7,Leasing!$1:$1,Leasing!$42:$42),0)</f>
        <v>0.23438258882750071</v>
      </c>
      <c r="EY11" s="258">
        <f>IFERROR(_xlfn.XLOOKUP(EY7,Leasing!$1:$1,Leasing!$42:$42),0)</f>
        <v>0.23438258882750071</v>
      </c>
      <c r="EZ11" s="258">
        <f>IFERROR(_xlfn.XLOOKUP(EZ7,Leasing!$1:$1,Leasing!$42:$42),0)</f>
        <v>0.23438258882750071</v>
      </c>
      <c r="FA11" s="258">
        <f>IFERROR(_xlfn.XLOOKUP(FA7,Leasing!$1:$1,Leasing!$42:$42),0)</f>
        <v>0.23503051231928843</v>
      </c>
      <c r="FB11" s="258">
        <f>IFERROR(_xlfn.XLOOKUP(FB7,Leasing!$1:$1,Leasing!$42:$42),0)</f>
        <v>0.23503051231928843</v>
      </c>
      <c r="FC11" s="258">
        <f>IFERROR(_xlfn.XLOOKUP(FC7,Leasing!$1:$1,Leasing!$42:$42),0)</f>
        <v>0.23503051231928843</v>
      </c>
      <c r="FD11" s="258">
        <f>IFERROR(_xlfn.XLOOKUP(FD7,Leasing!$1:$1,Leasing!$42:$42),0)</f>
        <v>0.23829578037934709</v>
      </c>
      <c r="FE11" s="258">
        <f>IFERROR(_xlfn.XLOOKUP(FE7,Leasing!$1:$1,Leasing!$42:$42),0)</f>
        <v>0.23829578037934709</v>
      </c>
      <c r="FF11" s="258">
        <f>IFERROR(_xlfn.XLOOKUP(FF7,Leasing!$1:$1,Leasing!$42:$42),0)</f>
        <v>0.23829578037934709</v>
      </c>
      <c r="FG11" s="258">
        <f>IFERROR(_xlfn.XLOOKUP(FG7,Leasing!$1:$1,Leasing!$42:$42),0)</f>
        <v>0.23989392991233296</v>
      </c>
      <c r="FH11" s="258">
        <f>IFERROR(_xlfn.XLOOKUP(FH7,Leasing!$1:$1,Leasing!$42:$42),0)</f>
        <v>0.23989392991233296</v>
      </c>
      <c r="FI11" s="258">
        <f>IFERROR(_xlfn.XLOOKUP(FI7,Leasing!$1:$1,Leasing!$42:$42),0)</f>
        <v>0.23989392991233296</v>
      </c>
      <c r="FJ11" s="258">
        <f>IFERROR(_xlfn.XLOOKUP(FJ7,Leasing!$1:$1,Leasing!$42:$42),0)</f>
        <v>0.24610171826887581</v>
      </c>
      <c r="FK11" s="258">
        <f>IFERROR(_xlfn.XLOOKUP(FK7,Leasing!$1:$1,Leasing!$42:$42),0)</f>
        <v>0.24610171826887581</v>
      </c>
      <c r="FL11" s="258">
        <f>IFERROR(_xlfn.XLOOKUP(FL7,Leasing!$1:$1,Leasing!$42:$42),0)</f>
        <v>0.24610171826887581</v>
      </c>
      <c r="FM11" s="258">
        <f>IFERROR(_xlfn.XLOOKUP(FM7,Leasing!$1:$1,Leasing!$42:$42),0)</f>
        <v>0.24678203793525291</v>
      </c>
      <c r="FN11" s="258">
        <f>IFERROR(_xlfn.XLOOKUP(FN7,Leasing!$1:$1,Leasing!$42:$42),0)</f>
        <v>0.24678203793525291</v>
      </c>
      <c r="FO11" s="258">
        <f>IFERROR(_xlfn.XLOOKUP(FO7,Leasing!$1:$1,Leasing!$42:$42),0)</f>
        <v>0.24678203793525291</v>
      </c>
      <c r="FP11" s="258">
        <f>IFERROR(_xlfn.XLOOKUP(FP7,Leasing!$1:$1,Leasing!$42:$42),0)</f>
        <v>0.25021056939831454</v>
      </c>
      <c r="FQ11" s="258">
        <f>IFERROR(_xlfn.XLOOKUP(FQ7,Leasing!$1:$1,Leasing!$42:$42),0)</f>
        <v>0.25021056939831454</v>
      </c>
      <c r="FR11" s="258">
        <f>IFERROR(_xlfn.XLOOKUP(FR7,Leasing!$1:$1,Leasing!$42:$42),0)</f>
        <v>0.25021056939831454</v>
      </c>
      <c r="FS11" s="258">
        <f>IFERROR(_xlfn.XLOOKUP(FS7,Leasing!$1:$1,Leasing!$42:$42),0)</f>
        <v>0.25188862640794968</v>
      </c>
      <c r="FT11" s="258">
        <f>IFERROR(_xlfn.XLOOKUP(FT7,Leasing!$1:$1,Leasing!$42:$42),0)</f>
        <v>0.25188862640794968</v>
      </c>
      <c r="FU11" s="258">
        <f>IFERROR(_xlfn.XLOOKUP(FU7,Leasing!$1:$1,Leasing!$42:$42),0)</f>
        <v>0.25188862640794968</v>
      </c>
      <c r="FV11" s="258">
        <f>IFERROR(_xlfn.XLOOKUP(FV7,Leasing!$1:$1,Leasing!$42:$42),0)</f>
        <v>0.25840680418231959</v>
      </c>
      <c r="FW11" s="258">
        <f>IFERROR(_xlfn.XLOOKUP(FW7,Leasing!$1:$1,Leasing!$42:$42),0)</f>
        <v>0.25840680418231959</v>
      </c>
      <c r="FX11" s="258">
        <f>IFERROR(_xlfn.XLOOKUP(FX7,Leasing!$1:$1,Leasing!$42:$42),0)</f>
        <v>0.25840680418231959</v>
      </c>
      <c r="FY11" s="258">
        <f>IFERROR(_xlfn.XLOOKUP(FY7,Leasing!$1:$1,Leasing!$42:$42),0)</f>
        <v>0.25912113983201551</v>
      </c>
      <c r="FZ11" s="258">
        <f>IFERROR(_xlfn.XLOOKUP(FZ7,Leasing!$1:$1,Leasing!$42:$42),0)</f>
        <v>0.25912113983201551</v>
      </c>
      <c r="GA11" s="258">
        <f>IFERROR(_xlfn.XLOOKUP(GA7,Leasing!$1:$1,Leasing!$42:$42),0)</f>
        <v>0.25912113983201551</v>
      </c>
      <c r="GB11" s="258">
        <f>IFERROR(_xlfn.XLOOKUP(GB7,Leasing!$1:$1,Leasing!$42:$42),0)</f>
        <v>0.26272109786823022</v>
      </c>
      <c r="GC11" s="258">
        <f>IFERROR(_xlfn.XLOOKUP(GC7,Leasing!$1:$1,Leasing!$42:$42),0)</f>
        <v>0.26272109786823022</v>
      </c>
      <c r="GD11" s="258">
        <f>IFERROR(_xlfn.XLOOKUP(GD7,Leasing!$1:$1,Leasing!$42:$42),0)</f>
        <v>0.26272109786823022</v>
      </c>
      <c r="GE11" s="258">
        <f>IFERROR(_xlfn.XLOOKUP(GE7,Leasing!$1:$1,Leasing!$42:$42),0)</f>
        <v>0.26448305772834713</v>
      </c>
      <c r="GF11" s="258">
        <f>IFERROR(_xlfn.XLOOKUP(GF7,Leasing!$1:$1,Leasing!$42:$42),0)</f>
        <v>0.26448305772834713</v>
      </c>
      <c r="GG11" s="258">
        <f>IFERROR(_xlfn.XLOOKUP(GG7,Leasing!$1:$1,Leasing!$42:$42),0)</f>
        <v>0.26448305772834713</v>
      </c>
      <c r="GH11" s="258">
        <f>IFERROR(_xlfn.XLOOKUP(GH7,Leasing!$1:$1,Leasing!$42:$42),0)</f>
        <v>0.27132714439143557</v>
      </c>
      <c r="GI11" s="258">
        <f>IFERROR(_xlfn.XLOOKUP(GI7,Leasing!$1:$1,Leasing!$42:$42),0)</f>
        <v>0.27132714439143557</v>
      </c>
      <c r="GJ11" s="258">
        <f>IFERROR(_xlfn.XLOOKUP(GJ7,Leasing!$1:$1,Leasing!$42:$42),0)</f>
        <v>0.27132714439143557</v>
      </c>
      <c r="GK11" s="258">
        <f>IFERROR(_xlfn.XLOOKUP(GK7,Leasing!$1:$1,Leasing!$42:$42),0)</f>
        <v>0.27207719682361636</v>
      </c>
      <c r="GL11" s="258">
        <f>IFERROR(_xlfn.XLOOKUP(GL7,Leasing!$1:$1,Leasing!$42:$42),0)</f>
        <v>0.27207719682361636</v>
      </c>
      <c r="GM11" s="258">
        <f>IFERROR(_xlfn.XLOOKUP(GM7,Leasing!$1:$1,Leasing!$42:$42),0)</f>
        <v>0.27207719682361636</v>
      </c>
      <c r="GN11" s="258">
        <f>IFERROR(_xlfn.XLOOKUP(GN7,Leasing!$1:$1,Leasing!$42:$42),0)</f>
        <v>0.27585715276164174</v>
      </c>
      <c r="GO11" s="258">
        <f>IFERROR(_xlfn.XLOOKUP(GO7,Leasing!$1:$1,Leasing!$42:$42),0)</f>
        <v>0.27585715276164174</v>
      </c>
      <c r="GP11" s="258">
        <f>IFERROR(_xlfn.XLOOKUP(GP7,Leasing!$1:$1,Leasing!$42:$42),0)</f>
        <v>0.27585715276164174</v>
      </c>
      <c r="GQ11" s="258">
        <f>IFERROR(_xlfn.XLOOKUP(GQ7,Leasing!$1:$1,Leasing!$42:$42),0)</f>
        <v>0.2777072106147645</v>
      </c>
      <c r="GR11" s="258">
        <f>IFERROR(_xlfn.XLOOKUP(GR7,Leasing!$1:$1,Leasing!$42:$42),0)</f>
        <v>0.2777072106147645</v>
      </c>
      <c r="GS11" s="258">
        <f>IFERROR(_xlfn.XLOOKUP(GS7,Leasing!$1:$1,Leasing!$42:$42),0)</f>
        <v>0.2777072106147645</v>
      </c>
      <c r="GT11" s="258">
        <f>IFERROR(_xlfn.XLOOKUP(GT7,Leasing!$1:$1,Leasing!$42:$42),0)</f>
        <v>0.2848935016110074</v>
      </c>
      <c r="GU11" s="258">
        <f>IFERROR(_xlfn.XLOOKUP(GU7,Leasing!$1:$1,Leasing!$42:$42),0)</f>
        <v>0.2848935016110074</v>
      </c>
      <c r="GV11" s="258">
        <f>IFERROR(_xlfn.XLOOKUP(GV7,Leasing!$1:$1,Leasing!$42:$42),0)</f>
        <v>0.2848935016110074</v>
      </c>
      <c r="GW11" s="258">
        <f>IFERROR(_xlfn.XLOOKUP(GW7,Leasing!$1:$1,Leasing!$42:$42),0)</f>
        <v>0.28568105666479721</v>
      </c>
      <c r="GX11" s="258">
        <f>IFERROR(_xlfn.XLOOKUP(GX7,Leasing!$1:$1,Leasing!$42:$42),0)</f>
        <v>0.28568105666479721</v>
      </c>
      <c r="GY11" s="258">
        <f>IFERROR(_xlfn.XLOOKUP(GY7,Leasing!$1:$1,Leasing!$42:$42),0)</f>
        <v>0.28568105666479721</v>
      </c>
      <c r="GZ11" s="258">
        <f>IFERROR(_xlfn.XLOOKUP(GZ7,Leasing!$1:$1,Leasing!$42:$42),0)</f>
        <v>0.28965001039972388</v>
      </c>
      <c r="HA11" s="258">
        <f>IFERROR(_xlfn.XLOOKUP(HA7,Leasing!$1:$1,Leasing!$42:$42),0)</f>
        <v>0.28965001039972388</v>
      </c>
      <c r="HB11" s="258">
        <f>IFERROR(_xlfn.XLOOKUP(HB7,Leasing!$1:$1,Leasing!$42:$42),0)</f>
        <v>0.28965001039972388</v>
      </c>
      <c r="HC11" s="258">
        <f>IFERROR(_xlfn.XLOOKUP(HC7,Leasing!$1:$1,Leasing!$42:$42),0)</f>
        <v>0.2915925711455028</v>
      </c>
      <c r="HD11" s="258">
        <f>IFERROR(_xlfn.XLOOKUP(HD7,Leasing!$1:$1,Leasing!$42:$42),0)</f>
        <v>0.2915925711455028</v>
      </c>
      <c r="HE11" s="258">
        <f>IFERROR(_xlfn.XLOOKUP(HE7,Leasing!$1:$1,Leasing!$42:$42),0)</f>
        <v>0.2915925711455028</v>
      </c>
      <c r="HF11" s="258">
        <f>IFERROR(_xlfn.XLOOKUP(HF7,Leasing!$1:$1,Leasing!$42:$42),0)</f>
        <v>0.29913817669155779</v>
      </c>
      <c r="HG11" s="258">
        <f>IFERROR(_xlfn.XLOOKUP(HG7,Leasing!$1:$1,Leasing!$42:$42),0)</f>
        <v>0.29913817669155779</v>
      </c>
      <c r="HH11" s="258">
        <f>IFERROR(_xlfn.XLOOKUP(HH7,Leasing!$1:$1,Leasing!$42:$42),0)</f>
        <v>0.29913817669155779</v>
      </c>
      <c r="HI11" s="258">
        <f>IFERROR(_xlfn.XLOOKUP(HI7,Leasing!$1:$1,Leasing!$42:$42),0)</f>
        <v>0.29996510949803706</v>
      </c>
      <c r="HJ11" s="258">
        <f>IFERROR(_xlfn.XLOOKUP(HJ7,Leasing!$1:$1,Leasing!$42:$42),0)</f>
        <v>0.29996510949803706</v>
      </c>
      <c r="HK11" s="258">
        <f>IFERROR(_xlfn.XLOOKUP(HK7,Leasing!$1:$1,Leasing!$42:$42),0)</f>
        <v>0.29996510949803706</v>
      </c>
      <c r="HL11" s="258">
        <f>IFERROR(_xlfn.XLOOKUP(HL7,Leasing!$1:$1,Leasing!$42:$42),0)</f>
        <v>0.30413251091971005</v>
      </c>
      <c r="HM11" s="258">
        <f>IFERROR(_xlfn.XLOOKUP(HM7,Leasing!$1:$1,Leasing!$42:$42),0)</f>
        <v>0.30413251091971005</v>
      </c>
      <c r="HN11" s="258">
        <f>IFERROR(_xlfn.XLOOKUP(HN7,Leasing!$1:$1,Leasing!$42:$42),0)</f>
        <v>0.30413251091971005</v>
      </c>
      <c r="HO11" s="258">
        <f>IFERROR(_xlfn.XLOOKUP(HO7,Leasing!$1:$1,Leasing!$42:$42),0)</f>
        <v>0.30617219970277793</v>
      </c>
      <c r="HP11" s="258">
        <f>IFERROR(_xlfn.XLOOKUP(HP7,Leasing!$1:$1,Leasing!$42:$42),0)</f>
        <v>0.30617219970277793</v>
      </c>
      <c r="HQ11" s="258">
        <f>IFERROR(_xlfn.XLOOKUP(HQ7,Leasing!$1:$1,Leasing!$42:$42),0)</f>
        <v>0.30617219970277793</v>
      </c>
      <c r="HR11" s="258">
        <f>IFERROR(_xlfn.XLOOKUP(HR7,Leasing!$1:$1,Leasing!$42:$42),0)</f>
        <v>0.31409508552613569</v>
      </c>
      <c r="HS11" s="258">
        <f>IFERROR(_xlfn.XLOOKUP(HS7,Leasing!$1:$1,Leasing!$42:$42),0)</f>
        <v>0.31409508552613569</v>
      </c>
      <c r="HT11" s="258">
        <f>IFERROR(_xlfn.XLOOKUP(HT7,Leasing!$1:$1,Leasing!$42:$42),0)</f>
        <v>0.31409508552613569</v>
      </c>
      <c r="HU11" s="258">
        <f>IFERROR(_xlfn.XLOOKUP(HU7,Leasing!$1:$1,Leasing!$42:$42),0)</f>
        <v>0.31496336497293898</v>
      </c>
      <c r="HV11" s="258">
        <f>IFERROR(_xlfn.XLOOKUP(HV7,Leasing!$1:$1,Leasing!$42:$42),0)</f>
        <v>0.31496336497293898</v>
      </c>
      <c r="HW11" s="258">
        <f>IFERROR(_xlfn.XLOOKUP(HW7,Leasing!$1:$1,Leasing!$42:$42),0)</f>
        <v>0.31496336497293898</v>
      </c>
      <c r="HX11" s="258">
        <f>IFERROR(_xlfn.XLOOKUP(HX7,Leasing!$1:$1,Leasing!$42:$42),0)</f>
        <v>0.31933913646569556</v>
      </c>
      <c r="HY11" s="258">
        <f>IFERROR(_xlfn.XLOOKUP(HY7,Leasing!$1:$1,Leasing!$42:$42),0)</f>
        <v>0.31933913646569556</v>
      </c>
      <c r="HZ11" s="258">
        <f>IFERROR(_xlfn.XLOOKUP(HZ7,Leasing!$1:$1,Leasing!$42:$42),0)</f>
        <v>0.31933913646569556</v>
      </c>
      <c r="IA11" s="258">
        <f>IFERROR(_xlfn.XLOOKUP(IA7,Leasing!$1:$1,Leasing!$42:$42),0)</f>
        <v>0.32148080968791681</v>
      </c>
      <c r="IB11" s="258">
        <f>IFERROR(_xlfn.XLOOKUP(IB7,Leasing!$1:$1,Leasing!$42:$42),0)</f>
        <v>0.32148080968791681</v>
      </c>
      <c r="IC11" s="258">
        <f>IFERROR(_xlfn.XLOOKUP(IC7,Leasing!$1:$1,Leasing!$42:$42),0)</f>
        <v>0.32148080968791681</v>
      </c>
      <c r="ID11" s="258">
        <f>IFERROR(_xlfn.XLOOKUP(ID7,Leasing!$1:$1,Leasing!$42:$42),0)</f>
        <v>0.32979983980244243</v>
      </c>
      <c r="IE11" s="258">
        <f>IFERROR(_xlfn.XLOOKUP(IE7,Leasing!$1:$1,Leasing!$42:$42),0)</f>
        <v>0.32979983980244243</v>
      </c>
      <c r="IF11" s="258">
        <f>IFERROR(_xlfn.XLOOKUP(IF7,Leasing!$1:$1,Leasing!$42:$42),0)</f>
        <v>0.32979983980244243</v>
      </c>
      <c r="IG11" s="258">
        <f>IFERROR(_xlfn.XLOOKUP(IG7,Leasing!$1:$1,Leasing!$42:$42),0)</f>
        <v>0.33071153322158586</v>
      </c>
      <c r="IH11" s="258">
        <f>IFERROR(_xlfn.XLOOKUP(IH7,Leasing!$1:$1,Leasing!$42:$42),0)</f>
        <v>0.33071153322158586</v>
      </c>
      <c r="II11" s="258">
        <f>IFERROR(_xlfn.XLOOKUP(II7,Leasing!$1:$1,Leasing!$42:$42),0)</f>
        <v>0.33071153322158586</v>
      </c>
      <c r="IJ11" s="258">
        <f>IFERROR(_xlfn.XLOOKUP(IJ7,Leasing!$1:$1,Leasing!$42:$42),0)</f>
        <v>0.33530609328898037</v>
      </c>
      <c r="IK11" s="258">
        <f>IFERROR(_xlfn.XLOOKUP(IK7,Leasing!$1:$1,Leasing!$42:$42),0)</f>
        <v>0.33530609328898037</v>
      </c>
      <c r="IL11" s="258">
        <f>IFERROR(_xlfn.XLOOKUP(IL7,Leasing!$1:$1,Leasing!$42:$42),0)</f>
        <v>0.33530609328898037</v>
      </c>
      <c r="IM11" s="258">
        <f>IFERROR(_xlfn.XLOOKUP(IM7,Leasing!$1:$1,Leasing!$42:$42),0)</f>
        <v>0.33755485017231268</v>
      </c>
      <c r="IN11" s="258">
        <f>IFERROR(_xlfn.XLOOKUP(IN7,Leasing!$1:$1,Leasing!$42:$42),0)</f>
        <v>0.33755485017231268</v>
      </c>
      <c r="IO11" s="258">
        <f>IFERROR(_xlfn.XLOOKUP(IO7,Leasing!$1:$1,Leasing!$42:$42),0)</f>
        <v>0.33755485017231268</v>
      </c>
      <c r="IP11" s="258">
        <f>IFERROR(_xlfn.XLOOKUP(IP7,Leasing!$1:$1,Leasing!$42:$42),0)</f>
        <v>0.34628983179256462</v>
      </c>
      <c r="IQ11" s="258">
        <f>IFERROR(_xlfn.XLOOKUP(IQ7,Leasing!$1:$1,Leasing!$42:$42),0)</f>
        <v>0.34628983179256462</v>
      </c>
      <c r="IR11" s="258">
        <f>IFERROR(_xlfn.XLOOKUP(IR7,Leasing!$1:$1,Leasing!$42:$42),0)</f>
        <v>0.34628983179256462</v>
      </c>
      <c r="IS11" s="258">
        <f>IFERROR(_xlfn.XLOOKUP(IS7,Leasing!$1:$1,Leasing!$42:$42),0)</f>
        <v>0.34724710988266522</v>
      </c>
      <c r="IT11" s="258">
        <f>IFERROR(_xlfn.XLOOKUP(IT7,Leasing!$1:$1,Leasing!$42:$42),0)</f>
        <v>0.34724710988266522</v>
      </c>
      <c r="IU11" s="258">
        <f>IFERROR(_xlfn.XLOOKUP(IU7,Leasing!$1:$1,Leasing!$42:$42),0)</f>
        <v>0.34724710988266522</v>
      </c>
      <c r="IV11" s="258">
        <f>IFERROR(_xlfn.XLOOKUP(IV7,Leasing!$1:$1,Leasing!$42:$42),0)</f>
        <v>0.35207139795342945</v>
      </c>
      <c r="IW11" s="258">
        <f>IFERROR(_xlfn.XLOOKUP(IW7,Leasing!$1:$1,Leasing!$42:$42),0)</f>
        <v>0.35207139795342945</v>
      </c>
      <c r="IX11" s="258">
        <f>IFERROR(_xlfn.XLOOKUP(IX7,Leasing!$1:$1,Leasing!$42:$42),0)</f>
        <v>0.35207139795342945</v>
      </c>
      <c r="IY11" s="258">
        <f>IFERROR(_xlfn.XLOOKUP(IY7,Leasing!$1:$1,Leasing!$42:$42),0)</f>
        <v>0.35443259268092836</v>
      </c>
      <c r="IZ11" s="258">
        <f>IFERROR(_xlfn.XLOOKUP(IZ7,Leasing!$1:$1,Leasing!$42:$42),0)</f>
        <v>0.35443259268092836</v>
      </c>
      <c r="JA11" s="258">
        <f>IFERROR(_xlfn.XLOOKUP(JA7,Leasing!$1:$1,Leasing!$42:$42),0)</f>
        <v>0.35443259268092836</v>
      </c>
      <c r="JB11" s="258">
        <f>IFERROR(_xlfn.XLOOKUP(JB7,Leasing!$1:$1,Leasing!$42:$42),0)</f>
        <v>0.36360432338219284</v>
      </c>
      <c r="JC11" s="258">
        <f>IFERROR(_xlfn.XLOOKUP(JC7,Leasing!$1:$1,Leasing!$42:$42),0)</f>
        <v>0.36360432338219284</v>
      </c>
      <c r="JD11" s="258">
        <f>IFERROR(_xlfn.XLOOKUP(JD7,Leasing!$1:$1,Leasing!$42:$42),0)</f>
        <v>0.36360432338219284</v>
      </c>
      <c r="JE11" s="258">
        <f>IFERROR(_xlfn.XLOOKUP(JE7,Leasing!$1:$1,Leasing!$42:$42),0)</f>
        <v>0.36460946537679845</v>
      </c>
      <c r="JF11" s="258">
        <f>IFERROR(_xlfn.XLOOKUP(JF7,Leasing!$1:$1,Leasing!$42:$42),0)</f>
        <v>0.36460946537679845</v>
      </c>
      <c r="JG11" s="258">
        <f>IFERROR(_xlfn.XLOOKUP(JG7,Leasing!$1:$1,Leasing!$42:$42),0)</f>
        <v>0.36460946537679845</v>
      </c>
      <c r="JH11" s="258">
        <f>IFERROR(_xlfn.XLOOKUP(JH7,Leasing!$1:$1,Leasing!$42:$42),0)</f>
        <v>0.36967496785110088</v>
      </c>
      <c r="JI11" s="258">
        <f>IFERROR(_xlfn.XLOOKUP(JI7,Leasing!$1:$1,Leasing!$42:$42),0)</f>
        <v>0.36967496785110088</v>
      </c>
      <c r="JJ11" s="258">
        <f>IFERROR(_xlfn.XLOOKUP(JJ7,Leasing!$1:$1,Leasing!$42:$42),0)</f>
        <v>0.36967496785110088</v>
      </c>
      <c r="JK11" s="258">
        <f>IFERROR(_xlfn.XLOOKUP(JK7,Leasing!$1:$1,Leasing!$42:$42),0)</f>
        <v>0.37215422231497475</v>
      </c>
      <c r="JL11" s="258">
        <f>IFERROR(_xlfn.XLOOKUP(JL7,Leasing!$1:$1,Leasing!$42:$42),0)</f>
        <v>0.37215422231497475</v>
      </c>
      <c r="JM11" s="258">
        <f>IFERROR(_xlfn.XLOOKUP(JM7,Leasing!$1:$1,Leasing!$42:$42),0)</f>
        <v>0.37215422231497475</v>
      </c>
      <c r="JN11" s="258">
        <f>IFERROR(_xlfn.XLOOKUP(JN7,Leasing!$1:$1,Leasing!$42:$42),0)</f>
        <v>0.38178453955130254</v>
      </c>
      <c r="JO11" s="258">
        <f>IFERROR(_xlfn.XLOOKUP(JO7,Leasing!$1:$1,Leasing!$42:$42),0)</f>
        <v>0.38178453955130254</v>
      </c>
      <c r="JP11" s="258">
        <f>IFERROR(_xlfn.XLOOKUP(JP7,Leasing!$1:$1,Leasing!$42:$42),0)</f>
        <v>0.38178453955130254</v>
      </c>
      <c r="JQ11" s="258">
        <f>IFERROR(_xlfn.XLOOKUP(JQ7,Leasing!$1:$1,Leasing!$42:$42),0)</f>
        <v>0.38283993864563842</v>
      </c>
      <c r="JR11" s="258">
        <f>IFERROR(_xlfn.XLOOKUP(JR7,Leasing!$1:$1,Leasing!$42:$42),0)</f>
        <v>0.38283993864563842</v>
      </c>
      <c r="JS11" s="258">
        <f>IFERROR(_xlfn.XLOOKUP(JS7,Leasing!$1:$1,Leasing!$42:$42),0)</f>
        <v>0.38283993864563842</v>
      </c>
      <c r="JT11" s="258">
        <f>IFERROR(_xlfn.XLOOKUP(JT7,Leasing!$1:$1,Leasing!$42:$42),0)</f>
        <v>0.388158716243656</v>
      </c>
      <c r="JU11" s="258">
        <f>IFERROR(_xlfn.XLOOKUP(JU7,Leasing!$1:$1,Leasing!$42:$42),0)</f>
        <v>0.388158716243656</v>
      </c>
      <c r="JV11" s="258">
        <f>IFERROR(_xlfn.XLOOKUP(JV7,Leasing!$1:$1,Leasing!$42:$42),0)</f>
        <v>0.388158716243656</v>
      </c>
      <c r="JW11" s="258">
        <f>IFERROR(_xlfn.XLOOKUP(JW7,Leasing!$1:$1,Leasing!$42:$42),0)</f>
        <v>0.39076193343072357</v>
      </c>
      <c r="JX11" s="258">
        <f>IFERROR(_xlfn.XLOOKUP(JX7,Leasing!$1:$1,Leasing!$42:$42),0)</f>
        <v>0.39076193343072357</v>
      </c>
      <c r="JY11" s="258">
        <f>IFERROR(_xlfn.XLOOKUP(JY7,Leasing!$1:$1,Leasing!$42:$42),0)</f>
        <v>0.39076193343072357</v>
      </c>
      <c r="JZ11" s="258">
        <f>IFERROR(_xlfn.XLOOKUP(JZ7,Leasing!$1:$1,Leasing!$42:$42),0)</f>
        <v>0.40087376652886769</v>
      </c>
      <c r="KA11" s="258">
        <f>IFERROR(_xlfn.XLOOKUP(KA7,Leasing!$1:$1,Leasing!$42:$42),0)</f>
        <v>0.40087376652886769</v>
      </c>
      <c r="KB11" s="258">
        <f>IFERROR(_xlfn.XLOOKUP(KB7,Leasing!$1:$1,Leasing!$42:$42),0)</f>
        <v>0.40087376652886769</v>
      </c>
      <c r="KC11" s="258">
        <f>SUMIF($C$7:$KB$7,"&lt;="&amp;$KC$6,C11:KB11)</f>
        <v>3.3672852128315922</v>
      </c>
    </row>
    <row r="12" spans="1:289" x14ac:dyDescent="0.3">
      <c r="B12" s="257">
        <f>SUM(C12:KB12)</f>
        <v>1225.2020906700332</v>
      </c>
      <c r="C12" s="259">
        <f>SUM(C10:C11)</f>
        <v>0</v>
      </c>
      <c r="D12" s="259">
        <f t="shared" ref="D12:BO12" si="425">SUM(D10:D11)</f>
        <v>0</v>
      </c>
      <c r="E12" s="259">
        <f t="shared" si="425"/>
        <v>0</v>
      </c>
      <c r="F12" s="259">
        <f t="shared" si="425"/>
        <v>0</v>
      </c>
      <c r="G12" s="259">
        <f t="shared" si="425"/>
        <v>0</v>
      </c>
      <c r="H12" s="259">
        <f t="shared" si="425"/>
        <v>0</v>
      </c>
      <c r="I12" s="259">
        <f t="shared" si="425"/>
        <v>0</v>
      </c>
      <c r="J12" s="259">
        <f t="shared" si="425"/>
        <v>0</v>
      </c>
      <c r="K12" s="259">
        <f t="shared" si="425"/>
        <v>0</v>
      </c>
      <c r="L12" s="259">
        <f t="shared" si="425"/>
        <v>0</v>
      </c>
      <c r="M12" s="259">
        <f t="shared" si="425"/>
        <v>0</v>
      </c>
      <c r="N12" s="259">
        <f t="shared" si="425"/>
        <v>0</v>
      </c>
      <c r="O12" s="259">
        <f t="shared" si="425"/>
        <v>0</v>
      </c>
      <c r="P12" s="259">
        <f t="shared" si="425"/>
        <v>0</v>
      </c>
      <c r="Q12" s="259">
        <f t="shared" si="425"/>
        <v>0</v>
      </c>
      <c r="R12" s="259">
        <f t="shared" si="425"/>
        <v>0</v>
      </c>
      <c r="S12" s="259">
        <f t="shared" si="425"/>
        <v>0</v>
      </c>
      <c r="T12" s="259">
        <f t="shared" si="425"/>
        <v>0</v>
      </c>
      <c r="U12" s="259">
        <f t="shared" si="425"/>
        <v>0</v>
      </c>
      <c r="V12" s="259">
        <f t="shared" si="425"/>
        <v>0.54863663690692488</v>
      </c>
      <c r="W12" s="259">
        <f t="shared" si="425"/>
        <v>0.54863663690692488</v>
      </c>
      <c r="X12" s="259">
        <f t="shared" si="425"/>
        <v>0.54863663690692488</v>
      </c>
      <c r="Y12" s="259">
        <f t="shared" si="425"/>
        <v>0.54863663690692488</v>
      </c>
      <c r="Z12" s="259">
        <f t="shared" si="425"/>
        <v>0.54863663690692488</v>
      </c>
      <c r="AA12" s="259">
        <f t="shared" si="425"/>
        <v>0.54863663690692488</v>
      </c>
      <c r="AB12" s="259">
        <f t="shared" si="425"/>
        <v>0.54863663690692488</v>
      </c>
      <c r="AC12" s="259">
        <f t="shared" si="425"/>
        <v>0.54863663690692488</v>
      </c>
      <c r="AD12" s="259">
        <f t="shared" si="425"/>
        <v>0.54863663690692488</v>
      </c>
      <c r="AE12" s="259">
        <f t="shared" si="425"/>
        <v>0.54863663690692488</v>
      </c>
      <c r="AF12" s="259">
        <f t="shared" si="425"/>
        <v>0.54863663690692488</v>
      </c>
      <c r="AG12" s="259">
        <f t="shared" si="425"/>
        <v>0.54863663690692488</v>
      </c>
      <c r="AH12" s="259">
        <f t="shared" si="425"/>
        <v>1.6387487253207786</v>
      </c>
      <c r="AI12" s="259">
        <f t="shared" si="425"/>
        <v>1.6387487253207786</v>
      </c>
      <c r="AJ12" s="259">
        <f t="shared" si="425"/>
        <v>1.6387487253207786</v>
      </c>
      <c r="AK12" s="259">
        <f t="shared" si="425"/>
        <v>1.6387487253207786</v>
      </c>
      <c r="AL12" s="259">
        <f t="shared" si="425"/>
        <v>1.6387487253207786</v>
      </c>
      <c r="AM12" s="259">
        <f t="shared" si="425"/>
        <v>1.6387487253207786</v>
      </c>
      <c r="AN12" s="259">
        <f t="shared" si="425"/>
        <v>1.6387487253207786</v>
      </c>
      <c r="AO12" s="259">
        <f t="shared" si="425"/>
        <v>1.6387487253207786</v>
      </c>
      <c r="AP12" s="259">
        <f t="shared" si="425"/>
        <v>1.6387487253207786</v>
      </c>
      <c r="AQ12" s="259">
        <f t="shared" si="425"/>
        <v>2.081726743837939</v>
      </c>
      <c r="AR12" s="259">
        <f t="shared" si="425"/>
        <v>2.081726743837939</v>
      </c>
      <c r="AS12" s="259">
        <f t="shared" si="425"/>
        <v>2.081726743837939</v>
      </c>
      <c r="AT12" s="259">
        <f t="shared" si="425"/>
        <v>2.1636641801039778</v>
      </c>
      <c r="AU12" s="259">
        <f t="shared" si="425"/>
        <v>2.1636641801039778</v>
      </c>
      <c r="AV12" s="259">
        <f t="shared" si="425"/>
        <v>2.1636641801039778</v>
      </c>
      <c r="AW12" s="259">
        <f t="shared" si="425"/>
        <v>2.1636641801039778</v>
      </c>
      <c r="AX12" s="259">
        <f t="shared" si="425"/>
        <v>2.1636641801039778</v>
      </c>
      <c r="AY12" s="259">
        <f t="shared" si="425"/>
        <v>2.1636641801039778</v>
      </c>
      <c r="AZ12" s="259">
        <f t="shared" si="425"/>
        <v>3.1139908188717604</v>
      </c>
      <c r="BA12" s="259">
        <f t="shared" si="425"/>
        <v>3.1139908188717604</v>
      </c>
      <c r="BB12" s="259">
        <f t="shared" si="425"/>
        <v>3.1139908188717604</v>
      </c>
      <c r="BC12" s="259">
        <f t="shared" si="425"/>
        <v>3.1361397197976184</v>
      </c>
      <c r="BD12" s="259">
        <f t="shared" si="425"/>
        <v>3.1361397197976184</v>
      </c>
      <c r="BE12" s="259">
        <f t="shared" si="425"/>
        <v>3.1361397197976184</v>
      </c>
      <c r="BF12" s="259">
        <f t="shared" si="425"/>
        <v>3.2221740278769588</v>
      </c>
      <c r="BG12" s="259">
        <f t="shared" si="425"/>
        <v>3.2221740278769588</v>
      </c>
      <c r="BH12" s="259">
        <f t="shared" si="425"/>
        <v>3.2221740278769588</v>
      </c>
      <c r="BI12" s="259">
        <f t="shared" si="425"/>
        <v>3.4201748933324465</v>
      </c>
      <c r="BJ12" s="259">
        <f t="shared" si="425"/>
        <v>3.4201748933324465</v>
      </c>
      <c r="BK12" s="259">
        <f t="shared" si="425"/>
        <v>3.4201748933324465</v>
      </c>
      <c r="BL12" s="259">
        <f t="shared" si="425"/>
        <v>3.4676912252708356</v>
      </c>
      <c r="BM12" s="259">
        <f t="shared" si="425"/>
        <v>3.4676912252708356</v>
      </c>
      <c r="BN12" s="259">
        <f t="shared" si="425"/>
        <v>3.4676912252708356</v>
      </c>
      <c r="BO12" s="259">
        <f t="shared" si="425"/>
        <v>3.4909475712429869</v>
      </c>
      <c r="BP12" s="259">
        <f t="shared" ref="BP12:EA12" si="426">SUM(BP10:BP11)</f>
        <v>3.4909475712429869</v>
      </c>
      <c r="BQ12" s="259">
        <f t="shared" si="426"/>
        <v>3.4909475712429869</v>
      </c>
      <c r="BR12" s="259">
        <f t="shared" si="426"/>
        <v>3.5812835947262949</v>
      </c>
      <c r="BS12" s="259">
        <f t="shared" si="426"/>
        <v>3.5812835947262949</v>
      </c>
      <c r="BT12" s="259">
        <f t="shared" si="426"/>
        <v>3.5812835947262949</v>
      </c>
      <c r="BU12" s="259">
        <f t="shared" si="426"/>
        <v>3.5911836379990696</v>
      </c>
      <c r="BV12" s="259">
        <f t="shared" si="426"/>
        <v>3.5911836379990696</v>
      </c>
      <c r="BW12" s="259">
        <f t="shared" si="426"/>
        <v>3.5911836379990696</v>
      </c>
      <c r="BX12" s="259">
        <f t="shared" si="426"/>
        <v>3.6410757865343779</v>
      </c>
      <c r="BY12" s="259">
        <f t="shared" si="426"/>
        <v>3.6410757865343779</v>
      </c>
      <c r="BZ12" s="259">
        <f t="shared" si="426"/>
        <v>3.6410757865343779</v>
      </c>
      <c r="CA12" s="259">
        <f t="shared" si="426"/>
        <v>3.6654949498051366</v>
      </c>
      <c r="CB12" s="259">
        <f t="shared" si="426"/>
        <v>3.6654949498051366</v>
      </c>
      <c r="CC12" s="259">
        <f t="shared" si="426"/>
        <v>3.6654949498051366</v>
      </c>
      <c r="CD12" s="259">
        <f t="shared" si="426"/>
        <v>3.7603477744626099</v>
      </c>
      <c r="CE12" s="259">
        <f t="shared" si="426"/>
        <v>3.7603477744626099</v>
      </c>
      <c r="CF12" s="259">
        <f t="shared" si="426"/>
        <v>3.7603477744626099</v>
      </c>
      <c r="CG12" s="259">
        <f t="shared" si="426"/>
        <v>3.7707428198990227</v>
      </c>
      <c r="CH12" s="259">
        <f t="shared" si="426"/>
        <v>3.7707428198990227</v>
      </c>
      <c r="CI12" s="259">
        <f t="shared" si="426"/>
        <v>3.7707428198990227</v>
      </c>
      <c r="CJ12" s="259">
        <f t="shared" si="426"/>
        <v>3.8231295758610973</v>
      </c>
      <c r="CK12" s="259">
        <f t="shared" si="426"/>
        <v>3.8231295758610973</v>
      </c>
      <c r="CL12" s="259">
        <f t="shared" si="426"/>
        <v>3.8231295758610973</v>
      </c>
      <c r="CM12" s="259">
        <f t="shared" si="426"/>
        <v>3.8487696972953933</v>
      </c>
      <c r="CN12" s="259">
        <f t="shared" si="426"/>
        <v>3.8487696972953933</v>
      </c>
      <c r="CO12" s="259">
        <f t="shared" si="426"/>
        <v>3.8487696972953933</v>
      </c>
      <c r="CP12" s="259">
        <f t="shared" si="426"/>
        <v>3.9483651631857413</v>
      </c>
      <c r="CQ12" s="259">
        <f t="shared" si="426"/>
        <v>3.9483651631857413</v>
      </c>
      <c r="CR12" s="259">
        <f t="shared" si="426"/>
        <v>3.9483651631857413</v>
      </c>
      <c r="CS12" s="259">
        <f t="shared" si="426"/>
        <v>3.959279960893975</v>
      </c>
      <c r="CT12" s="259">
        <f t="shared" si="426"/>
        <v>3.959279960893975</v>
      </c>
      <c r="CU12" s="259">
        <f t="shared" si="426"/>
        <v>3.959279960893975</v>
      </c>
      <c r="CV12" s="259">
        <f t="shared" si="426"/>
        <v>4.0142860546541526</v>
      </c>
      <c r="CW12" s="259">
        <f t="shared" si="426"/>
        <v>4.0142860546541526</v>
      </c>
      <c r="CX12" s="259">
        <f t="shared" si="426"/>
        <v>4.0142860546541526</v>
      </c>
      <c r="CY12" s="259">
        <f t="shared" si="426"/>
        <v>4.0412081821601635</v>
      </c>
      <c r="CZ12" s="259">
        <f t="shared" si="426"/>
        <v>4.0412081821601635</v>
      </c>
      <c r="DA12" s="259">
        <f t="shared" si="426"/>
        <v>4.0412081821601635</v>
      </c>
      <c r="DB12" s="259">
        <f t="shared" si="426"/>
        <v>4.145783421345028</v>
      </c>
      <c r="DC12" s="259">
        <f t="shared" si="426"/>
        <v>4.145783421345028</v>
      </c>
      <c r="DD12" s="259">
        <f t="shared" si="426"/>
        <v>4.145783421345028</v>
      </c>
      <c r="DE12" s="259">
        <f t="shared" si="426"/>
        <v>4.1572439589386727</v>
      </c>
      <c r="DF12" s="259">
        <f t="shared" si="426"/>
        <v>4.1572439589386727</v>
      </c>
      <c r="DG12" s="259">
        <f t="shared" si="426"/>
        <v>4.1572439589386727</v>
      </c>
      <c r="DH12" s="259">
        <f t="shared" si="426"/>
        <v>4.2150003573868604</v>
      </c>
      <c r="DI12" s="259">
        <f t="shared" si="426"/>
        <v>4.2150003573868604</v>
      </c>
      <c r="DJ12" s="259">
        <f t="shared" si="426"/>
        <v>4.2150003573868604</v>
      </c>
      <c r="DK12" s="259">
        <f t="shared" si="426"/>
        <v>4.2432685912681718</v>
      </c>
      <c r="DL12" s="259">
        <f t="shared" si="426"/>
        <v>4.2432685912681718</v>
      </c>
      <c r="DM12" s="259">
        <f t="shared" si="426"/>
        <v>4.2432685912681718</v>
      </c>
      <c r="DN12" s="259">
        <f t="shared" si="426"/>
        <v>4.3530725924122802</v>
      </c>
      <c r="DO12" s="259">
        <f t="shared" si="426"/>
        <v>4.3530725924122802</v>
      </c>
      <c r="DP12" s="259">
        <f t="shared" si="426"/>
        <v>4.3530725924122802</v>
      </c>
      <c r="DQ12" s="259">
        <f t="shared" si="426"/>
        <v>4.3651061568856075</v>
      </c>
      <c r="DR12" s="259">
        <f t="shared" si="426"/>
        <v>4.3651061568856075</v>
      </c>
      <c r="DS12" s="259">
        <f t="shared" si="426"/>
        <v>4.3651061568856075</v>
      </c>
      <c r="DT12" s="259">
        <f t="shared" si="426"/>
        <v>4.4257503752562037</v>
      </c>
      <c r="DU12" s="259">
        <f t="shared" si="426"/>
        <v>4.4257503752562037</v>
      </c>
      <c r="DV12" s="259">
        <f t="shared" si="426"/>
        <v>4.4257503752562037</v>
      </c>
      <c r="DW12" s="259">
        <f t="shared" si="426"/>
        <v>4.455432020831581</v>
      </c>
      <c r="DX12" s="259">
        <f t="shared" si="426"/>
        <v>4.455432020831581</v>
      </c>
      <c r="DY12" s="259">
        <f t="shared" si="426"/>
        <v>4.455432020831581</v>
      </c>
      <c r="DZ12" s="259">
        <f t="shared" si="426"/>
        <v>4.570726222032893</v>
      </c>
      <c r="EA12" s="259">
        <f t="shared" si="426"/>
        <v>4.570726222032893</v>
      </c>
      <c r="EB12" s="259">
        <f t="shared" ref="EB12:GM12" si="427">SUM(EB10:EB11)</f>
        <v>4.570726222032893</v>
      </c>
      <c r="EC12" s="259">
        <f t="shared" si="427"/>
        <v>4.5833614647298866</v>
      </c>
      <c r="ED12" s="259">
        <f t="shared" si="427"/>
        <v>4.5833614647298866</v>
      </c>
      <c r="EE12" s="259">
        <f t="shared" si="427"/>
        <v>4.5833614647298866</v>
      </c>
      <c r="EF12" s="259">
        <f t="shared" si="427"/>
        <v>4.6470378940190136</v>
      </c>
      <c r="EG12" s="259">
        <f t="shared" si="427"/>
        <v>4.6470378940190136</v>
      </c>
      <c r="EH12" s="259">
        <f t="shared" si="427"/>
        <v>4.6470378940190136</v>
      </c>
      <c r="EI12" s="259">
        <f t="shared" si="427"/>
        <v>4.6782036218731591</v>
      </c>
      <c r="EJ12" s="259">
        <f t="shared" si="427"/>
        <v>4.6782036218731591</v>
      </c>
      <c r="EK12" s="259">
        <f t="shared" si="427"/>
        <v>4.6782036218731591</v>
      </c>
      <c r="EL12" s="259">
        <f t="shared" si="427"/>
        <v>4.7992625331345389</v>
      </c>
      <c r="EM12" s="259">
        <f t="shared" si="427"/>
        <v>4.7992625331345389</v>
      </c>
      <c r="EN12" s="259">
        <f t="shared" si="427"/>
        <v>4.7992625331345389</v>
      </c>
      <c r="EO12" s="259">
        <f t="shared" si="427"/>
        <v>4.8125295379663822</v>
      </c>
      <c r="EP12" s="259">
        <f t="shared" si="427"/>
        <v>4.8125295379663822</v>
      </c>
      <c r="EQ12" s="259">
        <f t="shared" si="427"/>
        <v>4.8125295379663822</v>
      </c>
      <c r="ER12" s="259">
        <f t="shared" si="427"/>
        <v>4.8793897887199638</v>
      </c>
      <c r="ES12" s="259">
        <f t="shared" si="427"/>
        <v>4.8793897887199638</v>
      </c>
      <c r="ET12" s="259">
        <f t="shared" si="427"/>
        <v>4.8793897887199638</v>
      </c>
      <c r="EU12" s="259">
        <f t="shared" si="427"/>
        <v>4.9121138029668172</v>
      </c>
      <c r="EV12" s="259">
        <f t="shared" si="427"/>
        <v>4.9121138029668172</v>
      </c>
      <c r="EW12" s="259">
        <f t="shared" si="427"/>
        <v>4.9121138029668172</v>
      </c>
      <c r="EX12" s="259">
        <f t="shared" si="427"/>
        <v>5.0392256597912652</v>
      </c>
      <c r="EY12" s="259">
        <f t="shared" si="427"/>
        <v>5.0392256597912652</v>
      </c>
      <c r="EZ12" s="259">
        <f t="shared" si="427"/>
        <v>5.0392256597912652</v>
      </c>
      <c r="FA12" s="259">
        <f t="shared" si="427"/>
        <v>5.0531560148647019</v>
      </c>
      <c r="FB12" s="259">
        <f t="shared" si="427"/>
        <v>5.0531560148647019</v>
      </c>
      <c r="FC12" s="259">
        <f t="shared" si="427"/>
        <v>5.0531560148647019</v>
      </c>
      <c r="FD12" s="259">
        <f t="shared" si="427"/>
        <v>5.123359278155962</v>
      </c>
      <c r="FE12" s="259">
        <f t="shared" si="427"/>
        <v>5.123359278155962</v>
      </c>
      <c r="FF12" s="259">
        <f t="shared" si="427"/>
        <v>5.123359278155962</v>
      </c>
      <c r="FG12" s="259">
        <f t="shared" si="427"/>
        <v>5.1577194931151595</v>
      </c>
      <c r="FH12" s="259">
        <f t="shared" si="427"/>
        <v>5.1577194931151595</v>
      </c>
      <c r="FI12" s="259">
        <f t="shared" si="427"/>
        <v>5.1577194931151595</v>
      </c>
      <c r="FJ12" s="259">
        <f t="shared" si="427"/>
        <v>5.29118694278083</v>
      </c>
      <c r="FK12" s="259">
        <f t="shared" si="427"/>
        <v>5.29118694278083</v>
      </c>
      <c r="FL12" s="259">
        <f t="shared" si="427"/>
        <v>5.29118694278083</v>
      </c>
      <c r="FM12" s="259">
        <f t="shared" si="427"/>
        <v>5.3058138156079373</v>
      </c>
      <c r="FN12" s="259">
        <f t="shared" si="427"/>
        <v>5.3058138156079373</v>
      </c>
      <c r="FO12" s="259">
        <f t="shared" si="427"/>
        <v>5.3058138156079373</v>
      </c>
      <c r="FP12" s="259">
        <f t="shared" si="427"/>
        <v>5.3795272420637614</v>
      </c>
      <c r="FQ12" s="259">
        <f t="shared" si="427"/>
        <v>5.3795272420637614</v>
      </c>
      <c r="FR12" s="259">
        <f t="shared" si="427"/>
        <v>5.3795272420637614</v>
      </c>
      <c r="FS12" s="259">
        <f t="shared" si="427"/>
        <v>5.4156054677709182</v>
      </c>
      <c r="FT12" s="259">
        <f t="shared" si="427"/>
        <v>5.4156054677709182</v>
      </c>
      <c r="FU12" s="259">
        <f t="shared" si="427"/>
        <v>5.4156054677709182</v>
      </c>
      <c r="FV12" s="259">
        <f t="shared" si="427"/>
        <v>5.5557462899198713</v>
      </c>
      <c r="FW12" s="259">
        <f t="shared" si="427"/>
        <v>5.5557462899198713</v>
      </c>
      <c r="FX12" s="259">
        <f t="shared" si="427"/>
        <v>5.5557462899198713</v>
      </c>
      <c r="FY12" s="259">
        <f t="shared" si="427"/>
        <v>5.5711045063883349</v>
      </c>
      <c r="FZ12" s="259">
        <f t="shared" si="427"/>
        <v>5.5711045063883349</v>
      </c>
      <c r="GA12" s="259">
        <f t="shared" si="427"/>
        <v>5.5711045063883349</v>
      </c>
      <c r="GB12" s="259">
        <f t="shared" si="427"/>
        <v>5.6485036041669501</v>
      </c>
      <c r="GC12" s="259">
        <f t="shared" si="427"/>
        <v>5.6485036041669501</v>
      </c>
      <c r="GD12" s="259">
        <f t="shared" si="427"/>
        <v>5.6485036041669501</v>
      </c>
      <c r="GE12" s="259">
        <f t="shared" si="427"/>
        <v>5.686385741159464</v>
      </c>
      <c r="GF12" s="259">
        <f t="shared" si="427"/>
        <v>5.686385741159464</v>
      </c>
      <c r="GG12" s="259">
        <f t="shared" si="427"/>
        <v>5.686385741159464</v>
      </c>
      <c r="GH12" s="259">
        <f t="shared" si="427"/>
        <v>5.8335336044158659</v>
      </c>
      <c r="GI12" s="259">
        <f t="shared" si="427"/>
        <v>5.8335336044158659</v>
      </c>
      <c r="GJ12" s="259">
        <f t="shared" si="427"/>
        <v>5.8335336044158659</v>
      </c>
      <c r="GK12" s="259">
        <f t="shared" si="427"/>
        <v>5.8496597317077512</v>
      </c>
      <c r="GL12" s="259">
        <f t="shared" si="427"/>
        <v>5.8496597317077512</v>
      </c>
      <c r="GM12" s="259">
        <f t="shared" si="427"/>
        <v>5.8496597317077512</v>
      </c>
      <c r="GN12" s="259">
        <f t="shared" ref="GN12:IY12" si="428">SUM(GN10:GN11)</f>
        <v>5.9309287843752978</v>
      </c>
      <c r="GO12" s="259">
        <f t="shared" si="428"/>
        <v>5.9309287843752978</v>
      </c>
      <c r="GP12" s="259">
        <f t="shared" si="428"/>
        <v>5.9309287843752978</v>
      </c>
      <c r="GQ12" s="259">
        <f t="shared" si="428"/>
        <v>5.970705028217437</v>
      </c>
      <c r="GR12" s="259">
        <f t="shared" si="428"/>
        <v>5.970705028217437</v>
      </c>
      <c r="GS12" s="259">
        <f t="shared" si="428"/>
        <v>5.970705028217437</v>
      </c>
      <c r="GT12" s="259">
        <f t="shared" si="428"/>
        <v>6.1252102846366583</v>
      </c>
      <c r="GU12" s="259">
        <f t="shared" si="428"/>
        <v>6.1252102846366583</v>
      </c>
      <c r="GV12" s="259">
        <f t="shared" si="428"/>
        <v>6.1252102846366583</v>
      </c>
      <c r="GW12" s="259">
        <f t="shared" si="428"/>
        <v>6.1421427182931403</v>
      </c>
      <c r="GX12" s="259">
        <f t="shared" si="428"/>
        <v>6.1421427182931403</v>
      </c>
      <c r="GY12" s="259">
        <f t="shared" si="428"/>
        <v>6.1421427182931403</v>
      </c>
      <c r="GZ12" s="259">
        <f t="shared" si="428"/>
        <v>6.2274752235940625</v>
      </c>
      <c r="HA12" s="259">
        <f t="shared" si="428"/>
        <v>6.2274752235940625</v>
      </c>
      <c r="HB12" s="259">
        <f t="shared" si="428"/>
        <v>6.2274752235940625</v>
      </c>
      <c r="HC12" s="259">
        <f t="shared" si="428"/>
        <v>6.2692402796283107</v>
      </c>
      <c r="HD12" s="259">
        <f t="shared" si="428"/>
        <v>6.2692402796283107</v>
      </c>
      <c r="HE12" s="259">
        <f t="shared" si="428"/>
        <v>6.2692402796283107</v>
      </c>
      <c r="HF12" s="259">
        <f t="shared" si="428"/>
        <v>6.4314707988684914</v>
      </c>
      <c r="HG12" s="259">
        <f t="shared" si="428"/>
        <v>6.4314707988684914</v>
      </c>
      <c r="HH12" s="259">
        <f t="shared" si="428"/>
        <v>6.4314707988684914</v>
      </c>
      <c r="HI12" s="259">
        <f t="shared" si="428"/>
        <v>6.4492498542077952</v>
      </c>
      <c r="HJ12" s="259">
        <f t="shared" si="428"/>
        <v>6.4492498542077952</v>
      </c>
      <c r="HK12" s="259">
        <f t="shared" si="428"/>
        <v>6.4492498542077952</v>
      </c>
      <c r="HL12" s="259">
        <f t="shared" si="428"/>
        <v>6.5388489847737654</v>
      </c>
      <c r="HM12" s="259">
        <f t="shared" si="428"/>
        <v>6.5388489847737654</v>
      </c>
      <c r="HN12" s="259">
        <f t="shared" si="428"/>
        <v>6.5388489847737654</v>
      </c>
      <c r="HO12" s="259">
        <f t="shared" si="428"/>
        <v>6.5827022936097253</v>
      </c>
      <c r="HP12" s="259">
        <f t="shared" si="428"/>
        <v>6.5827022936097253</v>
      </c>
      <c r="HQ12" s="259">
        <f t="shared" si="428"/>
        <v>6.5827022936097253</v>
      </c>
      <c r="HR12" s="259">
        <f t="shared" si="428"/>
        <v>6.7530443388119163</v>
      </c>
      <c r="HS12" s="259">
        <f t="shared" si="428"/>
        <v>6.7530443388119163</v>
      </c>
      <c r="HT12" s="259">
        <f t="shared" si="428"/>
        <v>6.7530443388119163</v>
      </c>
      <c r="HU12" s="259">
        <f t="shared" si="428"/>
        <v>6.7717123469181866</v>
      </c>
      <c r="HV12" s="259">
        <f t="shared" si="428"/>
        <v>6.7717123469181866</v>
      </c>
      <c r="HW12" s="259">
        <f t="shared" si="428"/>
        <v>6.7717123469181866</v>
      </c>
      <c r="HX12" s="259">
        <f t="shared" si="428"/>
        <v>6.865791434012456</v>
      </c>
      <c r="HY12" s="259">
        <f t="shared" si="428"/>
        <v>6.865791434012456</v>
      </c>
      <c r="HZ12" s="259">
        <f t="shared" si="428"/>
        <v>6.865791434012456</v>
      </c>
      <c r="IA12" s="259">
        <f t="shared" si="428"/>
        <v>6.9118374082902125</v>
      </c>
      <c r="IB12" s="259">
        <f t="shared" si="428"/>
        <v>6.9118374082902125</v>
      </c>
      <c r="IC12" s="259">
        <f t="shared" si="428"/>
        <v>6.9118374082902125</v>
      </c>
      <c r="ID12" s="259">
        <f t="shared" si="428"/>
        <v>7.0906965557525128</v>
      </c>
      <c r="IE12" s="259">
        <f t="shared" si="428"/>
        <v>7.0906965557525128</v>
      </c>
      <c r="IF12" s="259">
        <f t="shared" si="428"/>
        <v>7.0906965557525128</v>
      </c>
      <c r="IG12" s="259">
        <f t="shared" si="428"/>
        <v>7.1102979642640962</v>
      </c>
      <c r="IH12" s="259">
        <f t="shared" si="428"/>
        <v>7.1102979642640962</v>
      </c>
      <c r="II12" s="259">
        <f t="shared" si="428"/>
        <v>7.1102979642640962</v>
      </c>
      <c r="IJ12" s="259">
        <f t="shared" si="428"/>
        <v>7.2090810057130774</v>
      </c>
      <c r="IK12" s="259">
        <f t="shared" si="428"/>
        <v>7.2090810057130774</v>
      </c>
      <c r="IL12" s="259">
        <f t="shared" si="428"/>
        <v>7.2090810057130774</v>
      </c>
      <c r="IM12" s="259">
        <f t="shared" si="428"/>
        <v>7.2574292787047225</v>
      </c>
      <c r="IN12" s="259">
        <f t="shared" si="428"/>
        <v>7.2574292787047225</v>
      </c>
      <c r="IO12" s="259">
        <f t="shared" si="428"/>
        <v>7.2574292787047225</v>
      </c>
      <c r="IP12" s="259">
        <f t="shared" si="428"/>
        <v>7.445231383540138</v>
      </c>
      <c r="IQ12" s="259">
        <f t="shared" si="428"/>
        <v>7.445231383540138</v>
      </c>
      <c r="IR12" s="259">
        <f t="shared" si="428"/>
        <v>7.445231383540138</v>
      </c>
      <c r="IS12" s="259">
        <f t="shared" si="428"/>
        <v>7.4658128624773008</v>
      </c>
      <c r="IT12" s="259">
        <f t="shared" si="428"/>
        <v>7.4658128624773008</v>
      </c>
      <c r="IU12" s="259">
        <f t="shared" si="428"/>
        <v>7.4658128624773008</v>
      </c>
      <c r="IV12" s="259">
        <f t="shared" si="428"/>
        <v>6.247640271586878</v>
      </c>
      <c r="IW12" s="259">
        <f t="shared" si="428"/>
        <v>6.247640271586878</v>
      </c>
      <c r="IX12" s="259">
        <f t="shared" si="428"/>
        <v>6.247640271586878</v>
      </c>
      <c r="IY12" s="259">
        <f t="shared" si="428"/>
        <v>6.2984059582281047</v>
      </c>
      <c r="IZ12" s="259">
        <f t="shared" ref="IZ12:KB12" si="429">SUM(IZ10:IZ11)</f>
        <v>6.2984059582281047</v>
      </c>
      <c r="JA12" s="259">
        <f t="shared" si="429"/>
        <v>6.2984059582281047</v>
      </c>
      <c r="JB12" s="259">
        <f t="shared" si="429"/>
        <v>6.4295034290846989</v>
      </c>
      <c r="JC12" s="259">
        <f t="shared" si="429"/>
        <v>6.4295034290846989</v>
      </c>
      <c r="JD12" s="259">
        <f t="shared" si="429"/>
        <v>6.4295034290846989</v>
      </c>
      <c r="JE12" s="259">
        <f t="shared" si="429"/>
        <v>6.45111398196872</v>
      </c>
      <c r="JF12" s="259">
        <f t="shared" si="429"/>
        <v>6.45111398196872</v>
      </c>
      <c r="JG12" s="259">
        <f t="shared" si="429"/>
        <v>6.45111398196872</v>
      </c>
      <c r="JH12" s="259">
        <f t="shared" si="429"/>
        <v>3.9995817419043003</v>
      </c>
      <c r="JI12" s="259">
        <f t="shared" si="429"/>
        <v>3.9995817419043003</v>
      </c>
      <c r="JJ12" s="259">
        <f t="shared" si="429"/>
        <v>3.9995817419043003</v>
      </c>
      <c r="JK12" s="259">
        <f t="shared" si="429"/>
        <v>4.0528857128775879</v>
      </c>
      <c r="JL12" s="259">
        <f t="shared" si="429"/>
        <v>4.0528857128775879</v>
      </c>
      <c r="JM12" s="259">
        <f t="shared" si="429"/>
        <v>4.0528857128775879</v>
      </c>
      <c r="JN12" s="259">
        <f t="shared" si="429"/>
        <v>4.0625160301139163</v>
      </c>
      <c r="JO12" s="259">
        <f t="shared" si="429"/>
        <v>4.0625160301139163</v>
      </c>
      <c r="JP12" s="259">
        <f t="shared" si="429"/>
        <v>4.0625160301139163</v>
      </c>
      <c r="JQ12" s="259">
        <f t="shared" si="429"/>
        <v>3.0178880639444374</v>
      </c>
      <c r="JR12" s="259">
        <f t="shared" si="429"/>
        <v>3.0178880639444374</v>
      </c>
      <c r="JS12" s="259">
        <f t="shared" si="429"/>
        <v>3.0178880639444374</v>
      </c>
      <c r="JT12" s="259">
        <f t="shared" si="429"/>
        <v>3.1322417823018149</v>
      </c>
      <c r="JU12" s="259">
        <f t="shared" si="429"/>
        <v>3.1322417823018149</v>
      </c>
      <c r="JV12" s="259">
        <f t="shared" si="429"/>
        <v>3.1322417823018149</v>
      </c>
      <c r="JW12" s="259">
        <f t="shared" si="429"/>
        <v>3.1348449994888825</v>
      </c>
      <c r="JX12" s="259">
        <f t="shared" si="429"/>
        <v>3.1348449994888825</v>
      </c>
      <c r="JY12" s="259">
        <f t="shared" si="429"/>
        <v>3.1348449994888825</v>
      </c>
      <c r="JZ12" s="259">
        <f t="shared" si="429"/>
        <v>0.85522307664047115</v>
      </c>
      <c r="KA12" s="259">
        <f t="shared" si="429"/>
        <v>0.85522307664047115</v>
      </c>
      <c r="KB12" s="259">
        <f t="shared" si="429"/>
        <v>0.85522307664047115</v>
      </c>
      <c r="KC12" s="260">
        <f t="shared" ref="KC12" si="430">SUM(KC10:KC11)</f>
        <v>72.396632075879239</v>
      </c>
    </row>
    <row r="13" spans="1:289" x14ac:dyDescent="0.3">
      <c r="A13" s="39" t="s">
        <v>33</v>
      </c>
      <c r="B13" s="257"/>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8"/>
      <c r="CB13" s="258"/>
      <c r="CC13" s="258"/>
      <c r="CD13" s="258"/>
      <c r="CE13" s="258"/>
      <c r="CF13" s="258"/>
      <c r="CG13" s="258"/>
      <c r="CH13" s="258"/>
      <c r="CI13" s="258"/>
      <c r="CJ13" s="258"/>
      <c r="CK13" s="258"/>
      <c r="CL13" s="258"/>
      <c r="CM13" s="258"/>
      <c r="CN13" s="258"/>
      <c r="CO13" s="258"/>
      <c r="CP13" s="258"/>
      <c r="CQ13" s="258"/>
      <c r="CR13" s="258"/>
      <c r="CS13" s="258"/>
      <c r="CT13" s="258"/>
      <c r="CU13" s="258"/>
      <c r="CV13" s="258"/>
      <c r="CW13" s="258"/>
      <c r="CX13" s="258"/>
      <c r="CY13" s="258"/>
      <c r="CZ13" s="258"/>
      <c r="DA13" s="258"/>
      <c r="DB13" s="258"/>
      <c r="DC13" s="258"/>
      <c r="DD13" s="258"/>
      <c r="DE13" s="258"/>
      <c r="DF13" s="258"/>
      <c r="DG13" s="258"/>
      <c r="DH13" s="258"/>
      <c r="DI13" s="258"/>
      <c r="DJ13" s="258"/>
      <c r="DK13" s="258"/>
      <c r="DL13" s="258"/>
      <c r="DM13" s="258"/>
      <c r="DN13" s="258"/>
      <c r="DO13" s="258"/>
      <c r="DP13" s="258"/>
      <c r="DQ13" s="258"/>
      <c r="DR13" s="258"/>
      <c r="DS13" s="258"/>
      <c r="DT13" s="258"/>
      <c r="DU13" s="258"/>
      <c r="DV13" s="258"/>
      <c r="DW13" s="258"/>
      <c r="DX13" s="258"/>
      <c r="DY13" s="258"/>
      <c r="DZ13" s="258"/>
      <c r="EA13" s="258"/>
      <c r="EB13" s="258"/>
      <c r="EC13" s="258"/>
      <c r="ED13" s="258"/>
      <c r="EE13" s="258"/>
      <c r="EF13" s="258"/>
      <c r="EG13" s="258"/>
      <c r="EH13" s="258"/>
      <c r="EI13" s="258"/>
      <c r="EJ13" s="258"/>
      <c r="EK13" s="258"/>
      <c r="EL13" s="258"/>
      <c r="EM13" s="258"/>
      <c r="EN13" s="258"/>
      <c r="EO13" s="258"/>
      <c r="EP13" s="258"/>
      <c r="EQ13" s="258"/>
      <c r="ER13" s="258"/>
      <c r="ES13" s="258"/>
      <c r="ET13" s="258"/>
      <c r="EU13" s="258"/>
      <c r="EV13" s="258"/>
      <c r="EW13" s="258"/>
      <c r="EX13" s="258"/>
      <c r="EY13" s="258"/>
      <c r="EZ13" s="258"/>
      <c r="FA13" s="258"/>
      <c r="FB13" s="258"/>
      <c r="FC13" s="258"/>
      <c r="FD13" s="258"/>
      <c r="FE13" s="258"/>
      <c r="FF13" s="258"/>
      <c r="FG13" s="258"/>
      <c r="FH13" s="258"/>
      <c r="FI13" s="258"/>
      <c r="FJ13" s="258"/>
      <c r="FK13" s="258"/>
      <c r="FL13" s="258"/>
      <c r="FM13" s="258"/>
      <c r="FN13" s="258"/>
      <c r="FO13" s="258"/>
      <c r="FP13" s="258"/>
      <c r="FQ13" s="258"/>
      <c r="FR13" s="258"/>
      <c r="FS13" s="258"/>
      <c r="FT13" s="258"/>
      <c r="FU13" s="258"/>
      <c r="FV13" s="258"/>
      <c r="FW13" s="258"/>
      <c r="FX13" s="258"/>
      <c r="FY13" s="258"/>
      <c r="FZ13" s="258"/>
      <c r="GA13" s="258"/>
      <c r="GB13" s="258"/>
      <c r="GC13" s="258"/>
      <c r="GD13" s="258"/>
      <c r="GE13" s="258"/>
      <c r="GF13" s="258"/>
      <c r="GG13" s="258"/>
      <c r="GH13" s="258"/>
      <c r="GI13" s="258"/>
      <c r="GJ13" s="258"/>
      <c r="GK13" s="258"/>
      <c r="GL13" s="258"/>
      <c r="GM13" s="258"/>
      <c r="GN13" s="258"/>
      <c r="GO13" s="258"/>
      <c r="GP13" s="258"/>
      <c r="GQ13" s="258"/>
      <c r="GR13" s="258"/>
      <c r="GS13" s="258"/>
      <c r="GT13" s="258"/>
      <c r="GU13" s="258"/>
      <c r="GV13" s="258"/>
      <c r="GW13" s="258"/>
      <c r="GX13" s="258"/>
      <c r="GY13" s="258"/>
      <c r="GZ13" s="258"/>
      <c r="HA13" s="258"/>
      <c r="HB13" s="258"/>
      <c r="HC13" s="258"/>
      <c r="HD13" s="258"/>
      <c r="HE13" s="258"/>
      <c r="HF13" s="258"/>
      <c r="HG13" s="258"/>
      <c r="HH13" s="258"/>
      <c r="HI13" s="258"/>
      <c r="HJ13" s="258"/>
      <c r="HK13" s="258"/>
      <c r="HL13" s="258"/>
      <c r="HM13" s="258"/>
      <c r="HN13" s="258"/>
      <c r="HO13" s="258"/>
      <c r="HP13" s="258"/>
      <c r="HQ13" s="258"/>
      <c r="HR13" s="258"/>
      <c r="HS13" s="258"/>
      <c r="HT13" s="258"/>
      <c r="HU13" s="258"/>
      <c r="HV13" s="258"/>
      <c r="HW13" s="258"/>
      <c r="HX13" s="258"/>
      <c r="HY13" s="258"/>
      <c r="HZ13" s="258"/>
      <c r="IA13" s="258"/>
      <c r="IB13" s="258"/>
      <c r="IC13" s="258"/>
      <c r="ID13" s="258"/>
      <c r="IE13" s="258"/>
      <c r="IF13" s="258"/>
      <c r="IG13" s="258"/>
      <c r="IH13" s="258"/>
      <c r="II13" s="258"/>
      <c r="IJ13" s="258"/>
      <c r="IK13" s="258"/>
      <c r="IL13" s="258"/>
      <c r="IM13" s="258"/>
      <c r="IN13" s="258"/>
      <c r="IO13" s="258"/>
      <c r="IP13" s="258"/>
      <c r="IQ13" s="258"/>
      <c r="IR13" s="258"/>
      <c r="IS13" s="258"/>
      <c r="IT13" s="258"/>
      <c r="IU13" s="258"/>
      <c r="IV13" s="258"/>
      <c r="IW13" s="258"/>
      <c r="IX13" s="258"/>
      <c r="IY13" s="258"/>
      <c r="IZ13" s="258"/>
      <c r="JA13" s="258"/>
      <c r="JB13" s="258"/>
      <c r="JC13" s="258"/>
      <c r="JD13" s="258"/>
      <c r="JE13" s="258"/>
      <c r="JF13" s="258"/>
      <c r="JG13" s="258"/>
      <c r="JH13" s="258"/>
      <c r="JI13" s="258"/>
      <c r="JJ13" s="258"/>
      <c r="JK13" s="258"/>
      <c r="JL13" s="258"/>
      <c r="JM13" s="258"/>
      <c r="JN13" s="258"/>
      <c r="JO13" s="258"/>
      <c r="JP13" s="258"/>
      <c r="JQ13" s="258"/>
      <c r="JR13" s="258"/>
      <c r="JS13" s="258"/>
      <c r="JT13" s="258"/>
      <c r="JU13" s="258"/>
      <c r="JV13" s="258"/>
      <c r="JW13" s="258"/>
      <c r="JX13" s="258"/>
      <c r="JY13" s="258"/>
      <c r="JZ13" s="258"/>
      <c r="KA13" s="258"/>
      <c r="KB13" s="258"/>
      <c r="KC13" s="261"/>
    </row>
    <row r="14" spans="1:289" x14ac:dyDescent="0.3">
      <c r="A14" s="262" t="s">
        <v>22</v>
      </c>
      <c r="B14" s="257">
        <f>SUM(C14:KB14)</f>
        <v>-122.52020906700312</v>
      </c>
      <c r="C14" s="258">
        <f>-(C10+C11)*'Assumption Sheet'!$B$54</f>
        <v>0</v>
      </c>
      <c r="D14" s="258">
        <f>-(D10+D11)*'Assumption Sheet'!$B$54</f>
        <v>0</v>
      </c>
      <c r="E14" s="258">
        <f>-(E10+E11)*'Assumption Sheet'!$B$54</f>
        <v>0</v>
      </c>
      <c r="F14" s="258">
        <f>-(F10+F11)*'Assumption Sheet'!$B$54</f>
        <v>0</v>
      </c>
      <c r="G14" s="258">
        <f>-(G10+G11)*'Assumption Sheet'!$B$54</f>
        <v>0</v>
      </c>
      <c r="H14" s="258">
        <f>-(H10+H11)*'Assumption Sheet'!$B$54</f>
        <v>0</v>
      </c>
      <c r="I14" s="258">
        <f>-(I10+I11)*'Assumption Sheet'!$B$54</f>
        <v>0</v>
      </c>
      <c r="J14" s="258">
        <f>-(J10+J11)*'Assumption Sheet'!$B$54</f>
        <v>0</v>
      </c>
      <c r="K14" s="258">
        <f>-(K10+K11)*'Assumption Sheet'!$B$54</f>
        <v>0</v>
      </c>
      <c r="L14" s="258">
        <f>-(L10+L11)*'Assumption Sheet'!$B$54</f>
        <v>0</v>
      </c>
      <c r="M14" s="258">
        <f>-(M10+M11)*'Assumption Sheet'!$B$54</f>
        <v>0</v>
      </c>
      <c r="N14" s="258">
        <f>-(N10+N11)*'Assumption Sheet'!$B$54</f>
        <v>0</v>
      </c>
      <c r="O14" s="258">
        <f>-(O10+O11)*'Assumption Sheet'!$B$54</f>
        <v>0</v>
      </c>
      <c r="P14" s="258">
        <f>-(P10+P11)*'Assumption Sheet'!$B$54</f>
        <v>0</v>
      </c>
      <c r="Q14" s="258">
        <f>-(Q10+Q11)*'Assumption Sheet'!$B$54</f>
        <v>0</v>
      </c>
      <c r="R14" s="258">
        <f>-(R10+R11)*'Assumption Sheet'!$B$54</f>
        <v>0</v>
      </c>
      <c r="S14" s="258">
        <f>-(S10+S11)*'Assumption Sheet'!$B$54</f>
        <v>0</v>
      </c>
      <c r="T14" s="258">
        <f>-(T10+T11)*'Assumption Sheet'!$B$54</f>
        <v>0</v>
      </c>
      <c r="U14" s="258">
        <f>-(U10+U11)*'Assumption Sheet'!$B$54</f>
        <v>0</v>
      </c>
      <c r="V14" s="258">
        <f>-(V10+V11)*'Assumption Sheet'!$B$54</f>
        <v>-5.4863663690692489E-2</v>
      </c>
      <c r="W14" s="258">
        <f>-(W10+W11)*'Assumption Sheet'!$B$54</f>
        <v>-5.4863663690692489E-2</v>
      </c>
      <c r="X14" s="258">
        <f>-(X10+X11)*'Assumption Sheet'!$B$54</f>
        <v>-5.4863663690692489E-2</v>
      </c>
      <c r="Y14" s="258">
        <f>-(Y10+Y11)*'Assumption Sheet'!$B$54</f>
        <v>-5.4863663690692489E-2</v>
      </c>
      <c r="Z14" s="258">
        <f>-(Z10+Z11)*'Assumption Sheet'!$B$54</f>
        <v>-5.4863663690692489E-2</v>
      </c>
      <c r="AA14" s="258">
        <f>-(AA10+AA11)*'Assumption Sheet'!$B$54</f>
        <v>-5.4863663690692489E-2</v>
      </c>
      <c r="AB14" s="258">
        <f>-(AB10+AB11)*'Assumption Sheet'!$B$54</f>
        <v>-5.4863663690692489E-2</v>
      </c>
      <c r="AC14" s="258">
        <f>-(AC10+AC11)*'Assumption Sheet'!$B$54</f>
        <v>-5.4863663690692489E-2</v>
      </c>
      <c r="AD14" s="258">
        <f>-(AD10+AD11)*'Assumption Sheet'!$B$54</f>
        <v>-5.4863663690692489E-2</v>
      </c>
      <c r="AE14" s="258">
        <f>-(AE10+AE11)*'Assumption Sheet'!$B$54</f>
        <v>-5.4863663690692489E-2</v>
      </c>
      <c r="AF14" s="258">
        <f>-(AF10+AF11)*'Assumption Sheet'!$B$54</f>
        <v>-5.4863663690692489E-2</v>
      </c>
      <c r="AG14" s="258">
        <f>-(AG10+AG11)*'Assumption Sheet'!$B$54</f>
        <v>-5.4863663690692489E-2</v>
      </c>
      <c r="AH14" s="258">
        <f>-(AH10+AH11)*'Assumption Sheet'!$B$54</f>
        <v>-0.16387487253207789</v>
      </c>
      <c r="AI14" s="258">
        <f>-(AI10+AI11)*'Assumption Sheet'!$B$54</f>
        <v>-0.16387487253207789</v>
      </c>
      <c r="AJ14" s="258">
        <f>-(AJ10+AJ11)*'Assumption Sheet'!$B$54</f>
        <v>-0.16387487253207789</v>
      </c>
      <c r="AK14" s="258">
        <f>-(AK10+AK11)*'Assumption Sheet'!$B$54</f>
        <v>-0.16387487253207789</v>
      </c>
      <c r="AL14" s="258">
        <f>-(AL10+AL11)*'Assumption Sheet'!$B$54</f>
        <v>-0.16387487253207789</v>
      </c>
      <c r="AM14" s="258">
        <f>-(AM10+AM11)*'Assumption Sheet'!$B$54</f>
        <v>-0.16387487253207789</v>
      </c>
      <c r="AN14" s="258">
        <f>-(AN10+AN11)*'Assumption Sheet'!$B$54</f>
        <v>-0.16387487253207789</v>
      </c>
      <c r="AO14" s="258">
        <f>-(AO10+AO11)*'Assumption Sheet'!$B$54</f>
        <v>-0.16387487253207789</v>
      </c>
      <c r="AP14" s="258">
        <f>-(AP10+AP11)*'Assumption Sheet'!$B$54</f>
        <v>-0.16387487253207789</v>
      </c>
      <c r="AQ14" s="258">
        <f>-(AQ10+AQ11)*'Assumption Sheet'!$B$54</f>
        <v>-0.20817267438379392</v>
      </c>
      <c r="AR14" s="258">
        <f>-(AR10+AR11)*'Assumption Sheet'!$B$54</f>
        <v>-0.20817267438379392</v>
      </c>
      <c r="AS14" s="258">
        <f>-(AS10+AS11)*'Assumption Sheet'!$B$54</f>
        <v>-0.20817267438379392</v>
      </c>
      <c r="AT14" s="258">
        <f>-(AT10+AT11)*'Assumption Sheet'!$B$54</f>
        <v>-0.2163664180103978</v>
      </c>
      <c r="AU14" s="258">
        <f>-(AU10+AU11)*'Assumption Sheet'!$B$54</f>
        <v>-0.2163664180103978</v>
      </c>
      <c r="AV14" s="258">
        <f>-(AV10+AV11)*'Assumption Sheet'!$B$54</f>
        <v>-0.2163664180103978</v>
      </c>
      <c r="AW14" s="258">
        <f>-(AW10+AW11)*'Assumption Sheet'!$B$54</f>
        <v>-0.2163664180103978</v>
      </c>
      <c r="AX14" s="258">
        <f>-(AX10+AX11)*'Assumption Sheet'!$B$54</f>
        <v>-0.2163664180103978</v>
      </c>
      <c r="AY14" s="258">
        <f>-(AY10+AY11)*'Assumption Sheet'!$B$54</f>
        <v>-0.2163664180103978</v>
      </c>
      <c r="AZ14" s="258">
        <f>-(AZ10+AZ11)*'Assumption Sheet'!$B$54</f>
        <v>-0.31139908188717608</v>
      </c>
      <c r="BA14" s="258">
        <f>-(BA10+BA11)*'Assumption Sheet'!$B$54</f>
        <v>-0.31139908188717608</v>
      </c>
      <c r="BB14" s="258">
        <f>-(BB10+BB11)*'Assumption Sheet'!$B$54</f>
        <v>-0.31139908188717608</v>
      </c>
      <c r="BC14" s="258">
        <f>-(BC10+BC11)*'Assumption Sheet'!$B$54</f>
        <v>-0.31361397197976187</v>
      </c>
      <c r="BD14" s="258">
        <f>-(BD10+BD11)*'Assumption Sheet'!$B$54</f>
        <v>-0.31361397197976187</v>
      </c>
      <c r="BE14" s="258">
        <f>-(BE10+BE11)*'Assumption Sheet'!$B$54</f>
        <v>-0.31361397197976187</v>
      </c>
      <c r="BF14" s="258">
        <f>-(BF10+BF11)*'Assumption Sheet'!$B$54</f>
        <v>-0.32221740278769589</v>
      </c>
      <c r="BG14" s="258">
        <f>-(BG10+BG11)*'Assumption Sheet'!$B$54</f>
        <v>-0.32221740278769589</v>
      </c>
      <c r="BH14" s="258">
        <f>-(BH10+BH11)*'Assumption Sheet'!$B$54</f>
        <v>-0.32221740278769589</v>
      </c>
      <c r="BI14" s="258">
        <f>-(BI10+BI11)*'Assumption Sheet'!$B$54</f>
        <v>-0.34201748933324466</v>
      </c>
      <c r="BJ14" s="258">
        <f>-(BJ10+BJ11)*'Assumption Sheet'!$B$54</f>
        <v>-0.34201748933324466</v>
      </c>
      <c r="BK14" s="258">
        <f>-(BK10+BK11)*'Assumption Sheet'!$B$54</f>
        <v>-0.34201748933324466</v>
      </c>
      <c r="BL14" s="258">
        <f>-(BL10+BL11)*'Assumption Sheet'!$B$54</f>
        <v>-0.34676912252708358</v>
      </c>
      <c r="BM14" s="258">
        <f>-(BM10+BM11)*'Assumption Sheet'!$B$54</f>
        <v>-0.34676912252708358</v>
      </c>
      <c r="BN14" s="258">
        <f>-(BN10+BN11)*'Assumption Sheet'!$B$54</f>
        <v>-0.34676912252708358</v>
      </c>
      <c r="BO14" s="258">
        <f>-(BO10+BO11)*'Assumption Sheet'!$B$54</f>
        <v>-0.34909475712429872</v>
      </c>
      <c r="BP14" s="258">
        <f>-(BP10+BP11)*'Assumption Sheet'!$B$54</f>
        <v>-0.34909475712429872</v>
      </c>
      <c r="BQ14" s="258">
        <f>-(BQ10+BQ11)*'Assumption Sheet'!$B$54</f>
        <v>-0.34909475712429872</v>
      </c>
      <c r="BR14" s="258">
        <f>-(BR10+BR11)*'Assumption Sheet'!$B$54</f>
        <v>-0.3581283594726295</v>
      </c>
      <c r="BS14" s="258">
        <f>-(BS10+BS11)*'Assumption Sheet'!$B$54</f>
        <v>-0.3581283594726295</v>
      </c>
      <c r="BT14" s="258">
        <f>-(BT10+BT11)*'Assumption Sheet'!$B$54</f>
        <v>-0.3581283594726295</v>
      </c>
      <c r="BU14" s="258">
        <f>-(BU10+BU11)*'Assumption Sheet'!$B$54</f>
        <v>-0.35911836379990697</v>
      </c>
      <c r="BV14" s="258">
        <f>-(BV10+BV11)*'Assumption Sheet'!$B$54</f>
        <v>-0.35911836379990697</v>
      </c>
      <c r="BW14" s="258">
        <f>-(BW10+BW11)*'Assumption Sheet'!$B$54</f>
        <v>-0.35911836379990697</v>
      </c>
      <c r="BX14" s="258">
        <f>-(BX10+BX11)*'Assumption Sheet'!$B$54</f>
        <v>-0.36410757865343779</v>
      </c>
      <c r="BY14" s="258">
        <f>-(BY10+BY11)*'Assumption Sheet'!$B$54</f>
        <v>-0.36410757865343779</v>
      </c>
      <c r="BZ14" s="258">
        <f>-(BZ10+BZ11)*'Assumption Sheet'!$B$54</f>
        <v>-0.36410757865343779</v>
      </c>
      <c r="CA14" s="258">
        <f>-(CA10+CA11)*'Assumption Sheet'!$B$54</f>
        <v>-0.3665494949805137</v>
      </c>
      <c r="CB14" s="258">
        <f>-(CB10+CB11)*'Assumption Sheet'!$B$54</f>
        <v>-0.3665494949805137</v>
      </c>
      <c r="CC14" s="258">
        <f>-(CC10+CC11)*'Assumption Sheet'!$B$54</f>
        <v>-0.3665494949805137</v>
      </c>
      <c r="CD14" s="258">
        <f>-(CD10+CD11)*'Assumption Sheet'!$B$54</f>
        <v>-0.37603477744626101</v>
      </c>
      <c r="CE14" s="258">
        <f>-(CE10+CE11)*'Assumption Sheet'!$B$54</f>
        <v>-0.37603477744626101</v>
      </c>
      <c r="CF14" s="258">
        <f>-(CF10+CF11)*'Assumption Sheet'!$B$54</f>
        <v>-0.37603477744626101</v>
      </c>
      <c r="CG14" s="258">
        <f>-(CG10+CG11)*'Assumption Sheet'!$B$54</f>
        <v>-0.37707428198990228</v>
      </c>
      <c r="CH14" s="258">
        <f>-(CH10+CH11)*'Assumption Sheet'!$B$54</f>
        <v>-0.37707428198990228</v>
      </c>
      <c r="CI14" s="258">
        <f>-(CI10+CI11)*'Assumption Sheet'!$B$54</f>
        <v>-0.37707428198990228</v>
      </c>
      <c r="CJ14" s="258">
        <f>-(CJ10+CJ11)*'Assumption Sheet'!$B$54</f>
        <v>-0.38231295758610973</v>
      </c>
      <c r="CK14" s="258">
        <f>-(CK10+CK11)*'Assumption Sheet'!$B$54</f>
        <v>-0.38231295758610973</v>
      </c>
      <c r="CL14" s="258">
        <f>-(CL10+CL11)*'Assumption Sheet'!$B$54</f>
        <v>-0.38231295758610973</v>
      </c>
      <c r="CM14" s="258">
        <f>-(CM10+CM11)*'Assumption Sheet'!$B$54</f>
        <v>-0.38487696972953933</v>
      </c>
      <c r="CN14" s="258">
        <f>-(CN10+CN11)*'Assumption Sheet'!$B$54</f>
        <v>-0.38487696972953933</v>
      </c>
      <c r="CO14" s="258">
        <f>-(CO10+CO11)*'Assumption Sheet'!$B$54</f>
        <v>-0.38487696972953933</v>
      </c>
      <c r="CP14" s="258">
        <f>-(CP10+CP11)*'Assumption Sheet'!$B$54</f>
        <v>-0.39483651631857414</v>
      </c>
      <c r="CQ14" s="258">
        <f>-(CQ10+CQ11)*'Assumption Sheet'!$B$54</f>
        <v>-0.39483651631857414</v>
      </c>
      <c r="CR14" s="258">
        <f>-(CR10+CR11)*'Assumption Sheet'!$B$54</f>
        <v>-0.39483651631857414</v>
      </c>
      <c r="CS14" s="258">
        <f>-(CS10+CS11)*'Assumption Sheet'!$B$54</f>
        <v>-0.39592799608939755</v>
      </c>
      <c r="CT14" s="258">
        <f>-(CT10+CT11)*'Assumption Sheet'!$B$54</f>
        <v>-0.39592799608939755</v>
      </c>
      <c r="CU14" s="258">
        <f>-(CU10+CU11)*'Assumption Sheet'!$B$54</f>
        <v>-0.39592799608939755</v>
      </c>
      <c r="CV14" s="258">
        <f>-(CV10+CV11)*'Assumption Sheet'!$B$54</f>
        <v>-0.40142860546541526</v>
      </c>
      <c r="CW14" s="258">
        <f>-(CW10+CW11)*'Assumption Sheet'!$B$54</f>
        <v>-0.40142860546541526</v>
      </c>
      <c r="CX14" s="258">
        <f>-(CX10+CX11)*'Assumption Sheet'!$B$54</f>
        <v>-0.40142860546541526</v>
      </c>
      <c r="CY14" s="258">
        <f>-(CY10+CY11)*'Assumption Sheet'!$B$54</f>
        <v>-0.40412081821601636</v>
      </c>
      <c r="CZ14" s="258">
        <f>-(CZ10+CZ11)*'Assumption Sheet'!$B$54</f>
        <v>-0.40412081821601636</v>
      </c>
      <c r="DA14" s="258">
        <f>-(DA10+DA11)*'Assumption Sheet'!$B$54</f>
        <v>-0.40412081821601636</v>
      </c>
      <c r="DB14" s="258">
        <f>-(DB10+DB11)*'Assumption Sheet'!$B$54</f>
        <v>-0.41457834213450284</v>
      </c>
      <c r="DC14" s="258">
        <f>-(DC10+DC11)*'Assumption Sheet'!$B$54</f>
        <v>-0.41457834213450284</v>
      </c>
      <c r="DD14" s="258">
        <f>-(DD10+DD11)*'Assumption Sheet'!$B$54</f>
        <v>-0.41457834213450284</v>
      </c>
      <c r="DE14" s="258">
        <f>-(DE10+DE11)*'Assumption Sheet'!$B$54</f>
        <v>-0.41572439589386728</v>
      </c>
      <c r="DF14" s="258">
        <f>-(DF10+DF11)*'Assumption Sheet'!$B$54</f>
        <v>-0.41572439589386728</v>
      </c>
      <c r="DG14" s="258">
        <f>-(DG10+DG11)*'Assumption Sheet'!$B$54</f>
        <v>-0.41572439589386728</v>
      </c>
      <c r="DH14" s="258">
        <f>-(DH10+DH11)*'Assumption Sheet'!$B$54</f>
        <v>-0.42150003573868605</v>
      </c>
      <c r="DI14" s="258">
        <f>-(DI10+DI11)*'Assumption Sheet'!$B$54</f>
        <v>-0.42150003573868605</v>
      </c>
      <c r="DJ14" s="258">
        <f>-(DJ10+DJ11)*'Assumption Sheet'!$B$54</f>
        <v>-0.42150003573868605</v>
      </c>
      <c r="DK14" s="258">
        <f>-(DK10+DK11)*'Assumption Sheet'!$B$54</f>
        <v>-0.42432685912681722</v>
      </c>
      <c r="DL14" s="258">
        <f>-(DL10+DL11)*'Assumption Sheet'!$B$54</f>
        <v>-0.42432685912681722</v>
      </c>
      <c r="DM14" s="258">
        <f>-(DM10+DM11)*'Assumption Sheet'!$B$54</f>
        <v>-0.42432685912681722</v>
      </c>
      <c r="DN14" s="258">
        <f>-(DN10+DN11)*'Assumption Sheet'!$B$54</f>
        <v>-0.43530725924122804</v>
      </c>
      <c r="DO14" s="258">
        <f>-(DO10+DO11)*'Assumption Sheet'!$B$54</f>
        <v>-0.43530725924122804</v>
      </c>
      <c r="DP14" s="258">
        <f>-(DP10+DP11)*'Assumption Sheet'!$B$54</f>
        <v>-0.43530725924122804</v>
      </c>
      <c r="DQ14" s="258">
        <f>-(DQ10+DQ11)*'Assumption Sheet'!$B$54</f>
        <v>-0.43651061568856075</v>
      </c>
      <c r="DR14" s="258">
        <f>-(DR10+DR11)*'Assumption Sheet'!$B$54</f>
        <v>-0.43651061568856075</v>
      </c>
      <c r="DS14" s="258">
        <f>-(DS10+DS11)*'Assumption Sheet'!$B$54</f>
        <v>-0.43651061568856075</v>
      </c>
      <c r="DT14" s="258">
        <f>-(DT10+DT11)*'Assumption Sheet'!$B$54</f>
        <v>-0.44257503752562039</v>
      </c>
      <c r="DU14" s="258">
        <f>-(DU10+DU11)*'Assumption Sheet'!$B$54</f>
        <v>-0.44257503752562039</v>
      </c>
      <c r="DV14" s="258">
        <f>-(DV10+DV11)*'Assumption Sheet'!$B$54</f>
        <v>-0.44257503752562039</v>
      </c>
      <c r="DW14" s="258">
        <f>-(DW10+DW11)*'Assumption Sheet'!$B$54</f>
        <v>-0.44554320208315812</v>
      </c>
      <c r="DX14" s="258">
        <f>-(DX10+DX11)*'Assumption Sheet'!$B$54</f>
        <v>-0.44554320208315812</v>
      </c>
      <c r="DY14" s="258">
        <f>-(DY10+DY11)*'Assumption Sheet'!$B$54</f>
        <v>-0.44554320208315812</v>
      </c>
      <c r="DZ14" s="258">
        <f>-(DZ10+DZ11)*'Assumption Sheet'!$B$54</f>
        <v>-0.45707262220328931</v>
      </c>
      <c r="EA14" s="258">
        <f>-(EA10+EA11)*'Assumption Sheet'!$B$54</f>
        <v>-0.45707262220328931</v>
      </c>
      <c r="EB14" s="258">
        <f>-(EB10+EB11)*'Assumption Sheet'!$B$54</f>
        <v>-0.45707262220328931</v>
      </c>
      <c r="EC14" s="258">
        <f>-(EC10+EC11)*'Assumption Sheet'!$B$54</f>
        <v>-0.4583361464729887</v>
      </c>
      <c r="ED14" s="258">
        <f>-(ED10+ED11)*'Assumption Sheet'!$B$54</f>
        <v>-0.4583361464729887</v>
      </c>
      <c r="EE14" s="258">
        <f>-(EE10+EE11)*'Assumption Sheet'!$B$54</f>
        <v>-0.4583361464729887</v>
      </c>
      <c r="EF14" s="258">
        <f>-(EF10+EF11)*'Assumption Sheet'!$B$54</f>
        <v>-0.46470378940190138</v>
      </c>
      <c r="EG14" s="258">
        <f>-(EG10+EG11)*'Assumption Sheet'!$B$54</f>
        <v>-0.46470378940190138</v>
      </c>
      <c r="EH14" s="258">
        <f>-(EH10+EH11)*'Assumption Sheet'!$B$54</f>
        <v>-0.46470378940190138</v>
      </c>
      <c r="EI14" s="258">
        <f>-(EI10+EI11)*'Assumption Sheet'!$B$54</f>
        <v>-0.46782036218731593</v>
      </c>
      <c r="EJ14" s="258">
        <f>-(EJ10+EJ11)*'Assumption Sheet'!$B$54</f>
        <v>-0.46782036218731593</v>
      </c>
      <c r="EK14" s="258">
        <f>-(EK10+EK11)*'Assumption Sheet'!$B$54</f>
        <v>-0.46782036218731593</v>
      </c>
      <c r="EL14" s="258">
        <f>-(EL10+EL11)*'Assumption Sheet'!$B$54</f>
        <v>-0.4799262533134539</v>
      </c>
      <c r="EM14" s="258">
        <f>-(EM10+EM11)*'Assumption Sheet'!$B$54</f>
        <v>-0.4799262533134539</v>
      </c>
      <c r="EN14" s="258">
        <f>-(EN10+EN11)*'Assumption Sheet'!$B$54</f>
        <v>-0.4799262533134539</v>
      </c>
      <c r="EO14" s="258">
        <f>-(EO10+EO11)*'Assumption Sheet'!$B$54</f>
        <v>-0.48125295379663824</v>
      </c>
      <c r="EP14" s="258">
        <f>-(EP10+EP11)*'Assumption Sheet'!$B$54</f>
        <v>-0.48125295379663824</v>
      </c>
      <c r="EQ14" s="258">
        <f>-(EQ10+EQ11)*'Assumption Sheet'!$B$54</f>
        <v>-0.48125295379663824</v>
      </c>
      <c r="ER14" s="258">
        <f>-(ER10+ER11)*'Assumption Sheet'!$B$54</f>
        <v>-0.48793897887199639</v>
      </c>
      <c r="ES14" s="258">
        <f>-(ES10+ES11)*'Assumption Sheet'!$B$54</f>
        <v>-0.48793897887199639</v>
      </c>
      <c r="ET14" s="258">
        <f>-(ET10+ET11)*'Assumption Sheet'!$B$54</f>
        <v>-0.48793897887199639</v>
      </c>
      <c r="EU14" s="258">
        <f>-(EU10+EU11)*'Assumption Sheet'!$B$54</f>
        <v>-0.49121138029668177</v>
      </c>
      <c r="EV14" s="258">
        <f>-(EV10+EV11)*'Assumption Sheet'!$B$54</f>
        <v>-0.49121138029668177</v>
      </c>
      <c r="EW14" s="258">
        <f>-(EW10+EW11)*'Assumption Sheet'!$B$54</f>
        <v>-0.49121138029668177</v>
      </c>
      <c r="EX14" s="258">
        <f>-(EX10+EX11)*'Assumption Sheet'!$B$54</f>
        <v>-0.50392256597912655</v>
      </c>
      <c r="EY14" s="258">
        <f>-(EY10+EY11)*'Assumption Sheet'!$B$54</f>
        <v>-0.50392256597912655</v>
      </c>
      <c r="EZ14" s="258">
        <f>-(EZ10+EZ11)*'Assumption Sheet'!$B$54</f>
        <v>-0.50392256597912655</v>
      </c>
      <c r="FA14" s="258">
        <f>-(FA10+FA11)*'Assumption Sheet'!$B$54</f>
        <v>-0.50531560148647026</v>
      </c>
      <c r="FB14" s="258">
        <f>-(FB10+FB11)*'Assumption Sheet'!$B$54</f>
        <v>-0.50531560148647026</v>
      </c>
      <c r="FC14" s="258">
        <f>-(FC10+FC11)*'Assumption Sheet'!$B$54</f>
        <v>-0.50531560148647026</v>
      </c>
      <c r="FD14" s="258">
        <f>-(FD10+FD11)*'Assumption Sheet'!$B$54</f>
        <v>-0.51233592781559623</v>
      </c>
      <c r="FE14" s="258">
        <f>-(FE10+FE11)*'Assumption Sheet'!$B$54</f>
        <v>-0.51233592781559623</v>
      </c>
      <c r="FF14" s="258">
        <f>-(FF10+FF11)*'Assumption Sheet'!$B$54</f>
        <v>-0.51233592781559623</v>
      </c>
      <c r="FG14" s="258">
        <f>-(FG10+FG11)*'Assumption Sheet'!$B$54</f>
        <v>-0.51577194931151593</v>
      </c>
      <c r="FH14" s="258">
        <f>-(FH10+FH11)*'Assumption Sheet'!$B$54</f>
        <v>-0.51577194931151593</v>
      </c>
      <c r="FI14" s="258">
        <f>-(FI10+FI11)*'Assumption Sheet'!$B$54</f>
        <v>-0.51577194931151593</v>
      </c>
      <c r="FJ14" s="258">
        <f>-(FJ10+FJ11)*'Assumption Sheet'!$B$54</f>
        <v>-0.529118694278083</v>
      </c>
      <c r="FK14" s="258">
        <f>-(FK10+FK11)*'Assumption Sheet'!$B$54</f>
        <v>-0.529118694278083</v>
      </c>
      <c r="FL14" s="258">
        <f>-(FL10+FL11)*'Assumption Sheet'!$B$54</f>
        <v>-0.529118694278083</v>
      </c>
      <c r="FM14" s="258">
        <f>-(FM10+FM11)*'Assumption Sheet'!$B$54</f>
        <v>-0.53058138156079371</v>
      </c>
      <c r="FN14" s="258">
        <f>-(FN10+FN11)*'Assumption Sheet'!$B$54</f>
        <v>-0.53058138156079371</v>
      </c>
      <c r="FO14" s="258">
        <f>-(FO10+FO11)*'Assumption Sheet'!$B$54</f>
        <v>-0.53058138156079371</v>
      </c>
      <c r="FP14" s="258">
        <f>-(FP10+FP11)*'Assumption Sheet'!$B$54</f>
        <v>-0.53795272420637619</v>
      </c>
      <c r="FQ14" s="258">
        <f>-(FQ10+FQ11)*'Assumption Sheet'!$B$54</f>
        <v>-0.53795272420637619</v>
      </c>
      <c r="FR14" s="258">
        <f>-(FR10+FR11)*'Assumption Sheet'!$B$54</f>
        <v>-0.53795272420637619</v>
      </c>
      <c r="FS14" s="258">
        <f>-(FS10+FS11)*'Assumption Sheet'!$B$54</f>
        <v>-0.54156054677709187</v>
      </c>
      <c r="FT14" s="258">
        <f>-(FT10+FT11)*'Assumption Sheet'!$B$54</f>
        <v>-0.54156054677709187</v>
      </c>
      <c r="FU14" s="258">
        <f>-(FU10+FU11)*'Assumption Sheet'!$B$54</f>
        <v>-0.54156054677709187</v>
      </c>
      <c r="FV14" s="258">
        <f>-(FV10+FV11)*'Assumption Sheet'!$B$54</f>
        <v>-0.55557462899198717</v>
      </c>
      <c r="FW14" s="258">
        <f>-(FW10+FW11)*'Assumption Sheet'!$B$54</f>
        <v>-0.55557462899198717</v>
      </c>
      <c r="FX14" s="258">
        <f>-(FX10+FX11)*'Assumption Sheet'!$B$54</f>
        <v>-0.55557462899198717</v>
      </c>
      <c r="FY14" s="258">
        <f>-(FY10+FY11)*'Assumption Sheet'!$B$54</f>
        <v>-0.55711045063883347</v>
      </c>
      <c r="FZ14" s="258">
        <f>-(FZ10+FZ11)*'Assumption Sheet'!$B$54</f>
        <v>-0.55711045063883347</v>
      </c>
      <c r="GA14" s="258">
        <f>-(GA10+GA11)*'Assumption Sheet'!$B$54</f>
        <v>-0.55711045063883347</v>
      </c>
      <c r="GB14" s="258">
        <f>-(GB10+GB11)*'Assumption Sheet'!$B$54</f>
        <v>-0.56485036041669501</v>
      </c>
      <c r="GC14" s="258">
        <f>-(GC10+GC11)*'Assumption Sheet'!$B$54</f>
        <v>-0.56485036041669501</v>
      </c>
      <c r="GD14" s="258">
        <f>-(GD10+GD11)*'Assumption Sheet'!$B$54</f>
        <v>-0.56485036041669501</v>
      </c>
      <c r="GE14" s="258">
        <f>-(GE10+GE11)*'Assumption Sheet'!$B$54</f>
        <v>-0.56863857411594643</v>
      </c>
      <c r="GF14" s="258">
        <f>-(GF10+GF11)*'Assumption Sheet'!$B$54</f>
        <v>-0.56863857411594643</v>
      </c>
      <c r="GG14" s="258">
        <f>-(GG10+GG11)*'Assumption Sheet'!$B$54</f>
        <v>-0.56863857411594643</v>
      </c>
      <c r="GH14" s="258">
        <f>-(GH10+GH11)*'Assumption Sheet'!$B$54</f>
        <v>-0.58335336044158659</v>
      </c>
      <c r="GI14" s="258">
        <f>-(GI10+GI11)*'Assumption Sheet'!$B$54</f>
        <v>-0.58335336044158659</v>
      </c>
      <c r="GJ14" s="258">
        <f>-(GJ10+GJ11)*'Assumption Sheet'!$B$54</f>
        <v>-0.58335336044158659</v>
      </c>
      <c r="GK14" s="258">
        <f>-(GK10+GK11)*'Assumption Sheet'!$B$54</f>
        <v>-0.58496597317077514</v>
      </c>
      <c r="GL14" s="258">
        <f>-(GL10+GL11)*'Assumption Sheet'!$B$54</f>
        <v>-0.58496597317077514</v>
      </c>
      <c r="GM14" s="258">
        <f>-(GM10+GM11)*'Assumption Sheet'!$B$54</f>
        <v>-0.58496597317077514</v>
      </c>
      <c r="GN14" s="258">
        <f>-(GN10+GN11)*'Assumption Sheet'!$B$54</f>
        <v>-0.59309287843752978</v>
      </c>
      <c r="GO14" s="258">
        <f>-(GO10+GO11)*'Assumption Sheet'!$B$54</f>
        <v>-0.59309287843752978</v>
      </c>
      <c r="GP14" s="258">
        <f>-(GP10+GP11)*'Assumption Sheet'!$B$54</f>
        <v>-0.59309287843752978</v>
      </c>
      <c r="GQ14" s="258">
        <f>-(GQ10+GQ11)*'Assumption Sheet'!$B$54</f>
        <v>-0.59707050282174368</v>
      </c>
      <c r="GR14" s="258">
        <f>-(GR10+GR11)*'Assumption Sheet'!$B$54</f>
        <v>-0.59707050282174368</v>
      </c>
      <c r="GS14" s="258">
        <f>-(GS10+GS11)*'Assumption Sheet'!$B$54</f>
        <v>-0.59707050282174368</v>
      </c>
      <c r="GT14" s="258">
        <f>-(GT10+GT11)*'Assumption Sheet'!$B$54</f>
        <v>-0.61252102846366585</v>
      </c>
      <c r="GU14" s="258">
        <f>-(GU10+GU11)*'Assumption Sheet'!$B$54</f>
        <v>-0.61252102846366585</v>
      </c>
      <c r="GV14" s="258">
        <f>-(GV10+GV11)*'Assumption Sheet'!$B$54</f>
        <v>-0.61252102846366585</v>
      </c>
      <c r="GW14" s="258">
        <f>-(GW10+GW11)*'Assumption Sheet'!$B$54</f>
        <v>-0.6142142718293141</v>
      </c>
      <c r="GX14" s="258">
        <f>-(GX10+GX11)*'Assumption Sheet'!$B$54</f>
        <v>-0.6142142718293141</v>
      </c>
      <c r="GY14" s="258">
        <f>-(GY10+GY11)*'Assumption Sheet'!$B$54</f>
        <v>-0.6142142718293141</v>
      </c>
      <c r="GZ14" s="258">
        <f>-(GZ10+GZ11)*'Assumption Sheet'!$B$54</f>
        <v>-0.62274752235940634</v>
      </c>
      <c r="HA14" s="258">
        <f>-(HA10+HA11)*'Assumption Sheet'!$B$54</f>
        <v>-0.62274752235940634</v>
      </c>
      <c r="HB14" s="258">
        <f>-(HB10+HB11)*'Assumption Sheet'!$B$54</f>
        <v>-0.62274752235940634</v>
      </c>
      <c r="HC14" s="258">
        <f>-(HC10+HC11)*'Assumption Sheet'!$B$54</f>
        <v>-0.62692402796283109</v>
      </c>
      <c r="HD14" s="258">
        <f>-(HD10+HD11)*'Assumption Sheet'!$B$54</f>
        <v>-0.62692402796283109</v>
      </c>
      <c r="HE14" s="258">
        <f>-(HE10+HE11)*'Assumption Sheet'!$B$54</f>
        <v>-0.62692402796283109</v>
      </c>
      <c r="HF14" s="258">
        <f>-(HF10+HF11)*'Assumption Sheet'!$B$54</f>
        <v>-0.64314707988684916</v>
      </c>
      <c r="HG14" s="258">
        <f>-(HG10+HG11)*'Assumption Sheet'!$B$54</f>
        <v>-0.64314707988684916</v>
      </c>
      <c r="HH14" s="258">
        <f>-(HH10+HH11)*'Assumption Sheet'!$B$54</f>
        <v>-0.64314707988684916</v>
      </c>
      <c r="HI14" s="258">
        <f>-(HI10+HI11)*'Assumption Sheet'!$B$54</f>
        <v>-0.64492498542077958</v>
      </c>
      <c r="HJ14" s="258">
        <f>-(HJ10+HJ11)*'Assumption Sheet'!$B$54</f>
        <v>-0.64492498542077958</v>
      </c>
      <c r="HK14" s="258">
        <f>-(HK10+HK11)*'Assumption Sheet'!$B$54</f>
        <v>-0.64492498542077958</v>
      </c>
      <c r="HL14" s="258">
        <f>-(HL10+HL11)*'Assumption Sheet'!$B$54</f>
        <v>-0.65388489847737663</v>
      </c>
      <c r="HM14" s="258">
        <f>-(HM10+HM11)*'Assumption Sheet'!$B$54</f>
        <v>-0.65388489847737663</v>
      </c>
      <c r="HN14" s="258">
        <f>-(HN10+HN11)*'Assumption Sheet'!$B$54</f>
        <v>-0.65388489847737663</v>
      </c>
      <c r="HO14" s="258">
        <f>-(HO10+HO11)*'Assumption Sheet'!$B$54</f>
        <v>-0.65827022936097257</v>
      </c>
      <c r="HP14" s="258">
        <f>-(HP10+HP11)*'Assumption Sheet'!$B$54</f>
        <v>-0.65827022936097257</v>
      </c>
      <c r="HQ14" s="258">
        <f>-(HQ10+HQ11)*'Assumption Sheet'!$B$54</f>
        <v>-0.65827022936097257</v>
      </c>
      <c r="HR14" s="258">
        <f>-(HR10+HR11)*'Assumption Sheet'!$B$54</f>
        <v>-0.67530443388119166</v>
      </c>
      <c r="HS14" s="258">
        <f>-(HS10+HS11)*'Assumption Sheet'!$B$54</f>
        <v>-0.67530443388119166</v>
      </c>
      <c r="HT14" s="258">
        <f>-(HT10+HT11)*'Assumption Sheet'!$B$54</f>
        <v>-0.67530443388119166</v>
      </c>
      <c r="HU14" s="258">
        <f>-(HU10+HU11)*'Assumption Sheet'!$B$54</f>
        <v>-0.67717123469181872</v>
      </c>
      <c r="HV14" s="258">
        <f>-(HV10+HV11)*'Assumption Sheet'!$B$54</f>
        <v>-0.67717123469181872</v>
      </c>
      <c r="HW14" s="258">
        <f>-(HW10+HW11)*'Assumption Sheet'!$B$54</f>
        <v>-0.67717123469181872</v>
      </c>
      <c r="HX14" s="258">
        <f>-(HX10+HX11)*'Assumption Sheet'!$B$54</f>
        <v>-0.6865791434012456</v>
      </c>
      <c r="HY14" s="258">
        <f>-(HY10+HY11)*'Assumption Sheet'!$B$54</f>
        <v>-0.6865791434012456</v>
      </c>
      <c r="HZ14" s="258">
        <f>-(HZ10+HZ11)*'Assumption Sheet'!$B$54</f>
        <v>-0.6865791434012456</v>
      </c>
      <c r="IA14" s="258">
        <f>-(IA10+IA11)*'Assumption Sheet'!$B$54</f>
        <v>-0.69118374082902134</v>
      </c>
      <c r="IB14" s="258">
        <f>-(IB10+IB11)*'Assumption Sheet'!$B$54</f>
        <v>-0.69118374082902134</v>
      </c>
      <c r="IC14" s="258">
        <f>-(IC10+IC11)*'Assumption Sheet'!$B$54</f>
        <v>-0.69118374082902134</v>
      </c>
      <c r="ID14" s="258">
        <f>-(ID10+ID11)*'Assumption Sheet'!$B$54</f>
        <v>-0.70906965557525137</v>
      </c>
      <c r="IE14" s="258">
        <f>-(IE10+IE11)*'Assumption Sheet'!$B$54</f>
        <v>-0.70906965557525137</v>
      </c>
      <c r="IF14" s="258">
        <f>-(IF10+IF11)*'Assumption Sheet'!$B$54</f>
        <v>-0.70906965557525137</v>
      </c>
      <c r="IG14" s="258">
        <f>-(IG10+IG11)*'Assumption Sheet'!$B$54</f>
        <v>-0.71102979642640962</v>
      </c>
      <c r="IH14" s="258">
        <f>-(IH10+IH11)*'Assumption Sheet'!$B$54</f>
        <v>-0.71102979642640962</v>
      </c>
      <c r="II14" s="258">
        <f>-(II10+II11)*'Assumption Sheet'!$B$54</f>
        <v>-0.71102979642640962</v>
      </c>
      <c r="IJ14" s="258">
        <f>-(IJ10+IJ11)*'Assumption Sheet'!$B$54</f>
        <v>-0.72090810057130783</v>
      </c>
      <c r="IK14" s="258">
        <f>-(IK10+IK11)*'Assumption Sheet'!$B$54</f>
        <v>-0.72090810057130783</v>
      </c>
      <c r="IL14" s="258">
        <f>-(IL10+IL11)*'Assumption Sheet'!$B$54</f>
        <v>-0.72090810057130783</v>
      </c>
      <c r="IM14" s="258">
        <f>-(IM10+IM11)*'Assumption Sheet'!$B$54</f>
        <v>-0.72574292787047234</v>
      </c>
      <c r="IN14" s="258">
        <f>-(IN10+IN11)*'Assumption Sheet'!$B$54</f>
        <v>-0.72574292787047234</v>
      </c>
      <c r="IO14" s="258">
        <f>-(IO10+IO11)*'Assumption Sheet'!$B$54</f>
        <v>-0.72574292787047234</v>
      </c>
      <c r="IP14" s="258">
        <f>-(IP10+IP11)*'Assumption Sheet'!$B$54</f>
        <v>-0.74452313835401385</v>
      </c>
      <c r="IQ14" s="258">
        <f>-(IQ10+IQ11)*'Assumption Sheet'!$B$54</f>
        <v>-0.74452313835401385</v>
      </c>
      <c r="IR14" s="258">
        <f>-(IR10+IR11)*'Assumption Sheet'!$B$54</f>
        <v>-0.74452313835401385</v>
      </c>
      <c r="IS14" s="258">
        <f>-(IS10+IS11)*'Assumption Sheet'!$B$54</f>
        <v>-0.74658128624773012</v>
      </c>
      <c r="IT14" s="258">
        <f>-(IT10+IT11)*'Assumption Sheet'!$B$54</f>
        <v>-0.74658128624773012</v>
      </c>
      <c r="IU14" s="258">
        <f>-(IU10+IU11)*'Assumption Sheet'!$B$54</f>
        <v>-0.74658128624773012</v>
      </c>
      <c r="IV14" s="258">
        <f>-(IV10+IV11)*'Assumption Sheet'!$B$54</f>
        <v>-0.62476402715868784</v>
      </c>
      <c r="IW14" s="258">
        <f>-(IW10+IW11)*'Assumption Sheet'!$B$54</f>
        <v>-0.62476402715868784</v>
      </c>
      <c r="IX14" s="258">
        <f>-(IX10+IX11)*'Assumption Sheet'!$B$54</f>
        <v>-0.62476402715868784</v>
      </c>
      <c r="IY14" s="258">
        <f>-(IY10+IY11)*'Assumption Sheet'!$B$54</f>
        <v>-0.62984059582281049</v>
      </c>
      <c r="IZ14" s="258">
        <f>-(IZ10+IZ11)*'Assumption Sheet'!$B$54</f>
        <v>-0.62984059582281049</v>
      </c>
      <c r="JA14" s="258">
        <f>-(JA10+JA11)*'Assumption Sheet'!$B$54</f>
        <v>-0.62984059582281049</v>
      </c>
      <c r="JB14" s="258">
        <f>-(JB10+JB11)*'Assumption Sheet'!$B$54</f>
        <v>-0.64295034290846997</v>
      </c>
      <c r="JC14" s="258">
        <f>-(JC10+JC11)*'Assumption Sheet'!$B$54</f>
        <v>-0.64295034290846997</v>
      </c>
      <c r="JD14" s="258">
        <f>-(JD10+JD11)*'Assumption Sheet'!$B$54</f>
        <v>-0.64295034290846997</v>
      </c>
      <c r="JE14" s="258">
        <f>-(JE10+JE11)*'Assumption Sheet'!$B$54</f>
        <v>-0.64511139819687202</v>
      </c>
      <c r="JF14" s="258">
        <f>-(JF10+JF11)*'Assumption Sheet'!$B$54</f>
        <v>-0.64511139819687202</v>
      </c>
      <c r="JG14" s="258">
        <f>-(JG10+JG11)*'Assumption Sheet'!$B$54</f>
        <v>-0.64511139819687202</v>
      </c>
      <c r="JH14" s="258">
        <f>-(JH10+JH11)*'Assumption Sheet'!$B$54</f>
        <v>-0.39995817419043006</v>
      </c>
      <c r="JI14" s="258">
        <f>-(JI10+JI11)*'Assumption Sheet'!$B$54</f>
        <v>-0.39995817419043006</v>
      </c>
      <c r="JJ14" s="258">
        <f>-(JJ10+JJ11)*'Assumption Sheet'!$B$54</f>
        <v>-0.39995817419043006</v>
      </c>
      <c r="JK14" s="258">
        <f>-(JK10+JK11)*'Assumption Sheet'!$B$54</f>
        <v>-0.4052885712877588</v>
      </c>
      <c r="JL14" s="258">
        <f>-(JL10+JL11)*'Assumption Sheet'!$B$54</f>
        <v>-0.4052885712877588</v>
      </c>
      <c r="JM14" s="258">
        <f>-(JM10+JM11)*'Assumption Sheet'!$B$54</f>
        <v>-0.4052885712877588</v>
      </c>
      <c r="JN14" s="258">
        <f>-(JN10+JN11)*'Assumption Sheet'!$B$54</f>
        <v>-0.40625160301139163</v>
      </c>
      <c r="JO14" s="258">
        <f>-(JO10+JO11)*'Assumption Sheet'!$B$54</f>
        <v>-0.40625160301139163</v>
      </c>
      <c r="JP14" s="258">
        <f>-(JP10+JP11)*'Assumption Sheet'!$B$54</f>
        <v>-0.40625160301139163</v>
      </c>
      <c r="JQ14" s="258">
        <f>-(JQ10+JQ11)*'Assumption Sheet'!$B$54</f>
        <v>-0.30178880639444378</v>
      </c>
      <c r="JR14" s="258">
        <f>-(JR10+JR11)*'Assumption Sheet'!$B$54</f>
        <v>-0.30178880639444378</v>
      </c>
      <c r="JS14" s="258">
        <f>-(JS10+JS11)*'Assumption Sheet'!$B$54</f>
        <v>-0.30178880639444378</v>
      </c>
      <c r="JT14" s="258">
        <f>-(JT10+JT11)*'Assumption Sheet'!$B$54</f>
        <v>-0.3132241782301815</v>
      </c>
      <c r="JU14" s="258">
        <f>-(JU10+JU11)*'Assumption Sheet'!$B$54</f>
        <v>-0.3132241782301815</v>
      </c>
      <c r="JV14" s="258">
        <f>-(JV10+JV11)*'Assumption Sheet'!$B$54</f>
        <v>-0.3132241782301815</v>
      </c>
      <c r="JW14" s="258">
        <f>-(JW10+JW11)*'Assumption Sheet'!$B$54</f>
        <v>-0.31348449994888827</v>
      </c>
      <c r="JX14" s="258">
        <f>-(JX10+JX11)*'Assumption Sheet'!$B$54</f>
        <v>-0.31348449994888827</v>
      </c>
      <c r="JY14" s="258">
        <f>-(JY10+JY11)*'Assumption Sheet'!$B$54</f>
        <v>-0.31348449994888827</v>
      </c>
      <c r="JZ14" s="258">
        <f>-(JZ10+JZ11)*'Assumption Sheet'!$B$54</f>
        <v>-8.5522307664047115E-2</v>
      </c>
      <c r="KA14" s="258">
        <f>-(KA10+KA11)*'Assumption Sheet'!$B$54</f>
        <v>-8.5522307664047115E-2</v>
      </c>
      <c r="KB14" s="258">
        <f>-(KB10+KB11)*'Assumption Sheet'!$B$54</f>
        <v>-8.5522307664047115E-2</v>
      </c>
      <c r="KC14" s="258">
        <f>SUMIF($C$7:$KB$7,"&lt;="&amp;$KC$6,C14:KB14)</f>
        <v>-7.2396632075879248</v>
      </c>
    </row>
    <row r="15" spans="1:289" x14ac:dyDescent="0.3">
      <c r="A15" s="262" t="s">
        <v>174</v>
      </c>
      <c r="B15" s="257"/>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c r="CE15" s="258"/>
      <c r="CF15" s="258"/>
      <c r="CG15" s="258"/>
      <c r="CH15" s="258"/>
      <c r="CI15" s="258"/>
      <c r="CJ15" s="258"/>
      <c r="CK15" s="258"/>
      <c r="CL15" s="258"/>
      <c r="CM15" s="258"/>
      <c r="CN15" s="258"/>
      <c r="CO15" s="258"/>
      <c r="CP15" s="258"/>
      <c r="CQ15" s="258"/>
      <c r="CR15" s="258"/>
      <c r="CS15" s="258"/>
      <c r="CT15" s="258"/>
      <c r="CU15" s="258"/>
      <c r="CV15" s="258"/>
      <c r="CW15" s="258"/>
      <c r="CX15" s="258"/>
      <c r="CY15" s="258"/>
      <c r="CZ15" s="258"/>
      <c r="DA15" s="258"/>
      <c r="DB15" s="258"/>
      <c r="DC15" s="258"/>
      <c r="DD15" s="258"/>
      <c r="DE15" s="258"/>
      <c r="DF15" s="258"/>
      <c r="DG15" s="258"/>
      <c r="DH15" s="258"/>
      <c r="DI15" s="258"/>
      <c r="DJ15" s="258"/>
      <c r="DK15" s="258"/>
      <c r="DL15" s="258"/>
      <c r="DM15" s="258"/>
      <c r="DN15" s="258"/>
      <c r="DO15" s="258"/>
      <c r="DP15" s="258"/>
      <c r="DQ15" s="258"/>
      <c r="DR15" s="258"/>
      <c r="DS15" s="258"/>
      <c r="DT15" s="258"/>
      <c r="DU15" s="258"/>
      <c r="DV15" s="258"/>
      <c r="DW15" s="258"/>
      <c r="DX15" s="258"/>
      <c r="DY15" s="258"/>
      <c r="DZ15" s="258"/>
      <c r="EA15" s="258"/>
      <c r="EB15" s="258"/>
      <c r="EC15" s="258"/>
      <c r="ED15" s="258"/>
      <c r="EE15" s="258"/>
      <c r="EF15" s="258"/>
      <c r="EG15" s="258"/>
      <c r="EH15" s="258"/>
      <c r="EI15" s="258"/>
      <c r="EJ15" s="258"/>
      <c r="EK15" s="258"/>
      <c r="EL15" s="258"/>
      <c r="EM15" s="258"/>
      <c r="EN15" s="258"/>
      <c r="EO15" s="258"/>
      <c r="EP15" s="258"/>
      <c r="EQ15" s="258"/>
      <c r="ER15" s="258"/>
      <c r="ES15" s="258"/>
      <c r="ET15" s="258"/>
      <c r="EU15" s="258"/>
      <c r="EV15" s="258"/>
      <c r="EW15" s="258"/>
      <c r="EX15" s="258"/>
      <c r="EY15" s="258"/>
      <c r="EZ15" s="258"/>
      <c r="FA15" s="258"/>
      <c r="FB15" s="258"/>
      <c r="FC15" s="258"/>
      <c r="FD15" s="258"/>
      <c r="FE15" s="258"/>
      <c r="FF15" s="258"/>
      <c r="FG15" s="258"/>
      <c r="FH15" s="258"/>
      <c r="FI15" s="258"/>
      <c r="FJ15" s="258"/>
      <c r="FK15" s="258"/>
      <c r="FL15" s="258"/>
      <c r="FM15" s="258"/>
      <c r="FN15" s="258"/>
      <c r="FO15" s="258"/>
      <c r="FP15" s="258"/>
      <c r="FQ15" s="258"/>
      <c r="FR15" s="258"/>
      <c r="FS15" s="258"/>
      <c r="FT15" s="258"/>
      <c r="FU15" s="258"/>
      <c r="FV15" s="258"/>
      <c r="FW15" s="258"/>
      <c r="FX15" s="258"/>
      <c r="FY15" s="258"/>
      <c r="FZ15" s="258"/>
      <c r="GA15" s="258"/>
      <c r="GB15" s="258"/>
      <c r="GC15" s="258"/>
      <c r="GD15" s="258"/>
      <c r="GE15" s="258"/>
      <c r="GF15" s="258"/>
      <c r="GG15" s="258"/>
      <c r="GH15" s="258"/>
      <c r="GI15" s="258"/>
      <c r="GJ15" s="258"/>
      <c r="GK15" s="258"/>
      <c r="GL15" s="258"/>
      <c r="GM15" s="258"/>
      <c r="GN15" s="258"/>
      <c r="GO15" s="258"/>
      <c r="GP15" s="258"/>
      <c r="GQ15" s="258"/>
      <c r="GR15" s="258"/>
      <c r="GS15" s="258"/>
      <c r="GT15" s="258"/>
      <c r="GU15" s="258"/>
      <c r="GV15" s="258"/>
      <c r="GW15" s="258"/>
      <c r="GX15" s="258"/>
      <c r="GY15" s="258"/>
      <c r="GZ15" s="258"/>
      <c r="HA15" s="258"/>
      <c r="HB15" s="258"/>
      <c r="HC15" s="258"/>
      <c r="HD15" s="258"/>
      <c r="HE15" s="258"/>
      <c r="HF15" s="258"/>
      <c r="HG15" s="258"/>
      <c r="HH15" s="258"/>
      <c r="HI15" s="258"/>
      <c r="HJ15" s="258"/>
      <c r="HK15" s="258"/>
      <c r="HL15" s="258"/>
      <c r="HM15" s="258"/>
      <c r="HN15" s="258"/>
      <c r="HO15" s="258"/>
      <c r="HP15" s="258"/>
      <c r="HQ15" s="258"/>
      <c r="HR15" s="258"/>
      <c r="HS15" s="258"/>
      <c r="HT15" s="258"/>
      <c r="HU15" s="258"/>
      <c r="HV15" s="258"/>
      <c r="HW15" s="258"/>
      <c r="HX15" s="258"/>
      <c r="HY15" s="258"/>
      <c r="HZ15" s="258"/>
      <c r="IA15" s="258"/>
      <c r="IB15" s="258"/>
      <c r="IC15" s="258"/>
      <c r="ID15" s="258"/>
      <c r="IE15" s="258"/>
      <c r="IF15" s="258"/>
      <c r="IG15" s="258"/>
      <c r="IH15" s="258"/>
      <c r="II15" s="258"/>
      <c r="IJ15" s="258"/>
      <c r="IK15" s="258"/>
      <c r="IL15" s="258"/>
      <c r="IM15" s="258"/>
      <c r="IN15" s="258"/>
      <c r="IO15" s="258"/>
      <c r="IP15" s="258"/>
      <c r="IQ15" s="258"/>
      <c r="IR15" s="258"/>
      <c r="IS15" s="258"/>
      <c r="IT15" s="258"/>
      <c r="IU15" s="258"/>
      <c r="IV15" s="258"/>
      <c r="IW15" s="258"/>
      <c r="IX15" s="258"/>
      <c r="IY15" s="258"/>
      <c r="IZ15" s="258"/>
      <c r="JA15" s="258"/>
      <c r="JB15" s="258"/>
      <c r="JC15" s="258"/>
      <c r="JD15" s="258"/>
      <c r="JE15" s="258"/>
      <c r="JF15" s="258"/>
      <c r="JG15" s="258"/>
      <c r="JH15" s="258"/>
      <c r="JI15" s="258"/>
      <c r="JJ15" s="258"/>
      <c r="JK15" s="258"/>
      <c r="JL15" s="258"/>
      <c r="JM15" s="258"/>
      <c r="JN15" s="258"/>
      <c r="JO15" s="258"/>
      <c r="JP15" s="258"/>
      <c r="JQ15" s="258"/>
      <c r="JR15" s="258"/>
      <c r="JS15" s="258"/>
      <c r="JT15" s="258"/>
      <c r="JU15" s="258"/>
      <c r="JV15" s="258"/>
      <c r="JW15" s="258"/>
      <c r="JX15" s="258"/>
      <c r="JY15" s="258"/>
      <c r="JZ15" s="258"/>
      <c r="KA15" s="258"/>
      <c r="KB15" s="258"/>
      <c r="KC15" s="258"/>
    </row>
    <row r="16" spans="1:289" x14ac:dyDescent="0.3">
      <c r="A16" s="1" t="s">
        <v>212</v>
      </c>
      <c r="B16" s="257">
        <f t="shared" ref="B16:B27" si="431">SUM(C16:BE16)</f>
        <v>-47.58</v>
      </c>
      <c r="C16" s="270">
        <f>(-'Assumption Sheet'!B41*'Assumption Sheet'!E10/10^7*96.8%)-('Assumption Sheet'!B41*'Assumption Sheet'!E10/10^7*3.2%)</f>
        <v>-47.58</v>
      </c>
      <c r="D16" s="263">
        <v>0</v>
      </c>
      <c r="E16" s="263">
        <v>0</v>
      </c>
      <c r="F16" s="263">
        <v>0</v>
      </c>
      <c r="G16" s="263">
        <v>0</v>
      </c>
      <c r="H16" s="264">
        <v>0</v>
      </c>
      <c r="I16" s="263">
        <v>0</v>
      </c>
      <c r="J16" s="263">
        <v>0</v>
      </c>
      <c r="K16" s="263">
        <v>0</v>
      </c>
      <c r="L16" s="263">
        <v>0</v>
      </c>
      <c r="M16" s="263">
        <v>0</v>
      </c>
      <c r="N16" s="263">
        <v>0</v>
      </c>
      <c r="O16" s="263">
        <v>0</v>
      </c>
      <c r="P16" s="263">
        <v>0</v>
      </c>
      <c r="Q16" s="263">
        <v>0</v>
      </c>
      <c r="R16" s="263">
        <v>0</v>
      </c>
      <c r="S16" s="263">
        <v>0</v>
      </c>
      <c r="T16" s="263">
        <v>0</v>
      </c>
      <c r="U16" s="263">
        <v>0</v>
      </c>
      <c r="V16" s="263">
        <v>0</v>
      </c>
      <c r="W16" s="263">
        <v>0</v>
      </c>
      <c r="X16" s="263">
        <v>0</v>
      </c>
      <c r="Y16" s="263">
        <v>0</v>
      </c>
      <c r="Z16" s="263">
        <v>0</v>
      </c>
      <c r="AA16" s="263">
        <v>0</v>
      </c>
      <c r="AB16" s="263">
        <v>0</v>
      </c>
      <c r="AC16" s="263">
        <v>0</v>
      </c>
      <c r="AD16" s="263">
        <v>0</v>
      </c>
      <c r="AE16" s="263">
        <v>0</v>
      </c>
      <c r="AF16" s="263">
        <v>0</v>
      </c>
      <c r="AG16" s="263">
        <v>0</v>
      </c>
      <c r="AH16" s="263">
        <v>0</v>
      </c>
      <c r="AI16" s="263">
        <v>0</v>
      </c>
      <c r="AJ16" s="263">
        <v>0</v>
      </c>
      <c r="AK16" s="263">
        <v>0</v>
      </c>
      <c r="AL16" s="263">
        <v>0</v>
      </c>
      <c r="AM16" s="263">
        <v>0</v>
      </c>
      <c r="AN16" s="263">
        <v>0</v>
      </c>
      <c r="AO16" s="263">
        <v>0</v>
      </c>
      <c r="AP16" s="263">
        <v>0</v>
      </c>
      <c r="AQ16" s="263">
        <v>0</v>
      </c>
      <c r="AR16" s="263">
        <v>0</v>
      </c>
      <c r="AS16" s="263">
        <v>0</v>
      </c>
      <c r="AT16" s="263">
        <v>0</v>
      </c>
      <c r="AU16" s="263">
        <v>0</v>
      </c>
      <c r="AV16" s="263">
        <v>0</v>
      </c>
      <c r="AW16" s="263">
        <v>0</v>
      </c>
      <c r="AX16" s="263">
        <v>0</v>
      </c>
      <c r="AY16" s="263">
        <v>0</v>
      </c>
      <c r="AZ16" s="263">
        <v>0</v>
      </c>
      <c r="BA16" s="263">
        <v>0</v>
      </c>
      <c r="BB16" s="263">
        <v>0</v>
      </c>
      <c r="BC16" s="263">
        <v>0</v>
      </c>
      <c r="BD16" s="263">
        <v>0</v>
      </c>
      <c r="BE16" s="263">
        <v>0</v>
      </c>
      <c r="BF16" s="263">
        <v>0</v>
      </c>
      <c r="BG16" s="263">
        <v>0</v>
      </c>
      <c r="BH16" s="263">
        <v>0</v>
      </c>
      <c r="BI16" s="263">
        <v>0</v>
      </c>
      <c r="BJ16" s="263">
        <v>0</v>
      </c>
      <c r="BK16" s="263">
        <v>0</v>
      </c>
      <c r="BL16" s="263">
        <v>0</v>
      </c>
      <c r="BM16" s="263">
        <v>0</v>
      </c>
      <c r="BN16" s="263">
        <v>0</v>
      </c>
      <c r="BO16" s="263">
        <v>0</v>
      </c>
      <c r="BP16" s="263">
        <v>0</v>
      </c>
      <c r="BQ16" s="263">
        <v>0</v>
      </c>
      <c r="BR16" s="263">
        <v>0</v>
      </c>
      <c r="BS16" s="263">
        <v>0</v>
      </c>
      <c r="BT16" s="263">
        <v>0</v>
      </c>
      <c r="BU16" s="263">
        <v>0</v>
      </c>
      <c r="BV16" s="263">
        <v>0</v>
      </c>
      <c r="BW16" s="263">
        <v>0</v>
      </c>
      <c r="BX16" s="263">
        <v>0</v>
      </c>
      <c r="BY16" s="263">
        <v>0</v>
      </c>
      <c r="BZ16" s="263">
        <v>0</v>
      </c>
      <c r="CA16" s="263">
        <v>0</v>
      </c>
      <c r="CB16" s="263">
        <v>0</v>
      </c>
      <c r="CC16" s="263">
        <v>0</v>
      </c>
      <c r="CD16" s="263">
        <v>0</v>
      </c>
      <c r="CE16" s="263">
        <v>0</v>
      </c>
      <c r="CF16" s="263">
        <v>0</v>
      </c>
      <c r="CG16" s="263">
        <v>0</v>
      </c>
      <c r="CH16" s="263">
        <v>0</v>
      </c>
      <c r="CI16" s="263">
        <v>0</v>
      </c>
      <c r="CJ16" s="263">
        <v>0</v>
      </c>
      <c r="CK16" s="263">
        <v>0</v>
      </c>
      <c r="CL16" s="263">
        <v>0</v>
      </c>
      <c r="CM16" s="263">
        <v>0</v>
      </c>
      <c r="CN16" s="263">
        <v>0</v>
      </c>
      <c r="CO16" s="263">
        <v>0</v>
      </c>
      <c r="CP16" s="263">
        <v>0</v>
      </c>
      <c r="CQ16" s="263">
        <v>0</v>
      </c>
      <c r="CR16" s="263">
        <v>0</v>
      </c>
      <c r="CS16" s="263">
        <v>0</v>
      </c>
      <c r="CT16" s="263">
        <v>0</v>
      </c>
      <c r="CU16" s="263">
        <v>0</v>
      </c>
      <c r="CV16" s="263">
        <v>0</v>
      </c>
      <c r="CW16" s="263">
        <v>0</v>
      </c>
      <c r="CX16" s="263">
        <v>0</v>
      </c>
      <c r="CY16" s="263">
        <v>0</v>
      </c>
      <c r="CZ16" s="263">
        <v>0</v>
      </c>
      <c r="DA16" s="263">
        <v>0</v>
      </c>
      <c r="DB16" s="263">
        <v>0</v>
      </c>
      <c r="DC16" s="263">
        <v>0</v>
      </c>
      <c r="DD16" s="263">
        <v>0</v>
      </c>
      <c r="DE16" s="263">
        <v>0</v>
      </c>
      <c r="DF16" s="263">
        <v>0</v>
      </c>
      <c r="DG16" s="263">
        <v>0</v>
      </c>
      <c r="DH16" s="263">
        <v>0</v>
      </c>
      <c r="DI16" s="263">
        <v>0</v>
      </c>
      <c r="DJ16" s="263">
        <v>0</v>
      </c>
      <c r="DK16" s="263">
        <v>0</v>
      </c>
      <c r="DL16" s="263">
        <v>0</v>
      </c>
      <c r="DM16" s="263">
        <v>0</v>
      </c>
      <c r="DN16" s="263">
        <v>0</v>
      </c>
      <c r="DO16" s="263">
        <v>0</v>
      </c>
      <c r="DP16" s="263">
        <v>0</v>
      </c>
      <c r="DQ16" s="263">
        <v>0</v>
      </c>
      <c r="DR16" s="263">
        <v>0</v>
      </c>
      <c r="DS16" s="263">
        <v>0</v>
      </c>
      <c r="DT16" s="263">
        <v>0</v>
      </c>
      <c r="DU16" s="263">
        <v>0</v>
      </c>
      <c r="DV16" s="263">
        <v>0</v>
      </c>
      <c r="DW16" s="263">
        <v>0</v>
      </c>
      <c r="DX16" s="263">
        <v>0</v>
      </c>
      <c r="DY16" s="263">
        <v>0</v>
      </c>
      <c r="DZ16" s="263">
        <v>0</v>
      </c>
      <c r="EA16" s="263">
        <v>0</v>
      </c>
      <c r="EB16" s="263">
        <v>0</v>
      </c>
      <c r="EC16" s="263">
        <v>0</v>
      </c>
      <c r="ED16" s="263">
        <v>0</v>
      </c>
      <c r="EE16" s="263">
        <v>0</v>
      </c>
      <c r="EF16" s="263">
        <v>0</v>
      </c>
      <c r="EG16" s="263">
        <v>0</v>
      </c>
      <c r="EH16" s="263">
        <v>0</v>
      </c>
      <c r="EI16" s="263">
        <v>0</v>
      </c>
      <c r="EJ16" s="263">
        <v>0</v>
      </c>
      <c r="EK16" s="263">
        <v>0</v>
      </c>
      <c r="EL16" s="263">
        <v>0</v>
      </c>
      <c r="EM16" s="263">
        <v>0</v>
      </c>
      <c r="EN16" s="263">
        <v>0</v>
      </c>
      <c r="EO16" s="263">
        <v>0</v>
      </c>
      <c r="EP16" s="263">
        <v>0</v>
      </c>
      <c r="EQ16" s="263">
        <v>0</v>
      </c>
      <c r="ER16" s="263">
        <v>0</v>
      </c>
      <c r="ES16" s="263">
        <v>0</v>
      </c>
      <c r="ET16" s="263">
        <v>0</v>
      </c>
      <c r="EU16" s="263">
        <v>0</v>
      </c>
      <c r="EV16" s="263">
        <v>0</v>
      </c>
      <c r="EW16" s="263">
        <v>0</v>
      </c>
      <c r="EX16" s="263">
        <v>0</v>
      </c>
      <c r="EY16" s="263">
        <v>0</v>
      </c>
      <c r="EZ16" s="263">
        <v>0</v>
      </c>
      <c r="FA16" s="263">
        <v>0</v>
      </c>
      <c r="FB16" s="263">
        <v>0</v>
      </c>
      <c r="FC16" s="263">
        <v>0</v>
      </c>
      <c r="FD16" s="263">
        <v>0</v>
      </c>
      <c r="FE16" s="263">
        <v>0</v>
      </c>
      <c r="FF16" s="263">
        <v>0</v>
      </c>
      <c r="FG16" s="263">
        <v>0</v>
      </c>
      <c r="FH16" s="263">
        <v>0</v>
      </c>
      <c r="FI16" s="263">
        <v>0</v>
      </c>
      <c r="FJ16" s="263">
        <v>0</v>
      </c>
      <c r="FK16" s="263">
        <v>0</v>
      </c>
      <c r="FL16" s="263">
        <v>0</v>
      </c>
      <c r="FM16" s="263">
        <v>0</v>
      </c>
      <c r="FN16" s="263">
        <v>0</v>
      </c>
      <c r="FO16" s="263">
        <v>0</v>
      </c>
      <c r="FP16" s="263">
        <v>0</v>
      </c>
      <c r="FQ16" s="263">
        <v>0</v>
      </c>
      <c r="FR16" s="263">
        <v>0</v>
      </c>
      <c r="FS16" s="263">
        <v>0</v>
      </c>
      <c r="FT16" s="263">
        <v>0</v>
      </c>
      <c r="FU16" s="263">
        <v>0</v>
      </c>
      <c r="FV16" s="263">
        <v>0</v>
      </c>
      <c r="FW16" s="263">
        <v>0</v>
      </c>
      <c r="FX16" s="263">
        <v>0</v>
      </c>
      <c r="FY16" s="263">
        <v>0</v>
      </c>
      <c r="FZ16" s="263">
        <v>0</v>
      </c>
      <c r="GA16" s="263">
        <v>0</v>
      </c>
      <c r="GB16" s="263">
        <v>0</v>
      </c>
      <c r="GC16" s="263">
        <v>0</v>
      </c>
      <c r="GD16" s="263">
        <v>0</v>
      </c>
      <c r="GE16" s="263">
        <v>0</v>
      </c>
      <c r="GF16" s="263">
        <v>0</v>
      </c>
      <c r="GG16" s="263">
        <v>0</v>
      </c>
      <c r="GH16" s="263">
        <v>0</v>
      </c>
      <c r="GI16" s="263">
        <v>0</v>
      </c>
      <c r="GJ16" s="263">
        <v>0</v>
      </c>
      <c r="GK16" s="263">
        <v>0</v>
      </c>
      <c r="GL16" s="263">
        <v>0</v>
      </c>
      <c r="GM16" s="263">
        <v>0</v>
      </c>
      <c r="GN16" s="263">
        <v>0</v>
      </c>
      <c r="GO16" s="263">
        <v>0</v>
      </c>
      <c r="GP16" s="263">
        <v>0</v>
      </c>
      <c r="GQ16" s="263">
        <v>0</v>
      </c>
      <c r="GR16" s="263">
        <v>0</v>
      </c>
      <c r="GS16" s="263">
        <v>0</v>
      </c>
      <c r="GT16" s="263">
        <v>0</v>
      </c>
      <c r="GU16" s="263">
        <v>0</v>
      </c>
      <c r="GV16" s="263">
        <v>0</v>
      </c>
      <c r="GW16" s="263">
        <v>0</v>
      </c>
      <c r="GX16" s="263">
        <v>0</v>
      </c>
      <c r="GY16" s="263">
        <v>0</v>
      </c>
      <c r="GZ16" s="263">
        <v>0</v>
      </c>
      <c r="HA16" s="263">
        <v>0</v>
      </c>
      <c r="HB16" s="263">
        <v>0</v>
      </c>
      <c r="HC16" s="263">
        <v>0</v>
      </c>
      <c r="HD16" s="263">
        <v>0</v>
      </c>
      <c r="HE16" s="263">
        <v>0</v>
      </c>
      <c r="HF16" s="263">
        <v>0</v>
      </c>
      <c r="HG16" s="263">
        <v>0</v>
      </c>
      <c r="HH16" s="263">
        <v>0</v>
      </c>
      <c r="HI16" s="263">
        <v>0</v>
      </c>
      <c r="HJ16" s="263">
        <v>0</v>
      </c>
      <c r="HK16" s="263">
        <v>0</v>
      </c>
      <c r="HL16" s="263">
        <v>0</v>
      </c>
      <c r="HM16" s="263">
        <v>0</v>
      </c>
      <c r="HN16" s="263">
        <v>0</v>
      </c>
      <c r="HO16" s="263">
        <v>0</v>
      </c>
      <c r="HP16" s="263">
        <v>0</v>
      </c>
      <c r="HQ16" s="263">
        <v>0</v>
      </c>
      <c r="HR16" s="263">
        <v>0</v>
      </c>
      <c r="HS16" s="263">
        <v>0</v>
      </c>
      <c r="HT16" s="263">
        <v>0</v>
      </c>
      <c r="HU16" s="263">
        <v>0</v>
      </c>
      <c r="HV16" s="263">
        <v>0</v>
      </c>
      <c r="HW16" s="263">
        <v>0</v>
      </c>
      <c r="HX16" s="263">
        <v>0</v>
      </c>
      <c r="HY16" s="263">
        <v>0</v>
      </c>
      <c r="HZ16" s="263">
        <v>0</v>
      </c>
      <c r="IA16" s="263">
        <v>0</v>
      </c>
      <c r="IB16" s="263">
        <v>0</v>
      </c>
      <c r="IC16" s="263">
        <v>0</v>
      </c>
      <c r="ID16" s="263">
        <v>0</v>
      </c>
      <c r="IE16" s="263">
        <v>0</v>
      </c>
      <c r="IF16" s="263">
        <v>0</v>
      </c>
      <c r="IG16" s="263">
        <v>0</v>
      </c>
      <c r="IH16" s="263">
        <v>0</v>
      </c>
      <c r="II16" s="263">
        <v>0</v>
      </c>
      <c r="IJ16" s="263">
        <v>0</v>
      </c>
      <c r="IK16" s="263">
        <v>0</v>
      </c>
      <c r="IL16" s="263">
        <v>0</v>
      </c>
      <c r="IM16" s="263">
        <v>0</v>
      </c>
      <c r="IN16" s="263">
        <v>0</v>
      </c>
      <c r="IO16" s="263">
        <v>0</v>
      </c>
      <c r="IP16" s="263">
        <v>0</v>
      </c>
      <c r="IQ16" s="263">
        <v>0</v>
      </c>
      <c r="IR16" s="263">
        <v>0</v>
      </c>
      <c r="IS16" s="263">
        <v>0</v>
      </c>
      <c r="IT16" s="263">
        <v>0</v>
      </c>
      <c r="IU16" s="263">
        <v>0</v>
      </c>
      <c r="IV16" s="263">
        <v>0</v>
      </c>
      <c r="IW16" s="263">
        <v>0</v>
      </c>
      <c r="IX16" s="263">
        <v>0</v>
      </c>
      <c r="IY16" s="263">
        <v>0</v>
      </c>
      <c r="IZ16" s="263">
        <v>0</v>
      </c>
      <c r="JA16" s="263">
        <v>0</v>
      </c>
      <c r="JB16" s="263">
        <v>0</v>
      </c>
      <c r="JC16" s="263">
        <v>0</v>
      </c>
      <c r="JD16" s="263">
        <v>0</v>
      </c>
      <c r="JE16" s="263">
        <v>0</v>
      </c>
      <c r="JF16" s="263">
        <v>0</v>
      </c>
      <c r="JG16" s="263">
        <v>0</v>
      </c>
      <c r="JH16" s="263">
        <v>0</v>
      </c>
      <c r="JI16" s="263">
        <v>0</v>
      </c>
      <c r="JJ16" s="263">
        <v>0</v>
      </c>
      <c r="JK16" s="263">
        <v>0</v>
      </c>
      <c r="JL16" s="263">
        <v>0</v>
      </c>
      <c r="JM16" s="263">
        <v>0</v>
      </c>
      <c r="JN16" s="263">
        <v>0</v>
      </c>
      <c r="JO16" s="263">
        <v>0</v>
      </c>
      <c r="JP16" s="263">
        <v>0</v>
      </c>
      <c r="JQ16" s="263">
        <v>0</v>
      </c>
      <c r="JR16" s="263">
        <v>0</v>
      </c>
      <c r="JS16" s="263">
        <v>0</v>
      </c>
      <c r="JT16" s="263">
        <v>0</v>
      </c>
      <c r="JU16" s="263">
        <v>0</v>
      </c>
      <c r="JV16" s="263">
        <v>0</v>
      </c>
      <c r="JW16" s="263">
        <v>0</v>
      </c>
      <c r="JX16" s="263">
        <v>0</v>
      </c>
      <c r="JY16" s="263">
        <v>0</v>
      </c>
      <c r="JZ16" s="263">
        <v>0</v>
      </c>
      <c r="KA16" s="263">
        <v>0</v>
      </c>
      <c r="KB16" s="263">
        <v>0</v>
      </c>
      <c r="KC16" s="265">
        <f t="shared" ref="KC16:KC23" si="432">SUMIF($C$7:$KB$7,"&lt;="&amp;$KC$6,C16:KB16)</f>
        <v>-47.58</v>
      </c>
    </row>
    <row r="17" spans="1:289" x14ac:dyDescent="0.3">
      <c r="A17" s="1" t="s">
        <v>17</v>
      </c>
      <c r="B17" s="257">
        <f t="shared" si="431"/>
        <v>-254.45065628902654</v>
      </c>
      <c r="C17" s="258">
        <f>SUMIFS('Cost Phasing'!25:25,'Cost Phasing'!19:19,C7)</f>
        <v>0</v>
      </c>
      <c r="D17" s="258">
        <f>-SUMIFS('Cost Phasing'!25:25,'Cost Phasing'!19:19,D7)</f>
        <v>-3.6324646436185324</v>
      </c>
      <c r="E17" s="258">
        <f>-SUMIFS('Cost Phasing'!25:25,'Cost Phasing'!19:19,E7)</f>
        <v>-3.6324646436185324</v>
      </c>
      <c r="F17" s="258">
        <f>-SUMIFS('Cost Phasing'!25:25,'Cost Phasing'!19:19,F7)</f>
        <v>-3.6324646436185324</v>
      </c>
      <c r="G17" s="258">
        <f>-SUMIFS('Cost Phasing'!25:25,'Cost Phasing'!19:19,G7)</f>
        <v>-3.6324646436185324</v>
      </c>
      <c r="H17" s="258">
        <f>-SUMIFS('Cost Phasing'!25:25,'Cost Phasing'!19:19,H7)</f>
        <v>-3.6324646436185324</v>
      </c>
      <c r="I17" s="258">
        <f>-SUMIFS('Cost Phasing'!25:25,'Cost Phasing'!19:19,I7)</f>
        <v>-3.6324646436185324</v>
      </c>
      <c r="J17" s="258">
        <f>-SUMIFS('Cost Phasing'!25:25,'Cost Phasing'!19:19,J7)</f>
        <v>-3.6324646436185324</v>
      </c>
      <c r="K17" s="258">
        <f>-SUMIFS('Cost Phasing'!25:25,'Cost Phasing'!19:19,K7)</f>
        <v>-3.6324646436185324</v>
      </c>
      <c r="L17" s="258">
        <f>-SUMIFS('Cost Phasing'!25:25,'Cost Phasing'!19:19,L7)</f>
        <v>-3.6324646436185324</v>
      </c>
      <c r="M17" s="258">
        <f>-SUMIFS('Cost Phasing'!25:25,'Cost Phasing'!19:19,M7)</f>
        <v>-3.6324646436185324</v>
      </c>
      <c r="N17" s="258">
        <f>-SUMIFS('Cost Phasing'!25:25,'Cost Phasing'!19:19,N7)</f>
        <v>-3.6324646436185324</v>
      </c>
      <c r="O17" s="258">
        <f>-SUMIFS('Cost Phasing'!25:25,'Cost Phasing'!19:19,O7)</f>
        <v>-3.6324646436185324</v>
      </c>
      <c r="P17" s="258">
        <f>-SUMIFS('Cost Phasing'!25:25,'Cost Phasing'!19:19,P7)</f>
        <v>-7.0358926104882773</v>
      </c>
      <c r="Q17" s="258">
        <f>-SUMIFS('Cost Phasing'!25:25,'Cost Phasing'!19:19,Q7)</f>
        <v>-7.0358926104882773</v>
      </c>
      <c r="R17" s="258">
        <f>-SUMIFS('Cost Phasing'!25:25,'Cost Phasing'!19:19,R7)</f>
        <v>-7.0358926104882773</v>
      </c>
      <c r="S17" s="258">
        <f>-SUMIFS('Cost Phasing'!25:25,'Cost Phasing'!19:19,S7)</f>
        <v>-7.0358926104882773</v>
      </c>
      <c r="T17" s="258">
        <f>-SUMIFS('Cost Phasing'!25:25,'Cost Phasing'!19:19,T7)</f>
        <v>-7.0358926104882773</v>
      </c>
      <c r="U17" s="258">
        <f>-SUMIFS('Cost Phasing'!25:25,'Cost Phasing'!19:19,U7)</f>
        <v>-7.0358926104882773</v>
      </c>
      <c r="V17" s="258">
        <f>-SUMIFS('Cost Phasing'!25:25,'Cost Phasing'!19:19,V7)</f>
        <v>-7.0358926104882773</v>
      </c>
      <c r="W17" s="258">
        <f>-SUMIFS('Cost Phasing'!25:25,'Cost Phasing'!19:19,W7)</f>
        <v>-7.0358926104882773</v>
      </c>
      <c r="X17" s="258">
        <f>-SUMIFS('Cost Phasing'!25:25,'Cost Phasing'!19:19,X7)</f>
        <v>-7.0358926104882773</v>
      </c>
      <c r="Y17" s="258">
        <f>-SUMIFS('Cost Phasing'!25:25,'Cost Phasing'!19:19,Y7)</f>
        <v>-9.9688028135609166</v>
      </c>
      <c r="Z17" s="258">
        <f>-SUMIFS('Cost Phasing'!25:25,'Cost Phasing'!19:19,Z7)</f>
        <v>-9.9688028135609166</v>
      </c>
      <c r="AA17" s="258">
        <f>-SUMIFS('Cost Phasing'!25:25,'Cost Phasing'!19:19,AA7)</f>
        <v>-9.9688028135609166</v>
      </c>
      <c r="AB17" s="258">
        <f>-SUMIFS('Cost Phasing'!25:25,'Cost Phasing'!19:19,AB7)</f>
        <v>-2.9329102030726393</v>
      </c>
      <c r="AC17" s="258">
        <f>-SUMIFS('Cost Phasing'!25:25,'Cost Phasing'!19:19,AC7)</f>
        <v>-2.9329102030726393</v>
      </c>
      <c r="AD17" s="258">
        <f>-SUMIFS('Cost Phasing'!25:25,'Cost Phasing'!19:19,AD7)</f>
        <v>-2.9329102030726393</v>
      </c>
      <c r="AE17" s="258">
        <f>-SUMIFS('Cost Phasing'!25:25,'Cost Phasing'!19:19,AE7)</f>
        <v>-2.9329102030726393</v>
      </c>
      <c r="AF17" s="258">
        <f>-SUMIFS('Cost Phasing'!25:25,'Cost Phasing'!19:19,AF7)</f>
        <v>-2.9329102030726393</v>
      </c>
      <c r="AG17" s="258">
        <f>-SUMIFS('Cost Phasing'!25:25,'Cost Phasing'!19:19,AG7)</f>
        <v>-2.9329102030726393</v>
      </c>
      <c r="AH17" s="258">
        <f>-SUMIFS('Cost Phasing'!25:25,'Cost Phasing'!19:19,AH7)</f>
        <v>-9.2249214961471857</v>
      </c>
      <c r="AI17" s="258">
        <f>-SUMIFS('Cost Phasing'!25:25,'Cost Phasing'!19:19,AI7)</f>
        <v>-9.2249214961471857</v>
      </c>
      <c r="AJ17" s="258">
        <f>-SUMIFS('Cost Phasing'!25:25,'Cost Phasing'!19:19,AJ7)</f>
        <v>-9.2249214961471857</v>
      </c>
      <c r="AK17" s="258">
        <f>-SUMIFS('Cost Phasing'!25:25,'Cost Phasing'!19:19,AK7)</f>
        <v>-6.2920112930745455</v>
      </c>
      <c r="AL17" s="258">
        <f>-SUMIFS('Cost Phasing'!25:25,'Cost Phasing'!19:19,AL7)</f>
        <v>-6.2920112930745455</v>
      </c>
      <c r="AM17" s="258">
        <f>-SUMIFS('Cost Phasing'!25:25,'Cost Phasing'!19:19,AM7)</f>
        <v>-6.2920112930745455</v>
      </c>
      <c r="AN17" s="258">
        <f>-SUMIFS('Cost Phasing'!25:25,'Cost Phasing'!19:19,AN7)</f>
        <v>-6.2920112930745455</v>
      </c>
      <c r="AO17" s="258">
        <f>-SUMIFS('Cost Phasing'!25:25,'Cost Phasing'!19:19,AO7)</f>
        <v>-6.2920112930745455</v>
      </c>
      <c r="AP17" s="258">
        <f>-SUMIFS('Cost Phasing'!25:25,'Cost Phasing'!19:19,AP7)</f>
        <v>-6.2920112930745455</v>
      </c>
      <c r="AQ17" s="258">
        <f>-SUMIFS('Cost Phasing'!25:25,'Cost Phasing'!19:19,AQ7)</f>
        <v>-7.3407653788064389</v>
      </c>
      <c r="AR17" s="258">
        <f>-SUMIFS('Cost Phasing'!25:25,'Cost Phasing'!19:19,AR7)</f>
        <v>-7.3407653788064389</v>
      </c>
      <c r="AS17" s="258">
        <f>-SUMIFS('Cost Phasing'!25:25,'Cost Phasing'!19:19,AS7)</f>
        <v>-7.3407653788064389</v>
      </c>
      <c r="AT17" s="258">
        <f>-SUMIFS('Cost Phasing'!25:25,'Cost Phasing'!19:19,AT7)</f>
        <v>-1.0487540857318933</v>
      </c>
      <c r="AU17" s="258">
        <f>-SUMIFS('Cost Phasing'!25:25,'Cost Phasing'!19:19,AU7)</f>
        <v>-1.0487540857318933</v>
      </c>
      <c r="AV17" s="258">
        <f>-SUMIFS('Cost Phasing'!25:25,'Cost Phasing'!19:19,AV7)</f>
        <v>-1.0487540857318933</v>
      </c>
      <c r="AW17" s="258">
        <f>-SUMIFS('Cost Phasing'!25:25,'Cost Phasing'!19:19,AW7)</f>
        <v>-1.0487540857318933</v>
      </c>
      <c r="AX17" s="258">
        <f>-SUMIFS('Cost Phasing'!25:25,'Cost Phasing'!19:19,AX7)</f>
        <v>-1.0487540857318933</v>
      </c>
      <c r="AY17" s="258">
        <f>-SUMIFS('Cost Phasing'!25:25,'Cost Phasing'!19:19,AY7)</f>
        <v>-1.0487540857318933</v>
      </c>
      <c r="AZ17" s="258">
        <f>-SUMIFS('Cost Phasing'!25:25,'Cost Phasing'!19:19,AZ7)</f>
        <v>-1.0487540857318933</v>
      </c>
      <c r="BA17" s="258">
        <f>-SUMIFS('Cost Phasing'!25:25,'Cost Phasing'!19:19,BA7)</f>
        <v>-1.0487540857318933</v>
      </c>
      <c r="BB17" s="258">
        <f>-SUMIFS('Cost Phasing'!25:25,'Cost Phasing'!19:19,BB7)</f>
        <v>-1.0487540857318933</v>
      </c>
      <c r="BC17" s="258">
        <f>-SUMIFS('Cost Phasing'!25:25,'Cost Phasing'!19:19,BC7)</f>
        <v>-1.0487540857318933</v>
      </c>
      <c r="BD17" s="258">
        <f>-SUMIFS('Cost Phasing'!25:25,'Cost Phasing'!19:19,BD7)</f>
        <v>-1.0487540857318933</v>
      </c>
      <c r="BE17" s="258">
        <f>-SUMIFS('Cost Phasing'!25:25,'Cost Phasing'!19:19,BE7)</f>
        <v>-1.0487540857318933</v>
      </c>
      <c r="BF17" s="258">
        <f>-SUMIFS('Cost Phasing'!25:25,'Cost Phasing'!19:19,BF7)</f>
        <v>0</v>
      </c>
      <c r="BG17" s="258">
        <f>-SUMIFS('Cost Phasing'!25:25,'Cost Phasing'!19:19,BG7)</f>
        <v>0</v>
      </c>
      <c r="BH17" s="258">
        <f>-SUMIFS('Cost Phasing'!25:25,'Cost Phasing'!19:19,BH7)</f>
        <v>0</v>
      </c>
      <c r="BI17" s="258">
        <f>-SUMIFS('Cost Phasing'!25:25,'Cost Phasing'!19:19,BI7)</f>
        <v>0</v>
      </c>
      <c r="BJ17" s="258">
        <f>-SUMIFS('Cost Phasing'!25:25,'Cost Phasing'!19:19,BJ7)</f>
        <v>0</v>
      </c>
      <c r="BK17" s="258">
        <f>-SUMIFS('Cost Phasing'!25:25,'Cost Phasing'!19:19,BK7)</f>
        <v>0</v>
      </c>
      <c r="BL17" s="258">
        <f>-SUMIFS('Cost Phasing'!25:25,'Cost Phasing'!19:19,BL7)</f>
        <v>0</v>
      </c>
      <c r="BM17" s="258">
        <f>-SUMIFS('Cost Phasing'!25:25,'Cost Phasing'!19:19,BM7)</f>
        <v>0</v>
      </c>
      <c r="BN17" s="258">
        <f>-SUMIFS('Cost Phasing'!25:25,'Cost Phasing'!19:19,BN7)</f>
        <v>0</v>
      </c>
      <c r="BO17" s="258">
        <f>-SUMIFS('Cost Phasing'!25:25,'Cost Phasing'!19:19,BO7)</f>
        <v>0</v>
      </c>
      <c r="BP17" s="258">
        <f>-SUMIFS('Cost Phasing'!25:25,'Cost Phasing'!19:19,BP7)</f>
        <v>0</v>
      </c>
      <c r="BQ17" s="258">
        <f>-SUMIFS('Cost Phasing'!25:25,'Cost Phasing'!19:19,BQ7)</f>
        <v>0</v>
      </c>
      <c r="BR17" s="258">
        <f>-SUMIFS('Cost Phasing'!25:25,'Cost Phasing'!19:19,BR7)</f>
        <v>0</v>
      </c>
      <c r="BS17" s="258">
        <f>-SUMIFS('Cost Phasing'!25:25,'Cost Phasing'!19:19,BS7)</f>
        <v>0</v>
      </c>
      <c r="BT17" s="258">
        <f>-SUMIFS('Cost Phasing'!25:25,'Cost Phasing'!19:19,BT7)</f>
        <v>0</v>
      </c>
      <c r="BU17" s="258">
        <f>-SUMIFS('Cost Phasing'!25:25,'Cost Phasing'!19:19,BU7)</f>
        <v>0</v>
      </c>
      <c r="BV17" s="258">
        <f>-SUMIFS('Cost Phasing'!25:25,'Cost Phasing'!19:19,BV7)</f>
        <v>0</v>
      </c>
      <c r="BW17" s="258">
        <f>-SUMIFS('Cost Phasing'!25:25,'Cost Phasing'!19:19,BW7)</f>
        <v>0</v>
      </c>
      <c r="BX17" s="258">
        <f>-SUMIFS('Cost Phasing'!25:25,'Cost Phasing'!19:19,BX7)</f>
        <v>0</v>
      </c>
      <c r="BY17" s="258">
        <f>-SUMIFS('Cost Phasing'!25:25,'Cost Phasing'!19:19,BY7)</f>
        <v>0</v>
      </c>
      <c r="BZ17" s="258">
        <f>-SUMIFS('Cost Phasing'!25:25,'Cost Phasing'!19:19,BZ7)</f>
        <v>0</v>
      </c>
      <c r="CA17" s="258">
        <f>-SUMIFS('Cost Phasing'!25:25,'Cost Phasing'!19:19,CA7)</f>
        <v>0</v>
      </c>
      <c r="CB17" s="258">
        <f>-SUMIFS('Cost Phasing'!25:25,'Cost Phasing'!19:19,CB7)</f>
        <v>0</v>
      </c>
      <c r="CC17" s="258">
        <f>-SUMIFS('Cost Phasing'!25:25,'Cost Phasing'!19:19,CC7)</f>
        <v>0</v>
      </c>
      <c r="CD17" s="258">
        <f>-SUMIFS('Cost Phasing'!25:25,'Cost Phasing'!19:19,CD7)</f>
        <v>0</v>
      </c>
      <c r="CE17" s="258">
        <f>-SUMIFS('Cost Phasing'!25:25,'Cost Phasing'!19:19,CE7)</f>
        <v>0</v>
      </c>
      <c r="CF17" s="258">
        <f>-SUMIFS('Cost Phasing'!25:25,'Cost Phasing'!19:19,CF7)</f>
        <v>0</v>
      </c>
      <c r="CG17" s="258">
        <f>-SUMIFS('Cost Phasing'!25:25,'Cost Phasing'!19:19,CG7)</f>
        <v>0</v>
      </c>
      <c r="CH17" s="258">
        <f>-SUMIFS('Cost Phasing'!25:25,'Cost Phasing'!19:19,CH7)</f>
        <v>0</v>
      </c>
      <c r="CI17" s="258">
        <f>-SUMIFS('Cost Phasing'!25:25,'Cost Phasing'!19:19,CI7)</f>
        <v>0</v>
      </c>
      <c r="CJ17" s="258">
        <f>-SUMIFS('Cost Phasing'!25:25,'Cost Phasing'!19:19,CJ7)</f>
        <v>0</v>
      </c>
      <c r="CK17" s="258">
        <f>-SUMIFS('Cost Phasing'!25:25,'Cost Phasing'!19:19,CK7)</f>
        <v>0</v>
      </c>
      <c r="CL17" s="258">
        <f>-SUMIFS('Cost Phasing'!25:25,'Cost Phasing'!19:19,CL7)</f>
        <v>0</v>
      </c>
      <c r="CM17" s="258">
        <f>-SUMIFS('Cost Phasing'!25:25,'Cost Phasing'!19:19,CM7)</f>
        <v>0</v>
      </c>
      <c r="CN17" s="258">
        <f>-SUMIFS('Cost Phasing'!25:25,'Cost Phasing'!19:19,CN7)</f>
        <v>0</v>
      </c>
      <c r="CO17" s="258">
        <f>-SUMIFS('Cost Phasing'!25:25,'Cost Phasing'!19:19,CO7)</f>
        <v>0</v>
      </c>
      <c r="CP17" s="258">
        <f>-SUMIFS('Cost Phasing'!25:25,'Cost Phasing'!19:19,CP7)</f>
        <v>0</v>
      </c>
      <c r="CQ17" s="258">
        <f>-SUMIFS('Cost Phasing'!25:25,'Cost Phasing'!19:19,CQ7)</f>
        <v>0</v>
      </c>
      <c r="CR17" s="258">
        <f>-SUMIFS('Cost Phasing'!25:25,'Cost Phasing'!19:19,CR7)</f>
        <v>0</v>
      </c>
      <c r="CS17" s="258">
        <f>-SUMIFS('Cost Phasing'!25:25,'Cost Phasing'!19:19,CS7)</f>
        <v>0</v>
      </c>
      <c r="CT17" s="258">
        <f>-SUMIFS('Cost Phasing'!25:25,'Cost Phasing'!19:19,CT7)</f>
        <v>0</v>
      </c>
      <c r="CU17" s="258">
        <f>-SUMIFS('Cost Phasing'!25:25,'Cost Phasing'!19:19,CU7)</f>
        <v>0</v>
      </c>
      <c r="CV17" s="258">
        <f>-SUMIFS('Cost Phasing'!25:25,'Cost Phasing'!19:19,CV7)</f>
        <v>0</v>
      </c>
      <c r="CW17" s="258">
        <f>-SUMIFS('Cost Phasing'!25:25,'Cost Phasing'!19:19,CW7)</f>
        <v>0</v>
      </c>
      <c r="CX17" s="258">
        <f>-SUMIFS('Cost Phasing'!25:25,'Cost Phasing'!19:19,CX7)</f>
        <v>0</v>
      </c>
      <c r="CY17" s="258">
        <f>-SUMIFS('Cost Phasing'!25:25,'Cost Phasing'!19:19,CY7)</f>
        <v>0</v>
      </c>
      <c r="CZ17" s="258">
        <f>-SUMIFS('Cost Phasing'!25:25,'Cost Phasing'!19:19,CZ7)</f>
        <v>0</v>
      </c>
      <c r="DA17" s="258">
        <f>-SUMIFS('Cost Phasing'!25:25,'Cost Phasing'!19:19,DA7)</f>
        <v>0</v>
      </c>
      <c r="DB17" s="258">
        <f>-SUMIFS('Cost Phasing'!25:25,'Cost Phasing'!19:19,DB7)</f>
        <v>0</v>
      </c>
      <c r="DC17" s="258">
        <f>-SUMIFS('Cost Phasing'!25:25,'Cost Phasing'!19:19,DC7)</f>
        <v>0</v>
      </c>
      <c r="DD17" s="258">
        <f>-SUMIFS('Cost Phasing'!25:25,'Cost Phasing'!19:19,DD7)</f>
        <v>0</v>
      </c>
      <c r="DE17" s="258">
        <f>-SUMIFS('Cost Phasing'!25:25,'Cost Phasing'!19:19,DE7)</f>
        <v>0</v>
      </c>
      <c r="DF17" s="258">
        <f>-SUMIFS('Cost Phasing'!25:25,'Cost Phasing'!19:19,DF7)</f>
        <v>0</v>
      </c>
      <c r="DG17" s="258">
        <f>-SUMIFS('Cost Phasing'!25:25,'Cost Phasing'!19:19,DG7)</f>
        <v>0</v>
      </c>
      <c r="DH17" s="258">
        <f>-SUMIFS('Cost Phasing'!25:25,'Cost Phasing'!19:19,DH7)</f>
        <v>0</v>
      </c>
      <c r="DI17" s="258">
        <f>-SUMIFS('Cost Phasing'!25:25,'Cost Phasing'!19:19,DI7)</f>
        <v>0</v>
      </c>
      <c r="DJ17" s="258">
        <f>-SUMIFS('Cost Phasing'!25:25,'Cost Phasing'!19:19,DJ7)</f>
        <v>0</v>
      </c>
      <c r="DK17" s="258">
        <f>-SUMIFS('Cost Phasing'!25:25,'Cost Phasing'!19:19,DK7)</f>
        <v>0</v>
      </c>
      <c r="DL17" s="258">
        <f>-SUMIFS('Cost Phasing'!25:25,'Cost Phasing'!19:19,DL7)</f>
        <v>0</v>
      </c>
      <c r="DM17" s="258">
        <f>-SUMIFS('Cost Phasing'!25:25,'Cost Phasing'!19:19,DM7)</f>
        <v>0</v>
      </c>
      <c r="DN17" s="258">
        <f>-SUMIFS('Cost Phasing'!25:25,'Cost Phasing'!19:19,DN7)</f>
        <v>0</v>
      </c>
      <c r="DO17" s="258">
        <f>-SUMIFS('Cost Phasing'!25:25,'Cost Phasing'!19:19,DO7)</f>
        <v>0</v>
      </c>
      <c r="DP17" s="258">
        <f>-SUMIFS('Cost Phasing'!25:25,'Cost Phasing'!19:19,DP7)</f>
        <v>0</v>
      </c>
      <c r="DQ17" s="258">
        <f>-SUMIFS('Cost Phasing'!25:25,'Cost Phasing'!19:19,DQ7)</f>
        <v>0</v>
      </c>
      <c r="DR17" s="258">
        <f>-SUMIFS('Cost Phasing'!25:25,'Cost Phasing'!19:19,DR7)</f>
        <v>0</v>
      </c>
      <c r="DS17" s="258">
        <f>-SUMIFS('Cost Phasing'!25:25,'Cost Phasing'!19:19,DS7)</f>
        <v>0</v>
      </c>
      <c r="DT17" s="258">
        <f>-SUMIFS('Cost Phasing'!25:25,'Cost Phasing'!19:19,DT7)</f>
        <v>0</v>
      </c>
      <c r="DU17" s="258">
        <f>-SUMIFS('Cost Phasing'!25:25,'Cost Phasing'!19:19,DU7)</f>
        <v>0</v>
      </c>
      <c r="DV17" s="258">
        <f>-SUMIFS('Cost Phasing'!25:25,'Cost Phasing'!19:19,DV7)</f>
        <v>0</v>
      </c>
      <c r="DW17" s="258">
        <f>-SUMIFS('Cost Phasing'!25:25,'Cost Phasing'!19:19,DW7)</f>
        <v>0</v>
      </c>
      <c r="DX17" s="258">
        <f>-SUMIFS('Cost Phasing'!25:25,'Cost Phasing'!19:19,DX7)</f>
        <v>0</v>
      </c>
      <c r="DY17" s="258">
        <f>-SUMIFS('Cost Phasing'!25:25,'Cost Phasing'!19:19,DY7)</f>
        <v>0</v>
      </c>
      <c r="DZ17" s="258">
        <f>-SUMIFS('Cost Phasing'!25:25,'Cost Phasing'!19:19,DZ7)</f>
        <v>0</v>
      </c>
      <c r="EA17" s="258">
        <f>-SUMIFS('Cost Phasing'!25:25,'Cost Phasing'!19:19,EA7)</f>
        <v>0</v>
      </c>
      <c r="EB17" s="258">
        <f>-SUMIFS('Cost Phasing'!25:25,'Cost Phasing'!19:19,EB7)</f>
        <v>0</v>
      </c>
      <c r="EC17" s="258">
        <f>-SUMIFS('Cost Phasing'!25:25,'Cost Phasing'!19:19,EC7)</f>
        <v>0</v>
      </c>
      <c r="ED17" s="258">
        <f>-SUMIFS('Cost Phasing'!25:25,'Cost Phasing'!19:19,ED7)</f>
        <v>0</v>
      </c>
      <c r="EE17" s="258">
        <f>-SUMIFS('Cost Phasing'!25:25,'Cost Phasing'!19:19,EE7)</f>
        <v>0</v>
      </c>
      <c r="EF17" s="258">
        <f>-SUMIFS('Cost Phasing'!25:25,'Cost Phasing'!19:19,EF7)</f>
        <v>0</v>
      </c>
      <c r="EG17" s="258">
        <f>-SUMIFS('Cost Phasing'!25:25,'Cost Phasing'!19:19,EG7)</f>
        <v>0</v>
      </c>
      <c r="EH17" s="258">
        <f>-SUMIFS('Cost Phasing'!25:25,'Cost Phasing'!19:19,EH7)</f>
        <v>0</v>
      </c>
      <c r="EI17" s="258">
        <f>-SUMIFS('Cost Phasing'!25:25,'Cost Phasing'!19:19,EI7)</f>
        <v>0</v>
      </c>
      <c r="EJ17" s="258">
        <f>-SUMIFS('Cost Phasing'!25:25,'Cost Phasing'!19:19,EJ7)</f>
        <v>0</v>
      </c>
      <c r="EK17" s="258">
        <f>-SUMIFS('Cost Phasing'!25:25,'Cost Phasing'!19:19,EK7)</f>
        <v>0</v>
      </c>
      <c r="EL17" s="258">
        <f>-SUMIFS('Cost Phasing'!25:25,'Cost Phasing'!19:19,EL7)</f>
        <v>0</v>
      </c>
      <c r="EM17" s="258">
        <f>-SUMIFS('Cost Phasing'!25:25,'Cost Phasing'!19:19,EM7)</f>
        <v>0</v>
      </c>
      <c r="EN17" s="258">
        <f>-SUMIFS('Cost Phasing'!25:25,'Cost Phasing'!19:19,EN7)</f>
        <v>0</v>
      </c>
      <c r="EO17" s="258">
        <f>-SUMIFS('Cost Phasing'!25:25,'Cost Phasing'!19:19,EO7)</f>
        <v>0</v>
      </c>
      <c r="EP17" s="258">
        <f>-SUMIFS('Cost Phasing'!25:25,'Cost Phasing'!19:19,EP7)</f>
        <v>0</v>
      </c>
      <c r="EQ17" s="258">
        <f>-SUMIFS('Cost Phasing'!25:25,'Cost Phasing'!19:19,EQ7)</f>
        <v>0</v>
      </c>
      <c r="ER17" s="258">
        <f>-SUMIFS('Cost Phasing'!25:25,'Cost Phasing'!19:19,ER7)</f>
        <v>0</v>
      </c>
      <c r="ES17" s="258">
        <f>-SUMIFS('Cost Phasing'!25:25,'Cost Phasing'!19:19,ES7)</f>
        <v>0</v>
      </c>
      <c r="ET17" s="258">
        <f>-SUMIFS('Cost Phasing'!25:25,'Cost Phasing'!19:19,ET7)</f>
        <v>0</v>
      </c>
      <c r="EU17" s="258">
        <f>-SUMIFS('Cost Phasing'!25:25,'Cost Phasing'!19:19,EU7)</f>
        <v>0</v>
      </c>
      <c r="EV17" s="258">
        <f>-SUMIFS('Cost Phasing'!25:25,'Cost Phasing'!19:19,EV7)</f>
        <v>0</v>
      </c>
      <c r="EW17" s="258">
        <f>-SUMIFS('Cost Phasing'!25:25,'Cost Phasing'!19:19,EW7)</f>
        <v>0</v>
      </c>
      <c r="EX17" s="258">
        <f>-SUMIFS('Cost Phasing'!25:25,'Cost Phasing'!19:19,EX7)</f>
        <v>0</v>
      </c>
      <c r="EY17" s="258">
        <f>-SUMIFS('Cost Phasing'!25:25,'Cost Phasing'!19:19,EY7)</f>
        <v>0</v>
      </c>
      <c r="EZ17" s="258">
        <f>-SUMIFS('Cost Phasing'!25:25,'Cost Phasing'!19:19,EZ7)</f>
        <v>0</v>
      </c>
      <c r="FA17" s="258">
        <f>-SUMIFS('Cost Phasing'!25:25,'Cost Phasing'!19:19,FA7)</f>
        <v>0</v>
      </c>
      <c r="FB17" s="258">
        <f>-SUMIFS('Cost Phasing'!25:25,'Cost Phasing'!19:19,FB7)</f>
        <v>0</v>
      </c>
      <c r="FC17" s="258">
        <f>-SUMIFS('Cost Phasing'!25:25,'Cost Phasing'!19:19,FC7)</f>
        <v>0</v>
      </c>
      <c r="FD17" s="258">
        <f>-SUMIFS('Cost Phasing'!25:25,'Cost Phasing'!19:19,FD7)</f>
        <v>0</v>
      </c>
      <c r="FE17" s="258">
        <f>-SUMIFS('Cost Phasing'!25:25,'Cost Phasing'!19:19,FE7)</f>
        <v>0</v>
      </c>
      <c r="FF17" s="258">
        <f>-SUMIFS('Cost Phasing'!25:25,'Cost Phasing'!19:19,FF7)</f>
        <v>0</v>
      </c>
      <c r="FG17" s="258">
        <f>-SUMIFS('Cost Phasing'!25:25,'Cost Phasing'!19:19,FG7)</f>
        <v>0</v>
      </c>
      <c r="FH17" s="258">
        <f>-SUMIFS('Cost Phasing'!25:25,'Cost Phasing'!19:19,FH7)</f>
        <v>0</v>
      </c>
      <c r="FI17" s="258">
        <f>-SUMIFS('Cost Phasing'!25:25,'Cost Phasing'!19:19,FI7)</f>
        <v>0</v>
      </c>
      <c r="FJ17" s="258">
        <f>-SUMIFS('Cost Phasing'!25:25,'Cost Phasing'!19:19,FJ7)</f>
        <v>0</v>
      </c>
      <c r="FK17" s="258">
        <f>-SUMIFS('Cost Phasing'!25:25,'Cost Phasing'!19:19,FK7)</f>
        <v>0</v>
      </c>
      <c r="FL17" s="258">
        <f>-SUMIFS('Cost Phasing'!25:25,'Cost Phasing'!19:19,FL7)</f>
        <v>0</v>
      </c>
      <c r="FM17" s="258">
        <f>-SUMIFS('Cost Phasing'!25:25,'Cost Phasing'!19:19,FM7)</f>
        <v>0</v>
      </c>
      <c r="FN17" s="258">
        <f>-SUMIFS('Cost Phasing'!25:25,'Cost Phasing'!19:19,FN7)</f>
        <v>0</v>
      </c>
      <c r="FO17" s="258">
        <f>-SUMIFS('Cost Phasing'!25:25,'Cost Phasing'!19:19,FO7)</f>
        <v>0</v>
      </c>
      <c r="FP17" s="258">
        <f>-SUMIFS('Cost Phasing'!25:25,'Cost Phasing'!19:19,FP7)</f>
        <v>0</v>
      </c>
      <c r="FQ17" s="258">
        <f>-SUMIFS('Cost Phasing'!25:25,'Cost Phasing'!19:19,FQ7)</f>
        <v>0</v>
      </c>
      <c r="FR17" s="258">
        <f>-SUMIFS('Cost Phasing'!25:25,'Cost Phasing'!19:19,FR7)</f>
        <v>0</v>
      </c>
      <c r="FS17" s="258">
        <f>-SUMIFS('Cost Phasing'!25:25,'Cost Phasing'!19:19,FS7)</f>
        <v>0</v>
      </c>
      <c r="FT17" s="258">
        <f>-SUMIFS('Cost Phasing'!25:25,'Cost Phasing'!19:19,FT7)</f>
        <v>0</v>
      </c>
      <c r="FU17" s="258">
        <f>-SUMIFS('Cost Phasing'!25:25,'Cost Phasing'!19:19,FU7)</f>
        <v>0</v>
      </c>
      <c r="FV17" s="258">
        <f>-SUMIFS('Cost Phasing'!25:25,'Cost Phasing'!19:19,FV7)</f>
        <v>0</v>
      </c>
      <c r="FW17" s="258">
        <f>-SUMIFS('Cost Phasing'!25:25,'Cost Phasing'!19:19,FW7)</f>
        <v>0</v>
      </c>
      <c r="FX17" s="258">
        <f>-SUMIFS('Cost Phasing'!25:25,'Cost Phasing'!19:19,FX7)</f>
        <v>0</v>
      </c>
      <c r="FY17" s="258">
        <f>-SUMIFS('Cost Phasing'!25:25,'Cost Phasing'!19:19,FY7)</f>
        <v>0</v>
      </c>
      <c r="FZ17" s="258">
        <f>-SUMIFS('Cost Phasing'!25:25,'Cost Phasing'!19:19,FZ7)</f>
        <v>0</v>
      </c>
      <c r="GA17" s="258">
        <f>-SUMIFS('Cost Phasing'!25:25,'Cost Phasing'!19:19,GA7)</f>
        <v>0</v>
      </c>
      <c r="GB17" s="258">
        <f>-SUMIFS('Cost Phasing'!25:25,'Cost Phasing'!19:19,GB7)</f>
        <v>0</v>
      </c>
      <c r="GC17" s="258">
        <f>-SUMIFS('Cost Phasing'!25:25,'Cost Phasing'!19:19,GC7)</f>
        <v>0</v>
      </c>
      <c r="GD17" s="258">
        <f>-SUMIFS('Cost Phasing'!25:25,'Cost Phasing'!19:19,GD7)</f>
        <v>0</v>
      </c>
      <c r="GE17" s="258">
        <f>-SUMIFS('Cost Phasing'!25:25,'Cost Phasing'!19:19,GE7)</f>
        <v>0</v>
      </c>
      <c r="GF17" s="258">
        <f>-SUMIFS('Cost Phasing'!25:25,'Cost Phasing'!19:19,GF7)</f>
        <v>0</v>
      </c>
      <c r="GG17" s="258">
        <f>-SUMIFS('Cost Phasing'!25:25,'Cost Phasing'!19:19,GG7)</f>
        <v>0</v>
      </c>
      <c r="GH17" s="258">
        <f>-SUMIFS('Cost Phasing'!25:25,'Cost Phasing'!19:19,GH7)</f>
        <v>0</v>
      </c>
      <c r="GI17" s="258">
        <f>-SUMIFS('Cost Phasing'!25:25,'Cost Phasing'!19:19,GI7)</f>
        <v>0</v>
      </c>
      <c r="GJ17" s="258">
        <f>-SUMIFS('Cost Phasing'!25:25,'Cost Phasing'!19:19,GJ7)</f>
        <v>0</v>
      </c>
      <c r="GK17" s="258">
        <f>-SUMIFS('Cost Phasing'!25:25,'Cost Phasing'!19:19,GK7)</f>
        <v>0</v>
      </c>
      <c r="GL17" s="258">
        <f>-SUMIFS('Cost Phasing'!25:25,'Cost Phasing'!19:19,GL7)</f>
        <v>0</v>
      </c>
      <c r="GM17" s="258">
        <f>-SUMIFS('Cost Phasing'!25:25,'Cost Phasing'!19:19,GM7)</f>
        <v>0</v>
      </c>
      <c r="GN17" s="258">
        <f>-SUMIFS('Cost Phasing'!25:25,'Cost Phasing'!19:19,GN7)</f>
        <v>0</v>
      </c>
      <c r="GO17" s="258">
        <f>-SUMIFS('Cost Phasing'!25:25,'Cost Phasing'!19:19,GO7)</f>
        <v>0</v>
      </c>
      <c r="GP17" s="258">
        <f>-SUMIFS('Cost Phasing'!25:25,'Cost Phasing'!19:19,GP7)</f>
        <v>0</v>
      </c>
      <c r="GQ17" s="258">
        <f>-SUMIFS('Cost Phasing'!25:25,'Cost Phasing'!19:19,GQ7)</f>
        <v>0</v>
      </c>
      <c r="GR17" s="258">
        <f>-SUMIFS('Cost Phasing'!25:25,'Cost Phasing'!19:19,GR7)</f>
        <v>0</v>
      </c>
      <c r="GS17" s="258">
        <f>-SUMIFS('Cost Phasing'!25:25,'Cost Phasing'!19:19,GS7)</f>
        <v>0</v>
      </c>
      <c r="GT17" s="258">
        <f>-SUMIFS('Cost Phasing'!25:25,'Cost Phasing'!19:19,GT7)</f>
        <v>0</v>
      </c>
      <c r="GU17" s="258">
        <f>-SUMIFS('Cost Phasing'!25:25,'Cost Phasing'!19:19,GU7)</f>
        <v>0</v>
      </c>
      <c r="GV17" s="258">
        <f>-SUMIFS('Cost Phasing'!25:25,'Cost Phasing'!19:19,GV7)</f>
        <v>0</v>
      </c>
      <c r="GW17" s="258">
        <f>-SUMIFS('Cost Phasing'!25:25,'Cost Phasing'!19:19,GW7)</f>
        <v>0</v>
      </c>
      <c r="GX17" s="258">
        <f>-SUMIFS('Cost Phasing'!25:25,'Cost Phasing'!19:19,GX7)</f>
        <v>0</v>
      </c>
      <c r="GY17" s="258">
        <f>-SUMIFS('Cost Phasing'!25:25,'Cost Phasing'!19:19,GY7)</f>
        <v>0</v>
      </c>
      <c r="GZ17" s="258">
        <f>-SUMIFS('Cost Phasing'!25:25,'Cost Phasing'!19:19,GZ7)</f>
        <v>0</v>
      </c>
      <c r="HA17" s="258">
        <f>-SUMIFS('Cost Phasing'!25:25,'Cost Phasing'!19:19,HA7)</f>
        <v>0</v>
      </c>
      <c r="HB17" s="258">
        <f>-SUMIFS('Cost Phasing'!25:25,'Cost Phasing'!19:19,HB7)</f>
        <v>0</v>
      </c>
      <c r="HC17" s="258">
        <f>-SUMIFS('Cost Phasing'!25:25,'Cost Phasing'!19:19,HC7)</f>
        <v>0</v>
      </c>
      <c r="HD17" s="258">
        <f>-SUMIFS('Cost Phasing'!25:25,'Cost Phasing'!19:19,HD7)</f>
        <v>0</v>
      </c>
      <c r="HE17" s="258">
        <f>-SUMIFS('Cost Phasing'!25:25,'Cost Phasing'!19:19,HE7)</f>
        <v>0</v>
      </c>
      <c r="HF17" s="258">
        <f>-SUMIFS('Cost Phasing'!25:25,'Cost Phasing'!19:19,HF7)</f>
        <v>0</v>
      </c>
      <c r="HG17" s="258">
        <f>-SUMIFS('Cost Phasing'!25:25,'Cost Phasing'!19:19,HG7)</f>
        <v>0</v>
      </c>
      <c r="HH17" s="258">
        <f>-SUMIFS('Cost Phasing'!25:25,'Cost Phasing'!19:19,HH7)</f>
        <v>0</v>
      </c>
      <c r="HI17" s="258">
        <f>-SUMIFS('Cost Phasing'!25:25,'Cost Phasing'!19:19,HI7)</f>
        <v>0</v>
      </c>
      <c r="HJ17" s="258">
        <f>-SUMIFS('Cost Phasing'!25:25,'Cost Phasing'!19:19,HJ7)</f>
        <v>0</v>
      </c>
      <c r="HK17" s="258">
        <f>-SUMIFS('Cost Phasing'!25:25,'Cost Phasing'!19:19,HK7)</f>
        <v>0</v>
      </c>
      <c r="HL17" s="258">
        <f>-SUMIFS('Cost Phasing'!25:25,'Cost Phasing'!19:19,HL7)</f>
        <v>0</v>
      </c>
      <c r="HM17" s="258">
        <f>-SUMIFS('Cost Phasing'!25:25,'Cost Phasing'!19:19,HM7)</f>
        <v>0</v>
      </c>
      <c r="HN17" s="258">
        <f>-SUMIFS('Cost Phasing'!25:25,'Cost Phasing'!19:19,HN7)</f>
        <v>0</v>
      </c>
      <c r="HO17" s="258">
        <f>-SUMIFS('Cost Phasing'!25:25,'Cost Phasing'!19:19,HO7)</f>
        <v>0</v>
      </c>
      <c r="HP17" s="258">
        <f>-SUMIFS('Cost Phasing'!25:25,'Cost Phasing'!19:19,HP7)</f>
        <v>0</v>
      </c>
      <c r="HQ17" s="258">
        <f>-SUMIFS('Cost Phasing'!25:25,'Cost Phasing'!19:19,HQ7)</f>
        <v>0</v>
      </c>
      <c r="HR17" s="258">
        <f>-SUMIFS('Cost Phasing'!25:25,'Cost Phasing'!19:19,HR7)</f>
        <v>0</v>
      </c>
      <c r="HS17" s="258">
        <f>-SUMIFS('Cost Phasing'!25:25,'Cost Phasing'!19:19,HS7)</f>
        <v>0</v>
      </c>
      <c r="HT17" s="258">
        <f>-SUMIFS('Cost Phasing'!25:25,'Cost Phasing'!19:19,HT7)</f>
        <v>0</v>
      </c>
      <c r="HU17" s="258">
        <f>-SUMIFS('Cost Phasing'!25:25,'Cost Phasing'!19:19,HU7)</f>
        <v>0</v>
      </c>
      <c r="HV17" s="258">
        <f>-SUMIFS('Cost Phasing'!25:25,'Cost Phasing'!19:19,HV7)</f>
        <v>0</v>
      </c>
      <c r="HW17" s="258">
        <f>-SUMIFS('Cost Phasing'!25:25,'Cost Phasing'!19:19,HW7)</f>
        <v>0</v>
      </c>
      <c r="HX17" s="258">
        <f>-SUMIFS('Cost Phasing'!25:25,'Cost Phasing'!19:19,HX7)</f>
        <v>0</v>
      </c>
      <c r="HY17" s="258">
        <f>-SUMIFS('Cost Phasing'!25:25,'Cost Phasing'!19:19,HY7)</f>
        <v>0</v>
      </c>
      <c r="HZ17" s="258">
        <f>-SUMIFS('Cost Phasing'!25:25,'Cost Phasing'!19:19,HZ7)</f>
        <v>0</v>
      </c>
      <c r="IA17" s="258">
        <f>-SUMIFS('Cost Phasing'!25:25,'Cost Phasing'!19:19,IA7)</f>
        <v>0</v>
      </c>
      <c r="IB17" s="258">
        <f>-SUMIFS('Cost Phasing'!25:25,'Cost Phasing'!19:19,IB7)</f>
        <v>0</v>
      </c>
      <c r="IC17" s="258">
        <f>-SUMIFS('Cost Phasing'!25:25,'Cost Phasing'!19:19,IC7)</f>
        <v>0</v>
      </c>
      <c r="ID17" s="258">
        <f>-SUMIFS('Cost Phasing'!25:25,'Cost Phasing'!19:19,ID7)</f>
        <v>0</v>
      </c>
      <c r="IE17" s="258">
        <f>-SUMIFS('Cost Phasing'!25:25,'Cost Phasing'!19:19,IE7)</f>
        <v>0</v>
      </c>
      <c r="IF17" s="258">
        <f>-SUMIFS('Cost Phasing'!25:25,'Cost Phasing'!19:19,IF7)</f>
        <v>0</v>
      </c>
      <c r="IG17" s="258">
        <f>-SUMIFS('Cost Phasing'!25:25,'Cost Phasing'!19:19,IG7)</f>
        <v>0</v>
      </c>
      <c r="IH17" s="258">
        <f>-SUMIFS('Cost Phasing'!25:25,'Cost Phasing'!19:19,IH7)</f>
        <v>0</v>
      </c>
      <c r="II17" s="258">
        <f>-SUMIFS('Cost Phasing'!25:25,'Cost Phasing'!19:19,II7)</f>
        <v>0</v>
      </c>
      <c r="IJ17" s="258">
        <f>-SUMIFS('Cost Phasing'!25:25,'Cost Phasing'!19:19,IJ7)</f>
        <v>0</v>
      </c>
      <c r="IK17" s="258">
        <f>-SUMIFS('Cost Phasing'!25:25,'Cost Phasing'!19:19,IK7)</f>
        <v>0</v>
      </c>
      <c r="IL17" s="258">
        <f>-SUMIFS('Cost Phasing'!25:25,'Cost Phasing'!19:19,IL7)</f>
        <v>0</v>
      </c>
      <c r="IM17" s="258">
        <f>-SUMIFS('Cost Phasing'!25:25,'Cost Phasing'!19:19,IM7)</f>
        <v>0</v>
      </c>
      <c r="IN17" s="258">
        <f>-SUMIFS('Cost Phasing'!25:25,'Cost Phasing'!19:19,IN7)</f>
        <v>0</v>
      </c>
      <c r="IO17" s="258">
        <f>-SUMIFS('Cost Phasing'!25:25,'Cost Phasing'!19:19,IO7)</f>
        <v>0</v>
      </c>
      <c r="IP17" s="258">
        <f>-SUMIFS('Cost Phasing'!25:25,'Cost Phasing'!19:19,IP7)</f>
        <v>0</v>
      </c>
      <c r="IQ17" s="258">
        <f>-SUMIFS('Cost Phasing'!25:25,'Cost Phasing'!19:19,IQ7)</f>
        <v>0</v>
      </c>
      <c r="IR17" s="258">
        <f>-SUMIFS('Cost Phasing'!25:25,'Cost Phasing'!19:19,IR7)</f>
        <v>0</v>
      </c>
      <c r="IS17" s="258">
        <f>-SUMIFS('Cost Phasing'!25:25,'Cost Phasing'!19:19,IS7)</f>
        <v>0</v>
      </c>
      <c r="IT17" s="258">
        <f>-SUMIFS('Cost Phasing'!25:25,'Cost Phasing'!19:19,IT7)</f>
        <v>0</v>
      </c>
      <c r="IU17" s="258">
        <f>-SUMIFS('Cost Phasing'!25:25,'Cost Phasing'!19:19,IU7)</f>
        <v>0</v>
      </c>
      <c r="IV17" s="258">
        <f>-SUMIFS('Cost Phasing'!25:25,'Cost Phasing'!19:19,IV7)</f>
        <v>0</v>
      </c>
      <c r="IW17" s="258">
        <f>-SUMIFS('Cost Phasing'!25:25,'Cost Phasing'!19:19,IW7)</f>
        <v>0</v>
      </c>
      <c r="IX17" s="258">
        <f>-SUMIFS('Cost Phasing'!25:25,'Cost Phasing'!19:19,IX7)</f>
        <v>0</v>
      </c>
      <c r="IY17" s="258">
        <f>-SUMIFS('Cost Phasing'!25:25,'Cost Phasing'!19:19,IY7)</f>
        <v>0</v>
      </c>
      <c r="IZ17" s="258">
        <f>-SUMIFS('Cost Phasing'!25:25,'Cost Phasing'!19:19,IZ7)</f>
        <v>0</v>
      </c>
      <c r="JA17" s="258">
        <f>-SUMIFS('Cost Phasing'!25:25,'Cost Phasing'!19:19,JA7)</f>
        <v>0</v>
      </c>
      <c r="JB17" s="258">
        <f>-SUMIFS('Cost Phasing'!25:25,'Cost Phasing'!19:19,JB7)</f>
        <v>0</v>
      </c>
      <c r="JC17" s="258">
        <f>-SUMIFS('Cost Phasing'!25:25,'Cost Phasing'!19:19,JC7)</f>
        <v>0</v>
      </c>
      <c r="JD17" s="258">
        <f>-SUMIFS('Cost Phasing'!25:25,'Cost Phasing'!19:19,JD7)</f>
        <v>0</v>
      </c>
      <c r="JE17" s="258">
        <f>-SUMIFS('Cost Phasing'!25:25,'Cost Phasing'!19:19,JE7)</f>
        <v>0</v>
      </c>
      <c r="JF17" s="258">
        <f>-SUMIFS('Cost Phasing'!25:25,'Cost Phasing'!19:19,JF7)</f>
        <v>0</v>
      </c>
      <c r="JG17" s="258">
        <f>-SUMIFS('Cost Phasing'!25:25,'Cost Phasing'!19:19,JG7)</f>
        <v>0</v>
      </c>
      <c r="JH17" s="258">
        <f>-SUMIFS('Cost Phasing'!25:25,'Cost Phasing'!19:19,JH7)</f>
        <v>0</v>
      </c>
      <c r="JI17" s="258">
        <f>-SUMIFS('Cost Phasing'!25:25,'Cost Phasing'!19:19,JI7)</f>
        <v>0</v>
      </c>
      <c r="JJ17" s="258">
        <f>-SUMIFS('Cost Phasing'!25:25,'Cost Phasing'!19:19,JJ7)</f>
        <v>0</v>
      </c>
      <c r="JK17" s="258">
        <f>-SUMIFS('Cost Phasing'!25:25,'Cost Phasing'!19:19,JK7)</f>
        <v>0</v>
      </c>
      <c r="JL17" s="258">
        <f>-SUMIFS('Cost Phasing'!25:25,'Cost Phasing'!19:19,JL7)</f>
        <v>0</v>
      </c>
      <c r="JM17" s="258">
        <f>-SUMIFS('Cost Phasing'!25:25,'Cost Phasing'!19:19,JM7)</f>
        <v>0</v>
      </c>
      <c r="JN17" s="258">
        <f>-SUMIFS('Cost Phasing'!25:25,'Cost Phasing'!19:19,JN7)</f>
        <v>0</v>
      </c>
      <c r="JO17" s="258">
        <f>-SUMIFS('Cost Phasing'!25:25,'Cost Phasing'!19:19,JO7)</f>
        <v>0</v>
      </c>
      <c r="JP17" s="258">
        <f>-SUMIFS('Cost Phasing'!25:25,'Cost Phasing'!19:19,JP7)</f>
        <v>0</v>
      </c>
      <c r="JQ17" s="258">
        <f>-SUMIFS('Cost Phasing'!25:25,'Cost Phasing'!19:19,JQ7)</f>
        <v>0</v>
      </c>
      <c r="JR17" s="258">
        <f>-SUMIFS('Cost Phasing'!25:25,'Cost Phasing'!19:19,JR7)</f>
        <v>0</v>
      </c>
      <c r="JS17" s="258">
        <f>-SUMIFS('Cost Phasing'!25:25,'Cost Phasing'!19:19,JS7)</f>
        <v>0</v>
      </c>
      <c r="JT17" s="258">
        <f>-SUMIFS('Cost Phasing'!25:25,'Cost Phasing'!19:19,JT7)</f>
        <v>0</v>
      </c>
      <c r="JU17" s="258">
        <f>-SUMIFS('Cost Phasing'!25:25,'Cost Phasing'!19:19,JU7)</f>
        <v>0</v>
      </c>
      <c r="JV17" s="258">
        <f>-SUMIFS('Cost Phasing'!25:25,'Cost Phasing'!19:19,JV7)</f>
        <v>0</v>
      </c>
      <c r="JW17" s="258">
        <f>-SUMIFS('Cost Phasing'!25:25,'Cost Phasing'!19:19,JW7)</f>
        <v>0</v>
      </c>
      <c r="JX17" s="258">
        <f>-SUMIFS('Cost Phasing'!25:25,'Cost Phasing'!19:19,JX7)</f>
        <v>0</v>
      </c>
      <c r="JY17" s="258">
        <f>-SUMIFS('Cost Phasing'!25:25,'Cost Phasing'!19:19,JY7)</f>
        <v>0</v>
      </c>
      <c r="JZ17" s="258">
        <f>-SUMIFS('Cost Phasing'!25:25,'Cost Phasing'!19:19,JZ7)</f>
        <v>0</v>
      </c>
      <c r="KA17" s="258">
        <f>-SUMIFS('Cost Phasing'!25:25,'Cost Phasing'!19:19,KA7)</f>
        <v>0</v>
      </c>
      <c r="KB17" s="258">
        <f>-SUMIFS('Cost Phasing'!25:25,'Cost Phasing'!19:19,KB7)</f>
        <v>0</v>
      </c>
      <c r="KC17" s="265">
        <f t="shared" si="432"/>
        <v>-254.45065628902654</v>
      </c>
    </row>
    <row r="18" spans="1:289" x14ac:dyDescent="0.3">
      <c r="A18" s="1" t="s">
        <v>19</v>
      </c>
      <c r="B18" s="257">
        <f t="shared" si="431"/>
        <v>-61.603843101553736</v>
      </c>
      <c r="C18" s="258">
        <f>-SUMIFS('Cost Phasing'!41:41,'Cost Phasing'!35:35,C7)</f>
        <v>0</v>
      </c>
      <c r="D18" s="258">
        <f>-SUMIFS('Cost Phasing'!41:41,'Cost Phasing'!35:35,D7)</f>
        <v>-1.0553265701460159</v>
      </c>
      <c r="E18" s="258">
        <f>-SUMIFS('Cost Phasing'!41:41,'Cost Phasing'!35:35,E7)</f>
        <v>-1.0553265701460159</v>
      </c>
      <c r="F18" s="258">
        <f>-SUMIFS('Cost Phasing'!41:41,'Cost Phasing'!35:35,F7)</f>
        <v>-0.84426125611681269</v>
      </c>
      <c r="G18" s="258">
        <f>-SUMIFS('Cost Phasing'!41:41,'Cost Phasing'!35:35,G7)</f>
        <v>-0.84426125611681269</v>
      </c>
      <c r="H18" s="258">
        <f>-SUMIFS('Cost Phasing'!41:41,'Cost Phasing'!35:35,H7)</f>
        <v>-0.84426125611681269</v>
      </c>
      <c r="I18" s="258">
        <f>-SUMIFS('Cost Phasing'!41:41,'Cost Phasing'!35:35,I7)</f>
        <v>-0.84426125611681269</v>
      </c>
      <c r="J18" s="258">
        <f>-SUMIFS('Cost Phasing'!41:41,'Cost Phasing'!35:35,J7)</f>
        <v>-0.84426125611681269</v>
      </c>
      <c r="K18" s="258">
        <f>-SUMIFS('Cost Phasing'!41:41,'Cost Phasing'!35:35,K7)</f>
        <v>-0.84426125611681269</v>
      </c>
      <c r="L18" s="258">
        <f>-SUMIFS('Cost Phasing'!41:41,'Cost Phasing'!35:35,L7)</f>
        <v>-0.84426125611681269</v>
      </c>
      <c r="M18" s="258">
        <f>-SUMIFS('Cost Phasing'!41:41,'Cost Phasing'!35:35,M7)</f>
        <v>-0.84426125611681269</v>
      </c>
      <c r="N18" s="258">
        <f>-SUMIFS('Cost Phasing'!41:41,'Cost Phasing'!35:35,N7)</f>
        <v>-0.84426125611681269</v>
      </c>
      <c r="O18" s="258">
        <f>-SUMIFS('Cost Phasing'!41:41,'Cost Phasing'!35:35,O7)</f>
        <v>-0.84426125611681269</v>
      </c>
      <c r="P18" s="258">
        <f>-SUMIFS('Cost Phasing'!41:41,'Cost Phasing'!35:35,P7)</f>
        <v>-2.0441119584155421</v>
      </c>
      <c r="Q18" s="258">
        <f>-SUMIFS('Cost Phasing'!41:41,'Cost Phasing'!35:35,Q7)</f>
        <v>-2.0441119584155421</v>
      </c>
      <c r="R18" s="258">
        <f>-SUMIFS('Cost Phasing'!41:41,'Cost Phasing'!35:35,R7)</f>
        <v>-1.6352895667324336</v>
      </c>
      <c r="S18" s="258">
        <f>-SUMIFS('Cost Phasing'!41:41,'Cost Phasing'!35:35,S7)</f>
        <v>-1.6352895667324336</v>
      </c>
      <c r="T18" s="258">
        <f>-SUMIFS('Cost Phasing'!41:41,'Cost Phasing'!35:35,T7)</f>
        <v>-1.6352895667324336</v>
      </c>
      <c r="U18" s="258">
        <f>-SUMIFS('Cost Phasing'!41:41,'Cost Phasing'!35:35,U7)</f>
        <v>-1.6352895667324336</v>
      </c>
      <c r="V18" s="258">
        <f>-SUMIFS('Cost Phasing'!41:41,'Cost Phasing'!35:35,V7)</f>
        <v>-1.6352895667324336</v>
      </c>
      <c r="W18" s="258">
        <f>-SUMIFS('Cost Phasing'!41:41,'Cost Phasing'!35:35,W7)</f>
        <v>-1.6352895667324336</v>
      </c>
      <c r="X18" s="258">
        <f>-SUMIFS('Cost Phasing'!41:41,'Cost Phasing'!35:35,X7)</f>
        <v>-1.6352895667324336</v>
      </c>
      <c r="Y18" s="258">
        <f>-SUMIFS('Cost Phasing'!41:41,'Cost Phasing'!35:35,Y7)</f>
        <v>-2.4873771625724848</v>
      </c>
      <c r="Z18" s="258">
        <f>-SUMIFS('Cost Phasing'!41:41,'Cost Phasing'!35:35,Z7)</f>
        <v>-2.4873771625724848</v>
      </c>
      <c r="AA18" s="258">
        <f>-SUMIFS('Cost Phasing'!41:41,'Cost Phasing'!35:35,AA7)</f>
        <v>-2.3169596434044744</v>
      </c>
      <c r="AB18" s="258">
        <f>-SUMIFS('Cost Phasing'!41:41,'Cost Phasing'!35:35,AB7)</f>
        <v>-0.68167007667204083</v>
      </c>
      <c r="AC18" s="258">
        <f>-SUMIFS('Cost Phasing'!41:41,'Cost Phasing'!35:35,AC7)</f>
        <v>-0.68167007667204083</v>
      </c>
      <c r="AD18" s="258">
        <f>-SUMIFS('Cost Phasing'!41:41,'Cost Phasing'!35:35,AD7)</f>
        <v>-0.68167007667204083</v>
      </c>
      <c r="AE18" s="258">
        <f>-SUMIFS('Cost Phasing'!41:41,'Cost Phasing'!35:35,AE7)</f>
        <v>-0.68167007667204083</v>
      </c>
      <c r="AF18" s="258">
        <f>-SUMIFS('Cost Phasing'!41:41,'Cost Phasing'!35:35,AF7)</f>
        <v>-0.68167007667204083</v>
      </c>
      <c r="AG18" s="258">
        <f>-SUMIFS('Cost Phasing'!41:41,'Cost Phasing'!35:35,AG7)</f>
        <v>-0.68167007667204083</v>
      </c>
      <c r="AH18" s="258">
        <f>-SUMIFS('Cost Phasing'!41:41,'Cost Phasing'!35:35,AH7)</f>
        <v>-2.5096649365547514</v>
      </c>
      <c r="AI18" s="258">
        <f>-SUMIFS('Cost Phasing'!41:41,'Cost Phasing'!35:35,AI7)</f>
        <v>-2.5096649365547514</v>
      </c>
      <c r="AJ18" s="258">
        <f>-SUMIFS('Cost Phasing'!41:41,'Cost Phasing'!35:35,AJ7)</f>
        <v>-2.1440659645782092</v>
      </c>
      <c r="AK18" s="258">
        <f>-SUMIFS('Cost Phasing'!41:41,'Cost Phasing'!35:35,AK7)</f>
        <v>-1.4623958879061683</v>
      </c>
      <c r="AL18" s="258">
        <f>-SUMIFS('Cost Phasing'!41:41,'Cost Phasing'!35:35,AL7)</f>
        <v>-1.4623958879061683</v>
      </c>
      <c r="AM18" s="258">
        <f>-SUMIFS('Cost Phasing'!41:41,'Cost Phasing'!35:35,AM7)</f>
        <v>-1.4623958879061683</v>
      </c>
      <c r="AN18" s="258">
        <f>-SUMIFS('Cost Phasing'!41:41,'Cost Phasing'!35:35,AN7)</f>
        <v>-1.4623958879061683</v>
      </c>
      <c r="AO18" s="258">
        <f>-SUMIFS('Cost Phasing'!41:41,'Cost Phasing'!35:35,AO7)</f>
        <v>-1.4623958879061683</v>
      </c>
      <c r="AP18" s="258">
        <f>-SUMIFS('Cost Phasing'!41:41,'Cost Phasing'!35:35,AP7)</f>
        <v>-1.4623958879061683</v>
      </c>
      <c r="AQ18" s="258">
        <f>-SUMIFS('Cost Phasing'!41:41,'Cost Phasing'!35:35,AQ7)</f>
        <v>-1.7163047718202056</v>
      </c>
      <c r="AR18" s="258">
        <f>-SUMIFS('Cost Phasing'!41:41,'Cost Phasing'!35:35,AR7)</f>
        <v>-1.7163047718202056</v>
      </c>
      <c r="AS18" s="258">
        <f>-SUMIFS('Cost Phasing'!41:41,'Cost Phasing'!35:35,AS7)</f>
        <v>-1.7163047718202056</v>
      </c>
      <c r="AT18" s="258">
        <f>-SUMIFS('Cost Phasing'!41:41,'Cost Phasing'!35:35,AT7)</f>
        <v>-0.25390888391403726</v>
      </c>
      <c r="AU18" s="258">
        <f>-SUMIFS('Cost Phasing'!41:41,'Cost Phasing'!35:35,AU7)</f>
        <v>-0.25390888391403726</v>
      </c>
      <c r="AV18" s="258">
        <f>-SUMIFS('Cost Phasing'!41:41,'Cost Phasing'!35:35,AV7)</f>
        <v>-0.25390888391403726</v>
      </c>
      <c r="AW18" s="258">
        <f>-SUMIFS('Cost Phasing'!41:41,'Cost Phasing'!35:35,AW7)</f>
        <v>-0.25390888391403726</v>
      </c>
      <c r="AX18" s="258">
        <f>-SUMIFS('Cost Phasing'!41:41,'Cost Phasing'!35:35,AX7)</f>
        <v>-0.25390888391403726</v>
      </c>
      <c r="AY18" s="258">
        <f>-SUMIFS('Cost Phasing'!41:41,'Cost Phasing'!35:35,AY7)</f>
        <v>-0.25390888391403726</v>
      </c>
      <c r="AZ18" s="258">
        <f>-SUMIFS('Cost Phasing'!41:41,'Cost Phasing'!35:35,AZ7)</f>
        <v>-0.25390888391403726</v>
      </c>
      <c r="BA18" s="258">
        <f>-SUMIFS('Cost Phasing'!41:41,'Cost Phasing'!35:35,BA7)</f>
        <v>-0.25390888391403726</v>
      </c>
      <c r="BB18" s="258">
        <f>-SUMIFS('Cost Phasing'!41:41,'Cost Phasing'!35:35,BB7)</f>
        <v>-0.25390888391403726</v>
      </c>
      <c r="BC18" s="258">
        <f>-SUMIFS('Cost Phasing'!41:41,'Cost Phasing'!35:35,BC7)</f>
        <v>-0.25390888391403726</v>
      </c>
      <c r="BD18" s="258">
        <f>-SUMIFS('Cost Phasing'!41:41,'Cost Phasing'!35:35,BD7)</f>
        <v>-0.25390888391403726</v>
      </c>
      <c r="BE18" s="258">
        <f>-SUMIFS('Cost Phasing'!41:41,'Cost Phasing'!35:35,BE7)</f>
        <v>-0.25390888391403726</v>
      </c>
      <c r="BF18" s="258">
        <f>-SUMIFS('Cost Phasing'!41:41,'Cost Phasing'!35:35,BF7)</f>
        <v>0</v>
      </c>
      <c r="BG18" s="258">
        <f>-SUMIFS('Cost Phasing'!41:41,'Cost Phasing'!35:35,BG7)</f>
        <v>0</v>
      </c>
      <c r="BH18" s="258">
        <f>-SUMIFS('Cost Phasing'!41:41,'Cost Phasing'!35:35,BH7)</f>
        <v>0</v>
      </c>
      <c r="BI18" s="258">
        <f>-SUMIFS('Cost Phasing'!41:41,'Cost Phasing'!35:35,BI7)</f>
        <v>0</v>
      </c>
      <c r="BJ18" s="258">
        <f>-SUMIFS('Cost Phasing'!41:41,'Cost Phasing'!35:35,BJ7)</f>
        <v>0</v>
      </c>
      <c r="BK18" s="258">
        <f>-SUMIFS('Cost Phasing'!41:41,'Cost Phasing'!35:35,BK7)</f>
        <v>0</v>
      </c>
      <c r="BL18" s="258">
        <f>-SUMIFS('Cost Phasing'!41:41,'Cost Phasing'!35:35,BL7)</f>
        <v>0</v>
      </c>
      <c r="BM18" s="258">
        <f>-SUMIFS('Cost Phasing'!41:41,'Cost Phasing'!35:35,BM7)</f>
        <v>0</v>
      </c>
      <c r="BN18" s="258">
        <f>-SUMIFS('Cost Phasing'!41:41,'Cost Phasing'!35:35,BN7)</f>
        <v>0</v>
      </c>
      <c r="BO18" s="258">
        <f>-SUMIFS('Cost Phasing'!41:41,'Cost Phasing'!35:35,BO7)</f>
        <v>0</v>
      </c>
      <c r="BP18" s="258">
        <f>-SUMIFS('Cost Phasing'!41:41,'Cost Phasing'!35:35,BP7)</f>
        <v>0</v>
      </c>
      <c r="BQ18" s="258">
        <f>-SUMIFS('Cost Phasing'!41:41,'Cost Phasing'!35:35,BQ7)</f>
        <v>0</v>
      </c>
      <c r="BR18" s="258">
        <f>-SUMIFS('Cost Phasing'!41:41,'Cost Phasing'!35:35,BR7)</f>
        <v>0</v>
      </c>
      <c r="BS18" s="258">
        <f>-SUMIFS('Cost Phasing'!41:41,'Cost Phasing'!35:35,BS7)</f>
        <v>0</v>
      </c>
      <c r="BT18" s="258">
        <f>-SUMIFS('Cost Phasing'!41:41,'Cost Phasing'!35:35,BT7)</f>
        <v>0</v>
      </c>
      <c r="BU18" s="258">
        <f>-SUMIFS('Cost Phasing'!41:41,'Cost Phasing'!35:35,BU7)</f>
        <v>0</v>
      </c>
      <c r="BV18" s="258">
        <f>-SUMIFS('Cost Phasing'!41:41,'Cost Phasing'!35:35,BV7)</f>
        <v>0</v>
      </c>
      <c r="BW18" s="258">
        <f>-SUMIFS('Cost Phasing'!41:41,'Cost Phasing'!35:35,BW7)</f>
        <v>0</v>
      </c>
      <c r="BX18" s="258">
        <f>-SUMIFS('Cost Phasing'!41:41,'Cost Phasing'!35:35,BX7)</f>
        <v>0</v>
      </c>
      <c r="BY18" s="258">
        <f>-SUMIFS('Cost Phasing'!41:41,'Cost Phasing'!35:35,BY7)</f>
        <v>0</v>
      </c>
      <c r="BZ18" s="258">
        <f>-SUMIFS('Cost Phasing'!41:41,'Cost Phasing'!35:35,BZ7)</f>
        <v>0</v>
      </c>
      <c r="CA18" s="258">
        <f>-SUMIFS('Cost Phasing'!41:41,'Cost Phasing'!35:35,CA7)</f>
        <v>0</v>
      </c>
      <c r="CB18" s="258">
        <f>-SUMIFS('Cost Phasing'!41:41,'Cost Phasing'!35:35,CB7)</f>
        <v>0</v>
      </c>
      <c r="CC18" s="258">
        <f>-SUMIFS('Cost Phasing'!41:41,'Cost Phasing'!35:35,CC7)</f>
        <v>0</v>
      </c>
      <c r="CD18" s="258">
        <f>-SUMIFS('Cost Phasing'!41:41,'Cost Phasing'!35:35,CD7)</f>
        <v>0</v>
      </c>
      <c r="CE18" s="258">
        <f>-SUMIFS('Cost Phasing'!41:41,'Cost Phasing'!35:35,CE7)</f>
        <v>0</v>
      </c>
      <c r="CF18" s="258">
        <f>-SUMIFS('Cost Phasing'!41:41,'Cost Phasing'!35:35,CF7)</f>
        <v>0</v>
      </c>
      <c r="CG18" s="258">
        <f>-SUMIFS('Cost Phasing'!41:41,'Cost Phasing'!35:35,CG7)</f>
        <v>0</v>
      </c>
      <c r="CH18" s="258">
        <f>-SUMIFS('Cost Phasing'!41:41,'Cost Phasing'!35:35,CH7)</f>
        <v>0</v>
      </c>
      <c r="CI18" s="258">
        <f>-SUMIFS('Cost Phasing'!41:41,'Cost Phasing'!35:35,CI7)</f>
        <v>0</v>
      </c>
      <c r="CJ18" s="258">
        <f>-SUMIFS('Cost Phasing'!41:41,'Cost Phasing'!35:35,CJ7)</f>
        <v>0</v>
      </c>
      <c r="CK18" s="258">
        <f>-SUMIFS('Cost Phasing'!41:41,'Cost Phasing'!35:35,CK7)</f>
        <v>0</v>
      </c>
      <c r="CL18" s="258">
        <f>-SUMIFS('Cost Phasing'!41:41,'Cost Phasing'!35:35,CL7)</f>
        <v>0</v>
      </c>
      <c r="CM18" s="258">
        <f>-SUMIFS('Cost Phasing'!41:41,'Cost Phasing'!35:35,CM7)</f>
        <v>0</v>
      </c>
      <c r="CN18" s="258">
        <f>-SUMIFS('Cost Phasing'!41:41,'Cost Phasing'!35:35,CN7)</f>
        <v>0</v>
      </c>
      <c r="CO18" s="258">
        <f>-SUMIFS('Cost Phasing'!41:41,'Cost Phasing'!35:35,CO7)</f>
        <v>0</v>
      </c>
      <c r="CP18" s="258">
        <f>-SUMIFS('Cost Phasing'!41:41,'Cost Phasing'!35:35,CP7)</f>
        <v>0</v>
      </c>
      <c r="CQ18" s="258">
        <f>-SUMIFS('Cost Phasing'!41:41,'Cost Phasing'!35:35,CQ7)</f>
        <v>0</v>
      </c>
      <c r="CR18" s="258">
        <f>-SUMIFS('Cost Phasing'!41:41,'Cost Phasing'!35:35,CR7)</f>
        <v>0</v>
      </c>
      <c r="CS18" s="258">
        <f>-SUMIFS('Cost Phasing'!41:41,'Cost Phasing'!35:35,CS7)</f>
        <v>0</v>
      </c>
      <c r="CT18" s="258">
        <f>-SUMIFS('Cost Phasing'!41:41,'Cost Phasing'!35:35,CT7)</f>
        <v>0</v>
      </c>
      <c r="CU18" s="258">
        <f>-SUMIFS('Cost Phasing'!41:41,'Cost Phasing'!35:35,CU7)</f>
        <v>0</v>
      </c>
      <c r="CV18" s="258">
        <f>-SUMIFS('Cost Phasing'!41:41,'Cost Phasing'!35:35,CV7)</f>
        <v>0</v>
      </c>
      <c r="CW18" s="258">
        <f>-SUMIFS('Cost Phasing'!41:41,'Cost Phasing'!35:35,CW7)</f>
        <v>0</v>
      </c>
      <c r="CX18" s="258">
        <f>-SUMIFS('Cost Phasing'!41:41,'Cost Phasing'!35:35,CX7)</f>
        <v>0</v>
      </c>
      <c r="CY18" s="258">
        <f>-SUMIFS('Cost Phasing'!41:41,'Cost Phasing'!35:35,CY7)</f>
        <v>0</v>
      </c>
      <c r="CZ18" s="258">
        <f>-SUMIFS('Cost Phasing'!41:41,'Cost Phasing'!35:35,CZ7)</f>
        <v>0</v>
      </c>
      <c r="DA18" s="258">
        <f>-SUMIFS('Cost Phasing'!41:41,'Cost Phasing'!35:35,DA7)</f>
        <v>0</v>
      </c>
      <c r="DB18" s="258">
        <f>-SUMIFS('Cost Phasing'!41:41,'Cost Phasing'!35:35,DB7)</f>
        <v>0</v>
      </c>
      <c r="DC18" s="258">
        <f>-SUMIFS('Cost Phasing'!41:41,'Cost Phasing'!35:35,DC7)</f>
        <v>0</v>
      </c>
      <c r="DD18" s="258">
        <f>-SUMIFS('Cost Phasing'!41:41,'Cost Phasing'!35:35,DD7)</f>
        <v>0</v>
      </c>
      <c r="DE18" s="258">
        <f>-SUMIFS('Cost Phasing'!41:41,'Cost Phasing'!35:35,DE7)</f>
        <v>0</v>
      </c>
      <c r="DF18" s="258">
        <f>-SUMIFS('Cost Phasing'!41:41,'Cost Phasing'!35:35,DF7)</f>
        <v>0</v>
      </c>
      <c r="DG18" s="258">
        <f>-SUMIFS('Cost Phasing'!41:41,'Cost Phasing'!35:35,DG7)</f>
        <v>0</v>
      </c>
      <c r="DH18" s="258">
        <f>-SUMIFS('Cost Phasing'!41:41,'Cost Phasing'!35:35,DH7)</f>
        <v>0</v>
      </c>
      <c r="DI18" s="258">
        <f>-SUMIFS('Cost Phasing'!41:41,'Cost Phasing'!35:35,DI7)</f>
        <v>0</v>
      </c>
      <c r="DJ18" s="258">
        <f>-SUMIFS('Cost Phasing'!41:41,'Cost Phasing'!35:35,DJ7)</f>
        <v>0</v>
      </c>
      <c r="DK18" s="258">
        <f>-SUMIFS('Cost Phasing'!41:41,'Cost Phasing'!35:35,DK7)</f>
        <v>0</v>
      </c>
      <c r="DL18" s="258">
        <f>-SUMIFS('Cost Phasing'!41:41,'Cost Phasing'!35:35,DL7)</f>
        <v>0</v>
      </c>
      <c r="DM18" s="258">
        <f>-SUMIFS('Cost Phasing'!41:41,'Cost Phasing'!35:35,DM7)</f>
        <v>0</v>
      </c>
      <c r="DN18" s="258">
        <f>-SUMIFS('Cost Phasing'!41:41,'Cost Phasing'!35:35,DN7)</f>
        <v>0</v>
      </c>
      <c r="DO18" s="258">
        <f>-SUMIFS('Cost Phasing'!41:41,'Cost Phasing'!35:35,DO7)</f>
        <v>0</v>
      </c>
      <c r="DP18" s="258">
        <f>-SUMIFS('Cost Phasing'!41:41,'Cost Phasing'!35:35,DP7)</f>
        <v>0</v>
      </c>
      <c r="DQ18" s="258">
        <f>-SUMIFS('Cost Phasing'!41:41,'Cost Phasing'!35:35,DQ7)</f>
        <v>0</v>
      </c>
      <c r="DR18" s="258">
        <f>-SUMIFS('Cost Phasing'!41:41,'Cost Phasing'!35:35,DR7)</f>
        <v>0</v>
      </c>
      <c r="DS18" s="258">
        <f>-SUMIFS('Cost Phasing'!41:41,'Cost Phasing'!35:35,DS7)</f>
        <v>0</v>
      </c>
      <c r="DT18" s="258">
        <f>-SUMIFS('Cost Phasing'!41:41,'Cost Phasing'!35:35,DT7)</f>
        <v>0</v>
      </c>
      <c r="DU18" s="258">
        <f>-SUMIFS('Cost Phasing'!41:41,'Cost Phasing'!35:35,DU7)</f>
        <v>0</v>
      </c>
      <c r="DV18" s="258">
        <f>-SUMIFS('Cost Phasing'!41:41,'Cost Phasing'!35:35,DV7)</f>
        <v>0</v>
      </c>
      <c r="DW18" s="258">
        <f>-SUMIFS('Cost Phasing'!41:41,'Cost Phasing'!35:35,DW7)</f>
        <v>0</v>
      </c>
      <c r="DX18" s="258">
        <f>-SUMIFS('Cost Phasing'!41:41,'Cost Phasing'!35:35,DX7)</f>
        <v>0</v>
      </c>
      <c r="DY18" s="258">
        <f>-SUMIFS('Cost Phasing'!41:41,'Cost Phasing'!35:35,DY7)</f>
        <v>0</v>
      </c>
      <c r="DZ18" s="258">
        <f>-SUMIFS('Cost Phasing'!41:41,'Cost Phasing'!35:35,DZ7)</f>
        <v>0</v>
      </c>
      <c r="EA18" s="258">
        <f>-SUMIFS('Cost Phasing'!41:41,'Cost Phasing'!35:35,EA7)</f>
        <v>0</v>
      </c>
      <c r="EB18" s="258">
        <f>-SUMIFS('Cost Phasing'!41:41,'Cost Phasing'!35:35,EB7)</f>
        <v>0</v>
      </c>
      <c r="EC18" s="258">
        <f>-SUMIFS('Cost Phasing'!41:41,'Cost Phasing'!35:35,EC7)</f>
        <v>0</v>
      </c>
      <c r="ED18" s="258">
        <f>-SUMIFS('Cost Phasing'!41:41,'Cost Phasing'!35:35,ED7)</f>
        <v>0</v>
      </c>
      <c r="EE18" s="258">
        <f>-SUMIFS('Cost Phasing'!41:41,'Cost Phasing'!35:35,EE7)</f>
        <v>0</v>
      </c>
      <c r="EF18" s="258">
        <f>-SUMIFS('Cost Phasing'!41:41,'Cost Phasing'!35:35,EF7)</f>
        <v>0</v>
      </c>
      <c r="EG18" s="258">
        <f>-SUMIFS('Cost Phasing'!41:41,'Cost Phasing'!35:35,EG7)</f>
        <v>0</v>
      </c>
      <c r="EH18" s="258">
        <f>-SUMIFS('Cost Phasing'!41:41,'Cost Phasing'!35:35,EH7)</f>
        <v>0</v>
      </c>
      <c r="EI18" s="258">
        <f>-SUMIFS('Cost Phasing'!41:41,'Cost Phasing'!35:35,EI7)</f>
        <v>0</v>
      </c>
      <c r="EJ18" s="258">
        <f>-SUMIFS('Cost Phasing'!41:41,'Cost Phasing'!35:35,EJ7)</f>
        <v>0</v>
      </c>
      <c r="EK18" s="258">
        <f>-SUMIFS('Cost Phasing'!41:41,'Cost Phasing'!35:35,EK7)</f>
        <v>0</v>
      </c>
      <c r="EL18" s="258">
        <f>-SUMIFS('Cost Phasing'!41:41,'Cost Phasing'!35:35,EL7)</f>
        <v>0</v>
      </c>
      <c r="EM18" s="258">
        <f>-SUMIFS('Cost Phasing'!41:41,'Cost Phasing'!35:35,EM7)</f>
        <v>0</v>
      </c>
      <c r="EN18" s="258">
        <f>-SUMIFS('Cost Phasing'!41:41,'Cost Phasing'!35:35,EN7)</f>
        <v>0</v>
      </c>
      <c r="EO18" s="258">
        <f>-SUMIFS('Cost Phasing'!41:41,'Cost Phasing'!35:35,EO7)</f>
        <v>0</v>
      </c>
      <c r="EP18" s="258">
        <f>-SUMIFS('Cost Phasing'!41:41,'Cost Phasing'!35:35,EP7)</f>
        <v>0</v>
      </c>
      <c r="EQ18" s="258">
        <f>-SUMIFS('Cost Phasing'!41:41,'Cost Phasing'!35:35,EQ7)</f>
        <v>0</v>
      </c>
      <c r="ER18" s="258">
        <f>-SUMIFS('Cost Phasing'!41:41,'Cost Phasing'!35:35,ER7)</f>
        <v>0</v>
      </c>
      <c r="ES18" s="258">
        <f>-SUMIFS('Cost Phasing'!41:41,'Cost Phasing'!35:35,ES7)</f>
        <v>0</v>
      </c>
      <c r="ET18" s="258">
        <f>-SUMIFS('Cost Phasing'!41:41,'Cost Phasing'!35:35,ET7)</f>
        <v>0</v>
      </c>
      <c r="EU18" s="258">
        <f>-SUMIFS('Cost Phasing'!41:41,'Cost Phasing'!35:35,EU7)</f>
        <v>0</v>
      </c>
      <c r="EV18" s="258">
        <f>-SUMIFS('Cost Phasing'!41:41,'Cost Phasing'!35:35,EV7)</f>
        <v>0</v>
      </c>
      <c r="EW18" s="258">
        <f>-SUMIFS('Cost Phasing'!41:41,'Cost Phasing'!35:35,EW7)</f>
        <v>0</v>
      </c>
      <c r="EX18" s="258">
        <f>-SUMIFS('Cost Phasing'!41:41,'Cost Phasing'!35:35,EX7)</f>
        <v>0</v>
      </c>
      <c r="EY18" s="258">
        <f>-SUMIFS('Cost Phasing'!41:41,'Cost Phasing'!35:35,EY7)</f>
        <v>0</v>
      </c>
      <c r="EZ18" s="258">
        <f>-SUMIFS('Cost Phasing'!41:41,'Cost Phasing'!35:35,EZ7)</f>
        <v>0</v>
      </c>
      <c r="FA18" s="258">
        <f>-SUMIFS('Cost Phasing'!41:41,'Cost Phasing'!35:35,FA7)</f>
        <v>0</v>
      </c>
      <c r="FB18" s="258">
        <f>-SUMIFS('Cost Phasing'!41:41,'Cost Phasing'!35:35,FB7)</f>
        <v>0</v>
      </c>
      <c r="FC18" s="258">
        <f>-SUMIFS('Cost Phasing'!41:41,'Cost Phasing'!35:35,FC7)</f>
        <v>0</v>
      </c>
      <c r="FD18" s="258">
        <f>-SUMIFS('Cost Phasing'!41:41,'Cost Phasing'!35:35,FD7)</f>
        <v>0</v>
      </c>
      <c r="FE18" s="258">
        <f>-SUMIFS('Cost Phasing'!41:41,'Cost Phasing'!35:35,FE7)</f>
        <v>0</v>
      </c>
      <c r="FF18" s="258">
        <f>-SUMIFS('Cost Phasing'!41:41,'Cost Phasing'!35:35,FF7)</f>
        <v>0</v>
      </c>
      <c r="FG18" s="258">
        <f>-SUMIFS('Cost Phasing'!41:41,'Cost Phasing'!35:35,FG7)</f>
        <v>0</v>
      </c>
      <c r="FH18" s="258">
        <f>-SUMIFS('Cost Phasing'!41:41,'Cost Phasing'!35:35,FH7)</f>
        <v>0</v>
      </c>
      <c r="FI18" s="258">
        <f>-SUMIFS('Cost Phasing'!41:41,'Cost Phasing'!35:35,FI7)</f>
        <v>0</v>
      </c>
      <c r="FJ18" s="258">
        <f>-SUMIFS('Cost Phasing'!41:41,'Cost Phasing'!35:35,FJ7)</f>
        <v>0</v>
      </c>
      <c r="FK18" s="258">
        <f>-SUMIFS('Cost Phasing'!41:41,'Cost Phasing'!35:35,FK7)</f>
        <v>0</v>
      </c>
      <c r="FL18" s="258">
        <f>-SUMIFS('Cost Phasing'!41:41,'Cost Phasing'!35:35,FL7)</f>
        <v>0</v>
      </c>
      <c r="FM18" s="258">
        <f>-SUMIFS('Cost Phasing'!41:41,'Cost Phasing'!35:35,FM7)</f>
        <v>0</v>
      </c>
      <c r="FN18" s="258">
        <f>-SUMIFS('Cost Phasing'!41:41,'Cost Phasing'!35:35,FN7)</f>
        <v>0</v>
      </c>
      <c r="FO18" s="258">
        <f>-SUMIFS('Cost Phasing'!41:41,'Cost Phasing'!35:35,FO7)</f>
        <v>0</v>
      </c>
      <c r="FP18" s="258">
        <f>-SUMIFS('Cost Phasing'!41:41,'Cost Phasing'!35:35,FP7)</f>
        <v>0</v>
      </c>
      <c r="FQ18" s="258">
        <f>-SUMIFS('Cost Phasing'!41:41,'Cost Phasing'!35:35,FQ7)</f>
        <v>0</v>
      </c>
      <c r="FR18" s="258">
        <f>-SUMIFS('Cost Phasing'!41:41,'Cost Phasing'!35:35,FR7)</f>
        <v>0</v>
      </c>
      <c r="FS18" s="258">
        <f>-SUMIFS('Cost Phasing'!41:41,'Cost Phasing'!35:35,FS7)</f>
        <v>0</v>
      </c>
      <c r="FT18" s="258">
        <f>-SUMIFS('Cost Phasing'!41:41,'Cost Phasing'!35:35,FT7)</f>
        <v>0</v>
      </c>
      <c r="FU18" s="258">
        <f>-SUMIFS('Cost Phasing'!41:41,'Cost Phasing'!35:35,FU7)</f>
        <v>0</v>
      </c>
      <c r="FV18" s="258">
        <f>-SUMIFS('Cost Phasing'!41:41,'Cost Phasing'!35:35,FV7)</f>
        <v>0</v>
      </c>
      <c r="FW18" s="258">
        <f>-SUMIFS('Cost Phasing'!41:41,'Cost Phasing'!35:35,FW7)</f>
        <v>0</v>
      </c>
      <c r="FX18" s="258">
        <f>-SUMIFS('Cost Phasing'!41:41,'Cost Phasing'!35:35,FX7)</f>
        <v>0</v>
      </c>
      <c r="FY18" s="258">
        <f>-SUMIFS('Cost Phasing'!41:41,'Cost Phasing'!35:35,FY7)</f>
        <v>0</v>
      </c>
      <c r="FZ18" s="258">
        <f>-SUMIFS('Cost Phasing'!41:41,'Cost Phasing'!35:35,FZ7)</f>
        <v>0</v>
      </c>
      <c r="GA18" s="258">
        <f>-SUMIFS('Cost Phasing'!41:41,'Cost Phasing'!35:35,GA7)</f>
        <v>0</v>
      </c>
      <c r="GB18" s="258">
        <f>-SUMIFS('Cost Phasing'!41:41,'Cost Phasing'!35:35,GB7)</f>
        <v>0</v>
      </c>
      <c r="GC18" s="258">
        <f>-SUMIFS('Cost Phasing'!41:41,'Cost Phasing'!35:35,GC7)</f>
        <v>0</v>
      </c>
      <c r="GD18" s="258">
        <f>-SUMIFS('Cost Phasing'!41:41,'Cost Phasing'!35:35,GD7)</f>
        <v>0</v>
      </c>
      <c r="GE18" s="258">
        <f>-SUMIFS('Cost Phasing'!41:41,'Cost Phasing'!35:35,GE7)</f>
        <v>0</v>
      </c>
      <c r="GF18" s="258">
        <f>-SUMIFS('Cost Phasing'!41:41,'Cost Phasing'!35:35,GF7)</f>
        <v>0</v>
      </c>
      <c r="GG18" s="258">
        <f>-SUMIFS('Cost Phasing'!41:41,'Cost Phasing'!35:35,GG7)</f>
        <v>0</v>
      </c>
      <c r="GH18" s="258">
        <f>-SUMIFS('Cost Phasing'!41:41,'Cost Phasing'!35:35,GH7)</f>
        <v>0</v>
      </c>
      <c r="GI18" s="258">
        <f>-SUMIFS('Cost Phasing'!41:41,'Cost Phasing'!35:35,GI7)</f>
        <v>0</v>
      </c>
      <c r="GJ18" s="258">
        <f>-SUMIFS('Cost Phasing'!41:41,'Cost Phasing'!35:35,GJ7)</f>
        <v>0</v>
      </c>
      <c r="GK18" s="258">
        <f>-SUMIFS('Cost Phasing'!41:41,'Cost Phasing'!35:35,GK7)</f>
        <v>0</v>
      </c>
      <c r="GL18" s="258">
        <f>-SUMIFS('Cost Phasing'!41:41,'Cost Phasing'!35:35,GL7)</f>
        <v>0</v>
      </c>
      <c r="GM18" s="258">
        <f>-SUMIFS('Cost Phasing'!41:41,'Cost Phasing'!35:35,GM7)</f>
        <v>0</v>
      </c>
      <c r="GN18" s="258">
        <f>-SUMIFS('Cost Phasing'!41:41,'Cost Phasing'!35:35,GN7)</f>
        <v>0</v>
      </c>
      <c r="GO18" s="258">
        <f>-SUMIFS('Cost Phasing'!41:41,'Cost Phasing'!35:35,GO7)</f>
        <v>0</v>
      </c>
      <c r="GP18" s="258">
        <f>-SUMIFS('Cost Phasing'!41:41,'Cost Phasing'!35:35,GP7)</f>
        <v>0</v>
      </c>
      <c r="GQ18" s="258">
        <f>-SUMIFS('Cost Phasing'!41:41,'Cost Phasing'!35:35,GQ7)</f>
        <v>0</v>
      </c>
      <c r="GR18" s="258">
        <f>-SUMIFS('Cost Phasing'!41:41,'Cost Phasing'!35:35,GR7)</f>
        <v>0</v>
      </c>
      <c r="GS18" s="258">
        <f>-SUMIFS('Cost Phasing'!41:41,'Cost Phasing'!35:35,GS7)</f>
        <v>0</v>
      </c>
      <c r="GT18" s="258">
        <f>-SUMIFS('Cost Phasing'!41:41,'Cost Phasing'!35:35,GT7)</f>
        <v>0</v>
      </c>
      <c r="GU18" s="258">
        <f>-SUMIFS('Cost Phasing'!41:41,'Cost Phasing'!35:35,GU7)</f>
        <v>0</v>
      </c>
      <c r="GV18" s="258">
        <f>-SUMIFS('Cost Phasing'!41:41,'Cost Phasing'!35:35,GV7)</f>
        <v>0</v>
      </c>
      <c r="GW18" s="258">
        <f>-SUMIFS('Cost Phasing'!41:41,'Cost Phasing'!35:35,GW7)</f>
        <v>0</v>
      </c>
      <c r="GX18" s="258">
        <f>-SUMIFS('Cost Phasing'!41:41,'Cost Phasing'!35:35,GX7)</f>
        <v>0</v>
      </c>
      <c r="GY18" s="258">
        <f>-SUMIFS('Cost Phasing'!41:41,'Cost Phasing'!35:35,GY7)</f>
        <v>0</v>
      </c>
      <c r="GZ18" s="258">
        <f>-SUMIFS('Cost Phasing'!41:41,'Cost Phasing'!35:35,GZ7)</f>
        <v>0</v>
      </c>
      <c r="HA18" s="258">
        <f>-SUMIFS('Cost Phasing'!41:41,'Cost Phasing'!35:35,HA7)</f>
        <v>0</v>
      </c>
      <c r="HB18" s="258">
        <f>-SUMIFS('Cost Phasing'!41:41,'Cost Phasing'!35:35,HB7)</f>
        <v>0</v>
      </c>
      <c r="HC18" s="258">
        <f>-SUMIFS('Cost Phasing'!41:41,'Cost Phasing'!35:35,HC7)</f>
        <v>0</v>
      </c>
      <c r="HD18" s="258">
        <f>-SUMIFS('Cost Phasing'!41:41,'Cost Phasing'!35:35,HD7)</f>
        <v>0</v>
      </c>
      <c r="HE18" s="258">
        <f>-SUMIFS('Cost Phasing'!41:41,'Cost Phasing'!35:35,HE7)</f>
        <v>0</v>
      </c>
      <c r="HF18" s="258">
        <f>-SUMIFS('Cost Phasing'!41:41,'Cost Phasing'!35:35,HF7)</f>
        <v>0</v>
      </c>
      <c r="HG18" s="258">
        <f>-SUMIFS('Cost Phasing'!41:41,'Cost Phasing'!35:35,HG7)</f>
        <v>0</v>
      </c>
      <c r="HH18" s="258">
        <f>-SUMIFS('Cost Phasing'!41:41,'Cost Phasing'!35:35,HH7)</f>
        <v>0</v>
      </c>
      <c r="HI18" s="258">
        <f>-SUMIFS('Cost Phasing'!41:41,'Cost Phasing'!35:35,HI7)</f>
        <v>0</v>
      </c>
      <c r="HJ18" s="258">
        <f>-SUMIFS('Cost Phasing'!41:41,'Cost Phasing'!35:35,HJ7)</f>
        <v>0</v>
      </c>
      <c r="HK18" s="258">
        <f>-SUMIFS('Cost Phasing'!41:41,'Cost Phasing'!35:35,HK7)</f>
        <v>0</v>
      </c>
      <c r="HL18" s="258">
        <f>-SUMIFS('Cost Phasing'!41:41,'Cost Phasing'!35:35,HL7)</f>
        <v>0</v>
      </c>
      <c r="HM18" s="258">
        <f>-SUMIFS('Cost Phasing'!41:41,'Cost Phasing'!35:35,HM7)</f>
        <v>0</v>
      </c>
      <c r="HN18" s="258">
        <f>-SUMIFS('Cost Phasing'!41:41,'Cost Phasing'!35:35,HN7)</f>
        <v>0</v>
      </c>
      <c r="HO18" s="258">
        <f>-SUMIFS('Cost Phasing'!41:41,'Cost Phasing'!35:35,HO7)</f>
        <v>0</v>
      </c>
      <c r="HP18" s="258">
        <f>-SUMIFS('Cost Phasing'!41:41,'Cost Phasing'!35:35,HP7)</f>
        <v>0</v>
      </c>
      <c r="HQ18" s="258">
        <f>-SUMIFS('Cost Phasing'!41:41,'Cost Phasing'!35:35,HQ7)</f>
        <v>0</v>
      </c>
      <c r="HR18" s="258">
        <f>-SUMIFS('Cost Phasing'!41:41,'Cost Phasing'!35:35,HR7)</f>
        <v>0</v>
      </c>
      <c r="HS18" s="258">
        <f>-SUMIFS('Cost Phasing'!41:41,'Cost Phasing'!35:35,HS7)</f>
        <v>0</v>
      </c>
      <c r="HT18" s="258">
        <f>-SUMIFS('Cost Phasing'!41:41,'Cost Phasing'!35:35,HT7)</f>
        <v>0</v>
      </c>
      <c r="HU18" s="258">
        <f>-SUMIFS('Cost Phasing'!41:41,'Cost Phasing'!35:35,HU7)</f>
        <v>0</v>
      </c>
      <c r="HV18" s="258">
        <f>-SUMIFS('Cost Phasing'!41:41,'Cost Phasing'!35:35,HV7)</f>
        <v>0</v>
      </c>
      <c r="HW18" s="258">
        <f>-SUMIFS('Cost Phasing'!41:41,'Cost Phasing'!35:35,HW7)</f>
        <v>0</v>
      </c>
      <c r="HX18" s="258">
        <f>-SUMIFS('Cost Phasing'!41:41,'Cost Phasing'!35:35,HX7)</f>
        <v>0</v>
      </c>
      <c r="HY18" s="258">
        <f>-SUMIFS('Cost Phasing'!41:41,'Cost Phasing'!35:35,HY7)</f>
        <v>0</v>
      </c>
      <c r="HZ18" s="258">
        <f>-SUMIFS('Cost Phasing'!41:41,'Cost Phasing'!35:35,HZ7)</f>
        <v>0</v>
      </c>
      <c r="IA18" s="258">
        <f>-SUMIFS('Cost Phasing'!41:41,'Cost Phasing'!35:35,IA7)</f>
        <v>0</v>
      </c>
      <c r="IB18" s="258">
        <f>-SUMIFS('Cost Phasing'!41:41,'Cost Phasing'!35:35,IB7)</f>
        <v>0</v>
      </c>
      <c r="IC18" s="258">
        <f>-SUMIFS('Cost Phasing'!41:41,'Cost Phasing'!35:35,IC7)</f>
        <v>0</v>
      </c>
      <c r="ID18" s="258">
        <f>-SUMIFS('Cost Phasing'!41:41,'Cost Phasing'!35:35,ID7)</f>
        <v>0</v>
      </c>
      <c r="IE18" s="258">
        <f>-SUMIFS('Cost Phasing'!41:41,'Cost Phasing'!35:35,IE7)</f>
        <v>0</v>
      </c>
      <c r="IF18" s="258">
        <f>-SUMIFS('Cost Phasing'!41:41,'Cost Phasing'!35:35,IF7)</f>
        <v>0</v>
      </c>
      <c r="IG18" s="258">
        <f>-SUMIFS('Cost Phasing'!41:41,'Cost Phasing'!35:35,IG7)</f>
        <v>0</v>
      </c>
      <c r="IH18" s="258">
        <f>-SUMIFS('Cost Phasing'!41:41,'Cost Phasing'!35:35,IH7)</f>
        <v>0</v>
      </c>
      <c r="II18" s="258">
        <f>-SUMIFS('Cost Phasing'!41:41,'Cost Phasing'!35:35,II7)</f>
        <v>0</v>
      </c>
      <c r="IJ18" s="258">
        <f>-SUMIFS('Cost Phasing'!41:41,'Cost Phasing'!35:35,IJ7)</f>
        <v>0</v>
      </c>
      <c r="IK18" s="258">
        <f>-SUMIFS('Cost Phasing'!41:41,'Cost Phasing'!35:35,IK7)</f>
        <v>0</v>
      </c>
      <c r="IL18" s="258">
        <f>-SUMIFS('Cost Phasing'!41:41,'Cost Phasing'!35:35,IL7)</f>
        <v>0</v>
      </c>
      <c r="IM18" s="258">
        <f>-SUMIFS('Cost Phasing'!41:41,'Cost Phasing'!35:35,IM7)</f>
        <v>0</v>
      </c>
      <c r="IN18" s="258">
        <f>-SUMIFS('Cost Phasing'!41:41,'Cost Phasing'!35:35,IN7)</f>
        <v>0</v>
      </c>
      <c r="IO18" s="258">
        <f>-SUMIFS('Cost Phasing'!41:41,'Cost Phasing'!35:35,IO7)</f>
        <v>0</v>
      </c>
      <c r="IP18" s="258">
        <f>-SUMIFS('Cost Phasing'!41:41,'Cost Phasing'!35:35,IP7)</f>
        <v>0</v>
      </c>
      <c r="IQ18" s="258">
        <f>-SUMIFS('Cost Phasing'!41:41,'Cost Phasing'!35:35,IQ7)</f>
        <v>0</v>
      </c>
      <c r="IR18" s="258">
        <f>-SUMIFS('Cost Phasing'!41:41,'Cost Phasing'!35:35,IR7)</f>
        <v>0</v>
      </c>
      <c r="IS18" s="258">
        <f>-SUMIFS('Cost Phasing'!41:41,'Cost Phasing'!35:35,IS7)</f>
        <v>0</v>
      </c>
      <c r="IT18" s="258">
        <f>-SUMIFS('Cost Phasing'!41:41,'Cost Phasing'!35:35,IT7)</f>
        <v>0</v>
      </c>
      <c r="IU18" s="258">
        <f>-SUMIFS('Cost Phasing'!41:41,'Cost Phasing'!35:35,IU7)</f>
        <v>0</v>
      </c>
      <c r="IV18" s="258">
        <f>-SUMIFS('Cost Phasing'!41:41,'Cost Phasing'!35:35,IV7)</f>
        <v>0</v>
      </c>
      <c r="IW18" s="258">
        <f>-SUMIFS('Cost Phasing'!41:41,'Cost Phasing'!35:35,IW7)</f>
        <v>0</v>
      </c>
      <c r="IX18" s="258">
        <f>-SUMIFS('Cost Phasing'!41:41,'Cost Phasing'!35:35,IX7)</f>
        <v>0</v>
      </c>
      <c r="IY18" s="258">
        <f>-SUMIFS('Cost Phasing'!41:41,'Cost Phasing'!35:35,IY7)</f>
        <v>0</v>
      </c>
      <c r="IZ18" s="258">
        <f>-SUMIFS('Cost Phasing'!41:41,'Cost Phasing'!35:35,IZ7)</f>
        <v>0</v>
      </c>
      <c r="JA18" s="258">
        <f>-SUMIFS('Cost Phasing'!41:41,'Cost Phasing'!35:35,JA7)</f>
        <v>0</v>
      </c>
      <c r="JB18" s="258">
        <f>-SUMIFS('Cost Phasing'!41:41,'Cost Phasing'!35:35,JB7)</f>
        <v>0</v>
      </c>
      <c r="JC18" s="258">
        <f>-SUMIFS('Cost Phasing'!41:41,'Cost Phasing'!35:35,JC7)</f>
        <v>0</v>
      </c>
      <c r="JD18" s="258">
        <f>-SUMIFS('Cost Phasing'!41:41,'Cost Phasing'!35:35,JD7)</f>
        <v>0</v>
      </c>
      <c r="JE18" s="258">
        <f>-SUMIFS('Cost Phasing'!41:41,'Cost Phasing'!35:35,JE7)</f>
        <v>0</v>
      </c>
      <c r="JF18" s="258">
        <f>-SUMIFS('Cost Phasing'!41:41,'Cost Phasing'!35:35,JF7)</f>
        <v>0</v>
      </c>
      <c r="JG18" s="258">
        <f>-SUMIFS('Cost Phasing'!41:41,'Cost Phasing'!35:35,JG7)</f>
        <v>0</v>
      </c>
      <c r="JH18" s="258">
        <f>-SUMIFS('Cost Phasing'!41:41,'Cost Phasing'!35:35,JH7)</f>
        <v>0</v>
      </c>
      <c r="JI18" s="258">
        <f>-SUMIFS('Cost Phasing'!41:41,'Cost Phasing'!35:35,JI7)</f>
        <v>0</v>
      </c>
      <c r="JJ18" s="258">
        <f>-SUMIFS('Cost Phasing'!41:41,'Cost Phasing'!35:35,JJ7)</f>
        <v>0</v>
      </c>
      <c r="JK18" s="258">
        <f>-SUMIFS('Cost Phasing'!41:41,'Cost Phasing'!35:35,JK7)</f>
        <v>0</v>
      </c>
      <c r="JL18" s="258">
        <f>-SUMIFS('Cost Phasing'!41:41,'Cost Phasing'!35:35,JL7)</f>
        <v>0</v>
      </c>
      <c r="JM18" s="258">
        <f>-SUMIFS('Cost Phasing'!41:41,'Cost Phasing'!35:35,JM7)</f>
        <v>0</v>
      </c>
      <c r="JN18" s="258">
        <f>-SUMIFS('Cost Phasing'!41:41,'Cost Phasing'!35:35,JN7)</f>
        <v>0</v>
      </c>
      <c r="JO18" s="258">
        <f>-SUMIFS('Cost Phasing'!41:41,'Cost Phasing'!35:35,JO7)</f>
        <v>0</v>
      </c>
      <c r="JP18" s="258">
        <f>-SUMIFS('Cost Phasing'!41:41,'Cost Phasing'!35:35,JP7)</f>
        <v>0</v>
      </c>
      <c r="JQ18" s="258">
        <f>-SUMIFS('Cost Phasing'!41:41,'Cost Phasing'!35:35,JQ7)</f>
        <v>0</v>
      </c>
      <c r="JR18" s="258">
        <f>-SUMIFS('Cost Phasing'!41:41,'Cost Phasing'!35:35,JR7)</f>
        <v>0</v>
      </c>
      <c r="JS18" s="258">
        <f>-SUMIFS('Cost Phasing'!41:41,'Cost Phasing'!35:35,JS7)</f>
        <v>0</v>
      </c>
      <c r="JT18" s="258">
        <f>-SUMIFS('Cost Phasing'!41:41,'Cost Phasing'!35:35,JT7)</f>
        <v>0</v>
      </c>
      <c r="JU18" s="258">
        <f>-SUMIFS('Cost Phasing'!41:41,'Cost Phasing'!35:35,JU7)</f>
        <v>0</v>
      </c>
      <c r="JV18" s="258">
        <f>-SUMIFS('Cost Phasing'!41:41,'Cost Phasing'!35:35,JV7)</f>
        <v>0</v>
      </c>
      <c r="JW18" s="258">
        <f>-SUMIFS('Cost Phasing'!41:41,'Cost Phasing'!35:35,JW7)</f>
        <v>0</v>
      </c>
      <c r="JX18" s="258">
        <f>-SUMIFS('Cost Phasing'!41:41,'Cost Phasing'!35:35,JX7)</f>
        <v>0</v>
      </c>
      <c r="JY18" s="258">
        <f>-SUMIFS('Cost Phasing'!41:41,'Cost Phasing'!35:35,JY7)</f>
        <v>0</v>
      </c>
      <c r="JZ18" s="258">
        <f>-SUMIFS('Cost Phasing'!41:41,'Cost Phasing'!35:35,JZ7)</f>
        <v>0</v>
      </c>
      <c r="KA18" s="258">
        <f>-SUMIFS('Cost Phasing'!41:41,'Cost Phasing'!35:35,KA7)</f>
        <v>0</v>
      </c>
      <c r="KB18" s="258">
        <f>-SUMIFS('Cost Phasing'!41:41,'Cost Phasing'!35:35,KB7)</f>
        <v>0</v>
      </c>
      <c r="KC18" s="265">
        <f t="shared" si="432"/>
        <v>-61.603843101553736</v>
      </c>
    </row>
    <row r="19" spans="1:289" x14ac:dyDescent="0.3">
      <c r="A19" s="1" t="s">
        <v>25</v>
      </c>
      <c r="B19" s="257">
        <f t="shared" si="431"/>
        <v>-5.0220524267570994</v>
      </c>
      <c r="C19" s="258">
        <f>-SUMIFS('Cost Phasing'!89:89,'Cost Phasing'!83:83,C7)</f>
        <v>0</v>
      </c>
      <c r="D19" s="258">
        <f>-SUMIFS('Cost Phasing'!89:89,'Cost Phasing'!83:83,D7)</f>
        <v>-0.51619234409315995</v>
      </c>
      <c r="E19" s="258">
        <f>-SUMIFS('Cost Phasing'!89:89,'Cost Phasing'!83:83,E7)</f>
        <v>-4.3016028674429996E-2</v>
      </c>
      <c r="F19" s="258">
        <f>-SUMIFS('Cost Phasing'!89:89,'Cost Phasing'!83:83,F7)</f>
        <v>-3.0111220072100993E-2</v>
      </c>
      <c r="G19" s="258">
        <f>-SUMIFS('Cost Phasing'!89:89,'Cost Phasing'!83:83,G7)</f>
        <v>-3.0111220072100993E-2</v>
      </c>
      <c r="H19" s="258">
        <f>-SUMIFS('Cost Phasing'!89:89,'Cost Phasing'!83:83,H7)</f>
        <v>-3.0111220072100993E-2</v>
      </c>
      <c r="I19" s="258">
        <f>-SUMIFS('Cost Phasing'!89:89,'Cost Phasing'!83:83,I7)</f>
        <v>-3.0111220072100993E-2</v>
      </c>
      <c r="J19" s="258">
        <f>-SUMIFS('Cost Phasing'!89:89,'Cost Phasing'!83:83,J7)</f>
        <v>-3.0111220072100993E-2</v>
      </c>
      <c r="K19" s="258">
        <f>-SUMIFS('Cost Phasing'!89:89,'Cost Phasing'!83:83,K7)</f>
        <v>-3.0111220072100993E-2</v>
      </c>
      <c r="L19" s="258">
        <f>-SUMIFS('Cost Phasing'!89:89,'Cost Phasing'!83:83,L7)</f>
        <v>-3.0111220072100993E-2</v>
      </c>
      <c r="M19" s="258">
        <f>-SUMIFS('Cost Phasing'!89:89,'Cost Phasing'!83:83,M7)</f>
        <v>-3.0111220072100993E-2</v>
      </c>
      <c r="N19" s="258">
        <f>-SUMIFS('Cost Phasing'!89:89,'Cost Phasing'!83:83,N7)</f>
        <v>-3.0111220072100993E-2</v>
      </c>
      <c r="O19" s="258">
        <f>-SUMIFS('Cost Phasing'!89:89,'Cost Phasing'!83:83,O7)</f>
        <v>-3.0111220072100993E-2</v>
      </c>
      <c r="P19" s="258">
        <f>-SUMIFS('Cost Phasing'!89:89,'Cost Phasing'!83:83,P7)</f>
        <v>-0.99983737096412384</v>
      </c>
      <c r="Q19" s="258">
        <f>-SUMIFS('Cost Phasing'!89:89,'Cost Phasing'!83:83,Q7)</f>
        <v>-8.3319780913676991E-2</v>
      </c>
      <c r="R19" s="258">
        <f>-SUMIFS('Cost Phasing'!89:89,'Cost Phasing'!83:83,R7)</f>
        <v>-5.8323846639573886E-2</v>
      </c>
      <c r="S19" s="258">
        <f>-SUMIFS('Cost Phasing'!89:89,'Cost Phasing'!83:83,S7)</f>
        <v>-5.8323846639573886E-2</v>
      </c>
      <c r="T19" s="258">
        <f>-SUMIFS('Cost Phasing'!89:89,'Cost Phasing'!83:83,T7)</f>
        <v>-5.8323846639573886E-2</v>
      </c>
      <c r="U19" s="258">
        <f>-SUMIFS('Cost Phasing'!89:89,'Cost Phasing'!83:83,U7)</f>
        <v>-5.8323846639573886E-2</v>
      </c>
      <c r="V19" s="258">
        <f>-SUMIFS('Cost Phasing'!89:89,'Cost Phasing'!83:83,V7)</f>
        <v>-5.8323846639573886E-2</v>
      </c>
      <c r="W19" s="258">
        <f>-SUMIFS('Cost Phasing'!89:89,'Cost Phasing'!83:83,W7)</f>
        <v>-5.8323846639573886E-2</v>
      </c>
      <c r="X19" s="258">
        <f>-SUMIFS('Cost Phasing'!89:89,'Cost Phasing'!83:83,X7)</f>
        <v>-5.8323846639573886E-2</v>
      </c>
      <c r="Y19" s="258">
        <f>-SUMIFS('Cost Phasing'!89:89,'Cost Phasing'!83:83,Y7)</f>
        <v>-0.47510582286568581</v>
      </c>
      <c r="Z19" s="258">
        <f>-SUMIFS('Cost Phasing'!89:89,'Cost Phasing'!83:83,Z7)</f>
        <v>-9.305567799174988E-2</v>
      </c>
      <c r="AA19" s="258">
        <f>-SUMIFS('Cost Phasing'!89:89,'Cost Phasing'!83:83,AA7)</f>
        <v>-8.2636128586097091E-2</v>
      </c>
      <c r="AB19" s="258">
        <f>-SUMIFS('Cost Phasing'!89:89,'Cost Phasing'!83:83,AB7)</f>
        <v>-2.4312281946523198E-2</v>
      </c>
      <c r="AC19" s="258">
        <f>-SUMIFS('Cost Phasing'!89:89,'Cost Phasing'!83:83,AC7)</f>
        <v>-2.4312281946523198E-2</v>
      </c>
      <c r="AD19" s="258">
        <f>-SUMIFS('Cost Phasing'!89:89,'Cost Phasing'!83:83,AD7)</f>
        <v>-2.4312281946523198E-2</v>
      </c>
      <c r="AE19" s="258">
        <f>-SUMIFS('Cost Phasing'!89:89,'Cost Phasing'!83:83,AE7)</f>
        <v>-2.4312281946523198E-2</v>
      </c>
      <c r="AF19" s="258">
        <f>-SUMIFS('Cost Phasing'!89:89,'Cost Phasing'!83:83,AF7)</f>
        <v>-2.4312281946523198E-2</v>
      </c>
      <c r="AG19" s="258">
        <f>-SUMIFS('Cost Phasing'!89:89,'Cost Phasing'!83:83,AG7)</f>
        <v>-2.4312281946523198E-2</v>
      </c>
      <c r="AH19" s="258">
        <f>-SUMIFS('Cost Phasing'!89:89,'Cost Phasing'!83:83,AH7)</f>
        <v>-0.91844020254132719</v>
      </c>
      <c r="AI19" s="258">
        <f>-SUMIFS('Cost Phasing'!89:89,'Cost Phasing'!83:83,AI7)</f>
        <v>-9.8822941996090194E-2</v>
      </c>
      <c r="AJ19" s="258">
        <f>-SUMIFS('Cost Phasing'!89:89,'Cost Phasing'!83:83,AJ7)</f>
        <v>-7.6469743981220084E-2</v>
      </c>
      <c r="AK19" s="258">
        <f>-SUMIFS('Cost Phasing'!89:89,'Cost Phasing'!83:83,AK7)</f>
        <v>-5.2157462034696893E-2</v>
      </c>
      <c r="AL19" s="258">
        <f>-SUMIFS('Cost Phasing'!89:89,'Cost Phasing'!83:83,AL7)</f>
        <v>-5.2157462034696893E-2</v>
      </c>
      <c r="AM19" s="258">
        <f>-SUMIFS('Cost Phasing'!89:89,'Cost Phasing'!83:83,AM7)</f>
        <v>-5.2157462034696893E-2</v>
      </c>
      <c r="AN19" s="258">
        <f>-SUMIFS('Cost Phasing'!89:89,'Cost Phasing'!83:83,AN7)</f>
        <v>-5.2157462034696893E-2</v>
      </c>
      <c r="AO19" s="258">
        <f>-SUMIFS('Cost Phasing'!89:89,'Cost Phasing'!83:83,AO7)</f>
        <v>-5.2157462034696893E-2</v>
      </c>
      <c r="AP19" s="258">
        <f>-SUMIFS('Cost Phasing'!89:89,'Cost Phasing'!83:83,AP7)</f>
        <v>-5.2157462034696893E-2</v>
      </c>
      <c r="AQ19" s="258">
        <f>-SUMIFS('Cost Phasing'!89:89,'Cost Phasing'!83:83,AQ7)</f>
        <v>-0.23844930621075688</v>
      </c>
      <c r="AR19" s="258">
        <f>-SUMIFS('Cost Phasing'!89:89,'Cost Phasing'!83:83,AR7)</f>
        <v>-7.5443942556704391E-2</v>
      </c>
      <c r="AS19" s="258">
        <f>-SUMIFS('Cost Phasing'!89:89,'Cost Phasing'!83:83,AS7)</f>
        <v>-5.991962220869939E-2</v>
      </c>
      <c r="AT19" s="258">
        <f>-SUMIFS('Cost Phasing'!89:89,'Cost Phasing'!83:83,AT7)</f>
        <v>-7.7621601740024996E-3</v>
      </c>
      <c r="AU19" s="258">
        <f>-SUMIFS('Cost Phasing'!89:89,'Cost Phasing'!83:83,AU7)</f>
        <v>-7.7621601740024996E-3</v>
      </c>
      <c r="AV19" s="258">
        <f>-SUMIFS('Cost Phasing'!89:89,'Cost Phasing'!83:83,AV7)</f>
        <v>-7.7621601740024996E-3</v>
      </c>
      <c r="AW19" s="258">
        <f>-SUMIFS('Cost Phasing'!89:89,'Cost Phasing'!83:83,AW7)</f>
        <v>-7.7621601740024996E-3</v>
      </c>
      <c r="AX19" s="258">
        <f>-SUMIFS('Cost Phasing'!89:89,'Cost Phasing'!83:83,AX7)</f>
        <v>-7.7621601740024996E-3</v>
      </c>
      <c r="AY19" s="258">
        <f>-SUMIFS('Cost Phasing'!89:89,'Cost Phasing'!83:83,AY7)</f>
        <v>-7.7621601740024996E-3</v>
      </c>
      <c r="AZ19" s="258">
        <f>-SUMIFS('Cost Phasing'!89:89,'Cost Phasing'!83:83,AZ7)</f>
        <v>-7.7621601740024996E-3</v>
      </c>
      <c r="BA19" s="258">
        <f>-SUMIFS('Cost Phasing'!89:89,'Cost Phasing'!83:83,BA7)</f>
        <v>-7.7621601740024996E-3</v>
      </c>
      <c r="BB19" s="258">
        <f>-SUMIFS('Cost Phasing'!89:89,'Cost Phasing'!83:83,BB7)</f>
        <v>-7.7621601740024996E-3</v>
      </c>
      <c r="BC19" s="258">
        <f>-SUMIFS('Cost Phasing'!89:89,'Cost Phasing'!83:83,BC7)</f>
        <v>-7.7621601740024996E-3</v>
      </c>
      <c r="BD19" s="258">
        <f>-SUMIFS('Cost Phasing'!89:89,'Cost Phasing'!83:83,BD7)</f>
        <v>-7.7621601740024996E-3</v>
      </c>
      <c r="BE19" s="258">
        <f>-SUMIFS('Cost Phasing'!89:89,'Cost Phasing'!83:83,BE7)</f>
        <v>-7.7621601740024996E-3</v>
      </c>
      <c r="BF19" s="258">
        <f>-SUMIFS('Cost Phasing'!89:89,'Cost Phasing'!83:83,BF7)</f>
        <v>0</v>
      </c>
      <c r="BG19" s="258">
        <f>-SUMIFS('Cost Phasing'!89:89,'Cost Phasing'!83:83,BG7)</f>
        <v>0</v>
      </c>
      <c r="BH19" s="258">
        <f>-SUMIFS('Cost Phasing'!89:89,'Cost Phasing'!83:83,BH7)</f>
        <v>0</v>
      </c>
      <c r="BI19" s="258">
        <f>-SUMIFS('Cost Phasing'!89:89,'Cost Phasing'!83:83,BI7)</f>
        <v>0</v>
      </c>
      <c r="BJ19" s="258">
        <f>-SUMIFS('Cost Phasing'!89:89,'Cost Phasing'!83:83,BJ7)</f>
        <v>0</v>
      </c>
      <c r="BK19" s="258">
        <f>-SUMIFS('Cost Phasing'!89:89,'Cost Phasing'!83:83,BK7)</f>
        <v>0</v>
      </c>
      <c r="BL19" s="258">
        <f>-SUMIFS('Cost Phasing'!89:89,'Cost Phasing'!83:83,BL7)</f>
        <v>0</v>
      </c>
      <c r="BM19" s="258">
        <f>-SUMIFS('Cost Phasing'!89:89,'Cost Phasing'!83:83,BM7)</f>
        <v>0</v>
      </c>
      <c r="BN19" s="258">
        <f>-SUMIFS('Cost Phasing'!89:89,'Cost Phasing'!83:83,BN7)</f>
        <v>0</v>
      </c>
      <c r="BO19" s="258">
        <f>-SUMIFS('Cost Phasing'!89:89,'Cost Phasing'!83:83,BO7)</f>
        <v>0</v>
      </c>
      <c r="BP19" s="258">
        <f>-SUMIFS('Cost Phasing'!89:89,'Cost Phasing'!83:83,BP7)</f>
        <v>0</v>
      </c>
      <c r="BQ19" s="258">
        <f>-SUMIFS('Cost Phasing'!89:89,'Cost Phasing'!83:83,BQ7)</f>
        <v>0</v>
      </c>
      <c r="BR19" s="258">
        <f>-SUMIFS('Cost Phasing'!89:89,'Cost Phasing'!83:83,BR7)</f>
        <v>0</v>
      </c>
      <c r="BS19" s="258">
        <f>-SUMIFS('Cost Phasing'!89:89,'Cost Phasing'!83:83,BS7)</f>
        <v>0</v>
      </c>
      <c r="BT19" s="258">
        <f>-SUMIFS('Cost Phasing'!89:89,'Cost Phasing'!83:83,BT7)</f>
        <v>0</v>
      </c>
      <c r="BU19" s="258">
        <f>-SUMIFS('Cost Phasing'!89:89,'Cost Phasing'!83:83,BU7)</f>
        <v>0</v>
      </c>
      <c r="BV19" s="258">
        <f>-SUMIFS('Cost Phasing'!89:89,'Cost Phasing'!83:83,BV7)</f>
        <v>0</v>
      </c>
      <c r="BW19" s="258">
        <f>-SUMIFS('Cost Phasing'!89:89,'Cost Phasing'!83:83,BW7)</f>
        <v>0</v>
      </c>
      <c r="BX19" s="258">
        <f>-SUMIFS('Cost Phasing'!89:89,'Cost Phasing'!83:83,BX7)</f>
        <v>0</v>
      </c>
      <c r="BY19" s="258">
        <f>-SUMIFS('Cost Phasing'!89:89,'Cost Phasing'!83:83,BY7)</f>
        <v>0</v>
      </c>
      <c r="BZ19" s="258">
        <f>-SUMIFS('Cost Phasing'!89:89,'Cost Phasing'!83:83,BZ7)</f>
        <v>0</v>
      </c>
      <c r="CA19" s="258">
        <f>-SUMIFS('Cost Phasing'!89:89,'Cost Phasing'!83:83,CA7)</f>
        <v>0</v>
      </c>
      <c r="CB19" s="258">
        <f>-SUMIFS('Cost Phasing'!89:89,'Cost Phasing'!83:83,CB7)</f>
        <v>0</v>
      </c>
      <c r="CC19" s="258">
        <f>-SUMIFS('Cost Phasing'!89:89,'Cost Phasing'!83:83,CC7)</f>
        <v>0</v>
      </c>
      <c r="CD19" s="258">
        <f>-SUMIFS('Cost Phasing'!89:89,'Cost Phasing'!83:83,CD7)</f>
        <v>0</v>
      </c>
      <c r="CE19" s="258">
        <f>-SUMIFS('Cost Phasing'!89:89,'Cost Phasing'!83:83,CE7)</f>
        <v>0</v>
      </c>
      <c r="CF19" s="258">
        <f>-SUMIFS('Cost Phasing'!89:89,'Cost Phasing'!83:83,CF7)</f>
        <v>0</v>
      </c>
      <c r="CG19" s="258">
        <f>-SUMIFS('Cost Phasing'!89:89,'Cost Phasing'!83:83,CG7)</f>
        <v>0</v>
      </c>
      <c r="CH19" s="258">
        <f>-SUMIFS('Cost Phasing'!89:89,'Cost Phasing'!83:83,CH7)</f>
        <v>0</v>
      </c>
      <c r="CI19" s="258">
        <f>-SUMIFS('Cost Phasing'!89:89,'Cost Phasing'!83:83,CI7)</f>
        <v>0</v>
      </c>
      <c r="CJ19" s="258">
        <f>-SUMIFS('Cost Phasing'!89:89,'Cost Phasing'!83:83,CJ7)</f>
        <v>0</v>
      </c>
      <c r="CK19" s="258">
        <f>-SUMIFS('Cost Phasing'!89:89,'Cost Phasing'!83:83,CK7)</f>
        <v>0</v>
      </c>
      <c r="CL19" s="258">
        <f>-SUMIFS('Cost Phasing'!89:89,'Cost Phasing'!83:83,CL7)</f>
        <v>0</v>
      </c>
      <c r="CM19" s="258">
        <f>-SUMIFS('Cost Phasing'!89:89,'Cost Phasing'!83:83,CM7)</f>
        <v>0</v>
      </c>
      <c r="CN19" s="258">
        <f>-SUMIFS('Cost Phasing'!89:89,'Cost Phasing'!83:83,CN7)</f>
        <v>0</v>
      </c>
      <c r="CO19" s="258">
        <f>-SUMIFS('Cost Phasing'!89:89,'Cost Phasing'!83:83,CO7)</f>
        <v>0</v>
      </c>
      <c r="CP19" s="258">
        <f>-SUMIFS('Cost Phasing'!89:89,'Cost Phasing'!83:83,CP7)</f>
        <v>0</v>
      </c>
      <c r="CQ19" s="258">
        <f>-SUMIFS('Cost Phasing'!89:89,'Cost Phasing'!83:83,CQ7)</f>
        <v>0</v>
      </c>
      <c r="CR19" s="258">
        <f>-SUMIFS('Cost Phasing'!89:89,'Cost Phasing'!83:83,CR7)</f>
        <v>0</v>
      </c>
      <c r="CS19" s="258">
        <f>-SUMIFS('Cost Phasing'!89:89,'Cost Phasing'!83:83,CS7)</f>
        <v>0</v>
      </c>
      <c r="CT19" s="258">
        <f>-SUMIFS('Cost Phasing'!89:89,'Cost Phasing'!83:83,CT7)</f>
        <v>0</v>
      </c>
      <c r="CU19" s="258">
        <f>-SUMIFS('Cost Phasing'!89:89,'Cost Phasing'!83:83,CU7)</f>
        <v>0</v>
      </c>
      <c r="CV19" s="258">
        <f>-SUMIFS('Cost Phasing'!89:89,'Cost Phasing'!83:83,CV7)</f>
        <v>0</v>
      </c>
      <c r="CW19" s="258">
        <f>-SUMIFS('Cost Phasing'!89:89,'Cost Phasing'!83:83,CW7)</f>
        <v>0</v>
      </c>
      <c r="CX19" s="258">
        <f>-SUMIFS('Cost Phasing'!89:89,'Cost Phasing'!83:83,CX7)</f>
        <v>0</v>
      </c>
      <c r="CY19" s="258">
        <f>-SUMIFS('Cost Phasing'!89:89,'Cost Phasing'!83:83,CY7)</f>
        <v>0</v>
      </c>
      <c r="CZ19" s="258">
        <f>-SUMIFS('Cost Phasing'!89:89,'Cost Phasing'!83:83,CZ7)</f>
        <v>0</v>
      </c>
      <c r="DA19" s="258">
        <f>-SUMIFS('Cost Phasing'!89:89,'Cost Phasing'!83:83,DA7)</f>
        <v>0</v>
      </c>
      <c r="DB19" s="258">
        <f>-SUMIFS('Cost Phasing'!89:89,'Cost Phasing'!83:83,DB7)</f>
        <v>0</v>
      </c>
      <c r="DC19" s="258">
        <f>-SUMIFS('Cost Phasing'!89:89,'Cost Phasing'!83:83,DC7)</f>
        <v>0</v>
      </c>
      <c r="DD19" s="258">
        <f>-SUMIFS('Cost Phasing'!89:89,'Cost Phasing'!83:83,DD7)</f>
        <v>0</v>
      </c>
      <c r="DE19" s="258">
        <f>-SUMIFS('Cost Phasing'!89:89,'Cost Phasing'!83:83,DE7)</f>
        <v>0</v>
      </c>
      <c r="DF19" s="258">
        <f>-SUMIFS('Cost Phasing'!89:89,'Cost Phasing'!83:83,DF7)</f>
        <v>0</v>
      </c>
      <c r="DG19" s="258">
        <f>-SUMIFS('Cost Phasing'!89:89,'Cost Phasing'!83:83,DG7)</f>
        <v>0</v>
      </c>
      <c r="DH19" s="258">
        <f>-SUMIFS('Cost Phasing'!89:89,'Cost Phasing'!83:83,DH7)</f>
        <v>0</v>
      </c>
      <c r="DI19" s="258">
        <f>-SUMIFS('Cost Phasing'!89:89,'Cost Phasing'!83:83,DI7)</f>
        <v>0</v>
      </c>
      <c r="DJ19" s="258">
        <f>-SUMIFS('Cost Phasing'!89:89,'Cost Phasing'!83:83,DJ7)</f>
        <v>0</v>
      </c>
      <c r="DK19" s="258">
        <f>-SUMIFS('Cost Phasing'!89:89,'Cost Phasing'!83:83,DK7)</f>
        <v>0</v>
      </c>
      <c r="DL19" s="258">
        <f>-SUMIFS('Cost Phasing'!89:89,'Cost Phasing'!83:83,DL7)</f>
        <v>0</v>
      </c>
      <c r="DM19" s="258">
        <f>-SUMIFS('Cost Phasing'!89:89,'Cost Phasing'!83:83,DM7)</f>
        <v>0</v>
      </c>
      <c r="DN19" s="258">
        <f>-SUMIFS('Cost Phasing'!89:89,'Cost Phasing'!83:83,DN7)</f>
        <v>0</v>
      </c>
      <c r="DO19" s="258">
        <f>-SUMIFS('Cost Phasing'!89:89,'Cost Phasing'!83:83,DO7)</f>
        <v>0</v>
      </c>
      <c r="DP19" s="258">
        <f>-SUMIFS('Cost Phasing'!89:89,'Cost Phasing'!83:83,DP7)</f>
        <v>0</v>
      </c>
      <c r="DQ19" s="258">
        <f>-SUMIFS('Cost Phasing'!89:89,'Cost Phasing'!83:83,DQ7)</f>
        <v>0</v>
      </c>
      <c r="DR19" s="258">
        <f>-SUMIFS('Cost Phasing'!89:89,'Cost Phasing'!83:83,DR7)</f>
        <v>0</v>
      </c>
      <c r="DS19" s="258">
        <f>-SUMIFS('Cost Phasing'!89:89,'Cost Phasing'!83:83,DS7)</f>
        <v>0</v>
      </c>
      <c r="DT19" s="258">
        <f>-SUMIFS('Cost Phasing'!89:89,'Cost Phasing'!83:83,DT7)</f>
        <v>0</v>
      </c>
      <c r="DU19" s="258">
        <f>-SUMIFS('Cost Phasing'!89:89,'Cost Phasing'!83:83,DU7)</f>
        <v>0</v>
      </c>
      <c r="DV19" s="258">
        <f>-SUMIFS('Cost Phasing'!89:89,'Cost Phasing'!83:83,DV7)</f>
        <v>0</v>
      </c>
      <c r="DW19" s="258">
        <f>-SUMIFS('Cost Phasing'!89:89,'Cost Phasing'!83:83,DW7)</f>
        <v>0</v>
      </c>
      <c r="DX19" s="258">
        <f>-SUMIFS('Cost Phasing'!89:89,'Cost Phasing'!83:83,DX7)</f>
        <v>0</v>
      </c>
      <c r="DY19" s="258">
        <f>-SUMIFS('Cost Phasing'!89:89,'Cost Phasing'!83:83,DY7)</f>
        <v>0</v>
      </c>
      <c r="DZ19" s="258">
        <f>-SUMIFS('Cost Phasing'!89:89,'Cost Phasing'!83:83,DZ7)</f>
        <v>0</v>
      </c>
      <c r="EA19" s="258">
        <f>-SUMIFS('Cost Phasing'!89:89,'Cost Phasing'!83:83,EA7)</f>
        <v>0</v>
      </c>
      <c r="EB19" s="258">
        <f>-SUMIFS('Cost Phasing'!89:89,'Cost Phasing'!83:83,EB7)</f>
        <v>0</v>
      </c>
      <c r="EC19" s="258">
        <f>-SUMIFS('Cost Phasing'!89:89,'Cost Phasing'!83:83,EC7)</f>
        <v>0</v>
      </c>
      <c r="ED19" s="258">
        <f>-SUMIFS('Cost Phasing'!89:89,'Cost Phasing'!83:83,ED7)</f>
        <v>0</v>
      </c>
      <c r="EE19" s="258">
        <f>-SUMIFS('Cost Phasing'!89:89,'Cost Phasing'!83:83,EE7)</f>
        <v>0</v>
      </c>
      <c r="EF19" s="258">
        <f>-SUMIFS('Cost Phasing'!89:89,'Cost Phasing'!83:83,EF7)</f>
        <v>0</v>
      </c>
      <c r="EG19" s="258">
        <f>-SUMIFS('Cost Phasing'!89:89,'Cost Phasing'!83:83,EG7)</f>
        <v>0</v>
      </c>
      <c r="EH19" s="258">
        <f>-SUMIFS('Cost Phasing'!89:89,'Cost Phasing'!83:83,EH7)</f>
        <v>0</v>
      </c>
      <c r="EI19" s="258">
        <f>-SUMIFS('Cost Phasing'!89:89,'Cost Phasing'!83:83,EI7)</f>
        <v>0</v>
      </c>
      <c r="EJ19" s="258">
        <f>-SUMIFS('Cost Phasing'!89:89,'Cost Phasing'!83:83,EJ7)</f>
        <v>0</v>
      </c>
      <c r="EK19" s="258">
        <f>-SUMIFS('Cost Phasing'!89:89,'Cost Phasing'!83:83,EK7)</f>
        <v>0</v>
      </c>
      <c r="EL19" s="258">
        <f>-SUMIFS('Cost Phasing'!89:89,'Cost Phasing'!83:83,EL7)</f>
        <v>0</v>
      </c>
      <c r="EM19" s="258">
        <f>-SUMIFS('Cost Phasing'!89:89,'Cost Phasing'!83:83,EM7)</f>
        <v>0</v>
      </c>
      <c r="EN19" s="258">
        <f>-SUMIFS('Cost Phasing'!89:89,'Cost Phasing'!83:83,EN7)</f>
        <v>0</v>
      </c>
      <c r="EO19" s="258">
        <f>-SUMIFS('Cost Phasing'!89:89,'Cost Phasing'!83:83,EO7)</f>
        <v>0</v>
      </c>
      <c r="EP19" s="258">
        <f>-SUMIFS('Cost Phasing'!89:89,'Cost Phasing'!83:83,EP7)</f>
        <v>0</v>
      </c>
      <c r="EQ19" s="258">
        <f>-SUMIFS('Cost Phasing'!89:89,'Cost Phasing'!83:83,EQ7)</f>
        <v>0</v>
      </c>
      <c r="ER19" s="258">
        <f>-SUMIFS('Cost Phasing'!89:89,'Cost Phasing'!83:83,ER7)</f>
        <v>0</v>
      </c>
      <c r="ES19" s="258">
        <f>-SUMIFS('Cost Phasing'!89:89,'Cost Phasing'!83:83,ES7)</f>
        <v>0</v>
      </c>
      <c r="ET19" s="258">
        <f>-SUMIFS('Cost Phasing'!89:89,'Cost Phasing'!83:83,ET7)</f>
        <v>0</v>
      </c>
      <c r="EU19" s="258">
        <f>-SUMIFS('Cost Phasing'!89:89,'Cost Phasing'!83:83,EU7)</f>
        <v>0</v>
      </c>
      <c r="EV19" s="258">
        <f>-SUMIFS('Cost Phasing'!89:89,'Cost Phasing'!83:83,EV7)</f>
        <v>0</v>
      </c>
      <c r="EW19" s="258">
        <f>-SUMIFS('Cost Phasing'!89:89,'Cost Phasing'!83:83,EW7)</f>
        <v>0</v>
      </c>
      <c r="EX19" s="258">
        <f>-SUMIFS('Cost Phasing'!89:89,'Cost Phasing'!83:83,EX7)</f>
        <v>0</v>
      </c>
      <c r="EY19" s="258">
        <f>-SUMIFS('Cost Phasing'!89:89,'Cost Phasing'!83:83,EY7)</f>
        <v>0</v>
      </c>
      <c r="EZ19" s="258">
        <f>-SUMIFS('Cost Phasing'!89:89,'Cost Phasing'!83:83,EZ7)</f>
        <v>0</v>
      </c>
      <c r="FA19" s="258">
        <f>-SUMIFS('Cost Phasing'!89:89,'Cost Phasing'!83:83,FA7)</f>
        <v>0</v>
      </c>
      <c r="FB19" s="258">
        <f>-SUMIFS('Cost Phasing'!89:89,'Cost Phasing'!83:83,FB7)</f>
        <v>0</v>
      </c>
      <c r="FC19" s="258">
        <f>-SUMIFS('Cost Phasing'!89:89,'Cost Phasing'!83:83,FC7)</f>
        <v>0</v>
      </c>
      <c r="FD19" s="258">
        <f>-SUMIFS('Cost Phasing'!89:89,'Cost Phasing'!83:83,FD7)</f>
        <v>0</v>
      </c>
      <c r="FE19" s="258">
        <f>-SUMIFS('Cost Phasing'!89:89,'Cost Phasing'!83:83,FE7)</f>
        <v>0</v>
      </c>
      <c r="FF19" s="258">
        <f>-SUMIFS('Cost Phasing'!89:89,'Cost Phasing'!83:83,FF7)</f>
        <v>0</v>
      </c>
      <c r="FG19" s="258">
        <f>-SUMIFS('Cost Phasing'!89:89,'Cost Phasing'!83:83,FG7)</f>
        <v>0</v>
      </c>
      <c r="FH19" s="258">
        <f>-SUMIFS('Cost Phasing'!89:89,'Cost Phasing'!83:83,FH7)</f>
        <v>0</v>
      </c>
      <c r="FI19" s="258">
        <f>-SUMIFS('Cost Phasing'!89:89,'Cost Phasing'!83:83,FI7)</f>
        <v>0</v>
      </c>
      <c r="FJ19" s="258">
        <f>-SUMIFS('Cost Phasing'!89:89,'Cost Phasing'!83:83,FJ7)</f>
        <v>0</v>
      </c>
      <c r="FK19" s="258">
        <f>-SUMIFS('Cost Phasing'!89:89,'Cost Phasing'!83:83,FK7)</f>
        <v>0</v>
      </c>
      <c r="FL19" s="258">
        <f>-SUMIFS('Cost Phasing'!89:89,'Cost Phasing'!83:83,FL7)</f>
        <v>0</v>
      </c>
      <c r="FM19" s="258">
        <f>-SUMIFS('Cost Phasing'!89:89,'Cost Phasing'!83:83,FM7)</f>
        <v>0</v>
      </c>
      <c r="FN19" s="258">
        <f>-SUMIFS('Cost Phasing'!89:89,'Cost Phasing'!83:83,FN7)</f>
        <v>0</v>
      </c>
      <c r="FO19" s="258">
        <f>-SUMIFS('Cost Phasing'!89:89,'Cost Phasing'!83:83,FO7)</f>
        <v>0</v>
      </c>
      <c r="FP19" s="258">
        <f>-SUMIFS('Cost Phasing'!89:89,'Cost Phasing'!83:83,FP7)</f>
        <v>0</v>
      </c>
      <c r="FQ19" s="258">
        <f>-SUMIFS('Cost Phasing'!89:89,'Cost Phasing'!83:83,FQ7)</f>
        <v>0</v>
      </c>
      <c r="FR19" s="258">
        <f>-SUMIFS('Cost Phasing'!89:89,'Cost Phasing'!83:83,FR7)</f>
        <v>0</v>
      </c>
      <c r="FS19" s="258">
        <f>-SUMIFS('Cost Phasing'!89:89,'Cost Phasing'!83:83,FS7)</f>
        <v>0</v>
      </c>
      <c r="FT19" s="258">
        <f>-SUMIFS('Cost Phasing'!89:89,'Cost Phasing'!83:83,FT7)</f>
        <v>0</v>
      </c>
      <c r="FU19" s="258">
        <f>-SUMIFS('Cost Phasing'!89:89,'Cost Phasing'!83:83,FU7)</f>
        <v>0</v>
      </c>
      <c r="FV19" s="258">
        <f>-SUMIFS('Cost Phasing'!89:89,'Cost Phasing'!83:83,FV7)</f>
        <v>0</v>
      </c>
      <c r="FW19" s="258">
        <f>-SUMIFS('Cost Phasing'!89:89,'Cost Phasing'!83:83,FW7)</f>
        <v>0</v>
      </c>
      <c r="FX19" s="258">
        <f>-SUMIFS('Cost Phasing'!89:89,'Cost Phasing'!83:83,FX7)</f>
        <v>0</v>
      </c>
      <c r="FY19" s="258">
        <f>-SUMIFS('Cost Phasing'!89:89,'Cost Phasing'!83:83,FY7)</f>
        <v>0</v>
      </c>
      <c r="FZ19" s="258">
        <f>-SUMIFS('Cost Phasing'!89:89,'Cost Phasing'!83:83,FZ7)</f>
        <v>0</v>
      </c>
      <c r="GA19" s="258">
        <f>-SUMIFS('Cost Phasing'!89:89,'Cost Phasing'!83:83,GA7)</f>
        <v>0</v>
      </c>
      <c r="GB19" s="258">
        <f>-SUMIFS('Cost Phasing'!89:89,'Cost Phasing'!83:83,GB7)</f>
        <v>0</v>
      </c>
      <c r="GC19" s="258">
        <f>-SUMIFS('Cost Phasing'!89:89,'Cost Phasing'!83:83,GC7)</f>
        <v>0</v>
      </c>
      <c r="GD19" s="258">
        <f>-SUMIFS('Cost Phasing'!89:89,'Cost Phasing'!83:83,GD7)</f>
        <v>0</v>
      </c>
      <c r="GE19" s="258">
        <f>-SUMIFS('Cost Phasing'!89:89,'Cost Phasing'!83:83,GE7)</f>
        <v>0</v>
      </c>
      <c r="GF19" s="258">
        <f>-SUMIFS('Cost Phasing'!89:89,'Cost Phasing'!83:83,GF7)</f>
        <v>0</v>
      </c>
      <c r="GG19" s="258">
        <f>-SUMIFS('Cost Phasing'!89:89,'Cost Phasing'!83:83,GG7)</f>
        <v>0</v>
      </c>
      <c r="GH19" s="258">
        <f>-SUMIFS('Cost Phasing'!89:89,'Cost Phasing'!83:83,GH7)</f>
        <v>0</v>
      </c>
      <c r="GI19" s="258">
        <f>-SUMIFS('Cost Phasing'!89:89,'Cost Phasing'!83:83,GI7)</f>
        <v>0</v>
      </c>
      <c r="GJ19" s="258">
        <f>-SUMIFS('Cost Phasing'!89:89,'Cost Phasing'!83:83,GJ7)</f>
        <v>0</v>
      </c>
      <c r="GK19" s="258">
        <f>-SUMIFS('Cost Phasing'!89:89,'Cost Phasing'!83:83,GK7)</f>
        <v>0</v>
      </c>
      <c r="GL19" s="258">
        <f>-SUMIFS('Cost Phasing'!89:89,'Cost Phasing'!83:83,GL7)</f>
        <v>0</v>
      </c>
      <c r="GM19" s="258">
        <f>-SUMIFS('Cost Phasing'!89:89,'Cost Phasing'!83:83,GM7)</f>
        <v>0</v>
      </c>
      <c r="GN19" s="258">
        <f>-SUMIFS('Cost Phasing'!89:89,'Cost Phasing'!83:83,GN7)</f>
        <v>0</v>
      </c>
      <c r="GO19" s="258">
        <f>-SUMIFS('Cost Phasing'!89:89,'Cost Phasing'!83:83,GO7)</f>
        <v>0</v>
      </c>
      <c r="GP19" s="258">
        <f>-SUMIFS('Cost Phasing'!89:89,'Cost Phasing'!83:83,GP7)</f>
        <v>0</v>
      </c>
      <c r="GQ19" s="258">
        <f>-SUMIFS('Cost Phasing'!89:89,'Cost Phasing'!83:83,GQ7)</f>
        <v>0</v>
      </c>
      <c r="GR19" s="258">
        <f>-SUMIFS('Cost Phasing'!89:89,'Cost Phasing'!83:83,GR7)</f>
        <v>0</v>
      </c>
      <c r="GS19" s="258">
        <f>-SUMIFS('Cost Phasing'!89:89,'Cost Phasing'!83:83,GS7)</f>
        <v>0</v>
      </c>
      <c r="GT19" s="258">
        <f>-SUMIFS('Cost Phasing'!89:89,'Cost Phasing'!83:83,GT7)</f>
        <v>0</v>
      </c>
      <c r="GU19" s="258">
        <f>-SUMIFS('Cost Phasing'!89:89,'Cost Phasing'!83:83,GU7)</f>
        <v>0</v>
      </c>
      <c r="GV19" s="258">
        <f>-SUMIFS('Cost Phasing'!89:89,'Cost Phasing'!83:83,GV7)</f>
        <v>0</v>
      </c>
      <c r="GW19" s="258">
        <f>-SUMIFS('Cost Phasing'!89:89,'Cost Phasing'!83:83,GW7)</f>
        <v>0</v>
      </c>
      <c r="GX19" s="258">
        <f>-SUMIFS('Cost Phasing'!89:89,'Cost Phasing'!83:83,GX7)</f>
        <v>0</v>
      </c>
      <c r="GY19" s="258">
        <f>-SUMIFS('Cost Phasing'!89:89,'Cost Phasing'!83:83,GY7)</f>
        <v>0</v>
      </c>
      <c r="GZ19" s="258">
        <f>-SUMIFS('Cost Phasing'!89:89,'Cost Phasing'!83:83,GZ7)</f>
        <v>0</v>
      </c>
      <c r="HA19" s="258">
        <f>-SUMIFS('Cost Phasing'!89:89,'Cost Phasing'!83:83,HA7)</f>
        <v>0</v>
      </c>
      <c r="HB19" s="258">
        <f>-SUMIFS('Cost Phasing'!89:89,'Cost Phasing'!83:83,HB7)</f>
        <v>0</v>
      </c>
      <c r="HC19" s="258">
        <f>-SUMIFS('Cost Phasing'!89:89,'Cost Phasing'!83:83,HC7)</f>
        <v>0</v>
      </c>
      <c r="HD19" s="258">
        <f>-SUMIFS('Cost Phasing'!89:89,'Cost Phasing'!83:83,HD7)</f>
        <v>0</v>
      </c>
      <c r="HE19" s="258">
        <f>-SUMIFS('Cost Phasing'!89:89,'Cost Phasing'!83:83,HE7)</f>
        <v>0</v>
      </c>
      <c r="HF19" s="258">
        <f>-SUMIFS('Cost Phasing'!89:89,'Cost Phasing'!83:83,HF7)</f>
        <v>0</v>
      </c>
      <c r="HG19" s="258">
        <f>-SUMIFS('Cost Phasing'!89:89,'Cost Phasing'!83:83,HG7)</f>
        <v>0</v>
      </c>
      <c r="HH19" s="258">
        <f>-SUMIFS('Cost Phasing'!89:89,'Cost Phasing'!83:83,HH7)</f>
        <v>0</v>
      </c>
      <c r="HI19" s="258">
        <f>-SUMIFS('Cost Phasing'!89:89,'Cost Phasing'!83:83,HI7)</f>
        <v>0</v>
      </c>
      <c r="HJ19" s="258">
        <f>-SUMIFS('Cost Phasing'!89:89,'Cost Phasing'!83:83,HJ7)</f>
        <v>0</v>
      </c>
      <c r="HK19" s="258">
        <f>-SUMIFS('Cost Phasing'!89:89,'Cost Phasing'!83:83,HK7)</f>
        <v>0</v>
      </c>
      <c r="HL19" s="258">
        <f>-SUMIFS('Cost Phasing'!89:89,'Cost Phasing'!83:83,HL7)</f>
        <v>0</v>
      </c>
      <c r="HM19" s="258">
        <f>-SUMIFS('Cost Phasing'!89:89,'Cost Phasing'!83:83,HM7)</f>
        <v>0</v>
      </c>
      <c r="HN19" s="258">
        <f>-SUMIFS('Cost Phasing'!89:89,'Cost Phasing'!83:83,HN7)</f>
        <v>0</v>
      </c>
      <c r="HO19" s="258">
        <f>-SUMIFS('Cost Phasing'!89:89,'Cost Phasing'!83:83,HO7)</f>
        <v>0</v>
      </c>
      <c r="HP19" s="258">
        <f>-SUMIFS('Cost Phasing'!89:89,'Cost Phasing'!83:83,HP7)</f>
        <v>0</v>
      </c>
      <c r="HQ19" s="258">
        <f>-SUMIFS('Cost Phasing'!89:89,'Cost Phasing'!83:83,HQ7)</f>
        <v>0</v>
      </c>
      <c r="HR19" s="258">
        <f>-SUMIFS('Cost Phasing'!89:89,'Cost Phasing'!83:83,HR7)</f>
        <v>0</v>
      </c>
      <c r="HS19" s="258">
        <f>-SUMIFS('Cost Phasing'!89:89,'Cost Phasing'!83:83,HS7)</f>
        <v>0</v>
      </c>
      <c r="HT19" s="258">
        <f>-SUMIFS('Cost Phasing'!89:89,'Cost Phasing'!83:83,HT7)</f>
        <v>0</v>
      </c>
      <c r="HU19" s="258">
        <f>-SUMIFS('Cost Phasing'!89:89,'Cost Phasing'!83:83,HU7)</f>
        <v>0</v>
      </c>
      <c r="HV19" s="258">
        <f>-SUMIFS('Cost Phasing'!89:89,'Cost Phasing'!83:83,HV7)</f>
        <v>0</v>
      </c>
      <c r="HW19" s="258">
        <f>-SUMIFS('Cost Phasing'!89:89,'Cost Phasing'!83:83,HW7)</f>
        <v>0</v>
      </c>
      <c r="HX19" s="258">
        <f>-SUMIFS('Cost Phasing'!89:89,'Cost Phasing'!83:83,HX7)</f>
        <v>0</v>
      </c>
      <c r="HY19" s="258">
        <f>-SUMIFS('Cost Phasing'!89:89,'Cost Phasing'!83:83,HY7)</f>
        <v>0</v>
      </c>
      <c r="HZ19" s="258">
        <f>-SUMIFS('Cost Phasing'!89:89,'Cost Phasing'!83:83,HZ7)</f>
        <v>0</v>
      </c>
      <c r="IA19" s="258">
        <f>-SUMIFS('Cost Phasing'!89:89,'Cost Phasing'!83:83,IA7)</f>
        <v>0</v>
      </c>
      <c r="IB19" s="258">
        <f>-SUMIFS('Cost Phasing'!89:89,'Cost Phasing'!83:83,IB7)</f>
        <v>0</v>
      </c>
      <c r="IC19" s="258">
        <f>-SUMIFS('Cost Phasing'!89:89,'Cost Phasing'!83:83,IC7)</f>
        <v>0</v>
      </c>
      <c r="ID19" s="258">
        <f>-SUMIFS('Cost Phasing'!89:89,'Cost Phasing'!83:83,ID7)</f>
        <v>0</v>
      </c>
      <c r="IE19" s="258">
        <f>-SUMIFS('Cost Phasing'!89:89,'Cost Phasing'!83:83,IE7)</f>
        <v>0</v>
      </c>
      <c r="IF19" s="258">
        <f>-SUMIFS('Cost Phasing'!89:89,'Cost Phasing'!83:83,IF7)</f>
        <v>0</v>
      </c>
      <c r="IG19" s="258">
        <f>-SUMIFS('Cost Phasing'!89:89,'Cost Phasing'!83:83,IG7)</f>
        <v>0</v>
      </c>
      <c r="IH19" s="258">
        <f>-SUMIFS('Cost Phasing'!89:89,'Cost Phasing'!83:83,IH7)</f>
        <v>0</v>
      </c>
      <c r="II19" s="258">
        <f>-SUMIFS('Cost Phasing'!89:89,'Cost Phasing'!83:83,II7)</f>
        <v>0</v>
      </c>
      <c r="IJ19" s="258">
        <f>-SUMIFS('Cost Phasing'!89:89,'Cost Phasing'!83:83,IJ7)</f>
        <v>0</v>
      </c>
      <c r="IK19" s="258">
        <f>-SUMIFS('Cost Phasing'!89:89,'Cost Phasing'!83:83,IK7)</f>
        <v>0</v>
      </c>
      <c r="IL19" s="258">
        <f>-SUMIFS('Cost Phasing'!89:89,'Cost Phasing'!83:83,IL7)</f>
        <v>0</v>
      </c>
      <c r="IM19" s="258">
        <f>-SUMIFS('Cost Phasing'!89:89,'Cost Phasing'!83:83,IM7)</f>
        <v>0</v>
      </c>
      <c r="IN19" s="258">
        <f>-SUMIFS('Cost Phasing'!89:89,'Cost Phasing'!83:83,IN7)</f>
        <v>0</v>
      </c>
      <c r="IO19" s="258">
        <f>-SUMIFS('Cost Phasing'!89:89,'Cost Phasing'!83:83,IO7)</f>
        <v>0</v>
      </c>
      <c r="IP19" s="258">
        <f>-SUMIFS('Cost Phasing'!89:89,'Cost Phasing'!83:83,IP7)</f>
        <v>0</v>
      </c>
      <c r="IQ19" s="258">
        <f>-SUMIFS('Cost Phasing'!89:89,'Cost Phasing'!83:83,IQ7)</f>
        <v>0</v>
      </c>
      <c r="IR19" s="258">
        <f>-SUMIFS('Cost Phasing'!89:89,'Cost Phasing'!83:83,IR7)</f>
        <v>0</v>
      </c>
      <c r="IS19" s="258">
        <f>-SUMIFS('Cost Phasing'!89:89,'Cost Phasing'!83:83,IS7)</f>
        <v>0</v>
      </c>
      <c r="IT19" s="258">
        <f>-SUMIFS('Cost Phasing'!89:89,'Cost Phasing'!83:83,IT7)</f>
        <v>0</v>
      </c>
      <c r="IU19" s="258">
        <f>-SUMIFS('Cost Phasing'!89:89,'Cost Phasing'!83:83,IU7)</f>
        <v>0</v>
      </c>
      <c r="IV19" s="258">
        <f>-SUMIFS('Cost Phasing'!89:89,'Cost Phasing'!83:83,IV7)</f>
        <v>0</v>
      </c>
      <c r="IW19" s="258">
        <f>-SUMIFS('Cost Phasing'!89:89,'Cost Phasing'!83:83,IW7)</f>
        <v>0</v>
      </c>
      <c r="IX19" s="258">
        <f>-SUMIFS('Cost Phasing'!89:89,'Cost Phasing'!83:83,IX7)</f>
        <v>0</v>
      </c>
      <c r="IY19" s="258">
        <f>-SUMIFS('Cost Phasing'!89:89,'Cost Phasing'!83:83,IY7)</f>
        <v>0</v>
      </c>
      <c r="IZ19" s="258">
        <f>-SUMIFS('Cost Phasing'!89:89,'Cost Phasing'!83:83,IZ7)</f>
        <v>0</v>
      </c>
      <c r="JA19" s="258">
        <f>-SUMIFS('Cost Phasing'!89:89,'Cost Phasing'!83:83,JA7)</f>
        <v>0</v>
      </c>
      <c r="JB19" s="258">
        <f>-SUMIFS('Cost Phasing'!89:89,'Cost Phasing'!83:83,JB7)</f>
        <v>0</v>
      </c>
      <c r="JC19" s="258">
        <f>-SUMIFS('Cost Phasing'!89:89,'Cost Phasing'!83:83,JC7)</f>
        <v>0</v>
      </c>
      <c r="JD19" s="258">
        <f>-SUMIFS('Cost Phasing'!89:89,'Cost Phasing'!83:83,JD7)</f>
        <v>0</v>
      </c>
      <c r="JE19" s="258">
        <f>-SUMIFS('Cost Phasing'!89:89,'Cost Phasing'!83:83,JE7)</f>
        <v>0</v>
      </c>
      <c r="JF19" s="258">
        <f>-SUMIFS('Cost Phasing'!89:89,'Cost Phasing'!83:83,JF7)</f>
        <v>0</v>
      </c>
      <c r="JG19" s="258">
        <f>-SUMIFS('Cost Phasing'!89:89,'Cost Phasing'!83:83,JG7)</f>
        <v>0</v>
      </c>
      <c r="JH19" s="258">
        <f>-SUMIFS('Cost Phasing'!89:89,'Cost Phasing'!83:83,JH7)</f>
        <v>0</v>
      </c>
      <c r="JI19" s="258">
        <f>-SUMIFS('Cost Phasing'!89:89,'Cost Phasing'!83:83,JI7)</f>
        <v>0</v>
      </c>
      <c r="JJ19" s="258">
        <f>-SUMIFS('Cost Phasing'!89:89,'Cost Phasing'!83:83,JJ7)</f>
        <v>0</v>
      </c>
      <c r="JK19" s="258">
        <f>-SUMIFS('Cost Phasing'!89:89,'Cost Phasing'!83:83,JK7)</f>
        <v>0</v>
      </c>
      <c r="JL19" s="258">
        <f>-SUMIFS('Cost Phasing'!89:89,'Cost Phasing'!83:83,JL7)</f>
        <v>0</v>
      </c>
      <c r="JM19" s="258">
        <f>-SUMIFS('Cost Phasing'!89:89,'Cost Phasing'!83:83,JM7)</f>
        <v>0</v>
      </c>
      <c r="JN19" s="258">
        <f>-SUMIFS('Cost Phasing'!89:89,'Cost Phasing'!83:83,JN7)</f>
        <v>0</v>
      </c>
      <c r="JO19" s="258">
        <f>-SUMIFS('Cost Phasing'!89:89,'Cost Phasing'!83:83,JO7)</f>
        <v>0</v>
      </c>
      <c r="JP19" s="258">
        <f>-SUMIFS('Cost Phasing'!89:89,'Cost Phasing'!83:83,JP7)</f>
        <v>0</v>
      </c>
      <c r="JQ19" s="258">
        <f>-SUMIFS('Cost Phasing'!89:89,'Cost Phasing'!83:83,JQ7)</f>
        <v>0</v>
      </c>
      <c r="JR19" s="258">
        <f>-SUMIFS('Cost Phasing'!89:89,'Cost Phasing'!83:83,JR7)</f>
        <v>0</v>
      </c>
      <c r="JS19" s="258">
        <f>-SUMIFS('Cost Phasing'!89:89,'Cost Phasing'!83:83,JS7)</f>
        <v>0</v>
      </c>
      <c r="JT19" s="258">
        <f>-SUMIFS('Cost Phasing'!89:89,'Cost Phasing'!83:83,JT7)</f>
        <v>0</v>
      </c>
      <c r="JU19" s="258">
        <f>-SUMIFS('Cost Phasing'!89:89,'Cost Phasing'!83:83,JU7)</f>
        <v>0</v>
      </c>
      <c r="JV19" s="258">
        <f>-SUMIFS('Cost Phasing'!89:89,'Cost Phasing'!83:83,JV7)</f>
        <v>0</v>
      </c>
      <c r="JW19" s="258">
        <f>-SUMIFS('Cost Phasing'!89:89,'Cost Phasing'!83:83,JW7)</f>
        <v>0</v>
      </c>
      <c r="JX19" s="258">
        <f>-SUMIFS('Cost Phasing'!89:89,'Cost Phasing'!83:83,JX7)</f>
        <v>0</v>
      </c>
      <c r="JY19" s="258">
        <f>-SUMIFS('Cost Phasing'!89:89,'Cost Phasing'!83:83,JY7)</f>
        <v>0</v>
      </c>
      <c r="JZ19" s="258">
        <f>-SUMIFS('Cost Phasing'!89:89,'Cost Phasing'!83:83,JZ7)</f>
        <v>0</v>
      </c>
      <c r="KA19" s="258">
        <f>-SUMIFS('Cost Phasing'!89:89,'Cost Phasing'!83:83,KA7)</f>
        <v>0</v>
      </c>
      <c r="KB19" s="258">
        <f>-SUMIFS('Cost Phasing'!89:89,'Cost Phasing'!83:83,KB7)</f>
        <v>0</v>
      </c>
      <c r="KC19" s="265">
        <f t="shared" si="432"/>
        <v>-5.0220524267570994</v>
      </c>
    </row>
    <row r="20" spans="1:289" x14ac:dyDescent="0.3">
      <c r="A20" s="1" t="s">
        <v>263</v>
      </c>
      <c r="B20" s="257">
        <f t="shared" si="431"/>
        <v>-18.414192231442694</v>
      </c>
      <c r="C20" s="258">
        <f>-SUMIFS('Cost Phasing'!57:57,'Cost Phasing'!51:51,C7)</f>
        <v>0</v>
      </c>
      <c r="D20" s="258">
        <f>-SUMIFS('Cost Phasing'!57:57,'Cost Phasing'!51:51,D7)</f>
        <v>-0.31545087694581991</v>
      </c>
      <c r="E20" s="258">
        <f>-SUMIFS('Cost Phasing'!57:57,'Cost Phasing'!51:51,E7)</f>
        <v>-0.31545087694581991</v>
      </c>
      <c r="F20" s="258">
        <f>-SUMIFS('Cost Phasing'!57:57,'Cost Phasing'!51:51,F7)</f>
        <v>-0.25236070155665596</v>
      </c>
      <c r="G20" s="258">
        <f>-SUMIFS('Cost Phasing'!57:57,'Cost Phasing'!51:51,G7)</f>
        <v>-0.25236070155665596</v>
      </c>
      <c r="H20" s="258">
        <f>-SUMIFS('Cost Phasing'!57:57,'Cost Phasing'!51:51,H7)</f>
        <v>-0.25236070155665596</v>
      </c>
      <c r="I20" s="258">
        <f>-SUMIFS('Cost Phasing'!57:57,'Cost Phasing'!51:51,I7)</f>
        <v>-0.25236070155665596</v>
      </c>
      <c r="J20" s="258">
        <f>-SUMIFS('Cost Phasing'!57:57,'Cost Phasing'!51:51,J7)</f>
        <v>-0.25236070155665596</v>
      </c>
      <c r="K20" s="258">
        <f>-SUMIFS('Cost Phasing'!57:57,'Cost Phasing'!51:51,K7)</f>
        <v>-0.25236070155665596</v>
      </c>
      <c r="L20" s="258">
        <f>-SUMIFS('Cost Phasing'!57:57,'Cost Phasing'!51:51,L7)</f>
        <v>-0.25236070155665596</v>
      </c>
      <c r="M20" s="258">
        <f>-SUMIFS('Cost Phasing'!57:57,'Cost Phasing'!51:51,M7)</f>
        <v>-0.25236070155665596</v>
      </c>
      <c r="N20" s="258">
        <f>-SUMIFS('Cost Phasing'!57:57,'Cost Phasing'!51:51,N7)</f>
        <v>-0.25236070155665596</v>
      </c>
      <c r="O20" s="258">
        <f>-SUMIFS('Cost Phasing'!57:57,'Cost Phasing'!51:51,O7)</f>
        <v>-0.25236070155665596</v>
      </c>
      <c r="P20" s="258">
        <f>-SUMIFS('Cost Phasing'!57:57,'Cost Phasing'!51:51,P7)</f>
        <v>-0.6110117267002978</v>
      </c>
      <c r="Q20" s="258">
        <f>-SUMIFS('Cost Phasing'!57:57,'Cost Phasing'!51:51,Q7)</f>
        <v>-0.6110117267002978</v>
      </c>
      <c r="R20" s="258">
        <f>-SUMIFS('Cost Phasing'!57:57,'Cost Phasing'!51:51,R7)</f>
        <v>-0.48880938136023833</v>
      </c>
      <c r="S20" s="258">
        <f>-SUMIFS('Cost Phasing'!57:57,'Cost Phasing'!51:51,S7)</f>
        <v>-0.48880938136023833</v>
      </c>
      <c r="T20" s="258">
        <f>-SUMIFS('Cost Phasing'!57:57,'Cost Phasing'!51:51,T7)</f>
        <v>-0.48880938136023833</v>
      </c>
      <c r="U20" s="258">
        <f>-SUMIFS('Cost Phasing'!57:57,'Cost Phasing'!51:51,U7)</f>
        <v>-0.48880938136023833</v>
      </c>
      <c r="V20" s="258">
        <f>-SUMIFS('Cost Phasing'!57:57,'Cost Phasing'!51:51,V7)</f>
        <v>-0.48880938136023833</v>
      </c>
      <c r="W20" s="258">
        <f>-SUMIFS('Cost Phasing'!57:57,'Cost Phasing'!51:51,W7)</f>
        <v>-0.48880938136023833</v>
      </c>
      <c r="X20" s="258">
        <f>-SUMIFS('Cost Phasing'!57:57,'Cost Phasing'!51:51,X7)</f>
        <v>-0.48880938136023833</v>
      </c>
      <c r="Y20" s="258">
        <f>-SUMIFS('Cost Phasing'!57:57,'Cost Phasing'!51:51,Y7)</f>
        <v>-0.74350947794286226</v>
      </c>
      <c r="Z20" s="258">
        <f>-SUMIFS('Cost Phasing'!57:57,'Cost Phasing'!51:51,Z7)</f>
        <v>-0.74350947794286226</v>
      </c>
      <c r="AA20" s="258">
        <f>-SUMIFS('Cost Phasing'!57:57,'Cost Phasing'!51:51,AA7)</f>
        <v>-0.69256945862633745</v>
      </c>
      <c r="AB20" s="258">
        <f>-SUMIFS('Cost Phasing'!57:57,'Cost Phasing'!51:51,AB7)</f>
        <v>-0.20376007726609915</v>
      </c>
      <c r="AC20" s="258">
        <f>-SUMIFS('Cost Phasing'!57:57,'Cost Phasing'!51:51,AC7)</f>
        <v>-0.20376007726609915</v>
      </c>
      <c r="AD20" s="258">
        <f>-SUMIFS('Cost Phasing'!57:57,'Cost Phasing'!51:51,AD7)</f>
        <v>-0.20376007726609915</v>
      </c>
      <c r="AE20" s="258">
        <f>-SUMIFS('Cost Phasing'!57:57,'Cost Phasing'!51:51,AE7)</f>
        <v>-0.20376007726609915</v>
      </c>
      <c r="AF20" s="258">
        <f>-SUMIFS('Cost Phasing'!57:57,'Cost Phasing'!51:51,AF7)</f>
        <v>-0.20376007726609915</v>
      </c>
      <c r="AG20" s="258">
        <f>-SUMIFS('Cost Phasing'!57:57,'Cost Phasing'!51:51,AG7)</f>
        <v>-0.20376007726609915</v>
      </c>
      <c r="AH20" s="258">
        <f>-SUMIFS('Cost Phasing'!57:57,'Cost Phasing'!51:51,AH7)</f>
        <v>-0.75017158429625708</v>
      </c>
      <c r="AI20" s="258">
        <f>-SUMIFS('Cost Phasing'!57:57,'Cost Phasing'!51:51,AI7)</f>
        <v>-0.75017158429625708</v>
      </c>
      <c r="AJ20" s="258">
        <f>-SUMIFS('Cost Phasing'!57:57,'Cost Phasing'!51:51,AJ7)</f>
        <v>-0.64088928289022551</v>
      </c>
      <c r="AK20" s="258">
        <f>-SUMIFS('Cost Phasing'!57:57,'Cost Phasing'!51:51,AK7)</f>
        <v>-0.43712920562412638</v>
      </c>
      <c r="AL20" s="258">
        <f>-SUMIFS('Cost Phasing'!57:57,'Cost Phasing'!51:51,AL7)</f>
        <v>-0.43712920562412638</v>
      </c>
      <c r="AM20" s="258">
        <f>-SUMIFS('Cost Phasing'!57:57,'Cost Phasing'!51:51,AM7)</f>
        <v>-0.43712920562412638</v>
      </c>
      <c r="AN20" s="258">
        <f>-SUMIFS('Cost Phasing'!57:57,'Cost Phasing'!51:51,AN7)</f>
        <v>-0.43712920562412638</v>
      </c>
      <c r="AO20" s="258">
        <f>-SUMIFS('Cost Phasing'!57:57,'Cost Phasing'!51:51,AO7)</f>
        <v>-0.43712920562412638</v>
      </c>
      <c r="AP20" s="258">
        <f>-SUMIFS('Cost Phasing'!57:57,'Cost Phasing'!51:51,AP7)</f>
        <v>-0.43712920562412638</v>
      </c>
      <c r="AQ20" s="258">
        <f>-SUMIFS('Cost Phasing'!57:57,'Cost Phasing'!51:51,AQ7)</f>
        <v>-0.51302588288103967</v>
      </c>
      <c r="AR20" s="258">
        <f>-SUMIFS('Cost Phasing'!57:57,'Cost Phasing'!51:51,AR7)</f>
        <v>-0.51302588288103967</v>
      </c>
      <c r="AS20" s="258">
        <f>-SUMIFS('Cost Phasing'!57:57,'Cost Phasing'!51:51,AS7)</f>
        <v>-0.51302588288103967</v>
      </c>
      <c r="AT20" s="258">
        <f>-SUMIFS('Cost Phasing'!57:57,'Cost Phasing'!51:51,AT7)</f>
        <v>-7.589667725691332E-2</v>
      </c>
      <c r="AU20" s="258">
        <f>-SUMIFS('Cost Phasing'!57:57,'Cost Phasing'!51:51,AU7)</f>
        <v>-7.589667725691332E-2</v>
      </c>
      <c r="AV20" s="258">
        <f>-SUMIFS('Cost Phasing'!57:57,'Cost Phasing'!51:51,AV7)</f>
        <v>-7.589667725691332E-2</v>
      </c>
      <c r="AW20" s="258">
        <f>-SUMIFS('Cost Phasing'!57:57,'Cost Phasing'!51:51,AW7)</f>
        <v>-7.589667725691332E-2</v>
      </c>
      <c r="AX20" s="258">
        <f>-SUMIFS('Cost Phasing'!57:57,'Cost Phasing'!51:51,AX7)</f>
        <v>-7.589667725691332E-2</v>
      </c>
      <c r="AY20" s="258">
        <f>-SUMIFS('Cost Phasing'!57:57,'Cost Phasing'!51:51,AY7)</f>
        <v>-7.589667725691332E-2</v>
      </c>
      <c r="AZ20" s="258">
        <f>-SUMIFS('Cost Phasing'!57:57,'Cost Phasing'!51:51,AZ7)</f>
        <v>-7.589667725691332E-2</v>
      </c>
      <c r="BA20" s="258">
        <f>-SUMIFS('Cost Phasing'!57:57,'Cost Phasing'!51:51,BA7)</f>
        <v>-7.589667725691332E-2</v>
      </c>
      <c r="BB20" s="258">
        <f>-SUMIFS('Cost Phasing'!57:57,'Cost Phasing'!51:51,BB7)</f>
        <v>-7.589667725691332E-2</v>
      </c>
      <c r="BC20" s="258">
        <f>-SUMIFS('Cost Phasing'!57:57,'Cost Phasing'!51:51,BC7)</f>
        <v>-7.589667725691332E-2</v>
      </c>
      <c r="BD20" s="258">
        <f>-SUMIFS('Cost Phasing'!57:57,'Cost Phasing'!51:51,BD7)</f>
        <v>-7.589667725691332E-2</v>
      </c>
      <c r="BE20" s="258">
        <f>-SUMIFS('Cost Phasing'!57:57,'Cost Phasing'!51:51,BE7)</f>
        <v>-7.589667725691332E-2</v>
      </c>
      <c r="BF20" s="258">
        <f>-SUMIFS('Cost Phasing'!57:57,'Cost Phasing'!51:51,BF7)</f>
        <v>0</v>
      </c>
      <c r="BG20" s="258">
        <f>-SUMIFS('Cost Phasing'!57:57,'Cost Phasing'!51:51,BG7)</f>
        <v>0</v>
      </c>
      <c r="BH20" s="258">
        <f>-SUMIFS('Cost Phasing'!57:57,'Cost Phasing'!51:51,BH7)</f>
        <v>0</v>
      </c>
      <c r="BI20" s="258">
        <f>-SUMIFS('Cost Phasing'!57:57,'Cost Phasing'!51:51,BI7)</f>
        <v>0</v>
      </c>
      <c r="BJ20" s="258">
        <f>-SUMIFS('Cost Phasing'!57:57,'Cost Phasing'!51:51,BJ7)</f>
        <v>0</v>
      </c>
      <c r="BK20" s="258">
        <f>-SUMIFS('Cost Phasing'!57:57,'Cost Phasing'!51:51,BK7)</f>
        <v>0</v>
      </c>
      <c r="BL20" s="258">
        <f>-SUMIFS('Cost Phasing'!57:57,'Cost Phasing'!51:51,BL7)</f>
        <v>0</v>
      </c>
      <c r="BM20" s="258">
        <f>-SUMIFS('Cost Phasing'!57:57,'Cost Phasing'!51:51,BM7)</f>
        <v>0</v>
      </c>
      <c r="BN20" s="258">
        <f>-SUMIFS('Cost Phasing'!57:57,'Cost Phasing'!51:51,BN7)</f>
        <v>0</v>
      </c>
      <c r="BO20" s="258">
        <f>-SUMIFS('Cost Phasing'!57:57,'Cost Phasing'!51:51,BO7)</f>
        <v>0</v>
      </c>
      <c r="BP20" s="258">
        <f>-SUMIFS('Cost Phasing'!57:57,'Cost Phasing'!51:51,BP7)</f>
        <v>0</v>
      </c>
      <c r="BQ20" s="258">
        <f>-SUMIFS('Cost Phasing'!57:57,'Cost Phasing'!51:51,BQ7)</f>
        <v>0</v>
      </c>
      <c r="BR20" s="258">
        <f>-SUMIFS('Cost Phasing'!57:57,'Cost Phasing'!51:51,BR7)</f>
        <v>0</v>
      </c>
      <c r="BS20" s="258">
        <f>-SUMIFS('Cost Phasing'!57:57,'Cost Phasing'!51:51,BS7)</f>
        <v>0</v>
      </c>
      <c r="BT20" s="258">
        <f>-SUMIFS('Cost Phasing'!57:57,'Cost Phasing'!51:51,BT7)</f>
        <v>0</v>
      </c>
      <c r="BU20" s="258">
        <f>-SUMIFS('Cost Phasing'!57:57,'Cost Phasing'!51:51,BU7)</f>
        <v>0</v>
      </c>
      <c r="BV20" s="258">
        <f>-SUMIFS('Cost Phasing'!57:57,'Cost Phasing'!51:51,BV7)</f>
        <v>0</v>
      </c>
      <c r="BW20" s="258">
        <f>-SUMIFS('Cost Phasing'!57:57,'Cost Phasing'!51:51,BW7)</f>
        <v>0</v>
      </c>
      <c r="BX20" s="258">
        <f>-SUMIFS('Cost Phasing'!57:57,'Cost Phasing'!51:51,BX7)</f>
        <v>0</v>
      </c>
      <c r="BY20" s="258">
        <f>-SUMIFS('Cost Phasing'!57:57,'Cost Phasing'!51:51,BY7)</f>
        <v>0</v>
      </c>
      <c r="BZ20" s="258">
        <f>-SUMIFS('Cost Phasing'!57:57,'Cost Phasing'!51:51,BZ7)</f>
        <v>0</v>
      </c>
      <c r="CA20" s="258">
        <f>-SUMIFS('Cost Phasing'!57:57,'Cost Phasing'!51:51,CA7)</f>
        <v>0</v>
      </c>
      <c r="CB20" s="258">
        <f>-SUMIFS('Cost Phasing'!57:57,'Cost Phasing'!51:51,CB7)</f>
        <v>0</v>
      </c>
      <c r="CC20" s="258">
        <f>-SUMIFS('Cost Phasing'!57:57,'Cost Phasing'!51:51,CC7)</f>
        <v>0</v>
      </c>
      <c r="CD20" s="258">
        <f>-SUMIFS('Cost Phasing'!57:57,'Cost Phasing'!51:51,CD7)</f>
        <v>0</v>
      </c>
      <c r="CE20" s="258">
        <f>-SUMIFS('Cost Phasing'!57:57,'Cost Phasing'!51:51,CE7)</f>
        <v>0</v>
      </c>
      <c r="CF20" s="258">
        <f>-SUMIFS('Cost Phasing'!57:57,'Cost Phasing'!51:51,CF7)</f>
        <v>0</v>
      </c>
      <c r="CG20" s="258">
        <f>-SUMIFS('Cost Phasing'!57:57,'Cost Phasing'!51:51,CG7)</f>
        <v>0</v>
      </c>
      <c r="CH20" s="258">
        <f>-SUMIFS('Cost Phasing'!57:57,'Cost Phasing'!51:51,CH7)</f>
        <v>0</v>
      </c>
      <c r="CI20" s="258">
        <f>-SUMIFS('Cost Phasing'!57:57,'Cost Phasing'!51:51,CI7)</f>
        <v>0</v>
      </c>
      <c r="CJ20" s="258">
        <f>-SUMIFS('Cost Phasing'!57:57,'Cost Phasing'!51:51,CJ7)</f>
        <v>0</v>
      </c>
      <c r="CK20" s="258">
        <f>-SUMIFS('Cost Phasing'!57:57,'Cost Phasing'!51:51,CK7)</f>
        <v>0</v>
      </c>
      <c r="CL20" s="258">
        <f>-SUMIFS('Cost Phasing'!57:57,'Cost Phasing'!51:51,CL7)</f>
        <v>0</v>
      </c>
      <c r="CM20" s="258">
        <f>-SUMIFS('Cost Phasing'!57:57,'Cost Phasing'!51:51,CM7)</f>
        <v>0</v>
      </c>
      <c r="CN20" s="258">
        <f>-SUMIFS('Cost Phasing'!57:57,'Cost Phasing'!51:51,CN7)</f>
        <v>0</v>
      </c>
      <c r="CO20" s="258">
        <f>-SUMIFS('Cost Phasing'!57:57,'Cost Phasing'!51:51,CO7)</f>
        <v>0</v>
      </c>
      <c r="CP20" s="258">
        <f>-SUMIFS('Cost Phasing'!57:57,'Cost Phasing'!51:51,CP7)</f>
        <v>0</v>
      </c>
      <c r="CQ20" s="258">
        <f>-SUMIFS('Cost Phasing'!57:57,'Cost Phasing'!51:51,CQ7)</f>
        <v>0</v>
      </c>
      <c r="CR20" s="258">
        <f>-SUMIFS('Cost Phasing'!57:57,'Cost Phasing'!51:51,CR7)</f>
        <v>0</v>
      </c>
      <c r="CS20" s="258">
        <f>-SUMIFS('Cost Phasing'!57:57,'Cost Phasing'!51:51,CS7)</f>
        <v>0</v>
      </c>
      <c r="CT20" s="258">
        <f>-SUMIFS('Cost Phasing'!57:57,'Cost Phasing'!51:51,CT7)</f>
        <v>0</v>
      </c>
      <c r="CU20" s="258">
        <f>-SUMIFS('Cost Phasing'!57:57,'Cost Phasing'!51:51,CU7)</f>
        <v>0</v>
      </c>
      <c r="CV20" s="258">
        <f>-SUMIFS('Cost Phasing'!57:57,'Cost Phasing'!51:51,CV7)</f>
        <v>0</v>
      </c>
      <c r="CW20" s="258">
        <f>-SUMIFS('Cost Phasing'!57:57,'Cost Phasing'!51:51,CW7)</f>
        <v>0</v>
      </c>
      <c r="CX20" s="258">
        <f>-SUMIFS('Cost Phasing'!57:57,'Cost Phasing'!51:51,CX7)</f>
        <v>0</v>
      </c>
      <c r="CY20" s="258">
        <f>-SUMIFS('Cost Phasing'!57:57,'Cost Phasing'!51:51,CY7)</f>
        <v>0</v>
      </c>
      <c r="CZ20" s="258">
        <f>-SUMIFS('Cost Phasing'!57:57,'Cost Phasing'!51:51,CZ7)</f>
        <v>0</v>
      </c>
      <c r="DA20" s="258">
        <f>-SUMIFS('Cost Phasing'!57:57,'Cost Phasing'!51:51,DA7)</f>
        <v>0</v>
      </c>
      <c r="DB20" s="258">
        <f>-SUMIFS('Cost Phasing'!57:57,'Cost Phasing'!51:51,DB7)</f>
        <v>0</v>
      </c>
      <c r="DC20" s="258">
        <f>-SUMIFS('Cost Phasing'!57:57,'Cost Phasing'!51:51,DC7)</f>
        <v>0</v>
      </c>
      <c r="DD20" s="258">
        <f>-SUMIFS('Cost Phasing'!57:57,'Cost Phasing'!51:51,DD7)</f>
        <v>0</v>
      </c>
      <c r="DE20" s="258">
        <f>-SUMIFS('Cost Phasing'!57:57,'Cost Phasing'!51:51,DE7)</f>
        <v>0</v>
      </c>
      <c r="DF20" s="258">
        <f>-SUMIFS('Cost Phasing'!57:57,'Cost Phasing'!51:51,DF7)</f>
        <v>0</v>
      </c>
      <c r="DG20" s="258">
        <f>-SUMIFS('Cost Phasing'!57:57,'Cost Phasing'!51:51,DG7)</f>
        <v>0</v>
      </c>
      <c r="DH20" s="258">
        <f>-SUMIFS('Cost Phasing'!57:57,'Cost Phasing'!51:51,DH7)</f>
        <v>0</v>
      </c>
      <c r="DI20" s="258">
        <f>-SUMIFS('Cost Phasing'!57:57,'Cost Phasing'!51:51,DI7)</f>
        <v>0</v>
      </c>
      <c r="DJ20" s="258">
        <f>-SUMIFS('Cost Phasing'!57:57,'Cost Phasing'!51:51,DJ7)</f>
        <v>0</v>
      </c>
      <c r="DK20" s="258">
        <f>-SUMIFS('Cost Phasing'!57:57,'Cost Phasing'!51:51,DK7)</f>
        <v>0</v>
      </c>
      <c r="DL20" s="258">
        <f>-SUMIFS('Cost Phasing'!57:57,'Cost Phasing'!51:51,DL7)</f>
        <v>0</v>
      </c>
      <c r="DM20" s="258">
        <f>-SUMIFS('Cost Phasing'!57:57,'Cost Phasing'!51:51,DM7)</f>
        <v>0</v>
      </c>
      <c r="DN20" s="258">
        <f>-SUMIFS('Cost Phasing'!57:57,'Cost Phasing'!51:51,DN7)</f>
        <v>0</v>
      </c>
      <c r="DO20" s="258">
        <f>-SUMIFS('Cost Phasing'!57:57,'Cost Phasing'!51:51,DO7)</f>
        <v>0</v>
      </c>
      <c r="DP20" s="258">
        <f>-SUMIFS('Cost Phasing'!57:57,'Cost Phasing'!51:51,DP7)</f>
        <v>0</v>
      </c>
      <c r="DQ20" s="258">
        <f>-SUMIFS('Cost Phasing'!57:57,'Cost Phasing'!51:51,DQ7)</f>
        <v>0</v>
      </c>
      <c r="DR20" s="258">
        <f>-SUMIFS('Cost Phasing'!57:57,'Cost Phasing'!51:51,DR7)</f>
        <v>0</v>
      </c>
      <c r="DS20" s="258">
        <f>-SUMIFS('Cost Phasing'!57:57,'Cost Phasing'!51:51,DS7)</f>
        <v>0</v>
      </c>
      <c r="DT20" s="258">
        <f>-SUMIFS('Cost Phasing'!57:57,'Cost Phasing'!51:51,DT7)</f>
        <v>0</v>
      </c>
      <c r="DU20" s="258">
        <f>-SUMIFS('Cost Phasing'!57:57,'Cost Phasing'!51:51,DU7)</f>
        <v>0</v>
      </c>
      <c r="DV20" s="258">
        <f>-SUMIFS('Cost Phasing'!57:57,'Cost Phasing'!51:51,DV7)</f>
        <v>0</v>
      </c>
      <c r="DW20" s="258">
        <f>-SUMIFS('Cost Phasing'!57:57,'Cost Phasing'!51:51,DW7)</f>
        <v>0</v>
      </c>
      <c r="DX20" s="258">
        <f>-SUMIFS('Cost Phasing'!57:57,'Cost Phasing'!51:51,DX7)</f>
        <v>0</v>
      </c>
      <c r="DY20" s="258">
        <f>-SUMIFS('Cost Phasing'!57:57,'Cost Phasing'!51:51,DY7)</f>
        <v>0</v>
      </c>
      <c r="DZ20" s="258">
        <f>-SUMIFS('Cost Phasing'!57:57,'Cost Phasing'!51:51,DZ7)</f>
        <v>0</v>
      </c>
      <c r="EA20" s="258">
        <f>-SUMIFS('Cost Phasing'!57:57,'Cost Phasing'!51:51,EA7)</f>
        <v>0</v>
      </c>
      <c r="EB20" s="258">
        <f>-SUMIFS('Cost Phasing'!57:57,'Cost Phasing'!51:51,EB7)</f>
        <v>0</v>
      </c>
      <c r="EC20" s="258">
        <f>-SUMIFS('Cost Phasing'!57:57,'Cost Phasing'!51:51,EC7)</f>
        <v>0</v>
      </c>
      <c r="ED20" s="258">
        <f>-SUMIFS('Cost Phasing'!57:57,'Cost Phasing'!51:51,ED7)</f>
        <v>0</v>
      </c>
      <c r="EE20" s="258">
        <f>-SUMIFS('Cost Phasing'!57:57,'Cost Phasing'!51:51,EE7)</f>
        <v>0</v>
      </c>
      <c r="EF20" s="258">
        <f>-SUMIFS('Cost Phasing'!57:57,'Cost Phasing'!51:51,EF7)</f>
        <v>0</v>
      </c>
      <c r="EG20" s="258">
        <f>-SUMIFS('Cost Phasing'!57:57,'Cost Phasing'!51:51,EG7)</f>
        <v>0</v>
      </c>
      <c r="EH20" s="258">
        <f>-SUMIFS('Cost Phasing'!57:57,'Cost Phasing'!51:51,EH7)</f>
        <v>0</v>
      </c>
      <c r="EI20" s="258">
        <f>-SUMIFS('Cost Phasing'!57:57,'Cost Phasing'!51:51,EI7)</f>
        <v>0</v>
      </c>
      <c r="EJ20" s="258">
        <f>-SUMIFS('Cost Phasing'!57:57,'Cost Phasing'!51:51,EJ7)</f>
        <v>0</v>
      </c>
      <c r="EK20" s="258">
        <f>-SUMIFS('Cost Phasing'!57:57,'Cost Phasing'!51:51,EK7)</f>
        <v>0</v>
      </c>
      <c r="EL20" s="258">
        <f>-SUMIFS('Cost Phasing'!57:57,'Cost Phasing'!51:51,EL7)</f>
        <v>0</v>
      </c>
      <c r="EM20" s="258">
        <f>-SUMIFS('Cost Phasing'!57:57,'Cost Phasing'!51:51,EM7)</f>
        <v>0</v>
      </c>
      <c r="EN20" s="258">
        <f>-SUMIFS('Cost Phasing'!57:57,'Cost Phasing'!51:51,EN7)</f>
        <v>0</v>
      </c>
      <c r="EO20" s="258">
        <f>-SUMIFS('Cost Phasing'!57:57,'Cost Phasing'!51:51,EO7)</f>
        <v>0</v>
      </c>
      <c r="EP20" s="258">
        <f>-SUMIFS('Cost Phasing'!57:57,'Cost Phasing'!51:51,EP7)</f>
        <v>0</v>
      </c>
      <c r="EQ20" s="258">
        <f>-SUMIFS('Cost Phasing'!57:57,'Cost Phasing'!51:51,EQ7)</f>
        <v>0</v>
      </c>
      <c r="ER20" s="258">
        <f>-SUMIFS('Cost Phasing'!57:57,'Cost Phasing'!51:51,ER7)</f>
        <v>0</v>
      </c>
      <c r="ES20" s="258">
        <f>-SUMIFS('Cost Phasing'!57:57,'Cost Phasing'!51:51,ES7)</f>
        <v>0</v>
      </c>
      <c r="ET20" s="258">
        <f>-SUMIFS('Cost Phasing'!57:57,'Cost Phasing'!51:51,ET7)</f>
        <v>0</v>
      </c>
      <c r="EU20" s="258">
        <f>-SUMIFS('Cost Phasing'!57:57,'Cost Phasing'!51:51,EU7)</f>
        <v>0</v>
      </c>
      <c r="EV20" s="258">
        <f>-SUMIFS('Cost Phasing'!57:57,'Cost Phasing'!51:51,EV7)</f>
        <v>0</v>
      </c>
      <c r="EW20" s="258">
        <f>-SUMIFS('Cost Phasing'!57:57,'Cost Phasing'!51:51,EW7)</f>
        <v>0</v>
      </c>
      <c r="EX20" s="258">
        <f>-SUMIFS('Cost Phasing'!57:57,'Cost Phasing'!51:51,EX7)</f>
        <v>0</v>
      </c>
      <c r="EY20" s="258">
        <f>-SUMIFS('Cost Phasing'!57:57,'Cost Phasing'!51:51,EY7)</f>
        <v>0</v>
      </c>
      <c r="EZ20" s="258">
        <f>-SUMIFS('Cost Phasing'!57:57,'Cost Phasing'!51:51,EZ7)</f>
        <v>0</v>
      </c>
      <c r="FA20" s="258">
        <f>-SUMIFS('Cost Phasing'!57:57,'Cost Phasing'!51:51,FA7)</f>
        <v>0</v>
      </c>
      <c r="FB20" s="258">
        <f>-SUMIFS('Cost Phasing'!57:57,'Cost Phasing'!51:51,FB7)</f>
        <v>0</v>
      </c>
      <c r="FC20" s="258">
        <f>-SUMIFS('Cost Phasing'!57:57,'Cost Phasing'!51:51,FC7)</f>
        <v>0</v>
      </c>
      <c r="FD20" s="258">
        <f>-SUMIFS('Cost Phasing'!57:57,'Cost Phasing'!51:51,FD7)</f>
        <v>0</v>
      </c>
      <c r="FE20" s="258">
        <f>-SUMIFS('Cost Phasing'!57:57,'Cost Phasing'!51:51,FE7)</f>
        <v>0</v>
      </c>
      <c r="FF20" s="258">
        <f>-SUMIFS('Cost Phasing'!57:57,'Cost Phasing'!51:51,FF7)</f>
        <v>0</v>
      </c>
      <c r="FG20" s="258">
        <f>-SUMIFS('Cost Phasing'!57:57,'Cost Phasing'!51:51,FG7)</f>
        <v>0</v>
      </c>
      <c r="FH20" s="258">
        <f>-SUMIFS('Cost Phasing'!57:57,'Cost Phasing'!51:51,FH7)</f>
        <v>0</v>
      </c>
      <c r="FI20" s="258">
        <f>-SUMIFS('Cost Phasing'!57:57,'Cost Phasing'!51:51,FI7)</f>
        <v>0</v>
      </c>
      <c r="FJ20" s="258">
        <f>-SUMIFS('Cost Phasing'!57:57,'Cost Phasing'!51:51,FJ7)</f>
        <v>0</v>
      </c>
      <c r="FK20" s="258">
        <f>-SUMIFS('Cost Phasing'!57:57,'Cost Phasing'!51:51,FK7)</f>
        <v>0</v>
      </c>
      <c r="FL20" s="258">
        <f>-SUMIFS('Cost Phasing'!57:57,'Cost Phasing'!51:51,FL7)</f>
        <v>0</v>
      </c>
      <c r="FM20" s="258">
        <f>-SUMIFS('Cost Phasing'!57:57,'Cost Phasing'!51:51,FM7)</f>
        <v>0</v>
      </c>
      <c r="FN20" s="258">
        <f>-SUMIFS('Cost Phasing'!57:57,'Cost Phasing'!51:51,FN7)</f>
        <v>0</v>
      </c>
      <c r="FO20" s="258">
        <f>-SUMIFS('Cost Phasing'!57:57,'Cost Phasing'!51:51,FO7)</f>
        <v>0</v>
      </c>
      <c r="FP20" s="258">
        <f>-SUMIFS('Cost Phasing'!57:57,'Cost Phasing'!51:51,FP7)</f>
        <v>0</v>
      </c>
      <c r="FQ20" s="258">
        <f>-SUMIFS('Cost Phasing'!57:57,'Cost Phasing'!51:51,FQ7)</f>
        <v>0</v>
      </c>
      <c r="FR20" s="258">
        <f>-SUMIFS('Cost Phasing'!57:57,'Cost Phasing'!51:51,FR7)</f>
        <v>0</v>
      </c>
      <c r="FS20" s="258">
        <f>-SUMIFS('Cost Phasing'!57:57,'Cost Phasing'!51:51,FS7)</f>
        <v>0</v>
      </c>
      <c r="FT20" s="258">
        <f>-SUMIFS('Cost Phasing'!57:57,'Cost Phasing'!51:51,FT7)</f>
        <v>0</v>
      </c>
      <c r="FU20" s="258">
        <f>-SUMIFS('Cost Phasing'!57:57,'Cost Phasing'!51:51,FU7)</f>
        <v>0</v>
      </c>
      <c r="FV20" s="258">
        <f>-SUMIFS('Cost Phasing'!57:57,'Cost Phasing'!51:51,FV7)</f>
        <v>0</v>
      </c>
      <c r="FW20" s="258">
        <f>-SUMIFS('Cost Phasing'!57:57,'Cost Phasing'!51:51,FW7)</f>
        <v>0</v>
      </c>
      <c r="FX20" s="258">
        <f>-SUMIFS('Cost Phasing'!57:57,'Cost Phasing'!51:51,FX7)</f>
        <v>0</v>
      </c>
      <c r="FY20" s="258">
        <f>-SUMIFS('Cost Phasing'!57:57,'Cost Phasing'!51:51,FY7)</f>
        <v>0</v>
      </c>
      <c r="FZ20" s="258">
        <f>-SUMIFS('Cost Phasing'!57:57,'Cost Phasing'!51:51,FZ7)</f>
        <v>0</v>
      </c>
      <c r="GA20" s="258">
        <f>-SUMIFS('Cost Phasing'!57:57,'Cost Phasing'!51:51,GA7)</f>
        <v>0</v>
      </c>
      <c r="GB20" s="258">
        <f>-SUMIFS('Cost Phasing'!57:57,'Cost Phasing'!51:51,GB7)</f>
        <v>0</v>
      </c>
      <c r="GC20" s="258">
        <f>-SUMIFS('Cost Phasing'!57:57,'Cost Phasing'!51:51,GC7)</f>
        <v>0</v>
      </c>
      <c r="GD20" s="258">
        <f>-SUMIFS('Cost Phasing'!57:57,'Cost Phasing'!51:51,GD7)</f>
        <v>0</v>
      </c>
      <c r="GE20" s="258">
        <f>-SUMIFS('Cost Phasing'!57:57,'Cost Phasing'!51:51,GE7)</f>
        <v>0</v>
      </c>
      <c r="GF20" s="258">
        <f>-SUMIFS('Cost Phasing'!57:57,'Cost Phasing'!51:51,GF7)</f>
        <v>0</v>
      </c>
      <c r="GG20" s="258">
        <f>-SUMIFS('Cost Phasing'!57:57,'Cost Phasing'!51:51,GG7)</f>
        <v>0</v>
      </c>
      <c r="GH20" s="258">
        <f>-SUMIFS('Cost Phasing'!57:57,'Cost Phasing'!51:51,GH7)</f>
        <v>0</v>
      </c>
      <c r="GI20" s="258">
        <f>-SUMIFS('Cost Phasing'!57:57,'Cost Phasing'!51:51,GI7)</f>
        <v>0</v>
      </c>
      <c r="GJ20" s="258">
        <f>-SUMIFS('Cost Phasing'!57:57,'Cost Phasing'!51:51,GJ7)</f>
        <v>0</v>
      </c>
      <c r="GK20" s="258">
        <f>-SUMIFS('Cost Phasing'!57:57,'Cost Phasing'!51:51,GK7)</f>
        <v>0</v>
      </c>
      <c r="GL20" s="258">
        <f>-SUMIFS('Cost Phasing'!57:57,'Cost Phasing'!51:51,GL7)</f>
        <v>0</v>
      </c>
      <c r="GM20" s="258">
        <f>-SUMIFS('Cost Phasing'!57:57,'Cost Phasing'!51:51,GM7)</f>
        <v>0</v>
      </c>
      <c r="GN20" s="258">
        <f>-SUMIFS('Cost Phasing'!57:57,'Cost Phasing'!51:51,GN7)</f>
        <v>0</v>
      </c>
      <c r="GO20" s="258">
        <f>-SUMIFS('Cost Phasing'!57:57,'Cost Phasing'!51:51,GO7)</f>
        <v>0</v>
      </c>
      <c r="GP20" s="258">
        <f>-SUMIFS('Cost Phasing'!57:57,'Cost Phasing'!51:51,GP7)</f>
        <v>0</v>
      </c>
      <c r="GQ20" s="258">
        <f>-SUMIFS('Cost Phasing'!57:57,'Cost Phasing'!51:51,GQ7)</f>
        <v>0</v>
      </c>
      <c r="GR20" s="258">
        <f>-SUMIFS('Cost Phasing'!57:57,'Cost Phasing'!51:51,GR7)</f>
        <v>0</v>
      </c>
      <c r="GS20" s="258">
        <f>-SUMIFS('Cost Phasing'!57:57,'Cost Phasing'!51:51,GS7)</f>
        <v>0</v>
      </c>
      <c r="GT20" s="258">
        <f>-SUMIFS('Cost Phasing'!57:57,'Cost Phasing'!51:51,GT7)</f>
        <v>0</v>
      </c>
      <c r="GU20" s="258">
        <f>-SUMIFS('Cost Phasing'!57:57,'Cost Phasing'!51:51,GU7)</f>
        <v>0</v>
      </c>
      <c r="GV20" s="258">
        <f>-SUMIFS('Cost Phasing'!57:57,'Cost Phasing'!51:51,GV7)</f>
        <v>0</v>
      </c>
      <c r="GW20" s="258">
        <f>-SUMIFS('Cost Phasing'!57:57,'Cost Phasing'!51:51,GW7)</f>
        <v>0</v>
      </c>
      <c r="GX20" s="258">
        <f>-SUMIFS('Cost Phasing'!57:57,'Cost Phasing'!51:51,GX7)</f>
        <v>0</v>
      </c>
      <c r="GY20" s="258">
        <f>-SUMIFS('Cost Phasing'!57:57,'Cost Phasing'!51:51,GY7)</f>
        <v>0</v>
      </c>
      <c r="GZ20" s="258">
        <f>-SUMIFS('Cost Phasing'!57:57,'Cost Phasing'!51:51,GZ7)</f>
        <v>0</v>
      </c>
      <c r="HA20" s="258">
        <f>-SUMIFS('Cost Phasing'!57:57,'Cost Phasing'!51:51,HA7)</f>
        <v>0</v>
      </c>
      <c r="HB20" s="258">
        <f>-SUMIFS('Cost Phasing'!57:57,'Cost Phasing'!51:51,HB7)</f>
        <v>0</v>
      </c>
      <c r="HC20" s="258">
        <f>-SUMIFS('Cost Phasing'!57:57,'Cost Phasing'!51:51,HC7)</f>
        <v>0</v>
      </c>
      <c r="HD20" s="258">
        <f>-SUMIFS('Cost Phasing'!57:57,'Cost Phasing'!51:51,HD7)</f>
        <v>0</v>
      </c>
      <c r="HE20" s="258">
        <f>-SUMIFS('Cost Phasing'!57:57,'Cost Phasing'!51:51,HE7)</f>
        <v>0</v>
      </c>
      <c r="HF20" s="258">
        <f>-SUMIFS('Cost Phasing'!57:57,'Cost Phasing'!51:51,HF7)</f>
        <v>0</v>
      </c>
      <c r="HG20" s="258">
        <f>-SUMIFS('Cost Phasing'!57:57,'Cost Phasing'!51:51,HG7)</f>
        <v>0</v>
      </c>
      <c r="HH20" s="258">
        <f>-SUMIFS('Cost Phasing'!57:57,'Cost Phasing'!51:51,HH7)</f>
        <v>0</v>
      </c>
      <c r="HI20" s="258">
        <f>-SUMIFS('Cost Phasing'!57:57,'Cost Phasing'!51:51,HI7)</f>
        <v>0</v>
      </c>
      <c r="HJ20" s="258">
        <f>-SUMIFS('Cost Phasing'!57:57,'Cost Phasing'!51:51,HJ7)</f>
        <v>0</v>
      </c>
      <c r="HK20" s="258">
        <f>-SUMIFS('Cost Phasing'!57:57,'Cost Phasing'!51:51,HK7)</f>
        <v>0</v>
      </c>
      <c r="HL20" s="258">
        <f>-SUMIFS('Cost Phasing'!57:57,'Cost Phasing'!51:51,HL7)</f>
        <v>0</v>
      </c>
      <c r="HM20" s="258">
        <f>-SUMIFS('Cost Phasing'!57:57,'Cost Phasing'!51:51,HM7)</f>
        <v>0</v>
      </c>
      <c r="HN20" s="258">
        <f>-SUMIFS('Cost Phasing'!57:57,'Cost Phasing'!51:51,HN7)</f>
        <v>0</v>
      </c>
      <c r="HO20" s="258">
        <f>-SUMIFS('Cost Phasing'!57:57,'Cost Phasing'!51:51,HO7)</f>
        <v>0</v>
      </c>
      <c r="HP20" s="258">
        <f>-SUMIFS('Cost Phasing'!57:57,'Cost Phasing'!51:51,HP7)</f>
        <v>0</v>
      </c>
      <c r="HQ20" s="258">
        <f>-SUMIFS('Cost Phasing'!57:57,'Cost Phasing'!51:51,HQ7)</f>
        <v>0</v>
      </c>
      <c r="HR20" s="258">
        <f>-SUMIFS('Cost Phasing'!57:57,'Cost Phasing'!51:51,HR7)</f>
        <v>0</v>
      </c>
      <c r="HS20" s="258">
        <f>-SUMIFS('Cost Phasing'!57:57,'Cost Phasing'!51:51,HS7)</f>
        <v>0</v>
      </c>
      <c r="HT20" s="258">
        <f>-SUMIFS('Cost Phasing'!57:57,'Cost Phasing'!51:51,HT7)</f>
        <v>0</v>
      </c>
      <c r="HU20" s="258">
        <f>-SUMIFS('Cost Phasing'!57:57,'Cost Phasing'!51:51,HU7)</f>
        <v>0</v>
      </c>
      <c r="HV20" s="258">
        <f>-SUMIFS('Cost Phasing'!57:57,'Cost Phasing'!51:51,HV7)</f>
        <v>0</v>
      </c>
      <c r="HW20" s="258">
        <f>-SUMIFS('Cost Phasing'!57:57,'Cost Phasing'!51:51,HW7)</f>
        <v>0</v>
      </c>
      <c r="HX20" s="258">
        <f>-SUMIFS('Cost Phasing'!57:57,'Cost Phasing'!51:51,HX7)</f>
        <v>0</v>
      </c>
      <c r="HY20" s="258">
        <f>-SUMIFS('Cost Phasing'!57:57,'Cost Phasing'!51:51,HY7)</f>
        <v>0</v>
      </c>
      <c r="HZ20" s="258">
        <f>-SUMIFS('Cost Phasing'!57:57,'Cost Phasing'!51:51,HZ7)</f>
        <v>0</v>
      </c>
      <c r="IA20" s="258">
        <f>-SUMIFS('Cost Phasing'!57:57,'Cost Phasing'!51:51,IA7)</f>
        <v>0</v>
      </c>
      <c r="IB20" s="258">
        <f>-SUMIFS('Cost Phasing'!57:57,'Cost Phasing'!51:51,IB7)</f>
        <v>0</v>
      </c>
      <c r="IC20" s="258">
        <f>-SUMIFS('Cost Phasing'!57:57,'Cost Phasing'!51:51,IC7)</f>
        <v>0</v>
      </c>
      <c r="ID20" s="258">
        <f>-SUMIFS('Cost Phasing'!57:57,'Cost Phasing'!51:51,ID7)</f>
        <v>0</v>
      </c>
      <c r="IE20" s="258">
        <f>-SUMIFS('Cost Phasing'!57:57,'Cost Phasing'!51:51,IE7)</f>
        <v>0</v>
      </c>
      <c r="IF20" s="258">
        <f>-SUMIFS('Cost Phasing'!57:57,'Cost Phasing'!51:51,IF7)</f>
        <v>0</v>
      </c>
      <c r="IG20" s="258">
        <f>-SUMIFS('Cost Phasing'!57:57,'Cost Phasing'!51:51,IG7)</f>
        <v>0</v>
      </c>
      <c r="IH20" s="258">
        <f>-SUMIFS('Cost Phasing'!57:57,'Cost Phasing'!51:51,IH7)</f>
        <v>0</v>
      </c>
      <c r="II20" s="258">
        <f>-SUMIFS('Cost Phasing'!57:57,'Cost Phasing'!51:51,II7)</f>
        <v>0</v>
      </c>
      <c r="IJ20" s="258">
        <f>-SUMIFS('Cost Phasing'!57:57,'Cost Phasing'!51:51,IJ7)</f>
        <v>0</v>
      </c>
      <c r="IK20" s="258">
        <f>-SUMIFS('Cost Phasing'!57:57,'Cost Phasing'!51:51,IK7)</f>
        <v>0</v>
      </c>
      <c r="IL20" s="258">
        <f>-SUMIFS('Cost Phasing'!57:57,'Cost Phasing'!51:51,IL7)</f>
        <v>0</v>
      </c>
      <c r="IM20" s="258">
        <f>-SUMIFS('Cost Phasing'!57:57,'Cost Phasing'!51:51,IM7)</f>
        <v>0</v>
      </c>
      <c r="IN20" s="258">
        <f>-SUMIFS('Cost Phasing'!57:57,'Cost Phasing'!51:51,IN7)</f>
        <v>0</v>
      </c>
      <c r="IO20" s="258">
        <f>-SUMIFS('Cost Phasing'!57:57,'Cost Phasing'!51:51,IO7)</f>
        <v>0</v>
      </c>
      <c r="IP20" s="258">
        <f>-SUMIFS('Cost Phasing'!57:57,'Cost Phasing'!51:51,IP7)</f>
        <v>0</v>
      </c>
      <c r="IQ20" s="258">
        <f>-SUMIFS('Cost Phasing'!57:57,'Cost Phasing'!51:51,IQ7)</f>
        <v>0</v>
      </c>
      <c r="IR20" s="258">
        <f>-SUMIFS('Cost Phasing'!57:57,'Cost Phasing'!51:51,IR7)</f>
        <v>0</v>
      </c>
      <c r="IS20" s="258">
        <f>-SUMIFS('Cost Phasing'!57:57,'Cost Phasing'!51:51,IS7)</f>
        <v>0</v>
      </c>
      <c r="IT20" s="258">
        <f>-SUMIFS('Cost Phasing'!57:57,'Cost Phasing'!51:51,IT7)</f>
        <v>0</v>
      </c>
      <c r="IU20" s="258">
        <f>-SUMIFS('Cost Phasing'!57:57,'Cost Phasing'!51:51,IU7)</f>
        <v>0</v>
      </c>
      <c r="IV20" s="258">
        <f>-SUMIFS('Cost Phasing'!57:57,'Cost Phasing'!51:51,IV7)</f>
        <v>0</v>
      </c>
      <c r="IW20" s="258">
        <f>-SUMIFS('Cost Phasing'!57:57,'Cost Phasing'!51:51,IW7)</f>
        <v>0</v>
      </c>
      <c r="IX20" s="258">
        <f>-SUMIFS('Cost Phasing'!57:57,'Cost Phasing'!51:51,IX7)</f>
        <v>0</v>
      </c>
      <c r="IY20" s="258">
        <f>-SUMIFS('Cost Phasing'!57:57,'Cost Phasing'!51:51,IY7)</f>
        <v>0</v>
      </c>
      <c r="IZ20" s="258">
        <f>-SUMIFS('Cost Phasing'!57:57,'Cost Phasing'!51:51,IZ7)</f>
        <v>0</v>
      </c>
      <c r="JA20" s="258">
        <f>-SUMIFS('Cost Phasing'!57:57,'Cost Phasing'!51:51,JA7)</f>
        <v>0</v>
      </c>
      <c r="JB20" s="258">
        <f>-SUMIFS('Cost Phasing'!57:57,'Cost Phasing'!51:51,JB7)</f>
        <v>0</v>
      </c>
      <c r="JC20" s="258">
        <f>-SUMIFS('Cost Phasing'!57:57,'Cost Phasing'!51:51,JC7)</f>
        <v>0</v>
      </c>
      <c r="JD20" s="258">
        <f>-SUMIFS('Cost Phasing'!57:57,'Cost Phasing'!51:51,JD7)</f>
        <v>0</v>
      </c>
      <c r="JE20" s="258">
        <f>-SUMIFS('Cost Phasing'!57:57,'Cost Phasing'!51:51,JE7)</f>
        <v>0</v>
      </c>
      <c r="JF20" s="258">
        <f>-SUMIFS('Cost Phasing'!57:57,'Cost Phasing'!51:51,JF7)</f>
        <v>0</v>
      </c>
      <c r="JG20" s="258">
        <f>-SUMIFS('Cost Phasing'!57:57,'Cost Phasing'!51:51,JG7)</f>
        <v>0</v>
      </c>
      <c r="JH20" s="258">
        <f>-SUMIFS('Cost Phasing'!57:57,'Cost Phasing'!51:51,JH7)</f>
        <v>0</v>
      </c>
      <c r="JI20" s="258">
        <f>-SUMIFS('Cost Phasing'!57:57,'Cost Phasing'!51:51,JI7)</f>
        <v>0</v>
      </c>
      <c r="JJ20" s="258">
        <f>-SUMIFS('Cost Phasing'!57:57,'Cost Phasing'!51:51,JJ7)</f>
        <v>0</v>
      </c>
      <c r="JK20" s="258">
        <f>-SUMIFS('Cost Phasing'!57:57,'Cost Phasing'!51:51,JK7)</f>
        <v>0</v>
      </c>
      <c r="JL20" s="258">
        <f>-SUMIFS('Cost Phasing'!57:57,'Cost Phasing'!51:51,JL7)</f>
        <v>0</v>
      </c>
      <c r="JM20" s="258">
        <f>-SUMIFS('Cost Phasing'!57:57,'Cost Phasing'!51:51,JM7)</f>
        <v>0</v>
      </c>
      <c r="JN20" s="258">
        <f>-SUMIFS('Cost Phasing'!57:57,'Cost Phasing'!51:51,JN7)</f>
        <v>0</v>
      </c>
      <c r="JO20" s="258">
        <f>-SUMIFS('Cost Phasing'!57:57,'Cost Phasing'!51:51,JO7)</f>
        <v>0</v>
      </c>
      <c r="JP20" s="258">
        <f>-SUMIFS('Cost Phasing'!57:57,'Cost Phasing'!51:51,JP7)</f>
        <v>0</v>
      </c>
      <c r="JQ20" s="258">
        <f>-SUMIFS('Cost Phasing'!57:57,'Cost Phasing'!51:51,JQ7)</f>
        <v>0</v>
      </c>
      <c r="JR20" s="258">
        <f>-SUMIFS('Cost Phasing'!57:57,'Cost Phasing'!51:51,JR7)</f>
        <v>0</v>
      </c>
      <c r="JS20" s="258">
        <f>-SUMIFS('Cost Phasing'!57:57,'Cost Phasing'!51:51,JS7)</f>
        <v>0</v>
      </c>
      <c r="JT20" s="258">
        <f>-SUMIFS('Cost Phasing'!57:57,'Cost Phasing'!51:51,JT7)</f>
        <v>0</v>
      </c>
      <c r="JU20" s="258">
        <f>-SUMIFS('Cost Phasing'!57:57,'Cost Phasing'!51:51,JU7)</f>
        <v>0</v>
      </c>
      <c r="JV20" s="258">
        <f>-SUMIFS('Cost Phasing'!57:57,'Cost Phasing'!51:51,JV7)</f>
        <v>0</v>
      </c>
      <c r="JW20" s="258">
        <f>-SUMIFS('Cost Phasing'!57:57,'Cost Phasing'!51:51,JW7)</f>
        <v>0</v>
      </c>
      <c r="JX20" s="258">
        <f>-SUMIFS('Cost Phasing'!57:57,'Cost Phasing'!51:51,JX7)</f>
        <v>0</v>
      </c>
      <c r="JY20" s="258">
        <f>-SUMIFS('Cost Phasing'!57:57,'Cost Phasing'!51:51,JY7)</f>
        <v>0</v>
      </c>
      <c r="JZ20" s="258">
        <f>-SUMIFS('Cost Phasing'!57:57,'Cost Phasing'!51:51,JZ7)</f>
        <v>0</v>
      </c>
      <c r="KA20" s="258">
        <f>-SUMIFS('Cost Phasing'!57:57,'Cost Phasing'!51:51,KA7)</f>
        <v>0</v>
      </c>
      <c r="KB20" s="258">
        <f>-SUMIFS('Cost Phasing'!57:57,'Cost Phasing'!51:51,KB7)</f>
        <v>0</v>
      </c>
      <c r="KC20" s="265">
        <f t="shared" si="432"/>
        <v>-18.414192231442694</v>
      </c>
    </row>
    <row r="21" spans="1:289" x14ac:dyDescent="0.3">
      <c r="A21" s="1" t="s">
        <v>399</v>
      </c>
      <c r="B21" s="257">
        <f t="shared" si="431"/>
        <v>-34.09973597768068</v>
      </c>
      <c r="C21" s="258">
        <f>-SUMIFS('Cost Phasing'!108:108,'Cost Phasing'!51:51,C7)</f>
        <v>0</v>
      </c>
      <c r="D21" s="258">
        <f>-SUMIFS('Cost Phasing'!108:108,'Cost Phasing'!51:51,D7)</f>
        <v>-0.5115083765263887</v>
      </c>
      <c r="E21" s="258">
        <f>-SUMIFS('Cost Phasing'!108:108,'Cost Phasing'!51:51,E7)</f>
        <v>-0.5115083765263887</v>
      </c>
      <c r="F21" s="258">
        <f>-SUMIFS('Cost Phasing'!108:108,'Cost Phasing'!51:51,F7)</f>
        <v>-0.48185599409348151</v>
      </c>
      <c r="G21" s="258">
        <f>-SUMIFS('Cost Phasing'!108:108,'Cost Phasing'!51:51,G7)</f>
        <v>-0.48185599409348151</v>
      </c>
      <c r="H21" s="258">
        <f>-SUMIFS('Cost Phasing'!108:108,'Cost Phasing'!51:51,H7)</f>
        <v>-0.48185599409348151</v>
      </c>
      <c r="I21" s="258">
        <f>-SUMIFS('Cost Phasing'!108:108,'Cost Phasing'!51:51,I7)</f>
        <v>-0.48185599409348151</v>
      </c>
      <c r="J21" s="258">
        <f>-SUMIFS('Cost Phasing'!108:108,'Cost Phasing'!51:51,J7)</f>
        <v>-0.48185599409348151</v>
      </c>
      <c r="K21" s="258">
        <f>-SUMIFS('Cost Phasing'!108:108,'Cost Phasing'!51:51,K7)</f>
        <v>-0.48185599409348151</v>
      </c>
      <c r="L21" s="258">
        <f>-SUMIFS('Cost Phasing'!108:108,'Cost Phasing'!51:51,L7)</f>
        <v>-0.48185599409348151</v>
      </c>
      <c r="M21" s="258">
        <f>-SUMIFS('Cost Phasing'!108:108,'Cost Phasing'!51:51,M7)</f>
        <v>-0.48185599409348151</v>
      </c>
      <c r="N21" s="258">
        <f>-SUMIFS('Cost Phasing'!108:108,'Cost Phasing'!51:51,N7)</f>
        <v>-0.48185599409348151</v>
      </c>
      <c r="O21" s="258">
        <f>-SUMIFS('Cost Phasing'!108:108,'Cost Phasing'!51:51,O7)</f>
        <v>-0.48185599409348151</v>
      </c>
      <c r="P21" s="258">
        <f>-SUMIFS('Cost Phasing'!108:108,'Cost Phasing'!51:51,P7)</f>
        <v>-0.9907647725979678</v>
      </c>
      <c r="Q21" s="258">
        <f>-SUMIFS('Cost Phasing'!108:108,'Cost Phasing'!51:51,Q7)</f>
        <v>-0.9907647725979678</v>
      </c>
      <c r="R21" s="258">
        <f>-SUMIFS('Cost Phasing'!108:108,'Cost Phasing'!51:51,R7)</f>
        <v>-0.93332967028813985</v>
      </c>
      <c r="S21" s="258">
        <f>-SUMIFS('Cost Phasing'!108:108,'Cost Phasing'!51:51,S7)</f>
        <v>-0.93332967028813985</v>
      </c>
      <c r="T21" s="258">
        <f>-SUMIFS('Cost Phasing'!108:108,'Cost Phasing'!51:51,T7)</f>
        <v>-0.93332967028813985</v>
      </c>
      <c r="U21" s="258">
        <f>-SUMIFS('Cost Phasing'!108:108,'Cost Phasing'!51:51,U7)</f>
        <v>-0.93332967028813985</v>
      </c>
      <c r="V21" s="258">
        <f>-SUMIFS('Cost Phasing'!108:108,'Cost Phasing'!51:51,V7)</f>
        <v>-0.93332967028813985</v>
      </c>
      <c r="W21" s="258">
        <f>-SUMIFS('Cost Phasing'!108:108,'Cost Phasing'!51:51,W7)</f>
        <v>-0.93332967028813985</v>
      </c>
      <c r="X21" s="258">
        <f>-SUMIFS('Cost Phasing'!108:108,'Cost Phasing'!51:51,X7)</f>
        <v>-0.93332967028813985</v>
      </c>
      <c r="Y21" s="258">
        <f>-SUMIFS('Cost Phasing'!108:108,'Cost Phasing'!51:51,Y7)</f>
        <v>-1.346329735989237</v>
      </c>
      <c r="Z21" s="258">
        <f>-SUMIFS('Cost Phasing'!108:108,'Cost Phasing'!51:51,Z7)</f>
        <v>-1.346329735989237</v>
      </c>
      <c r="AA21" s="258">
        <f>-SUMIFS('Cost Phasing'!108:108,'Cost Phasing'!51:51,AA7)</f>
        <v>-1.3223879269104704</v>
      </c>
      <c r="AB21" s="258">
        <f>-SUMIFS('Cost Phasing'!108:108,'Cost Phasing'!51:51,AB7)</f>
        <v>-0.38905825662233057</v>
      </c>
      <c r="AC21" s="258">
        <f>-SUMIFS('Cost Phasing'!108:108,'Cost Phasing'!51:51,AC7)</f>
        <v>-0.38905825662233057</v>
      </c>
      <c r="AD21" s="258">
        <f>-SUMIFS('Cost Phasing'!108:108,'Cost Phasing'!51:51,AD7)</f>
        <v>-0.38905825662233057</v>
      </c>
      <c r="AE21" s="258">
        <f>-SUMIFS('Cost Phasing'!108:108,'Cost Phasing'!51:51,AE7)</f>
        <v>-0.38905825662233057</v>
      </c>
      <c r="AF21" s="258">
        <f>-SUMIFS('Cost Phasing'!108:108,'Cost Phasing'!51:51,AF7)</f>
        <v>-0.38905825662233057</v>
      </c>
      <c r="AG21" s="258">
        <f>-SUMIFS('Cost Phasing'!108:108,'Cost Phasing'!51:51,AG7)</f>
        <v>-0.38905825662233057</v>
      </c>
      <c r="AH21" s="258">
        <f>-SUMIFS('Cost Phasing'!108:108,'Cost Phasing'!51:51,AH7)</f>
        <v>-1.2750727942339595</v>
      </c>
      <c r="AI21" s="258">
        <f>-SUMIFS('Cost Phasing'!108:108,'Cost Phasing'!51:51,AI7)</f>
        <v>-1.2750727942339595</v>
      </c>
      <c r="AJ21" s="258">
        <f>-SUMIFS('Cost Phasing'!108:108,'Cost Phasing'!51:51,AJ7)</f>
        <v>-1.2237101125731247</v>
      </c>
      <c r="AK21" s="258">
        <f>-SUMIFS('Cost Phasing'!108:108,'Cost Phasing'!51:51,AK7)</f>
        <v>-0.83465185595079405</v>
      </c>
      <c r="AL21" s="258">
        <f>-SUMIFS('Cost Phasing'!108:108,'Cost Phasing'!51:51,AL7)</f>
        <v>-0.83465185595079405</v>
      </c>
      <c r="AM21" s="258">
        <f>-SUMIFS('Cost Phasing'!108:108,'Cost Phasing'!51:51,AM7)</f>
        <v>-0.83465185595079405</v>
      </c>
      <c r="AN21" s="258">
        <f>-SUMIFS('Cost Phasing'!108:108,'Cost Phasing'!51:51,AN7)</f>
        <v>-0.83465185595079405</v>
      </c>
      <c r="AO21" s="258">
        <f>-SUMIFS('Cost Phasing'!108:108,'Cost Phasing'!51:51,AO7)</f>
        <v>-0.83465185595079405</v>
      </c>
      <c r="AP21" s="258">
        <f>-SUMIFS('Cost Phasing'!108:108,'Cost Phasing'!51:51,AP7)</f>
        <v>-0.83465185595079405</v>
      </c>
      <c r="AQ21" s="258">
        <f>-SUMIFS('Cost Phasing'!108:108,'Cost Phasing'!51:51,AQ7)</f>
        <v>-0.97519870283473264</v>
      </c>
      <c r="AR21" s="258">
        <f>-SUMIFS('Cost Phasing'!108:108,'Cost Phasing'!51:51,AR7)</f>
        <v>-0.97519870283473264</v>
      </c>
      <c r="AS21" s="258">
        <f>-SUMIFS('Cost Phasing'!108:108,'Cost Phasing'!51:51,AS7)</f>
        <v>-0.97519870283473264</v>
      </c>
      <c r="AT21" s="258">
        <f>-SUMIFS('Cost Phasing'!108:108,'Cost Phasing'!51:51,AT7)</f>
        <v>-0.14054684688393859</v>
      </c>
      <c r="AU21" s="258">
        <f>-SUMIFS('Cost Phasing'!108:108,'Cost Phasing'!51:51,AU7)</f>
        <v>-0.14054684688393859</v>
      </c>
      <c r="AV21" s="258">
        <f>-SUMIFS('Cost Phasing'!108:108,'Cost Phasing'!51:51,AV7)</f>
        <v>-0.14054684688393859</v>
      </c>
      <c r="AW21" s="258">
        <f>-SUMIFS('Cost Phasing'!108:108,'Cost Phasing'!51:51,AW7)</f>
        <v>-0.14054684688393859</v>
      </c>
      <c r="AX21" s="258">
        <f>-SUMIFS('Cost Phasing'!108:108,'Cost Phasing'!51:51,AX7)</f>
        <v>-0.14054684688393859</v>
      </c>
      <c r="AY21" s="258">
        <f>-SUMIFS('Cost Phasing'!108:108,'Cost Phasing'!51:51,AY7)</f>
        <v>-0.14054684688393859</v>
      </c>
      <c r="AZ21" s="258">
        <f>-SUMIFS('Cost Phasing'!108:108,'Cost Phasing'!51:51,AZ7)</f>
        <v>-0.14054684688393859</v>
      </c>
      <c r="BA21" s="258">
        <f>-SUMIFS('Cost Phasing'!108:108,'Cost Phasing'!51:51,BA7)</f>
        <v>-0.14054684688393859</v>
      </c>
      <c r="BB21" s="258">
        <f>-SUMIFS('Cost Phasing'!108:108,'Cost Phasing'!51:51,BB7)</f>
        <v>-0.14054684688393859</v>
      </c>
      <c r="BC21" s="258">
        <f>-SUMIFS('Cost Phasing'!108:108,'Cost Phasing'!51:51,BC7)</f>
        <v>-0.14054684688393859</v>
      </c>
      <c r="BD21" s="258">
        <f>-SUMIFS('Cost Phasing'!108:108,'Cost Phasing'!51:51,BD7)</f>
        <v>-0.14054684688393859</v>
      </c>
      <c r="BE21" s="258">
        <f>-SUMIFS('Cost Phasing'!108:108,'Cost Phasing'!51:51,BE7)</f>
        <v>-0.14054684688393859</v>
      </c>
      <c r="BF21" s="258">
        <f>-SUMIFS('Cost Phasing'!108:108,'Cost Phasing'!51:51,BF7)</f>
        <v>0</v>
      </c>
      <c r="BG21" s="258">
        <f>-SUMIFS('Cost Phasing'!108:108,'Cost Phasing'!51:51,BG7)</f>
        <v>0</v>
      </c>
      <c r="BH21" s="258">
        <f>-SUMIFS('Cost Phasing'!108:108,'Cost Phasing'!51:51,BH7)</f>
        <v>0</v>
      </c>
      <c r="BI21" s="258">
        <f>-SUMIFS('Cost Phasing'!108:108,'Cost Phasing'!51:51,BI7)</f>
        <v>0</v>
      </c>
      <c r="BJ21" s="258">
        <f>-SUMIFS('Cost Phasing'!108:108,'Cost Phasing'!51:51,BJ7)</f>
        <v>0</v>
      </c>
      <c r="BK21" s="258">
        <f>-SUMIFS('Cost Phasing'!108:108,'Cost Phasing'!51:51,BK7)</f>
        <v>0</v>
      </c>
      <c r="BL21" s="258">
        <f>-SUMIFS('Cost Phasing'!108:108,'Cost Phasing'!51:51,BL7)</f>
        <v>0</v>
      </c>
      <c r="BM21" s="258">
        <f>-SUMIFS('Cost Phasing'!108:108,'Cost Phasing'!51:51,BM7)</f>
        <v>0</v>
      </c>
      <c r="BN21" s="258">
        <f>-SUMIFS('Cost Phasing'!108:108,'Cost Phasing'!51:51,BN7)</f>
        <v>0</v>
      </c>
      <c r="BO21" s="258">
        <f>-SUMIFS('Cost Phasing'!108:108,'Cost Phasing'!51:51,BO7)</f>
        <v>0</v>
      </c>
      <c r="BP21" s="258">
        <f>-SUMIFS('Cost Phasing'!108:108,'Cost Phasing'!51:51,BP7)</f>
        <v>0</v>
      </c>
      <c r="BQ21" s="258">
        <f>-SUMIFS('Cost Phasing'!108:108,'Cost Phasing'!51:51,BQ7)</f>
        <v>0</v>
      </c>
      <c r="BR21" s="258">
        <f>-SUMIFS('Cost Phasing'!108:108,'Cost Phasing'!51:51,BR7)</f>
        <v>0</v>
      </c>
      <c r="BS21" s="258">
        <f>-SUMIFS('Cost Phasing'!108:108,'Cost Phasing'!51:51,BS7)</f>
        <v>0</v>
      </c>
      <c r="BT21" s="258">
        <f>-SUMIFS('Cost Phasing'!108:108,'Cost Phasing'!51:51,BT7)</f>
        <v>0</v>
      </c>
      <c r="BU21" s="258">
        <f>-SUMIFS('Cost Phasing'!108:108,'Cost Phasing'!51:51,BU7)</f>
        <v>0</v>
      </c>
      <c r="BV21" s="258">
        <f>-SUMIFS('Cost Phasing'!108:108,'Cost Phasing'!51:51,BV7)</f>
        <v>0</v>
      </c>
      <c r="BW21" s="258">
        <f>-SUMIFS('Cost Phasing'!108:108,'Cost Phasing'!51:51,BW7)</f>
        <v>0</v>
      </c>
      <c r="BX21" s="258">
        <f>-SUMIFS('Cost Phasing'!108:108,'Cost Phasing'!51:51,BX7)</f>
        <v>0</v>
      </c>
      <c r="BY21" s="258">
        <f>-SUMIFS('Cost Phasing'!108:108,'Cost Phasing'!51:51,BY7)</f>
        <v>0</v>
      </c>
      <c r="BZ21" s="258">
        <f>-SUMIFS('Cost Phasing'!108:108,'Cost Phasing'!51:51,BZ7)</f>
        <v>0</v>
      </c>
      <c r="CA21" s="258">
        <f>-SUMIFS('Cost Phasing'!108:108,'Cost Phasing'!51:51,CA7)</f>
        <v>0</v>
      </c>
      <c r="CB21" s="258">
        <f>-SUMIFS('Cost Phasing'!108:108,'Cost Phasing'!51:51,CB7)</f>
        <v>0</v>
      </c>
      <c r="CC21" s="258">
        <f>-SUMIFS('Cost Phasing'!108:108,'Cost Phasing'!51:51,CC7)</f>
        <v>0</v>
      </c>
      <c r="CD21" s="258">
        <f>-SUMIFS('Cost Phasing'!108:108,'Cost Phasing'!51:51,CD7)</f>
        <v>0</v>
      </c>
      <c r="CE21" s="258">
        <f>-SUMIFS('Cost Phasing'!108:108,'Cost Phasing'!51:51,CE7)</f>
        <v>0</v>
      </c>
      <c r="CF21" s="258">
        <f>-SUMIFS('Cost Phasing'!108:108,'Cost Phasing'!51:51,CF7)</f>
        <v>0</v>
      </c>
      <c r="CG21" s="258">
        <f>-SUMIFS('Cost Phasing'!108:108,'Cost Phasing'!51:51,CG7)</f>
        <v>0</v>
      </c>
      <c r="CH21" s="258">
        <f>-SUMIFS('Cost Phasing'!108:108,'Cost Phasing'!51:51,CH7)</f>
        <v>0</v>
      </c>
      <c r="CI21" s="258">
        <f>-SUMIFS('Cost Phasing'!108:108,'Cost Phasing'!51:51,CI7)</f>
        <v>0</v>
      </c>
      <c r="CJ21" s="258">
        <f>-SUMIFS('Cost Phasing'!108:108,'Cost Phasing'!51:51,CJ7)</f>
        <v>0</v>
      </c>
      <c r="CK21" s="258">
        <f>-SUMIFS('Cost Phasing'!108:108,'Cost Phasing'!51:51,CK7)</f>
        <v>0</v>
      </c>
      <c r="CL21" s="258">
        <f>-SUMIFS('Cost Phasing'!108:108,'Cost Phasing'!51:51,CL7)</f>
        <v>0</v>
      </c>
      <c r="CM21" s="258">
        <f>-SUMIFS('Cost Phasing'!108:108,'Cost Phasing'!51:51,CM7)</f>
        <v>0</v>
      </c>
      <c r="CN21" s="258">
        <f>-SUMIFS('Cost Phasing'!108:108,'Cost Phasing'!51:51,CN7)</f>
        <v>0</v>
      </c>
      <c r="CO21" s="258">
        <f>-SUMIFS('Cost Phasing'!108:108,'Cost Phasing'!51:51,CO7)</f>
        <v>0</v>
      </c>
      <c r="CP21" s="258">
        <f>-SUMIFS('Cost Phasing'!108:108,'Cost Phasing'!51:51,CP7)</f>
        <v>0</v>
      </c>
      <c r="CQ21" s="258">
        <f>-SUMIFS('Cost Phasing'!108:108,'Cost Phasing'!51:51,CQ7)</f>
        <v>0</v>
      </c>
      <c r="CR21" s="258">
        <f>-SUMIFS('Cost Phasing'!108:108,'Cost Phasing'!51:51,CR7)</f>
        <v>0</v>
      </c>
      <c r="CS21" s="258">
        <f>-SUMIFS('Cost Phasing'!108:108,'Cost Phasing'!51:51,CS7)</f>
        <v>0</v>
      </c>
      <c r="CT21" s="258">
        <f>-SUMIFS('Cost Phasing'!108:108,'Cost Phasing'!51:51,CT7)</f>
        <v>0</v>
      </c>
      <c r="CU21" s="258">
        <f>-SUMIFS('Cost Phasing'!108:108,'Cost Phasing'!51:51,CU7)</f>
        <v>0</v>
      </c>
      <c r="CV21" s="258">
        <f>-SUMIFS('Cost Phasing'!108:108,'Cost Phasing'!51:51,CV7)</f>
        <v>0</v>
      </c>
      <c r="CW21" s="258">
        <f>-SUMIFS('Cost Phasing'!108:108,'Cost Phasing'!51:51,CW7)</f>
        <v>0</v>
      </c>
      <c r="CX21" s="258">
        <f>-SUMIFS('Cost Phasing'!108:108,'Cost Phasing'!51:51,CX7)</f>
        <v>0</v>
      </c>
      <c r="CY21" s="258">
        <f>-SUMIFS('Cost Phasing'!108:108,'Cost Phasing'!51:51,CY7)</f>
        <v>0</v>
      </c>
      <c r="CZ21" s="258">
        <f>-SUMIFS('Cost Phasing'!108:108,'Cost Phasing'!51:51,CZ7)</f>
        <v>0</v>
      </c>
      <c r="DA21" s="258">
        <f>-SUMIFS('Cost Phasing'!108:108,'Cost Phasing'!51:51,DA7)</f>
        <v>0</v>
      </c>
      <c r="DB21" s="258">
        <f>-SUMIFS('Cost Phasing'!108:108,'Cost Phasing'!51:51,DB7)</f>
        <v>0</v>
      </c>
      <c r="DC21" s="258">
        <f>-SUMIFS('Cost Phasing'!108:108,'Cost Phasing'!51:51,DC7)</f>
        <v>0</v>
      </c>
      <c r="DD21" s="258">
        <f>-SUMIFS('Cost Phasing'!108:108,'Cost Phasing'!51:51,DD7)</f>
        <v>0</v>
      </c>
      <c r="DE21" s="258">
        <f>-SUMIFS('Cost Phasing'!108:108,'Cost Phasing'!51:51,DE7)</f>
        <v>0</v>
      </c>
      <c r="DF21" s="258">
        <f>-SUMIFS('Cost Phasing'!108:108,'Cost Phasing'!51:51,DF7)</f>
        <v>0</v>
      </c>
      <c r="DG21" s="258">
        <f>-SUMIFS('Cost Phasing'!108:108,'Cost Phasing'!51:51,DG7)</f>
        <v>0</v>
      </c>
      <c r="DH21" s="258">
        <f>-SUMIFS('Cost Phasing'!108:108,'Cost Phasing'!51:51,DH7)</f>
        <v>0</v>
      </c>
      <c r="DI21" s="258">
        <f>-SUMIFS('Cost Phasing'!108:108,'Cost Phasing'!51:51,DI7)</f>
        <v>0</v>
      </c>
      <c r="DJ21" s="258">
        <f>-SUMIFS('Cost Phasing'!108:108,'Cost Phasing'!51:51,DJ7)</f>
        <v>0</v>
      </c>
      <c r="DK21" s="258">
        <f>-SUMIFS('Cost Phasing'!108:108,'Cost Phasing'!51:51,DK7)</f>
        <v>0</v>
      </c>
      <c r="DL21" s="258">
        <f>-SUMIFS('Cost Phasing'!108:108,'Cost Phasing'!51:51,DL7)</f>
        <v>0</v>
      </c>
      <c r="DM21" s="258">
        <f>-SUMIFS('Cost Phasing'!108:108,'Cost Phasing'!51:51,DM7)</f>
        <v>0</v>
      </c>
      <c r="DN21" s="258">
        <f>-SUMIFS('Cost Phasing'!108:108,'Cost Phasing'!51:51,DN7)</f>
        <v>0</v>
      </c>
      <c r="DO21" s="258">
        <f>-SUMIFS('Cost Phasing'!108:108,'Cost Phasing'!51:51,DO7)</f>
        <v>0</v>
      </c>
      <c r="DP21" s="258">
        <f>-SUMIFS('Cost Phasing'!108:108,'Cost Phasing'!51:51,DP7)</f>
        <v>0</v>
      </c>
      <c r="DQ21" s="258">
        <f>-SUMIFS('Cost Phasing'!108:108,'Cost Phasing'!51:51,DQ7)</f>
        <v>0</v>
      </c>
      <c r="DR21" s="258">
        <f>-SUMIFS('Cost Phasing'!108:108,'Cost Phasing'!51:51,DR7)</f>
        <v>0</v>
      </c>
      <c r="DS21" s="258">
        <f>-SUMIFS('Cost Phasing'!108:108,'Cost Phasing'!51:51,DS7)</f>
        <v>0</v>
      </c>
      <c r="DT21" s="258">
        <f>-SUMIFS('Cost Phasing'!108:108,'Cost Phasing'!51:51,DT7)</f>
        <v>0</v>
      </c>
      <c r="DU21" s="258">
        <f>-SUMIFS('Cost Phasing'!108:108,'Cost Phasing'!51:51,DU7)</f>
        <v>0</v>
      </c>
      <c r="DV21" s="258">
        <f>-SUMIFS('Cost Phasing'!108:108,'Cost Phasing'!51:51,DV7)</f>
        <v>0</v>
      </c>
      <c r="DW21" s="258">
        <f>-SUMIFS('Cost Phasing'!108:108,'Cost Phasing'!51:51,DW7)</f>
        <v>0</v>
      </c>
      <c r="DX21" s="258">
        <f>-SUMIFS('Cost Phasing'!108:108,'Cost Phasing'!51:51,DX7)</f>
        <v>0</v>
      </c>
      <c r="DY21" s="258">
        <f>-SUMIFS('Cost Phasing'!108:108,'Cost Phasing'!51:51,DY7)</f>
        <v>0</v>
      </c>
      <c r="DZ21" s="258">
        <f>-SUMIFS('Cost Phasing'!108:108,'Cost Phasing'!51:51,DZ7)</f>
        <v>0</v>
      </c>
      <c r="EA21" s="258">
        <f>-SUMIFS('Cost Phasing'!108:108,'Cost Phasing'!51:51,EA7)</f>
        <v>0</v>
      </c>
      <c r="EB21" s="258">
        <f>-SUMIFS('Cost Phasing'!108:108,'Cost Phasing'!51:51,EB7)</f>
        <v>0</v>
      </c>
      <c r="EC21" s="258">
        <f>-SUMIFS('Cost Phasing'!108:108,'Cost Phasing'!51:51,EC7)</f>
        <v>0</v>
      </c>
      <c r="ED21" s="258">
        <f>-SUMIFS('Cost Phasing'!108:108,'Cost Phasing'!51:51,ED7)</f>
        <v>0</v>
      </c>
      <c r="EE21" s="258">
        <f>-SUMIFS('Cost Phasing'!108:108,'Cost Phasing'!51:51,EE7)</f>
        <v>0</v>
      </c>
      <c r="EF21" s="258">
        <f>-SUMIFS('Cost Phasing'!108:108,'Cost Phasing'!51:51,EF7)</f>
        <v>0</v>
      </c>
      <c r="EG21" s="258">
        <f>-SUMIFS('Cost Phasing'!108:108,'Cost Phasing'!51:51,EG7)</f>
        <v>0</v>
      </c>
      <c r="EH21" s="258">
        <f>-SUMIFS('Cost Phasing'!108:108,'Cost Phasing'!51:51,EH7)</f>
        <v>0</v>
      </c>
      <c r="EI21" s="258">
        <f>-SUMIFS('Cost Phasing'!108:108,'Cost Phasing'!51:51,EI7)</f>
        <v>0</v>
      </c>
      <c r="EJ21" s="258">
        <f>-SUMIFS('Cost Phasing'!108:108,'Cost Phasing'!51:51,EJ7)</f>
        <v>0</v>
      </c>
      <c r="EK21" s="258">
        <f>-SUMIFS('Cost Phasing'!108:108,'Cost Phasing'!51:51,EK7)</f>
        <v>0</v>
      </c>
      <c r="EL21" s="258">
        <f>-SUMIFS('Cost Phasing'!108:108,'Cost Phasing'!51:51,EL7)</f>
        <v>0</v>
      </c>
      <c r="EM21" s="258">
        <f>-SUMIFS('Cost Phasing'!108:108,'Cost Phasing'!51:51,EM7)</f>
        <v>0</v>
      </c>
      <c r="EN21" s="258">
        <f>-SUMIFS('Cost Phasing'!108:108,'Cost Phasing'!51:51,EN7)</f>
        <v>0</v>
      </c>
      <c r="EO21" s="258">
        <f>-SUMIFS('Cost Phasing'!108:108,'Cost Phasing'!51:51,EO7)</f>
        <v>0</v>
      </c>
      <c r="EP21" s="258">
        <f>-SUMIFS('Cost Phasing'!108:108,'Cost Phasing'!51:51,EP7)</f>
        <v>0</v>
      </c>
      <c r="EQ21" s="258">
        <f>-SUMIFS('Cost Phasing'!108:108,'Cost Phasing'!51:51,EQ7)</f>
        <v>0</v>
      </c>
      <c r="ER21" s="258">
        <f>-SUMIFS('Cost Phasing'!108:108,'Cost Phasing'!51:51,ER7)</f>
        <v>0</v>
      </c>
      <c r="ES21" s="258">
        <f>-SUMIFS('Cost Phasing'!108:108,'Cost Phasing'!51:51,ES7)</f>
        <v>0</v>
      </c>
      <c r="ET21" s="258">
        <f>-SUMIFS('Cost Phasing'!108:108,'Cost Phasing'!51:51,ET7)</f>
        <v>0</v>
      </c>
      <c r="EU21" s="258">
        <f>-SUMIFS('Cost Phasing'!108:108,'Cost Phasing'!51:51,EU7)</f>
        <v>0</v>
      </c>
      <c r="EV21" s="258">
        <f>-SUMIFS('Cost Phasing'!108:108,'Cost Phasing'!51:51,EV7)</f>
        <v>0</v>
      </c>
      <c r="EW21" s="258">
        <f>-SUMIFS('Cost Phasing'!108:108,'Cost Phasing'!51:51,EW7)</f>
        <v>0</v>
      </c>
      <c r="EX21" s="258">
        <f>-SUMIFS('Cost Phasing'!108:108,'Cost Phasing'!51:51,EX7)</f>
        <v>0</v>
      </c>
      <c r="EY21" s="258">
        <f>-SUMIFS('Cost Phasing'!108:108,'Cost Phasing'!51:51,EY7)</f>
        <v>0</v>
      </c>
      <c r="EZ21" s="258">
        <f>-SUMIFS('Cost Phasing'!108:108,'Cost Phasing'!51:51,EZ7)</f>
        <v>0</v>
      </c>
      <c r="FA21" s="258">
        <f>-SUMIFS('Cost Phasing'!108:108,'Cost Phasing'!51:51,FA7)</f>
        <v>0</v>
      </c>
      <c r="FB21" s="258">
        <f>-SUMIFS('Cost Phasing'!108:108,'Cost Phasing'!51:51,FB7)</f>
        <v>0</v>
      </c>
      <c r="FC21" s="258">
        <f>-SUMIFS('Cost Phasing'!108:108,'Cost Phasing'!51:51,FC7)</f>
        <v>0</v>
      </c>
      <c r="FD21" s="258">
        <f>-SUMIFS('Cost Phasing'!108:108,'Cost Phasing'!51:51,FD7)</f>
        <v>0</v>
      </c>
      <c r="FE21" s="258">
        <f>-SUMIFS('Cost Phasing'!108:108,'Cost Phasing'!51:51,FE7)</f>
        <v>0</v>
      </c>
      <c r="FF21" s="258">
        <f>-SUMIFS('Cost Phasing'!108:108,'Cost Phasing'!51:51,FF7)</f>
        <v>0</v>
      </c>
      <c r="FG21" s="258">
        <f>-SUMIFS('Cost Phasing'!108:108,'Cost Phasing'!51:51,FG7)</f>
        <v>0</v>
      </c>
      <c r="FH21" s="258">
        <f>-SUMIFS('Cost Phasing'!108:108,'Cost Phasing'!51:51,FH7)</f>
        <v>0</v>
      </c>
      <c r="FI21" s="258">
        <f>-SUMIFS('Cost Phasing'!108:108,'Cost Phasing'!51:51,FI7)</f>
        <v>0</v>
      </c>
      <c r="FJ21" s="258">
        <f>-SUMIFS('Cost Phasing'!108:108,'Cost Phasing'!51:51,FJ7)</f>
        <v>0</v>
      </c>
      <c r="FK21" s="258">
        <f>-SUMIFS('Cost Phasing'!108:108,'Cost Phasing'!51:51,FK7)</f>
        <v>0</v>
      </c>
      <c r="FL21" s="258">
        <f>-SUMIFS('Cost Phasing'!108:108,'Cost Phasing'!51:51,FL7)</f>
        <v>0</v>
      </c>
      <c r="FM21" s="258">
        <f>-SUMIFS('Cost Phasing'!108:108,'Cost Phasing'!51:51,FM7)</f>
        <v>0</v>
      </c>
      <c r="FN21" s="258">
        <f>-SUMIFS('Cost Phasing'!108:108,'Cost Phasing'!51:51,FN7)</f>
        <v>0</v>
      </c>
      <c r="FO21" s="258">
        <f>-SUMIFS('Cost Phasing'!108:108,'Cost Phasing'!51:51,FO7)</f>
        <v>0</v>
      </c>
      <c r="FP21" s="258">
        <f>-SUMIFS('Cost Phasing'!108:108,'Cost Phasing'!51:51,FP7)</f>
        <v>0</v>
      </c>
      <c r="FQ21" s="258">
        <f>-SUMIFS('Cost Phasing'!108:108,'Cost Phasing'!51:51,FQ7)</f>
        <v>0</v>
      </c>
      <c r="FR21" s="258">
        <f>-SUMIFS('Cost Phasing'!108:108,'Cost Phasing'!51:51,FR7)</f>
        <v>0</v>
      </c>
      <c r="FS21" s="258">
        <f>-SUMIFS('Cost Phasing'!108:108,'Cost Phasing'!51:51,FS7)</f>
        <v>0</v>
      </c>
      <c r="FT21" s="258">
        <f>-SUMIFS('Cost Phasing'!108:108,'Cost Phasing'!51:51,FT7)</f>
        <v>0</v>
      </c>
      <c r="FU21" s="258">
        <f>-SUMIFS('Cost Phasing'!108:108,'Cost Phasing'!51:51,FU7)</f>
        <v>0</v>
      </c>
      <c r="FV21" s="258">
        <f>-SUMIFS('Cost Phasing'!108:108,'Cost Phasing'!51:51,FV7)</f>
        <v>0</v>
      </c>
      <c r="FW21" s="258">
        <f>-SUMIFS('Cost Phasing'!108:108,'Cost Phasing'!51:51,FW7)</f>
        <v>0</v>
      </c>
      <c r="FX21" s="258">
        <f>-SUMIFS('Cost Phasing'!108:108,'Cost Phasing'!51:51,FX7)</f>
        <v>0</v>
      </c>
      <c r="FY21" s="258">
        <f>-SUMIFS('Cost Phasing'!108:108,'Cost Phasing'!51:51,FY7)</f>
        <v>0</v>
      </c>
      <c r="FZ21" s="258">
        <f>-SUMIFS('Cost Phasing'!108:108,'Cost Phasing'!51:51,FZ7)</f>
        <v>0</v>
      </c>
      <c r="GA21" s="258">
        <f>-SUMIFS('Cost Phasing'!108:108,'Cost Phasing'!51:51,GA7)</f>
        <v>0</v>
      </c>
      <c r="GB21" s="258">
        <f>-SUMIFS('Cost Phasing'!108:108,'Cost Phasing'!51:51,GB7)</f>
        <v>0</v>
      </c>
      <c r="GC21" s="258">
        <f>-SUMIFS('Cost Phasing'!108:108,'Cost Phasing'!51:51,GC7)</f>
        <v>0</v>
      </c>
      <c r="GD21" s="258">
        <f>-SUMIFS('Cost Phasing'!108:108,'Cost Phasing'!51:51,GD7)</f>
        <v>0</v>
      </c>
      <c r="GE21" s="258">
        <f>-SUMIFS('Cost Phasing'!108:108,'Cost Phasing'!51:51,GE7)</f>
        <v>0</v>
      </c>
      <c r="GF21" s="258">
        <f>-SUMIFS('Cost Phasing'!108:108,'Cost Phasing'!51:51,GF7)</f>
        <v>0</v>
      </c>
      <c r="GG21" s="258">
        <f>-SUMIFS('Cost Phasing'!108:108,'Cost Phasing'!51:51,GG7)</f>
        <v>0</v>
      </c>
      <c r="GH21" s="258">
        <f>-SUMIFS('Cost Phasing'!108:108,'Cost Phasing'!51:51,GH7)</f>
        <v>0</v>
      </c>
      <c r="GI21" s="258">
        <f>-SUMIFS('Cost Phasing'!108:108,'Cost Phasing'!51:51,GI7)</f>
        <v>0</v>
      </c>
      <c r="GJ21" s="258">
        <f>-SUMIFS('Cost Phasing'!108:108,'Cost Phasing'!51:51,GJ7)</f>
        <v>0</v>
      </c>
      <c r="GK21" s="258">
        <f>-SUMIFS('Cost Phasing'!108:108,'Cost Phasing'!51:51,GK7)</f>
        <v>0</v>
      </c>
      <c r="GL21" s="258">
        <f>-SUMIFS('Cost Phasing'!108:108,'Cost Phasing'!51:51,GL7)</f>
        <v>0</v>
      </c>
      <c r="GM21" s="258">
        <f>-SUMIFS('Cost Phasing'!108:108,'Cost Phasing'!51:51,GM7)</f>
        <v>0</v>
      </c>
      <c r="GN21" s="258">
        <f>-SUMIFS('Cost Phasing'!108:108,'Cost Phasing'!51:51,GN7)</f>
        <v>0</v>
      </c>
      <c r="GO21" s="258">
        <f>-SUMIFS('Cost Phasing'!108:108,'Cost Phasing'!51:51,GO7)</f>
        <v>0</v>
      </c>
      <c r="GP21" s="258">
        <f>-SUMIFS('Cost Phasing'!108:108,'Cost Phasing'!51:51,GP7)</f>
        <v>0</v>
      </c>
      <c r="GQ21" s="258">
        <f>-SUMIFS('Cost Phasing'!108:108,'Cost Phasing'!51:51,GQ7)</f>
        <v>0</v>
      </c>
      <c r="GR21" s="258">
        <f>-SUMIFS('Cost Phasing'!108:108,'Cost Phasing'!51:51,GR7)</f>
        <v>0</v>
      </c>
      <c r="GS21" s="258">
        <f>-SUMIFS('Cost Phasing'!108:108,'Cost Phasing'!51:51,GS7)</f>
        <v>0</v>
      </c>
      <c r="GT21" s="258">
        <f>-SUMIFS('Cost Phasing'!108:108,'Cost Phasing'!51:51,GT7)</f>
        <v>0</v>
      </c>
      <c r="GU21" s="258">
        <f>-SUMIFS('Cost Phasing'!108:108,'Cost Phasing'!51:51,GU7)</f>
        <v>0</v>
      </c>
      <c r="GV21" s="258">
        <f>-SUMIFS('Cost Phasing'!108:108,'Cost Phasing'!51:51,GV7)</f>
        <v>0</v>
      </c>
      <c r="GW21" s="258">
        <f>-SUMIFS('Cost Phasing'!108:108,'Cost Phasing'!51:51,GW7)</f>
        <v>0</v>
      </c>
      <c r="GX21" s="258">
        <f>-SUMIFS('Cost Phasing'!108:108,'Cost Phasing'!51:51,GX7)</f>
        <v>0</v>
      </c>
      <c r="GY21" s="258">
        <f>-SUMIFS('Cost Phasing'!108:108,'Cost Phasing'!51:51,GY7)</f>
        <v>0</v>
      </c>
      <c r="GZ21" s="258">
        <f>-SUMIFS('Cost Phasing'!108:108,'Cost Phasing'!51:51,GZ7)</f>
        <v>0</v>
      </c>
      <c r="HA21" s="258">
        <f>-SUMIFS('Cost Phasing'!108:108,'Cost Phasing'!51:51,HA7)</f>
        <v>0</v>
      </c>
      <c r="HB21" s="258">
        <f>-SUMIFS('Cost Phasing'!108:108,'Cost Phasing'!51:51,HB7)</f>
        <v>0</v>
      </c>
      <c r="HC21" s="258">
        <f>-SUMIFS('Cost Phasing'!108:108,'Cost Phasing'!51:51,HC7)</f>
        <v>0</v>
      </c>
      <c r="HD21" s="258">
        <f>-SUMIFS('Cost Phasing'!108:108,'Cost Phasing'!51:51,HD7)</f>
        <v>0</v>
      </c>
      <c r="HE21" s="258">
        <f>-SUMIFS('Cost Phasing'!108:108,'Cost Phasing'!51:51,HE7)</f>
        <v>0</v>
      </c>
      <c r="HF21" s="258">
        <f>-SUMIFS('Cost Phasing'!108:108,'Cost Phasing'!51:51,HF7)</f>
        <v>0</v>
      </c>
      <c r="HG21" s="258">
        <f>-SUMIFS('Cost Phasing'!108:108,'Cost Phasing'!51:51,HG7)</f>
        <v>0</v>
      </c>
      <c r="HH21" s="258">
        <f>-SUMIFS('Cost Phasing'!108:108,'Cost Phasing'!51:51,HH7)</f>
        <v>0</v>
      </c>
      <c r="HI21" s="258">
        <f>-SUMIFS('Cost Phasing'!108:108,'Cost Phasing'!51:51,HI7)</f>
        <v>0</v>
      </c>
      <c r="HJ21" s="258">
        <f>-SUMIFS('Cost Phasing'!108:108,'Cost Phasing'!51:51,HJ7)</f>
        <v>0</v>
      </c>
      <c r="HK21" s="258">
        <f>-SUMIFS('Cost Phasing'!108:108,'Cost Phasing'!51:51,HK7)</f>
        <v>0</v>
      </c>
      <c r="HL21" s="258">
        <f>-SUMIFS('Cost Phasing'!108:108,'Cost Phasing'!51:51,HL7)</f>
        <v>0</v>
      </c>
      <c r="HM21" s="258">
        <f>-SUMIFS('Cost Phasing'!108:108,'Cost Phasing'!51:51,HM7)</f>
        <v>0</v>
      </c>
      <c r="HN21" s="258">
        <f>-SUMIFS('Cost Phasing'!108:108,'Cost Phasing'!51:51,HN7)</f>
        <v>0</v>
      </c>
      <c r="HO21" s="258">
        <f>-SUMIFS('Cost Phasing'!108:108,'Cost Phasing'!51:51,HO7)</f>
        <v>0</v>
      </c>
      <c r="HP21" s="258">
        <f>-SUMIFS('Cost Phasing'!108:108,'Cost Phasing'!51:51,HP7)</f>
        <v>0</v>
      </c>
      <c r="HQ21" s="258">
        <f>-SUMIFS('Cost Phasing'!108:108,'Cost Phasing'!51:51,HQ7)</f>
        <v>0</v>
      </c>
      <c r="HR21" s="258">
        <f>-SUMIFS('Cost Phasing'!108:108,'Cost Phasing'!51:51,HR7)</f>
        <v>0</v>
      </c>
      <c r="HS21" s="258">
        <f>-SUMIFS('Cost Phasing'!108:108,'Cost Phasing'!51:51,HS7)</f>
        <v>0</v>
      </c>
      <c r="HT21" s="258">
        <f>-SUMIFS('Cost Phasing'!108:108,'Cost Phasing'!51:51,HT7)</f>
        <v>0</v>
      </c>
      <c r="HU21" s="258">
        <f>-SUMIFS('Cost Phasing'!108:108,'Cost Phasing'!51:51,HU7)</f>
        <v>0</v>
      </c>
      <c r="HV21" s="258">
        <f>-SUMIFS('Cost Phasing'!108:108,'Cost Phasing'!51:51,HV7)</f>
        <v>0</v>
      </c>
      <c r="HW21" s="258">
        <f>-SUMIFS('Cost Phasing'!108:108,'Cost Phasing'!51:51,HW7)</f>
        <v>0</v>
      </c>
      <c r="HX21" s="258">
        <f>-SUMIFS('Cost Phasing'!108:108,'Cost Phasing'!51:51,HX7)</f>
        <v>0</v>
      </c>
      <c r="HY21" s="258">
        <f>-SUMIFS('Cost Phasing'!108:108,'Cost Phasing'!51:51,HY7)</f>
        <v>0</v>
      </c>
      <c r="HZ21" s="258">
        <f>-SUMIFS('Cost Phasing'!108:108,'Cost Phasing'!51:51,HZ7)</f>
        <v>0</v>
      </c>
      <c r="IA21" s="258">
        <f>-SUMIFS('Cost Phasing'!108:108,'Cost Phasing'!51:51,IA7)</f>
        <v>0</v>
      </c>
      <c r="IB21" s="258">
        <f>-SUMIFS('Cost Phasing'!108:108,'Cost Phasing'!51:51,IB7)</f>
        <v>0</v>
      </c>
      <c r="IC21" s="258">
        <f>-SUMIFS('Cost Phasing'!108:108,'Cost Phasing'!51:51,IC7)</f>
        <v>0</v>
      </c>
      <c r="ID21" s="258">
        <f>-SUMIFS('Cost Phasing'!108:108,'Cost Phasing'!51:51,ID7)</f>
        <v>0</v>
      </c>
      <c r="IE21" s="258">
        <f>-SUMIFS('Cost Phasing'!108:108,'Cost Phasing'!51:51,IE7)</f>
        <v>0</v>
      </c>
      <c r="IF21" s="258">
        <f>-SUMIFS('Cost Phasing'!108:108,'Cost Phasing'!51:51,IF7)</f>
        <v>0</v>
      </c>
      <c r="IG21" s="258">
        <f>-SUMIFS('Cost Phasing'!108:108,'Cost Phasing'!51:51,IG7)</f>
        <v>0</v>
      </c>
      <c r="IH21" s="258">
        <f>-SUMIFS('Cost Phasing'!108:108,'Cost Phasing'!51:51,IH7)</f>
        <v>0</v>
      </c>
      <c r="II21" s="258">
        <f>-SUMIFS('Cost Phasing'!108:108,'Cost Phasing'!51:51,II7)</f>
        <v>0</v>
      </c>
      <c r="IJ21" s="258">
        <f>-SUMIFS('Cost Phasing'!108:108,'Cost Phasing'!51:51,IJ7)</f>
        <v>0</v>
      </c>
      <c r="IK21" s="258">
        <f>-SUMIFS('Cost Phasing'!108:108,'Cost Phasing'!51:51,IK7)</f>
        <v>0</v>
      </c>
      <c r="IL21" s="258">
        <f>-SUMIFS('Cost Phasing'!108:108,'Cost Phasing'!51:51,IL7)</f>
        <v>0</v>
      </c>
      <c r="IM21" s="258">
        <f>-SUMIFS('Cost Phasing'!108:108,'Cost Phasing'!51:51,IM7)</f>
        <v>0</v>
      </c>
      <c r="IN21" s="258">
        <f>-SUMIFS('Cost Phasing'!108:108,'Cost Phasing'!51:51,IN7)</f>
        <v>0</v>
      </c>
      <c r="IO21" s="258">
        <f>-SUMIFS('Cost Phasing'!108:108,'Cost Phasing'!51:51,IO7)</f>
        <v>0</v>
      </c>
      <c r="IP21" s="258">
        <f>-SUMIFS('Cost Phasing'!108:108,'Cost Phasing'!51:51,IP7)</f>
        <v>0</v>
      </c>
      <c r="IQ21" s="258">
        <f>-SUMIFS('Cost Phasing'!108:108,'Cost Phasing'!51:51,IQ7)</f>
        <v>0</v>
      </c>
      <c r="IR21" s="258">
        <f>-SUMIFS('Cost Phasing'!108:108,'Cost Phasing'!51:51,IR7)</f>
        <v>0</v>
      </c>
      <c r="IS21" s="258">
        <f>-SUMIFS('Cost Phasing'!108:108,'Cost Phasing'!51:51,IS7)</f>
        <v>0</v>
      </c>
      <c r="IT21" s="258">
        <f>-SUMIFS('Cost Phasing'!108:108,'Cost Phasing'!51:51,IT7)</f>
        <v>0</v>
      </c>
      <c r="IU21" s="258">
        <f>-SUMIFS('Cost Phasing'!108:108,'Cost Phasing'!51:51,IU7)</f>
        <v>0</v>
      </c>
      <c r="IV21" s="258">
        <f>-SUMIFS('Cost Phasing'!108:108,'Cost Phasing'!51:51,IV7)</f>
        <v>0</v>
      </c>
      <c r="IW21" s="258">
        <f>-SUMIFS('Cost Phasing'!108:108,'Cost Phasing'!51:51,IW7)</f>
        <v>0</v>
      </c>
      <c r="IX21" s="258">
        <f>-SUMIFS('Cost Phasing'!108:108,'Cost Phasing'!51:51,IX7)</f>
        <v>0</v>
      </c>
      <c r="IY21" s="258">
        <f>-SUMIFS('Cost Phasing'!108:108,'Cost Phasing'!51:51,IY7)</f>
        <v>0</v>
      </c>
      <c r="IZ21" s="258">
        <f>-SUMIFS('Cost Phasing'!108:108,'Cost Phasing'!51:51,IZ7)</f>
        <v>0</v>
      </c>
      <c r="JA21" s="258">
        <f>-SUMIFS('Cost Phasing'!108:108,'Cost Phasing'!51:51,JA7)</f>
        <v>0</v>
      </c>
      <c r="JB21" s="258">
        <f>-SUMIFS('Cost Phasing'!108:108,'Cost Phasing'!51:51,JB7)</f>
        <v>0</v>
      </c>
      <c r="JC21" s="258">
        <f>-SUMIFS('Cost Phasing'!108:108,'Cost Phasing'!51:51,JC7)</f>
        <v>0</v>
      </c>
      <c r="JD21" s="258">
        <f>-SUMIFS('Cost Phasing'!108:108,'Cost Phasing'!51:51,JD7)</f>
        <v>0</v>
      </c>
      <c r="JE21" s="258">
        <f>-SUMIFS('Cost Phasing'!108:108,'Cost Phasing'!51:51,JE7)</f>
        <v>0</v>
      </c>
      <c r="JF21" s="258">
        <f>-SUMIFS('Cost Phasing'!108:108,'Cost Phasing'!51:51,JF7)</f>
        <v>0</v>
      </c>
      <c r="JG21" s="258">
        <f>-SUMIFS('Cost Phasing'!108:108,'Cost Phasing'!51:51,JG7)</f>
        <v>0</v>
      </c>
      <c r="JH21" s="258">
        <f>-SUMIFS('Cost Phasing'!108:108,'Cost Phasing'!51:51,JH7)</f>
        <v>0</v>
      </c>
      <c r="JI21" s="258">
        <f>-SUMIFS('Cost Phasing'!108:108,'Cost Phasing'!51:51,JI7)</f>
        <v>0</v>
      </c>
      <c r="JJ21" s="258">
        <f>-SUMIFS('Cost Phasing'!108:108,'Cost Phasing'!51:51,JJ7)</f>
        <v>0</v>
      </c>
      <c r="JK21" s="258">
        <f>-SUMIFS('Cost Phasing'!108:108,'Cost Phasing'!51:51,JK7)</f>
        <v>0</v>
      </c>
      <c r="JL21" s="258">
        <f>-SUMIFS('Cost Phasing'!108:108,'Cost Phasing'!51:51,JL7)</f>
        <v>0</v>
      </c>
      <c r="JM21" s="258">
        <f>-SUMIFS('Cost Phasing'!108:108,'Cost Phasing'!51:51,JM7)</f>
        <v>0</v>
      </c>
      <c r="JN21" s="258">
        <f>-SUMIFS('Cost Phasing'!108:108,'Cost Phasing'!51:51,JN7)</f>
        <v>0</v>
      </c>
      <c r="JO21" s="258">
        <f>-SUMIFS('Cost Phasing'!108:108,'Cost Phasing'!51:51,JO7)</f>
        <v>0</v>
      </c>
      <c r="JP21" s="258">
        <f>-SUMIFS('Cost Phasing'!108:108,'Cost Phasing'!51:51,JP7)</f>
        <v>0</v>
      </c>
      <c r="JQ21" s="258">
        <f>-SUMIFS('Cost Phasing'!108:108,'Cost Phasing'!51:51,JQ7)</f>
        <v>0</v>
      </c>
      <c r="JR21" s="258">
        <f>-SUMIFS('Cost Phasing'!108:108,'Cost Phasing'!51:51,JR7)</f>
        <v>0</v>
      </c>
      <c r="JS21" s="258">
        <f>-SUMIFS('Cost Phasing'!108:108,'Cost Phasing'!51:51,JS7)</f>
        <v>0</v>
      </c>
      <c r="JT21" s="258">
        <f>-SUMIFS('Cost Phasing'!108:108,'Cost Phasing'!51:51,JT7)</f>
        <v>0</v>
      </c>
      <c r="JU21" s="258">
        <f>-SUMIFS('Cost Phasing'!108:108,'Cost Phasing'!51:51,JU7)</f>
        <v>0</v>
      </c>
      <c r="JV21" s="258">
        <f>-SUMIFS('Cost Phasing'!108:108,'Cost Phasing'!51:51,JV7)</f>
        <v>0</v>
      </c>
      <c r="JW21" s="258">
        <f>-SUMIFS('Cost Phasing'!108:108,'Cost Phasing'!51:51,JW7)</f>
        <v>0</v>
      </c>
      <c r="JX21" s="258">
        <f>-SUMIFS('Cost Phasing'!108:108,'Cost Phasing'!51:51,JX7)</f>
        <v>0</v>
      </c>
      <c r="JY21" s="258">
        <f>-SUMIFS('Cost Phasing'!108:108,'Cost Phasing'!51:51,JY7)</f>
        <v>0</v>
      </c>
      <c r="JZ21" s="258">
        <f>-SUMIFS('Cost Phasing'!108:108,'Cost Phasing'!51:51,JZ7)</f>
        <v>0</v>
      </c>
      <c r="KA21" s="258">
        <f>-SUMIFS('Cost Phasing'!108:108,'Cost Phasing'!51:51,KA7)</f>
        <v>0</v>
      </c>
      <c r="KB21" s="258">
        <f>-SUMIFS('Cost Phasing'!108:108,'Cost Phasing'!51:51,KB7)</f>
        <v>0</v>
      </c>
      <c r="KC21" s="265">
        <f t="shared" si="432"/>
        <v>-34.09973597768068</v>
      </c>
    </row>
    <row r="22" spans="1:289" x14ac:dyDescent="0.3">
      <c r="A22" s="1" t="s">
        <v>235</v>
      </c>
      <c r="B22" s="257">
        <f t="shared" si="431"/>
        <v>-24.942860386226911</v>
      </c>
      <c r="C22" s="258">
        <f>-SUMIFS('Cost Phasing'!73:73,'Cost Phasing'!67:67,C7)</f>
        <v>0</v>
      </c>
      <c r="D22" s="258">
        <f>-SUMIFS('Cost Phasing'!73:73,'Cost Phasing'!67:67,D7)</f>
        <v>-0.42729255149933798</v>
      </c>
      <c r="E22" s="258">
        <f>-SUMIFS('Cost Phasing'!73:73,'Cost Phasing'!67:67,E7)</f>
        <v>-0.42729255149933798</v>
      </c>
      <c r="F22" s="258">
        <f>-SUMIFS('Cost Phasing'!73:73,'Cost Phasing'!67:67,F7)</f>
        <v>-0.34183404119947036</v>
      </c>
      <c r="G22" s="258">
        <f>-SUMIFS('Cost Phasing'!73:73,'Cost Phasing'!67:67,G7)</f>
        <v>-0.34183404119947036</v>
      </c>
      <c r="H22" s="258">
        <f>-SUMIFS('Cost Phasing'!73:73,'Cost Phasing'!67:67,H7)</f>
        <v>-0.34183404119947036</v>
      </c>
      <c r="I22" s="258">
        <f>-SUMIFS('Cost Phasing'!73:73,'Cost Phasing'!67:67,I7)</f>
        <v>-0.34183404119947036</v>
      </c>
      <c r="J22" s="258">
        <f>-SUMIFS('Cost Phasing'!73:73,'Cost Phasing'!67:67,J7)</f>
        <v>-0.34183404119947036</v>
      </c>
      <c r="K22" s="258">
        <f>-SUMIFS('Cost Phasing'!73:73,'Cost Phasing'!67:67,K7)</f>
        <v>-0.34183404119947036</v>
      </c>
      <c r="L22" s="258">
        <f>-SUMIFS('Cost Phasing'!73:73,'Cost Phasing'!67:67,L7)</f>
        <v>-0.34183404119947036</v>
      </c>
      <c r="M22" s="258">
        <f>-SUMIFS('Cost Phasing'!73:73,'Cost Phasing'!67:67,M7)</f>
        <v>-0.34183404119947036</v>
      </c>
      <c r="N22" s="258">
        <f>-SUMIFS('Cost Phasing'!73:73,'Cost Phasing'!67:67,N7)</f>
        <v>-0.34183404119947036</v>
      </c>
      <c r="O22" s="258">
        <f>-SUMIFS('Cost Phasing'!73:73,'Cost Phasing'!67:67,O7)</f>
        <v>-0.34183404119947036</v>
      </c>
      <c r="P22" s="258">
        <f>-SUMIFS('Cost Phasing'!73:73,'Cost Phasing'!67:67,P7)</f>
        <v>-0.82764315707585812</v>
      </c>
      <c r="Q22" s="258">
        <f>-SUMIFS('Cost Phasing'!73:73,'Cost Phasing'!67:67,Q7)</f>
        <v>-0.82764315707585812</v>
      </c>
      <c r="R22" s="258">
        <f>-SUMIFS('Cost Phasing'!73:73,'Cost Phasing'!67:67,R7)</f>
        <v>-0.66211452566068651</v>
      </c>
      <c r="S22" s="258">
        <f>-SUMIFS('Cost Phasing'!73:73,'Cost Phasing'!67:67,S7)</f>
        <v>-0.66211452566068651</v>
      </c>
      <c r="T22" s="258">
        <f>-SUMIFS('Cost Phasing'!73:73,'Cost Phasing'!67:67,T7)</f>
        <v>-0.66211452566068651</v>
      </c>
      <c r="U22" s="258">
        <f>-SUMIFS('Cost Phasing'!73:73,'Cost Phasing'!67:67,U7)</f>
        <v>-0.66211452566068651</v>
      </c>
      <c r="V22" s="258">
        <f>-SUMIFS('Cost Phasing'!73:73,'Cost Phasing'!67:67,V7)</f>
        <v>-0.66211452566068651</v>
      </c>
      <c r="W22" s="258">
        <f>-SUMIFS('Cost Phasing'!73:73,'Cost Phasing'!67:67,W7)</f>
        <v>-0.66211452566068651</v>
      </c>
      <c r="X22" s="258">
        <f>-SUMIFS('Cost Phasing'!73:73,'Cost Phasing'!67:67,X7)</f>
        <v>-0.66211452566068651</v>
      </c>
      <c r="Y22" s="258">
        <f>-SUMIFS('Cost Phasing'!73:73,'Cost Phasing'!67:67,Y7)</f>
        <v>-1.0071173837589682</v>
      </c>
      <c r="Z22" s="258">
        <f>-SUMIFS('Cost Phasing'!73:73,'Cost Phasing'!67:67,Z7)</f>
        <v>-1.0071173837589682</v>
      </c>
      <c r="AA22" s="258">
        <f>-SUMIFS('Cost Phasing'!73:73,'Cost Phasing'!67:67,AA7)</f>
        <v>-0.93811681213931175</v>
      </c>
      <c r="AB22" s="258">
        <f>-SUMIFS('Cost Phasing'!73:73,'Cost Phasing'!67:67,AB7)</f>
        <v>-0.27600228647862524</v>
      </c>
      <c r="AC22" s="258">
        <f>-SUMIFS('Cost Phasing'!73:73,'Cost Phasing'!67:67,AC7)</f>
        <v>-0.27600228647862524</v>
      </c>
      <c r="AD22" s="258">
        <f>-SUMIFS('Cost Phasing'!73:73,'Cost Phasing'!67:67,AD7)</f>
        <v>-0.27600228647862524</v>
      </c>
      <c r="AE22" s="258">
        <f>-SUMIFS('Cost Phasing'!73:73,'Cost Phasing'!67:67,AE7)</f>
        <v>-0.27600228647862524</v>
      </c>
      <c r="AF22" s="258">
        <f>-SUMIFS('Cost Phasing'!73:73,'Cost Phasing'!67:67,AF7)</f>
        <v>-0.27600228647862524</v>
      </c>
      <c r="AG22" s="258">
        <f>-SUMIFS('Cost Phasing'!73:73,'Cost Phasing'!67:67,AG7)</f>
        <v>-0.27600228647862524</v>
      </c>
      <c r="AH22" s="258">
        <f>-SUMIFS('Cost Phasing'!73:73,'Cost Phasing'!67:67,AH7)</f>
        <v>-1.0161415096376576</v>
      </c>
      <c r="AI22" s="258">
        <f>-SUMIFS('Cost Phasing'!73:73,'Cost Phasing'!67:67,AI7)</f>
        <v>-1.0161415096376576</v>
      </c>
      <c r="AJ22" s="258">
        <f>-SUMIFS('Cost Phasing'!73:73,'Cost Phasing'!67:67,AJ7)</f>
        <v>-0.86811366500585097</v>
      </c>
      <c r="AK22" s="258">
        <f>-SUMIFS('Cost Phasing'!73:73,'Cost Phasing'!67:67,AK7)</f>
        <v>-0.59211137852722573</v>
      </c>
      <c r="AL22" s="258">
        <f>-SUMIFS('Cost Phasing'!73:73,'Cost Phasing'!67:67,AL7)</f>
        <v>-0.59211137852722573</v>
      </c>
      <c r="AM22" s="258">
        <f>-SUMIFS('Cost Phasing'!73:73,'Cost Phasing'!67:67,AM7)</f>
        <v>-0.59211137852722573</v>
      </c>
      <c r="AN22" s="258">
        <f>-SUMIFS('Cost Phasing'!73:73,'Cost Phasing'!67:67,AN7)</f>
        <v>-0.59211137852722573</v>
      </c>
      <c r="AO22" s="258">
        <f>-SUMIFS('Cost Phasing'!73:73,'Cost Phasing'!67:67,AO7)</f>
        <v>-0.59211137852722573</v>
      </c>
      <c r="AP22" s="258">
        <f>-SUMIFS('Cost Phasing'!73:73,'Cost Phasing'!67:67,AP7)</f>
        <v>-0.59211137852722573</v>
      </c>
      <c r="AQ22" s="258">
        <f>-SUMIFS('Cost Phasing'!73:73,'Cost Phasing'!67:67,AQ7)</f>
        <v>-0.69491687772068111</v>
      </c>
      <c r="AR22" s="258">
        <f>-SUMIFS('Cost Phasing'!73:73,'Cost Phasing'!67:67,AR7)</f>
        <v>-0.69491687772068111</v>
      </c>
      <c r="AS22" s="258">
        <f>-SUMIFS('Cost Phasing'!73:73,'Cost Phasing'!67:67,AS7)</f>
        <v>-0.69491687772068111</v>
      </c>
      <c r="AT22" s="258">
        <f>-SUMIFS('Cost Phasing'!73:73,'Cost Phasing'!67:67,AT7)</f>
        <v>-0.10280549919345533</v>
      </c>
      <c r="AU22" s="258">
        <f>-SUMIFS('Cost Phasing'!73:73,'Cost Phasing'!67:67,AU7)</f>
        <v>-0.10280549919345533</v>
      </c>
      <c r="AV22" s="258">
        <f>-SUMIFS('Cost Phasing'!73:73,'Cost Phasing'!67:67,AV7)</f>
        <v>-0.10280549919345533</v>
      </c>
      <c r="AW22" s="258">
        <f>-SUMIFS('Cost Phasing'!73:73,'Cost Phasing'!67:67,AW7)</f>
        <v>-0.10280549919345533</v>
      </c>
      <c r="AX22" s="258">
        <f>-SUMIFS('Cost Phasing'!73:73,'Cost Phasing'!67:67,AX7)</f>
        <v>-0.10280549919345533</v>
      </c>
      <c r="AY22" s="258">
        <f>-SUMIFS('Cost Phasing'!73:73,'Cost Phasing'!67:67,AY7)</f>
        <v>-0.10280549919345533</v>
      </c>
      <c r="AZ22" s="258">
        <f>-SUMIFS('Cost Phasing'!73:73,'Cost Phasing'!67:67,AZ7)</f>
        <v>-0.10280549919345533</v>
      </c>
      <c r="BA22" s="258">
        <f>-SUMIFS('Cost Phasing'!73:73,'Cost Phasing'!67:67,BA7)</f>
        <v>-0.10280549919345533</v>
      </c>
      <c r="BB22" s="258">
        <f>-SUMIFS('Cost Phasing'!73:73,'Cost Phasing'!67:67,BB7)</f>
        <v>-0.10280549919345533</v>
      </c>
      <c r="BC22" s="258">
        <f>-SUMIFS('Cost Phasing'!73:73,'Cost Phasing'!67:67,BC7)</f>
        <v>-0.10280549919345533</v>
      </c>
      <c r="BD22" s="258">
        <f>-SUMIFS('Cost Phasing'!73:73,'Cost Phasing'!67:67,BD7)</f>
        <v>-0.10280549919345533</v>
      </c>
      <c r="BE22" s="258">
        <f>-SUMIFS('Cost Phasing'!73:73,'Cost Phasing'!67:67,BE7)</f>
        <v>-0.10280549919345533</v>
      </c>
      <c r="BF22" s="258">
        <f>-SUMIFS('Cost Phasing'!73:73,'Cost Phasing'!67:67,BF7)</f>
        <v>0</v>
      </c>
      <c r="BG22" s="258">
        <f>-SUMIFS('Cost Phasing'!73:73,'Cost Phasing'!67:67,BG7)</f>
        <v>0</v>
      </c>
      <c r="BH22" s="258">
        <f>-SUMIFS('Cost Phasing'!73:73,'Cost Phasing'!67:67,BH7)</f>
        <v>0</v>
      </c>
      <c r="BI22" s="258">
        <f>-SUMIFS('Cost Phasing'!73:73,'Cost Phasing'!67:67,BI7)</f>
        <v>0</v>
      </c>
      <c r="BJ22" s="258">
        <f>-SUMIFS('Cost Phasing'!73:73,'Cost Phasing'!67:67,BJ7)</f>
        <v>0</v>
      </c>
      <c r="BK22" s="258">
        <f>-SUMIFS('Cost Phasing'!73:73,'Cost Phasing'!67:67,BK7)</f>
        <v>0</v>
      </c>
      <c r="BL22" s="258">
        <f>-SUMIFS('Cost Phasing'!73:73,'Cost Phasing'!67:67,BL7)</f>
        <v>0</v>
      </c>
      <c r="BM22" s="258">
        <f>-SUMIFS('Cost Phasing'!73:73,'Cost Phasing'!67:67,BM7)</f>
        <v>0</v>
      </c>
      <c r="BN22" s="258">
        <f>-SUMIFS('Cost Phasing'!73:73,'Cost Phasing'!67:67,BN7)</f>
        <v>0</v>
      </c>
      <c r="BO22" s="258">
        <f>-SUMIFS('Cost Phasing'!73:73,'Cost Phasing'!67:67,BO7)</f>
        <v>0</v>
      </c>
      <c r="BP22" s="258">
        <f>-SUMIFS('Cost Phasing'!73:73,'Cost Phasing'!67:67,BP7)</f>
        <v>0</v>
      </c>
      <c r="BQ22" s="258">
        <f>-SUMIFS('Cost Phasing'!73:73,'Cost Phasing'!67:67,BQ7)</f>
        <v>0</v>
      </c>
      <c r="BR22" s="258">
        <f>-SUMIFS('Cost Phasing'!73:73,'Cost Phasing'!67:67,BR7)</f>
        <v>0</v>
      </c>
      <c r="BS22" s="258">
        <f>-SUMIFS('Cost Phasing'!73:73,'Cost Phasing'!67:67,BS7)</f>
        <v>0</v>
      </c>
      <c r="BT22" s="258">
        <f>-SUMIFS('Cost Phasing'!73:73,'Cost Phasing'!67:67,BT7)</f>
        <v>0</v>
      </c>
      <c r="BU22" s="258">
        <f>-SUMIFS('Cost Phasing'!73:73,'Cost Phasing'!67:67,BU7)</f>
        <v>0</v>
      </c>
      <c r="BV22" s="258">
        <f>-SUMIFS('Cost Phasing'!73:73,'Cost Phasing'!67:67,BV7)</f>
        <v>0</v>
      </c>
      <c r="BW22" s="258">
        <f>-SUMIFS('Cost Phasing'!73:73,'Cost Phasing'!67:67,BW7)</f>
        <v>0</v>
      </c>
      <c r="BX22" s="258">
        <f>-SUMIFS('Cost Phasing'!73:73,'Cost Phasing'!67:67,BX7)</f>
        <v>0</v>
      </c>
      <c r="BY22" s="258">
        <f>-SUMIFS('Cost Phasing'!73:73,'Cost Phasing'!67:67,BY7)</f>
        <v>0</v>
      </c>
      <c r="BZ22" s="258">
        <f>-SUMIFS('Cost Phasing'!73:73,'Cost Phasing'!67:67,BZ7)</f>
        <v>0</v>
      </c>
      <c r="CA22" s="258">
        <f>-SUMIFS('Cost Phasing'!73:73,'Cost Phasing'!67:67,CA7)</f>
        <v>0</v>
      </c>
      <c r="CB22" s="258">
        <f>-SUMIFS('Cost Phasing'!73:73,'Cost Phasing'!67:67,CB7)</f>
        <v>0</v>
      </c>
      <c r="CC22" s="258">
        <f>-SUMIFS('Cost Phasing'!73:73,'Cost Phasing'!67:67,CC7)</f>
        <v>0</v>
      </c>
      <c r="CD22" s="258">
        <f>-SUMIFS('Cost Phasing'!73:73,'Cost Phasing'!67:67,CD7)</f>
        <v>0</v>
      </c>
      <c r="CE22" s="258">
        <f>-SUMIFS('Cost Phasing'!73:73,'Cost Phasing'!67:67,CE7)</f>
        <v>0</v>
      </c>
      <c r="CF22" s="258">
        <f>-SUMIFS('Cost Phasing'!73:73,'Cost Phasing'!67:67,CF7)</f>
        <v>0</v>
      </c>
      <c r="CG22" s="258">
        <f>-SUMIFS('Cost Phasing'!73:73,'Cost Phasing'!67:67,CG7)</f>
        <v>0</v>
      </c>
      <c r="CH22" s="258">
        <f>-SUMIFS('Cost Phasing'!73:73,'Cost Phasing'!67:67,CH7)</f>
        <v>0</v>
      </c>
      <c r="CI22" s="258">
        <f>-SUMIFS('Cost Phasing'!73:73,'Cost Phasing'!67:67,CI7)</f>
        <v>0</v>
      </c>
      <c r="CJ22" s="258">
        <f>-SUMIFS('Cost Phasing'!73:73,'Cost Phasing'!67:67,CJ7)</f>
        <v>0</v>
      </c>
      <c r="CK22" s="258">
        <f>-SUMIFS('Cost Phasing'!73:73,'Cost Phasing'!67:67,CK7)</f>
        <v>0</v>
      </c>
      <c r="CL22" s="258">
        <f>-SUMIFS('Cost Phasing'!73:73,'Cost Phasing'!67:67,CL7)</f>
        <v>0</v>
      </c>
      <c r="CM22" s="258">
        <f>-SUMIFS('Cost Phasing'!73:73,'Cost Phasing'!67:67,CM7)</f>
        <v>0</v>
      </c>
      <c r="CN22" s="258">
        <f>-SUMIFS('Cost Phasing'!73:73,'Cost Phasing'!67:67,CN7)</f>
        <v>0</v>
      </c>
      <c r="CO22" s="258">
        <f>-SUMIFS('Cost Phasing'!73:73,'Cost Phasing'!67:67,CO7)</f>
        <v>0</v>
      </c>
      <c r="CP22" s="258">
        <f>-SUMIFS('Cost Phasing'!73:73,'Cost Phasing'!67:67,CP7)</f>
        <v>0</v>
      </c>
      <c r="CQ22" s="258">
        <f>-SUMIFS('Cost Phasing'!73:73,'Cost Phasing'!67:67,CQ7)</f>
        <v>0</v>
      </c>
      <c r="CR22" s="258">
        <f>-SUMIFS('Cost Phasing'!73:73,'Cost Phasing'!67:67,CR7)</f>
        <v>0</v>
      </c>
      <c r="CS22" s="258">
        <f>-SUMIFS('Cost Phasing'!73:73,'Cost Phasing'!67:67,CS7)</f>
        <v>0</v>
      </c>
      <c r="CT22" s="258">
        <f>-SUMIFS('Cost Phasing'!73:73,'Cost Phasing'!67:67,CT7)</f>
        <v>0</v>
      </c>
      <c r="CU22" s="258">
        <f>-SUMIFS('Cost Phasing'!73:73,'Cost Phasing'!67:67,CU7)</f>
        <v>0</v>
      </c>
      <c r="CV22" s="258">
        <f>-SUMIFS('Cost Phasing'!73:73,'Cost Phasing'!67:67,CV7)</f>
        <v>0</v>
      </c>
      <c r="CW22" s="258">
        <f>-SUMIFS('Cost Phasing'!73:73,'Cost Phasing'!67:67,CW7)</f>
        <v>0</v>
      </c>
      <c r="CX22" s="258">
        <f>-SUMIFS('Cost Phasing'!73:73,'Cost Phasing'!67:67,CX7)</f>
        <v>0</v>
      </c>
      <c r="CY22" s="258">
        <f>-SUMIFS('Cost Phasing'!73:73,'Cost Phasing'!67:67,CY7)</f>
        <v>0</v>
      </c>
      <c r="CZ22" s="258">
        <f>-SUMIFS('Cost Phasing'!73:73,'Cost Phasing'!67:67,CZ7)</f>
        <v>0</v>
      </c>
      <c r="DA22" s="258">
        <f>-SUMIFS('Cost Phasing'!73:73,'Cost Phasing'!67:67,DA7)</f>
        <v>0</v>
      </c>
      <c r="DB22" s="258">
        <f>-SUMIFS('Cost Phasing'!73:73,'Cost Phasing'!67:67,DB7)</f>
        <v>0</v>
      </c>
      <c r="DC22" s="258">
        <f>-SUMIFS('Cost Phasing'!73:73,'Cost Phasing'!67:67,DC7)</f>
        <v>0</v>
      </c>
      <c r="DD22" s="258">
        <f>-SUMIFS('Cost Phasing'!73:73,'Cost Phasing'!67:67,DD7)</f>
        <v>0</v>
      </c>
      <c r="DE22" s="258">
        <f>-SUMIFS('Cost Phasing'!73:73,'Cost Phasing'!67:67,DE7)</f>
        <v>0</v>
      </c>
      <c r="DF22" s="258">
        <f>-SUMIFS('Cost Phasing'!73:73,'Cost Phasing'!67:67,DF7)</f>
        <v>0</v>
      </c>
      <c r="DG22" s="258">
        <f>-SUMIFS('Cost Phasing'!73:73,'Cost Phasing'!67:67,DG7)</f>
        <v>0</v>
      </c>
      <c r="DH22" s="258">
        <f>-SUMIFS('Cost Phasing'!73:73,'Cost Phasing'!67:67,DH7)</f>
        <v>0</v>
      </c>
      <c r="DI22" s="258">
        <f>-SUMIFS('Cost Phasing'!73:73,'Cost Phasing'!67:67,DI7)</f>
        <v>0</v>
      </c>
      <c r="DJ22" s="258">
        <f>-SUMIFS('Cost Phasing'!73:73,'Cost Phasing'!67:67,DJ7)</f>
        <v>0</v>
      </c>
      <c r="DK22" s="258">
        <f>-SUMIFS('Cost Phasing'!73:73,'Cost Phasing'!67:67,DK7)</f>
        <v>0</v>
      </c>
      <c r="DL22" s="258">
        <f>-SUMIFS('Cost Phasing'!73:73,'Cost Phasing'!67:67,DL7)</f>
        <v>0</v>
      </c>
      <c r="DM22" s="258">
        <f>-SUMIFS('Cost Phasing'!73:73,'Cost Phasing'!67:67,DM7)</f>
        <v>0</v>
      </c>
      <c r="DN22" s="258">
        <f>-SUMIFS('Cost Phasing'!73:73,'Cost Phasing'!67:67,DN7)</f>
        <v>0</v>
      </c>
      <c r="DO22" s="258">
        <f>-SUMIFS('Cost Phasing'!73:73,'Cost Phasing'!67:67,DO7)</f>
        <v>0</v>
      </c>
      <c r="DP22" s="258">
        <f>-SUMIFS('Cost Phasing'!73:73,'Cost Phasing'!67:67,DP7)</f>
        <v>0</v>
      </c>
      <c r="DQ22" s="258">
        <f>-SUMIFS('Cost Phasing'!73:73,'Cost Phasing'!67:67,DQ7)</f>
        <v>0</v>
      </c>
      <c r="DR22" s="258">
        <f>-SUMIFS('Cost Phasing'!73:73,'Cost Phasing'!67:67,DR7)</f>
        <v>0</v>
      </c>
      <c r="DS22" s="258">
        <f>-SUMIFS('Cost Phasing'!73:73,'Cost Phasing'!67:67,DS7)</f>
        <v>0</v>
      </c>
      <c r="DT22" s="258">
        <f>-SUMIFS('Cost Phasing'!73:73,'Cost Phasing'!67:67,DT7)</f>
        <v>0</v>
      </c>
      <c r="DU22" s="258">
        <f>-SUMIFS('Cost Phasing'!73:73,'Cost Phasing'!67:67,DU7)</f>
        <v>0</v>
      </c>
      <c r="DV22" s="258">
        <f>-SUMIFS('Cost Phasing'!73:73,'Cost Phasing'!67:67,DV7)</f>
        <v>0</v>
      </c>
      <c r="DW22" s="258">
        <f>-SUMIFS('Cost Phasing'!73:73,'Cost Phasing'!67:67,DW7)</f>
        <v>0</v>
      </c>
      <c r="DX22" s="258">
        <f>-SUMIFS('Cost Phasing'!73:73,'Cost Phasing'!67:67,DX7)</f>
        <v>0</v>
      </c>
      <c r="DY22" s="258">
        <f>-SUMIFS('Cost Phasing'!73:73,'Cost Phasing'!67:67,DY7)</f>
        <v>0</v>
      </c>
      <c r="DZ22" s="258">
        <f>-SUMIFS('Cost Phasing'!73:73,'Cost Phasing'!67:67,DZ7)</f>
        <v>0</v>
      </c>
      <c r="EA22" s="258">
        <f>-SUMIFS('Cost Phasing'!73:73,'Cost Phasing'!67:67,EA7)</f>
        <v>0</v>
      </c>
      <c r="EB22" s="258">
        <f>-SUMIFS('Cost Phasing'!73:73,'Cost Phasing'!67:67,EB7)</f>
        <v>0</v>
      </c>
      <c r="EC22" s="258">
        <f>-SUMIFS('Cost Phasing'!73:73,'Cost Phasing'!67:67,EC7)</f>
        <v>0</v>
      </c>
      <c r="ED22" s="258">
        <f>-SUMIFS('Cost Phasing'!73:73,'Cost Phasing'!67:67,ED7)</f>
        <v>0</v>
      </c>
      <c r="EE22" s="258">
        <f>-SUMIFS('Cost Phasing'!73:73,'Cost Phasing'!67:67,EE7)</f>
        <v>0</v>
      </c>
      <c r="EF22" s="258">
        <f>-SUMIFS('Cost Phasing'!73:73,'Cost Phasing'!67:67,EF7)</f>
        <v>0</v>
      </c>
      <c r="EG22" s="258">
        <f>-SUMIFS('Cost Phasing'!73:73,'Cost Phasing'!67:67,EG7)</f>
        <v>0</v>
      </c>
      <c r="EH22" s="258">
        <f>-SUMIFS('Cost Phasing'!73:73,'Cost Phasing'!67:67,EH7)</f>
        <v>0</v>
      </c>
      <c r="EI22" s="258">
        <f>-SUMIFS('Cost Phasing'!73:73,'Cost Phasing'!67:67,EI7)</f>
        <v>0</v>
      </c>
      <c r="EJ22" s="258">
        <f>-SUMIFS('Cost Phasing'!73:73,'Cost Phasing'!67:67,EJ7)</f>
        <v>0</v>
      </c>
      <c r="EK22" s="258">
        <f>-SUMIFS('Cost Phasing'!73:73,'Cost Phasing'!67:67,EK7)</f>
        <v>0</v>
      </c>
      <c r="EL22" s="258">
        <f>-SUMIFS('Cost Phasing'!73:73,'Cost Phasing'!67:67,EL7)</f>
        <v>0</v>
      </c>
      <c r="EM22" s="258">
        <f>-SUMIFS('Cost Phasing'!73:73,'Cost Phasing'!67:67,EM7)</f>
        <v>0</v>
      </c>
      <c r="EN22" s="258">
        <f>-SUMIFS('Cost Phasing'!73:73,'Cost Phasing'!67:67,EN7)</f>
        <v>0</v>
      </c>
      <c r="EO22" s="258">
        <f>-SUMIFS('Cost Phasing'!73:73,'Cost Phasing'!67:67,EO7)</f>
        <v>0</v>
      </c>
      <c r="EP22" s="258">
        <f>-SUMIFS('Cost Phasing'!73:73,'Cost Phasing'!67:67,EP7)</f>
        <v>0</v>
      </c>
      <c r="EQ22" s="258">
        <f>-SUMIFS('Cost Phasing'!73:73,'Cost Phasing'!67:67,EQ7)</f>
        <v>0</v>
      </c>
      <c r="ER22" s="258">
        <f>-SUMIFS('Cost Phasing'!73:73,'Cost Phasing'!67:67,ER7)</f>
        <v>0</v>
      </c>
      <c r="ES22" s="258">
        <f>-SUMIFS('Cost Phasing'!73:73,'Cost Phasing'!67:67,ES7)</f>
        <v>0</v>
      </c>
      <c r="ET22" s="258">
        <f>-SUMIFS('Cost Phasing'!73:73,'Cost Phasing'!67:67,ET7)</f>
        <v>0</v>
      </c>
      <c r="EU22" s="258">
        <f>-SUMIFS('Cost Phasing'!73:73,'Cost Phasing'!67:67,EU7)</f>
        <v>0</v>
      </c>
      <c r="EV22" s="258">
        <f>-SUMIFS('Cost Phasing'!73:73,'Cost Phasing'!67:67,EV7)</f>
        <v>0</v>
      </c>
      <c r="EW22" s="258">
        <f>-SUMIFS('Cost Phasing'!73:73,'Cost Phasing'!67:67,EW7)</f>
        <v>0</v>
      </c>
      <c r="EX22" s="258">
        <f>-SUMIFS('Cost Phasing'!73:73,'Cost Phasing'!67:67,EX7)</f>
        <v>0</v>
      </c>
      <c r="EY22" s="258">
        <f>-SUMIFS('Cost Phasing'!73:73,'Cost Phasing'!67:67,EY7)</f>
        <v>0</v>
      </c>
      <c r="EZ22" s="258">
        <f>-SUMIFS('Cost Phasing'!73:73,'Cost Phasing'!67:67,EZ7)</f>
        <v>0</v>
      </c>
      <c r="FA22" s="258">
        <f>-SUMIFS('Cost Phasing'!73:73,'Cost Phasing'!67:67,FA7)</f>
        <v>0</v>
      </c>
      <c r="FB22" s="258">
        <f>-SUMIFS('Cost Phasing'!73:73,'Cost Phasing'!67:67,FB7)</f>
        <v>0</v>
      </c>
      <c r="FC22" s="258">
        <f>-SUMIFS('Cost Phasing'!73:73,'Cost Phasing'!67:67,FC7)</f>
        <v>0</v>
      </c>
      <c r="FD22" s="258">
        <f>-SUMIFS('Cost Phasing'!73:73,'Cost Phasing'!67:67,FD7)</f>
        <v>0</v>
      </c>
      <c r="FE22" s="258">
        <f>-SUMIFS('Cost Phasing'!73:73,'Cost Phasing'!67:67,FE7)</f>
        <v>0</v>
      </c>
      <c r="FF22" s="258">
        <f>-SUMIFS('Cost Phasing'!73:73,'Cost Phasing'!67:67,FF7)</f>
        <v>0</v>
      </c>
      <c r="FG22" s="258">
        <f>-SUMIFS('Cost Phasing'!73:73,'Cost Phasing'!67:67,FG7)</f>
        <v>0</v>
      </c>
      <c r="FH22" s="258">
        <f>-SUMIFS('Cost Phasing'!73:73,'Cost Phasing'!67:67,FH7)</f>
        <v>0</v>
      </c>
      <c r="FI22" s="258">
        <f>-SUMIFS('Cost Phasing'!73:73,'Cost Phasing'!67:67,FI7)</f>
        <v>0</v>
      </c>
      <c r="FJ22" s="258">
        <f>-SUMIFS('Cost Phasing'!73:73,'Cost Phasing'!67:67,FJ7)</f>
        <v>0</v>
      </c>
      <c r="FK22" s="258">
        <f>-SUMIFS('Cost Phasing'!73:73,'Cost Phasing'!67:67,FK7)</f>
        <v>0</v>
      </c>
      <c r="FL22" s="258">
        <f>-SUMIFS('Cost Phasing'!73:73,'Cost Phasing'!67:67,FL7)</f>
        <v>0</v>
      </c>
      <c r="FM22" s="258">
        <f>-SUMIFS('Cost Phasing'!73:73,'Cost Phasing'!67:67,FM7)</f>
        <v>0</v>
      </c>
      <c r="FN22" s="258">
        <f>-SUMIFS('Cost Phasing'!73:73,'Cost Phasing'!67:67,FN7)</f>
        <v>0</v>
      </c>
      <c r="FO22" s="258">
        <f>-SUMIFS('Cost Phasing'!73:73,'Cost Phasing'!67:67,FO7)</f>
        <v>0</v>
      </c>
      <c r="FP22" s="258">
        <f>-SUMIFS('Cost Phasing'!73:73,'Cost Phasing'!67:67,FP7)</f>
        <v>0</v>
      </c>
      <c r="FQ22" s="258">
        <f>-SUMIFS('Cost Phasing'!73:73,'Cost Phasing'!67:67,FQ7)</f>
        <v>0</v>
      </c>
      <c r="FR22" s="258">
        <f>-SUMIFS('Cost Phasing'!73:73,'Cost Phasing'!67:67,FR7)</f>
        <v>0</v>
      </c>
      <c r="FS22" s="258">
        <f>-SUMIFS('Cost Phasing'!73:73,'Cost Phasing'!67:67,FS7)</f>
        <v>0</v>
      </c>
      <c r="FT22" s="258">
        <f>-SUMIFS('Cost Phasing'!73:73,'Cost Phasing'!67:67,FT7)</f>
        <v>0</v>
      </c>
      <c r="FU22" s="258">
        <f>-SUMIFS('Cost Phasing'!73:73,'Cost Phasing'!67:67,FU7)</f>
        <v>0</v>
      </c>
      <c r="FV22" s="258">
        <f>-SUMIFS('Cost Phasing'!73:73,'Cost Phasing'!67:67,FV7)</f>
        <v>0</v>
      </c>
      <c r="FW22" s="258">
        <f>-SUMIFS('Cost Phasing'!73:73,'Cost Phasing'!67:67,FW7)</f>
        <v>0</v>
      </c>
      <c r="FX22" s="258">
        <f>-SUMIFS('Cost Phasing'!73:73,'Cost Phasing'!67:67,FX7)</f>
        <v>0</v>
      </c>
      <c r="FY22" s="258">
        <f>-SUMIFS('Cost Phasing'!73:73,'Cost Phasing'!67:67,FY7)</f>
        <v>0</v>
      </c>
      <c r="FZ22" s="258">
        <f>-SUMIFS('Cost Phasing'!73:73,'Cost Phasing'!67:67,FZ7)</f>
        <v>0</v>
      </c>
      <c r="GA22" s="258">
        <f>-SUMIFS('Cost Phasing'!73:73,'Cost Phasing'!67:67,GA7)</f>
        <v>0</v>
      </c>
      <c r="GB22" s="258">
        <f>-SUMIFS('Cost Phasing'!73:73,'Cost Phasing'!67:67,GB7)</f>
        <v>0</v>
      </c>
      <c r="GC22" s="258">
        <f>-SUMIFS('Cost Phasing'!73:73,'Cost Phasing'!67:67,GC7)</f>
        <v>0</v>
      </c>
      <c r="GD22" s="258">
        <f>-SUMIFS('Cost Phasing'!73:73,'Cost Phasing'!67:67,GD7)</f>
        <v>0</v>
      </c>
      <c r="GE22" s="258">
        <f>-SUMIFS('Cost Phasing'!73:73,'Cost Phasing'!67:67,GE7)</f>
        <v>0</v>
      </c>
      <c r="GF22" s="258">
        <f>-SUMIFS('Cost Phasing'!73:73,'Cost Phasing'!67:67,GF7)</f>
        <v>0</v>
      </c>
      <c r="GG22" s="258">
        <f>-SUMIFS('Cost Phasing'!73:73,'Cost Phasing'!67:67,GG7)</f>
        <v>0</v>
      </c>
      <c r="GH22" s="258">
        <f>-SUMIFS('Cost Phasing'!73:73,'Cost Phasing'!67:67,GH7)</f>
        <v>0</v>
      </c>
      <c r="GI22" s="258">
        <f>-SUMIFS('Cost Phasing'!73:73,'Cost Phasing'!67:67,GI7)</f>
        <v>0</v>
      </c>
      <c r="GJ22" s="258">
        <f>-SUMIFS('Cost Phasing'!73:73,'Cost Phasing'!67:67,GJ7)</f>
        <v>0</v>
      </c>
      <c r="GK22" s="258">
        <f>-SUMIFS('Cost Phasing'!73:73,'Cost Phasing'!67:67,GK7)</f>
        <v>0</v>
      </c>
      <c r="GL22" s="258">
        <f>-SUMIFS('Cost Phasing'!73:73,'Cost Phasing'!67:67,GL7)</f>
        <v>0</v>
      </c>
      <c r="GM22" s="258">
        <f>-SUMIFS('Cost Phasing'!73:73,'Cost Phasing'!67:67,GM7)</f>
        <v>0</v>
      </c>
      <c r="GN22" s="258">
        <f>-SUMIFS('Cost Phasing'!73:73,'Cost Phasing'!67:67,GN7)</f>
        <v>0</v>
      </c>
      <c r="GO22" s="258">
        <f>-SUMIFS('Cost Phasing'!73:73,'Cost Phasing'!67:67,GO7)</f>
        <v>0</v>
      </c>
      <c r="GP22" s="258">
        <f>-SUMIFS('Cost Phasing'!73:73,'Cost Phasing'!67:67,GP7)</f>
        <v>0</v>
      </c>
      <c r="GQ22" s="258">
        <f>-SUMIFS('Cost Phasing'!73:73,'Cost Phasing'!67:67,GQ7)</f>
        <v>0</v>
      </c>
      <c r="GR22" s="258">
        <f>-SUMIFS('Cost Phasing'!73:73,'Cost Phasing'!67:67,GR7)</f>
        <v>0</v>
      </c>
      <c r="GS22" s="258">
        <f>-SUMIFS('Cost Phasing'!73:73,'Cost Phasing'!67:67,GS7)</f>
        <v>0</v>
      </c>
      <c r="GT22" s="258">
        <f>-SUMIFS('Cost Phasing'!73:73,'Cost Phasing'!67:67,GT7)</f>
        <v>0</v>
      </c>
      <c r="GU22" s="258">
        <f>-SUMIFS('Cost Phasing'!73:73,'Cost Phasing'!67:67,GU7)</f>
        <v>0</v>
      </c>
      <c r="GV22" s="258">
        <f>-SUMIFS('Cost Phasing'!73:73,'Cost Phasing'!67:67,GV7)</f>
        <v>0</v>
      </c>
      <c r="GW22" s="258">
        <f>-SUMIFS('Cost Phasing'!73:73,'Cost Phasing'!67:67,GW7)</f>
        <v>0</v>
      </c>
      <c r="GX22" s="258">
        <f>-SUMIFS('Cost Phasing'!73:73,'Cost Phasing'!67:67,GX7)</f>
        <v>0</v>
      </c>
      <c r="GY22" s="258">
        <f>-SUMIFS('Cost Phasing'!73:73,'Cost Phasing'!67:67,GY7)</f>
        <v>0</v>
      </c>
      <c r="GZ22" s="258">
        <f>-SUMIFS('Cost Phasing'!73:73,'Cost Phasing'!67:67,GZ7)</f>
        <v>0</v>
      </c>
      <c r="HA22" s="258">
        <f>-SUMIFS('Cost Phasing'!73:73,'Cost Phasing'!67:67,HA7)</f>
        <v>0</v>
      </c>
      <c r="HB22" s="258">
        <f>-SUMIFS('Cost Phasing'!73:73,'Cost Phasing'!67:67,HB7)</f>
        <v>0</v>
      </c>
      <c r="HC22" s="258">
        <f>-SUMIFS('Cost Phasing'!73:73,'Cost Phasing'!67:67,HC7)</f>
        <v>0</v>
      </c>
      <c r="HD22" s="258">
        <f>-SUMIFS('Cost Phasing'!73:73,'Cost Phasing'!67:67,HD7)</f>
        <v>0</v>
      </c>
      <c r="HE22" s="258">
        <f>-SUMIFS('Cost Phasing'!73:73,'Cost Phasing'!67:67,HE7)</f>
        <v>0</v>
      </c>
      <c r="HF22" s="258">
        <f>-SUMIFS('Cost Phasing'!73:73,'Cost Phasing'!67:67,HF7)</f>
        <v>0</v>
      </c>
      <c r="HG22" s="258">
        <f>-SUMIFS('Cost Phasing'!73:73,'Cost Phasing'!67:67,HG7)</f>
        <v>0</v>
      </c>
      <c r="HH22" s="258">
        <f>-SUMIFS('Cost Phasing'!73:73,'Cost Phasing'!67:67,HH7)</f>
        <v>0</v>
      </c>
      <c r="HI22" s="258">
        <f>-SUMIFS('Cost Phasing'!73:73,'Cost Phasing'!67:67,HI7)</f>
        <v>0</v>
      </c>
      <c r="HJ22" s="258">
        <f>-SUMIFS('Cost Phasing'!73:73,'Cost Phasing'!67:67,HJ7)</f>
        <v>0</v>
      </c>
      <c r="HK22" s="258">
        <f>-SUMIFS('Cost Phasing'!73:73,'Cost Phasing'!67:67,HK7)</f>
        <v>0</v>
      </c>
      <c r="HL22" s="258">
        <f>-SUMIFS('Cost Phasing'!73:73,'Cost Phasing'!67:67,HL7)</f>
        <v>0</v>
      </c>
      <c r="HM22" s="258">
        <f>-SUMIFS('Cost Phasing'!73:73,'Cost Phasing'!67:67,HM7)</f>
        <v>0</v>
      </c>
      <c r="HN22" s="258">
        <f>-SUMIFS('Cost Phasing'!73:73,'Cost Phasing'!67:67,HN7)</f>
        <v>0</v>
      </c>
      <c r="HO22" s="258">
        <f>-SUMIFS('Cost Phasing'!73:73,'Cost Phasing'!67:67,HO7)</f>
        <v>0</v>
      </c>
      <c r="HP22" s="258">
        <f>-SUMIFS('Cost Phasing'!73:73,'Cost Phasing'!67:67,HP7)</f>
        <v>0</v>
      </c>
      <c r="HQ22" s="258">
        <f>-SUMIFS('Cost Phasing'!73:73,'Cost Phasing'!67:67,HQ7)</f>
        <v>0</v>
      </c>
      <c r="HR22" s="258">
        <f>-SUMIFS('Cost Phasing'!73:73,'Cost Phasing'!67:67,HR7)</f>
        <v>0</v>
      </c>
      <c r="HS22" s="258">
        <f>-SUMIFS('Cost Phasing'!73:73,'Cost Phasing'!67:67,HS7)</f>
        <v>0</v>
      </c>
      <c r="HT22" s="258">
        <f>-SUMIFS('Cost Phasing'!73:73,'Cost Phasing'!67:67,HT7)</f>
        <v>0</v>
      </c>
      <c r="HU22" s="258">
        <f>-SUMIFS('Cost Phasing'!73:73,'Cost Phasing'!67:67,HU7)</f>
        <v>0</v>
      </c>
      <c r="HV22" s="258">
        <f>-SUMIFS('Cost Phasing'!73:73,'Cost Phasing'!67:67,HV7)</f>
        <v>0</v>
      </c>
      <c r="HW22" s="258">
        <f>-SUMIFS('Cost Phasing'!73:73,'Cost Phasing'!67:67,HW7)</f>
        <v>0</v>
      </c>
      <c r="HX22" s="258">
        <f>-SUMIFS('Cost Phasing'!73:73,'Cost Phasing'!67:67,HX7)</f>
        <v>0</v>
      </c>
      <c r="HY22" s="258">
        <f>-SUMIFS('Cost Phasing'!73:73,'Cost Phasing'!67:67,HY7)</f>
        <v>0</v>
      </c>
      <c r="HZ22" s="258">
        <f>-SUMIFS('Cost Phasing'!73:73,'Cost Phasing'!67:67,HZ7)</f>
        <v>0</v>
      </c>
      <c r="IA22" s="258">
        <f>-SUMIFS('Cost Phasing'!73:73,'Cost Phasing'!67:67,IA7)</f>
        <v>0</v>
      </c>
      <c r="IB22" s="258">
        <f>-SUMIFS('Cost Phasing'!73:73,'Cost Phasing'!67:67,IB7)</f>
        <v>0</v>
      </c>
      <c r="IC22" s="258">
        <f>-SUMIFS('Cost Phasing'!73:73,'Cost Phasing'!67:67,IC7)</f>
        <v>0</v>
      </c>
      <c r="ID22" s="258">
        <f>-SUMIFS('Cost Phasing'!73:73,'Cost Phasing'!67:67,ID7)</f>
        <v>0</v>
      </c>
      <c r="IE22" s="258">
        <f>-SUMIFS('Cost Phasing'!73:73,'Cost Phasing'!67:67,IE7)</f>
        <v>0</v>
      </c>
      <c r="IF22" s="258">
        <f>-SUMIFS('Cost Phasing'!73:73,'Cost Phasing'!67:67,IF7)</f>
        <v>0</v>
      </c>
      <c r="IG22" s="258">
        <f>-SUMIFS('Cost Phasing'!73:73,'Cost Phasing'!67:67,IG7)</f>
        <v>0</v>
      </c>
      <c r="IH22" s="258">
        <f>-SUMIFS('Cost Phasing'!73:73,'Cost Phasing'!67:67,IH7)</f>
        <v>0</v>
      </c>
      <c r="II22" s="258">
        <f>-SUMIFS('Cost Phasing'!73:73,'Cost Phasing'!67:67,II7)</f>
        <v>0</v>
      </c>
      <c r="IJ22" s="258">
        <f>-SUMIFS('Cost Phasing'!73:73,'Cost Phasing'!67:67,IJ7)</f>
        <v>0</v>
      </c>
      <c r="IK22" s="258">
        <f>-SUMIFS('Cost Phasing'!73:73,'Cost Phasing'!67:67,IK7)</f>
        <v>0</v>
      </c>
      <c r="IL22" s="258">
        <f>-SUMIFS('Cost Phasing'!73:73,'Cost Phasing'!67:67,IL7)</f>
        <v>0</v>
      </c>
      <c r="IM22" s="258">
        <f>-SUMIFS('Cost Phasing'!73:73,'Cost Phasing'!67:67,IM7)</f>
        <v>0</v>
      </c>
      <c r="IN22" s="258">
        <f>-SUMIFS('Cost Phasing'!73:73,'Cost Phasing'!67:67,IN7)</f>
        <v>0</v>
      </c>
      <c r="IO22" s="258">
        <f>-SUMIFS('Cost Phasing'!73:73,'Cost Phasing'!67:67,IO7)</f>
        <v>0</v>
      </c>
      <c r="IP22" s="258">
        <f>-SUMIFS('Cost Phasing'!73:73,'Cost Phasing'!67:67,IP7)</f>
        <v>0</v>
      </c>
      <c r="IQ22" s="258">
        <f>-SUMIFS('Cost Phasing'!73:73,'Cost Phasing'!67:67,IQ7)</f>
        <v>0</v>
      </c>
      <c r="IR22" s="258">
        <f>-SUMIFS('Cost Phasing'!73:73,'Cost Phasing'!67:67,IR7)</f>
        <v>0</v>
      </c>
      <c r="IS22" s="258">
        <f>-SUMIFS('Cost Phasing'!73:73,'Cost Phasing'!67:67,IS7)</f>
        <v>0</v>
      </c>
      <c r="IT22" s="258">
        <f>-SUMIFS('Cost Phasing'!73:73,'Cost Phasing'!67:67,IT7)</f>
        <v>0</v>
      </c>
      <c r="IU22" s="258">
        <f>-SUMIFS('Cost Phasing'!73:73,'Cost Phasing'!67:67,IU7)</f>
        <v>0</v>
      </c>
      <c r="IV22" s="258">
        <f>-SUMIFS('Cost Phasing'!73:73,'Cost Phasing'!67:67,IV7)</f>
        <v>0</v>
      </c>
      <c r="IW22" s="258">
        <f>-SUMIFS('Cost Phasing'!73:73,'Cost Phasing'!67:67,IW7)</f>
        <v>0</v>
      </c>
      <c r="IX22" s="258">
        <f>-SUMIFS('Cost Phasing'!73:73,'Cost Phasing'!67:67,IX7)</f>
        <v>0</v>
      </c>
      <c r="IY22" s="258">
        <f>-SUMIFS('Cost Phasing'!73:73,'Cost Phasing'!67:67,IY7)</f>
        <v>0</v>
      </c>
      <c r="IZ22" s="258">
        <f>-SUMIFS('Cost Phasing'!73:73,'Cost Phasing'!67:67,IZ7)</f>
        <v>0</v>
      </c>
      <c r="JA22" s="258">
        <f>-SUMIFS('Cost Phasing'!73:73,'Cost Phasing'!67:67,JA7)</f>
        <v>0</v>
      </c>
      <c r="JB22" s="258">
        <f>-SUMIFS('Cost Phasing'!73:73,'Cost Phasing'!67:67,JB7)</f>
        <v>0</v>
      </c>
      <c r="JC22" s="258">
        <f>-SUMIFS('Cost Phasing'!73:73,'Cost Phasing'!67:67,JC7)</f>
        <v>0</v>
      </c>
      <c r="JD22" s="258">
        <f>-SUMIFS('Cost Phasing'!73:73,'Cost Phasing'!67:67,JD7)</f>
        <v>0</v>
      </c>
      <c r="JE22" s="258">
        <f>-SUMIFS('Cost Phasing'!73:73,'Cost Phasing'!67:67,JE7)</f>
        <v>0</v>
      </c>
      <c r="JF22" s="258">
        <f>-SUMIFS('Cost Phasing'!73:73,'Cost Phasing'!67:67,JF7)</f>
        <v>0</v>
      </c>
      <c r="JG22" s="258">
        <f>-SUMIFS('Cost Phasing'!73:73,'Cost Phasing'!67:67,JG7)</f>
        <v>0</v>
      </c>
      <c r="JH22" s="258">
        <f>-SUMIFS('Cost Phasing'!73:73,'Cost Phasing'!67:67,JH7)</f>
        <v>0</v>
      </c>
      <c r="JI22" s="258">
        <f>-SUMIFS('Cost Phasing'!73:73,'Cost Phasing'!67:67,JI7)</f>
        <v>0</v>
      </c>
      <c r="JJ22" s="258">
        <f>-SUMIFS('Cost Phasing'!73:73,'Cost Phasing'!67:67,JJ7)</f>
        <v>0</v>
      </c>
      <c r="JK22" s="258">
        <f>-SUMIFS('Cost Phasing'!73:73,'Cost Phasing'!67:67,JK7)</f>
        <v>0</v>
      </c>
      <c r="JL22" s="258">
        <f>-SUMIFS('Cost Phasing'!73:73,'Cost Phasing'!67:67,JL7)</f>
        <v>0</v>
      </c>
      <c r="JM22" s="258">
        <f>-SUMIFS('Cost Phasing'!73:73,'Cost Phasing'!67:67,JM7)</f>
        <v>0</v>
      </c>
      <c r="JN22" s="258">
        <f>-SUMIFS('Cost Phasing'!73:73,'Cost Phasing'!67:67,JN7)</f>
        <v>0</v>
      </c>
      <c r="JO22" s="258">
        <f>-SUMIFS('Cost Phasing'!73:73,'Cost Phasing'!67:67,JO7)</f>
        <v>0</v>
      </c>
      <c r="JP22" s="258">
        <f>-SUMIFS('Cost Phasing'!73:73,'Cost Phasing'!67:67,JP7)</f>
        <v>0</v>
      </c>
      <c r="JQ22" s="258">
        <f>-SUMIFS('Cost Phasing'!73:73,'Cost Phasing'!67:67,JQ7)</f>
        <v>0</v>
      </c>
      <c r="JR22" s="258">
        <f>-SUMIFS('Cost Phasing'!73:73,'Cost Phasing'!67:67,JR7)</f>
        <v>0</v>
      </c>
      <c r="JS22" s="258">
        <f>-SUMIFS('Cost Phasing'!73:73,'Cost Phasing'!67:67,JS7)</f>
        <v>0</v>
      </c>
      <c r="JT22" s="258">
        <f>-SUMIFS('Cost Phasing'!73:73,'Cost Phasing'!67:67,JT7)</f>
        <v>0</v>
      </c>
      <c r="JU22" s="258">
        <f>-SUMIFS('Cost Phasing'!73:73,'Cost Phasing'!67:67,JU7)</f>
        <v>0</v>
      </c>
      <c r="JV22" s="258">
        <f>-SUMIFS('Cost Phasing'!73:73,'Cost Phasing'!67:67,JV7)</f>
        <v>0</v>
      </c>
      <c r="JW22" s="258">
        <f>-SUMIFS('Cost Phasing'!73:73,'Cost Phasing'!67:67,JW7)</f>
        <v>0</v>
      </c>
      <c r="JX22" s="258">
        <f>-SUMIFS('Cost Phasing'!73:73,'Cost Phasing'!67:67,JX7)</f>
        <v>0</v>
      </c>
      <c r="JY22" s="258">
        <f>-SUMIFS('Cost Phasing'!73:73,'Cost Phasing'!67:67,JY7)</f>
        <v>0</v>
      </c>
      <c r="JZ22" s="258">
        <f>-SUMIFS('Cost Phasing'!73:73,'Cost Phasing'!67:67,JZ7)</f>
        <v>0</v>
      </c>
      <c r="KA22" s="258">
        <f>-SUMIFS('Cost Phasing'!73:73,'Cost Phasing'!67:67,KA7)</f>
        <v>0</v>
      </c>
      <c r="KB22" s="258">
        <f>-SUMIFS('Cost Phasing'!73:73,'Cost Phasing'!67:67,KB7)</f>
        <v>0</v>
      </c>
      <c r="KC22" s="265">
        <f t="shared" si="432"/>
        <v>-24.942860386226911</v>
      </c>
    </row>
    <row r="23" spans="1:289" x14ac:dyDescent="0.3">
      <c r="A23" s="1" t="s">
        <v>114</v>
      </c>
      <c r="B23" s="257">
        <f t="shared" si="431"/>
        <v>-18.221680221750354</v>
      </c>
      <c r="C23" s="258">
        <f>-SUMIFS('Cost Phasing'!98:98,'Cost Phasing'!92:92,C7)</f>
        <v>0</v>
      </c>
      <c r="D23" s="258">
        <f>-SUMIFS('Cost Phasing'!98:98,'Cost Phasing'!92:92,D7)</f>
        <v>-0.2973363493151433</v>
      </c>
      <c r="E23" s="258">
        <f>-SUMIFS('Cost Phasing'!98:98,'Cost Phasing'!92:92,E7)</f>
        <v>-0.27367753354420682</v>
      </c>
      <c r="F23" s="258">
        <f>-SUMIFS('Cost Phasing'!98:98,'Cost Phasing'!92:92,F7)</f>
        <v>-0.25505159312817866</v>
      </c>
      <c r="G23" s="258">
        <f>-SUMIFS('Cost Phasing'!98:98,'Cost Phasing'!92:92,G7)</f>
        <v>-0.25505159312817866</v>
      </c>
      <c r="H23" s="258">
        <f>-SUMIFS('Cost Phasing'!98:98,'Cost Phasing'!92:92,H7)</f>
        <v>-0.25505159312817866</v>
      </c>
      <c r="I23" s="258">
        <f>-SUMIFS('Cost Phasing'!98:98,'Cost Phasing'!92:92,I7)</f>
        <v>-0.25505159312817866</v>
      </c>
      <c r="J23" s="258">
        <f>-SUMIFS('Cost Phasing'!98:98,'Cost Phasing'!92:92,J7)</f>
        <v>-0.25505159312817866</v>
      </c>
      <c r="K23" s="258">
        <f>-SUMIFS('Cost Phasing'!98:98,'Cost Phasing'!92:92,K7)</f>
        <v>-0.25505159312817866</v>
      </c>
      <c r="L23" s="258">
        <f>-SUMIFS('Cost Phasing'!98:98,'Cost Phasing'!92:92,L7)</f>
        <v>-0.25505159312817866</v>
      </c>
      <c r="M23" s="258">
        <f>-SUMIFS('Cost Phasing'!98:98,'Cost Phasing'!92:92,M7)</f>
        <v>-0.25505159312817866</v>
      </c>
      <c r="N23" s="258">
        <f>-SUMIFS('Cost Phasing'!98:98,'Cost Phasing'!92:92,N7)</f>
        <v>-0.25505159312817866</v>
      </c>
      <c r="O23" s="258">
        <f>-SUMIFS('Cost Phasing'!98:98,'Cost Phasing'!92:92,O7)</f>
        <v>-0.25505159312817866</v>
      </c>
      <c r="P23" s="258">
        <f>-SUMIFS('Cost Phasing'!98:98,'Cost Phasing'!92:92,P7)</f>
        <v>-0.57592484118220499</v>
      </c>
      <c r="Q23" s="258">
        <f>-SUMIFS('Cost Phasing'!98:98,'Cost Phasing'!92:92,Q7)</f>
        <v>-0.53009896167968262</v>
      </c>
      <c r="R23" s="258">
        <f>-SUMIFS('Cost Phasing'!98:98,'Cost Phasing'!92:92,R7)</f>
        <v>-0.49402149654406052</v>
      </c>
      <c r="S23" s="258">
        <f>-SUMIFS('Cost Phasing'!98:98,'Cost Phasing'!92:92,S7)</f>
        <v>-0.49402149654406052</v>
      </c>
      <c r="T23" s="258">
        <f>-SUMIFS('Cost Phasing'!98:98,'Cost Phasing'!92:92,T7)</f>
        <v>-0.49402149654406052</v>
      </c>
      <c r="U23" s="258">
        <f>-SUMIFS('Cost Phasing'!98:98,'Cost Phasing'!92:92,U7)</f>
        <v>-0.49402149654406052</v>
      </c>
      <c r="V23" s="258">
        <f>-SUMIFS('Cost Phasing'!98:98,'Cost Phasing'!92:92,V7)</f>
        <v>-0.49402149654406052</v>
      </c>
      <c r="W23" s="258">
        <f>-SUMIFS('Cost Phasing'!98:98,'Cost Phasing'!92:92,W7)</f>
        <v>-0.49402149654406052</v>
      </c>
      <c r="X23" s="258">
        <f>-SUMIFS('Cost Phasing'!98:98,'Cost Phasing'!92:92,X7)</f>
        <v>-0.49402149654406052</v>
      </c>
      <c r="Y23" s="258">
        <f>-SUMIFS('Cost Phasing'!98:98,'Cost Phasing'!92:92,Y7)</f>
        <v>-0.73409563303504588</v>
      </c>
      <c r="Z23" s="258">
        <f>-SUMIFS('Cost Phasing'!98:98,'Cost Phasing'!92:92,Z7)</f>
        <v>-0.7149931257913491</v>
      </c>
      <c r="AA23" s="258">
        <f>-SUMIFS('Cost Phasing'!98:98,'Cost Phasing'!92:92,AA7)</f>
        <v>-0.69995424281585694</v>
      </c>
      <c r="AB23" s="258">
        <f>-SUMIFS('Cost Phasing'!98:98,'Cost Phasing'!92:92,AB7)</f>
        <v>-0.20593274627179642</v>
      </c>
      <c r="AC23" s="258">
        <f>-SUMIFS('Cost Phasing'!98:98,'Cost Phasing'!92:92,AC7)</f>
        <v>-0.20593274627179642</v>
      </c>
      <c r="AD23" s="258">
        <f>-SUMIFS('Cost Phasing'!98:98,'Cost Phasing'!92:92,AD7)</f>
        <v>-0.20593274627179642</v>
      </c>
      <c r="AE23" s="258">
        <f>-SUMIFS('Cost Phasing'!98:98,'Cost Phasing'!92:92,AE7)</f>
        <v>-0.20593274627179642</v>
      </c>
      <c r="AF23" s="258">
        <f>-SUMIFS('Cost Phasing'!98:98,'Cost Phasing'!92:92,AF7)</f>
        <v>-0.20593274627179642</v>
      </c>
      <c r="AG23" s="258">
        <f>-SUMIFS('Cost Phasing'!98:98,'Cost Phasing'!92:92,AG7)</f>
        <v>-0.20593274627179642</v>
      </c>
      <c r="AH23" s="258">
        <f>-SUMIFS('Cost Phasing'!98:98,'Cost Phasing'!92:92,AH7)</f>
        <v>-0.72096698645885904</v>
      </c>
      <c r="AI23" s="258">
        <f>-SUMIFS('Cost Phasing'!98:98,'Cost Phasing'!92:92,AI7)</f>
        <v>-0.67998612343159703</v>
      </c>
      <c r="AJ23" s="258">
        <f>-SUMIFS('Cost Phasing'!98:98,'Cost Phasing'!92:92,AJ7)</f>
        <v>-0.64772300763013457</v>
      </c>
      <c r="AK23" s="258">
        <f>-SUMIFS('Cost Phasing'!98:98,'Cost Phasing'!92:92,AK7)</f>
        <v>-0.44179026135833815</v>
      </c>
      <c r="AL23" s="258">
        <f>-SUMIFS('Cost Phasing'!98:98,'Cost Phasing'!92:92,AL7)</f>
        <v>-0.44179026135833815</v>
      </c>
      <c r="AM23" s="258">
        <f>-SUMIFS('Cost Phasing'!98:98,'Cost Phasing'!92:92,AM7)</f>
        <v>-0.44179026135833815</v>
      </c>
      <c r="AN23" s="258">
        <f>-SUMIFS('Cost Phasing'!98:98,'Cost Phasing'!92:92,AN7)</f>
        <v>-0.44179026135833815</v>
      </c>
      <c r="AO23" s="258">
        <f>-SUMIFS('Cost Phasing'!98:98,'Cost Phasing'!92:92,AO7)</f>
        <v>-0.44179026135833815</v>
      </c>
      <c r="AP23" s="258">
        <f>-SUMIFS('Cost Phasing'!98:98,'Cost Phasing'!92:92,AP7)</f>
        <v>-0.44179026135833815</v>
      </c>
      <c r="AQ23" s="258">
        <f>-SUMIFS('Cost Phasing'!98:98,'Cost Phasing'!92:92,AQ7)</f>
        <v>-0.52517311087195617</v>
      </c>
      <c r="AR23" s="258">
        <f>-SUMIFS('Cost Phasing'!98:98,'Cost Phasing'!92:92,AR7)</f>
        <v>-0.51702284268925347</v>
      </c>
      <c r="AS23" s="258">
        <f>-SUMIFS('Cost Phasing'!98:98,'Cost Phasing'!92:92,AS7)</f>
        <v>-0.51624662667185328</v>
      </c>
      <c r="AT23" s="258">
        <f>-SUMIFS('Cost Phasing'!98:98,'Cost Phasing'!92:92,AT7)</f>
        <v>-7.4456365313515099E-2</v>
      </c>
      <c r="AU23" s="258">
        <f>-SUMIFS('Cost Phasing'!98:98,'Cost Phasing'!92:92,AU7)</f>
        <v>-7.4456365313515099E-2</v>
      </c>
      <c r="AV23" s="258">
        <f>-SUMIFS('Cost Phasing'!98:98,'Cost Phasing'!92:92,AV7)</f>
        <v>-7.4456365313515099E-2</v>
      </c>
      <c r="AW23" s="258">
        <f>-SUMIFS('Cost Phasing'!98:98,'Cost Phasing'!92:92,AW7)</f>
        <v>-7.4456365313515099E-2</v>
      </c>
      <c r="AX23" s="258">
        <f>-SUMIFS('Cost Phasing'!98:98,'Cost Phasing'!92:92,AX7)</f>
        <v>-7.4456365313515099E-2</v>
      </c>
      <c r="AY23" s="258">
        <f>-SUMIFS('Cost Phasing'!98:98,'Cost Phasing'!92:92,AY7)</f>
        <v>-7.4456365313515099E-2</v>
      </c>
      <c r="AZ23" s="258">
        <f>-SUMIFS('Cost Phasing'!98:98,'Cost Phasing'!92:92,AZ7)</f>
        <v>-7.4456365313515099E-2</v>
      </c>
      <c r="BA23" s="258">
        <f>-SUMIFS('Cost Phasing'!98:98,'Cost Phasing'!92:92,BA7)</f>
        <v>-7.4456365313515099E-2</v>
      </c>
      <c r="BB23" s="258">
        <f>-SUMIFS('Cost Phasing'!98:98,'Cost Phasing'!92:92,BB7)</f>
        <v>-7.4456365313515099E-2</v>
      </c>
      <c r="BC23" s="258">
        <f>-SUMIFS('Cost Phasing'!98:98,'Cost Phasing'!92:92,BC7)</f>
        <v>-7.4456365313515099E-2</v>
      </c>
      <c r="BD23" s="258">
        <f>-SUMIFS('Cost Phasing'!98:98,'Cost Phasing'!92:92,BD7)</f>
        <v>-7.4456365313515099E-2</v>
      </c>
      <c r="BE23" s="258">
        <f>-SUMIFS('Cost Phasing'!98:98,'Cost Phasing'!92:92,BE7)</f>
        <v>-7.4456365313515099E-2</v>
      </c>
      <c r="BF23" s="258">
        <f>-SUMIFS('Cost Phasing'!98:98,'Cost Phasing'!92:92,BF7)</f>
        <v>0</v>
      </c>
      <c r="BG23" s="258">
        <f>-SUMIFS('Cost Phasing'!98:98,'Cost Phasing'!92:92,BG7)</f>
        <v>0</v>
      </c>
      <c r="BH23" s="258">
        <f>-SUMIFS('Cost Phasing'!98:98,'Cost Phasing'!92:92,BH7)</f>
        <v>0</v>
      </c>
      <c r="BI23" s="258">
        <f>-SUMIFS('Cost Phasing'!98:98,'Cost Phasing'!92:92,BI7)</f>
        <v>0</v>
      </c>
      <c r="BJ23" s="258">
        <f>-SUMIFS('Cost Phasing'!98:98,'Cost Phasing'!92:92,BJ7)</f>
        <v>0</v>
      </c>
      <c r="BK23" s="258">
        <f>-SUMIFS('Cost Phasing'!98:98,'Cost Phasing'!92:92,BK7)</f>
        <v>0</v>
      </c>
      <c r="BL23" s="258">
        <f>-SUMIFS('Cost Phasing'!98:98,'Cost Phasing'!92:92,BL7)</f>
        <v>0</v>
      </c>
      <c r="BM23" s="258">
        <f>-SUMIFS('Cost Phasing'!98:98,'Cost Phasing'!92:92,BM7)</f>
        <v>0</v>
      </c>
      <c r="BN23" s="258">
        <f>-SUMIFS('Cost Phasing'!98:98,'Cost Phasing'!92:92,BN7)</f>
        <v>0</v>
      </c>
      <c r="BO23" s="258">
        <f>-SUMIFS('Cost Phasing'!98:98,'Cost Phasing'!92:92,BO7)</f>
        <v>0</v>
      </c>
      <c r="BP23" s="258">
        <f>-SUMIFS('Cost Phasing'!98:98,'Cost Phasing'!92:92,BP7)</f>
        <v>0</v>
      </c>
      <c r="BQ23" s="258">
        <f>-SUMIFS('Cost Phasing'!98:98,'Cost Phasing'!92:92,BQ7)</f>
        <v>0</v>
      </c>
      <c r="BR23" s="258">
        <f>-SUMIFS('Cost Phasing'!98:98,'Cost Phasing'!92:92,BR7)</f>
        <v>0</v>
      </c>
      <c r="BS23" s="258">
        <f>-SUMIFS('Cost Phasing'!98:98,'Cost Phasing'!92:92,BS7)</f>
        <v>0</v>
      </c>
      <c r="BT23" s="258">
        <f>-SUMIFS('Cost Phasing'!98:98,'Cost Phasing'!92:92,BT7)</f>
        <v>0</v>
      </c>
      <c r="BU23" s="258">
        <f>-SUMIFS('Cost Phasing'!98:98,'Cost Phasing'!92:92,BU7)</f>
        <v>0</v>
      </c>
      <c r="BV23" s="258">
        <f>-SUMIFS('Cost Phasing'!98:98,'Cost Phasing'!92:92,BV7)</f>
        <v>0</v>
      </c>
      <c r="BW23" s="258">
        <f>-SUMIFS('Cost Phasing'!98:98,'Cost Phasing'!92:92,BW7)</f>
        <v>0</v>
      </c>
      <c r="BX23" s="258">
        <f>-SUMIFS('Cost Phasing'!98:98,'Cost Phasing'!92:92,BX7)</f>
        <v>0</v>
      </c>
      <c r="BY23" s="258">
        <f>-SUMIFS('Cost Phasing'!98:98,'Cost Phasing'!92:92,BY7)</f>
        <v>0</v>
      </c>
      <c r="BZ23" s="258">
        <f>-SUMIFS('Cost Phasing'!98:98,'Cost Phasing'!92:92,BZ7)</f>
        <v>0</v>
      </c>
      <c r="CA23" s="258">
        <f>-SUMIFS('Cost Phasing'!98:98,'Cost Phasing'!92:92,CA7)</f>
        <v>0</v>
      </c>
      <c r="CB23" s="258">
        <f>-SUMIFS('Cost Phasing'!98:98,'Cost Phasing'!92:92,CB7)</f>
        <v>0</v>
      </c>
      <c r="CC23" s="258">
        <f>-SUMIFS('Cost Phasing'!98:98,'Cost Phasing'!92:92,CC7)</f>
        <v>0</v>
      </c>
      <c r="CD23" s="258">
        <f>-SUMIFS('Cost Phasing'!98:98,'Cost Phasing'!92:92,CD7)</f>
        <v>0</v>
      </c>
      <c r="CE23" s="258">
        <f>-SUMIFS('Cost Phasing'!98:98,'Cost Phasing'!92:92,CE7)</f>
        <v>0</v>
      </c>
      <c r="CF23" s="258">
        <f>-SUMIFS('Cost Phasing'!98:98,'Cost Phasing'!92:92,CF7)</f>
        <v>0</v>
      </c>
      <c r="CG23" s="258">
        <f>-SUMIFS('Cost Phasing'!98:98,'Cost Phasing'!92:92,CG7)</f>
        <v>0</v>
      </c>
      <c r="CH23" s="258">
        <f>-SUMIFS('Cost Phasing'!98:98,'Cost Phasing'!92:92,CH7)</f>
        <v>0</v>
      </c>
      <c r="CI23" s="258">
        <f>-SUMIFS('Cost Phasing'!98:98,'Cost Phasing'!92:92,CI7)</f>
        <v>0</v>
      </c>
      <c r="CJ23" s="258">
        <f>-SUMIFS('Cost Phasing'!98:98,'Cost Phasing'!92:92,CJ7)</f>
        <v>0</v>
      </c>
      <c r="CK23" s="258">
        <f>-SUMIFS('Cost Phasing'!98:98,'Cost Phasing'!92:92,CK7)</f>
        <v>0</v>
      </c>
      <c r="CL23" s="258">
        <f>-SUMIFS('Cost Phasing'!98:98,'Cost Phasing'!92:92,CL7)</f>
        <v>0</v>
      </c>
      <c r="CM23" s="258">
        <f>-SUMIFS('Cost Phasing'!98:98,'Cost Phasing'!92:92,CM7)</f>
        <v>0</v>
      </c>
      <c r="CN23" s="258">
        <f>-SUMIFS('Cost Phasing'!98:98,'Cost Phasing'!92:92,CN7)</f>
        <v>0</v>
      </c>
      <c r="CO23" s="258">
        <f>-SUMIFS('Cost Phasing'!98:98,'Cost Phasing'!92:92,CO7)</f>
        <v>0</v>
      </c>
      <c r="CP23" s="258">
        <f>-SUMIFS('Cost Phasing'!98:98,'Cost Phasing'!92:92,CP7)</f>
        <v>0</v>
      </c>
      <c r="CQ23" s="258">
        <f>-SUMIFS('Cost Phasing'!98:98,'Cost Phasing'!92:92,CQ7)</f>
        <v>0</v>
      </c>
      <c r="CR23" s="258">
        <f>-SUMIFS('Cost Phasing'!98:98,'Cost Phasing'!92:92,CR7)</f>
        <v>0</v>
      </c>
      <c r="CS23" s="258">
        <f>-SUMIFS('Cost Phasing'!98:98,'Cost Phasing'!92:92,CS7)</f>
        <v>0</v>
      </c>
      <c r="CT23" s="258">
        <f>-SUMIFS('Cost Phasing'!98:98,'Cost Phasing'!92:92,CT7)</f>
        <v>0</v>
      </c>
      <c r="CU23" s="258">
        <f>-SUMIFS('Cost Phasing'!98:98,'Cost Phasing'!92:92,CU7)</f>
        <v>0</v>
      </c>
      <c r="CV23" s="258">
        <f>-SUMIFS('Cost Phasing'!98:98,'Cost Phasing'!92:92,CV7)</f>
        <v>0</v>
      </c>
      <c r="CW23" s="258">
        <f>-SUMIFS('Cost Phasing'!98:98,'Cost Phasing'!92:92,CW7)</f>
        <v>0</v>
      </c>
      <c r="CX23" s="258">
        <f>-SUMIFS('Cost Phasing'!98:98,'Cost Phasing'!92:92,CX7)</f>
        <v>0</v>
      </c>
      <c r="CY23" s="258">
        <f>-SUMIFS('Cost Phasing'!98:98,'Cost Phasing'!92:92,CY7)</f>
        <v>0</v>
      </c>
      <c r="CZ23" s="258">
        <f>-SUMIFS('Cost Phasing'!98:98,'Cost Phasing'!92:92,CZ7)</f>
        <v>0</v>
      </c>
      <c r="DA23" s="258">
        <f>-SUMIFS('Cost Phasing'!98:98,'Cost Phasing'!92:92,DA7)</f>
        <v>0</v>
      </c>
      <c r="DB23" s="258">
        <f>-SUMIFS('Cost Phasing'!98:98,'Cost Phasing'!92:92,DB7)</f>
        <v>0</v>
      </c>
      <c r="DC23" s="258">
        <f>-SUMIFS('Cost Phasing'!98:98,'Cost Phasing'!92:92,DC7)</f>
        <v>0</v>
      </c>
      <c r="DD23" s="258">
        <f>-SUMIFS('Cost Phasing'!98:98,'Cost Phasing'!92:92,DD7)</f>
        <v>0</v>
      </c>
      <c r="DE23" s="258">
        <f>-SUMIFS('Cost Phasing'!98:98,'Cost Phasing'!92:92,DE7)</f>
        <v>0</v>
      </c>
      <c r="DF23" s="258">
        <f>-SUMIFS('Cost Phasing'!98:98,'Cost Phasing'!92:92,DF7)</f>
        <v>0</v>
      </c>
      <c r="DG23" s="258">
        <f>-SUMIFS('Cost Phasing'!98:98,'Cost Phasing'!92:92,DG7)</f>
        <v>0</v>
      </c>
      <c r="DH23" s="258">
        <f>-SUMIFS('Cost Phasing'!98:98,'Cost Phasing'!92:92,DH7)</f>
        <v>0</v>
      </c>
      <c r="DI23" s="258">
        <f>-SUMIFS('Cost Phasing'!98:98,'Cost Phasing'!92:92,DI7)</f>
        <v>0</v>
      </c>
      <c r="DJ23" s="258">
        <f>-SUMIFS('Cost Phasing'!98:98,'Cost Phasing'!92:92,DJ7)</f>
        <v>0</v>
      </c>
      <c r="DK23" s="258">
        <f>-SUMIFS('Cost Phasing'!98:98,'Cost Phasing'!92:92,DK7)</f>
        <v>0</v>
      </c>
      <c r="DL23" s="258">
        <f>-SUMIFS('Cost Phasing'!98:98,'Cost Phasing'!92:92,DL7)</f>
        <v>0</v>
      </c>
      <c r="DM23" s="258">
        <f>-SUMIFS('Cost Phasing'!98:98,'Cost Phasing'!92:92,DM7)</f>
        <v>0</v>
      </c>
      <c r="DN23" s="258">
        <f>-SUMIFS('Cost Phasing'!98:98,'Cost Phasing'!92:92,DN7)</f>
        <v>0</v>
      </c>
      <c r="DO23" s="258">
        <f>-SUMIFS('Cost Phasing'!98:98,'Cost Phasing'!92:92,DO7)</f>
        <v>0</v>
      </c>
      <c r="DP23" s="258">
        <f>-SUMIFS('Cost Phasing'!98:98,'Cost Phasing'!92:92,DP7)</f>
        <v>0</v>
      </c>
      <c r="DQ23" s="258">
        <f>-SUMIFS('Cost Phasing'!98:98,'Cost Phasing'!92:92,DQ7)</f>
        <v>0</v>
      </c>
      <c r="DR23" s="258">
        <f>-SUMIFS('Cost Phasing'!98:98,'Cost Phasing'!92:92,DR7)</f>
        <v>0</v>
      </c>
      <c r="DS23" s="258">
        <f>-SUMIFS('Cost Phasing'!98:98,'Cost Phasing'!92:92,DS7)</f>
        <v>0</v>
      </c>
      <c r="DT23" s="258">
        <f>-SUMIFS('Cost Phasing'!98:98,'Cost Phasing'!92:92,DT7)</f>
        <v>0</v>
      </c>
      <c r="DU23" s="258">
        <f>-SUMIFS('Cost Phasing'!98:98,'Cost Phasing'!92:92,DU7)</f>
        <v>0</v>
      </c>
      <c r="DV23" s="258">
        <f>-SUMIFS('Cost Phasing'!98:98,'Cost Phasing'!92:92,DV7)</f>
        <v>0</v>
      </c>
      <c r="DW23" s="258">
        <f>-SUMIFS('Cost Phasing'!98:98,'Cost Phasing'!92:92,DW7)</f>
        <v>0</v>
      </c>
      <c r="DX23" s="258">
        <f>-SUMIFS('Cost Phasing'!98:98,'Cost Phasing'!92:92,DX7)</f>
        <v>0</v>
      </c>
      <c r="DY23" s="258">
        <f>-SUMIFS('Cost Phasing'!98:98,'Cost Phasing'!92:92,DY7)</f>
        <v>0</v>
      </c>
      <c r="DZ23" s="258">
        <f>-SUMIFS('Cost Phasing'!98:98,'Cost Phasing'!92:92,DZ7)</f>
        <v>0</v>
      </c>
      <c r="EA23" s="258">
        <f>-SUMIFS('Cost Phasing'!98:98,'Cost Phasing'!92:92,EA7)</f>
        <v>0</v>
      </c>
      <c r="EB23" s="258">
        <f>-SUMIFS('Cost Phasing'!98:98,'Cost Phasing'!92:92,EB7)</f>
        <v>0</v>
      </c>
      <c r="EC23" s="258">
        <f>-SUMIFS('Cost Phasing'!98:98,'Cost Phasing'!92:92,EC7)</f>
        <v>0</v>
      </c>
      <c r="ED23" s="258">
        <f>-SUMIFS('Cost Phasing'!98:98,'Cost Phasing'!92:92,ED7)</f>
        <v>0</v>
      </c>
      <c r="EE23" s="258">
        <f>-SUMIFS('Cost Phasing'!98:98,'Cost Phasing'!92:92,EE7)</f>
        <v>0</v>
      </c>
      <c r="EF23" s="258">
        <f>-SUMIFS('Cost Phasing'!98:98,'Cost Phasing'!92:92,EF7)</f>
        <v>0</v>
      </c>
      <c r="EG23" s="258">
        <f>-SUMIFS('Cost Phasing'!98:98,'Cost Phasing'!92:92,EG7)</f>
        <v>0</v>
      </c>
      <c r="EH23" s="258">
        <f>-SUMIFS('Cost Phasing'!98:98,'Cost Phasing'!92:92,EH7)</f>
        <v>0</v>
      </c>
      <c r="EI23" s="258">
        <f>-SUMIFS('Cost Phasing'!98:98,'Cost Phasing'!92:92,EI7)</f>
        <v>0</v>
      </c>
      <c r="EJ23" s="258">
        <f>-SUMIFS('Cost Phasing'!98:98,'Cost Phasing'!92:92,EJ7)</f>
        <v>0</v>
      </c>
      <c r="EK23" s="258">
        <f>-SUMIFS('Cost Phasing'!98:98,'Cost Phasing'!92:92,EK7)</f>
        <v>0</v>
      </c>
      <c r="EL23" s="258">
        <f>-SUMIFS('Cost Phasing'!98:98,'Cost Phasing'!92:92,EL7)</f>
        <v>0</v>
      </c>
      <c r="EM23" s="258">
        <f>-SUMIFS('Cost Phasing'!98:98,'Cost Phasing'!92:92,EM7)</f>
        <v>0</v>
      </c>
      <c r="EN23" s="258">
        <f>-SUMIFS('Cost Phasing'!98:98,'Cost Phasing'!92:92,EN7)</f>
        <v>0</v>
      </c>
      <c r="EO23" s="258">
        <f>-SUMIFS('Cost Phasing'!98:98,'Cost Phasing'!92:92,EO7)</f>
        <v>0</v>
      </c>
      <c r="EP23" s="258">
        <f>-SUMIFS('Cost Phasing'!98:98,'Cost Phasing'!92:92,EP7)</f>
        <v>0</v>
      </c>
      <c r="EQ23" s="258">
        <f>-SUMIFS('Cost Phasing'!98:98,'Cost Phasing'!92:92,EQ7)</f>
        <v>0</v>
      </c>
      <c r="ER23" s="258">
        <f>-SUMIFS('Cost Phasing'!98:98,'Cost Phasing'!92:92,ER7)</f>
        <v>0</v>
      </c>
      <c r="ES23" s="258">
        <f>-SUMIFS('Cost Phasing'!98:98,'Cost Phasing'!92:92,ES7)</f>
        <v>0</v>
      </c>
      <c r="ET23" s="258">
        <f>-SUMIFS('Cost Phasing'!98:98,'Cost Phasing'!92:92,ET7)</f>
        <v>0</v>
      </c>
      <c r="EU23" s="258">
        <f>-SUMIFS('Cost Phasing'!98:98,'Cost Phasing'!92:92,EU7)</f>
        <v>0</v>
      </c>
      <c r="EV23" s="258">
        <f>-SUMIFS('Cost Phasing'!98:98,'Cost Phasing'!92:92,EV7)</f>
        <v>0</v>
      </c>
      <c r="EW23" s="258">
        <f>-SUMIFS('Cost Phasing'!98:98,'Cost Phasing'!92:92,EW7)</f>
        <v>0</v>
      </c>
      <c r="EX23" s="258">
        <f>-SUMIFS('Cost Phasing'!98:98,'Cost Phasing'!92:92,EX7)</f>
        <v>0</v>
      </c>
      <c r="EY23" s="258">
        <f>-SUMIFS('Cost Phasing'!98:98,'Cost Phasing'!92:92,EY7)</f>
        <v>0</v>
      </c>
      <c r="EZ23" s="258">
        <f>-SUMIFS('Cost Phasing'!98:98,'Cost Phasing'!92:92,EZ7)</f>
        <v>0</v>
      </c>
      <c r="FA23" s="258">
        <f>-SUMIFS('Cost Phasing'!98:98,'Cost Phasing'!92:92,FA7)</f>
        <v>0</v>
      </c>
      <c r="FB23" s="258">
        <f>-SUMIFS('Cost Phasing'!98:98,'Cost Phasing'!92:92,FB7)</f>
        <v>0</v>
      </c>
      <c r="FC23" s="258">
        <f>-SUMIFS('Cost Phasing'!98:98,'Cost Phasing'!92:92,FC7)</f>
        <v>0</v>
      </c>
      <c r="FD23" s="258">
        <f>-SUMIFS('Cost Phasing'!98:98,'Cost Phasing'!92:92,FD7)</f>
        <v>0</v>
      </c>
      <c r="FE23" s="258">
        <f>-SUMIFS('Cost Phasing'!98:98,'Cost Phasing'!92:92,FE7)</f>
        <v>0</v>
      </c>
      <c r="FF23" s="258">
        <f>-SUMIFS('Cost Phasing'!98:98,'Cost Phasing'!92:92,FF7)</f>
        <v>0</v>
      </c>
      <c r="FG23" s="258">
        <f>-SUMIFS('Cost Phasing'!98:98,'Cost Phasing'!92:92,FG7)</f>
        <v>0</v>
      </c>
      <c r="FH23" s="258">
        <f>-SUMIFS('Cost Phasing'!98:98,'Cost Phasing'!92:92,FH7)</f>
        <v>0</v>
      </c>
      <c r="FI23" s="258">
        <f>-SUMIFS('Cost Phasing'!98:98,'Cost Phasing'!92:92,FI7)</f>
        <v>0</v>
      </c>
      <c r="FJ23" s="258">
        <f>-SUMIFS('Cost Phasing'!98:98,'Cost Phasing'!92:92,FJ7)</f>
        <v>0</v>
      </c>
      <c r="FK23" s="258">
        <f>-SUMIFS('Cost Phasing'!98:98,'Cost Phasing'!92:92,FK7)</f>
        <v>0</v>
      </c>
      <c r="FL23" s="258">
        <f>-SUMIFS('Cost Phasing'!98:98,'Cost Phasing'!92:92,FL7)</f>
        <v>0</v>
      </c>
      <c r="FM23" s="258">
        <f>-SUMIFS('Cost Phasing'!98:98,'Cost Phasing'!92:92,FM7)</f>
        <v>0</v>
      </c>
      <c r="FN23" s="258">
        <f>-SUMIFS('Cost Phasing'!98:98,'Cost Phasing'!92:92,FN7)</f>
        <v>0</v>
      </c>
      <c r="FO23" s="258">
        <f>-SUMIFS('Cost Phasing'!98:98,'Cost Phasing'!92:92,FO7)</f>
        <v>0</v>
      </c>
      <c r="FP23" s="258">
        <f>-SUMIFS('Cost Phasing'!98:98,'Cost Phasing'!92:92,FP7)</f>
        <v>0</v>
      </c>
      <c r="FQ23" s="258">
        <f>-SUMIFS('Cost Phasing'!98:98,'Cost Phasing'!92:92,FQ7)</f>
        <v>0</v>
      </c>
      <c r="FR23" s="258">
        <f>-SUMIFS('Cost Phasing'!98:98,'Cost Phasing'!92:92,FR7)</f>
        <v>0</v>
      </c>
      <c r="FS23" s="258">
        <f>-SUMIFS('Cost Phasing'!98:98,'Cost Phasing'!92:92,FS7)</f>
        <v>0</v>
      </c>
      <c r="FT23" s="258">
        <f>-SUMIFS('Cost Phasing'!98:98,'Cost Phasing'!92:92,FT7)</f>
        <v>0</v>
      </c>
      <c r="FU23" s="258">
        <f>-SUMIFS('Cost Phasing'!98:98,'Cost Phasing'!92:92,FU7)</f>
        <v>0</v>
      </c>
      <c r="FV23" s="258">
        <f>-SUMIFS('Cost Phasing'!98:98,'Cost Phasing'!92:92,FV7)</f>
        <v>0</v>
      </c>
      <c r="FW23" s="258">
        <f>-SUMIFS('Cost Phasing'!98:98,'Cost Phasing'!92:92,FW7)</f>
        <v>0</v>
      </c>
      <c r="FX23" s="258">
        <f>-SUMIFS('Cost Phasing'!98:98,'Cost Phasing'!92:92,FX7)</f>
        <v>0</v>
      </c>
      <c r="FY23" s="258">
        <f>-SUMIFS('Cost Phasing'!98:98,'Cost Phasing'!92:92,FY7)</f>
        <v>0</v>
      </c>
      <c r="FZ23" s="258">
        <f>-SUMIFS('Cost Phasing'!98:98,'Cost Phasing'!92:92,FZ7)</f>
        <v>0</v>
      </c>
      <c r="GA23" s="258">
        <f>-SUMIFS('Cost Phasing'!98:98,'Cost Phasing'!92:92,GA7)</f>
        <v>0</v>
      </c>
      <c r="GB23" s="258">
        <f>-SUMIFS('Cost Phasing'!98:98,'Cost Phasing'!92:92,GB7)</f>
        <v>0</v>
      </c>
      <c r="GC23" s="258">
        <f>-SUMIFS('Cost Phasing'!98:98,'Cost Phasing'!92:92,GC7)</f>
        <v>0</v>
      </c>
      <c r="GD23" s="258">
        <f>-SUMIFS('Cost Phasing'!98:98,'Cost Phasing'!92:92,GD7)</f>
        <v>0</v>
      </c>
      <c r="GE23" s="258">
        <f>-SUMIFS('Cost Phasing'!98:98,'Cost Phasing'!92:92,GE7)</f>
        <v>0</v>
      </c>
      <c r="GF23" s="258">
        <f>-SUMIFS('Cost Phasing'!98:98,'Cost Phasing'!92:92,GF7)</f>
        <v>0</v>
      </c>
      <c r="GG23" s="258">
        <f>-SUMIFS('Cost Phasing'!98:98,'Cost Phasing'!92:92,GG7)</f>
        <v>0</v>
      </c>
      <c r="GH23" s="258">
        <f>-SUMIFS('Cost Phasing'!98:98,'Cost Phasing'!92:92,GH7)</f>
        <v>0</v>
      </c>
      <c r="GI23" s="258">
        <f>-SUMIFS('Cost Phasing'!98:98,'Cost Phasing'!92:92,GI7)</f>
        <v>0</v>
      </c>
      <c r="GJ23" s="258">
        <f>-SUMIFS('Cost Phasing'!98:98,'Cost Phasing'!92:92,GJ7)</f>
        <v>0</v>
      </c>
      <c r="GK23" s="258">
        <f>-SUMIFS('Cost Phasing'!98:98,'Cost Phasing'!92:92,GK7)</f>
        <v>0</v>
      </c>
      <c r="GL23" s="258">
        <f>-SUMIFS('Cost Phasing'!98:98,'Cost Phasing'!92:92,GL7)</f>
        <v>0</v>
      </c>
      <c r="GM23" s="258">
        <f>-SUMIFS('Cost Phasing'!98:98,'Cost Phasing'!92:92,GM7)</f>
        <v>0</v>
      </c>
      <c r="GN23" s="258">
        <f>-SUMIFS('Cost Phasing'!98:98,'Cost Phasing'!92:92,GN7)</f>
        <v>0</v>
      </c>
      <c r="GO23" s="258">
        <f>-SUMIFS('Cost Phasing'!98:98,'Cost Phasing'!92:92,GO7)</f>
        <v>0</v>
      </c>
      <c r="GP23" s="258">
        <f>-SUMIFS('Cost Phasing'!98:98,'Cost Phasing'!92:92,GP7)</f>
        <v>0</v>
      </c>
      <c r="GQ23" s="258">
        <f>-SUMIFS('Cost Phasing'!98:98,'Cost Phasing'!92:92,GQ7)</f>
        <v>0</v>
      </c>
      <c r="GR23" s="258">
        <f>-SUMIFS('Cost Phasing'!98:98,'Cost Phasing'!92:92,GR7)</f>
        <v>0</v>
      </c>
      <c r="GS23" s="258">
        <f>-SUMIFS('Cost Phasing'!98:98,'Cost Phasing'!92:92,GS7)</f>
        <v>0</v>
      </c>
      <c r="GT23" s="258">
        <f>-SUMIFS('Cost Phasing'!98:98,'Cost Phasing'!92:92,GT7)</f>
        <v>0</v>
      </c>
      <c r="GU23" s="258">
        <f>-SUMIFS('Cost Phasing'!98:98,'Cost Phasing'!92:92,GU7)</f>
        <v>0</v>
      </c>
      <c r="GV23" s="258">
        <f>-SUMIFS('Cost Phasing'!98:98,'Cost Phasing'!92:92,GV7)</f>
        <v>0</v>
      </c>
      <c r="GW23" s="258">
        <f>-SUMIFS('Cost Phasing'!98:98,'Cost Phasing'!92:92,GW7)</f>
        <v>0</v>
      </c>
      <c r="GX23" s="258">
        <f>-SUMIFS('Cost Phasing'!98:98,'Cost Phasing'!92:92,GX7)</f>
        <v>0</v>
      </c>
      <c r="GY23" s="258">
        <f>-SUMIFS('Cost Phasing'!98:98,'Cost Phasing'!92:92,GY7)</f>
        <v>0</v>
      </c>
      <c r="GZ23" s="258">
        <f>-SUMIFS('Cost Phasing'!98:98,'Cost Phasing'!92:92,GZ7)</f>
        <v>0</v>
      </c>
      <c r="HA23" s="258">
        <f>-SUMIFS('Cost Phasing'!98:98,'Cost Phasing'!92:92,HA7)</f>
        <v>0</v>
      </c>
      <c r="HB23" s="258">
        <f>-SUMIFS('Cost Phasing'!98:98,'Cost Phasing'!92:92,HB7)</f>
        <v>0</v>
      </c>
      <c r="HC23" s="258">
        <f>-SUMIFS('Cost Phasing'!98:98,'Cost Phasing'!92:92,HC7)</f>
        <v>0</v>
      </c>
      <c r="HD23" s="258">
        <f>-SUMIFS('Cost Phasing'!98:98,'Cost Phasing'!92:92,HD7)</f>
        <v>0</v>
      </c>
      <c r="HE23" s="258">
        <f>-SUMIFS('Cost Phasing'!98:98,'Cost Phasing'!92:92,HE7)</f>
        <v>0</v>
      </c>
      <c r="HF23" s="258">
        <f>-SUMIFS('Cost Phasing'!98:98,'Cost Phasing'!92:92,HF7)</f>
        <v>0</v>
      </c>
      <c r="HG23" s="258">
        <f>-SUMIFS('Cost Phasing'!98:98,'Cost Phasing'!92:92,HG7)</f>
        <v>0</v>
      </c>
      <c r="HH23" s="258">
        <f>-SUMIFS('Cost Phasing'!98:98,'Cost Phasing'!92:92,HH7)</f>
        <v>0</v>
      </c>
      <c r="HI23" s="258">
        <f>-SUMIFS('Cost Phasing'!98:98,'Cost Phasing'!92:92,HI7)</f>
        <v>0</v>
      </c>
      <c r="HJ23" s="258">
        <f>-SUMIFS('Cost Phasing'!98:98,'Cost Phasing'!92:92,HJ7)</f>
        <v>0</v>
      </c>
      <c r="HK23" s="258">
        <f>-SUMIFS('Cost Phasing'!98:98,'Cost Phasing'!92:92,HK7)</f>
        <v>0</v>
      </c>
      <c r="HL23" s="258">
        <f>-SUMIFS('Cost Phasing'!98:98,'Cost Phasing'!92:92,HL7)</f>
        <v>0</v>
      </c>
      <c r="HM23" s="258">
        <f>-SUMIFS('Cost Phasing'!98:98,'Cost Phasing'!92:92,HM7)</f>
        <v>0</v>
      </c>
      <c r="HN23" s="258">
        <f>-SUMIFS('Cost Phasing'!98:98,'Cost Phasing'!92:92,HN7)</f>
        <v>0</v>
      </c>
      <c r="HO23" s="258">
        <f>-SUMIFS('Cost Phasing'!98:98,'Cost Phasing'!92:92,HO7)</f>
        <v>0</v>
      </c>
      <c r="HP23" s="258">
        <f>-SUMIFS('Cost Phasing'!98:98,'Cost Phasing'!92:92,HP7)</f>
        <v>0</v>
      </c>
      <c r="HQ23" s="258">
        <f>-SUMIFS('Cost Phasing'!98:98,'Cost Phasing'!92:92,HQ7)</f>
        <v>0</v>
      </c>
      <c r="HR23" s="258">
        <f>-SUMIFS('Cost Phasing'!98:98,'Cost Phasing'!92:92,HR7)</f>
        <v>0</v>
      </c>
      <c r="HS23" s="258">
        <f>-SUMIFS('Cost Phasing'!98:98,'Cost Phasing'!92:92,HS7)</f>
        <v>0</v>
      </c>
      <c r="HT23" s="258">
        <f>-SUMIFS('Cost Phasing'!98:98,'Cost Phasing'!92:92,HT7)</f>
        <v>0</v>
      </c>
      <c r="HU23" s="258">
        <f>-SUMIFS('Cost Phasing'!98:98,'Cost Phasing'!92:92,HU7)</f>
        <v>0</v>
      </c>
      <c r="HV23" s="258">
        <f>-SUMIFS('Cost Phasing'!98:98,'Cost Phasing'!92:92,HV7)</f>
        <v>0</v>
      </c>
      <c r="HW23" s="258">
        <f>-SUMIFS('Cost Phasing'!98:98,'Cost Phasing'!92:92,HW7)</f>
        <v>0</v>
      </c>
      <c r="HX23" s="258">
        <f>-SUMIFS('Cost Phasing'!98:98,'Cost Phasing'!92:92,HX7)</f>
        <v>0</v>
      </c>
      <c r="HY23" s="258">
        <f>-SUMIFS('Cost Phasing'!98:98,'Cost Phasing'!92:92,HY7)</f>
        <v>0</v>
      </c>
      <c r="HZ23" s="258">
        <f>-SUMIFS('Cost Phasing'!98:98,'Cost Phasing'!92:92,HZ7)</f>
        <v>0</v>
      </c>
      <c r="IA23" s="258">
        <f>-SUMIFS('Cost Phasing'!98:98,'Cost Phasing'!92:92,IA7)</f>
        <v>0</v>
      </c>
      <c r="IB23" s="258">
        <f>-SUMIFS('Cost Phasing'!98:98,'Cost Phasing'!92:92,IB7)</f>
        <v>0</v>
      </c>
      <c r="IC23" s="258">
        <f>-SUMIFS('Cost Phasing'!98:98,'Cost Phasing'!92:92,IC7)</f>
        <v>0</v>
      </c>
      <c r="ID23" s="258">
        <f>-SUMIFS('Cost Phasing'!98:98,'Cost Phasing'!92:92,ID7)</f>
        <v>0</v>
      </c>
      <c r="IE23" s="258">
        <f>-SUMIFS('Cost Phasing'!98:98,'Cost Phasing'!92:92,IE7)</f>
        <v>0</v>
      </c>
      <c r="IF23" s="258">
        <f>-SUMIFS('Cost Phasing'!98:98,'Cost Phasing'!92:92,IF7)</f>
        <v>0</v>
      </c>
      <c r="IG23" s="258">
        <f>-SUMIFS('Cost Phasing'!98:98,'Cost Phasing'!92:92,IG7)</f>
        <v>0</v>
      </c>
      <c r="IH23" s="258">
        <f>-SUMIFS('Cost Phasing'!98:98,'Cost Phasing'!92:92,IH7)</f>
        <v>0</v>
      </c>
      <c r="II23" s="258">
        <f>-SUMIFS('Cost Phasing'!98:98,'Cost Phasing'!92:92,II7)</f>
        <v>0</v>
      </c>
      <c r="IJ23" s="258">
        <f>-SUMIFS('Cost Phasing'!98:98,'Cost Phasing'!92:92,IJ7)</f>
        <v>0</v>
      </c>
      <c r="IK23" s="258">
        <f>-SUMIFS('Cost Phasing'!98:98,'Cost Phasing'!92:92,IK7)</f>
        <v>0</v>
      </c>
      <c r="IL23" s="258">
        <f>-SUMIFS('Cost Phasing'!98:98,'Cost Phasing'!92:92,IL7)</f>
        <v>0</v>
      </c>
      <c r="IM23" s="258">
        <f>-SUMIFS('Cost Phasing'!98:98,'Cost Phasing'!92:92,IM7)</f>
        <v>0</v>
      </c>
      <c r="IN23" s="258">
        <f>-SUMIFS('Cost Phasing'!98:98,'Cost Phasing'!92:92,IN7)</f>
        <v>0</v>
      </c>
      <c r="IO23" s="258">
        <f>-SUMIFS('Cost Phasing'!98:98,'Cost Phasing'!92:92,IO7)</f>
        <v>0</v>
      </c>
      <c r="IP23" s="258">
        <f>-SUMIFS('Cost Phasing'!98:98,'Cost Phasing'!92:92,IP7)</f>
        <v>0</v>
      </c>
      <c r="IQ23" s="258">
        <f>-SUMIFS('Cost Phasing'!98:98,'Cost Phasing'!92:92,IQ7)</f>
        <v>0</v>
      </c>
      <c r="IR23" s="258">
        <f>-SUMIFS('Cost Phasing'!98:98,'Cost Phasing'!92:92,IR7)</f>
        <v>0</v>
      </c>
      <c r="IS23" s="258">
        <f>-SUMIFS('Cost Phasing'!98:98,'Cost Phasing'!92:92,IS7)</f>
        <v>0</v>
      </c>
      <c r="IT23" s="258">
        <f>-SUMIFS('Cost Phasing'!98:98,'Cost Phasing'!92:92,IT7)</f>
        <v>0</v>
      </c>
      <c r="IU23" s="258">
        <f>-SUMIFS('Cost Phasing'!98:98,'Cost Phasing'!92:92,IU7)</f>
        <v>0</v>
      </c>
      <c r="IV23" s="258">
        <f>-SUMIFS('Cost Phasing'!98:98,'Cost Phasing'!92:92,IV7)</f>
        <v>0</v>
      </c>
      <c r="IW23" s="258">
        <f>-SUMIFS('Cost Phasing'!98:98,'Cost Phasing'!92:92,IW7)</f>
        <v>0</v>
      </c>
      <c r="IX23" s="258">
        <f>-SUMIFS('Cost Phasing'!98:98,'Cost Phasing'!92:92,IX7)</f>
        <v>0</v>
      </c>
      <c r="IY23" s="258">
        <f>-SUMIFS('Cost Phasing'!98:98,'Cost Phasing'!92:92,IY7)</f>
        <v>0</v>
      </c>
      <c r="IZ23" s="258">
        <f>-SUMIFS('Cost Phasing'!98:98,'Cost Phasing'!92:92,IZ7)</f>
        <v>0</v>
      </c>
      <c r="JA23" s="258">
        <f>-SUMIFS('Cost Phasing'!98:98,'Cost Phasing'!92:92,JA7)</f>
        <v>0</v>
      </c>
      <c r="JB23" s="258">
        <f>-SUMIFS('Cost Phasing'!98:98,'Cost Phasing'!92:92,JB7)</f>
        <v>0</v>
      </c>
      <c r="JC23" s="258">
        <f>-SUMIFS('Cost Phasing'!98:98,'Cost Phasing'!92:92,JC7)</f>
        <v>0</v>
      </c>
      <c r="JD23" s="258">
        <f>-SUMIFS('Cost Phasing'!98:98,'Cost Phasing'!92:92,JD7)</f>
        <v>0</v>
      </c>
      <c r="JE23" s="258">
        <f>-SUMIFS('Cost Phasing'!98:98,'Cost Phasing'!92:92,JE7)</f>
        <v>0</v>
      </c>
      <c r="JF23" s="258">
        <f>-SUMIFS('Cost Phasing'!98:98,'Cost Phasing'!92:92,JF7)</f>
        <v>0</v>
      </c>
      <c r="JG23" s="258">
        <f>-SUMIFS('Cost Phasing'!98:98,'Cost Phasing'!92:92,JG7)</f>
        <v>0</v>
      </c>
      <c r="JH23" s="258">
        <f>-SUMIFS('Cost Phasing'!98:98,'Cost Phasing'!92:92,JH7)</f>
        <v>0</v>
      </c>
      <c r="JI23" s="258">
        <f>-SUMIFS('Cost Phasing'!98:98,'Cost Phasing'!92:92,JI7)</f>
        <v>0</v>
      </c>
      <c r="JJ23" s="258">
        <f>-SUMIFS('Cost Phasing'!98:98,'Cost Phasing'!92:92,JJ7)</f>
        <v>0</v>
      </c>
      <c r="JK23" s="258">
        <f>-SUMIFS('Cost Phasing'!98:98,'Cost Phasing'!92:92,JK7)</f>
        <v>0</v>
      </c>
      <c r="JL23" s="258">
        <f>-SUMIFS('Cost Phasing'!98:98,'Cost Phasing'!92:92,JL7)</f>
        <v>0</v>
      </c>
      <c r="JM23" s="258">
        <f>-SUMIFS('Cost Phasing'!98:98,'Cost Phasing'!92:92,JM7)</f>
        <v>0</v>
      </c>
      <c r="JN23" s="258">
        <f>-SUMIFS('Cost Phasing'!98:98,'Cost Phasing'!92:92,JN7)</f>
        <v>0</v>
      </c>
      <c r="JO23" s="258">
        <f>-SUMIFS('Cost Phasing'!98:98,'Cost Phasing'!92:92,JO7)</f>
        <v>0</v>
      </c>
      <c r="JP23" s="258">
        <f>-SUMIFS('Cost Phasing'!98:98,'Cost Phasing'!92:92,JP7)</f>
        <v>0</v>
      </c>
      <c r="JQ23" s="258">
        <f>-SUMIFS('Cost Phasing'!98:98,'Cost Phasing'!92:92,JQ7)</f>
        <v>0</v>
      </c>
      <c r="JR23" s="258">
        <f>-SUMIFS('Cost Phasing'!98:98,'Cost Phasing'!92:92,JR7)</f>
        <v>0</v>
      </c>
      <c r="JS23" s="258">
        <f>-SUMIFS('Cost Phasing'!98:98,'Cost Phasing'!92:92,JS7)</f>
        <v>0</v>
      </c>
      <c r="JT23" s="258">
        <f>-SUMIFS('Cost Phasing'!98:98,'Cost Phasing'!92:92,JT7)</f>
        <v>0</v>
      </c>
      <c r="JU23" s="258">
        <f>-SUMIFS('Cost Phasing'!98:98,'Cost Phasing'!92:92,JU7)</f>
        <v>0</v>
      </c>
      <c r="JV23" s="258">
        <f>-SUMIFS('Cost Phasing'!98:98,'Cost Phasing'!92:92,JV7)</f>
        <v>0</v>
      </c>
      <c r="JW23" s="258">
        <f>-SUMIFS('Cost Phasing'!98:98,'Cost Phasing'!92:92,JW7)</f>
        <v>0</v>
      </c>
      <c r="JX23" s="258">
        <f>-SUMIFS('Cost Phasing'!98:98,'Cost Phasing'!92:92,JX7)</f>
        <v>0</v>
      </c>
      <c r="JY23" s="258">
        <f>-SUMIFS('Cost Phasing'!98:98,'Cost Phasing'!92:92,JY7)</f>
        <v>0</v>
      </c>
      <c r="JZ23" s="258">
        <f>-SUMIFS('Cost Phasing'!98:98,'Cost Phasing'!92:92,JZ7)</f>
        <v>0</v>
      </c>
      <c r="KA23" s="258">
        <f>-SUMIFS('Cost Phasing'!98:98,'Cost Phasing'!92:92,KA7)</f>
        <v>0</v>
      </c>
      <c r="KB23" s="258">
        <f>-SUMIFS('Cost Phasing'!98:98,'Cost Phasing'!92:92,KB7)</f>
        <v>0</v>
      </c>
      <c r="KC23" s="265">
        <f t="shared" si="432"/>
        <v>-18.221680221750354</v>
      </c>
    </row>
    <row r="24" spans="1:289" x14ac:dyDescent="0.3">
      <c r="A24" s="39" t="s">
        <v>293</v>
      </c>
      <c r="B24" s="257">
        <f t="shared" si="431"/>
        <v>-416.75502063443815</v>
      </c>
      <c r="C24" s="259">
        <f>SUM(C17:C23)</f>
        <v>0</v>
      </c>
      <c r="D24" s="259">
        <f t="shared" ref="D24:BO24" si="433">SUM(D17:D23)</f>
        <v>-6.7555717121443983</v>
      </c>
      <c r="E24" s="259">
        <f t="shared" si="433"/>
        <v>-6.2587365809547322</v>
      </c>
      <c r="F24" s="259">
        <f t="shared" si="433"/>
        <v>-5.8379394497852317</v>
      </c>
      <c r="G24" s="259">
        <f t="shared" si="433"/>
        <v>-5.8379394497852317</v>
      </c>
      <c r="H24" s="259">
        <f t="shared" si="433"/>
        <v>-5.8379394497852317</v>
      </c>
      <c r="I24" s="259">
        <f t="shared" si="433"/>
        <v>-5.8379394497852317</v>
      </c>
      <c r="J24" s="259">
        <f t="shared" si="433"/>
        <v>-5.8379394497852317</v>
      </c>
      <c r="K24" s="259">
        <f t="shared" si="433"/>
        <v>-5.8379394497852317</v>
      </c>
      <c r="L24" s="259">
        <f t="shared" si="433"/>
        <v>-5.8379394497852317</v>
      </c>
      <c r="M24" s="259">
        <f t="shared" si="433"/>
        <v>-5.8379394497852317</v>
      </c>
      <c r="N24" s="259">
        <f t="shared" si="433"/>
        <v>-5.8379394497852317</v>
      </c>
      <c r="O24" s="259">
        <f t="shared" si="433"/>
        <v>-5.8379394497852317</v>
      </c>
      <c r="P24" s="259">
        <f t="shared" si="433"/>
        <v>-13.085186437424273</v>
      </c>
      <c r="Q24" s="259">
        <f t="shared" si="433"/>
        <v>-12.122842967871302</v>
      </c>
      <c r="R24" s="259">
        <f t="shared" si="433"/>
        <v>-11.307781097713411</v>
      </c>
      <c r="S24" s="259">
        <f t="shared" si="433"/>
        <v>-11.307781097713411</v>
      </c>
      <c r="T24" s="259">
        <f t="shared" si="433"/>
        <v>-11.307781097713411</v>
      </c>
      <c r="U24" s="259">
        <f t="shared" si="433"/>
        <v>-11.307781097713411</v>
      </c>
      <c r="V24" s="259">
        <f t="shared" si="433"/>
        <v>-11.307781097713411</v>
      </c>
      <c r="W24" s="259">
        <f t="shared" si="433"/>
        <v>-11.307781097713411</v>
      </c>
      <c r="X24" s="259">
        <f t="shared" si="433"/>
        <v>-11.307781097713411</v>
      </c>
      <c r="Y24" s="259">
        <f t="shared" si="433"/>
        <v>-16.7623380297252</v>
      </c>
      <c r="Z24" s="259">
        <f t="shared" si="433"/>
        <v>-16.361185377607569</v>
      </c>
      <c r="AA24" s="259">
        <f t="shared" si="433"/>
        <v>-16.021427026043465</v>
      </c>
      <c r="AB24" s="259">
        <f t="shared" si="433"/>
        <v>-4.7136459283300542</v>
      </c>
      <c r="AC24" s="259">
        <f t="shared" si="433"/>
        <v>-4.7136459283300542</v>
      </c>
      <c r="AD24" s="259">
        <f t="shared" si="433"/>
        <v>-4.7136459283300542</v>
      </c>
      <c r="AE24" s="259">
        <f t="shared" si="433"/>
        <v>-4.7136459283300542</v>
      </c>
      <c r="AF24" s="259">
        <f t="shared" si="433"/>
        <v>-4.7136459283300542</v>
      </c>
      <c r="AG24" s="259">
        <f t="shared" si="433"/>
        <v>-4.7136459283300542</v>
      </c>
      <c r="AH24" s="259">
        <f t="shared" si="433"/>
        <v>-16.41537950987</v>
      </c>
      <c r="AI24" s="259">
        <f t="shared" si="433"/>
        <v>-15.554781386297499</v>
      </c>
      <c r="AJ24" s="259">
        <f t="shared" si="433"/>
        <v>-14.825893272805947</v>
      </c>
      <c r="AK24" s="259">
        <f t="shared" si="433"/>
        <v>-10.112247344475897</v>
      </c>
      <c r="AL24" s="259">
        <f t="shared" si="433"/>
        <v>-10.112247344475897</v>
      </c>
      <c r="AM24" s="259">
        <f t="shared" si="433"/>
        <v>-10.112247344475897</v>
      </c>
      <c r="AN24" s="259">
        <f t="shared" si="433"/>
        <v>-10.112247344475897</v>
      </c>
      <c r="AO24" s="259">
        <f t="shared" si="433"/>
        <v>-10.112247344475897</v>
      </c>
      <c r="AP24" s="259">
        <f t="shared" si="433"/>
        <v>-10.112247344475897</v>
      </c>
      <c r="AQ24" s="259">
        <f t="shared" si="433"/>
        <v>-12.003834031145812</v>
      </c>
      <c r="AR24" s="259">
        <f t="shared" si="433"/>
        <v>-11.832678399309058</v>
      </c>
      <c r="AS24" s="259">
        <f t="shared" si="433"/>
        <v>-11.816377862943652</v>
      </c>
      <c r="AT24" s="259">
        <f t="shared" si="433"/>
        <v>-1.7041305184677555</v>
      </c>
      <c r="AU24" s="259">
        <f t="shared" si="433"/>
        <v>-1.7041305184677555</v>
      </c>
      <c r="AV24" s="259">
        <f t="shared" si="433"/>
        <v>-1.7041305184677555</v>
      </c>
      <c r="AW24" s="259">
        <f t="shared" si="433"/>
        <v>-1.7041305184677555</v>
      </c>
      <c r="AX24" s="259">
        <f t="shared" si="433"/>
        <v>-1.7041305184677555</v>
      </c>
      <c r="AY24" s="259">
        <f t="shared" si="433"/>
        <v>-1.7041305184677555</v>
      </c>
      <c r="AZ24" s="259">
        <f t="shared" si="433"/>
        <v>-1.7041305184677555</v>
      </c>
      <c r="BA24" s="259">
        <f t="shared" si="433"/>
        <v>-1.7041305184677555</v>
      </c>
      <c r="BB24" s="259">
        <f t="shared" si="433"/>
        <v>-1.7041305184677555</v>
      </c>
      <c r="BC24" s="259">
        <f t="shared" si="433"/>
        <v>-1.7041305184677555</v>
      </c>
      <c r="BD24" s="259">
        <f t="shared" si="433"/>
        <v>-1.7041305184677555</v>
      </c>
      <c r="BE24" s="259">
        <f t="shared" si="433"/>
        <v>-1.7041305184677555</v>
      </c>
      <c r="BF24" s="259">
        <f t="shared" si="433"/>
        <v>0</v>
      </c>
      <c r="BG24" s="259">
        <f t="shared" si="433"/>
        <v>0</v>
      </c>
      <c r="BH24" s="259">
        <f t="shared" si="433"/>
        <v>0</v>
      </c>
      <c r="BI24" s="259">
        <f t="shared" si="433"/>
        <v>0</v>
      </c>
      <c r="BJ24" s="259">
        <f t="shared" si="433"/>
        <v>0</v>
      </c>
      <c r="BK24" s="259">
        <f t="shared" si="433"/>
        <v>0</v>
      </c>
      <c r="BL24" s="259">
        <f t="shared" si="433"/>
        <v>0</v>
      </c>
      <c r="BM24" s="259">
        <f t="shared" si="433"/>
        <v>0</v>
      </c>
      <c r="BN24" s="259">
        <f t="shared" si="433"/>
        <v>0</v>
      </c>
      <c r="BO24" s="259">
        <f t="shared" si="433"/>
        <v>0</v>
      </c>
      <c r="BP24" s="259">
        <f t="shared" ref="BP24:EA24" si="434">SUM(BP17:BP23)</f>
        <v>0</v>
      </c>
      <c r="BQ24" s="259">
        <f t="shared" si="434"/>
        <v>0</v>
      </c>
      <c r="BR24" s="259">
        <f t="shared" si="434"/>
        <v>0</v>
      </c>
      <c r="BS24" s="259">
        <f t="shared" si="434"/>
        <v>0</v>
      </c>
      <c r="BT24" s="259">
        <f t="shared" si="434"/>
        <v>0</v>
      </c>
      <c r="BU24" s="259">
        <f t="shared" si="434"/>
        <v>0</v>
      </c>
      <c r="BV24" s="259">
        <f t="shared" si="434"/>
        <v>0</v>
      </c>
      <c r="BW24" s="259">
        <f t="shared" si="434"/>
        <v>0</v>
      </c>
      <c r="BX24" s="259">
        <f t="shared" si="434"/>
        <v>0</v>
      </c>
      <c r="BY24" s="259">
        <f t="shared" si="434"/>
        <v>0</v>
      </c>
      <c r="BZ24" s="259">
        <f t="shared" si="434"/>
        <v>0</v>
      </c>
      <c r="CA24" s="259">
        <f t="shared" si="434"/>
        <v>0</v>
      </c>
      <c r="CB24" s="259">
        <f t="shared" si="434"/>
        <v>0</v>
      </c>
      <c r="CC24" s="259">
        <f t="shared" si="434"/>
        <v>0</v>
      </c>
      <c r="CD24" s="259">
        <f t="shared" si="434"/>
        <v>0</v>
      </c>
      <c r="CE24" s="259">
        <f t="shared" si="434"/>
        <v>0</v>
      </c>
      <c r="CF24" s="259">
        <f t="shared" si="434"/>
        <v>0</v>
      </c>
      <c r="CG24" s="259">
        <f t="shared" si="434"/>
        <v>0</v>
      </c>
      <c r="CH24" s="259">
        <f t="shared" si="434"/>
        <v>0</v>
      </c>
      <c r="CI24" s="259">
        <f t="shared" si="434"/>
        <v>0</v>
      </c>
      <c r="CJ24" s="259">
        <f t="shared" si="434"/>
        <v>0</v>
      </c>
      <c r="CK24" s="259">
        <f t="shared" si="434"/>
        <v>0</v>
      </c>
      <c r="CL24" s="259">
        <f t="shared" si="434"/>
        <v>0</v>
      </c>
      <c r="CM24" s="259">
        <f t="shared" si="434"/>
        <v>0</v>
      </c>
      <c r="CN24" s="259">
        <f t="shared" si="434"/>
        <v>0</v>
      </c>
      <c r="CO24" s="259">
        <f t="shared" si="434"/>
        <v>0</v>
      </c>
      <c r="CP24" s="259">
        <f t="shared" si="434"/>
        <v>0</v>
      </c>
      <c r="CQ24" s="259">
        <f t="shared" si="434"/>
        <v>0</v>
      </c>
      <c r="CR24" s="259">
        <f t="shared" si="434"/>
        <v>0</v>
      </c>
      <c r="CS24" s="259">
        <f t="shared" si="434"/>
        <v>0</v>
      </c>
      <c r="CT24" s="259">
        <f t="shared" si="434"/>
        <v>0</v>
      </c>
      <c r="CU24" s="259">
        <f t="shared" si="434"/>
        <v>0</v>
      </c>
      <c r="CV24" s="259">
        <f t="shared" si="434"/>
        <v>0</v>
      </c>
      <c r="CW24" s="259">
        <f t="shared" si="434"/>
        <v>0</v>
      </c>
      <c r="CX24" s="259">
        <f t="shared" si="434"/>
        <v>0</v>
      </c>
      <c r="CY24" s="259">
        <f t="shared" si="434"/>
        <v>0</v>
      </c>
      <c r="CZ24" s="259">
        <f t="shared" si="434"/>
        <v>0</v>
      </c>
      <c r="DA24" s="259">
        <f t="shared" si="434"/>
        <v>0</v>
      </c>
      <c r="DB24" s="259">
        <f t="shared" si="434"/>
        <v>0</v>
      </c>
      <c r="DC24" s="259">
        <f t="shared" si="434"/>
        <v>0</v>
      </c>
      <c r="DD24" s="259">
        <f t="shared" si="434"/>
        <v>0</v>
      </c>
      <c r="DE24" s="259">
        <f t="shared" si="434"/>
        <v>0</v>
      </c>
      <c r="DF24" s="259">
        <f t="shared" si="434"/>
        <v>0</v>
      </c>
      <c r="DG24" s="259">
        <f t="shared" si="434"/>
        <v>0</v>
      </c>
      <c r="DH24" s="259">
        <f t="shared" si="434"/>
        <v>0</v>
      </c>
      <c r="DI24" s="259">
        <f t="shared" si="434"/>
        <v>0</v>
      </c>
      <c r="DJ24" s="259">
        <f t="shared" si="434"/>
        <v>0</v>
      </c>
      <c r="DK24" s="259">
        <f t="shared" si="434"/>
        <v>0</v>
      </c>
      <c r="DL24" s="259">
        <f t="shared" si="434"/>
        <v>0</v>
      </c>
      <c r="DM24" s="259">
        <f t="shared" si="434"/>
        <v>0</v>
      </c>
      <c r="DN24" s="259">
        <f t="shared" si="434"/>
        <v>0</v>
      </c>
      <c r="DO24" s="259">
        <f t="shared" si="434"/>
        <v>0</v>
      </c>
      <c r="DP24" s="259">
        <f t="shared" si="434"/>
        <v>0</v>
      </c>
      <c r="DQ24" s="259">
        <f t="shared" si="434"/>
        <v>0</v>
      </c>
      <c r="DR24" s="259">
        <f t="shared" si="434"/>
        <v>0</v>
      </c>
      <c r="DS24" s="259">
        <f t="shared" si="434"/>
        <v>0</v>
      </c>
      <c r="DT24" s="259">
        <f t="shared" si="434"/>
        <v>0</v>
      </c>
      <c r="DU24" s="259">
        <f t="shared" si="434"/>
        <v>0</v>
      </c>
      <c r="DV24" s="259">
        <f t="shared" si="434"/>
        <v>0</v>
      </c>
      <c r="DW24" s="259">
        <f t="shared" si="434"/>
        <v>0</v>
      </c>
      <c r="DX24" s="259">
        <f t="shared" si="434"/>
        <v>0</v>
      </c>
      <c r="DY24" s="259">
        <f t="shared" si="434"/>
        <v>0</v>
      </c>
      <c r="DZ24" s="259">
        <f t="shared" si="434"/>
        <v>0</v>
      </c>
      <c r="EA24" s="259">
        <f t="shared" si="434"/>
        <v>0</v>
      </c>
      <c r="EB24" s="259">
        <f t="shared" ref="EB24:KC24" si="435">SUM(EB17:EB23)</f>
        <v>0</v>
      </c>
      <c r="EC24" s="259">
        <f t="shared" si="435"/>
        <v>0</v>
      </c>
      <c r="ED24" s="259">
        <f t="shared" si="435"/>
        <v>0</v>
      </c>
      <c r="EE24" s="259">
        <f t="shared" si="435"/>
        <v>0</v>
      </c>
      <c r="EF24" s="259">
        <f t="shared" si="435"/>
        <v>0</v>
      </c>
      <c r="EG24" s="259">
        <f t="shared" si="435"/>
        <v>0</v>
      </c>
      <c r="EH24" s="259">
        <f t="shared" si="435"/>
        <v>0</v>
      </c>
      <c r="EI24" s="259">
        <f t="shared" si="435"/>
        <v>0</v>
      </c>
      <c r="EJ24" s="259">
        <f t="shared" si="435"/>
        <v>0</v>
      </c>
      <c r="EK24" s="259">
        <f t="shared" si="435"/>
        <v>0</v>
      </c>
      <c r="EL24" s="259">
        <f t="shared" si="435"/>
        <v>0</v>
      </c>
      <c r="EM24" s="259">
        <f t="shared" si="435"/>
        <v>0</v>
      </c>
      <c r="EN24" s="259">
        <f t="shared" si="435"/>
        <v>0</v>
      </c>
      <c r="EO24" s="259">
        <f t="shared" si="435"/>
        <v>0</v>
      </c>
      <c r="EP24" s="259">
        <f t="shared" si="435"/>
        <v>0</v>
      </c>
      <c r="EQ24" s="259">
        <f t="shared" si="435"/>
        <v>0</v>
      </c>
      <c r="ER24" s="259">
        <f t="shared" si="435"/>
        <v>0</v>
      </c>
      <c r="ES24" s="259">
        <f t="shared" si="435"/>
        <v>0</v>
      </c>
      <c r="ET24" s="259">
        <f t="shared" si="435"/>
        <v>0</v>
      </c>
      <c r="EU24" s="259">
        <f t="shared" si="435"/>
        <v>0</v>
      </c>
      <c r="EV24" s="259">
        <f t="shared" si="435"/>
        <v>0</v>
      </c>
      <c r="EW24" s="259">
        <f t="shared" si="435"/>
        <v>0</v>
      </c>
      <c r="EX24" s="259">
        <f t="shared" si="435"/>
        <v>0</v>
      </c>
      <c r="EY24" s="259">
        <f t="shared" si="435"/>
        <v>0</v>
      </c>
      <c r="EZ24" s="259">
        <f t="shared" si="435"/>
        <v>0</v>
      </c>
      <c r="FA24" s="259">
        <f t="shared" si="435"/>
        <v>0</v>
      </c>
      <c r="FB24" s="259">
        <f t="shared" si="435"/>
        <v>0</v>
      </c>
      <c r="FC24" s="259">
        <f t="shared" si="435"/>
        <v>0</v>
      </c>
      <c r="FD24" s="259">
        <f t="shared" si="435"/>
        <v>0</v>
      </c>
      <c r="FE24" s="259">
        <f t="shared" si="435"/>
        <v>0</v>
      </c>
      <c r="FF24" s="259">
        <f t="shared" si="435"/>
        <v>0</v>
      </c>
      <c r="FG24" s="259">
        <f t="shared" si="435"/>
        <v>0</v>
      </c>
      <c r="FH24" s="259">
        <f t="shared" si="435"/>
        <v>0</v>
      </c>
      <c r="FI24" s="259">
        <f t="shared" si="435"/>
        <v>0</v>
      </c>
      <c r="FJ24" s="259">
        <f t="shared" si="435"/>
        <v>0</v>
      </c>
      <c r="FK24" s="259">
        <f t="shared" si="435"/>
        <v>0</v>
      </c>
      <c r="FL24" s="259">
        <f t="shared" si="435"/>
        <v>0</v>
      </c>
      <c r="FM24" s="259">
        <f t="shared" si="435"/>
        <v>0</v>
      </c>
      <c r="FN24" s="259">
        <f t="shared" si="435"/>
        <v>0</v>
      </c>
      <c r="FO24" s="259">
        <f t="shared" si="435"/>
        <v>0</v>
      </c>
      <c r="FP24" s="259">
        <f t="shared" si="435"/>
        <v>0</v>
      </c>
      <c r="FQ24" s="259">
        <f t="shared" si="435"/>
        <v>0</v>
      </c>
      <c r="FR24" s="259">
        <f t="shared" si="435"/>
        <v>0</v>
      </c>
      <c r="FS24" s="259">
        <f t="shared" si="435"/>
        <v>0</v>
      </c>
      <c r="FT24" s="259">
        <f t="shared" si="435"/>
        <v>0</v>
      </c>
      <c r="FU24" s="259">
        <f t="shared" si="435"/>
        <v>0</v>
      </c>
      <c r="FV24" s="259">
        <f t="shared" si="435"/>
        <v>0</v>
      </c>
      <c r="FW24" s="259">
        <f t="shared" si="435"/>
        <v>0</v>
      </c>
      <c r="FX24" s="259">
        <f t="shared" ref="FX24:HS24" si="436">SUM(FX17:FX23)</f>
        <v>0</v>
      </c>
      <c r="FY24" s="259">
        <f t="shared" si="436"/>
        <v>0</v>
      </c>
      <c r="FZ24" s="259">
        <f t="shared" si="436"/>
        <v>0</v>
      </c>
      <c r="GA24" s="259">
        <f t="shared" si="436"/>
        <v>0</v>
      </c>
      <c r="GB24" s="259">
        <f t="shared" si="436"/>
        <v>0</v>
      </c>
      <c r="GC24" s="259">
        <f t="shared" si="436"/>
        <v>0</v>
      </c>
      <c r="GD24" s="259">
        <f t="shared" si="436"/>
        <v>0</v>
      </c>
      <c r="GE24" s="259">
        <f t="shared" si="436"/>
        <v>0</v>
      </c>
      <c r="GF24" s="259">
        <f t="shared" si="436"/>
        <v>0</v>
      </c>
      <c r="GG24" s="259">
        <f t="shared" si="436"/>
        <v>0</v>
      </c>
      <c r="GH24" s="259">
        <f t="shared" si="436"/>
        <v>0</v>
      </c>
      <c r="GI24" s="259">
        <f t="shared" si="436"/>
        <v>0</v>
      </c>
      <c r="GJ24" s="259">
        <f t="shared" si="436"/>
        <v>0</v>
      </c>
      <c r="GK24" s="259">
        <f t="shared" si="436"/>
        <v>0</v>
      </c>
      <c r="GL24" s="259">
        <f t="shared" si="436"/>
        <v>0</v>
      </c>
      <c r="GM24" s="259">
        <f t="shared" si="436"/>
        <v>0</v>
      </c>
      <c r="GN24" s="259">
        <f t="shared" si="436"/>
        <v>0</v>
      </c>
      <c r="GO24" s="259">
        <f t="shared" si="436"/>
        <v>0</v>
      </c>
      <c r="GP24" s="259">
        <f t="shared" si="436"/>
        <v>0</v>
      </c>
      <c r="GQ24" s="259">
        <f t="shared" si="436"/>
        <v>0</v>
      </c>
      <c r="GR24" s="259">
        <f t="shared" si="436"/>
        <v>0</v>
      </c>
      <c r="GS24" s="259">
        <f t="shared" si="436"/>
        <v>0</v>
      </c>
      <c r="GT24" s="259">
        <f t="shared" si="436"/>
        <v>0</v>
      </c>
      <c r="GU24" s="259">
        <f t="shared" si="436"/>
        <v>0</v>
      </c>
      <c r="GV24" s="259">
        <f t="shared" si="436"/>
        <v>0</v>
      </c>
      <c r="GW24" s="259">
        <f t="shared" si="436"/>
        <v>0</v>
      </c>
      <c r="GX24" s="259">
        <f t="shared" si="436"/>
        <v>0</v>
      </c>
      <c r="GY24" s="259">
        <f t="shared" si="436"/>
        <v>0</v>
      </c>
      <c r="GZ24" s="259">
        <f t="shared" si="436"/>
        <v>0</v>
      </c>
      <c r="HA24" s="259">
        <f t="shared" si="436"/>
        <v>0</v>
      </c>
      <c r="HB24" s="259">
        <f t="shared" si="436"/>
        <v>0</v>
      </c>
      <c r="HC24" s="259">
        <f t="shared" si="436"/>
        <v>0</v>
      </c>
      <c r="HD24" s="259">
        <f t="shared" si="436"/>
        <v>0</v>
      </c>
      <c r="HE24" s="259">
        <f t="shared" si="436"/>
        <v>0</v>
      </c>
      <c r="HF24" s="259">
        <f t="shared" si="436"/>
        <v>0</v>
      </c>
      <c r="HG24" s="259">
        <f t="shared" si="436"/>
        <v>0</v>
      </c>
      <c r="HH24" s="259">
        <f t="shared" si="436"/>
        <v>0</v>
      </c>
      <c r="HI24" s="259">
        <f t="shared" si="436"/>
        <v>0</v>
      </c>
      <c r="HJ24" s="259">
        <f t="shared" si="436"/>
        <v>0</v>
      </c>
      <c r="HK24" s="259">
        <f t="shared" si="436"/>
        <v>0</v>
      </c>
      <c r="HL24" s="259">
        <f t="shared" si="436"/>
        <v>0</v>
      </c>
      <c r="HM24" s="259">
        <f t="shared" si="436"/>
        <v>0</v>
      </c>
      <c r="HN24" s="259">
        <f t="shared" si="436"/>
        <v>0</v>
      </c>
      <c r="HO24" s="259">
        <f t="shared" si="436"/>
        <v>0</v>
      </c>
      <c r="HP24" s="259">
        <f t="shared" si="436"/>
        <v>0</v>
      </c>
      <c r="HQ24" s="259">
        <f t="shared" si="436"/>
        <v>0</v>
      </c>
      <c r="HR24" s="259">
        <f t="shared" si="436"/>
        <v>0</v>
      </c>
      <c r="HS24" s="259">
        <f t="shared" si="436"/>
        <v>0</v>
      </c>
      <c r="HT24" s="259">
        <f t="shared" ref="HT24:KB24" si="437">SUM(HT17:HT23)</f>
        <v>0</v>
      </c>
      <c r="HU24" s="259">
        <f t="shared" si="437"/>
        <v>0</v>
      </c>
      <c r="HV24" s="259">
        <f t="shared" si="437"/>
        <v>0</v>
      </c>
      <c r="HW24" s="259">
        <f t="shared" si="437"/>
        <v>0</v>
      </c>
      <c r="HX24" s="259">
        <f t="shared" si="437"/>
        <v>0</v>
      </c>
      <c r="HY24" s="259">
        <f t="shared" si="437"/>
        <v>0</v>
      </c>
      <c r="HZ24" s="259">
        <f t="shared" si="437"/>
        <v>0</v>
      </c>
      <c r="IA24" s="259">
        <f t="shared" si="437"/>
        <v>0</v>
      </c>
      <c r="IB24" s="259">
        <f t="shared" si="437"/>
        <v>0</v>
      </c>
      <c r="IC24" s="259">
        <f t="shared" si="437"/>
        <v>0</v>
      </c>
      <c r="ID24" s="259">
        <f t="shared" si="437"/>
        <v>0</v>
      </c>
      <c r="IE24" s="259">
        <f t="shared" si="437"/>
        <v>0</v>
      </c>
      <c r="IF24" s="259">
        <f t="shared" si="437"/>
        <v>0</v>
      </c>
      <c r="IG24" s="259">
        <f t="shared" si="437"/>
        <v>0</v>
      </c>
      <c r="IH24" s="259">
        <f t="shared" si="437"/>
        <v>0</v>
      </c>
      <c r="II24" s="259">
        <f t="shared" si="437"/>
        <v>0</v>
      </c>
      <c r="IJ24" s="259">
        <f t="shared" si="437"/>
        <v>0</v>
      </c>
      <c r="IK24" s="259">
        <f t="shared" si="437"/>
        <v>0</v>
      </c>
      <c r="IL24" s="259">
        <f t="shared" si="437"/>
        <v>0</v>
      </c>
      <c r="IM24" s="259">
        <f t="shared" si="437"/>
        <v>0</v>
      </c>
      <c r="IN24" s="259">
        <f t="shared" si="437"/>
        <v>0</v>
      </c>
      <c r="IO24" s="259">
        <f t="shared" si="437"/>
        <v>0</v>
      </c>
      <c r="IP24" s="259">
        <f t="shared" si="437"/>
        <v>0</v>
      </c>
      <c r="IQ24" s="259">
        <f t="shared" si="437"/>
        <v>0</v>
      </c>
      <c r="IR24" s="259">
        <f t="shared" si="437"/>
        <v>0</v>
      </c>
      <c r="IS24" s="259">
        <f t="shared" si="437"/>
        <v>0</v>
      </c>
      <c r="IT24" s="259">
        <f t="shared" si="437"/>
        <v>0</v>
      </c>
      <c r="IU24" s="259">
        <f t="shared" si="437"/>
        <v>0</v>
      </c>
      <c r="IV24" s="259">
        <f t="shared" si="437"/>
        <v>0</v>
      </c>
      <c r="IW24" s="259">
        <f t="shared" si="437"/>
        <v>0</v>
      </c>
      <c r="IX24" s="259">
        <f t="shared" si="437"/>
        <v>0</v>
      </c>
      <c r="IY24" s="259">
        <f t="shared" si="437"/>
        <v>0</v>
      </c>
      <c r="IZ24" s="259">
        <f t="shared" si="437"/>
        <v>0</v>
      </c>
      <c r="JA24" s="259">
        <f t="shared" si="437"/>
        <v>0</v>
      </c>
      <c r="JB24" s="259">
        <f t="shared" si="437"/>
        <v>0</v>
      </c>
      <c r="JC24" s="259">
        <f t="shared" si="437"/>
        <v>0</v>
      </c>
      <c r="JD24" s="259">
        <f t="shared" si="437"/>
        <v>0</v>
      </c>
      <c r="JE24" s="259">
        <f t="shared" si="437"/>
        <v>0</v>
      </c>
      <c r="JF24" s="259">
        <f t="shared" si="437"/>
        <v>0</v>
      </c>
      <c r="JG24" s="259">
        <f t="shared" si="437"/>
        <v>0</v>
      </c>
      <c r="JH24" s="259">
        <f t="shared" si="437"/>
        <v>0</v>
      </c>
      <c r="JI24" s="259">
        <f t="shared" si="437"/>
        <v>0</v>
      </c>
      <c r="JJ24" s="259">
        <f t="shared" si="437"/>
        <v>0</v>
      </c>
      <c r="JK24" s="259">
        <f t="shared" si="437"/>
        <v>0</v>
      </c>
      <c r="JL24" s="259">
        <f t="shared" si="437"/>
        <v>0</v>
      </c>
      <c r="JM24" s="259">
        <f t="shared" si="437"/>
        <v>0</v>
      </c>
      <c r="JN24" s="259">
        <f t="shared" si="437"/>
        <v>0</v>
      </c>
      <c r="JO24" s="259">
        <f t="shared" si="437"/>
        <v>0</v>
      </c>
      <c r="JP24" s="259">
        <f t="shared" si="437"/>
        <v>0</v>
      </c>
      <c r="JQ24" s="259">
        <f t="shared" si="437"/>
        <v>0</v>
      </c>
      <c r="JR24" s="259">
        <f t="shared" si="437"/>
        <v>0</v>
      </c>
      <c r="JS24" s="259">
        <f t="shared" si="437"/>
        <v>0</v>
      </c>
      <c r="JT24" s="259">
        <f t="shared" si="437"/>
        <v>0</v>
      </c>
      <c r="JU24" s="259">
        <f t="shared" si="437"/>
        <v>0</v>
      </c>
      <c r="JV24" s="259">
        <f t="shared" si="437"/>
        <v>0</v>
      </c>
      <c r="JW24" s="259">
        <f t="shared" si="437"/>
        <v>0</v>
      </c>
      <c r="JX24" s="259">
        <f t="shared" si="437"/>
        <v>0</v>
      </c>
      <c r="JY24" s="259">
        <f t="shared" si="437"/>
        <v>0</v>
      </c>
      <c r="JZ24" s="259">
        <f t="shared" si="437"/>
        <v>0</v>
      </c>
      <c r="KA24" s="259">
        <f t="shared" si="437"/>
        <v>0</v>
      </c>
      <c r="KB24" s="259">
        <f t="shared" si="437"/>
        <v>0</v>
      </c>
      <c r="KC24" s="259">
        <f t="shared" si="435"/>
        <v>-416.7550206344381</v>
      </c>
    </row>
    <row r="25" spans="1:289" x14ac:dyDescent="0.3">
      <c r="A25" s="1" t="s">
        <v>36</v>
      </c>
      <c r="B25" s="257">
        <f t="shared" si="431"/>
        <v>-0.70932943880749988</v>
      </c>
      <c r="C25" s="258">
        <f>-SUMIFS('Cost Phasing'!133:133,'Cost Phasing'!127:127,C7)</f>
        <v>0</v>
      </c>
      <c r="D25" s="258">
        <f>-SUMIFS('Cost Phasing'!133:133,'Cost Phasing'!127:127,D7)</f>
        <v>0</v>
      </c>
      <c r="E25" s="258">
        <f>-SUMIFS('Cost Phasing'!133:133,'Cost Phasing'!127:127,E7)</f>
        <v>0</v>
      </c>
      <c r="F25" s="258">
        <f>-SUMIFS('Cost Phasing'!133:133,'Cost Phasing'!127:127,F7)</f>
        <v>0</v>
      </c>
      <c r="G25" s="258">
        <f>-SUMIFS('Cost Phasing'!133:133,'Cost Phasing'!127:127,G7)</f>
        <v>0</v>
      </c>
      <c r="H25" s="258">
        <f>-SUMIFS('Cost Phasing'!133:133,'Cost Phasing'!127:127,H7)</f>
        <v>0</v>
      </c>
      <c r="I25" s="258">
        <f>-SUMIFS('Cost Phasing'!133:133,'Cost Phasing'!127:127,I7)</f>
        <v>0</v>
      </c>
      <c r="J25" s="258">
        <f>-SUMIFS('Cost Phasing'!133:133,'Cost Phasing'!127:127,J7)</f>
        <v>0</v>
      </c>
      <c r="K25" s="258">
        <f>-SUMIFS('Cost Phasing'!133:133,'Cost Phasing'!127:127,K7)</f>
        <v>-2.4302841058999998E-2</v>
      </c>
      <c r="L25" s="258">
        <f>-SUMIFS('Cost Phasing'!133:133,'Cost Phasing'!127:127,L7)</f>
        <v>-2.4302841058999998E-2</v>
      </c>
      <c r="M25" s="258">
        <f>-SUMIFS('Cost Phasing'!133:133,'Cost Phasing'!127:127,M7)</f>
        <v>-2.4302841058999998E-2</v>
      </c>
      <c r="N25" s="258">
        <f>-SUMIFS('Cost Phasing'!133:133,'Cost Phasing'!127:127,N7)</f>
        <v>-2.4302841058999998E-2</v>
      </c>
      <c r="O25" s="258">
        <f>-SUMIFS('Cost Phasing'!133:133,'Cost Phasing'!127:127,O7)</f>
        <v>-2.4302841058999998E-2</v>
      </c>
      <c r="P25" s="258">
        <f>-SUMIFS('Cost Phasing'!133:133,'Cost Phasing'!127:127,P7)</f>
        <v>0</v>
      </c>
      <c r="Q25" s="258">
        <f>-SUMIFS('Cost Phasing'!133:133,'Cost Phasing'!127:127,Q7)</f>
        <v>0</v>
      </c>
      <c r="R25" s="258">
        <f>-SUMIFS('Cost Phasing'!133:133,'Cost Phasing'!127:127,R7)</f>
        <v>0</v>
      </c>
      <c r="S25" s="258">
        <f>-SUMIFS('Cost Phasing'!133:133,'Cost Phasing'!127:127,S7)</f>
        <v>0</v>
      </c>
      <c r="T25" s="258">
        <f>-SUMIFS('Cost Phasing'!133:133,'Cost Phasing'!127:127,T7)</f>
        <v>0</v>
      </c>
      <c r="U25" s="258">
        <f>-SUMIFS('Cost Phasing'!133:133,'Cost Phasing'!127:127,U7)</f>
        <v>0</v>
      </c>
      <c r="V25" s="258">
        <f>-SUMIFS('Cost Phasing'!133:133,'Cost Phasing'!127:127,V7)</f>
        <v>0</v>
      </c>
      <c r="W25" s="258">
        <f>-SUMIFS('Cost Phasing'!133:133,'Cost Phasing'!127:127,W7)</f>
        <v>-4.7073322550099994E-2</v>
      </c>
      <c r="X25" s="258">
        <f>-SUMIFS('Cost Phasing'!133:133,'Cost Phasing'!127:127,X7)</f>
        <v>-4.7073322550099994E-2</v>
      </c>
      <c r="Y25" s="258">
        <f>-SUMIFS('Cost Phasing'!133:133,'Cost Phasing'!127:127,Y7)</f>
        <v>-4.7073322550099994E-2</v>
      </c>
      <c r="Z25" s="258">
        <f>-SUMIFS('Cost Phasing'!133:133,'Cost Phasing'!127:127,Z7)</f>
        <v>-4.7073322550099994E-2</v>
      </c>
      <c r="AA25" s="258">
        <f>-SUMIFS('Cost Phasing'!133:133,'Cost Phasing'!127:127,AA7)</f>
        <v>-4.7073322550099994E-2</v>
      </c>
      <c r="AB25" s="258">
        <f>-SUMIFS('Cost Phasing'!133:133,'Cost Phasing'!127:127,AB7)</f>
        <v>0</v>
      </c>
      <c r="AC25" s="258">
        <f>-SUMIFS('Cost Phasing'!133:133,'Cost Phasing'!127:127,AC7)</f>
        <v>0</v>
      </c>
      <c r="AD25" s="258">
        <f>-SUMIFS('Cost Phasing'!133:133,'Cost Phasing'!127:127,AD7)</f>
        <v>0</v>
      </c>
      <c r="AE25" s="258">
        <f>-SUMIFS('Cost Phasing'!133:133,'Cost Phasing'!127:127,AE7)</f>
        <v>0</v>
      </c>
      <c r="AF25" s="258">
        <f>-SUMIFS('Cost Phasing'!133:133,'Cost Phasing'!127:127,AF7)</f>
        <v>-1.9622503588799998E-2</v>
      </c>
      <c r="AG25" s="258">
        <f>-SUMIFS('Cost Phasing'!133:133,'Cost Phasing'!127:127,AG7)</f>
        <v>-1.9622503588799998E-2</v>
      </c>
      <c r="AH25" s="258">
        <f>-SUMIFS('Cost Phasing'!133:133,'Cost Phasing'!127:127,AH7)</f>
        <v>-1.9622503588799998E-2</v>
      </c>
      <c r="AI25" s="258">
        <f>-SUMIFS('Cost Phasing'!133:133,'Cost Phasing'!127:127,AI7)</f>
        <v>-1.9622503588799998E-2</v>
      </c>
      <c r="AJ25" s="258">
        <f>-SUMIFS('Cost Phasing'!133:133,'Cost Phasing'!127:127,AJ7)</f>
        <v>-1.9622503588799998E-2</v>
      </c>
      <c r="AK25" s="258">
        <f>-SUMIFS('Cost Phasing'!133:133,'Cost Phasing'!127:127,AK7)</f>
        <v>0</v>
      </c>
      <c r="AL25" s="258">
        <f>-SUMIFS('Cost Phasing'!133:133,'Cost Phasing'!127:127,AL7)</f>
        <v>0</v>
      </c>
      <c r="AM25" s="258">
        <f>-SUMIFS('Cost Phasing'!133:133,'Cost Phasing'!127:127,AM7)</f>
        <v>0</v>
      </c>
      <c r="AN25" s="258">
        <f>-SUMIFS('Cost Phasing'!133:133,'Cost Phasing'!127:127,AN7)</f>
        <v>0</v>
      </c>
      <c r="AO25" s="258">
        <f>-SUMIFS('Cost Phasing'!133:133,'Cost Phasing'!127:127,AO7)</f>
        <v>-4.2096418107099999E-2</v>
      </c>
      <c r="AP25" s="258">
        <f>-SUMIFS('Cost Phasing'!133:133,'Cost Phasing'!127:127,AP7)</f>
        <v>-4.2096418107099999E-2</v>
      </c>
      <c r="AQ25" s="258">
        <f>-SUMIFS('Cost Phasing'!133:133,'Cost Phasing'!127:127,AQ7)</f>
        <v>-4.2096418107099999E-2</v>
      </c>
      <c r="AR25" s="258">
        <f>-SUMIFS('Cost Phasing'!133:133,'Cost Phasing'!127:127,AR7)</f>
        <v>-4.2096418107099999E-2</v>
      </c>
      <c r="AS25" s="258">
        <f>-SUMIFS('Cost Phasing'!133:133,'Cost Phasing'!127:127,AS7)</f>
        <v>-4.2096418107099999E-2</v>
      </c>
      <c r="AT25" s="258">
        <f>-SUMIFS('Cost Phasing'!133:133,'Cost Phasing'!127:127,AT7)</f>
        <v>0</v>
      </c>
      <c r="AU25" s="258">
        <f>-SUMIFS('Cost Phasing'!133:133,'Cost Phasing'!127:127,AU7)</f>
        <v>0</v>
      </c>
      <c r="AV25" s="258">
        <f>-SUMIFS('Cost Phasing'!133:133,'Cost Phasing'!127:127,AV7)</f>
        <v>0</v>
      </c>
      <c r="AW25" s="258">
        <f>-SUMIFS('Cost Phasing'!133:133,'Cost Phasing'!127:127,AW7)</f>
        <v>0</v>
      </c>
      <c r="AX25" s="258">
        <f>-SUMIFS('Cost Phasing'!133:133,'Cost Phasing'!127:127,AX7)</f>
        <v>0</v>
      </c>
      <c r="AY25" s="258">
        <f>-SUMIFS('Cost Phasing'!133:133,'Cost Phasing'!127:127,AY7)</f>
        <v>0</v>
      </c>
      <c r="AZ25" s="258">
        <f>-SUMIFS('Cost Phasing'!133:133,'Cost Phasing'!127:127,AZ7)</f>
        <v>0</v>
      </c>
      <c r="BA25" s="258">
        <f>-SUMIFS('Cost Phasing'!133:133,'Cost Phasing'!127:127,BA7)</f>
        <v>-8.7708024565000004E-3</v>
      </c>
      <c r="BB25" s="258">
        <f>-SUMIFS('Cost Phasing'!133:133,'Cost Phasing'!127:127,BB7)</f>
        <v>-8.7708024565000004E-3</v>
      </c>
      <c r="BC25" s="258">
        <f>-SUMIFS('Cost Phasing'!133:133,'Cost Phasing'!127:127,BC7)</f>
        <v>-8.7708024565000004E-3</v>
      </c>
      <c r="BD25" s="258">
        <f>-SUMIFS('Cost Phasing'!133:133,'Cost Phasing'!127:127,BD7)</f>
        <v>-8.7708024565000004E-3</v>
      </c>
      <c r="BE25" s="258">
        <f>-SUMIFS('Cost Phasing'!133:133,'Cost Phasing'!127:127,BE7)</f>
        <v>-8.7708024565000004E-3</v>
      </c>
      <c r="BF25" s="258">
        <f>-SUMIFS('Cost Phasing'!133:133,'Cost Phasing'!127:127,BF7)</f>
        <v>0</v>
      </c>
      <c r="BG25" s="258">
        <f>-SUMIFS('Cost Phasing'!133:133,'Cost Phasing'!127:127,BG7)</f>
        <v>0</v>
      </c>
      <c r="BH25" s="258">
        <f>-SUMIFS('Cost Phasing'!133:133,'Cost Phasing'!127:127,BH7)</f>
        <v>0</v>
      </c>
      <c r="BI25" s="258">
        <f>-SUMIFS('Cost Phasing'!133:133,'Cost Phasing'!127:127,BI7)</f>
        <v>0</v>
      </c>
      <c r="BJ25" s="258">
        <f>-SUMIFS('Cost Phasing'!133:133,'Cost Phasing'!127:127,BJ7)</f>
        <v>0</v>
      </c>
      <c r="BK25" s="258">
        <f>-SUMIFS('Cost Phasing'!133:133,'Cost Phasing'!127:127,BK7)</f>
        <v>0</v>
      </c>
      <c r="BL25" s="258">
        <f>-SUMIFS('Cost Phasing'!133:133,'Cost Phasing'!127:127,BL7)</f>
        <v>0</v>
      </c>
      <c r="BM25" s="258">
        <f>-SUMIFS('Cost Phasing'!133:133,'Cost Phasing'!127:127,BM7)</f>
        <v>0</v>
      </c>
      <c r="BN25" s="258">
        <f>-SUMIFS('Cost Phasing'!133:133,'Cost Phasing'!127:127,BN7)</f>
        <v>0</v>
      </c>
      <c r="BO25" s="258">
        <f>-SUMIFS('Cost Phasing'!133:133,'Cost Phasing'!127:127,BO7)</f>
        <v>0</v>
      </c>
      <c r="BP25" s="258">
        <f>-SUMIFS('Cost Phasing'!133:133,'Cost Phasing'!127:127,BP7)</f>
        <v>0</v>
      </c>
      <c r="BQ25" s="258">
        <f>-SUMIFS('Cost Phasing'!133:133,'Cost Phasing'!127:127,BQ7)</f>
        <v>0</v>
      </c>
      <c r="BR25" s="258">
        <f>-SUMIFS('Cost Phasing'!133:133,'Cost Phasing'!127:127,BR7)</f>
        <v>0</v>
      </c>
      <c r="BS25" s="258">
        <f>-SUMIFS('Cost Phasing'!133:133,'Cost Phasing'!127:127,BS7)</f>
        <v>0</v>
      </c>
      <c r="BT25" s="258">
        <f>-SUMIFS('Cost Phasing'!133:133,'Cost Phasing'!127:127,BT7)</f>
        <v>0</v>
      </c>
      <c r="BU25" s="258">
        <f>-SUMIFS('Cost Phasing'!133:133,'Cost Phasing'!127:127,BU7)</f>
        <v>0</v>
      </c>
      <c r="BV25" s="258">
        <f>-SUMIFS('Cost Phasing'!133:133,'Cost Phasing'!127:127,BV7)</f>
        <v>0</v>
      </c>
      <c r="BW25" s="258">
        <f>-SUMIFS('Cost Phasing'!133:133,'Cost Phasing'!127:127,BW7)</f>
        <v>0</v>
      </c>
      <c r="BX25" s="258">
        <f>-SUMIFS('Cost Phasing'!133:133,'Cost Phasing'!127:127,BX7)</f>
        <v>0</v>
      </c>
      <c r="BY25" s="258">
        <f>-SUMIFS('Cost Phasing'!133:133,'Cost Phasing'!127:127,BY7)</f>
        <v>0</v>
      </c>
      <c r="BZ25" s="258">
        <f>-SUMIFS('Cost Phasing'!133:133,'Cost Phasing'!127:127,BZ7)</f>
        <v>0</v>
      </c>
      <c r="CA25" s="258">
        <f>-SUMIFS('Cost Phasing'!133:133,'Cost Phasing'!127:127,CA7)</f>
        <v>0</v>
      </c>
      <c r="CB25" s="258">
        <f>-SUMIFS('Cost Phasing'!133:133,'Cost Phasing'!127:127,CB7)</f>
        <v>0</v>
      </c>
      <c r="CC25" s="258">
        <f>-SUMIFS('Cost Phasing'!133:133,'Cost Phasing'!127:127,CC7)</f>
        <v>0</v>
      </c>
      <c r="CD25" s="258">
        <f>-SUMIFS('Cost Phasing'!133:133,'Cost Phasing'!127:127,CD7)</f>
        <v>0</v>
      </c>
      <c r="CE25" s="258">
        <f>-SUMIFS('Cost Phasing'!133:133,'Cost Phasing'!127:127,CE7)</f>
        <v>0</v>
      </c>
      <c r="CF25" s="258">
        <f>-SUMIFS('Cost Phasing'!133:133,'Cost Phasing'!127:127,CF7)</f>
        <v>0</v>
      </c>
      <c r="CG25" s="258">
        <f>-SUMIFS('Cost Phasing'!133:133,'Cost Phasing'!127:127,CG7)</f>
        <v>0</v>
      </c>
      <c r="CH25" s="258">
        <f>-SUMIFS('Cost Phasing'!133:133,'Cost Phasing'!127:127,CH7)</f>
        <v>0</v>
      </c>
      <c r="CI25" s="258">
        <f>-SUMIFS('Cost Phasing'!133:133,'Cost Phasing'!127:127,CI7)</f>
        <v>0</v>
      </c>
      <c r="CJ25" s="258">
        <f>-SUMIFS('Cost Phasing'!133:133,'Cost Phasing'!127:127,CJ7)</f>
        <v>0</v>
      </c>
      <c r="CK25" s="258">
        <f>-SUMIFS('Cost Phasing'!133:133,'Cost Phasing'!127:127,CK7)</f>
        <v>0</v>
      </c>
      <c r="CL25" s="258">
        <f>-SUMIFS('Cost Phasing'!133:133,'Cost Phasing'!127:127,CL7)</f>
        <v>0</v>
      </c>
      <c r="CM25" s="258">
        <f>-SUMIFS('Cost Phasing'!133:133,'Cost Phasing'!127:127,CM7)</f>
        <v>0</v>
      </c>
      <c r="CN25" s="258">
        <f>-SUMIFS('Cost Phasing'!133:133,'Cost Phasing'!127:127,CN7)</f>
        <v>0</v>
      </c>
      <c r="CO25" s="258">
        <f>-SUMIFS('Cost Phasing'!133:133,'Cost Phasing'!127:127,CO7)</f>
        <v>0</v>
      </c>
      <c r="CP25" s="258">
        <f>-SUMIFS('Cost Phasing'!133:133,'Cost Phasing'!127:127,CP7)</f>
        <v>0</v>
      </c>
      <c r="CQ25" s="258">
        <f>-SUMIFS('Cost Phasing'!133:133,'Cost Phasing'!127:127,CQ7)</f>
        <v>0</v>
      </c>
      <c r="CR25" s="258">
        <f>-SUMIFS('Cost Phasing'!133:133,'Cost Phasing'!127:127,CR7)</f>
        <v>0</v>
      </c>
      <c r="CS25" s="258">
        <f>-SUMIFS('Cost Phasing'!133:133,'Cost Phasing'!127:127,CS7)</f>
        <v>0</v>
      </c>
      <c r="CT25" s="258">
        <f>-SUMIFS('Cost Phasing'!133:133,'Cost Phasing'!127:127,CT7)</f>
        <v>0</v>
      </c>
      <c r="CU25" s="258">
        <f>-SUMIFS('Cost Phasing'!133:133,'Cost Phasing'!127:127,CU7)</f>
        <v>0</v>
      </c>
      <c r="CV25" s="258">
        <f>-SUMIFS('Cost Phasing'!133:133,'Cost Phasing'!127:127,CV7)</f>
        <v>0</v>
      </c>
      <c r="CW25" s="258">
        <f>-SUMIFS('Cost Phasing'!133:133,'Cost Phasing'!127:127,CW7)</f>
        <v>0</v>
      </c>
      <c r="CX25" s="258">
        <f>-SUMIFS('Cost Phasing'!133:133,'Cost Phasing'!127:127,CX7)</f>
        <v>0</v>
      </c>
      <c r="CY25" s="258">
        <f>-SUMIFS('Cost Phasing'!133:133,'Cost Phasing'!127:127,CY7)</f>
        <v>0</v>
      </c>
      <c r="CZ25" s="258">
        <f>-SUMIFS('Cost Phasing'!133:133,'Cost Phasing'!127:127,CZ7)</f>
        <v>0</v>
      </c>
      <c r="DA25" s="258">
        <f>-SUMIFS('Cost Phasing'!133:133,'Cost Phasing'!127:127,DA7)</f>
        <v>0</v>
      </c>
      <c r="DB25" s="258">
        <f>-SUMIFS('Cost Phasing'!133:133,'Cost Phasing'!127:127,DB7)</f>
        <v>0</v>
      </c>
      <c r="DC25" s="258">
        <f>-SUMIFS('Cost Phasing'!133:133,'Cost Phasing'!127:127,DC7)</f>
        <v>0</v>
      </c>
      <c r="DD25" s="258">
        <f>-SUMIFS('Cost Phasing'!133:133,'Cost Phasing'!127:127,DD7)</f>
        <v>0</v>
      </c>
      <c r="DE25" s="258">
        <f>-SUMIFS('Cost Phasing'!133:133,'Cost Phasing'!127:127,DE7)</f>
        <v>0</v>
      </c>
      <c r="DF25" s="258">
        <f>-SUMIFS('Cost Phasing'!133:133,'Cost Phasing'!127:127,DF7)</f>
        <v>0</v>
      </c>
      <c r="DG25" s="258">
        <f>-SUMIFS('Cost Phasing'!133:133,'Cost Phasing'!127:127,DG7)</f>
        <v>0</v>
      </c>
      <c r="DH25" s="258">
        <f>-SUMIFS('Cost Phasing'!133:133,'Cost Phasing'!127:127,DH7)</f>
        <v>0</v>
      </c>
      <c r="DI25" s="258">
        <f>-SUMIFS('Cost Phasing'!133:133,'Cost Phasing'!127:127,DI7)</f>
        <v>0</v>
      </c>
      <c r="DJ25" s="258">
        <f>-SUMIFS('Cost Phasing'!133:133,'Cost Phasing'!127:127,DJ7)</f>
        <v>0</v>
      </c>
      <c r="DK25" s="258">
        <f>-SUMIFS('Cost Phasing'!133:133,'Cost Phasing'!127:127,DK7)</f>
        <v>0</v>
      </c>
      <c r="DL25" s="258">
        <f>-SUMIFS('Cost Phasing'!133:133,'Cost Phasing'!127:127,DL7)</f>
        <v>0</v>
      </c>
      <c r="DM25" s="258">
        <f>-SUMIFS('Cost Phasing'!133:133,'Cost Phasing'!127:127,DM7)</f>
        <v>0</v>
      </c>
      <c r="DN25" s="258">
        <f>-SUMIFS('Cost Phasing'!133:133,'Cost Phasing'!127:127,DN7)</f>
        <v>0</v>
      </c>
      <c r="DO25" s="258">
        <f>-SUMIFS('Cost Phasing'!133:133,'Cost Phasing'!127:127,DO7)</f>
        <v>0</v>
      </c>
      <c r="DP25" s="258">
        <f>-SUMIFS('Cost Phasing'!133:133,'Cost Phasing'!127:127,DP7)</f>
        <v>0</v>
      </c>
      <c r="DQ25" s="258">
        <f>-SUMIFS('Cost Phasing'!133:133,'Cost Phasing'!127:127,DQ7)</f>
        <v>0</v>
      </c>
      <c r="DR25" s="258">
        <f>-SUMIFS('Cost Phasing'!133:133,'Cost Phasing'!127:127,DR7)</f>
        <v>0</v>
      </c>
      <c r="DS25" s="258">
        <f>-SUMIFS('Cost Phasing'!133:133,'Cost Phasing'!127:127,DS7)</f>
        <v>0</v>
      </c>
      <c r="DT25" s="258">
        <f>-SUMIFS('Cost Phasing'!133:133,'Cost Phasing'!127:127,DT7)</f>
        <v>0</v>
      </c>
      <c r="DU25" s="258">
        <f>-SUMIFS('Cost Phasing'!133:133,'Cost Phasing'!127:127,DU7)</f>
        <v>0</v>
      </c>
      <c r="DV25" s="258">
        <f>-SUMIFS('Cost Phasing'!133:133,'Cost Phasing'!127:127,DV7)</f>
        <v>0</v>
      </c>
      <c r="DW25" s="258">
        <f>-SUMIFS('Cost Phasing'!133:133,'Cost Phasing'!127:127,DW7)</f>
        <v>0</v>
      </c>
      <c r="DX25" s="258">
        <f>-SUMIFS('Cost Phasing'!133:133,'Cost Phasing'!127:127,DX7)</f>
        <v>0</v>
      </c>
      <c r="DY25" s="258">
        <f>-SUMIFS('Cost Phasing'!133:133,'Cost Phasing'!127:127,DY7)</f>
        <v>0</v>
      </c>
      <c r="DZ25" s="258">
        <f>-SUMIFS('Cost Phasing'!133:133,'Cost Phasing'!127:127,DZ7)</f>
        <v>0</v>
      </c>
      <c r="EA25" s="258">
        <f>-SUMIFS('Cost Phasing'!133:133,'Cost Phasing'!127:127,EA7)</f>
        <v>0</v>
      </c>
      <c r="EB25" s="258">
        <f>-SUMIFS('Cost Phasing'!133:133,'Cost Phasing'!127:127,EB7)</f>
        <v>0</v>
      </c>
      <c r="EC25" s="258">
        <f>-SUMIFS('Cost Phasing'!133:133,'Cost Phasing'!127:127,EC7)</f>
        <v>0</v>
      </c>
      <c r="ED25" s="258">
        <f>-SUMIFS('Cost Phasing'!133:133,'Cost Phasing'!127:127,ED7)</f>
        <v>0</v>
      </c>
      <c r="EE25" s="258">
        <f>-SUMIFS('Cost Phasing'!133:133,'Cost Phasing'!127:127,EE7)</f>
        <v>0</v>
      </c>
      <c r="EF25" s="258">
        <f>-SUMIFS('Cost Phasing'!133:133,'Cost Phasing'!127:127,EF7)</f>
        <v>0</v>
      </c>
      <c r="EG25" s="258">
        <f>-SUMIFS('Cost Phasing'!133:133,'Cost Phasing'!127:127,EG7)</f>
        <v>0</v>
      </c>
      <c r="EH25" s="258">
        <f>-SUMIFS('Cost Phasing'!133:133,'Cost Phasing'!127:127,EH7)</f>
        <v>0</v>
      </c>
      <c r="EI25" s="258">
        <f>-SUMIFS('Cost Phasing'!133:133,'Cost Phasing'!127:127,EI7)</f>
        <v>0</v>
      </c>
      <c r="EJ25" s="258">
        <f>-SUMIFS('Cost Phasing'!133:133,'Cost Phasing'!127:127,EJ7)</f>
        <v>0</v>
      </c>
      <c r="EK25" s="258">
        <f>-SUMIFS('Cost Phasing'!133:133,'Cost Phasing'!127:127,EK7)</f>
        <v>0</v>
      </c>
      <c r="EL25" s="258">
        <f>-SUMIFS('Cost Phasing'!133:133,'Cost Phasing'!127:127,EL7)</f>
        <v>0</v>
      </c>
      <c r="EM25" s="258">
        <f>-SUMIFS('Cost Phasing'!133:133,'Cost Phasing'!127:127,EM7)</f>
        <v>0</v>
      </c>
      <c r="EN25" s="258">
        <f>-SUMIFS('Cost Phasing'!133:133,'Cost Phasing'!127:127,EN7)</f>
        <v>0</v>
      </c>
      <c r="EO25" s="258">
        <f>-SUMIFS('Cost Phasing'!133:133,'Cost Phasing'!127:127,EO7)</f>
        <v>0</v>
      </c>
      <c r="EP25" s="258">
        <f>-SUMIFS('Cost Phasing'!133:133,'Cost Phasing'!127:127,EP7)</f>
        <v>0</v>
      </c>
      <c r="EQ25" s="258">
        <f>-SUMIFS('Cost Phasing'!133:133,'Cost Phasing'!127:127,EQ7)</f>
        <v>0</v>
      </c>
      <c r="ER25" s="258">
        <f>-SUMIFS('Cost Phasing'!133:133,'Cost Phasing'!127:127,ER7)</f>
        <v>0</v>
      </c>
      <c r="ES25" s="258">
        <f>-SUMIFS('Cost Phasing'!133:133,'Cost Phasing'!127:127,ES7)</f>
        <v>0</v>
      </c>
      <c r="ET25" s="258">
        <f>-SUMIFS('Cost Phasing'!133:133,'Cost Phasing'!127:127,ET7)</f>
        <v>0</v>
      </c>
      <c r="EU25" s="258">
        <f>-SUMIFS('Cost Phasing'!133:133,'Cost Phasing'!127:127,EU7)</f>
        <v>0</v>
      </c>
      <c r="EV25" s="258">
        <f>-SUMIFS('Cost Phasing'!133:133,'Cost Phasing'!127:127,EV7)</f>
        <v>0</v>
      </c>
      <c r="EW25" s="258">
        <f>-SUMIFS('Cost Phasing'!133:133,'Cost Phasing'!127:127,EW7)</f>
        <v>0</v>
      </c>
      <c r="EX25" s="258">
        <f>-SUMIFS('Cost Phasing'!133:133,'Cost Phasing'!127:127,EX7)</f>
        <v>0</v>
      </c>
      <c r="EY25" s="258">
        <f>-SUMIFS('Cost Phasing'!133:133,'Cost Phasing'!127:127,EY7)</f>
        <v>0</v>
      </c>
      <c r="EZ25" s="258">
        <f>-SUMIFS('Cost Phasing'!133:133,'Cost Phasing'!127:127,EZ7)</f>
        <v>0</v>
      </c>
      <c r="FA25" s="258">
        <f>-SUMIFS('Cost Phasing'!133:133,'Cost Phasing'!127:127,FA7)</f>
        <v>0</v>
      </c>
      <c r="FB25" s="258">
        <f>-SUMIFS('Cost Phasing'!133:133,'Cost Phasing'!127:127,FB7)</f>
        <v>0</v>
      </c>
      <c r="FC25" s="258">
        <f>-SUMIFS('Cost Phasing'!133:133,'Cost Phasing'!127:127,FC7)</f>
        <v>0</v>
      </c>
      <c r="FD25" s="258">
        <f>-SUMIFS('Cost Phasing'!133:133,'Cost Phasing'!127:127,FD7)</f>
        <v>0</v>
      </c>
      <c r="FE25" s="258">
        <f>-SUMIFS('Cost Phasing'!133:133,'Cost Phasing'!127:127,FE7)</f>
        <v>0</v>
      </c>
      <c r="FF25" s="258">
        <f>-SUMIFS('Cost Phasing'!133:133,'Cost Phasing'!127:127,FF7)</f>
        <v>0</v>
      </c>
      <c r="FG25" s="258">
        <f>-SUMIFS('Cost Phasing'!133:133,'Cost Phasing'!127:127,FG7)</f>
        <v>0</v>
      </c>
      <c r="FH25" s="258">
        <f>-SUMIFS('Cost Phasing'!133:133,'Cost Phasing'!127:127,FH7)</f>
        <v>0</v>
      </c>
      <c r="FI25" s="258">
        <f>-SUMIFS('Cost Phasing'!133:133,'Cost Phasing'!127:127,FI7)</f>
        <v>0</v>
      </c>
      <c r="FJ25" s="258">
        <f>-SUMIFS('Cost Phasing'!133:133,'Cost Phasing'!127:127,FJ7)</f>
        <v>0</v>
      </c>
      <c r="FK25" s="258">
        <f>-SUMIFS('Cost Phasing'!133:133,'Cost Phasing'!127:127,FK7)</f>
        <v>0</v>
      </c>
      <c r="FL25" s="258">
        <f>-SUMIFS('Cost Phasing'!133:133,'Cost Phasing'!127:127,FL7)</f>
        <v>0</v>
      </c>
      <c r="FM25" s="258">
        <f>-SUMIFS('Cost Phasing'!133:133,'Cost Phasing'!127:127,FM7)</f>
        <v>0</v>
      </c>
      <c r="FN25" s="258">
        <f>-SUMIFS('Cost Phasing'!133:133,'Cost Phasing'!127:127,FN7)</f>
        <v>0</v>
      </c>
      <c r="FO25" s="258">
        <f>-SUMIFS('Cost Phasing'!133:133,'Cost Phasing'!127:127,FO7)</f>
        <v>0</v>
      </c>
      <c r="FP25" s="258">
        <f>-SUMIFS('Cost Phasing'!133:133,'Cost Phasing'!127:127,FP7)</f>
        <v>0</v>
      </c>
      <c r="FQ25" s="258">
        <f>-SUMIFS('Cost Phasing'!133:133,'Cost Phasing'!127:127,FQ7)</f>
        <v>0</v>
      </c>
      <c r="FR25" s="258">
        <f>-SUMIFS('Cost Phasing'!133:133,'Cost Phasing'!127:127,FR7)</f>
        <v>0</v>
      </c>
      <c r="FS25" s="258">
        <f>-SUMIFS('Cost Phasing'!133:133,'Cost Phasing'!127:127,FS7)</f>
        <v>0</v>
      </c>
      <c r="FT25" s="258">
        <f>-SUMIFS('Cost Phasing'!133:133,'Cost Phasing'!127:127,FT7)</f>
        <v>0</v>
      </c>
      <c r="FU25" s="258">
        <f>-SUMIFS('Cost Phasing'!133:133,'Cost Phasing'!127:127,FU7)</f>
        <v>0</v>
      </c>
      <c r="FV25" s="258">
        <f>-SUMIFS('Cost Phasing'!133:133,'Cost Phasing'!127:127,FV7)</f>
        <v>0</v>
      </c>
      <c r="FW25" s="258">
        <f>-SUMIFS('Cost Phasing'!133:133,'Cost Phasing'!127:127,FW7)</f>
        <v>0</v>
      </c>
      <c r="FX25" s="258">
        <f>-SUMIFS('Cost Phasing'!133:133,'Cost Phasing'!127:127,FX7)</f>
        <v>0</v>
      </c>
      <c r="FY25" s="258">
        <f>-SUMIFS('Cost Phasing'!133:133,'Cost Phasing'!127:127,FY7)</f>
        <v>0</v>
      </c>
      <c r="FZ25" s="258">
        <f>-SUMIFS('Cost Phasing'!133:133,'Cost Phasing'!127:127,FZ7)</f>
        <v>0</v>
      </c>
      <c r="GA25" s="258">
        <f>-SUMIFS('Cost Phasing'!133:133,'Cost Phasing'!127:127,GA7)</f>
        <v>0</v>
      </c>
      <c r="GB25" s="258">
        <f>-SUMIFS('Cost Phasing'!133:133,'Cost Phasing'!127:127,GB7)</f>
        <v>0</v>
      </c>
      <c r="GC25" s="258">
        <f>-SUMIFS('Cost Phasing'!133:133,'Cost Phasing'!127:127,GC7)</f>
        <v>0</v>
      </c>
      <c r="GD25" s="258">
        <f>-SUMIFS('Cost Phasing'!133:133,'Cost Phasing'!127:127,GD7)</f>
        <v>0</v>
      </c>
      <c r="GE25" s="258">
        <f>-SUMIFS('Cost Phasing'!133:133,'Cost Phasing'!127:127,GE7)</f>
        <v>0</v>
      </c>
      <c r="GF25" s="258">
        <f>-SUMIFS('Cost Phasing'!133:133,'Cost Phasing'!127:127,GF7)</f>
        <v>0</v>
      </c>
      <c r="GG25" s="258">
        <f>-SUMIFS('Cost Phasing'!133:133,'Cost Phasing'!127:127,GG7)</f>
        <v>0</v>
      </c>
      <c r="GH25" s="258">
        <f>-SUMIFS('Cost Phasing'!133:133,'Cost Phasing'!127:127,GH7)</f>
        <v>0</v>
      </c>
      <c r="GI25" s="258">
        <f>-SUMIFS('Cost Phasing'!133:133,'Cost Phasing'!127:127,GI7)</f>
        <v>0</v>
      </c>
      <c r="GJ25" s="258">
        <f>-SUMIFS('Cost Phasing'!133:133,'Cost Phasing'!127:127,GJ7)</f>
        <v>0</v>
      </c>
      <c r="GK25" s="258">
        <f>-SUMIFS('Cost Phasing'!133:133,'Cost Phasing'!127:127,GK7)</f>
        <v>0</v>
      </c>
      <c r="GL25" s="258">
        <f>-SUMIFS('Cost Phasing'!133:133,'Cost Phasing'!127:127,GL7)</f>
        <v>0</v>
      </c>
      <c r="GM25" s="258">
        <f>-SUMIFS('Cost Phasing'!133:133,'Cost Phasing'!127:127,GM7)</f>
        <v>0</v>
      </c>
      <c r="GN25" s="258">
        <f>-SUMIFS('Cost Phasing'!133:133,'Cost Phasing'!127:127,GN7)</f>
        <v>0</v>
      </c>
      <c r="GO25" s="258">
        <f>-SUMIFS('Cost Phasing'!133:133,'Cost Phasing'!127:127,GO7)</f>
        <v>0</v>
      </c>
      <c r="GP25" s="258">
        <f>-SUMIFS('Cost Phasing'!133:133,'Cost Phasing'!127:127,GP7)</f>
        <v>0</v>
      </c>
      <c r="GQ25" s="258">
        <f>-SUMIFS('Cost Phasing'!133:133,'Cost Phasing'!127:127,GQ7)</f>
        <v>0</v>
      </c>
      <c r="GR25" s="258">
        <f>-SUMIFS('Cost Phasing'!133:133,'Cost Phasing'!127:127,GR7)</f>
        <v>0</v>
      </c>
      <c r="GS25" s="258">
        <f>-SUMIFS('Cost Phasing'!133:133,'Cost Phasing'!127:127,GS7)</f>
        <v>0</v>
      </c>
      <c r="GT25" s="258">
        <f>-SUMIFS('Cost Phasing'!133:133,'Cost Phasing'!127:127,GT7)</f>
        <v>0</v>
      </c>
      <c r="GU25" s="258">
        <f>-SUMIFS('Cost Phasing'!133:133,'Cost Phasing'!127:127,GU7)</f>
        <v>0</v>
      </c>
      <c r="GV25" s="258">
        <f>-SUMIFS('Cost Phasing'!133:133,'Cost Phasing'!127:127,GV7)</f>
        <v>0</v>
      </c>
      <c r="GW25" s="258">
        <f>-SUMIFS('Cost Phasing'!133:133,'Cost Phasing'!127:127,GW7)</f>
        <v>0</v>
      </c>
      <c r="GX25" s="258">
        <f>-SUMIFS('Cost Phasing'!133:133,'Cost Phasing'!127:127,GX7)</f>
        <v>0</v>
      </c>
      <c r="GY25" s="258">
        <f>-SUMIFS('Cost Phasing'!133:133,'Cost Phasing'!127:127,GY7)</f>
        <v>0</v>
      </c>
      <c r="GZ25" s="258">
        <f>-SUMIFS('Cost Phasing'!133:133,'Cost Phasing'!127:127,GZ7)</f>
        <v>0</v>
      </c>
      <c r="HA25" s="258">
        <f>-SUMIFS('Cost Phasing'!133:133,'Cost Phasing'!127:127,HA7)</f>
        <v>0</v>
      </c>
      <c r="HB25" s="258">
        <f>-SUMIFS('Cost Phasing'!133:133,'Cost Phasing'!127:127,HB7)</f>
        <v>0</v>
      </c>
      <c r="HC25" s="258">
        <f>-SUMIFS('Cost Phasing'!133:133,'Cost Phasing'!127:127,HC7)</f>
        <v>0</v>
      </c>
      <c r="HD25" s="258">
        <f>-SUMIFS('Cost Phasing'!133:133,'Cost Phasing'!127:127,HD7)</f>
        <v>0</v>
      </c>
      <c r="HE25" s="258">
        <f>-SUMIFS('Cost Phasing'!133:133,'Cost Phasing'!127:127,HE7)</f>
        <v>0</v>
      </c>
      <c r="HF25" s="258">
        <f>-SUMIFS('Cost Phasing'!133:133,'Cost Phasing'!127:127,HF7)</f>
        <v>0</v>
      </c>
      <c r="HG25" s="258">
        <f>-SUMIFS('Cost Phasing'!133:133,'Cost Phasing'!127:127,HG7)</f>
        <v>0</v>
      </c>
      <c r="HH25" s="258">
        <f>-SUMIFS('Cost Phasing'!133:133,'Cost Phasing'!127:127,HH7)</f>
        <v>0</v>
      </c>
      <c r="HI25" s="258">
        <f>-SUMIFS('Cost Phasing'!133:133,'Cost Phasing'!127:127,HI7)</f>
        <v>0</v>
      </c>
      <c r="HJ25" s="258">
        <f>-SUMIFS('Cost Phasing'!133:133,'Cost Phasing'!127:127,HJ7)</f>
        <v>0</v>
      </c>
      <c r="HK25" s="258">
        <f>-SUMIFS('Cost Phasing'!133:133,'Cost Phasing'!127:127,HK7)</f>
        <v>0</v>
      </c>
      <c r="HL25" s="258">
        <f>-SUMIFS('Cost Phasing'!133:133,'Cost Phasing'!127:127,HL7)</f>
        <v>0</v>
      </c>
      <c r="HM25" s="258">
        <f>-SUMIFS('Cost Phasing'!133:133,'Cost Phasing'!127:127,HM7)</f>
        <v>0</v>
      </c>
      <c r="HN25" s="258">
        <f>-SUMIFS('Cost Phasing'!133:133,'Cost Phasing'!127:127,HN7)</f>
        <v>0</v>
      </c>
      <c r="HO25" s="258">
        <f>-SUMIFS('Cost Phasing'!133:133,'Cost Phasing'!127:127,HO7)</f>
        <v>0</v>
      </c>
      <c r="HP25" s="258">
        <f>-SUMIFS('Cost Phasing'!133:133,'Cost Phasing'!127:127,HP7)</f>
        <v>0</v>
      </c>
      <c r="HQ25" s="258">
        <f>-SUMIFS('Cost Phasing'!133:133,'Cost Phasing'!127:127,HQ7)</f>
        <v>0</v>
      </c>
      <c r="HR25" s="258">
        <f>-SUMIFS('Cost Phasing'!133:133,'Cost Phasing'!127:127,HR7)</f>
        <v>0</v>
      </c>
      <c r="HS25" s="258">
        <f>-SUMIFS('Cost Phasing'!133:133,'Cost Phasing'!127:127,HS7)</f>
        <v>0</v>
      </c>
      <c r="HT25" s="258">
        <f>-SUMIFS('Cost Phasing'!133:133,'Cost Phasing'!127:127,HT7)</f>
        <v>0</v>
      </c>
      <c r="HU25" s="258">
        <f>-SUMIFS('Cost Phasing'!133:133,'Cost Phasing'!127:127,HU7)</f>
        <v>0</v>
      </c>
      <c r="HV25" s="258">
        <f>-SUMIFS('Cost Phasing'!133:133,'Cost Phasing'!127:127,HV7)</f>
        <v>0</v>
      </c>
      <c r="HW25" s="258">
        <f>-SUMIFS('Cost Phasing'!133:133,'Cost Phasing'!127:127,HW7)</f>
        <v>0</v>
      </c>
      <c r="HX25" s="258">
        <f>-SUMIFS('Cost Phasing'!133:133,'Cost Phasing'!127:127,HX7)</f>
        <v>0</v>
      </c>
      <c r="HY25" s="258">
        <f>-SUMIFS('Cost Phasing'!133:133,'Cost Phasing'!127:127,HY7)</f>
        <v>0</v>
      </c>
      <c r="HZ25" s="258">
        <f>-SUMIFS('Cost Phasing'!133:133,'Cost Phasing'!127:127,HZ7)</f>
        <v>0</v>
      </c>
      <c r="IA25" s="258">
        <f>-SUMIFS('Cost Phasing'!133:133,'Cost Phasing'!127:127,IA7)</f>
        <v>0</v>
      </c>
      <c r="IB25" s="258">
        <f>-SUMIFS('Cost Phasing'!133:133,'Cost Phasing'!127:127,IB7)</f>
        <v>0</v>
      </c>
      <c r="IC25" s="258">
        <f>-SUMIFS('Cost Phasing'!133:133,'Cost Phasing'!127:127,IC7)</f>
        <v>0</v>
      </c>
      <c r="ID25" s="258">
        <f>-SUMIFS('Cost Phasing'!133:133,'Cost Phasing'!127:127,ID7)</f>
        <v>0</v>
      </c>
      <c r="IE25" s="258">
        <f>-SUMIFS('Cost Phasing'!133:133,'Cost Phasing'!127:127,IE7)</f>
        <v>0</v>
      </c>
      <c r="IF25" s="258">
        <f>-SUMIFS('Cost Phasing'!133:133,'Cost Phasing'!127:127,IF7)</f>
        <v>0</v>
      </c>
      <c r="IG25" s="258">
        <f>-SUMIFS('Cost Phasing'!133:133,'Cost Phasing'!127:127,IG7)</f>
        <v>0</v>
      </c>
      <c r="IH25" s="258">
        <f>-SUMIFS('Cost Phasing'!133:133,'Cost Phasing'!127:127,IH7)</f>
        <v>0</v>
      </c>
      <c r="II25" s="258">
        <f>-SUMIFS('Cost Phasing'!133:133,'Cost Phasing'!127:127,II7)</f>
        <v>0</v>
      </c>
      <c r="IJ25" s="258">
        <f>-SUMIFS('Cost Phasing'!133:133,'Cost Phasing'!127:127,IJ7)</f>
        <v>0</v>
      </c>
      <c r="IK25" s="258">
        <f>-SUMIFS('Cost Phasing'!133:133,'Cost Phasing'!127:127,IK7)</f>
        <v>0</v>
      </c>
      <c r="IL25" s="258">
        <f>-SUMIFS('Cost Phasing'!133:133,'Cost Phasing'!127:127,IL7)</f>
        <v>0</v>
      </c>
      <c r="IM25" s="258">
        <f>-SUMIFS('Cost Phasing'!133:133,'Cost Phasing'!127:127,IM7)</f>
        <v>0</v>
      </c>
      <c r="IN25" s="258">
        <f>-SUMIFS('Cost Phasing'!133:133,'Cost Phasing'!127:127,IN7)</f>
        <v>0</v>
      </c>
      <c r="IO25" s="258">
        <f>-SUMIFS('Cost Phasing'!133:133,'Cost Phasing'!127:127,IO7)</f>
        <v>0</v>
      </c>
      <c r="IP25" s="258">
        <f>-SUMIFS('Cost Phasing'!133:133,'Cost Phasing'!127:127,IP7)</f>
        <v>0</v>
      </c>
      <c r="IQ25" s="258">
        <f>-SUMIFS('Cost Phasing'!133:133,'Cost Phasing'!127:127,IQ7)</f>
        <v>0</v>
      </c>
      <c r="IR25" s="258">
        <f>-SUMIFS('Cost Phasing'!133:133,'Cost Phasing'!127:127,IR7)</f>
        <v>0</v>
      </c>
      <c r="IS25" s="258">
        <f>-SUMIFS('Cost Phasing'!133:133,'Cost Phasing'!127:127,IS7)</f>
        <v>0</v>
      </c>
      <c r="IT25" s="258">
        <f>-SUMIFS('Cost Phasing'!133:133,'Cost Phasing'!127:127,IT7)</f>
        <v>0</v>
      </c>
      <c r="IU25" s="258">
        <f>-SUMIFS('Cost Phasing'!133:133,'Cost Phasing'!127:127,IU7)</f>
        <v>0</v>
      </c>
      <c r="IV25" s="258">
        <f>-SUMIFS('Cost Phasing'!133:133,'Cost Phasing'!127:127,IV7)</f>
        <v>0</v>
      </c>
      <c r="IW25" s="258">
        <f>-SUMIFS('Cost Phasing'!133:133,'Cost Phasing'!127:127,IW7)</f>
        <v>0</v>
      </c>
      <c r="IX25" s="258">
        <f>-SUMIFS('Cost Phasing'!133:133,'Cost Phasing'!127:127,IX7)</f>
        <v>0</v>
      </c>
      <c r="IY25" s="258">
        <f>-SUMIFS('Cost Phasing'!133:133,'Cost Phasing'!127:127,IY7)</f>
        <v>0</v>
      </c>
      <c r="IZ25" s="258">
        <f>-SUMIFS('Cost Phasing'!133:133,'Cost Phasing'!127:127,IZ7)</f>
        <v>0</v>
      </c>
      <c r="JA25" s="258">
        <f>-SUMIFS('Cost Phasing'!133:133,'Cost Phasing'!127:127,JA7)</f>
        <v>0</v>
      </c>
      <c r="JB25" s="258">
        <f>-SUMIFS('Cost Phasing'!133:133,'Cost Phasing'!127:127,JB7)</f>
        <v>0</v>
      </c>
      <c r="JC25" s="258">
        <f>-SUMIFS('Cost Phasing'!133:133,'Cost Phasing'!127:127,JC7)</f>
        <v>0</v>
      </c>
      <c r="JD25" s="258">
        <f>-SUMIFS('Cost Phasing'!133:133,'Cost Phasing'!127:127,JD7)</f>
        <v>0</v>
      </c>
      <c r="JE25" s="258">
        <f>-SUMIFS('Cost Phasing'!133:133,'Cost Phasing'!127:127,JE7)</f>
        <v>0</v>
      </c>
      <c r="JF25" s="258">
        <f>-SUMIFS('Cost Phasing'!133:133,'Cost Phasing'!127:127,JF7)</f>
        <v>0</v>
      </c>
      <c r="JG25" s="258">
        <f>-SUMIFS('Cost Phasing'!133:133,'Cost Phasing'!127:127,JG7)</f>
        <v>0</v>
      </c>
      <c r="JH25" s="258">
        <f>-SUMIFS('Cost Phasing'!133:133,'Cost Phasing'!127:127,JH7)</f>
        <v>0</v>
      </c>
      <c r="JI25" s="258">
        <f>-SUMIFS('Cost Phasing'!133:133,'Cost Phasing'!127:127,JI7)</f>
        <v>0</v>
      </c>
      <c r="JJ25" s="258">
        <f>-SUMIFS('Cost Phasing'!133:133,'Cost Phasing'!127:127,JJ7)</f>
        <v>0</v>
      </c>
      <c r="JK25" s="258">
        <f>-SUMIFS('Cost Phasing'!133:133,'Cost Phasing'!127:127,JK7)</f>
        <v>0</v>
      </c>
      <c r="JL25" s="258">
        <f>-SUMIFS('Cost Phasing'!133:133,'Cost Phasing'!127:127,JL7)</f>
        <v>0</v>
      </c>
      <c r="JM25" s="258">
        <f>-SUMIFS('Cost Phasing'!133:133,'Cost Phasing'!127:127,JM7)</f>
        <v>0</v>
      </c>
      <c r="JN25" s="258">
        <f>-SUMIFS('Cost Phasing'!133:133,'Cost Phasing'!127:127,JN7)</f>
        <v>0</v>
      </c>
      <c r="JO25" s="258">
        <f>-SUMIFS('Cost Phasing'!133:133,'Cost Phasing'!127:127,JO7)</f>
        <v>0</v>
      </c>
      <c r="JP25" s="258">
        <f>-SUMIFS('Cost Phasing'!133:133,'Cost Phasing'!127:127,JP7)</f>
        <v>0</v>
      </c>
      <c r="JQ25" s="258">
        <f>-SUMIFS('Cost Phasing'!133:133,'Cost Phasing'!127:127,JQ7)</f>
        <v>0</v>
      </c>
      <c r="JR25" s="258">
        <f>-SUMIFS('Cost Phasing'!133:133,'Cost Phasing'!127:127,JR7)</f>
        <v>0</v>
      </c>
      <c r="JS25" s="258">
        <f>-SUMIFS('Cost Phasing'!133:133,'Cost Phasing'!127:127,JS7)</f>
        <v>0</v>
      </c>
      <c r="JT25" s="258">
        <f>-SUMIFS('Cost Phasing'!133:133,'Cost Phasing'!127:127,JT7)</f>
        <v>0</v>
      </c>
      <c r="JU25" s="258">
        <f>-SUMIFS('Cost Phasing'!133:133,'Cost Phasing'!127:127,JU7)</f>
        <v>0</v>
      </c>
      <c r="JV25" s="258">
        <f>-SUMIFS('Cost Phasing'!133:133,'Cost Phasing'!127:127,JV7)</f>
        <v>0</v>
      </c>
      <c r="JW25" s="258">
        <f>-SUMIFS('Cost Phasing'!133:133,'Cost Phasing'!127:127,JW7)</f>
        <v>0</v>
      </c>
      <c r="JX25" s="258">
        <f>-SUMIFS('Cost Phasing'!133:133,'Cost Phasing'!127:127,JX7)</f>
        <v>0</v>
      </c>
      <c r="JY25" s="258">
        <f>-SUMIFS('Cost Phasing'!133:133,'Cost Phasing'!127:127,JY7)</f>
        <v>0</v>
      </c>
      <c r="JZ25" s="258">
        <f>-SUMIFS('Cost Phasing'!133:133,'Cost Phasing'!127:127,JZ7)</f>
        <v>0</v>
      </c>
      <c r="KA25" s="258">
        <f>-SUMIFS('Cost Phasing'!133:133,'Cost Phasing'!127:127,KA7)</f>
        <v>0</v>
      </c>
      <c r="KB25" s="258">
        <f>-SUMIFS('Cost Phasing'!133:133,'Cost Phasing'!127:127,KB7)</f>
        <v>0</v>
      </c>
      <c r="KC25" s="265">
        <f>SUMIF($C$7:$KB$7,"&lt;="&amp;$KC$6,C25:KB25)</f>
        <v>-0.70932943880749988</v>
      </c>
    </row>
    <row r="26" spans="1:289" x14ac:dyDescent="0.3">
      <c r="A26" s="1" t="s">
        <v>44</v>
      </c>
      <c r="B26" s="257">
        <f t="shared" si="431"/>
        <v>-5.7297434223802499</v>
      </c>
      <c r="C26" s="258">
        <f>-IFERROR(_xlfn.XLOOKUP(C$7,Leasing!$1:$1,Leasing!60:60),0)</f>
        <v>0</v>
      </c>
      <c r="D26" s="258">
        <f>-IFERROR(_xlfn.XLOOKUP(D$7,Leasing!$1:$1,Leasing!60:60),0)</f>
        <v>0</v>
      </c>
      <c r="E26" s="258">
        <f>-IFERROR(_xlfn.XLOOKUP(E$7,Leasing!$1:$1,Leasing!60:60),0)</f>
        <v>0</v>
      </c>
      <c r="F26" s="258">
        <f>-IFERROR(_xlfn.XLOOKUP(F$7,Leasing!$1:$1,Leasing!60:60),0)</f>
        <v>0</v>
      </c>
      <c r="G26" s="258">
        <f>-IFERROR(_xlfn.XLOOKUP(G$7,Leasing!$1:$1,Leasing!60:60),0)</f>
        <v>0</v>
      </c>
      <c r="H26" s="258">
        <f>-IFERROR(_xlfn.XLOOKUP(H$7,Leasing!$1:$1,Leasing!60:60),0)</f>
        <v>0</v>
      </c>
      <c r="I26" s="258">
        <f>-IFERROR(_xlfn.XLOOKUP(I$7,Leasing!$1:$1,Leasing!60:60),0)</f>
        <v>0</v>
      </c>
      <c r="J26" s="258">
        <f>-IFERROR(_xlfn.XLOOKUP(J$7,Leasing!$1:$1,Leasing!60:60),0)</f>
        <v>0</v>
      </c>
      <c r="K26" s="258">
        <f>-IFERROR(_xlfn.XLOOKUP(K$7,Leasing!$1:$1,Leasing!60:60),0)</f>
        <v>0</v>
      </c>
      <c r="L26" s="258">
        <f>-IFERROR(_xlfn.XLOOKUP(L$7,Leasing!$1:$1,Leasing!60:60),0)</f>
        <v>0</v>
      </c>
      <c r="M26" s="258">
        <f>-IFERROR(_xlfn.XLOOKUP(M$7,Leasing!$1:$1,Leasing!60:60),0)</f>
        <v>0</v>
      </c>
      <c r="N26" s="258">
        <f>-IFERROR(_xlfn.XLOOKUP(N$7,Leasing!$1:$1,Leasing!60:60),0)</f>
        <v>0</v>
      </c>
      <c r="O26" s="258">
        <f>-IFERROR(_xlfn.XLOOKUP(O$7,Leasing!$1:$1,Leasing!60:60),0)</f>
        <v>0</v>
      </c>
      <c r="P26" s="258">
        <f>-IFERROR(_xlfn.XLOOKUP(P$7,Leasing!$1:$1,Leasing!60:60),0)</f>
        <v>0</v>
      </c>
      <c r="Q26" s="258">
        <f>-IFERROR(_xlfn.XLOOKUP(Q$7,Leasing!$1:$1,Leasing!60:60),0)</f>
        <v>0</v>
      </c>
      <c r="R26" s="258">
        <f>-IFERROR(_xlfn.XLOOKUP(R$7,Leasing!$1:$1,Leasing!60:60),0)</f>
        <v>0</v>
      </c>
      <c r="S26" s="258">
        <f>-IFERROR(_xlfn.XLOOKUP(S$7,Leasing!$1:$1,Leasing!60:60),0)</f>
        <v>0</v>
      </c>
      <c r="T26" s="258">
        <f>-IFERROR(_xlfn.XLOOKUP(T$7,Leasing!$1:$1,Leasing!60:60),0)</f>
        <v>0</v>
      </c>
      <c r="U26" s="258">
        <f>-IFERROR(_xlfn.XLOOKUP(U$7,Leasing!$1:$1,Leasing!60:60),0)</f>
        <v>0</v>
      </c>
      <c r="V26" s="258">
        <f>-IFERROR(_xlfn.XLOOKUP(V$7,Leasing!$1:$1,Leasing!60:60),0)</f>
        <v>-1.0462373075899498</v>
      </c>
      <c r="W26" s="258">
        <f>-IFERROR(_xlfn.XLOOKUP(W$7,Leasing!$1:$1,Leasing!60:60),0)</f>
        <v>0</v>
      </c>
      <c r="X26" s="258">
        <f>-IFERROR(_xlfn.XLOOKUP(X$7,Leasing!$1:$1,Leasing!60:60),0)</f>
        <v>0</v>
      </c>
      <c r="Y26" s="258">
        <f>-IFERROR(_xlfn.XLOOKUP(Y$7,Leasing!$1:$1,Leasing!60:60),0)</f>
        <v>0</v>
      </c>
      <c r="Z26" s="258">
        <f>-IFERROR(_xlfn.XLOOKUP(Z$7,Leasing!$1:$1,Leasing!60:60),0)</f>
        <v>0</v>
      </c>
      <c r="AA26" s="258">
        <f>-IFERROR(_xlfn.XLOOKUP(AA$7,Leasing!$1:$1,Leasing!60:60),0)</f>
        <v>0</v>
      </c>
      <c r="AB26" s="258">
        <f>-IFERROR(_xlfn.XLOOKUP(AB$7,Leasing!$1:$1,Leasing!60:60),0)</f>
        <v>0</v>
      </c>
      <c r="AC26" s="258">
        <f>-IFERROR(_xlfn.XLOOKUP(AC$7,Leasing!$1:$1,Leasing!60:60),0)</f>
        <v>0</v>
      </c>
      <c r="AD26" s="258">
        <f>-IFERROR(_xlfn.XLOOKUP(AD$7,Leasing!$1:$1,Leasing!60:60),0)</f>
        <v>0</v>
      </c>
      <c r="AE26" s="258">
        <f>-IFERROR(_xlfn.XLOOKUP(AE$7,Leasing!$1:$1,Leasing!60:60),0)</f>
        <v>0</v>
      </c>
      <c r="AF26" s="258">
        <f>-IFERROR(_xlfn.XLOOKUP(AF$7,Leasing!$1:$1,Leasing!60:60),0)</f>
        <v>0</v>
      </c>
      <c r="AG26" s="258">
        <f>-IFERROR(_xlfn.XLOOKUP(AG$7,Leasing!$1:$1,Leasing!60:60),0)</f>
        <v>0</v>
      </c>
      <c r="AH26" s="258">
        <f>-IFERROR(_xlfn.XLOOKUP(AH$7,Leasing!$1:$1,Leasing!60:60),0)</f>
        <v>-2.0265065357818051</v>
      </c>
      <c r="AI26" s="258">
        <f>-IFERROR(_xlfn.XLOOKUP(AI$7,Leasing!$1:$1,Leasing!60:60),0)</f>
        <v>0</v>
      </c>
      <c r="AJ26" s="258">
        <f>-IFERROR(_xlfn.XLOOKUP(AJ$7,Leasing!$1:$1,Leasing!60:60),0)</f>
        <v>0</v>
      </c>
      <c r="AK26" s="258">
        <f>-IFERROR(_xlfn.XLOOKUP(AK$7,Leasing!$1:$1,Leasing!60:60),0)</f>
        <v>0</v>
      </c>
      <c r="AL26" s="258">
        <f>-IFERROR(_xlfn.XLOOKUP(AL$7,Leasing!$1:$1,Leasing!60:60),0)</f>
        <v>0</v>
      </c>
      <c r="AM26" s="258">
        <f>-IFERROR(_xlfn.XLOOKUP(AM$7,Leasing!$1:$1,Leasing!60:60),0)</f>
        <v>0</v>
      </c>
      <c r="AN26" s="258">
        <f>-IFERROR(_xlfn.XLOOKUP(AN$7,Leasing!$1:$1,Leasing!60:60),0)</f>
        <v>0</v>
      </c>
      <c r="AO26" s="258">
        <f>-IFERROR(_xlfn.XLOOKUP(AO$7,Leasing!$1:$1,Leasing!60:60),0)</f>
        <v>0</v>
      </c>
      <c r="AP26" s="258">
        <f>-IFERROR(_xlfn.XLOOKUP(AP$7,Leasing!$1:$1,Leasing!60:60),0)</f>
        <v>0</v>
      </c>
      <c r="AQ26" s="258">
        <f>-IFERROR(_xlfn.XLOOKUP(AQ$7,Leasing!$1:$1,Leasing!60:60),0)</f>
        <v>-0.84474877949784011</v>
      </c>
      <c r="AR26" s="258">
        <f>-IFERROR(_xlfn.XLOOKUP(AR$7,Leasing!$1:$1,Leasing!60:60),0)</f>
        <v>0</v>
      </c>
      <c r="AS26" s="258">
        <f>-IFERROR(_xlfn.XLOOKUP(AS$7,Leasing!$1:$1,Leasing!60:60),0)</f>
        <v>0</v>
      </c>
      <c r="AT26" s="258">
        <f>-IFERROR(_xlfn.XLOOKUP(AT$7,Leasing!$1:$1,Leasing!60:60),0)</f>
        <v>0</v>
      </c>
      <c r="AU26" s="258">
        <f>-IFERROR(_xlfn.XLOOKUP(AU$7,Leasing!$1:$1,Leasing!60:60),0)</f>
        <v>0</v>
      </c>
      <c r="AV26" s="258">
        <f>-IFERROR(_xlfn.XLOOKUP(AV$7,Leasing!$1:$1,Leasing!60:60),0)</f>
        <v>0</v>
      </c>
      <c r="AW26" s="258">
        <f>-IFERROR(_xlfn.XLOOKUP(AW$7,Leasing!$1:$1,Leasing!60:60),0)</f>
        <v>0</v>
      </c>
      <c r="AX26" s="258">
        <f>-IFERROR(_xlfn.XLOOKUP(AX$7,Leasing!$1:$1,Leasing!60:60),0)</f>
        <v>0</v>
      </c>
      <c r="AY26" s="258">
        <f>-IFERROR(_xlfn.XLOOKUP(AY$7,Leasing!$1:$1,Leasing!60:60),0)</f>
        <v>0</v>
      </c>
      <c r="AZ26" s="258">
        <f>-IFERROR(_xlfn.XLOOKUP(AZ$7,Leasing!$1:$1,Leasing!60:60),0)</f>
        <v>-1.8122507995106552</v>
      </c>
      <c r="BA26" s="258">
        <f>-IFERROR(_xlfn.XLOOKUP(BA$7,Leasing!$1:$1,Leasing!60:60),0)</f>
        <v>0</v>
      </c>
      <c r="BB26" s="258">
        <f>-IFERROR(_xlfn.XLOOKUP(BB$7,Leasing!$1:$1,Leasing!60:60),0)</f>
        <v>0</v>
      </c>
      <c r="BC26" s="258">
        <f>-IFERROR(_xlfn.XLOOKUP(BC$7,Leasing!$1:$1,Leasing!60:60),0)</f>
        <v>0</v>
      </c>
      <c r="BD26" s="258">
        <f>-IFERROR(_xlfn.XLOOKUP(BD$7,Leasing!$1:$1,Leasing!60:60),0)</f>
        <v>0</v>
      </c>
      <c r="BE26" s="258">
        <f>-IFERROR(_xlfn.XLOOKUP(BE$7,Leasing!$1:$1,Leasing!60:60),0)</f>
        <v>0</v>
      </c>
      <c r="BF26" s="258">
        <f>-IFERROR(_xlfn.XLOOKUP(BF$7,Leasing!$1:$1,Leasing!60:60),0)</f>
        <v>0</v>
      </c>
      <c r="BG26" s="258">
        <f>-IFERROR(_xlfn.XLOOKUP(BG$7,Leasing!$1:$1,Leasing!60:60),0)</f>
        <v>0</v>
      </c>
      <c r="BH26" s="258">
        <f>-IFERROR(_xlfn.XLOOKUP(BH$7,Leasing!$1:$1,Leasing!60:60),0)</f>
        <v>0</v>
      </c>
      <c r="BI26" s="258">
        <f>-IFERROR(_xlfn.XLOOKUP(BI$7,Leasing!$1:$1,Leasing!60:60),0)</f>
        <v>-0.37758304575232499</v>
      </c>
      <c r="BJ26" s="258">
        <f>-IFERROR(_xlfn.XLOOKUP(BJ$7,Leasing!$1:$1,Leasing!60:60),0)</f>
        <v>0</v>
      </c>
      <c r="BK26" s="258">
        <f>-IFERROR(_xlfn.XLOOKUP(BK$7,Leasing!$1:$1,Leasing!60:60),0)</f>
        <v>0</v>
      </c>
      <c r="BL26" s="258">
        <f>-IFERROR(_xlfn.XLOOKUP(BL$7,Leasing!$1:$1,Leasing!60:60),0)</f>
        <v>0</v>
      </c>
      <c r="BM26" s="258">
        <f>-IFERROR(_xlfn.XLOOKUP(BM$7,Leasing!$1:$1,Leasing!60:60),0)</f>
        <v>0</v>
      </c>
      <c r="BN26" s="258">
        <f>-IFERROR(_xlfn.XLOOKUP(BN$7,Leasing!$1:$1,Leasing!60:60),0)</f>
        <v>0</v>
      </c>
      <c r="BO26" s="258">
        <f>-IFERROR(_xlfn.XLOOKUP(BO$7,Leasing!$1:$1,Leasing!60:60),0)</f>
        <v>0</v>
      </c>
      <c r="BP26" s="258">
        <f>-IFERROR(_xlfn.XLOOKUP(BP$7,Leasing!$1:$1,Leasing!60:60),0)</f>
        <v>0</v>
      </c>
      <c r="BQ26" s="258">
        <f>-IFERROR(_xlfn.XLOOKUP(BQ$7,Leasing!$1:$1,Leasing!60:60),0)</f>
        <v>0</v>
      </c>
      <c r="BR26" s="258">
        <f>-IFERROR(_xlfn.XLOOKUP(BR$7,Leasing!$1:$1,Leasing!60:60),0)</f>
        <v>0</v>
      </c>
      <c r="BS26" s="258">
        <f>-IFERROR(_xlfn.XLOOKUP(BS$7,Leasing!$1:$1,Leasing!60:60),0)</f>
        <v>0</v>
      </c>
      <c r="BT26" s="258">
        <f>-IFERROR(_xlfn.XLOOKUP(BT$7,Leasing!$1:$1,Leasing!60:60),0)</f>
        <v>0</v>
      </c>
      <c r="BU26" s="258">
        <f>-IFERROR(_xlfn.XLOOKUP(BU$7,Leasing!$1:$1,Leasing!60:60),0)</f>
        <v>0</v>
      </c>
      <c r="BV26" s="258">
        <f>-IFERROR(_xlfn.XLOOKUP(BV$7,Leasing!$1:$1,Leasing!60:60),0)</f>
        <v>0</v>
      </c>
      <c r="BW26" s="258">
        <f>-IFERROR(_xlfn.XLOOKUP(BW$7,Leasing!$1:$1,Leasing!60:60),0)</f>
        <v>0</v>
      </c>
      <c r="BX26" s="258">
        <f>-IFERROR(_xlfn.XLOOKUP(BX$7,Leasing!$1:$1,Leasing!60:60),0)</f>
        <v>0</v>
      </c>
      <c r="BY26" s="258">
        <f>-IFERROR(_xlfn.XLOOKUP(BY$7,Leasing!$1:$1,Leasing!60:60),0)</f>
        <v>0</v>
      </c>
      <c r="BZ26" s="258">
        <f>-IFERROR(_xlfn.XLOOKUP(BZ$7,Leasing!$1:$1,Leasing!60:60),0)</f>
        <v>0</v>
      </c>
      <c r="CA26" s="258">
        <f>-IFERROR(_xlfn.XLOOKUP(CA$7,Leasing!$1:$1,Leasing!60:60),0)</f>
        <v>0</v>
      </c>
      <c r="CB26" s="258">
        <f>-IFERROR(_xlfn.XLOOKUP(CB$7,Leasing!$1:$1,Leasing!60:60),0)</f>
        <v>0</v>
      </c>
      <c r="CC26" s="258">
        <f>-IFERROR(_xlfn.XLOOKUP(CC$7,Leasing!$1:$1,Leasing!60:60),0)</f>
        <v>0</v>
      </c>
      <c r="CD26" s="258">
        <f>-IFERROR(_xlfn.XLOOKUP(CD$7,Leasing!$1:$1,Leasing!60:60),0)</f>
        <v>0</v>
      </c>
      <c r="CE26" s="258">
        <f>-IFERROR(_xlfn.XLOOKUP(CE$7,Leasing!$1:$1,Leasing!60:60),0)</f>
        <v>0</v>
      </c>
      <c r="CF26" s="258">
        <f>-IFERROR(_xlfn.XLOOKUP(CF$7,Leasing!$1:$1,Leasing!60:60),0)</f>
        <v>0</v>
      </c>
      <c r="CG26" s="258">
        <f>-IFERROR(_xlfn.XLOOKUP(CG$7,Leasing!$1:$1,Leasing!60:60),0)</f>
        <v>0</v>
      </c>
      <c r="CH26" s="258">
        <f>-IFERROR(_xlfn.XLOOKUP(CH$7,Leasing!$1:$1,Leasing!60:60),0)</f>
        <v>0</v>
      </c>
      <c r="CI26" s="258">
        <f>-IFERROR(_xlfn.XLOOKUP(CI$7,Leasing!$1:$1,Leasing!60:60),0)</f>
        <v>0</v>
      </c>
      <c r="CJ26" s="258">
        <f>-IFERROR(_xlfn.XLOOKUP(CJ$7,Leasing!$1:$1,Leasing!60:60),0)</f>
        <v>0</v>
      </c>
      <c r="CK26" s="258">
        <f>-IFERROR(_xlfn.XLOOKUP(CK$7,Leasing!$1:$1,Leasing!60:60),0)</f>
        <v>0</v>
      </c>
      <c r="CL26" s="258">
        <f>-IFERROR(_xlfn.XLOOKUP(CL$7,Leasing!$1:$1,Leasing!60:60),0)</f>
        <v>0</v>
      </c>
      <c r="CM26" s="258">
        <f>-IFERROR(_xlfn.XLOOKUP(CM$7,Leasing!$1:$1,Leasing!60:60),0)</f>
        <v>0</v>
      </c>
      <c r="CN26" s="258">
        <f>-IFERROR(_xlfn.XLOOKUP(CN$7,Leasing!$1:$1,Leasing!60:60),0)</f>
        <v>0</v>
      </c>
      <c r="CO26" s="258">
        <f>-IFERROR(_xlfn.XLOOKUP(CO$7,Leasing!$1:$1,Leasing!60:60),0)</f>
        <v>0</v>
      </c>
      <c r="CP26" s="258">
        <f>-IFERROR(_xlfn.XLOOKUP(CP$7,Leasing!$1:$1,Leasing!60:60),0)</f>
        <v>0</v>
      </c>
      <c r="CQ26" s="258">
        <f>-IFERROR(_xlfn.XLOOKUP(CQ$7,Leasing!$1:$1,Leasing!60:60),0)</f>
        <v>0</v>
      </c>
      <c r="CR26" s="258">
        <f>-IFERROR(_xlfn.XLOOKUP(CR$7,Leasing!$1:$1,Leasing!60:60),0)</f>
        <v>0</v>
      </c>
      <c r="CS26" s="258">
        <f>-IFERROR(_xlfn.XLOOKUP(CS$7,Leasing!$1:$1,Leasing!60:60),0)</f>
        <v>0</v>
      </c>
      <c r="CT26" s="258">
        <f>-IFERROR(_xlfn.XLOOKUP(CT$7,Leasing!$1:$1,Leasing!60:60),0)</f>
        <v>0</v>
      </c>
      <c r="CU26" s="258">
        <f>-IFERROR(_xlfn.XLOOKUP(CU$7,Leasing!$1:$1,Leasing!60:60),0)</f>
        <v>0</v>
      </c>
      <c r="CV26" s="258">
        <f>-IFERROR(_xlfn.XLOOKUP(CV$7,Leasing!$1:$1,Leasing!60:60),0)</f>
        <v>0</v>
      </c>
      <c r="CW26" s="258">
        <f>-IFERROR(_xlfn.XLOOKUP(CW$7,Leasing!$1:$1,Leasing!60:60),0)</f>
        <v>0</v>
      </c>
      <c r="CX26" s="258">
        <f>-IFERROR(_xlfn.XLOOKUP(CX$7,Leasing!$1:$1,Leasing!60:60),0)</f>
        <v>0</v>
      </c>
      <c r="CY26" s="258">
        <f>-IFERROR(_xlfn.XLOOKUP(CY$7,Leasing!$1:$1,Leasing!60:60),0)</f>
        <v>0</v>
      </c>
      <c r="CZ26" s="258">
        <f>-IFERROR(_xlfn.XLOOKUP(CZ$7,Leasing!$1:$1,Leasing!60:60),0)</f>
        <v>0</v>
      </c>
      <c r="DA26" s="258">
        <f>-IFERROR(_xlfn.XLOOKUP(DA$7,Leasing!$1:$1,Leasing!60:60),0)</f>
        <v>0</v>
      </c>
      <c r="DB26" s="258">
        <f>-IFERROR(_xlfn.XLOOKUP(DB$7,Leasing!$1:$1,Leasing!60:60),0)</f>
        <v>0</v>
      </c>
      <c r="DC26" s="258">
        <f>-IFERROR(_xlfn.XLOOKUP(DC$7,Leasing!$1:$1,Leasing!60:60),0)</f>
        <v>0</v>
      </c>
      <c r="DD26" s="258">
        <f>-IFERROR(_xlfn.XLOOKUP(DD$7,Leasing!$1:$1,Leasing!60:60),0)</f>
        <v>0</v>
      </c>
      <c r="DE26" s="258">
        <f>-IFERROR(_xlfn.XLOOKUP(DE$7,Leasing!$1:$1,Leasing!60:60),0)</f>
        <v>0</v>
      </c>
      <c r="DF26" s="258">
        <f>-IFERROR(_xlfn.XLOOKUP(DF$7,Leasing!$1:$1,Leasing!60:60),0)</f>
        <v>0</v>
      </c>
      <c r="DG26" s="258">
        <f>-IFERROR(_xlfn.XLOOKUP(DG$7,Leasing!$1:$1,Leasing!60:60),0)</f>
        <v>0</v>
      </c>
      <c r="DH26" s="258">
        <f>-IFERROR(_xlfn.XLOOKUP(DH$7,Leasing!$1:$1,Leasing!60:60),0)</f>
        <v>0</v>
      </c>
      <c r="DI26" s="258">
        <f>-IFERROR(_xlfn.XLOOKUP(DI$7,Leasing!$1:$1,Leasing!60:60),0)</f>
        <v>0</v>
      </c>
      <c r="DJ26" s="258">
        <f>-IFERROR(_xlfn.XLOOKUP(DJ$7,Leasing!$1:$1,Leasing!60:60),0)</f>
        <v>0</v>
      </c>
      <c r="DK26" s="258">
        <f>-IFERROR(_xlfn.XLOOKUP(DK$7,Leasing!$1:$1,Leasing!60:60),0)</f>
        <v>0</v>
      </c>
      <c r="DL26" s="258">
        <f>-IFERROR(_xlfn.XLOOKUP(DL$7,Leasing!$1:$1,Leasing!60:60),0)</f>
        <v>0</v>
      </c>
      <c r="DM26" s="258">
        <f>-IFERROR(_xlfn.XLOOKUP(DM$7,Leasing!$1:$1,Leasing!60:60),0)</f>
        <v>0</v>
      </c>
      <c r="DN26" s="258">
        <f>-IFERROR(_xlfn.XLOOKUP(DN$7,Leasing!$1:$1,Leasing!60:60),0)</f>
        <v>0</v>
      </c>
      <c r="DO26" s="258">
        <f>-IFERROR(_xlfn.XLOOKUP(DO$7,Leasing!$1:$1,Leasing!60:60),0)</f>
        <v>0</v>
      </c>
      <c r="DP26" s="258">
        <f>-IFERROR(_xlfn.XLOOKUP(DP$7,Leasing!$1:$1,Leasing!60:60),0)</f>
        <v>0</v>
      </c>
      <c r="DQ26" s="258">
        <f>-IFERROR(_xlfn.XLOOKUP(DQ$7,Leasing!$1:$1,Leasing!60:60),0)</f>
        <v>0</v>
      </c>
      <c r="DR26" s="258">
        <f>-IFERROR(_xlfn.XLOOKUP(DR$7,Leasing!$1:$1,Leasing!60:60),0)</f>
        <v>0</v>
      </c>
      <c r="DS26" s="258">
        <f>-IFERROR(_xlfn.XLOOKUP(DS$7,Leasing!$1:$1,Leasing!60:60),0)</f>
        <v>0</v>
      </c>
      <c r="DT26" s="258">
        <f>-IFERROR(_xlfn.XLOOKUP(DT$7,Leasing!$1:$1,Leasing!60:60),0)</f>
        <v>0</v>
      </c>
      <c r="DU26" s="258">
        <f>-IFERROR(_xlfn.XLOOKUP(DU$7,Leasing!$1:$1,Leasing!60:60),0)</f>
        <v>0</v>
      </c>
      <c r="DV26" s="258">
        <f>-IFERROR(_xlfn.XLOOKUP(DV$7,Leasing!$1:$1,Leasing!60:60),0)</f>
        <v>0</v>
      </c>
      <c r="DW26" s="258">
        <f>-IFERROR(_xlfn.XLOOKUP(DW$7,Leasing!$1:$1,Leasing!60:60),0)</f>
        <v>0</v>
      </c>
      <c r="DX26" s="258">
        <f>-IFERROR(_xlfn.XLOOKUP(DX$7,Leasing!$1:$1,Leasing!60:60),0)</f>
        <v>0</v>
      </c>
      <c r="DY26" s="258">
        <f>-IFERROR(_xlfn.XLOOKUP(DY$7,Leasing!$1:$1,Leasing!60:60),0)</f>
        <v>0</v>
      </c>
      <c r="DZ26" s="258">
        <f>-IFERROR(_xlfn.XLOOKUP(DZ$7,Leasing!$1:$1,Leasing!60:60),0)</f>
        <v>0</v>
      </c>
      <c r="EA26" s="258">
        <f>-IFERROR(_xlfn.XLOOKUP(EA$7,Leasing!$1:$1,Leasing!60:60),0)</f>
        <v>0</v>
      </c>
      <c r="EB26" s="258">
        <f>-IFERROR(_xlfn.XLOOKUP(EB$7,Leasing!$1:$1,Leasing!60:60),0)</f>
        <v>0</v>
      </c>
      <c r="EC26" s="258">
        <f>-IFERROR(_xlfn.XLOOKUP(EC$7,Leasing!$1:$1,Leasing!60:60),0)</f>
        <v>0</v>
      </c>
      <c r="ED26" s="258">
        <f>-IFERROR(_xlfn.XLOOKUP(ED$7,Leasing!$1:$1,Leasing!60:60),0)</f>
        <v>0</v>
      </c>
      <c r="EE26" s="258">
        <f>-IFERROR(_xlfn.XLOOKUP(EE$7,Leasing!$1:$1,Leasing!60:60),0)</f>
        <v>0</v>
      </c>
      <c r="EF26" s="258">
        <f>-IFERROR(_xlfn.XLOOKUP(EF$7,Leasing!$1:$1,Leasing!60:60),0)</f>
        <v>0</v>
      </c>
      <c r="EG26" s="258">
        <f>-IFERROR(_xlfn.XLOOKUP(EG$7,Leasing!$1:$1,Leasing!60:60),0)</f>
        <v>0</v>
      </c>
      <c r="EH26" s="258">
        <f>-IFERROR(_xlfn.XLOOKUP(EH$7,Leasing!$1:$1,Leasing!60:60),0)</f>
        <v>0</v>
      </c>
      <c r="EI26" s="258">
        <f>-IFERROR(_xlfn.XLOOKUP(EI$7,Leasing!$1:$1,Leasing!60:60),0)</f>
        <v>0</v>
      </c>
      <c r="EJ26" s="258">
        <f>-IFERROR(_xlfn.XLOOKUP(EJ$7,Leasing!$1:$1,Leasing!60:60),0)</f>
        <v>0</v>
      </c>
      <c r="EK26" s="258">
        <f>-IFERROR(_xlfn.XLOOKUP(EK$7,Leasing!$1:$1,Leasing!60:60),0)</f>
        <v>0</v>
      </c>
      <c r="EL26" s="258">
        <f>-IFERROR(_xlfn.XLOOKUP(EL$7,Leasing!$1:$1,Leasing!60:60),0)</f>
        <v>0</v>
      </c>
      <c r="EM26" s="258">
        <f>-IFERROR(_xlfn.XLOOKUP(EM$7,Leasing!$1:$1,Leasing!60:60),0)</f>
        <v>0</v>
      </c>
      <c r="EN26" s="258">
        <f>-IFERROR(_xlfn.XLOOKUP(EN$7,Leasing!$1:$1,Leasing!60:60),0)</f>
        <v>0</v>
      </c>
      <c r="EO26" s="258">
        <f>-IFERROR(_xlfn.XLOOKUP(EO$7,Leasing!$1:$1,Leasing!60:60),0)</f>
        <v>0</v>
      </c>
      <c r="EP26" s="258">
        <f>-IFERROR(_xlfn.XLOOKUP(EP$7,Leasing!$1:$1,Leasing!60:60),0)</f>
        <v>0</v>
      </c>
      <c r="EQ26" s="258">
        <f>-IFERROR(_xlfn.XLOOKUP(EQ$7,Leasing!$1:$1,Leasing!60:60),0)</f>
        <v>0</v>
      </c>
      <c r="ER26" s="258">
        <f>-IFERROR(_xlfn.XLOOKUP(ER$7,Leasing!$1:$1,Leasing!60:60),0)</f>
        <v>0</v>
      </c>
      <c r="ES26" s="258">
        <f>-IFERROR(_xlfn.XLOOKUP(ES$7,Leasing!$1:$1,Leasing!60:60),0)</f>
        <v>0</v>
      </c>
      <c r="ET26" s="258">
        <f>-IFERROR(_xlfn.XLOOKUP(ET$7,Leasing!$1:$1,Leasing!60:60),0)</f>
        <v>0</v>
      </c>
      <c r="EU26" s="258">
        <f>-IFERROR(_xlfn.XLOOKUP(EU$7,Leasing!$1:$1,Leasing!60:60),0)</f>
        <v>0</v>
      </c>
      <c r="EV26" s="258">
        <f>-IFERROR(_xlfn.XLOOKUP(EV$7,Leasing!$1:$1,Leasing!60:60),0)</f>
        <v>0</v>
      </c>
      <c r="EW26" s="258">
        <f>-IFERROR(_xlfn.XLOOKUP(EW$7,Leasing!$1:$1,Leasing!60:60),0)</f>
        <v>0</v>
      </c>
      <c r="EX26" s="258">
        <f>-IFERROR(_xlfn.XLOOKUP(EX$7,Leasing!$1:$1,Leasing!60:60),0)</f>
        <v>0</v>
      </c>
      <c r="EY26" s="258">
        <f>-IFERROR(_xlfn.XLOOKUP(EY$7,Leasing!$1:$1,Leasing!60:60),0)</f>
        <v>0</v>
      </c>
      <c r="EZ26" s="258">
        <f>-IFERROR(_xlfn.XLOOKUP(EZ$7,Leasing!$1:$1,Leasing!60:60),0)</f>
        <v>0</v>
      </c>
      <c r="FA26" s="258">
        <f>-IFERROR(_xlfn.XLOOKUP(FA$7,Leasing!$1:$1,Leasing!60:60),0)</f>
        <v>0</v>
      </c>
      <c r="FB26" s="258">
        <f>-IFERROR(_xlfn.XLOOKUP(FB$7,Leasing!$1:$1,Leasing!60:60),0)</f>
        <v>0</v>
      </c>
      <c r="FC26" s="258">
        <f>-IFERROR(_xlfn.XLOOKUP(FC$7,Leasing!$1:$1,Leasing!60:60),0)</f>
        <v>0</v>
      </c>
      <c r="FD26" s="258">
        <f>-IFERROR(_xlfn.XLOOKUP(FD$7,Leasing!$1:$1,Leasing!60:60),0)</f>
        <v>0</v>
      </c>
      <c r="FE26" s="258">
        <f>-IFERROR(_xlfn.XLOOKUP(FE$7,Leasing!$1:$1,Leasing!60:60),0)</f>
        <v>0</v>
      </c>
      <c r="FF26" s="258">
        <f>-IFERROR(_xlfn.XLOOKUP(FF$7,Leasing!$1:$1,Leasing!60:60),0)</f>
        <v>0</v>
      </c>
      <c r="FG26" s="258">
        <f>-IFERROR(_xlfn.XLOOKUP(FG$7,Leasing!$1:$1,Leasing!60:60),0)</f>
        <v>0</v>
      </c>
      <c r="FH26" s="258">
        <f>-IFERROR(_xlfn.XLOOKUP(FH$7,Leasing!$1:$1,Leasing!60:60),0)</f>
        <v>0</v>
      </c>
      <c r="FI26" s="258">
        <f>-IFERROR(_xlfn.XLOOKUP(FI$7,Leasing!$1:$1,Leasing!60:60),0)</f>
        <v>0</v>
      </c>
      <c r="FJ26" s="258">
        <f>-IFERROR(_xlfn.XLOOKUP(FJ$7,Leasing!$1:$1,Leasing!60:60),0)</f>
        <v>0</v>
      </c>
      <c r="FK26" s="258">
        <f>-IFERROR(_xlfn.XLOOKUP(FK$7,Leasing!$1:$1,Leasing!60:60),0)</f>
        <v>0</v>
      </c>
      <c r="FL26" s="258">
        <f>-IFERROR(_xlfn.XLOOKUP(FL$7,Leasing!$1:$1,Leasing!60:60),0)</f>
        <v>0</v>
      </c>
      <c r="FM26" s="258">
        <f>-IFERROR(_xlfn.XLOOKUP(FM$7,Leasing!$1:$1,Leasing!60:60),0)</f>
        <v>0</v>
      </c>
      <c r="FN26" s="258">
        <f>-IFERROR(_xlfn.XLOOKUP(FN$7,Leasing!$1:$1,Leasing!60:60),0)</f>
        <v>0</v>
      </c>
      <c r="FO26" s="258">
        <f>-IFERROR(_xlfn.XLOOKUP(FO$7,Leasing!$1:$1,Leasing!60:60),0)</f>
        <v>0</v>
      </c>
      <c r="FP26" s="258">
        <f>-IFERROR(_xlfn.XLOOKUP(FP$7,Leasing!$1:$1,Leasing!60:60),0)</f>
        <v>0</v>
      </c>
      <c r="FQ26" s="258">
        <f>-IFERROR(_xlfn.XLOOKUP(FQ$7,Leasing!$1:$1,Leasing!60:60),0)</f>
        <v>0</v>
      </c>
      <c r="FR26" s="258">
        <f>-IFERROR(_xlfn.XLOOKUP(FR$7,Leasing!$1:$1,Leasing!60:60),0)</f>
        <v>0</v>
      </c>
      <c r="FS26" s="258">
        <f>-IFERROR(_xlfn.XLOOKUP(FS$7,Leasing!$1:$1,Leasing!60:60),0)</f>
        <v>0</v>
      </c>
      <c r="FT26" s="258">
        <f>-IFERROR(_xlfn.XLOOKUP(FT$7,Leasing!$1:$1,Leasing!60:60),0)</f>
        <v>0</v>
      </c>
      <c r="FU26" s="258">
        <f>-IFERROR(_xlfn.XLOOKUP(FU$7,Leasing!$1:$1,Leasing!60:60),0)</f>
        <v>0</v>
      </c>
      <c r="FV26" s="258">
        <f>-IFERROR(_xlfn.XLOOKUP(FV$7,Leasing!$1:$1,Leasing!60:60),0)</f>
        <v>0</v>
      </c>
      <c r="FW26" s="258">
        <f>-IFERROR(_xlfn.XLOOKUP(FW$7,Leasing!$1:$1,Leasing!60:60),0)</f>
        <v>0</v>
      </c>
      <c r="FX26" s="258">
        <f>-IFERROR(_xlfn.XLOOKUP(FX$7,Leasing!$1:$1,Leasing!60:60),0)</f>
        <v>0</v>
      </c>
      <c r="FY26" s="258">
        <f>-IFERROR(_xlfn.XLOOKUP(FY$7,Leasing!$1:$1,Leasing!60:60),0)</f>
        <v>0</v>
      </c>
      <c r="FZ26" s="258">
        <f>-IFERROR(_xlfn.XLOOKUP(FZ$7,Leasing!$1:$1,Leasing!60:60),0)</f>
        <v>0</v>
      </c>
      <c r="GA26" s="258">
        <f>-IFERROR(_xlfn.XLOOKUP(GA$7,Leasing!$1:$1,Leasing!60:60),0)</f>
        <v>0</v>
      </c>
      <c r="GB26" s="258">
        <f>-IFERROR(_xlfn.XLOOKUP(GB$7,Leasing!$1:$1,Leasing!60:60),0)</f>
        <v>0</v>
      </c>
      <c r="GC26" s="258">
        <f>-IFERROR(_xlfn.XLOOKUP(GC$7,Leasing!$1:$1,Leasing!60:60),0)</f>
        <v>0</v>
      </c>
      <c r="GD26" s="258">
        <f>-IFERROR(_xlfn.XLOOKUP(GD$7,Leasing!$1:$1,Leasing!60:60),0)</f>
        <v>0</v>
      </c>
      <c r="GE26" s="258">
        <f>-IFERROR(_xlfn.XLOOKUP(GE$7,Leasing!$1:$1,Leasing!60:60),0)</f>
        <v>0</v>
      </c>
      <c r="GF26" s="258">
        <f>-IFERROR(_xlfn.XLOOKUP(GF$7,Leasing!$1:$1,Leasing!60:60),0)</f>
        <v>0</v>
      </c>
      <c r="GG26" s="258">
        <f>-IFERROR(_xlfn.XLOOKUP(GG$7,Leasing!$1:$1,Leasing!60:60),0)</f>
        <v>0</v>
      </c>
      <c r="GH26" s="258">
        <f>-IFERROR(_xlfn.XLOOKUP(GH$7,Leasing!$1:$1,Leasing!60:60),0)</f>
        <v>0</v>
      </c>
      <c r="GI26" s="258">
        <f>-IFERROR(_xlfn.XLOOKUP(GI$7,Leasing!$1:$1,Leasing!60:60),0)</f>
        <v>0</v>
      </c>
      <c r="GJ26" s="258">
        <f>-IFERROR(_xlfn.XLOOKUP(GJ$7,Leasing!$1:$1,Leasing!60:60),0)</f>
        <v>0</v>
      </c>
      <c r="GK26" s="258">
        <f>-IFERROR(_xlfn.XLOOKUP(GK$7,Leasing!$1:$1,Leasing!60:60),0)</f>
        <v>0</v>
      </c>
      <c r="GL26" s="258">
        <f>-IFERROR(_xlfn.XLOOKUP(GL$7,Leasing!$1:$1,Leasing!60:60),0)</f>
        <v>0</v>
      </c>
      <c r="GM26" s="258">
        <f>-IFERROR(_xlfn.XLOOKUP(GM$7,Leasing!$1:$1,Leasing!60:60),0)</f>
        <v>0</v>
      </c>
      <c r="GN26" s="258">
        <f>-IFERROR(_xlfn.XLOOKUP(GN$7,Leasing!$1:$1,Leasing!60:60),0)</f>
        <v>0</v>
      </c>
      <c r="GO26" s="258">
        <f>-IFERROR(_xlfn.XLOOKUP(GO$7,Leasing!$1:$1,Leasing!60:60),0)</f>
        <v>0</v>
      </c>
      <c r="GP26" s="258">
        <f>-IFERROR(_xlfn.XLOOKUP(GP$7,Leasing!$1:$1,Leasing!60:60),0)</f>
        <v>0</v>
      </c>
      <c r="GQ26" s="258">
        <f>-IFERROR(_xlfn.XLOOKUP(GQ$7,Leasing!$1:$1,Leasing!60:60),0)</f>
        <v>0</v>
      </c>
      <c r="GR26" s="258">
        <f>-IFERROR(_xlfn.XLOOKUP(GR$7,Leasing!$1:$1,Leasing!60:60),0)</f>
        <v>0</v>
      </c>
      <c r="GS26" s="258">
        <f>-IFERROR(_xlfn.XLOOKUP(GS$7,Leasing!$1:$1,Leasing!60:60),0)</f>
        <v>0</v>
      </c>
      <c r="GT26" s="258">
        <f>-IFERROR(_xlfn.XLOOKUP(GT$7,Leasing!$1:$1,Leasing!60:60),0)</f>
        <v>0</v>
      </c>
      <c r="GU26" s="258">
        <f>-IFERROR(_xlfn.XLOOKUP(GU$7,Leasing!$1:$1,Leasing!60:60),0)</f>
        <v>0</v>
      </c>
      <c r="GV26" s="258">
        <f>-IFERROR(_xlfn.XLOOKUP(GV$7,Leasing!$1:$1,Leasing!60:60),0)</f>
        <v>0</v>
      </c>
      <c r="GW26" s="258">
        <f>-IFERROR(_xlfn.XLOOKUP(GW$7,Leasing!$1:$1,Leasing!60:60),0)</f>
        <v>0</v>
      </c>
      <c r="GX26" s="258">
        <f>-IFERROR(_xlfn.XLOOKUP(GX$7,Leasing!$1:$1,Leasing!60:60),0)</f>
        <v>0</v>
      </c>
      <c r="GY26" s="258">
        <f>-IFERROR(_xlfn.XLOOKUP(GY$7,Leasing!$1:$1,Leasing!60:60),0)</f>
        <v>0</v>
      </c>
      <c r="GZ26" s="258">
        <f>-IFERROR(_xlfn.XLOOKUP(GZ$7,Leasing!$1:$1,Leasing!60:60),0)</f>
        <v>0</v>
      </c>
      <c r="HA26" s="258">
        <f>-IFERROR(_xlfn.XLOOKUP(HA$7,Leasing!$1:$1,Leasing!60:60),0)</f>
        <v>0</v>
      </c>
      <c r="HB26" s="258">
        <f>-IFERROR(_xlfn.XLOOKUP(HB$7,Leasing!$1:$1,Leasing!60:60),0)</f>
        <v>0</v>
      </c>
      <c r="HC26" s="258">
        <f>-IFERROR(_xlfn.XLOOKUP(HC$7,Leasing!$1:$1,Leasing!60:60),0)</f>
        <v>0</v>
      </c>
      <c r="HD26" s="258">
        <f>-IFERROR(_xlfn.XLOOKUP(HD$7,Leasing!$1:$1,Leasing!60:60),0)</f>
        <v>0</v>
      </c>
      <c r="HE26" s="258">
        <f>-IFERROR(_xlfn.XLOOKUP(HE$7,Leasing!$1:$1,Leasing!60:60),0)</f>
        <v>0</v>
      </c>
      <c r="HF26" s="258">
        <f>-IFERROR(_xlfn.XLOOKUP(HF$7,Leasing!$1:$1,Leasing!60:60),0)</f>
        <v>0</v>
      </c>
      <c r="HG26" s="258">
        <f>-IFERROR(_xlfn.XLOOKUP(HG$7,Leasing!$1:$1,Leasing!60:60),0)</f>
        <v>0</v>
      </c>
      <c r="HH26" s="258">
        <f>-IFERROR(_xlfn.XLOOKUP(HH$7,Leasing!$1:$1,Leasing!60:60),0)</f>
        <v>0</v>
      </c>
      <c r="HI26" s="258">
        <f>-IFERROR(_xlfn.XLOOKUP(HI$7,Leasing!$1:$1,Leasing!60:60),0)</f>
        <v>0</v>
      </c>
      <c r="HJ26" s="258">
        <f>-IFERROR(_xlfn.XLOOKUP(HJ$7,Leasing!$1:$1,Leasing!60:60),0)</f>
        <v>0</v>
      </c>
      <c r="HK26" s="258">
        <f>-IFERROR(_xlfn.XLOOKUP(HK$7,Leasing!$1:$1,Leasing!60:60),0)</f>
        <v>0</v>
      </c>
      <c r="HL26" s="258">
        <f>-IFERROR(_xlfn.XLOOKUP(HL$7,Leasing!$1:$1,Leasing!60:60),0)</f>
        <v>0</v>
      </c>
      <c r="HM26" s="258">
        <f>-IFERROR(_xlfn.XLOOKUP(HM$7,Leasing!$1:$1,Leasing!60:60),0)</f>
        <v>0</v>
      </c>
      <c r="HN26" s="258">
        <f>-IFERROR(_xlfn.XLOOKUP(HN$7,Leasing!$1:$1,Leasing!60:60),0)</f>
        <v>0</v>
      </c>
      <c r="HO26" s="258">
        <f>-IFERROR(_xlfn.XLOOKUP(HO$7,Leasing!$1:$1,Leasing!60:60),0)</f>
        <v>0</v>
      </c>
      <c r="HP26" s="258">
        <f>-IFERROR(_xlfn.XLOOKUP(HP$7,Leasing!$1:$1,Leasing!60:60),0)</f>
        <v>0</v>
      </c>
      <c r="HQ26" s="258">
        <f>-IFERROR(_xlfn.XLOOKUP(HQ$7,Leasing!$1:$1,Leasing!60:60),0)</f>
        <v>0</v>
      </c>
      <c r="HR26" s="258">
        <f>-IFERROR(_xlfn.XLOOKUP(HR$7,Leasing!$1:$1,Leasing!60:60),0)</f>
        <v>0</v>
      </c>
      <c r="HS26" s="258">
        <f>-IFERROR(_xlfn.XLOOKUP(HS$7,Leasing!$1:$1,Leasing!60:60),0)</f>
        <v>0</v>
      </c>
      <c r="HT26" s="258">
        <f>-IFERROR(_xlfn.XLOOKUP(HT$7,Leasing!$1:$1,Leasing!60:60),0)</f>
        <v>0</v>
      </c>
      <c r="HU26" s="258">
        <f>-IFERROR(_xlfn.XLOOKUP(HU$7,Leasing!$1:$1,Leasing!60:60),0)</f>
        <v>0</v>
      </c>
      <c r="HV26" s="258">
        <f>-IFERROR(_xlfn.XLOOKUP(HV$7,Leasing!$1:$1,Leasing!60:60),0)</f>
        <v>0</v>
      </c>
      <c r="HW26" s="258">
        <f>-IFERROR(_xlfn.XLOOKUP(HW$7,Leasing!$1:$1,Leasing!60:60),0)</f>
        <v>0</v>
      </c>
      <c r="HX26" s="258">
        <f>-IFERROR(_xlfn.XLOOKUP(HX$7,Leasing!$1:$1,Leasing!60:60),0)</f>
        <v>0</v>
      </c>
      <c r="HY26" s="258">
        <f>-IFERROR(_xlfn.XLOOKUP(HY$7,Leasing!$1:$1,Leasing!60:60),0)</f>
        <v>0</v>
      </c>
      <c r="HZ26" s="258">
        <f>-IFERROR(_xlfn.XLOOKUP(HZ$7,Leasing!$1:$1,Leasing!60:60),0)</f>
        <v>0</v>
      </c>
      <c r="IA26" s="258">
        <f>-IFERROR(_xlfn.XLOOKUP(IA$7,Leasing!$1:$1,Leasing!60:60),0)</f>
        <v>0</v>
      </c>
      <c r="IB26" s="258">
        <f>-IFERROR(_xlfn.XLOOKUP(IB$7,Leasing!$1:$1,Leasing!60:60),0)</f>
        <v>0</v>
      </c>
      <c r="IC26" s="258">
        <f>-IFERROR(_xlfn.XLOOKUP(IC$7,Leasing!$1:$1,Leasing!60:60),0)</f>
        <v>0</v>
      </c>
      <c r="ID26" s="258">
        <f>-IFERROR(_xlfn.XLOOKUP(ID$7,Leasing!$1:$1,Leasing!60:60),0)</f>
        <v>0</v>
      </c>
      <c r="IE26" s="258">
        <f>-IFERROR(_xlfn.XLOOKUP(IE$7,Leasing!$1:$1,Leasing!60:60),0)</f>
        <v>0</v>
      </c>
      <c r="IF26" s="258">
        <f>-IFERROR(_xlfn.XLOOKUP(IF$7,Leasing!$1:$1,Leasing!60:60),0)</f>
        <v>0</v>
      </c>
      <c r="IG26" s="258">
        <f>-IFERROR(_xlfn.XLOOKUP(IG$7,Leasing!$1:$1,Leasing!60:60),0)</f>
        <v>0</v>
      </c>
      <c r="IH26" s="258">
        <f>-IFERROR(_xlfn.XLOOKUP(IH$7,Leasing!$1:$1,Leasing!60:60),0)</f>
        <v>0</v>
      </c>
      <c r="II26" s="258">
        <f>-IFERROR(_xlfn.XLOOKUP(II$7,Leasing!$1:$1,Leasing!60:60),0)</f>
        <v>0</v>
      </c>
      <c r="IJ26" s="258">
        <f>-IFERROR(_xlfn.XLOOKUP(IJ$7,Leasing!$1:$1,Leasing!60:60),0)</f>
        <v>0</v>
      </c>
      <c r="IK26" s="258">
        <f>-IFERROR(_xlfn.XLOOKUP(IK$7,Leasing!$1:$1,Leasing!60:60),0)</f>
        <v>0</v>
      </c>
      <c r="IL26" s="258">
        <f>-IFERROR(_xlfn.XLOOKUP(IL$7,Leasing!$1:$1,Leasing!60:60),0)</f>
        <v>0</v>
      </c>
      <c r="IM26" s="258">
        <f>-IFERROR(_xlfn.XLOOKUP(IM$7,Leasing!$1:$1,Leasing!60:60),0)</f>
        <v>0</v>
      </c>
      <c r="IN26" s="258">
        <f>-IFERROR(_xlfn.XLOOKUP(IN$7,Leasing!$1:$1,Leasing!60:60),0)</f>
        <v>0</v>
      </c>
      <c r="IO26" s="258">
        <f>-IFERROR(_xlfn.XLOOKUP(IO$7,Leasing!$1:$1,Leasing!60:60),0)</f>
        <v>0</v>
      </c>
      <c r="IP26" s="258">
        <f>-IFERROR(_xlfn.XLOOKUP(IP$7,Leasing!$1:$1,Leasing!60:60),0)</f>
        <v>0</v>
      </c>
      <c r="IQ26" s="258">
        <f>-IFERROR(_xlfn.XLOOKUP(IQ$7,Leasing!$1:$1,Leasing!60:60),0)</f>
        <v>0</v>
      </c>
      <c r="IR26" s="258">
        <f>-IFERROR(_xlfn.XLOOKUP(IR$7,Leasing!$1:$1,Leasing!60:60),0)</f>
        <v>0</v>
      </c>
      <c r="IS26" s="258">
        <f>-IFERROR(_xlfn.XLOOKUP(IS$7,Leasing!$1:$1,Leasing!60:60),0)</f>
        <v>0</v>
      </c>
      <c r="IT26" s="258">
        <f>-IFERROR(_xlfn.XLOOKUP(IT$7,Leasing!$1:$1,Leasing!60:60),0)</f>
        <v>0</v>
      </c>
      <c r="IU26" s="258">
        <f>-IFERROR(_xlfn.XLOOKUP(IU$7,Leasing!$1:$1,Leasing!60:60),0)</f>
        <v>0</v>
      </c>
      <c r="IV26" s="258">
        <f>-IFERROR(_xlfn.XLOOKUP(IV$7,Leasing!$1:$1,Leasing!60:60),0)</f>
        <v>0</v>
      </c>
      <c r="IW26" s="258">
        <f>-IFERROR(_xlfn.XLOOKUP(IW$7,Leasing!$1:$1,Leasing!60:60),0)</f>
        <v>0</v>
      </c>
      <c r="IX26" s="258">
        <f>-IFERROR(_xlfn.XLOOKUP(IX$7,Leasing!$1:$1,Leasing!60:60),0)</f>
        <v>0</v>
      </c>
      <c r="IY26" s="258">
        <f>-IFERROR(_xlfn.XLOOKUP(IY$7,Leasing!$1:$1,Leasing!60:60),0)</f>
        <v>0</v>
      </c>
      <c r="IZ26" s="258">
        <f>-IFERROR(_xlfn.XLOOKUP(IZ$7,Leasing!$1:$1,Leasing!60:60),0)</f>
        <v>0</v>
      </c>
      <c r="JA26" s="258">
        <f>-IFERROR(_xlfn.XLOOKUP(JA$7,Leasing!$1:$1,Leasing!60:60),0)</f>
        <v>0</v>
      </c>
      <c r="JB26" s="258">
        <f>-IFERROR(_xlfn.XLOOKUP(JB$7,Leasing!$1:$1,Leasing!60:60),0)</f>
        <v>0</v>
      </c>
      <c r="JC26" s="258">
        <f>-IFERROR(_xlfn.XLOOKUP(JC$7,Leasing!$1:$1,Leasing!60:60),0)</f>
        <v>0</v>
      </c>
      <c r="JD26" s="258">
        <f>-IFERROR(_xlfn.XLOOKUP(JD$7,Leasing!$1:$1,Leasing!60:60),0)</f>
        <v>0</v>
      </c>
      <c r="JE26" s="258">
        <f>-IFERROR(_xlfn.XLOOKUP(JE$7,Leasing!$1:$1,Leasing!60:60),0)</f>
        <v>0</v>
      </c>
      <c r="JF26" s="258">
        <f>-IFERROR(_xlfn.XLOOKUP(JF$7,Leasing!$1:$1,Leasing!60:60),0)</f>
        <v>0</v>
      </c>
      <c r="JG26" s="258">
        <f>-IFERROR(_xlfn.XLOOKUP(JG$7,Leasing!$1:$1,Leasing!60:60),0)</f>
        <v>0</v>
      </c>
      <c r="JH26" s="258">
        <f>-IFERROR(_xlfn.XLOOKUP(JH$7,Leasing!$1:$1,Leasing!60:60),0)</f>
        <v>0</v>
      </c>
      <c r="JI26" s="258">
        <f>-IFERROR(_xlfn.XLOOKUP(JI$7,Leasing!$1:$1,Leasing!60:60),0)</f>
        <v>0</v>
      </c>
      <c r="JJ26" s="258">
        <f>-IFERROR(_xlfn.XLOOKUP(JJ$7,Leasing!$1:$1,Leasing!60:60),0)</f>
        <v>0</v>
      </c>
      <c r="JK26" s="258">
        <f>-IFERROR(_xlfn.XLOOKUP(JK$7,Leasing!$1:$1,Leasing!60:60),0)</f>
        <v>0</v>
      </c>
      <c r="JL26" s="258">
        <f>-IFERROR(_xlfn.XLOOKUP(JL$7,Leasing!$1:$1,Leasing!60:60),0)</f>
        <v>0</v>
      </c>
      <c r="JM26" s="258">
        <f>-IFERROR(_xlfn.XLOOKUP(JM$7,Leasing!$1:$1,Leasing!60:60),0)</f>
        <v>0</v>
      </c>
      <c r="JN26" s="258">
        <f>-IFERROR(_xlfn.XLOOKUP(JN$7,Leasing!$1:$1,Leasing!60:60),0)</f>
        <v>0</v>
      </c>
      <c r="JO26" s="258">
        <f>-IFERROR(_xlfn.XLOOKUP(JO$7,Leasing!$1:$1,Leasing!60:60),0)</f>
        <v>0</v>
      </c>
      <c r="JP26" s="258">
        <f>-IFERROR(_xlfn.XLOOKUP(JP$7,Leasing!$1:$1,Leasing!60:60),0)</f>
        <v>0</v>
      </c>
      <c r="JQ26" s="258">
        <f>-IFERROR(_xlfn.XLOOKUP(JQ$7,Leasing!$1:$1,Leasing!60:60),0)</f>
        <v>0</v>
      </c>
      <c r="JR26" s="258">
        <f>-IFERROR(_xlfn.XLOOKUP(JR$7,Leasing!$1:$1,Leasing!60:60),0)</f>
        <v>0</v>
      </c>
      <c r="JS26" s="258">
        <f>-IFERROR(_xlfn.XLOOKUP(JS$7,Leasing!$1:$1,Leasing!60:60),0)</f>
        <v>0</v>
      </c>
      <c r="JT26" s="258">
        <f>-IFERROR(_xlfn.XLOOKUP(JT$7,Leasing!$1:$1,Leasing!60:60),0)</f>
        <v>0</v>
      </c>
      <c r="JU26" s="258">
        <f>-IFERROR(_xlfn.XLOOKUP(JU$7,Leasing!$1:$1,Leasing!60:60),0)</f>
        <v>0</v>
      </c>
      <c r="JV26" s="258">
        <f>-IFERROR(_xlfn.XLOOKUP(JV$7,Leasing!$1:$1,Leasing!60:60),0)</f>
        <v>0</v>
      </c>
      <c r="JW26" s="258">
        <f>-IFERROR(_xlfn.XLOOKUP(JW$7,Leasing!$1:$1,Leasing!60:60),0)</f>
        <v>0</v>
      </c>
      <c r="JX26" s="258">
        <f>-IFERROR(_xlfn.XLOOKUP(JX$7,Leasing!$1:$1,Leasing!60:60),0)</f>
        <v>0</v>
      </c>
      <c r="JY26" s="258">
        <f>-IFERROR(_xlfn.XLOOKUP(JY$7,Leasing!$1:$1,Leasing!60:60),0)</f>
        <v>0</v>
      </c>
      <c r="JZ26" s="258">
        <f>-IFERROR(_xlfn.XLOOKUP(JZ$7,Leasing!$1:$1,Leasing!60:60),0)</f>
        <v>0</v>
      </c>
      <c r="KA26" s="258">
        <f>-IFERROR(_xlfn.XLOOKUP(KA$7,Leasing!$1:$1,Leasing!60:60),0)</f>
        <v>0</v>
      </c>
      <c r="KB26" s="258">
        <f>-IFERROR(_xlfn.XLOOKUP(KB$7,Leasing!$1:$1,Leasing!60:60),0)</f>
        <v>0</v>
      </c>
      <c r="KC26" s="265">
        <f>SUMIF($C$7:$KB$7,"&lt;="&amp;$KC$6,C26:KB26)</f>
        <v>-6.107326468132575</v>
      </c>
    </row>
    <row r="27" spans="1:289" x14ac:dyDescent="0.3">
      <c r="A27" s="39" t="s">
        <v>292</v>
      </c>
      <c r="B27" s="257">
        <f t="shared" si="431"/>
        <v>-6.4390728611877481</v>
      </c>
      <c r="C27" s="259">
        <f>SUM(C25:C26)</f>
        <v>0</v>
      </c>
      <c r="D27" s="259">
        <f t="shared" ref="D27:BO27" si="438">SUM(D25:D26)</f>
        <v>0</v>
      </c>
      <c r="E27" s="259">
        <f t="shared" si="438"/>
        <v>0</v>
      </c>
      <c r="F27" s="259">
        <f t="shared" si="438"/>
        <v>0</v>
      </c>
      <c r="G27" s="259">
        <f t="shared" si="438"/>
        <v>0</v>
      </c>
      <c r="H27" s="259">
        <f t="shared" si="438"/>
        <v>0</v>
      </c>
      <c r="I27" s="259">
        <f t="shared" si="438"/>
        <v>0</v>
      </c>
      <c r="J27" s="259">
        <f t="shared" si="438"/>
        <v>0</v>
      </c>
      <c r="K27" s="259">
        <f t="shared" si="438"/>
        <v>-2.4302841058999998E-2</v>
      </c>
      <c r="L27" s="259">
        <f t="shared" si="438"/>
        <v>-2.4302841058999998E-2</v>
      </c>
      <c r="M27" s="259">
        <f t="shared" si="438"/>
        <v>-2.4302841058999998E-2</v>
      </c>
      <c r="N27" s="259">
        <f t="shared" si="438"/>
        <v>-2.4302841058999998E-2</v>
      </c>
      <c r="O27" s="259">
        <f t="shared" si="438"/>
        <v>-2.4302841058999998E-2</v>
      </c>
      <c r="P27" s="259">
        <f t="shared" si="438"/>
        <v>0</v>
      </c>
      <c r="Q27" s="259">
        <f t="shared" si="438"/>
        <v>0</v>
      </c>
      <c r="R27" s="259">
        <f t="shared" si="438"/>
        <v>0</v>
      </c>
      <c r="S27" s="259">
        <f t="shared" si="438"/>
        <v>0</v>
      </c>
      <c r="T27" s="259">
        <f t="shared" si="438"/>
        <v>0</v>
      </c>
      <c r="U27" s="259">
        <f t="shared" si="438"/>
        <v>0</v>
      </c>
      <c r="V27" s="259">
        <f t="shared" si="438"/>
        <v>-1.0462373075899498</v>
      </c>
      <c r="W27" s="259">
        <f t="shared" si="438"/>
        <v>-4.7073322550099994E-2</v>
      </c>
      <c r="X27" s="259">
        <f t="shared" si="438"/>
        <v>-4.7073322550099994E-2</v>
      </c>
      <c r="Y27" s="259">
        <f t="shared" si="438"/>
        <v>-4.7073322550099994E-2</v>
      </c>
      <c r="Z27" s="259">
        <f t="shared" si="438"/>
        <v>-4.7073322550099994E-2</v>
      </c>
      <c r="AA27" s="259">
        <f t="shared" si="438"/>
        <v>-4.7073322550099994E-2</v>
      </c>
      <c r="AB27" s="259">
        <f t="shared" si="438"/>
        <v>0</v>
      </c>
      <c r="AC27" s="259">
        <f t="shared" si="438"/>
        <v>0</v>
      </c>
      <c r="AD27" s="259">
        <f t="shared" si="438"/>
        <v>0</v>
      </c>
      <c r="AE27" s="259">
        <f t="shared" si="438"/>
        <v>0</v>
      </c>
      <c r="AF27" s="259">
        <f t="shared" si="438"/>
        <v>-1.9622503588799998E-2</v>
      </c>
      <c r="AG27" s="259">
        <f t="shared" si="438"/>
        <v>-1.9622503588799998E-2</v>
      </c>
      <c r="AH27" s="259">
        <f t="shared" si="438"/>
        <v>-2.0461290393706051</v>
      </c>
      <c r="AI27" s="259">
        <f t="shared" si="438"/>
        <v>-1.9622503588799998E-2</v>
      </c>
      <c r="AJ27" s="259">
        <f t="shared" si="438"/>
        <v>-1.9622503588799998E-2</v>
      </c>
      <c r="AK27" s="259">
        <f t="shared" si="438"/>
        <v>0</v>
      </c>
      <c r="AL27" s="259">
        <f t="shared" si="438"/>
        <v>0</v>
      </c>
      <c r="AM27" s="259">
        <f t="shared" si="438"/>
        <v>0</v>
      </c>
      <c r="AN27" s="259">
        <f t="shared" si="438"/>
        <v>0</v>
      </c>
      <c r="AO27" s="259">
        <f t="shared" si="438"/>
        <v>-4.2096418107099999E-2</v>
      </c>
      <c r="AP27" s="259">
        <f t="shared" si="438"/>
        <v>-4.2096418107099999E-2</v>
      </c>
      <c r="AQ27" s="259">
        <f t="shared" si="438"/>
        <v>-0.88684519760494007</v>
      </c>
      <c r="AR27" s="259">
        <f t="shared" si="438"/>
        <v>-4.2096418107099999E-2</v>
      </c>
      <c r="AS27" s="259">
        <f t="shared" si="438"/>
        <v>-4.2096418107099999E-2</v>
      </c>
      <c r="AT27" s="259">
        <f t="shared" si="438"/>
        <v>0</v>
      </c>
      <c r="AU27" s="259">
        <f t="shared" si="438"/>
        <v>0</v>
      </c>
      <c r="AV27" s="259">
        <f t="shared" si="438"/>
        <v>0</v>
      </c>
      <c r="AW27" s="259">
        <f t="shared" si="438"/>
        <v>0</v>
      </c>
      <c r="AX27" s="259">
        <f t="shared" si="438"/>
        <v>0</v>
      </c>
      <c r="AY27" s="259">
        <f t="shared" si="438"/>
        <v>0</v>
      </c>
      <c r="AZ27" s="259">
        <f t="shared" si="438"/>
        <v>-1.8122507995106552</v>
      </c>
      <c r="BA27" s="259">
        <f t="shared" si="438"/>
        <v>-8.7708024565000004E-3</v>
      </c>
      <c r="BB27" s="259">
        <f t="shared" si="438"/>
        <v>-8.7708024565000004E-3</v>
      </c>
      <c r="BC27" s="259">
        <f t="shared" si="438"/>
        <v>-8.7708024565000004E-3</v>
      </c>
      <c r="BD27" s="259">
        <f t="shared" si="438"/>
        <v>-8.7708024565000004E-3</v>
      </c>
      <c r="BE27" s="259">
        <f t="shared" si="438"/>
        <v>-8.7708024565000004E-3</v>
      </c>
      <c r="BF27" s="259">
        <f t="shared" si="438"/>
        <v>0</v>
      </c>
      <c r="BG27" s="259">
        <f t="shared" si="438"/>
        <v>0</v>
      </c>
      <c r="BH27" s="259">
        <f t="shared" si="438"/>
        <v>0</v>
      </c>
      <c r="BI27" s="259">
        <f t="shared" si="438"/>
        <v>-0.37758304575232499</v>
      </c>
      <c r="BJ27" s="259">
        <f t="shared" si="438"/>
        <v>0</v>
      </c>
      <c r="BK27" s="259">
        <f t="shared" si="438"/>
        <v>0</v>
      </c>
      <c r="BL27" s="259">
        <f t="shared" si="438"/>
        <v>0</v>
      </c>
      <c r="BM27" s="259">
        <f t="shared" si="438"/>
        <v>0</v>
      </c>
      <c r="BN27" s="259">
        <f t="shared" si="438"/>
        <v>0</v>
      </c>
      <c r="BO27" s="259">
        <f t="shared" si="438"/>
        <v>0</v>
      </c>
      <c r="BP27" s="259">
        <f t="shared" ref="BP27:EA27" si="439">SUM(BP25:BP26)</f>
        <v>0</v>
      </c>
      <c r="BQ27" s="259">
        <f t="shared" si="439"/>
        <v>0</v>
      </c>
      <c r="BR27" s="259">
        <f t="shared" si="439"/>
        <v>0</v>
      </c>
      <c r="BS27" s="259">
        <f t="shared" si="439"/>
        <v>0</v>
      </c>
      <c r="BT27" s="259">
        <f t="shared" si="439"/>
        <v>0</v>
      </c>
      <c r="BU27" s="259">
        <f t="shared" si="439"/>
        <v>0</v>
      </c>
      <c r="BV27" s="259">
        <f t="shared" si="439"/>
        <v>0</v>
      </c>
      <c r="BW27" s="259">
        <f t="shared" si="439"/>
        <v>0</v>
      </c>
      <c r="BX27" s="259">
        <f t="shared" si="439"/>
        <v>0</v>
      </c>
      <c r="BY27" s="259">
        <f t="shared" si="439"/>
        <v>0</v>
      </c>
      <c r="BZ27" s="259">
        <f t="shared" si="439"/>
        <v>0</v>
      </c>
      <c r="CA27" s="259">
        <f t="shared" si="439"/>
        <v>0</v>
      </c>
      <c r="CB27" s="259">
        <f t="shared" si="439"/>
        <v>0</v>
      </c>
      <c r="CC27" s="259">
        <f t="shared" si="439"/>
        <v>0</v>
      </c>
      <c r="CD27" s="259">
        <f t="shared" si="439"/>
        <v>0</v>
      </c>
      <c r="CE27" s="259">
        <f t="shared" si="439"/>
        <v>0</v>
      </c>
      <c r="CF27" s="259">
        <f t="shared" si="439"/>
        <v>0</v>
      </c>
      <c r="CG27" s="259">
        <f t="shared" si="439"/>
        <v>0</v>
      </c>
      <c r="CH27" s="259">
        <f t="shared" si="439"/>
        <v>0</v>
      </c>
      <c r="CI27" s="259">
        <f t="shared" si="439"/>
        <v>0</v>
      </c>
      <c r="CJ27" s="259">
        <f t="shared" si="439"/>
        <v>0</v>
      </c>
      <c r="CK27" s="259">
        <f t="shared" si="439"/>
        <v>0</v>
      </c>
      <c r="CL27" s="259">
        <f t="shared" si="439"/>
        <v>0</v>
      </c>
      <c r="CM27" s="259">
        <f t="shared" si="439"/>
        <v>0</v>
      </c>
      <c r="CN27" s="259">
        <f t="shared" si="439"/>
        <v>0</v>
      </c>
      <c r="CO27" s="259">
        <f t="shared" si="439"/>
        <v>0</v>
      </c>
      <c r="CP27" s="259">
        <f t="shared" si="439"/>
        <v>0</v>
      </c>
      <c r="CQ27" s="259">
        <f t="shared" si="439"/>
        <v>0</v>
      </c>
      <c r="CR27" s="259">
        <f t="shared" si="439"/>
        <v>0</v>
      </c>
      <c r="CS27" s="259">
        <f t="shared" si="439"/>
        <v>0</v>
      </c>
      <c r="CT27" s="259">
        <f t="shared" si="439"/>
        <v>0</v>
      </c>
      <c r="CU27" s="259">
        <f t="shared" si="439"/>
        <v>0</v>
      </c>
      <c r="CV27" s="259">
        <f t="shared" si="439"/>
        <v>0</v>
      </c>
      <c r="CW27" s="259">
        <f t="shared" si="439"/>
        <v>0</v>
      </c>
      <c r="CX27" s="259">
        <f t="shared" si="439"/>
        <v>0</v>
      </c>
      <c r="CY27" s="259">
        <f t="shared" si="439"/>
        <v>0</v>
      </c>
      <c r="CZ27" s="259">
        <f t="shared" si="439"/>
        <v>0</v>
      </c>
      <c r="DA27" s="259">
        <f t="shared" si="439"/>
        <v>0</v>
      </c>
      <c r="DB27" s="259">
        <f t="shared" si="439"/>
        <v>0</v>
      </c>
      <c r="DC27" s="259">
        <f t="shared" si="439"/>
        <v>0</v>
      </c>
      <c r="DD27" s="259">
        <f t="shared" si="439"/>
        <v>0</v>
      </c>
      <c r="DE27" s="259">
        <f t="shared" si="439"/>
        <v>0</v>
      </c>
      <c r="DF27" s="259">
        <f t="shared" si="439"/>
        <v>0</v>
      </c>
      <c r="DG27" s="259">
        <f t="shared" si="439"/>
        <v>0</v>
      </c>
      <c r="DH27" s="259">
        <f t="shared" si="439"/>
        <v>0</v>
      </c>
      <c r="DI27" s="259">
        <f t="shared" si="439"/>
        <v>0</v>
      </c>
      <c r="DJ27" s="259">
        <f t="shared" si="439"/>
        <v>0</v>
      </c>
      <c r="DK27" s="259">
        <f t="shared" si="439"/>
        <v>0</v>
      </c>
      <c r="DL27" s="259">
        <f t="shared" si="439"/>
        <v>0</v>
      </c>
      <c r="DM27" s="259">
        <f t="shared" si="439"/>
        <v>0</v>
      </c>
      <c r="DN27" s="259">
        <f t="shared" si="439"/>
        <v>0</v>
      </c>
      <c r="DO27" s="259">
        <f t="shared" si="439"/>
        <v>0</v>
      </c>
      <c r="DP27" s="259">
        <f t="shared" si="439"/>
        <v>0</v>
      </c>
      <c r="DQ27" s="259">
        <f t="shared" si="439"/>
        <v>0</v>
      </c>
      <c r="DR27" s="259">
        <f t="shared" si="439"/>
        <v>0</v>
      </c>
      <c r="DS27" s="259">
        <f t="shared" si="439"/>
        <v>0</v>
      </c>
      <c r="DT27" s="259">
        <f t="shared" si="439"/>
        <v>0</v>
      </c>
      <c r="DU27" s="259">
        <f t="shared" si="439"/>
        <v>0</v>
      </c>
      <c r="DV27" s="259">
        <f t="shared" si="439"/>
        <v>0</v>
      </c>
      <c r="DW27" s="259">
        <f t="shared" si="439"/>
        <v>0</v>
      </c>
      <c r="DX27" s="259">
        <f t="shared" si="439"/>
        <v>0</v>
      </c>
      <c r="DY27" s="259">
        <f t="shared" si="439"/>
        <v>0</v>
      </c>
      <c r="DZ27" s="259">
        <f t="shared" si="439"/>
        <v>0</v>
      </c>
      <c r="EA27" s="259">
        <f t="shared" si="439"/>
        <v>0</v>
      </c>
      <c r="EB27" s="259">
        <f t="shared" ref="EB27:KC27" si="440">SUM(EB25:EB26)</f>
        <v>0</v>
      </c>
      <c r="EC27" s="259">
        <f t="shared" si="440"/>
        <v>0</v>
      </c>
      <c r="ED27" s="259">
        <f t="shared" si="440"/>
        <v>0</v>
      </c>
      <c r="EE27" s="259">
        <f t="shared" si="440"/>
        <v>0</v>
      </c>
      <c r="EF27" s="259">
        <f t="shared" si="440"/>
        <v>0</v>
      </c>
      <c r="EG27" s="259">
        <f t="shared" si="440"/>
        <v>0</v>
      </c>
      <c r="EH27" s="259">
        <f t="shared" si="440"/>
        <v>0</v>
      </c>
      <c r="EI27" s="259">
        <f t="shared" si="440"/>
        <v>0</v>
      </c>
      <c r="EJ27" s="259">
        <f t="shared" si="440"/>
        <v>0</v>
      </c>
      <c r="EK27" s="259">
        <f t="shared" si="440"/>
        <v>0</v>
      </c>
      <c r="EL27" s="259">
        <f t="shared" si="440"/>
        <v>0</v>
      </c>
      <c r="EM27" s="259">
        <f t="shared" si="440"/>
        <v>0</v>
      </c>
      <c r="EN27" s="259">
        <f t="shared" si="440"/>
        <v>0</v>
      </c>
      <c r="EO27" s="259">
        <f t="shared" si="440"/>
        <v>0</v>
      </c>
      <c r="EP27" s="259">
        <f t="shared" si="440"/>
        <v>0</v>
      </c>
      <c r="EQ27" s="259">
        <f t="shared" si="440"/>
        <v>0</v>
      </c>
      <c r="ER27" s="259">
        <f t="shared" si="440"/>
        <v>0</v>
      </c>
      <c r="ES27" s="259">
        <f t="shared" si="440"/>
        <v>0</v>
      </c>
      <c r="ET27" s="259">
        <f t="shared" si="440"/>
        <v>0</v>
      </c>
      <c r="EU27" s="259">
        <f t="shared" si="440"/>
        <v>0</v>
      </c>
      <c r="EV27" s="259">
        <f t="shared" si="440"/>
        <v>0</v>
      </c>
      <c r="EW27" s="259">
        <f t="shared" si="440"/>
        <v>0</v>
      </c>
      <c r="EX27" s="259">
        <f t="shared" si="440"/>
        <v>0</v>
      </c>
      <c r="EY27" s="259">
        <f t="shared" si="440"/>
        <v>0</v>
      </c>
      <c r="EZ27" s="259">
        <f t="shared" si="440"/>
        <v>0</v>
      </c>
      <c r="FA27" s="259">
        <f t="shared" si="440"/>
        <v>0</v>
      </c>
      <c r="FB27" s="259">
        <f t="shared" si="440"/>
        <v>0</v>
      </c>
      <c r="FC27" s="259">
        <f t="shared" si="440"/>
        <v>0</v>
      </c>
      <c r="FD27" s="259">
        <f t="shared" si="440"/>
        <v>0</v>
      </c>
      <c r="FE27" s="259">
        <f t="shared" si="440"/>
        <v>0</v>
      </c>
      <c r="FF27" s="259">
        <f t="shared" si="440"/>
        <v>0</v>
      </c>
      <c r="FG27" s="259">
        <f t="shared" si="440"/>
        <v>0</v>
      </c>
      <c r="FH27" s="259">
        <f t="shared" si="440"/>
        <v>0</v>
      </c>
      <c r="FI27" s="259">
        <f t="shared" si="440"/>
        <v>0</v>
      </c>
      <c r="FJ27" s="259">
        <f t="shared" si="440"/>
        <v>0</v>
      </c>
      <c r="FK27" s="259">
        <f t="shared" si="440"/>
        <v>0</v>
      </c>
      <c r="FL27" s="259">
        <f t="shared" si="440"/>
        <v>0</v>
      </c>
      <c r="FM27" s="259">
        <f t="shared" si="440"/>
        <v>0</v>
      </c>
      <c r="FN27" s="259">
        <f t="shared" si="440"/>
        <v>0</v>
      </c>
      <c r="FO27" s="259">
        <f t="shared" si="440"/>
        <v>0</v>
      </c>
      <c r="FP27" s="259">
        <f t="shared" si="440"/>
        <v>0</v>
      </c>
      <c r="FQ27" s="259">
        <f t="shared" si="440"/>
        <v>0</v>
      </c>
      <c r="FR27" s="259">
        <f t="shared" si="440"/>
        <v>0</v>
      </c>
      <c r="FS27" s="259">
        <f t="shared" si="440"/>
        <v>0</v>
      </c>
      <c r="FT27" s="259">
        <f t="shared" si="440"/>
        <v>0</v>
      </c>
      <c r="FU27" s="259">
        <f t="shared" si="440"/>
        <v>0</v>
      </c>
      <c r="FV27" s="259">
        <f t="shared" si="440"/>
        <v>0</v>
      </c>
      <c r="FW27" s="259">
        <f t="shared" si="440"/>
        <v>0</v>
      </c>
      <c r="FX27" s="259">
        <f t="shared" ref="FX27:HS27" si="441">SUM(FX25:FX26)</f>
        <v>0</v>
      </c>
      <c r="FY27" s="259">
        <f t="shared" si="441"/>
        <v>0</v>
      </c>
      <c r="FZ27" s="259">
        <f t="shared" si="441"/>
        <v>0</v>
      </c>
      <c r="GA27" s="259">
        <f t="shared" si="441"/>
        <v>0</v>
      </c>
      <c r="GB27" s="259">
        <f t="shared" si="441"/>
        <v>0</v>
      </c>
      <c r="GC27" s="259">
        <f t="shared" si="441"/>
        <v>0</v>
      </c>
      <c r="GD27" s="259">
        <f t="shared" si="441"/>
        <v>0</v>
      </c>
      <c r="GE27" s="259">
        <f t="shared" si="441"/>
        <v>0</v>
      </c>
      <c r="GF27" s="259">
        <f t="shared" si="441"/>
        <v>0</v>
      </c>
      <c r="GG27" s="259">
        <f t="shared" si="441"/>
        <v>0</v>
      </c>
      <c r="GH27" s="259">
        <f t="shared" si="441"/>
        <v>0</v>
      </c>
      <c r="GI27" s="259">
        <f t="shared" si="441"/>
        <v>0</v>
      </c>
      <c r="GJ27" s="259">
        <f t="shared" si="441"/>
        <v>0</v>
      </c>
      <c r="GK27" s="259">
        <f t="shared" si="441"/>
        <v>0</v>
      </c>
      <c r="GL27" s="259">
        <f t="shared" si="441"/>
        <v>0</v>
      </c>
      <c r="GM27" s="259">
        <f t="shared" si="441"/>
        <v>0</v>
      </c>
      <c r="GN27" s="259">
        <f t="shared" si="441"/>
        <v>0</v>
      </c>
      <c r="GO27" s="259">
        <f t="shared" si="441"/>
        <v>0</v>
      </c>
      <c r="GP27" s="259">
        <f t="shared" si="441"/>
        <v>0</v>
      </c>
      <c r="GQ27" s="259">
        <f t="shared" si="441"/>
        <v>0</v>
      </c>
      <c r="GR27" s="259">
        <f t="shared" si="441"/>
        <v>0</v>
      </c>
      <c r="GS27" s="259">
        <f t="shared" si="441"/>
        <v>0</v>
      </c>
      <c r="GT27" s="259">
        <f t="shared" si="441"/>
        <v>0</v>
      </c>
      <c r="GU27" s="259">
        <f t="shared" si="441"/>
        <v>0</v>
      </c>
      <c r="GV27" s="259">
        <f t="shared" si="441"/>
        <v>0</v>
      </c>
      <c r="GW27" s="259">
        <f t="shared" si="441"/>
        <v>0</v>
      </c>
      <c r="GX27" s="259">
        <f t="shared" si="441"/>
        <v>0</v>
      </c>
      <c r="GY27" s="259">
        <f t="shared" si="441"/>
        <v>0</v>
      </c>
      <c r="GZ27" s="259">
        <f t="shared" si="441"/>
        <v>0</v>
      </c>
      <c r="HA27" s="259">
        <f t="shared" si="441"/>
        <v>0</v>
      </c>
      <c r="HB27" s="259">
        <f t="shared" si="441"/>
        <v>0</v>
      </c>
      <c r="HC27" s="259">
        <f t="shared" si="441"/>
        <v>0</v>
      </c>
      <c r="HD27" s="259">
        <f t="shared" si="441"/>
        <v>0</v>
      </c>
      <c r="HE27" s="259">
        <f t="shared" si="441"/>
        <v>0</v>
      </c>
      <c r="HF27" s="259">
        <f t="shared" si="441"/>
        <v>0</v>
      </c>
      <c r="HG27" s="259">
        <f t="shared" si="441"/>
        <v>0</v>
      </c>
      <c r="HH27" s="259">
        <f t="shared" si="441"/>
        <v>0</v>
      </c>
      <c r="HI27" s="259">
        <f t="shared" si="441"/>
        <v>0</v>
      </c>
      <c r="HJ27" s="259">
        <f t="shared" si="441"/>
        <v>0</v>
      </c>
      <c r="HK27" s="259">
        <f t="shared" si="441"/>
        <v>0</v>
      </c>
      <c r="HL27" s="259">
        <f t="shared" si="441"/>
        <v>0</v>
      </c>
      <c r="HM27" s="259">
        <f t="shared" si="441"/>
        <v>0</v>
      </c>
      <c r="HN27" s="259">
        <f t="shared" si="441"/>
        <v>0</v>
      </c>
      <c r="HO27" s="259">
        <f t="shared" si="441"/>
        <v>0</v>
      </c>
      <c r="HP27" s="259">
        <f t="shared" si="441"/>
        <v>0</v>
      </c>
      <c r="HQ27" s="259">
        <f t="shared" si="441"/>
        <v>0</v>
      </c>
      <c r="HR27" s="259">
        <f t="shared" si="441"/>
        <v>0</v>
      </c>
      <c r="HS27" s="259">
        <f t="shared" si="441"/>
        <v>0</v>
      </c>
      <c r="HT27" s="259">
        <f t="shared" ref="HT27:KB27" si="442">SUM(HT25:HT26)</f>
        <v>0</v>
      </c>
      <c r="HU27" s="259">
        <f t="shared" si="442"/>
        <v>0</v>
      </c>
      <c r="HV27" s="259">
        <f t="shared" si="442"/>
        <v>0</v>
      </c>
      <c r="HW27" s="259">
        <f t="shared" si="442"/>
        <v>0</v>
      </c>
      <c r="HX27" s="259">
        <f t="shared" si="442"/>
        <v>0</v>
      </c>
      <c r="HY27" s="259">
        <f t="shared" si="442"/>
        <v>0</v>
      </c>
      <c r="HZ27" s="259">
        <f t="shared" si="442"/>
        <v>0</v>
      </c>
      <c r="IA27" s="259">
        <f t="shared" si="442"/>
        <v>0</v>
      </c>
      <c r="IB27" s="259">
        <f t="shared" si="442"/>
        <v>0</v>
      </c>
      <c r="IC27" s="259">
        <f t="shared" si="442"/>
        <v>0</v>
      </c>
      <c r="ID27" s="259">
        <f t="shared" si="442"/>
        <v>0</v>
      </c>
      <c r="IE27" s="259">
        <f t="shared" si="442"/>
        <v>0</v>
      </c>
      <c r="IF27" s="259">
        <f t="shared" si="442"/>
        <v>0</v>
      </c>
      <c r="IG27" s="259">
        <f t="shared" si="442"/>
        <v>0</v>
      </c>
      <c r="IH27" s="259">
        <f t="shared" si="442"/>
        <v>0</v>
      </c>
      <c r="II27" s="259">
        <f t="shared" si="442"/>
        <v>0</v>
      </c>
      <c r="IJ27" s="259">
        <f t="shared" si="442"/>
        <v>0</v>
      </c>
      <c r="IK27" s="259">
        <f t="shared" si="442"/>
        <v>0</v>
      </c>
      <c r="IL27" s="259">
        <f t="shared" si="442"/>
        <v>0</v>
      </c>
      <c r="IM27" s="259">
        <f t="shared" si="442"/>
        <v>0</v>
      </c>
      <c r="IN27" s="259">
        <f t="shared" si="442"/>
        <v>0</v>
      </c>
      <c r="IO27" s="259">
        <f t="shared" si="442"/>
        <v>0</v>
      </c>
      <c r="IP27" s="259">
        <f t="shared" si="442"/>
        <v>0</v>
      </c>
      <c r="IQ27" s="259">
        <f t="shared" si="442"/>
        <v>0</v>
      </c>
      <c r="IR27" s="259">
        <f t="shared" si="442"/>
        <v>0</v>
      </c>
      <c r="IS27" s="259">
        <f t="shared" si="442"/>
        <v>0</v>
      </c>
      <c r="IT27" s="259">
        <f t="shared" si="442"/>
        <v>0</v>
      </c>
      <c r="IU27" s="259">
        <f t="shared" si="442"/>
        <v>0</v>
      </c>
      <c r="IV27" s="259">
        <f t="shared" si="442"/>
        <v>0</v>
      </c>
      <c r="IW27" s="259">
        <f t="shared" si="442"/>
        <v>0</v>
      </c>
      <c r="IX27" s="259">
        <f t="shared" si="442"/>
        <v>0</v>
      </c>
      <c r="IY27" s="259">
        <f t="shared" si="442"/>
        <v>0</v>
      </c>
      <c r="IZ27" s="259">
        <f t="shared" si="442"/>
        <v>0</v>
      </c>
      <c r="JA27" s="259">
        <f t="shared" si="442"/>
        <v>0</v>
      </c>
      <c r="JB27" s="259">
        <f t="shared" si="442"/>
        <v>0</v>
      </c>
      <c r="JC27" s="259">
        <f t="shared" si="442"/>
        <v>0</v>
      </c>
      <c r="JD27" s="259">
        <f t="shared" si="442"/>
        <v>0</v>
      </c>
      <c r="JE27" s="259">
        <f t="shared" si="442"/>
        <v>0</v>
      </c>
      <c r="JF27" s="259">
        <f t="shared" si="442"/>
        <v>0</v>
      </c>
      <c r="JG27" s="259">
        <f t="shared" si="442"/>
        <v>0</v>
      </c>
      <c r="JH27" s="259">
        <f t="shared" si="442"/>
        <v>0</v>
      </c>
      <c r="JI27" s="259">
        <f t="shared" si="442"/>
        <v>0</v>
      </c>
      <c r="JJ27" s="259">
        <f t="shared" si="442"/>
        <v>0</v>
      </c>
      <c r="JK27" s="259">
        <f t="shared" si="442"/>
        <v>0</v>
      </c>
      <c r="JL27" s="259">
        <f t="shared" si="442"/>
        <v>0</v>
      </c>
      <c r="JM27" s="259">
        <f t="shared" si="442"/>
        <v>0</v>
      </c>
      <c r="JN27" s="259">
        <f t="shared" si="442"/>
        <v>0</v>
      </c>
      <c r="JO27" s="259">
        <f t="shared" si="442"/>
        <v>0</v>
      </c>
      <c r="JP27" s="259">
        <f t="shared" si="442"/>
        <v>0</v>
      </c>
      <c r="JQ27" s="259">
        <f t="shared" si="442"/>
        <v>0</v>
      </c>
      <c r="JR27" s="259">
        <f t="shared" si="442"/>
        <v>0</v>
      </c>
      <c r="JS27" s="259">
        <f t="shared" si="442"/>
        <v>0</v>
      </c>
      <c r="JT27" s="259">
        <f t="shared" si="442"/>
        <v>0</v>
      </c>
      <c r="JU27" s="259">
        <f t="shared" si="442"/>
        <v>0</v>
      </c>
      <c r="JV27" s="259">
        <f t="shared" si="442"/>
        <v>0</v>
      </c>
      <c r="JW27" s="259">
        <f t="shared" si="442"/>
        <v>0</v>
      </c>
      <c r="JX27" s="259">
        <f t="shared" si="442"/>
        <v>0</v>
      </c>
      <c r="JY27" s="259">
        <f t="shared" si="442"/>
        <v>0</v>
      </c>
      <c r="JZ27" s="259">
        <f t="shared" si="442"/>
        <v>0</v>
      </c>
      <c r="KA27" s="259">
        <f t="shared" si="442"/>
        <v>0</v>
      </c>
      <c r="KB27" s="259">
        <f t="shared" si="442"/>
        <v>0</v>
      </c>
      <c r="KC27" s="259">
        <f t="shared" si="440"/>
        <v>-6.8166559069400749</v>
      </c>
    </row>
    <row r="28" spans="1:289" x14ac:dyDescent="0.3">
      <c r="B28" s="257"/>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c r="CY28" s="258"/>
      <c r="CZ28" s="258"/>
      <c r="DA28" s="258"/>
      <c r="DB28" s="258"/>
      <c r="DC28" s="258"/>
      <c r="DD28" s="258"/>
      <c r="DE28" s="258"/>
      <c r="DF28" s="258"/>
      <c r="DG28" s="258"/>
      <c r="DH28" s="258"/>
      <c r="DI28" s="258"/>
      <c r="DJ28" s="258"/>
      <c r="DK28" s="258"/>
      <c r="DL28" s="258"/>
      <c r="DM28" s="258"/>
      <c r="DN28" s="258"/>
      <c r="DO28" s="258"/>
      <c r="DP28" s="258"/>
      <c r="DQ28" s="258"/>
      <c r="DR28" s="258"/>
      <c r="DS28" s="258"/>
      <c r="DT28" s="258"/>
      <c r="DU28" s="258"/>
      <c r="DV28" s="258"/>
      <c r="DW28" s="258"/>
      <c r="DX28" s="258"/>
      <c r="DY28" s="258"/>
      <c r="DZ28" s="258"/>
      <c r="EA28" s="258"/>
      <c r="EB28" s="258"/>
      <c r="EC28" s="258"/>
      <c r="ED28" s="258"/>
      <c r="EE28" s="258"/>
      <c r="EF28" s="258"/>
      <c r="EG28" s="258"/>
      <c r="EH28" s="258"/>
      <c r="EI28" s="258"/>
      <c r="EJ28" s="258"/>
      <c r="EK28" s="258"/>
      <c r="EL28" s="258"/>
      <c r="EM28" s="258"/>
      <c r="EN28" s="258"/>
      <c r="EO28" s="258"/>
      <c r="EP28" s="258"/>
      <c r="EQ28" s="258"/>
      <c r="ER28" s="258"/>
      <c r="ES28" s="258"/>
      <c r="ET28" s="258"/>
      <c r="EU28" s="258"/>
      <c r="EV28" s="258"/>
      <c r="EW28" s="258"/>
      <c r="EX28" s="258"/>
      <c r="EY28" s="258"/>
      <c r="EZ28" s="258"/>
      <c r="FA28" s="258"/>
      <c r="FB28" s="258"/>
      <c r="FC28" s="258"/>
      <c r="FD28" s="258"/>
      <c r="FE28" s="258"/>
      <c r="FF28" s="258"/>
      <c r="FG28" s="258"/>
      <c r="FH28" s="258"/>
      <c r="FI28" s="258"/>
      <c r="FJ28" s="258"/>
      <c r="FK28" s="258"/>
      <c r="FL28" s="258"/>
      <c r="FM28" s="258"/>
      <c r="FN28" s="258"/>
      <c r="FO28" s="258"/>
      <c r="FP28" s="258"/>
      <c r="FQ28" s="258"/>
      <c r="FR28" s="258"/>
      <c r="FS28" s="258"/>
      <c r="FT28" s="258"/>
      <c r="FU28" s="258"/>
      <c r="FV28" s="258"/>
      <c r="FW28" s="258"/>
      <c r="FX28" s="258"/>
      <c r="FY28" s="258"/>
      <c r="FZ28" s="258"/>
      <c r="GA28" s="258"/>
      <c r="GB28" s="258"/>
      <c r="GC28" s="258"/>
      <c r="GD28" s="258"/>
      <c r="GE28" s="258"/>
      <c r="GF28" s="258"/>
      <c r="GG28" s="258"/>
      <c r="GH28" s="258"/>
      <c r="GI28" s="258"/>
      <c r="GJ28" s="258"/>
      <c r="GK28" s="258"/>
      <c r="GL28" s="258"/>
      <c r="GM28" s="258"/>
      <c r="GN28" s="258"/>
      <c r="GO28" s="258"/>
      <c r="GP28" s="258"/>
      <c r="GQ28" s="258"/>
      <c r="GR28" s="258"/>
      <c r="GS28" s="258"/>
      <c r="GT28" s="258"/>
      <c r="GU28" s="258"/>
      <c r="GV28" s="258"/>
      <c r="GW28" s="258"/>
      <c r="GX28" s="258"/>
      <c r="GY28" s="258"/>
      <c r="GZ28" s="258"/>
      <c r="HA28" s="258"/>
      <c r="HB28" s="258"/>
      <c r="HC28" s="258"/>
      <c r="HD28" s="258"/>
      <c r="HE28" s="258"/>
      <c r="HF28" s="258"/>
      <c r="HG28" s="258"/>
      <c r="HH28" s="258"/>
      <c r="HI28" s="258"/>
      <c r="HJ28" s="258"/>
      <c r="HK28" s="258"/>
      <c r="HL28" s="258"/>
      <c r="HM28" s="258"/>
      <c r="HN28" s="258"/>
      <c r="HO28" s="258"/>
      <c r="HP28" s="258"/>
      <c r="HQ28" s="258"/>
      <c r="HR28" s="258"/>
      <c r="HS28" s="258"/>
      <c r="HT28" s="258"/>
      <c r="HU28" s="258"/>
      <c r="HV28" s="258"/>
      <c r="HW28" s="258"/>
      <c r="HX28" s="258"/>
      <c r="HY28" s="258"/>
      <c r="HZ28" s="258"/>
      <c r="IA28" s="258"/>
      <c r="IB28" s="258"/>
      <c r="IC28" s="258"/>
      <c r="ID28" s="258"/>
      <c r="IE28" s="258"/>
      <c r="IF28" s="258"/>
      <c r="IG28" s="258"/>
      <c r="IH28" s="258"/>
      <c r="II28" s="258"/>
      <c r="IJ28" s="258"/>
      <c r="IK28" s="258"/>
      <c r="IL28" s="258"/>
      <c r="IM28" s="258"/>
      <c r="IN28" s="258"/>
      <c r="IO28" s="258"/>
      <c r="IP28" s="258"/>
      <c r="IQ28" s="258"/>
      <c r="IR28" s="258"/>
      <c r="IS28" s="258"/>
      <c r="IT28" s="258"/>
      <c r="IU28" s="258"/>
      <c r="IV28" s="258"/>
      <c r="IW28" s="258"/>
      <c r="IX28" s="258"/>
      <c r="IY28" s="258"/>
      <c r="IZ28" s="258"/>
      <c r="JA28" s="258"/>
      <c r="JB28" s="258"/>
      <c r="JC28" s="258"/>
      <c r="JD28" s="258"/>
      <c r="JE28" s="258"/>
      <c r="JF28" s="258"/>
      <c r="JG28" s="258"/>
      <c r="JH28" s="258"/>
      <c r="JI28" s="258"/>
      <c r="JJ28" s="258"/>
      <c r="JK28" s="258"/>
      <c r="JL28" s="258"/>
      <c r="JM28" s="258"/>
      <c r="JN28" s="258"/>
      <c r="JO28" s="258"/>
      <c r="JP28" s="258"/>
      <c r="JQ28" s="258"/>
      <c r="JR28" s="258"/>
      <c r="JS28" s="258"/>
      <c r="JT28" s="258"/>
      <c r="JU28" s="258"/>
      <c r="JV28" s="258"/>
      <c r="JW28" s="258"/>
      <c r="JX28" s="258"/>
      <c r="JY28" s="258"/>
      <c r="JZ28" s="258"/>
      <c r="KA28" s="258"/>
      <c r="KB28" s="258"/>
      <c r="KC28" s="259">
        <f>SUM(KC16:KC23,KC25:KC26)</f>
        <v>-471.15167654137809</v>
      </c>
    </row>
    <row r="29" spans="1:289" x14ac:dyDescent="0.3">
      <c r="A29" s="262" t="s">
        <v>37</v>
      </c>
      <c r="B29" s="257"/>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258"/>
      <c r="CO29" s="258"/>
      <c r="CP29" s="258"/>
      <c r="CQ29" s="258"/>
      <c r="CR29" s="258"/>
      <c r="CS29" s="258"/>
      <c r="CT29" s="258"/>
      <c r="CU29" s="258"/>
      <c r="CV29" s="258"/>
      <c r="CW29" s="258"/>
      <c r="CX29" s="258"/>
      <c r="CY29" s="258"/>
      <c r="CZ29" s="258"/>
      <c r="DA29" s="258"/>
      <c r="DB29" s="258"/>
      <c r="DC29" s="258"/>
      <c r="DD29" s="258"/>
      <c r="DE29" s="258"/>
      <c r="DF29" s="258"/>
      <c r="DG29" s="258"/>
      <c r="DH29" s="258"/>
      <c r="DI29" s="258"/>
      <c r="DJ29" s="258"/>
      <c r="DK29" s="258"/>
      <c r="DL29" s="258"/>
      <c r="DM29" s="258"/>
      <c r="DN29" s="258"/>
      <c r="DO29" s="258"/>
      <c r="DP29" s="258"/>
      <c r="DQ29" s="258"/>
      <c r="DR29" s="258"/>
      <c r="DS29" s="258"/>
      <c r="DT29" s="258"/>
      <c r="DU29" s="258"/>
      <c r="DV29" s="258"/>
      <c r="DW29" s="258"/>
      <c r="DX29" s="258"/>
      <c r="DY29" s="258"/>
      <c r="DZ29" s="258"/>
      <c r="EA29" s="258"/>
      <c r="EB29" s="258"/>
      <c r="EC29" s="258"/>
      <c r="ED29" s="258"/>
      <c r="EE29" s="258"/>
      <c r="EF29" s="258"/>
      <c r="EG29" s="258"/>
      <c r="EH29" s="258"/>
      <c r="EI29" s="258"/>
      <c r="EJ29" s="258"/>
      <c r="EK29" s="258"/>
      <c r="EL29" s="258"/>
      <c r="EM29" s="258"/>
      <c r="EN29" s="258"/>
      <c r="EO29" s="258"/>
      <c r="EP29" s="258"/>
      <c r="EQ29" s="258"/>
      <c r="ER29" s="258"/>
      <c r="ES29" s="258"/>
      <c r="ET29" s="258"/>
      <c r="EU29" s="258"/>
      <c r="EV29" s="258"/>
      <c r="EW29" s="258"/>
      <c r="EX29" s="258"/>
      <c r="EY29" s="258"/>
      <c r="EZ29" s="258"/>
      <c r="FA29" s="258"/>
      <c r="FB29" s="258"/>
      <c r="FC29" s="258"/>
      <c r="FD29" s="258"/>
      <c r="FE29" s="258"/>
      <c r="FF29" s="258"/>
      <c r="FG29" s="258"/>
      <c r="FH29" s="258"/>
      <c r="FI29" s="258"/>
      <c r="FJ29" s="258"/>
      <c r="FK29" s="258"/>
      <c r="FL29" s="258"/>
      <c r="FM29" s="258"/>
      <c r="FN29" s="258"/>
      <c r="FO29" s="258"/>
      <c r="FP29" s="258"/>
      <c r="FQ29" s="258"/>
      <c r="FR29" s="258"/>
      <c r="FS29" s="258"/>
      <c r="FT29" s="258"/>
      <c r="FU29" s="258"/>
      <c r="FV29" s="258"/>
      <c r="FW29" s="258"/>
      <c r="FX29" s="258"/>
      <c r="FY29" s="258"/>
      <c r="FZ29" s="258"/>
      <c r="GA29" s="258"/>
      <c r="GB29" s="258"/>
      <c r="GC29" s="258"/>
      <c r="GD29" s="258"/>
      <c r="GE29" s="258"/>
      <c r="GF29" s="258"/>
      <c r="GG29" s="258"/>
      <c r="GH29" s="258"/>
      <c r="GI29" s="258"/>
      <c r="GJ29" s="258"/>
      <c r="GK29" s="258"/>
      <c r="GL29" s="258"/>
      <c r="GM29" s="258"/>
      <c r="GN29" s="258"/>
      <c r="GO29" s="258"/>
      <c r="GP29" s="258"/>
      <c r="GQ29" s="258"/>
      <c r="GR29" s="258"/>
      <c r="GS29" s="258"/>
      <c r="GT29" s="258"/>
      <c r="GU29" s="258"/>
      <c r="GV29" s="258"/>
      <c r="GW29" s="258"/>
      <c r="GX29" s="258"/>
      <c r="GY29" s="258"/>
      <c r="GZ29" s="258"/>
      <c r="HA29" s="258"/>
      <c r="HB29" s="258"/>
      <c r="HC29" s="258"/>
      <c r="HD29" s="258"/>
      <c r="HE29" s="258"/>
      <c r="HF29" s="258"/>
      <c r="HG29" s="258"/>
      <c r="HH29" s="258"/>
      <c r="HI29" s="258"/>
      <c r="HJ29" s="258"/>
      <c r="HK29" s="258"/>
      <c r="HL29" s="258"/>
      <c r="HM29" s="258"/>
      <c r="HN29" s="258"/>
      <c r="HO29" s="258"/>
      <c r="HP29" s="258"/>
      <c r="HQ29" s="258"/>
      <c r="HR29" s="258"/>
      <c r="HS29" s="258"/>
      <c r="HT29" s="258"/>
      <c r="HU29" s="258"/>
      <c r="HV29" s="258"/>
      <c r="HW29" s="258"/>
      <c r="HX29" s="258"/>
      <c r="HY29" s="258"/>
      <c r="HZ29" s="258"/>
      <c r="IA29" s="258"/>
      <c r="IB29" s="258"/>
      <c r="IC29" s="258"/>
      <c r="ID29" s="258"/>
      <c r="IE29" s="258"/>
      <c r="IF29" s="258"/>
      <c r="IG29" s="258"/>
      <c r="IH29" s="258"/>
      <c r="II29" s="258"/>
      <c r="IJ29" s="258"/>
      <c r="IK29" s="258"/>
      <c r="IL29" s="258"/>
      <c r="IM29" s="258"/>
      <c r="IN29" s="258"/>
      <c r="IO29" s="258"/>
      <c r="IP29" s="258"/>
      <c r="IQ29" s="258"/>
      <c r="IR29" s="258"/>
      <c r="IS29" s="258"/>
      <c r="IT29" s="258"/>
      <c r="IU29" s="258"/>
      <c r="IV29" s="258"/>
      <c r="IW29" s="258"/>
      <c r="IX29" s="258"/>
      <c r="IY29" s="258"/>
      <c r="IZ29" s="258"/>
      <c r="JA29" s="258"/>
      <c r="JB29" s="258"/>
      <c r="JC29" s="258"/>
      <c r="JD29" s="258"/>
      <c r="JE29" s="258"/>
      <c r="JF29" s="258"/>
      <c r="JG29" s="258"/>
      <c r="JH29" s="258"/>
      <c r="JI29" s="258"/>
      <c r="JJ29" s="258"/>
      <c r="JK29" s="258"/>
      <c r="JL29" s="258"/>
      <c r="JM29" s="258"/>
      <c r="JN29" s="258"/>
      <c r="JO29" s="258"/>
      <c r="JP29" s="258"/>
      <c r="JQ29" s="258"/>
      <c r="JR29" s="258"/>
      <c r="JS29" s="258"/>
      <c r="JT29" s="258"/>
      <c r="JU29" s="258"/>
      <c r="JV29" s="258"/>
      <c r="JW29" s="258"/>
      <c r="JX29" s="258"/>
      <c r="JY29" s="258"/>
      <c r="JZ29" s="258"/>
      <c r="KA29" s="258"/>
      <c r="KB29" s="258"/>
      <c r="KC29" s="258"/>
    </row>
    <row r="30" spans="1:289" x14ac:dyDescent="0.3">
      <c r="A30" s="1" t="s">
        <v>68</v>
      </c>
      <c r="B30" s="257">
        <f ca="1">SUM(C30:BE30)</f>
        <v>-7.1625106833256815</v>
      </c>
      <c r="C30" s="258">
        <f>IFERROR(_xlfn.XLOOKUP(C$7,'CF_Debt Schedule'!$16:$16,'CF_Debt Schedule'!34:34),0)</f>
        <v>0</v>
      </c>
      <c r="D30" s="258">
        <f>IFERROR(_xlfn.XLOOKUP(D$7,'CF_Debt Schedule'!$16:$16,'CF_Debt Schedule'!34:34),0)</f>
        <v>0</v>
      </c>
      <c r="E30" s="258">
        <f>IFERROR(_xlfn.XLOOKUP(E$7,'CF_Debt Schedule'!$16:$16,'CF_Debt Schedule'!34:34),0)</f>
        <v>0</v>
      </c>
      <c r="F30" s="258">
        <f>IFERROR(_xlfn.XLOOKUP(F$7,'CF_Debt Schedule'!$16:$16,'CF_Debt Schedule'!34:34),0)</f>
        <v>0</v>
      </c>
      <c r="G30" s="258">
        <f>IFERROR(_xlfn.XLOOKUP(G$7,'CF_Debt Schedule'!$16:$16,'CF_Debt Schedule'!34:34),0)</f>
        <v>0</v>
      </c>
      <c r="H30" s="258">
        <f>IFERROR(_xlfn.XLOOKUP(H$7,'CF_Debt Schedule'!$16:$16,'CF_Debt Schedule'!34:34),0)</f>
        <v>0</v>
      </c>
      <c r="I30" s="258">
        <f>IFERROR(_xlfn.XLOOKUP(I$7,'CF_Debt Schedule'!$16:$16,'CF_Debt Schedule'!34:34),0)</f>
        <v>0</v>
      </c>
      <c r="J30" s="258">
        <f>IFERROR(_xlfn.XLOOKUP(J$7,'CF_Debt Schedule'!$16:$16,'CF_Debt Schedule'!34:34),0)</f>
        <v>0</v>
      </c>
      <c r="K30" s="258">
        <f>IFERROR(_xlfn.XLOOKUP(K$7,'CF_Debt Schedule'!$16:$16,'CF_Debt Schedule'!34:34),0)</f>
        <v>0</v>
      </c>
      <c r="L30" s="258">
        <f>IFERROR(_xlfn.XLOOKUP(L$7,'CF_Debt Schedule'!$16:$16,'CF_Debt Schedule'!34:34),0)</f>
        <v>0</v>
      </c>
      <c r="M30" s="258">
        <f>IFERROR(_xlfn.XLOOKUP(M$7,'CF_Debt Schedule'!$16:$16,'CF_Debt Schedule'!34:34),0)</f>
        <v>0</v>
      </c>
      <c r="N30" s="258">
        <f>IFERROR(_xlfn.XLOOKUP(N$7,'CF_Debt Schedule'!$16:$16,'CF_Debt Schedule'!34:34),0)</f>
        <v>0</v>
      </c>
      <c r="O30" s="258">
        <f>IFERROR(_xlfn.XLOOKUP(O$7,'CF_Debt Schedule'!$16:$16,'CF_Debt Schedule'!34:34),0)</f>
        <v>0</v>
      </c>
      <c r="P30" s="258">
        <f>IFERROR(_xlfn.XLOOKUP(P$7,'CF_Debt Schedule'!$16:$16,'CF_Debt Schedule'!34:34),0)</f>
        <v>0</v>
      </c>
      <c r="Q30" s="258">
        <f>IFERROR(_xlfn.XLOOKUP(Q$7,'CF_Debt Schedule'!$16:$16,'CF_Debt Schedule'!34:34),0)</f>
        <v>0</v>
      </c>
      <c r="R30" s="258">
        <f>IFERROR(_xlfn.XLOOKUP(R$7,'CF_Debt Schedule'!$16:$16,'CF_Debt Schedule'!34:34),0)</f>
        <v>0</v>
      </c>
      <c r="S30" s="258">
        <f>IFERROR(_xlfn.XLOOKUP(S$7,'CF_Debt Schedule'!$16:$16,'CF_Debt Schedule'!34:34),0)</f>
        <v>0</v>
      </c>
      <c r="T30" s="258">
        <f>IFERROR(_xlfn.XLOOKUP(T$7,'CF_Debt Schedule'!$16:$16,'CF_Debt Schedule'!34:34),0)</f>
        <v>0</v>
      </c>
      <c r="U30" s="258">
        <f>IFERROR(_xlfn.XLOOKUP(U$7,'CF_Debt Schedule'!$16:$16,'CF_Debt Schedule'!34:34),0)</f>
        <v>0</v>
      </c>
      <c r="V30" s="258">
        <f>IFERROR(_xlfn.XLOOKUP(V$7,'CF_Debt Schedule'!$16:$16,'CF_Debt Schedule'!34:34),0)</f>
        <v>0</v>
      </c>
      <c r="W30" s="258">
        <f>IFERROR(_xlfn.XLOOKUP(W$7,'CF_Debt Schedule'!$16:$16,'CF_Debt Schedule'!34:34),0)</f>
        <v>0</v>
      </c>
      <c r="X30" s="258">
        <f>IFERROR(_xlfn.XLOOKUP(X$7,'CF_Debt Schedule'!$16:$16,'CF_Debt Schedule'!34:34),0)</f>
        <v>0</v>
      </c>
      <c r="Y30" s="258">
        <f>IFERROR(_xlfn.XLOOKUP(Y$7,'CF_Debt Schedule'!$16:$16,'CF_Debt Schedule'!34:34),0)</f>
        <v>0</v>
      </c>
      <c r="Z30" s="258">
        <f>IFERROR(_xlfn.XLOOKUP(Z$7,'CF_Debt Schedule'!$16:$16,'CF_Debt Schedule'!34:34),0)</f>
        <v>0</v>
      </c>
      <c r="AA30" s="258">
        <f>IFERROR(_xlfn.XLOOKUP(AA$7,'CF_Debt Schedule'!$16:$16,'CF_Debt Schedule'!34:34),0)</f>
        <v>0</v>
      </c>
      <c r="AB30" s="258">
        <f>IFERROR(_xlfn.XLOOKUP(AB$7,'CF_Debt Schedule'!$16:$16,'CF_Debt Schedule'!34:34),0)</f>
        <v>0</v>
      </c>
      <c r="AC30" s="258">
        <f>IFERROR(_xlfn.XLOOKUP(AC$7,'CF_Debt Schedule'!$16:$16,'CF_Debt Schedule'!34:34),0)</f>
        <v>0</v>
      </c>
      <c r="AD30" s="258">
        <f>IFERROR(_xlfn.XLOOKUP(AD$7,'CF_Debt Schedule'!$16:$16,'CF_Debt Schedule'!34:34),0)</f>
        <v>0</v>
      </c>
      <c r="AE30" s="258">
        <f>IFERROR(_xlfn.XLOOKUP(AE$7,'CF_Debt Schedule'!$16:$16,'CF_Debt Schedule'!34:34),0)</f>
        <v>0</v>
      </c>
      <c r="AF30" s="258">
        <f>IFERROR(_xlfn.XLOOKUP(AF$7,'CF_Debt Schedule'!$16:$16,'CF_Debt Schedule'!34:34),0)</f>
        <v>0</v>
      </c>
      <c r="AG30" s="258">
        <f>IFERROR(_xlfn.XLOOKUP(AG$7,'CF_Debt Schedule'!$16:$16,'CF_Debt Schedule'!34:34),0)</f>
        <v>0</v>
      </c>
      <c r="AH30" s="258">
        <f>IFERROR(_xlfn.XLOOKUP(AH$7,'CF_Debt Schedule'!$16:$16,'CF_Debt Schedule'!34:34),0)</f>
        <v>0</v>
      </c>
      <c r="AI30" s="258">
        <f>IFERROR(_xlfn.XLOOKUP(AI$7,'CF_Debt Schedule'!$16:$16,'CF_Debt Schedule'!34:34),0)</f>
        <v>0</v>
      </c>
      <c r="AJ30" s="258">
        <f>IFERROR(_xlfn.XLOOKUP(AJ$7,'CF_Debt Schedule'!$16:$16,'CF_Debt Schedule'!34:34),0)</f>
        <v>0</v>
      </c>
      <c r="AK30" s="258">
        <f>IFERROR(_xlfn.XLOOKUP(AK$7,'CF_Debt Schedule'!$16:$16,'CF_Debt Schedule'!34:34),0)</f>
        <v>0</v>
      </c>
      <c r="AL30" s="258">
        <f>IFERROR(_xlfn.XLOOKUP(AL$7,'CF_Debt Schedule'!$16:$16,'CF_Debt Schedule'!34:34),0)</f>
        <v>0</v>
      </c>
      <c r="AM30" s="258">
        <f>IFERROR(_xlfn.XLOOKUP(AM$7,'CF_Debt Schedule'!$16:$16,'CF_Debt Schedule'!34:34),0)</f>
        <v>0</v>
      </c>
      <c r="AN30" s="258">
        <f>IFERROR(_xlfn.XLOOKUP(AN$7,'CF_Debt Schedule'!$16:$16,'CF_Debt Schedule'!34:34),0)</f>
        <v>0</v>
      </c>
      <c r="AO30" s="258">
        <f>IFERROR(_xlfn.XLOOKUP(AO$7,'CF_Debt Schedule'!$16:$16,'CF_Debt Schedule'!34:34),0)</f>
        <v>0</v>
      </c>
      <c r="AP30" s="258">
        <f>IFERROR(_xlfn.XLOOKUP(AP$7,'CF_Debt Schedule'!$16:$16,'CF_Debt Schedule'!34:34),0)</f>
        <v>0</v>
      </c>
      <c r="AQ30" s="258">
        <f>IFERROR(_xlfn.XLOOKUP(AQ$7,'CF_Debt Schedule'!$16:$16,'CF_Debt Schedule'!34:34),0)</f>
        <v>0</v>
      </c>
      <c r="AR30" s="258">
        <f>IFERROR(_xlfn.XLOOKUP(AR$7,'CF_Debt Schedule'!$16:$16,'CF_Debt Schedule'!34:34),0)</f>
        <v>0</v>
      </c>
      <c r="AS30" s="258">
        <f>IFERROR(_xlfn.XLOOKUP(AS$7,'CF_Debt Schedule'!$16:$16,'CF_Debt Schedule'!34:34),0)</f>
        <v>0</v>
      </c>
      <c r="AT30" s="258">
        <f>IFERROR(_xlfn.XLOOKUP(AT$7,'CF_Debt Schedule'!$16:$16,'CF_Debt Schedule'!34:34),0)</f>
        <v>0</v>
      </c>
      <c r="AU30" s="258">
        <f>IFERROR(_xlfn.XLOOKUP(AU$7,'CF_Debt Schedule'!$16:$16,'CF_Debt Schedule'!34:34),0)</f>
        <v>0</v>
      </c>
      <c r="AV30" s="258">
        <f>IFERROR(_xlfn.XLOOKUP(AV$7,'CF_Debt Schedule'!$16:$16,'CF_Debt Schedule'!34:34),0)</f>
        <v>0</v>
      </c>
      <c r="AW30" s="258">
        <f>IFERROR(_xlfn.XLOOKUP(AW$7,'CF_Debt Schedule'!$16:$16,'CF_Debt Schedule'!34:34),0)</f>
        <v>0</v>
      </c>
      <c r="AX30" s="258">
        <f>IFERROR(_xlfn.XLOOKUP(AX$7,'CF_Debt Schedule'!$16:$16,'CF_Debt Schedule'!34:34),0)</f>
        <v>0</v>
      </c>
      <c r="AY30" s="258">
        <f>IFERROR(_xlfn.XLOOKUP(AY$7,'CF_Debt Schedule'!$16:$16,'CF_Debt Schedule'!34:34),0)</f>
        <v>0</v>
      </c>
      <c r="AZ30" s="258">
        <f>IFERROR(_xlfn.XLOOKUP(AZ$7,'CF_Debt Schedule'!$16:$16,'CF_Debt Schedule'!34:34),0)</f>
        <v>0</v>
      </c>
      <c r="BA30" s="258">
        <f>IFERROR(_xlfn.XLOOKUP(BA$7,'CF_Debt Schedule'!$16:$16,'CF_Debt Schedule'!34:34),0)</f>
        <v>0</v>
      </c>
      <c r="BB30" s="258">
        <f>IFERROR(_xlfn.XLOOKUP(BB$7,'CF_Debt Schedule'!$16:$16,'CF_Debt Schedule'!34:34),0)</f>
        <v>0</v>
      </c>
      <c r="BC30" s="258">
        <f>IFERROR(_xlfn.XLOOKUP(BC$7,'CF_Debt Schedule'!$16:$16,'CF_Debt Schedule'!34:34),0)</f>
        <v>0</v>
      </c>
      <c r="BD30" s="258">
        <f>IFERROR(_xlfn.XLOOKUP(BD$7,'CF_Debt Schedule'!$16:$16,'CF_Debt Schedule'!34:34),0)</f>
        <v>0</v>
      </c>
      <c r="BE30" s="258">
        <f ca="1">IFERROR(_xlfn.XLOOKUP(BE$7,'CF_Debt Schedule'!$16:$16,'CF_Debt Schedule'!34:34),0)</f>
        <v>-7.1625106833256815</v>
      </c>
      <c r="BF30" s="258">
        <f ca="1">IFERROR(_xlfn.XLOOKUP(BF$7,'CF_Debt Schedule'!$16:$16,'CF_Debt Schedule'!34:34),0)</f>
        <v>-7.1625106833256815</v>
      </c>
      <c r="BG30" s="258">
        <f ca="1">IFERROR(_xlfn.XLOOKUP(BG$7,'CF_Debt Schedule'!$16:$16,'CF_Debt Schedule'!34:34),0)</f>
        <v>-7.1625106833256815</v>
      </c>
      <c r="BH30" s="258">
        <f ca="1">IFERROR(_xlfn.XLOOKUP(BH$7,'CF_Debt Schedule'!$16:$16,'CF_Debt Schedule'!34:34),0)</f>
        <v>-7.1625106833256815</v>
      </c>
      <c r="BI30" s="258">
        <f ca="1">IFERROR(_xlfn.XLOOKUP(BI$7,'CF_Debt Schedule'!$16:$16,'CF_Debt Schedule'!34:34),0)</f>
        <v>-4.7750071222171213</v>
      </c>
      <c r="BJ30" s="258">
        <f ca="1">IFERROR(_xlfn.XLOOKUP(BJ$7,'CF_Debt Schedule'!$16:$16,'CF_Debt Schedule'!34:34),0)</f>
        <v>-2.3875035611085607</v>
      </c>
      <c r="BK30" s="258">
        <f ca="1">IFERROR(_xlfn.XLOOKUP(BK$7,'CF_Debt Schedule'!$16:$16,'CF_Debt Schedule'!34:34),0)</f>
        <v>0</v>
      </c>
      <c r="BL30" s="258">
        <f ca="1">IFERROR(_xlfn.XLOOKUP(BL$7,'CF_Debt Schedule'!$16:$16,'CF_Debt Schedule'!34:34),0)</f>
        <v>0</v>
      </c>
      <c r="BM30" s="258">
        <f ca="1">IFERROR(_xlfn.XLOOKUP(BM$7,'CF_Debt Schedule'!$16:$16,'CF_Debt Schedule'!34:34),0)</f>
        <v>0</v>
      </c>
      <c r="BN30" s="258">
        <f ca="1">IFERROR(_xlfn.XLOOKUP(BN$7,'CF_Debt Schedule'!$16:$16,'CF_Debt Schedule'!34:34),0)</f>
        <v>0</v>
      </c>
      <c r="BO30" s="258">
        <f ca="1">IFERROR(_xlfn.XLOOKUP(BO$7,'CF_Debt Schedule'!$16:$16,'CF_Debt Schedule'!34:34),0)</f>
        <v>0</v>
      </c>
      <c r="BP30" s="258">
        <f ca="1">IFERROR(_xlfn.XLOOKUP(BP$7,'CF_Debt Schedule'!$16:$16,'CF_Debt Schedule'!34:34),0)</f>
        <v>0</v>
      </c>
      <c r="BQ30" s="258">
        <f ca="1">IFERROR(_xlfn.XLOOKUP(BQ$7,'CF_Debt Schedule'!$16:$16,'CF_Debt Schedule'!34:34),0)</f>
        <v>0</v>
      </c>
      <c r="BR30" s="258">
        <f ca="1">IFERROR(_xlfn.XLOOKUP(BR$7,'CF_Debt Schedule'!$16:$16,'CF_Debt Schedule'!34:34),0)</f>
        <v>0</v>
      </c>
      <c r="BS30" s="258">
        <f ca="1">IFERROR(_xlfn.XLOOKUP(BS$7,'CF_Debt Schedule'!$16:$16,'CF_Debt Schedule'!34:34),0)</f>
        <v>0</v>
      </c>
      <c r="BT30" s="258">
        <f ca="1">IFERROR(_xlfn.XLOOKUP(BT$7,'CF_Debt Schedule'!$16:$16,'CF_Debt Schedule'!34:34),0)</f>
        <v>0</v>
      </c>
      <c r="BU30" s="258">
        <f ca="1">IFERROR(_xlfn.XLOOKUP(BU$7,'CF_Debt Schedule'!$16:$16,'CF_Debt Schedule'!34:34),0)</f>
        <v>0</v>
      </c>
      <c r="BV30" s="258">
        <f ca="1">IFERROR(_xlfn.XLOOKUP(BV$7,'CF_Debt Schedule'!$16:$16,'CF_Debt Schedule'!34:34),0)</f>
        <v>0</v>
      </c>
      <c r="BW30" s="258">
        <f ca="1">IFERROR(_xlfn.XLOOKUP(BW$7,'CF_Debt Schedule'!$16:$16,'CF_Debt Schedule'!34:34),0)</f>
        <v>0</v>
      </c>
      <c r="BX30" s="258">
        <f ca="1">IFERROR(_xlfn.XLOOKUP(BX$7,'CF_Debt Schedule'!$16:$16,'CF_Debt Schedule'!34:34),0)</f>
        <v>0</v>
      </c>
      <c r="BY30" s="258">
        <f ca="1">IFERROR(_xlfn.XLOOKUP(BY$7,'CF_Debt Schedule'!$16:$16,'CF_Debt Schedule'!34:34),0)</f>
        <v>0</v>
      </c>
      <c r="BZ30" s="258">
        <f ca="1">IFERROR(_xlfn.XLOOKUP(BZ$7,'CF_Debt Schedule'!$16:$16,'CF_Debt Schedule'!34:34),0)</f>
        <v>0</v>
      </c>
      <c r="CA30" s="258">
        <f ca="1">IFERROR(_xlfn.XLOOKUP(CA$7,'CF_Debt Schedule'!$16:$16,'CF_Debt Schedule'!34:34),0)</f>
        <v>0</v>
      </c>
      <c r="CB30" s="258">
        <f ca="1">IFERROR(_xlfn.XLOOKUP(CB$7,'CF_Debt Schedule'!$16:$16,'CF_Debt Schedule'!34:34),0)</f>
        <v>0</v>
      </c>
      <c r="CC30" s="258">
        <f ca="1">IFERROR(_xlfn.XLOOKUP(CC$7,'CF_Debt Schedule'!$16:$16,'CF_Debt Schedule'!34:34),0)</f>
        <v>0</v>
      </c>
      <c r="CD30" s="258">
        <f ca="1">IFERROR(_xlfn.XLOOKUP(CD$7,'CF_Debt Schedule'!$16:$16,'CF_Debt Schedule'!34:34),0)</f>
        <v>0</v>
      </c>
      <c r="CE30" s="258">
        <f ca="1">IFERROR(_xlfn.XLOOKUP(CE$7,'CF_Debt Schedule'!$16:$16,'CF_Debt Schedule'!34:34),0)</f>
        <v>0</v>
      </c>
      <c r="CF30" s="258">
        <f ca="1">IFERROR(_xlfn.XLOOKUP(CF$7,'CF_Debt Schedule'!$16:$16,'CF_Debt Schedule'!34:34),0)</f>
        <v>0</v>
      </c>
      <c r="CG30" s="258">
        <f ca="1">IFERROR(_xlfn.XLOOKUP(CG$7,'CF_Debt Schedule'!$16:$16,'CF_Debt Schedule'!34:34),0)</f>
        <v>0</v>
      </c>
      <c r="CH30" s="258">
        <f ca="1">IFERROR(_xlfn.XLOOKUP(CH$7,'CF_Debt Schedule'!$16:$16,'CF_Debt Schedule'!34:34),0)</f>
        <v>0</v>
      </c>
      <c r="CI30" s="258">
        <f ca="1">IFERROR(_xlfn.XLOOKUP(CI$7,'CF_Debt Schedule'!$16:$16,'CF_Debt Schedule'!34:34),0)</f>
        <v>0</v>
      </c>
      <c r="CJ30" s="258">
        <f ca="1">IFERROR(_xlfn.XLOOKUP(CJ$7,'CF_Debt Schedule'!$16:$16,'CF_Debt Schedule'!34:34),0)</f>
        <v>0</v>
      </c>
      <c r="CK30" s="258">
        <f ca="1">IFERROR(_xlfn.XLOOKUP(CK$7,'CF_Debt Schedule'!$16:$16,'CF_Debt Schedule'!34:34),0)</f>
        <v>0</v>
      </c>
      <c r="CL30" s="258">
        <f ca="1">IFERROR(_xlfn.XLOOKUP(CL$7,'CF_Debt Schedule'!$16:$16,'CF_Debt Schedule'!34:34),0)</f>
        <v>0</v>
      </c>
      <c r="CM30" s="258">
        <f ca="1">IFERROR(_xlfn.XLOOKUP(CM$7,'CF_Debt Schedule'!$16:$16,'CF_Debt Schedule'!34:34),0)</f>
        <v>0</v>
      </c>
      <c r="CN30" s="258">
        <f ca="1">IFERROR(_xlfn.XLOOKUP(CN$7,'CF_Debt Schedule'!$16:$16,'CF_Debt Schedule'!34:34),0)</f>
        <v>0</v>
      </c>
      <c r="CO30" s="258">
        <f ca="1">IFERROR(_xlfn.XLOOKUP(CO$7,'CF_Debt Schedule'!$16:$16,'CF_Debt Schedule'!34:34),0)</f>
        <v>0</v>
      </c>
      <c r="CP30" s="258">
        <f ca="1">IFERROR(_xlfn.XLOOKUP(CP$7,'CF_Debt Schedule'!$16:$16,'CF_Debt Schedule'!34:34),0)</f>
        <v>0</v>
      </c>
      <c r="CQ30" s="258">
        <f ca="1">IFERROR(_xlfn.XLOOKUP(CQ$7,'CF_Debt Schedule'!$16:$16,'CF_Debt Schedule'!34:34),0)</f>
        <v>0</v>
      </c>
      <c r="CR30" s="258">
        <f ca="1">IFERROR(_xlfn.XLOOKUP(CR$7,'CF_Debt Schedule'!$16:$16,'CF_Debt Schedule'!34:34),0)</f>
        <v>0</v>
      </c>
      <c r="CS30" s="258">
        <f ca="1">IFERROR(_xlfn.XLOOKUP(CS$7,'CF_Debt Schedule'!$16:$16,'CF_Debt Schedule'!34:34),0)</f>
        <v>0</v>
      </c>
      <c r="CT30" s="258">
        <f ca="1">IFERROR(_xlfn.XLOOKUP(CT$7,'CF_Debt Schedule'!$16:$16,'CF_Debt Schedule'!34:34),0)</f>
        <v>0</v>
      </c>
      <c r="CU30" s="258">
        <f ca="1">IFERROR(_xlfn.XLOOKUP(CU$7,'CF_Debt Schedule'!$16:$16,'CF_Debt Schedule'!34:34),0)</f>
        <v>0</v>
      </c>
      <c r="CV30" s="258">
        <f ca="1">IFERROR(_xlfn.XLOOKUP(CV$7,'CF_Debt Schedule'!$16:$16,'CF_Debt Schedule'!34:34),0)</f>
        <v>0</v>
      </c>
      <c r="CW30" s="258">
        <f ca="1">IFERROR(_xlfn.XLOOKUP(CW$7,'CF_Debt Schedule'!$16:$16,'CF_Debt Schedule'!34:34),0)</f>
        <v>0</v>
      </c>
      <c r="CX30" s="258">
        <f ca="1">IFERROR(_xlfn.XLOOKUP(CX$7,'CF_Debt Schedule'!$16:$16,'CF_Debt Schedule'!34:34),0)</f>
        <v>0</v>
      </c>
      <c r="CY30" s="258">
        <f ca="1">IFERROR(_xlfn.XLOOKUP(CY$7,'CF_Debt Schedule'!$16:$16,'CF_Debt Schedule'!34:34),0)</f>
        <v>0</v>
      </c>
      <c r="CZ30" s="258">
        <f ca="1">IFERROR(_xlfn.XLOOKUP(CZ$7,'CF_Debt Schedule'!$16:$16,'CF_Debt Schedule'!34:34),0)</f>
        <v>0</v>
      </c>
      <c r="DA30" s="258">
        <f ca="1">IFERROR(_xlfn.XLOOKUP(DA$7,'CF_Debt Schedule'!$16:$16,'CF_Debt Schedule'!34:34),0)</f>
        <v>0</v>
      </c>
      <c r="DB30" s="258">
        <f ca="1">IFERROR(_xlfn.XLOOKUP(DB$7,'CF_Debt Schedule'!$16:$16,'CF_Debt Schedule'!34:34),0)</f>
        <v>0</v>
      </c>
      <c r="DC30" s="258">
        <f ca="1">IFERROR(_xlfn.XLOOKUP(DC$7,'CF_Debt Schedule'!$16:$16,'CF_Debt Schedule'!34:34),0)</f>
        <v>0</v>
      </c>
      <c r="DD30" s="258">
        <f ca="1">IFERROR(_xlfn.XLOOKUP(DD$7,'CF_Debt Schedule'!$16:$16,'CF_Debt Schedule'!34:34),0)</f>
        <v>0</v>
      </c>
      <c r="DE30" s="258">
        <f ca="1">IFERROR(_xlfn.XLOOKUP(DE$7,'CF_Debt Schedule'!$16:$16,'CF_Debt Schedule'!34:34),0)</f>
        <v>0</v>
      </c>
      <c r="DF30" s="258">
        <f ca="1">IFERROR(_xlfn.XLOOKUP(DF$7,'CF_Debt Schedule'!$16:$16,'CF_Debt Schedule'!34:34),0)</f>
        <v>0</v>
      </c>
      <c r="DG30" s="258">
        <f ca="1">IFERROR(_xlfn.XLOOKUP(DG$7,'CF_Debt Schedule'!$16:$16,'CF_Debt Schedule'!34:34),0)</f>
        <v>0</v>
      </c>
      <c r="DH30" s="258">
        <f ca="1">IFERROR(_xlfn.XLOOKUP(DH$7,'CF_Debt Schedule'!$16:$16,'CF_Debt Schedule'!34:34),0)</f>
        <v>0</v>
      </c>
      <c r="DI30" s="258">
        <f ca="1">IFERROR(_xlfn.XLOOKUP(DI$7,'CF_Debt Schedule'!$16:$16,'CF_Debt Schedule'!34:34),0)</f>
        <v>0</v>
      </c>
      <c r="DJ30" s="258">
        <f ca="1">IFERROR(_xlfn.XLOOKUP(DJ$7,'CF_Debt Schedule'!$16:$16,'CF_Debt Schedule'!34:34),0)</f>
        <v>0</v>
      </c>
      <c r="DK30" s="258">
        <f ca="1">IFERROR(_xlfn.XLOOKUP(DK$7,'CF_Debt Schedule'!$16:$16,'CF_Debt Schedule'!34:34),0)</f>
        <v>0</v>
      </c>
      <c r="DL30" s="258">
        <f ca="1">IFERROR(_xlfn.XLOOKUP(DL$7,'CF_Debt Schedule'!$16:$16,'CF_Debt Schedule'!34:34),0)</f>
        <v>0</v>
      </c>
      <c r="DM30" s="258">
        <f ca="1">IFERROR(_xlfn.XLOOKUP(DM$7,'CF_Debt Schedule'!$16:$16,'CF_Debt Schedule'!34:34),0)</f>
        <v>0</v>
      </c>
      <c r="DN30" s="258">
        <f ca="1">IFERROR(_xlfn.XLOOKUP(DN$7,'CF_Debt Schedule'!$16:$16,'CF_Debt Schedule'!34:34),0)</f>
        <v>0</v>
      </c>
      <c r="DO30" s="258">
        <f ca="1">IFERROR(_xlfn.XLOOKUP(DO$7,'CF_Debt Schedule'!$16:$16,'CF_Debt Schedule'!34:34),0)</f>
        <v>0</v>
      </c>
      <c r="DP30" s="258">
        <f ca="1">IFERROR(_xlfn.XLOOKUP(DP$7,'CF_Debt Schedule'!$16:$16,'CF_Debt Schedule'!34:34),0)</f>
        <v>0</v>
      </c>
      <c r="DQ30" s="258">
        <f ca="1">IFERROR(_xlfn.XLOOKUP(DQ$7,'CF_Debt Schedule'!$16:$16,'CF_Debt Schedule'!34:34),0)</f>
        <v>0</v>
      </c>
      <c r="DR30" s="258">
        <f ca="1">IFERROR(_xlfn.XLOOKUP(DR$7,'CF_Debt Schedule'!$16:$16,'CF_Debt Schedule'!34:34),0)</f>
        <v>0</v>
      </c>
      <c r="DS30" s="258">
        <f ca="1">IFERROR(_xlfn.XLOOKUP(DS$7,'CF_Debt Schedule'!$16:$16,'CF_Debt Schedule'!34:34),0)</f>
        <v>0</v>
      </c>
      <c r="DT30" s="258">
        <f ca="1">IFERROR(_xlfn.XLOOKUP(DT$7,'CF_Debt Schedule'!$16:$16,'CF_Debt Schedule'!34:34),0)</f>
        <v>0</v>
      </c>
      <c r="DU30" s="258">
        <f ca="1">IFERROR(_xlfn.XLOOKUP(DU$7,'CF_Debt Schedule'!$16:$16,'CF_Debt Schedule'!34:34),0)</f>
        <v>0</v>
      </c>
      <c r="DV30" s="258">
        <f ca="1">IFERROR(_xlfn.XLOOKUP(DV$7,'CF_Debt Schedule'!$16:$16,'CF_Debt Schedule'!34:34),0)</f>
        <v>0</v>
      </c>
      <c r="DW30" s="258">
        <f ca="1">IFERROR(_xlfn.XLOOKUP(DW$7,'CF_Debt Schedule'!$16:$16,'CF_Debt Schedule'!34:34),0)</f>
        <v>0</v>
      </c>
      <c r="DX30" s="258">
        <f ca="1">IFERROR(_xlfn.XLOOKUP(DX$7,'CF_Debt Schedule'!$16:$16,'CF_Debt Schedule'!34:34),0)</f>
        <v>0</v>
      </c>
      <c r="DY30" s="258">
        <f ca="1">IFERROR(_xlfn.XLOOKUP(DY$7,'CF_Debt Schedule'!$16:$16,'CF_Debt Schedule'!34:34),0)</f>
        <v>0</v>
      </c>
      <c r="DZ30" s="258">
        <f ca="1">IFERROR(_xlfn.XLOOKUP(DZ$7,'CF_Debt Schedule'!$16:$16,'CF_Debt Schedule'!34:34),0)</f>
        <v>0</v>
      </c>
      <c r="EA30" s="258">
        <f ca="1">IFERROR(_xlfn.XLOOKUP(EA$7,'CF_Debt Schedule'!$16:$16,'CF_Debt Schedule'!34:34),0)</f>
        <v>0</v>
      </c>
      <c r="EB30" s="258">
        <f>IFERROR(_xlfn.XLOOKUP(EB$7,'CF_Debt Schedule'!$16:$16,'CF_Debt Schedule'!34:34),0)</f>
        <v>0</v>
      </c>
      <c r="EC30" s="258">
        <f>IFERROR(_xlfn.XLOOKUP(EC$7,'CF_Debt Schedule'!$16:$16,'CF_Debt Schedule'!34:34),0)</f>
        <v>0</v>
      </c>
      <c r="ED30" s="258">
        <f>IFERROR(_xlfn.XLOOKUP(ED$7,'CF_Debt Schedule'!$16:$16,'CF_Debt Schedule'!34:34),0)</f>
        <v>0</v>
      </c>
      <c r="EE30" s="258">
        <f>IFERROR(_xlfn.XLOOKUP(EE$7,'CF_Debt Schedule'!$16:$16,'CF_Debt Schedule'!34:34),0)</f>
        <v>0</v>
      </c>
      <c r="EF30" s="258">
        <f>IFERROR(_xlfn.XLOOKUP(EF$7,'CF_Debt Schedule'!$16:$16,'CF_Debt Schedule'!34:34),0)</f>
        <v>0</v>
      </c>
      <c r="EG30" s="258">
        <f>IFERROR(_xlfn.XLOOKUP(EG$7,'CF_Debt Schedule'!$16:$16,'CF_Debt Schedule'!34:34),0)</f>
        <v>0</v>
      </c>
      <c r="EH30" s="258">
        <f>IFERROR(_xlfn.XLOOKUP(EH$7,'CF_Debt Schedule'!$16:$16,'CF_Debt Schedule'!34:34),0)</f>
        <v>0</v>
      </c>
      <c r="EI30" s="258">
        <f>IFERROR(_xlfn.XLOOKUP(EI$7,'CF_Debt Schedule'!$16:$16,'CF_Debt Schedule'!34:34),0)</f>
        <v>0</v>
      </c>
      <c r="EJ30" s="258">
        <f>IFERROR(_xlfn.XLOOKUP(EJ$7,'CF_Debt Schedule'!$16:$16,'CF_Debt Schedule'!34:34),0)</f>
        <v>0</v>
      </c>
      <c r="EK30" s="258">
        <f>IFERROR(_xlfn.XLOOKUP(EK$7,'CF_Debt Schedule'!$16:$16,'CF_Debt Schedule'!34:34),0)</f>
        <v>0</v>
      </c>
      <c r="EL30" s="258">
        <f>IFERROR(_xlfn.XLOOKUP(EL$7,'CF_Debt Schedule'!$16:$16,'CF_Debt Schedule'!34:34),0)</f>
        <v>0</v>
      </c>
      <c r="EM30" s="258">
        <f>IFERROR(_xlfn.XLOOKUP(EM$7,'CF_Debt Schedule'!$16:$16,'CF_Debt Schedule'!34:34),0)</f>
        <v>0</v>
      </c>
      <c r="EN30" s="258">
        <f>IFERROR(_xlfn.XLOOKUP(EN$7,'CF_Debt Schedule'!$16:$16,'CF_Debt Schedule'!34:34),0)</f>
        <v>0</v>
      </c>
      <c r="EO30" s="258">
        <f>IFERROR(_xlfn.XLOOKUP(EO$7,'CF_Debt Schedule'!$16:$16,'CF_Debt Schedule'!34:34),0)</f>
        <v>0</v>
      </c>
      <c r="EP30" s="258">
        <f>IFERROR(_xlfn.XLOOKUP(EP$7,'CF_Debt Schedule'!$16:$16,'CF_Debt Schedule'!34:34),0)</f>
        <v>0</v>
      </c>
      <c r="EQ30" s="258">
        <f>IFERROR(_xlfn.XLOOKUP(EQ$7,'CF_Debt Schedule'!$16:$16,'CF_Debt Schedule'!34:34),0)</f>
        <v>0</v>
      </c>
      <c r="ER30" s="258">
        <f>IFERROR(_xlfn.XLOOKUP(ER$7,'CF_Debt Schedule'!$16:$16,'CF_Debt Schedule'!34:34),0)</f>
        <v>0</v>
      </c>
      <c r="ES30" s="258">
        <f>IFERROR(_xlfn.XLOOKUP(ES$7,'CF_Debt Schedule'!$16:$16,'CF_Debt Schedule'!34:34),0)</f>
        <v>0</v>
      </c>
      <c r="ET30" s="258">
        <f>IFERROR(_xlfn.XLOOKUP(ET$7,'CF_Debt Schedule'!$16:$16,'CF_Debt Schedule'!34:34),0)</f>
        <v>0</v>
      </c>
      <c r="EU30" s="258">
        <f>IFERROR(_xlfn.XLOOKUP(EU$7,'CF_Debt Schedule'!$16:$16,'CF_Debt Schedule'!34:34),0)</f>
        <v>0</v>
      </c>
      <c r="EV30" s="258">
        <f>IFERROR(_xlfn.XLOOKUP(EV$7,'CF_Debt Schedule'!$16:$16,'CF_Debt Schedule'!34:34),0)</f>
        <v>0</v>
      </c>
      <c r="EW30" s="258">
        <f>IFERROR(_xlfn.XLOOKUP(EW$7,'CF_Debt Schedule'!$16:$16,'CF_Debt Schedule'!34:34),0)</f>
        <v>0</v>
      </c>
      <c r="EX30" s="258">
        <f>IFERROR(_xlfn.XLOOKUP(EX$7,'CF_Debt Schedule'!$16:$16,'CF_Debt Schedule'!34:34),0)</f>
        <v>0</v>
      </c>
      <c r="EY30" s="258">
        <f>IFERROR(_xlfn.XLOOKUP(EY$7,'CF_Debt Schedule'!$16:$16,'CF_Debt Schedule'!34:34),0)</f>
        <v>0</v>
      </c>
      <c r="EZ30" s="258">
        <f>IFERROR(_xlfn.XLOOKUP(EZ$7,'CF_Debt Schedule'!$16:$16,'CF_Debt Schedule'!34:34),0)</f>
        <v>0</v>
      </c>
      <c r="FA30" s="258">
        <f>IFERROR(_xlfn.XLOOKUP(FA$7,'CF_Debt Schedule'!$16:$16,'CF_Debt Schedule'!34:34),0)</f>
        <v>0</v>
      </c>
      <c r="FB30" s="258">
        <f>IFERROR(_xlfn.XLOOKUP(FB$7,'CF_Debt Schedule'!$16:$16,'CF_Debt Schedule'!34:34),0)</f>
        <v>0</v>
      </c>
      <c r="FC30" s="258">
        <f>IFERROR(_xlfn.XLOOKUP(FC$7,'CF_Debt Schedule'!$16:$16,'CF_Debt Schedule'!34:34),0)</f>
        <v>0</v>
      </c>
      <c r="FD30" s="258">
        <f>IFERROR(_xlfn.XLOOKUP(FD$7,'CF_Debt Schedule'!$16:$16,'CF_Debt Schedule'!34:34),0)</f>
        <v>0</v>
      </c>
      <c r="FE30" s="258">
        <f>IFERROR(_xlfn.XLOOKUP(FE$7,'CF_Debt Schedule'!$16:$16,'CF_Debt Schedule'!34:34),0)</f>
        <v>0</v>
      </c>
      <c r="FF30" s="258">
        <f>IFERROR(_xlfn.XLOOKUP(FF$7,'CF_Debt Schedule'!$16:$16,'CF_Debt Schedule'!34:34),0)</f>
        <v>0</v>
      </c>
      <c r="FG30" s="258">
        <f>IFERROR(_xlfn.XLOOKUP(FG$7,'CF_Debt Schedule'!$16:$16,'CF_Debt Schedule'!34:34),0)</f>
        <v>0</v>
      </c>
      <c r="FH30" s="258">
        <f>IFERROR(_xlfn.XLOOKUP(FH$7,'CF_Debt Schedule'!$16:$16,'CF_Debt Schedule'!34:34),0)</f>
        <v>0</v>
      </c>
      <c r="FI30" s="258">
        <f>IFERROR(_xlfn.XLOOKUP(FI$7,'CF_Debt Schedule'!$16:$16,'CF_Debt Schedule'!34:34),0)</f>
        <v>0</v>
      </c>
      <c r="FJ30" s="258">
        <f>IFERROR(_xlfn.XLOOKUP(FJ$7,'CF_Debt Schedule'!$16:$16,'CF_Debt Schedule'!34:34),0)</f>
        <v>0</v>
      </c>
      <c r="FK30" s="258">
        <f>IFERROR(_xlfn.XLOOKUP(FK$7,'CF_Debt Schedule'!$16:$16,'CF_Debt Schedule'!34:34),0)</f>
        <v>0</v>
      </c>
      <c r="FL30" s="258">
        <f>IFERROR(_xlfn.XLOOKUP(FL$7,'CF_Debt Schedule'!$16:$16,'CF_Debt Schedule'!34:34),0)</f>
        <v>0</v>
      </c>
      <c r="FM30" s="258">
        <f>IFERROR(_xlfn.XLOOKUP(FM$7,'CF_Debt Schedule'!$16:$16,'CF_Debt Schedule'!34:34),0)</f>
        <v>0</v>
      </c>
      <c r="FN30" s="258">
        <f>IFERROR(_xlfn.XLOOKUP(FN$7,'CF_Debt Schedule'!$16:$16,'CF_Debt Schedule'!34:34),0)</f>
        <v>0</v>
      </c>
      <c r="FO30" s="258">
        <f>IFERROR(_xlfn.XLOOKUP(FO$7,'CF_Debt Schedule'!$16:$16,'CF_Debt Schedule'!34:34),0)</f>
        <v>0</v>
      </c>
      <c r="FP30" s="258">
        <f>IFERROR(_xlfn.XLOOKUP(FP$7,'CF_Debt Schedule'!$16:$16,'CF_Debt Schedule'!34:34),0)</f>
        <v>0</v>
      </c>
      <c r="FQ30" s="258">
        <f>IFERROR(_xlfn.XLOOKUP(FQ$7,'CF_Debt Schedule'!$16:$16,'CF_Debt Schedule'!34:34),0)</f>
        <v>0</v>
      </c>
      <c r="FR30" s="258">
        <f>IFERROR(_xlfn.XLOOKUP(FR$7,'CF_Debt Schedule'!$16:$16,'CF_Debt Schedule'!34:34),0)</f>
        <v>0</v>
      </c>
      <c r="FS30" s="258">
        <f>IFERROR(_xlfn.XLOOKUP(FS$7,'CF_Debt Schedule'!$16:$16,'CF_Debt Schedule'!34:34),0)</f>
        <v>0</v>
      </c>
      <c r="FT30" s="258">
        <f>IFERROR(_xlfn.XLOOKUP(FT$7,'CF_Debt Schedule'!$16:$16,'CF_Debt Schedule'!34:34),0)</f>
        <v>0</v>
      </c>
      <c r="FU30" s="258">
        <f>IFERROR(_xlfn.XLOOKUP(FU$7,'CF_Debt Schedule'!$16:$16,'CF_Debt Schedule'!34:34),0)</f>
        <v>0</v>
      </c>
      <c r="FV30" s="258">
        <f>IFERROR(_xlfn.XLOOKUP(FV$7,'CF_Debt Schedule'!$16:$16,'CF_Debt Schedule'!34:34),0)</f>
        <v>0</v>
      </c>
      <c r="FW30" s="258">
        <f>IFERROR(_xlfn.XLOOKUP(FW$7,'CF_Debt Schedule'!$16:$16,'CF_Debt Schedule'!34:34),0)</f>
        <v>0</v>
      </c>
      <c r="FX30" s="258">
        <f>IFERROR(_xlfn.XLOOKUP(FX$7,'CF_Debt Schedule'!$16:$16,'CF_Debt Schedule'!34:34),0)</f>
        <v>0</v>
      </c>
      <c r="FY30" s="258">
        <f>IFERROR(_xlfn.XLOOKUP(FY$7,'CF_Debt Schedule'!$16:$16,'CF_Debt Schedule'!34:34),0)</f>
        <v>0</v>
      </c>
      <c r="FZ30" s="258">
        <f>IFERROR(_xlfn.XLOOKUP(FZ$7,'CF_Debt Schedule'!$16:$16,'CF_Debt Schedule'!34:34),0)</f>
        <v>0</v>
      </c>
      <c r="GA30" s="258">
        <f>IFERROR(_xlfn.XLOOKUP(GA$7,'CF_Debt Schedule'!$16:$16,'CF_Debt Schedule'!34:34),0)</f>
        <v>0</v>
      </c>
      <c r="GB30" s="258">
        <f>IFERROR(_xlfn.XLOOKUP(GB$7,'CF_Debt Schedule'!$16:$16,'CF_Debt Schedule'!34:34),0)</f>
        <v>0</v>
      </c>
      <c r="GC30" s="258">
        <f>IFERROR(_xlfn.XLOOKUP(GC$7,'CF_Debt Schedule'!$16:$16,'CF_Debt Schedule'!34:34),0)</f>
        <v>0</v>
      </c>
      <c r="GD30" s="258">
        <f>IFERROR(_xlfn.XLOOKUP(GD$7,'CF_Debt Schedule'!$16:$16,'CF_Debt Schedule'!34:34),0)</f>
        <v>0</v>
      </c>
      <c r="GE30" s="258">
        <f>IFERROR(_xlfn.XLOOKUP(GE$7,'CF_Debt Schedule'!$16:$16,'CF_Debt Schedule'!34:34),0)</f>
        <v>0</v>
      </c>
      <c r="GF30" s="258">
        <f>IFERROR(_xlfn.XLOOKUP(GF$7,'CF_Debt Schedule'!$16:$16,'CF_Debt Schedule'!34:34),0)</f>
        <v>0</v>
      </c>
      <c r="GG30" s="258">
        <f>IFERROR(_xlfn.XLOOKUP(GG$7,'CF_Debt Schedule'!$16:$16,'CF_Debt Schedule'!34:34),0)</f>
        <v>0</v>
      </c>
      <c r="GH30" s="258">
        <f>IFERROR(_xlfn.XLOOKUP(GH$7,'CF_Debt Schedule'!$16:$16,'CF_Debt Schedule'!34:34),0)</f>
        <v>0</v>
      </c>
      <c r="GI30" s="258">
        <f>IFERROR(_xlfn.XLOOKUP(GI$7,'CF_Debt Schedule'!$16:$16,'CF_Debt Schedule'!34:34),0)</f>
        <v>0</v>
      </c>
      <c r="GJ30" s="258">
        <f>IFERROR(_xlfn.XLOOKUP(GJ$7,'CF_Debt Schedule'!$16:$16,'CF_Debt Schedule'!34:34),0)</f>
        <v>0</v>
      </c>
      <c r="GK30" s="258">
        <f>IFERROR(_xlfn.XLOOKUP(GK$7,'CF_Debt Schedule'!$16:$16,'CF_Debt Schedule'!34:34),0)</f>
        <v>0</v>
      </c>
      <c r="GL30" s="258">
        <f>IFERROR(_xlfn.XLOOKUP(GL$7,'CF_Debt Schedule'!$16:$16,'CF_Debt Schedule'!34:34),0)</f>
        <v>0</v>
      </c>
      <c r="GM30" s="258">
        <f>IFERROR(_xlfn.XLOOKUP(GM$7,'CF_Debt Schedule'!$16:$16,'CF_Debt Schedule'!34:34),0)</f>
        <v>0</v>
      </c>
      <c r="GN30" s="258">
        <f>IFERROR(_xlfn.XLOOKUP(GN$7,'CF_Debt Schedule'!$16:$16,'CF_Debt Schedule'!34:34),0)</f>
        <v>0</v>
      </c>
      <c r="GO30" s="258">
        <f>IFERROR(_xlfn.XLOOKUP(GO$7,'CF_Debt Schedule'!$16:$16,'CF_Debt Schedule'!34:34),0)</f>
        <v>0</v>
      </c>
      <c r="GP30" s="258">
        <f>IFERROR(_xlfn.XLOOKUP(GP$7,'CF_Debt Schedule'!$16:$16,'CF_Debt Schedule'!34:34),0)</f>
        <v>0</v>
      </c>
      <c r="GQ30" s="258">
        <f>IFERROR(_xlfn.XLOOKUP(GQ$7,'CF_Debt Schedule'!$16:$16,'CF_Debt Schedule'!34:34),0)</f>
        <v>0</v>
      </c>
      <c r="GR30" s="258">
        <f>IFERROR(_xlfn.XLOOKUP(GR$7,'CF_Debt Schedule'!$16:$16,'CF_Debt Schedule'!34:34),0)</f>
        <v>0</v>
      </c>
      <c r="GS30" s="258">
        <f>IFERROR(_xlfn.XLOOKUP(GS$7,'CF_Debt Schedule'!$16:$16,'CF_Debt Schedule'!34:34),0)</f>
        <v>0</v>
      </c>
      <c r="GT30" s="258">
        <f>IFERROR(_xlfn.XLOOKUP(GT$7,'CF_Debt Schedule'!$16:$16,'CF_Debt Schedule'!34:34),0)</f>
        <v>0</v>
      </c>
      <c r="GU30" s="258">
        <f>IFERROR(_xlfn.XLOOKUP(GU$7,'CF_Debt Schedule'!$16:$16,'CF_Debt Schedule'!34:34),0)</f>
        <v>0</v>
      </c>
      <c r="GV30" s="258">
        <f>IFERROR(_xlfn.XLOOKUP(GV$7,'CF_Debt Schedule'!$16:$16,'CF_Debt Schedule'!34:34),0)</f>
        <v>0</v>
      </c>
      <c r="GW30" s="258">
        <f>IFERROR(_xlfn.XLOOKUP(GW$7,'CF_Debt Schedule'!$16:$16,'CF_Debt Schedule'!34:34),0)</f>
        <v>0</v>
      </c>
      <c r="GX30" s="258">
        <f>IFERROR(_xlfn.XLOOKUP(GX$7,'CF_Debt Schedule'!$16:$16,'CF_Debt Schedule'!34:34),0)</f>
        <v>0</v>
      </c>
      <c r="GY30" s="258">
        <f>IFERROR(_xlfn.XLOOKUP(GY$7,'CF_Debt Schedule'!$16:$16,'CF_Debt Schedule'!34:34),0)</f>
        <v>0</v>
      </c>
      <c r="GZ30" s="258">
        <f>IFERROR(_xlfn.XLOOKUP(GZ$7,'CF_Debt Schedule'!$16:$16,'CF_Debt Schedule'!34:34),0)</f>
        <v>0</v>
      </c>
      <c r="HA30" s="258">
        <f>IFERROR(_xlfn.XLOOKUP(HA$7,'CF_Debt Schedule'!$16:$16,'CF_Debt Schedule'!34:34),0)</f>
        <v>0</v>
      </c>
      <c r="HB30" s="258">
        <f>IFERROR(_xlfn.XLOOKUP(HB$7,'CF_Debt Schedule'!$16:$16,'CF_Debt Schedule'!34:34),0)</f>
        <v>0</v>
      </c>
      <c r="HC30" s="258">
        <f>IFERROR(_xlfn.XLOOKUP(HC$7,'CF_Debt Schedule'!$16:$16,'CF_Debt Schedule'!34:34),0)</f>
        <v>0</v>
      </c>
      <c r="HD30" s="258">
        <f>IFERROR(_xlfn.XLOOKUP(HD$7,'CF_Debt Schedule'!$16:$16,'CF_Debt Schedule'!34:34),0)</f>
        <v>0</v>
      </c>
      <c r="HE30" s="258">
        <f>IFERROR(_xlfn.XLOOKUP(HE$7,'CF_Debt Schedule'!$16:$16,'CF_Debt Schedule'!34:34),0)</f>
        <v>0</v>
      </c>
      <c r="HF30" s="258">
        <f>IFERROR(_xlfn.XLOOKUP(HF$7,'CF_Debt Schedule'!$16:$16,'CF_Debt Schedule'!34:34),0)</f>
        <v>0</v>
      </c>
      <c r="HG30" s="258">
        <f>IFERROR(_xlfn.XLOOKUP(HG$7,'CF_Debt Schedule'!$16:$16,'CF_Debt Schedule'!34:34),0)</f>
        <v>0</v>
      </c>
      <c r="HH30" s="258">
        <f>IFERROR(_xlfn.XLOOKUP(HH$7,'CF_Debt Schedule'!$16:$16,'CF_Debt Schedule'!34:34),0)</f>
        <v>0</v>
      </c>
      <c r="HI30" s="258">
        <f>IFERROR(_xlfn.XLOOKUP(HI$7,'CF_Debt Schedule'!$16:$16,'CF_Debt Schedule'!34:34),0)</f>
        <v>0</v>
      </c>
      <c r="HJ30" s="258">
        <f>IFERROR(_xlfn.XLOOKUP(HJ$7,'CF_Debt Schedule'!$16:$16,'CF_Debt Schedule'!34:34),0)</f>
        <v>0</v>
      </c>
      <c r="HK30" s="258">
        <f>IFERROR(_xlfn.XLOOKUP(HK$7,'CF_Debt Schedule'!$16:$16,'CF_Debt Schedule'!34:34),0)</f>
        <v>0</v>
      </c>
      <c r="HL30" s="258">
        <f>IFERROR(_xlfn.XLOOKUP(HL$7,'CF_Debt Schedule'!$16:$16,'CF_Debt Schedule'!34:34),0)</f>
        <v>0</v>
      </c>
      <c r="HM30" s="258">
        <f>IFERROR(_xlfn.XLOOKUP(HM$7,'CF_Debt Schedule'!$16:$16,'CF_Debt Schedule'!34:34),0)</f>
        <v>0</v>
      </c>
      <c r="HN30" s="258">
        <f>IFERROR(_xlfn.XLOOKUP(HN$7,'CF_Debt Schedule'!$16:$16,'CF_Debt Schedule'!34:34),0)</f>
        <v>0</v>
      </c>
      <c r="HO30" s="258">
        <f>IFERROR(_xlfn.XLOOKUP(HO$7,'CF_Debt Schedule'!$16:$16,'CF_Debt Schedule'!34:34),0)</f>
        <v>0</v>
      </c>
      <c r="HP30" s="258">
        <f>IFERROR(_xlfn.XLOOKUP(HP$7,'CF_Debt Schedule'!$16:$16,'CF_Debt Schedule'!34:34),0)</f>
        <v>0</v>
      </c>
      <c r="HQ30" s="258">
        <f>IFERROR(_xlfn.XLOOKUP(HQ$7,'CF_Debt Schedule'!$16:$16,'CF_Debt Schedule'!34:34),0)</f>
        <v>0</v>
      </c>
      <c r="HR30" s="258">
        <f>IFERROR(_xlfn.XLOOKUP(HR$7,'CF_Debt Schedule'!$16:$16,'CF_Debt Schedule'!34:34),0)</f>
        <v>0</v>
      </c>
      <c r="HS30" s="258">
        <f>IFERROR(_xlfn.XLOOKUP(HS$7,'CF_Debt Schedule'!$16:$16,'CF_Debt Schedule'!34:34),0)</f>
        <v>0</v>
      </c>
      <c r="HT30" s="258">
        <f>IFERROR(_xlfn.XLOOKUP(HT$7,'CF_Debt Schedule'!$16:$16,'CF_Debt Schedule'!34:34),0)</f>
        <v>0</v>
      </c>
      <c r="HU30" s="258">
        <f>IFERROR(_xlfn.XLOOKUP(HU$7,'CF_Debt Schedule'!$16:$16,'CF_Debt Schedule'!34:34),0)</f>
        <v>0</v>
      </c>
      <c r="HV30" s="258">
        <f>IFERROR(_xlfn.XLOOKUP(HV$7,'CF_Debt Schedule'!$16:$16,'CF_Debt Schedule'!34:34),0)</f>
        <v>0</v>
      </c>
      <c r="HW30" s="258">
        <f>IFERROR(_xlfn.XLOOKUP(HW$7,'CF_Debt Schedule'!$16:$16,'CF_Debt Schedule'!34:34),0)</f>
        <v>0</v>
      </c>
      <c r="HX30" s="258">
        <f>IFERROR(_xlfn.XLOOKUP(HX$7,'CF_Debt Schedule'!$16:$16,'CF_Debt Schedule'!34:34),0)</f>
        <v>0</v>
      </c>
      <c r="HY30" s="258">
        <f>IFERROR(_xlfn.XLOOKUP(HY$7,'CF_Debt Schedule'!$16:$16,'CF_Debt Schedule'!34:34),0)</f>
        <v>0</v>
      </c>
      <c r="HZ30" s="258">
        <f>IFERROR(_xlfn.XLOOKUP(HZ$7,'CF_Debt Schedule'!$16:$16,'CF_Debt Schedule'!34:34),0)</f>
        <v>0</v>
      </c>
      <c r="IA30" s="258">
        <f>IFERROR(_xlfn.XLOOKUP(IA$7,'CF_Debt Schedule'!$16:$16,'CF_Debt Schedule'!34:34),0)</f>
        <v>0</v>
      </c>
      <c r="IB30" s="258">
        <f>IFERROR(_xlfn.XLOOKUP(IB$7,'CF_Debt Schedule'!$16:$16,'CF_Debt Schedule'!34:34),0)</f>
        <v>0</v>
      </c>
      <c r="IC30" s="258">
        <f>IFERROR(_xlfn.XLOOKUP(IC$7,'CF_Debt Schedule'!$16:$16,'CF_Debt Schedule'!34:34),0)</f>
        <v>0</v>
      </c>
      <c r="ID30" s="258">
        <f>IFERROR(_xlfn.XLOOKUP(ID$7,'CF_Debt Schedule'!$16:$16,'CF_Debt Schedule'!34:34),0)</f>
        <v>0</v>
      </c>
      <c r="IE30" s="258">
        <f>IFERROR(_xlfn.XLOOKUP(IE$7,'CF_Debt Schedule'!$16:$16,'CF_Debt Schedule'!34:34),0)</f>
        <v>0</v>
      </c>
      <c r="IF30" s="258">
        <f>IFERROR(_xlfn.XLOOKUP(IF$7,'CF_Debt Schedule'!$16:$16,'CF_Debt Schedule'!34:34),0)</f>
        <v>0</v>
      </c>
      <c r="IG30" s="258">
        <f>IFERROR(_xlfn.XLOOKUP(IG$7,'CF_Debt Schedule'!$16:$16,'CF_Debt Schedule'!34:34),0)</f>
        <v>0</v>
      </c>
      <c r="IH30" s="258">
        <f>IFERROR(_xlfn.XLOOKUP(IH$7,'CF_Debt Schedule'!$16:$16,'CF_Debt Schedule'!34:34),0)</f>
        <v>0</v>
      </c>
      <c r="II30" s="258">
        <f>IFERROR(_xlfn.XLOOKUP(II$7,'CF_Debt Schedule'!$16:$16,'CF_Debt Schedule'!34:34),0)</f>
        <v>0</v>
      </c>
      <c r="IJ30" s="258">
        <f>IFERROR(_xlfn.XLOOKUP(IJ$7,'CF_Debt Schedule'!$16:$16,'CF_Debt Schedule'!34:34),0)</f>
        <v>0</v>
      </c>
      <c r="IK30" s="258">
        <f>IFERROR(_xlfn.XLOOKUP(IK$7,'CF_Debt Schedule'!$16:$16,'CF_Debt Schedule'!34:34),0)</f>
        <v>0</v>
      </c>
      <c r="IL30" s="258">
        <f>IFERROR(_xlfn.XLOOKUP(IL$7,'CF_Debt Schedule'!$16:$16,'CF_Debt Schedule'!34:34),0)</f>
        <v>0</v>
      </c>
      <c r="IM30" s="258">
        <f>IFERROR(_xlfn.XLOOKUP(IM$7,'CF_Debt Schedule'!$16:$16,'CF_Debt Schedule'!34:34),0)</f>
        <v>0</v>
      </c>
      <c r="IN30" s="258">
        <f>IFERROR(_xlfn.XLOOKUP(IN$7,'CF_Debt Schedule'!$16:$16,'CF_Debt Schedule'!34:34),0)</f>
        <v>0</v>
      </c>
      <c r="IO30" s="258">
        <f>IFERROR(_xlfn.XLOOKUP(IO$7,'CF_Debt Schedule'!$16:$16,'CF_Debt Schedule'!34:34),0)</f>
        <v>0</v>
      </c>
      <c r="IP30" s="258">
        <f>IFERROR(_xlfn.XLOOKUP(IP$7,'CF_Debt Schedule'!$16:$16,'CF_Debt Schedule'!34:34),0)</f>
        <v>0</v>
      </c>
      <c r="IQ30" s="258">
        <f>IFERROR(_xlfn.XLOOKUP(IQ$7,'CF_Debt Schedule'!$16:$16,'CF_Debt Schedule'!34:34),0)</f>
        <v>0</v>
      </c>
      <c r="IR30" s="258">
        <f>IFERROR(_xlfn.XLOOKUP(IR$7,'CF_Debt Schedule'!$16:$16,'CF_Debt Schedule'!34:34),0)</f>
        <v>0</v>
      </c>
      <c r="IS30" s="258">
        <f>IFERROR(_xlfn.XLOOKUP(IS$7,'CF_Debt Schedule'!$16:$16,'CF_Debt Schedule'!34:34),0)</f>
        <v>0</v>
      </c>
      <c r="IT30" s="258">
        <f>IFERROR(_xlfn.XLOOKUP(IT$7,'CF_Debt Schedule'!$16:$16,'CF_Debt Schedule'!34:34),0)</f>
        <v>0</v>
      </c>
      <c r="IU30" s="258">
        <f>IFERROR(_xlfn.XLOOKUP(IU$7,'CF_Debt Schedule'!$16:$16,'CF_Debt Schedule'!34:34),0)</f>
        <v>0</v>
      </c>
      <c r="IV30" s="258">
        <f>IFERROR(_xlfn.XLOOKUP(IV$7,'CF_Debt Schedule'!$16:$16,'CF_Debt Schedule'!34:34),0)</f>
        <v>0</v>
      </c>
      <c r="IW30" s="258">
        <f>IFERROR(_xlfn.XLOOKUP(IW$7,'CF_Debt Schedule'!$16:$16,'CF_Debt Schedule'!34:34),0)</f>
        <v>0</v>
      </c>
      <c r="IX30" s="258">
        <f>IFERROR(_xlfn.XLOOKUP(IX$7,'CF_Debt Schedule'!$16:$16,'CF_Debt Schedule'!34:34),0)</f>
        <v>0</v>
      </c>
      <c r="IY30" s="258">
        <f>IFERROR(_xlfn.XLOOKUP(IY$7,'CF_Debt Schedule'!$16:$16,'CF_Debt Schedule'!34:34),0)</f>
        <v>0</v>
      </c>
      <c r="IZ30" s="258">
        <f>IFERROR(_xlfn.XLOOKUP(IZ$7,'CF_Debt Schedule'!$16:$16,'CF_Debt Schedule'!34:34),0)</f>
        <v>0</v>
      </c>
      <c r="JA30" s="258">
        <f>IFERROR(_xlfn.XLOOKUP(JA$7,'CF_Debt Schedule'!$16:$16,'CF_Debt Schedule'!34:34),0)</f>
        <v>0</v>
      </c>
      <c r="JB30" s="258">
        <f>IFERROR(_xlfn.XLOOKUP(JB$7,'CF_Debt Schedule'!$16:$16,'CF_Debt Schedule'!34:34),0)</f>
        <v>0</v>
      </c>
      <c r="JC30" s="258">
        <f>IFERROR(_xlfn.XLOOKUP(JC$7,'CF_Debt Schedule'!$16:$16,'CF_Debt Schedule'!34:34),0)</f>
        <v>0</v>
      </c>
      <c r="JD30" s="258">
        <f>IFERROR(_xlfn.XLOOKUP(JD$7,'CF_Debt Schedule'!$16:$16,'CF_Debt Schedule'!34:34),0)</f>
        <v>0</v>
      </c>
      <c r="JE30" s="258">
        <f>IFERROR(_xlfn.XLOOKUP(JE$7,'CF_Debt Schedule'!$16:$16,'CF_Debt Schedule'!34:34),0)</f>
        <v>0</v>
      </c>
      <c r="JF30" s="258">
        <f>IFERROR(_xlfn.XLOOKUP(JF$7,'CF_Debt Schedule'!$16:$16,'CF_Debt Schedule'!34:34),0)</f>
        <v>0</v>
      </c>
      <c r="JG30" s="258">
        <f>IFERROR(_xlfn.XLOOKUP(JG$7,'CF_Debt Schedule'!$16:$16,'CF_Debt Schedule'!34:34),0)</f>
        <v>0</v>
      </c>
      <c r="JH30" s="258">
        <f>IFERROR(_xlfn.XLOOKUP(JH$7,'CF_Debt Schedule'!$16:$16,'CF_Debt Schedule'!34:34),0)</f>
        <v>0</v>
      </c>
      <c r="JI30" s="258">
        <f>IFERROR(_xlfn.XLOOKUP(JI$7,'CF_Debt Schedule'!$16:$16,'CF_Debt Schedule'!34:34),0)</f>
        <v>0</v>
      </c>
      <c r="JJ30" s="258">
        <f>IFERROR(_xlfn.XLOOKUP(JJ$7,'CF_Debt Schedule'!$16:$16,'CF_Debt Schedule'!34:34),0)</f>
        <v>0</v>
      </c>
      <c r="JK30" s="258">
        <f>IFERROR(_xlfn.XLOOKUP(JK$7,'CF_Debt Schedule'!$16:$16,'CF_Debt Schedule'!34:34),0)</f>
        <v>0</v>
      </c>
      <c r="JL30" s="258">
        <f>IFERROR(_xlfn.XLOOKUP(JL$7,'CF_Debt Schedule'!$16:$16,'CF_Debt Schedule'!34:34),0)</f>
        <v>0</v>
      </c>
      <c r="JM30" s="258">
        <f>IFERROR(_xlfn.XLOOKUP(JM$7,'CF_Debt Schedule'!$16:$16,'CF_Debt Schedule'!34:34),0)</f>
        <v>0</v>
      </c>
      <c r="JN30" s="258">
        <f>IFERROR(_xlfn.XLOOKUP(JN$7,'CF_Debt Schedule'!$16:$16,'CF_Debt Schedule'!34:34),0)</f>
        <v>0</v>
      </c>
      <c r="JO30" s="258">
        <f>IFERROR(_xlfn.XLOOKUP(JO$7,'CF_Debt Schedule'!$16:$16,'CF_Debt Schedule'!34:34),0)</f>
        <v>0</v>
      </c>
      <c r="JP30" s="258">
        <f>IFERROR(_xlfn.XLOOKUP(JP$7,'CF_Debt Schedule'!$16:$16,'CF_Debt Schedule'!34:34),0)</f>
        <v>0</v>
      </c>
      <c r="JQ30" s="258">
        <f>IFERROR(_xlfn.XLOOKUP(JQ$7,'CF_Debt Schedule'!$16:$16,'CF_Debt Schedule'!34:34),0)</f>
        <v>0</v>
      </c>
      <c r="JR30" s="258">
        <f>IFERROR(_xlfn.XLOOKUP(JR$7,'CF_Debt Schedule'!$16:$16,'CF_Debt Schedule'!34:34),0)</f>
        <v>0</v>
      </c>
      <c r="JS30" s="258">
        <f>IFERROR(_xlfn.XLOOKUP(JS$7,'CF_Debt Schedule'!$16:$16,'CF_Debt Schedule'!34:34),0)</f>
        <v>0</v>
      </c>
      <c r="JT30" s="258">
        <f>IFERROR(_xlfn.XLOOKUP(JT$7,'CF_Debt Schedule'!$16:$16,'CF_Debt Schedule'!34:34),0)</f>
        <v>0</v>
      </c>
      <c r="JU30" s="258">
        <f>IFERROR(_xlfn.XLOOKUP(JU$7,'CF_Debt Schedule'!$16:$16,'CF_Debt Schedule'!34:34),0)</f>
        <v>0</v>
      </c>
      <c r="JV30" s="258">
        <f>IFERROR(_xlfn.XLOOKUP(JV$7,'CF_Debt Schedule'!$16:$16,'CF_Debt Schedule'!34:34),0)</f>
        <v>0</v>
      </c>
      <c r="JW30" s="258">
        <f>IFERROR(_xlfn.XLOOKUP(JW$7,'CF_Debt Schedule'!$16:$16,'CF_Debt Schedule'!34:34),0)</f>
        <v>0</v>
      </c>
      <c r="JX30" s="258">
        <f>IFERROR(_xlfn.XLOOKUP(JX$7,'CF_Debt Schedule'!$16:$16,'CF_Debt Schedule'!34:34),0)</f>
        <v>0</v>
      </c>
      <c r="JY30" s="258">
        <f>IFERROR(_xlfn.XLOOKUP(JY$7,'CF_Debt Schedule'!$16:$16,'CF_Debt Schedule'!34:34),0)</f>
        <v>0</v>
      </c>
      <c r="JZ30" s="258">
        <f>IFERROR(_xlfn.XLOOKUP(JZ$7,'CF_Debt Schedule'!$16:$16,'CF_Debt Schedule'!34:34),0)</f>
        <v>0</v>
      </c>
      <c r="KA30" s="258">
        <f>IFERROR(_xlfn.XLOOKUP(KA$7,'CF_Debt Schedule'!$16:$16,'CF_Debt Schedule'!34:34),0)</f>
        <v>0</v>
      </c>
      <c r="KB30" s="258">
        <f>IFERROR(_xlfn.XLOOKUP(KB$7,'CF_Debt Schedule'!$16:$16,'CF_Debt Schedule'!34:34),0)</f>
        <v>0</v>
      </c>
      <c r="KC30" s="258">
        <f t="shared" ref="KC30:KC35" ca="1" si="443">SUMIF($C$7:$KB$7,"&lt;="&amp;$KC$6,C30:KB30)</f>
        <v>-33.425049855519845</v>
      </c>
    </row>
    <row r="31" spans="1:289" x14ac:dyDescent="0.3">
      <c r="A31" s="1" t="s">
        <v>146</v>
      </c>
      <c r="B31" s="257">
        <f ca="1">SUM(C31:BE31)</f>
        <v>-2.1240031680815004</v>
      </c>
      <c r="C31" s="258"/>
      <c r="D31" s="258">
        <f ca="1">-'CF_Debt Schedule'!B21</f>
        <v>-2.1240031680815004</v>
      </c>
      <c r="E31" s="258">
        <f>-IFERROR(_xlfn.XLOOKUP(E$7,'CF_Debt Schedule'!$16:$16,'CF_Debt Schedule'!21:21),0)</f>
        <v>0</v>
      </c>
      <c r="F31" s="258">
        <f>-IFERROR(_xlfn.XLOOKUP(F$7,'CF_Debt Schedule'!$16:$16,'CF_Debt Schedule'!21:21),0)</f>
        <v>0</v>
      </c>
      <c r="G31" s="258">
        <f>-IFERROR(_xlfn.XLOOKUP(G$7,'CF_Debt Schedule'!$16:$16,'CF_Debt Schedule'!21:21),0)</f>
        <v>0</v>
      </c>
      <c r="H31" s="258">
        <f>-IFERROR(_xlfn.XLOOKUP(H$7,'CF_Debt Schedule'!$16:$16,'CF_Debt Schedule'!21:21),0)</f>
        <v>0</v>
      </c>
      <c r="I31" s="258">
        <f>-IFERROR(_xlfn.XLOOKUP(I$7,'CF_Debt Schedule'!$16:$16,'CF_Debt Schedule'!21:21),0)</f>
        <v>0</v>
      </c>
      <c r="J31" s="258">
        <f>-IFERROR(_xlfn.XLOOKUP(J$7,'CF_Debt Schedule'!$16:$16,'CF_Debt Schedule'!21:21),0)</f>
        <v>0</v>
      </c>
      <c r="K31" s="258">
        <f>-IFERROR(_xlfn.XLOOKUP(K$7,'CF_Debt Schedule'!$16:$16,'CF_Debt Schedule'!21:21),0)</f>
        <v>0</v>
      </c>
      <c r="L31" s="258">
        <f>-IFERROR(_xlfn.XLOOKUP(L$7,'CF_Debt Schedule'!$16:$16,'CF_Debt Schedule'!21:21),0)</f>
        <v>0</v>
      </c>
      <c r="M31" s="258">
        <f>-IFERROR(_xlfn.XLOOKUP(M$7,'CF_Debt Schedule'!$16:$16,'CF_Debt Schedule'!21:21),0)</f>
        <v>0</v>
      </c>
      <c r="N31" s="258">
        <f>-IFERROR(_xlfn.XLOOKUP(N$7,'CF_Debt Schedule'!$16:$16,'CF_Debt Schedule'!21:21),0)</f>
        <v>0</v>
      </c>
      <c r="O31" s="258">
        <f>-IFERROR(_xlfn.XLOOKUP(O$7,'CF_Debt Schedule'!$16:$16,'CF_Debt Schedule'!21:21),0)</f>
        <v>0</v>
      </c>
      <c r="P31" s="258">
        <f>-IFERROR(_xlfn.XLOOKUP(P$7,'CF_Debt Schedule'!$16:$16,'CF_Debt Schedule'!21:21),0)</f>
        <v>0</v>
      </c>
      <c r="Q31" s="258">
        <f>-IFERROR(_xlfn.XLOOKUP(Q$7,'CF_Debt Schedule'!$16:$16,'CF_Debt Schedule'!21:21),0)</f>
        <v>0</v>
      </c>
      <c r="R31" s="258">
        <f>-IFERROR(_xlfn.XLOOKUP(R$7,'CF_Debt Schedule'!$16:$16,'CF_Debt Schedule'!21:21),0)</f>
        <v>0</v>
      </c>
      <c r="S31" s="258">
        <f>-IFERROR(_xlfn.XLOOKUP(S$7,'CF_Debt Schedule'!$16:$16,'CF_Debt Schedule'!21:21),0)</f>
        <v>0</v>
      </c>
      <c r="T31" s="258">
        <f>-IFERROR(_xlfn.XLOOKUP(T$7,'CF_Debt Schedule'!$16:$16,'CF_Debt Schedule'!21:21),0)</f>
        <v>0</v>
      </c>
      <c r="U31" s="258">
        <f>-IFERROR(_xlfn.XLOOKUP(U$7,'CF_Debt Schedule'!$16:$16,'CF_Debt Schedule'!21:21),0)</f>
        <v>0</v>
      </c>
      <c r="V31" s="258">
        <f>-IFERROR(_xlfn.XLOOKUP(V$7,'CF_Debt Schedule'!$16:$16,'CF_Debt Schedule'!21:21),0)</f>
        <v>0</v>
      </c>
      <c r="W31" s="258">
        <f>-IFERROR(_xlfn.XLOOKUP(W$7,'CF_Debt Schedule'!$16:$16,'CF_Debt Schedule'!21:21),0)</f>
        <v>0</v>
      </c>
      <c r="X31" s="258">
        <f>-IFERROR(_xlfn.XLOOKUP(X$7,'CF_Debt Schedule'!$16:$16,'CF_Debt Schedule'!21:21),0)</f>
        <v>0</v>
      </c>
      <c r="Y31" s="258">
        <f>-IFERROR(_xlfn.XLOOKUP(Y$7,'CF_Debt Schedule'!$16:$16,'CF_Debt Schedule'!21:21),0)</f>
        <v>0</v>
      </c>
      <c r="Z31" s="258">
        <f>-IFERROR(_xlfn.XLOOKUP(Z$7,'CF_Debt Schedule'!$16:$16,'CF_Debt Schedule'!21:21),0)</f>
        <v>0</v>
      </c>
      <c r="AA31" s="258">
        <f>-IFERROR(_xlfn.XLOOKUP(AA$7,'CF_Debt Schedule'!$16:$16,'CF_Debt Schedule'!21:21),0)</f>
        <v>0</v>
      </c>
      <c r="AB31" s="258">
        <f>-IFERROR(_xlfn.XLOOKUP(AB$7,'CF_Debt Schedule'!$16:$16,'CF_Debt Schedule'!21:21),0)</f>
        <v>0</v>
      </c>
      <c r="AC31" s="258">
        <f>-IFERROR(_xlfn.XLOOKUP(AC$7,'CF_Debt Schedule'!$16:$16,'CF_Debt Schedule'!21:21),0)</f>
        <v>0</v>
      </c>
      <c r="AD31" s="258">
        <f>-IFERROR(_xlfn.XLOOKUP(AD$7,'CF_Debt Schedule'!$16:$16,'CF_Debt Schedule'!21:21),0)</f>
        <v>0</v>
      </c>
      <c r="AE31" s="258">
        <f>-IFERROR(_xlfn.XLOOKUP(AE$7,'CF_Debt Schedule'!$16:$16,'CF_Debt Schedule'!21:21),0)</f>
        <v>0</v>
      </c>
      <c r="AF31" s="258">
        <f>-IFERROR(_xlfn.XLOOKUP(AF$7,'CF_Debt Schedule'!$16:$16,'CF_Debt Schedule'!21:21),0)</f>
        <v>0</v>
      </c>
      <c r="AG31" s="258">
        <f>-IFERROR(_xlfn.XLOOKUP(AG$7,'CF_Debt Schedule'!$16:$16,'CF_Debt Schedule'!21:21),0)</f>
        <v>0</v>
      </c>
      <c r="AH31" s="258">
        <f>-IFERROR(_xlfn.XLOOKUP(AH$7,'CF_Debt Schedule'!$16:$16,'CF_Debt Schedule'!21:21),0)</f>
        <v>0</v>
      </c>
      <c r="AI31" s="258">
        <f>-IFERROR(_xlfn.XLOOKUP(AI$7,'CF_Debt Schedule'!$16:$16,'CF_Debt Schedule'!21:21),0)</f>
        <v>0</v>
      </c>
      <c r="AJ31" s="258">
        <f>-IFERROR(_xlfn.XLOOKUP(AJ$7,'CF_Debt Schedule'!$16:$16,'CF_Debt Schedule'!21:21),0)</f>
        <v>0</v>
      </c>
      <c r="AK31" s="258">
        <f>-IFERROR(_xlfn.XLOOKUP(AK$7,'CF_Debt Schedule'!$16:$16,'CF_Debt Schedule'!21:21),0)</f>
        <v>0</v>
      </c>
      <c r="AL31" s="258">
        <f>-IFERROR(_xlfn.XLOOKUP(AL$7,'CF_Debt Schedule'!$16:$16,'CF_Debt Schedule'!21:21),0)</f>
        <v>0</v>
      </c>
      <c r="AM31" s="258">
        <f>-IFERROR(_xlfn.XLOOKUP(AM$7,'CF_Debt Schedule'!$16:$16,'CF_Debt Schedule'!21:21),0)</f>
        <v>0</v>
      </c>
      <c r="AN31" s="258">
        <f>-IFERROR(_xlfn.XLOOKUP(AN$7,'CF_Debt Schedule'!$16:$16,'CF_Debt Schedule'!21:21),0)</f>
        <v>0</v>
      </c>
      <c r="AO31" s="258">
        <f>-IFERROR(_xlfn.XLOOKUP(AO$7,'CF_Debt Schedule'!$16:$16,'CF_Debt Schedule'!21:21),0)</f>
        <v>0</v>
      </c>
      <c r="AP31" s="258">
        <f>-IFERROR(_xlfn.XLOOKUP(AP$7,'CF_Debt Schedule'!$16:$16,'CF_Debt Schedule'!21:21),0)</f>
        <v>0</v>
      </c>
      <c r="AQ31" s="258">
        <f>-IFERROR(_xlfn.XLOOKUP(AQ$7,'CF_Debt Schedule'!$16:$16,'CF_Debt Schedule'!21:21),0)</f>
        <v>0</v>
      </c>
      <c r="AR31" s="258">
        <f>-IFERROR(_xlfn.XLOOKUP(AR$7,'CF_Debt Schedule'!$16:$16,'CF_Debt Schedule'!21:21),0)</f>
        <v>0</v>
      </c>
      <c r="AS31" s="258">
        <f>-IFERROR(_xlfn.XLOOKUP(AS$7,'CF_Debt Schedule'!$16:$16,'CF_Debt Schedule'!21:21),0)</f>
        <v>0</v>
      </c>
      <c r="AT31" s="258">
        <f>-IFERROR(_xlfn.XLOOKUP(AT$7,'CF_Debt Schedule'!$16:$16,'CF_Debt Schedule'!21:21),0)</f>
        <v>0</v>
      </c>
      <c r="AU31" s="258">
        <f>-IFERROR(_xlfn.XLOOKUP(AU$7,'CF_Debt Schedule'!$16:$16,'CF_Debt Schedule'!21:21),0)</f>
        <v>0</v>
      </c>
      <c r="AV31" s="258">
        <f>-IFERROR(_xlfn.XLOOKUP(AV$7,'CF_Debt Schedule'!$16:$16,'CF_Debt Schedule'!21:21),0)</f>
        <v>0</v>
      </c>
      <c r="AW31" s="258">
        <f>-IFERROR(_xlfn.XLOOKUP(AW$7,'CF_Debt Schedule'!$16:$16,'CF_Debt Schedule'!21:21),0)</f>
        <v>0</v>
      </c>
      <c r="AX31" s="258">
        <f>-IFERROR(_xlfn.XLOOKUP(AX$7,'CF_Debt Schedule'!$16:$16,'CF_Debt Schedule'!21:21),0)</f>
        <v>0</v>
      </c>
      <c r="AY31" s="258">
        <f>-IFERROR(_xlfn.XLOOKUP(AY$7,'CF_Debt Schedule'!$16:$16,'CF_Debt Schedule'!21:21),0)</f>
        <v>0</v>
      </c>
      <c r="AZ31" s="258">
        <f>-IFERROR(_xlfn.XLOOKUP(AZ$7,'CF_Debt Schedule'!$16:$16,'CF_Debt Schedule'!21:21),0)</f>
        <v>0</v>
      </c>
      <c r="BA31" s="258">
        <f>-IFERROR(_xlfn.XLOOKUP(BA$7,'CF_Debt Schedule'!$16:$16,'CF_Debt Schedule'!21:21),0)</f>
        <v>0</v>
      </c>
      <c r="BB31" s="258">
        <f>-IFERROR(_xlfn.XLOOKUP(BB$7,'CF_Debt Schedule'!$16:$16,'CF_Debt Schedule'!21:21),0)</f>
        <v>0</v>
      </c>
      <c r="BC31" s="258">
        <f>-IFERROR(_xlfn.XLOOKUP(BC$7,'CF_Debt Schedule'!$16:$16,'CF_Debt Schedule'!21:21),0)</f>
        <v>0</v>
      </c>
      <c r="BD31" s="258">
        <f>-IFERROR(_xlfn.XLOOKUP(BD$7,'CF_Debt Schedule'!$16:$16,'CF_Debt Schedule'!21:21),0)</f>
        <v>0</v>
      </c>
      <c r="BE31" s="258">
        <f>-IFERROR(_xlfn.XLOOKUP(BE$7,'CF_Debt Schedule'!$16:$16,'CF_Debt Schedule'!21:21),0)</f>
        <v>0</v>
      </c>
      <c r="BF31" s="258">
        <f>-IFERROR(_xlfn.XLOOKUP(BF$7,'CF_Debt Schedule'!$16:$16,'CF_Debt Schedule'!21:21),0)</f>
        <v>0</v>
      </c>
      <c r="BG31" s="258">
        <f>-IFERROR(_xlfn.XLOOKUP(BG$7,'CF_Debt Schedule'!$16:$16,'CF_Debt Schedule'!21:21),0)</f>
        <v>0</v>
      </c>
      <c r="BH31" s="258">
        <f>-IFERROR(_xlfn.XLOOKUP(BH$7,'CF_Debt Schedule'!$16:$16,'CF_Debt Schedule'!21:21),0)</f>
        <v>0</v>
      </c>
      <c r="BI31" s="258">
        <f>-IFERROR(_xlfn.XLOOKUP(BI$7,'CF_Debt Schedule'!$16:$16,'CF_Debt Schedule'!21:21),0)</f>
        <v>0</v>
      </c>
      <c r="BJ31" s="258">
        <f>-IFERROR(_xlfn.XLOOKUP(BJ$7,'CF_Debt Schedule'!$16:$16,'CF_Debt Schedule'!21:21),0)</f>
        <v>0</v>
      </c>
      <c r="BK31" s="258">
        <f>-IFERROR(_xlfn.XLOOKUP(BK$7,'CF_Debt Schedule'!$16:$16,'CF_Debt Schedule'!21:21),0)</f>
        <v>0</v>
      </c>
      <c r="BL31" s="258">
        <f>-IFERROR(_xlfn.XLOOKUP(BL$7,'CF_Debt Schedule'!$16:$16,'CF_Debt Schedule'!21:21),0)</f>
        <v>0</v>
      </c>
      <c r="BM31" s="258">
        <f>-IFERROR(_xlfn.XLOOKUP(BM$7,'CF_Debt Schedule'!$16:$16,'CF_Debt Schedule'!21:21),0)</f>
        <v>0</v>
      </c>
      <c r="BN31" s="258">
        <f>-IFERROR(_xlfn.XLOOKUP(BN$7,'CF_Debt Schedule'!$16:$16,'CF_Debt Schedule'!21:21),0)</f>
        <v>0</v>
      </c>
      <c r="BO31" s="258">
        <f>-IFERROR(_xlfn.XLOOKUP(BO$7,'CF_Debt Schedule'!$16:$16,'CF_Debt Schedule'!21:21),0)</f>
        <v>0</v>
      </c>
      <c r="BP31" s="258">
        <f>-IFERROR(_xlfn.XLOOKUP(BP$7,'CF_Debt Schedule'!$16:$16,'CF_Debt Schedule'!21:21),0)</f>
        <v>0</v>
      </c>
      <c r="BQ31" s="258">
        <f>-IFERROR(_xlfn.XLOOKUP(BQ$7,'CF_Debt Schedule'!$16:$16,'CF_Debt Schedule'!21:21),0)</f>
        <v>0</v>
      </c>
      <c r="BR31" s="258">
        <f>-IFERROR(_xlfn.XLOOKUP(BR$7,'CF_Debt Schedule'!$16:$16,'CF_Debt Schedule'!21:21),0)</f>
        <v>0</v>
      </c>
      <c r="BS31" s="258">
        <f>-IFERROR(_xlfn.XLOOKUP(BS$7,'CF_Debt Schedule'!$16:$16,'CF_Debt Schedule'!21:21),0)</f>
        <v>0</v>
      </c>
      <c r="BT31" s="258">
        <f>-IFERROR(_xlfn.XLOOKUP(BT$7,'CF_Debt Schedule'!$16:$16,'CF_Debt Schedule'!21:21),0)</f>
        <v>0</v>
      </c>
      <c r="BU31" s="258">
        <f>-IFERROR(_xlfn.XLOOKUP(BU$7,'CF_Debt Schedule'!$16:$16,'CF_Debt Schedule'!21:21),0)</f>
        <v>0</v>
      </c>
      <c r="BV31" s="258">
        <f>-IFERROR(_xlfn.XLOOKUP(BV$7,'CF_Debt Schedule'!$16:$16,'CF_Debt Schedule'!21:21),0)</f>
        <v>0</v>
      </c>
      <c r="BW31" s="258">
        <f>-IFERROR(_xlfn.XLOOKUP(BW$7,'CF_Debt Schedule'!$16:$16,'CF_Debt Schedule'!21:21),0)</f>
        <v>0</v>
      </c>
      <c r="BX31" s="258">
        <f>-IFERROR(_xlfn.XLOOKUP(BX$7,'CF_Debt Schedule'!$16:$16,'CF_Debt Schedule'!21:21),0)</f>
        <v>0</v>
      </c>
      <c r="BY31" s="258">
        <f>-IFERROR(_xlfn.XLOOKUP(BY$7,'CF_Debt Schedule'!$16:$16,'CF_Debt Schedule'!21:21),0)</f>
        <v>0</v>
      </c>
      <c r="BZ31" s="258">
        <f>-IFERROR(_xlfn.XLOOKUP(BZ$7,'CF_Debt Schedule'!$16:$16,'CF_Debt Schedule'!21:21),0)</f>
        <v>0</v>
      </c>
      <c r="CA31" s="258">
        <f>-IFERROR(_xlfn.XLOOKUP(CA$7,'CF_Debt Schedule'!$16:$16,'CF_Debt Schedule'!21:21),0)</f>
        <v>0</v>
      </c>
      <c r="CB31" s="258">
        <f>-IFERROR(_xlfn.XLOOKUP(CB$7,'CF_Debt Schedule'!$16:$16,'CF_Debt Schedule'!21:21),0)</f>
        <v>0</v>
      </c>
      <c r="CC31" s="258">
        <f>-IFERROR(_xlfn.XLOOKUP(CC$7,'CF_Debt Schedule'!$16:$16,'CF_Debt Schedule'!21:21),0)</f>
        <v>0</v>
      </c>
      <c r="CD31" s="258">
        <f>-IFERROR(_xlfn.XLOOKUP(CD$7,'CF_Debt Schedule'!$16:$16,'CF_Debt Schedule'!21:21),0)</f>
        <v>0</v>
      </c>
      <c r="CE31" s="258">
        <f>-IFERROR(_xlfn.XLOOKUP(CE$7,'CF_Debt Schedule'!$16:$16,'CF_Debt Schedule'!21:21),0)</f>
        <v>0</v>
      </c>
      <c r="CF31" s="258">
        <f>-IFERROR(_xlfn.XLOOKUP(CF$7,'CF_Debt Schedule'!$16:$16,'CF_Debt Schedule'!21:21),0)</f>
        <v>0</v>
      </c>
      <c r="CG31" s="258">
        <f>-IFERROR(_xlfn.XLOOKUP(CG$7,'CF_Debt Schedule'!$16:$16,'CF_Debt Schedule'!21:21),0)</f>
        <v>0</v>
      </c>
      <c r="CH31" s="258">
        <f>-IFERROR(_xlfn.XLOOKUP(CH$7,'CF_Debt Schedule'!$16:$16,'CF_Debt Schedule'!21:21),0)</f>
        <v>0</v>
      </c>
      <c r="CI31" s="258">
        <f>-IFERROR(_xlfn.XLOOKUP(CI$7,'CF_Debt Schedule'!$16:$16,'CF_Debt Schedule'!21:21),0)</f>
        <v>0</v>
      </c>
      <c r="CJ31" s="258">
        <f>-IFERROR(_xlfn.XLOOKUP(CJ$7,'CF_Debt Schedule'!$16:$16,'CF_Debt Schedule'!21:21),0)</f>
        <v>0</v>
      </c>
      <c r="CK31" s="258">
        <f>-IFERROR(_xlfn.XLOOKUP(CK$7,'CF_Debt Schedule'!$16:$16,'CF_Debt Schedule'!21:21),0)</f>
        <v>0</v>
      </c>
      <c r="CL31" s="258">
        <f>-IFERROR(_xlfn.XLOOKUP(CL$7,'CF_Debt Schedule'!$16:$16,'CF_Debt Schedule'!21:21),0)</f>
        <v>0</v>
      </c>
      <c r="CM31" s="258">
        <f>-IFERROR(_xlfn.XLOOKUP(CM$7,'CF_Debt Schedule'!$16:$16,'CF_Debt Schedule'!21:21),0)</f>
        <v>0</v>
      </c>
      <c r="CN31" s="258">
        <f>-IFERROR(_xlfn.XLOOKUP(CN$7,'CF_Debt Schedule'!$16:$16,'CF_Debt Schedule'!21:21),0)</f>
        <v>0</v>
      </c>
      <c r="CO31" s="258">
        <f>-IFERROR(_xlfn.XLOOKUP(CO$7,'CF_Debt Schedule'!$16:$16,'CF_Debt Schedule'!21:21),0)</f>
        <v>0</v>
      </c>
      <c r="CP31" s="258">
        <f>-IFERROR(_xlfn.XLOOKUP(CP$7,'CF_Debt Schedule'!$16:$16,'CF_Debt Schedule'!21:21),0)</f>
        <v>0</v>
      </c>
      <c r="CQ31" s="258">
        <f>-IFERROR(_xlfn.XLOOKUP(CQ$7,'CF_Debt Schedule'!$16:$16,'CF_Debt Schedule'!21:21),0)</f>
        <v>0</v>
      </c>
      <c r="CR31" s="258">
        <f>-IFERROR(_xlfn.XLOOKUP(CR$7,'CF_Debt Schedule'!$16:$16,'CF_Debt Schedule'!21:21),0)</f>
        <v>0</v>
      </c>
      <c r="CS31" s="258">
        <f>-IFERROR(_xlfn.XLOOKUP(CS$7,'CF_Debt Schedule'!$16:$16,'CF_Debt Schedule'!21:21),0)</f>
        <v>0</v>
      </c>
      <c r="CT31" s="258">
        <f>-IFERROR(_xlfn.XLOOKUP(CT$7,'CF_Debt Schedule'!$16:$16,'CF_Debt Schedule'!21:21),0)</f>
        <v>0</v>
      </c>
      <c r="CU31" s="258">
        <f>-IFERROR(_xlfn.XLOOKUP(CU$7,'CF_Debt Schedule'!$16:$16,'CF_Debt Schedule'!21:21),0)</f>
        <v>0</v>
      </c>
      <c r="CV31" s="258">
        <f>-IFERROR(_xlfn.XLOOKUP(CV$7,'CF_Debt Schedule'!$16:$16,'CF_Debt Schedule'!21:21),0)</f>
        <v>0</v>
      </c>
      <c r="CW31" s="258">
        <f>-IFERROR(_xlfn.XLOOKUP(CW$7,'CF_Debt Schedule'!$16:$16,'CF_Debt Schedule'!21:21),0)</f>
        <v>0</v>
      </c>
      <c r="CX31" s="258">
        <f>-IFERROR(_xlfn.XLOOKUP(CX$7,'CF_Debt Schedule'!$16:$16,'CF_Debt Schedule'!21:21),0)</f>
        <v>0</v>
      </c>
      <c r="CY31" s="258">
        <f>-IFERROR(_xlfn.XLOOKUP(CY$7,'CF_Debt Schedule'!$16:$16,'CF_Debt Schedule'!21:21),0)</f>
        <v>0</v>
      </c>
      <c r="CZ31" s="258">
        <f>-IFERROR(_xlfn.XLOOKUP(CZ$7,'CF_Debt Schedule'!$16:$16,'CF_Debt Schedule'!21:21),0)</f>
        <v>0</v>
      </c>
      <c r="DA31" s="258">
        <f>-IFERROR(_xlfn.XLOOKUP(DA$7,'CF_Debt Schedule'!$16:$16,'CF_Debt Schedule'!21:21),0)</f>
        <v>0</v>
      </c>
      <c r="DB31" s="258">
        <f>-IFERROR(_xlfn.XLOOKUP(DB$7,'CF_Debt Schedule'!$16:$16,'CF_Debt Schedule'!21:21),0)</f>
        <v>0</v>
      </c>
      <c r="DC31" s="258">
        <f>-IFERROR(_xlfn.XLOOKUP(DC$7,'CF_Debt Schedule'!$16:$16,'CF_Debt Schedule'!21:21),0)</f>
        <v>0</v>
      </c>
      <c r="DD31" s="258">
        <f>-IFERROR(_xlfn.XLOOKUP(DD$7,'CF_Debt Schedule'!$16:$16,'CF_Debt Schedule'!21:21),0)</f>
        <v>0</v>
      </c>
      <c r="DE31" s="258">
        <f>-IFERROR(_xlfn.XLOOKUP(DE$7,'CF_Debt Schedule'!$16:$16,'CF_Debt Schedule'!21:21),0)</f>
        <v>0</v>
      </c>
      <c r="DF31" s="258">
        <f>-IFERROR(_xlfn.XLOOKUP(DF$7,'CF_Debt Schedule'!$16:$16,'CF_Debt Schedule'!21:21),0)</f>
        <v>0</v>
      </c>
      <c r="DG31" s="258">
        <f>-IFERROR(_xlfn.XLOOKUP(DG$7,'CF_Debt Schedule'!$16:$16,'CF_Debt Schedule'!21:21),0)</f>
        <v>0</v>
      </c>
      <c r="DH31" s="258">
        <f>-IFERROR(_xlfn.XLOOKUP(DH$7,'CF_Debt Schedule'!$16:$16,'CF_Debt Schedule'!21:21),0)</f>
        <v>0</v>
      </c>
      <c r="DI31" s="258">
        <f>-IFERROR(_xlfn.XLOOKUP(DI$7,'CF_Debt Schedule'!$16:$16,'CF_Debt Schedule'!21:21),0)</f>
        <v>0</v>
      </c>
      <c r="DJ31" s="258">
        <f>-IFERROR(_xlfn.XLOOKUP(DJ$7,'CF_Debt Schedule'!$16:$16,'CF_Debt Schedule'!21:21),0)</f>
        <v>0</v>
      </c>
      <c r="DK31" s="258">
        <f>-IFERROR(_xlfn.XLOOKUP(DK$7,'CF_Debt Schedule'!$16:$16,'CF_Debt Schedule'!21:21),0)</f>
        <v>0</v>
      </c>
      <c r="DL31" s="258">
        <f>-IFERROR(_xlfn.XLOOKUP(DL$7,'CF_Debt Schedule'!$16:$16,'CF_Debt Schedule'!21:21),0)</f>
        <v>0</v>
      </c>
      <c r="DM31" s="258">
        <f>-IFERROR(_xlfn.XLOOKUP(DM$7,'CF_Debt Schedule'!$16:$16,'CF_Debt Schedule'!21:21),0)</f>
        <v>0</v>
      </c>
      <c r="DN31" s="258">
        <f>-IFERROR(_xlfn.XLOOKUP(DN$7,'CF_Debt Schedule'!$16:$16,'CF_Debt Schedule'!21:21),0)</f>
        <v>0</v>
      </c>
      <c r="DO31" s="258">
        <f>-IFERROR(_xlfn.XLOOKUP(DO$7,'CF_Debt Schedule'!$16:$16,'CF_Debt Schedule'!21:21),0)</f>
        <v>0</v>
      </c>
      <c r="DP31" s="258">
        <f>-IFERROR(_xlfn.XLOOKUP(DP$7,'CF_Debt Schedule'!$16:$16,'CF_Debt Schedule'!21:21),0)</f>
        <v>0</v>
      </c>
      <c r="DQ31" s="258">
        <f>-IFERROR(_xlfn.XLOOKUP(DQ$7,'CF_Debt Schedule'!$16:$16,'CF_Debt Schedule'!21:21),0)</f>
        <v>0</v>
      </c>
      <c r="DR31" s="258">
        <f>-IFERROR(_xlfn.XLOOKUP(DR$7,'CF_Debt Schedule'!$16:$16,'CF_Debt Schedule'!21:21),0)</f>
        <v>0</v>
      </c>
      <c r="DS31" s="258">
        <f>-IFERROR(_xlfn.XLOOKUP(DS$7,'CF_Debt Schedule'!$16:$16,'CF_Debt Schedule'!21:21),0)</f>
        <v>0</v>
      </c>
      <c r="DT31" s="258">
        <f>-IFERROR(_xlfn.XLOOKUP(DT$7,'CF_Debt Schedule'!$16:$16,'CF_Debt Schedule'!21:21),0)</f>
        <v>0</v>
      </c>
      <c r="DU31" s="258">
        <f>-IFERROR(_xlfn.XLOOKUP(DU$7,'CF_Debt Schedule'!$16:$16,'CF_Debt Schedule'!21:21),0)</f>
        <v>0</v>
      </c>
      <c r="DV31" s="258">
        <f>-IFERROR(_xlfn.XLOOKUP(DV$7,'CF_Debt Schedule'!$16:$16,'CF_Debt Schedule'!21:21),0)</f>
        <v>0</v>
      </c>
      <c r="DW31" s="258">
        <f>-IFERROR(_xlfn.XLOOKUP(DW$7,'CF_Debt Schedule'!$16:$16,'CF_Debt Schedule'!21:21),0)</f>
        <v>0</v>
      </c>
      <c r="DX31" s="258">
        <f>-IFERROR(_xlfn.XLOOKUP(DX$7,'CF_Debt Schedule'!$16:$16,'CF_Debt Schedule'!21:21),0)</f>
        <v>0</v>
      </c>
      <c r="DY31" s="258">
        <f>-IFERROR(_xlfn.XLOOKUP(DY$7,'CF_Debt Schedule'!$16:$16,'CF_Debt Schedule'!21:21),0)</f>
        <v>0</v>
      </c>
      <c r="DZ31" s="258">
        <f>-IFERROR(_xlfn.XLOOKUP(DZ$7,'CF_Debt Schedule'!$16:$16,'CF_Debt Schedule'!21:21),0)</f>
        <v>0</v>
      </c>
      <c r="EA31" s="258">
        <f>-IFERROR(_xlfn.XLOOKUP(EA$7,'CF_Debt Schedule'!$16:$16,'CF_Debt Schedule'!21:21),0)</f>
        <v>0</v>
      </c>
      <c r="EB31" s="258">
        <f>-IFERROR(_xlfn.XLOOKUP(EB$7,'CF_Debt Schedule'!$16:$16,'CF_Debt Schedule'!21:21),0)</f>
        <v>0</v>
      </c>
      <c r="EC31" s="258">
        <f>-IFERROR(_xlfn.XLOOKUP(EC$7,'CF_Debt Schedule'!$16:$16,'CF_Debt Schedule'!21:21),0)</f>
        <v>0</v>
      </c>
      <c r="ED31" s="258">
        <f>-IFERROR(_xlfn.XLOOKUP(ED$7,'CF_Debt Schedule'!$16:$16,'CF_Debt Schedule'!21:21),0)</f>
        <v>0</v>
      </c>
      <c r="EE31" s="258">
        <f>-IFERROR(_xlfn.XLOOKUP(EE$7,'CF_Debt Schedule'!$16:$16,'CF_Debt Schedule'!21:21),0)</f>
        <v>0</v>
      </c>
      <c r="EF31" s="258">
        <f>-IFERROR(_xlfn.XLOOKUP(EF$7,'CF_Debt Schedule'!$16:$16,'CF_Debt Schedule'!21:21),0)</f>
        <v>0</v>
      </c>
      <c r="EG31" s="258">
        <f>-IFERROR(_xlfn.XLOOKUP(EG$7,'CF_Debt Schedule'!$16:$16,'CF_Debt Schedule'!21:21),0)</f>
        <v>0</v>
      </c>
      <c r="EH31" s="258">
        <f>-IFERROR(_xlfn.XLOOKUP(EH$7,'CF_Debt Schedule'!$16:$16,'CF_Debt Schedule'!21:21),0)</f>
        <v>0</v>
      </c>
      <c r="EI31" s="258">
        <f>-IFERROR(_xlfn.XLOOKUP(EI$7,'CF_Debt Schedule'!$16:$16,'CF_Debt Schedule'!21:21),0)</f>
        <v>0</v>
      </c>
      <c r="EJ31" s="258">
        <f>-IFERROR(_xlfn.XLOOKUP(EJ$7,'CF_Debt Schedule'!$16:$16,'CF_Debt Schedule'!21:21),0)</f>
        <v>0</v>
      </c>
      <c r="EK31" s="258">
        <f>-IFERROR(_xlfn.XLOOKUP(EK$7,'CF_Debt Schedule'!$16:$16,'CF_Debt Schedule'!21:21),0)</f>
        <v>0</v>
      </c>
      <c r="EL31" s="258">
        <f>-IFERROR(_xlfn.XLOOKUP(EL$7,'CF_Debt Schedule'!$16:$16,'CF_Debt Schedule'!21:21),0)</f>
        <v>0</v>
      </c>
      <c r="EM31" s="258">
        <f>-IFERROR(_xlfn.XLOOKUP(EM$7,'CF_Debt Schedule'!$16:$16,'CF_Debt Schedule'!21:21),0)</f>
        <v>0</v>
      </c>
      <c r="EN31" s="258">
        <f>-IFERROR(_xlfn.XLOOKUP(EN$7,'CF_Debt Schedule'!$16:$16,'CF_Debt Schedule'!21:21),0)</f>
        <v>0</v>
      </c>
      <c r="EO31" s="258">
        <f>-IFERROR(_xlfn.XLOOKUP(EO$7,'CF_Debt Schedule'!$16:$16,'CF_Debt Schedule'!21:21),0)</f>
        <v>0</v>
      </c>
      <c r="EP31" s="258">
        <f>-IFERROR(_xlfn.XLOOKUP(EP$7,'CF_Debt Schedule'!$16:$16,'CF_Debt Schedule'!21:21),0)</f>
        <v>0</v>
      </c>
      <c r="EQ31" s="258">
        <f>-IFERROR(_xlfn.XLOOKUP(EQ$7,'CF_Debt Schedule'!$16:$16,'CF_Debt Schedule'!21:21),0)</f>
        <v>0</v>
      </c>
      <c r="ER31" s="258">
        <f>-IFERROR(_xlfn.XLOOKUP(ER$7,'CF_Debt Schedule'!$16:$16,'CF_Debt Schedule'!21:21),0)</f>
        <v>0</v>
      </c>
      <c r="ES31" s="258">
        <f>-IFERROR(_xlfn.XLOOKUP(ES$7,'CF_Debt Schedule'!$16:$16,'CF_Debt Schedule'!21:21),0)</f>
        <v>0</v>
      </c>
      <c r="ET31" s="258">
        <f>-IFERROR(_xlfn.XLOOKUP(ET$7,'CF_Debt Schedule'!$16:$16,'CF_Debt Schedule'!21:21),0)</f>
        <v>0</v>
      </c>
      <c r="EU31" s="258">
        <f>-IFERROR(_xlfn.XLOOKUP(EU$7,'CF_Debt Schedule'!$16:$16,'CF_Debt Schedule'!21:21),0)</f>
        <v>0</v>
      </c>
      <c r="EV31" s="258">
        <f>-IFERROR(_xlfn.XLOOKUP(EV$7,'CF_Debt Schedule'!$16:$16,'CF_Debt Schedule'!21:21),0)</f>
        <v>0</v>
      </c>
      <c r="EW31" s="258">
        <f>-IFERROR(_xlfn.XLOOKUP(EW$7,'CF_Debt Schedule'!$16:$16,'CF_Debt Schedule'!21:21),0)</f>
        <v>0</v>
      </c>
      <c r="EX31" s="258">
        <f>-IFERROR(_xlfn.XLOOKUP(EX$7,'CF_Debt Schedule'!$16:$16,'CF_Debt Schedule'!21:21),0)</f>
        <v>0</v>
      </c>
      <c r="EY31" s="258">
        <f>-IFERROR(_xlfn.XLOOKUP(EY$7,'CF_Debt Schedule'!$16:$16,'CF_Debt Schedule'!21:21),0)</f>
        <v>0</v>
      </c>
      <c r="EZ31" s="258">
        <f>-IFERROR(_xlfn.XLOOKUP(EZ$7,'CF_Debt Schedule'!$16:$16,'CF_Debt Schedule'!21:21),0)</f>
        <v>0</v>
      </c>
      <c r="FA31" s="258">
        <f>-IFERROR(_xlfn.XLOOKUP(FA$7,'CF_Debt Schedule'!$16:$16,'CF_Debt Schedule'!21:21),0)</f>
        <v>0</v>
      </c>
      <c r="FB31" s="258">
        <f>-IFERROR(_xlfn.XLOOKUP(FB$7,'CF_Debt Schedule'!$16:$16,'CF_Debt Schedule'!21:21),0)</f>
        <v>0</v>
      </c>
      <c r="FC31" s="258">
        <f>-IFERROR(_xlfn.XLOOKUP(FC$7,'CF_Debt Schedule'!$16:$16,'CF_Debt Schedule'!21:21),0)</f>
        <v>0</v>
      </c>
      <c r="FD31" s="258">
        <f>-IFERROR(_xlfn.XLOOKUP(FD$7,'CF_Debt Schedule'!$16:$16,'CF_Debt Schedule'!21:21),0)</f>
        <v>0</v>
      </c>
      <c r="FE31" s="258">
        <f>-IFERROR(_xlfn.XLOOKUP(FE$7,'CF_Debt Schedule'!$16:$16,'CF_Debt Schedule'!21:21),0)</f>
        <v>0</v>
      </c>
      <c r="FF31" s="258">
        <f>-IFERROR(_xlfn.XLOOKUP(FF$7,'CF_Debt Schedule'!$16:$16,'CF_Debt Schedule'!21:21),0)</f>
        <v>0</v>
      </c>
      <c r="FG31" s="258">
        <f>-IFERROR(_xlfn.XLOOKUP(FG$7,'CF_Debt Schedule'!$16:$16,'CF_Debt Schedule'!21:21),0)</f>
        <v>0</v>
      </c>
      <c r="FH31" s="258">
        <f>-IFERROR(_xlfn.XLOOKUP(FH$7,'CF_Debt Schedule'!$16:$16,'CF_Debt Schedule'!21:21),0)</f>
        <v>0</v>
      </c>
      <c r="FI31" s="258">
        <f>-IFERROR(_xlfn.XLOOKUP(FI$7,'CF_Debt Schedule'!$16:$16,'CF_Debt Schedule'!21:21),0)</f>
        <v>0</v>
      </c>
      <c r="FJ31" s="258">
        <f>-IFERROR(_xlfn.XLOOKUP(FJ$7,'CF_Debt Schedule'!$16:$16,'CF_Debt Schedule'!21:21),0)</f>
        <v>0</v>
      </c>
      <c r="FK31" s="258">
        <f>-IFERROR(_xlfn.XLOOKUP(FK$7,'CF_Debt Schedule'!$16:$16,'CF_Debt Schedule'!21:21),0)</f>
        <v>0</v>
      </c>
      <c r="FL31" s="258">
        <f>-IFERROR(_xlfn.XLOOKUP(FL$7,'CF_Debt Schedule'!$16:$16,'CF_Debt Schedule'!21:21),0)</f>
        <v>0</v>
      </c>
      <c r="FM31" s="258">
        <f>-IFERROR(_xlfn.XLOOKUP(FM$7,'CF_Debt Schedule'!$16:$16,'CF_Debt Schedule'!21:21),0)</f>
        <v>0</v>
      </c>
      <c r="FN31" s="258">
        <f>-IFERROR(_xlfn.XLOOKUP(FN$7,'CF_Debt Schedule'!$16:$16,'CF_Debt Schedule'!21:21),0)</f>
        <v>0</v>
      </c>
      <c r="FO31" s="258">
        <f>-IFERROR(_xlfn.XLOOKUP(FO$7,'CF_Debt Schedule'!$16:$16,'CF_Debt Schedule'!21:21),0)</f>
        <v>0</v>
      </c>
      <c r="FP31" s="258">
        <f>-IFERROR(_xlfn.XLOOKUP(FP$7,'CF_Debt Schedule'!$16:$16,'CF_Debt Schedule'!21:21),0)</f>
        <v>0</v>
      </c>
      <c r="FQ31" s="258">
        <f>-IFERROR(_xlfn.XLOOKUP(FQ$7,'CF_Debt Schedule'!$16:$16,'CF_Debt Schedule'!21:21),0)</f>
        <v>0</v>
      </c>
      <c r="FR31" s="258">
        <f>-IFERROR(_xlfn.XLOOKUP(FR$7,'CF_Debt Schedule'!$16:$16,'CF_Debt Schedule'!21:21),0)</f>
        <v>0</v>
      </c>
      <c r="FS31" s="258">
        <f>-IFERROR(_xlfn.XLOOKUP(FS$7,'CF_Debt Schedule'!$16:$16,'CF_Debt Schedule'!21:21),0)</f>
        <v>0</v>
      </c>
      <c r="FT31" s="258">
        <f>-IFERROR(_xlfn.XLOOKUP(FT$7,'CF_Debt Schedule'!$16:$16,'CF_Debt Schedule'!21:21),0)</f>
        <v>0</v>
      </c>
      <c r="FU31" s="258">
        <f>-IFERROR(_xlfn.XLOOKUP(FU$7,'CF_Debt Schedule'!$16:$16,'CF_Debt Schedule'!21:21),0)</f>
        <v>0</v>
      </c>
      <c r="FV31" s="258">
        <f>-IFERROR(_xlfn.XLOOKUP(FV$7,'CF_Debt Schedule'!$16:$16,'CF_Debt Schedule'!21:21),0)</f>
        <v>0</v>
      </c>
      <c r="FW31" s="258">
        <f>-IFERROR(_xlfn.XLOOKUP(FW$7,'CF_Debt Schedule'!$16:$16,'CF_Debt Schedule'!21:21),0)</f>
        <v>0</v>
      </c>
      <c r="FX31" s="258">
        <f>-IFERROR(_xlfn.XLOOKUP(FX$7,'CF_Debt Schedule'!$16:$16,'CF_Debt Schedule'!21:21),0)</f>
        <v>0</v>
      </c>
      <c r="FY31" s="258">
        <f>-IFERROR(_xlfn.XLOOKUP(FY$7,'CF_Debt Schedule'!$16:$16,'CF_Debt Schedule'!21:21),0)</f>
        <v>0</v>
      </c>
      <c r="FZ31" s="258">
        <f>-IFERROR(_xlfn.XLOOKUP(FZ$7,'CF_Debt Schedule'!$16:$16,'CF_Debt Schedule'!21:21),0)</f>
        <v>0</v>
      </c>
      <c r="GA31" s="258">
        <f>-IFERROR(_xlfn.XLOOKUP(GA$7,'CF_Debt Schedule'!$16:$16,'CF_Debt Schedule'!21:21),0)</f>
        <v>0</v>
      </c>
      <c r="GB31" s="258">
        <f>-IFERROR(_xlfn.XLOOKUP(GB$7,'CF_Debt Schedule'!$16:$16,'CF_Debt Schedule'!21:21),0)</f>
        <v>0</v>
      </c>
      <c r="GC31" s="258">
        <f>-IFERROR(_xlfn.XLOOKUP(GC$7,'CF_Debt Schedule'!$16:$16,'CF_Debt Schedule'!21:21),0)</f>
        <v>0</v>
      </c>
      <c r="GD31" s="258">
        <f>-IFERROR(_xlfn.XLOOKUP(GD$7,'CF_Debt Schedule'!$16:$16,'CF_Debt Schedule'!21:21),0)</f>
        <v>0</v>
      </c>
      <c r="GE31" s="258">
        <f>-IFERROR(_xlfn.XLOOKUP(GE$7,'CF_Debt Schedule'!$16:$16,'CF_Debt Schedule'!21:21),0)</f>
        <v>0</v>
      </c>
      <c r="GF31" s="258">
        <f>-IFERROR(_xlfn.XLOOKUP(GF$7,'CF_Debt Schedule'!$16:$16,'CF_Debt Schedule'!21:21),0)</f>
        <v>0</v>
      </c>
      <c r="GG31" s="258">
        <f>-IFERROR(_xlfn.XLOOKUP(GG$7,'CF_Debt Schedule'!$16:$16,'CF_Debt Schedule'!21:21),0)</f>
        <v>0</v>
      </c>
      <c r="GH31" s="258">
        <f>-IFERROR(_xlfn.XLOOKUP(GH$7,'CF_Debt Schedule'!$16:$16,'CF_Debt Schedule'!21:21),0)</f>
        <v>0</v>
      </c>
      <c r="GI31" s="258">
        <f>-IFERROR(_xlfn.XLOOKUP(GI$7,'CF_Debt Schedule'!$16:$16,'CF_Debt Schedule'!21:21),0)</f>
        <v>0</v>
      </c>
      <c r="GJ31" s="258">
        <f>-IFERROR(_xlfn.XLOOKUP(GJ$7,'CF_Debt Schedule'!$16:$16,'CF_Debt Schedule'!21:21),0)</f>
        <v>0</v>
      </c>
      <c r="GK31" s="258">
        <f>-IFERROR(_xlfn.XLOOKUP(GK$7,'CF_Debt Schedule'!$16:$16,'CF_Debt Schedule'!21:21),0)</f>
        <v>0</v>
      </c>
      <c r="GL31" s="258">
        <f>-IFERROR(_xlfn.XLOOKUP(GL$7,'CF_Debt Schedule'!$16:$16,'CF_Debt Schedule'!21:21),0)</f>
        <v>0</v>
      </c>
      <c r="GM31" s="258">
        <f>-IFERROR(_xlfn.XLOOKUP(GM$7,'CF_Debt Schedule'!$16:$16,'CF_Debt Schedule'!21:21),0)</f>
        <v>0</v>
      </c>
      <c r="GN31" s="258">
        <f>-IFERROR(_xlfn.XLOOKUP(GN$7,'CF_Debt Schedule'!$16:$16,'CF_Debt Schedule'!21:21),0)</f>
        <v>0</v>
      </c>
      <c r="GO31" s="258">
        <f>-IFERROR(_xlfn.XLOOKUP(GO$7,'CF_Debt Schedule'!$16:$16,'CF_Debt Schedule'!21:21),0)</f>
        <v>0</v>
      </c>
      <c r="GP31" s="258">
        <f>-IFERROR(_xlfn.XLOOKUP(GP$7,'CF_Debt Schedule'!$16:$16,'CF_Debt Schedule'!21:21),0)</f>
        <v>0</v>
      </c>
      <c r="GQ31" s="258">
        <f>-IFERROR(_xlfn.XLOOKUP(GQ$7,'CF_Debt Schedule'!$16:$16,'CF_Debt Schedule'!21:21),0)</f>
        <v>0</v>
      </c>
      <c r="GR31" s="258">
        <f>-IFERROR(_xlfn.XLOOKUP(GR$7,'CF_Debt Schedule'!$16:$16,'CF_Debt Schedule'!21:21),0)</f>
        <v>0</v>
      </c>
      <c r="GS31" s="258">
        <f>-IFERROR(_xlfn.XLOOKUP(GS$7,'CF_Debt Schedule'!$16:$16,'CF_Debt Schedule'!21:21),0)</f>
        <v>0</v>
      </c>
      <c r="GT31" s="258">
        <f>-IFERROR(_xlfn.XLOOKUP(GT$7,'CF_Debt Schedule'!$16:$16,'CF_Debt Schedule'!21:21),0)</f>
        <v>0</v>
      </c>
      <c r="GU31" s="258">
        <f>-IFERROR(_xlfn.XLOOKUP(GU$7,'CF_Debt Schedule'!$16:$16,'CF_Debt Schedule'!21:21),0)</f>
        <v>0</v>
      </c>
      <c r="GV31" s="258">
        <f>-IFERROR(_xlfn.XLOOKUP(GV$7,'CF_Debt Schedule'!$16:$16,'CF_Debt Schedule'!21:21),0)</f>
        <v>0</v>
      </c>
      <c r="GW31" s="258">
        <f>-IFERROR(_xlfn.XLOOKUP(GW$7,'CF_Debt Schedule'!$16:$16,'CF_Debt Schedule'!21:21),0)</f>
        <v>0</v>
      </c>
      <c r="GX31" s="258">
        <f>-IFERROR(_xlfn.XLOOKUP(GX$7,'CF_Debt Schedule'!$16:$16,'CF_Debt Schedule'!21:21),0)</f>
        <v>0</v>
      </c>
      <c r="GY31" s="258">
        <f>-IFERROR(_xlfn.XLOOKUP(GY$7,'CF_Debt Schedule'!$16:$16,'CF_Debt Schedule'!21:21),0)</f>
        <v>0</v>
      </c>
      <c r="GZ31" s="258">
        <f>-IFERROR(_xlfn.XLOOKUP(GZ$7,'CF_Debt Schedule'!$16:$16,'CF_Debt Schedule'!21:21),0)</f>
        <v>0</v>
      </c>
      <c r="HA31" s="258">
        <f>-IFERROR(_xlfn.XLOOKUP(HA$7,'CF_Debt Schedule'!$16:$16,'CF_Debt Schedule'!21:21),0)</f>
        <v>0</v>
      </c>
      <c r="HB31" s="258">
        <f>-IFERROR(_xlfn.XLOOKUP(HB$7,'CF_Debt Schedule'!$16:$16,'CF_Debt Schedule'!21:21),0)</f>
        <v>0</v>
      </c>
      <c r="HC31" s="258">
        <f>-IFERROR(_xlfn.XLOOKUP(HC$7,'CF_Debt Schedule'!$16:$16,'CF_Debt Schedule'!21:21),0)</f>
        <v>0</v>
      </c>
      <c r="HD31" s="258">
        <f>-IFERROR(_xlfn.XLOOKUP(HD$7,'CF_Debt Schedule'!$16:$16,'CF_Debt Schedule'!21:21),0)</f>
        <v>0</v>
      </c>
      <c r="HE31" s="258">
        <f>-IFERROR(_xlfn.XLOOKUP(HE$7,'CF_Debt Schedule'!$16:$16,'CF_Debt Schedule'!21:21),0)</f>
        <v>0</v>
      </c>
      <c r="HF31" s="258">
        <f>-IFERROR(_xlfn.XLOOKUP(HF$7,'CF_Debt Schedule'!$16:$16,'CF_Debt Schedule'!21:21),0)</f>
        <v>0</v>
      </c>
      <c r="HG31" s="258">
        <f>-IFERROR(_xlfn.XLOOKUP(HG$7,'CF_Debt Schedule'!$16:$16,'CF_Debt Schedule'!21:21),0)</f>
        <v>0</v>
      </c>
      <c r="HH31" s="258">
        <f>-IFERROR(_xlfn.XLOOKUP(HH$7,'CF_Debt Schedule'!$16:$16,'CF_Debt Schedule'!21:21),0)</f>
        <v>0</v>
      </c>
      <c r="HI31" s="258">
        <f>-IFERROR(_xlfn.XLOOKUP(HI$7,'CF_Debt Schedule'!$16:$16,'CF_Debt Schedule'!21:21),0)</f>
        <v>0</v>
      </c>
      <c r="HJ31" s="258">
        <f>-IFERROR(_xlfn.XLOOKUP(HJ$7,'CF_Debt Schedule'!$16:$16,'CF_Debt Schedule'!21:21),0)</f>
        <v>0</v>
      </c>
      <c r="HK31" s="258">
        <f>-IFERROR(_xlfn.XLOOKUP(HK$7,'CF_Debt Schedule'!$16:$16,'CF_Debt Schedule'!21:21),0)</f>
        <v>0</v>
      </c>
      <c r="HL31" s="258">
        <f>-IFERROR(_xlfn.XLOOKUP(HL$7,'CF_Debt Schedule'!$16:$16,'CF_Debt Schedule'!21:21),0)</f>
        <v>0</v>
      </c>
      <c r="HM31" s="258">
        <f>-IFERROR(_xlfn.XLOOKUP(HM$7,'CF_Debt Schedule'!$16:$16,'CF_Debt Schedule'!21:21),0)</f>
        <v>0</v>
      </c>
      <c r="HN31" s="258">
        <f>-IFERROR(_xlfn.XLOOKUP(HN$7,'CF_Debt Schedule'!$16:$16,'CF_Debt Schedule'!21:21),0)</f>
        <v>0</v>
      </c>
      <c r="HO31" s="258">
        <f>-IFERROR(_xlfn.XLOOKUP(HO$7,'CF_Debt Schedule'!$16:$16,'CF_Debt Schedule'!21:21),0)</f>
        <v>0</v>
      </c>
      <c r="HP31" s="258">
        <f>-IFERROR(_xlfn.XLOOKUP(HP$7,'CF_Debt Schedule'!$16:$16,'CF_Debt Schedule'!21:21),0)</f>
        <v>0</v>
      </c>
      <c r="HQ31" s="258">
        <f>-IFERROR(_xlfn.XLOOKUP(HQ$7,'CF_Debt Schedule'!$16:$16,'CF_Debt Schedule'!21:21),0)</f>
        <v>0</v>
      </c>
      <c r="HR31" s="258">
        <f>-IFERROR(_xlfn.XLOOKUP(HR$7,'CF_Debt Schedule'!$16:$16,'CF_Debt Schedule'!21:21),0)</f>
        <v>0</v>
      </c>
      <c r="HS31" s="258">
        <f>-IFERROR(_xlfn.XLOOKUP(HS$7,'CF_Debt Schedule'!$16:$16,'CF_Debt Schedule'!21:21),0)</f>
        <v>0</v>
      </c>
      <c r="HT31" s="258">
        <f>-IFERROR(_xlfn.XLOOKUP(HT$7,'CF_Debt Schedule'!$16:$16,'CF_Debt Schedule'!21:21),0)</f>
        <v>0</v>
      </c>
      <c r="HU31" s="258">
        <f>-IFERROR(_xlfn.XLOOKUP(HU$7,'CF_Debt Schedule'!$16:$16,'CF_Debt Schedule'!21:21),0)</f>
        <v>0</v>
      </c>
      <c r="HV31" s="258">
        <f>-IFERROR(_xlfn.XLOOKUP(HV$7,'CF_Debt Schedule'!$16:$16,'CF_Debt Schedule'!21:21),0)</f>
        <v>0</v>
      </c>
      <c r="HW31" s="258">
        <f>-IFERROR(_xlfn.XLOOKUP(HW$7,'CF_Debt Schedule'!$16:$16,'CF_Debt Schedule'!21:21),0)</f>
        <v>0</v>
      </c>
      <c r="HX31" s="258">
        <f>-IFERROR(_xlfn.XLOOKUP(HX$7,'CF_Debt Schedule'!$16:$16,'CF_Debt Schedule'!21:21),0)</f>
        <v>0</v>
      </c>
      <c r="HY31" s="258">
        <f>-IFERROR(_xlfn.XLOOKUP(HY$7,'CF_Debt Schedule'!$16:$16,'CF_Debt Schedule'!21:21),0)</f>
        <v>0</v>
      </c>
      <c r="HZ31" s="258">
        <f>-IFERROR(_xlfn.XLOOKUP(HZ$7,'CF_Debt Schedule'!$16:$16,'CF_Debt Schedule'!21:21),0)</f>
        <v>0</v>
      </c>
      <c r="IA31" s="258">
        <f>-IFERROR(_xlfn.XLOOKUP(IA$7,'CF_Debt Schedule'!$16:$16,'CF_Debt Schedule'!21:21),0)</f>
        <v>0</v>
      </c>
      <c r="IB31" s="258">
        <f>-IFERROR(_xlfn.XLOOKUP(IB$7,'CF_Debt Schedule'!$16:$16,'CF_Debt Schedule'!21:21),0)</f>
        <v>0</v>
      </c>
      <c r="IC31" s="258">
        <f>-IFERROR(_xlfn.XLOOKUP(IC$7,'CF_Debt Schedule'!$16:$16,'CF_Debt Schedule'!21:21),0)</f>
        <v>0</v>
      </c>
      <c r="ID31" s="258">
        <f>-IFERROR(_xlfn.XLOOKUP(ID$7,'CF_Debt Schedule'!$16:$16,'CF_Debt Schedule'!21:21),0)</f>
        <v>0</v>
      </c>
      <c r="IE31" s="258">
        <f>-IFERROR(_xlfn.XLOOKUP(IE$7,'CF_Debt Schedule'!$16:$16,'CF_Debt Schedule'!21:21),0)</f>
        <v>0</v>
      </c>
      <c r="IF31" s="258">
        <f>-IFERROR(_xlfn.XLOOKUP(IF$7,'CF_Debt Schedule'!$16:$16,'CF_Debt Schedule'!21:21),0)</f>
        <v>0</v>
      </c>
      <c r="IG31" s="258">
        <f>-IFERROR(_xlfn.XLOOKUP(IG$7,'CF_Debt Schedule'!$16:$16,'CF_Debt Schedule'!21:21),0)</f>
        <v>0</v>
      </c>
      <c r="IH31" s="258">
        <f>-IFERROR(_xlfn.XLOOKUP(IH$7,'CF_Debt Schedule'!$16:$16,'CF_Debt Schedule'!21:21),0)</f>
        <v>0</v>
      </c>
      <c r="II31" s="258">
        <f>-IFERROR(_xlfn.XLOOKUP(II$7,'CF_Debt Schedule'!$16:$16,'CF_Debt Schedule'!21:21),0)</f>
        <v>0</v>
      </c>
      <c r="IJ31" s="258">
        <f>-IFERROR(_xlfn.XLOOKUP(IJ$7,'CF_Debt Schedule'!$16:$16,'CF_Debt Schedule'!21:21),0)</f>
        <v>0</v>
      </c>
      <c r="IK31" s="258">
        <f>-IFERROR(_xlfn.XLOOKUP(IK$7,'CF_Debt Schedule'!$16:$16,'CF_Debt Schedule'!21:21),0)</f>
        <v>0</v>
      </c>
      <c r="IL31" s="258">
        <f>-IFERROR(_xlfn.XLOOKUP(IL$7,'CF_Debt Schedule'!$16:$16,'CF_Debt Schedule'!21:21),0)</f>
        <v>0</v>
      </c>
      <c r="IM31" s="258">
        <f>-IFERROR(_xlfn.XLOOKUP(IM$7,'CF_Debt Schedule'!$16:$16,'CF_Debt Schedule'!21:21),0)</f>
        <v>0</v>
      </c>
      <c r="IN31" s="258">
        <f>-IFERROR(_xlfn.XLOOKUP(IN$7,'CF_Debt Schedule'!$16:$16,'CF_Debt Schedule'!21:21),0)</f>
        <v>0</v>
      </c>
      <c r="IO31" s="258">
        <f>-IFERROR(_xlfn.XLOOKUP(IO$7,'CF_Debt Schedule'!$16:$16,'CF_Debt Schedule'!21:21),0)</f>
        <v>0</v>
      </c>
      <c r="IP31" s="258">
        <f>-IFERROR(_xlfn.XLOOKUP(IP$7,'CF_Debt Schedule'!$16:$16,'CF_Debt Schedule'!21:21),0)</f>
        <v>0</v>
      </c>
      <c r="IQ31" s="258">
        <f>-IFERROR(_xlfn.XLOOKUP(IQ$7,'CF_Debt Schedule'!$16:$16,'CF_Debt Schedule'!21:21),0)</f>
        <v>0</v>
      </c>
      <c r="IR31" s="258">
        <f>-IFERROR(_xlfn.XLOOKUP(IR$7,'CF_Debt Schedule'!$16:$16,'CF_Debt Schedule'!21:21),0)</f>
        <v>0</v>
      </c>
      <c r="IS31" s="258">
        <f>-IFERROR(_xlfn.XLOOKUP(IS$7,'CF_Debt Schedule'!$16:$16,'CF_Debt Schedule'!21:21),0)</f>
        <v>0</v>
      </c>
      <c r="IT31" s="258">
        <f>-IFERROR(_xlfn.XLOOKUP(IT$7,'CF_Debt Schedule'!$16:$16,'CF_Debt Schedule'!21:21),0)</f>
        <v>0</v>
      </c>
      <c r="IU31" s="258">
        <f>-IFERROR(_xlfn.XLOOKUP(IU$7,'CF_Debt Schedule'!$16:$16,'CF_Debt Schedule'!21:21),0)</f>
        <v>0</v>
      </c>
      <c r="IV31" s="258">
        <f>-IFERROR(_xlfn.XLOOKUP(IV$7,'CF_Debt Schedule'!$16:$16,'CF_Debt Schedule'!21:21),0)</f>
        <v>0</v>
      </c>
      <c r="IW31" s="258">
        <f>-IFERROR(_xlfn.XLOOKUP(IW$7,'CF_Debt Schedule'!$16:$16,'CF_Debt Schedule'!21:21),0)</f>
        <v>0</v>
      </c>
      <c r="IX31" s="258">
        <f>-IFERROR(_xlfn.XLOOKUP(IX$7,'CF_Debt Schedule'!$16:$16,'CF_Debt Schedule'!21:21),0)</f>
        <v>0</v>
      </c>
      <c r="IY31" s="258">
        <f>-IFERROR(_xlfn.XLOOKUP(IY$7,'CF_Debt Schedule'!$16:$16,'CF_Debt Schedule'!21:21),0)</f>
        <v>0</v>
      </c>
      <c r="IZ31" s="258">
        <f>-IFERROR(_xlfn.XLOOKUP(IZ$7,'CF_Debt Schedule'!$16:$16,'CF_Debt Schedule'!21:21),0)</f>
        <v>0</v>
      </c>
      <c r="JA31" s="258">
        <f>-IFERROR(_xlfn.XLOOKUP(JA$7,'CF_Debt Schedule'!$16:$16,'CF_Debt Schedule'!21:21),0)</f>
        <v>0</v>
      </c>
      <c r="JB31" s="258">
        <f>-IFERROR(_xlfn.XLOOKUP(JB$7,'CF_Debt Schedule'!$16:$16,'CF_Debt Schedule'!21:21),0)</f>
        <v>0</v>
      </c>
      <c r="JC31" s="258">
        <f>-IFERROR(_xlfn.XLOOKUP(JC$7,'CF_Debt Schedule'!$16:$16,'CF_Debt Schedule'!21:21),0)</f>
        <v>0</v>
      </c>
      <c r="JD31" s="258">
        <f>-IFERROR(_xlfn.XLOOKUP(JD$7,'CF_Debt Schedule'!$16:$16,'CF_Debt Schedule'!21:21),0)</f>
        <v>0</v>
      </c>
      <c r="JE31" s="258">
        <f>-IFERROR(_xlfn.XLOOKUP(JE$7,'CF_Debt Schedule'!$16:$16,'CF_Debt Schedule'!21:21),0)</f>
        <v>0</v>
      </c>
      <c r="JF31" s="258">
        <f>-IFERROR(_xlfn.XLOOKUP(JF$7,'CF_Debt Schedule'!$16:$16,'CF_Debt Schedule'!21:21),0)</f>
        <v>0</v>
      </c>
      <c r="JG31" s="258">
        <f>-IFERROR(_xlfn.XLOOKUP(JG$7,'CF_Debt Schedule'!$16:$16,'CF_Debt Schedule'!21:21),0)</f>
        <v>0</v>
      </c>
      <c r="JH31" s="258">
        <f>-IFERROR(_xlfn.XLOOKUP(JH$7,'CF_Debt Schedule'!$16:$16,'CF_Debt Schedule'!21:21),0)</f>
        <v>0</v>
      </c>
      <c r="JI31" s="258">
        <f>-IFERROR(_xlfn.XLOOKUP(JI$7,'CF_Debt Schedule'!$16:$16,'CF_Debt Schedule'!21:21),0)</f>
        <v>0</v>
      </c>
      <c r="JJ31" s="258">
        <f>-IFERROR(_xlfn.XLOOKUP(JJ$7,'CF_Debt Schedule'!$16:$16,'CF_Debt Schedule'!21:21),0)</f>
        <v>0</v>
      </c>
      <c r="JK31" s="258">
        <f>-IFERROR(_xlfn.XLOOKUP(JK$7,'CF_Debt Schedule'!$16:$16,'CF_Debt Schedule'!21:21),0)</f>
        <v>0</v>
      </c>
      <c r="JL31" s="258">
        <f>-IFERROR(_xlfn.XLOOKUP(JL$7,'CF_Debt Schedule'!$16:$16,'CF_Debt Schedule'!21:21),0)</f>
        <v>0</v>
      </c>
      <c r="JM31" s="258">
        <f>-IFERROR(_xlfn.XLOOKUP(JM$7,'CF_Debt Schedule'!$16:$16,'CF_Debt Schedule'!21:21),0)</f>
        <v>0</v>
      </c>
      <c r="JN31" s="258">
        <f>-IFERROR(_xlfn.XLOOKUP(JN$7,'CF_Debt Schedule'!$16:$16,'CF_Debt Schedule'!21:21),0)</f>
        <v>0</v>
      </c>
      <c r="JO31" s="258">
        <f>-IFERROR(_xlfn.XLOOKUP(JO$7,'CF_Debt Schedule'!$16:$16,'CF_Debt Schedule'!21:21),0)</f>
        <v>0</v>
      </c>
      <c r="JP31" s="258">
        <f>-IFERROR(_xlfn.XLOOKUP(JP$7,'CF_Debt Schedule'!$16:$16,'CF_Debt Schedule'!21:21),0)</f>
        <v>0</v>
      </c>
      <c r="JQ31" s="258">
        <f>-IFERROR(_xlfn.XLOOKUP(JQ$7,'CF_Debt Schedule'!$16:$16,'CF_Debt Schedule'!21:21),0)</f>
        <v>0</v>
      </c>
      <c r="JR31" s="258">
        <f>-IFERROR(_xlfn.XLOOKUP(JR$7,'CF_Debt Schedule'!$16:$16,'CF_Debt Schedule'!21:21),0)</f>
        <v>0</v>
      </c>
      <c r="JS31" s="258">
        <f>-IFERROR(_xlfn.XLOOKUP(JS$7,'CF_Debt Schedule'!$16:$16,'CF_Debt Schedule'!21:21),0)</f>
        <v>0</v>
      </c>
      <c r="JT31" s="258">
        <f>-IFERROR(_xlfn.XLOOKUP(JT$7,'CF_Debt Schedule'!$16:$16,'CF_Debt Schedule'!21:21),0)</f>
        <v>0</v>
      </c>
      <c r="JU31" s="258">
        <f>-IFERROR(_xlfn.XLOOKUP(JU$7,'CF_Debt Schedule'!$16:$16,'CF_Debt Schedule'!21:21),0)</f>
        <v>0</v>
      </c>
      <c r="JV31" s="258">
        <f>-IFERROR(_xlfn.XLOOKUP(JV$7,'CF_Debt Schedule'!$16:$16,'CF_Debt Schedule'!21:21),0)</f>
        <v>0</v>
      </c>
      <c r="JW31" s="258">
        <f>-IFERROR(_xlfn.XLOOKUP(JW$7,'CF_Debt Schedule'!$16:$16,'CF_Debt Schedule'!21:21),0)</f>
        <v>0</v>
      </c>
      <c r="JX31" s="258">
        <f>-IFERROR(_xlfn.XLOOKUP(JX$7,'CF_Debt Schedule'!$16:$16,'CF_Debt Schedule'!21:21),0)</f>
        <v>0</v>
      </c>
      <c r="JY31" s="258">
        <f>-IFERROR(_xlfn.XLOOKUP(JY$7,'CF_Debt Schedule'!$16:$16,'CF_Debt Schedule'!21:21),0)</f>
        <v>0</v>
      </c>
      <c r="JZ31" s="258">
        <f>-IFERROR(_xlfn.XLOOKUP(JZ$7,'CF_Debt Schedule'!$16:$16,'CF_Debt Schedule'!21:21),0)</f>
        <v>0</v>
      </c>
      <c r="KA31" s="258">
        <f>-IFERROR(_xlfn.XLOOKUP(KA$7,'CF_Debt Schedule'!$16:$16,'CF_Debt Schedule'!21:21),0)</f>
        <v>0</v>
      </c>
      <c r="KB31" s="258">
        <f>-IFERROR(_xlfn.XLOOKUP(KB$7,'CF_Debt Schedule'!$16:$16,'CF_Debt Schedule'!21:21),0)</f>
        <v>0</v>
      </c>
      <c r="KC31" s="265">
        <f t="shared" ca="1" si="443"/>
        <v>-2.1240031680815004</v>
      </c>
    </row>
    <row r="32" spans="1:289" x14ac:dyDescent="0.3">
      <c r="A32" s="1" t="s">
        <v>38</v>
      </c>
      <c r="B32" s="257">
        <f ca="1">SUM(C32:BE32)</f>
        <v>-71.477443382360889</v>
      </c>
      <c r="C32" s="258">
        <f>-IFERROR(_xlfn.XLOOKUP(C$7,'CF_Debt Schedule'!$16:$16,'CF_Debt Schedule'!24:24),0)</f>
        <v>0</v>
      </c>
      <c r="D32" s="258">
        <f ca="1">-IFERROR(_xlfn.XLOOKUP(D$7,'CF_Debt Schedule'!$16:$16,'CF_Debt Schedule'!24:24),0)</f>
        <v>-5.4194388551370487E-2</v>
      </c>
      <c r="E32" s="258">
        <f ca="1">-IFERROR(_xlfn.XLOOKUP(E$7,'CF_Debt Schedule'!$16:$16,'CF_Debt Schedule'!24:24),0)</f>
        <v>-8.7900477787272349E-2</v>
      </c>
      <c r="F32" s="258">
        <f ca="1">-IFERROR(_xlfn.XLOOKUP(F$7,'CF_Debt Schedule'!$16:$16,'CF_Debt Schedule'!24:24),0)</f>
        <v>-0.14541533292939285</v>
      </c>
      <c r="G32" s="258">
        <f ca="1">-IFERROR(_xlfn.XLOOKUP(G$7,'CF_Debt Schedule'!$16:$16,'CF_Debt Schedule'!24:24),0)</f>
        <v>-0.19322309981422595</v>
      </c>
      <c r="H32" s="258">
        <f ca="1">-IFERROR(_xlfn.XLOOKUP(H$7,'CF_Debt Schedule'!$16:$16,'CF_Debt Schedule'!24:24),0)</f>
        <v>-0.24141285684631186</v>
      </c>
      <c r="I32" s="258">
        <f ca="1">-IFERROR(_xlfn.XLOOKUP(I$7,'CF_Debt Schedule'!$16:$16,'CF_Debt Schedule'!24:24),0)</f>
        <v>-0.2899876561755857</v>
      </c>
      <c r="J32" s="258">
        <f ca="1">-IFERROR(_xlfn.XLOOKUP(J$7,'CF_Debt Schedule'!$16:$16,'CF_Debt Schedule'!24:24),0)</f>
        <v>-0.33895057433904929</v>
      </c>
      <c r="K32" s="258">
        <f ca="1">-IFERROR(_xlfn.XLOOKUP(K$7,'CF_Debt Schedule'!$16:$16,'CF_Debt Schedule'!24:24),0)</f>
        <v>-0.38840180385352863</v>
      </c>
      <c r="L32" s="258">
        <f ca="1">-IFERROR(_xlfn.XLOOKUP(L$7,'CF_Debt Schedule'!$16:$16,'CF_Debt Schedule'!24:24),0)</f>
        <v>-0.42985971845268311</v>
      </c>
      <c r="M32" s="258">
        <f ca="1">-IFERROR(_xlfn.XLOOKUP(M$7,'CF_Debt Schedule'!$16:$16,'CF_Debt Schedule'!24:24),0)</f>
        <v>-0.4686297499605046</v>
      </c>
      <c r="N32" s="258">
        <f ca="1">-IFERROR(_xlfn.XLOOKUP(N$7,'CF_Debt Schedule'!$16:$16,'CF_Debt Schedule'!24:24),0)</f>
        <v>-0.50474864645355499</v>
      </c>
      <c r="O32" s="258">
        <f ca="1">-IFERROR(_xlfn.XLOOKUP(O$7,'CF_Debt Schedule'!$16:$16,'CF_Debt Schedule'!24:24),0)</f>
        <v>-0.53267862228454066</v>
      </c>
      <c r="P32" s="258">
        <f ca="1">-IFERROR(_xlfn.XLOOKUP(P$7,'CF_Debt Schedule'!$16:$16,'CF_Debt Schedule'!24:24),0)</f>
        <v>-0.57657350402983087</v>
      </c>
      <c r="Q32" s="258">
        <f ca="1">-IFERROR(_xlfn.XLOOKUP(Q$7,'CF_Debt Schedule'!$16:$16,'CF_Debt Schedule'!24:24),0)</f>
        <v>-0.63439257644191127</v>
      </c>
      <c r="R32" s="258">
        <f ca="1">-IFERROR(_xlfn.XLOOKUP(R$7,'CF_Debt Schedule'!$16:$16,'CF_Debt Schedule'!24:24),0)</f>
        <v>-0.68856682525937785</v>
      </c>
      <c r="S32" s="258">
        <f ca="1">-IFERROR(_xlfn.XLOOKUP(S$7,'CF_Debt Schedule'!$16:$16,'CF_Debt Schedule'!24:24),0)</f>
        <v>-0.74119101003494559</v>
      </c>
      <c r="T32" s="258">
        <f ca="1">-IFERROR(_xlfn.XLOOKUP(T$7,'CF_Debt Schedule'!$16:$16,'CF_Debt Schedule'!24:24),0)</f>
        <v>-0.79404604046796468</v>
      </c>
      <c r="U32" s="258">
        <f ca="1">-IFERROR(_xlfn.XLOOKUP(U$7,'CF_Debt Schedule'!$16:$16,'CF_Debt Schedule'!24:24),0)</f>
        <v>-0.84713292920533478</v>
      </c>
      <c r="V32" s="258">
        <f ca="1">-IFERROR(_xlfn.XLOOKUP(V$7,'CF_Debt Schedule'!$16:$16,'CF_Debt Schedule'!24:24),0)</f>
        <v>-0.90274744944636154</v>
      </c>
      <c r="W32" s="258">
        <f ca="1">-IFERROR(_xlfn.XLOOKUP(W$7,'CF_Debt Schedule'!$16:$16,'CF_Debt Schedule'!24:24),0)</f>
        <v>-0.95870918089100199</v>
      </c>
      <c r="X32" s="258">
        <f ca="1">-IFERROR(_xlfn.XLOOKUP(X$7,'CF_Debt Schedule'!$16:$16,'CF_Debt Schedule'!24:24),0)</f>
        <v>-1.0127248905347652</v>
      </c>
      <c r="Y32" s="258">
        <f ca="1">-IFERROR(_xlfn.XLOOKUP(Y$7,'CF_Debt Schedule'!$16:$16,'CF_Debt Schedule'!24:24),0)</f>
        <v>-1.0789412582083209</v>
      </c>
      <c r="Z32" s="258">
        <f ca="1">-IFERROR(_xlfn.XLOOKUP(Z$7,'CF_Debt Schedule'!$16:$16,'CF_Debt Schedule'!24:24),0)</f>
        <v>-1.1565319394253937</v>
      </c>
      <c r="AA32" s="258">
        <f ca="1">-IFERROR(_xlfn.XLOOKUP(AA$7,'CF_Debt Schedule'!$16:$16,'CF_Debt Schedule'!24:24),0)</f>
        <v>-1.2328379152859927</v>
      </c>
      <c r="AB32" s="258">
        <f ca="1">-IFERROR(_xlfn.XLOOKUP(AB$7,'CF_Debt Schedule'!$16:$16,'CF_Debt Schedule'!24:24),0)</f>
        <v>-1.2838283372906596</v>
      </c>
      <c r="AC32" s="258">
        <f ca="1">-IFERROR(_xlfn.XLOOKUP(AC$7,'CF_Debt Schedule'!$16:$16,'CF_Debt Schedule'!24:24),0)</f>
        <v>-1.3101373603339432</v>
      </c>
      <c r="AD32" s="258">
        <f ca="1">-IFERROR(_xlfn.XLOOKUP(AD$7,'CF_Debt Schedule'!$16:$16,'CF_Debt Schedule'!24:24),0)</f>
        <v>-1.3365617927417091</v>
      </c>
      <c r="AE32" s="258">
        <f ca="1">-IFERROR(_xlfn.XLOOKUP(AE$7,'CF_Debt Schedule'!$16:$16,'CF_Debt Schedule'!24:24),0)</f>
        <v>-1.363102140778343</v>
      </c>
      <c r="AF32" s="258">
        <f ca="1">-IFERROR(_xlfn.XLOOKUP(AF$7,'CF_Debt Schedule'!$16:$16,'CF_Debt Schedule'!24:24),0)</f>
        <v>-1.3898019517880982</v>
      </c>
      <c r="AG32" s="258">
        <f ca="1">-IFERROR(_xlfn.XLOOKUP(AG$7,'CF_Debt Schedule'!$16:$16,'CF_Debt Schedule'!24:24),0)</f>
        <v>-1.4166619252846111</v>
      </c>
      <c r="AH32" s="258">
        <f ca="1">-IFERROR(_xlfn.XLOOKUP(AH$7,'CF_Debt Schedule'!$16:$16,'CF_Debt Schedule'!24:24),0)</f>
        <v>-1.4737504490720477</v>
      </c>
      <c r="AI32" s="258">
        <f ca="1">-IFERROR(_xlfn.XLOOKUP(AI$7,'CF_Debt Schedule'!$16:$16,'CF_Debt Schedule'!24:24),0)</f>
        <v>-1.5548677186606019</v>
      </c>
      <c r="AJ32" s="258">
        <f ca="1">-IFERROR(_xlfn.XLOOKUP(AJ$7,'CF_Debt Schedule'!$16:$16,'CF_Debt Schedule'!24:24),0)</f>
        <v>-1.6284097156484556</v>
      </c>
      <c r="AK32" s="258">
        <f ca="1">-IFERROR(_xlfn.XLOOKUP(AK$7,'CF_Debt Schedule'!$16:$16,'CF_Debt Schedule'!24:24),0)</f>
        <v>-1.6902939413779994</v>
      </c>
      <c r="AL32" s="258">
        <f ca="1">-IFERROR(_xlfn.XLOOKUP(AL$7,'CF_Debt Schedule'!$16:$16,'CF_Debt Schedule'!24:24),0)</f>
        <v>-1.7420679577233116</v>
      </c>
      <c r="AM32" s="258">
        <f ca="1">-IFERROR(_xlfn.XLOOKUP(AM$7,'CF_Debt Schedule'!$16:$16,'CF_Debt Schedule'!24:24),0)</f>
        <v>-1.7940690903060172</v>
      </c>
      <c r="AN32" s="258">
        <f ca="1">-IFERROR(_xlfn.XLOOKUP(AN$7,'CF_Debt Schedule'!$16:$16,'CF_Debt Schedule'!24:24),0)</f>
        <v>-1.8462983354132294</v>
      </c>
      <c r="AO32" s="258">
        <f ca="1">-IFERROR(_xlfn.XLOOKUP(AO$7,'CF_Debt Schedule'!$16:$16,'CF_Debt Schedule'!24:24),0)</f>
        <v>-1.8988490255395758</v>
      </c>
      <c r="AP32" s="258">
        <f ca="1">-IFERROR(_xlfn.XLOOKUP(AP$7,'CF_Debt Schedule'!$16:$16,'CF_Debt Schedule'!24:24),0)</f>
        <v>-1.9517225707627057</v>
      </c>
      <c r="AQ32" s="258">
        <f ca="1">-IFERROR(_xlfn.XLOOKUP(AQ$7,'CF_Debt Schedule'!$16:$16,'CF_Debt Schedule'!24:24),0)</f>
        <v>-2.01082977470293</v>
      </c>
      <c r="AR32" s="258">
        <f ca="1">-IFERROR(_xlfn.XLOOKUP(AR$7,'CF_Debt Schedule'!$16:$16,'CF_Debt Schedule'!24:24),0)</f>
        <v>-2.073969756751453</v>
      </c>
      <c r="AS32" s="258">
        <f ca="1">-IFERROR(_xlfn.XLOOKUP(AS$7,'CF_Debt Schedule'!$16:$16,'CF_Debt Schedule'!24:24),0)</f>
        <v>-2.1351227355871645</v>
      </c>
      <c r="AT32" s="258">
        <f ca="1">-IFERROR(_xlfn.XLOOKUP(AT$7,'CF_Debt Schedule'!$16:$16,'CF_Debt Schedule'!24:24),0)</f>
        <v>-2.1742362730464637</v>
      </c>
      <c r="AU32" s="258">
        <f ca="1">-IFERROR(_xlfn.XLOOKUP(AU$7,'CF_Debt Schedule'!$16:$16,'CF_Debt Schedule'!24:24),0)</f>
        <v>-2.191249441718675</v>
      </c>
      <c r="AV32" s="258">
        <f ca="1">-IFERROR(_xlfn.XLOOKUP(AV$7,'CF_Debt Schedule'!$16:$16,'CF_Debt Schedule'!24:24),0)</f>
        <v>-2.2083372417818374</v>
      </c>
      <c r="AW32" s="258">
        <f ca="1">-IFERROR(_xlfn.XLOOKUP(AW$7,'CF_Debt Schedule'!$16:$16,'CF_Debt Schedule'!24:24),0)</f>
        <v>-2.2255000006202623</v>
      </c>
      <c r="AX32" s="258">
        <f ca="1">-IFERROR(_xlfn.XLOOKUP(AX$7,'CF_Debt Schedule'!$16:$16,'CF_Debt Schedule'!24:24),0)</f>
        <v>-2.2427380470543938</v>
      </c>
      <c r="AY32" s="258">
        <f ca="1">-IFERROR(_xlfn.XLOOKUP(AY$7,'CF_Debt Schedule'!$16:$16,'CF_Debt Schedule'!24:24),0)</f>
        <v>-2.260051711347105</v>
      </c>
      <c r="AZ32" s="258">
        <f ca="1">-IFERROR(_xlfn.XLOOKUP(AZ$7,'CF_Debt Schedule'!$16:$16,'CF_Debt Schedule'!24:24),0)</f>
        <v>-2.2814162107979383</v>
      </c>
      <c r="BA32" s="258">
        <f ca="1">-IFERROR(_xlfn.XLOOKUP(BA$7,'CF_Debt Schedule'!$16:$16,'CF_Debt Schedule'!24:24),0)</f>
        <v>-2.3028936669202511</v>
      </c>
      <c r="BB32" s="258">
        <f ca="1">-IFERROR(_xlfn.XLOOKUP(BB$7,'CF_Debt Schedule'!$16:$16,'CF_Debt Schedule'!24:24),0)</f>
        <v>-2.3205096896313329</v>
      </c>
      <c r="BC32" s="258">
        <f ca="1">-IFERROR(_xlfn.XLOOKUP(BC$7,'CF_Debt Schedule'!$16:$16,'CF_Debt Schedule'!24:24),0)</f>
        <v>-2.3382029882633955</v>
      </c>
      <c r="BD32" s="258">
        <f ca="1">-IFERROR(_xlfn.XLOOKUP(BD$7,'CF_Debt Schedule'!$16:$16,'CF_Debt Schedule'!24:24),0)</f>
        <v>-2.3559739018014687</v>
      </c>
      <c r="BE32" s="258">
        <f ca="1">-IFERROR(_xlfn.XLOOKUP(BE$7,'CF_Debt Schedule'!$16:$16,'CF_Debt Schedule'!24:24),0)</f>
        <v>-2.3761911829357163</v>
      </c>
      <c r="BF32" s="258">
        <f ca="1">-IFERROR(_xlfn.XLOOKUP(BF$7,'CF_Debt Schedule'!$16:$16,'CF_Debt Schedule'!24:24),0)</f>
        <v>-2.3875035611085607</v>
      </c>
      <c r="BG32" s="258">
        <f ca="1">-IFERROR(_xlfn.XLOOKUP(BG$7,'CF_Debt Schedule'!$16:$16,'CF_Debt Schedule'!24:24),0)</f>
        <v>-2.3875035611085607</v>
      </c>
      <c r="BH32" s="258">
        <f ca="1">-IFERROR(_xlfn.XLOOKUP(BH$7,'CF_Debt Schedule'!$16:$16,'CF_Debt Schedule'!24:24),0)</f>
        <v>-2.3875035611085607</v>
      </c>
      <c r="BI32" s="258">
        <f ca="1">-IFERROR(_xlfn.XLOOKUP(BI$7,'CF_Debt Schedule'!$16:$16,'CF_Debt Schedule'!24:24),0)</f>
        <v>-2.3875035611085607</v>
      </c>
      <c r="BJ32" s="258">
        <f ca="1">-IFERROR(_xlfn.XLOOKUP(BJ$7,'CF_Debt Schedule'!$16:$16,'CF_Debt Schedule'!24:24),0)</f>
        <v>-2.3875035611085607</v>
      </c>
      <c r="BK32" s="258">
        <f ca="1">-IFERROR(_xlfn.XLOOKUP(BK$7,'CF_Debt Schedule'!$16:$16,'CF_Debt Schedule'!24:24),0)</f>
        <v>-2.3875035611085607</v>
      </c>
      <c r="BL32" s="258">
        <f ca="1">-IFERROR(_xlfn.XLOOKUP(BL$7,'CF_Debt Schedule'!$16:$16,'CF_Debt Schedule'!24:24),0)</f>
        <v>0</v>
      </c>
      <c r="BM32" s="258">
        <f ca="1">-IFERROR(_xlfn.XLOOKUP(BM$7,'CF_Debt Schedule'!$16:$16,'CF_Debt Schedule'!24:24),0)</f>
        <v>0</v>
      </c>
      <c r="BN32" s="258">
        <f ca="1">-IFERROR(_xlfn.XLOOKUP(BN$7,'CF_Debt Schedule'!$16:$16,'CF_Debt Schedule'!24:24),0)</f>
        <v>0</v>
      </c>
      <c r="BO32" s="258">
        <f ca="1">-IFERROR(_xlfn.XLOOKUP(BO$7,'CF_Debt Schedule'!$16:$16,'CF_Debt Schedule'!24:24),0)</f>
        <v>0</v>
      </c>
      <c r="BP32" s="258">
        <f ca="1">-IFERROR(_xlfn.XLOOKUP(BP$7,'CF_Debt Schedule'!$16:$16,'CF_Debt Schedule'!24:24),0)</f>
        <v>0</v>
      </c>
      <c r="BQ32" s="258">
        <f ca="1">-IFERROR(_xlfn.XLOOKUP(BQ$7,'CF_Debt Schedule'!$16:$16,'CF_Debt Schedule'!24:24),0)</f>
        <v>0</v>
      </c>
      <c r="BR32" s="258">
        <f ca="1">-IFERROR(_xlfn.XLOOKUP(BR$7,'CF_Debt Schedule'!$16:$16,'CF_Debt Schedule'!24:24),0)</f>
        <v>0</v>
      </c>
      <c r="BS32" s="258">
        <f ca="1">-IFERROR(_xlfn.XLOOKUP(BS$7,'CF_Debt Schedule'!$16:$16,'CF_Debt Schedule'!24:24),0)</f>
        <v>0</v>
      </c>
      <c r="BT32" s="258">
        <f ca="1">-IFERROR(_xlfn.XLOOKUP(BT$7,'CF_Debt Schedule'!$16:$16,'CF_Debt Schedule'!24:24),0)</f>
        <v>0</v>
      </c>
      <c r="BU32" s="258">
        <f ca="1">-IFERROR(_xlfn.XLOOKUP(BU$7,'CF_Debt Schedule'!$16:$16,'CF_Debt Schedule'!24:24),0)</f>
        <v>0</v>
      </c>
      <c r="BV32" s="258">
        <f ca="1">-IFERROR(_xlfn.XLOOKUP(BV$7,'CF_Debt Schedule'!$16:$16,'CF_Debt Schedule'!24:24),0)</f>
        <v>0</v>
      </c>
      <c r="BW32" s="258">
        <f ca="1">-IFERROR(_xlfn.XLOOKUP(BW$7,'CF_Debt Schedule'!$16:$16,'CF_Debt Schedule'!24:24),0)</f>
        <v>0</v>
      </c>
      <c r="BX32" s="258">
        <f ca="1">-IFERROR(_xlfn.XLOOKUP(BX$7,'CF_Debt Schedule'!$16:$16,'CF_Debt Schedule'!24:24),0)</f>
        <v>0</v>
      </c>
      <c r="BY32" s="258">
        <f ca="1">-IFERROR(_xlfn.XLOOKUP(BY$7,'CF_Debt Schedule'!$16:$16,'CF_Debt Schedule'!24:24),0)</f>
        <v>0</v>
      </c>
      <c r="BZ32" s="258">
        <f ca="1">-IFERROR(_xlfn.XLOOKUP(BZ$7,'CF_Debt Schedule'!$16:$16,'CF_Debt Schedule'!24:24),0)</f>
        <v>0</v>
      </c>
      <c r="CA32" s="258">
        <f ca="1">-IFERROR(_xlfn.XLOOKUP(CA$7,'CF_Debt Schedule'!$16:$16,'CF_Debt Schedule'!24:24),0)</f>
        <v>0</v>
      </c>
      <c r="CB32" s="258">
        <f ca="1">-IFERROR(_xlfn.XLOOKUP(CB$7,'CF_Debt Schedule'!$16:$16,'CF_Debt Schedule'!24:24),0)</f>
        <v>0</v>
      </c>
      <c r="CC32" s="258">
        <f ca="1">-IFERROR(_xlfn.XLOOKUP(CC$7,'CF_Debt Schedule'!$16:$16,'CF_Debt Schedule'!24:24),0)</f>
        <v>0</v>
      </c>
      <c r="CD32" s="258">
        <f ca="1">-IFERROR(_xlfn.XLOOKUP(CD$7,'CF_Debt Schedule'!$16:$16,'CF_Debt Schedule'!24:24),0)</f>
        <v>0</v>
      </c>
      <c r="CE32" s="258">
        <f ca="1">-IFERROR(_xlfn.XLOOKUP(CE$7,'CF_Debt Schedule'!$16:$16,'CF_Debt Schedule'!24:24),0)</f>
        <v>0</v>
      </c>
      <c r="CF32" s="258">
        <f ca="1">-IFERROR(_xlfn.XLOOKUP(CF$7,'CF_Debt Schedule'!$16:$16,'CF_Debt Schedule'!24:24),0)</f>
        <v>0</v>
      </c>
      <c r="CG32" s="258">
        <f ca="1">-IFERROR(_xlfn.XLOOKUP(CG$7,'CF_Debt Schedule'!$16:$16,'CF_Debt Schedule'!24:24),0)</f>
        <v>0</v>
      </c>
      <c r="CH32" s="258">
        <f ca="1">-IFERROR(_xlfn.XLOOKUP(CH$7,'CF_Debt Schedule'!$16:$16,'CF_Debt Schedule'!24:24),0)</f>
        <v>0</v>
      </c>
      <c r="CI32" s="258">
        <f ca="1">-IFERROR(_xlfn.XLOOKUP(CI$7,'CF_Debt Schedule'!$16:$16,'CF_Debt Schedule'!24:24),0)</f>
        <v>0</v>
      </c>
      <c r="CJ32" s="258">
        <f ca="1">-IFERROR(_xlfn.XLOOKUP(CJ$7,'CF_Debt Schedule'!$16:$16,'CF_Debt Schedule'!24:24),0)</f>
        <v>0</v>
      </c>
      <c r="CK32" s="258">
        <f ca="1">-IFERROR(_xlfn.XLOOKUP(CK$7,'CF_Debt Schedule'!$16:$16,'CF_Debt Schedule'!24:24),0)</f>
        <v>0</v>
      </c>
      <c r="CL32" s="258">
        <f ca="1">-IFERROR(_xlfn.XLOOKUP(CL$7,'CF_Debt Schedule'!$16:$16,'CF_Debt Schedule'!24:24),0)</f>
        <v>0</v>
      </c>
      <c r="CM32" s="258">
        <f ca="1">-IFERROR(_xlfn.XLOOKUP(CM$7,'CF_Debt Schedule'!$16:$16,'CF_Debt Schedule'!24:24),0)</f>
        <v>0</v>
      </c>
      <c r="CN32" s="258">
        <f ca="1">-IFERROR(_xlfn.XLOOKUP(CN$7,'CF_Debt Schedule'!$16:$16,'CF_Debt Schedule'!24:24),0)</f>
        <v>0</v>
      </c>
      <c r="CO32" s="258">
        <f ca="1">-IFERROR(_xlfn.XLOOKUP(CO$7,'CF_Debt Schedule'!$16:$16,'CF_Debt Schedule'!24:24),0)</f>
        <v>0</v>
      </c>
      <c r="CP32" s="258">
        <f ca="1">-IFERROR(_xlfn.XLOOKUP(CP$7,'CF_Debt Schedule'!$16:$16,'CF_Debt Schedule'!24:24),0)</f>
        <v>0</v>
      </c>
      <c r="CQ32" s="258">
        <f ca="1">-IFERROR(_xlfn.XLOOKUP(CQ$7,'CF_Debt Schedule'!$16:$16,'CF_Debt Schedule'!24:24),0)</f>
        <v>0</v>
      </c>
      <c r="CR32" s="258">
        <f ca="1">-IFERROR(_xlfn.XLOOKUP(CR$7,'CF_Debt Schedule'!$16:$16,'CF_Debt Schedule'!24:24),0)</f>
        <v>0</v>
      </c>
      <c r="CS32" s="258">
        <f ca="1">-IFERROR(_xlfn.XLOOKUP(CS$7,'CF_Debt Schedule'!$16:$16,'CF_Debt Schedule'!24:24),0)</f>
        <v>0</v>
      </c>
      <c r="CT32" s="258">
        <f ca="1">-IFERROR(_xlfn.XLOOKUP(CT$7,'CF_Debt Schedule'!$16:$16,'CF_Debt Schedule'!24:24),0)</f>
        <v>0</v>
      </c>
      <c r="CU32" s="258">
        <f ca="1">-IFERROR(_xlfn.XLOOKUP(CU$7,'CF_Debt Schedule'!$16:$16,'CF_Debt Schedule'!24:24),0)</f>
        <v>0</v>
      </c>
      <c r="CV32" s="258">
        <f ca="1">-IFERROR(_xlfn.XLOOKUP(CV$7,'CF_Debt Schedule'!$16:$16,'CF_Debt Schedule'!24:24),0)</f>
        <v>0</v>
      </c>
      <c r="CW32" s="258">
        <f ca="1">-IFERROR(_xlfn.XLOOKUP(CW$7,'CF_Debt Schedule'!$16:$16,'CF_Debt Schedule'!24:24),0)</f>
        <v>0</v>
      </c>
      <c r="CX32" s="258">
        <f ca="1">-IFERROR(_xlfn.XLOOKUP(CX$7,'CF_Debt Schedule'!$16:$16,'CF_Debt Schedule'!24:24),0)</f>
        <v>0</v>
      </c>
      <c r="CY32" s="258">
        <f ca="1">-IFERROR(_xlfn.XLOOKUP(CY$7,'CF_Debt Schedule'!$16:$16,'CF_Debt Schedule'!24:24),0)</f>
        <v>0</v>
      </c>
      <c r="CZ32" s="258">
        <f ca="1">-IFERROR(_xlfn.XLOOKUP(CZ$7,'CF_Debt Schedule'!$16:$16,'CF_Debt Schedule'!24:24),0)</f>
        <v>0</v>
      </c>
      <c r="DA32" s="258">
        <f ca="1">-IFERROR(_xlfn.XLOOKUP(DA$7,'CF_Debt Schedule'!$16:$16,'CF_Debt Schedule'!24:24),0)</f>
        <v>0</v>
      </c>
      <c r="DB32" s="258">
        <f ca="1">-IFERROR(_xlfn.XLOOKUP(DB$7,'CF_Debt Schedule'!$16:$16,'CF_Debt Schedule'!24:24),0)</f>
        <v>0</v>
      </c>
      <c r="DC32" s="258">
        <f ca="1">-IFERROR(_xlfn.XLOOKUP(DC$7,'CF_Debt Schedule'!$16:$16,'CF_Debt Schedule'!24:24),0)</f>
        <v>0</v>
      </c>
      <c r="DD32" s="258">
        <f ca="1">-IFERROR(_xlfn.XLOOKUP(DD$7,'CF_Debt Schedule'!$16:$16,'CF_Debt Schedule'!24:24),0)</f>
        <v>0</v>
      </c>
      <c r="DE32" s="258">
        <f ca="1">-IFERROR(_xlfn.XLOOKUP(DE$7,'CF_Debt Schedule'!$16:$16,'CF_Debt Schedule'!24:24),0)</f>
        <v>0</v>
      </c>
      <c r="DF32" s="258">
        <f ca="1">-IFERROR(_xlfn.XLOOKUP(DF$7,'CF_Debt Schedule'!$16:$16,'CF_Debt Schedule'!24:24),0)</f>
        <v>0</v>
      </c>
      <c r="DG32" s="258">
        <f ca="1">-IFERROR(_xlfn.XLOOKUP(DG$7,'CF_Debt Schedule'!$16:$16,'CF_Debt Schedule'!24:24),0)</f>
        <v>0</v>
      </c>
      <c r="DH32" s="258">
        <f ca="1">-IFERROR(_xlfn.XLOOKUP(DH$7,'CF_Debt Schedule'!$16:$16,'CF_Debt Schedule'!24:24),0)</f>
        <v>0</v>
      </c>
      <c r="DI32" s="258">
        <f ca="1">-IFERROR(_xlfn.XLOOKUP(DI$7,'CF_Debt Schedule'!$16:$16,'CF_Debt Schedule'!24:24),0)</f>
        <v>0</v>
      </c>
      <c r="DJ32" s="258">
        <f ca="1">-IFERROR(_xlfn.XLOOKUP(DJ$7,'CF_Debt Schedule'!$16:$16,'CF_Debt Schedule'!24:24),0)</f>
        <v>0</v>
      </c>
      <c r="DK32" s="258">
        <f ca="1">-IFERROR(_xlfn.XLOOKUP(DK$7,'CF_Debt Schedule'!$16:$16,'CF_Debt Schedule'!24:24),0)</f>
        <v>0</v>
      </c>
      <c r="DL32" s="258">
        <f ca="1">-IFERROR(_xlfn.XLOOKUP(DL$7,'CF_Debt Schedule'!$16:$16,'CF_Debt Schedule'!24:24),0)</f>
        <v>0</v>
      </c>
      <c r="DM32" s="258">
        <f ca="1">-IFERROR(_xlfn.XLOOKUP(DM$7,'CF_Debt Schedule'!$16:$16,'CF_Debt Schedule'!24:24),0)</f>
        <v>0</v>
      </c>
      <c r="DN32" s="258">
        <f ca="1">-IFERROR(_xlfn.XLOOKUP(DN$7,'CF_Debt Schedule'!$16:$16,'CF_Debt Schedule'!24:24),0)</f>
        <v>0</v>
      </c>
      <c r="DO32" s="258">
        <f ca="1">-IFERROR(_xlfn.XLOOKUP(DO$7,'CF_Debt Schedule'!$16:$16,'CF_Debt Schedule'!24:24),0)</f>
        <v>0</v>
      </c>
      <c r="DP32" s="258">
        <f ca="1">-IFERROR(_xlfn.XLOOKUP(DP$7,'CF_Debt Schedule'!$16:$16,'CF_Debt Schedule'!24:24),0)</f>
        <v>0</v>
      </c>
      <c r="DQ32" s="258">
        <f ca="1">-IFERROR(_xlfn.XLOOKUP(DQ$7,'CF_Debt Schedule'!$16:$16,'CF_Debt Schedule'!24:24),0)</f>
        <v>0</v>
      </c>
      <c r="DR32" s="258">
        <f ca="1">-IFERROR(_xlfn.XLOOKUP(DR$7,'CF_Debt Schedule'!$16:$16,'CF_Debt Schedule'!24:24),0)</f>
        <v>0</v>
      </c>
      <c r="DS32" s="258">
        <f ca="1">-IFERROR(_xlfn.XLOOKUP(DS$7,'CF_Debt Schedule'!$16:$16,'CF_Debt Schedule'!24:24),0)</f>
        <v>0</v>
      </c>
      <c r="DT32" s="258">
        <f ca="1">-IFERROR(_xlfn.XLOOKUP(DT$7,'CF_Debt Schedule'!$16:$16,'CF_Debt Schedule'!24:24),0)</f>
        <v>0</v>
      </c>
      <c r="DU32" s="258">
        <f ca="1">-IFERROR(_xlfn.XLOOKUP(DU$7,'CF_Debt Schedule'!$16:$16,'CF_Debt Schedule'!24:24),0)</f>
        <v>0</v>
      </c>
      <c r="DV32" s="258">
        <f ca="1">-IFERROR(_xlfn.XLOOKUP(DV$7,'CF_Debt Schedule'!$16:$16,'CF_Debt Schedule'!24:24),0)</f>
        <v>0</v>
      </c>
      <c r="DW32" s="258">
        <f ca="1">-IFERROR(_xlfn.XLOOKUP(DW$7,'CF_Debt Schedule'!$16:$16,'CF_Debt Schedule'!24:24),0)</f>
        <v>0</v>
      </c>
      <c r="DX32" s="258">
        <f ca="1">-IFERROR(_xlfn.XLOOKUP(DX$7,'CF_Debt Schedule'!$16:$16,'CF_Debt Schedule'!24:24),0)</f>
        <v>0</v>
      </c>
      <c r="DY32" s="258">
        <f ca="1">-IFERROR(_xlfn.XLOOKUP(DY$7,'CF_Debt Schedule'!$16:$16,'CF_Debt Schedule'!24:24),0)</f>
        <v>0</v>
      </c>
      <c r="DZ32" s="258">
        <f ca="1">-IFERROR(_xlfn.XLOOKUP(DZ$7,'CF_Debt Schedule'!$16:$16,'CF_Debt Schedule'!24:24),0)</f>
        <v>0</v>
      </c>
      <c r="EA32" s="258">
        <f ca="1">-IFERROR(_xlfn.XLOOKUP(EA$7,'CF_Debt Schedule'!$16:$16,'CF_Debt Schedule'!24:24),0)</f>
        <v>0</v>
      </c>
      <c r="EB32" s="258">
        <f ca="1">-IFERROR(_xlfn.XLOOKUP(EB$7,'CF_Debt Schedule'!$16:$16,'CF_Debt Schedule'!24:24),0)</f>
        <v>0</v>
      </c>
      <c r="EC32" s="258">
        <f>-IFERROR(_xlfn.XLOOKUP(EC$7,'CF_Debt Schedule'!$16:$16,'CF_Debt Schedule'!24:24),0)</f>
        <v>0</v>
      </c>
      <c r="ED32" s="258">
        <f>-IFERROR(_xlfn.XLOOKUP(ED$7,'CF_Debt Schedule'!$16:$16,'CF_Debt Schedule'!24:24),0)</f>
        <v>0</v>
      </c>
      <c r="EE32" s="258">
        <f>-IFERROR(_xlfn.XLOOKUP(EE$7,'CF_Debt Schedule'!$16:$16,'CF_Debt Schedule'!24:24),0)</f>
        <v>0</v>
      </c>
      <c r="EF32" s="258">
        <f>-IFERROR(_xlfn.XLOOKUP(EF$7,'CF_Debt Schedule'!$16:$16,'CF_Debt Schedule'!24:24),0)</f>
        <v>0</v>
      </c>
      <c r="EG32" s="258">
        <f>-IFERROR(_xlfn.XLOOKUP(EG$7,'CF_Debt Schedule'!$16:$16,'CF_Debt Schedule'!24:24),0)</f>
        <v>0</v>
      </c>
      <c r="EH32" s="258">
        <f>-IFERROR(_xlfn.XLOOKUP(EH$7,'CF_Debt Schedule'!$16:$16,'CF_Debt Schedule'!24:24),0)</f>
        <v>0</v>
      </c>
      <c r="EI32" s="258">
        <f>-IFERROR(_xlfn.XLOOKUP(EI$7,'CF_Debt Schedule'!$16:$16,'CF_Debt Schedule'!24:24),0)</f>
        <v>0</v>
      </c>
      <c r="EJ32" s="258">
        <f>-IFERROR(_xlfn.XLOOKUP(EJ$7,'CF_Debt Schedule'!$16:$16,'CF_Debt Schedule'!24:24),0)</f>
        <v>0</v>
      </c>
      <c r="EK32" s="258">
        <f>-IFERROR(_xlfn.XLOOKUP(EK$7,'CF_Debt Schedule'!$16:$16,'CF_Debt Schedule'!24:24),0)</f>
        <v>0</v>
      </c>
      <c r="EL32" s="258">
        <f>-IFERROR(_xlfn.XLOOKUP(EL$7,'CF_Debt Schedule'!$16:$16,'CF_Debt Schedule'!24:24),0)</f>
        <v>0</v>
      </c>
      <c r="EM32" s="258">
        <f>-IFERROR(_xlfn.XLOOKUP(EM$7,'CF_Debt Schedule'!$16:$16,'CF_Debt Schedule'!24:24),0)</f>
        <v>0</v>
      </c>
      <c r="EN32" s="258">
        <f>-IFERROR(_xlfn.XLOOKUP(EN$7,'CF_Debt Schedule'!$16:$16,'CF_Debt Schedule'!24:24),0)</f>
        <v>0</v>
      </c>
      <c r="EO32" s="258">
        <f>-IFERROR(_xlfn.XLOOKUP(EO$7,'CF_Debt Schedule'!$16:$16,'CF_Debt Schedule'!24:24),0)</f>
        <v>0</v>
      </c>
      <c r="EP32" s="258">
        <f>-IFERROR(_xlfn.XLOOKUP(EP$7,'CF_Debt Schedule'!$16:$16,'CF_Debt Schedule'!24:24),0)</f>
        <v>0</v>
      </c>
      <c r="EQ32" s="258">
        <f>-IFERROR(_xlfn.XLOOKUP(EQ$7,'CF_Debt Schedule'!$16:$16,'CF_Debt Schedule'!24:24),0)</f>
        <v>0</v>
      </c>
      <c r="ER32" s="258">
        <f>-IFERROR(_xlfn.XLOOKUP(ER$7,'CF_Debt Schedule'!$16:$16,'CF_Debt Schedule'!24:24),0)</f>
        <v>0</v>
      </c>
      <c r="ES32" s="258">
        <f>-IFERROR(_xlfn.XLOOKUP(ES$7,'CF_Debt Schedule'!$16:$16,'CF_Debt Schedule'!24:24),0)</f>
        <v>0</v>
      </c>
      <c r="ET32" s="258">
        <f>-IFERROR(_xlfn.XLOOKUP(ET$7,'CF_Debt Schedule'!$16:$16,'CF_Debt Schedule'!24:24),0)</f>
        <v>0</v>
      </c>
      <c r="EU32" s="258">
        <f>-IFERROR(_xlfn.XLOOKUP(EU$7,'CF_Debt Schedule'!$16:$16,'CF_Debt Schedule'!24:24),0)</f>
        <v>0</v>
      </c>
      <c r="EV32" s="258">
        <f>-IFERROR(_xlfn.XLOOKUP(EV$7,'CF_Debt Schedule'!$16:$16,'CF_Debt Schedule'!24:24),0)</f>
        <v>0</v>
      </c>
      <c r="EW32" s="258">
        <f>-IFERROR(_xlfn.XLOOKUP(EW$7,'CF_Debt Schedule'!$16:$16,'CF_Debt Schedule'!24:24),0)</f>
        <v>0</v>
      </c>
      <c r="EX32" s="258">
        <f>-IFERROR(_xlfn.XLOOKUP(EX$7,'CF_Debt Schedule'!$16:$16,'CF_Debt Schedule'!24:24),0)</f>
        <v>0</v>
      </c>
      <c r="EY32" s="258">
        <f>-IFERROR(_xlfn.XLOOKUP(EY$7,'CF_Debt Schedule'!$16:$16,'CF_Debt Schedule'!24:24),0)</f>
        <v>0</v>
      </c>
      <c r="EZ32" s="258">
        <f>-IFERROR(_xlfn.XLOOKUP(EZ$7,'CF_Debt Schedule'!$16:$16,'CF_Debt Schedule'!24:24),0)</f>
        <v>0</v>
      </c>
      <c r="FA32" s="258">
        <f>-IFERROR(_xlfn.XLOOKUP(FA$7,'CF_Debt Schedule'!$16:$16,'CF_Debt Schedule'!24:24),0)</f>
        <v>0</v>
      </c>
      <c r="FB32" s="258">
        <f>-IFERROR(_xlfn.XLOOKUP(FB$7,'CF_Debt Schedule'!$16:$16,'CF_Debt Schedule'!24:24),0)</f>
        <v>0</v>
      </c>
      <c r="FC32" s="258">
        <f>-IFERROR(_xlfn.XLOOKUP(FC$7,'CF_Debt Schedule'!$16:$16,'CF_Debt Schedule'!24:24),0)</f>
        <v>0</v>
      </c>
      <c r="FD32" s="258">
        <f>-IFERROR(_xlfn.XLOOKUP(FD$7,'CF_Debt Schedule'!$16:$16,'CF_Debt Schedule'!24:24),0)</f>
        <v>0</v>
      </c>
      <c r="FE32" s="258">
        <f>-IFERROR(_xlfn.XLOOKUP(FE$7,'CF_Debt Schedule'!$16:$16,'CF_Debt Schedule'!24:24),0)</f>
        <v>0</v>
      </c>
      <c r="FF32" s="258">
        <f>-IFERROR(_xlfn.XLOOKUP(FF$7,'CF_Debt Schedule'!$16:$16,'CF_Debt Schedule'!24:24),0)</f>
        <v>0</v>
      </c>
      <c r="FG32" s="258">
        <f>-IFERROR(_xlfn.XLOOKUP(FG$7,'CF_Debt Schedule'!$16:$16,'CF_Debt Schedule'!24:24),0)</f>
        <v>0</v>
      </c>
      <c r="FH32" s="258">
        <f>-IFERROR(_xlfn.XLOOKUP(FH$7,'CF_Debt Schedule'!$16:$16,'CF_Debt Schedule'!24:24),0)</f>
        <v>0</v>
      </c>
      <c r="FI32" s="258">
        <f>-IFERROR(_xlfn.XLOOKUP(FI$7,'CF_Debt Schedule'!$16:$16,'CF_Debt Schedule'!24:24),0)</f>
        <v>0</v>
      </c>
      <c r="FJ32" s="258">
        <f>-IFERROR(_xlfn.XLOOKUP(FJ$7,'CF_Debt Schedule'!$16:$16,'CF_Debt Schedule'!24:24),0)</f>
        <v>0</v>
      </c>
      <c r="FK32" s="258">
        <f>-IFERROR(_xlfn.XLOOKUP(FK$7,'CF_Debt Schedule'!$16:$16,'CF_Debt Schedule'!24:24),0)</f>
        <v>0</v>
      </c>
      <c r="FL32" s="258">
        <f>-IFERROR(_xlfn.XLOOKUP(FL$7,'CF_Debt Schedule'!$16:$16,'CF_Debt Schedule'!24:24),0)</f>
        <v>0</v>
      </c>
      <c r="FM32" s="258">
        <f>-IFERROR(_xlfn.XLOOKUP(FM$7,'CF_Debt Schedule'!$16:$16,'CF_Debt Schedule'!24:24),0)</f>
        <v>0</v>
      </c>
      <c r="FN32" s="258">
        <f>-IFERROR(_xlfn.XLOOKUP(FN$7,'CF_Debt Schedule'!$16:$16,'CF_Debt Schedule'!24:24),0)</f>
        <v>0</v>
      </c>
      <c r="FO32" s="258">
        <f>-IFERROR(_xlfn.XLOOKUP(FO$7,'CF_Debt Schedule'!$16:$16,'CF_Debt Schedule'!24:24),0)</f>
        <v>0</v>
      </c>
      <c r="FP32" s="258">
        <f>-IFERROR(_xlfn.XLOOKUP(FP$7,'CF_Debt Schedule'!$16:$16,'CF_Debt Schedule'!24:24),0)</f>
        <v>0</v>
      </c>
      <c r="FQ32" s="258">
        <f>-IFERROR(_xlfn.XLOOKUP(FQ$7,'CF_Debt Schedule'!$16:$16,'CF_Debt Schedule'!24:24),0)</f>
        <v>0</v>
      </c>
      <c r="FR32" s="258">
        <f>-IFERROR(_xlfn.XLOOKUP(FR$7,'CF_Debt Schedule'!$16:$16,'CF_Debt Schedule'!24:24),0)</f>
        <v>0</v>
      </c>
      <c r="FS32" s="258">
        <f>-IFERROR(_xlfn.XLOOKUP(FS$7,'CF_Debt Schedule'!$16:$16,'CF_Debt Schedule'!24:24),0)</f>
        <v>0</v>
      </c>
      <c r="FT32" s="258">
        <f>-IFERROR(_xlfn.XLOOKUP(FT$7,'CF_Debt Schedule'!$16:$16,'CF_Debt Schedule'!24:24),0)</f>
        <v>0</v>
      </c>
      <c r="FU32" s="258">
        <f>-IFERROR(_xlfn.XLOOKUP(FU$7,'CF_Debt Schedule'!$16:$16,'CF_Debt Schedule'!24:24),0)</f>
        <v>0</v>
      </c>
      <c r="FV32" s="258">
        <f>-IFERROR(_xlfn.XLOOKUP(FV$7,'CF_Debt Schedule'!$16:$16,'CF_Debt Schedule'!24:24),0)</f>
        <v>0</v>
      </c>
      <c r="FW32" s="258">
        <f>-IFERROR(_xlfn.XLOOKUP(FW$7,'CF_Debt Schedule'!$16:$16,'CF_Debt Schedule'!24:24),0)</f>
        <v>0</v>
      </c>
      <c r="FX32" s="258">
        <f>-IFERROR(_xlfn.XLOOKUP(FX$7,'CF_Debt Schedule'!$16:$16,'CF_Debt Schedule'!24:24),0)</f>
        <v>0</v>
      </c>
      <c r="FY32" s="258">
        <f>-IFERROR(_xlfn.XLOOKUP(FY$7,'CF_Debt Schedule'!$16:$16,'CF_Debt Schedule'!24:24),0)</f>
        <v>0</v>
      </c>
      <c r="FZ32" s="258">
        <f>-IFERROR(_xlfn.XLOOKUP(FZ$7,'CF_Debt Schedule'!$16:$16,'CF_Debt Schedule'!24:24),0)</f>
        <v>0</v>
      </c>
      <c r="GA32" s="258">
        <f>-IFERROR(_xlfn.XLOOKUP(GA$7,'CF_Debt Schedule'!$16:$16,'CF_Debt Schedule'!24:24),0)</f>
        <v>0</v>
      </c>
      <c r="GB32" s="258">
        <f>-IFERROR(_xlfn.XLOOKUP(GB$7,'CF_Debt Schedule'!$16:$16,'CF_Debt Schedule'!24:24),0)</f>
        <v>0</v>
      </c>
      <c r="GC32" s="258">
        <f>-IFERROR(_xlfn.XLOOKUP(GC$7,'CF_Debt Schedule'!$16:$16,'CF_Debt Schedule'!24:24),0)</f>
        <v>0</v>
      </c>
      <c r="GD32" s="258">
        <f>-IFERROR(_xlfn.XLOOKUP(GD$7,'CF_Debt Schedule'!$16:$16,'CF_Debt Schedule'!24:24),0)</f>
        <v>0</v>
      </c>
      <c r="GE32" s="258">
        <f>-IFERROR(_xlfn.XLOOKUP(GE$7,'CF_Debt Schedule'!$16:$16,'CF_Debt Schedule'!24:24),0)</f>
        <v>0</v>
      </c>
      <c r="GF32" s="258">
        <f>-IFERROR(_xlfn.XLOOKUP(GF$7,'CF_Debt Schedule'!$16:$16,'CF_Debt Schedule'!24:24),0)</f>
        <v>0</v>
      </c>
      <c r="GG32" s="258">
        <f>-IFERROR(_xlfn.XLOOKUP(GG$7,'CF_Debt Schedule'!$16:$16,'CF_Debt Schedule'!24:24),0)</f>
        <v>0</v>
      </c>
      <c r="GH32" s="258">
        <f>-IFERROR(_xlfn.XLOOKUP(GH$7,'CF_Debt Schedule'!$16:$16,'CF_Debt Schedule'!24:24),0)</f>
        <v>0</v>
      </c>
      <c r="GI32" s="258">
        <f>-IFERROR(_xlfn.XLOOKUP(GI$7,'CF_Debt Schedule'!$16:$16,'CF_Debt Schedule'!24:24),0)</f>
        <v>0</v>
      </c>
      <c r="GJ32" s="258">
        <f>-IFERROR(_xlfn.XLOOKUP(GJ$7,'CF_Debt Schedule'!$16:$16,'CF_Debt Schedule'!24:24),0)</f>
        <v>0</v>
      </c>
      <c r="GK32" s="258">
        <f>-IFERROR(_xlfn.XLOOKUP(GK$7,'CF_Debt Schedule'!$16:$16,'CF_Debt Schedule'!24:24),0)</f>
        <v>0</v>
      </c>
      <c r="GL32" s="258">
        <f>-IFERROR(_xlfn.XLOOKUP(GL$7,'CF_Debt Schedule'!$16:$16,'CF_Debt Schedule'!24:24),0)</f>
        <v>0</v>
      </c>
      <c r="GM32" s="258">
        <f>-IFERROR(_xlfn.XLOOKUP(GM$7,'CF_Debt Schedule'!$16:$16,'CF_Debt Schedule'!24:24),0)</f>
        <v>0</v>
      </c>
      <c r="GN32" s="258">
        <f>-IFERROR(_xlfn.XLOOKUP(GN$7,'CF_Debt Schedule'!$16:$16,'CF_Debt Schedule'!24:24),0)</f>
        <v>0</v>
      </c>
      <c r="GO32" s="258">
        <f>-IFERROR(_xlfn.XLOOKUP(GO$7,'CF_Debt Schedule'!$16:$16,'CF_Debt Schedule'!24:24),0)</f>
        <v>0</v>
      </c>
      <c r="GP32" s="258">
        <f>-IFERROR(_xlfn.XLOOKUP(GP$7,'CF_Debt Schedule'!$16:$16,'CF_Debt Schedule'!24:24),0)</f>
        <v>0</v>
      </c>
      <c r="GQ32" s="258">
        <f>-IFERROR(_xlfn.XLOOKUP(GQ$7,'CF_Debt Schedule'!$16:$16,'CF_Debt Schedule'!24:24),0)</f>
        <v>0</v>
      </c>
      <c r="GR32" s="258">
        <f>-IFERROR(_xlfn.XLOOKUP(GR$7,'CF_Debt Schedule'!$16:$16,'CF_Debt Schedule'!24:24),0)</f>
        <v>0</v>
      </c>
      <c r="GS32" s="258">
        <f>-IFERROR(_xlfn.XLOOKUP(GS$7,'CF_Debt Schedule'!$16:$16,'CF_Debt Schedule'!24:24),0)</f>
        <v>0</v>
      </c>
      <c r="GT32" s="258">
        <f>-IFERROR(_xlfn.XLOOKUP(GT$7,'CF_Debt Schedule'!$16:$16,'CF_Debt Schedule'!24:24),0)</f>
        <v>0</v>
      </c>
      <c r="GU32" s="258">
        <f>-IFERROR(_xlfn.XLOOKUP(GU$7,'CF_Debt Schedule'!$16:$16,'CF_Debt Schedule'!24:24),0)</f>
        <v>0</v>
      </c>
      <c r="GV32" s="258">
        <f>-IFERROR(_xlfn.XLOOKUP(GV$7,'CF_Debt Schedule'!$16:$16,'CF_Debt Schedule'!24:24),0)</f>
        <v>0</v>
      </c>
      <c r="GW32" s="258">
        <f>-IFERROR(_xlfn.XLOOKUP(GW$7,'CF_Debt Schedule'!$16:$16,'CF_Debt Schedule'!24:24),0)</f>
        <v>0</v>
      </c>
      <c r="GX32" s="258">
        <f>-IFERROR(_xlfn.XLOOKUP(GX$7,'CF_Debt Schedule'!$16:$16,'CF_Debt Schedule'!24:24),0)</f>
        <v>0</v>
      </c>
      <c r="GY32" s="258">
        <f>-IFERROR(_xlfn.XLOOKUP(GY$7,'CF_Debt Schedule'!$16:$16,'CF_Debt Schedule'!24:24),0)</f>
        <v>0</v>
      </c>
      <c r="GZ32" s="258">
        <f>-IFERROR(_xlfn.XLOOKUP(GZ$7,'CF_Debt Schedule'!$16:$16,'CF_Debt Schedule'!24:24),0)</f>
        <v>0</v>
      </c>
      <c r="HA32" s="258">
        <f>-IFERROR(_xlfn.XLOOKUP(HA$7,'CF_Debt Schedule'!$16:$16,'CF_Debt Schedule'!24:24),0)</f>
        <v>0</v>
      </c>
      <c r="HB32" s="258">
        <f>-IFERROR(_xlfn.XLOOKUP(HB$7,'CF_Debt Schedule'!$16:$16,'CF_Debt Schedule'!24:24),0)</f>
        <v>0</v>
      </c>
      <c r="HC32" s="258">
        <f>-IFERROR(_xlfn.XLOOKUP(HC$7,'CF_Debt Schedule'!$16:$16,'CF_Debt Schedule'!24:24),0)</f>
        <v>0</v>
      </c>
      <c r="HD32" s="258">
        <f>-IFERROR(_xlfn.XLOOKUP(HD$7,'CF_Debt Schedule'!$16:$16,'CF_Debt Schedule'!24:24),0)</f>
        <v>0</v>
      </c>
      <c r="HE32" s="258">
        <f>-IFERROR(_xlfn.XLOOKUP(HE$7,'CF_Debt Schedule'!$16:$16,'CF_Debt Schedule'!24:24),0)</f>
        <v>0</v>
      </c>
      <c r="HF32" s="258">
        <f>-IFERROR(_xlfn.XLOOKUP(HF$7,'CF_Debt Schedule'!$16:$16,'CF_Debt Schedule'!24:24),0)</f>
        <v>0</v>
      </c>
      <c r="HG32" s="258">
        <f>-IFERROR(_xlfn.XLOOKUP(HG$7,'CF_Debt Schedule'!$16:$16,'CF_Debt Schedule'!24:24),0)</f>
        <v>0</v>
      </c>
      <c r="HH32" s="258">
        <f>-IFERROR(_xlfn.XLOOKUP(HH$7,'CF_Debt Schedule'!$16:$16,'CF_Debt Schedule'!24:24),0)</f>
        <v>0</v>
      </c>
      <c r="HI32" s="258">
        <f>-IFERROR(_xlfn.XLOOKUP(HI$7,'CF_Debt Schedule'!$16:$16,'CF_Debt Schedule'!24:24),0)</f>
        <v>0</v>
      </c>
      <c r="HJ32" s="258">
        <f>-IFERROR(_xlfn.XLOOKUP(HJ$7,'CF_Debt Schedule'!$16:$16,'CF_Debt Schedule'!24:24),0)</f>
        <v>0</v>
      </c>
      <c r="HK32" s="258">
        <f>-IFERROR(_xlfn.XLOOKUP(HK$7,'CF_Debt Schedule'!$16:$16,'CF_Debt Schedule'!24:24),0)</f>
        <v>0</v>
      </c>
      <c r="HL32" s="258">
        <f>-IFERROR(_xlfn.XLOOKUP(HL$7,'CF_Debt Schedule'!$16:$16,'CF_Debt Schedule'!24:24),0)</f>
        <v>0</v>
      </c>
      <c r="HM32" s="258">
        <f>-IFERROR(_xlfn.XLOOKUP(HM$7,'CF_Debt Schedule'!$16:$16,'CF_Debt Schedule'!24:24),0)</f>
        <v>0</v>
      </c>
      <c r="HN32" s="258">
        <f>-IFERROR(_xlfn.XLOOKUP(HN$7,'CF_Debt Schedule'!$16:$16,'CF_Debt Schedule'!24:24),0)</f>
        <v>0</v>
      </c>
      <c r="HO32" s="258">
        <f>-IFERROR(_xlfn.XLOOKUP(HO$7,'CF_Debt Schedule'!$16:$16,'CF_Debt Schedule'!24:24),0)</f>
        <v>0</v>
      </c>
      <c r="HP32" s="258">
        <f>-IFERROR(_xlfn.XLOOKUP(HP$7,'CF_Debt Schedule'!$16:$16,'CF_Debt Schedule'!24:24),0)</f>
        <v>0</v>
      </c>
      <c r="HQ32" s="258">
        <f>-IFERROR(_xlfn.XLOOKUP(HQ$7,'CF_Debt Schedule'!$16:$16,'CF_Debt Schedule'!24:24),0)</f>
        <v>0</v>
      </c>
      <c r="HR32" s="258">
        <f>-IFERROR(_xlfn.XLOOKUP(HR$7,'CF_Debt Schedule'!$16:$16,'CF_Debt Schedule'!24:24),0)</f>
        <v>0</v>
      </c>
      <c r="HS32" s="258">
        <f>-IFERROR(_xlfn.XLOOKUP(HS$7,'CF_Debt Schedule'!$16:$16,'CF_Debt Schedule'!24:24),0)</f>
        <v>0</v>
      </c>
      <c r="HT32" s="258">
        <f>-IFERROR(_xlfn.XLOOKUP(HT$7,'CF_Debt Schedule'!$16:$16,'CF_Debt Schedule'!24:24),0)</f>
        <v>0</v>
      </c>
      <c r="HU32" s="258">
        <f>-IFERROR(_xlfn.XLOOKUP(HU$7,'CF_Debt Schedule'!$16:$16,'CF_Debt Schedule'!24:24),0)</f>
        <v>0</v>
      </c>
      <c r="HV32" s="258">
        <f>-IFERROR(_xlfn.XLOOKUP(HV$7,'CF_Debt Schedule'!$16:$16,'CF_Debt Schedule'!24:24),0)</f>
        <v>0</v>
      </c>
      <c r="HW32" s="258">
        <f>-IFERROR(_xlfn.XLOOKUP(HW$7,'CF_Debt Schedule'!$16:$16,'CF_Debt Schedule'!24:24),0)</f>
        <v>0</v>
      </c>
      <c r="HX32" s="258">
        <f>-IFERROR(_xlfn.XLOOKUP(HX$7,'CF_Debt Schedule'!$16:$16,'CF_Debt Schedule'!24:24),0)</f>
        <v>0</v>
      </c>
      <c r="HY32" s="258">
        <f>-IFERROR(_xlfn.XLOOKUP(HY$7,'CF_Debt Schedule'!$16:$16,'CF_Debt Schedule'!24:24),0)</f>
        <v>0</v>
      </c>
      <c r="HZ32" s="258">
        <f>-IFERROR(_xlfn.XLOOKUP(HZ$7,'CF_Debt Schedule'!$16:$16,'CF_Debt Schedule'!24:24),0)</f>
        <v>0</v>
      </c>
      <c r="IA32" s="258">
        <f>-IFERROR(_xlfn.XLOOKUP(IA$7,'CF_Debt Schedule'!$16:$16,'CF_Debt Schedule'!24:24),0)</f>
        <v>0</v>
      </c>
      <c r="IB32" s="258">
        <f>-IFERROR(_xlfn.XLOOKUP(IB$7,'CF_Debt Schedule'!$16:$16,'CF_Debt Schedule'!24:24),0)</f>
        <v>0</v>
      </c>
      <c r="IC32" s="258">
        <f>-IFERROR(_xlfn.XLOOKUP(IC$7,'CF_Debt Schedule'!$16:$16,'CF_Debt Schedule'!24:24),0)</f>
        <v>0</v>
      </c>
      <c r="ID32" s="258">
        <f>-IFERROR(_xlfn.XLOOKUP(ID$7,'CF_Debt Schedule'!$16:$16,'CF_Debt Schedule'!24:24),0)</f>
        <v>0</v>
      </c>
      <c r="IE32" s="258">
        <f>-IFERROR(_xlfn.XLOOKUP(IE$7,'CF_Debt Schedule'!$16:$16,'CF_Debt Schedule'!24:24),0)</f>
        <v>0</v>
      </c>
      <c r="IF32" s="258">
        <f>-IFERROR(_xlfn.XLOOKUP(IF$7,'CF_Debt Schedule'!$16:$16,'CF_Debt Schedule'!24:24),0)</f>
        <v>0</v>
      </c>
      <c r="IG32" s="258">
        <f>-IFERROR(_xlfn.XLOOKUP(IG$7,'CF_Debt Schedule'!$16:$16,'CF_Debt Schedule'!24:24),0)</f>
        <v>0</v>
      </c>
      <c r="IH32" s="258">
        <f>-IFERROR(_xlfn.XLOOKUP(IH$7,'CF_Debt Schedule'!$16:$16,'CF_Debt Schedule'!24:24),0)</f>
        <v>0</v>
      </c>
      <c r="II32" s="258">
        <f>-IFERROR(_xlfn.XLOOKUP(II$7,'CF_Debt Schedule'!$16:$16,'CF_Debt Schedule'!24:24),0)</f>
        <v>0</v>
      </c>
      <c r="IJ32" s="258">
        <f>-IFERROR(_xlfn.XLOOKUP(IJ$7,'CF_Debt Schedule'!$16:$16,'CF_Debt Schedule'!24:24),0)</f>
        <v>0</v>
      </c>
      <c r="IK32" s="258">
        <f>-IFERROR(_xlfn.XLOOKUP(IK$7,'CF_Debt Schedule'!$16:$16,'CF_Debt Schedule'!24:24),0)</f>
        <v>0</v>
      </c>
      <c r="IL32" s="258">
        <f>-IFERROR(_xlfn.XLOOKUP(IL$7,'CF_Debt Schedule'!$16:$16,'CF_Debt Schedule'!24:24),0)</f>
        <v>0</v>
      </c>
      <c r="IM32" s="258">
        <f>-IFERROR(_xlfn.XLOOKUP(IM$7,'CF_Debt Schedule'!$16:$16,'CF_Debt Schedule'!24:24),0)</f>
        <v>0</v>
      </c>
      <c r="IN32" s="258">
        <f>-IFERROR(_xlfn.XLOOKUP(IN$7,'CF_Debt Schedule'!$16:$16,'CF_Debt Schedule'!24:24),0)</f>
        <v>0</v>
      </c>
      <c r="IO32" s="258">
        <f>-IFERROR(_xlfn.XLOOKUP(IO$7,'CF_Debt Schedule'!$16:$16,'CF_Debt Schedule'!24:24),0)</f>
        <v>0</v>
      </c>
      <c r="IP32" s="258">
        <f>-IFERROR(_xlfn.XLOOKUP(IP$7,'CF_Debt Schedule'!$16:$16,'CF_Debt Schedule'!24:24),0)</f>
        <v>0</v>
      </c>
      <c r="IQ32" s="258">
        <f>-IFERROR(_xlfn.XLOOKUP(IQ$7,'CF_Debt Schedule'!$16:$16,'CF_Debt Schedule'!24:24),0)</f>
        <v>0</v>
      </c>
      <c r="IR32" s="258">
        <f>-IFERROR(_xlfn.XLOOKUP(IR$7,'CF_Debt Schedule'!$16:$16,'CF_Debt Schedule'!24:24),0)</f>
        <v>0</v>
      </c>
      <c r="IS32" s="258">
        <f>-IFERROR(_xlfn.XLOOKUP(IS$7,'CF_Debt Schedule'!$16:$16,'CF_Debt Schedule'!24:24),0)</f>
        <v>0</v>
      </c>
      <c r="IT32" s="258">
        <f>-IFERROR(_xlfn.XLOOKUP(IT$7,'CF_Debt Schedule'!$16:$16,'CF_Debt Schedule'!24:24),0)</f>
        <v>0</v>
      </c>
      <c r="IU32" s="258">
        <f>-IFERROR(_xlfn.XLOOKUP(IU$7,'CF_Debt Schedule'!$16:$16,'CF_Debt Schedule'!24:24),0)</f>
        <v>0</v>
      </c>
      <c r="IV32" s="258">
        <f>-IFERROR(_xlfn.XLOOKUP(IV$7,'CF_Debt Schedule'!$16:$16,'CF_Debt Schedule'!24:24),0)</f>
        <v>0</v>
      </c>
      <c r="IW32" s="258">
        <f>-IFERROR(_xlfn.XLOOKUP(IW$7,'CF_Debt Schedule'!$16:$16,'CF_Debt Schedule'!24:24),0)</f>
        <v>0</v>
      </c>
      <c r="IX32" s="258">
        <f>-IFERROR(_xlfn.XLOOKUP(IX$7,'CF_Debt Schedule'!$16:$16,'CF_Debt Schedule'!24:24),0)</f>
        <v>0</v>
      </c>
      <c r="IY32" s="258">
        <f>-IFERROR(_xlfn.XLOOKUP(IY$7,'CF_Debt Schedule'!$16:$16,'CF_Debt Schedule'!24:24),0)</f>
        <v>0</v>
      </c>
      <c r="IZ32" s="258">
        <f>-IFERROR(_xlfn.XLOOKUP(IZ$7,'CF_Debt Schedule'!$16:$16,'CF_Debt Schedule'!24:24),0)</f>
        <v>0</v>
      </c>
      <c r="JA32" s="258">
        <f>-IFERROR(_xlfn.XLOOKUP(JA$7,'CF_Debt Schedule'!$16:$16,'CF_Debt Schedule'!24:24),0)</f>
        <v>0</v>
      </c>
      <c r="JB32" s="258">
        <f>-IFERROR(_xlfn.XLOOKUP(JB$7,'CF_Debt Schedule'!$16:$16,'CF_Debt Schedule'!24:24),0)</f>
        <v>0</v>
      </c>
      <c r="JC32" s="258">
        <f>-IFERROR(_xlfn.XLOOKUP(JC$7,'CF_Debt Schedule'!$16:$16,'CF_Debt Schedule'!24:24),0)</f>
        <v>0</v>
      </c>
      <c r="JD32" s="258">
        <f>-IFERROR(_xlfn.XLOOKUP(JD$7,'CF_Debt Schedule'!$16:$16,'CF_Debt Schedule'!24:24),0)</f>
        <v>0</v>
      </c>
      <c r="JE32" s="258">
        <f>-IFERROR(_xlfn.XLOOKUP(JE$7,'CF_Debt Schedule'!$16:$16,'CF_Debt Schedule'!24:24),0)</f>
        <v>0</v>
      </c>
      <c r="JF32" s="258">
        <f>-IFERROR(_xlfn.XLOOKUP(JF$7,'CF_Debt Schedule'!$16:$16,'CF_Debt Schedule'!24:24),0)</f>
        <v>0</v>
      </c>
      <c r="JG32" s="258">
        <f>-IFERROR(_xlfn.XLOOKUP(JG$7,'CF_Debt Schedule'!$16:$16,'CF_Debt Schedule'!24:24),0)</f>
        <v>0</v>
      </c>
      <c r="JH32" s="258">
        <f>-IFERROR(_xlfn.XLOOKUP(JH$7,'CF_Debt Schedule'!$16:$16,'CF_Debt Schedule'!24:24),0)</f>
        <v>0</v>
      </c>
      <c r="JI32" s="258">
        <f>-IFERROR(_xlfn.XLOOKUP(JI$7,'CF_Debt Schedule'!$16:$16,'CF_Debt Schedule'!24:24),0)</f>
        <v>0</v>
      </c>
      <c r="JJ32" s="258">
        <f>-IFERROR(_xlfn.XLOOKUP(JJ$7,'CF_Debt Schedule'!$16:$16,'CF_Debt Schedule'!24:24),0)</f>
        <v>0</v>
      </c>
      <c r="JK32" s="258">
        <f>-IFERROR(_xlfn.XLOOKUP(JK$7,'CF_Debt Schedule'!$16:$16,'CF_Debt Schedule'!24:24),0)</f>
        <v>0</v>
      </c>
      <c r="JL32" s="258">
        <f>-IFERROR(_xlfn.XLOOKUP(JL$7,'CF_Debt Schedule'!$16:$16,'CF_Debt Schedule'!24:24),0)</f>
        <v>0</v>
      </c>
      <c r="JM32" s="258">
        <f>-IFERROR(_xlfn.XLOOKUP(JM$7,'CF_Debt Schedule'!$16:$16,'CF_Debt Schedule'!24:24),0)</f>
        <v>0</v>
      </c>
      <c r="JN32" s="258">
        <f>-IFERROR(_xlfn.XLOOKUP(JN$7,'CF_Debt Schedule'!$16:$16,'CF_Debt Schedule'!24:24),0)</f>
        <v>0</v>
      </c>
      <c r="JO32" s="258">
        <f>-IFERROR(_xlfn.XLOOKUP(JO$7,'CF_Debt Schedule'!$16:$16,'CF_Debt Schedule'!24:24),0)</f>
        <v>0</v>
      </c>
      <c r="JP32" s="258">
        <f>-IFERROR(_xlfn.XLOOKUP(JP$7,'CF_Debt Schedule'!$16:$16,'CF_Debt Schedule'!24:24),0)</f>
        <v>0</v>
      </c>
      <c r="JQ32" s="258">
        <f>-IFERROR(_xlfn.XLOOKUP(JQ$7,'CF_Debt Schedule'!$16:$16,'CF_Debt Schedule'!24:24),0)</f>
        <v>0</v>
      </c>
      <c r="JR32" s="258">
        <f>-IFERROR(_xlfn.XLOOKUP(JR$7,'CF_Debt Schedule'!$16:$16,'CF_Debt Schedule'!24:24),0)</f>
        <v>0</v>
      </c>
      <c r="JS32" s="258">
        <f>-IFERROR(_xlfn.XLOOKUP(JS$7,'CF_Debt Schedule'!$16:$16,'CF_Debt Schedule'!24:24),0)</f>
        <v>0</v>
      </c>
      <c r="JT32" s="258">
        <f>-IFERROR(_xlfn.XLOOKUP(JT$7,'CF_Debt Schedule'!$16:$16,'CF_Debt Schedule'!24:24),0)</f>
        <v>0</v>
      </c>
      <c r="JU32" s="258">
        <f>-IFERROR(_xlfn.XLOOKUP(JU$7,'CF_Debt Schedule'!$16:$16,'CF_Debt Schedule'!24:24),0)</f>
        <v>0</v>
      </c>
      <c r="JV32" s="258">
        <f>-IFERROR(_xlfn.XLOOKUP(JV$7,'CF_Debt Schedule'!$16:$16,'CF_Debt Schedule'!24:24),0)</f>
        <v>0</v>
      </c>
      <c r="JW32" s="258">
        <f>-IFERROR(_xlfn.XLOOKUP(JW$7,'CF_Debt Schedule'!$16:$16,'CF_Debt Schedule'!24:24),0)</f>
        <v>0</v>
      </c>
      <c r="JX32" s="258">
        <f>-IFERROR(_xlfn.XLOOKUP(JX$7,'CF_Debt Schedule'!$16:$16,'CF_Debt Schedule'!24:24),0)</f>
        <v>0</v>
      </c>
      <c r="JY32" s="258">
        <f>-IFERROR(_xlfn.XLOOKUP(JY$7,'CF_Debt Schedule'!$16:$16,'CF_Debt Schedule'!24:24),0)</f>
        <v>0</v>
      </c>
      <c r="JZ32" s="258">
        <f>-IFERROR(_xlfn.XLOOKUP(JZ$7,'CF_Debt Schedule'!$16:$16,'CF_Debt Schedule'!24:24),0)</f>
        <v>0</v>
      </c>
      <c r="KA32" s="258">
        <f>-IFERROR(_xlfn.XLOOKUP(KA$7,'CF_Debt Schedule'!$16:$16,'CF_Debt Schedule'!24:24),0)</f>
        <v>0</v>
      </c>
      <c r="KB32" s="258">
        <f>-IFERROR(_xlfn.XLOOKUP(KB$7,'CF_Debt Schedule'!$16:$16,'CF_Debt Schedule'!24:24),0)</f>
        <v>0</v>
      </c>
      <c r="KC32" s="265">
        <f t="shared" ca="1" si="443"/>
        <v>-81.027457626795126</v>
      </c>
    </row>
    <row r="33" spans="1:289" x14ac:dyDescent="0.3">
      <c r="A33" s="1" t="s">
        <v>39</v>
      </c>
      <c r="B33" s="257">
        <f>SUM(C33:BE33)</f>
        <v>0</v>
      </c>
      <c r="C33" s="258">
        <f>IFERROR(_xlfn.XLOOKUP(C$7,#REF!,#REF!),0)</f>
        <v>0</v>
      </c>
      <c r="D33" s="258">
        <f>IFERROR(_xlfn.XLOOKUP(D$7,#REF!,#REF!),0)</f>
        <v>0</v>
      </c>
      <c r="E33" s="258">
        <f>IFERROR(_xlfn.XLOOKUP(E$7,#REF!,#REF!),0)</f>
        <v>0</v>
      </c>
      <c r="F33" s="258">
        <f>IFERROR(_xlfn.XLOOKUP(F$7,#REF!,#REF!),0)</f>
        <v>0</v>
      </c>
      <c r="G33" s="258">
        <f>IFERROR(_xlfn.XLOOKUP(G$7,#REF!,#REF!),0)</f>
        <v>0</v>
      </c>
      <c r="H33" s="258">
        <f>IFERROR(_xlfn.XLOOKUP(H$7,#REF!,#REF!),0)</f>
        <v>0</v>
      </c>
      <c r="I33" s="258">
        <f>IFERROR(_xlfn.XLOOKUP(I$7,#REF!,#REF!),0)</f>
        <v>0</v>
      </c>
      <c r="J33" s="258">
        <f>IFERROR(_xlfn.XLOOKUP(J$7,#REF!,#REF!),0)</f>
        <v>0</v>
      </c>
      <c r="K33" s="258">
        <f>IFERROR(_xlfn.XLOOKUP(K$7,#REF!,#REF!),0)</f>
        <v>0</v>
      </c>
      <c r="L33" s="258">
        <f>IFERROR(_xlfn.XLOOKUP(L$7,#REF!,#REF!),0)</f>
        <v>0</v>
      </c>
      <c r="M33" s="258">
        <f>IFERROR(_xlfn.XLOOKUP(M$7,#REF!,#REF!),0)</f>
        <v>0</v>
      </c>
      <c r="N33" s="258">
        <f>IFERROR(_xlfn.XLOOKUP(N$7,#REF!,#REF!),0)</f>
        <v>0</v>
      </c>
      <c r="O33" s="258">
        <f>IFERROR(_xlfn.XLOOKUP(O$7,#REF!,#REF!),0)</f>
        <v>0</v>
      </c>
      <c r="P33" s="258">
        <f>IFERROR(_xlfn.XLOOKUP(P$7,#REF!,#REF!),0)</f>
        <v>0</v>
      </c>
      <c r="Q33" s="258">
        <f>IFERROR(_xlfn.XLOOKUP(Q$7,#REF!,#REF!),0)</f>
        <v>0</v>
      </c>
      <c r="R33" s="258">
        <f>IFERROR(_xlfn.XLOOKUP(R$7,#REF!,#REF!),0)</f>
        <v>0</v>
      </c>
      <c r="S33" s="258">
        <f>IFERROR(_xlfn.XLOOKUP(S$7,#REF!,#REF!),0)</f>
        <v>0</v>
      </c>
      <c r="T33" s="258">
        <f>IFERROR(_xlfn.XLOOKUP(T$7,#REF!,#REF!),0)</f>
        <v>0</v>
      </c>
      <c r="U33" s="258">
        <f>IFERROR(_xlfn.XLOOKUP(U$7,#REF!,#REF!),0)</f>
        <v>0</v>
      </c>
      <c r="V33" s="258">
        <f>IFERROR(_xlfn.XLOOKUP(V$7,#REF!,#REF!),0)</f>
        <v>0</v>
      </c>
      <c r="W33" s="258">
        <f>IFERROR(_xlfn.XLOOKUP(W$7,#REF!,#REF!),0)</f>
        <v>0</v>
      </c>
      <c r="X33" s="258">
        <f>IFERROR(_xlfn.XLOOKUP(X$7,#REF!,#REF!),0)</f>
        <v>0</v>
      </c>
      <c r="Y33" s="258">
        <f>IFERROR(_xlfn.XLOOKUP(Y$7,#REF!,#REF!),0)</f>
        <v>0</v>
      </c>
      <c r="Z33" s="258">
        <f>IFERROR(_xlfn.XLOOKUP(Z$7,#REF!,#REF!),0)</f>
        <v>0</v>
      </c>
      <c r="AA33" s="258">
        <f>IFERROR(_xlfn.XLOOKUP(AA$7,#REF!,#REF!),0)</f>
        <v>0</v>
      </c>
      <c r="AB33" s="258">
        <f>IFERROR(_xlfn.XLOOKUP(AB$7,#REF!,#REF!),0)</f>
        <v>0</v>
      </c>
      <c r="AC33" s="258">
        <f>IFERROR(_xlfn.XLOOKUP(AC$7,#REF!,#REF!),0)</f>
        <v>0</v>
      </c>
      <c r="AD33" s="258">
        <f>IFERROR(_xlfn.XLOOKUP(AD$7,#REF!,#REF!),0)</f>
        <v>0</v>
      </c>
      <c r="AE33" s="258">
        <f>IFERROR(_xlfn.XLOOKUP(AE$7,#REF!,#REF!),0)</f>
        <v>0</v>
      </c>
      <c r="AF33" s="258">
        <f>IFERROR(_xlfn.XLOOKUP(AF$7,#REF!,#REF!),0)</f>
        <v>0</v>
      </c>
      <c r="AG33" s="258">
        <f>IFERROR(_xlfn.XLOOKUP(AG$7,#REF!,#REF!),0)</f>
        <v>0</v>
      </c>
      <c r="AH33" s="258">
        <f>IFERROR(_xlfn.XLOOKUP(AH$7,#REF!,#REF!),0)</f>
        <v>0</v>
      </c>
      <c r="AI33" s="258">
        <f>IFERROR(_xlfn.XLOOKUP(AI$7,#REF!,#REF!),0)</f>
        <v>0</v>
      </c>
      <c r="AJ33" s="258">
        <f>IFERROR(_xlfn.XLOOKUP(AJ$7,#REF!,#REF!),0)</f>
        <v>0</v>
      </c>
      <c r="AK33" s="258">
        <f>IFERROR(_xlfn.XLOOKUP(AK$7,#REF!,#REF!),0)</f>
        <v>0</v>
      </c>
      <c r="AL33" s="258">
        <f>IFERROR(_xlfn.XLOOKUP(AL$7,#REF!,#REF!),0)</f>
        <v>0</v>
      </c>
      <c r="AM33" s="258">
        <f>IFERROR(_xlfn.XLOOKUP(AM$7,#REF!,#REF!),0)</f>
        <v>0</v>
      </c>
      <c r="AN33" s="258">
        <f>IFERROR(_xlfn.XLOOKUP(AN$7,#REF!,#REF!),0)</f>
        <v>0</v>
      </c>
      <c r="AO33" s="258">
        <f>IFERROR(_xlfn.XLOOKUP(AO$7,#REF!,#REF!),0)</f>
        <v>0</v>
      </c>
      <c r="AP33" s="258">
        <f>IFERROR(_xlfn.XLOOKUP(AP$7,#REF!,#REF!),0)</f>
        <v>0</v>
      </c>
      <c r="AQ33" s="258">
        <f>IFERROR(_xlfn.XLOOKUP(AQ$7,#REF!,#REF!),0)</f>
        <v>0</v>
      </c>
      <c r="AR33" s="258">
        <f>IFERROR(_xlfn.XLOOKUP(AR$7,#REF!,#REF!),0)</f>
        <v>0</v>
      </c>
      <c r="AS33" s="258">
        <f>IFERROR(_xlfn.XLOOKUP(AS$7,#REF!,#REF!),0)</f>
        <v>0</v>
      </c>
      <c r="AT33" s="258">
        <f>IFERROR(_xlfn.XLOOKUP(AT$7,#REF!,#REF!),0)</f>
        <v>0</v>
      </c>
      <c r="AU33" s="258">
        <f>IFERROR(_xlfn.XLOOKUP(AU$7,#REF!,#REF!),0)</f>
        <v>0</v>
      </c>
      <c r="AV33" s="258">
        <f>IFERROR(_xlfn.XLOOKUP(AV$7,#REF!,#REF!),0)</f>
        <v>0</v>
      </c>
      <c r="AW33" s="258">
        <f>IFERROR(_xlfn.XLOOKUP(AW$7,#REF!,#REF!),0)</f>
        <v>0</v>
      </c>
      <c r="AX33" s="258">
        <f>IFERROR(_xlfn.XLOOKUP(AX$7,#REF!,#REF!),0)</f>
        <v>0</v>
      </c>
      <c r="AY33" s="258">
        <f>IFERROR(_xlfn.XLOOKUP(AY$7,#REF!,#REF!),0)</f>
        <v>0</v>
      </c>
      <c r="AZ33" s="258">
        <f>IFERROR(_xlfn.XLOOKUP(AZ$7,#REF!,#REF!),0)</f>
        <v>0</v>
      </c>
      <c r="BA33" s="258">
        <f>IFERROR(_xlfn.XLOOKUP(BA$7,#REF!,#REF!),0)</f>
        <v>0</v>
      </c>
      <c r="BB33" s="258">
        <f>IFERROR(_xlfn.XLOOKUP(BB$7,#REF!,#REF!),0)</f>
        <v>0</v>
      </c>
      <c r="BC33" s="258">
        <f>IFERROR(_xlfn.XLOOKUP(BC$7,#REF!,#REF!),0)</f>
        <v>0</v>
      </c>
      <c r="BD33" s="258">
        <f>IFERROR(_xlfn.XLOOKUP(BD$7,#REF!,#REF!),0)</f>
        <v>0</v>
      </c>
      <c r="BE33" s="258">
        <f>IFERROR(_xlfn.XLOOKUP(BE$7,#REF!,#REF!),0)</f>
        <v>0</v>
      </c>
      <c r="BF33" s="258">
        <f>IFERROR(_xlfn.XLOOKUP(BF$7,#REF!,#REF!),0)</f>
        <v>0</v>
      </c>
      <c r="BG33" s="258">
        <f>IFERROR(_xlfn.XLOOKUP(BG$7,#REF!,#REF!),0)</f>
        <v>0</v>
      </c>
      <c r="BH33" s="258">
        <f>IFERROR(_xlfn.XLOOKUP(BH$7,#REF!,#REF!),0)</f>
        <v>0</v>
      </c>
      <c r="BI33" s="258">
        <f>IFERROR(_xlfn.XLOOKUP(BI$7,#REF!,#REF!),0)</f>
        <v>0</v>
      </c>
      <c r="BJ33" s="258">
        <f>IFERROR(_xlfn.XLOOKUP(BJ$7,#REF!,#REF!),0)</f>
        <v>0</v>
      </c>
      <c r="BK33" s="258">
        <f>IFERROR(_xlfn.XLOOKUP(BK$7,#REF!,#REF!),0)</f>
        <v>0</v>
      </c>
      <c r="BL33" s="258">
        <f>IFERROR(_xlfn.XLOOKUP(BL$7,#REF!,#REF!),0)</f>
        <v>0</v>
      </c>
      <c r="BM33" s="258">
        <f>IFERROR(_xlfn.XLOOKUP(BM$7,#REF!,#REF!),0)</f>
        <v>0</v>
      </c>
      <c r="BN33" s="258">
        <f>IFERROR(_xlfn.XLOOKUP(BN$7,#REF!,#REF!),0)</f>
        <v>0</v>
      </c>
      <c r="BO33" s="258">
        <f>IFERROR(_xlfn.XLOOKUP(BO$7,#REF!,#REF!),0)</f>
        <v>0</v>
      </c>
      <c r="BP33" s="258">
        <f>IFERROR(_xlfn.XLOOKUP(BP$7,#REF!,#REF!),0)</f>
        <v>0</v>
      </c>
      <c r="BQ33" s="258">
        <f>IFERROR(_xlfn.XLOOKUP(BQ$7,#REF!,#REF!),0)</f>
        <v>0</v>
      </c>
      <c r="BR33" s="258">
        <f>IFERROR(_xlfn.XLOOKUP(BR$7,#REF!,#REF!),0)</f>
        <v>0</v>
      </c>
      <c r="BS33" s="258">
        <f>IFERROR(_xlfn.XLOOKUP(BS$7,#REF!,#REF!),0)</f>
        <v>0</v>
      </c>
      <c r="BT33" s="258">
        <f>IFERROR(_xlfn.XLOOKUP(BT$7,#REF!,#REF!),0)</f>
        <v>0</v>
      </c>
      <c r="BU33" s="258">
        <f>IFERROR(_xlfn.XLOOKUP(BU$7,#REF!,#REF!),0)</f>
        <v>0</v>
      </c>
      <c r="BV33" s="258">
        <f>IFERROR(_xlfn.XLOOKUP(BV$7,#REF!,#REF!),0)</f>
        <v>0</v>
      </c>
      <c r="BW33" s="258">
        <f>IFERROR(_xlfn.XLOOKUP(BW$7,#REF!,#REF!),0)</f>
        <v>0</v>
      </c>
      <c r="BX33" s="258">
        <f>IFERROR(_xlfn.XLOOKUP(BX$7,#REF!,#REF!),0)</f>
        <v>0</v>
      </c>
      <c r="BY33" s="258">
        <f>IFERROR(_xlfn.XLOOKUP(BY$7,#REF!,#REF!),0)</f>
        <v>0</v>
      </c>
      <c r="BZ33" s="258">
        <f>IFERROR(_xlfn.XLOOKUP(BZ$7,#REF!,#REF!),0)</f>
        <v>0</v>
      </c>
      <c r="CA33" s="258">
        <f>IFERROR(_xlfn.XLOOKUP(CA$7,#REF!,#REF!),0)</f>
        <v>0</v>
      </c>
      <c r="CB33" s="258">
        <f>IFERROR(_xlfn.XLOOKUP(CB$7,#REF!,#REF!),0)</f>
        <v>0</v>
      </c>
      <c r="CC33" s="258">
        <f>IFERROR(_xlfn.XLOOKUP(CC$7,#REF!,#REF!),0)</f>
        <v>0</v>
      </c>
      <c r="CD33" s="258">
        <f>IFERROR(_xlfn.XLOOKUP(CD$7,#REF!,#REF!),0)</f>
        <v>0</v>
      </c>
      <c r="CE33" s="258">
        <f>IFERROR(_xlfn.XLOOKUP(CE$7,#REF!,#REF!),0)</f>
        <v>0</v>
      </c>
      <c r="CF33" s="258">
        <f>IFERROR(_xlfn.XLOOKUP(CF$7,#REF!,#REF!),0)</f>
        <v>0</v>
      </c>
      <c r="CG33" s="258">
        <f>IFERROR(_xlfn.XLOOKUP(CG$7,#REF!,#REF!),0)</f>
        <v>0</v>
      </c>
      <c r="CH33" s="258">
        <f>IFERROR(_xlfn.XLOOKUP(CH$7,#REF!,#REF!),0)</f>
        <v>0</v>
      </c>
      <c r="CI33" s="258">
        <f>IFERROR(_xlfn.XLOOKUP(CI$7,#REF!,#REF!),0)</f>
        <v>0</v>
      </c>
      <c r="CJ33" s="258">
        <f>IFERROR(_xlfn.XLOOKUP(CJ$7,#REF!,#REF!),0)</f>
        <v>0</v>
      </c>
      <c r="CK33" s="258">
        <f>IFERROR(_xlfn.XLOOKUP(CK$7,#REF!,#REF!),0)</f>
        <v>0</v>
      </c>
      <c r="CL33" s="258">
        <f>IFERROR(_xlfn.XLOOKUP(CL$7,#REF!,#REF!),0)</f>
        <v>0</v>
      </c>
      <c r="CM33" s="258">
        <f>IFERROR(_xlfn.XLOOKUP(CM$7,#REF!,#REF!),0)</f>
        <v>0</v>
      </c>
      <c r="CN33" s="258">
        <f>IFERROR(_xlfn.XLOOKUP(CN$7,#REF!,#REF!),0)</f>
        <v>0</v>
      </c>
      <c r="CO33" s="258">
        <f>IFERROR(_xlfn.XLOOKUP(CO$7,#REF!,#REF!),0)</f>
        <v>0</v>
      </c>
      <c r="CP33" s="258">
        <f>IFERROR(_xlfn.XLOOKUP(CP$7,#REF!,#REF!),0)</f>
        <v>0</v>
      </c>
      <c r="CQ33" s="258">
        <f>IFERROR(_xlfn.XLOOKUP(CQ$7,#REF!,#REF!),0)</f>
        <v>0</v>
      </c>
      <c r="CR33" s="258">
        <f>IFERROR(_xlfn.XLOOKUP(CR$7,#REF!,#REF!),0)</f>
        <v>0</v>
      </c>
      <c r="CS33" s="258">
        <f>IFERROR(_xlfn.XLOOKUP(CS$7,#REF!,#REF!),0)</f>
        <v>0</v>
      </c>
      <c r="CT33" s="258">
        <f>IFERROR(_xlfn.XLOOKUP(CT$7,#REF!,#REF!),0)</f>
        <v>0</v>
      </c>
      <c r="CU33" s="258">
        <f>IFERROR(_xlfn.XLOOKUP(CU$7,#REF!,#REF!),0)</f>
        <v>0</v>
      </c>
      <c r="CV33" s="258">
        <f>IFERROR(_xlfn.XLOOKUP(CV$7,#REF!,#REF!),0)</f>
        <v>0</v>
      </c>
      <c r="CW33" s="258">
        <f>IFERROR(_xlfn.XLOOKUP(CW$7,#REF!,#REF!),0)</f>
        <v>0</v>
      </c>
      <c r="CX33" s="258">
        <f>IFERROR(_xlfn.XLOOKUP(CX$7,#REF!,#REF!),0)</f>
        <v>0</v>
      </c>
      <c r="CY33" s="258">
        <f>IFERROR(_xlfn.XLOOKUP(CY$7,#REF!,#REF!),0)</f>
        <v>0</v>
      </c>
      <c r="CZ33" s="258">
        <f>IFERROR(_xlfn.XLOOKUP(CZ$7,#REF!,#REF!),0)</f>
        <v>0</v>
      </c>
      <c r="DA33" s="258">
        <f>IFERROR(_xlfn.XLOOKUP(DA$7,#REF!,#REF!),0)</f>
        <v>0</v>
      </c>
      <c r="DB33" s="258">
        <f>IFERROR(_xlfn.XLOOKUP(DB$7,#REF!,#REF!),0)</f>
        <v>0</v>
      </c>
      <c r="DC33" s="258">
        <f>IFERROR(_xlfn.XLOOKUP(DC$7,#REF!,#REF!),0)</f>
        <v>0</v>
      </c>
      <c r="DD33" s="258">
        <f>IFERROR(_xlfn.XLOOKUP(DD$7,#REF!,#REF!),0)</f>
        <v>0</v>
      </c>
      <c r="DE33" s="258">
        <f>IFERROR(_xlfn.XLOOKUP(DE$7,#REF!,#REF!),0)</f>
        <v>0</v>
      </c>
      <c r="DF33" s="258">
        <f>IFERROR(_xlfn.XLOOKUP(DF$7,#REF!,#REF!),0)</f>
        <v>0</v>
      </c>
      <c r="DG33" s="258">
        <f>IFERROR(_xlfn.XLOOKUP(DG$7,#REF!,#REF!),0)</f>
        <v>0</v>
      </c>
      <c r="DH33" s="258">
        <f>IFERROR(_xlfn.XLOOKUP(DH$7,#REF!,#REF!),0)</f>
        <v>0</v>
      </c>
      <c r="DI33" s="258">
        <f>IFERROR(_xlfn.XLOOKUP(DI$7,#REF!,#REF!),0)</f>
        <v>0</v>
      </c>
      <c r="DJ33" s="258">
        <f>IFERROR(_xlfn.XLOOKUP(DJ$7,#REF!,#REF!),0)</f>
        <v>0</v>
      </c>
      <c r="DK33" s="258">
        <f>IFERROR(_xlfn.XLOOKUP(DK$7,#REF!,#REF!),0)</f>
        <v>0</v>
      </c>
      <c r="DL33" s="258">
        <f>IFERROR(_xlfn.XLOOKUP(DL$7,#REF!,#REF!),0)</f>
        <v>0</v>
      </c>
      <c r="DM33" s="258">
        <f>IFERROR(_xlfn.XLOOKUP(DM$7,#REF!,#REF!),0)</f>
        <v>0</v>
      </c>
      <c r="DN33" s="258">
        <f>IFERROR(_xlfn.XLOOKUP(DN$7,#REF!,#REF!),0)</f>
        <v>0</v>
      </c>
      <c r="DO33" s="258">
        <f>IFERROR(_xlfn.XLOOKUP(DO$7,#REF!,#REF!),0)</f>
        <v>0</v>
      </c>
      <c r="DP33" s="258">
        <f>IFERROR(_xlfn.XLOOKUP(DP$7,#REF!,#REF!),0)</f>
        <v>0</v>
      </c>
      <c r="DQ33" s="258">
        <f>IFERROR(_xlfn.XLOOKUP(DQ$7,#REF!,#REF!),0)</f>
        <v>0</v>
      </c>
      <c r="DR33" s="258">
        <f>IFERROR(_xlfn.XLOOKUP(DR$7,#REF!,#REF!),0)</f>
        <v>0</v>
      </c>
      <c r="DS33" s="258">
        <f>IFERROR(_xlfn.XLOOKUP(DS$7,#REF!,#REF!),0)</f>
        <v>0</v>
      </c>
      <c r="DT33" s="258">
        <f>IFERROR(_xlfn.XLOOKUP(DT$7,#REF!,#REF!),0)</f>
        <v>0</v>
      </c>
      <c r="DU33" s="258">
        <f>IFERROR(_xlfn.XLOOKUP(DU$7,#REF!,#REF!),0)</f>
        <v>0</v>
      </c>
      <c r="DV33" s="258">
        <f>IFERROR(_xlfn.XLOOKUP(DV$7,#REF!,#REF!),0)</f>
        <v>0</v>
      </c>
      <c r="DW33" s="258">
        <f>IFERROR(_xlfn.XLOOKUP(DW$7,#REF!,#REF!),0)</f>
        <v>0</v>
      </c>
      <c r="DX33" s="258">
        <f>IFERROR(_xlfn.XLOOKUP(DX$7,#REF!,#REF!),0)</f>
        <v>0</v>
      </c>
      <c r="DY33" s="258">
        <f>IFERROR(_xlfn.XLOOKUP(DY$7,#REF!,#REF!),0)</f>
        <v>0</v>
      </c>
      <c r="DZ33" s="258">
        <f>IFERROR(_xlfn.XLOOKUP(DZ$7,#REF!,#REF!),0)</f>
        <v>0</v>
      </c>
      <c r="EA33" s="258">
        <f>IFERROR(_xlfn.XLOOKUP(EA$7,#REF!,#REF!),0)</f>
        <v>0</v>
      </c>
      <c r="EB33" s="258">
        <f>IFERROR(_xlfn.XLOOKUP(EB$7,#REF!,#REF!),0)</f>
        <v>0</v>
      </c>
      <c r="EC33" s="258">
        <f>IFERROR(_xlfn.XLOOKUP(EC$7,#REF!,#REF!),0)</f>
        <v>0</v>
      </c>
      <c r="ED33" s="258">
        <f>IFERROR(_xlfn.XLOOKUP(ED$7,#REF!,#REF!),0)</f>
        <v>0</v>
      </c>
      <c r="EE33" s="258">
        <f>IFERROR(_xlfn.XLOOKUP(EE$7,#REF!,#REF!),0)</f>
        <v>0</v>
      </c>
      <c r="EF33" s="258">
        <f>IFERROR(_xlfn.XLOOKUP(EF$7,#REF!,#REF!),0)</f>
        <v>0</v>
      </c>
      <c r="EG33" s="258">
        <f>IFERROR(_xlfn.XLOOKUP(EG$7,#REF!,#REF!),0)</f>
        <v>0</v>
      </c>
      <c r="EH33" s="258">
        <f>IFERROR(_xlfn.XLOOKUP(EH$7,#REF!,#REF!),0)</f>
        <v>0</v>
      </c>
      <c r="EI33" s="258">
        <f>IFERROR(_xlfn.XLOOKUP(EI$7,#REF!,#REF!),0)</f>
        <v>0</v>
      </c>
      <c r="EJ33" s="258">
        <f>IFERROR(_xlfn.XLOOKUP(EJ$7,#REF!,#REF!),0)</f>
        <v>0</v>
      </c>
      <c r="EK33" s="258">
        <f>IFERROR(_xlfn.XLOOKUP(EK$7,#REF!,#REF!),0)</f>
        <v>0</v>
      </c>
      <c r="EL33" s="258">
        <f>IFERROR(_xlfn.XLOOKUP(EL$7,#REF!,#REF!),0)</f>
        <v>0</v>
      </c>
      <c r="EM33" s="258">
        <f>IFERROR(_xlfn.XLOOKUP(EM$7,#REF!,#REF!),0)</f>
        <v>0</v>
      </c>
      <c r="EN33" s="258">
        <f>IFERROR(_xlfn.XLOOKUP(EN$7,#REF!,#REF!),0)</f>
        <v>0</v>
      </c>
      <c r="EO33" s="258">
        <f>IFERROR(_xlfn.XLOOKUP(EO$7,#REF!,#REF!),0)</f>
        <v>0</v>
      </c>
      <c r="EP33" s="258">
        <f>IFERROR(_xlfn.XLOOKUP(EP$7,#REF!,#REF!),0)</f>
        <v>0</v>
      </c>
      <c r="EQ33" s="258">
        <f>IFERROR(_xlfn.XLOOKUP(EQ$7,#REF!,#REF!),0)</f>
        <v>0</v>
      </c>
      <c r="ER33" s="258">
        <f>IFERROR(_xlfn.XLOOKUP(ER$7,#REF!,#REF!),0)</f>
        <v>0</v>
      </c>
      <c r="ES33" s="258">
        <f>IFERROR(_xlfn.XLOOKUP(ES$7,#REF!,#REF!),0)</f>
        <v>0</v>
      </c>
      <c r="ET33" s="258">
        <f>IFERROR(_xlfn.XLOOKUP(ET$7,#REF!,#REF!),0)</f>
        <v>0</v>
      </c>
      <c r="EU33" s="258">
        <f>IFERROR(_xlfn.XLOOKUP(EU$7,#REF!,#REF!),0)</f>
        <v>0</v>
      </c>
      <c r="EV33" s="258">
        <f>IFERROR(_xlfn.XLOOKUP(EV$7,#REF!,#REF!),0)</f>
        <v>0</v>
      </c>
      <c r="EW33" s="258">
        <f>IFERROR(_xlfn.XLOOKUP(EW$7,#REF!,#REF!),0)</f>
        <v>0</v>
      </c>
      <c r="EX33" s="258">
        <f>IFERROR(_xlfn.XLOOKUP(EX$7,#REF!,#REF!),0)</f>
        <v>0</v>
      </c>
      <c r="EY33" s="258">
        <f>IFERROR(_xlfn.XLOOKUP(EY$7,#REF!,#REF!),0)</f>
        <v>0</v>
      </c>
      <c r="EZ33" s="258">
        <f>IFERROR(_xlfn.XLOOKUP(EZ$7,#REF!,#REF!),0)</f>
        <v>0</v>
      </c>
      <c r="FA33" s="258">
        <f>IFERROR(_xlfn.XLOOKUP(FA$7,#REF!,#REF!),0)</f>
        <v>0</v>
      </c>
      <c r="FB33" s="258">
        <f>IFERROR(_xlfn.XLOOKUP(FB$7,#REF!,#REF!),0)</f>
        <v>0</v>
      </c>
      <c r="FC33" s="258">
        <f>IFERROR(_xlfn.XLOOKUP(FC$7,#REF!,#REF!),0)</f>
        <v>0</v>
      </c>
      <c r="FD33" s="258">
        <f>IFERROR(_xlfn.XLOOKUP(FD$7,#REF!,#REF!),0)</f>
        <v>0</v>
      </c>
      <c r="FE33" s="258">
        <f>IFERROR(_xlfn.XLOOKUP(FE$7,#REF!,#REF!),0)</f>
        <v>0</v>
      </c>
      <c r="FF33" s="258">
        <f>IFERROR(_xlfn.XLOOKUP(FF$7,#REF!,#REF!),0)</f>
        <v>0</v>
      </c>
      <c r="FG33" s="258">
        <f>IFERROR(_xlfn.XLOOKUP(FG$7,#REF!,#REF!),0)</f>
        <v>0</v>
      </c>
      <c r="FH33" s="258">
        <f>IFERROR(_xlfn.XLOOKUP(FH$7,#REF!,#REF!),0)</f>
        <v>0</v>
      </c>
      <c r="FI33" s="258">
        <f>IFERROR(_xlfn.XLOOKUP(FI$7,#REF!,#REF!),0)</f>
        <v>0</v>
      </c>
      <c r="FJ33" s="258">
        <f>IFERROR(_xlfn.XLOOKUP(FJ$7,#REF!,#REF!),0)</f>
        <v>0</v>
      </c>
      <c r="FK33" s="258">
        <f>IFERROR(_xlfn.XLOOKUP(FK$7,#REF!,#REF!),0)</f>
        <v>0</v>
      </c>
      <c r="FL33" s="258">
        <f>IFERROR(_xlfn.XLOOKUP(FL$7,#REF!,#REF!),0)</f>
        <v>0</v>
      </c>
      <c r="FM33" s="258">
        <f>IFERROR(_xlfn.XLOOKUP(FM$7,#REF!,#REF!),0)</f>
        <v>0</v>
      </c>
      <c r="FN33" s="258">
        <f>IFERROR(_xlfn.XLOOKUP(FN$7,#REF!,#REF!),0)</f>
        <v>0</v>
      </c>
      <c r="FO33" s="258">
        <f>IFERROR(_xlfn.XLOOKUP(FO$7,#REF!,#REF!),0)</f>
        <v>0</v>
      </c>
      <c r="FP33" s="258">
        <f>IFERROR(_xlfn.XLOOKUP(FP$7,#REF!,#REF!),0)</f>
        <v>0</v>
      </c>
      <c r="FQ33" s="258">
        <f>IFERROR(_xlfn.XLOOKUP(FQ$7,#REF!,#REF!),0)</f>
        <v>0</v>
      </c>
      <c r="FR33" s="258">
        <f>IFERROR(_xlfn.XLOOKUP(FR$7,#REF!,#REF!),0)</f>
        <v>0</v>
      </c>
      <c r="FS33" s="258">
        <f>IFERROR(_xlfn.XLOOKUP(FS$7,#REF!,#REF!),0)</f>
        <v>0</v>
      </c>
      <c r="FT33" s="258">
        <f>IFERROR(_xlfn.XLOOKUP(FT$7,#REF!,#REF!),0)</f>
        <v>0</v>
      </c>
      <c r="FU33" s="258">
        <f>IFERROR(_xlfn.XLOOKUP(FU$7,#REF!,#REF!),0)</f>
        <v>0</v>
      </c>
      <c r="FV33" s="258">
        <f>IFERROR(_xlfn.XLOOKUP(FV$7,#REF!,#REF!),0)</f>
        <v>0</v>
      </c>
      <c r="FW33" s="258">
        <f>IFERROR(_xlfn.XLOOKUP(FW$7,#REF!,#REF!),0)</f>
        <v>0</v>
      </c>
      <c r="FX33" s="258">
        <f>IFERROR(_xlfn.XLOOKUP(FX$7,#REF!,#REF!),0)</f>
        <v>0</v>
      </c>
      <c r="FY33" s="258">
        <f>IFERROR(_xlfn.XLOOKUP(FY$7,#REF!,#REF!),0)</f>
        <v>0</v>
      </c>
      <c r="FZ33" s="258">
        <f>IFERROR(_xlfn.XLOOKUP(FZ$7,#REF!,#REF!),0)</f>
        <v>0</v>
      </c>
      <c r="GA33" s="258">
        <f>IFERROR(_xlfn.XLOOKUP(GA$7,#REF!,#REF!),0)</f>
        <v>0</v>
      </c>
      <c r="GB33" s="258">
        <f>IFERROR(_xlfn.XLOOKUP(GB$7,#REF!,#REF!),0)</f>
        <v>0</v>
      </c>
      <c r="GC33" s="258">
        <f>IFERROR(_xlfn.XLOOKUP(GC$7,#REF!,#REF!),0)</f>
        <v>0</v>
      </c>
      <c r="GD33" s="258">
        <f>IFERROR(_xlfn.XLOOKUP(GD$7,#REF!,#REF!),0)</f>
        <v>0</v>
      </c>
      <c r="GE33" s="258">
        <f>IFERROR(_xlfn.XLOOKUP(GE$7,#REF!,#REF!),0)</f>
        <v>0</v>
      </c>
      <c r="GF33" s="258">
        <f>IFERROR(_xlfn.XLOOKUP(GF$7,#REF!,#REF!),0)</f>
        <v>0</v>
      </c>
      <c r="GG33" s="258">
        <f>IFERROR(_xlfn.XLOOKUP(GG$7,#REF!,#REF!),0)</f>
        <v>0</v>
      </c>
      <c r="GH33" s="258">
        <f>IFERROR(_xlfn.XLOOKUP(GH$7,#REF!,#REF!),0)</f>
        <v>0</v>
      </c>
      <c r="GI33" s="258">
        <f>IFERROR(_xlfn.XLOOKUP(GI$7,#REF!,#REF!),0)</f>
        <v>0</v>
      </c>
      <c r="GJ33" s="258">
        <f>IFERROR(_xlfn.XLOOKUP(GJ$7,#REF!,#REF!),0)</f>
        <v>0</v>
      </c>
      <c r="GK33" s="258">
        <f>IFERROR(_xlfn.XLOOKUP(GK$7,#REF!,#REF!),0)</f>
        <v>0</v>
      </c>
      <c r="GL33" s="258">
        <f>IFERROR(_xlfn.XLOOKUP(GL$7,#REF!,#REF!),0)</f>
        <v>0</v>
      </c>
      <c r="GM33" s="258">
        <f>IFERROR(_xlfn.XLOOKUP(GM$7,#REF!,#REF!),0)</f>
        <v>0</v>
      </c>
      <c r="GN33" s="258">
        <f>IFERROR(_xlfn.XLOOKUP(GN$7,#REF!,#REF!),0)</f>
        <v>0</v>
      </c>
      <c r="GO33" s="258">
        <f>IFERROR(_xlfn.XLOOKUP(GO$7,#REF!,#REF!),0)</f>
        <v>0</v>
      </c>
      <c r="GP33" s="258">
        <f>IFERROR(_xlfn.XLOOKUP(GP$7,#REF!,#REF!),0)</f>
        <v>0</v>
      </c>
      <c r="GQ33" s="258">
        <f>IFERROR(_xlfn.XLOOKUP(GQ$7,#REF!,#REF!),0)</f>
        <v>0</v>
      </c>
      <c r="GR33" s="258">
        <f>IFERROR(_xlfn.XLOOKUP(GR$7,#REF!,#REF!),0)</f>
        <v>0</v>
      </c>
      <c r="GS33" s="258">
        <f>IFERROR(_xlfn.XLOOKUP(GS$7,#REF!,#REF!),0)</f>
        <v>0</v>
      </c>
      <c r="GT33" s="258">
        <f>IFERROR(_xlfn.XLOOKUP(GT$7,#REF!,#REF!),0)</f>
        <v>0</v>
      </c>
      <c r="GU33" s="258">
        <f>IFERROR(_xlfn.XLOOKUP(GU$7,#REF!,#REF!),0)</f>
        <v>0</v>
      </c>
      <c r="GV33" s="258">
        <f>IFERROR(_xlfn.XLOOKUP(GV$7,#REF!,#REF!),0)</f>
        <v>0</v>
      </c>
      <c r="GW33" s="258">
        <f>IFERROR(_xlfn.XLOOKUP(GW$7,#REF!,#REF!),0)</f>
        <v>0</v>
      </c>
      <c r="GX33" s="258">
        <f>IFERROR(_xlfn.XLOOKUP(GX$7,#REF!,#REF!),0)</f>
        <v>0</v>
      </c>
      <c r="GY33" s="258">
        <f>IFERROR(_xlfn.XLOOKUP(GY$7,#REF!,#REF!),0)</f>
        <v>0</v>
      </c>
      <c r="GZ33" s="258">
        <f>IFERROR(_xlfn.XLOOKUP(GZ$7,#REF!,#REF!),0)</f>
        <v>0</v>
      </c>
      <c r="HA33" s="258">
        <f>IFERROR(_xlfn.XLOOKUP(HA$7,#REF!,#REF!),0)</f>
        <v>0</v>
      </c>
      <c r="HB33" s="258">
        <f>IFERROR(_xlfn.XLOOKUP(HB$7,#REF!,#REF!),0)</f>
        <v>0</v>
      </c>
      <c r="HC33" s="258">
        <f>IFERROR(_xlfn.XLOOKUP(HC$7,#REF!,#REF!),0)</f>
        <v>0</v>
      </c>
      <c r="HD33" s="258">
        <f>IFERROR(_xlfn.XLOOKUP(HD$7,#REF!,#REF!),0)</f>
        <v>0</v>
      </c>
      <c r="HE33" s="258">
        <f>IFERROR(_xlfn.XLOOKUP(HE$7,#REF!,#REF!),0)</f>
        <v>0</v>
      </c>
      <c r="HF33" s="258">
        <f>IFERROR(_xlfn.XLOOKUP(HF$7,#REF!,#REF!),0)</f>
        <v>0</v>
      </c>
      <c r="HG33" s="258">
        <f>IFERROR(_xlfn.XLOOKUP(HG$7,#REF!,#REF!),0)</f>
        <v>0</v>
      </c>
      <c r="HH33" s="258">
        <f>IFERROR(_xlfn.XLOOKUP(HH$7,#REF!,#REF!),0)</f>
        <v>0</v>
      </c>
      <c r="HI33" s="258">
        <f>IFERROR(_xlfn.XLOOKUP(HI$7,#REF!,#REF!),0)</f>
        <v>0</v>
      </c>
      <c r="HJ33" s="258">
        <f>IFERROR(_xlfn.XLOOKUP(HJ$7,#REF!,#REF!),0)</f>
        <v>0</v>
      </c>
      <c r="HK33" s="258">
        <f>IFERROR(_xlfn.XLOOKUP(HK$7,#REF!,#REF!),0)</f>
        <v>0</v>
      </c>
      <c r="HL33" s="258">
        <f>IFERROR(_xlfn.XLOOKUP(HL$7,#REF!,#REF!),0)</f>
        <v>0</v>
      </c>
      <c r="HM33" s="258">
        <f>IFERROR(_xlfn.XLOOKUP(HM$7,#REF!,#REF!),0)</f>
        <v>0</v>
      </c>
      <c r="HN33" s="258">
        <f>IFERROR(_xlfn.XLOOKUP(HN$7,#REF!,#REF!),0)</f>
        <v>0</v>
      </c>
      <c r="HO33" s="258">
        <f>IFERROR(_xlfn.XLOOKUP(HO$7,#REF!,#REF!),0)</f>
        <v>0</v>
      </c>
      <c r="HP33" s="258">
        <f>IFERROR(_xlfn.XLOOKUP(HP$7,#REF!,#REF!),0)</f>
        <v>0</v>
      </c>
      <c r="HQ33" s="258">
        <f>IFERROR(_xlfn.XLOOKUP(HQ$7,#REF!,#REF!),0)</f>
        <v>0</v>
      </c>
      <c r="HR33" s="258">
        <f>IFERROR(_xlfn.XLOOKUP(HR$7,#REF!,#REF!),0)</f>
        <v>0</v>
      </c>
      <c r="HS33" s="258">
        <f>IFERROR(_xlfn.XLOOKUP(HS$7,#REF!,#REF!),0)</f>
        <v>0</v>
      </c>
      <c r="HT33" s="258">
        <f>IFERROR(_xlfn.XLOOKUP(HT$7,#REF!,#REF!),0)</f>
        <v>0</v>
      </c>
      <c r="HU33" s="258">
        <f>IFERROR(_xlfn.XLOOKUP(HU$7,#REF!,#REF!),0)</f>
        <v>0</v>
      </c>
      <c r="HV33" s="258">
        <f>IFERROR(_xlfn.XLOOKUP(HV$7,#REF!,#REF!),0)</f>
        <v>0</v>
      </c>
      <c r="HW33" s="258">
        <f>IFERROR(_xlfn.XLOOKUP(HW$7,#REF!,#REF!),0)</f>
        <v>0</v>
      </c>
      <c r="HX33" s="258">
        <f>IFERROR(_xlfn.XLOOKUP(HX$7,#REF!,#REF!),0)</f>
        <v>0</v>
      </c>
      <c r="HY33" s="258">
        <f>IFERROR(_xlfn.XLOOKUP(HY$7,#REF!,#REF!),0)</f>
        <v>0</v>
      </c>
      <c r="HZ33" s="258">
        <f>IFERROR(_xlfn.XLOOKUP(HZ$7,#REF!,#REF!),0)</f>
        <v>0</v>
      </c>
      <c r="IA33" s="258">
        <f>IFERROR(_xlfn.XLOOKUP(IA$7,#REF!,#REF!),0)</f>
        <v>0</v>
      </c>
      <c r="IB33" s="258">
        <f>IFERROR(_xlfn.XLOOKUP(IB$7,#REF!,#REF!),0)</f>
        <v>0</v>
      </c>
      <c r="IC33" s="258">
        <f>IFERROR(_xlfn.XLOOKUP(IC$7,#REF!,#REF!),0)</f>
        <v>0</v>
      </c>
      <c r="ID33" s="258">
        <f>IFERROR(_xlfn.XLOOKUP(ID$7,#REF!,#REF!),0)</f>
        <v>0</v>
      </c>
      <c r="IE33" s="258">
        <f>IFERROR(_xlfn.XLOOKUP(IE$7,#REF!,#REF!),0)</f>
        <v>0</v>
      </c>
      <c r="IF33" s="258">
        <f>IFERROR(_xlfn.XLOOKUP(IF$7,#REF!,#REF!),0)</f>
        <v>0</v>
      </c>
      <c r="IG33" s="258">
        <f>IFERROR(_xlfn.XLOOKUP(IG$7,#REF!,#REF!),0)</f>
        <v>0</v>
      </c>
      <c r="IH33" s="258">
        <f>IFERROR(_xlfn.XLOOKUP(IH$7,#REF!,#REF!),0)</f>
        <v>0</v>
      </c>
      <c r="II33" s="258">
        <f>IFERROR(_xlfn.XLOOKUP(II$7,#REF!,#REF!),0)</f>
        <v>0</v>
      </c>
      <c r="IJ33" s="258">
        <f>IFERROR(_xlfn.XLOOKUP(IJ$7,#REF!,#REF!),0)</f>
        <v>0</v>
      </c>
      <c r="IK33" s="258">
        <f>IFERROR(_xlfn.XLOOKUP(IK$7,#REF!,#REF!),0)</f>
        <v>0</v>
      </c>
      <c r="IL33" s="258">
        <f>IFERROR(_xlfn.XLOOKUP(IL$7,#REF!,#REF!),0)</f>
        <v>0</v>
      </c>
      <c r="IM33" s="258">
        <f>IFERROR(_xlfn.XLOOKUP(IM$7,#REF!,#REF!),0)</f>
        <v>0</v>
      </c>
      <c r="IN33" s="258">
        <f>IFERROR(_xlfn.XLOOKUP(IN$7,#REF!,#REF!),0)</f>
        <v>0</v>
      </c>
      <c r="IO33" s="258">
        <f>IFERROR(_xlfn.XLOOKUP(IO$7,#REF!,#REF!),0)</f>
        <v>0</v>
      </c>
      <c r="IP33" s="258">
        <f>IFERROR(_xlfn.XLOOKUP(IP$7,#REF!,#REF!),0)</f>
        <v>0</v>
      </c>
      <c r="IQ33" s="258">
        <f>IFERROR(_xlfn.XLOOKUP(IQ$7,#REF!,#REF!),0)</f>
        <v>0</v>
      </c>
      <c r="IR33" s="258">
        <f>IFERROR(_xlfn.XLOOKUP(IR$7,#REF!,#REF!),0)</f>
        <v>0</v>
      </c>
      <c r="IS33" s="258">
        <f>IFERROR(_xlfn.XLOOKUP(IS$7,#REF!,#REF!),0)</f>
        <v>0</v>
      </c>
      <c r="IT33" s="258">
        <f>IFERROR(_xlfn.XLOOKUP(IT$7,#REF!,#REF!),0)</f>
        <v>0</v>
      </c>
      <c r="IU33" s="258">
        <f>IFERROR(_xlfn.XLOOKUP(IU$7,#REF!,#REF!),0)</f>
        <v>0</v>
      </c>
      <c r="IV33" s="258">
        <f>IFERROR(_xlfn.XLOOKUP(IV$7,#REF!,#REF!),0)</f>
        <v>0</v>
      </c>
      <c r="IW33" s="258">
        <f>IFERROR(_xlfn.XLOOKUP(IW$7,#REF!,#REF!),0)</f>
        <v>0</v>
      </c>
      <c r="IX33" s="258">
        <f>IFERROR(_xlfn.XLOOKUP(IX$7,#REF!,#REF!),0)</f>
        <v>0</v>
      </c>
      <c r="IY33" s="258">
        <f>IFERROR(_xlfn.XLOOKUP(IY$7,#REF!,#REF!),0)</f>
        <v>0</v>
      </c>
      <c r="IZ33" s="258">
        <f>IFERROR(_xlfn.XLOOKUP(IZ$7,#REF!,#REF!),0)</f>
        <v>0</v>
      </c>
      <c r="JA33" s="258">
        <f>IFERROR(_xlfn.XLOOKUP(JA$7,#REF!,#REF!),0)</f>
        <v>0</v>
      </c>
      <c r="JB33" s="258">
        <f>IFERROR(_xlfn.XLOOKUP(JB$7,#REF!,#REF!),0)</f>
        <v>0</v>
      </c>
      <c r="JC33" s="258">
        <f>IFERROR(_xlfn.XLOOKUP(JC$7,#REF!,#REF!),0)</f>
        <v>0</v>
      </c>
      <c r="JD33" s="258">
        <f>IFERROR(_xlfn.XLOOKUP(JD$7,#REF!,#REF!),0)</f>
        <v>0</v>
      </c>
      <c r="JE33" s="258">
        <f>IFERROR(_xlfn.XLOOKUP(JE$7,#REF!,#REF!),0)</f>
        <v>0</v>
      </c>
      <c r="JF33" s="258">
        <f>IFERROR(_xlfn.XLOOKUP(JF$7,#REF!,#REF!),0)</f>
        <v>0</v>
      </c>
      <c r="JG33" s="258">
        <f>IFERROR(_xlfn.XLOOKUP(JG$7,#REF!,#REF!),0)</f>
        <v>0</v>
      </c>
      <c r="JH33" s="258">
        <f>IFERROR(_xlfn.XLOOKUP(JH$7,#REF!,#REF!),0)</f>
        <v>0</v>
      </c>
      <c r="JI33" s="258">
        <f>IFERROR(_xlfn.XLOOKUP(JI$7,#REF!,#REF!),0)</f>
        <v>0</v>
      </c>
      <c r="JJ33" s="258">
        <f>IFERROR(_xlfn.XLOOKUP(JJ$7,#REF!,#REF!),0)</f>
        <v>0</v>
      </c>
      <c r="JK33" s="258">
        <f>IFERROR(_xlfn.XLOOKUP(JK$7,#REF!,#REF!),0)</f>
        <v>0</v>
      </c>
      <c r="JL33" s="258">
        <f>IFERROR(_xlfn.XLOOKUP(JL$7,#REF!,#REF!),0)</f>
        <v>0</v>
      </c>
      <c r="JM33" s="258">
        <f>IFERROR(_xlfn.XLOOKUP(JM$7,#REF!,#REF!),0)</f>
        <v>0</v>
      </c>
      <c r="JN33" s="258">
        <f>IFERROR(_xlfn.XLOOKUP(JN$7,#REF!,#REF!),0)</f>
        <v>0</v>
      </c>
      <c r="JO33" s="258">
        <f>IFERROR(_xlfn.XLOOKUP(JO$7,#REF!,#REF!),0)</f>
        <v>0</v>
      </c>
      <c r="JP33" s="258">
        <f>IFERROR(_xlfn.XLOOKUP(JP$7,#REF!,#REF!),0)</f>
        <v>0</v>
      </c>
      <c r="JQ33" s="258">
        <f>IFERROR(_xlfn.XLOOKUP(JQ$7,#REF!,#REF!),0)</f>
        <v>0</v>
      </c>
      <c r="JR33" s="258">
        <f>IFERROR(_xlfn.XLOOKUP(JR$7,#REF!,#REF!),0)</f>
        <v>0</v>
      </c>
      <c r="JS33" s="258">
        <f>IFERROR(_xlfn.XLOOKUP(JS$7,#REF!,#REF!),0)</f>
        <v>0</v>
      </c>
      <c r="JT33" s="258">
        <f>IFERROR(_xlfn.XLOOKUP(JT$7,#REF!,#REF!),0)</f>
        <v>0</v>
      </c>
      <c r="JU33" s="258">
        <f>IFERROR(_xlfn.XLOOKUP(JU$7,#REF!,#REF!),0)</f>
        <v>0</v>
      </c>
      <c r="JV33" s="258">
        <f>IFERROR(_xlfn.XLOOKUP(JV$7,#REF!,#REF!),0)</f>
        <v>0</v>
      </c>
      <c r="JW33" s="258">
        <f>IFERROR(_xlfn.XLOOKUP(JW$7,#REF!,#REF!),0)</f>
        <v>0</v>
      </c>
      <c r="JX33" s="258">
        <f>IFERROR(_xlfn.XLOOKUP(JX$7,#REF!,#REF!),0)</f>
        <v>0</v>
      </c>
      <c r="JY33" s="258">
        <f>IFERROR(_xlfn.XLOOKUP(JY$7,#REF!,#REF!),0)</f>
        <v>0</v>
      </c>
      <c r="JZ33" s="258">
        <f>IFERROR(_xlfn.XLOOKUP(JZ$7,#REF!,#REF!),0)</f>
        <v>0</v>
      </c>
      <c r="KA33" s="258">
        <f>IFERROR(_xlfn.XLOOKUP(KA$7,#REF!,#REF!),0)</f>
        <v>0</v>
      </c>
      <c r="KB33" s="258">
        <f>IFERROR(_xlfn.XLOOKUP(KB$7,#REF!,#REF!),0)</f>
        <v>0</v>
      </c>
      <c r="KC33" s="258">
        <f t="shared" si="443"/>
        <v>0</v>
      </c>
    </row>
    <row r="34" spans="1:289" x14ac:dyDescent="0.3">
      <c r="A34" s="1" t="s">
        <v>40</v>
      </c>
      <c r="B34" s="257">
        <f>SUM(C34:BE34)</f>
        <v>0</v>
      </c>
      <c r="C34" s="258">
        <f>IFERROR(_xlfn.XLOOKUP(C$7,#REF!,#REF!),0)</f>
        <v>0</v>
      </c>
      <c r="D34" s="258">
        <f>IFERROR(_xlfn.XLOOKUP(D$7,#REF!,#REF!),0)</f>
        <v>0</v>
      </c>
      <c r="E34" s="258">
        <f>IFERROR(_xlfn.XLOOKUP(E$7,#REF!,#REF!),0)</f>
        <v>0</v>
      </c>
      <c r="F34" s="258">
        <f>IFERROR(_xlfn.XLOOKUP(F$7,#REF!,#REF!),0)</f>
        <v>0</v>
      </c>
      <c r="G34" s="258">
        <f>IFERROR(_xlfn.XLOOKUP(G$7,#REF!,#REF!),0)</f>
        <v>0</v>
      </c>
      <c r="H34" s="258">
        <f>IFERROR(_xlfn.XLOOKUP(H$7,#REF!,#REF!),0)</f>
        <v>0</v>
      </c>
      <c r="I34" s="258">
        <f>IFERROR(_xlfn.XLOOKUP(I$7,#REF!,#REF!),0)</f>
        <v>0</v>
      </c>
      <c r="J34" s="258">
        <f>IFERROR(_xlfn.XLOOKUP(J$7,#REF!,#REF!),0)</f>
        <v>0</v>
      </c>
      <c r="K34" s="258">
        <f>IFERROR(_xlfn.XLOOKUP(K$7,#REF!,#REF!),0)</f>
        <v>0</v>
      </c>
      <c r="L34" s="258">
        <f>IFERROR(_xlfn.XLOOKUP(L$7,#REF!,#REF!),0)</f>
        <v>0</v>
      </c>
      <c r="M34" s="258">
        <f>IFERROR(_xlfn.XLOOKUP(M$7,#REF!,#REF!),0)</f>
        <v>0</v>
      </c>
      <c r="N34" s="258">
        <f>IFERROR(_xlfn.XLOOKUP(N$7,#REF!,#REF!),0)</f>
        <v>0</v>
      </c>
      <c r="O34" s="258">
        <f>IFERROR(_xlfn.XLOOKUP(O$7,#REF!,#REF!),0)</f>
        <v>0</v>
      </c>
      <c r="P34" s="258">
        <f>IFERROR(_xlfn.XLOOKUP(P$7,#REF!,#REF!),0)</f>
        <v>0</v>
      </c>
      <c r="Q34" s="258">
        <f>IFERROR(_xlfn.XLOOKUP(Q$7,#REF!,#REF!),0)</f>
        <v>0</v>
      </c>
      <c r="R34" s="258">
        <f>IFERROR(_xlfn.XLOOKUP(R$7,#REF!,#REF!),0)</f>
        <v>0</v>
      </c>
      <c r="S34" s="258">
        <f>IFERROR(_xlfn.XLOOKUP(S$7,#REF!,#REF!),0)</f>
        <v>0</v>
      </c>
      <c r="T34" s="258">
        <f>IFERROR(_xlfn.XLOOKUP(T$7,#REF!,#REF!),0)</f>
        <v>0</v>
      </c>
      <c r="U34" s="258">
        <f>IFERROR(_xlfn.XLOOKUP(U$7,#REF!,#REF!),0)</f>
        <v>0</v>
      </c>
      <c r="V34" s="258">
        <f>IFERROR(_xlfn.XLOOKUP(V$7,#REF!,#REF!),0)</f>
        <v>0</v>
      </c>
      <c r="W34" s="258">
        <f>IFERROR(_xlfn.XLOOKUP(W$7,#REF!,#REF!),0)</f>
        <v>0</v>
      </c>
      <c r="X34" s="258">
        <f>IFERROR(_xlfn.XLOOKUP(X$7,#REF!,#REF!),0)</f>
        <v>0</v>
      </c>
      <c r="Y34" s="258">
        <f>IFERROR(_xlfn.XLOOKUP(Y$7,#REF!,#REF!),0)</f>
        <v>0</v>
      </c>
      <c r="Z34" s="258">
        <f>IFERROR(_xlfn.XLOOKUP(Z$7,#REF!,#REF!),0)</f>
        <v>0</v>
      </c>
      <c r="AA34" s="258">
        <f>IFERROR(_xlfn.XLOOKUP(AA$7,#REF!,#REF!),0)</f>
        <v>0</v>
      </c>
      <c r="AB34" s="258">
        <f>IFERROR(_xlfn.XLOOKUP(AB$7,#REF!,#REF!),0)</f>
        <v>0</v>
      </c>
      <c r="AC34" s="258">
        <f>IFERROR(_xlfn.XLOOKUP(AC$7,#REF!,#REF!),0)</f>
        <v>0</v>
      </c>
      <c r="AD34" s="258">
        <f>IFERROR(_xlfn.XLOOKUP(AD$7,#REF!,#REF!),0)</f>
        <v>0</v>
      </c>
      <c r="AE34" s="258">
        <f>IFERROR(_xlfn.XLOOKUP(AE$7,#REF!,#REF!),0)</f>
        <v>0</v>
      </c>
      <c r="AF34" s="258">
        <f>IFERROR(_xlfn.XLOOKUP(AF$7,#REF!,#REF!),0)</f>
        <v>0</v>
      </c>
      <c r="AG34" s="258">
        <f>IFERROR(_xlfn.XLOOKUP(AG$7,#REF!,#REF!),0)</f>
        <v>0</v>
      </c>
      <c r="AH34" s="258">
        <f>IFERROR(_xlfn.XLOOKUP(AH$7,#REF!,#REF!),0)</f>
        <v>0</v>
      </c>
      <c r="AI34" s="258">
        <f>IFERROR(_xlfn.XLOOKUP(AI$7,#REF!,#REF!),0)</f>
        <v>0</v>
      </c>
      <c r="AJ34" s="258">
        <f>IFERROR(_xlfn.XLOOKUP(AJ$7,#REF!,#REF!),0)</f>
        <v>0</v>
      </c>
      <c r="AK34" s="258">
        <f>IFERROR(_xlfn.XLOOKUP(AK$7,#REF!,#REF!),0)</f>
        <v>0</v>
      </c>
      <c r="AL34" s="258">
        <f>IFERROR(_xlfn.XLOOKUP(AL$7,#REF!,#REF!),0)</f>
        <v>0</v>
      </c>
      <c r="AM34" s="258">
        <f>IFERROR(_xlfn.XLOOKUP(AM$7,#REF!,#REF!),0)</f>
        <v>0</v>
      </c>
      <c r="AN34" s="258">
        <f>IFERROR(_xlfn.XLOOKUP(AN$7,#REF!,#REF!),0)</f>
        <v>0</v>
      </c>
      <c r="AO34" s="258">
        <f>IFERROR(_xlfn.XLOOKUP(AO$7,#REF!,#REF!),0)</f>
        <v>0</v>
      </c>
      <c r="AP34" s="258">
        <f>IFERROR(_xlfn.XLOOKUP(AP$7,#REF!,#REF!),0)</f>
        <v>0</v>
      </c>
      <c r="AQ34" s="258">
        <f>IFERROR(_xlfn.XLOOKUP(AQ$7,#REF!,#REF!),0)</f>
        <v>0</v>
      </c>
      <c r="AR34" s="258">
        <f>IFERROR(_xlfn.XLOOKUP(AR$7,#REF!,#REF!),0)</f>
        <v>0</v>
      </c>
      <c r="AS34" s="258">
        <f>IFERROR(_xlfn.XLOOKUP(AS$7,#REF!,#REF!),0)</f>
        <v>0</v>
      </c>
      <c r="AT34" s="258">
        <f>IFERROR(_xlfn.XLOOKUP(AT$7,#REF!,#REF!),0)</f>
        <v>0</v>
      </c>
      <c r="AU34" s="258">
        <f>IFERROR(_xlfn.XLOOKUP(AU$7,#REF!,#REF!),0)</f>
        <v>0</v>
      </c>
      <c r="AV34" s="258">
        <f>IFERROR(_xlfn.XLOOKUP(AV$7,#REF!,#REF!),0)</f>
        <v>0</v>
      </c>
      <c r="AW34" s="258">
        <f>IFERROR(_xlfn.XLOOKUP(AW$7,#REF!,#REF!),0)</f>
        <v>0</v>
      </c>
      <c r="AX34" s="258">
        <f>IFERROR(_xlfn.XLOOKUP(AX$7,#REF!,#REF!),0)</f>
        <v>0</v>
      </c>
      <c r="AY34" s="258">
        <f>IFERROR(_xlfn.XLOOKUP(AY$7,#REF!,#REF!),0)</f>
        <v>0</v>
      </c>
      <c r="AZ34" s="258">
        <f>IFERROR(_xlfn.XLOOKUP(AZ$7,#REF!,#REF!),0)</f>
        <v>0</v>
      </c>
      <c r="BA34" s="258">
        <f>IFERROR(_xlfn.XLOOKUP(BA$7,#REF!,#REF!),0)</f>
        <v>0</v>
      </c>
      <c r="BB34" s="258">
        <f>IFERROR(_xlfn.XLOOKUP(BB$7,#REF!,#REF!),0)</f>
        <v>0</v>
      </c>
      <c r="BC34" s="258">
        <f>IFERROR(_xlfn.XLOOKUP(BC$7,#REF!,#REF!),0)</f>
        <v>0</v>
      </c>
      <c r="BD34" s="258">
        <f>IFERROR(_xlfn.XLOOKUP(BD$7,#REF!,#REF!),0)</f>
        <v>0</v>
      </c>
      <c r="BE34" s="258">
        <f>IFERROR(_xlfn.XLOOKUP(BE$7,#REF!,#REF!),0)</f>
        <v>0</v>
      </c>
      <c r="BF34" s="258">
        <f>IFERROR(_xlfn.XLOOKUP(BF$7,#REF!,#REF!),0)</f>
        <v>0</v>
      </c>
      <c r="BG34" s="258">
        <f>IFERROR(_xlfn.XLOOKUP(BG$7,#REF!,#REF!),0)</f>
        <v>0</v>
      </c>
      <c r="BH34" s="258">
        <f>IFERROR(_xlfn.XLOOKUP(BH$7,#REF!,#REF!),0)</f>
        <v>0</v>
      </c>
      <c r="BI34" s="258">
        <f>IFERROR(_xlfn.XLOOKUP(BI$7,#REF!,#REF!),0)</f>
        <v>0</v>
      </c>
      <c r="BJ34" s="258">
        <f>IFERROR(_xlfn.XLOOKUP(BJ$7,#REF!,#REF!),0)</f>
        <v>0</v>
      </c>
      <c r="BK34" s="258">
        <f>IFERROR(_xlfn.XLOOKUP(BK$7,#REF!,#REF!),0)</f>
        <v>0</v>
      </c>
      <c r="BL34" s="258">
        <f>IFERROR(_xlfn.XLOOKUP(BL$7,#REF!,#REF!),0)</f>
        <v>0</v>
      </c>
      <c r="BM34" s="258">
        <f>IFERROR(_xlfn.XLOOKUP(BM$7,#REF!,#REF!),0)</f>
        <v>0</v>
      </c>
      <c r="BN34" s="258">
        <f>IFERROR(_xlfn.XLOOKUP(BN$7,#REF!,#REF!),0)</f>
        <v>0</v>
      </c>
      <c r="BO34" s="258">
        <f>IFERROR(_xlfn.XLOOKUP(BO$7,#REF!,#REF!),0)</f>
        <v>0</v>
      </c>
      <c r="BP34" s="258">
        <f>IFERROR(_xlfn.XLOOKUP(BP$7,#REF!,#REF!),0)</f>
        <v>0</v>
      </c>
      <c r="BQ34" s="258">
        <f>IFERROR(_xlfn.XLOOKUP(BQ$7,#REF!,#REF!),0)</f>
        <v>0</v>
      </c>
      <c r="BR34" s="258">
        <f>IFERROR(_xlfn.XLOOKUP(BR$7,#REF!,#REF!),0)</f>
        <v>0</v>
      </c>
      <c r="BS34" s="258">
        <f>IFERROR(_xlfn.XLOOKUP(BS$7,#REF!,#REF!),0)</f>
        <v>0</v>
      </c>
      <c r="BT34" s="258">
        <f>IFERROR(_xlfn.XLOOKUP(BT$7,#REF!,#REF!),0)</f>
        <v>0</v>
      </c>
      <c r="BU34" s="258">
        <f>IFERROR(_xlfn.XLOOKUP(BU$7,#REF!,#REF!),0)</f>
        <v>0</v>
      </c>
      <c r="BV34" s="258">
        <f>IFERROR(_xlfn.XLOOKUP(BV$7,#REF!,#REF!),0)</f>
        <v>0</v>
      </c>
      <c r="BW34" s="258">
        <f>IFERROR(_xlfn.XLOOKUP(BW$7,#REF!,#REF!),0)</f>
        <v>0</v>
      </c>
      <c r="BX34" s="258">
        <f>IFERROR(_xlfn.XLOOKUP(BX$7,#REF!,#REF!),0)</f>
        <v>0</v>
      </c>
      <c r="BY34" s="258">
        <f>IFERROR(_xlfn.XLOOKUP(BY$7,#REF!,#REF!),0)</f>
        <v>0</v>
      </c>
      <c r="BZ34" s="258">
        <f>IFERROR(_xlfn.XLOOKUP(BZ$7,#REF!,#REF!),0)</f>
        <v>0</v>
      </c>
      <c r="CA34" s="258">
        <f>IFERROR(_xlfn.XLOOKUP(CA$7,#REF!,#REF!),0)</f>
        <v>0</v>
      </c>
      <c r="CB34" s="258">
        <f>IFERROR(_xlfn.XLOOKUP(CB$7,#REF!,#REF!),0)</f>
        <v>0</v>
      </c>
      <c r="CC34" s="258">
        <f>IFERROR(_xlfn.XLOOKUP(CC$7,#REF!,#REF!),0)</f>
        <v>0</v>
      </c>
      <c r="CD34" s="258">
        <f>IFERROR(_xlfn.XLOOKUP(CD$7,#REF!,#REF!),0)</f>
        <v>0</v>
      </c>
      <c r="CE34" s="258">
        <f>IFERROR(_xlfn.XLOOKUP(CE$7,#REF!,#REF!),0)</f>
        <v>0</v>
      </c>
      <c r="CF34" s="258">
        <f>IFERROR(_xlfn.XLOOKUP(CF$7,#REF!,#REF!),0)</f>
        <v>0</v>
      </c>
      <c r="CG34" s="258">
        <f>IFERROR(_xlfn.XLOOKUP(CG$7,#REF!,#REF!),0)</f>
        <v>0</v>
      </c>
      <c r="CH34" s="258">
        <f>IFERROR(_xlfn.XLOOKUP(CH$7,#REF!,#REF!),0)</f>
        <v>0</v>
      </c>
      <c r="CI34" s="258">
        <f>IFERROR(_xlfn.XLOOKUP(CI$7,#REF!,#REF!),0)</f>
        <v>0</v>
      </c>
      <c r="CJ34" s="258">
        <f>IFERROR(_xlfn.XLOOKUP(CJ$7,#REF!,#REF!),0)</f>
        <v>0</v>
      </c>
      <c r="CK34" s="258">
        <f>IFERROR(_xlfn.XLOOKUP(CK$7,#REF!,#REF!),0)</f>
        <v>0</v>
      </c>
      <c r="CL34" s="258">
        <f>IFERROR(_xlfn.XLOOKUP(CL$7,#REF!,#REF!),0)</f>
        <v>0</v>
      </c>
      <c r="CM34" s="258">
        <f>IFERROR(_xlfn.XLOOKUP(CM$7,#REF!,#REF!),0)</f>
        <v>0</v>
      </c>
      <c r="CN34" s="258">
        <f>IFERROR(_xlfn.XLOOKUP(CN$7,#REF!,#REF!),0)</f>
        <v>0</v>
      </c>
      <c r="CO34" s="258">
        <f>IFERROR(_xlfn.XLOOKUP(CO$7,#REF!,#REF!),0)</f>
        <v>0</v>
      </c>
      <c r="CP34" s="258">
        <f>IFERROR(_xlfn.XLOOKUP(CP$7,#REF!,#REF!),0)</f>
        <v>0</v>
      </c>
      <c r="CQ34" s="258">
        <f>IFERROR(_xlfn.XLOOKUP(CQ$7,#REF!,#REF!),0)</f>
        <v>0</v>
      </c>
      <c r="CR34" s="258">
        <f>IFERROR(_xlfn.XLOOKUP(CR$7,#REF!,#REF!),0)</f>
        <v>0</v>
      </c>
      <c r="CS34" s="258">
        <f>IFERROR(_xlfn.XLOOKUP(CS$7,#REF!,#REF!),0)</f>
        <v>0</v>
      </c>
      <c r="CT34" s="258">
        <f>IFERROR(_xlfn.XLOOKUP(CT$7,#REF!,#REF!),0)</f>
        <v>0</v>
      </c>
      <c r="CU34" s="258">
        <f>IFERROR(_xlfn.XLOOKUP(CU$7,#REF!,#REF!),0)</f>
        <v>0</v>
      </c>
      <c r="CV34" s="258">
        <f>IFERROR(_xlfn.XLOOKUP(CV$7,#REF!,#REF!),0)</f>
        <v>0</v>
      </c>
      <c r="CW34" s="258">
        <f>IFERROR(_xlfn.XLOOKUP(CW$7,#REF!,#REF!),0)</f>
        <v>0</v>
      </c>
      <c r="CX34" s="258">
        <f>IFERROR(_xlfn.XLOOKUP(CX$7,#REF!,#REF!),0)</f>
        <v>0</v>
      </c>
      <c r="CY34" s="258">
        <f>IFERROR(_xlfn.XLOOKUP(CY$7,#REF!,#REF!),0)</f>
        <v>0</v>
      </c>
      <c r="CZ34" s="258">
        <f>IFERROR(_xlfn.XLOOKUP(CZ$7,#REF!,#REF!),0)</f>
        <v>0</v>
      </c>
      <c r="DA34" s="258">
        <f>IFERROR(_xlfn.XLOOKUP(DA$7,#REF!,#REF!),0)</f>
        <v>0</v>
      </c>
      <c r="DB34" s="258">
        <f>IFERROR(_xlfn.XLOOKUP(DB$7,#REF!,#REF!),0)</f>
        <v>0</v>
      </c>
      <c r="DC34" s="258">
        <f>IFERROR(_xlfn.XLOOKUP(DC$7,#REF!,#REF!),0)</f>
        <v>0</v>
      </c>
      <c r="DD34" s="258">
        <f>IFERROR(_xlfn.XLOOKUP(DD$7,#REF!,#REF!),0)</f>
        <v>0</v>
      </c>
      <c r="DE34" s="258">
        <f>IFERROR(_xlfn.XLOOKUP(DE$7,#REF!,#REF!),0)</f>
        <v>0</v>
      </c>
      <c r="DF34" s="258">
        <f>IFERROR(_xlfn.XLOOKUP(DF$7,#REF!,#REF!),0)</f>
        <v>0</v>
      </c>
      <c r="DG34" s="258">
        <f>IFERROR(_xlfn.XLOOKUP(DG$7,#REF!,#REF!),0)</f>
        <v>0</v>
      </c>
      <c r="DH34" s="258">
        <f>IFERROR(_xlfn.XLOOKUP(DH$7,#REF!,#REF!),0)</f>
        <v>0</v>
      </c>
      <c r="DI34" s="258">
        <f>IFERROR(_xlfn.XLOOKUP(DI$7,#REF!,#REF!),0)</f>
        <v>0</v>
      </c>
      <c r="DJ34" s="258">
        <f>IFERROR(_xlfn.XLOOKUP(DJ$7,#REF!,#REF!),0)</f>
        <v>0</v>
      </c>
      <c r="DK34" s="258">
        <f>IFERROR(_xlfn.XLOOKUP(DK$7,#REF!,#REF!),0)</f>
        <v>0</v>
      </c>
      <c r="DL34" s="258">
        <f>IFERROR(_xlfn.XLOOKUP(DL$7,#REF!,#REF!),0)</f>
        <v>0</v>
      </c>
      <c r="DM34" s="258">
        <f>IFERROR(_xlfn.XLOOKUP(DM$7,#REF!,#REF!),0)</f>
        <v>0</v>
      </c>
      <c r="DN34" s="258">
        <f>IFERROR(_xlfn.XLOOKUP(DN$7,#REF!,#REF!),0)</f>
        <v>0</v>
      </c>
      <c r="DO34" s="258">
        <f>IFERROR(_xlfn.XLOOKUP(DO$7,#REF!,#REF!),0)</f>
        <v>0</v>
      </c>
      <c r="DP34" s="258">
        <f>IFERROR(_xlfn.XLOOKUP(DP$7,#REF!,#REF!),0)</f>
        <v>0</v>
      </c>
      <c r="DQ34" s="258">
        <f>IFERROR(_xlfn.XLOOKUP(DQ$7,#REF!,#REF!),0)</f>
        <v>0</v>
      </c>
      <c r="DR34" s="258">
        <f>IFERROR(_xlfn.XLOOKUP(DR$7,#REF!,#REF!),0)</f>
        <v>0</v>
      </c>
      <c r="DS34" s="258">
        <f>IFERROR(_xlfn.XLOOKUP(DS$7,#REF!,#REF!),0)</f>
        <v>0</v>
      </c>
      <c r="DT34" s="258">
        <f>IFERROR(_xlfn.XLOOKUP(DT$7,#REF!,#REF!),0)</f>
        <v>0</v>
      </c>
      <c r="DU34" s="258">
        <f>IFERROR(_xlfn.XLOOKUP(DU$7,#REF!,#REF!),0)</f>
        <v>0</v>
      </c>
      <c r="DV34" s="258">
        <f>IFERROR(_xlfn.XLOOKUP(DV$7,#REF!,#REF!),0)</f>
        <v>0</v>
      </c>
      <c r="DW34" s="258">
        <f>IFERROR(_xlfn.XLOOKUP(DW$7,#REF!,#REF!),0)</f>
        <v>0</v>
      </c>
      <c r="DX34" s="258">
        <f>IFERROR(_xlfn.XLOOKUP(DX$7,#REF!,#REF!),0)</f>
        <v>0</v>
      </c>
      <c r="DY34" s="258">
        <f>IFERROR(_xlfn.XLOOKUP(DY$7,#REF!,#REF!),0)</f>
        <v>0</v>
      </c>
      <c r="DZ34" s="258">
        <f>IFERROR(_xlfn.XLOOKUP(DZ$7,#REF!,#REF!),0)</f>
        <v>0</v>
      </c>
      <c r="EA34" s="258">
        <f>IFERROR(_xlfn.XLOOKUP(EA$7,#REF!,#REF!),0)</f>
        <v>0</v>
      </c>
      <c r="EB34" s="258">
        <f>IFERROR(_xlfn.XLOOKUP(EB$7,#REF!,#REF!),0)</f>
        <v>0</v>
      </c>
      <c r="EC34" s="258">
        <f>IFERROR(_xlfn.XLOOKUP(EC$7,#REF!,#REF!),0)</f>
        <v>0</v>
      </c>
      <c r="ED34" s="258">
        <f>IFERROR(_xlfn.XLOOKUP(ED$7,#REF!,#REF!),0)</f>
        <v>0</v>
      </c>
      <c r="EE34" s="258">
        <f>IFERROR(_xlfn.XLOOKUP(EE$7,#REF!,#REF!),0)</f>
        <v>0</v>
      </c>
      <c r="EF34" s="258">
        <f>IFERROR(_xlfn.XLOOKUP(EF$7,#REF!,#REF!),0)</f>
        <v>0</v>
      </c>
      <c r="EG34" s="258">
        <f>IFERROR(_xlfn.XLOOKUP(EG$7,#REF!,#REF!),0)</f>
        <v>0</v>
      </c>
      <c r="EH34" s="258">
        <f>IFERROR(_xlfn.XLOOKUP(EH$7,#REF!,#REF!),0)</f>
        <v>0</v>
      </c>
      <c r="EI34" s="258">
        <f>IFERROR(_xlfn.XLOOKUP(EI$7,#REF!,#REF!),0)</f>
        <v>0</v>
      </c>
      <c r="EJ34" s="258">
        <f>IFERROR(_xlfn.XLOOKUP(EJ$7,#REF!,#REF!),0)</f>
        <v>0</v>
      </c>
      <c r="EK34" s="258">
        <f>IFERROR(_xlfn.XLOOKUP(EK$7,#REF!,#REF!),0)</f>
        <v>0</v>
      </c>
      <c r="EL34" s="258">
        <f>IFERROR(_xlfn.XLOOKUP(EL$7,#REF!,#REF!),0)</f>
        <v>0</v>
      </c>
      <c r="EM34" s="258">
        <f>IFERROR(_xlfn.XLOOKUP(EM$7,#REF!,#REF!),0)</f>
        <v>0</v>
      </c>
      <c r="EN34" s="258">
        <f>IFERROR(_xlfn.XLOOKUP(EN$7,#REF!,#REF!),0)</f>
        <v>0</v>
      </c>
      <c r="EO34" s="258">
        <f>IFERROR(_xlfn.XLOOKUP(EO$7,#REF!,#REF!),0)</f>
        <v>0</v>
      </c>
      <c r="EP34" s="258">
        <f>IFERROR(_xlfn.XLOOKUP(EP$7,#REF!,#REF!),0)</f>
        <v>0</v>
      </c>
      <c r="EQ34" s="258">
        <f>IFERROR(_xlfn.XLOOKUP(EQ$7,#REF!,#REF!),0)</f>
        <v>0</v>
      </c>
      <c r="ER34" s="258">
        <f>IFERROR(_xlfn.XLOOKUP(ER$7,#REF!,#REF!),0)</f>
        <v>0</v>
      </c>
      <c r="ES34" s="258">
        <f>IFERROR(_xlfn.XLOOKUP(ES$7,#REF!,#REF!),0)</f>
        <v>0</v>
      </c>
      <c r="ET34" s="258">
        <f>IFERROR(_xlfn.XLOOKUP(ET$7,#REF!,#REF!),0)</f>
        <v>0</v>
      </c>
      <c r="EU34" s="258">
        <f>IFERROR(_xlfn.XLOOKUP(EU$7,#REF!,#REF!),0)</f>
        <v>0</v>
      </c>
      <c r="EV34" s="258">
        <f>IFERROR(_xlfn.XLOOKUP(EV$7,#REF!,#REF!),0)</f>
        <v>0</v>
      </c>
      <c r="EW34" s="258">
        <f>IFERROR(_xlfn.XLOOKUP(EW$7,#REF!,#REF!),0)</f>
        <v>0</v>
      </c>
      <c r="EX34" s="258">
        <f>IFERROR(_xlfn.XLOOKUP(EX$7,#REF!,#REF!),0)</f>
        <v>0</v>
      </c>
      <c r="EY34" s="258">
        <f>IFERROR(_xlfn.XLOOKUP(EY$7,#REF!,#REF!),0)</f>
        <v>0</v>
      </c>
      <c r="EZ34" s="258">
        <f>IFERROR(_xlfn.XLOOKUP(EZ$7,#REF!,#REF!),0)</f>
        <v>0</v>
      </c>
      <c r="FA34" s="258">
        <f>IFERROR(_xlfn.XLOOKUP(FA$7,#REF!,#REF!),0)</f>
        <v>0</v>
      </c>
      <c r="FB34" s="258">
        <f>IFERROR(_xlfn.XLOOKUP(FB$7,#REF!,#REF!),0)</f>
        <v>0</v>
      </c>
      <c r="FC34" s="258">
        <f>IFERROR(_xlfn.XLOOKUP(FC$7,#REF!,#REF!),0)</f>
        <v>0</v>
      </c>
      <c r="FD34" s="258">
        <f>IFERROR(_xlfn.XLOOKUP(FD$7,#REF!,#REF!),0)</f>
        <v>0</v>
      </c>
      <c r="FE34" s="258">
        <f>IFERROR(_xlfn.XLOOKUP(FE$7,#REF!,#REF!),0)</f>
        <v>0</v>
      </c>
      <c r="FF34" s="258">
        <f>IFERROR(_xlfn.XLOOKUP(FF$7,#REF!,#REF!),0)</f>
        <v>0</v>
      </c>
      <c r="FG34" s="258">
        <f>IFERROR(_xlfn.XLOOKUP(FG$7,#REF!,#REF!),0)</f>
        <v>0</v>
      </c>
      <c r="FH34" s="258">
        <f>IFERROR(_xlfn.XLOOKUP(FH$7,#REF!,#REF!),0)</f>
        <v>0</v>
      </c>
      <c r="FI34" s="258">
        <f>IFERROR(_xlfn.XLOOKUP(FI$7,#REF!,#REF!),0)</f>
        <v>0</v>
      </c>
      <c r="FJ34" s="258">
        <f>IFERROR(_xlfn.XLOOKUP(FJ$7,#REF!,#REF!),0)</f>
        <v>0</v>
      </c>
      <c r="FK34" s="258">
        <f>IFERROR(_xlfn.XLOOKUP(FK$7,#REF!,#REF!),0)</f>
        <v>0</v>
      </c>
      <c r="FL34" s="258">
        <f>IFERROR(_xlfn.XLOOKUP(FL$7,#REF!,#REF!),0)</f>
        <v>0</v>
      </c>
      <c r="FM34" s="258">
        <f>IFERROR(_xlfn.XLOOKUP(FM$7,#REF!,#REF!),0)</f>
        <v>0</v>
      </c>
      <c r="FN34" s="258">
        <f>IFERROR(_xlfn.XLOOKUP(FN$7,#REF!,#REF!),0)</f>
        <v>0</v>
      </c>
      <c r="FO34" s="258">
        <f>IFERROR(_xlfn.XLOOKUP(FO$7,#REF!,#REF!),0)</f>
        <v>0</v>
      </c>
      <c r="FP34" s="258">
        <f>IFERROR(_xlfn.XLOOKUP(FP$7,#REF!,#REF!),0)</f>
        <v>0</v>
      </c>
      <c r="FQ34" s="258">
        <f>IFERROR(_xlfn.XLOOKUP(FQ$7,#REF!,#REF!),0)</f>
        <v>0</v>
      </c>
      <c r="FR34" s="258">
        <f>IFERROR(_xlfn.XLOOKUP(FR$7,#REF!,#REF!),0)</f>
        <v>0</v>
      </c>
      <c r="FS34" s="258">
        <f>IFERROR(_xlfn.XLOOKUP(FS$7,#REF!,#REF!),0)</f>
        <v>0</v>
      </c>
      <c r="FT34" s="258">
        <f>IFERROR(_xlfn.XLOOKUP(FT$7,#REF!,#REF!),0)</f>
        <v>0</v>
      </c>
      <c r="FU34" s="258">
        <f>IFERROR(_xlfn.XLOOKUP(FU$7,#REF!,#REF!),0)</f>
        <v>0</v>
      </c>
      <c r="FV34" s="258">
        <f>IFERROR(_xlfn.XLOOKUP(FV$7,#REF!,#REF!),0)</f>
        <v>0</v>
      </c>
      <c r="FW34" s="258">
        <f>IFERROR(_xlfn.XLOOKUP(FW$7,#REF!,#REF!),0)</f>
        <v>0</v>
      </c>
      <c r="FX34" s="258">
        <f>IFERROR(_xlfn.XLOOKUP(FX$7,#REF!,#REF!),0)</f>
        <v>0</v>
      </c>
      <c r="FY34" s="258">
        <f>IFERROR(_xlfn.XLOOKUP(FY$7,#REF!,#REF!),0)</f>
        <v>0</v>
      </c>
      <c r="FZ34" s="258">
        <f>IFERROR(_xlfn.XLOOKUP(FZ$7,#REF!,#REF!),0)</f>
        <v>0</v>
      </c>
      <c r="GA34" s="258">
        <f>IFERROR(_xlfn.XLOOKUP(GA$7,#REF!,#REF!),0)</f>
        <v>0</v>
      </c>
      <c r="GB34" s="258">
        <f>IFERROR(_xlfn.XLOOKUP(GB$7,#REF!,#REF!),0)</f>
        <v>0</v>
      </c>
      <c r="GC34" s="258">
        <f>IFERROR(_xlfn.XLOOKUP(GC$7,#REF!,#REF!),0)</f>
        <v>0</v>
      </c>
      <c r="GD34" s="258">
        <f>IFERROR(_xlfn.XLOOKUP(GD$7,#REF!,#REF!),0)</f>
        <v>0</v>
      </c>
      <c r="GE34" s="258">
        <f>IFERROR(_xlfn.XLOOKUP(GE$7,#REF!,#REF!),0)</f>
        <v>0</v>
      </c>
      <c r="GF34" s="258">
        <f>IFERROR(_xlfn.XLOOKUP(GF$7,#REF!,#REF!),0)</f>
        <v>0</v>
      </c>
      <c r="GG34" s="258">
        <f>IFERROR(_xlfn.XLOOKUP(GG$7,#REF!,#REF!),0)</f>
        <v>0</v>
      </c>
      <c r="GH34" s="258">
        <f>IFERROR(_xlfn.XLOOKUP(GH$7,#REF!,#REF!),0)</f>
        <v>0</v>
      </c>
      <c r="GI34" s="258">
        <f>IFERROR(_xlfn.XLOOKUP(GI$7,#REF!,#REF!),0)</f>
        <v>0</v>
      </c>
      <c r="GJ34" s="258">
        <f>IFERROR(_xlfn.XLOOKUP(GJ$7,#REF!,#REF!),0)</f>
        <v>0</v>
      </c>
      <c r="GK34" s="258">
        <f>IFERROR(_xlfn.XLOOKUP(GK$7,#REF!,#REF!),0)</f>
        <v>0</v>
      </c>
      <c r="GL34" s="258">
        <f>IFERROR(_xlfn.XLOOKUP(GL$7,#REF!,#REF!),0)</f>
        <v>0</v>
      </c>
      <c r="GM34" s="258">
        <f>IFERROR(_xlfn.XLOOKUP(GM$7,#REF!,#REF!),0)</f>
        <v>0</v>
      </c>
      <c r="GN34" s="258">
        <f>IFERROR(_xlfn.XLOOKUP(GN$7,#REF!,#REF!),0)</f>
        <v>0</v>
      </c>
      <c r="GO34" s="258">
        <f>IFERROR(_xlfn.XLOOKUP(GO$7,#REF!,#REF!),0)</f>
        <v>0</v>
      </c>
      <c r="GP34" s="258">
        <f>IFERROR(_xlfn.XLOOKUP(GP$7,#REF!,#REF!),0)</f>
        <v>0</v>
      </c>
      <c r="GQ34" s="258">
        <f>IFERROR(_xlfn.XLOOKUP(GQ$7,#REF!,#REF!),0)</f>
        <v>0</v>
      </c>
      <c r="GR34" s="258">
        <f>IFERROR(_xlfn.XLOOKUP(GR$7,#REF!,#REF!),0)</f>
        <v>0</v>
      </c>
      <c r="GS34" s="258">
        <f>IFERROR(_xlfn.XLOOKUP(GS$7,#REF!,#REF!),0)</f>
        <v>0</v>
      </c>
      <c r="GT34" s="258">
        <f>IFERROR(_xlfn.XLOOKUP(GT$7,#REF!,#REF!),0)</f>
        <v>0</v>
      </c>
      <c r="GU34" s="258">
        <f>IFERROR(_xlfn.XLOOKUP(GU$7,#REF!,#REF!),0)</f>
        <v>0</v>
      </c>
      <c r="GV34" s="258">
        <f>IFERROR(_xlfn.XLOOKUP(GV$7,#REF!,#REF!),0)</f>
        <v>0</v>
      </c>
      <c r="GW34" s="258">
        <f>IFERROR(_xlfn.XLOOKUP(GW$7,#REF!,#REF!),0)</f>
        <v>0</v>
      </c>
      <c r="GX34" s="258">
        <f>IFERROR(_xlfn.XLOOKUP(GX$7,#REF!,#REF!),0)</f>
        <v>0</v>
      </c>
      <c r="GY34" s="258">
        <f>IFERROR(_xlfn.XLOOKUP(GY$7,#REF!,#REF!),0)</f>
        <v>0</v>
      </c>
      <c r="GZ34" s="258">
        <f>IFERROR(_xlfn.XLOOKUP(GZ$7,#REF!,#REF!),0)</f>
        <v>0</v>
      </c>
      <c r="HA34" s="258">
        <f>IFERROR(_xlfn.XLOOKUP(HA$7,#REF!,#REF!),0)</f>
        <v>0</v>
      </c>
      <c r="HB34" s="258">
        <f>IFERROR(_xlfn.XLOOKUP(HB$7,#REF!,#REF!),0)</f>
        <v>0</v>
      </c>
      <c r="HC34" s="258">
        <f>IFERROR(_xlfn.XLOOKUP(HC$7,#REF!,#REF!),0)</f>
        <v>0</v>
      </c>
      <c r="HD34" s="258">
        <f>IFERROR(_xlfn.XLOOKUP(HD$7,#REF!,#REF!),0)</f>
        <v>0</v>
      </c>
      <c r="HE34" s="258">
        <f>IFERROR(_xlfn.XLOOKUP(HE$7,#REF!,#REF!),0)</f>
        <v>0</v>
      </c>
      <c r="HF34" s="258">
        <f>IFERROR(_xlfn.XLOOKUP(HF$7,#REF!,#REF!),0)</f>
        <v>0</v>
      </c>
      <c r="HG34" s="258">
        <f>IFERROR(_xlfn.XLOOKUP(HG$7,#REF!,#REF!),0)</f>
        <v>0</v>
      </c>
      <c r="HH34" s="258">
        <f>IFERROR(_xlfn.XLOOKUP(HH$7,#REF!,#REF!),0)</f>
        <v>0</v>
      </c>
      <c r="HI34" s="258">
        <f>IFERROR(_xlfn.XLOOKUP(HI$7,#REF!,#REF!),0)</f>
        <v>0</v>
      </c>
      <c r="HJ34" s="258">
        <f>IFERROR(_xlfn.XLOOKUP(HJ$7,#REF!,#REF!),0)</f>
        <v>0</v>
      </c>
      <c r="HK34" s="258">
        <f>IFERROR(_xlfn.XLOOKUP(HK$7,#REF!,#REF!),0)</f>
        <v>0</v>
      </c>
      <c r="HL34" s="258">
        <f>IFERROR(_xlfn.XLOOKUP(HL$7,#REF!,#REF!),0)</f>
        <v>0</v>
      </c>
      <c r="HM34" s="258">
        <f>IFERROR(_xlfn.XLOOKUP(HM$7,#REF!,#REF!),0)</f>
        <v>0</v>
      </c>
      <c r="HN34" s="258">
        <f>IFERROR(_xlfn.XLOOKUP(HN$7,#REF!,#REF!),0)</f>
        <v>0</v>
      </c>
      <c r="HO34" s="258">
        <f>IFERROR(_xlfn.XLOOKUP(HO$7,#REF!,#REF!),0)</f>
        <v>0</v>
      </c>
      <c r="HP34" s="258">
        <f>IFERROR(_xlfn.XLOOKUP(HP$7,#REF!,#REF!),0)</f>
        <v>0</v>
      </c>
      <c r="HQ34" s="258">
        <f>IFERROR(_xlfn.XLOOKUP(HQ$7,#REF!,#REF!),0)</f>
        <v>0</v>
      </c>
      <c r="HR34" s="258">
        <f>IFERROR(_xlfn.XLOOKUP(HR$7,#REF!,#REF!),0)</f>
        <v>0</v>
      </c>
      <c r="HS34" s="258">
        <f>IFERROR(_xlfn.XLOOKUP(HS$7,#REF!,#REF!),0)</f>
        <v>0</v>
      </c>
      <c r="HT34" s="258">
        <f>IFERROR(_xlfn.XLOOKUP(HT$7,#REF!,#REF!),0)</f>
        <v>0</v>
      </c>
      <c r="HU34" s="258">
        <f>IFERROR(_xlfn.XLOOKUP(HU$7,#REF!,#REF!),0)</f>
        <v>0</v>
      </c>
      <c r="HV34" s="258">
        <f>IFERROR(_xlfn.XLOOKUP(HV$7,#REF!,#REF!),0)</f>
        <v>0</v>
      </c>
      <c r="HW34" s="258">
        <f>IFERROR(_xlfn.XLOOKUP(HW$7,#REF!,#REF!),0)</f>
        <v>0</v>
      </c>
      <c r="HX34" s="258">
        <f>IFERROR(_xlfn.XLOOKUP(HX$7,#REF!,#REF!),0)</f>
        <v>0</v>
      </c>
      <c r="HY34" s="258">
        <f>IFERROR(_xlfn.XLOOKUP(HY$7,#REF!,#REF!),0)</f>
        <v>0</v>
      </c>
      <c r="HZ34" s="258">
        <f>IFERROR(_xlfn.XLOOKUP(HZ$7,#REF!,#REF!),0)</f>
        <v>0</v>
      </c>
      <c r="IA34" s="258">
        <f>IFERROR(_xlfn.XLOOKUP(IA$7,#REF!,#REF!),0)</f>
        <v>0</v>
      </c>
      <c r="IB34" s="258">
        <f>IFERROR(_xlfn.XLOOKUP(IB$7,#REF!,#REF!),0)</f>
        <v>0</v>
      </c>
      <c r="IC34" s="258">
        <f>IFERROR(_xlfn.XLOOKUP(IC$7,#REF!,#REF!),0)</f>
        <v>0</v>
      </c>
      <c r="ID34" s="258">
        <f>IFERROR(_xlfn.XLOOKUP(ID$7,#REF!,#REF!),0)</f>
        <v>0</v>
      </c>
      <c r="IE34" s="258">
        <f>IFERROR(_xlfn.XLOOKUP(IE$7,#REF!,#REF!),0)</f>
        <v>0</v>
      </c>
      <c r="IF34" s="258">
        <f>IFERROR(_xlfn.XLOOKUP(IF$7,#REF!,#REF!),0)</f>
        <v>0</v>
      </c>
      <c r="IG34" s="258">
        <f>IFERROR(_xlfn.XLOOKUP(IG$7,#REF!,#REF!),0)</f>
        <v>0</v>
      </c>
      <c r="IH34" s="258">
        <f>IFERROR(_xlfn.XLOOKUP(IH$7,#REF!,#REF!),0)</f>
        <v>0</v>
      </c>
      <c r="II34" s="258">
        <f>IFERROR(_xlfn.XLOOKUP(II$7,#REF!,#REF!),0)</f>
        <v>0</v>
      </c>
      <c r="IJ34" s="258">
        <f>IFERROR(_xlfn.XLOOKUP(IJ$7,#REF!,#REF!),0)</f>
        <v>0</v>
      </c>
      <c r="IK34" s="258">
        <f>IFERROR(_xlfn.XLOOKUP(IK$7,#REF!,#REF!),0)</f>
        <v>0</v>
      </c>
      <c r="IL34" s="258">
        <f>IFERROR(_xlfn.XLOOKUP(IL$7,#REF!,#REF!),0)</f>
        <v>0</v>
      </c>
      <c r="IM34" s="258">
        <f>IFERROR(_xlfn.XLOOKUP(IM$7,#REF!,#REF!),0)</f>
        <v>0</v>
      </c>
      <c r="IN34" s="258">
        <f>IFERROR(_xlfn.XLOOKUP(IN$7,#REF!,#REF!),0)</f>
        <v>0</v>
      </c>
      <c r="IO34" s="258">
        <f>IFERROR(_xlfn.XLOOKUP(IO$7,#REF!,#REF!),0)</f>
        <v>0</v>
      </c>
      <c r="IP34" s="258">
        <f>IFERROR(_xlfn.XLOOKUP(IP$7,#REF!,#REF!),0)</f>
        <v>0</v>
      </c>
      <c r="IQ34" s="258">
        <f>IFERROR(_xlfn.XLOOKUP(IQ$7,#REF!,#REF!),0)</f>
        <v>0</v>
      </c>
      <c r="IR34" s="258">
        <f>IFERROR(_xlfn.XLOOKUP(IR$7,#REF!,#REF!),0)</f>
        <v>0</v>
      </c>
      <c r="IS34" s="258">
        <f>IFERROR(_xlfn.XLOOKUP(IS$7,#REF!,#REF!),0)</f>
        <v>0</v>
      </c>
      <c r="IT34" s="258">
        <f>IFERROR(_xlfn.XLOOKUP(IT$7,#REF!,#REF!),0)</f>
        <v>0</v>
      </c>
      <c r="IU34" s="258">
        <f>IFERROR(_xlfn.XLOOKUP(IU$7,#REF!,#REF!),0)</f>
        <v>0</v>
      </c>
      <c r="IV34" s="258">
        <f>IFERROR(_xlfn.XLOOKUP(IV$7,#REF!,#REF!),0)</f>
        <v>0</v>
      </c>
      <c r="IW34" s="258">
        <f>IFERROR(_xlfn.XLOOKUP(IW$7,#REF!,#REF!),0)</f>
        <v>0</v>
      </c>
      <c r="IX34" s="258">
        <f>IFERROR(_xlfn.XLOOKUP(IX$7,#REF!,#REF!),0)</f>
        <v>0</v>
      </c>
      <c r="IY34" s="258">
        <f>IFERROR(_xlfn.XLOOKUP(IY$7,#REF!,#REF!),0)</f>
        <v>0</v>
      </c>
      <c r="IZ34" s="258">
        <f>IFERROR(_xlfn.XLOOKUP(IZ$7,#REF!,#REF!),0)</f>
        <v>0</v>
      </c>
      <c r="JA34" s="258">
        <f>IFERROR(_xlfn.XLOOKUP(JA$7,#REF!,#REF!),0)</f>
        <v>0</v>
      </c>
      <c r="JB34" s="258">
        <f>IFERROR(_xlfn.XLOOKUP(JB$7,#REF!,#REF!),0)</f>
        <v>0</v>
      </c>
      <c r="JC34" s="258">
        <f>IFERROR(_xlfn.XLOOKUP(JC$7,#REF!,#REF!),0)</f>
        <v>0</v>
      </c>
      <c r="JD34" s="258">
        <f>IFERROR(_xlfn.XLOOKUP(JD$7,#REF!,#REF!),0)</f>
        <v>0</v>
      </c>
      <c r="JE34" s="258">
        <f>IFERROR(_xlfn.XLOOKUP(JE$7,#REF!,#REF!),0)</f>
        <v>0</v>
      </c>
      <c r="JF34" s="258">
        <f>IFERROR(_xlfn.XLOOKUP(JF$7,#REF!,#REF!),0)</f>
        <v>0</v>
      </c>
      <c r="JG34" s="258">
        <f>IFERROR(_xlfn.XLOOKUP(JG$7,#REF!,#REF!),0)</f>
        <v>0</v>
      </c>
      <c r="JH34" s="258">
        <f>IFERROR(_xlfn.XLOOKUP(JH$7,#REF!,#REF!),0)</f>
        <v>0</v>
      </c>
      <c r="JI34" s="258">
        <f>IFERROR(_xlfn.XLOOKUP(JI$7,#REF!,#REF!),0)</f>
        <v>0</v>
      </c>
      <c r="JJ34" s="258">
        <f>IFERROR(_xlfn.XLOOKUP(JJ$7,#REF!,#REF!),0)</f>
        <v>0</v>
      </c>
      <c r="JK34" s="258">
        <f>IFERROR(_xlfn.XLOOKUP(JK$7,#REF!,#REF!),0)</f>
        <v>0</v>
      </c>
      <c r="JL34" s="258">
        <f>IFERROR(_xlfn.XLOOKUP(JL$7,#REF!,#REF!),0)</f>
        <v>0</v>
      </c>
      <c r="JM34" s="258">
        <f>IFERROR(_xlfn.XLOOKUP(JM$7,#REF!,#REF!),0)</f>
        <v>0</v>
      </c>
      <c r="JN34" s="258">
        <f>IFERROR(_xlfn.XLOOKUP(JN$7,#REF!,#REF!),0)</f>
        <v>0</v>
      </c>
      <c r="JO34" s="258">
        <f>IFERROR(_xlfn.XLOOKUP(JO$7,#REF!,#REF!),0)</f>
        <v>0</v>
      </c>
      <c r="JP34" s="258">
        <f>IFERROR(_xlfn.XLOOKUP(JP$7,#REF!,#REF!),0)</f>
        <v>0</v>
      </c>
      <c r="JQ34" s="258">
        <f>IFERROR(_xlfn.XLOOKUP(JQ$7,#REF!,#REF!),0)</f>
        <v>0</v>
      </c>
      <c r="JR34" s="258">
        <f>IFERROR(_xlfn.XLOOKUP(JR$7,#REF!,#REF!),0)</f>
        <v>0</v>
      </c>
      <c r="JS34" s="258">
        <f>IFERROR(_xlfn.XLOOKUP(JS$7,#REF!,#REF!),0)</f>
        <v>0</v>
      </c>
      <c r="JT34" s="258">
        <f>IFERROR(_xlfn.XLOOKUP(JT$7,#REF!,#REF!),0)</f>
        <v>0</v>
      </c>
      <c r="JU34" s="258">
        <f>IFERROR(_xlfn.XLOOKUP(JU$7,#REF!,#REF!),0)</f>
        <v>0</v>
      </c>
      <c r="JV34" s="258">
        <f>IFERROR(_xlfn.XLOOKUP(JV$7,#REF!,#REF!),0)</f>
        <v>0</v>
      </c>
      <c r="JW34" s="258">
        <f>IFERROR(_xlfn.XLOOKUP(JW$7,#REF!,#REF!),0)</f>
        <v>0</v>
      </c>
      <c r="JX34" s="258">
        <f>IFERROR(_xlfn.XLOOKUP(JX$7,#REF!,#REF!),0)</f>
        <v>0</v>
      </c>
      <c r="JY34" s="258">
        <f>IFERROR(_xlfn.XLOOKUP(JY$7,#REF!,#REF!),0)</f>
        <v>0</v>
      </c>
      <c r="JZ34" s="258">
        <f>IFERROR(_xlfn.XLOOKUP(JZ$7,#REF!,#REF!),0)</f>
        <v>0</v>
      </c>
      <c r="KA34" s="258">
        <f>IFERROR(_xlfn.XLOOKUP(KA$7,#REF!,#REF!),0)</f>
        <v>0</v>
      </c>
      <c r="KB34" s="258">
        <f>IFERROR(_xlfn.XLOOKUP(KB$7,#REF!,#REF!),0)</f>
        <v>0</v>
      </c>
      <c r="KC34" s="258">
        <f t="shared" si="443"/>
        <v>0</v>
      </c>
    </row>
    <row r="35" spans="1:289" x14ac:dyDescent="0.3">
      <c r="A35" s="1" t="s">
        <v>129</v>
      </c>
      <c r="B35" s="257"/>
      <c r="C35" s="258">
        <f>IFERROR(_xlfn.XLOOKUP(C$7,#REF!,#REF!),0)</f>
        <v>0</v>
      </c>
      <c r="D35" s="258">
        <f>IFERROR(_xlfn.XLOOKUP(D$7,#REF!,#REF!),0)</f>
        <v>0</v>
      </c>
      <c r="E35" s="258">
        <f>IFERROR(_xlfn.XLOOKUP(E$7,#REF!,#REF!),0)</f>
        <v>0</v>
      </c>
      <c r="F35" s="258">
        <f>IFERROR(_xlfn.XLOOKUP(F$7,#REF!,#REF!),0)</f>
        <v>0</v>
      </c>
      <c r="G35" s="258">
        <f>IFERROR(_xlfn.XLOOKUP(G$7,#REF!,#REF!),0)</f>
        <v>0</v>
      </c>
      <c r="H35" s="258">
        <f>IFERROR(_xlfn.XLOOKUP(H$7,#REF!,#REF!),0)</f>
        <v>0</v>
      </c>
      <c r="I35" s="258">
        <f>IFERROR(_xlfn.XLOOKUP(I$7,#REF!,#REF!),0)</f>
        <v>0</v>
      </c>
      <c r="J35" s="258">
        <f>IFERROR(_xlfn.XLOOKUP(J$7,#REF!,#REF!),0)</f>
        <v>0</v>
      </c>
      <c r="K35" s="258">
        <f>IFERROR(_xlfn.XLOOKUP(K$7,#REF!,#REF!),0)</f>
        <v>0</v>
      </c>
      <c r="L35" s="258">
        <f>IFERROR(_xlfn.XLOOKUP(L$7,#REF!,#REF!),0)</f>
        <v>0</v>
      </c>
      <c r="M35" s="258">
        <f>IFERROR(_xlfn.XLOOKUP(M$7,#REF!,#REF!),0)</f>
        <v>0</v>
      </c>
      <c r="N35" s="258">
        <f>IFERROR(_xlfn.XLOOKUP(N$7,#REF!,#REF!),0)</f>
        <v>0</v>
      </c>
      <c r="O35" s="258">
        <f>IFERROR(_xlfn.XLOOKUP(O$7,#REF!,#REF!),0)</f>
        <v>0</v>
      </c>
      <c r="P35" s="258">
        <f>IFERROR(_xlfn.XLOOKUP(P$7,#REF!,#REF!),0)</f>
        <v>0</v>
      </c>
      <c r="Q35" s="258">
        <f>IFERROR(_xlfn.XLOOKUP(Q$7,#REF!,#REF!),0)</f>
        <v>0</v>
      </c>
      <c r="R35" s="258">
        <f>IFERROR(_xlfn.XLOOKUP(R$7,#REF!,#REF!),0)</f>
        <v>0</v>
      </c>
      <c r="S35" s="258">
        <f>IFERROR(_xlfn.XLOOKUP(S$7,#REF!,#REF!),0)</f>
        <v>0</v>
      </c>
      <c r="T35" s="258">
        <f>IFERROR(_xlfn.XLOOKUP(T$7,#REF!,#REF!),0)</f>
        <v>0</v>
      </c>
      <c r="U35" s="258">
        <f>IFERROR(_xlfn.XLOOKUP(U$7,#REF!,#REF!),0)</f>
        <v>0</v>
      </c>
      <c r="V35" s="258">
        <f>IFERROR(_xlfn.XLOOKUP(V$7,#REF!,#REF!),0)</f>
        <v>0</v>
      </c>
      <c r="W35" s="258">
        <f>IFERROR(_xlfn.XLOOKUP(W$7,#REF!,#REF!),0)</f>
        <v>0</v>
      </c>
      <c r="X35" s="258">
        <f>IFERROR(_xlfn.XLOOKUP(X$7,#REF!,#REF!),0)</f>
        <v>0</v>
      </c>
      <c r="Y35" s="258">
        <f>IFERROR(_xlfn.XLOOKUP(Y$7,#REF!,#REF!),0)</f>
        <v>0</v>
      </c>
      <c r="Z35" s="258">
        <f>IFERROR(_xlfn.XLOOKUP(Z$7,#REF!,#REF!),0)</f>
        <v>0</v>
      </c>
      <c r="AA35" s="258">
        <f>IFERROR(_xlfn.XLOOKUP(AA$7,#REF!,#REF!),0)</f>
        <v>0</v>
      </c>
      <c r="AB35" s="258">
        <f>IFERROR(_xlfn.XLOOKUP(AB$7,#REF!,#REF!),0)</f>
        <v>0</v>
      </c>
      <c r="AC35" s="258">
        <f>IFERROR(_xlfn.XLOOKUP(AC$7,#REF!,#REF!),0)</f>
        <v>0</v>
      </c>
      <c r="AD35" s="258">
        <f>IFERROR(_xlfn.XLOOKUP(AD$7,#REF!,#REF!),0)</f>
        <v>0</v>
      </c>
      <c r="AE35" s="258">
        <f>IFERROR(_xlfn.XLOOKUP(AE$7,#REF!,#REF!),0)</f>
        <v>0</v>
      </c>
      <c r="AF35" s="258">
        <f>IFERROR(_xlfn.XLOOKUP(AF$7,#REF!,#REF!),0)</f>
        <v>0</v>
      </c>
      <c r="AG35" s="258">
        <f>IFERROR(_xlfn.XLOOKUP(AG$7,#REF!,#REF!),0)</f>
        <v>0</v>
      </c>
      <c r="AH35" s="258">
        <f>IFERROR(_xlfn.XLOOKUP(AH$7,#REF!,#REF!),0)</f>
        <v>0</v>
      </c>
      <c r="AI35" s="258">
        <f>IFERROR(_xlfn.XLOOKUP(AI$7,#REF!,#REF!),0)</f>
        <v>0</v>
      </c>
      <c r="AJ35" s="258">
        <f>IFERROR(_xlfn.XLOOKUP(AJ$7,#REF!,#REF!),0)</f>
        <v>0</v>
      </c>
      <c r="AK35" s="258">
        <f>IFERROR(_xlfn.XLOOKUP(AK$7,#REF!,#REF!),0)</f>
        <v>0</v>
      </c>
      <c r="AL35" s="258">
        <f>IFERROR(_xlfn.XLOOKUP(AL$7,#REF!,#REF!),0)</f>
        <v>0</v>
      </c>
      <c r="AM35" s="258">
        <f>IFERROR(_xlfn.XLOOKUP(AM$7,#REF!,#REF!),0)</f>
        <v>0</v>
      </c>
      <c r="AN35" s="258">
        <f>IFERROR(_xlfn.XLOOKUP(AN$7,#REF!,#REF!),0)</f>
        <v>0</v>
      </c>
      <c r="AO35" s="258">
        <f>IFERROR(_xlfn.XLOOKUP(AO$7,#REF!,#REF!),0)</f>
        <v>0</v>
      </c>
      <c r="AP35" s="258">
        <f>IFERROR(_xlfn.XLOOKUP(AP$7,#REF!,#REF!),0)</f>
        <v>0</v>
      </c>
      <c r="AQ35" s="258">
        <f>IFERROR(_xlfn.XLOOKUP(AQ$7,#REF!,#REF!),0)</f>
        <v>0</v>
      </c>
      <c r="AR35" s="258">
        <f>IFERROR(_xlfn.XLOOKUP(AR$7,#REF!,#REF!),0)</f>
        <v>0</v>
      </c>
      <c r="AS35" s="258">
        <f>IFERROR(_xlfn.XLOOKUP(AS$7,#REF!,#REF!),0)</f>
        <v>0</v>
      </c>
      <c r="AT35" s="258">
        <f>IFERROR(_xlfn.XLOOKUP(AT$7,#REF!,#REF!),0)</f>
        <v>0</v>
      </c>
      <c r="AU35" s="258">
        <f>IFERROR(_xlfn.XLOOKUP(AU$7,#REF!,#REF!),0)</f>
        <v>0</v>
      </c>
      <c r="AV35" s="258">
        <f>IFERROR(_xlfn.XLOOKUP(AV$7,#REF!,#REF!),0)</f>
        <v>0</v>
      </c>
      <c r="AW35" s="258">
        <f>IFERROR(_xlfn.XLOOKUP(AW$7,#REF!,#REF!),0)</f>
        <v>0</v>
      </c>
      <c r="AX35" s="258">
        <f>IFERROR(_xlfn.XLOOKUP(AX$7,#REF!,#REF!),0)</f>
        <v>0</v>
      </c>
      <c r="AY35" s="258">
        <f>IFERROR(_xlfn.XLOOKUP(AY$7,#REF!,#REF!),0)</f>
        <v>0</v>
      </c>
      <c r="AZ35" s="258">
        <f>IFERROR(_xlfn.XLOOKUP(AZ$7,#REF!,#REF!),0)</f>
        <v>0</v>
      </c>
      <c r="BA35" s="258">
        <f>IFERROR(_xlfn.XLOOKUP(BA$7,#REF!,#REF!),0)</f>
        <v>0</v>
      </c>
      <c r="BB35" s="258">
        <f>IFERROR(_xlfn.XLOOKUP(BB$7,#REF!,#REF!),0)</f>
        <v>0</v>
      </c>
      <c r="BC35" s="258">
        <f>IFERROR(_xlfn.XLOOKUP(BC$7,#REF!,#REF!),0)</f>
        <v>0</v>
      </c>
      <c r="BD35" s="258">
        <f>IFERROR(_xlfn.XLOOKUP(BD$7,#REF!,#REF!),0)</f>
        <v>0</v>
      </c>
      <c r="BE35" s="258">
        <f>IFERROR(_xlfn.XLOOKUP(BE$7,#REF!,#REF!),0)</f>
        <v>0</v>
      </c>
      <c r="BF35" s="258">
        <f>IFERROR(_xlfn.XLOOKUP(BF$7,#REF!,#REF!),0)</f>
        <v>0</v>
      </c>
      <c r="BG35" s="258">
        <f>IFERROR(_xlfn.XLOOKUP(BG$7,#REF!,#REF!),0)</f>
        <v>0</v>
      </c>
      <c r="BH35" s="258">
        <f>IFERROR(_xlfn.XLOOKUP(BH$7,#REF!,#REF!),0)</f>
        <v>0</v>
      </c>
      <c r="BI35" s="258">
        <f>IFERROR(_xlfn.XLOOKUP(BI$7,#REF!,#REF!),0)</f>
        <v>0</v>
      </c>
      <c r="BJ35" s="258">
        <f>IFERROR(_xlfn.XLOOKUP(BJ$7,#REF!,#REF!),0)</f>
        <v>0</v>
      </c>
      <c r="BK35" s="258">
        <f>IFERROR(_xlfn.XLOOKUP(BK$7,#REF!,#REF!),0)</f>
        <v>0</v>
      </c>
      <c r="BL35" s="258">
        <f>IFERROR(_xlfn.XLOOKUP(BL$7,#REF!,#REF!),0)</f>
        <v>0</v>
      </c>
      <c r="BM35" s="258">
        <f>IFERROR(_xlfn.XLOOKUP(BM$7,#REF!,#REF!),0)</f>
        <v>0</v>
      </c>
      <c r="BN35" s="258">
        <f>IFERROR(_xlfn.XLOOKUP(BN$7,#REF!,#REF!),0)</f>
        <v>0</v>
      </c>
      <c r="BO35" s="258">
        <f>IFERROR(_xlfn.XLOOKUP(BO$7,#REF!,#REF!),0)</f>
        <v>0</v>
      </c>
      <c r="BP35" s="258">
        <f>IFERROR(_xlfn.XLOOKUP(BP$7,#REF!,#REF!),0)</f>
        <v>0</v>
      </c>
      <c r="BQ35" s="258">
        <f>IFERROR(_xlfn.XLOOKUP(BQ$7,#REF!,#REF!),0)</f>
        <v>0</v>
      </c>
      <c r="BR35" s="258">
        <f>IFERROR(_xlfn.XLOOKUP(BR$7,#REF!,#REF!),0)</f>
        <v>0</v>
      </c>
      <c r="BS35" s="258">
        <f>IFERROR(_xlfn.XLOOKUP(BS$7,#REF!,#REF!),0)</f>
        <v>0</v>
      </c>
      <c r="BT35" s="258">
        <f>IFERROR(_xlfn.XLOOKUP(BT$7,#REF!,#REF!),0)</f>
        <v>0</v>
      </c>
      <c r="BU35" s="258">
        <f>IFERROR(_xlfn.XLOOKUP(BU$7,#REF!,#REF!),0)</f>
        <v>0</v>
      </c>
      <c r="BV35" s="258">
        <f>IFERROR(_xlfn.XLOOKUP(BV$7,#REF!,#REF!),0)</f>
        <v>0</v>
      </c>
      <c r="BW35" s="258">
        <f>IFERROR(_xlfn.XLOOKUP(BW$7,#REF!,#REF!),0)</f>
        <v>0</v>
      </c>
      <c r="BX35" s="258">
        <f>IFERROR(_xlfn.XLOOKUP(BX$7,#REF!,#REF!),0)</f>
        <v>0</v>
      </c>
      <c r="BY35" s="258">
        <f>IFERROR(_xlfn.XLOOKUP(BY$7,#REF!,#REF!),0)</f>
        <v>0</v>
      </c>
      <c r="BZ35" s="258">
        <f>IFERROR(_xlfn.XLOOKUP(BZ$7,#REF!,#REF!),0)</f>
        <v>0</v>
      </c>
      <c r="CA35" s="258">
        <f>IFERROR(_xlfn.XLOOKUP(CA$7,#REF!,#REF!),0)</f>
        <v>0</v>
      </c>
      <c r="CB35" s="258">
        <f>IFERROR(_xlfn.XLOOKUP(CB$7,#REF!,#REF!),0)</f>
        <v>0</v>
      </c>
      <c r="CC35" s="258">
        <f>IFERROR(_xlfn.XLOOKUP(CC$7,#REF!,#REF!),0)</f>
        <v>0</v>
      </c>
      <c r="CD35" s="258">
        <f>IFERROR(_xlfn.XLOOKUP(CD$7,#REF!,#REF!),0)</f>
        <v>0</v>
      </c>
      <c r="CE35" s="258">
        <f>IFERROR(_xlfn.XLOOKUP(CE$7,#REF!,#REF!),0)</f>
        <v>0</v>
      </c>
      <c r="CF35" s="258">
        <f>IFERROR(_xlfn.XLOOKUP(CF$7,#REF!,#REF!),0)</f>
        <v>0</v>
      </c>
      <c r="CG35" s="258">
        <f>IFERROR(_xlfn.XLOOKUP(CG$7,#REF!,#REF!),0)</f>
        <v>0</v>
      </c>
      <c r="CH35" s="258">
        <f>IFERROR(_xlfn.XLOOKUP(CH$7,#REF!,#REF!),0)</f>
        <v>0</v>
      </c>
      <c r="CI35" s="258">
        <f>IFERROR(_xlfn.XLOOKUP(CI$7,#REF!,#REF!),0)</f>
        <v>0</v>
      </c>
      <c r="CJ35" s="258">
        <f>IFERROR(_xlfn.XLOOKUP(CJ$7,#REF!,#REF!),0)</f>
        <v>0</v>
      </c>
      <c r="CK35" s="258">
        <f>IFERROR(_xlfn.XLOOKUP(CK$7,#REF!,#REF!),0)</f>
        <v>0</v>
      </c>
      <c r="CL35" s="258">
        <f>IFERROR(_xlfn.XLOOKUP(CL$7,#REF!,#REF!),0)</f>
        <v>0</v>
      </c>
      <c r="CM35" s="258">
        <f>IFERROR(_xlfn.XLOOKUP(CM$7,#REF!,#REF!),0)</f>
        <v>0</v>
      </c>
      <c r="CN35" s="258">
        <f>IFERROR(_xlfn.XLOOKUP(CN$7,#REF!,#REF!),0)</f>
        <v>0</v>
      </c>
      <c r="CO35" s="258">
        <f>IFERROR(_xlfn.XLOOKUP(CO$7,#REF!,#REF!),0)</f>
        <v>0</v>
      </c>
      <c r="CP35" s="258">
        <f>IFERROR(_xlfn.XLOOKUP(CP$7,#REF!,#REF!),0)</f>
        <v>0</v>
      </c>
      <c r="CQ35" s="258">
        <f>IFERROR(_xlfn.XLOOKUP(CQ$7,#REF!,#REF!),0)</f>
        <v>0</v>
      </c>
      <c r="CR35" s="258">
        <f>IFERROR(_xlfn.XLOOKUP(CR$7,#REF!,#REF!),0)</f>
        <v>0</v>
      </c>
      <c r="CS35" s="258">
        <f>IFERROR(_xlfn.XLOOKUP(CS$7,#REF!,#REF!),0)</f>
        <v>0</v>
      </c>
      <c r="CT35" s="258">
        <f>IFERROR(_xlfn.XLOOKUP(CT$7,#REF!,#REF!),0)</f>
        <v>0</v>
      </c>
      <c r="CU35" s="258">
        <f>IFERROR(_xlfn.XLOOKUP(CU$7,#REF!,#REF!),0)</f>
        <v>0</v>
      </c>
      <c r="CV35" s="258">
        <f>IFERROR(_xlfn.XLOOKUP(CV$7,#REF!,#REF!),0)</f>
        <v>0</v>
      </c>
      <c r="CW35" s="258">
        <f>IFERROR(_xlfn.XLOOKUP(CW$7,#REF!,#REF!),0)</f>
        <v>0</v>
      </c>
      <c r="CX35" s="258">
        <f>IFERROR(_xlfn.XLOOKUP(CX$7,#REF!,#REF!),0)</f>
        <v>0</v>
      </c>
      <c r="CY35" s="258">
        <f>IFERROR(_xlfn.XLOOKUP(CY$7,#REF!,#REF!),0)</f>
        <v>0</v>
      </c>
      <c r="CZ35" s="258">
        <f>IFERROR(_xlfn.XLOOKUP(CZ$7,#REF!,#REF!),0)</f>
        <v>0</v>
      </c>
      <c r="DA35" s="258">
        <f>IFERROR(_xlfn.XLOOKUP(DA$7,#REF!,#REF!),0)</f>
        <v>0</v>
      </c>
      <c r="DB35" s="258">
        <f>IFERROR(_xlfn.XLOOKUP(DB$7,#REF!,#REF!),0)</f>
        <v>0</v>
      </c>
      <c r="DC35" s="258">
        <f>IFERROR(_xlfn.XLOOKUP(DC$7,#REF!,#REF!),0)</f>
        <v>0</v>
      </c>
      <c r="DD35" s="258">
        <f>IFERROR(_xlfn.XLOOKUP(DD$7,#REF!,#REF!),0)</f>
        <v>0</v>
      </c>
      <c r="DE35" s="258">
        <f>IFERROR(_xlfn.XLOOKUP(DE$7,#REF!,#REF!),0)</f>
        <v>0</v>
      </c>
      <c r="DF35" s="258">
        <f>IFERROR(_xlfn.XLOOKUP(DF$7,#REF!,#REF!),0)</f>
        <v>0</v>
      </c>
      <c r="DG35" s="258">
        <f>IFERROR(_xlfn.XLOOKUP(DG$7,#REF!,#REF!),0)</f>
        <v>0</v>
      </c>
      <c r="DH35" s="258">
        <f>IFERROR(_xlfn.XLOOKUP(DH$7,#REF!,#REF!),0)</f>
        <v>0</v>
      </c>
      <c r="DI35" s="258">
        <f>IFERROR(_xlfn.XLOOKUP(DI$7,#REF!,#REF!),0)</f>
        <v>0</v>
      </c>
      <c r="DJ35" s="258">
        <f>IFERROR(_xlfn.XLOOKUP(DJ$7,#REF!,#REF!),0)</f>
        <v>0</v>
      </c>
      <c r="DK35" s="258">
        <f>IFERROR(_xlfn.XLOOKUP(DK$7,#REF!,#REF!),0)</f>
        <v>0</v>
      </c>
      <c r="DL35" s="258">
        <f>IFERROR(_xlfn.XLOOKUP(DL$7,#REF!,#REF!),0)</f>
        <v>0</v>
      </c>
      <c r="DM35" s="258">
        <f>IFERROR(_xlfn.XLOOKUP(DM$7,#REF!,#REF!),0)</f>
        <v>0</v>
      </c>
      <c r="DN35" s="258">
        <f>IFERROR(_xlfn.XLOOKUP(DN$7,#REF!,#REF!),0)</f>
        <v>0</v>
      </c>
      <c r="DO35" s="258">
        <f>IFERROR(_xlfn.XLOOKUP(DO$7,#REF!,#REF!),0)</f>
        <v>0</v>
      </c>
      <c r="DP35" s="258">
        <f>IFERROR(_xlfn.XLOOKUP(DP$7,#REF!,#REF!),0)</f>
        <v>0</v>
      </c>
      <c r="DQ35" s="258">
        <f>IFERROR(_xlfn.XLOOKUP(DQ$7,#REF!,#REF!),0)</f>
        <v>0</v>
      </c>
      <c r="DR35" s="258">
        <f>IFERROR(_xlfn.XLOOKUP(DR$7,#REF!,#REF!),0)</f>
        <v>0</v>
      </c>
      <c r="DS35" s="258">
        <f>IFERROR(_xlfn.XLOOKUP(DS$7,#REF!,#REF!),0)</f>
        <v>0</v>
      </c>
      <c r="DT35" s="258">
        <f>IFERROR(_xlfn.XLOOKUP(DT$7,#REF!,#REF!),0)</f>
        <v>0</v>
      </c>
      <c r="DU35" s="258">
        <f>IFERROR(_xlfn.XLOOKUP(DU$7,#REF!,#REF!),0)</f>
        <v>0</v>
      </c>
      <c r="DV35" s="258">
        <f>IFERROR(_xlfn.XLOOKUP(DV$7,#REF!,#REF!),0)</f>
        <v>0</v>
      </c>
      <c r="DW35" s="258">
        <f>IFERROR(_xlfn.XLOOKUP(DW$7,#REF!,#REF!),0)</f>
        <v>0</v>
      </c>
      <c r="DX35" s="258">
        <f>IFERROR(_xlfn.XLOOKUP(DX$7,#REF!,#REF!),0)</f>
        <v>0</v>
      </c>
      <c r="DY35" s="258">
        <f>IFERROR(_xlfn.XLOOKUP(DY$7,#REF!,#REF!),0)</f>
        <v>0</v>
      </c>
      <c r="DZ35" s="258">
        <f>IFERROR(_xlfn.XLOOKUP(DZ$7,#REF!,#REF!),0)</f>
        <v>0</v>
      </c>
      <c r="EA35" s="258">
        <f>IFERROR(_xlfn.XLOOKUP(EA$7,#REF!,#REF!),0)</f>
        <v>0</v>
      </c>
      <c r="EB35" s="258">
        <f>IFERROR(_xlfn.XLOOKUP(EB$7,#REF!,#REF!),0)</f>
        <v>0</v>
      </c>
      <c r="EC35" s="258">
        <f>IFERROR(_xlfn.XLOOKUP(EC$7,#REF!,#REF!),0)</f>
        <v>0</v>
      </c>
      <c r="ED35" s="258">
        <f>IFERROR(_xlfn.XLOOKUP(ED$7,#REF!,#REF!),0)</f>
        <v>0</v>
      </c>
      <c r="EE35" s="258">
        <f>IFERROR(_xlfn.XLOOKUP(EE$7,#REF!,#REF!),0)</f>
        <v>0</v>
      </c>
      <c r="EF35" s="258">
        <f>IFERROR(_xlfn.XLOOKUP(EF$7,#REF!,#REF!),0)</f>
        <v>0</v>
      </c>
      <c r="EG35" s="258">
        <f>IFERROR(_xlfn.XLOOKUP(EG$7,#REF!,#REF!),0)</f>
        <v>0</v>
      </c>
      <c r="EH35" s="258">
        <f>IFERROR(_xlfn.XLOOKUP(EH$7,#REF!,#REF!),0)</f>
        <v>0</v>
      </c>
      <c r="EI35" s="258">
        <f>IFERROR(_xlfn.XLOOKUP(EI$7,#REF!,#REF!),0)</f>
        <v>0</v>
      </c>
      <c r="EJ35" s="258">
        <f>IFERROR(_xlfn.XLOOKUP(EJ$7,#REF!,#REF!),0)</f>
        <v>0</v>
      </c>
      <c r="EK35" s="258">
        <f>IFERROR(_xlfn.XLOOKUP(EK$7,#REF!,#REF!),0)</f>
        <v>0</v>
      </c>
      <c r="EL35" s="258">
        <f>IFERROR(_xlfn.XLOOKUP(EL$7,#REF!,#REF!),0)</f>
        <v>0</v>
      </c>
      <c r="EM35" s="258">
        <f>IFERROR(_xlfn.XLOOKUP(EM$7,#REF!,#REF!),0)</f>
        <v>0</v>
      </c>
      <c r="EN35" s="258">
        <f>IFERROR(_xlfn.XLOOKUP(EN$7,#REF!,#REF!),0)</f>
        <v>0</v>
      </c>
      <c r="EO35" s="258">
        <f>IFERROR(_xlfn.XLOOKUP(EO$7,#REF!,#REF!),0)</f>
        <v>0</v>
      </c>
      <c r="EP35" s="258">
        <f>IFERROR(_xlfn.XLOOKUP(EP$7,#REF!,#REF!),0)</f>
        <v>0</v>
      </c>
      <c r="EQ35" s="258">
        <f>IFERROR(_xlfn.XLOOKUP(EQ$7,#REF!,#REF!),0)</f>
        <v>0</v>
      </c>
      <c r="ER35" s="258">
        <f>IFERROR(_xlfn.XLOOKUP(ER$7,#REF!,#REF!),0)</f>
        <v>0</v>
      </c>
      <c r="ES35" s="258">
        <f>IFERROR(_xlfn.XLOOKUP(ES$7,#REF!,#REF!),0)</f>
        <v>0</v>
      </c>
      <c r="ET35" s="258">
        <f>IFERROR(_xlfn.XLOOKUP(ET$7,#REF!,#REF!),0)</f>
        <v>0</v>
      </c>
      <c r="EU35" s="258">
        <f>IFERROR(_xlfn.XLOOKUP(EU$7,#REF!,#REF!),0)</f>
        <v>0</v>
      </c>
      <c r="EV35" s="258">
        <f>IFERROR(_xlfn.XLOOKUP(EV$7,#REF!,#REF!),0)</f>
        <v>0</v>
      </c>
      <c r="EW35" s="258">
        <f>IFERROR(_xlfn.XLOOKUP(EW$7,#REF!,#REF!),0)</f>
        <v>0</v>
      </c>
      <c r="EX35" s="258">
        <f>IFERROR(_xlfn.XLOOKUP(EX$7,#REF!,#REF!),0)</f>
        <v>0</v>
      </c>
      <c r="EY35" s="258">
        <f>IFERROR(_xlfn.XLOOKUP(EY$7,#REF!,#REF!),0)</f>
        <v>0</v>
      </c>
      <c r="EZ35" s="258">
        <f>IFERROR(_xlfn.XLOOKUP(EZ$7,#REF!,#REF!),0)</f>
        <v>0</v>
      </c>
      <c r="FA35" s="258">
        <f>IFERROR(_xlfn.XLOOKUP(FA$7,#REF!,#REF!),0)</f>
        <v>0</v>
      </c>
      <c r="FB35" s="258">
        <f>IFERROR(_xlfn.XLOOKUP(FB$7,#REF!,#REF!),0)</f>
        <v>0</v>
      </c>
      <c r="FC35" s="258">
        <f>IFERROR(_xlfn.XLOOKUP(FC$7,#REF!,#REF!),0)</f>
        <v>0</v>
      </c>
      <c r="FD35" s="258">
        <f>IFERROR(_xlfn.XLOOKUP(FD$7,#REF!,#REF!),0)</f>
        <v>0</v>
      </c>
      <c r="FE35" s="258">
        <f>IFERROR(_xlfn.XLOOKUP(FE$7,#REF!,#REF!),0)</f>
        <v>0</v>
      </c>
      <c r="FF35" s="258">
        <f>IFERROR(_xlfn.XLOOKUP(FF$7,#REF!,#REF!),0)</f>
        <v>0</v>
      </c>
      <c r="FG35" s="258">
        <f>IFERROR(_xlfn.XLOOKUP(FG$7,#REF!,#REF!),0)</f>
        <v>0</v>
      </c>
      <c r="FH35" s="258">
        <f>IFERROR(_xlfn.XLOOKUP(FH$7,#REF!,#REF!),0)</f>
        <v>0</v>
      </c>
      <c r="FI35" s="258">
        <f>IFERROR(_xlfn.XLOOKUP(FI$7,#REF!,#REF!),0)</f>
        <v>0</v>
      </c>
      <c r="FJ35" s="258">
        <f>IFERROR(_xlfn.XLOOKUP(FJ$7,#REF!,#REF!),0)</f>
        <v>0</v>
      </c>
      <c r="FK35" s="258">
        <f>IFERROR(_xlfn.XLOOKUP(FK$7,#REF!,#REF!),0)</f>
        <v>0</v>
      </c>
      <c r="FL35" s="258">
        <f>IFERROR(_xlfn.XLOOKUP(FL$7,#REF!,#REF!),0)</f>
        <v>0</v>
      </c>
      <c r="FM35" s="258">
        <f>IFERROR(_xlfn.XLOOKUP(FM$7,#REF!,#REF!),0)</f>
        <v>0</v>
      </c>
      <c r="FN35" s="258">
        <f>IFERROR(_xlfn.XLOOKUP(FN$7,#REF!,#REF!),0)</f>
        <v>0</v>
      </c>
      <c r="FO35" s="258">
        <f>IFERROR(_xlfn.XLOOKUP(FO$7,#REF!,#REF!),0)</f>
        <v>0</v>
      </c>
      <c r="FP35" s="258">
        <f>IFERROR(_xlfn.XLOOKUP(FP$7,#REF!,#REF!),0)</f>
        <v>0</v>
      </c>
      <c r="FQ35" s="258">
        <f>IFERROR(_xlfn.XLOOKUP(FQ$7,#REF!,#REF!),0)</f>
        <v>0</v>
      </c>
      <c r="FR35" s="258">
        <f>IFERROR(_xlfn.XLOOKUP(FR$7,#REF!,#REF!),0)</f>
        <v>0</v>
      </c>
      <c r="FS35" s="258">
        <f>IFERROR(_xlfn.XLOOKUP(FS$7,#REF!,#REF!),0)</f>
        <v>0</v>
      </c>
      <c r="FT35" s="258">
        <f>IFERROR(_xlfn.XLOOKUP(FT$7,#REF!,#REF!),0)</f>
        <v>0</v>
      </c>
      <c r="FU35" s="258">
        <f>IFERROR(_xlfn.XLOOKUP(FU$7,#REF!,#REF!),0)</f>
        <v>0</v>
      </c>
      <c r="FV35" s="258">
        <f>IFERROR(_xlfn.XLOOKUP(FV$7,#REF!,#REF!),0)</f>
        <v>0</v>
      </c>
      <c r="FW35" s="258">
        <f>IFERROR(_xlfn.XLOOKUP(FW$7,#REF!,#REF!),0)</f>
        <v>0</v>
      </c>
      <c r="FX35" s="258">
        <f>IFERROR(_xlfn.XLOOKUP(FX$7,#REF!,#REF!),0)</f>
        <v>0</v>
      </c>
      <c r="FY35" s="258">
        <f>IFERROR(_xlfn.XLOOKUP(FY$7,#REF!,#REF!),0)</f>
        <v>0</v>
      </c>
      <c r="FZ35" s="258">
        <f>IFERROR(_xlfn.XLOOKUP(FZ$7,#REF!,#REF!),0)</f>
        <v>0</v>
      </c>
      <c r="GA35" s="258">
        <f>IFERROR(_xlfn.XLOOKUP(GA$7,#REF!,#REF!),0)</f>
        <v>0</v>
      </c>
      <c r="GB35" s="258">
        <f>IFERROR(_xlfn.XLOOKUP(GB$7,#REF!,#REF!),0)</f>
        <v>0</v>
      </c>
      <c r="GC35" s="258">
        <f>IFERROR(_xlfn.XLOOKUP(GC$7,#REF!,#REF!),0)</f>
        <v>0</v>
      </c>
      <c r="GD35" s="258">
        <f>IFERROR(_xlfn.XLOOKUP(GD$7,#REF!,#REF!),0)</f>
        <v>0</v>
      </c>
      <c r="GE35" s="258">
        <f>IFERROR(_xlfn.XLOOKUP(GE$7,#REF!,#REF!),0)</f>
        <v>0</v>
      </c>
      <c r="GF35" s="258">
        <f>IFERROR(_xlfn.XLOOKUP(GF$7,#REF!,#REF!),0)</f>
        <v>0</v>
      </c>
      <c r="GG35" s="258">
        <f>IFERROR(_xlfn.XLOOKUP(GG$7,#REF!,#REF!),0)</f>
        <v>0</v>
      </c>
      <c r="GH35" s="258">
        <f>IFERROR(_xlfn.XLOOKUP(GH$7,#REF!,#REF!),0)</f>
        <v>0</v>
      </c>
      <c r="GI35" s="258">
        <f>IFERROR(_xlfn.XLOOKUP(GI$7,#REF!,#REF!),0)</f>
        <v>0</v>
      </c>
      <c r="GJ35" s="258">
        <f>IFERROR(_xlfn.XLOOKUP(GJ$7,#REF!,#REF!),0)</f>
        <v>0</v>
      </c>
      <c r="GK35" s="258">
        <f>IFERROR(_xlfn.XLOOKUP(GK$7,#REF!,#REF!),0)</f>
        <v>0</v>
      </c>
      <c r="GL35" s="258">
        <f>IFERROR(_xlfn.XLOOKUP(GL$7,#REF!,#REF!),0)</f>
        <v>0</v>
      </c>
      <c r="GM35" s="258">
        <f>IFERROR(_xlfn.XLOOKUP(GM$7,#REF!,#REF!),0)</f>
        <v>0</v>
      </c>
      <c r="GN35" s="258">
        <f>IFERROR(_xlfn.XLOOKUP(GN$7,#REF!,#REF!),0)</f>
        <v>0</v>
      </c>
      <c r="GO35" s="258">
        <f>IFERROR(_xlfn.XLOOKUP(GO$7,#REF!,#REF!),0)</f>
        <v>0</v>
      </c>
      <c r="GP35" s="258">
        <f>IFERROR(_xlfn.XLOOKUP(GP$7,#REF!,#REF!),0)</f>
        <v>0</v>
      </c>
      <c r="GQ35" s="258">
        <f>IFERROR(_xlfn.XLOOKUP(GQ$7,#REF!,#REF!),0)</f>
        <v>0</v>
      </c>
      <c r="GR35" s="258">
        <f>IFERROR(_xlfn.XLOOKUP(GR$7,#REF!,#REF!),0)</f>
        <v>0</v>
      </c>
      <c r="GS35" s="258">
        <f>IFERROR(_xlfn.XLOOKUP(GS$7,#REF!,#REF!),0)</f>
        <v>0</v>
      </c>
      <c r="GT35" s="258">
        <f>IFERROR(_xlfn.XLOOKUP(GT$7,#REF!,#REF!),0)</f>
        <v>0</v>
      </c>
      <c r="GU35" s="258">
        <f>IFERROR(_xlfn.XLOOKUP(GU$7,#REF!,#REF!),0)</f>
        <v>0</v>
      </c>
      <c r="GV35" s="258">
        <f>IFERROR(_xlfn.XLOOKUP(GV$7,#REF!,#REF!),0)</f>
        <v>0</v>
      </c>
      <c r="GW35" s="258">
        <f>IFERROR(_xlfn.XLOOKUP(GW$7,#REF!,#REF!),0)</f>
        <v>0</v>
      </c>
      <c r="GX35" s="258">
        <f>IFERROR(_xlfn.XLOOKUP(GX$7,#REF!,#REF!),0)</f>
        <v>0</v>
      </c>
      <c r="GY35" s="258">
        <f>IFERROR(_xlfn.XLOOKUP(GY$7,#REF!,#REF!),0)</f>
        <v>0</v>
      </c>
      <c r="GZ35" s="258">
        <f>IFERROR(_xlfn.XLOOKUP(GZ$7,#REF!,#REF!),0)</f>
        <v>0</v>
      </c>
      <c r="HA35" s="258">
        <f>IFERROR(_xlfn.XLOOKUP(HA$7,#REF!,#REF!),0)</f>
        <v>0</v>
      </c>
      <c r="HB35" s="258">
        <f>IFERROR(_xlfn.XLOOKUP(HB$7,#REF!,#REF!),0)</f>
        <v>0</v>
      </c>
      <c r="HC35" s="258">
        <f>IFERROR(_xlfn.XLOOKUP(HC$7,#REF!,#REF!),0)</f>
        <v>0</v>
      </c>
      <c r="HD35" s="258">
        <f>IFERROR(_xlfn.XLOOKUP(HD$7,#REF!,#REF!),0)</f>
        <v>0</v>
      </c>
      <c r="HE35" s="258">
        <f>IFERROR(_xlfn.XLOOKUP(HE$7,#REF!,#REF!),0)</f>
        <v>0</v>
      </c>
      <c r="HF35" s="258">
        <f>IFERROR(_xlfn.XLOOKUP(HF$7,#REF!,#REF!),0)</f>
        <v>0</v>
      </c>
      <c r="HG35" s="258">
        <f>IFERROR(_xlfn.XLOOKUP(HG$7,#REF!,#REF!),0)</f>
        <v>0</v>
      </c>
      <c r="HH35" s="258">
        <f>IFERROR(_xlfn.XLOOKUP(HH$7,#REF!,#REF!),0)</f>
        <v>0</v>
      </c>
      <c r="HI35" s="258">
        <f>IFERROR(_xlfn.XLOOKUP(HI$7,#REF!,#REF!),0)</f>
        <v>0</v>
      </c>
      <c r="HJ35" s="258">
        <f>IFERROR(_xlfn.XLOOKUP(HJ$7,#REF!,#REF!),0)</f>
        <v>0</v>
      </c>
      <c r="HK35" s="258">
        <f>IFERROR(_xlfn.XLOOKUP(HK$7,#REF!,#REF!),0)</f>
        <v>0</v>
      </c>
      <c r="HL35" s="258">
        <f>IFERROR(_xlfn.XLOOKUP(HL$7,#REF!,#REF!),0)</f>
        <v>0</v>
      </c>
      <c r="HM35" s="258">
        <f>IFERROR(_xlfn.XLOOKUP(HM$7,#REF!,#REF!),0)</f>
        <v>0</v>
      </c>
      <c r="HN35" s="258">
        <f>IFERROR(_xlfn.XLOOKUP(HN$7,#REF!,#REF!),0)</f>
        <v>0</v>
      </c>
      <c r="HO35" s="258">
        <f>IFERROR(_xlfn.XLOOKUP(HO$7,#REF!,#REF!),0)</f>
        <v>0</v>
      </c>
      <c r="HP35" s="258">
        <f>IFERROR(_xlfn.XLOOKUP(HP$7,#REF!,#REF!),0)</f>
        <v>0</v>
      </c>
      <c r="HQ35" s="258">
        <f>IFERROR(_xlfn.XLOOKUP(HQ$7,#REF!,#REF!),0)</f>
        <v>0</v>
      </c>
      <c r="HR35" s="258">
        <f>IFERROR(_xlfn.XLOOKUP(HR$7,#REF!,#REF!),0)</f>
        <v>0</v>
      </c>
      <c r="HS35" s="258">
        <f>IFERROR(_xlfn.XLOOKUP(HS$7,#REF!,#REF!),0)</f>
        <v>0</v>
      </c>
      <c r="HT35" s="258">
        <f>IFERROR(_xlfn.XLOOKUP(HT$7,#REF!,#REF!),0)</f>
        <v>0</v>
      </c>
      <c r="HU35" s="258">
        <f>IFERROR(_xlfn.XLOOKUP(HU$7,#REF!,#REF!),0)</f>
        <v>0</v>
      </c>
      <c r="HV35" s="258">
        <f>IFERROR(_xlfn.XLOOKUP(HV$7,#REF!,#REF!),0)</f>
        <v>0</v>
      </c>
      <c r="HW35" s="258">
        <f>IFERROR(_xlfn.XLOOKUP(HW$7,#REF!,#REF!),0)</f>
        <v>0</v>
      </c>
      <c r="HX35" s="258">
        <f>IFERROR(_xlfn.XLOOKUP(HX$7,#REF!,#REF!),0)</f>
        <v>0</v>
      </c>
      <c r="HY35" s="258">
        <f>IFERROR(_xlfn.XLOOKUP(HY$7,#REF!,#REF!),0)</f>
        <v>0</v>
      </c>
      <c r="HZ35" s="258">
        <f>IFERROR(_xlfn.XLOOKUP(HZ$7,#REF!,#REF!),0)</f>
        <v>0</v>
      </c>
      <c r="IA35" s="258">
        <f>IFERROR(_xlfn.XLOOKUP(IA$7,#REF!,#REF!),0)</f>
        <v>0</v>
      </c>
      <c r="IB35" s="258">
        <f>IFERROR(_xlfn.XLOOKUP(IB$7,#REF!,#REF!),0)</f>
        <v>0</v>
      </c>
      <c r="IC35" s="258">
        <f>IFERROR(_xlfn.XLOOKUP(IC$7,#REF!,#REF!),0)</f>
        <v>0</v>
      </c>
      <c r="ID35" s="258">
        <f>IFERROR(_xlfn.XLOOKUP(ID$7,#REF!,#REF!),0)</f>
        <v>0</v>
      </c>
      <c r="IE35" s="258">
        <f>IFERROR(_xlfn.XLOOKUP(IE$7,#REF!,#REF!),0)</f>
        <v>0</v>
      </c>
      <c r="IF35" s="258">
        <f>IFERROR(_xlfn.XLOOKUP(IF$7,#REF!,#REF!),0)</f>
        <v>0</v>
      </c>
      <c r="IG35" s="258">
        <f>IFERROR(_xlfn.XLOOKUP(IG$7,#REF!,#REF!),0)</f>
        <v>0</v>
      </c>
      <c r="IH35" s="258">
        <f>IFERROR(_xlfn.XLOOKUP(IH$7,#REF!,#REF!),0)</f>
        <v>0</v>
      </c>
      <c r="II35" s="258">
        <f>IFERROR(_xlfn.XLOOKUP(II$7,#REF!,#REF!),0)</f>
        <v>0</v>
      </c>
      <c r="IJ35" s="258">
        <f>IFERROR(_xlfn.XLOOKUP(IJ$7,#REF!,#REF!),0)</f>
        <v>0</v>
      </c>
      <c r="IK35" s="258">
        <f>IFERROR(_xlfn.XLOOKUP(IK$7,#REF!,#REF!),0)</f>
        <v>0</v>
      </c>
      <c r="IL35" s="258">
        <f>IFERROR(_xlfn.XLOOKUP(IL$7,#REF!,#REF!),0)</f>
        <v>0</v>
      </c>
      <c r="IM35" s="258">
        <f>IFERROR(_xlfn.XLOOKUP(IM$7,#REF!,#REF!),0)</f>
        <v>0</v>
      </c>
      <c r="IN35" s="258">
        <f>IFERROR(_xlfn.XLOOKUP(IN$7,#REF!,#REF!),0)</f>
        <v>0</v>
      </c>
      <c r="IO35" s="258">
        <f>IFERROR(_xlfn.XLOOKUP(IO$7,#REF!,#REF!),0)</f>
        <v>0</v>
      </c>
      <c r="IP35" s="258">
        <f>IFERROR(_xlfn.XLOOKUP(IP$7,#REF!,#REF!),0)</f>
        <v>0</v>
      </c>
      <c r="IQ35" s="258">
        <f>IFERROR(_xlfn.XLOOKUP(IQ$7,#REF!,#REF!),0)</f>
        <v>0</v>
      </c>
      <c r="IR35" s="258">
        <f>IFERROR(_xlfn.XLOOKUP(IR$7,#REF!,#REF!),0)</f>
        <v>0</v>
      </c>
      <c r="IS35" s="258">
        <f>IFERROR(_xlfn.XLOOKUP(IS$7,#REF!,#REF!),0)</f>
        <v>0</v>
      </c>
      <c r="IT35" s="258">
        <f>IFERROR(_xlfn.XLOOKUP(IT$7,#REF!,#REF!),0)</f>
        <v>0</v>
      </c>
      <c r="IU35" s="258">
        <f>IFERROR(_xlfn.XLOOKUP(IU$7,#REF!,#REF!),0)</f>
        <v>0</v>
      </c>
      <c r="IV35" s="258">
        <f>IFERROR(_xlfn.XLOOKUP(IV$7,#REF!,#REF!),0)</f>
        <v>0</v>
      </c>
      <c r="IW35" s="258">
        <f>IFERROR(_xlfn.XLOOKUP(IW$7,#REF!,#REF!),0)</f>
        <v>0</v>
      </c>
      <c r="IX35" s="258">
        <f>IFERROR(_xlfn.XLOOKUP(IX$7,#REF!,#REF!),0)</f>
        <v>0</v>
      </c>
      <c r="IY35" s="258">
        <f>IFERROR(_xlfn.XLOOKUP(IY$7,#REF!,#REF!),0)</f>
        <v>0</v>
      </c>
      <c r="IZ35" s="258">
        <f>IFERROR(_xlfn.XLOOKUP(IZ$7,#REF!,#REF!),0)</f>
        <v>0</v>
      </c>
      <c r="JA35" s="258">
        <f>IFERROR(_xlfn.XLOOKUP(JA$7,#REF!,#REF!),0)</f>
        <v>0</v>
      </c>
      <c r="JB35" s="258">
        <f>IFERROR(_xlfn.XLOOKUP(JB$7,#REF!,#REF!),0)</f>
        <v>0</v>
      </c>
      <c r="JC35" s="258">
        <f>IFERROR(_xlfn.XLOOKUP(JC$7,#REF!,#REF!),0)</f>
        <v>0</v>
      </c>
      <c r="JD35" s="258">
        <f>IFERROR(_xlfn.XLOOKUP(JD$7,#REF!,#REF!),0)</f>
        <v>0</v>
      </c>
      <c r="JE35" s="258">
        <f>IFERROR(_xlfn.XLOOKUP(JE$7,#REF!,#REF!),0)</f>
        <v>0</v>
      </c>
      <c r="JF35" s="258">
        <f>IFERROR(_xlfn.XLOOKUP(JF$7,#REF!,#REF!),0)</f>
        <v>0</v>
      </c>
      <c r="JG35" s="258">
        <f>IFERROR(_xlfn.XLOOKUP(JG$7,#REF!,#REF!),0)</f>
        <v>0</v>
      </c>
      <c r="JH35" s="258">
        <f>IFERROR(_xlfn.XLOOKUP(JH$7,#REF!,#REF!),0)</f>
        <v>0</v>
      </c>
      <c r="JI35" s="258">
        <f>IFERROR(_xlfn.XLOOKUP(JI$7,#REF!,#REF!),0)</f>
        <v>0</v>
      </c>
      <c r="JJ35" s="258">
        <f>IFERROR(_xlfn.XLOOKUP(JJ$7,#REF!,#REF!),0)</f>
        <v>0</v>
      </c>
      <c r="JK35" s="258">
        <f>IFERROR(_xlfn.XLOOKUP(JK$7,#REF!,#REF!),0)</f>
        <v>0</v>
      </c>
      <c r="JL35" s="258">
        <f>IFERROR(_xlfn.XLOOKUP(JL$7,#REF!,#REF!),0)</f>
        <v>0</v>
      </c>
      <c r="JM35" s="258">
        <f>IFERROR(_xlfn.XLOOKUP(JM$7,#REF!,#REF!),0)</f>
        <v>0</v>
      </c>
      <c r="JN35" s="258">
        <f>IFERROR(_xlfn.XLOOKUP(JN$7,#REF!,#REF!),0)</f>
        <v>0</v>
      </c>
      <c r="JO35" s="258">
        <f>IFERROR(_xlfn.XLOOKUP(JO$7,#REF!,#REF!),0)</f>
        <v>0</v>
      </c>
      <c r="JP35" s="258">
        <f>IFERROR(_xlfn.XLOOKUP(JP$7,#REF!,#REF!),0)</f>
        <v>0</v>
      </c>
      <c r="JQ35" s="258">
        <f>IFERROR(_xlfn.XLOOKUP(JQ$7,#REF!,#REF!),0)</f>
        <v>0</v>
      </c>
      <c r="JR35" s="258">
        <f>IFERROR(_xlfn.XLOOKUP(JR$7,#REF!,#REF!),0)</f>
        <v>0</v>
      </c>
      <c r="JS35" s="258">
        <f>IFERROR(_xlfn.XLOOKUP(JS$7,#REF!,#REF!),0)</f>
        <v>0</v>
      </c>
      <c r="JT35" s="258">
        <f>IFERROR(_xlfn.XLOOKUP(JT$7,#REF!,#REF!),0)</f>
        <v>0</v>
      </c>
      <c r="JU35" s="258">
        <f>IFERROR(_xlfn.XLOOKUP(JU$7,#REF!,#REF!),0)</f>
        <v>0</v>
      </c>
      <c r="JV35" s="258">
        <f>IFERROR(_xlfn.XLOOKUP(JV$7,#REF!,#REF!),0)</f>
        <v>0</v>
      </c>
      <c r="JW35" s="258">
        <f>IFERROR(_xlfn.XLOOKUP(JW$7,#REF!,#REF!),0)</f>
        <v>0</v>
      </c>
      <c r="JX35" s="258">
        <f>IFERROR(_xlfn.XLOOKUP(JX$7,#REF!,#REF!),0)</f>
        <v>0</v>
      </c>
      <c r="JY35" s="258">
        <f>IFERROR(_xlfn.XLOOKUP(JY$7,#REF!,#REF!),0)</f>
        <v>0</v>
      </c>
      <c r="JZ35" s="258">
        <f>IFERROR(_xlfn.XLOOKUP(JZ$7,#REF!,#REF!),0)</f>
        <v>0</v>
      </c>
      <c r="KA35" s="258">
        <f>IFERROR(_xlfn.XLOOKUP(KA$7,#REF!,#REF!),0)</f>
        <v>0</v>
      </c>
      <c r="KB35" s="258">
        <f>IFERROR(_xlfn.XLOOKUP(KB$7,#REF!,#REF!),0)</f>
        <v>0</v>
      </c>
      <c r="KC35" s="258">
        <f t="shared" si="443"/>
        <v>0</v>
      </c>
    </row>
    <row r="36" spans="1:289" x14ac:dyDescent="0.3">
      <c r="B36" s="259"/>
      <c r="C36" s="259">
        <f>SUM(C30:C35)</f>
        <v>0</v>
      </c>
      <c r="D36" s="259">
        <f t="shared" ref="D36:BO36" ca="1" si="444">SUM(D30:D35)</f>
        <v>-2.1781975566328708</v>
      </c>
      <c r="E36" s="259">
        <f t="shared" ca="1" si="444"/>
        <v>-8.7900477787272349E-2</v>
      </c>
      <c r="F36" s="259">
        <f t="shared" ca="1" si="444"/>
        <v>-0.14541533292939285</v>
      </c>
      <c r="G36" s="259">
        <f t="shared" ca="1" si="444"/>
        <v>-0.19322309981422595</v>
      </c>
      <c r="H36" s="259">
        <f t="shared" ca="1" si="444"/>
        <v>-0.24141285684631186</v>
      </c>
      <c r="I36" s="259">
        <f t="shared" ca="1" si="444"/>
        <v>-0.2899876561755857</v>
      </c>
      <c r="J36" s="259">
        <f t="shared" ca="1" si="444"/>
        <v>-0.33895057433904929</v>
      </c>
      <c r="K36" s="259">
        <f t="shared" ca="1" si="444"/>
        <v>-0.38840180385352863</v>
      </c>
      <c r="L36" s="259">
        <f t="shared" ca="1" si="444"/>
        <v>-0.42985971845268311</v>
      </c>
      <c r="M36" s="259">
        <f t="shared" ca="1" si="444"/>
        <v>-0.4686297499605046</v>
      </c>
      <c r="N36" s="259">
        <f t="shared" ca="1" si="444"/>
        <v>-0.50474864645355499</v>
      </c>
      <c r="O36" s="259">
        <f t="shared" ca="1" si="444"/>
        <v>-0.53267862228454066</v>
      </c>
      <c r="P36" s="259">
        <f t="shared" ca="1" si="444"/>
        <v>-0.57657350402983087</v>
      </c>
      <c r="Q36" s="259">
        <f t="shared" ca="1" si="444"/>
        <v>-0.63439257644191127</v>
      </c>
      <c r="R36" s="259">
        <f t="shared" ca="1" si="444"/>
        <v>-0.68856682525937785</v>
      </c>
      <c r="S36" s="259">
        <f t="shared" ca="1" si="444"/>
        <v>-0.74119101003494559</v>
      </c>
      <c r="T36" s="259">
        <f t="shared" ca="1" si="444"/>
        <v>-0.79404604046796468</v>
      </c>
      <c r="U36" s="259">
        <f t="shared" ca="1" si="444"/>
        <v>-0.84713292920533478</v>
      </c>
      <c r="V36" s="259">
        <f t="shared" ca="1" si="444"/>
        <v>-0.90274744944636154</v>
      </c>
      <c r="W36" s="259">
        <f t="shared" ca="1" si="444"/>
        <v>-0.95870918089100199</v>
      </c>
      <c r="X36" s="259">
        <f t="shared" ca="1" si="444"/>
        <v>-1.0127248905347652</v>
      </c>
      <c r="Y36" s="259">
        <f t="shared" ca="1" si="444"/>
        <v>-1.0789412582083209</v>
      </c>
      <c r="Z36" s="259">
        <f t="shared" ca="1" si="444"/>
        <v>-1.1565319394253937</v>
      </c>
      <c r="AA36" s="259">
        <f t="shared" ca="1" si="444"/>
        <v>-1.2328379152859927</v>
      </c>
      <c r="AB36" s="259">
        <f t="shared" ca="1" si="444"/>
        <v>-1.2838283372906596</v>
      </c>
      <c r="AC36" s="259">
        <f t="shared" ca="1" si="444"/>
        <v>-1.3101373603339432</v>
      </c>
      <c r="AD36" s="259">
        <f t="shared" ca="1" si="444"/>
        <v>-1.3365617927417091</v>
      </c>
      <c r="AE36" s="259">
        <f t="shared" ca="1" si="444"/>
        <v>-1.363102140778343</v>
      </c>
      <c r="AF36" s="259">
        <f t="shared" ca="1" si="444"/>
        <v>-1.3898019517880982</v>
      </c>
      <c r="AG36" s="259">
        <f t="shared" ca="1" si="444"/>
        <v>-1.4166619252846111</v>
      </c>
      <c r="AH36" s="259">
        <f t="shared" ca="1" si="444"/>
        <v>-1.4737504490720477</v>
      </c>
      <c r="AI36" s="259">
        <f t="shared" ca="1" si="444"/>
        <v>-1.5548677186606019</v>
      </c>
      <c r="AJ36" s="259">
        <f t="shared" ca="1" si="444"/>
        <v>-1.6284097156484556</v>
      </c>
      <c r="AK36" s="259">
        <f t="shared" ca="1" si="444"/>
        <v>-1.6902939413779994</v>
      </c>
      <c r="AL36" s="259">
        <f t="shared" ca="1" si="444"/>
        <v>-1.7420679577233116</v>
      </c>
      <c r="AM36" s="259">
        <f t="shared" ca="1" si="444"/>
        <v>-1.7940690903060172</v>
      </c>
      <c r="AN36" s="259">
        <f t="shared" ca="1" si="444"/>
        <v>-1.8462983354132294</v>
      </c>
      <c r="AO36" s="259">
        <f t="shared" ca="1" si="444"/>
        <v>-1.8988490255395758</v>
      </c>
      <c r="AP36" s="259">
        <f t="shared" ca="1" si="444"/>
        <v>-1.9517225707627057</v>
      </c>
      <c r="AQ36" s="259">
        <f t="shared" ca="1" si="444"/>
        <v>-2.01082977470293</v>
      </c>
      <c r="AR36" s="259">
        <f t="shared" ca="1" si="444"/>
        <v>-2.073969756751453</v>
      </c>
      <c r="AS36" s="259">
        <f t="shared" ca="1" si="444"/>
        <v>-2.1351227355871645</v>
      </c>
      <c r="AT36" s="259">
        <f t="shared" ca="1" si="444"/>
        <v>-2.1742362730464637</v>
      </c>
      <c r="AU36" s="259">
        <f t="shared" ca="1" si="444"/>
        <v>-2.191249441718675</v>
      </c>
      <c r="AV36" s="259">
        <f t="shared" ca="1" si="444"/>
        <v>-2.2083372417818374</v>
      </c>
      <c r="AW36" s="259">
        <f t="shared" ca="1" si="444"/>
        <v>-2.2255000006202623</v>
      </c>
      <c r="AX36" s="259">
        <f t="shared" ca="1" si="444"/>
        <v>-2.2427380470543938</v>
      </c>
      <c r="AY36" s="259">
        <f t="shared" ca="1" si="444"/>
        <v>-2.260051711347105</v>
      </c>
      <c r="AZ36" s="259">
        <f t="shared" ca="1" si="444"/>
        <v>-2.2814162107979383</v>
      </c>
      <c r="BA36" s="259">
        <f t="shared" ca="1" si="444"/>
        <v>-2.3028936669202511</v>
      </c>
      <c r="BB36" s="259">
        <f t="shared" ca="1" si="444"/>
        <v>-2.3205096896313329</v>
      </c>
      <c r="BC36" s="259">
        <f t="shared" ca="1" si="444"/>
        <v>-2.3382029882633955</v>
      </c>
      <c r="BD36" s="259">
        <f t="shared" ca="1" si="444"/>
        <v>-2.3559739018014687</v>
      </c>
      <c r="BE36" s="259">
        <f t="shared" ca="1" si="444"/>
        <v>-9.5387018662613983</v>
      </c>
      <c r="BF36" s="259">
        <f t="shared" ca="1" si="444"/>
        <v>-9.5500142444342426</v>
      </c>
      <c r="BG36" s="259">
        <f t="shared" ca="1" si="444"/>
        <v>-9.5500142444342426</v>
      </c>
      <c r="BH36" s="259">
        <f t="shared" ca="1" si="444"/>
        <v>-9.5500142444342426</v>
      </c>
      <c r="BI36" s="259">
        <f t="shared" ca="1" si="444"/>
        <v>-7.1625106833256815</v>
      </c>
      <c r="BJ36" s="259">
        <f t="shared" ca="1" si="444"/>
        <v>-4.7750071222171213</v>
      </c>
      <c r="BK36" s="259">
        <f t="shared" ca="1" si="444"/>
        <v>-2.3875035611085607</v>
      </c>
      <c r="BL36" s="259">
        <f t="shared" ca="1" si="444"/>
        <v>0</v>
      </c>
      <c r="BM36" s="259">
        <f t="shared" ca="1" si="444"/>
        <v>0</v>
      </c>
      <c r="BN36" s="259">
        <f t="shared" ca="1" si="444"/>
        <v>0</v>
      </c>
      <c r="BO36" s="259">
        <f t="shared" ca="1" si="444"/>
        <v>0</v>
      </c>
      <c r="BP36" s="259">
        <f t="shared" ref="BP36:EA36" ca="1" si="445">SUM(BP30:BP35)</f>
        <v>0</v>
      </c>
      <c r="BQ36" s="259">
        <f t="shared" ca="1" si="445"/>
        <v>0</v>
      </c>
      <c r="BR36" s="259">
        <f t="shared" ca="1" si="445"/>
        <v>0</v>
      </c>
      <c r="BS36" s="259">
        <f t="shared" ca="1" si="445"/>
        <v>0</v>
      </c>
      <c r="BT36" s="259">
        <f t="shared" ca="1" si="445"/>
        <v>0</v>
      </c>
      <c r="BU36" s="259">
        <f t="shared" ca="1" si="445"/>
        <v>0</v>
      </c>
      <c r="BV36" s="259">
        <f t="shared" ca="1" si="445"/>
        <v>0</v>
      </c>
      <c r="BW36" s="259">
        <f t="shared" ca="1" si="445"/>
        <v>0</v>
      </c>
      <c r="BX36" s="259">
        <f t="shared" ca="1" si="445"/>
        <v>0</v>
      </c>
      <c r="BY36" s="259">
        <f t="shared" ca="1" si="445"/>
        <v>0</v>
      </c>
      <c r="BZ36" s="259">
        <f t="shared" ca="1" si="445"/>
        <v>0</v>
      </c>
      <c r="CA36" s="259">
        <f t="shared" ca="1" si="445"/>
        <v>0</v>
      </c>
      <c r="CB36" s="259">
        <f t="shared" ca="1" si="445"/>
        <v>0</v>
      </c>
      <c r="CC36" s="259">
        <f t="shared" ca="1" si="445"/>
        <v>0</v>
      </c>
      <c r="CD36" s="259">
        <f t="shared" ca="1" si="445"/>
        <v>0</v>
      </c>
      <c r="CE36" s="259">
        <f t="shared" ca="1" si="445"/>
        <v>0</v>
      </c>
      <c r="CF36" s="259">
        <f t="shared" ca="1" si="445"/>
        <v>0</v>
      </c>
      <c r="CG36" s="259">
        <f t="shared" ca="1" si="445"/>
        <v>0</v>
      </c>
      <c r="CH36" s="259">
        <f t="shared" ca="1" si="445"/>
        <v>0</v>
      </c>
      <c r="CI36" s="259">
        <f t="shared" ca="1" si="445"/>
        <v>0</v>
      </c>
      <c r="CJ36" s="259">
        <f t="shared" ca="1" si="445"/>
        <v>0</v>
      </c>
      <c r="CK36" s="259">
        <f t="shared" ca="1" si="445"/>
        <v>0</v>
      </c>
      <c r="CL36" s="259">
        <f t="shared" ca="1" si="445"/>
        <v>0</v>
      </c>
      <c r="CM36" s="259">
        <f t="shared" ca="1" si="445"/>
        <v>0</v>
      </c>
      <c r="CN36" s="259">
        <f t="shared" ca="1" si="445"/>
        <v>0</v>
      </c>
      <c r="CO36" s="259">
        <f t="shared" ca="1" si="445"/>
        <v>0</v>
      </c>
      <c r="CP36" s="259">
        <f t="shared" ca="1" si="445"/>
        <v>0</v>
      </c>
      <c r="CQ36" s="259">
        <f t="shared" ca="1" si="445"/>
        <v>0</v>
      </c>
      <c r="CR36" s="259">
        <f t="shared" ca="1" si="445"/>
        <v>0</v>
      </c>
      <c r="CS36" s="259">
        <f t="shared" ca="1" si="445"/>
        <v>0</v>
      </c>
      <c r="CT36" s="259">
        <f t="shared" ca="1" si="445"/>
        <v>0</v>
      </c>
      <c r="CU36" s="259">
        <f t="shared" ca="1" si="445"/>
        <v>0</v>
      </c>
      <c r="CV36" s="259">
        <f t="shared" ca="1" si="445"/>
        <v>0</v>
      </c>
      <c r="CW36" s="259">
        <f t="shared" ca="1" si="445"/>
        <v>0</v>
      </c>
      <c r="CX36" s="259">
        <f t="shared" ca="1" si="445"/>
        <v>0</v>
      </c>
      <c r="CY36" s="259">
        <f t="shared" ca="1" si="445"/>
        <v>0</v>
      </c>
      <c r="CZ36" s="259">
        <f t="shared" ca="1" si="445"/>
        <v>0</v>
      </c>
      <c r="DA36" s="259">
        <f t="shared" ca="1" si="445"/>
        <v>0</v>
      </c>
      <c r="DB36" s="259">
        <f t="shared" ca="1" si="445"/>
        <v>0</v>
      </c>
      <c r="DC36" s="259">
        <f t="shared" ca="1" si="445"/>
        <v>0</v>
      </c>
      <c r="DD36" s="259">
        <f t="shared" ca="1" si="445"/>
        <v>0</v>
      </c>
      <c r="DE36" s="259">
        <f t="shared" ca="1" si="445"/>
        <v>0</v>
      </c>
      <c r="DF36" s="259">
        <f t="shared" ca="1" si="445"/>
        <v>0</v>
      </c>
      <c r="DG36" s="259">
        <f t="shared" ca="1" si="445"/>
        <v>0</v>
      </c>
      <c r="DH36" s="259">
        <f t="shared" ca="1" si="445"/>
        <v>0</v>
      </c>
      <c r="DI36" s="259">
        <f t="shared" ca="1" si="445"/>
        <v>0</v>
      </c>
      <c r="DJ36" s="259">
        <f t="shared" ca="1" si="445"/>
        <v>0</v>
      </c>
      <c r="DK36" s="259">
        <f t="shared" ca="1" si="445"/>
        <v>0</v>
      </c>
      <c r="DL36" s="259">
        <f t="shared" ca="1" si="445"/>
        <v>0</v>
      </c>
      <c r="DM36" s="259">
        <f t="shared" ca="1" si="445"/>
        <v>0</v>
      </c>
      <c r="DN36" s="259">
        <f t="shared" ca="1" si="445"/>
        <v>0</v>
      </c>
      <c r="DO36" s="259">
        <f t="shared" ca="1" si="445"/>
        <v>0</v>
      </c>
      <c r="DP36" s="259">
        <f t="shared" ca="1" si="445"/>
        <v>0</v>
      </c>
      <c r="DQ36" s="259">
        <f t="shared" ca="1" si="445"/>
        <v>0</v>
      </c>
      <c r="DR36" s="259">
        <f t="shared" ca="1" si="445"/>
        <v>0</v>
      </c>
      <c r="DS36" s="259">
        <f t="shared" ca="1" si="445"/>
        <v>0</v>
      </c>
      <c r="DT36" s="259">
        <f t="shared" ca="1" si="445"/>
        <v>0</v>
      </c>
      <c r="DU36" s="259">
        <f t="shared" ca="1" si="445"/>
        <v>0</v>
      </c>
      <c r="DV36" s="259">
        <f t="shared" ca="1" si="445"/>
        <v>0</v>
      </c>
      <c r="DW36" s="259">
        <f t="shared" ca="1" si="445"/>
        <v>0</v>
      </c>
      <c r="DX36" s="259">
        <f t="shared" ca="1" si="445"/>
        <v>0</v>
      </c>
      <c r="DY36" s="259">
        <f t="shared" ca="1" si="445"/>
        <v>0</v>
      </c>
      <c r="DZ36" s="259">
        <f t="shared" ca="1" si="445"/>
        <v>0</v>
      </c>
      <c r="EA36" s="259">
        <f t="shared" ca="1" si="445"/>
        <v>0</v>
      </c>
      <c r="EB36" s="259">
        <f t="shared" ref="EB36:KC36" ca="1" si="446">SUM(EB30:EB35)</f>
        <v>0</v>
      </c>
      <c r="EC36" s="259">
        <f t="shared" si="446"/>
        <v>0</v>
      </c>
      <c r="ED36" s="259">
        <f t="shared" si="446"/>
        <v>0</v>
      </c>
      <c r="EE36" s="259">
        <f t="shared" si="446"/>
        <v>0</v>
      </c>
      <c r="EF36" s="259">
        <f t="shared" si="446"/>
        <v>0</v>
      </c>
      <c r="EG36" s="259">
        <f t="shared" si="446"/>
        <v>0</v>
      </c>
      <c r="EH36" s="259">
        <f t="shared" si="446"/>
        <v>0</v>
      </c>
      <c r="EI36" s="259">
        <f t="shared" si="446"/>
        <v>0</v>
      </c>
      <c r="EJ36" s="259">
        <f t="shared" si="446"/>
        <v>0</v>
      </c>
      <c r="EK36" s="259">
        <f t="shared" si="446"/>
        <v>0</v>
      </c>
      <c r="EL36" s="259">
        <f t="shared" si="446"/>
        <v>0</v>
      </c>
      <c r="EM36" s="259">
        <f t="shared" si="446"/>
        <v>0</v>
      </c>
      <c r="EN36" s="259">
        <f t="shared" si="446"/>
        <v>0</v>
      </c>
      <c r="EO36" s="259">
        <f t="shared" si="446"/>
        <v>0</v>
      </c>
      <c r="EP36" s="259">
        <f t="shared" si="446"/>
        <v>0</v>
      </c>
      <c r="EQ36" s="259">
        <f t="shared" si="446"/>
        <v>0</v>
      </c>
      <c r="ER36" s="259">
        <f t="shared" si="446"/>
        <v>0</v>
      </c>
      <c r="ES36" s="259">
        <f t="shared" si="446"/>
        <v>0</v>
      </c>
      <c r="ET36" s="259">
        <f t="shared" si="446"/>
        <v>0</v>
      </c>
      <c r="EU36" s="259">
        <f t="shared" si="446"/>
        <v>0</v>
      </c>
      <c r="EV36" s="259">
        <f t="shared" si="446"/>
        <v>0</v>
      </c>
      <c r="EW36" s="259">
        <f t="shared" si="446"/>
        <v>0</v>
      </c>
      <c r="EX36" s="259">
        <f t="shared" si="446"/>
        <v>0</v>
      </c>
      <c r="EY36" s="259">
        <f t="shared" si="446"/>
        <v>0</v>
      </c>
      <c r="EZ36" s="259">
        <f t="shared" si="446"/>
        <v>0</v>
      </c>
      <c r="FA36" s="259">
        <f t="shared" si="446"/>
        <v>0</v>
      </c>
      <c r="FB36" s="259">
        <f t="shared" si="446"/>
        <v>0</v>
      </c>
      <c r="FC36" s="259">
        <f t="shared" si="446"/>
        <v>0</v>
      </c>
      <c r="FD36" s="259">
        <f t="shared" si="446"/>
        <v>0</v>
      </c>
      <c r="FE36" s="259">
        <f t="shared" si="446"/>
        <v>0</v>
      </c>
      <c r="FF36" s="259">
        <f t="shared" si="446"/>
        <v>0</v>
      </c>
      <c r="FG36" s="259">
        <f t="shared" si="446"/>
        <v>0</v>
      </c>
      <c r="FH36" s="259">
        <f t="shared" si="446"/>
        <v>0</v>
      </c>
      <c r="FI36" s="259">
        <f t="shared" si="446"/>
        <v>0</v>
      </c>
      <c r="FJ36" s="259">
        <f t="shared" si="446"/>
        <v>0</v>
      </c>
      <c r="FK36" s="259">
        <f t="shared" si="446"/>
        <v>0</v>
      </c>
      <c r="FL36" s="259">
        <f t="shared" si="446"/>
        <v>0</v>
      </c>
      <c r="FM36" s="259">
        <f t="shared" si="446"/>
        <v>0</v>
      </c>
      <c r="FN36" s="259">
        <f t="shared" si="446"/>
        <v>0</v>
      </c>
      <c r="FO36" s="259">
        <f t="shared" si="446"/>
        <v>0</v>
      </c>
      <c r="FP36" s="259">
        <f t="shared" si="446"/>
        <v>0</v>
      </c>
      <c r="FQ36" s="259">
        <f t="shared" si="446"/>
        <v>0</v>
      </c>
      <c r="FR36" s="259">
        <f t="shared" si="446"/>
        <v>0</v>
      </c>
      <c r="FS36" s="259">
        <f t="shared" si="446"/>
        <v>0</v>
      </c>
      <c r="FT36" s="259">
        <f t="shared" si="446"/>
        <v>0</v>
      </c>
      <c r="FU36" s="259">
        <f t="shared" si="446"/>
        <v>0</v>
      </c>
      <c r="FV36" s="259">
        <f t="shared" si="446"/>
        <v>0</v>
      </c>
      <c r="FW36" s="259">
        <f t="shared" si="446"/>
        <v>0</v>
      </c>
      <c r="FX36" s="259">
        <f t="shared" ref="FX36:HS36" si="447">SUM(FX30:FX35)</f>
        <v>0</v>
      </c>
      <c r="FY36" s="259">
        <f t="shared" si="447"/>
        <v>0</v>
      </c>
      <c r="FZ36" s="259">
        <f t="shared" si="447"/>
        <v>0</v>
      </c>
      <c r="GA36" s="259">
        <f t="shared" si="447"/>
        <v>0</v>
      </c>
      <c r="GB36" s="259">
        <f t="shared" si="447"/>
        <v>0</v>
      </c>
      <c r="GC36" s="259">
        <f t="shared" si="447"/>
        <v>0</v>
      </c>
      <c r="GD36" s="259">
        <f t="shared" si="447"/>
        <v>0</v>
      </c>
      <c r="GE36" s="259">
        <f t="shared" si="447"/>
        <v>0</v>
      </c>
      <c r="GF36" s="259">
        <f t="shared" si="447"/>
        <v>0</v>
      </c>
      <c r="GG36" s="259">
        <f t="shared" si="447"/>
        <v>0</v>
      </c>
      <c r="GH36" s="259">
        <f t="shared" si="447"/>
        <v>0</v>
      </c>
      <c r="GI36" s="259">
        <f t="shared" si="447"/>
        <v>0</v>
      </c>
      <c r="GJ36" s="259">
        <f t="shared" si="447"/>
        <v>0</v>
      </c>
      <c r="GK36" s="259">
        <f t="shared" si="447"/>
        <v>0</v>
      </c>
      <c r="GL36" s="259">
        <f t="shared" si="447"/>
        <v>0</v>
      </c>
      <c r="GM36" s="259">
        <f t="shared" si="447"/>
        <v>0</v>
      </c>
      <c r="GN36" s="259">
        <f t="shared" si="447"/>
        <v>0</v>
      </c>
      <c r="GO36" s="259">
        <f t="shared" si="447"/>
        <v>0</v>
      </c>
      <c r="GP36" s="259">
        <f t="shared" si="447"/>
        <v>0</v>
      </c>
      <c r="GQ36" s="259">
        <f t="shared" si="447"/>
        <v>0</v>
      </c>
      <c r="GR36" s="259">
        <f t="shared" si="447"/>
        <v>0</v>
      </c>
      <c r="GS36" s="259">
        <f t="shared" si="447"/>
        <v>0</v>
      </c>
      <c r="GT36" s="259">
        <f t="shared" si="447"/>
        <v>0</v>
      </c>
      <c r="GU36" s="259">
        <f t="shared" si="447"/>
        <v>0</v>
      </c>
      <c r="GV36" s="259">
        <f t="shared" si="447"/>
        <v>0</v>
      </c>
      <c r="GW36" s="259">
        <f t="shared" si="447"/>
        <v>0</v>
      </c>
      <c r="GX36" s="259">
        <f t="shared" si="447"/>
        <v>0</v>
      </c>
      <c r="GY36" s="259">
        <f t="shared" si="447"/>
        <v>0</v>
      </c>
      <c r="GZ36" s="259">
        <f t="shared" si="447"/>
        <v>0</v>
      </c>
      <c r="HA36" s="259">
        <f t="shared" si="447"/>
        <v>0</v>
      </c>
      <c r="HB36" s="259">
        <f t="shared" si="447"/>
        <v>0</v>
      </c>
      <c r="HC36" s="259">
        <f t="shared" si="447"/>
        <v>0</v>
      </c>
      <c r="HD36" s="259">
        <f t="shared" si="447"/>
        <v>0</v>
      </c>
      <c r="HE36" s="259">
        <f t="shared" si="447"/>
        <v>0</v>
      </c>
      <c r="HF36" s="259">
        <f t="shared" si="447"/>
        <v>0</v>
      </c>
      <c r="HG36" s="259">
        <f t="shared" si="447"/>
        <v>0</v>
      </c>
      <c r="HH36" s="259">
        <f t="shared" si="447"/>
        <v>0</v>
      </c>
      <c r="HI36" s="259">
        <f t="shared" si="447"/>
        <v>0</v>
      </c>
      <c r="HJ36" s="259">
        <f t="shared" si="447"/>
        <v>0</v>
      </c>
      <c r="HK36" s="259">
        <f t="shared" si="447"/>
        <v>0</v>
      </c>
      <c r="HL36" s="259">
        <f t="shared" si="447"/>
        <v>0</v>
      </c>
      <c r="HM36" s="259">
        <f t="shared" si="447"/>
        <v>0</v>
      </c>
      <c r="HN36" s="259">
        <f t="shared" si="447"/>
        <v>0</v>
      </c>
      <c r="HO36" s="259">
        <f t="shared" si="447"/>
        <v>0</v>
      </c>
      <c r="HP36" s="259">
        <f t="shared" si="447"/>
        <v>0</v>
      </c>
      <c r="HQ36" s="259">
        <f t="shared" si="447"/>
        <v>0</v>
      </c>
      <c r="HR36" s="259">
        <f t="shared" si="447"/>
        <v>0</v>
      </c>
      <c r="HS36" s="259">
        <f t="shared" si="447"/>
        <v>0</v>
      </c>
      <c r="HT36" s="259">
        <f t="shared" ref="HT36:KB36" si="448">SUM(HT30:HT35)</f>
        <v>0</v>
      </c>
      <c r="HU36" s="259">
        <f t="shared" si="448"/>
        <v>0</v>
      </c>
      <c r="HV36" s="259">
        <f t="shared" si="448"/>
        <v>0</v>
      </c>
      <c r="HW36" s="259">
        <f t="shared" si="448"/>
        <v>0</v>
      </c>
      <c r="HX36" s="259">
        <f t="shared" si="448"/>
        <v>0</v>
      </c>
      <c r="HY36" s="259">
        <f t="shared" si="448"/>
        <v>0</v>
      </c>
      <c r="HZ36" s="259">
        <f t="shared" si="448"/>
        <v>0</v>
      </c>
      <c r="IA36" s="259">
        <f t="shared" si="448"/>
        <v>0</v>
      </c>
      <c r="IB36" s="259">
        <f t="shared" si="448"/>
        <v>0</v>
      </c>
      <c r="IC36" s="259">
        <f t="shared" si="448"/>
        <v>0</v>
      </c>
      <c r="ID36" s="259">
        <f t="shared" si="448"/>
        <v>0</v>
      </c>
      <c r="IE36" s="259">
        <f t="shared" si="448"/>
        <v>0</v>
      </c>
      <c r="IF36" s="259">
        <f t="shared" si="448"/>
        <v>0</v>
      </c>
      <c r="IG36" s="259">
        <f t="shared" si="448"/>
        <v>0</v>
      </c>
      <c r="IH36" s="259">
        <f t="shared" si="448"/>
        <v>0</v>
      </c>
      <c r="II36" s="259">
        <f t="shared" si="448"/>
        <v>0</v>
      </c>
      <c r="IJ36" s="259">
        <f t="shared" si="448"/>
        <v>0</v>
      </c>
      <c r="IK36" s="259">
        <f t="shared" si="448"/>
        <v>0</v>
      </c>
      <c r="IL36" s="259">
        <f t="shared" si="448"/>
        <v>0</v>
      </c>
      <c r="IM36" s="259">
        <f t="shared" si="448"/>
        <v>0</v>
      </c>
      <c r="IN36" s="259">
        <f t="shared" si="448"/>
        <v>0</v>
      </c>
      <c r="IO36" s="259">
        <f t="shared" si="448"/>
        <v>0</v>
      </c>
      <c r="IP36" s="259">
        <f t="shared" si="448"/>
        <v>0</v>
      </c>
      <c r="IQ36" s="259">
        <f t="shared" si="448"/>
        <v>0</v>
      </c>
      <c r="IR36" s="259">
        <f t="shared" si="448"/>
        <v>0</v>
      </c>
      <c r="IS36" s="259">
        <f t="shared" si="448"/>
        <v>0</v>
      </c>
      <c r="IT36" s="259">
        <f t="shared" si="448"/>
        <v>0</v>
      </c>
      <c r="IU36" s="259">
        <f t="shared" si="448"/>
        <v>0</v>
      </c>
      <c r="IV36" s="259">
        <f t="shared" si="448"/>
        <v>0</v>
      </c>
      <c r="IW36" s="259">
        <f t="shared" si="448"/>
        <v>0</v>
      </c>
      <c r="IX36" s="259">
        <f t="shared" si="448"/>
        <v>0</v>
      </c>
      <c r="IY36" s="259">
        <f t="shared" si="448"/>
        <v>0</v>
      </c>
      <c r="IZ36" s="259">
        <f t="shared" si="448"/>
        <v>0</v>
      </c>
      <c r="JA36" s="259">
        <f t="shared" si="448"/>
        <v>0</v>
      </c>
      <c r="JB36" s="259">
        <f t="shared" si="448"/>
        <v>0</v>
      </c>
      <c r="JC36" s="259">
        <f t="shared" si="448"/>
        <v>0</v>
      </c>
      <c r="JD36" s="259">
        <f t="shared" si="448"/>
        <v>0</v>
      </c>
      <c r="JE36" s="259">
        <f t="shared" si="448"/>
        <v>0</v>
      </c>
      <c r="JF36" s="259">
        <f t="shared" si="448"/>
        <v>0</v>
      </c>
      <c r="JG36" s="259">
        <f t="shared" si="448"/>
        <v>0</v>
      </c>
      <c r="JH36" s="259">
        <f t="shared" si="448"/>
        <v>0</v>
      </c>
      <c r="JI36" s="259">
        <f t="shared" si="448"/>
        <v>0</v>
      </c>
      <c r="JJ36" s="259">
        <f t="shared" si="448"/>
        <v>0</v>
      </c>
      <c r="JK36" s="259">
        <f t="shared" si="448"/>
        <v>0</v>
      </c>
      <c r="JL36" s="259">
        <f t="shared" si="448"/>
        <v>0</v>
      </c>
      <c r="JM36" s="259">
        <f t="shared" si="448"/>
        <v>0</v>
      </c>
      <c r="JN36" s="259">
        <f t="shared" si="448"/>
        <v>0</v>
      </c>
      <c r="JO36" s="259">
        <f t="shared" si="448"/>
        <v>0</v>
      </c>
      <c r="JP36" s="259">
        <f t="shared" si="448"/>
        <v>0</v>
      </c>
      <c r="JQ36" s="259">
        <f t="shared" si="448"/>
        <v>0</v>
      </c>
      <c r="JR36" s="259">
        <f t="shared" si="448"/>
        <v>0</v>
      </c>
      <c r="JS36" s="259">
        <f t="shared" si="448"/>
        <v>0</v>
      </c>
      <c r="JT36" s="259">
        <f t="shared" si="448"/>
        <v>0</v>
      </c>
      <c r="JU36" s="259">
        <f t="shared" si="448"/>
        <v>0</v>
      </c>
      <c r="JV36" s="259">
        <f t="shared" si="448"/>
        <v>0</v>
      </c>
      <c r="JW36" s="259">
        <f t="shared" si="448"/>
        <v>0</v>
      </c>
      <c r="JX36" s="259">
        <f t="shared" si="448"/>
        <v>0</v>
      </c>
      <c r="JY36" s="259">
        <f t="shared" si="448"/>
        <v>0</v>
      </c>
      <c r="JZ36" s="259">
        <f t="shared" si="448"/>
        <v>0</v>
      </c>
      <c r="KA36" s="259">
        <f t="shared" si="448"/>
        <v>0</v>
      </c>
      <c r="KB36" s="259">
        <f t="shared" si="448"/>
        <v>0</v>
      </c>
      <c r="KC36" s="259">
        <f t="shared" ca="1" si="446"/>
        <v>-116.57651065039647</v>
      </c>
    </row>
    <row r="37" spans="1:289" x14ac:dyDescent="0.3">
      <c r="A37" s="39" t="s">
        <v>41</v>
      </c>
      <c r="B37" s="257">
        <f ca="1">SUM(C37:KB37)</f>
        <v>507.79118372792851</v>
      </c>
      <c r="C37" s="258">
        <f>SUM(C10:C11,C14:C23,C25:C26,C30:C35)</f>
        <v>-47.58</v>
      </c>
      <c r="D37" s="258">
        <f t="shared" ref="D37:BO37" ca="1" si="449">SUM(D10:D11,D14:D23,D25:D26,D30:D35)</f>
        <v>-8.9337692687772687</v>
      </c>
      <c r="E37" s="258">
        <f ca="1">SUM(E10:E11,E14:E23,E25:E26,E30:E35)</f>
        <v>-6.3466370587420045</v>
      </c>
      <c r="F37" s="258">
        <f ca="1">SUM(F10:F11,F14:F23,F25:F26,F30:F35)</f>
        <v>-5.983354782714625</v>
      </c>
      <c r="G37" s="258">
        <f ca="1">SUM(G10:G11,G14:G23,G25:G26,G30:G35)</f>
        <v>-6.0311625495994576</v>
      </c>
      <c r="H37" s="258">
        <f ca="1">SUM(H10:H11,H14:H23,H25:H26,H30:H35)</f>
        <v>-6.0793523066315434</v>
      </c>
      <c r="I37" s="258">
        <f t="shared" ca="1" si="449"/>
        <v>-6.1279271059608176</v>
      </c>
      <c r="J37" s="258">
        <f t="shared" ca="1" si="449"/>
        <v>-6.1768900241242815</v>
      </c>
      <c r="K37" s="258">
        <f t="shared" ca="1" si="449"/>
        <v>-6.2506440946977602</v>
      </c>
      <c r="L37" s="258">
        <f t="shared" ca="1" si="449"/>
        <v>-6.2921020092969151</v>
      </c>
      <c r="M37" s="258">
        <f t="shared" ca="1" si="449"/>
        <v>-6.3308720408047359</v>
      </c>
      <c r="N37" s="258">
        <f t="shared" ca="1" si="449"/>
        <v>-6.3669909372977864</v>
      </c>
      <c r="O37" s="258">
        <f t="shared" ca="1" si="449"/>
        <v>-6.3949209131287725</v>
      </c>
      <c r="P37" s="258">
        <f t="shared" ca="1" si="449"/>
        <v>-13.661759941454104</v>
      </c>
      <c r="Q37" s="258">
        <f t="shared" ca="1" si="449"/>
        <v>-12.757235544313213</v>
      </c>
      <c r="R37" s="258">
        <f t="shared" ca="1" si="449"/>
        <v>-11.996347922972788</v>
      </c>
      <c r="S37" s="258">
        <f t="shared" ca="1" si="449"/>
        <v>-12.048972107748357</v>
      </c>
      <c r="T37" s="258">
        <f t="shared" ca="1" si="449"/>
        <v>-12.101827138181376</v>
      </c>
      <c r="U37" s="258">
        <f t="shared" ca="1" si="449"/>
        <v>-12.154914026918746</v>
      </c>
      <c r="V37" s="258">
        <f t="shared" ca="1" si="449"/>
        <v>-12.76299288153349</v>
      </c>
      <c r="W37" s="258">
        <f t="shared" ca="1" si="449"/>
        <v>-11.819790627938282</v>
      </c>
      <c r="X37" s="258">
        <f t="shared" ca="1" si="449"/>
        <v>-11.873806337582044</v>
      </c>
      <c r="Y37" s="258">
        <f t="shared" ca="1" si="449"/>
        <v>-17.394579637267388</v>
      </c>
      <c r="Z37" s="258">
        <f t="shared" ca="1" si="449"/>
        <v>-17.071017666366828</v>
      </c>
      <c r="AA37" s="258">
        <f t="shared" ca="1" si="449"/>
        <v>-16.807565290663327</v>
      </c>
      <c r="AB37" s="258">
        <f t="shared" ca="1" si="449"/>
        <v>-5.5037012924044806</v>
      </c>
      <c r="AC37" s="258">
        <f t="shared" ca="1" si="449"/>
        <v>-5.5300103154477647</v>
      </c>
      <c r="AD37" s="258">
        <f t="shared" ca="1" si="449"/>
        <v>-5.5564347478555307</v>
      </c>
      <c r="AE37" s="258">
        <f t="shared" ca="1" si="449"/>
        <v>-5.5829750958921647</v>
      </c>
      <c r="AF37" s="258">
        <f t="shared" ca="1" si="449"/>
        <v>-5.6292974104907199</v>
      </c>
      <c r="AG37" s="258">
        <f t="shared" ca="1" si="449"/>
        <v>-5.6561573839872326</v>
      </c>
      <c r="AH37" s="258">
        <f t="shared" ca="1" si="449"/>
        <v>-18.460385145523947</v>
      </c>
      <c r="AI37" s="258">
        <f t="shared" ca="1" si="449"/>
        <v>-15.6543977557582</v>
      </c>
      <c r="AJ37" s="258">
        <f t="shared" ca="1" si="449"/>
        <v>-14.999051639254501</v>
      </c>
      <c r="AK37" s="258">
        <f t="shared" ca="1" si="449"/>
        <v>-10.327667433065194</v>
      </c>
      <c r="AL37" s="258">
        <f t="shared" ca="1" si="449"/>
        <v>-10.379441449410505</v>
      </c>
      <c r="AM37" s="258">
        <f t="shared" ca="1" si="449"/>
        <v>-10.431442581993212</v>
      </c>
      <c r="AN37" s="258">
        <f t="shared" ca="1" si="449"/>
        <v>-10.483671827100423</v>
      </c>
      <c r="AO37" s="258">
        <f t="shared" ca="1" si="449"/>
        <v>-10.57831893533387</v>
      </c>
      <c r="AP37" s="258">
        <f t="shared" ca="1" si="449"/>
        <v>-10.631192480557001</v>
      </c>
      <c r="AQ37" s="258">
        <f t="shared" ca="1" si="449"/>
        <v>-13.027954933999537</v>
      </c>
      <c r="AR37" s="258">
        <f t="shared" ca="1" si="449"/>
        <v>-12.075190504713465</v>
      </c>
      <c r="AS37" s="258">
        <f t="shared" ca="1" si="449"/>
        <v>-12.120042947183769</v>
      </c>
      <c r="AT37" s="258">
        <f t="shared" ca="1" si="449"/>
        <v>-1.9310690294206392</v>
      </c>
      <c r="AU37" s="258">
        <f t="shared" ca="1" si="449"/>
        <v>-1.9480821980928504</v>
      </c>
      <c r="AV37" s="258">
        <f t="shared" ca="1" si="449"/>
        <v>-1.9651699981560129</v>
      </c>
      <c r="AW37" s="258">
        <f t="shared" ca="1" si="449"/>
        <v>-1.9823327569944378</v>
      </c>
      <c r="AX37" s="258">
        <f t="shared" ca="1" si="449"/>
        <v>-1.9995708034285693</v>
      </c>
      <c r="AY37" s="258">
        <f t="shared" ca="1" si="449"/>
        <v>-2.0168844677212805</v>
      </c>
      <c r="AZ37" s="258">
        <f t="shared" ca="1" si="449"/>
        <v>-2.9952057917917645</v>
      </c>
      <c r="BA37" s="258">
        <f t="shared" ca="1" si="449"/>
        <v>-1.2132032508599222</v>
      </c>
      <c r="BB37" s="258">
        <f t="shared" ca="1" si="449"/>
        <v>-1.230819273571004</v>
      </c>
      <c r="BC37" s="258">
        <f t="shared" ca="1" si="449"/>
        <v>-1.2285785613697944</v>
      </c>
      <c r="BD37" s="258">
        <f t="shared" ca="1" si="449"/>
        <v>-1.2463494749078676</v>
      </c>
      <c r="BE37" s="258">
        <f t="shared" ca="1" si="449"/>
        <v>-8.4290774393677967</v>
      </c>
      <c r="BF37" s="258">
        <f ca="1">SUM(BF10:BF11,BF14:BF23,BF25:BF26,BF30:BF35)</f>
        <v>-6.6500576193449792</v>
      </c>
      <c r="BG37" s="258">
        <f t="shared" ca="1" si="449"/>
        <v>-6.6500576193449792</v>
      </c>
      <c r="BH37" s="258">
        <f t="shared" ca="1" si="449"/>
        <v>-6.6500576193449792</v>
      </c>
      <c r="BI37" s="258">
        <f t="shared" ca="1" si="449"/>
        <v>-4.4619363250788053</v>
      </c>
      <c r="BJ37" s="258">
        <f t="shared" ca="1" si="449"/>
        <v>-1.6968497182179196</v>
      </c>
      <c r="BK37" s="258">
        <f t="shared" ca="1" si="449"/>
        <v>0.69065384289064102</v>
      </c>
      <c r="BL37" s="258">
        <f t="shared" ca="1" si="449"/>
        <v>3.1209221027437519</v>
      </c>
      <c r="BM37" s="258">
        <f t="shared" ca="1" si="449"/>
        <v>3.1209221027437519</v>
      </c>
      <c r="BN37" s="258">
        <f t="shared" ca="1" si="449"/>
        <v>3.1209221027437519</v>
      </c>
      <c r="BO37" s="258">
        <f t="shared" ca="1" si="449"/>
        <v>3.1418528141186881</v>
      </c>
      <c r="BP37" s="258">
        <f t="shared" ref="BP37:EA37" ca="1" si="450">SUM(BP10:BP11,BP14:BP23,BP25:BP26,BP30:BP35)</f>
        <v>3.1418528141186881</v>
      </c>
      <c r="BQ37" s="258">
        <f t="shared" ca="1" si="450"/>
        <v>3.1418528141186881</v>
      </c>
      <c r="BR37" s="258">
        <f t="shared" ca="1" si="450"/>
        <v>3.2231552352536652</v>
      </c>
      <c r="BS37" s="258">
        <f t="shared" ca="1" si="450"/>
        <v>3.2231552352536652</v>
      </c>
      <c r="BT37" s="258">
        <f t="shared" ca="1" si="450"/>
        <v>3.2231552352536652</v>
      </c>
      <c r="BU37" s="258">
        <f t="shared" ca="1" si="450"/>
        <v>3.2320652741991625</v>
      </c>
      <c r="BV37" s="258">
        <f t="shared" ca="1" si="450"/>
        <v>3.2320652741991625</v>
      </c>
      <c r="BW37" s="258">
        <f t="shared" ca="1" si="450"/>
        <v>3.2320652741991625</v>
      </c>
      <c r="BX37" s="258">
        <f t="shared" ca="1" si="450"/>
        <v>3.2769682078809401</v>
      </c>
      <c r="BY37" s="258">
        <f t="shared" ca="1" si="450"/>
        <v>3.2769682078809401</v>
      </c>
      <c r="BZ37" s="258">
        <f t="shared" ca="1" si="450"/>
        <v>3.2769682078809401</v>
      </c>
      <c r="CA37" s="258">
        <f t="shared" ca="1" si="450"/>
        <v>3.2989454548246231</v>
      </c>
      <c r="CB37" s="258">
        <f t="shared" ca="1" si="450"/>
        <v>3.2989454548246231</v>
      </c>
      <c r="CC37" s="258">
        <f t="shared" ca="1" si="450"/>
        <v>3.2989454548246231</v>
      </c>
      <c r="CD37" s="258">
        <f t="shared" ca="1" si="450"/>
        <v>3.384312997016349</v>
      </c>
      <c r="CE37" s="258">
        <f t="shared" ca="1" si="450"/>
        <v>3.384312997016349</v>
      </c>
      <c r="CF37" s="258">
        <f t="shared" ca="1" si="450"/>
        <v>3.384312997016349</v>
      </c>
      <c r="CG37" s="258">
        <f t="shared" ca="1" si="450"/>
        <v>3.3936685379091203</v>
      </c>
      <c r="CH37" s="258">
        <f t="shared" ca="1" si="450"/>
        <v>3.3936685379091203</v>
      </c>
      <c r="CI37" s="258">
        <f t="shared" ca="1" si="450"/>
        <v>3.3936685379091203</v>
      </c>
      <c r="CJ37" s="258">
        <f t="shared" ca="1" si="450"/>
        <v>3.4408166182749875</v>
      </c>
      <c r="CK37" s="258">
        <f t="shared" ca="1" si="450"/>
        <v>3.4408166182749875</v>
      </c>
      <c r="CL37" s="258">
        <f t="shared" ca="1" si="450"/>
        <v>3.4408166182749875</v>
      </c>
      <c r="CM37" s="258">
        <f t="shared" ca="1" si="450"/>
        <v>3.4638927275658542</v>
      </c>
      <c r="CN37" s="258">
        <f t="shared" ca="1" si="450"/>
        <v>3.4638927275658542</v>
      </c>
      <c r="CO37" s="258">
        <f t="shared" ca="1" si="450"/>
        <v>3.4638927275658542</v>
      </c>
      <c r="CP37" s="258">
        <f t="shared" ca="1" si="450"/>
        <v>3.553528646867167</v>
      </c>
      <c r="CQ37" s="258">
        <f t="shared" ca="1" si="450"/>
        <v>3.553528646867167</v>
      </c>
      <c r="CR37" s="258">
        <f t="shared" ca="1" si="450"/>
        <v>3.553528646867167</v>
      </c>
      <c r="CS37" s="258">
        <f t="shared" ca="1" si="450"/>
        <v>3.5633519648045775</v>
      </c>
      <c r="CT37" s="258">
        <f t="shared" ca="1" si="450"/>
        <v>3.5633519648045775</v>
      </c>
      <c r="CU37" s="258">
        <f t="shared" ca="1" si="450"/>
        <v>3.5633519648045775</v>
      </c>
      <c r="CV37" s="258">
        <f t="shared" ca="1" si="450"/>
        <v>3.6128574491887373</v>
      </c>
      <c r="CW37" s="258">
        <f t="shared" ca="1" si="450"/>
        <v>3.6128574491887373</v>
      </c>
      <c r="CX37" s="258">
        <f t="shared" ca="1" si="450"/>
        <v>3.6128574491887373</v>
      </c>
      <c r="CY37" s="258">
        <f t="shared" ca="1" si="450"/>
        <v>3.637087363944147</v>
      </c>
      <c r="CZ37" s="258">
        <f t="shared" ca="1" si="450"/>
        <v>3.637087363944147</v>
      </c>
      <c r="DA37" s="258">
        <f t="shared" ca="1" si="450"/>
        <v>3.637087363944147</v>
      </c>
      <c r="DB37" s="258">
        <f t="shared" ca="1" si="450"/>
        <v>3.7312050792105254</v>
      </c>
      <c r="DC37" s="258">
        <f t="shared" ca="1" si="450"/>
        <v>3.7312050792105254</v>
      </c>
      <c r="DD37" s="258">
        <f t="shared" ca="1" si="450"/>
        <v>3.7312050792105254</v>
      </c>
      <c r="DE37" s="258">
        <f t="shared" ca="1" si="450"/>
        <v>3.7415195630448053</v>
      </c>
      <c r="DF37" s="258">
        <f t="shared" ca="1" si="450"/>
        <v>3.7415195630448053</v>
      </c>
      <c r="DG37" s="258">
        <f t="shared" ca="1" si="450"/>
        <v>3.7415195630448053</v>
      </c>
      <c r="DH37" s="258">
        <f t="shared" ca="1" si="450"/>
        <v>3.7935003216481742</v>
      </c>
      <c r="DI37" s="258">
        <f t="shared" ca="1" si="450"/>
        <v>3.7935003216481742</v>
      </c>
      <c r="DJ37" s="258">
        <f t="shared" ca="1" si="450"/>
        <v>3.7935003216481742</v>
      </c>
      <c r="DK37" s="258">
        <f t="shared" ca="1" si="450"/>
        <v>3.8189417321413544</v>
      </c>
      <c r="DL37" s="258">
        <f t="shared" ca="1" si="450"/>
        <v>3.8189417321413544</v>
      </c>
      <c r="DM37" s="258">
        <f t="shared" ca="1" si="450"/>
        <v>3.8189417321413544</v>
      </c>
      <c r="DN37" s="258">
        <f t="shared" ca="1" si="450"/>
        <v>3.9177653331710522</v>
      </c>
      <c r="DO37" s="258">
        <f t="shared" ca="1" si="450"/>
        <v>3.9177653331710522</v>
      </c>
      <c r="DP37" s="258">
        <f t="shared" ca="1" si="450"/>
        <v>3.9177653331710522</v>
      </c>
      <c r="DQ37" s="258">
        <f t="shared" ca="1" si="450"/>
        <v>3.9285955411970468</v>
      </c>
      <c r="DR37" s="258">
        <f t="shared" ca="1" si="450"/>
        <v>3.9285955411970468</v>
      </c>
      <c r="DS37" s="258">
        <f t="shared" ca="1" si="450"/>
        <v>3.9285955411970468</v>
      </c>
      <c r="DT37" s="258">
        <f t="shared" ca="1" si="450"/>
        <v>3.9831753377305832</v>
      </c>
      <c r="DU37" s="258">
        <f t="shared" ca="1" si="450"/>
        <v>3.9831753377305832</v>
      </c>
      <c r="DV37" s="258">
        <f t="shared" ca="1" si="450"/>
        <v>3.9831753377305832</v>
      </c>
      <c r="DW37" s="258">
        <f t="shared" ca="1" si="450"/>
        <v>4.009888818748423</v>
      </c>
      <c r="DX37" s="258">
        <f t="shared" ca="1" si="450"/>
        <v>4.009888818748423</v>
      </c>
      <c r="DY37" s="258">
        <f t="shared" ca="1" si="450"/>
        <v>4.009888818748423</v>
      </c>
      <c r="DZ37" s="258">
        <f t="shared" ca="1" si="450"/>
        <v>4.113653599829604</v>
      </c>
      <c r="EA37" s="258">
        <f t="shared" ca="1" si="450"/>
        <v>4.113653599829604</v>
      </c>
      <c r="EB37" s="258">
        <f t="shared" ref="EB37:KC37" ca="1" si="451">SUM(EB10:EB11,EB14:EB23,EB25:EB26,EB30:EB35)</f>
        <v>4.113653599829604</v>
      </c>
      <c r="EC37" s="258">
        <f t="shared" si="451"/>
        <v>4.1250253182568981</v>
      </c>
      <c r="ED37" s="258">
        <f t="shared" si="451"/>
        <v>4.1250253182568981</v>
      </c>
      <c r="EE37" s="258">
        <f t="shared" si="451"/>
        <v>4.1250253182568981</v>
      </c>
      <c r="EF37" s="258">
        <f t="shared" si="451"/>
        <v>4.1823341046171123</v>
      </c>
      <c r="EG37" s="258">
        <f t="shared" si="451"/>
        <v>4.1823341046171123</v>
      </c>
      <c r="EH37" s="258">
        <f t="shared" si="451"/>
        <v>4.1823341046171123</v>
      </c>
      <c r="EI37" s="258">
        <f t="shared" si="451"/>
        <v>4.2103832596858428</v>
      </c>
      <c r="EJ37" s="258">
        <f t="shared" si="451"/>
        <v>4.2103832596858428</v>
      </c>
      <c r="EK37" s="258">
        <f t="shared" si="451"/>
        <v>4.2103832596858428</v>
      </c>
      <c r="EL37" s="258">
        <f t="shared" si="451"/>
        <v>4.3193362798210853</v>
      </c>
      <c r="EM37" s="258">
        <f t="shared" si="451"/>
        <v>4.3193362798210853</v>
      </c>
      <c r="EN37" s="258">
        <f t="shared" si="451"/>
        <v>4.3193362798210853</v>
      </c>
      <c r="EO37" s="258">
        <f t="shared" si="451"/>
        <v>4.3312765841697436</v>
      </c>
      <c r="EP37" s="258">
        <f t="shared" si="451"/>
        <v>4.3312765841697436</v>
      </c>
      <c r="EQ37" s="258">
        <f t="shared" si="451"/>
        <v>4.3312765841697436</v>
      </c>
      <c r="ER37" s="258">
        <f t="shared" si="451"/>
        <v>4.3914508098479672</v>
      </c>
      <c r="ES37" s="258">
        <f t="shared" si="451"/>
        <v>4.3914508098479672</v>
      </c>
      <c r="ET37" s="258">
        <f t="shared" si="451"/>
        <v>4.3914508098479672</v>
      </c>
      <c r="EU37" s="258">
        <f t="shared" si="451"/>
        <v>4.4209024226701352</v>
      </c>
      <c r="EV37" s="258">
        <f t="shared" si="451"/>
        <v>4.4209024226701352</v>
      </c>
      <c r="EW37" s="258">
        <f t="shared" si="451"/>
        <v>4.4209024226701352</v>
      </c>
      <c r="EX37" s="258">
        <f t="shared" si="451"/>
        <v>4.5353030938121384</v>
      </c>
      <c r="EY37" s="258">
        <f t="shared" si="451"/>
        <v>4.5353030938121384</v>
      </c>
      <c r="EZ37" s="258">
        <f t="shared" si="451"/>
        <v>4.5353030938121384</v>
      </c>
      <c r="FA37" s="258">
        <f t="shared" si="451"/>
        <v>4.547840413378232</v>
      </c>
      <c r="FB37" s="258">
        <f t="shared" si="451"/>
        <v>4.547840413378232</v>
      </c>
      <c r="FC37" s="258">
        <f t="shared" si="451"/>
        <v>4.547840413378232</v>
      </c>
      <c r="FD37" s="258">
        <f t="shared" si="451"/>
        <v>4.6110233503403659</v>
      </c>
      <c r="FE37" s="258">
        <f t="shared" si="451"/>
        <v>4.6110233503403659</v>
      </c>
      <c r="FF37" s="258">
        <f t="shared" si="451"/>
        <v>4.6110233503403659</v>
      </c>
      <c r="FG37" s="258">
        <f t="shared" si="451"/>
        <v>4.6419475438036439</v>
      </c>
      <c r="FH37" s="258">
        <f t="shared" si="451"/>
        <v>4.6419475438036439</v>
      </c>
      <c r="FI37" s="258">
        <f t="shared" si="451"/>
        <v>4.6419475438036439</v>
      </c>
      <c r="FJ37" s="258">
        <f t="shared" si="451"/>
        <v>4.7620682485027466</v>
      </c>
      <c r="FK37" s="258">
        <f t="shared" si="451"/>
        <v>4.7620682485027466</v>
      </c>
      <c r="FL37" s="258">
        <f t="shared" si="451"/>
        <v>4.7620682485027466</v>
      </c>
      <c r="FM37" s="258">
        <f t="shared" si="451"/>
        <v>4.7752324340471439</v>
      </c>
      <c r="FN37" s="258">
        <f t="shared" si="451"/>
        <v>4.7752324340471439</v>
      </c>
      <c r="FO37" s="258">
        <f t="shared" si="451"/>
        <v>4.7752324340471439</v>
      </c>
      <c r="FP37" s="258">
        <f t="shared" si="451"/>
        <v>4.841574517857385</v>
      </c>
      <c r="FQ37" s="258">
        <f t="shared" si="451"/>
        <v>4.841574517857385</v>
      </c>
      <c r="FR37" s="258">
        <f t="shared" si="451"/>
        <v>4.841574517857385</v>
      </c>
      <c r="FS37" s="258">
        <f t="shared" si="451"/>
        <v>4.8740449209938266</v>
      </c>
      <c r="FT37" s="258">
        <f t="shared" si="451"/>
        <v>4.8740449209938266</v>
      </c>
      <c r="FU37" s="258">
        <f t="shared" si="451"/>
        <v>4.8740449209938266</v>
      </c>
      <c r="FV37" s="258">
        <f t="shared" si="451"/>
        <v>5.0001716609278839</v>
      </c>
      <c r="FW37" s="258">
        <f t="shared" si="451"/>
        <v>5.0001716609278839</v>
      </c>
      <c r="FX37" s="258">
        <f t="shared" ref="FX37:HS37" si="452">SUM(FX10:FX11,FX14:FX23,FX25:FX26,FX30:FX35)</f>
        <v>5.0001716609278839</v>
      </c>
      <c r="FY37" s="258">
        <f t="shared" si="452"/>
        <v>5.0139940557495013</v>
      </c>
      <c r="FZ37" s="258">
        <f t="shared" si="452"/>
        <v>5.0139940557495013</v>
      </c>
      <c r="GA37" s="258">
        <f t="shared" si="452"/>
        <v>5.0139940557495013</v>
      </c>
      <c r="GB37" s="258">
        <f t="shared" si="452"/>
        <v>5.0836532437502555</v>
      </c>
      <c r="GC37" s="258">
        <f t="shared" si="452"/>
        <v>5.0836532437502555</v>
      </c>
      <c r="GD37" s="258">
        <f t="shared" si="452"/>
        <v>5.0836532437502555</v>
      </c>
      <c r="GE37" s="258">
        <f t="shared" si="452"/>
        <v>5.1177471670435173</v>
      </c>
      <c r="GF37" s="258">
        <f t="shared" si="452"/>
        <v>5.1177471670435173</v>
      </c>
      <c r="GG37" s="258">
        <f t="shared" si="452"/>
        <v>5.1177471670435173</v>
      </c>
      <c r="GH37" s="258">
        <f t="shared" si="452"/>
        <v>5.2501802439742793</v>
      </c>
      <c r="GI37" s="258">
        <f t="shared" si="452"/>
        <v>5.2501802439742793</v>
      </c>
      <c r="GJ37" s="258">
        <f t="shared" si="452"/>
        <v>5.2501802439742793</v>
      </c>
      <c r="GK37" s="258">
        <f t="shared" si="452"/>
        <v>5.2646937585369757</v>
      </c>
      <c r="GL37" s="258">
        <f t="shared" si="452"/>
        <v>5.2646937585369757</v>
      </c>
      <c r="GM37" s="258">
        <f t="shared" si="452"/>
        <v>5.2646937585369757</v>
      </c>
      <c r="GN37" s="258">
        <f t="shared" si="452"/>
        <v>5.3378359059377676</v>
      </c>
      <c r="GO37" s="258">
        <f t="shared" si="452"/>
        <v>5.3378359059377676</v>
      </c>
      <c r="GP37" s="258">
        <f t="shared" si="452"/>
        <v>5.3378359059377676</v>
      </c>
      <c r="GQ37" s="258">
        <f t="shared" si="452"/>
        <v>5.3736345253956932</v>
      </c>
      <c r="GR37" s="258">
        <f t="shared" si="452"/>
        <v>5.3736345253956932</v>
      </c>
      <c r="GS37" s="258">
        <f t="shared" si="452"/>
        <v>5.3736345253956932</v>
      </c>
      <c r="GT37" s="258">
        <f t="shared" si="452"/>
        <v>5.5126892561729921</v>
      </c>
      <c r="GU37" s="258">
        <f t="shared" si="452"/>
        <v>5.5126892561729921</v>
      </c>
      <c r="GV37" s="258">
        <f t="shared" si="452"/>
        <v>5.5126892561729921</v>
      </c>
      <c r="GW37" s="258">
        <f t="shared" si="452"/>
        <v>5.5279284464638261</v>
      </c>
      <c r="GX37" s="258">
        <f t="shared" si="452"/>
        <v>5.5279284464638261</v>
      </c>
      <c r="GY37" s="258">
        <f t="shared" si="452"/>
        <v>5.5279284464638261</v>
      </c>
      <c r="GZ37" s="258">
        <f t="shared" si="452"/>
        <v>5.6047277012346566</v>
      </c>
      <c r="HA37" s="258">
        <f t="shared" si="452"/>
        <v>5.6047277012346566</v>
      </c>
      <c r="HB37" s="258">
        <f t="shared" si="452"/>
        <v>5.6047277012346566</v>
      </c>
      <c r="HC37" s="258">
        <f t="shared" si="452"/>
        <v>5.6423162516654797</v>
      </c>
      <c r="HD37" s="258">
        <f t="shared" si="452"/>
        <v>5.6423162516654797</v>
      </c>
      <c r="HE37" s="258">
        <f t="shared" si="452"/>
        <v>5.6423162516654797</v>
      </c>
      <c r="HF37" s="258">
        <f t="shared" si="452"/>
        <v>5.7883237189816423</v>
      </c>
      <c r="HG37" s="258">
        <f t="shared" si="452"/>
        <v>5.7883237189816423</v>
      </c>
      <c r="HH37" s="258">
        <f t="shared" si="452"/>
        <v>5.7883237189816423</v>
      </c>
      <c r="HI37" s="258">
        <f t="shared" si="452"/>
        <v>5.8043248687870159</v>
      </c>
      <c r="HJ37" s="258">
        <f t="shared" si="452"/>
        <v>5.8043248687870159</v>
      </c>
      <c r="HK37" s="258">
        <f t="shared" si="452"/>
        <v>5.8043248687870159</v>
      </c>
      <c r="HL37" s="258">
        <f t="shared" si="452"/>
        <v>5.8849640862963888</v>
      </c>
      <c r="HM37" s="258">
        <f t="shared" si="452"/>
        <v>5.8849640862963888</v>
      </c>
      <c r="HN37" s="258">
        <f t="shared" si="452"/>
        <v>5.8849640862963888</v>
      </c>
      <c r="HO37" s="258">
        <f t="shared" si="452"/>
        <v>5.9244320642487525</v>
      </c>
      <c r="HP37" s="258">
        <f t="shared" si="452"/>
        <v>5.9244320642487525</v>
      </c>
      <c r="HQ37" s="258">
        <f t="shared" si="452"/>
        <v>5.9244320642487525</v>
      </c>
      <c r="HR37" s="258">
        <f t="shared" si="452"/>
        <v>6.0777399049307244</v>
      </c>
      <c r="HS37" s="258">
        <f t="shared" si="452"/>
        <v>6.0777399049307244</v>
      </c>
      <c r="HT37" s="258">
        <f t="shared" ref="HT37:KB37" si="453">SUM(HT10:HT11,HT14:HT23,HT25:HT26,HT30:HT35)</f>
        <v>6.0777399049307244</v>
      </c>
      <c r="HU37" s="258">
        <f t="shared" si="453"/>
        <v>6.0945411122263682</v>
      </c>
      <c r="HV37" s="258">
        <f t="shared" si="453"/>
        <v>6.0945411122263682</v>
      </c>
      <c r="HW37" s="258">
        <f t="shared" si="453"/>
        <v>6.0945411122263682</v>
      </c>
      <c r="HX37" s="258">
        <f t="shared" si="453"/>
        <v>6.1792122906112104</v>
      </c>
      <c r="HY37" s="258">
        <f t="shared" si="453"/>
        <v>6.1792122906112104</v>
      </c>
      <c r="HZ37" s="258">
        <f t="shared" si="453"/>
        <v>6.1792122906112104</v>
      </c>
      <c r="IA37" s="258">
        <f t="shared" si="453"/>
        <v>6.2206536674611908</v>
      </c>
      <c r="IB37" s="258">
        <f t="shared" si="453"/>
        <v>6.2206536674611908</v>
      </c>
      <c r="IC37" s="258">
        <f t="shared" si="453"/>
        <v>6.2206536674611908</v>
      </c>
      <c r="ID37" s="258">
        <f t="shared" si="453"/>
        <v>6.3816269001772614</v>
      </c>
      <c r="IE37" s="258">
        <f t="shared" si="453"/>
        <v>6.3816269001772614</v>
      </c>
      <c r="IF37" s="258">
        <f t="shared" si="453"/>
        <v>6.3816269001772614</v>
      </c>
      <c r="IG37" s="258">
        <f t="shared" si="453"/>
        <v>6.3992681678376861</v>
      </c>
      <c r="IH37" s="258">
        <f t="shared" si="453"/>
        <v>6.3992681678376861</v>
      </c>
      <c r="II37" s="258">
        <f t="shared" si="453"/>
        <v>6.3992681678376861</v>
      </c>
      <c r="IJ37" s="258">
        <f t="shared" si="453"/>
        <v>6.48817290514177</v>
      </c>
      <c r="IK37" s="258">
        <f t="shared" si="453"/>
        <v>6.48817290514177</v>
      </c>
      <c r="IL37" s="258">
        <f t="shared" si="453"/>
        <v>6.48817290514177</v>
      </c>
      <c r="IM37" s="258">
        <f t="shared" si="453"/>
        <v>6.5316863508342502</v>
      </c>
      <c r="IN37" s="258">
        <f t="shared" si="453"/>
        <v>6.5316863508342502</v>
      </c>
      <c r="IO37" s="258">
        <f t="shared" si="453"/>
        <v>6.5316863508342502</v>
      </c>
      <c r="IP37" s="258">
        <f t="shared" si="453"/>
        <v>6.7007082451861244</v>
      </c>
      <c r="IQ37" s="258">
        <f t="shared" si="453"/>
        <v>6.7007082451861244</v>
      </c>
      <c r="IR37" s="258">
        <f t="shared" si="453"/>
        <v>6.7007082451861244</v>
      </c>
      <c r="IS37" s="258">
        <f t="shared" si="453"/>
        <v>6.7192315762295705</v>
      </c>
      <c r="IT37" s="258">
        <f t="shared" si="453"/>
        <v>6.7192315762295705</v>
      </c>
      <c r="IU37" s="258">
        <f t="shared" si="453"/>
        <v>6.7192315762295705</v>
      </c>
      <c r="IV37" s="258">
        <f t="shared" si="453"/>
        <v>5.6228762444281903</v>
      </c>
      <c r="IW37" s="258">
        <f t="shared" si="453"/>
        <v>5.6228762444281903</v>
      </c>
      <c r="IX37" s="258">
        <f t="shared" si="453"/>
        <v>5.6228762444281903</v>
      </c>
      <c r="IY37" s="258">
        <f t="shared" si="453"/>
        <v>5.6685653624052943</v>
      </c>
      <c r="IZ37" s="258">
        <f t="shared" si="453"/>
        <v>5.6685653624052943</v>
      </c>
      <c r="JA37" s="258">
        <f t="shared" si="453"/>
        <v>5.6685653624052943</v>
      </c>
      <c r="JB37" s="258">
        <f t="shared" si="453"/>
        <v>5.7865530861762284</v>
      </c>
      <c r="JC37" s="258">
        <f t="shared" si="453"/>
        <v>5.7865530861762284</v>
      </c>
      <c r="JD37" s="258">
        <f t="shared" si="453"/>
        <v>5.7865530861762284</v>
      </c>
      <c r="JE37" s="258">
        <f t="shared" si="453"/>
        <v>5.8060025837718481</v>
      </c>
      <c r="JF37" s="258">
        <f t="shared" si="453"/>
        <v>5.8060025837718481</v>
      </c>
      <c r="JG37" s="258">
        <f t="shared" si="453"/>
        <v>5.8060025837718481</v>
      </c>
      <c r="JH37" s="258">
        <f t="shared" si="453"/>
        <v>3.5996235677138704</v>
      </c>
      <c r="JI37" s="258">
        <f t="shared" si="453"/>
        <v>3.5996235677138704</v>
      </c>
      <c r="JJ37" s="258">
        <f t="shared" si="453"/>
        <v>3.5996235677138704</v>
      </c>
      <c r="JK37" s="258">
        <f t="shared" si="453"/>
        <v>3.647597141589829</v>
      </c>
      <c r="JL37" s="258">
        <f t="shared" si="453"/>
        <v>3.647597141589829</v>
      </c>
      <c r="JM37" s="258">
        <f t="shared" si="453"/>
        <v>3.647597141589829</v>
      </c>
      <c r="JN37" s="258">
        <f t="shared" si="453"/>
        <v>3.6562644271025246</v>
      </c>
      <c r="JO37" s="258">
        <f t="shared" si="453"/>
        <v>3.6562644271025246</v>
      </c>
      <c r="JP37" s="258">
        <f t="shared" si="453"/>
        <v>3.6562644271025246</v>
      </c>
      <c r="JQ37" s="258">
        <f t="shared" si="453"/>
        <v>2.7160992575499936</v>
      </c>
      <c r="JR37" s="258">
        <f t="shared" si="453"/>
        <v>2.7160992575499936</v>
      </c>
      <c r="JS37" s="258">
        <f t="shared" si="453"/>
        <v>2.7160992575499936</v>
      </c>
      <c r="JT37" s="258">
        <f t="shared" si="453"/>
        <v>2.8190176040716333</v>
      </c>
      <c r="JU37" s="258">
        <f t="shared" si="453"/>
        <v>2.8190176040716333</v>
      </c>
      <c r="JV37" s="258">
        <f t="shared" si="453"/>
        <v>2.8190176040716333</v>
      </c>
      <c r="JW37" s="258">
        <f t="shared" si="453"/>
        <v>2.8213604995399941</v>
      </c>
      <c r="JX37" s="258">
        <f t="shared" si="453"/>
        <v>2.8213604995399941</v>
      </c>
      <c r="JY37" s="258">
        <f t="shared" si="453"/>
        <v>2.8213604995399941</v>
      </c>
      <c r="JZ37" s="258">
        <f t="shared" si="453"/>
        <v>0.76970076897642403</v>
      </c>
      <c r="KA37" s="258">
        <f t="shared" si="453"/>
        <v>0.76970076897642403</v>
      </c>
      <c r="KB37" s="258">
        <f t="shared" si="453"/>
        <v>0.76970076897642403</v>
      </c>
      <c r="KC37" s="258">
        <f t="shared" ca="1" si="451"/>
        <v>-522.57121832348321</v>
      </c>
    </row>
    <row r="38" spans="1:289" x14ac:dyDescent="0.3">
      <c r="A38" s="266" t="s">
        <v>290</v>
      </c>
      <c r="B38" s="267">
        <f ca="1">SUM(B16,B24,B27,B30,B31,B32)</f>
        <v>-551.53805072939394</v>
      </c>
      <c r="C38" s="267">
        <f>IF(C7&lt;='Assumption Sheet'!$B$13,SUM(C16,C24,C27,C30,C31,C32),0)</f>
        <v>-47.58</v>
      </c>
      <c r="D38" s="267">
        <f ca="1">IF(D7&lt;='Assumption Sheet'!$B$13,SUM(D16,D24,D27,D30,D31,D32),0)</f>
        <v>-8.9337692687772687</v>
      </c>
      <c r="E38" s="267">
        <f ca="1">IF(E7&lt;='Assumption Sheet'!$B$13,SUM(E16,E24,E27,E30,E31,E32),0)</f>
        <v>-6.3466370587420045</v>
      </c>
      <c r="F38" s="267">
        <f ca="1">IF(F7&lt;='Assumption Sheet'!$B$13,SUM(F16,F24,F27,F30,F31,F32),0)</f>
        <v>-5.983354782714625</v>
      </c>
      <c r="G38" s="267">
        <f ca="1">IF(G7&lt;='Assumption Sheet'!$B$13,SUM(G16,G24,G27,G30,G31,G32),0)</f>
        <v>-6.0311625495994576</v>
      </c>
      <c r="H38" s="267">
        <f ca="1">IF(H7&lt;='Assumption Sheet'!$B$13,SUM(H16,H24,H27,H30,H31,H32),0)</f>
        <v>-6.0793523066315434</v>
      </c>
      <c r="I38" s="267">
        <f ca="1">IF(I7&lt;='Assumption Sheet'!$B$13,SUM(I16,I24,I27,I30,I31,I32),0)</f>
        <v>-6.1279271059608176</v>
      </c>
      <c r="J38" s="267">
        <f ca="1">IF(J7&lt;='Assumption Sheet'!$B$13,SUM(J16,J24,J27,J30,J31,J32),0)</f>
        <v>-6.1768900241242815</v>
      </c>
      <c r="K38" s="267">
        <f ca="1">IF(K7&lt;='Assumption Sheet'!$B$13,SUM(K16,K24,K27,K30,K31,K32),0)</f>
        <v>-6.2506440946977602</v>
      </c>
      <c r="L38" s="267">
        <f ca="1">IF(L7&lt;='Assumption Sheet'!$B$13,SUM(L16,L24,L27,L30,L31,L32),0)</f>
        <v>-6.2921020092969151</v>
      </c>
      <c r="M38" s="267">
        <f ca="1">IF(M7&lt;='Assumption Sheet'!$B$13,SUM(M16,M24,M27,M30,M31,M32),0)</f>
        <v>-6.3308720408047359</v>
      </c>
      <c r="N38" s="267">
        <f ca="1">IF(N7&lt;='Assumption Sheet'!$B$13,SUM(N16,N24,N27,N30,N31,N32),0)</f>
        <v>-6.3669909372977864</v>
      </c>
      <c r="O38" s="267">
        <f ca="1">IF(O7&lt;='Assumption Sheet'!$B$13,SUM(O16,O24,O27,O30,O31,O32),0)</f>
        <v>-6.3949209131287725</v>
      </c>
      <c r="P38" s="267">
        <f ca="1">IF(P7&lt;='Assumption Sheet'!$B$13,SUM(P16,P24,P27,P30,P31,P32),0)</f>
        <v>-13.661759941454104</v>
      </c>
      <c r="Q38" s="267">
        <f ca="1">IF(Q7&lt;='Assumption Sheet'!$B$13,SUM(Q16,Q24,Q27,Q30,Q31,Q32),0)</f>
        <v>-12.757235544313213</v>
      </c>
      <c r="R38" s="267">
        <f ca="1">IF(R7&lt;='Assumption Sheet'!$B$13,SUM(R16,R24,R27,R30,R31,R32),0)</f>
        <v>-11.996347922972788</v>
      </c>
      <c r="S38" s="267">
        <f ca="1">IF(S7&lt;='Assumption Sheet'!$B$13,SUM(S16,S24,S27,S30,S31,S32),0)</f>
        <v>-12.048972107748357</v>
      </c>
      <c r="T38" s="267">
        <f ca="1">IF(T7&lt;='Assumption Sheet'!$B$13,SUM(T16,T24,T27,T30,T31,T32),0)</f>
        <v>-12.101827138181376</v>
      </c>
      <c r="U38" s="267">
        <f ca="1">IF(U7&lt;='Assumption Sheet'!$B$13,SUM(U16,U24,U27,U30,U31,U32),0)</f>
        <v>-12.154914026918746</v>
      </c>
      <c r="V38" s="267">
        <f ca="1">IF(V7&lt;='Assumption Sheet'!$B$13,SUM(V16,V24,V27,V30,V31,V32),0)</f>
        <v>-13.256765854749721</v>
      </c>
      <c r="W38" s="267">
        <f ca="1">IF(W7&lt;='Assumption Sheet'!$B$13,SUM(W16,W24,W27,W30,W31,W32),0)</f>
        <v>-12.313563601154513</v>
      </c>
      <c r="X38" s="267">
        <f ca="1">IF(X7&lt;='Assumption Sheet'!$B$13,SUM(X16,X24,X27,X30,X31,X32),0)</f>
        <v>-12.367579310798275</v>
      </c>
      <c r="Y38" s="267">
        <f ca="1">IF(Y7&lt;='Assumption Sheet'!$B$13,SUM(Y16,Y24,Y27,Y30,Y31,Y32),0)</f>
        <v>-17.888352610483622</v>
      </c>
      <c r="Z38" s="267">
        <f ca="1">IF(Z7&lt;='Assumption Sheet'!$B$13,SUM(Z16,Z24,Z27,Z30,Z31,Z32),0)</f>
        <v>-17.564790639583066</v>
      </c>
      <c r="AA38" s="267">
        <f ca="1">IF(AA7&lt;='Assumption Sheet'!$B$13,SUM(AA16,AA24,AA27,AA30,AA31,AA32),0)</f>
        <v>-17.301338263879558</v>
      </c>
      <c r="AB38" s="267">
        <f ca="1">IF(AB7&lt;='Assumption Sheet'!$B$13,SUM(AB16,AB24,AB27,AB30,AB31,AB32),0)</f>
        <v>-5.9974742656207134</v>
      </c>
      <c r="AC38" s="267">
        <f ca="1">IF(AC7&lt;='Assumption Sheet'!$B$13,SUM(AC16,AC24,AC27,AC30,AC31,AC32),0)</f>
        <v>-6.0237832886639975</v>
      </c>
      <c r="AD38" s="267">
        <f ca="1">IF(AD7&lt;='Assumption Sheet'!$B$13,SUM(AD16,AD24,AD27,AD30,AD31,AD32),0)</f>
        <v>-6.0502077210717635</v>
      </c>
      <c r="AE38" s="267">
        <f ca="1">IF(AE7&lt;='Assumption Sheet'!$B$13,SUM(AE16,AE24,AE27,AE30,AE31,AE32),0)</f>
        <v>-6.0767480691083975</v>
      </c>
      <c r="AF38" s="267">
        <f ca="1">IF(AF7&lt;='Assumption Sheet'!$B$13,SUM(AF16,AF24,AF27,AF30,AF31,AF32),0)</f>
        <v>-6.1230703837069527</v>
      </c>
      <c r="AG38" s="267">
        <f ca="1">IF(AG7&lt;='Assumption Sheet'!$B$13,SUM(AG16,AG24,AG27,AG30,AG31,AG32),0)</f>
        <v>-6.1499303572034654</v>
      </c>
      <c r="AH38" s="267">
        <f ca="1">IF(AH7&lt;='Assumption Sheet'!$B$13,SUM(AH16,AH24,AH27,AH30,AH31,AH32),0)</f>
        <v>-19.935258998312651</v>
      </c>
      <c r="AI38" s="267">
        <f ca="1">IF(AI7&lt;='Assumption Sheet'!$B$13,SUM(AI16,AI24,AI27,AI30,AI31,AI32),0)</f>
        <v>-17.129271608546901</v>
      </c>
      <c r="AJ38" s="267">
        <f ca="1">IF(AJ7&lt;='Assumption Sheet'!$B$13,SUM(AJ16,AJ24,AJ27,AJ30,AJ31,AJ32),0)</f>
        <v>-16.4739254920432</v>
      </c>
      <c r="AK38" s="267">
        <f ca="1">IF(AK7&lt;='Assumption Sheet'!$B$13,SUM(AK16,AK24,AK27,AK30,AK31,AK32),0)</f>
        <v>-11.802541285853897</v>
      </c>
      <c r="AL38" s="267">
        <f ca="1">IF(AL7&lt;='Assumption Sheet'!$B$13,SUM(AL16,AL24,AL27,AL30,AL31,AL32),0)</f>
        <v>-11.854315302199208</v>
      </c>
      <c r="AM38" s="267">
        <f ca="1">IF(AM7&lt;='Assumption Sheet'!$B$13,SUM(AM16,AM24,AM27,AM30,AM31,AM32),0)</f>
        <v>-11.906316434781914</v>
      </c>
      <c r="AN38" s="267">
        <f ca="1">IF(AN7&lt;='Assumption Sheet'!$B$13,SUM(AN16,AN24,AN27,AN30,AN31,AN32),0)</f>
        <v>-11.958545679889125</v>
      </c>
      <c r="AO38" s="267">
        <f ca="1">IF(AO7&lt;='Assumption Sheet'!$B$13,SUM(AO16,AO24,AO27,AO30,AO31,AO32),0)</f>
        <v>-12.053192788122573</v>
      </c>
      <c r="AP38" s="267">
        <f ca="1">IF(AP7&lt;='Assumption Sheet'!$B$13,SUM(AP16,AP24,AP27,AP30,AP31,AP32),0)</f>
        <v>-12.106066333345701</v>
      </c>
      <c r="AQ38" s="267">
        <f ca="1">IF(AQ7&lt;='Assumption Sheet'!$B$13,SUM(AQ16,AQ24,AQ27,AQ30,AQ31,AQ32),0)</f>
        <v>-14.901509003453683</v>
      </c>
      <c r="AR38" s="267">
        <f ca="1">IF(AR7&lt;='Assumption Sheet'!$B$13,SUM(AR16,AR24,AR27,AR30,AR31,AR32),0)</f>
        <v>-13.948744574167611</v>
      </c>
      <c r="AS38" s="267">
        <f ca="1">IF(AS7&lt;='Assumption Sheet'!$B$13,SUM(AS16,AS24,AS27,AS30,AS31,AS32),0)</f>
        <v>-13.993597016637917</v>
      </c>
      <c r="AT38" s="267">
        <f ca="1">IF(AT7&lt;='Assumption Sheet'!$B$13,SUM(AT16,AT24,AT27,AT30,AT31,AT32),0)</f>
        <v>-3.8783667915142193</v>
      </c>
      <c r="AU38" s="267">
        <f ca="1">IF(AU7&lt;='Assumption Sheet'!$B$13,SUM(AU16,AU24,AU27,AU30,AU31,AU32),0)</f>
        <v>-3.8953799601864305</v>
      </c>
      <c r="AV38" s="267">
        <f ca="1">IF(AV7&lt;='Assumption Sheet'!$B$13,SUM(AV16,AV24,AV27,AV30,AV31,AV32),0)</f>
        <v>-3.912467760249593</v>
      </c>
      <c r="AW38" s="267">
        <f ca="1">IF(AW7&lt;='Assumption Sheet'!$B$13,SUM(AW16,AW24,AW27,AW30,AW31,AW32),0)</f>
        <v>-3.9296305190880179</v>
      </c>
      <c r="AX38" s="267">
        <f ca="1">IF(AX7&lt;='Assumption Sheet'!$B$13,SUM(AX16,AX24,AX27,AX30,AX31,AX32),0)</f>
        <v>-3.9468685655221494</v>
      </c>
      <c r="AY38" s="267">
        <f ca="1">IF(AY7&lt;='Assumption Sheet'!$B$13,SUM(AY16,AY24,AY27,AY30,AY31,AY32),0)</f>
        <v>-3.9641822298148606</v>
      </c>
      <c r="AZ38" s="267">
        <f ca="1">IF(AZ7&lt;='Assumption Sheet'!$B$13,SUM(AZ16,AZ24,AZ27,AZ30,AZ31,AZ32),0)</f>
        <v>-5.797797528776349</v>
      </c>
      <c r="BA38" s="267">
        <f ca="1">IF(BA7&lt;='Assumption Sheet'!$B$13,SUM(BA16,BA24,BA27,BA30,BA31,BA32),0)</f>
        <v>-4.0157949878445063</v>
      </c>
      <c r="BB38" s="267">
        <f ca="1">IF(BB7&lt;='Assumption Sheet'!$B$13,SUM(BB16,BB24,BB27,BB30,BB31,BB32),0)</f>
        <v>-4.0334110105555885</v>
      </c>
      <c r="BC38" s="267">
        <f ca="1">IF(BC7&lt;='Assumption Sheet'!$B$13,SUM(BC16,BC24,BC27,BC30,BC31,BC32),0)</f>
        <v>-4.0511043091876511</v>
      </c>
      <c r="BD38" s="267">
        <f ca="1">IF(BD7&lt;='Assumption Sheet'!$B$13,SUM(BD16,BD24,BD27,BD30,BD31,BD32),0)</f>
        <v>-4.0688752227257243</v>
      </c>
      <c r="BE38" s="267">
        <f ca="1">IF(BE7&lt;='Assumption Sheet'!$B$13,SUM(BE16,BE24,BE27,BE30,BE31,BE32),0)</f>
        <v>-11.251603187185655</v>
      </c>
      <c r="BF38" s="267">
        <f>IF(BF7&lt;='Assumption Sheet'!$B$13,SUM(BF16,BF24,BF27,BF30,BF31,BF32),0)</f>
        <v>0</v>
      </c>
      <c r="BG38" s="267">
        <f>IF(BG7&lt;='Assumption Sheet'!$B$13,SUM(BG16,BG24,BG27,BG30,BG31,BG32),0)</f>
        <v>0</v>
      </c>
      <c r="BH38" s="267">
        <f>IF(BH7&lt;='Assumption Sheet'!$B$13,SUM(BH16,BH24,BH27,BH30,BH31,BH32),0)</f>
        <v>0</v>
      </c>
      <c r="BI38" s="267">
        <f>IF(BI7&lt;='Assumption Sheet'!$B$13,SUM(BI16,BI24,BI27,BI30,BI31,BI32),0)</f>
        <v>0</v>
      </c>
      <c r="BJ38" s="267">
        <f>IF(BJ7&lt;='Assumption Sheet'!$B$13,SUM(BJ16,BJ24,BJ27,BJ30,BJ31,BJ32),0)</f>
        <v>0</v>
      </c>
      <c r="BK38" s="267">
        <f>IF(BK7&lt;='Assumption Sheet'!$B$13,SUM(BK16,BK24,BK27,BK30,BK31,BK32),0)</f>
        <v>0</v>
      </c>
      <c r="BL38" s="267">
        <f>IF(BL7&lt;='Assumption Sheet'!$B$13,SUM(BL16,BL24,BL27,BL30,BL31,BL32),0)</f>
        <v>0</v>
      </c>
      <c r="BM38" s="267">
        <f>IF(BM7&lt;='Assumption Sheet'!$B$13,SUM(BM16,BM24,BM27,BM30,BM31,BM32),0)</f>
        <v>0</v>
      </c>
      <c r="BN38" s="267">
        <f>IF(BN7&lt;='Assumption Sheet'!$B$13,SUM(BN16,BN24,BN27,BN30,BN31,BN32),0)</f>
        <v>0</v>
      </c>
      <c r="BO38" s="267">
        <f>IF(BO7&lt;='Assumption Sheet'!$B$13,SUM(BO16,BO24,BO27,BO30,BO31,BO32),0)</f>
        <v>0</v>
      </c>
      <c r="BP38" s="267">
        <f>IF(BP7&lt;='Assumption Sheet'!$B$13,SUM(BP16,BP24,BP27,BP30,BP31,BP32),0)</f>
        <v>0</v>
      </c>
      <c r="BQ38" s="267">
        <f>IF(BQ7&lt;='Assumption Sheet'!$B$13,SUM(BQ16,BQ24,BQ27,BQ30,BQ31,BQ32),0)</f>
        <v>0</v>
      </c>
      <c r="BR38" s="267">
        <f>IF(BR7&lt;='Assumption Sheet'!$B$13,SUM(BR16,BR24,BR27,BR30,BR31,BR32),0)</f>
        <v>0</v>
      </c>
      <c r="BS38" s="267">
        <f>IF(BS7&lt;='Assumption Sheet'!$B$13,SUM(BS16,BS24,BS27,BS30,BS31,BS32),0)</f>
        <v>0</v>
      </c>
      <c r="BT38" s="267">
        <f>IF(BT7&lt;='Assumption Sheet'!$B$13,SUM(BT16,BT24,BT27,BT30,BT31,BT32),0)</f>
        <v>0</v>
      </c>
      <c r="BU38" s="267">
        <f>IF(BU7&lt;='Assumption Sheet'!$B$13,SUM(BU16,BU24,BU27,BU30,BU31,BU32),0)</f>
        <v>0</v>
      </c>
      <c r="BV38" s="267">
        <f>IF(BV7&lt;='Assumption Sheet'!$B$13,SUM(BV16,BV24,BV27,BV30,BV31,BV32),0)</f>
        <v>0</v>
      </c>
      <c r="BW38" s="267">
        <f>IF(BW7&lt;='Assumption Sheet'!$B$13,SUM(BW16,BW24,BW27,BW30,BW31,BW32),0)</f>
        <v>0</v>
      </c>
      <c r="BX38" s="267">
        <f>IF(BX7&lt;='Assumption Sheet'!$B$13,SUM(BX16,BX24,BX27,BX30,BX31,BX32),0)</f>
        <v>0</v>
      </c>
      <c r="BY38" s="267">
        <f>IF(BY7&lt;='Assumption Sheet'!$B$13,SUM(BY16,BY24,BY27,BY30,BY31,BY32),0)</f>
        <v>0</v>
      </c>
      <c r="BZ38" s="267">
        <f>IF(BZ7&lt;='Assumption Sheet'!$B$13,SUM(BZ16,BZ24,BZ27,BZ30,BZ31,BZ32),0)</f>
        <v>0</v>
      </c>
      <c r="CA38" s="267">
        <f>IF(CA7&lt;='Assumption Sheet'!$B$13,SUM(CA16,CA24,CA27,CA30,CA31,CA32),0)</f>
        <v>0</v>
      </c>
      <c r="CB38" s="267">
        <f>IF(CB7&lt;='Assumption Sheet'!$B$13,SUM(CB16,CB24,CB27,CB30,CB31,CB32),0)</f>
        <v>0</v>
      </c>
      <c r="CC38" s="267">
        <f>IF(CC7&lt;='Assumption Sheet'!$B$13,SUM(CC16,CC24,CC27,CC30,CC31,CC32),0)</f>
        <v>0</v>
      </c>
      <c r="CD38" s="267">
        <f>IF(CD7&lt;='Assumption Sheet'!$B$13,SUM(CD16,CD24,CD27,CD30,CD31,CD32),0)</f>
        <v>0</v>
      </c>
      <c r="CE38" s="267">
        <f>IF(CE7&lt;='Assumption Sheet'!$B$13,SUM(CE16,CE24,CE27,CE30,CE31,CE32),0)</f>
        <v>0</v>
      </c>
      <c r="CF38" s="267">
        <f>IF(CF7&lt;='Assumption Sheet'!$B$13,SUM(CF16,CF24,CF27,CF30,CF31,CF32),0)</f>
        <v>0</v>
      </c>
      <c r="CG38" s="267">
        <f>IF(CG7&lt;='Assumption Sheet'!$B$13,SUM(CG16,CG24,CG27,CG30,CG31,CG32),0)</f>
        <v>0</v>
      </c>
      <c r="CH38" s="267">
        <f>IF(CH7&lt;='Assumption Sheet'!$B$13,SUM(CH16,CH24,CH27,CH30,CH31,CH32),0)</f>
        <v>0</v>
      </c>
      <c r="CI38" s="267">
        <f>IF(CI7&lt;='Assumption Sheet'!$B$13,SUM(CI16,CI24,CI27,CI30,CI31,CI32),0)</f>
        <v>0</v>
      </c>
      <c r="CJ38" s="267">
        <f>IF(CJ7&lt;='Assumption Sheet'!$B$13,SUM(CJ16,CJ24,CJ27,CJ30,CJ31,CJ32),0)</f>
        <v>0</v>
      </c>
      <c r="CK38" s="267">
        <f>IF(CK7&lt;='Assumption Sheet'!$B$13,SUM(CK16,CK24,CK27,CK30,CK31,CK32),0)</f>
        <v>0</v>
      </c>
      <c r="CL38" s="267">
        <f>IF(CL7&lt;='Assumption Sheet'!$B$13,SUM(CL16,CL24,CL27,CL30,CL31,CL32),0)</f>
        <v>0</v>
      </c>
      <c r="CM38" s="267">
        <f>IF(CM7&lt;='Assumption Sheet'!$B$13,SUM(CM16,CM24,CM27,CM30,CM31,CM32),0)</f>
        <v>0</v>
      </c>
      <c r="CN38" s="267">
        <f>IF(CN7&lt;='Assumption Sheet'!$B$13,SUM(CN16,CN24,CN27,CN30,CN31,CN32),0)</f>
        <v>0</v>
      </c>
      <c r="CO38" s="267">
        <f>IF(CO7&lt;='Assumption Sheet'!$B$13,SUM(CO16,CO24,CO27,CO30,CO31,CO32),0)</f>
        <v>0</v>
      </c>
      <c r="CP38" s="267">
        <f>IF(CP7&lt;='Assumption Sheet'!$B$13,SUM(CP16,CP24,CP27,CP30,CP31,CP32),0)</f>
        <v>0</v>
      </c>
      <c r="CQ38" s="267">
        <f>IF(CQ7&lt;='Assumption Sheet'!$B$13,SUM(CQ16,CQ24,CQ27,CQ30,CQ31,CQ32),0)</f>
        <v>0</v>
      </c>
      <c r="CR38" s="267">
        <f>IF(CR7&lt;='Assumption Sheet'!$B$13,SUM(CR16,CR24,CR27,CR30,CR31,CR32),0)</f>
        <v>0</v>
      </c>
      <c r="CS38" s="267">
        <f>IF(CS7&lt;='Assumption Sheet'!$B$13,SUM(CS16,CS24,CS27,CS30,CS31,CS32),0)</f>
        <v>0</v>
      </c>
      <c r="CT38" s="267">
        <f>IF(CT7&lt;='Assumption Sheet'!$B$13,SUM(CT16,CT24,CT27,CT30,CT31,CT32),0)</f>
        <v>0</v>
      </c>
      <c r="CU38" s="267">
        <f>IF(CU7&lt;='Assumption Sheet'!$B$13,SUM(CU16,CU24,CU27,CU30,CU31,CU32),0)</f>
        <v>0</v>
      </c>
      <c r="CV38" s="267">
        <f>IF(CV7&lt;='Assumption Sheet'!$B$13,SUM(CV16,CV24,CV27,CV30,CV31,CV32),0)</f>
        <v>0</v>
      </c>
      <c r="CW38" s="267">
        <f>IF(CW7&lt;='Assumption Sheet'!$B$13,SUM(CW16,CW24,CW27,CW30,CW31,CW32),0)</f>
        <v>0</v>
      </c>
      <c r="CX38" s="267">
        <f>IF(CX7&lt;='Assumption Sheet'!$B$13,SUM(CX16,CX24,CX27,CX30,CX31,CX32),0)</f>
        <v>0</v>
      </c>
      <c r="CY38" s="267">
        <f>IF(CY7&lt;='Assumption Sheet'!$B$13,SUM(CY16,CY24,CY27,CY30,CY31,CY32),0)</f>
        <v>0</v>
      </c>
      <c r="CZ38" s="267">
        <f>IF(CZ7&lt;='Assumption Sheet'!$B$13,SUM(CZ16,CZ24,CZ27,CZ30,CZ31,CZ32),0)</f>
        <v>0</v>
      </c>
      <c r="DA38" s="267">
        <f>IF(DA7&lt;='Assumption Sheet'!$B$13,SUM(DA16,DA24,DA27,DA30,DA31,DA32),0)</f>
        <v>0</v>
      </c>
      <c r="DB38" s="267">
        <f>IF(DB7&lt;='Assumption Sheet'!$B$13,SUM(DB16,DB24,DB27,DB30,DB31,DB32),0)</f>
        <v>0</v>
      </c>
      <c r="DC38" s="267">
        <f>IF(DC7&lt;='Assumption Sheet'!$B$13,SUM(DC16,DC24,DC27,DC30,DC31,DC32),0)</f>
        <v>0</v>
      </c>
      <c r="DD38" s="267">
        <f>IF(DD7&lt;='Assumption Sheet'!$B$13,SUM(DD16,DD24,DD27,DD30,DD31,DD32),0)</f>
        <v>0</v>
      </c>
      <c r="DE38" s="267">
        <f>IF(DE7&lt;='Assumption Sheet'!$B$13,SUM(DE16,DE24,DE27,DE30,DE31,DE32),0)</f>
        <v>0</v>
      </c>
      <c r="DF38" s="267">
        <f>IF(DF7&lt;='Assumption Sheet'!$B$13,SUM(DF16,DF24,DF27,DF30,DF31,DF32),0)</f>
        <v>0</v>
      </c>
      <c r="DG38" s="267">
        <f>IF(DG7&lt;='Assumption Sheet'!$B$13,SUM(DG16,DG24,DG27,DG30,DG31,DG32),0)</f>
        <v>0</v>
      </c>
      <c r="DH38" s="267">
        <f>IF(DH7&lt;='Assumption Sheet'!$B$13,SUM(DH16,DH24,DH27,DH30,DH31,DH32),0)</f>
        <v>0</v>
      </c>
      <c r="DI38" s="267">
        <f>IF(DI7&lt;='Assumption Sheet'!$B$13,SUM(DI16,DI24,DI27,DI30,DI31,DI32),0)</f>
        <v>0</v>
      </c>
      <c r="DJ38" s="267">
        <f>IF(DJ7&lt;='Assumption Sheet'!$B$13,SUM(DJ16,DJ24,DJ27,DJ30,DJ31,DJ32),0)</f>
        <v>0</v>
      </c>
      <c r="DK38" s="267">
        <f>IF(DK7&lt;='Assumption Sheet'!$B$13,SUM(DK16,DK24,DK27,DK30,DK31,DK32),0)</f>
        <v>0</v>
      </c>
      <c r="DL38" s="267">
        <f>IF(DL7&lt;='Assumption Sheet'!$B$13,SUM(DL16,DL24,DL27,DL30,DL31,DL32),0)</f>
        <v>0</v>
      </c>
      <c r="DM38" s="267">
        <f>IF(DM7&lt;='Assumption Sheet'!$B$13,SUM(DM16,DM24,DM27,DM30,DM31,DM32),0)</f>
        <v>0</v>
      </c>
      <c r="DN38" s="267">
        <f>IF(DN7&lt;='Assumption Sheet'!$B$13,SUM(DN16,DN24,DN27,DN30,DN31,DN32),0)</f>
        <v>0</v>
      </c>
      <c r="DO38" s="267">
        <f>IF(DO7&lt;='Assumption Sheet'!$B$13,SUM(DO16,DO24,DO27,DO30,DO31,DO32),0)</f>
        <v>0</v>
      </c>
      <c r="DP38" s="267">
        <f>IF(DP7&lt;='Assumption Sheet'!$B$13,SUM(DP16,DP24,DP27,DP30,DP31,DP32),0)</f>
        <v>0</v>
      </c>
      <c r="DQ38" s="267">
        <f>IF(DQ7&lt;='Assumption Sheet'!$B$13,SUM(DQ16,DQ24,DQ27,DQ30,DQ31,DQ32),0)</f>
        <v>0</v>
      </c>
      <c r="DR38" s="267">
        <f>IF(DR7&lt;='Assumption Sheet'!$B$13,SUM(DR16,DR24,DR27,DR30,DR31,DR32),0)</f>
        <v>0</v>
      </c>
      <c r="DS38" s="267">
        <f>IF(DS7&lt;='Assumption Sheet'!$B$13,SUM(DS16,DS24,DS27,DS30,DS31,DS32),0)</f>
        <v>0</v>
      </c>
      <c r="DT38" s="267">
        <f>IF(DT7&lt;='Assumption Sheet'!$B$13,SUM(DT16,DT24,DT27,DT30,DT31,DT32),0)</f>
        <v>0</v>
      </c>
      <c r="DU38" s="267">
        <f>IF(DU7&lt;='Assumption Sheet'!$B$13,SUM(DU16,DU24,DU27,DU30,DU31,DU32),0)</f>
        <v>0</v>
      </c>
      <c r="DV38" s="267">
        <f>IF(DV7&lt;='Assumption Sheet'!$B$13,SUM(DV16,DV24,DV27,DV30,DV31,DV32),0)</f>
        <v>0</v>
      </c>
      <c r="DW38" s="267">
        <f>IF(DW7&lt;='Assumption Sheet'!$B$13,SUM(DW16,DW24,DW27,DW30,DW31,DW32),0)</f>
        <v>0</v>
      </c>
      <c r="DX38" s="267">
        <f>IF(DX7&lt;='Assumption Sheet'!$B$13,SUM(DX16,DX24,DX27,DX30,DX31,DX32),0)</f>
        <v>0</v>
      </c>
      <c r="DY38" s="267">
        <f>IF(DY7&lt;='Assumption Sheet'!$B$13,SUM(DY16,DY24,DY27,DY30,DY31,DY32),0)</f>
        <v>0</v>
      </c>
      <c r="DZ38" s="267">
        <f>IF(DZ7&lt;='Assumption Sheet'!$B$13,SUM(DZ16,DZ24,DZ27,DZ30,DZ31,DZ32),0)</f>
        <v>0</v>
      </c>
      <c r="EA38" s="267">
        <f>IF(EA7&lt;='Assumption Sheet'!$B$13,SUM(EA16,EA24,EA27,EA30,EA31,EA32),0)</f>
        <v>0</v>
      </c>
      <c r="EB38" s="267">
        <f>IF(EB7&lt;='Assumption Sheet'!$B$13,SUM(EB16,EB24,EB27,EB30,EB31,EB32),0)</f>
        <v>0</v>
      </c>
      <c r="EC38" s="267">
        <f>IF(EC7&lt;='Assumption Sheet'!$B$13,SUM(EC16,EC24,EC27,EC30,EC31,EC32),0)</f>
        <v>0</v>
      </c>
      <c r="ED38" s="267">
        <f>IF(ED7&lt;='Assumption Sheet'!$B$13,SUM(ED16,ED24,ED27,ED30,ED31,ED32),0)</f>
        <v>0</v>
      </c>
      <c r="EE38" s="267">
        <f>IF(EE7&lt;='Assumption Sheet'!$B$13,SUM(EE16,EE24,EE27,EE30,EE31,EE32),0)</f>
        <v>0</v>
      </c>
      <c r="EF38" s="267">
        <f>IF(EF7&lt;='Assumption Sheet'!$B$13,SUM(EF16,EF24,EF27,EF30,EF31,EF32),0)</f>
        <v>0</v>
      </c>
      <c r="EG38" s="267">
        <f>IF(EG7&lt;='Assumption Sheet'!$B$13,SUM(EG16,EG24,EG27,EG30,EG31,EG32),0)</f>
        <v>0</v>
      </c>
      <c r="EH38" s="267">
        <f>IF(EH7&lt;='Assumption Sheet'!$B$13,SUM(EH16,EH24,EH27,EH30,EH31,EH32),0)</f>
        <v>0</v>
      </c>
      <c r="EI38" s="267">
        <f>IF(EI7&lt;='Assumption Sheet'!$B$13,SUM(EI16,EI24,EI27,EI30,EI31,EI32),0)</f>
        <v>0</v>
      </c>
      <c r="EJ38" s="267">
        <f>IF(EJ7&lt;='Assumption Sheet'!$B$13,SUM(EJ16,EJ24,EJ27,EJ30,EJ31,EJ32),0)</f>
        <v>0</v>
      </c>
      <c r="EK38" s="267">
        <f>IF(EK7&lt;='Assumption Sheet'!$B$13,SUM(EK16,EK24,EK27,EK30,EK31,EK32),0)</f>
        <v>0</v>
      </c>
      <c r="EL38" s="267">
        <f>IF(EL7&lt;='Assumption Sheet'!$B$13,SUM(EL16,EL24,EL27,EL30,EL31,EL32),0)</f>
        <v>0</v>
      </c>
      <c r="EM38" s="267">
        <f>IF(EM7&lt;='Assumption Sheet'!$B$13,SUM(EM16,EM24,EM27,EM30,EM31,EM32),0)</f>
        <v>0</v>
      </c>
      <c r="EN38" s="267">
        <f>IF(EN7&lt;='Assumption Sheet'!$B$13,SUM(EN16,EN24,EN27,EN30,EN31,EN32),0)</f>
        <v>0</v>
      </c>
      <c r="EO38" s="267">
        <f>IF(EO7&lt;='Assumption Sheet'!$B$13,SUM(EO16,EO24,EO27,EO30,EO31,EO32),0)</f>
        <v>0</v>
      </c>
      <c r="EP38" s="267">
        <f>IF(EP7&lt;='Assumption Sheet'!$B$13,SUM(EP16,EP24,EP27,EP30,EP31,EP32),0)</f>
        <v>0</v>
      </c>
      <c r="EQ38" s="267">
        <f>IF(EQ7&lt;='Assumption Sheet'!$B$13,SUM(EQ16,EQ24,EQ27,EQ30,EQ31,EQ32),0)</f>
        <v>0</v>
      </c>
      <c r="ER38" s="267">
        <f>IF(ER7&lt;='Assumption Sheet'!$B$13,SUM(ER16,ER24,ER27,ER30,ER31,ER32),0)</f>
        <v>0</v>
      </c>
      <c r="ES38" s="267">
        <f>IF(ES7&lt;='Assumption Sheet'!$B$13,SUM(ES16,ES24,ES27,ES30,ES31,ES32),0)</f>
        <v>0</v>
      </c>
      <c r="ET38" s="267">
        <f>IF(ET7&lt;='Assumption Sheet'!$B$13,SUM(ET16,ET24,ET27,ET30,ET31,ET32),0)</f>
        <v>0</v>
      </c>
      <c r="EU38" s="267">
        <f>IF(EU7&lt;='Assumption Sheet'!$B$13,SUM(EU16,EU24,EU27,EU30,EU31,EU32),0)</f>
        <v>0</v>
      </c>
      <c r="EV38" s="267">
        <f>IF(EV7&lt;='Assumption Sheet'!$B$13,SUM(EV16,EV24,EV27,EV30,EV31,EV32),0)</f>
        <v>0</v>
      </c>
      <c r="EW38" s="267">
        <f>IF(EW7&lt;='Assumption Sheet'!$B$13,SUM(EW16,EW24,EW27,EW30,EW31,EW32),0)</f>
        <v>0</v>
      </c>
      <c r="EX38" s="267">
        <f>IF(EX7&lt;='Assumption Sheet'!$B$13,SUM(EX16,EX24,EX27,EX30,EX31,EX32),0)</f>
        <v>0</v>
      </c>
      <c r="EY38" s="267">
        <f>IF(EY7&lt;='Assumption Sheet'!$B$13,SUM(EY16,EY24,EY27,EY30,EY31,EY32),0)</f>
        <v>0</v>
      </c>
      <c r="EZ38" s="267">
        <f>IF(EZ7&lt;='Assumption Sheet'!$B$13,SUM(EZ16,EZ24,EZ27,EZ30,EZ31,EZ32),0)</f>
        <v>0</v>
      </c>
      <c r="FA38" s="267">
        <f>IF(FA7&lt;='Assumption Sheet'!$B$13,SUM(FA16,FA24,FA27,FA30,FA31,FA32),0)</f>
        <v>0</v>
      </c>
      <c r="FB38" s="267">
        <f>IF(FB7&lt;='Assumption Sheet'!$B$13,SUM(FB16,FB24,FB27,FB30,FB31,FB32),0)</f>
        <v>0</v>
      </c>
      <c r="FC38" s="267">
        <f>IF(FC7&lt;='Assumption Sheet'!$B$13,SUM(FC16,FC24,FC27,FC30,FC31,FC32),0)</f>
        <v>0</v>
      </c>
      <c r="FD38" s="267">
        <f>IF(FD7&lt;='Assumption Sheet'!$B$13,SUM(FD16,FD24,FD27,FD30,FD31,FD32),0)</f>
        <v>0</v>
      </c>
      <c r="FE38" s="267">
        <f>IF(FE7&lt;='Assumption Sheet'!$B$13,SUM(FE16,FE24,FE27,FE30,FE31,FE32),0)</f>
        <v>0</v>
      </c>
      <c r="FF38" s="267">
        <f>IF(FF7&lt;='Assumption Sheet'!$B$13,SUM(FF16,FF24,FF27,FF30,FF31,FF32),0)</f>
        <v>0</v>
      </c>
      <c r="FG38" s="267">
        <f>IF(FG7&lt;='Assumption Sheet'!$B$13,SUM(FG16,FG24,FG27,FG30,FG31,FG32),0)</f>
        <v>0</v>
      </c>
      <c r="FH38" s="267">
        <f>IF(FH7&lt;='Assumption Sheet'!$B$13,SUM(FH16,FH24,FH27,FH30,FH31,FH32),0)</f>
        <v>0</v>
      </c>
      <c r="FI38" s="267">
        <f>IF(FI7&lt;='Assumption Sheet'!$B$13,SUM(FI16,FI24,FI27,FI30,FI31,FI32),0)</f>
        <v>0</v>
      </c>
      <c r="FJ38" s="267">
        <f>IF(FJ7&lt;='Assumption Sheet'!$B$13,SUM(FJ16,FJ24,FJ27,FJ30,FJ31,FJ32),0)</f>
        <v>0</v>
      </c>
      <c r="FK38" s="267">
        <f>IF(FK7&lt;='Assumption Sheet'!$B$13,SUM(FK16,FK24,FK27,FK30,FK31,FK32),0)</f>
        <v>0</v>
      </c>
      <c r="FL38" s="267">
        <f>IF(FL7&lt;='Assumption Sheet'!$B$13,SUM(FL16,FL24,FL27,FL30,FL31,FL32),0)</f>
        <v>0</v>
      </c>
      <c r="FM38" s="267">
        <f>IF(FM7&lt;='Assumption Sheet'!$B$13,SUM(FM16,FM24,FM27,FM30,FM31,FM32),0)</f>
        <v>0</v>
      </c>
      <c r="FN38" s="267">
        <f>IF(FN7&lt;='Assumption Sheet'!$B$13,SUM(FN16,FN24,FN27,FN30,FN31,FN32),0)</f>
        <v>0</v>
      </c>
      <c r="FO38" s="267">
        <f>IF(FO7&lt;='Assumption Sheet'!$B$13,SUM(FO16,FO24,FO27,FO30,FO31,FO32),0)</f>
        <v>0</v>
      </c>
      <c r="FP38" s="267">
        <f>IF(FP7&lt;='Assumption Sheet'!$B$13,SUM(FP16,FP24,FP27,FP30,FP31,FP32),0)</f>
        <v>0</v>
      </c>
      <c r="FQ38" s="267">
        <f>IF(FQ7&lt;='Assumption Sheet'!$B$13,SUM(FQ16,FQ24,FQ27,FQ30,FQ31,FQ32),0)</f>
        <v>0</v>
      </c>
      <c r="FR38" s="267">
        <f>IF(FR7&lt;='Assumption Sheet'!$B$13,SUM(FR16,FR24,FR27,FR30,FR31,FR32),0)</f>
        <v>0</v>
      </c>
      <c r="FS38" s="267">
        <f>IF(FS7&lt;='Assumption Sheet'!$B$13,SUM(FS16,FS24,FS27,FS30,FS31,FS32),0)</f>
        <v>0</v>
      </c>
      <c r="FT38" s="267">
        <f>IF(FT7&lt;='Assumption Sheet'!$B$13,SUM(FT16,FT24,FT27,FT30,FT31,FT32),0)</f>
        <v>0</v>
      </c>
      <c r="FU38" s="267">
        <f>IF(FU7&lt;='Assumption Sheet'!$B$13,SUM(FU16,FU24,FU27,FU30,FU31,FU32),0)</f>
        <v>0</v>
      </c>
      <c r="FV38" s="267">
        <f>IF(FV7&lt;='Assumption Sheet'!$B$13,SUM(FV16,FV24,FV27,FV30,FV31,FV32),0)</f>
        <v>0</v>
      </c>
      <c r="FW38" s="267">
        <f>IF(FW7&lt;='Assumption Sheet'!$B$13,SUM(FW16,FW24,FW27,FW30,FW31,FW32),0)</f>
        <v>0</v>
      </c>
      <c r="FX38" s="267">
        <f>IF(FX7&lt;='Assumption Sheet'!$B$13,SUM(FX16,FX24,FX27,FX30,FX31,FX32),0)</f>
        <v>0</v>
      </c>
      <c r="FY38" s="267">
        <f>IF(FY7&lt;='Assumption Sheet'!$B$13,SUM(FY16,FY24,FY27,FY30,FY31,FY32),0)</f>
        <v>0</v>
      </c>
      <c r="FZ38" s="267">
        <f>IF(FZ7&lt;='Assumption Sheet'!$B$13,SUM(FZ16,FZ24,FZ27,FZ30,FZ31,FZ32),0)</f>
        <v>0</v>
      </c>
      <c r="GA38" s="267">
        <f>IF(GA7&lt;='Assumption Sheet'!$B$13,SUM(GA16,GA24,GA27,GA30,GA31,GA32),0)</f>
        <v>0</v>
      </c>
      <c r="GB38" s="267">
        <f>IF(GB7&lt;='Assumption Sheet'!$B$13,SUM(GB16,GB24,GB27,GB30,GB31,GB32),0)</f>
        <v>0</v>
      </c>
      <c r="GC38" s="267">
        <f>IF(GC7&lt;='Assumption Sheet'!$B$13,SUM(GC16,GC24,GC27,GC30,GC31,GC32),0)</f>
        <v>0</v>
      </c>
      <c r="GD38" s="267">
        <f>IF(GD7&lt;='Assumption Sheet'!$B$13,SUM(GD16,GD24,GD27,GD30,GD31,GD32),0)</f>
        <v>0</v>
      </c>
      <c r="GE38" s="267">
        <f>IF(GE7&lt;='Assumption Sheet'!$B$13,SUM(GE16,GE24,GE27,GE30,GE31,GE32),0)</f>
        <v>0</v>
      </c>
      <c r="GF38" s="267">
        <f>IF(GF7&lt;='Assumption Sheet'!$B$13,SUM(GF16,GF24,GF27,GF30,GF31,GF32),0)</f>
        <v>0</v>
      </c>
      <c r="GG38" s="267">
        <f>IF(GG7&lt;='Assumption Sheet'!$B$13,SUM(GG16,GG24,GG27,GG30,GG31,GG32),0)</f>
        <v>0</v>
      </c>
      <c r="GH38" s="267">
        <f>IF(GH7&lt;='Assumption Sheet'!$B$13,SUM(GH16,GH24,GH27,GH30,GH31,GH32),0)</f>
        <v>0</v>
      </c>
      <c r="GI38" s="267">
        <f>IF(GI7&lt;='Assumption Sheet'!$B$13,SUM(GI16,GI24,GI27,GI30,GI31,GI32),0)</f>
        <v>0</v>
      </c>
      <c r="GJ38" s="267">
        <f>IF(GJ7&lt;='Assumption Sheet'!$B$13,SUM(GJ16,GJ24,GJ27,GJ30,GJ31,GJ32),0)</f>
        <v>0</v>
      </c>
      <c r="GK38" s="267">
        <f>IF(GK7&lt;='Assumption Sheet'!$B$13,SUM(GK16,GK24,GK27,GK30,GK31,GK32),0)</f>
        <v>0</v>
      </c>
      <c r="GL38" s="267">
        <f>IF(GL7&lt;='Assumption Sheet'!$B$13,SUM(GL16,GL24,GL27,GL30,GL31,GL32),0)</f>
        <v>0</v>
      </c>
      <c r="GM38" s="267">
        <f>IF(GM7&lt;='Assumption Sheet'!$B$13,SUM(GM16,GM24,GM27,GM30,GM31,GM32),0)</f>
        <v>0</v>
      </c>
      <c r="GN38" s="267">
        <f>IF(GN7&lt;='Assumption Sheet'!$B$13,SUM(GN16,GN24,GN27,GN30,GN31,GN32),0)</f>
        <v>0</v>
      </c>
      <c r="GO38" s="267">
        <f>IF(GO7&lt;='Assumption Sheet'!$B$13,SUM(GO16,GO24,GO27,GO30,GO31,GO32),0)</f>
        <v>0</v>
      </c>
      <c r="GP38" s="267">
        <f>IF(GP7&lt;='Assumption Sheet'!$B$13,SUM(GP16,GP24,GP27,GP30,GP31,GP32),0)</f>
        <v>0</v>
      </c>
      <c r="GQ38" s="267">
        <f>IF(GQ7&lt;='Assumption Sheet'!$B$13,SUM(GQ16,GQ24,GQ27,GQ30,GQ31,GQ32),0)</f>
        <v>0</v>
      </c>
      <c r="GR38" s="267">
        <f>IF(GR7&lt;='Assumption Sheet'!$B$13,SUM(GR16,GR24,GR27,GR30,GR31,GR32),0)</f>
        <v>0</v>
      </c>
      <c r="GS38" s="267">
        <f>IF(GS7&lt;='Assumption Sheet'!$B$13,SUM(GS16,GS24,GS27,GS30,GS31,GS32),0)</f>
        <v>0</v>
      </c>
      <c r="GT38" s="267">
        <f>IF(GT7&lt;='Assumption Sheet'!$B$13,SUM(GT16,GT24,GT27,GT30,GT31,GT32),0)</f>
        <v>0</v>
      </c>
      <c r="GU38" s="267">
        <f>IF(GU7&lt;='Assumption Sheet'!$B$13,SUM(GU16,GU24,GU27,GU30,GU31,GU32),0)</f>
        <v>0</v>
      </c>
      <c r="GV38" s="267">
        <f>IF(GV7&lt;='Assumption Sheet'!$B$13,SUM(GV16,GV24,GV27,GV30,GV31,GV32),0)</f>
        <v>0</v>
      </c>
      <c r="GW38" s="267">
        <f>IF(GW7&lt;='Assumption Sheet'!$B$13,SUM(GW16,GW24,GW27,GW30,GW31,GW32),0)</f>
        <v>0</v>
      </c>
      <c r="GX38" s="267">
        <f>IF(GX7&lt;='Assumption Sheet'!$B$13,SUM(GX16,GX24,GX27,GX30,GX31,GX32),0)</f>
        <v>0</v>
      </c>
      <c r="GY38" s="267">
        <f>IF(GY7&lt;='Assumption Sheet'!$B$13,SUM(GY16,GY24,GY27,GY30,GY31,GY32),0)</f>
        <v>0</v>
      </c>
      <c r="GZ38" s="267">
        <f>IF(GZ7&lt;='Assumption Sheet'!$B$13,SUM(GZ16,GZ24,GZ27,GZ30,GZ31,GZ32),0)</f>
        <v>0</v>
      </c>
      <c r="HA38" s="267">
        <f>IF(HA7&lt;='Assumption Sheet'!$B$13,SUM(HA16,HA24,HA27,HA30,HA31,HA32),0)</f>
        <v>0</v>
      </c>
      <c r="HB38" s="267">
        <f>IF(HB7&lt;='Assumption Sheet'!$B$13,SUM(HB16,HB24,HB27,HB30,HB31,HB32),0)</f>
        <v>0</v>
      </c>
      <c r="HC38" s="267">
        <f>IF(HC7&lt;='Assumption Sheet'!$B$13,SUM(HC16,HC24,HC27,HC30,HC31,HC32),0)</f>
        <v>0</v>
      </c>
      <c r="HD38" s="267">
        <f>IF(HD7&lt;='Assumption Sheet'!$B$13,SUM(HD16,HD24,HD27,HD30,HD31,HD32),0)</f>
        <v>0</v>
      </c>
      <c r="HE38" s="267">
        <f>IF(HE7&lt;='Assumption Sheet'!$B$13,SUM(HE16,HE24,HE27,HE30,HE31,HE32),0)</f>
        <v>0</v>
      </c>
      <c r="HF38" s="267">
        <f>IF(HF7&lt;='Assumption Sheet'!$B$13,SUM(HF16,HF24,HF27,HF30,HF31,HF32),0)</f>
        <v>0</v>
      </c>
      <c r="HG38" s="267">
        <f>IF(HG7&lt;='Assumption Sheet'!$B$13,SUM(HG16,HG24,HG27,HG30,HG31,HG32),0)</f>
        <v>0</v>
      </c>
      <c r="HH38" s="267">
        <f>IF(HH7&lt;='Assumption Sheet'!$B$13,SUM(HH16,HH24,HH27,HH30,HH31,HH32),0)</f>
        <v>0</v>
      </c>
      <c r="HI38" s="267">
        <f>IF(HI7&lt;='Assumption Sheet'!$B$13,SUM(HI16,HI24,HI27,HI30,HI31,HI32),0)</f>
        <v>0</v>
      </c>
      <c r="HJ38" s="267">
        <f>IF(HJ7&lt;='Assumption Sheet'!$B$13,SUM(HJ16,HJ24,HJ27,HJ30,HJ31,HJ32),0)</f>
        <v>0</v>
      </c>
      <c r="HK38" s="267">
        <f>IF(HK7&lt;='Assumption Sheet'!$B$13,SUM(HK16,HK24,HK27,HK30,HK31,HK32),0)</f>
        <v>0</v>
      </c>
      <c r="HL38" s="267">
        <f>IF(HL7&lt;='Assumption Sheet'!$B$13,SUM(HL16,HL24,HL27,HL30,HL31,HL32),0)</f>
        <v>0</v>
      </c>
      <c r="HM38" s="267">
        <f>IF(HM7&lt;='Assumption Sheet'!$B$13,SUM(HM16,HM24,HM27,HM30,HM31,HM32),0)</f>
        <v>0</v>
      </c>
      <c r="HN38" s="267">
        <f>IF(HN7&lt;='Assumption Sheet'!$B$13,SUM(HN16,HN24,HN27,HN30,HN31,HN32),0)</f>
        <v>0</v>
      </c>
      <c r="HO38" s="267">
        <f>IF(HO7&lt;='Assumption Sheet'!$B$13,SUM(HO16,HO24,HO27,HO30,HO31,HO32),0)</f>
        <v>0</v>
      </c>
      <c r="HP38" s="267">
        <f>IF(HP7&lt;='Assumption Sheet'!$B$13,SUM(HP16,HP24,HP27,HP30,HP31,HP32),0)</f>
        <v>0</v>
      </c>
      <c r="HQ38" s="267">
        <f>IF(HQ7&lt;='Assumption Sheet'!$B$13,SUM(HQ16,HQ24,HQ27,HQ30,HQ31,HQ32),0)</f>
        <v>0</v>
      </c>
      <c r="HR38" s="267">
        <f>IF(HR7&lt;='Assumption Sheet'!$B$13,SUM(HR16,HR24,HR27,HR30,HR31,HR32),0)</f>
        <v>0</v>
      </c>
      <c r="HS38" s="267">
        <f>IF(HS7&lt;='Assumption Sheet'!$B$13,SUM(HS16,HS24,HS27,HS30,HS31,HS32),0)</f>
        <v>0</v>
      </c>
      <c r="HT38" s="267">
        <f>IF(HT7&lt;='Assumption Sheet'!$B$13,SUM(HT16,HT24,HT27,HT30,HT31,HT32),0)</f>
        <v>0</v>
      </c>
      <c r="HU38" s="267">
        <f>IF(HU7&lt;='Assumption Sheet'!$B$13,SUM(HU16,HU24,HU27,HU30,HU31,HU32),0)</f>
        <v>0</v>
      </c>
      <c r="HV38" s="267">
        <f>IF(HV7&lt;='Assumption Sheet'!$B$13,SUM(HV16,HV24,HV27,HV30,HV31,HV32),0)</f>
        <v>0</v>
      </c>
      <c r="HW38" s="267">
        <f>IF(HW7&lt;='Assumption Sheet'!$B$13,SUM(HW16,HW24,HW27,HW30,HW31,HW32),0)</f>
        <v>0</v>
      </c>
      <c r="HX38" s="267">
        <f>IF(HX7&lt;='Assumption Sheet'!$B$13,SUM(HX16,HX24,HX27,HX30,HX31,HX32),0)</f>
        <v>0</v>
      </c>
      <c r="HY38" s="267">
        <f>IF(HY7&lt;='Assumption Sheet'!$B$13,SUM(HY16,HY24,HY27,HY30,HY31,HY32),0)</f>
        <v>0</v>
      </c>
      <c r="HZ38" s="267">
        <f>IF(HZ7&lt;='Assumption Sheet'!$B$13,SUM(HZ16,HZ24,HZ27,HZ30,HZ31,HZ32),0)</f>
        <v>0</v>
      </c>
      <c r="IA38" s="267">
        <f>IF(IA7&lt;='Assumption Sheet'!$B$13,SUM(IA16,IA24,IA27,IA30,IA31,IA32),0)</f>
        <v>0</v>
      </c>
      <c r="IB38" s="267">
        <f>IF(IB7&lt;='Assumption Sheet'!$B$13,SUM(IB16,IB24,IB27,IB30,IB31,IB32),0)</f>
        <v>0</v>
      </c>
      <c r="IC38" s="267">
        <f>IF(IC7&lt;='Assumption Sheet'!$B$13,SUM(IC16,IC24,IC27,IC30,IC31,IC32),0)</f>
        <v>0</v>
      </c>
      <c r="ID38" s="267">
        <f>IF(ID7&lt;='Assumption Sheet'!$B$13,SUM(ID16,ID24,ID27,ID30,ID31,ID32),0)</f>
        <v>0</v>
      </c>
      <c r="IE38" s="267">
        <f>IF(IE7&lt;='Assumption Sheet'!$B$13,SUM(IE16,IE24,IE27,IE30,IE31,IE32),0)</f>
        <v>0</v>
      </c>
      <c r="IF38" s="267">
        <f>IF(IF7&lt;='Assumption Sheet'!$B$13,SUM(IF16,IF24,IF27,IF30,IF31,IF32),0)</f>
        <v>0</v>
      </c>
      <c r="IG38" s="267">
        <f>IF(IG7&lt;='Assumption Sheet'!$B$13,SUM(IG16,IG24,IG27,IG30,IG31,IG32),0)</f>
        <v>0</v>
      </c>
      <c r="IH38" s="267">
        <f>IF(IH7&lt;='Assumption Sheet'!$B$13,SUM(IH16,IH24,IH27,IH30,IH31,IH32),0)</f>
        <v>0</v>
      </c>
      <c r="II38" s="267">
        <f>IF(II7&lt;='Assumption Sheet'!$B$13,SUM(II16,II24,II27,II30,II31,II32),0)</f>
        <v>0</v>
      </c>
      <c r="IJ38" s="267">
        <f>IF(IJ7&lt;='Assumption Sheet'!$B$13,SUM(IJ16,IJ24,IJ27,IJ30,IJ31,IJ32),0)</f>
        <v>0</v>
      </c>
      <c r="IK38" s="267">
        <f>IF(IK7&lt;='Assumption Sheet'!$B$13,SUM(IK16,IK24,IK27,IK30,IK31,IK32),0)</f>
        <v>0</v>
      </c>
      <c r="IL38" s="267">
        <f>IF(IL7&lt;='Assumption Sheet'!$B$13,SUM(IL16,IL24,IL27,IL30,IL31,IL32),0)</f>
        <v>0</v>
      </c>
      <c r="IM38" s="267">
        <f>IF(IM7&lt;='Assumption Sheet'!$B$13,SUM(IM16,IM24,IM27,IM30,IM31,IM32),0)</f>
        <v>0</v>
      </c>
      <c r="IN38" s="267">
        <f>IF(IN7&lt;='Assumption Sheet'!$B$13,SUM(IN16,IN24,IN27,IN30,IN31,IN32),0)</f>
        <v>0</v>
      </c>
      <c r="IO38" s="267">
        <f>IF(IO7&lt;='Assumption Sheet'!$B$13,SUM(IO16,IO24,IO27,IO30,IO31,IO32),0)</f>
        <v>0</v>
      </c>
      <c r="IP38" s="267">
        <f>IF(IP7&lt;='Assumption Sheet'!$B$13,SUM(IP16,IP24,IP27,IP30,IP31,IP32),0)</f>
        <v>0</v>
      </c>
      <c r="IQ38" s="267">
        <f>IF(IQ7&lt;='Assumption Sheet'!$B$13,SUM(IQ16,IQ24,IQ27,IQ30,IQ31,IQ32),0)</f>
        <v>0</v>
      </c>
      <c r="IR38" s="267">
        <f>IF(IR7&lt;='Assumption Sheet'!$B$13,SUM(IR16,IR24,IR27,IR30,IR31,IR32),0)</f>
        <v>0</v>
      </c>
      <c r="IS38" s="267">
        <f>IF(IS7&lt;='Assumption Sheet'!$B$13,SUM(IS16,IS24,IS27,IS30,IS31,IS32),0)</f>
        <v>0</v>
      </c>
      <c r="IT38" s="267">
        <f>IF(IT7&lt;='Assumption Sheet'!$B$13,SUM(IT16,IT24,IT27,IT30,IT31,IT32),0)</f>
        <v>0</v>
      </c>
      <c r="IU38" s="267">
        <f>IF(IU7&lt;='Assumption Sheet'!$B$13,SUM(IU16,IU24,IU27,IU30,IU31,IU32),0)</f>
        <v>0</v>
      </c>
      <c r="IV38" s="267">
        <f>IF(IV7&lt;='Assumption Sheet'!$B$13,SUM(IV16,IV24,IV27,IV30,IV31,IV32),0)</f>
        <v>0</v>
      </c>
      <c r="IW38" s="267">
        <f>IF(IW7&lt;='Assumption Sheet'!$B$13,SUM(IW16,IW24,IW27,IW30,IW31,IW32),0)</f>
        <v>0</v>
      </c>
      <c r="IX38" s="267">
        <f>IF(IX7&lt;='Assumption Sheet'!$B$13,SUM(IX16,IX24,IX27,IX30,IX31,IX32),0)</f>
        <v>0</v>
      </c>
      <c r="IY38" s="267">
        <f>IF(IY7&lt;='Assumption Sheet'!$B$13,SUM(IY16,IY24,IY27,IY30,IY31,IY32),0)</f>
        <v>0</v>
      </c>
      <c r="IZ38" s="267">
        <f>IF(IZ7&lt;='Assumption Sheet'!$B$13,SUM(IZ16,IZ24,IZ27,IZ30,IZ31,IZ32),0)</f>
        <v>0</v>
      </c>
      <c r="JA38" s="267">
        <f>IF(JA7&lt;='Assumption Sheet'!$B$13,SUM(JA16,JA24,JA27,JA30,JA31,JA32),0)</f>
        <v>0</v>
      </c>
      <c r="JB38" s="267">
        <f>IF(JB7&lt;='Assumption Sheet'!$B$13,SUM(JB16,JB24,JB27,JB30,JB31,JB32),0)</f>
        <v>0</v>
      </c>
      <c r="JC38" s="267">
        <f>IF(JC7&lt;='Assumption Sheet'!$B$13,SUM(JC16,JC24,JC27,JC30,JC31,JC32),0)</f>
        <v>0</v>
      </c>
      <c r="JD38" s="267">
        <f>IF(JD7&lt;='Assumption Sheet'!$B$13,SUM(JD16,JD24,JD27,JD30,JD31,JD32),0)</f>
        <v>0</v>
      </c>
      <c r="JE38" s="267">
        <f>IF(JE7&lt;='Assumption Sheet'!$B$13,SUM(JE16,JE24,JE27,JE30,JE31,JE32),0)</f>
        <v>0</v>
      </c>
      <c r="JF38" s="267">
        <f>IF(JF7&lt;='Assumption Sheet'!$B$13,SUM(JF16,JF24,JF27,JF30,JF31,JF32),0)</f>
        <v>0</v>
      </c>
      <c r="JG38" s="267">
        <f>IF(JG7&lt;='Assumption Sheet'!$B$13,SUM(JG16,JG24,JG27,JG30,JG31,JG32),0)</f>
        <v>0</v>
      </c>
      <c r="JH38" s="267">
        <f>IF(JH7&lt;='Assumption Sheet'!$B$13,SUM(JH16,JH24,JH27,JH30,JH31,JH32),0)</f>
        <v>0</v>
      </c>
      <c r="JI38" s="267">
        <f>IF(JI7&lt;='Assumption Sheet'!$B$13,SUM(JI16,JI24,JI27,JI30,JI31,JI32),0)</f>
        <v>0</v>
      </c>
      <c r="JJ38" s="267">
        <f>IF(JJ7&lt;='Assumption Sheet'!$B$13,SUM(JJ16,JJ24,JJ27,JJ30,JJ31,JJ32),0)</f>
        <v>0</v>
      </c>
      <c r="JK38" s="267">
        <f>IF(JK7&lt;='Assumption Sheet'!$B$13,SUM(JK16,JK24,JK27,JK30,JK31,JK32),0)</f>
        <v>0</v>
      </c>
      <c r="JL38" s="267">
        <f>IF(JL7&lt;='Assumption Sheet'!$B$13,SUM(JL16,JL24,JL27,JL30,JL31,JL32),0)</f>
        <v>0</v>
      </c>
      <c r="JM38" s="267">
        <f>IF(JM7&lt;='Assumption Sheet'!$B$13,SUM(JM16,JM24,JM27,JM30,JM31,JM32),0)</f>
        <v>0</v>
      </c>
      <c r="JN38" s="267">
        <f>IF(JN7&lt;='Assumption Sheet'!$B$13,SUM(JN16,JN24,JN27,JN30,JN31,JN32),0)</f>
        <v>0</v>
      </c>
      <c r="JO38" s="267">
        <f>IF(JO7&lt;='Assumption Sheet'!$B$13,SUM(JO16,JO24,JO27,JO30,JO31,JO32),0)</f>
        <v>0</v>
      </c>
      <c r="JP38" s="267">
        <f>IF(JP7&lt;='Assumption Sheet'!$B$13,SUM(JP16,JP24,JP27,JP30,JP31,JP32),0)</f>
        <v>0</v>
      </c>
      <c r="JQ38" s="267">
        <f>IF(JQ7&lt;='Assumption Sheet'!$B$13,SUM(JQ16,JQ24,JQ27,JQ30,JQ31,JQ32),0)</f>
        <v>0</v>
      </c>
      <c r="JR38" s="267">
        <f>IF(JR7&lt;='Assumption Sheet'!$B$13,SUM(JR16,JR24,JR27,JR30,JR31,JR32),0)</f>
        <v>0</v>
      </c>
      <c r="JS38" s="267">
        <f>IF(JS7&lt;='Assumption Sheet'!$B$13,SUM(JS16,JS24,JS27,JS30,JS31,JS32),0)</f>
        <v>0</v>
      </c>
      <c r="JT38" s="267">
        <f>IF(JT7&lt;='Assumption Sheet'!$B$13,SUM(JT16,JT24,JT27,JT30,JT31,JT32),0)</f>
        <v>0</v>
      </c>
      <c r="JU38" s="267">
        <f>IF(JU7&lt;='Assumption Sheet'!$B$13,SUM(JU16,JU24,JU27,JU30,JU31,JU32),0)</f>
        <v>0</v>
      </c>
      <c r="JV38" s="267">
        <f>IF(JV7&lt;='Assumption Sheet'!$B$13,SUM(JV16,JV24,JV27,JV30,JV31,JV32),0)</f>
        <v>0</v>
      </c>
      <c r="JW38" s="267">
        <f>IF(JW7&lt;='Assumption Sheet'!$B$13,SUM(JW16,JW24,JW27,JW30,JW31,JW32),0)</f>
        <v>0</v>
      </c>
      <c r="JX38" s="267">
        <f>IF(JX7&lt;='Assumption Sheet'!$B$13,SUM(JX16,JX24,JX27,JX30,JX31,JX32),0)</f>
        <v>0</v>
      </c>
      <c r="JY38" s="267">
        <f>IF(JY7&lt;='Assumption Sheet'!$B$13,SUM(JY16,JY24,JY27,JY30,JY31,JY32),0)</f>
        <v>0</v>
      </c>
      <c r="JZ38" s="267">
        <f>IF(JZ7&lt;='Assumption Sheet'!$B$13,SUM(JZ16,JZ24,JZ27,JZ30,JZ31,JZ32),0)</f>
        <v>0</v>
      </c>
      <c r="KA38" s="267">
        <f>IF(KA7&lt;='Assumption Sheet'!$B$13,SUM(KA16,KA24,KA27,KA30,KA31,KA32),0)</f>
        <v>0</v>
      </c>
      <c r="KB38" s="267">
        <f>IF(KB7&lt;='Assumption Sheet'!$B$13,SUM(KB16,KB24,KB27,KB30,KB31,KB32),0)</f>
        <v>0</v>
      </c>
      <c r="KC38" s="267">
        <f ca="1">SUMIF($C$7:$KB$7,"&lt;="&amp;$KC$6,C38:KB38)</f>
        <v>-551.5380507293936</v>
      </c>
    </row>
    <row r="39" spans="1:289" x14ac:dyDescent="0.3">
      <c r="A39" s="266" t="s">
        <v>289</v>
      </c>
      <c r="B39" s="267"/>
      <c r="C39" s="267">
        <f>C38</f>
        <v>-47.58</v>
      </c>
      <c r="D39" s="267">
        <f ca="1">C39+D38</f>
        <v>-56.513769268777267</v>
      </c>
      <c r="E39" s="267">
        <f t="shared" ref="E39:BP39" ca="1" si="454">D39+E38</f>
        <v>-62.860406327519271</v>
      </c>
      <c r="F39" s="267">
        <f t="shared" ca="1" si="454"/>
        <v>-68.843761110233899</v>
      </c>
      <c r="G39" s="267">
        <f t="shared" ca="1" si="454"/>
        <v>-74.874923659833357</v>
      </c>
      <c r="H39" s="267">
        <f t="shared" ca="1" si="454"/>
        <v>-80.954275966464905</v>
      </c>
      <c r="I39" s="267">
        <f t="shared" ca="1" si="454"/>
        <v>-87.082203072425727</v>
      </c>
      <c r="J39" s="267">
        <f t="shared" ca="1" si="454"/>
        <v>-93.259093096550004</v>
      </c>
      <c r="K39" s="267">
        <f t="shared" ca="1" si="454"/>
        <v>-99.509737191247766</v>
      </c>
      <c r="L39" s="267">
        <f t="shared" ca="1" si="454"/>
        <v>-105.80183920054468</v>
      </c>
      <c r="M39" s="267">
        <f t="shared" ca="1" si="454"/>
        <v>-112.13271124134941</v>
      </c>
      <c r="N39" s="267">
        <f t="shared" ca="1" si="454"/>
        <v>-118.4997021786472</v>
      </c>
      <c r="O39" s="267">
        <f t="shared" ca="1" si="454"/>
        <v>-124.89462309177597</v>
      </c>
      <c r="P39" s="267">
        <f t="shared" ca="1" si="454"/>
        <v>-138.55638303323008</v>
      </c>
      <c r="Q39" s="267">
        <f t="shared" ca="1" si="454"/>
        <v>-151.31361857754328</v>
      </c>
      <c r="R39" s="267">
        <f t="shared" ca="1" si="454"/>
        <v>-163.30996650051605</v>
      </c>
      <c r="S39" s="267">
        <f t="shared" ca="1" si="454"/>
        <v>-175.35893860826442</v>
      </c>
      <c r="T39" s="267">
        <f t="shared" ca="1" si="454"/>
        <v>-187.46076574644579</v>
      </c>
      <c r="U39" s="267">
        <f t="shared" ca="1" si="454"/>
        <v>-199.61567977336455</v>
      </c>
      <c r="V39" s="267">
        <f t="shared" ca="1" si="454"/>
        <v>-212.87244562811426</v>
      </c>
      <c r="W39" s="267">
        <f t="shared" ca="1" si="454"/>
        <v>-225.18600922926879</v>
      </c>
      <c r="X39" s="267">
        <f t="shared" ca="1" si="454"/>
        <v>-237.55358854006707</v>
      </c>
      <c r="Y39" s="267">
        <f t="shared" ca="1" si="454"/>
        <v>-255.44194115055069</v>
      </c>
      <c r="Z39" s="267">
        <f t="shared" ca="1" si="454"/>
        <v>-273.00673179013376</v>
      </c>
      <c r="AA39" s="267">
        <f t="shared" ca="1" si="454"/>
        <v>-290.30807005401334</v>
      </c>
      <c r="AB39" s="267">
        <f t="shared" ca="1" si="454"/>
        <v>-296.30554431963407</v>
      </c>
      <c r="AC39" s="267">
        <f t="shared" ca="1" si="454"/>
        <v>-302.32932760829806</v>
      </c>
      <c r="AD39" s="267">
        <f t="shared" ca="1" si="454"/>
        <v>-308.37953532936984</v>
      </c>
      <c r="AE39" s="267">
        <f t="shared" ca="1" si="454"/>
        <v>-314.45628339847826</v>
      </c>
      <c r="AF39" s="267">
        <f t="shared" ca="1" si="454"/>
        <v>-320.57935378218519</v>
      </c>
      <c r="AG39" s="267">
        <f t="shared" ca="1" si="454"/>
        <v>-326.72928413938865</v>
      </c>
      <c r="AH39" s="267">
        <f t="shared" ca="1" si="454"/>
        <v>-346.66454313770129</v>
      </c>
      <c r="AI39" s="267">
        <f t="shared" ca="1" si="454"/>
        <v>-363.79381474624819</v>
      </c>
      <c r="AJ39" s="267">
        <f t="shared" ca="1" si="454"/>
        <v>-380.26774023829137</v>
      </c>
      <c r="AK39" s="267">
        <f t="shared" ca="1" si="454"/>
        <v>-392.07028152414529</v>
      </c>
      <c r="AL39" s="267">
        <f t="shared" ca="1" si="454"/>
        <v>-403.9245968263445</v>
      </c>
      <c r="AM39" s="267">
        <f t="shared" ca="1" si="454"/>
        <v>-415.8309132611264</v>
      </c>
      <c r="AN39" s="267">
        <f t="shared" ca="1" si="454"/>
        <v>-427.78945894101554</v>
      </c>
      <c r="AO39" s="267">
        <f t="shared" ca="1" si="454"/>
        <v>-439.84265172913808</v>
      </c>
      <c r="AP39" s="267">
        <f t="shared" ca="1" si="454"/>
        <v>-451.94871806248381</v>
      </c>
      <c r="AQ39" s="267">
        <f t="shared" ca="1" si="454"/>
        <v>-466.85022706593747</v>
      </c>
      <c r="AR39" s="267">
        <f t="shared" ca="1" si="454"/>
        <v>-480.79897164010509</v>
      </c>
      <c r="AS39" s="267">
        <f t="shared" ca="1" si="454"/>
        <v>-494.79256865674301</v>
      </c>
      <c r="AT39" s="267">
        <f t="shared" ca="1" si="454"/>
        <v>-498.67093544825724</v>
      </c>
      <c r="AU39" s="267">
        <f t="shared" ca="1" si="454"/>
        <v>-502.56631540844364</v>
      </c>
      <c r="AV39" s="267">
        <f t="shared" ca="1" si="454"/>
        <v>-506.47878316869321</v>
      </c>
      <c r="AW39" s="267">
        <f t="shared" ca="1" si="454"/>
        <v>-510.40841368778121</v>
      </c>
      <c r="AX39" s="267">
        <f t="shared" ca="1" si="454"/>
        <v>-514.35528225330336</v>
      </c>
      <c r="AY39" s="267">
        <f t="shared" ca="1" si="454"/>
        <v>-518.31946448311817</v>
      </c>
      <c r="AZ39" s="267">
        <f t="shared" ca="1" si="454"/>
        <v>-524.11726201189447</v>
      </c>
      <c r="BA39" s="267">
        <f t="shared" ca="1" si="454"/>
        <v>-528.13305699973898</v>
      </c>
      <c r="BB39" s="267">
        <f t="shared" ca="1" si="454"/>
        <v>-532.16646801029458</v>
      </c>
      <c r="BC39" s="267">
        <f t="shared" ca="1" si="454"/>
        <v>-536.2175723194822</v>
      </c>
      <c r="BD39" s="267">
        <f t="shared" ca="1" si="454"/>
        <v>-540.28644754220795</v>
      </c>
      <c r="BE39" s="267">
        <f t="shared" ca="1" si="454"/>
        <v>-551.5380507293936</v>
      </c>
      <c r="BF39" s="267">
        <f t="shared" ca="1" si="454"/>
        <v>-551.5380507293936</v>
      </c>
      <c r="BG39" s="267">
        <f t="shared" ca="1" si="454"/>
        <v>-551.5380507293936</v>
      </c>
      <c r="BH39" s="267">
        <f t="shared" ca="1" si="454"/>
        <v>-551.5380507293936</v>
      </c>
      <c r="BI39" s="267">
        <f t="shared" ca="1" si="454"/>
        <v>-551.5380507293936</v>
      </c>
      <c r="BJ39" s="267">
        <f t="shared" ca="1" si="454"/>
        <v>-551.5380507293936</v>
      </c>
      <c r="BK39" s="267">
        <f t="shared" ca="1" si="454"/>
        <v>-551.5380507293936</v>
      </c>
      <c r="BL39" s="267">
        <f t="shared" ca="1" si="454"/>
        <v>-551.5380507293936</v>
      </c>
      <c r="BM39" s="267">
        <f t="shared" ca="1" si="454"/>
        <v>-551.5380507293936</v>
      </c>
      <c r="BN39" s="267">
        <f t="shared" ca="1" si="454"/>
        <v>-551.5380507293936</v>
      </c>
      <c r="BO39" s="267">
        <f t="shared" ca="1" si="454"/>
        <v>-551.5380507293936</v>
      </c>
      <c r="BP39" s="267">
        <f t="shared" ca="1" si="454"/>
        <v>-551.5380507293936</v>
      </c>
      <c r="BQ39" s="267">
        <f t="shared" ref="BQ39:EB39" ca="1" si="455">BP39+BQ38</f>
        <v>-551.5380507293936</v>
      </c>
      <c r="BR39" s="267">
        <f t="shared" ca="1" si="455"/>
        <v>-551.5380507293936</v>
      </c>
      <c r="BS39" s="267">
        <f t="shared" ca="1" si="455"/>
        <v>-551.5380507293936</v>
      </c>
      <c r="BT39" s="267">
        <f t="shared" ca="1" si="455"/>
        <v>-551.5380507293936</v>
      </c>
      <c r="BU39" s="267">
        <f t="shared" ca="1" si="455"/>
        <v>-551.5380507293936</v>
      </c>
      <c r="BV39" s="267">
        <f t="shared" ca="1" si="455"/>
        <v>-551.5380507293936</v>
      </c>
      <c r="BW39" s="267">
        <f t="shared" ca="1" si="455"/>
        <v>-551.5380507293936</v>
      </c>
      <c r="BX39" s="267">
        <f t="shared" ca="1" si="455"/>
        <v>-551.5380507293936</v>
      </c>
      <c r="BY39" s="267">
        <f t="shared" ca="1" si="455"/>
        <v>-551.5380507293936</v>
      </c>
      <c r="BZ39" s="267">
        <f t="shared" ca="1" si="455"/>
        <v>-551.5380507293936</v>
      </c>
      <c r="CA39" s="267">
        <f t="shared" ca="1" si="455"/>
        <v>-551.5380507293936</v>
      </c>
      <c r="CB39" s="267">
        <f t="shared" ca="1" si="455"/>
        <v>-551.5380507293936</v>
      </c>
      <c r="CC39" s="267">
        <f t="shared" ca="1" si="455"/>
        <v>-551.5380507293936</v>
      </c>
      <c r="CD39" s="267">
        <f t="shared" ca="1" si="455"/>
        <v>-551.5380507293936</v>
      </c>
      <c r="CE39" s="267">
        <f t="shared" ca="1" si="455"/>
        <v>-551.5380507293936</v>
      </c>
      <c r="CF39" s="267">
        <f t="shared" ca="1" si="455"/>
        <v>-551.5380507293936</v>
      </c>
      <c r="CG39" s="267">
        <f t="shared" ca="1" si="455"/>
        <v>-551.5380507293936</v>
      </c>
      <c r="CH39" s="267">
        <f t="shared" ca="1" si="455"/>
        <v>-551.5380507293936</v>
      </c>
      <c r="CI39" s="267">
        <f t="shared" ca="1" si="455"/>
        <v>-551.5380507293936</v>
      </c>
      <c r="CJ39" s="267">
        <f t="shared" ca="1" si="455"/>
        <v>-551.5380507293936</v>
      </c>
      <c r="CK39" s="267">
        <f t="shared" ca="1" si="455"/>
        <v>-551.5380507293936</v>
      </c>
      <c r="CL39" s="267">
        <f t="shared" ca="1" si="455"/>
        <v>-551.5380507293936</v>
      </c>
      <c r="CM39" s="267">
        <f t="shared" ca="1" si="455"/>
        <v>-551.5380507293936</v>
      </c>
      <c r="CN39" s="267">
        <f t="shared" ca="1" si="455"/>
        <v>-551.5380507293936</v>
      </c>
      <c r="CO39" s="267">
        <f t="shared" ca="1" si="455"/>
        <v>-551.5380507293936</v>
      </c>
      <c r="CP39" s="267">
        <f t="shared" ca="1" si="455"/>
        <v>-551.5380507293936</v>
      </c>
      <c r="CQ39" s="267">
        <f t="shared" ca="1" si="455"/>
        <v>-551.5380507293936</v>
      </c>
      <c r="CR39" s="267">
        <f t="shared" ca="1" si="455"/>
        <v>-551.5380507293936</v>
      </c>
      <c r="CS39" s="267">
        <f t="shared" ca="1" si="455"/>
        <v>-551.5380507293936</v>
      </c>
      <c r="CT39" s="267">
        <f t="shared" ca="1" si="455"/>
        <v>-551.5380507293936</v>
      </c>
      <c r="CU39" s="267">
        <f t="shared" ca="1" si="455"/>
        <v>-551.5380507293936</v>
      </c>
      <c r="CV39" s="267">
        <f t="shared" ca="1" si="455"/>
        <v>-551.5380507293936</v>
      </c>
      <c r="CW39" s="267">
        <f t="shared" ca="1" si="455"/>
        <v>-551.5380507293936</v>
      </c>
      <c r="CX39" s="267">
        <f t="shared" ca="1" si="455"/>
        <v>-551.5380507293936</v>
      </c>
      <c r="CY39" s="267">
        <f t="shared" ca="1" si="455"/>
        <v>-551.5380507293936</v>
      </c>
      <c r="CZ39" s="267">
        <f t="shared" ca="1" si="455"/>
        <v>-551.5380507293936</v>
      </c>
      <c r="DA39" s="267">
        <f t="shared" ca="1" si="455"/>
        <v>-551.5380507293936</v>
      </c>
      <c r="DB39" s="267">
        <f t="shared" ca="1" si="455"/>
        <v>-551.5380507293936</v>
      </c>
      <c r="DC39" s="267">
        <f t="shared" ca="1" si="455"/>
        <v>-551.5380507293936</v>
      </c>
      <c r="DD39" s="267">
        <f t="shared" ca="1" si="455"/>
        <v>-551.5380507293936</v>
      </c>
      <c r="DE39" s="267">
        <f t="shared" ca="1" si="455"/>
        <v>-551.5380507293936</v>
      </c>
      <c r="DF39" s="267">
        <f t="shared" ca="1" si="455"/>
        <v>-551.5380507293936</v>
      </c>
      <c r="DG39" s="267">
        <f t="shared" ca="1" si="455"/>
        <v>-551.5380507293936</v>
      </c>
      <c r="DH39" s="267">
        <f t="shared" ca="1" si="455"/>
        <v>-551.5380507293936</v>
      </c>
      <c r="DI39" s="267">
        <f t="shared" ca="1" si="455"/>
        <v>-551.5380507293936</v>
      </c>
      <c r="DJ39" s="267">
        <f t="shared" ca="1" si="455"/>
        <v>-551.5380507293936</v>
      </c>
      <c r="DK39" s="267">
        <f t="shared" ca="1" si="455"/>
        <v>-551.5380507293936</v>
      </c>
      <c r="DL39" s="267">
        <f t="shared" ca="1" si="455"/>
        <v>-551.5380507293936</v>
      </c>
      <c r="DM39" s="267">
        <f t="shared" ca="1" si="455"/>
        <v>-551.5380507293936</v>
      </c>
      <c r="DN39" s="267">
        <f t="shared" ca="1" si="455"/>
        <v>-551.5380507293936</v>
      </c>
      <c r="DO39" s="267">
        <f t="shared" ca="1" si="455"/>
        <v>-551.5380507293936</v>
      </c>
      <c r="DP39" s="267">
        <f t="shared" ca="1" si="455"/>
        <v>-551.5380507293936</v>
      </c>
      <c r="DQ39" s="267">
        <f t="shared" ca="1" si="455"/>
        <v>-551.5380507293936</v>
      </c>
      <c r="DR39" s="267">
        <f t="shared" ca="1" si="455"/>
        <v>-551.5380507293936</v>
      </c>
      <c r="DS39" s="267">
        <f t="shared" ca="1" si="455"/>
        <v>-551.5380507293936</v>
      </c>
      <c r="DT39" s="267">
        <f t="shared" ca="1" si="455"/>
        <v>-551.5380507293936</v>
      </c>
      <c r="DU39" s="267">
        <f t="shared" ca="1" si="455"/>
        <v>-551.5380507293936</v>
      </c>
      <c r="DV39" s="267">
        <f t="shared" ca="1" si="455"/>
        <v>-551.5380507293936</v>
      </c>
      <c r="DW39" s="267">
        <f t="shared" ca="1" si="455"/>
        <v>-551.5380507293936</v>
      </c>
      <c r="DX39" s="267">
        <f t="shared" ca="1" si="455"/>
        <v>-551.5380507293936</v>
      </c>
      <c r="DY39" s="267">
        <f t="shared" ca="1" si="455"/>
        <v>-551.5380507293936</v>
      </c>
      <c r="DZ39" s="267">
        <f t="shared" ca="1" si="455"/>
        <v>-551.5380507293936</v>
      </c>
      <c r="EA39" s="267">
        <f t="shared" ca="1" si="455"/>
        <v>-551.5380507293936</v>
      </c>
      <c r="EB39" s="267">
        <f t="shared" ca="1" si="455"/>
        <v>-551.5380507293936</v>
      </c>
      <c r="EC39" s="267">
        <f t="shared" ref="EC39:GN39" ca="1" si="456">EB39+EC38</f>
        <v>-551.5380507293936</v>
      </c>
      <c r="ED39" s="267">
        <f t="shared" ca="1" si="456"/>
        <v>-551.5380507293936</v>
      </c>
      <c r="EE39" s="267">
        <f t="shared" ca="1" si="456"/>
        <v>-551.5380507293936</v>
      </c>
      <c r="EF39" s="267">
        <f t="shared" ca="1" si="456"/>
        <v>-551.5380507293936</v>
      </c>
      <c r="EG39" s="267">
        <f t="shared" ca="1" si="456"/>
        <v>-551.5380507293936</v>
      </c>
      <c r="EH39" s="267">
        <f t="shared" ca="1" si="456"/>
        <v>-551.5380507293936</v>
      </c>
      <c r="EI39" s="267">
        <f t="shared" ca="1" si="456"/>
        <v>-551.5380507293936</v>
      </c>
      <c r="EJ39" s="267">
        <f t="shared" ca="1" si="456"/>
        <v>-551.5380507293936</v>
      </c>
      <c r="EK39" s="267">
        <f t="shared" ca="1" si="456"/>
        <v>-551.5380507293936</v>
      </c>
      <c r="EL39" s="267">
        <f t="shared" ca="1" si="456"/>
        <v>-551.5380507293936</v>
      </c>
      <c r="EM39" s="267">
        <f t="shared" ca="1" si="456"/>
        <v>-551.5380507293936</v>
      </c>
      <c r="EN39" s="267">
        <f t="shared" ca="1" si="456"/>
        <v>-551.5380507293936</v>
      </c>
      <c r="EO39" s="267">
        <f t="shared" ca="1" si="456"/>
        <v>-551.5380507293936</v>
      </c>
      <c r="EP39" s="267">
        <f t="shared" ca="1" si="456"/>
        <v>-551.5380507293936</v>
      </c>
      <c r="EQ39" s="267">
        <f t="shared" ca="1" si="456"/>
        <v>-551.5380507293936</v>
      </c>
      <c r="ER39" s="267">
        <f t="shared" ca="1" si="456"/>
        <v>-551.5380507293936</v>
      </c>
      <c r="ES39" s="267">
        <f t="shared" ca="1" si="456"/>
        <v>-551.5380507293936</v>
      </c>
      <c r="ET39" s="267">
        <f t="shared" ca="1" si="456"/>
        <v>-551.5380507293936</v>
      </c>
      <c r="EU39" s="267">
        <f t="shared" ca="1" si="456"/>
        <v>-551.5380507293936</v>
      </c>
      <c r="EV39" s="267">
        <f t="shared" ca="1" si="456"/>
        <v>-551.5380507293936</v>
      </c>
      <c r="EW39" s="267">
        <f t="shared" ca="1" si="456"/>
        <v>-551.5380507293936</v>
      </c>
      <c r="EX39" s="267">
        <f t="shared" ca="1" si="456"/>
        <v>-551.5380507293936</v>
      </c>
      <c r="EY39" s="267">
        <f t="shared" ca="1" si="456"/>
        <v>-551.5380507293936</v>
      </c>
      <c r="EZ39" s="267">
        <f t="shared" ca="1" si="456"/>
        <v>-551.5380507293936</v>
      </c>
      <c r="FA39" s="267">
        <f t="shared" ca="1" si="456"/>
        <v>-551.5380507293936</v>
      </c>
      <c r="FB39" s="267">
        <f t="shared" ca="1" si="456"/>
        <v>-551.5380507293936</v>
      </c>
      <c r="FC39" s="267">
        <f t="shared" ca="1" si="456"/>
        <v>-551.5380507293936</v>
      </c>
      <c r="FD39" s="267">
        <f t="shared" ca="1" si="456"/>
        <v>-551.5380507293936</v>
      </c>
      <c r="FE39" s="267">
        <f t="shared" ca="1" si="456"/>
        <v>-551.5380507293936</v>
      </c>
      <c r="FF39" s="267">
        <f t="shared" ca="1" si="456"/>
        <v>-551.5380507293936</v>
      </c>
      <c r="FG39" s="267">
        <f t="shared" ca="1" si="456"/>
        <v>-551.5380507293936</v>
      </c>
      <c r="FH39" s="267">
        <f t="shared" ca="1" si="456"/>
        <v>-551.5380507293936</v>
      </c>
      <c r="FI39" s="267">
        <f t="shared" ca="1" si="456"/>
        <v>-551.5380507293936</v>
      </c>
      <c r="FJ39" s="267">
        <f t="shared" ca="1" si="456"/>
        <v>-551.5380507293936</v>
      </c>
      <c r="FK39" s="267">
        <f t="shared" ca="1" si="456"/>
        <v>-551.5380507293936</v>
      </c>
      <c r="FL39" s="267">
        <f t="shared" ca="1" si="456"/>
        <v>-551.5380507293936</v>
      </c>
      <c r="FM39" s="267">
        <f t="shared" ca="1" si="456"/>
        <v>-551.5380507293936</v>
      </c>
      <c r="FN39" s="267">
        <f t="shared" ca="1" si="456"/>
        <v>-551.5380507293936</v>
      </c>
      <c r="FO39" s="267">
        <f t="shared" ca="1" si="456"/>
        <v>-551.5380507293936</v>
      </c>
      <c r="FP39" s="267">
        <f t="shared" ca="1" si="456"/>
        <v>-551.5380507293936</v>
      </c>
      <c r="FQ39" s="267">
        <f t="shared" ca="1" si="456"/>
        <v>-551.5380507293936</v>
      </c>
      <c r="FR39" s="267">
        <f t="shared" ca="1" si="456"/>
        <v>-551.5380507293936</v>
      </c>
      <c r="FS39" s="267">
        <f t="shared" ca="1" si="456"/>
        <v>-551.5380507293936</v>
      </c>
      <c r="FT39" s="267">
        <f t="shared" ca="1" si="456"/>
        <v>-551.5380507293936</v>
      </c>
      <c r="FU39" s="267">
        <f t="shared" ca="1" si="456"/>
        <v>-551.5380507293936</v>
      </c>
      <c r="FV39" s="267">
        <f t="shared" ca="1" si="456"/>
        <v>-551.5380507293936</v>
      </c>
      <c r="FW39" s="267">
        <f t="shared" ca="1" si="456"/>
        <v>-551.5380507293936</v>
      </c>
      <c r="FX39" s="267">
        <f t="shared" ca="1" si="456"/>
        <v>-551.5380507293936</v>
      </c>
      <c r="FY39" s="267">
        <f t="shared" ca="1" si="456"/>
        <v>-551.5380507293936</v>
      </c>
      <c r="FZ39" s="267">
        <f t="shared" ca="1" si="456"/>
        <v>-551.5380507293936</v>
      </c>
      <c r="GA39" s="267">
        <f t="shared" ca="1" si="456"/>
        <v>-551.5380507293936</v>
      </c>
      <c r="GB39" s="267">
        <f t="shared" ca="1" si="456"/>
        <v>-551.5380507293936</v>
      </c>
      <c r="GC39" s="267">
        <f t="shared" ca="1" si="456"/>
        <v>-551.5380507293936</v>
      </c>
      <c r="GD39" s="267">
        <f t="shared" ca="1" si="456"/>
        <v>-551.5380507293936</v>
      </c>
      <c r="GE39" s="267">
        <f t="shared" ca="1" si="456"/>
        <v>-551.5380507293936</v>
      </c>
      <c r="GF39" s="267">
        <f t="shared" ca="1" si="456"/>
        <v>-551.5380507293936</v>
      </c>
      <c r="GG39" s="267">
        <f t="shared" ca="1" si="456"/>
        <v>-551.5380507293936</v>
      </c>
      <c r="GH39" s="267">
        <f t="shared" ca="1" si="456"/>
        <v>-551.5380507293936</v>
      </c>
      <c r="GI39" s="267">
        <f t="shared" ca="1" si="456"/>
        <v>-551.5380507293936</v>
      </c>
      <c r="GJ39" s="267">
        <f t="shared" ca="1" si="456"/>
        <v>-551.5380507293936</v>
      </c>
      <c r="GK39" s="267">
        <f t="shared" ca="1" si="456"/>
        <v>-551.5380507293936</v>
      </c>
      <c r="GL39" s="267">
        <f t="shared" ca="1" si="456"/>
        <v>-551.5380507293936</v>
      </c>
      <c r="GM39" s="267">
        <f t="shared" ca="1" si="456"/>
        <v>-551.5380507293936</v>
      </c>
      <c r="GN39" s="267">
        <f t="shared" ca="1" si="456"/>
        <v>-551.5380507293936</v>
      </c>
      <c r="GO39" s="267">
        <f t="shared" ref="GO39:IZ39" ca="1" si="457">GN39+GO38</f>
        <v>-551.5380507293936</v>
      </c>
      <c r="GP39" s="267">
        <f t="shared" ca="1" si="457"/>
        <v>-551.5380507293936</v>
      </c>
      <c r="GQ39" s="267">
        <f t="shared" ca="1" si="457"/>
        <v>-551.5380507293936</v>
      </c>
      <c r="GR39" s="267">
        <f t="shared" ca="1" si="457"/>
        <v>-551.5380507293936</v>
      </c>
      <c r="GS39" s="267">
        <f t="shared" ca="1" si="457"/>
        <v>-551.5380507293936</v>
      </c>
      <c r="GT39" s="267">
        <f t="shared" ca="1" si="457"/>
        <v>-551.5380507293936</v>
      </c>
      <c r="GU39" s="267">
        <f t="shared" ca="1" si="457"/>
        <v>-551.5380507293936</v>
      </c>
      <c r="GV39" s="267">
        <f t="shared" ca="1" si="457"/>
        <v>-551.5380507293936</v>
      </c>
      <c r="GW39" s="267">
        <f t="shared" ca="1" si="457"/>
        <v>-551.5380507293936</v>
      </c>
      <c r="GX39" s="267">
        <f t="shared" ca="1" si="457"/>
        <v>-551.5380507293936</v>
      </c>
      <c r="GY39" s="267">
        <f t="shared" ca="1" si="457"/>
        <v>-551.5380507293936</v>
      </c>
      <c r="GZ39" s="267">
        <f t="shared" ca="1" si="457"/>
        <v>-551.5380507293936</v>
      </c>
      <c r="HA39" s="267">
        <f t="shared" ca="1" si="457"/>
        <v>-551.5380507293936</v>
      </c>
      <c r="HB39" s="267">
        <f t="shared" ca="1" si="457"/>
        <v>-551.5380507293936</v>
      </c>
      <c r="HC39" s="267">
        <f t="shared" ca="1" si="457"/>
        <v>-551.5380507293936</v>
      </c>
      <c r="HD39" s="267">
        <f t="shared" ca="1" si="457"/>
        <v>-551.5380507293936</v>
      </c>
      <c r="HE39" s="267">
        <f t="shared" ca="1" si="457"/>
        <v>-551.5380507293936</v>
      </c>
      <c r="HF39" s="267">
        <f t="shared" ca="1" si="457"/>
        <v>-551.5380507293936</v>
      </c>
      <c r="HG39" s="267">
        <f t="shared" ca="1" si="457"/>
        <v>-551.5380507293936</v>
      </c>
      <c r="HH39" s="267">
        <f t="shared" ca="1" si="457"/>
        <v>-551.5380507293936</v>
      </c>
      <c r="HI39" s="267">
        <f t="shared" ca="1" si="457"/>
        <v>-551.5380507293936</v>
      </c>
      <c r="HJ39" s="267">
        <f t="shared" ca="1" si="457"/>
        <v>-551.5380507293936</v>
      </c>
      <c r="HK39" s="267">
        <f t="shared" ca="1" si="457"/>
        <v>-551.5380507293936</v>
      </c>
      <c r="HL39" s="267">
        <f t="shared" ca="1" si="457"/>
        <v>-551.5380507293936</v>
      </c>
      <c r="HM39" s="267">
        <f t="shared" ca="1" si="457"/>
        <v>-551.5380507293936</v>
      </c>
      <c r="HN39" s="267">
        <f t="shared" ca="1" si="457"/>
        <v>-551.5380507293936</v>
      </c>
      <c r="HO39" s="267">
        <f t="shared" ca="1" si="457"/>
        <v>-551.5380507293936</v>
      </c>
      <c r="HP39" s="267">
        <f t="shared" ca="1" si="457"/>
        <v>-551.5380507293936</v>
      </c>
      <c r="HQ39" s="267">
        <f t="shared" ca="1" si="457"/>
        <v>-551.5380507293936</v>
      </c>
      <c r="HR39" s="267">
        <f t="shared" ca="1" si="457"/>
        <v>-551.5380507293936</v>
      </c>
      <c r="HS39" s="267">
        <f t="shared" ca="1" si="457"/>
        <v>-551.5380507293936</v>
      </c>
      <c r="HT39" s="267">
        <f t="shared" ca="1" si="457"/>
        <v>-551.5380507293936</v>
      </c>
      <c r="HU39" s="267">
        <f t="shared" ca="1" si="457"/>
        <v>-551.5380507293936</v>
      </c>
      <c r="HV39" s="267">
        <f t="shared" ca="1" si="457"/>
        <v>-551.5380507293936</v>
      </c>
      <c r="HW39" s="267">
        <f t="shared" ca="1" si="457"/>
        <v>-551.5380507293936</v>
      </c>
      <c r="HX39" s="267">
        <f t="shared" ca="1" si="457"/>
        <v>-551.5380507293936</v>
      </c>
      <c r="HY39" s="267">
        <f t="shared" ca="1" si="457"/>
        <v>-551.5380507293936</v>
      </c>
      <c r="HZ39" s="267">
        <f t="shared" ca="1" si="457"/>
        <v>-551.5380507293936</v>
      </c>
      <c r="IA39" s="267">
        <f t="shared" ca="1" si="457"/>
        <v>-551.5380507293936</v>
      </c>
      <c r="IB39" s="267">
        <f t="shared" ca="1" si="457"/>
        <v>-551.5380507293936</v>
      </c>
      <c r="IC39" s="267">
        <f t="shared" ca="1" si="457"/>
        <v>-551.5380507293936</v>
      </c>
      <c r="ID39" s="267">
        <f t="shared" ca="1" si="457"/>
        <v>-551.5380507293936</v>
      </c>
      <c r="IE39" s="267">
        <f t="shared" ca="1" si="457"/>
        <v>-551.5380507293936</v>
      </c>
      <c r="IF39" s="267">
        <f t="shared" ca="1" si="457"/>
        <v>-551.5380507293936</v>
      </c>
      <c r="IG39" s="267">
        <f t="shared" ca="1" si="457"/>
        <v>-551.5380507293936</v>
      </c>
      <c r="IH39" s="267">
        <f t="shared" ca="1" si="457"/>
        <v>-551.5380507293936</v>
      </c>
      <c r="II39" s="267">
        <f t="shared" ca="1" si="457"/>
        <v>-551.5380507293936</v>
      </c>
      <c r="IJ39" s="267">
        <f t="shared" ca="1" si="457"/>
        <v>-551.5380507293936</v>
      </c>
      <c r="IK39" s="267">
        <f t="shared" ca="1" si="457"/>
        <v>-551.5380507293936</v>
      </c>
      <c r="IL39" s="267">
        <f t="shared" ca="1" si="457"/>
        <v>-551.5380507293936</v>
      </c>
      <c r="IM39" s="267">
        <f t="shared" ca="1" si="457"/>
        <v>-551.5380507293936</v>
      </c>
      <c r="IN39" s="267">
        <f t="shared" ca="1" si="457"/>
        <v>-551.5380507293936</v>
      </c>
      <c r="IO39" s="267">
        <f t="shared" ca="1" si="457"/>
        <v>-551.5380507293936</v>
      </c>
      <c r="IP39" s="267">
        <f t="shared" ca="1" si="457"/>
        <v>-551.5380507293936</v>
      </c>
      <c r="IQ39" s="267">
        <f t="shared" ca="1" si="457"/>
        <v>-551.5380507293936</v>
      </c>
      <c r="IR39" s="267">
        <f t="shared" ca="1" si="457"/>
        <v>-551.5380507293936</v>
      </c>
      <c r="IS39" s="267">
        <f t="shared" ca="1" si="457"/>
        <v>-551.5380507293936</v>
      </c>
      <c r="IT39" s="267">
        <f t="shared" ca="1" si="457"/>
        <v>-551.5380507293936</v>
      </c>
      <c r="IU39" s="267">
        <f t="shared" ca="1" si="457"/>
        <v>-551.5380507293936</v>
      </c>
      <c r="IV39" s="267">
        <f t="shared" ca="1" si="457"/>
        <v>-551.5380507293936</v>
      </c>
      <c r="IW39" s="267">
        <f t="shared" ca="1" si="457"/>
        <v>-551.5380507293936</v>
      </c>
      <c r="IX39" s="267">
        <f t="shared" ca="1" si="457"/>
        <v>-551.5380507293936</v>
      </c>
      <c r="IY39" s="267">
        <f t="shared" ca="1" si="457"/>
        <v>-551.5380507293936</v>
      </c>
      <c r="IZ39" s="267">
        <f t="shared" ca="1" si="457"/>
        <v>-551.5380507293936</v>
      </c>
      <c r="JA39" s="267">
        <f t="shared" ref="JA39:KB39" ca="1" si="458">IZ39+JA38</f>
        <v>-551.5380507293936</v>
      </c>
      <c r="JB39" s="267">
        <f t="shared" ca="1" si="458"/>
        <v>-551.5380507293936</v>
      </c>
      <c r="JC39" s="267">
        <f t="shared" ca="1" si="458"/>
        <v>-551.5380507293936</v>
      </c>
      <c r="JD39" s="267">
        <f t="shared" ca="1" si="458"/>
        <v>-551.5380507293936</v>
      </c>
      <c r="JE39" s="267">
        <f t="shared" ca="1" si="458"/>
        <v>-551.5380507293936</v>
      </c>
      <c r="JF39" s="267">
        <f t="shared" ca="1" si="458"/>
        <v>-551.5380507293936</v>
      </c>
      <c r="JG39" s="267">
        <f t="shared" ca="1" si="458"/>
        <v>-551.5380507293936</v>
      </c>
      <c r="JH39" s="267">
        <f t="shared" ca="1" si="458"/>
        <v>-551.5380507293936</v>
      </c>
      <c r="JI39" s="267">
        <f t="shared" ca="1" si="458"/>
        <v>-551.5380507293936</v>
      </c>
      <c r="JJ39" s="267">
        <f t="shared" ca="1" si="458"/>
        <v>-551.5380507293936</v>
      </c>
      <c r="JK39" s="267">
        <f t="shared" ca="1" si="458"/>
        <v>-551.5380507293936</v>
      </c>
      <c r="JL39" s="267">
        <f t="shared" ca="1" si="458"/>
        <v>-551.5380507293936</v>
      </c>
      <c r="JM39" s="267">
        <f t="shared" ca="1" si="458"/>
        <v>-551.5380507293936</v>
      </c>
      <c r="JN39" s="267">
        <f t="shared" ca="1" si="458"/>
        <v>-551.5380507293936</v>
      </c>
      <c r="JO39" s="267">
        <f t="shared" ca="1" si="458"/>
        <v>-551.5380507293936</v>
      </c>
      <c r="JP39" s="267">
        <f t="shared" ca="1" si="458"/>
        <v>-551.5380507293936</v>
      </c>
      <c r="JQ39" s="267">
        <f t="shared" ca="1" si="458"/>
        <v>-551.5380507293936</v>
      </c>
      <c r="JR39" s="267">
        <f t="shared" ca="1" si="458"/>
        <v>-551.5380507293936</v>
      </c>
      <c r="JS39" s="267">
        <f t="shared" ca="1" si="458"/>
        <v>-551.5380507293936</v>
      </c>
      <c r="JT39" s="267">
        <f t="shared" ca="1" si="458"/>
        <v>-551.5380507293936</v>
      </c>
      <c r="JU39" s="267">
        <f t="shared" ca="1" si="458"/>
        <v>-551.5380507293936</v>
      </c>
      <c r="JV39" s="267">
        <f t="shared" ca="1" si="458"/>
        <v>-551.5380507293936</v>
      </c>
      <c r="JW39" s="267">
        <f t="shared" ca="1" si="458"/>
        <v>-551.5380507293936</v>
      </c>
      <c r="JX39" s="267">
        <f t="shared" ca="1" si="458"/>
        <v>-551.5380507293936</v>
      </c>
      <c r="JY39" s="267">
        <f t="shared" ca="1" si="458"/>
        <v>-551.5380507293936</v>
      </c>
      <c r="JZ39" s="267">
        <f t="shared" ca="1" si="458"/>
        <v>-551.5380507293936</v>
      </c>
      <c r="KA39" s="267">
        <f t="shared" ca="1" si="458"/>
        <v>-551.5380507293936</v>
      </c>
      <c r="KB39" s="267">
        <f t="shared" ca="1" si="458"/>
        <v>-551.5380507293936</v>
      </c>
      <c r="KC39" s="268"/>
    </row>
    <row r="40" spans="1:289" x14ac:dyDescent="0.3">
      <c r="A40" s="39" t="s">
        <v>31</v>
      </c>
      <c r="B40" s="269"/>
      <c r="C40" s="242"/>
      <c r="D40" s="242"/>
      <c r="E40" s="242"/>
      <c r="F40" s="242"/>
      <c r="G40" s="242"/>
      <c r="H40" s="242"/>
      <c r="I40" s="242"/>
      <c r="J40" s="242"/>
      <c r="K40" s="242"/>
      <c r="L40" s="258"/>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A40" s="242"/>
      <c r="CB40" s="242"/>
      <c r="CC40" s="242"/>
      <c r="CD40" s="242"/>
      <c r="CE40" s="242"/>
      <c r="CF40" s="242"/>
      <c r="CG40" s="242"/>
      <c r="CH40" s="242"/>
      <c r="CI40" s="242"/>
      <c r="CJ40" s="242"/>
      <c r="CK40" s="242"/>
      <c r="CL40" s="242"/>
      <c r="CM40" s="242"/>
      <c r="CN40" s="242"/>
      <c r="CO40" s="242"/>
      <c r="CP40" s="242"/>
      <c r="CQ40" s="242"/>
      <c r="CR40" s="242"/>
      <c r="CS40" s="242"/>
      <c r="CT40" s="242"/>
      <c r="CU40" s="242"/>
      <c r="CV40" s="242"/>
      <c r="CW40" s="242"/>
      <c r="CX40" s="242"/>
      <c r="CY40" s="242"/>
      <c r="CZ40" s="242"/>
      <c r="DA40" s="242"/>
      <c r="DB40" s="242"/>
      <c r="DC40" s="242"/>
      <c r="DD40" s="242"/>
      <c r="DE40" s="242"/>
      <c r="DF40" s="242"/>
      <c r="DG40" s="242"/>
      <c r="DH40" s="242"/>
      <c r="DI40" s="242"/>
      <c r="DJ40" s="242"/>
      <c r="DK40" s="242"/>
      <c r="DL40" s="242"/>
      <c r="DM40" s="242"/>
      <c r="DN40" s="242"/>
      <c r="DO40" s="242"/>
      <c r="DP40" s="242"/>
      <c r="DQ40" s="242"/>
      <c r="DR40" s="242"/>
      <c r="DS40" s="242"/>
      <c r="DT40" s="242"/>
      <c r="DU40" s="242"/>
      <c r="DV40" s="242"/>
      <c r="DW40" s="242"/>
      <c r="DX40" s="242"/>
      <c r="DY40" s="242"/>
      <c r="DZ40" s="242"/>
      <c r="EA40" s="242"/>
      <c r="EB40" s="242"/>
      <c r="EC40" s="242"/>
      <c r="ED40" s="242"/>
      <c r="EE40" s="242"/>
      <c r="EF40" s="242"/>
      <c r="EG40" s="242"/>
      <c r="EH40" s="242"/>
      <c r="EI40" s="242"/>
      <c r="EJ40" s="242"/>
      <c r="EK40" s="242"/>
      <c r="EL40" s="242"/>
      <c r="EM40" s="242"/>
      <c r="EN40" s="242"/>
      <c r="EO40" s="242"/>
      <c r="EP40" s="242"/>
      <c r="EQ40" s="242"/>
      <c r="ER40" s="242"/>
      <c r="ES40" s="242"/>
      <c r="ET40" s="242"/>
      <c r="EU40" s="242"/>
      <c r="EV40" s="242"/>
      <c r="EW40" s="242"/>
      <c r="EX40" s="242"/>
      <c r="EY40" s="242"/>
      <c r="EZ40" s="242"/>
      <c r="FA40" s="242"/>
      <c r="FB40" s="242"/>
      <c r="FC40" s="242"/>
      <c r="FD40" s="242"/>
      <c r="FE40" s="242"/>
      <c r="FF40" s="242"/>
      <c r="FG40" s="242"/>
      <c r="FH40" s="242"/>
      <c r="FI40" s="242"/>
      <c r="FJ40" s="242"/>
      <c r="FK40" s="242"/>
      <c r="FL40" s="242"/>
      <c r="FM40" s="242"/>
      <c r="FN40" s="242"/>
      <c r="FO40" s="242"/>
      <c r="FP40" s="242"/>
      <c r="FQ40" s="242"/>
      <c r="FR40" s="242"/>
      <c r="FS40" s="242"/>
      <c r="FT40" s="242"/>
      <c r="FU40" s="242"/>
      <c r="FV40" s="242"/>
      <c r="FW40" s="242"/>
      <c r="FX40" s="242"/>
      <c r="FY40" s="242"/>
      <c r="FZ40" s="242"/>
      <c r="GA40" s="242"/>
      <c r="GB40" s="242"/>
      <c r="GC40" s="242"/>
      <c r="GD40" s="242"/>
      <c r="GE40" s="242"/>
      <c r="GF40" s="242"/>
      <c r="GG40" s="242"/>
      <c r="GH40" s="242"/>
      <c r="GI40" s="242"/>
      <c r="GJ40" s="242"/>
      <c r="GK40" s="242"/>
      <c r="GL40" s="242"/>
      <c r="GM40" s="242"/>
      <c r="GN40" s="242"/>
      <c r="GO40" s="242"/>
      <c r="GP40" s="242"/>
      <c r="GQ40" s="242"/>
      <c r="GR40" s="242"/>
      <c r="GS40" s="242"/>
      <c r="GT40" s="242"/>
      <c r="GU40" s="242"/>
      <c r="GV40" s="242"/>
      <c r="GW40" s="242"/>
      <c r="GX40" s="242"/>
      <c r="GY40" s="242"/>
      <c r="GZ40" s="242"/>
      <c r="HA40" s="242"/>
      <c r="HB40" s="242"/>
      <c r="HC40" s="242"/>
      <c r="HD40" s="242"/>
      <c r="HE40" s="242"/>
      <c r="HF40" s="242"/>
      <c r="HG40" s="242"/>
      <c r="HH40" s="242"/>
      <c r="HI40" s="242"/>
      <c r="HJ40" s="242"/>
      <c r="HK40" s="242"/>
      <c r="HL40" s="242"/>
      <c r="HM40" s="242"/>
      <c r="HN40" s="242"/>
      <c r="HO40" s="242"/>
      <c r="HP40" s="242"/>
      <c r="HQ40" s="242"/>
      <c r="HR40" s="242"/>
      <c r="HS40" s="242"/>
      <c r="HT40" s="242"/>
      <c r="HU40" s="242"/>
      <c r="HV40" s="242"/>
      <c r="HW40" s="242"/>
      <c r="HX40" s="242"/>
      <c r="HY40" s="242"/>
      <c r="HZ40" s="242"/>
      <c r="IA40" s="242"/>
      <c r="IB40" s="242"/>
      <c r="IC40" s="242"/>
      <c r="ID40" s="242"/>
      <c r="IE40" s="242"/>
      <c r="IF40" s="242"/>
      <c r="IG40" s="242"/>
      <c r="IH40" s="242"/>
      <c r="II40" s="242"/>
      <c r="IJ40" s="242"/>
      <c r="IK40" s="242"/>
      <c r="IL40" s="242"/>
      <c r="IM40" s="242"/>
      <c r="IN40" s="242"/>
      <c r="IO40" s="242"/>
      <c r="IP40" s="242"/>
      <c r="IQ40" s="242"/>
      <c r="IR40" s="242"/>
      <c r="IS40" s="242"/>
      <c r="IT40" s="242"/>
      <c r="IU40" s="242"/>
      <c r="IV40" s="242"/>
      <c r="IW40" s="242"/>
      <c r="IX40" s="242"/>
      <c r="IY40" s="242"/>
      <c r="IZ40" s="242"/>
      <c r="JA40" s="242"/>
      <c r="JB40" s="242"/>
      <c r="JC40" s="242"/>
      <c r="JD40" s="242"/>
      <c r="JE40" s="242"/>
      <c r="JF40" s="242"/>
      <c r="JG40" s="242"/>
      <c r="JH40" s="242"/>
      <c r="JI40" s="242"/>
      <c r="JJ40" s="242"/>
      <c r="JK40" s="242"/>
      <c r="JL40" s="242"/>
      <c r="JM40" s="242"/>
      <c r="JN40" s="242"/>
      <c r="JO40" s="242"/>
      <c r="JP40" s="242"/>
      <c r="JQ40" s="242"/>
      <c r="JR40" s="242"/>
      <c r="JS40" s="242"/>
      <c r="JT40" s="242"/>
      <c r="JU40" s="242"/>
      <c r="JV40" s="242"/>
      <c r="JW40" s="242"/>
      <c r="JX40" s="242"/>
      <c r="JY40" s="242"/>
      <c r="JZ40" s="242"/>
      <c r="KA40" s="242"/>
      <c r="KB40" s="242"/>
      <c r="KC40" s="242"/>
    </row>
    <row r="41" spans="1:289" x14ac:dyDescent="0.3">
      <c r="A41" s="1" t="s">
        <v>30</v>
      </c>
      <c r="B41" s="257">
        <f>SUM(C41:KB41)</f>
        <v>1.1327491372569769</v>
      </c>
      <c r="C41" s="270">
        <f>SUM(Leasing!E51:K51)</f>
        <v>0</v>
      </c>
      <c r="D41" s="258">
        <f>IFERROR(_xlfn.XLOOKUP(D$7,Leasing!$1:$1,Leasing!51:51),0)</f>
        <v>0</v>
      </c>
      <c r="E41" s="258">
        <f>IFERROR(_xlfn.XLOOKUP(E$7,Leasing!$1:$1,Leasing!51:51),0)</f>
        <v>0</v>
      </c>
      <c r="F41" s="258">
        <f>IFERROR(_xlfn.XLOOKUP(F$7,Leasing!$1:$1,Leasing!51:51),0)</f>
        <v>0</v>
      </c>
      <c r="G41" s="258">
        <f>IFERROR(_xlfn.XLOOKUP(G$7,Leasing!$1:$1,Leasing!51:51),0)</f>
        <v>0</v>
      </c>
      <c r="H41" s="258">
        <f>IFERROR(_xlfn.XLOOKUP(H$7,Leasing!$1:$1,Leasing!51:51),0)</f>
        <v>0</v>
      </c>
      <c r="I41" s="258">
        <f>IFERROR(_xlfn.XLOOKUP(I$7,Leasing!$1:$1,Leasing!51:51),0)</f>
        <v>0</v>
      </c>
      <c r="J41" s="258">
        <f>IFERROR(_xlfn.XLOOKUP(J$7,Leasing!$1:$1,Leasing!51:51),0)</f>
        <v>0</v>
      </c>
      <c r="K41" s="258">
        <f>IFERROR(_xlfn.XLOOKUP(K$7,Leasing!$1:$1,Leasing!51:51),0)</f>
        <v>0</v>
      </c>
      <c r="L41" s="258">
        <f>IFERROR(_xlfn.XLOOKUP(L$7,Leasing!$1:$1,Leasing!51:51),0)</f>
        <v>0</v>
      </c>
      <c r="M41" s="258">
        <f>IFERROR(_xlfn.XLOOKUP(M$7,Leasing!$1:$1,Leasing!51:51),0)</f>
        <v>0</v>
      </c>
      <c r="N41" s="258">
        <f>IFERROR(_xlfn.XLOOKUP(N$7,Leasing!$1:$1,Leasing!51:51),0)</f>
        <v>0</v>
      </c>
      <c r="O41" s="258">
        <f>IFERROR(_xlfn.XLOOKUP(O$7,Leasing!$1:$1,Leasing!51:51),0)</f>
        <v>0</v>
      </c>
      <c r="P41" s="258">
        <f>IFERROR(_xlfn.XLOOKUP(P$7,Leasing!$1:$1,Leasing!51:51),0)</f>
        <v>0</v>
      </c>
      <c r="Q41" s="258">
        <f>IFERROR(_xlfn.XLOOKUP(Q$7,Leasing!$1:$1,Leasing!51:51),0)</f>
        <v>0</v>
      </c>
      <c r="R41" s="258">
        <f>IFERROR(_xlfn.XLOOKUP(R$7,Leasing!$1:$1,Leasing!51:51),0)</f>
        <v>0</v>
      </c>
      <c r="S41" s="258">
        <f>IFERROR(_xlfn.XLOOKUP(S$7,Leasing!$1:$1,Leasing!51:51),0)</f>
        <v>0</v>
      </c>
      <c r="T41" s="258">
        <f>IFERROR(_xlfn.XLOOKUP(T$7,Leasing!$1:$1,Leasing!51:51),0)</f>
        <v>0</v>
      </c>
      <c r="U41" s="258">
        <f>IFERROR(_xlfn.XLOOKUP(U$7,Leasing!$1:$1,Leasing!51:51),0)</f>
        <v>0</v>
      </c>
      <c r="V41" s="258">
        <f>IFERROR(_xlfn.XLOOKUP(V$7,Leasing!$1:$1,Leasing!51:51),0)</f>
        <v>3.1387119227698497</v>
      </c>
      <c r="W41" s="258">
        <f>IFERROR(_xlfn.XLOOKUP(W$7,Leasing!$1:$1,Leasing!51:51),0)</f>
        <v>0</v>
      </c>
      <c r="X41" s="258">
        <f>IFERROR(_xlfn.XLOOKUP(X$7,Leasing!$1:$1,Leasing!51:51),0)</f>
        <v>0</v>
      </c>
      <c r="Y41" s="258">
        <f>IFERROR(_xlfn.XLOOKUP(Y$7,Leasing!$1:$1,Leasing!51:51),0)</f>
        <v>0</v>
      </c>
      <c r="Z41" s="258">
        <f>IFERROR(_xlfn.XLOOKUP(Z$7,Leasing!$1:$1,Leasing!51:51),0)</f>
        <v>0</v>
      </c>
      <c r="AA41" s="258">
        <f>IFERROR(_xlfn.XLOOKUP(AA$7,Leasing!$1:$1,Leasing!51:51),0)</f>
        <v>0</v>
      </c>
      <c r="AB41" s="258">
        <f>IFERROR(_xlfn.XLOOKUP(AB$7,Leasing!$1:$1,Leasing!51:51),0)</f>
        <v>0</v>
      </c>
      <c r="AC41" s="258">
        <f>IFERROR(_xlfn.XLOOKUP(AC$7,Leasing!$1:$1,Leasing!51:51),0)</f>
        <v>0</v>
      </c>
      <c r="AD41" s="258">
        <f>IFERROR(_xlfn.XLOOKUP(AD$7,Leasing!$1:$1,Leasing!51:51),0)</f>
        <v>0</v>
      </c>
      <c r="AE41" s="258">
        <f>IFERROR(_xlfn.XLOOKUP(AE$7,Leasing!$1:$1,Leasing!51:51),0)</f>
        <v>0</v>
      </c>
      <c r="AF41" s="258">
        <f>IFERROR(_xlfn.XLOOKUP(AF$7,Leasing!$1:$1,Leasing!51:51),0)</f>
        <v>0</v>
      </c>
      <c r="AG41" s="258">
        <f>IFERROR(_xlfn.XLOOKUP(AG$7,Leasing!$1:$1,Leasing!51:51),0)</f>
        <v>0</v>
      </c>
      <c r="AH41" s="258">
        <f>IFERROR(_xlfn.XLOOKUP(AH$7,Leasing!$1:$1,Leasing!51:51),0)</f>
        <v>6.0795196073454152</v>
      </c>
      <c r="AI41" s="258">
        <f>IFERROR(_xlfn.XLOOKUP(AI$7,Leasing!$1:$1,Leasing!51:51),0)</f>
        <v>0</v>
      </c>
      <c r="AJ41" s="258">
        <f>IFERROR(_xlfn.XLOOKUP(AJ$7,Leasing!$1:$1,Leasing!51:51),0)</f>
        <v>0</v>
      </c>
      <c r="AK41" s="258">
        <f>IFERROR(_xlfn.XLOOKUP(AK$7,Leasing!$1:$1,Leasing!51:51),0)</f>
        <v>0</v>
      </c>
      <c r="AL41" s="258">
        <f>IFERROR(_xlfn.XLOOKUP(AL$7,Leasing!$1:$1,Leasing!51:51),0)</f>
        <v>0</v>
      </c>
      <c r="AM41" s="258">
        <f>IFERROR(_xlfn.XLOOKUP(AM$7,Leasing!$1:$1,Leasing!51:51),0)</f>
        <v>0</v>
      </c>
      <c r="AN41" s="258">
        <f>IFERROR(_xlfn.XLOOKUP(AN$7,Leasing!$1:$1,Leasing!51:51),0)</f>
        <v>0</v>
      </c>
      <c r="AO41" s="258">
        <f>IFERROR(_xlfn.XLOOKUP(AO$7,Leasing!$1:$1,Leasing!51:51),0)</f>
        <v>0</v>
      </c>
      <c r="AP41" s="258">
        <f>IFERROR(_xlfn.XLOOKUP(AP$7,Leasing!$1:$1,Leasing!51:51),0)</f>
        <v>0</v>
      </c>
      <c r="AQ41" s="258">
        <f>IFERROR(_xlfn.XLOOKUP(AQ$7,Leasing!$1:$1,Leasing!51:51),0)</f>
        <v>2.5342463384935199</v>
      </c>
      <c r="AR41" s="258">
        <f>IFERROR(_xlfn.XLOOKUP(AR$7,Leasing!$1:$1,Leasing!51:51),0)</f>
        <v>0</v>
      </c>
      <c r="AS41" s="258">
        <f>IFERROR(_xlfn.XLOOKUP(AS$7,Leasing!$1:$1,Leasing!51:51),0)</f>
        <v>0</v>
      </c>
      <c r="AT41" s="258">
        <f>IFERROR(_xlfn.XLOOKUP(AT$7,Leasing!$1:$1,Leasing!51:51),0)</f>
        <v>0</v>
      </c>
      <c r="AU41" s="258">
        <f>IFERROR(_xlfn.XLOOKUP(AU$7,Leasing!$1:$1,Leasing!51:51),0)</f>
        <v>0</v>
      </c>
      <c r="AV41" s="258">
        <f>IFERROR(_xlfn.XLOOKUP(AV$7,Leasing!$1:$1,Leasing!51:51),0)</f>
        <v>0</v>
      </c>
      <c r="AW41" s="258">
        <f>IFERROR(_xlfn.XLOOKUP(AW$7,Leasing!$1:$1,Leasing!51:51),0)</f>
        <v>0</v>
      </c>
      <c r="AX41" s="258">
        <f>IFERROR(_xlfn.XLOOKUP(AX$7,Leasing!$1:$1,Leasing!51:51),0)</f>
        <v>0</v>
      </c>
      <c r="AY41" s="258">
        <f>IFERROR(_xlfn.XLOOKUP(AY$7,Leasing!$1:$1,Leasing!51:51),0)</f>
        <v>0</v>
      </c>
      <c r="AZ41" s="258">
        <f>IFERROR(_xlfn.XLOOKUP(AZ$7,Leasing!$1:$1,Leasing!51:51),0)</f>
        <v>5.436752398531965</v>
      </c>
      <c r="BA41" s="258">
        <f>IFERROR(_xlfn.XLOOKUP(BA$7,Leasing!$1:$1,Leasing!51:51),0)</f>
        <v>0</v>
      </c>
      <c r="BB41" s="258">
        <f>IFERROR(_xlfn.XLOOKUP(BB$7,Leasing!$1:$1,Leasing!51:51),0)</f>
        <v>0</v>
      </c>
      <c r="BC41" s="258">
        <f>IFERROR(_xlfn.XLOOKUP(BC$7,Leasing!$1:$1,Leasing!51:51),0)</f>
        <v>0</v>
      </c>
      <c r="BD41" s="258">
        <f>IFERROR(_xlfn.XLOOKUP(BD$7,Leasing!$1:$1,Leasing!51:51),0)</f>
        <v>0</v>
      </c>
      <c r="BE41" s="258">
        <f>IFERROR(_xlfn.XLOOKUP(BE$7,Leasing!$1:$1,Leasing!51:51),0)</f>
        <v>0</v>
      </c>
      <c r="BF41" s="258">
        <f>IFERROR(_xlfn.XLOOKUP(BF$7,Leasing!$1:$1,Leasing!51:51),0)</f>
        <v>0</v>
      </c>
      <c r="BG41" s="258">
        <f>IFERROR(_xlfn.XLOOKUP(BG$7,Leasing!$1:$1,Leasing!51:51),0)</f>
        <v>0</v>
      </c>
      <c r="BH41" s="258">
        <f>IFERROR(_xlfn.XLOOKUP(BH$7,Leasing!$1:$1,Leasing!51:51),0)</f>
        <v>0</v>
      </c>
      <c r="BI41" s="258">
        <f>IFERROR(_xlfn.XLOOKUP(BI$7,Leasing!$1:$1,Leasing!51:51),0)</f>
        <v>1.1327491372569751</v>
      </c>
      <c r="BJ41" s="258">
        <f>IFERROR(_xlfn.XLOOKUP(BJ$7,Leasing!$1:$1,Leasing!51:51),0)</f>
        <v>0</v>
      </c>
      <c r="BK41" s="258">
        <f>IFERROR(_xlfn.XLOOKUP(BK$7,Leasing!$1:$1,Leasing!51:51),0)</f>
        <v>0</v>
      </c>
      <c r="BL41" s="258">
        <f>IFERROR(_xlfn.XLOOKUP(BL$7,Leasing!$1:$1,Leasing!51:51),0)</f>
        <v>0</v>
      </c>
      <c r="BM41" s="258">
        <f>IFERROR(_xlfn.XLOOKUP(BM$7,Leasing!$1:$1,Leasing!51:51),0)</f>
        <v>0</v>
      </c>
      <c r="BN41" s="258">
        <f>IFERROR(_xlfn.XLOOKUP(BN$7,Leasing!$1:$1,Leasing!51:51),0)</f>
        <v>0</v>
      </c>
      <c r="BO41" s="258">
        <f>IFERROR(_xlfn.XLOOKUP(BO$7,Leasing!$1:$1,Leasing!51:51),0)</f>
        <v>0</v>
      </c>
      <c r="BP41" s="258">
        <f>IFERROR(_xlfn.XLOOKUP(BP$7,Leasing!$1:$1,Leasing!51:51),0)</f>
        <v>0</v>
      </c>
      <c r="BQ41" s="258">
        <f>IFERROR(_xlfn.XLOOKUP(BQ$7,Leasing!$1:$1,Leasing!51:51),0)</f>
        <v>0</v>
      </c>
      <c r="BR41" s="258">
        <f>IFERROR(_xlfn.XLOOKUP(BR$7,Leasing!$1:$1,Leasing!51:51),0)</f>
        <v>0</v>
      </c>
      <c r="BS41" s="258">
        <f>IFERROR(_xlfn.XLOOKUP(BS$7,Leasing!$1:$1,Leasing!51:51),0)</f>
        <v>0</v>
      </c>
      <c r="BT41" s="258">
        <f>IFERROR(_xlfn.XLOOKUP(BT$7,Leasing!$1:$1,Leasing!51:51),0)</f>
        <v>0</v>
      </c>
      <c r="BU41" s="258">
        <f>IFERROR(_xlfn.XLOOKUP(BU$7,Leasing!$1:$1,Leasing!51:51),0)</f>
        <v>0</v>
      </c>
      <c r="BV41" s="258">
        <f>IFERROR(_xlfn.XLOOKUP(BV$7,Leasing!$1:$1,Leasing!51:51),0)</f>
        <v>0</v>
      </c>
      <c r="BW41" s="258">
        <f>IFERROR(_xlfn.XLOOKUP(BW$7,Leasing!$1:$1,Leasing!51:51),0)</f>
        <v>0</v>
      </c>
      <c r="BX41" s="258">
        <f>IFERROR(_xlfn.XLOOKUP(BX$7,Leasing!$1:$1,Leasing!51:51),0)</f>
        <v>0</v>
      </c>
      <c r="BY41" s="258">
        <f>IFERROR(_xlfn.XLOOKUP(BY$7,Leasing!$1:$1,Leasing!51:51),0)</f>
        <v>0</v>
      </c>
      <c r="BZ41" s="258">
        <f>IFERROR(_xlfn.XLOOKUP(BZ$7,Leasing!$1:$1,Leasing!51:51),0)</f>
        <v>0</v>
      </c>
      <c r="CA41" s="258">
        <f>IFERROR(_xlfn.XLOOKUP(CA$7,Leasing!$1:$1,Leasing!51:51),0)</f>
        <v>0</v>
      </c>
      <c r="CB41" s="258">
        <f>IFERROR(_xlfn.XLOOKUP(CB$7,Leasing!$1:$1,Leasing!51:51),0)</f>
        <v>0</v>
      </c>
      <c r="CC41" s="258">
        <f>IFERROR(_xlfn.XLOOKUP(CC$7,Leasing!$1:$1,Leasing!51:51),0)</f>
        <v>0</v>
      </c>
      <c r="CD41" s="258">
        <f>IFERROR(_xlfn.XLOOKUP(CD$7,Leasing!$1:$1,Leasing!51:51),0)</f>
        <v>0</v>
      </c>
      <c r="CE41" s="258">
        <f>IFERROR(_xlfn.XLOOKUP(CE$7,Leasing!$1:$1,Leasing!51:51),0)</f>
        <v>0</v>
      </c>
      <c r="CF41" s="258">
        <f>IFERROR(_xlfn.XLOOKUP(CF$7,Leasing!$1:$1,Leasing!51:51),0)</f>
        <v>0</v>
      </c>
      <c r="CG41" s="258">
        <f>IFERROR(_xlfn.XLOOKUP(CG$7,Leasing!$1:$1,Leasing!51:51),0)</f>
        <v>0</v>
      </c>
      <c r="CH41" s="258">
        <f>IFERROR(_xlfn.XLOOKUP(CH$7,Leasing!$1:$1,Leasing!51:51),0)</f>
        <v>0</v>
      </c>
      <c r="CI41" s="258">
        <f>IFERROR(_xlfn.XLOOKUP(CI$7,Leasing!$1:$1,Leasing!51:51),0)</f>
        <v>0</v>
      </c>
      <c r="CJ41" s="258">
        <f>IFERROR(_xlfn.XLOOKUP(CJ$7,Leasing!$1:$1,Leasing!51:51),0)</f>
        <v>0</v>
      </c>
      <c r="CK41" s="258">
        <f>IFERROR(_xlfn.XLOOKUP(CK$7,Leasing!$1:$1,Leasing!51:51),0)</f>
        <v>0</v>
      </c>
      <c r="CL41" s="258">
        <f>IFERROR(_xlfn.XLOOKUP(CL$7,Leasing!$1:$1,Leasing!51:51),0)</f>
        <v>0</v>
      </c>
      <c r="CM41" s="258">
        <f>IFERROR(_xlfn.XLOOKUP(CM$7,Leasing!$1:$1,Leasing!51:51),0)</f>
        <v>0</v>
      </c>
      <c r="CN41" s="258">
        <f>IFERROR(_xlfn.XLOOKUP(CN$7,Leasing!$1:$1,Leasing!51:51),0)</f>
        <v>0</v>
      </c>
      <c r="CO41" s="258">
        <f>IFERROR(_xlfn.XLOOKUP(CO$7,Leasing!$1:$1,Leasing!51:51),0)</f>
        <v>0</v>
      </c>
      <c r="CP41" s="258">
        <f>IFERROR(_xlfn.XLOOKUP(CP$7,Leasing!$1:$1,Leasing!51:51),0)</f>
        <v>0</v>
      </c>
      <c r="CQ41" s="258">
        <f>IFERROR(_xlfn.XLOOKUP(CQ$7,Leasing!$1:$1,Leasing!51:51),0)</f>
        <v>0</v>
      </c>
      <c r="CR41" s="258">
        <f>IFERROR(_xlfn.XLOOKUP(CR$7,Leasing!$1:$1,Leasing!51:51),0)</f>
        <v>0</v>
      </c>
      <c r="CS41" s="258">
        <f>IFERROR(_xlfn.XLOOKUP(CS$7,Leasing!$1:$1,Leasing!51:51),0)</f>
        <v>0</v>
      </c>
      <c r="CT41" s="258">
        <f>IFERROR(_xlfn.XLOOKUP(CT$7,Leasing!$1:$1,Leasing!51:51),0)</f>
        <v>0</v>
      </c>
      <c r="CU41" s="258">
        <f>IFERROR(_xlfn.XLOOKUP(CU$7,Leasing!$1:$1,Leasing!51:51),0)</f>
        <v>0</v>
      </c>
      <c r="CV41" s="258">
        <f>IFERROR(_xlfn.XLOOKUP(CV$7,Leasing!$1:$1,Leasing!51:51),0)</f>
        <v>0</v>
      </c>
      <c r="CW41" s="258">
        <f>IFERROR(_xlfn.XLOOKUP(CW$7,Leasing!$1:$1,Leasing!51:51),0)</f>
        <v>0</v>
      </c>
      <c r="CX41" s="258">
        <f>IFERROR(_xlfn.XLOOKUP(CX$7,Leasing!$1:$1,Leasing!51:51),0)</f>
        <v>0</v>
      </c>
      <c r="CY41" s="258">
        <f>IFERROR(_xlfn.XLOOKUP(CY$7,Leasing!$1:$1,Leasing!51:51),0)</f>
        <v>0</v>
      </c>
      <c r="CZ41" s="258">
        <f>IFERROR(_xlfn.XLOOKUP(CZ$7,Leasing!$1:$1,Leasing!51:51),0)</f>
        <v>0</v>
      </c>
      <c r="DA41" s="258">
        <f>IFERROR(_xlfn.XLOOKUP(DA$7,Leasing!$1:$1,Leasing!51:51),0)</f>
        <v>0</v>
      </c>
      <c r="DB41" s="258">
        <f>IFERROR(_xlfn.XLOOKUP(DB$7,Leasing!$1:$1,Leasing!51:51),0)</f>
        <v>0</v>
      </c>
      <c r="DC41" s="258">
        <f>IFERROR(_xlfn.XLOOKUP(DC$7,Leasing!$1:$1,Leasing!51:51),0)</f>
        <v>0</v>
      </c>
      <c r="DD41" s="258">
        <f>IFERROR(_xlfn.XLOOKUP(DD$7,Leasing!$1:$1,Leasing!51:51),0)</f>
        <v>0</v>
      </c>
      <c r="DE41" s="258">
        <f>IFERROR(_xlfn.XLOOKUP(DE$7,Leasing!$1:$1,Leasing!51:51),0)</f>
        <v>0</v>
      </c>
      <c r="DF41" s="258">
        <f>IFERROR(_xlfn.XLOOKUP(DF$7,Leasing!$1:$1,Leasing!51:51),0)</f>
        <v>0</v>
      </c>
      <c r="DG41" s="258">
        <f>IFERROR(_xlfn.XLOOKUP(DG$7,Leasing!$1:$1,Leasing!51:51),0)</f>
        <v>0</v>
      </c>
      <c r="DH41" s="258">
        <f>IFERROR(_xlfn.XLOOKUP(DH$7,Leasing!$1:$1,Leasing!51:51),0)</f>
        <v>0</v>
      </c>
      <c r="DI41" s="258">
        <f>IFERROR(_xlfn.XLOOKUP(DI$7,Leasing!$1:$1,Leasing!51:51),0)</f>
        <v>0</v>
      </c>
      <c r="DJ41" s="258">
        <f>IFERROR(_xlfn.XLOOKUP(DJ$7,Leasing!$1:$1,Leasing!51:51),0)</f>
        <v>0</v>
      </c>
      <c r="DK41" s="258">
        <f>IFERROR(_xlfn.XLOOKUP(DK$7,Leasing!$1:$1,Leasing!51:51),0)</f>
        <v>0</v>
      </c>
      <c r="DL41" s="258">
        <f>IFERROR(_xlfn.XLOOKUP(DL$7,Leasing!$1:$1,Leasing!51:51),0)</f>
        <v>0</v>
      </c>
      <c r="DM41" s="258">
        <f>IFERROR(_xlfn.XLOOKUP(DM$7,Leasing!$1:$1,Leasing!51:51),0)</f>
        <v>0</v>
      </c>
      <c r="DN41" s="258">
        <f>IFERROR(_xlfn.XLOOKUP(DN$7,Leasing!$1:$1,Leasing!51:51),0)</f>
        <v>0</v>
      </c>
      <c r="DO41" s="258">
        <f>IFERROR(_xlfn.XLOOKUP(DO$7,Leasing!$1:$1,Leasing!51:51),0)</f>
        <v>0</v>
      </c>
      <c r="DP41" s="258">
        <f>IFERROR(_xlfn.XLOOKUP(DP$7,Leasing!$1:$1,Leasing!51:51),0)</f>
        <v>0</v>
      </c>
      <c r="DQ41" s="258">
        <f>IFERROR(_xlfn.XLOOKUP(DQ$7,Leasing!$1:$1,Leasing!51:51),0)</f>
        <v>0</v>
      </c>
      <c r="DR41" s="258">
        <f>IFERROR(_xlfn.XLOOKUP(DR$7,Leasing!$1:$1,Leasing!51:51),0)</f>
        <v>0</v>
      </c>
      <c r="DS41" s="258">
        <f>IFERROR(_xlfn.XLOOKUP(DS$7,Leasing!$1:$1,Leasing!51:51),0)</f>
        <v>0</v>
      </c>
      <c r="DT41" s="258">
        <f>IFERROR(_xlfn.XLOOKUP(DT$7,Leasing!$1:$1,Leasing!51:51),0)</f>
        <v>0</v>
      </c>
      <c r="DU41" s="258">
        <f>IFERROR(_xlfn.XLOOKUP(DU$7,Leasing!$1:$1,Leasing!51:51),0)</f>
        <v>0</v>
      </c>
      <c r="DV41" s="258">
        <f>IFERROR(_xlfn.XLOOKUP(DV$7,Leasing!$1:$1,Leasing!51:51),0)</f>
        <v>0</v>
      </c>
      <c r="DW41" s="258">
        <f>IFERROR(_xlfn.XLOOKUP(DW$7,Leasing!$1:$1,Leasing!51:51),0)</f>
        <v>0</v>
      </c>
      <c r="DX41" s="258">
        <f>IFERROR(_xlfn.XLOOKUP(DX$7,Leasing!$1:$1,Leasing!51:51),0)</f>
        <v>0</v>
      </c>
      <c r="DY41" s="258">
        <f>IFERROR(_xlfn.XLOOKUP(DY$7,Leasing!$1:$1,Leasing!51:51),0)</f>
        <v>0</v>
      </c>
      <c r="DZ41" s="258">
        <f>IFERROR(_xlfn.XLOOKUP(DZ$7,Leasing!$1:$1,Leasing!51:51),0)</f>
        <v>0</v>
      </c>
      <c r="EA41" s="258">
        <f>IFERROR(_xlfn.XLOOKUP(EA$7,Leasing!$1:$1,Leasing!51:51),0)</f>
        <v>0</v>
      </c>
      <c r="EB41" s="258">
        <f>IFERROR(_xlfn.XLOOKUP(EB$7,Leasing!$1:$1,Leasing!51:51),0)</f>
        <v>0</v>
      </c>
      <c r="EC41" s="258">
        <f>IFERROR(_xlfn.XLOOKUP(EC$7,Leasing!$1:$1,Leasing!51:51),0)</f>
        <v>0</v>
      </c>
      <c r="ED41" s="258">
        <f>IFERROR(_xlfn.XLOOKUP(ED$7,Leasing!$1:$1,Leasing!51:51),0)</f>
        <v>0</v>
      </c>
      <c r="EE41" s="258">
        <f>IFERROR(_xlfn.XLOOKUP(EE$7,Leasing!$1:$1,Leasing!51:51),0)</f>
        <v>0</v>
      </c>
      <c r="EF41" s="258">
        <f>IFERROR(_xlfn.XLOOKUP(EF$7,Leasing!$1:$1,Leasing!51:51),0)</f>
        <v>0</v>
      </c>
      <c r="EG41" s="258">
        <f>IFERROR(_xlfn.XLOOKUP(EG$7,Leasing!$1:$1,Leasing!51:51),0)</f>
        <v>0</v>
      </c>
      <c r="EH41" s="258">
        <f>IFERROR(_xlfn.XLOOKUP(EH$7,Leasing!$1:$1,Leasing!51:51),0)</f>
        <v>0</v>
      </c>
      <c r="EI41" s="258">
        <f>IFERROR(_xlfn.XLOOKUP(EI$7,Leasing!$1:$1,Leasing!51:51),0)</f>
        <v>0</v>
      </c>
      <c r="EJ41" s="258">
        <f>IFERROR(_xlfn.XLOOKUP(EJ$7,Leasing!$1:$1,Leasing!51:51),0)</f>
        <v>0</v>
      </c>
      <c r="EK41" s="258">
        <f>IFERROR(_xlfn.XLOOKUP(EK$7,Leasing!$1:$1,Leasing!51:51),0)</f>
        <v>0</v>
      </c>
      <c r="EL41" s="258">
        <f>IFERROR(_xlfn.XLOOKUP(EL$7,Leasing!$1:$1,Leasing!51:51),0)</f>
        <v>0</v>
      </c>
      <c r="EM41" s="258">
        <f>IFERROR(_xlfn.XLOOKUP(EM$7,Leasing!$1:$1,Leasing!51:51),0)</f>
        <v>0</v>
      </c>
      <c r="EN41" s="258">
        <f>IFERROR(_xlfn.XLOOKUP(EN$7,Leasing!$1:$1,Leasing!51:51),0)</f>
        <v>0</v>
      </c>
      <c r="EO41" s="258">
        <f>IFERROR(_xlfn.XLOOKUP(EO$7,Leasing!$1:$1,Leasing!51:51),0)</f>
        <v>0</v>
      </c>
      <c r="EP41" s="258">
        <f>IFERROR(_xlfn.XLOOKUP(EP$7,Leasing!$1:$1,Leasing!51:51),0)</f>
        <v>0</v>
      </c>
      <c r="EQ41" s="258">
        <f>IFERROR(_xlfn.XLOOKUP(EQ$7,Leasing!$1:$1,Leasing!51:51),0)</f>
        <v>0</v>
      </c>
      <c r="ER41" s="258">
        <f>IFERROR(_xlfn.XLOOKUP(ER$7,Leasing!$1:$1,Leasing!51:51),0)</f>
        <v>0</v>
      </c>
      <c r="ES41" s="258">
        <f>IFERROR(_xlfn.XLOOKUP(ES$7,Leasing!$1:$1,Leasing!51:51),0)</f>
        <v>0</v>
      </c>
      <c r="ET41" s="258">
        <f>IFERROR(_xlfn.XLOOKUP(ET$7,Leasing!$1:$1,Leasing!51:51),0)</f>
        <v>0</v>
      </c>
      <c r="EU41" s="258">
        <f>IFERROR(_xlfn.XLOOKUP(EU$7,Leasing!$1:$1,Leasing!51:51),0)</f>
        <v>0</v>
      </c>
      <c r="EV41" s="258">
        <f>IFERROR(_xlfn.XLOOKUP(EV$7,Leasing!$1:$1,Leasing!51:51),0)</f>
        <v>0</v>
      </c>
      <c r="EW41" s="258">
        <f>IFERROR(_xlfn.XLOOKUP(EW$7,Leasing!$1:$1,Leasing!51:51),0)</f>
        <v>0</v>
      </c>
      <c r="EX41" s="258">
        <f>IFERROR(_xlfn.XLOOKUP(EX$7,Leasing!$1:$1,Leasing!51:51),0)</f>
        <v>0</v>
      </c>
      <c r="EY41" s="258">
        <f>IFERROR(_xlfn.XLOOKUP(EY$7,Leasing!$1:$1,Leasing!51:51),0)</f>
        <v>0</v>
      </c>
      <c r="EZ41" s="258">
        <f>IFERROR(_xlfn.XLOOKUP(EZ$7,Leasing!$1:$1,Leasing!51:51),0)</f>
        <v>0</v>
      </c>
      <c r="FA41" s="258">
        <f>IFERROR(_xlfn.XLOOKUP(FA$7,Leasing!$1:$1,Leasing!51:51),0)</f>
        <v>0</v>
      </c>
      <c r="FB41" s="258">
        <f>IFERROR(_xlfn.XLOOKUP(FB$7,Leasing!$1:$1,Leasing!51:51),0)</f>
        <v>0</v>
      </c>
      <c r="FC41" s="258">
        <f>IFERROR(_xlfn.XLOOKUP(FC$7,Leasing!$1:$1,Leasing!51:51),0)</f>
        <v>0</v>
      </c>
      <c r="FD41" s="258">
        <f>IFERROR(_xlfn.XLOOKUP(FD$7,Leasing!$1:$1,Leasing!51:51),0)</f>
        <v>0</v>
      </c>
      <c r="FE41" s="258">
        <f>IFERROR(_xlfn.XLOOKUP(FE$7,Leasing!$1:$1,Leasing!51:51),0)</f>
        <v>0</v>
      </c>
      <c r="FF41" s="258">
        <f>IFERROR(_xlfn.XLOOKUP(FF$7,Leasing!$1:$1,Leasing!51:51),0)</f>
        <v>0</v>
      </c>
      <c r="FG41" s="258">
        <f>IFERROR(_xlfn.XLOOKUP(FG$7,Leasing!$1:$1,Leasing!51:51),0)</f>
        <v>0</v>
      </c>
      <c r="FH41" s="258">
        <f>IFERROR(_xlfn.XLOOKUP(FH$7,Leasing!$1:$1,Leasing!51:51),0)</f>
        <v>0</v>
      </c>
      <c r="FI41" s="258">
        <f>IFERROR(_xlfn.XLOOKUP(FI$7,Leasing!$1:$1,Leasing!51:51),0)</f>
        <v>0</v>
      </c>
      <c r="FJ41" s="258">
        <f>IFERROR(_xlfn.XLOOKUP(FJ$7,Leasing!$1:$1,Leasing!51:51),0)</f>
        <v>0</v>
      </c>
      <c r="FK41" s="258">
        <f>IFERROR(_xlfn.XLOOKUP(FK$7,Leasing!$1:$1,Leasing!51:51),0)</f>
        <v>0</v>
      </c>
      <c r="FL41" s="258">
        <f>IFERROR(_xlfn.XLOOKUP(FL$7,Leasing!$1:$1,Leasing!51:51),0)</f>
        <v>0</v>
      </c>
      <c r="FM41" s="258">
        <f>IFERROR(_xlfn.XLOOKUP(FM$7,Leasing!$1:$1,Leasing!51:51),0)</f>
        <v>0</v>
      </c>
      <c r="FN41" s="258">
        <f>IFERROR(_xlfn.XLOOKUP(FN$7,Leasing!$1:$1,Leasing!51:51),0)</f>
        <v>0</v>
      </c>
      <c r="FO41" s="258">
        <f>IFERROR(_xlfn.XLOOKUP(FO$7,Leasing!$1:$1,Leasing!51:51),0)</f>
        <v>0</v>
      </c>
      <c r="FP41" s="258">
        <f>IFERROR(_xlfn.XLOOKUP(FP$7,Leasing!$1:$1,Leasing!51:51),0)</f>
        <v>0</v>
      </c>
      <c r="FQ41" s="258">
        <f>IFERROR(_xlfn.XLOOKUP(FQ$7,Leasing!$1:$1,Leasing!51:51),0)</f>
        <v>0</v>
      </c>
      <c r="FR41" s="258">
        <f>IFERROR(_xlfn.XLOOKUP(FR$7,Leasing!$1:$1,Leasing!51:51),0)</f>
        <v>0</v>
      </c>
      <c r="FS41" s="258">
        <f>IFERROR(_xlfn.XLOOKUP(FS$7,Leasing!$1:$1,Leasing!51:51),0)</f>
        <v>0</v>
      </c>
      <c r="FT41" s="258">
        <f>IFERROR(_xlfn.XLOOKUP(FT$7,Leasing!$1:$1,Leasing!51:51),0)</f>
        <v>0</v>
      </c>
      <c r="FU41" s="258">
        <f>IFERROR(_xlfn.XLOOKUP(FU$7,Leasing!$1:$1,Leasing!51:51),0)</f>
        <v>0</v>
      </c>
      <c r="FV41" s="258">
        <f>IFERROR(_xlfn.XLOOKUP(FV$7,Leasing!$1:$1,Leasing!51:51),0)</f>
        <v>0</v>
      </c>
      <c r="FW41" s="258">
        <f>IFERROR(_xlfn.XLOOKUP(FW$7,Leasing!$1:$1,Leasing!51:51),0)</f>
        <v>0</v>
      </c>
      <c r="FX41" s="258">
        <f>IFERROR(_xlfn.XLOOKUP(FX$7,Leasing!$1:$1,Leasing!51:51),0)</f>
        <v>0</v>
      </c>
      <c r="FY41" s="258">
        <f>IFERROR(_xlfn.XLOOKUP(FY$7,Leasing!$1:$1,Leasing!51:51),0)</f>
        <v>0</v>
      </c>
      <c r="FZ41" s="258">
        <f>IFERROR(_xlfn.XLOOKUP(FZ$7,Leasing!$1:$1,Leasing!51:51),0)</f>
        <v>0</v>
      </c>
      <c r="GA41" s="258">
        <f>IFERROR(_xlfn.XLOOKUP(GA$7,Leasing!$1:$1,Leasing!51:51),0)</f>
        <v>0</v>
      </c>
      <c r="GB41" s="258">
        <f>IFERROR(_xlfn.XLOOKUP(GB$7,Leasing!$1:$1,Leasing!51:51),0)</f>
        <v>0</v>
      </c>
      <c r="GC41" s="258">
        <f>IFERROR(_xlfn.XLOOKUP(GC$7,Leasing!$1:$1,Leasing!51:51),0)</f>
        <v>0</v>
      </c>
      <c r="GD41" s="258">
        <f>IFERROR(_xlfn.XLOOKUP(GD$7,Leasing!$1:$1,Leasing!51:51),0)</f>
        <v>0</v>
      </c>
      <c r="GE41" s="258">
        <f>IFERROR(_xlfn.XLOOKUP(GE$7,Leasing!$1:$1,Leasing!51:51),0)</f>
        <v>0</v>
      </c>
      <c r="GF41" s="258">
        <f>IFERROR(_xlfn.XLOOKUP(GF$7,Leasing!$1:$1,Leasing!51:51),0)</f>
        <v>0</v>
      </c>
      <c r="GG41" s="258">
        <f>IFERROR(_xlfn.XLOOKUP(GG$7,Leasing!$1:$1,Leasing!51:51),0)</f>
        <v>0</v>
      </c>
      <c r="GH41" s="258">
        <f>IFERROR(_xlfn.XLOOKUP(GH$7,Leasing!$1:$1,Leasing!51:51),0)</f>
        <v>0</v>
      </c>
      <c r="GI41" s="258">
        <f>IFERROR(_xlfn.XLOOKUP(GI$7,Leasing!$1:$1,Leasing!51:51),0)</f>
        <v>0</v>
      </c>
      <c r="GJ41" s="258">
        <f>IFERROR(_xlfn.XLOOKUP(GJ$7,Leasing!$1:$1,Leasing!51:51),0)</f>
        <v>0</v>
      </c>
      <c r="GK41" s="258">
        <f>IFERROR(_xlfn.XLOOKUP(GK$7,Leasing!$1:$1,Leasing!51:51),0)</f>
        <v>0</v>
      </c>
      <c r="GL41" s="258">
        <f>IFERROR(_xlfn.XLOOKUP(GL$7,Leasing!$1:$1,Leasing!51:51),0)</f>
        <v>0</v>
      </c>
      <c r="GM41" s="258">
        <f>IFERROR(_xlfn.XLOOKUP(GM$7,Leasing!$1:$1,Leasing!51:51),0)</f>
        <v>0</v>
      </c>
      <c r="GN41" s="258">
        <f>IFERROR(_xlfn.XLOOKUP(GN$7,Leasing!$1:$1,Leasing!51:51),0)</f>
        <v>0</v>
      </c>
      <c r="GO41" s="258">
        <f>IFERROR(_xlfn.XLOOKUP(GO$7,Leasing!$1:$1,Leasing!51:51),0)</f>
        <v>0</v>
      </c>
      <c r="GP41" s="258">
        <f>IFERROR(_xlfn.XLOOKUP(GP$7,Leasing!$1:$1,Leasing!51:51),0)</f>
        <v>0</v>
      </c>
      <c r="GQ41" s="258">
        <f>IFERROR(_xlfn.XLOOKUP(GQ$7,Leasing!$1:$1,Leasing!51:51),0)</f>
        <v>0</v>
      </c>
      <c r="GR41" s="258">
        <f>IFERROR(_xlfn.XLOOKUP(GR$7,Leasing!$1:$1,Leasing!51:51),0)</f>
        <v>0</v>
      </c>
      <c r="GS41" s="258">
        <f>IFERROR(_xlfn.XLOOKUP(GS$7,Leasing!$1:$1,Leasing!51:51),0)</f>
        <v>0</v>
      </c>
      <c r="GT41" s="258">
        <f>IFERROR(_xlfn.XLOOKUP(GT$7,Leasing!$1:$1,Leasing!51:51),0)</f>
        <v>0</v>
      </c>
      <c r="GU41" s="258">
        <f>IFERROR(_xlfn.XLOOKUP(GU$7,Leasing!$1:$1,Leasing!51:51),0)</f>
        <v>0</v>
      </c>
      <c r="GV41" s="258">
        <f>IFERROR(_xlfn.XLOOKUP(GV$7,Leasing!$1:$1,Leasing!51:51),0)</f>
        <v>0</v>
      </c>
      <c r="GW41" s="258">
        <f>IFERROR(_xlfn.XLOOKUP(GW$7,Leasing!$1:$1,Leasing!51:51),0)</f>
        <v>0</v>
      </c>
      <c r="GX41" s="258">
        <f>IFERROR(_xlfn.XLOOKUP(GX$7,Leasing!$1:$1,Leasing!51:51),0)</f>
        <v>0</v>
      </c>
      <c r="GY41" s="258">
        <f>IFERROR(_xlfn.XLOOKUP(GY$7,Leasing!$1:$1,Leasing!51:51),0)</f>
        <v>0</v>
      </c>
      <c r="GZ41" s="258">
        <f>IFERROR(_xlfn.XLOOKUP(GZ$7,Leasing!$1:$1,Leasing!51:51),0)</f>
        <v>0</v>
      </c>
      <c r="HA41" s="258">
        <f>IFERROR(_xlfn.XLOOKUP(HA$7,Leasing!$1:$1,Leasing!51:51),0)</f>
        <v>0</v>
      </c>
      <c r="HB41" s="258">
        <f>IFERROR(_xlfn.XLOOKUP(HB$7,Leasing!$1:$1,Leasing!51:51),0)</f>
        <v>0</v>
      </c>
      <c r="HC41" s="258">
        <f>IFERROR(_xlfn.XLOOKUP(HC$7,Leasing!$1:$1,Leasing!51:51),0)</f>
        <v>0</v>
      </c>
      <c r="HD41" s="258">
        <f>IFERROR(_xlfn.XLOOKUP(HD$7,Leasing!$1:$1,Leasing!51:51),0)</f>
        <v>0</v>
      </c>
      <c r="HE41" s="258">
        <f>IFERROR(_xlfn.XLOOKUP(HE$7,Leasing!$1:$1,Leasing!51:51),0)</f>
        <v>0</v>
      </c>
      <c r="HF41" s="258">
        <f>IFERROR(_xlfn.XLOOKUP(HF$7,Leasing!$1:$1,Leasing!51:51),0)</f>
        <v>0</v>
      </c>
      <c r="HG41" s="258">
        <f>IFERROR(_xlfn.XLOOKUP(HG$7,Leasing!$1:$1,Leasing!51:51),0)</f>
        <v>0</v>
      </c>
      <c r="HH41" s="258">
        <f>IFERROR(_xlfn.XLOOKUP(HH$7,Leasing!$1:$1,Leasing!51:51),0)</f>
        <v>0</v>
      </c>
      <c r="HI41" s="258">
        <f>IFERROR(_xlfn.XLOOKUP(HI$7,Leasing!$1:$1,Leasing!51:51),0)</f>
        <v>0</v>
      </c>
      <c r="HJ41" s="258">
        <f>IFERROR(_xlfn.XLOOKUP(HJ$7,Leasing!$1:$1,Leasing!51:51),0)</f>
        <v>0</v>
      </c>
      <c r="HK41" s="258">
        <f>IFERROR(_xlfn.XLOOKUP(HK$7,Leasing!$1:$1,Leasing!51:51),0)</f>
        <v>0</v>
      </c>
      <c r="HL41" s="258">
        <f>IFERROR(_xlfn.XLOOKUP(HL$7,Leasing!$1:$1,Leasing!51:51),0)</f>
        <v>0</v>
      </c>
      <c r="HM41" s="258">
        <f>IFERROR(_xlfn.XLOOKUP(HM$7,Leasing!$1:$1,Leasing!51:51),0)</f>
        <v>0</v>
      </c>
      <c r="HN41" s="258">
        <f>IFERROR(_xlfn.XLOOKUP(HN$7,Leasing!$1:$1,Leasing!51:51),0)</f>
        <v>0</v>
      </c>
      <c r="HO41" s="258">
        <f>IFERROR(_xlfn.XLOOKUP(HO$7,Leasing!$1:$1,Leasing!51:51),0)</f>
        <v>0</v>
      </c>
      <c r="HP41" s="258">
        <f>IFERROR(_xlfn.XLOOKUP(HP$7,Leasing!$1:$1,Leasing!51:51),0)</f>
        <v>0</v>
      </c>
      <c r="HQ41" s="258">
        <f>IFERROR(_xlfn.XLOOKUP(HQ$7,Leasing!$1:$1,Leasing!51:51),0)</f>
        <v>0</v>
      </c>
      <c r="HR41" s="258">
        <f>IFERROR(_xlfn.XLOOKUP(HR$7,Leasing!$1:$1,Leasing!51:51),0)</f>
        <v>0</v>
      </c>
      <c r="HS41" s="258">
        <f>IFERROR(_xlfn.XLOOKUP(HS$7,Leasing!$1:$1,Leasing!51:51),0)</f>
        <v>0</v>
      </c>
      <c r="HT41" s="258">
        <f>IFERROR(_xlfn.XLOOKUP(HT$7,Leasing!$1:$1,Leasing!51:51),0)</f>
        <v>0</v>
      </c>
      <c r="HU41" s="258">
        <f>IFERROR(_xlfn.XLOOKUP(HU$7,Leasing!$1:$1,Leasing!51:51),0)</f>
        <v>0</v>
      </c>
      <c r="HV41" s="258">
        <f>IFERROR(_xlfn.XLOOKUP(HV$7,Leasing!$1:$1,Leasing!51:51),0)</f>
        <v>0</v>
      </c>
      <c r="HW41" s="258">
        <f>IFERROR(_xlfn.XLOOKUP(HW$7,Leasing!$1:$1,Leasing!51:51),0)</f>
        <v>0</v>
      </c>
      <c r="HX41" s="258">
        <f>IFERROR(_xlfn.XLOOKUP(HX$7,Leasing!$1:$1,Leasing!51:51),0)</f>
        <v>0</v>
      </c>
      <c r="HY41" s="258">
        <f>IFERROR(_xlfn.XLOOKUP(HY$7,Leasing!$1:$1,Leasing!51:51),0)</f>
        <v>0</v>
      </c>
      <c r="HZ41" s="258">
        <f>IFERROR(_xlfn.XLOOKUP(HZ$7,Leasing!$1:$1,Leasing!51:51),0)</f>
        <v>0</v>
      </c>
      <c r="IA41" s="258">
        <f>IFERROR(_xlfn.XLOOKUP(IA$7,Leasing!$1:$1,Leasing!51:51),0)</f>
        <v>0</v>
      </c>
      <c r="IB41" s="258">
        <f>IFERROR(_xlfn.XLOOKUP(IB$7,Leasing!$1:$1,Leasing!51:51),0)</f>
        <v>0</v>
      </c>
      <c r="IC41" s="258">
        <f>IFERROR(_xlfn.XLOOKUP(IC$7,Leasing!$1:$1,Leasing!51:51),0)</f>
        <v>0</v>
      </c>
      <c r="ID41" s="258">
        <f>IFERROR(_xlfn.XLOOKUP(ID$7,Leasing!$1:$1,Leasing!51:51),0)</f>
        <v>0</v>
      </c>
      <c r="IE41" s="258">
        <f>IFERROR(_xlfn.XLOOKUP(IE$7,Leasing!$1:$1,Leasing!51:51),0)</f>
        <v>0</v>
      </c>
      <c r="IF41" s="258">
        <f>IFERROR(_xlfn.XLOOKUP(IF$7,Leasing!$1:$1,Leasing!51:51),0)</f>
        <v>0</v>
      </c>
      <c r="IG41" s="258">
        <f>IFERROR(_xlfn.XLOOKUP(IG$7,Leasing!$1:$1,Leasing!51:51),0)</f>
        <v>0</v>
      </c>
      <c r="IH41" s="258">
        <f>IFERROR(_xlfn.XLOOKUP(IH$7,Leasing!$1:$1,Leasing!51:51),0)</f>
        <v>0</v>
      </c>
      <c r="II41" s="258">
        <f>IFERROR(_xlfn.XLOOKUP(II$7,Leasing!$1:$1,Leasing!51:51),0)</f>
        <v>0</v>
      </c>
      <c r="IJ41" s="258">
        <f>IFERROR(_xlfn.XLOOKUP(IJ$7,Leasing!$1:$1,Leasing!51:51),0)</f>
        <v>0</v>
      </c>
      <c r="IK41" s="258">
        <f>IFERROR(_xlfn.XLOOKUP(IK$7,Leasing!$1:$1,Leasing!51:51),0)</f>
        <v>0</v>
      </c>
      <c r="IL41" s="258">
        <f>IFERROR(_xlfn.XLOOKUP(IL$7,Leasing!$1:$1,Leasing!51:51),0)</f>
        <v>0</v>
      </c>
      <c r="IM41" s="258">
        <f>IFERROR(_xlfn.XLOOKUP(IM$7,Leasing!$1:$1,Leasing!51:51),0)</f>
        <v>0</v>
      </c>
      <c r="IN41" s="258">
        <f>IFERROR(_xlfn.XLOOKUP(IN$7,Leasing!$1:$1,Leasing!51:51),0)</f>
        <v>0</v>
      </c>
      <c r="IO41" s="258">
        <f>IFERROR(_xlfn.XLOOKUP(IO$7,Leasing!$1:$1,Leasing!51:51),0)</f>
        <v>0</v>
      </c>
      <c r="IP41" s="258">
        <f>IFERROR(_xlfn.XLOOKUP(IP$7,Leasing!$1:$1,Leasing!51:51),0)</f>
        <v>0</v>
      </c>
      <c r="IQ41" s="258">
        <f>IFERROR(_xlfn.XLOOKUP(IQ$7,Leasing!$1:$1,Leasing!51:51),0)</f>
        <v>0</v>
      </c>
      <c r="IR41" s="258">
        <f>IFERROR(_xlfn.XLOOKUP(IR$7,Leasing!$1:$1,Leasing!51:51),0)</f>
        <v>0</v>
      </c>
      <c r="IS41" s="258">
        <f>IFERROR(_xlfn.XLOOKUP(IS$7,Leasing!$1:$1,Leasing!51:51),0)</f>
        <v>0</v>
      </c>
      <c r="IT41" s="258">
        <f>IFERROR(_xlfn.XLOOKUP(IT$7,Leasing!$1:$1,Leasing!51:51),0)</f>
        <v>0</v>
      </c>
      <c r="IU41" s="258">
        <f>IFERROR(_xlfn.XLOOKUP(IU$7,Leasing!$1:$1,Leasing!51:51),0)</f>
        <v>-3.1387119227698497</v>
      </c>
      <c r="IV41" s="258">
        <f>IFERROR(_xlfn.XLOOKUP(IV$7,Leasing!$1:$1,Leasing!51:51),0)</f>
        <v>0</v>
      </c>
      <c r="IW41" s="258">
        <f>IFERROR(_xlfn.XLOOKUP(IW$7,Leasing!$1:$1,Leasing!51:51),0)</f>
        <v>0</v>
      </c>
      <c r="IX41" s="258">
        <f>IFERROR(_xlfn.XLOOKUP(IX$7,Leasing!$1:$1,Leasing!51:51),0)</f>
        <v>0</v>
      </c>
      <c r="IY41" s="258">
        <f>IFERROR(_xlfn.XLOOKUP(IY$7,Leasing!$1:$1,Leasing!51:51),0)</f>
        <v>0</v>
      </c>
      <c r="IZ41" s="258">
        <f>IFERROR(_xlfn.XLOOKUP(IZ$7,Leasing!$1:$1,Leasing!51:51),0)</f>
        <v>0</v>
      </c>
      <c r="JA41" s="258">
        <f>IFERROR(_xlfn.XLOOKUP(JA$7,Leasing!$1:$1,Leasing!51:51),0)</f>
        <v>0</v>
      </c>
      <c r="JB41" s="258">
        <f>IFERROR(_xlfn.XLOOKUP(JB$7,Leasing!$1:$1,Leasing!51:51),0)</f>
        <v>0</v>
      </c>
      <c r="JC41" s="258">
        <f>IFERROR(_xlfn.XLOOKUP(JC$7,Leasing!$1:$1,Leasing!51:51),0)</f>
        <v>0</v>
      </c>
      <c r="JD41" s="258">
        <f>IFERROR(_xlfn.XLOOKUP(JD$7,Leasing!$1:$1,Leasing!51:51),0)</f>
        <v>0</v>
      </c>
      <c r="JE41" s="258">
        <f>IFERROR(_xlfn.XLOOKUP(JE$7,Leasing!$1:$1,Leasing!51:51),0)</f>
        <v>0</v>
      </c>
      <c r="JF41" s="258">
        <f>IFERROR(_xlfn.XLOOKUP(JF$7,Leasing!$1:$1,Leasing!51:51),0)</f>
        <v>0</v>
      </c>
      <c r="JG41" s="258">
        <f>IFERROR(_xlfn.XLOOKUP(JG$7,Leasing!$1:$1,Leasing!51:51),0)</f>
        <v>-6.0795196073454152</v>
      </c>
      <c r="JH41" s="258">
        <f>IFERROR(_xlfn.XLOOKUP(JH$7,Leasing!$1:$1,Leasing!51:51),0)</f>
        <v>0</v>
      </c>
      <c r="JI41" s="258">
        <f>IFERROR(_xlfn.XLOOKUP(JI$7,Leasing!$1:$1,Leasing!51:51),0)</f>
        <v>0</v>
      </c>
      <c r="JJ41" s="258">
        <f>IFERROR(_xlfn.XLOOKUP(JJ$7,Leasing!$1:$1,Leasing!51:51),0)</f>
        <v>0</v>
      </c>
      <c r="JK41" s="258">
        <f>IFERROR(_xlfn.XLOOKUP(JK$7,Leasing!$1:$1,Leasing!51:51),0)</f>
        <v>0</v>
      </c>
      <c r="JL41" s="258">
        <f>IFERROR(_xlfn.XLOOKUP(JL$7,Leasing!$1:$1,Leasing!51:51),0)</f>
        <v>0</v>
      </c>
      <c r="JM41" s="258">
        <f>IFERROR(_xlfn.XLOOKUP(JM$7,Leasing!$1:$1,Leasing!51:51),0)</f>
        <v>0</v>
      </c>
      <c r="JN41" s="258">
        <f>IFERROR(_xlfn.XLOOKUP(JN$7,Leasing!$1:$1,Leasing!51:51),0)</f>
        <v>0</v>
      </c>
      <c r="JO41" s="258">
        <f>IFERROR(_xlfn.XLOOKUP(JO$7,Leasing!$1:$1,Leasing!51:51),0)</f>
        <v>0</v>
      </c>
      <c r="JP41" s="258">
        <f>IFERROR(_xlfn.XLOOKUP(JP$7,Leasing!$1:$1,Leasing!51:51),0)</f>
        <v>-2.5342463384935199</v>
      </c>
      <c r="JQ41" s="258">
        <f>IFERROR(_xlfn.XLOOKUP(JQ$7,Leasing!$1:$1,Leasing!51:51),0)</f>
        <v>0</v>
      </c>
      <c r="JR41" s="258">
        <f>IFERROR(_xlfn.XLOOKUP(JR$7,Leasing!$1:$1,Leasing!51:51),0)</f>
        <v>0</v>
      </c>
      <c r="JS41" s="258">
        <f>IFERROR(_xlfn.XLOOKUP(JS$7,Leasing!$1:$1,Leasing!51:51),0)</f>
        <v>0</v>
      </c>
      <c r="JT41" s="258">
        <f>IFERROR(_xlfn.XLOOKUP(JT$7,Leasing!$1:$1,Leasing!51:51),0)</f>
        <v>0</v>
      </c>
      <c r="JU41" s="258">
        <f>IFERROR(_xlfn.XLOOKUP(JU$7,Leasing!$1:$1,Leasing!51:51),0)</f>
        <v>0</v>
      </c>
      <c r="JV41" s="258">
        <f>IFERROR(_xlfn.XLOOKUP(JV$7,Leasing!$1:$1,Leasing!51:51),0)</f>
        <v>0</v>
      </c>
      <c r="JW41" s="258">
        <f>IFERROR(_xlfn.XLOOKUP(JW$7,Leasing!$1:$1,Leasing!51:51),0)</f>
        <v>0</v>
      </c>
      <c r="JX41" s="258">
        <f>IFERROR(_xlfn.XLOOKUP(JX$7,Leasing!$1:$1,Leasing!51:51),0)</f>
        <v>0</v>
      </c>
      <c r="JY41" s="258">
        <f>IFERROR(_xlfn.XLOOKUP(JY$7,Leasing!$1:$1,Leasing!51:51),0)</f>
        <v>-5.436752398531965</v>
      </c>
      <c r="JZ41" s="258">
        <f>IFERROR(_xlfn.XLOOKUP(JZ$7,Leasing!$1:$1,Leasing!51:51),0)</f>
        <v>0</v>
      </c>
      <c r="KA41" s="258">
        <f>IFERROR(_xlfn.XLOOKUP(KA$7,Leasing!$1:$1,Leasing!51:51),0)</f>
        <v>0</v>
      </c>
      <c r="KB41" s="258">
        <f>IFERROR(_xlfn.XLOOKUP(KB$7,Leasing!$1:$1,Leasing!51:51),0)</f>
        <v>0</v>
      </c>
      <c r="KC41" s="258">
        <f>SUMIF($C$7:$KB$7,"&lt;="&amp;$KC$6,C41:KB41)</f>
        <v>18.321979404397727</v>
      </c>
    </row>
    <row r="42" spans="1:289" x14ac:dyDescent="0.3">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c r="CL42" s="257"/>
      <c r="CM42" s="257"/>
      <c r="CN42" s="257"/>
      <c r="CO42" s="257"/>
      <c r="CP42" s="257"/>
      <c r="CQ42" s="257"/>
      <c r="CR42" s="257"/>
      <c r="CS42" s="257"/>
      <c r="CT42" s="257"/>
      <c r="CU42" s="257"/>
      <c r="CV42" s="257"/>
      <c r="CW42" s="257"/>
      <c r="CX42" s="257"/>
      <c r="CY42" s="257"/>
      <c r="CZ42" s="257"/>
      <c r="DA42" s="257"/>
      <c r="DB42" s="257"/>
      <c r="DC42" s="257"/>
      <c r="DD42" s="257"/>
      <c r="DE42" s="257"/>
      <c r="DF42" s="257"/>
      <c r="DG42" s="257"/>
      <c r="DH42" s="257"/>
      <c r="DI42" s="257"/>
      <c r="DJ42" s="257"/>
      <c r="DK42" s="257"/>
      <c r="DL42" s="257"/>
      <c r="DM42" s="257"/>
      <c r="DN42" s="257"/>
      <c r="DO42" s="257"/>
      <c r="DP42" s="257"/>
      <c r="DQ42" s="257"/>
      <c r="DR42" s="257"/>
      <c r="DS42" s="257"/>
      <c r="DT42" s="257"/>
      <c r="DU42" s="257"/>
      <c r="DV42" s="257"/>
      <c r="DW42" s="257"/>
      <c r="DX42" s="257"/>
      <c r="DY42" s="257"/>
      <c r="DZ42" s="257"/>
      <c r="EA42" s="257"/>
      <c r="EB42" s="257"/>
      <c r="EC42" s="257"/>
      <c r="ED42" s="257"/>
      <c r="EE42" s="257"/>
      <c r="EF42" s="257"/>
      <c r="EG42" s="257"/>
      <c r="EH42" s="257"/>
      <c r="EI42" s="257"/>
      <c r="EJ42" s="257"/>
      <c r="EK42" s="257"/>
      <c r="EL42" s="257"/>
      <c r="EM42" s="257"/>
      <c r="EN42" s="257"/>
      <c r="EO42" s="257"/>
      <c r="EP42" s="257"/>
      <c r="EQ42" s="257"/>
      <c r="ER42" s="257"/>
      <c r="ES42" s="257"/>
      <c r="ET42" s="257"/>
      <c r="EU42" s="257"/>
      <c r="EV42" s="257"/>
      <c r="EW42" s="257"/>
      <c r="EX42" s="257"/>
      <c r="EY42" s="257"/>
      <c r="EZ42" s="257"/>
      <c r="FA42" s="257"/>
      <c r="FB42" s="257"/>
      <c r="FC42" s="257"/>
      <c r="FD42" s="257"/>
      <c r="FE42" s="257"/>
      <c r="FF42" s="257"/>
      <c r="FG42" s="257"/>
      <c r="FH42" s="257"/>
      <c r="FI42" s="257"/>
      <c r="FJ42" s="257"/>
      <c r="FK42" s="257"/>
      <c r="FL42" s="257"/>
      <c r="FM42" s="257"/>
      <c r="FN42" s="257"/>
      <c r="FO42" s="257"/>
      <c r="FP42" s="257"/>
      <c r="FQ42" s="257"/>
      <c r="FR42" s="257"/>
      <c r="FS42" s="257"/>
      <c r="FT42" s="257"/>
      <c r="FU42" s="257"/>
      <c r="FV42" s="257"/>
      <c r="FW42" s="257"/>
      <c r="FX42" s="257"/>
      <c r="FY42" s="257"/>
      <c r="FZ42" s="257"/>
      <c r="GA42" s="257"/>
      <c r="GB42" s="257"/>
      <c r="GC42" s="257"/>
      <c r="GD42" s="257"/>
      <c r="GE42" s="257"/>
      <c r="GF42" s="257"/>
      <c r="GG42" s="257"/>
      <c r="GH42" s="257"/>
      <c r="GI42" s="257"/>
      <c r="GJ42" s="257"/>
      <c r="GK42" s="257"/>
      <c r="GL42" s="257"/>
      <c r="GM42" s="257"/>
      <c r="GN42" s="257"/>
      <c r="GO42" s="257"/>
      <c r="GP42" s="257"/>
      <c r="GQ42" s="257"/>
      <c r="GR42" s="257"/>
      <c r="GS42" s="257"/>
      <c r="GT42" s="257"/>
      <c r="GU42" s="257"/>
      <c r="GV42" s="257"/>
      <c r="GW42" s="257"/>
      <c r="GX42" s="257"/>
      <c r="GY42" s="257"/>
      <c r="GZ42" s="257"/>
      <c r="HA42" s="257"/>
      <c r="HB42" s="257"/>
      <c r="HC42" s="257"/>
      <c r="HD42" s="257"/>
      <c r="HE42" s="257"/>
      <c r="HF42" s="257"/>
      <c r="HG42" s="257"/>
      <c r="HH42" s="257"/>
      <c r="HI42" s="257"/>
      <c r="HJ42" s="257"/>
      <c r="HK42" s="257"/>
      <c r="HL42" s="257"/>
      <c r="HM42" s="257"/>
      <c r="HN42" s="257"/>
      <c r="HO42" s="257"/>
      <c r="HP42" s="257"/>
      <c r="HQ42" s="257"/>
      <c r="HR42" s="257"/>
      <c r="HS42" s="257"/>
      <c r="HT42" s="257"/>
      <c r="HU42" s="257"/>
      <c r="HV42" s="257"/>
      <c r="HW42" s="257"/>
      <c r="HX42" s="257"/>
      <c r="HY42" s="257"/>
      <c r="HZ42" s="257"/>
      <c r="IA42" s="257"/>
      <c r="IB42" s="257"/>
      <c r="IC42" s="257"/>
      <c r="ID42" s="257"/>
      <c r="IE42" s="257"/>
      <c r="IF42" s="257"/>
      <c r="IG42" s="257"/>
      <c r="IH42" s="257"/>
      <c r="II42" s="257"/>
      <c r="IJ42" s="257"/>
      <c r="IK42" s="257"/>
      <c r="IL42" s="257"/>
      <c r="IM42" s="257"/>
      <c r="IN42" s="257"/>
      <c r="IO42" s="257"/>
      <c r="IP42" s="257"/>
      <c r="IQ42" s="257"/>
      <c r="IR42" s="257"/>
      <c r="IS42" s="257"/>
      <c r="IT42" s="257"/>
      <c r="IU42" s="257"/>
      <c r="IV42" s="257"/>
      <c r="IW42" s="257"/>
      <c r="IX42" s="257"/>
      <c r="IY42" s="257"/>
      <c r="IZ42" s="257"/>
      <c r="JA42" s="257"/>
      <c r="JB42" s="257"/>
      <c r="JC42" s="257"/>
      <c r="JD42" s="257"/>
      <c r="JE42" s="257"/>
      <c r="JF42" s="257"/>
      <c r="JG42" s="257"/>
      <c r="JH42" s="257"/>
      <c r="JI42" s="257"/>
      <c r="JJ42" s="257"/>
      <c r="JK42" s="257"/>
      <c r="JL42" s="257"/>
      <c r="JM42" s="257"/>
      <c r="JN42" s="257"/>
      <c r="JO42" s="257"/>
      <c r="JP42" s="257"/>
      <c r="JQ42" s="257"/>
      <c r="JR42" s="257"/>
      <c r="JS42" s="257"/>
      <c r="JT42" s="257"/>
      <c r="JU42" s="257"/>
      <c r="JV42" s="257"/>
      <c r="JW42" s="257"/>
      <c r="JX42" s="257"/>
      <c r="JY42" s="257"/>
      <c r="JZ42" s="257"/>
      <c r="KA42" s="257"/>
      <c r="KB42" s="257"/>
      <c r="KC42" s="270"/>
    </row>
    <row r="43" spans="1:289" x14ac:dyDescent="0.3">
      <c r="A43" s="1" t="s">
        <v>305</v>
      </c>
      <c r="B43" s="272"/>
      <c r="C43" s="33">
        <f>-C38</f>
        <v>47.58</v>
      </c>
      <c r="D43" s="33">
        <f ca="1">-D38</f>
        <v>8.9337692687772687</v>
      </c>
      <c r="E43" s="33">
        <f t="shared" ref="E43:BP43" ca="1" si="459">-E38</f>
        <v>6.3466370587420045</v>
      </c>
      <c r="F43" s="33">
        <f t="shared" ca="1" si="459"/>
        <v>5.983354782714625</v>
      </c>
      <c r="G43" s="33">
        <f t="shared" ca="1" si="459"/>
        <v>6.0311625495994576</v>
      </c>
      <c r="H43" s="33">
        <f t="shared" ca="1" si="459"/>
        <v>6.0793523066315434</v>
      </c>
      <c r="I43" s="33">
        <f t="shared" ca="1" si="459"/>
        <v>6.1279271059608176</v>
      </c>
      <c r="J43" s="33">
        <f t="shared" ca="1" si="459"/>
        <v>6.1768900241242815</v>
      </c>
      <c r="K43" s="33">
        <f t="shared" ca="1" si="459"/>
        <v>6.2506440946977602</v>
      </c>
      <c r="L43" s="33">
        <f t="shared" ca="1" si="459"/>
        <v>6.2921020092969151</v>
      </c>
      <c r="M43" s="33">
        <f t="shared" ca="1" si="459"/>
        <v>6.3308720408047359</v>
      </c>
      <c r="N43" s="33">
        <f t="shared" ca="1" si="459"/>
        <v>6.3669909372977864</v>
      </c>
      <c r="O43" s="33">
        <f t="shared" ca="1" si="459"/>
        <v>6.3949209131287725</v>
      </c>
      <c r="P43" s="33">
        <f t="shared" ca="1" si="459"/>
        <v>13.661759941454104</v>
      </c>
      <c r="Q43" s="33">
        <f t="shared" ca="1" si="459"/>
        <v>12.757235544313213</v>
      </c>
      <c r="R43" s="33">
        <f t="shared" ca="1" si="459"/>
        <v>11.996347922972788</v>
      </c>
      <c r="S43" s="33">
        <f t="shared" ca="1" si="459"/>
        <v>12.048972107748357</v>
      </c>
      <c r="T43" s="33">
        <f t="shared" ca="1" si="459"/>
        <v>12.101827138181376</v>
      </c>
      <c r="U43" s="33">
        <f t="shared" ca="1" si="459"/>
        <v>12.154914026918746</v>
      </c>
      <c r="V43" s="33">
        <f t="shared" ca="1" si="459"/>
        <v>13.256765854749721</v>
      </c>
      <c r="W43" s="33">
        <f t="shared" ca="1" si="459"/>
        <v>12.313563601154513</v>
      </c>
      <c r="X43" s="33">
        <f t="shared" ca="1" si="459"/>
        <v>12.367579310798275</v>
      </c>
      <c r="Y43" s="33">
        <f t="shared" ca="1" si="459"/>
        <v>17.888352610483622</v>
      </c>
      <c r="Z43" s="33">
        <f t="shared" ca="1" si="459"/>
        <v>17.564790639583066</v>
      </c>
      <c r="AA43" s="33">
        <f t="shared" ca="1" si="459"/>
        <v>17.301338263879558</v>
      </c>
      <c r="AB43" s="33">
        <f t="shared" ca="1" si="459"/>
        <v>5.9974742656207134</v>
      </c>
      <c r="AC43" s="33">
        <f t="shared" ca="1" si="459"/>
        <v>6.0237832886639975</v>
      </c>
      <c r="AD43" s="33">
        <f t="shared" ca="1" si="459"/>
        <v>6.0502077210717635</v>
      </c>
      <c r="AE43" s="33">
        <f t="shared" ca="1" si="459"/>
        <v>6.0767480691083975</v>
      </c>
      <c r="AF43" s="33">
        <f t="shared" ca="1" si="459"/>
        <v>6.1230703837069527</v>
      </c>
      <c r="AG43" s="33">
        <f t="shared" ca="1" si="459"/>
        <v>6.1499303572034654</v>
      </c>
      <c r="AH43" s="33">
        <f t="shared" ca="1" si="459"/>
        <v>19.935258998312651</v>
      </c>
      <c r="AI43" s="33">
        <f t="shared" ca="1" si="459"/>
        <v>17.129271608546901</v>
      </c>
      <c r="AJ43" s="33">
        <f t="shared" ca="1" si="459"/>
        <v>16.4739254920432</v>
      </c>
      <c r="AK43" s="33">
        <f t="shared" ca="1" si="459"/>
        <v>11.802541285853897</v>
      </c>
      <c r="AL43" s="33">
        <f t="shared" ca="1" si="459"/>
        <v>11.854315302199208</v>
      </c>
      <c r="AM43" s="33">
        <f t="shared" ca="1" si="459"/>
        <v>11.906316434781914</v>
      </c>
      <c r="AN43" s="33">
        <f t="shared" ca="1" si="459"/>
        <v>11.958545679889125</v>
      </c>
      <c r="AO43" s="33">
        <f t="shared" ca="1" si="459"/>
        <v>12.053192788122573</v>
      </c>
      <c r="AP43" s="33">
        <f t="shared" ca="1" si="459"/>
        <v>12.106066333345701</v>
      </c>
      <c r="AQ43" s="33">
        <f t="shared" ca="1" si="459"/>
        <v>14.901509003453683</v>
      </c>
      <c r="AR43" s="33">
        <f t="shared" ca="1" si="459"/>
        <v>13.948744574167611</v>
      </c>
      <c r="AS43" s="33">
        <f t="shared" ca="1" si="459"/>
        <v>13.993597016637917</v>
      </c>
      <c r="AT43" s="33">
        <f t="shared" ca="1" si="459"/>
        <v>3.8783667915142193</v>
      </c>
      <c r="AU43" s="33">
        <f t="shared" ca="1" si="459"/>
        <v>3.8953799601864305</v>
      </c>
      <c r="AV43" s="33">
        <f t="shared" ca="1" si="459"/>
        <v>3.912467760249593</v>
      </c>
      <c r="AW43" s="33">
        <f t="shared" ca="1" si="459"/>
        <v>3.9296305190880179</v>
      </c>
      <c r="AX43" s="33">
        <f t="shared" ca="1" si="459"/>
        <v>3.9468685655221494</v>
      </c>
      <c r="AY43" s="33">
        <f t="shared" ca="1" si="459"/>
        <v>3.9641822298148606</v>
      </c>
      <c r="AZ43" s="33">
        <f t="shared" ca="1" si="459"/>
        <v>5.797797528776349</v>
      </c>
      <c r="BA43" s="33">
        <f t="shared" ca="1" si="459"/>
        <v>4.0157949878445063</v>
      </c>
      <c r="BB43" s="33">
        <f t="shared" ca="1" si="459"/>
        <v>4.0334110105555885</v>
      </c>
      <c r="BC43" s="33">
        <f t="shared" ca="1" si="459"/>
        <v>4.0511043091876511</v>
      </c>
      <c r="BD43" s="33">
        <f t="shared" ca="1" si="459"/>
        <v>4.0688752227257243</v>
      </c>
      <c r="BE43" s="33">
        <f t="shared" ca="1" si="459"/>
        <v>11.251603187185655</v>
      </c>
      <c r="BF43" s="33">
        <f t="shared" si="459"/>
        <v>0</v>
      </c>
      <c r="BG43" s="33">
        <f t="shared" si="459"/>
        <v>0</v>
      </c>
      <c r="BH43" s="33">
        <f t="shared" si="459"/>
        <v>0</v>
      </c>
      <c r="BI43" s="33">
        <f t="shared" si="459"/>
        <v>0</v>
      </c>
      <c r="BJ43" s="33">
        <f t="shared" si="459"/>
        <v>0</v>
      </c>
      <c r="BK43" s="33">
        <f t="shared" si="459"/>
        <v>0</v>
      </c>
      <c r="BL43" s="33">
        <f t="shared" si="459"/>
        <v>0</v>
      </c>
      <c r="BM43" s="33">
        <f t="shared" si="459"/>
        <v>0</v>
      </c>
      <c r="BN43" s="33">
        <f t="shared" si="459"/>
        <v>0</v>
      </c>
      <c r="BO43" s="33">
        <f t="shared" si="459"/>
        <v>0</v>
      </c>
      <c r="BP43" s="33">
        <f t="shared" si="459"/>
        <v>0</v>
      </c>
      <c r="BQ43" s="33">
        <f t="shared" ref="BQ43:EB43" si="460">-BQ38</f>
        <v>0</v>
      </c>
      <c r="BR43" s="33">
        <f t="shared" si="460"/>
        <v>0</v>
      </c>
      <c r="BS43" s="33">
        <f t="shared" si="460"/>
        <v>0</v>
      </c>
      <c r="BT43" s="33">
        <f t="shared" si="460"/>
        <v>0</v>
      </c>
      <c r="BU43" s="33">
        <f t="shared" si="460"/>
        <v>0</v>
      </c>
      <c r="BV43" s="33">
        <f t="shared" si="460"/>
        <v>0</v>
      </c>
      <c r="BW43" s="33">
        <f t="shared" si="460"/>
        <v>0</v>
      </c>
      <c r="BX43" s="33">
        <f t="shared" si="460"/>
        <v>0</v>
      </c>
      <c r="BY43" s="33">
        <f t="shared" si="460"/>
        <v>0</v>
      </c>
      <c r="BZ43" s="33">
        <f t="shared" si="460"/>
        <v>0</v>
      </c>
      <c r="CA43" s="33">
        <f t="shared" si="460"/>
        <v>0</v>
      </c>
      <c r="CB43" s="33">
        <f t="shared" si="460"/>
        <v>0</v>
      </c>
      <c r="CC43" s="33">
        <f t="shared" si="460"/>
        <v>0</v>
      </c>
      <c r="CD43" s="33">
        <f t="shared" si="460"/>
        <v>0</v>
      </c>
      <c r="CE43" s="33">
        <f t="shared" si="460"/>
        <v>0</v>
      </c>
      <c r="CF43" s="33">
        <f t="shared" si="460"/>
        <v>0</v>
      </c>
      <c r="CG43" s="33">
        <f t="shared" si="460"/>
        <v>0</v>
      </c>
      <c r="CH43" s="33">
        <f t="shared" si="460"/>
        <v>0</v>
      </c>
      <c r="CI43" s="33">
        <f t="shared" si="460"/>
        <v>0</v>
      </c>
      <c r="CJ43" s="33">
        <f t="shared" si="460"/>
        <v>0</v>
      </c>
      <c r="CK43" s="33">
        <f t="shared" si="460"/>
        <v>0</v>
      </c>
      <c r="CL43" s="33">
        <f t="shared" si="460"/>
        <v>0</v>
      </c>
      <c r="CM43" s="33">
        <f t="shared" si="460"/>
        <v>0</v>
      </c>
      <c r="CN43" s="33">
        <f t="shared" si="460"/>
        <v>0</v>
      </c>
      <c r="CO43" s="33">
        <f t="shared" si="460"/>
        <v>0</v>
      </c>
      <c r="CP43" s="33">
        <f t="shared" si="460"/>
        <v>0</v>
      </c>
      <c r="CQ43" s="33">
        <f t="shared" si="460"/>
        <v>0</v>
      </c>
      <c r="CR43" s="33">
        <f t="shared" si="460"/>
        <v>0</v>
      </c>
      <c r="CS43" s="33">
        <f t="shared" si="460"/>
        <v>0</v>
      </c>
      <c r="CT43" s="33">
        <f t="shared" si="460"/>
        <v>0</v>
      </c>
      <c r="CU43" s="33">
        <f t="shared" si="460"/>
        <v>0</v>
      </c>
      <c r="CV43" s="33">
        <f t="shared" si="460"/>
        <v>0</v>
      </c>
      <c r="CW43" s="33">
        <f t="shared" si="460"/>
        <v>0</v>
      </c>
      <c r="CX43" s="33">
        <f t="shared" si="460"/>
        <v>0</v>
      </c>
      <c r="CY43" s="33">
        <f t="shared" si="460"/>
        <v>0</v>
      </c>
      <c r="CZ43" s="33">
        <f t="shared" si="460"/>
        <v>0</v>
      </c>
      <c r="DA43" s="33">
        <f t="shared" si="460"/>
        <v>0</v>
      </c>
      <c r="DB43" s="33">
        <f t="shared" si="460"/>
        <v>0</v>
      </c>
      <c r="DC43" s="33">
        <f t="shared" si="460"/>
        <v>0</v>
      </c>
      <c r="DD43" s="33">
        <f t="shared" si="460"/>
        <v>0</v>
      </c>
      <c r="DE43" s="33">
        <f t="shared" si="460"/>
        <v>0</v>
      </c>
      <c r="DF43" s="33">
        <f t="shared" si="460"/>
        <v>0</v>
      </c>
      <c r="DG43" s="33">
        <f t="shared" si="460"/>
        <v>0</v>
      </c>
      <c r="DH43" s="33">
        <f t="shared" si="460"/>
        <v>0</v>
      </c>
      <c r="DI43" s="33">
        <f t="shared" si="460"/>
        <v>0</v>
      </c>
      <c r="DJ43" s="33">
        <f t="shared" si="460"/>
        <v>0</v>
      </c>
      <c r="DK43" s="33">
        <f t="shared" si="460"/>
        <v>0</v>
      </c>
      <c r="DL43" s="33">
        <f t="shared" si="460"/>
        <v>0</v>
      </c>
      <c r="DM43" s="33">
        <f t="shared" si="460"/>
        <v>0</v>
      </c>
      <c r="DN43" s="33">
        <f t="shared" si="460"/>
        <v>0</v>
      </c>
      <c r="DO43" s="33">
        <f t="shared" si="460"/>
        <v>0</v>
      </c>
      <c r="DP43" s="33">
        <f t="shared" si="460"/>
        <v>0</v>
      </c>
      <c r="DQ43" s="33">
        <f t="shared" si="460"/>
        <v>0</v>
      </c>
      <c r="DR43" s="33">
        <f t="shared" si="460"/>
        <v>0</v>
      </c>
      <c r="DS43" s="33">
        <f t="shared" si="460"/>
        <v>0</v>
      </c>
      <c r="DT43" s="33">
        <f t="shared" si="460"/>
        <v>0</v>
      </c>
      <c r="DU43" s="33">
        <f t="shared" si="460"/>
        <v>0</v>
      </c>
      <c r="DV43" s="33">
        <f t="shared" si="460"/>
        <v>0</v>
      </c>
      <c r="DW43" s="33">
        <f t="shared" si="460"/>
        <v>0</v>
      </c>
      <c r="DX43" s="33">
        <f t="shared" si="460"/>
        <v>0</v>
      </c>
      <c r="DY43" s="33">
        <f t="shared" si="460"/>
        <v>0</v>
      </c>
      <c r="DZ43" s="33">
        <f t="shared" si="460"/>
        <v>0</v>
      </c>
      <c r="EA43" s="33">
        <f t="shared" si="460"/>
        <v>0</v>
      </c>
      <c r="EB43" s="33">
        <f t="shared" si="460"/>
        <v>0</v>
      </c>
      <c r="EC43" s="33">
        <f t="shared" ref="EC43:GN43" si="461">-EC38</f>
        <v>0</v>
      </c>
      <c r="ED43" s="33">
        <f t="shared" si="461"/>
        <v>0</v>
      </c>
      <c r="EE43" s="33">
        <f t="shared" si="461"/>
        <v>0</v>
      </c>
      <c r="EF43" s="33">
        <f t="shared" si="461"/>
        <v>0</v>
      </c>
      <c r="EG43" s="33">
        <f t="shared" si="461"/>
        <v>0</v>
      </c>
      <c r="EH43" s="33">
        <f t="shared" si="461"/>
        <v>0</v>
      </c>
      <c r="EI43" s="33">
        <f t="shared" si="461"/>
        <v>0</v>
      </c>
      <c r="EJ43" s="33">
        <f t="shared" si="461"/>
        <v>0</v>
      </c>
      <c r="EK43" s="33">
        <f t="shared" si="461"/>
        <v>0</v>
      </c>
      <c r="EL43" s="33">
        <f t="shared" si="461"/>
        <v>0</v>
      </c>
      <c r="EM43" s="33">
        <f t="shared" si="461"/>
        <v>0</v>
      </c>
      <c r="EN43" s="33">
        <f t="shared" si="461"/>
        <v>0</v>
      </c>
      <c r="EO43" s="33">
        <f t="shared" si="461"/>
        <v>0</v>
      </c>
      <c r="EP43" s="33">
        <f t="shared" si="461"/>
        <v>0</v>
      </c>
      <c r="EQ43" s="33">
        <f t="shared" si="461"/>
        <v>0</v>
      </c>
      <c r="ER43" s="33">
        <f t="shared" si="461"/>
        <v>0</v>
      </c>
      <c r="ES43" s="33">
        <f t="shared" si="461"/>
        <v>0</v>
      </c>
      <c r="ET43" s="33">
        <f t="shared" si="461"/>
        <v>0</v>
      </c>
      <c r="EU43" s="33">
        <f t="shared" si="461"/>
        <v>0</v>
      </c>
      <c r="EV43" s="33">
        <f t="shared" si="461"/>
        <v>0</v>
      </c>
      <c r="EW43" s="33">
        <f t="shared" si="461"/>
        <v>0</v>
      </c>
      <c r="EX43" s="33">
        <f t="shared" si="461"/>
        <v>0</v>
      </c>
      <c r="EY43" s="33">
        <f t="shared" si="461"/>
        <v>0</v>
      </c>
      <c r="EZ43" s="33">
        <f t="shared" si="461"/>
        <v>0</v>
      </c>
      <c r="FA43" s="33">
        <f t="shared" si="461"/>
        <v>0</v>
      </c>
      <c r="FB43" s="33">
        <f t="shared" si="461"/>
        <v>0</v>
      </c>
      <c r="FC43" s="33">
        <f t="shared" si="461"/>
        <v>0</v>
      </c>
      <c r="FD43" s="33">
        <f t="shared" si="461"/>
        <v>0</v>
      </c>
      <c r="FE43" s="33">
        <f t="shared" si="461"/>
        <v>0</v>
      </c>
      <c r="FF43" s="33">
        <f t="shared" si="461"/>
        <v>0</v>
      </c>
      <c r="FG43" s="33">
        <f t="shared" si="461"/>
        <v>0</v>
      </c>
      <c r="FH43" s="33">
        <f t="shared" si="461"/>
        <v>0</v>
      </c>
      <c r="FI43" s="33">
        <f t="shared" si="461"/>
        <v>0</v>
      </c>
      <c r="FJ43" s="33">
        <f t="shared" si="461"/>
        <v>0</v>
      </c>
      <c r="FK43" s="33">
        <f t="shared" si="461"/>
        <v>0</v>
      </c>
      <c r="FL43" s="33">
        <f t="shared" si="461"/>
        <v>0</v>
      </c>
      <c r="FM43" s="33">
        <f t="shared" si="461"/>
        <v>0</v>
      </c>
      <c r="FN43" s="33">
        <f t="shared" si="461"/>
        <v>0</v>
      </c>
      <c r="FO43" s="33">
        <f t="shared" si="461"/>
        <v>0</v>
      </c>
      <c r="FP43" s="33">
        <f t="shared" si="461"/>
        <v>0</v>
      </c>
      <c r="FQ43" s="33">
        <f t="shared" si="461"/>
        <v>0</v>
      </c>
      <c r="FR43" s="33">
        <f t="shared" si="461"/>
        <v>0</v>
      </c>
      <c r="FS43" s="33">
        <f t="shared" si="461"/>
        <v>0</v>
      </c>
      <c r="FT43" s="33">
        <f t="shared" si="461"/>
        <v>0</v>
      </c>
      <c r="FU43" s="33">
        <f t="shared" si="461"/>
        <v>0</v>
      </c>
      <c r="FV43" s="33">
        <f t="shared" si="461"/>
        <v>0</v>
      </c>
      <c r="FW43" s="33">
        <f t="shared" si="461"/>
        <v>0</v>
      </c>
      <c r="FX43" s="33">
        <f t="shared" si="461"/>
        <v>0</v>
      </c>
      <c r="FY43" s="33">
        <f t="shared" si="461"/>
        <v>0</v>
      </c>
      <c r="FZ43" s="33">
        <f t="shared" si="461"/>
        <v>0</v>
      </c>
      <c r="GA43" s="33">
        <f t="shared" si="461"/>
        <v>0</v>
      </c>
      <c r="GB43" s="33">
        <f t="shared" si="461"/>
        <v>0</v>
      </c>
      <c r="GC43" s="33">
        <f t="shared" si="461"/>
        <v>0</v>
      </c>
      <c r="GD43" s="33">
        <f t="shared" si="461"/>
        <v>0</v>
      </c>
      <c r="GE43" s="33">
        <f t="shared" si="461"/>
        <v>0</v>
      </c>
      <c r="GF43" s="33">
        <f t="shared" si="461"/>
        <v>0</v>
      </c>
      <c r="GG43" s="33">
        <f t="shared" si="461"/>
        <v>0</v>
      </c>
      <c r="GH43" s="33">
        <f t="shared" si="461"/>
        <v>0</v>
      </c>
      <c r="GI43" s="33">
        <f t="shared" si="461"/>
        <v>0</v>
      </c>
      <c r="GJ43" s="33">
        <f t="shared" si="461"/>
        <v>0</v>
      </c>
      <c r="GK43" s="33">
        <f t="shared" si="461"/>
        <v>0</v>
      </c>
      <c r="GL43" s="33">
        <f t="shared" si="461"/>
        <v>0</v>
      </c>
      <c r="GM43" s="33">
        <f t="shared" si="461"/>
        <v>0</v>
      </c>
      <c r="GN43" s="33">
        <f t="shared" si="461"/>
        <v>0</v>
      </c>
      <c r="GO43" s="33">
        <f t="shared" ref="GO43:IZ43" si="462">-GO38</f>
        <v>0</v>
      </c>
      <c r="GP43" s="33">
        <f t="shared" si="462"/>
        <v>0</v>
      </c>
      <c r="GQ43" s="33">
        <f t="shared" si="462"/>
        <v>0</v>
      </c>
      <c r="GR43" s="33">
        <f t="shared" si="462"/>
        <v>0</v>
      </c>
      <c r="GS43" s="33">
        <f t="shared" si="462"/>
        <v>0</v>
      </c>
      <c r="GT43" s="33">
        <f t="shared" si="462"/>
        <v>0</v>
      </c>
      <c r="GU43" s="33">
        <f t="shared" si="462"/>
        <v>0</v>
      </c>
      <c r="GV43" s="33">
        <f t="shared" si="462"/>
        <v>0</v>
      </c>
      <c r="GW43" s="33">
        <f t="shared" si="462"/>
        <v>0</v>
      </c>
      <c r="GX43" s="33">
        <f t="shared" si="462"/>
        <v>0</v>
      </c>
      <c r="GY43" s="33">
        <f t="shared" si="462"/>
        <v>0</v>
      </c>
      <c r="GZ43" s="33">
        <f t="shared" si="462"/>
        <v>0</v>
      </c>
      <c r="HA43" s="33">
        <f t="shared" si="462"/>
        <v>0</v>
      </c>
      <c r="HB43" s="33">
        <f t="shared" si="462"/>
        <v>0</v>
      </c>
      <c r="HC43" s="33">
        <f t="shared" si="462"/>
        <v>0</v>
      </c>
      <c r="HD43" s="33">
        <f t="shared" si="462"/>
        <v>0</v>
      </c>
      <c r="HE43" s="33">
        <f t="shared" si="462"/>
        <v>0</v>
      </c>
      <c r="HF43" s="33">
        <f t="shared" si="462"/>
        <v>0</v>
      </c>
      <c r="HG43" s="33">
        <f t="shared" si="462"/>
        <v>0</v>
      </c>
      <c r="HH43" s="33">
        <f t="shared" si="462"/>
        <v>0</v>
      </c>
      <c r="HI43" s="33">
        <f t="shared" si="462"/>
        <v>0</v>
      </c>
      <c r="HJ43" s="33">
        <f t="shared" si="462"/>
        <v>0</v>
      </c>
      <c r="HK43" s="33">
        <f t="shared" si="462"/>
        <v>0</v>
      </c>
      <c r="HL43" s="33">
        <f t="shared" si="462"/>
        <v>0</v>
      </c>
      <c r="HM43" s="33">
        <f t="shared" si="462"/>
        <v>0</v>
      </c>
      <c r="HN43" s="33">
        <f t="shared" si="462"/>
        <v>0</v>
      </c>
      <c r="HO43" s="33">
        <f t="shared" si="462"/>
        <v>0</v>
      </c>
      <c r="HP43" s="33">
        <f t="shared" si="462"/>
        <v>0</v>
      </c>
      <c r="HQ43" s="33">
        <f t="shared" si="462"/>
        <v>0</v>
      </c>
      <c r="HR43" s="33">
        <f t="shared" si="462"/>
        <v>0</v>
      </c>
      <c r="HS43" s="33">
        <f t="shared" si="462"/>
        <v>0</v>
      </c>
      <c r="HT43" s="33">
        <f t="shared" si="462"/>
        <v>0</v>
      </c>
      <c r="HU43" s="33">
        <f t="shared" si="462"/>
        <v>0</v>
      </c>
      <c r="HV43" s="33">
        <f t="shared" si="462"/>
        <v>0</v>
      </c>
      <c r="HW43" s="33">
        <f t="shared" si="462"/>
        <v>0</v>
      </c>
      <c r="HX43" s="33">
        <f t="shared" si="462"/>
        <v>0</v>
      </c>
      <c r="HY43" s="33">
        <f t="shared" si="462"/>
        <v>0</v>
      </c>
      <c r="HZ43" s="33">
        <f t="shared" si="462"/>
        <v>0</v>
      </c>
      <c r="IA43" s="33">
        <f t="shared" si="462"/>
        <v>0</v>
      </c>
      <c r="IB43" s="33">
        <f t="shared" si="462"/>
        <v>0</v>
      </c>
      <c r="IC43" s="33">
        <f t="shared" si="462"/>
        <v>0</v>
      </c>
      <c r="ID43" s="33">
        <f t="shared" si="462"/>
        <v>0</v>
      </c>
      <c r="IE43" s="33">
        <f t="shared" si="462"/>
        <v>0</v>
      </c>
      <c r="IF43" s="33">
        <f t="shared" si="462"/>
        <v>0</v>
      </c>
      <c r="IG43" s="33">
        <f t="shared" si="462"/>
        <v>0</v>
      </c>
      <c r="IH43" s="33">
        <f t="shared" si="462"/>
        <v>0</v>
      </c>
      <c r="II43" s="33">
        <f t="shared" si="462"/>
        <v>0</v>
      </c>
      <c r="IJ43" s="33">
        <f t="shared" si="462"/>
        <v>0</v>
      </c>
      <c r="IK43" s="33">
        <f t="shared" si="462"/>
        <v>0</v>
      </c>
      <c r="IL43" s="33">
        <f t="shared" si="462"/>
        <v>0</v>
      </c>
      <c r="IM43" s="33">
        <f t="shared" si="462"/>
        <v>0</v>
      </c>
      <c r="IN43" s="33">
        <f t="shared" si="462"/>
        <v>0</v>
      </c>
      <c r="IO43" s="33">
        <f t="shared" si="462"/>
        <v>0</v>
      </c>
      <c r="IP43" s="33">
        <f t="shared" si="462"/>
        <v>0</v>
      </c>
      <c r="IQ43" s="33">
        <f t="shared" si="462"/>
        <v>0</v>
      </c>
      <c r="IR43" s="33">
        <f t="shared" si="462"/>
        <v>0</v>
      </c>
      <c r="IS43" s="33">
        <f t="shared" si="462"/>
        <v>0</v>
      </c>
      <c r="IT43" s="33">
        <f t="shared" si="462"/>
        <v>0</v>
      </c>
      <c r="IU43" s="33">
        <f t="shared" si="462"/>
        <v>0</v>
      </c>
      <c r="IV43" s="33">
        <f t="shared" si="462"/>
        <v>0</v>
      </c>
      <c r="IW43" s="33">
        <f t="shared" si="462"/>
        <v>0</v>
      </c>
      <c r="IX43" s="33">
        <f t="shared" si="462"/>
        <v>0</v>
      </c>
      <c r="IY43" s="33">
        <f t="shared" si="462"/>
        <v>0</v>
      </c>
      <c r="IZ43" s="33">
        <f t="shared" si="462"/>
        <v>0</v>
      </c>
      <c r="JA43" s="33">
        <f t="shared" ref="JA43:KB43" si="463">-JA38</f>
        <v>0</v>
      </c>
      <c r="JB43" s="33">
        <f t="shared" si="463"/>
        <v>0</v>
      </c>
      <c r="JC43" s="33">
        <f t="shared" si="463"/>
        <v>0</v>
      </c>
      <c r="JD43" s="33">
        <f t="shared" si="463"/>
        <v>0</v>
      </c>
      <c r="JE43" s="33">
        <f t="shared" si="463"/>
        <v>0</v>
      </c>
      <c r="JF43" s="33">
        <f t="shared" si="463"/>
        <v>0</v>
      </c>
      <c r="JG43" s="33">
        <f t="shared" si="463"/>
        <v>0</v>
      </c>
      <c r="JH43" s="33">
        <f t="shared" si="463"/>
        <v>0</v>
      </c>
      <c r="JI43" s="33">
        <f t="shared" si="463"/>
        <v>0</v>
      </c>
      <c r="JJ43" s="33">
        <f t="shared" si="463"/>
        <v>0</v>
      </c>
      <c r="JK43" s="33">
        <f t="shared" si="463"/>
        <v>0</v>
      </c>
      <c r="JL43" s="33">
        <f t="shared" si="463"/>
        <v>0</v>
      </c>
      <c r="JM43" s="33">
        <f t="shared" si="463"/>
        <v>0</v>
      </c>
      <c r="JN43" s="33">
        <f t="shared" si="463"/>
        <v>0</v>
      </c>
      <c r="JO43" s="33">
        <f t="shared" si="463"/>
        <v>0</v>
      </c>
      <c r="JP43" s="33">
        <f t="shared" si="463"/>
        <v>0</v>
      </c>
      <c r="JQ43" s="33">
        <f t="shared" si="463"/>
        <v>0</v>
      </c>
      <c r="JR43" s="33">
        <f t="shared" si="463"/>
        <v>0</v>
      </c>
      <c r="JS43" s="33">
        <f t="shared" si="463"/>
        <v>0</v>
      </c>
      <c r="JT43" s="33">
        <f t="shared" si="463"/>
        <v>0</v>
      </c>
      <c r="JU43" s="33">
        <f t="shared" si="463"/>
        <v>0</v>
      </c>
      <c r="JV43" s="33">
        <f t="shared" si="463"/>
        <v>0</v>
      </c>
      <c r="JW43" s="33">
        <f t="shared" si="463"/>
        <v>0</v>
      </c>
      <c r="JX43" s="33">
        <f t="shared" si="463"/>
        <v>0</v>
      </c>
      <c r="JY43" s="33">
        <f t="shared" si="463"/>
        <v>0</v>
      </c>
      <c r="JZ43" s="33">
        <f t="shared" si="463"/>
        <v>0</v>
      </c>
      <c r="KA43" s="33">
        <f t="shared" si="463"/>
        <v>0</v>
      </c>
      <c r="KB43" s="33">
        <f t="shared" si="463"/>
        <v>0</v>
      </c>
      <c r="KC43" s="33">
        <f t="shared" ref="KC43" ca="1" si="464">-KC38/10</f>
        <v>55.153805072939363</v>
      </c>
    </row>
    <row r="44" spans="1:289" hidden="1" x14ac:dyDescent="0.3">
      <c r="A44" s="39" t="s">
        <v>46</v>
      </c>
      <c r="B44" s="272"/>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row>
    <row r="45" spans="1:289" hidden="1" x14ac:dyDescent="0.3">
      <c r="A45" s="39" t="s">
        <v>48</v>
      </c>
      <c r="B45" s="272"/>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row>
    <row r="46" spans="1:289" hidden="1" x14ac:dyDescent="0.3">
      <c r="A46" s="1" t="s">
        <v>32</v>
      </c>
      <c r="B46" s="257">
        <f ca="1">SUM(C46:KB46)</f>
        <v>300.00044746913852</v>
      </c>
      <c r="C46" s="258">
        <f ca="1">C110</f>
        <v>0</v>
      </c>
      <c r="D46" s="258">
        <f t="shared" ref="D46:BO46" ca="1" si="465">D110</f>
        <v>6.8097661006957679</v>
      </c>
      <c r="E46" s="258">
        <f t="shared" ca="1" si="465"/>
        <v>8.4706402268235053</v>
      </c>
      <c r="F46" s="258">
        <f t="shared" ca="1" si="465"/>
        <v>5.9833547827146276</v>
      </c>
      <c r="G46" s="258">
        <f t="shared" ca="1" si="465"/>
        <v>6.0311625495994576</v>
      </c>
      <c r="H46" s="258">
        <f t="shared" ca="1" si="465"/>
        <v>6.0793523066315487</v>
      </c>
      <c r="I46" s="258">
        <f t="shared" ca="1" si="465"/>
        <v>6.127927105960822</v>
      </c>
      <c r="J46" s="258">
        <f t="shared" ca="1" si="465"/>
        <v>6.1768900241242761</v>
      </c>
      <c r="K46" s="258">
        <f t="shared" ca="1" si="465"/>
        <v>6.2506440946977619</v>
      </c>
      <c r="L46" s="258">
        <f t="shared" ca="1" si="465"/>
        <v>4.1680988412154107</v>
      </c>
      <c r="M46" s="258">
        <f t="shared" ca="1" si="465"/>
        <v>5.5751551502789951</v>
      </c>
      <c r="N46" s="258">
        <f t="shared" ca="1" si="465"/>
        <v>3.5018450155137728</v>
      </c>
      <c r="O46" s="258">
        <f t="shared" ca="1" si="465"/>
        <v>3.5172065022208301</v>
      </c>
      <c r="P46" s="258">
        <f t="shared" ca="1" si="465"/>
        <v>7.5139679677997577</v>
      </c>
      <c r="Q46" s="258">
        <f t="shared" ca="1" si="465"/>
        <v>7.0164795493722636</v>
      </c>
      <c r="R46" s="258">
        <f t="shared" ca="1" si="465"/>
        <v>6.5979913576350242</v>
      </c>
      <c r="S46" s="258">
        <f t="shared" ca="1" si="465"/>
        <v>6.6269346592616074</v>
      </c>
      <c r="T46" s="258">
        <f t="shared" ca="1" si="465"/>
        <v>6.6560049259997385</v>
      </c>
      <c r="U46" s="258">
        <f t="shared" ca="1" si="465"/>
        <v>6.6852027148053281</v>
      </c>
      <c r="V46" s="258">
        <f t="shared" ca="1" si="465"/>
        <v>7.2912212201123481</v>
      </c>
      <c r="W46" s="258">
        <f t="shared" ca="1" si="465"/>
        <v>6.7724599806349914</v>
      </c>
      <c r="X46" s="258">
        <f t="shared" ca="1" si="465"/>
        <v>6.8021686209390708</v>
      </c>
      <c r="Y46" s="258">
        <f t="shared" ca="1" si="465"/>
        <v>9.8385939357659709</v>
      </c>
      <c r="Z46" s="258">
        <f t="shared" ca="1" si="465"/>
        <v>9.6606348517706806</v>
      </c>
      <c r="AA46" s="258">
        <f t="shared" ca="1" si="465"/>
        <v>9.5157360451337922</v>
      </c>
      <c r="AB46" s="258">
        <f t="shared" ca="1" si="465"/>
        <v>3.2986108460914068</v>
      </c>
      <c r="AC46" s="258">
        <f t="shared" ca="1" si="465"/>
        <v>3.3130808087651928</v>
      </c>
      <c r="AD46" s="258">
        <f t="shared" ca="1" si="465"/>
        <v>3.3276142465894907</v>
      </c>
      <c r="AE46" s="258">
        <f t="shared" ca="1" si="465"/>
        <v>3.3422114380096275</v>
      </c>
      <c r="AF46" s="258">
        <f t="shared" ca="1" si="465"/>
        <v>3.3676887110387952</v>
      </c>
      <c r="AG46" s="258">
        <f t="shared" ca="1" si="465"/>
        <v>3.3824616964618883</v>
      </c>
      <c r="AH46" s="258">
        <f t="shared" ca="1" si="465"/>
        <v>10.964392449071937</v>
      </c>
      <c r="AI46" s="258">
        <f t="shared" ca="1" si="465"/>
        <v>9.4210993847007956</v>
      </c>
      <c r="AJ46" s="258">
        <f t="shared" ca="1" si="465"/>
        <v>9.0606590206237456</v>
      </c>
      <c r="AK46" s="258">
        <f t="shared" ca="1" si="465"/>
        <v>6.4913977072196758</v>
      </c>
      <c r="AL46" s="258">
        <f t="shared" ca="1" si="465"/>
        <v>6.5198734162095775</v>
      </c>
      <c r="AM46" s="258">
        <f t="shared" ca="1" si="465"/>
        <v>6.548474039130042</v>
      </c>
      <c r="AN46" s="258">
        <f t="shared" ca="1" si="465"/>
        <v>6.5772001239390363</v>
      </c>
      <c r="AO46" s="258">
        <f t="shared" ca="1" si="465"/>
        <v>6.6292560334673851</v>
      </c>
      <c r="AP46" s="258">
        <f t="shared" ca="1" si="465"/>
        <v>6.6583364833401504</v>
      </c>
      <c r="AQ46" s="258">
        <f t="shared" ca="1" si="465"/>
        <v>8.1958299518994977</v>
      </c>
      <c r="AR46" s="258">
        <f t="shared" ca="1" si="465"/>
        <v>7.6718095157922335</v>
      </c>
      <c r="AS46" s="258">
        <f t="shared" ca="1" si="465"/>
        <v>7.6964783591508308</v>
      </c>
      <c r="AT46" s="258">
        <f t="shared" ca="1" si="465"/>
        <v>2.1331017353327866</v>
      </c>
      <c r="AU46" s="258">
        <f t="shared" ca="1" si="465"/>
        <v>2.1424589781025247</v>
      </c>
      <c r="AV46" s="258">
        <f t="shared" ca="1" si="465"/>
        <v>2.1518572681372348</v>
      </c>
      <c r="AW46" s="258">
        <f t="shared" ca="1" si="465"/>
        <v>2.1612967854983935</v>
      </c>
      <c r="AX46" s="258">
        <f t="shared" ca="1" si="465"/>
        <v>2.1707777110372035</v>
      </c>
      <c r="AY46" s="258">
        <f t="shared" ca="1" si="465"/>
        <v>2.180300226398117</v>
      </c>
      <c r="AZ46" s="258">
        <f t="shared" ca="1" si="465"/>
        <v>3.1887886408269424</v>
      </c>
      <c r="BA46" s="258">
        <f t="shared" ca="1" si="465"/>
        <v>2.2086872433145004</v>
      </c>
      <c r="BB46" s="258">
        <f t="shared" ca="1" si="465"/>
        <v>2.2183760558055496</v>
      </c>
      <c r="BC46" s="258">
        <f t="shared" ca="1" si="465"/>
        <v>2.2281073700531806</v>
      </c>
      <c r="BD46" s="258">
        <f t="shared" ca="1" si="465"/>
        <v>2.2378813724992028</v>
      </c>
      <c r="BE46" s="258">
        <f t="shared" ca="1" si="465"/>
        <v>2.8429013209242271</v>
      </c>
      <c r="BF46" s="258">
        <f t="shared" ca="1" si="465"/>
        <v>0</v>
      </c>
      <c r="BG46" s="258">
        <f t="shared" ca="1" si="465"/>
        <v>0</v>
      </c>
      <c r="BH46" s="258">
        <f t="shared" ca="1" si="465"/>
        <v>0</v>
      </c>
      <c r="BI46" s="258">
        <f t="shared" ca="1" si="465"/>
        <v>0</v>
      </c>
      <c r="BJ46" s="258">
        <f t="shared" ca="1" si="465"/>
        <v>0</v>
      </c>
      <c r="BK46" s="258">
        <f t="shared" ca="1" si="465"/>
        <v>0</v>
      </c>
      <c r="BL46" s="258">
        <f t="shared" ca="1" si="465"/>
        <v>0</v>
      </c>
      <c r="BM46" s="258">
        <f t="shared" ca="1" si="465"/>
        <v>0</v>
      </c>
      <c r="BN46" s="258">
        <f t="shared" ca="1" si="465"/>
        <v>0</v>
      </c>
      <c r="BO46" s="258">
        <f t="shared" ca="1" si="465"/>
        <v>0</v>
      </c>
      <c r="BP46" s="258">
        <f t="shared" ref="BP46:EA46" ca="1" si="466">BP110</f>
        <v>0</v>
      </c>
      <c r="BQ46" s="258">
        <f t="shared" ca="1" si="466"/>
        <v>0</v>
      </c>
      <c r="BR46" s="258">
        <f t="shared" ca="1" si="466"/>
        <v>0</v>
      </c>
      <c r="BS46" s="258">
        <f t="shared" ca="1" si="466"/>
        <v>0</v>
      </c>
      <c r="BT46" s="258">
        <f t="shared" ca="1" si="466"/>
        <v>0</v>
      </c>
      <c r="BU46" s="258">
        <f t="shared" ca="1" si="466"/>
        <v>0</v>
      </c>
      <c r="BV46" s="258">
        <f t="shared" ca="1" si="466"/>
        <v>0</v>
      </c>
      <c r="BW46" s="258">
        <f t="shared" ca="1" si="466"/>
        <v>0</v>
      </c>
      <c r="BX46" s="258">
        <f t="shared" ca="1" si="466"/>
        <v>0</v>
      </c>
      <c r="BY46" s="258">
        <f t="shared" ca="1" si="466"/>
        <v>0</v>
      </c>
      <c r="BZ46" s="258">
        <f t="shared" ca="1" si="466"/>
        <v>0</v>
      </c>
      <c r="CA46" s="258">
        <f t="shared" ca="1" si="466"/>
        <v>0</v>
      </c>
      <c r="CB46" s="258">
        <f t="shared" ca="1" si="466"/>
        <v>0</v>
      </c>
      <c r="CC46" s="258">
        <f t="shared" ca="1" si="466"/>
        <v>0</v>
      </c>
      <c r="CD46" s="258">
        <f t="shared" ca="1" si="466"/>
        <v>0</v>
      </c>
      <c r="CE46" s="258">
        <f t="shared" ca="1" si="466"/>
        <v>0</v>
      </c>
      <c r="CF46" s="258">
        <f t="shared" ca="1" si="466"/>
        <v>0</v>
      </c>
      <c r="CG46" s="258">
        <f t="shared" ca="1" si="466"/>
        <v>0</v>
      </c>
      <c r="CH46" s="258">
        <f t="shared" ca="1" si="466"/>
        <v>0</v>
      </c>
      <c r="CI46" s="258">
        <f t="shared" ca="1" si="466"/>
        <v>0</v>
      </c>
      <c r="CJ46" s="258">
        <f t="shared" ca="1" si="466"/>
        <v>0</v>
      </c>
      <c r="CK46" s="258">
        <f t="shared" ca="1" si="466"/>
        <v>0</v>
      </c>
      <c r="CL46" s="258">
        <f t="shared" ca="1" si="466"/>
        <v>0</v>
      </c>
      <c r="CM46" s="258">
        <f t="shared" ca="1" si="466"/>
        <v>0</v>
      </c>
      <c r="CN46" s="258">
        <f t="shared" ca="1" si="466"/>
        <v>0</v>
      </c>
      <c r="CO46" s="258">
        <f t="shared" ca="1" si="466"/>
        <v>0</v>
      </c>
      <c r="CP46" s="258">
        <f t="shared" ca="1" si="466"/>
        <v>0</v>
      </c>
      <c r="CQ46" s="258">
        <f t="shared" ca="1" si="466"/>
        <v>0</v>
      </c>
      <c r="CR46" s="258">
        <f t="shared" ca="1" si="466"/>
        <v>0</v>
      </c>
      <c r="CS46" s="258">
        <f t="shared" ca="1" si="466"/>
        <v>0</v>
      </c>
      <c r="CT46" s="258">
        <f t="shared" ca="1" si="466"/>
        <v>0</v>
      </c>
      <c r="CU46" s="258">
        <f t="shared" ca="1" si="466"/>
        <v>0</v>
      </c>
      <c r="CV46" s="258">
        <f t="shared" ca="1" si="466"/>
        <v>0</v>
      </c>
      <c r="CW46" s="258">
        <f t="shared" ca="1" si="466"/>
        <v>0</v>
      </c>
      <c r="CX46" s="258">
        <f t="shared" ca="1" si="466"/>
        <v>0</v>
      </c>
      <c r="CY46" s="258">
        <f t="shared" ca="1" si="466"/>
        <v>0</v>
      </c>
      <c r="CZ46" s="258">
        <f t="shared" ca="1" si="466"/>
        <v>0</v>
      </c>
      <c r="DA46" s="258">
        <f t="shared" ca="1" si="466"/>
        <v>0</v>
      </c>
      <c r="DB46" s="258">
        <f t="shared" ca="1" si="466"/>
        <v>0</v>
      </c>
      <c r="DC46" s="258">
        <f t="shared" ca="1" si="466"/>
        <v>0</v>
      </c>
      <c r="DD46" s="258">
        <f t="shared" ca="1" si="466"/>
        <v>0</v>
      </c>
      <c r="DE46" s="258">
        <f t="shared" ca="1" si="466"/>
        <v>0</v>
      </c>
      <c r="DF46" s="258">
        <f t="shared" ca="1" si="466"/>
        <v>0</v>
      </c>
      <c r="DG46" s="258">
        <f t="shared" ca="1" si="466"/>
        <v>0</v>
      </c>
      <c r="DH46" s="258">
        <f t="shared" ca="1" si="466"/>
        <v>0</v>
      </c>
      <c r="DI46" s="258">
        <f t="shared" ca="1" si="466"/>
        <v>0</v>
      </c>
      <c r="DJ46" s="258">
        <f t="shared" ca="1" si="466"/>
        <v>0</v>
      </c>
      <c r="DK46" s="258">
        <f t="shared" ca="1" si="466"/>
        <v>0</v>
      </c>
      <c r="DL46" s="258">
        <f t="shared" ca="1" si="466"/>
        <v>0</v>
      </c>
      <c r="DM46" s="258">
        <f t="shared" ca="1" si="466"/>
        <v>0</v>
      </c>
      <c r="DN46" s="258">
        <f t="shared" ca="1" si="466"/>
        <v>0</v>
      </c>
      <c r="DO46" s="258">
        <f t="shared" ca="1" si="466"/>
        <v>0</v>
      </c>
      <c r="DP46" s="258">
        <f t="shared" ca="1" si="466"/>
        <v>0</v>
      </c>
      <c r="DQ46" s="258">
        <f t="shared" ca="1" si="466"/>
        <v>0</v>
      </c>
      <c r="DR46" s="258">
        <f t="shared" ca="1" si="466"/>
        <v>0</v>
      </c>
      <c r="DS46" s="258">
        <f t="shared" ca="1" si="466"/>
        <v>0</v>
      </c>
      <c r="DT46" s="258">
        <f t="shared" ca="1" si="466"/>
        <v>0</v>
      </c>
      <c r="DU46" s="258">
        <f t="shared" ca="1" si="466"/>
        <v>0</v>
      </c>
      <c r="DV46" s="258">
        <f t="shared" ca="1" si="466"/>
        <v>0</v>
      </c>
      <c r="DW46" s="258">
        <f t="shared" ca="1" si="466"/>
        <v>0</v>
      </c>
      <c r="DX46" s="258">
        <f t="shared" ca="1" si="466"/>
        <v>0</v>
      </c>
      <c r="DY46" s="258">
        <f t="shared" ca="1" si="466"/>
        <v>0</v>
      </c>
      <c r="DZ46" s="258">
        <f t="shared" ca="1" si="466"/>
        <v>0</v>
      </c>
      <c r="EA46" s="258">
        <f t="shared" ca="1" si="466"/>
        <v>0</v>
      </c>
      <c r="EB46" s="258">
        <f t="shared" ref="EB46:GM46" ca="1" si="467">EB110</f>
        <v>0</v>
      </c>
      <c r="EC46" s="258">
        <f t="shared" ca="1" si="467"/>
        <v>0</v>
      </c>
      <c r="ED46" s="258">
        <f t="shared" ca="1" si="467"/>
        <v>0</v>
      </c>
      <c r="EE46" s="258">
        <f t="shared" ca="1" si="467"/>
        <v>0</v>
      </c>
      <c r="EF46" s="258">
        <f t="shared" ca="1" si="467"/>
        <v>0</v>
      </c>
      <c r="EG46" s="258">
        <f t="shared" ca="1" si="467"/>
        <v>0</v>
      </c>
      <c r="EH46" s="258">
        <f t="shared" ca="1" si="467"/>
        <v>0</v>
      </c>
      <c r="EI46" s="258">
        <f t="shared" ca="1" si="467"/>
        <v>0</v>
      </c>
      <c r="EJ46" s="258">
        <f t="shared" ca="1" si="467"/>
        <v>0</v>
      </c>
      <c r="EK46" s="258">
        <f t="shared" ca="1" si="467"/>
        <v>0</v>
      </c>
      <c r="EL46" s="258">
        <f t="shared" ca="1" si="467"/>
        <v>0</v>
      </c>
      <c r="EM46" s="258">
        <f t="shared" ca="1" si="467"/>
        <v>0</v>
      </c>
      <c r="EN46" s="258">
        <f t="shared" ca="1" si="467"/>
        <v>0</v>
      </c>
      <c r="EO46" s="258">
        <f t="shared" ca="1" si="467"/>
        <v>0</v>
      </c>
      <c r="EP46" s="258">
        <f t="shared" ca="1" si="467"/>
        <v>0</v>
      </c>
      <c r="EQ46" s="258">
        <f t="shared" ca="1" si="467"/>
        <v>0</v>
      </c>
      <c r="ER46" s="258">
        <f t="shared" ca="1" si="467"/>
        <v>0</v>
      </c>
      <c r="ES46" s="258">
        <f t="shared" ca="1" si="467"/>
        <v>0</v>
      </c>
      <c r="ET46" s="258">
        <f t="shared" ca="1" si="467"/>
        <v>0</v>
      </c>
      <c r="EU46" s="258">
        <f t="shared" ca="1" si="467"/>
        <v>0</v>
      </c>
      <c r="EV46" s="258">
        <f t="shared" ca="1" si="467"/>
        <v>0</v>
      </c>
      <c r="EW46" s="258">
        <f t="shared" ca="1" si="467"/>
        <v>0</v>
      </c>
      <c r="EX46" s="258">
        <f t="shared" ca="1" si="467"/>
        <v>0</v>
      </c>
      <c r="EY46" s="258">
        <f t="shared" ca="1" si="467"/>
        <v>0</v>
      </c>
      <c r="EZ46" s="258">
        <f t="shared" ca="1" si="467"/>
        <v>0</v>
      </c>
      <c r="FA46" s="258">
        <f t="shared" ca="1" si="467"/>
        <v>0</v>
      </c>
      <c r="FB46" s="258">
        <f t="shared" ca="1" si="467"/>
        <v>0</v>
      </c>
      <c r="FC46" s="258">
        <f t="shared" ca="1" si="467"/>
        <v>0</v>
      </c>
      <c r="FD46" s="258">
        <f t="shared" ca="1" si="467"/>
        <v>0</v>
      </c>
      <c r="FE46" s="258">
        <f t="shared" ca="1" si="467"/>
        <v>0</v>
      </c>
      <c r="FF46" s="258">
        <f t="shared" ca="1" si="467"/>
        <v>0</v>
      </c>
      <c r="FG46" s="258">
        <f t="shared" ca="1" si="467"/>
        <v>0</v>
      </c>
      <c r="FH46" s="258">
        <f t="shared" ca="1" si="467"/>
        <v>0</v>
      </c>
      <c r="FI46" s="258">
        <f t="shared" ca="1" si="467"/>
        <v>0</v>
      </c>
      <c r="FJ46" s="258">
        <f t="shared" ca="1" si="467"/>
        <v>0</v>
      </c>
      <c r="FK46" s="258">
        <f t="shared" ca="1" si="467"/>
        <v>0</v>
      </c>
      <c r="FL46" s="258">
        <f t="shared" ca="1" si="467"/>
        <v>0</v>
      </c>
      <c r="FM46" s="258">
        <f t="shared" ca="1" si="467"/>
        <v>0</v>
      </c>
      <c r="FN46" s="258">
        <f t="shared" ca="1" si="467"/>
        <v>0</v>
      </c>
      <c r="FO46" s="258">
        <f t="shared" ca="1" si="467"/>
        <v>0</v>
      </c>
      <c r="FP46" s="258">
        <f t="shared" ca="1" si="467"/>
        <v>0</v>
      </c>
      <c r="FQ46" s="258">
        <f t="shared" ca="1" si="467"/>
        <v>0</v>
      </c>
      <c r="FR46" s="258">
        <f t="shared" ca="1" si="467"/>
        <v>0</v>
      </c>
      <c r="FS46" s="258">
        <f t="shared" ca="1" si="467"/>
        <v>0</v>
      </c>
      <c r="FT46" s="258">
        <f t="shared" ca="1" si="467"/>
        <v>0</v>
      </c>
      <c r="FU46" s="258">
        <f t="shared" ca="1" si="467"/>
        <v>0</v>
      </c>
      <c r="FV46" s="258">
        <f t="shared" ca="1" si="467"/>
        <v>0</v>
      </c>
      <c r="FW46" s="258">
        <f t="shared" ca="1" si="467"/>
        <v>0</v>
      </c>
      <c r="FX46" s="258">
        <f t="shared" ca="1" si="467"/>
        <v>0</v>
      </c>
      <c r="FY46" s="258">
        <f t="shared" ca="1" si="467"/>
        <v>0</v>
      </c>
      <c r="FZ46" s="258">
        <f t="shared" ca="1" si="467"/>
        <v>0</v>
      </c>
      <c r="GA46" s="258">
        <f t="shared" ca="1" si="467"/>
        <v>0</v>
      </c>
      <c r="GB46" s="258">
        <f t="shared" ca="1" si="467"/>
        <v>0</v>
      </c>
      <c r="GC46" s="258">
        <f t="shared" ca="1" si="467"/>
        <v>0</v>
      </c>
      <c r="GD46" s="258">
        <f t="shared" ca="1" si="467"/>
        <v>0</v>
      </c>
      <c r="GE46" s="258">
        <f t="shared" ca="1" si="467"/>
        <v>0</v>
      </c>
      <c r="GF46" s="258">
        <f t="shared" ca="1" si="467"/>
        <v>0</v>
      </c>
      <c r="GG46" s="258">
        <f t="shared" ca="1" si="467"/>
        <v>0</v>
      </c>
      <c r="GH46" s="258">
        <f t="shared" ca="1" si="467"/>
        <v>0</v>
      </c>
      <c r="GI46" s="258">
        <f t="shared" ca="1" si="467"/>
        <v>0</v>
      </c>
      <c r="GJ46" s="258">
        <f t="shared" ca="1" si="467"/>
        <v>0</v>
      </c>
      <c r="GK46" s="258">
        <f t="shared" ca="1" si="467"/>
        <v>0</v>
      </c>
      <c r="GL46" s="258">
        <f t="shared" ca="1" si="467"/>
        <v>0</v>
      </c>
      <c r="GM46" s="258">
        <f t="shared" ca="1" si="467"/>
        <v>0</v>
      </c>
      <c r="GN46" s="258">
        <f t="shared" ref="GN46:IY46" ca="1" si="468">GN110</f>
        <v>0</v>
      </c>
      <c r="GO46" s="258">
        <f t="shared" ca="1" si="468"/>
        <v>0</v>
      </c>
      <c r="GP46" s="258">
        <f t="shared" ca="1" si="468"/>
        <v>0</v>
      </c>
      <c r="GQ46" s="258">
        <f t="shared" ca="1" si="468"/>
        <v>0</v>
      </c>
      <c r="GR46" s="258">
        <f t="shared" ca="1" si="468"/>
        <v>0</v>
      </c>
      <c r="GS46" s="258">
        <f t="shared" ca="1" si="468"/>
        <v>0</v>
      </c>
      <c r="GT46" s="258">
        <f t="shared" ca="1" si="468"/>
        <v>0</v>
      </c>
      <c r="GU46" s="258">
        <f t="shared" ca="1" si="468"/>
        <v>0</v>
      </c>
      <c r="GV46" s="258">
        <f t="shared" ca="1" si="468"/>
        <v>0</v>
      </c>
      <c r="GW46" s="258">
        <f t="shared" ca="1" si="468"/>
        <v>0</v>
      </c>
      <c r="GX46" s="258">
        <f t="shared" ca="1" si="468"/>
        <v>0</v>
      </c>
      <c r="GY46" s="258">
        <f t="shared" ca="1" si="468"/>
        <v>0</v>
      </c>
      <c r="GZ46" s="258">
        <f t="shared" ca="1" si="468"/>
        <v>0</v>
      </c>
      <c r="HA46" s="258">
        <f t="shared" ca="1" si="468"/>
        <v>0</v>
      </c>
      <c r="HB46" s="258">
        <f t="shared" ca="1" si="468"/>
        <v>0</v>
      </c>
      <c r="HC46" s="258">
        <f t="shared" ca="1" si="468"/>
        <v>0</v>
      </c>
      <c r="HD46" s="258">
        <f t="shared" ca="1" si="468"/>
        <v>0</v>
      </c>
      <c r="HE46" s="258">
        <f t="shared" ca="1" si="468"/>
        <v>0</v>
      </c>
      <c r="HF46" s="258">
        <f t="shared" ca="1" si="468"/>
        <v>0</v>
      </c>
      <c r="HG46" s="258">
        <f t="shared" ca="1" si="468"/>
        <v>0</v>
      </c>
      <c r="HH46" s="258">
        <f t="shared" ca="1" si="468"/>
        <v>0</v>
      </c>
      <c r="HI46" s="258">
        <f t="shared" ca="1" si="468"/>
        <v>0</v>
      </c>
      <c r="HJ46" s="258">
        <f t="shared" ca="1" si="468"/>
        <v>0</v>
      </c>
      <c r="HK46" s="258">
        <f t="shared" ca="1" si="468"/>
        <v>0</v>
      </c>
      <c r="HL46" s="258">
        <f t="shared" ca="1" si="468"/>
        <v>0</v>
      </c>
      <c r="HM46" s="258">
        <f t="shared" ca="1" si="468"/>
        <v>0</v>
      </c>
      <c r="HN46" s="258">
        <f t="shared" ca="1" si="468"/>
        <v>0</v>
      </c>
      <c r="HO46" s="258">
        <f t="shared" ca="1" si="468"/>
        <v>0</v>
      </c>
      <c r="HP46" s="258">
        <f t="shared" ca="1" si="468"/>
        <v>0</v>
      </c>
      <c r="HQ46" s="258">
        <f t="shared" ca="1" si="468"/>
        <v>0</v>
      </c>
      <c r="HR46" s="258">
        <f t="shared" ca="1" si="468"/>
        <v>0</v>
      </c>
      <c r="HS46" s="258">
        <f t="shared" ca="1" si="468"/>
        <v>0</v>
      </c>
      <c r="HT46" s="258">
        <f t="shared" ca="1" si="468"/>
        <v>0</v>
      </c>
      <c r="HU46" s="258">
        <f t="shared" ca="1" si="468"/>
        <v>0</v>
      </c>
      <c r="HV46" s="258">
        <f t="shared" ca="1" si="468"/>
        <v>0</v>
      </c>
      <c r="HW46" s="258">
        <f t="shared" ca="1" si="468"/>
        <v>0</v>
      </c>
      <c r="HX46" s="258">
        <f t="shared" ca="1" si="468"/>
        <v>0</v>
      </c>
      <c r="HY46" s="258">
        <f t="shared" ca="1" si="468"/>
        <v>0</v>
      </c>
      <c r="HZ46" s="258">
        <f t="shared" ca="1" si="468"/>
        <v>0</v>
      </c>
      <c r="IA46" s="258">
        <f t="shared" ca="1" si="468"/>
        <v>0</v>
      </c>
      <c r="IB46" s="258">
        <f t="shared" ca="1" si="468"/>
        <v>0</v>
      </c>
      <c r="IC46" s="258">
        <f t="shared" ca="1" si="468"/>
        <v>0</v>
      </c>
      <c r="ID46" s="258">
        <f t="shared" ca="1" si="468"/>
        <v>0</v>
      </c>
      <c r="IE46" s="258">
        <f t="shared" ca="1" si="468"/>
        <v>0</v>
      </c>
      <c r="IF46" s="258">
        <f t="shared" ca="1" si="468"/>
        <v>0</v>
      </c>
      <c r="IG46" s="258">
        <f t="shared" ca="1" si="468"/>
        <v>0</v>
      </c>
      <c r="IH46" s="258">
        <f t="shared" ca="1" si="468"/>
        <v>0</v>
      </c>
      <c r="II46" s="258">
        <f t="shared" ca="1" si="468"/>
        <v>0</v>
      </c>
      <c r="IJ46" s="258">
        <f t="shared" ca="1" si="468"/>
        <v>0</v>
      </c>
      <c r="IK46" s="258">
        <f t="shared" ca="1" si="468"/>
        <v>0</v>
      </c>
      <c r="IL46" s="258">
        <f t="shared" ca="1" si="468"/>
        <v>0</v>
      </c>
      <c r="IM46" s="258">
        <f t="shared" ca="1" si="468"/>
        <v>0</v>
      </c>
      <c r="IN46" s="258">
        <f t="shared" ca="1" si="468"/>
        <v>0</v>
      </c>
      <c r="IO46" s="258">
        <f t="shared" ca="1" si="468"/>
        <v>0</v>
      </c>
      <c r="IP46" s="258">
        <f t="shared" ca="1" si="468"/>
        <v>0</v>
      </c>
      <c r="IQ46" s="258">
        <f t="shared" ca="1" si="468"/>
        <v>0</v>
      </c>
      <c r="IR46" s="258">
        <f t="shared" ca="1" si="468"/>
        <v>0</v>
      </c>
      <c r="IS46" s="258">
        <f t="shared" ca="1" si="468"/>
        <v>0</v>
      </c>
      <c r="IT46" s="258">
        <f t="shared" ca="1" si="468"/>
        <v>0</v>
      </c>
      <c r="IU46" s="258">
        <f t="shared" ca="1" si="468"/>
        <v>0</v>
      </c>
      <c r="IV46" s="258">
        <f t="shared" ca="1" si="468"/>
        <v>0</v>
      </c>
      <c r="IW46" s="258">
        <f t="shared" ca="1" si="468"/>
        <v>0</v>
      </c>
      <c r="IX46" s="258">
        <f t="shared" ca="1" si="468"/>
        <v>0</v>
      </c>
      <c r="IY46" s="258">
        <f t="shared" ca="1" si="468"/>
        <v>0</v>
      </c>
      <c r="IZ46" s="258">
        <f t="shared" ref="IZ46:KB46" ca="1" si="469">IZ110</f>
        <v>0</v>
      </c>
      <c r="JA46" s="258">
        <f t="shared" ca="1" si="469"/>
        <v>0</v>
      </c>
      <c r="JB46" s="258">
        <f t="shared" ca="1" si="469"/>
        <v>0</v>
      </c>
      <c r="JC46" s="258">
        <f t="shared" ca="1" si="469"/>
        <v>0</v>
      </c>
      <c r="JD46" s="258">
        <f t="shared" ca="1" si="469"/>
        <v>0</v>
      </c>
      <c r="JE46" s="258">
        <f t="shared" ca="1" si="469"/>
        <v>0</v>
      </c>
      <c r="JF46" s="258">
        <f t="shared" ca="1" si="469"/>
        <v>0</v>
      </c>
      <c r="JG46" s="258">
        <f t="shared" ca="1" si="469"/>
        <v>0</v>
      </c>
      <c r="JH46" s="258">
        <f t="shared" ca="1" si="469"/>
        <v>0</v>
      </c>
      <c r="JI46" s="258">
        <f t="shared" ca="1" si="469"/>
        <v>0</v>
      </c>
      <c r="JJ46" s="258">
        <f t="shared" ca="1" si="469"/>
        <v>0</v>
      </c>
      <c r="JK46" s="258">
        <f t="shared" ca="1" si="469"/>
        <v>0</v>
      </c>
      <c r="JL46" s="258">
        <f t="shared" ca="1" si="469"/>
        <v>0</v>
      </c>
      <c r="JM46" s="258">
        <f t="shared" ca="1" si="469"/>
        <v>0</v>
      </c>
      <c r="JN46" s="258">
        <f t="shared" ca="1" si="469"/>
        <v>0</v>
      </c>
      <c r="JO46" s="258">
        <f t="shared" ca="1" si="469"/>
        <v>0</v>
      </c>
      <c r="JP46" s="258">
        <f t="shared" ca="1" si="469"/>
        <v>0</v>
      </c>
      <c r="JQ46" s="258">
        <f t="shared" ca="1" si="469"/>
        <v>0</v>
      </c>
      <c r="JR46" s="258">
        <f t="shared" ca="1" si="469"/>
        <v>0</v>
      </c>
      <c r="JS46" s="258">
        <f t="shared" ca="1" si="469"/>
        <v>0</v>
      </c>
      <c r="JT46" s="258">
        <f t="shared" ca="1" si="469"/>
        <v>0</v>
      </c>
      <c r="JU46" s="258">
        <f t="shared" ca="1" si="469"/>
        <v>0</v>
      </c>
      <c r="JV46" s="258">
        <f t="shared" ca="1" si="469"/>
        <v>0</v>
      </c>
      <c r="JW46" s="258">
        <f t="shared" ca="1" si="469"/>
        <v>0</v>
      </c>
      <c r="JX46" s="258">
        <f t="shared" ca="1" si="469"/>
        <v>0</v>
      </c>
      <c r="JY46" s="258">
        <f t="shared" ca="1" si="469"/>
        <v>0</v>
      </c>
      <c r="JZ46" s="258">
        <f t="shared" ca="1" si="469"/>
        <v>0</v>
      </c>
      <c r="KA46" s="258">
        <f t="shared" ca="1" si="469"/>
        <v>0</v>
      </c>
      <c r="KB46" s="258">
        <f t="shared" ca="1" si="469"/>
        <v>0</v>
      </c>
      <c r="KC46" s="258">
        <f ca="1">SUMIF($C$7:$KB$7,"&lt;="&amp;$KC$6,C46:KB46)</f>
        <v>300.00044746913852</v>
      </c>
    </row>
    <row r="47" spans="1:289" hidden="1" x14ac:dyDescent="0.3">
      <c r="A47" s="1" t="s">
        <v>42</v>
      </c>
      <c r="B47" s="257">
        <f>SUM(C47:KB47)</f>
        <v>0</v>
      </c>
      <c r="C47" s="258">
        <f>IFERROR(_xlfn.XLOOKUP(C$7,#REF!,#REF!),0)</f>
        <v>0</v>
      </c>
      <c r="D47" s="258">
        <f>IFERROR(_xlfn.XLOOKUP(D$7,#REF!,#REF!),0)</f>
        <v>0</v>
      </c>
      <c r="E47" s="258">
        <f>IFERROR(_xlfn.XLOOKUP(E$7,#REF!,#REF!),0)</f>
        <v>0</v>
      </c>
      <c r="F47" s="258">
        <f>IFERROR(_xlfn.XLOOKUP(F$7,#REF!,#REF!),0)</f>
        <v>0</v>
      </c>
      <c r="G47" s="258">
        <f>IFERROR(_xlfn.XLOOKUP(G$7,#REF!,#REF!),0)</f>
        <v>0</v>
      </c>
      <c r="H47" s="258">
        <f>IFERROR(_xlfn.XLOOKUP(H$7,#REF!,#REF!),0)</f>
        <v>0</v>
      </c>
      <c r="I47" s="258">
        <f>IFERROR(_xlfn.XLOOKUP(I$7,#REF!,#REF!),0)</f>
        <v>0</v>
      </c>
      <c r="J47" s="258"/>
      <c r="K47" s="258"/>
      <c r="L47" s="258"/>
      <c r="M47" s="258"/>
      <c r="N47" s="258"/>
      <c r="O47" s="258">
        <f>IFERROR(_xlfn.XLOOKUP(O$7,#REF!,#REF!),0)</f>
        <v>0</v>
      </c>
      <c r="P47" s="258">
        <f>IFERROR(_xlfn.XLOOKUP(P$7,#REF!,#REF!),0)</f>
        <v>0</v>
      </c>
      <c r="Q47" s="258">
        <f>IFERROR(_xlfn.XLOOKUP(Q$7,#REF!,#REF!),0)</f>
        <v>0</v>
      </c>
      <c r="R47" s="258">
        <f>IFERROR(_xlfn.XLOOKUP(R$7,#REF!,#REF!),0)</f>
        <v>0</v>
      </c>
      <c r="S47" s="258">
        <f>IFERROR(_xlfn.XLOOKUP(S$7,#REF!,#REF!),0)</f>
        <v>0</v>
      </c>
      <c r="T47" s="258">
        <f>IFERROR(_xlfn.XLOOKUP(T$7,#REF!,#REF!),0)</f>
        <v>0</v>
      </c>
      <c r="U47" s="258">
        <f>IFERROR(_xlfn.XLOOKUP(U$7,#REF!,#REF!),0)</f>
        <v>0</v>
      </c>
      <c r="V47" s="258">
        <f>IFERROR(_xlfn.XLOOKUP(V$7,#REF!,#REF!),0)</f>
        <v>0</v>
      </c>
      <c r="W47" s="258">
        <f>IFERROR(_xlfn.XLOOKUP(W$7,#REF!,#REF!),0)</f>
        <v>0</v>
      </c>
      <c r="X47" s="258">
        <f>IFERROR(_xlfn.XLOOKUP(X$7,#REF!,#REF!),0)</f>
        <v>0</v>
      </c>
      <c r="Y47" s="258">
        <f>IFERROR(_xlfn.XLOOKUP(Y$7,#REF!,#REF!),0)</f>
        <v>0</v>
      </c>
      <c r="Z47" s="258">
        <f>IFERROR(_xlfn.XLOOKUP(Z$7,#REF!,#REF!),0)</f>
        <v>0</v>
      </c>
      <c r="AA47" s="258">
        <f>IFERROR(_xlfn.XLOOKUP(AA$7,#REF!,#REF!),0)</f>
        <v>0</v>
      </c>
      <c r="AB47" s="258">
        <f>IFERROR(_xlfn.XLOOKUP(AB$7,#REF!,#REF!),0)</f>
        <v>0</v>
      </c>
      <c r="AC47" s="258">
        <f>IFERROR(_xlfn.XLOOKUP(AC$7,#REF!,#REF!),0)</f>
        <v>0</v>
      </c>
      <c r="AD47" s="258">
        <f>IFERROR(_xlfn.XLOOKUP(AD$7,#REF!,#REF!),0)</f>
        <v>0</v>
      </c>
      <c r="AE47" s="258">
        <f>IFERROR(_xlfn.XLOOKUP(AE$7,#REF!,#REF!),0)</f>
        <v>0</v>
      </c>
      <c r="AF47" s="258">
        <f>IFERROR(_xlfn.XLOOKUP(AF$7,#REF!,#REF!),0)</f>
        <v>0</v>
      </c>
      <c r="AG47" s="258">
        <f>IFERROR(_xlfn.XLOOKUP(AG$7,#REF!,#REF!),0)</f>
        <v>0</v>
      </c>
      <c r="AH47" s="258">
        <f>IFERROR(_xlfn.XLOOKUP(AH$7,#REF!,#REF!),0)</f>
        <v>0</v>
      </c>
      <c r="AI47" s="258">
        <f>IFERROR(_xlfn.XLOOKUP(AI$7,#REF!,#REF!),0)</f>
        <v>0</v>
      </c>
      <c r="AJ47" s="258">
        <f>IFERROR(_xlfn.XLOOKUP(AJ$7,#REF!,#REF!),0)</f>
        <v>0</v>
      </c>
      <c r="AK47" s="258">
        <f>IFERROR(_xlfn.XLOOKUP(AK$7,#REF!,#REF!),0)</f>
        <v>0</v>
      </c>
      <c r="AL47" s="258">
        <f>IFERROR(_xlfn.XLOOKUP(AL$7,#REF!,#REF!),0)</f>
        <v>0</v>
      </c>
      <c r="AM47" s="258">
        <f>IFERROR(_xlfn.XLOOKUP(AM$7,#REF!,#REF!),0)</f>
        <v>0</v>
      </c>
      <c r="AN47" s="258">
        <f>IFERROR(_xlfn.XLOOKUP(AN$7,#REF!,#REF!),0)</f>
        <v>0</v>
      </c>
      <c r="AO47" s="258">
        <f>IFERROR(_xlfn.XLOOKUP(AO$7,#REF!,#REF!),0)</f>
        <v>0</v>
      </c>
      <c r="AP47" s="258">
        <f>IFERROR(_xlfn.XLOOKUP(AP$7,#REF!,#REF!),0)</f>
        <v>0</v>
      </c>
      <c r="AQ47" s="258">
        <f>IFERROR(_xlfn.XLOOKUP(AQ$7,#REF!,#REF!),0)</f>
        <v>0</v>
      </c>
      <c r="AR47" s="258">
        <f>IFERROR(_xlfn.XLOOKUP(AR$7,#REF!,#REF!),0)</f>
        <v>0</v>
      </c>
      <c r="AS47" s="258">
        <f>IFERROR(_xlfn.XLOOKUP(AS$7,#REF!,#REF!),0)</f>
        <v>0</v>
      </c>
      <c r="AT47" s="258">
        <f>IFERROR(_xlfn.XLOOKUP(AT$7,#REF!,#REF!),0)</f>
        <v>0</v>
      </c>
      <c r="AU47" s="258">
        <f>IFERROR(_xlfn.XLOOKUP(AU$7,#REF!,#REF!),0)</f>
        <v>0</v>
      </c>
      <c r="AV47" s="258">
        <f>IFERROR(_xlfn.XLOOKUP(AV$7,#REF!,#REF!),0)</f>
        <v>0</v>
      </c>
      <c r="AW47" s="258">
        <f>IFERROR(_xlfn.XLOOKUP(AW$7,#REF!,#REF!),0)</f>
        <v>0</v>
      </c>
      <c r="AX47" s="258">
        <f>IFERROR(_xlfn.XLOOKUP(AX$7,#REF!,#REF!),0)</f>
        <v>0</v>
      </c>
      <c r="AY47" s="258">
        <f>IFERROR(_xlfn.XLOOKUP(AY$7,#REF!,#REF!),0)</f>
        <v>0</v>
      </c>
      <c r="AZ47" s="258">
        <f>IFERROR(_xlfn.XLOOKUP(AZ$7,#REF!,#REF!),0)</f>
        <v>0</v>
      </c>
      <c r="BA47" s="258">
        <f>IFERROR(_xlfn.XLOOKUP(BA$7,#REF!,#REF!),0)</f>
        <v>0</v>
      </c>
      <c r="BB47" s="258">
        <f>IFERROR(_xlfn.XLOOKUP(BB$7,#REF!,#REF!),0)</f>
        <v>0</v>
      </c>
      <c r="BC47" s="258">
        <f>IFERROR(_xlfn.XLOOKUP(BC$7,#REF!,#REF!),0)</f>
        <v>0</v>
      </c>
      <c r="BD47" s="258">
        <f>IFERROR(_xlfn.XLOOKUP(BD$7,#REF!,#REF!),0)</f>
        <v>0</v>
      </c>
      <c r="BE47" s="258">
        <f>IFERROR(_xlfn.XLOOKUP(BE$7,#REF!,#REF!),0)</f>
        <v>0</v>
      </c>
      <c r="BF47" s="258">
        <f>IFERROR(_xlfn.XLOOKUP(BF$7,#REF!,#REF!),0)</f>
        <v>0</v>
      </c>
      <c r="BG47" s="258">
        <f>IFERROR(_xlfn.XLOOKUP(BG$7,#REF!,#REF!),0)</f>
        <v>0</v>
      </c>
      <c r="BH47" s="258">
        <f>IFERROR(_xlfn.XLOOKUP(BH$7,#REF!,#REF!),0)</f>
        <v>0</v>
      </c>
      <c r="BI47" s="258">
        <f>IFERROR(_xlfn.XLOOKUP(BI$7,#REF!,#REF!),0)</f>
        <v>0</v>
      </c>
      <c r="BJ47" s="258">
        <f>IFERROR(_xlfn.XLOOKUP(BJ$7,#REF!,#REF!),0)</f>
        <v>0</v>
      </c>
      <c r="BK47" s="258">
        <f>IFERROR(_xlfn.XLOOKUP(BK$7,#REF!,#REF!),0)</f>
        <v>0</v>
      </c>
      <c r="BL47" s="258">
        <f>IFERROR(_xlfn.XLOOKUP(BL$7,#REF!,#REF!),0)</f>
        <v>0</v>
      </c>
      <c r="BM47" s="258">
        <f>IFERROR(_xlfn.XLOOKUP(BM$7,#REF!,#REF!),0)</f>
        <v>0</v>
      </c>
      <c r="BN47" s="258">
        <f>IFERROR(_xlfn.XLOOKUP(BN$7,#REF!,#REF!),0)</f>
        <v>0</v>
      </c>
      <c r="BO47" s="258">
        <f>IFERROR(_xlfn.XLOOKUP(BO$7,#REF!,#REF!),0)</f>
        <v>0</v>
      </c>
      <c r="BP47" s="258">
        <f>IFERROR(_xlfn.XLOOKUP(BP$7,#REF!,#REF!),0)</f>
        <v>0</v>
      </c>
      <c r="BQ47" s="258">
        <f>IFERROR(_xlfn.XLOOKUP(BQ$7,#REF!,#REF!),0)</f>
        <v>0</v>
      </c>
      <c r="BR47" s="258">
        <f>IFERROR(_xlfn.XLOOKUP(BR$7,#REF!,#REF!),0)</f>
        <v>0</v>
      </c>
      <c r="BS47" s="258">
        <f>IFERROR(_xlfn.XLOOKUP(BS$7,#REF!,#REF!),0)</f>
        <v>0</v>
      </c>
      <c r="BT47" s="258">
        <f>IFERROR(_xlfn.XLOOKUP(BT$7,#REF!,#REF!),0)</f>
        <v>0</v>
      </c>
      <c r="BU47" s="258">
        <f>IFERROR(_xlfn.XLOOKUP(BU$7,#REF!,#REF!),0)</f>
        <v>0</v>
      </c>
      <c r="BV47" s="258">
        <f>IFERROR(_xlfn.XLOOKUP(BV$7,#REF!,#REF!),0)</f>
        <v>0</v>
      </c>
      <c r="BW47" s="258">
        <f>IFERROR(_xlfn.XLOOKUP(BW$7,#REF!,#REF!),0)</f>
        <v>0</v>
      </c>
      <c r="BX47" s="258">
        <f>IFERROR(_xlfn.XLOOKUP(BX$7,#REF!,#REF!),0)</f>
        <v>0</v>
      </c>
      <c r="BY47" s="258">
        <f>IFERROR(_xlfn.XLOOKUP(BY$7,#REF!,#REF!),0)</f>
        <v>0</v>
      </c>
      <c r="BZ47" s="258">
        <f>IFERROR(_xlfn.XLOOKUP(BZ$7,#REF!,#REF!),0)</f>
        <v>0</v>
      </c>
      <c r="CA47" s="258">
        <f>IFERROR(_xlfn.XLOOKUP(CA$7,#REF!,#REF!),0)</f>
        <v>0</v>
      </c>
      <c r="CB47" s="258">
        <f>IFERROR(_xlfn.XLOOKUP(CB$7,#REF!,#REF!),0)</f>
        <v>0</v>
      </c>
      <c r="CC47" s="258">
        <f>IFERROR(_xlfn.XLOOKUP(CC$7,#REF!,#REF!),0)</f>
        <v>0</v>
      </c>
      <c r="CD47" s="258">
        <f>IFERROR(_xlfn.XLOOKUP(CD$7,#REF!,#REF!),0)</f>
        <v>0</v>
      </c>
      <c r="CE47" s="258">
        <f>IFERROR(_xlfn.XLOOKUP(CE$7,#REF!,#REF!),0)</f>
        <v>0</v>
      </c>
      <c r="CF47" s="258">
        <f>IFERROR(_xlfn.XLOOKUP(CF$7,#REF!,#REF!),0)</f>
        <v>0</v>
      </c>
      <c r="CG47" s="258">
        <f>IFERROR(_xlfn.XLOOKUP(CG$7,#REF!,#REF!),0)</f>
        <v>0</v>
      </c>
      <c r="CH47" s="258">
        <f>IFERROR(_xlfn.XLOOKUP(CH$7,#REF!,#REF!),0)</f>
        <v>0</v>
      </c>
      <c r="CI47" s="258">
        <f>IFERROR(_xlfn.XLOOKUP(CI$7,#REF!,#REF!),0)</f>
        <v>0</v>
      </c>
      <c r="CJ47" s="258">
        <f>IFERROR(_xlfn.XLOOKUP(CJ$7,#REF!,#REF!),0)</f>
        <v>0</v>
      </c>
      <c r="CK47" s="258">
        <f>IFERROR(_xlfn.XLOOKUP(CK$7,#REF!,#REF!),0)</f>
        <v>0</v>
      </c>
      <c r="CL47" s="258">
        <f>IFERROR(_xlfn.XLOOKUP(CL$7,#REF!,#REF!),0)</f>
        <v>0</v>
      </c>
      <c r="CM47" s="258">
        <f>IFERROR(_xlfn.XLOOKUP(CM$7,#REF!,#REF!),0)</f>
        <v>0</v>
      </c>
      <c r="CN47" s="258">
        <f>IFERROR(_xlfn.XLOOKUP(CN$7,#REF!,#REF!),0)</f>
        <v>0</v>
      </c>
      <c r="CO47" s="258">
        <f>IFERROR(_xlfn.XLOOKUP(CO$7,#REF!,#REF!),0)</f>
        <v>0</v>
      </c>
      <c r="CP47" s="258">
        <f>IFERROR(_xlfn.XLOOKUP(CP$7,#REF!,#REF!),0)</f>
        <v>0</v>
      </c>
      <c r="CQ47" s="258">
        <f>IFERROR(_xlfn.XLOOKUP(CQ$7,#REF!,#REF!),0)</f>
        <v>0</v>
      </c>
      <c r="CR47" s="258">
        <f>IFERROR(_xlfn.XLOOKUP(CR$7,#REF!,#REF!),0)</f>
        <v>0</v>
      </c>
      <c r="CS47" s="258">
        <f>IFERROR(_xlfn.XLOOKUP(CS$7,#REF!,#REF!),0)</f>
        <v>0</v>
      </c>
      <c r="CT47" s="258">
        <f>IFERROR(_xlfn.XLOOKUP(CT$7,#REF!,#REF!),0)</f>
        <v>0</v>
      </c>
      <c r="CU47" s="258">
        <f>IFERROR(_xlfn.XLOOKUP(CU$7,#REF!,#REF!),0)</f>
        <v>0</v>
      </c>
      <c r="CV47" s="258">
        <f>IFERROR(_xlfn.XLOOKUP(CV$7,#REF!,#REF!),0)</f>
        <v>0</v>
      </c>
      <c r="CW47" s="258">
        <f>IFERROR(_xlfn.XLOOKUP(CW$7,#REF!,#REF!),0)</f>
        <v>0</v>
      </c>
      <c r="CX47" s="258">
        <f>IFERROR(_xlfn.XLOOKUP(CX$7,#REF!,#REF!),0)</f>
        <v>0</v>
      </c>
      <c r="CY47" s="258">
        <f>IFERROR(_xlfn.XLOOKUP(CY$7,#REF!,#REF!),0)</f>
        <v>0</v>
      </c>
      <c r="CZ47" s="258">
        <f>IFERROR(_xlfn.XLOOKUP(CZ$7,#REF!,#REF!),0)</f>
        <v>0</v>
      </c>
      <c r="DA47" s="258">
        <f>IFERROR(_xlfn.XLOOKUP(DA$7,#REF!,#REF!),0)</f>
        <v>0</v>
      </c>
      <c r="DB47" s="258">
        <f>IFERROR(_xlfn.XLOOKUP(DB$7,#REF!,#REF!),0)</f>
        <v>0</v>
      </c>
      <c r="DC47" s="258">
        <f>IFERROR(_xlfn.XLOOKUP(DC$7,#REF!,#REF!),0)</f>
        <v>0</v>
      </c>
      <c r="DD47" s="258">
        <f>IFERROR(_xlfn.XLOOKUP(DD$7,#REF!,#REF!),0)</f>
        <v>0</v>
      </c>
      <c r="DE47" s="258">
        <f>IFERROR(_xlfn.XLOOKUP(DE$7,#REF!,#REF!),0)</f>
        <v>0</v>
      </c>
      <c r="DF47" s="258">
        <f>IFERROR(_xlfn.XLOOKUP(DF$7,#REF!,#REF!),0)</f>
        <v>0</v>
      </c>
      <c r="DG47" s="258">
        <f>IFERROR(_xlfn.XLOOKUP(DG$7,#REF!,#REF!),0)</f>
        <v>0</v>
      </c>
      <c r="DH47" s="258">
        <f>IFERROR(_xlfn.XLOOKUP(DH$7,#REF!,#REF!),0)</f>
        <v>0</v>
      </c>
      <c r="DI47" s="258">
        <f>IFERROR(_xlfn.XLOOKUP(DI$7,#REF!,#REF!),0)</f>
        <v>0</v>
      </c>
      <c r="DJ47" s="258">
        <f>IFERROR(_xlfn.XLOOKUP(DJ$7,#REF!,#REF!),0)</f>
        <v>0</v>
      </c>
      <c r="DK47" s="258">
        <f>IFERROR(_xlfn.XLOOKUP(DK$7,#REF!,#REF!),0)</f>
        <v>0</v>
      </c>
      <c r="DL47" s="258">
        <f>IFERROR(_xlfn.XLOOKUP(DL$7,#REF!,#REF!),0)</f>
        <v>0</v>
      </c>
      <c r="DM47" s="258">
        <f>IFERROR(_xlfn.XLOOKUP(DM$7,#REF!,#REF!),0)</f>
        <v>0</v>
      </c>
      <c r="DN47" s="258">
        <f>IFERROR(_xlfn.XLOOKUP(DN$7,#REF!,#REF!),0)</f>
        <v>0</v>
      </c>
      <c r="DO47" s="258">
        <f>IFERROR(_xlfn.XLOOKUP(DO$7,#REF!,#REF!),0)</f>
        <v>0</v>
      </c>
      <c r="DP47" s="258">
        <f>IFERROR(_xlfn.XLOOKUP(DP$7,#REF!,#REF!),0)</f>
        <v>0</v>
      </c>
      <c r="DQ47" s="258">
        <f>IFERROR(_xlfn.XLOOKUP(DQ$7,#REF!,#REF!),0)</f>
        <v>0</v>
      </c>
      <c r="DR47" s="258">
        <f>IFERROR(_xlfn.XLOOKUP(DR$7,#REF!,#REF!),0)</f>
        <v>0</v>
      </c>
      <c r="DS47" s="258">
        <f>IFERROR(_xlfn.XLOOKUP(DS$7,#REF!,#REF!),0)</f>
        <v>0</v>
      </c>
      <c r="DT47" s="258">
        <f>IFERROR(_xlfn.XLOOKUP(DT$7,#REF!,#REF!),0)</f>
        <v>0</v>
      </c>
      <c r="DU47" s="258">
        <f>IFERROR(_xlfn.XLOOKUP(DU$7,#REF!,#REF!),0)</f>
        <v>0</v>
      </c>
      <c r="DV47" s="258">
        <f>IFERROR(_xlfn.XLOOKUP(DV$7,#REF!,#REF!),0)</f>
        <v>0</v>
      </c>
      <c r="DW47" s="258">
        <f>IFERROR(_xlfn.XLOOKUP(DW$7,#REF!,#REF!),0)</f>
        <v>0</v>
      </c>
      <c r="DX47" s="258">
        <f>IFERROR(_xlfn.XLOOKUP(DX$7,#REF!,#REF!),0)</f>
        <v>0</v>
      </c>
      <c r="DY47" s="258">
        <f>IFERROR(_xlfn.XLOOKUP(DY$7,#REF!,#REF!),0)</f>
        <v>0</v>
      </c>
      <c r="DZ47" s="258">
        <f>IFERROR(_xlfn.XLOOKUP(DZ$7,#REF!,#REF!),0)</f>
        <v>0</v>
      </c>
      <c r="EA47" s="258">
        <f>IFERROR(_xlfn.XLOOKUP(EA$7,#REF!,#REF!),0)</f>
        <v>0</v>
      </c>
      <c r="EB47" s="258">
        <f>IFERROR(_xlfn.XLOOKUP(EB$7,#REF!,#REF!),0)</f>
        <v>0</v>
      </c>
      <c r="EC47" s="258">
        <f>IFERROR(_xlfn.XLOOKUP(EC$7,#REF!,#REF!),0)</f>
        <v>0</v>
      </c>
      <c r="ED47" s="258">
        <f>IFERROR(_xlfn.XLOOKUP(ED$7,#REF!,#REF!),0)</f>
        <v>0</v>
      </c>
      <c r="EE47" s="258">
        <f>IFERROR(_xlfn.XLOOKUP(EE$7,#REF!,#REF!),0)</f>
        <v>0</v>
      </c>
      <c r="EF47" s="258">
        <f>IFERROR(_xlfn.XLOOKUP(EF$7,#REF!,#REF!),0)</f>
        <v>0</v>
      </c>
      <c r="EG47" s="258">
        <f>IFERROR(_xlfn.XLOOKUP(EG$7,#REF!,#REF!),0)</f>
        <v>0</v>
      </c>
      <c r="EH47" s="258">
        <f>IFERROR(_xlfn.XLOOKUP(EH$7,#REF!,#REF!),0)</f>
        <v>0</v>
      </c>
      <c r="EI47" s="258">
        <f>IFERROR(_xlfn.XLOOKUP(EI$7,#REF!,#REF!),0)</f>
        <v>0</v>
      </c>
      <c r="EJ47" s="258">
        <f>IFERROR(_xlfn.XLOOKUP(EJ$7,#REF!,#REF!),0)</f>
        <v>0</v>
      </c>
      <c r="EK47" s="258">
        <f>IFERROR(_xlfn.XLOOKUP(EK$7,#REF!,#REF!),0)</f>
        <v>0</v>
      </c>
      <c r="EL47" s="258">
        <f>IFERROR(_xlfn.XLOOKUP(EL$7,#REF!,#REF!),0)</f>
        <v>0</v>
      </c>
      <c r="EM47" s="258">
        <f>IFERROR(_xlfn.XLOOKUP(EM$7,#REF!,#REF!),0)</f>
        <v>0</v>
      </c>
      <c r="EN47" s="258">
        <f>IFERROR(_xlfn.XLOOKUP(EN$7,#REF!,#REF!),0)</f>
        <v>0</v>
      </c>
      <c r="EO47" s="258">
        <f>IFERROR(_xlfn.XLOOKUP(EO$7,#REF!,#REF!),0)</f>
        <v>0</v>
      </c>
      <c r="EP47" s="258">
        <f>IFERROR(_xlfn.XLOOKUP(EP$7,#REF!,#REF!),0)</f>
        <v>0</v>
      </c>
      <c r="EQ47" s="258">
        <f>IFERROR(_xlfn.XLOOKUP(EQ$7,#REF!,#REF!),0)</f>
        <v>0</v>
      </c>
      <c r="ER47" s="258">
        <f>IFERROR(_xlfn.XLOOKUP(ER$7,#REF!,#REF!),0)</f>
        <v>0</v>
      </c>
      <c r="ES47" s="258">
        <f>IFERROR(_xlfn.XLOOKUP(ES$7,#REF!,#REF!),0)</f>
        <v>0</v>
      </c>
      <c r="ET47" s="258">
        <f>IFERROR(_xlfn.XLOOKUP(ET$7,#REF!,#REF!),0)</f>
        <v>0</v>
      </c>
      <c r="EU47" s="258">
        <f>IFERROR(_xlfn.XLOOKUP(EU$7,#REF!,#REF!),0)</f>
        <v>0</v>
      </c>
      <c r="EV47" s="258">
        <f>IFERROR(_xlfn.XLOOKUP(EV$7,#REF!,#REF!),0)</f>
        <v>0</v>
      </c>
      <c r="EW47" s="258">
        <f>IFERROR(_xlfn.XLOOKUP(EW$7,#REF!,#REF!),0)</f>
        <v>0</v>
      </c>
      <c r="EX47" s="258">
        <f>IFERROR(_xlfn.XLOOKUP(EX$7,#REF!,#REF!),0)</f>
        <v>0</v>
      </c>
      <c r="EY47" s="258">
        <f>IFERROR(_xlfn.XLOOKUP(EY$7,#REF!,#REF!),0)</f>
        <v>0</v>
      </c>
      <c r="EZ47" s="258">
        <f>IFERROR(_xlfn.XLOOKUP(EZ$7,#REF!,#REF!),0)</f>
        <v>0</v>
      </c>
      <c r="FA47" s="258">
        <f>IFERROR(_xlfn.XLOOKUP(FA$7,#REF!,#REF!),0)</f>
        <v>0</v>
      </c>
      <c r="FB47" s="258">
        <f>IFERROR(_xlfn.XLOOKUP(FB$7,#REF!,#REF!),0)</f>
        <v>0</v>
      </c>
      <c r="FC47" s="258">
        <f>IFERROR(_xlfn.XLOOKUP(FC$7,#REF!,#REF!),0)</f>
        <v>0</v>
      </c>
      <c r="FD47" s="258">
        <f>IFERROR(_xlfn.XLOOKUP(FD$7,#REF!,#REF!),0)</f>
        <v>0</v>
      </c>
      <c r="FE47" s="258">
        <f>IFERROR(_xlfn.XLOOKUP(FE$7,#REF!,#REF!),0)</f>
        <v>0</v>
      </c>
      <c r="FF47" s="258">
        <f>IFERROR(_xlfn.XLOOKUP(FF$7,#REF!,#REF!),0)</f>
        <v>0</v>
      </c>
      <c r="FG47" s="258">
        <f>IFERROR(_xlfn.XLOOKUP(FG$7,#REF!,#REF!),0)</f>
        <v>0</v>
      </c>
      <c r="FH47" s="258">
        <f>IFERROR(_xlfn.XLOOKUP(FH$7,#REF!,#REF!),0)</f>
        <v>0</v>
      </c>
      <c r="FI47" s="258">
        <f>IFERROR(_xlfn.XLOOKUP(FI$7,#REF!,#REF!),0)</f>
        <v>0</v>
      </c>
      <c r="FJ47" s="258">
        <f>IFERROR(_xlfn.XLOOKUP(FJ$7,#REF!,#REF!),0)</f>
        <v>0</v>
      </c>
      <c r="FK47" s="258">
        <f>IFERROR(_xlfn.XLOOKUP(FK$7,#REF!,#REF!),0)</f>
        <v>0</v>
      </c>
      <c r="FL47" s="258">
        <f>IFERROR(_xlfn.XLOOKUP(FL$7,#REF!,#REF!),0)</f>
        <v>0</v>
      </c>
      <c r="FM47" s="258">
        <f>IFERROR(_xlfn.XLOOKUP(FM$7,#REF!,#REF!),0)</f>
        <v>0</v>
      </c>
      <c r="FN47" s="258">
        <f>IFERROR(_xlfn.XLOOKUP(FN$7,#REF!,#REF!),0)</f>
        <v>0</v>
      </c>
      <c r="FO47" s="258">
        <f>IFERROR(_xlfn.XLOOKUP(FO$7,#REF!,#REF!),0)</f>
        <v>0</v>
      </c>
      <c r="FP47" s="258">
        <f>IFERROR(_xlfn.XLOOKUP(FP$7,#REF!,#REF!),0)</f>
        <v>0</v>
      </c>
      <c r="FQ47" s="258">
        <f>IFERROR(_xlfn.XLOOKUP(FQ$7,#REF!,#REF!),0)</f>
        <v>0</v>
      </c>
      <c r="FR47" s="258">
        <f>IFERROR(_xlfn.XLOOKUP(FR$7,#REF!,#REF!),0)</f>
        <v>0</v>
      </c>
      <c r="FS47" s="258">
        <f>IFERROR(_xlfn.XLOOKUP(FS$7,#REF!,#REF!),0)</f>
        <v>0</v>
      </c>
      <c r="FT47" s="258">
        <f>IFERROR(_xlfn.XLOOKUP(FT$7,#REF!,#REF!),0)</f>
        <v>0</v>
      </c>
      <c r="FU47" s="258">
        <f>IFERROR(_xlfn.XLOOKUP(FU$7,#REF!,#REF!),0)</f>
        <v>0</v>
      </c>
      <c r="FV47" s="258">
        <f>IFERROR(_xlfn.XLOOKUP(FV$7,#REF!,#REF!),0)</f>
        <v>0</v>
      </c>
      <c r="FW47" s="258">
        <f>IFERROR(_xlfn.XLOOKUP(FW$7,#REF!,#REF!),0)</f>
        <v>0</v>
      </c>
      <c r="FX47" s="258">
        <f>IFERROR(_xlfn.XLOOKUP(FX$7,#REF!,#REF!),0)</f>
        <v>0</v>
      </c>
      <c r="FY47" s="258">
        <f>IFERROR(_xlfn.XLOOKUP(FY$7,#REF!,#REF!),0)</f>
        <v>0</v>
      </c>
      <c r="FZ47" s="258">
        <f>IFERROR(_xlfn.XLOOKUP(FZ$7,#REF!,#REF!),0)</f>
        <v>0</v>
      </c>
      <c r="GA47" s="258">
        <f>IFERROR(_xlfn.XLOOKUP(GA$7,#REF!,#REF!),0)</f>
        <v>0</v>
      </c>
      <c r="GB47" s="258">
        <f>IFERROR(_xlfn.XLOOKUP(GB$7,#REF!,#REF!),0)</f>
        <v>0</v>
      </c>
      <c r="GC47" s="258">
        <f>IFERROR(_xlfn.XLOOKUP(GC$7,#REF!,#REF!),0)</f>
        <v>0</v>
      </c>
      <c r="GD47" s="258">
        <f>IFERROR(_xlfn.XLOOKUP(GD$7,#REF!,#REF!),0)</f>
        <v>0</v>
      </c>
      <c r="GE47" s="258">
        <f>IFERROR(_xlfn.XLOOKUP(GE$7,#REF!,#REF!),0)</f>
        <v>0</v>
      </c>
      <c r="GF47" s="258">
        <f>IFERROR(_xlfn.XLOOKUP(GF$7,#REF!,#REF!),0)</f>
        <v>0</v>
      </c>
      <c r="GG47" s="258">
        <f>IFERROR(_xlfn.XLOOKUP(GG$7,#REF!,#REF!),0)</f>
        <v>0</v>
      </c>
      <c r="GH47" s="258">
        <f>IFERROR(_xlfn.XLOOKUP(GH$7,#REF!,#REF!),0)</f>
        <v>0</v>
      </c>
      <c r="GI47" s="258">
        <f>IFERROR(_xlfn.XLOOKUP(GI$7,#REF!,#REF!),0)</f>
        <v>0</v>
      </c>
      <c r="GJ47" s="258">
        <f>IFERROR(_xlfn.XLOOKUP(GJ$7,#REF!,#REF!),0)</f>
        <v>0</v>
      </c>
      <c r="GK47" s="258">
        <f>IFERROR(_xlfn.XLOOKUP(GK$7,#REF!,#REF!),0)</f>
        <v>0</v>
      </c>
      <c r="GL47" s="258">
        <f>IFERROR(_xlfn.XLOOKUP(GL$7,#REF!,#REF!),0)</f>
        <v>0</v>
      </c>
      <c r="GM47" s="258">
        <f>IFERROR(_xlfn.XLOOKUP(GM$7,#REF!,#REF!),0)</f>
        <v>0</v>
      </c>
      <c r="GN47" s="258">
        <f>IFERROR(_xlfn.XLOOKUP(GN$7,#REF!,#REF!),0)</f>
        <v>0</v>
      </c>
      <c r="GO47" s="258">
        <f>IFERROR(_xlfn.XLOOKUP(GO$7,#REF!,#REF!),0)</f>
        <v>0</v>
      </c>
      <c r="GP47" s="258">
        <f>IFERROR(_xlfn.XLOOKUP(GP$7,#REF!,#REF!),0)</f>
        <v>0</v>
      </c>
      <c r="GQ47" s="258">
        <f>IFERROR(_xlfn.XLOOKUP(GQ$7,#REF!,#REF!),0)</f>
        <v>0</v>
      </c>
      <c r="GR47" s="258">
        <f>IFERROR(_xlfn.XLOOKUP(GR$7,#REF!,#REF!),0)</f>
        <v>0</v>
      </c>
      <c r="GS47" s="258">
        <f>IFERROR(_xlfn.XLOOKUP(GS$7,#REF!,#REF!),0)</f>
        <v>0</v>
      </c>
      <c r="GT47" s="258">
        <f>IFERROR(_xlfn.XLOOKUP(GT$7,#REF!,#REF!),0)</f>
        <v>0</v>
      </c>
      <c r="GU47" s="258">
        <f>IFERROR(_xlfn.XLOOKUP(GU$7,#REF!,#REF!),0)</f>
        <v>0</v>
      </c>
      <c r="GV47" s="258">
        <f>IFERROR(_xlfn.XLOOKUP(GV$7,#REF!,#REF!),0)</f>
        <v>0</v>
      </c>
      <c r="GW47" s="258">
        <f>IFERROR(_xlfn.XLOOKUP(GW$7,#REF!,#REF!),0)</f>
        <v>0</v>
      </c>
      <c r="GX47" s="258">
        <f>IFERROR(_xlfn.XLOOKUP(GX$7,#REF!,#REF!),0)</f>
        <v>0</v>
      </c>
      <c r="GY47" s="258">
        <f>IFERROR(_xlfn.XLOOKUP(GY$7,#REF!,#REF!),0)</f>
        <v>0</v>
      </c>
      <c r="GZ47" s="258">
        <f>IFERROR(_xlfn.XLOOKUP(GZ$7,#REF!,#REF!),0)</f>
        <v>0</v>
      </c>
      <c r="HA47" s="258">
        <f>IFERROR(_xlfn.XLOOKUP(HA$7,#REF!,#REF!),0)</f>
        <v>0</v>
      </c>
      <c r="HB47" s="258">
        <f>IFERROR(_xlfn.XLOOKUP(HB$7,#REF!,#REF!),0)</f>
        <v>0</v>
      </c>
      <c r="HC47" s="258">
        <f>IFERROR(_xlfn.XLOOKUP(HC$7,#REF!,#REF!),0)</f>
        <v>0</v>
      </c>
      <c r="HD47" s="258">
        <f>IFERROR(_xlfn.XLOOKUP(HD$7,#REF!,#REF!),0)</f>
        <v>0</v>
      </c>
      <c r="HE47" s="258">
        <f>IFERROR(_xlfn.XLOOKUP(HE$7,#REF!,#REF!),0)</f>
        <v>0</v>
      </c>
      <c r="HF47" s="258">
        <f>IFERROR(_xlfn.XLOOKUP(HF$7,#REF!,#REF!),0)</f>
        <v>0</v>
      </c>
      <c r="HG47" s="258">
        <f>IFERROR(_xlfn.XLOOKUP(HG$7,#REF!,#REF!),0)</f>
        <v>0</v>
      </c>
      <c r="HH47" s="258">
        <f>IFERROR(_xlfn.XLOOKUP(HH$7,#REF!,#REF!),0)</f>
        <v>0</v>
      </c>
      <c r="HI47" s="258">
        <f>IFERROR(_xlfn.XLOOKUP(HI$7,#REF!,#REF!),0)</f>
        <v>0</v>
      </c>
      <c r="HJ47" s="258">
        <f>IFERROR(_xlfn.XLOOKUP(HJ$7,#REF!,#REF!),0)</f>
        <v>0</v>
      </c>
      <c r="HK47" s="258">
        <f>IFERROR(_xlfn.XLOOKUP(HK$7,#REF!,#REF!),0)</f>
        <v>0</v>
      </c>
      <c r="HL47" s="258">
        <f>IFERROR(_xlfn.XLOOKUP(HL$7,#REF!,#REF!),0)</f>
        <v>0</v>
      </c>
      <c r="HM47" s="258">
        <f>IFERROR(_xlfn.XLOOKUP(HM$7,#REF!,#REF!),0)</f>
        <v>0</v>
      </c>
      <c r="HN47" s="258">
        <f>IFERROR(_xlfn.XLOOKUP(HN$7,#REF!,#REF!),0)</f>
        <v>0</v>
      </c>
      <c r="HO47" s="258">
        <f>IFERROR(_xlfn.XLOOKUP(HO$7,#REF!,#REF!),0)</f>
        <v>0</v>
      </c>
      <c r="HP47" s="258">
        <f>IFERROR(_xlfn.XLOOKUP(HP$7,#REF!,#REF!),0)</f>
        <v>0</v>
      </c>
      <c r="HQ47" s="258">
        <f>IFERROR(_xlfn.XLOOKUP(HQ$7,#REF!,#REF!),0)</f>
        <v>0</v>
      </c>
      <c r="HR47" s="258">
        <f>IFERROR(_xlfn.XLOOKUP(HR$7,#REF!,#REF!),0)</f>
        <v>0</v>
      </c>
      <c r="HS47" s="258">
        <f>IFERROR(_xlfn.XLOOKUP(HS$7,#REF!,#REF!),0)</f>
        <v>0</v>
      </c>
      <c r="HT47" s="258">
        <f>IFERROR(_xlfn.XLOOKUP(HT$7,#REF!,#REF!),0)</f>
        <v>0</v>
      </c>
      <c r="HU47" s="258">
        <f>IFERROR(_xlfn.XLOOKUP(HU$7,#REF!,#REF!),0)</f>
        <v>0</v>
      </c>
      <c r="HV47" s="258">
        <f>IFERROR(_xlfn.XLOOKUP(HV$7,#REF!,#REF!),0)</f>
        <v>0</v>
      </c>
      <c r="HW47" s="258">
        <f>IFERROR(_xlfn.XLOOKUP(HW$7,#REF!,#REF!),0)</f>
        <v>0</v>
      </c>
      <c r="HX47" s="258">
        <f>IFERROR(_xlfn.XLOOKUP(HX$7,#REF!,#REF!),0)</f>
        <v>0</v>
      </c>
      <c r="HY47" s="258">
        <f>IFERROR(_xlfn.XLOOKUP(HY$7,#REF!,#REF!),0)</f>
        <v>0</v>
      </c>
      <c r="HZ47" s="258">
        <f>IFERROR(_xlfn.XLOOKUP(HZ$7,#REF!,#REF!),0)</f>
        <v>0</v>
      </c>
      <c r="IA47" s="258">
        <f>IFERROR(_xlfn.XLOOKUP(IA$7,#REF!,#REF!),0)</f>
        <v>0</v>
      </c>
      <c r="IB47" s="258">
        <f>IFERROR(_xlfn.XLOOKUP(IB$7,#REF!,#REF!),0)</f>
        <v>0</v>
      </c>
      <c r="IC47" s="258">
        <f>IFERROR(_xlfn.XLOOKUP(IC$7,#REF!,#REF!),0)</f>
        <v>0</v>
      </c>
      <c r="ID47" s="258">
        <f>IFERROR(_xlfn.XLOOKUP(ID$7,#REF!,#REF!),0)</f>
        <v>0</v>
      </c>
      <c r="IE47" s="258">
        <f>IFERROR(_xlfn.XLOOKUP(IE$7,#REF!,#REF!),0)</f>
        <v>0</v>
      </c>
      <c r="IF47" s="258">
        <f>IFERROR(_xlfn.XLOOKUP(IF$7,#REF!,#REF!),0)</f>
        <v>0</v>
      </c>
      <c r="IG47" s="258">
        <f>IFERROR(_xlfn.XLOOKUP(IG$7,#REF!,#REF!),0)</f>
        <v>0</v>
      </c>
      <c r="IH47" s="258">
        <f>IFERROR(_xlfn.XLOOKUP(IH$7,#REF!,#REF!),0)</f>
        <v>0</v>
      </c>
      <c r="II47" s="258">
        <f>IFERROR(_xlfn.XLOOKUP(II$7,#REF!,#REF!),0)</f>
        <v>0</v>
      </c>
      <c r="IJ47" s="258">
        <f>IFERROR(_xlfn.XLOOKUP(IJ$7,#REF!,#REF!),0)</f>
        <v>0</v>
      </c>
      <c r="IK47" s="258">
        <f>IFERROR(_xlfn.XLOOKUP(IK$7,#REF!,#REF!),0)</f>
        <v>0</v>
      </c>
      <c r="IL47" s="258">
        <f>IFERROR(_xlfn.XLOOKUP(IL$7,#REF!,#REF!),0)</f>
        <v>0</v>
      </c>
      <c r="IM47" s="258">
        <f>IFERROR(_xlfn.XLOOKUP(IM$7,#REF!,#REF!),0)</f>
        <v>0</v>
      </c>
      <c r="IN47" s="258">
        <f>IFERROR(_xlfn.XLOOKUP(IN$7,#REF!,#REF!),0)</f>
        <v>0</v>
      </c>
      <c r="IO47" s="258">
        <f>IFERROR(_xlfn.XLOOKUP(IO$7,#REF!,#REF!),0)</f>
        <v>0</v>
      </c>
      <c r="IP47" s="258">
        <f>IFERROR(_xlfn.XLOOKUP(IP$7,#REF!,#REF!),0)</f>
        <v>0</v>
      </c>
      <c r="IQ47" s="258">
        <f>IFERROR(_xlfn.XLOOKUP(IQ$7,#REF!,#REF!),0)</f>
        <v>0</v>
      </c>
      <c r="IR47" s="258">
        <f>IFERROR(_xlfn.XLOOKUP(IR$7,#REF!,#REF!),0)</f>
        <v>0</v>
      </c>
      <c r="IS47" s="258">
        <f>IFERROR(_xlfn.XLOOKUP(IS$7,#REF!,#REF!),0)</f>
        <v>0</v>
      </c>
      <c r="IT47" s="258">
        <f>IFERROR(_xlfn.XLOOKUP(IT$7,#REF!,#REF!),0)</f>
        <v>0</v>
      </c>
      <c r="IU47" s="258">
        <f>IFERROR(_xlfn.XLOOKUP(IU$7,#REF!,#REF!),0)</f>
        <v>0</v>
      </c>
      <c r="IV47" s="258">
        <f>IFERROR(_xlfn.XLOOKUP(IV$7,#REF!,#REF!),0)</f>
        <v>0</v>
      </c>
      <c r="IW47" s="258">
        <f>IFERROR(_xlfn.XLOOKUP(IW$7,#REF!,#REF!),0)</f>
        <v>0</v>
      </c>
      <c r="IX47" s="258">
        <f>IFERROR(_xlfn.XLOOKUP(IX$7,#REF!,#REF!),0)</f>
        <v>0</v>
      </c>
      <c r="IY47" s="258">
        <f>IFERROR(_xlfn.XLOOKUP(IY$7,#REF!,#REF!),0)</f>
        <v>0</v>
      </c>
      <c r="IZ47" s="258">
        <f>IFERROR(_xlfn.XLOOKUP(IZ$7,#REF!,#REF!),0)</f>
        <v>0</v>
      </c>
      <c r="JA47" s="258">
        <f>IFERROR(_xlfn.XLOOKUP(JA$7,#REF!,#REF!),0)</f>
        <v>0</v>
      </c>
      <c r="JB47" s="258">
        <f>IFERROR(_xlfn.XLOOKUP(JB$7,#REF!,#REF!),0)</f>
        <v>0</v>
      </c>
      <c r="JC47" s="258">
        <f>IFERROR(_xlfn.XLOOKUP(JC$7,#REF!,#REF!),0)</f>
        <v>0</v>
      </c>
      <c r="JD47" s="258">
        <f>IFERROR(_xlfn.XLOOKUP(JD$7,#REF!,#REF!),0)</f>
        <v>0</v>
      </c>
      <c r="JE47" s="258">
        <f>IFERROR(_xlfn.XLOOKUP(JE$7,#REF!,#REF!),0)</f>
        <v>0</v>
      </c>
      <c r="JF47" s="258">
        <f>IFERROR(_xlfn.XLOOKUP(JF$7,#REF!,#REF!),0)</f>
        <v>0</v>
      </c>
      <c r="JG47" s="258">
        <f>IFERROR(_xlfn.XLOOKUP(JG$7,#REF!,#REF!),0)</f>
        <v>0</v>
      </c>
      <c r="JH47" s="258">
        <f>IFERROR(_xlfn.XLOOKUP(JH$7,#REF!,#REF!),0)</f>
        <v>0</v>
      </c>
      <c r="JI47" s="258">
        <f>IFERROR(_xlfn.XLOOKUP(JI$7,#REF!,#REF!),0)</f>
        <v>0</v>
      </c>
      <c r="JJ47" s="258">
        <f>IFERROR(_xlfn.XLOOKUP(JJ$7,#REF!,#REF!),0)</f>
        <v>0</v>
      </c>
      <c r="JK47" s="258">
        <f>IFERROR(_xlfn.XLOOKUP(JK$7,#REF!,#REF!),0)</f>
        <v>0</v>
      </c>
      <c r="JL47" s="258">
        <f>IFERROR(_xlfn.XLOOKUP(JL$7,#REF!,#REF!),0)</f>
        <v>0</v>
      </c>
      <c r="JM47" s="258">
        <f>IFERROR(_xlfn.XLOOKUP(JM$7,#REF!,#REF!),0)</f>
        <v>0</v>
      </c>
      <c r="JN47" s="258">
        <f>IFERROR(_xlfn.XLOOKUP(JN$7,#REF!,#REF!),0)</f>
        <v>0</v>
      </c>
      <c r="JO47" s="258">
        <f>IFERROR(_xlfn.XLOOKUP(JO$7,#REF!,#REF!),0)</f>
        <v>0</v>
      </c>
      <c r="JP47" s="258">
        <f>IFERROR(_xlfn.XLOOKUP(JP$7,#REF!,#REF!),0)</f>
        <v>0</v>
      </c>
      <c r="JQ47" s="258">
        <f>IFERROR(_xlfn.XLOOKUP(JQ$7,#REF!,#REF!),0)</f>
        <v>0</v>
      </c>
      <c r="JR47" s="258">
        <f>IFERROR(_xlfn.XLOOKUP(JR$7,#REF!,#REF!),0)</f>
        <v>0</v>
      </c>
      <c r="JS47" s="258">
        <f>IFERROR(_xlfn.XLOOKUP(JS$7,#REF!,#REF!),0)</f>
        <v>0</v>
      </c>
      <c r="JT47" s="258">
        <f>IFERROR(_xlfn.XLOOKUP(JT$7,#REF!,#REF!),0)</f>
        <v>0</v>
      </c>
      <c r="JU47" s="258">
        <f>IFERROR(_xlfn.XLOOKUP(JU$7,#REF!,#REF!),0)</f>
        <v>0</v>
      </c>
      <c r="JV47" s="258">
        <f>IFERROR(_xlfn.XLOOKUP(JV$7,#REF!,#REF!),0)</f>
        <v>0</v>
      </c>
      <c r="JW47" s="258">
        <f>IFERROR(_xlfn.XLOOKUP(JW$7,#REF!,#REF!),0)</f>
        <v>0</v>
      </c>
      <c r="JX47" s="258">
        <f>IFERROR(_xlfn.XLOOKUP(JX$7,#REF!,#REF!),0)</f>
        <v>0</v>
      </c>
      <c r="JY47" s="258">
        <f>IFERROR(_xlfn.XLOOKUP(JY$7,#REF!,#REF!),0)</f>
        <v>0</v>
      </c>
      <c r="JZ47" s="258">
        <f>IFERROR(_xlfn.XLOOKUP(JZ$7,#REF!,#REF!),0)</f>
        <v>0</v>
      </c>
      <c r="KA47" s="258">
        <f>IFERROR(_xlfn.XLOOKUP(KA$7,#REF!,#REF!),0)</f>
        <v>0</v>
      </c>
      <c r="KB47" s="258">
        <f>IFERROR(_xlfn.XLOOKUP(KB$7,#REF!,#REF!),0)</f>
        <v>0</v>
      </c>
      <c r="KC47" s="258">
        <f>SUMIF($C$7:$KB$7,"&lt;="&amp;$KC$6,C47:KB47)</f>
        <v>0</v>
      </c>
    </row>
    <row r="48" spans="1:289" hidden="1" x14ac:dyDescent="0.3">
      <c r="A48" s="39" t="s">
        <v>49</v>
      </c>
      <c r="B48" s="257"/>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c r="JG48" s="33"/>
      <c r="JH48" s="33"/>
      <c r="JI48" s="33"/>
      <c r="JJ48" s="33"/>
      <c r="JK48" s="33"/>
      <c r="JL48" s="33"/>
      <c r="JM48" s="33"/>
      <c r="JN48" s="33"/>
      <c r="JO48" s="33"/>
      <c r="JP48" s="33"/>
      <c r="JQ48" s="33"/>
      <c r="JR48" s="33"/>
      <c r="JS48" s="33"/>
      <c r="JT48" s="33"/>
      <c r="JU48" s="33"/>
      <c r="JV48" s="33"/>
      <c r="JW48" s="33"/>
      <c r="JX48" s="33"/>
      <c r="JY48" s="33"/>
      <c r="JZ48" s="33"/>
      <c r="KA48" s="33"/>
      <c r="KB48" s="33"/>
      <c r="KC48" s="258">
        <f>SUMIF($C$7:$KB$7,"&lt;="&amp;$KC$6,C48:KB48)</f>
        <v>0</v>
      </c>
    </row>
    <row r="49" spans="1:289" hidden="1" x14ac:dyDescent="0.3">
      <c r="A49" s="1" t="s">
        <v>47</v>
      </c>
      <c r="B49" s="257">
        <f ca="1">SUM(C49:KB49)</f>
        <v>-300.00044746913846</v>
      </c>
      <c r="C49" s="258">
        <f>IFERROR(_xlfn.XLOOKUP(C$7,'CF_Debt Schedule'!$16:$16,'CF_Debt Schedule'!27:27),0)</f>
        <v>0</v>
      </c>
      <c r="D49" s="258">
        <f>IFERROR(_xlfn.XLOOKUP(D$7,'CF_Debt Schedule'!$16:$16,'CF_Debt Schedule'!27:27),0)</f>
        <v>0</v>
      </c>
      <c r="E49" s="258">
        <f>IFERROR(_xlfn.XLOOKUP(E$7,'CF_Debt Schedule'!$16:$16,'CF_Debt Schedule'!27:27),0)</f>
        <v>0</v>
      </c>
      <c r="F49" s="258">
        <f>IFERROR(_xlfn.XLOOKUP(F$7,'CF_Debt Schedule'!$16:$16,'CF_Debt Schedule'!27:27),0)</f>
        <v>0</v>
      </c>
      <c r="G49" s="258">
        <f>IFERROR(_xlfn.XLOOKUP(G$7,'CF_Debt Schedule'!$16:$16,'CF_Debt Schedule'!27:27),0)</f>
        <v>0</v>
      </c>
      <c r="H49" s="258">
        <f>IFERROR(_xlfn.XLOOKUP(H$7,'CF_Debt Schedule'!$16:$16,'CF_Debt Schedule'!27:27),0)</f>
        <v>0</v>
      </c>
      <c r="I49" s="258">
        <f>IFERROR(_xlfn.XLOOKUP(I$7,'CF_Debt Schedule'!$16:$16,'CF_Debt Schedule'!27:27),0)</f>
        <v>0</v>
      </c>
      <c r="J49" s="258"/>
      <c r="K49" s="258"/>
      <c r="L49" s="258"/>
      <c r="M49" s="258"/>
      <c r="N49" s="258"/>
      <c r="O49" s="258">
        <f>IFERROR(_xlfn.XLOOKUP(O$7,'CF_Debt Schedule'!$16:$16,'CF_Debt Schedule'!27:27),0)</f>
        <v>0</v>
      </c>
      <c r="P49" s="258">
        <f>IFERROR(_xlfn.XLOOKUP(P$7,'CF_Debt Schedule'!$16:$16,'CF_Debt Schedule'!27:27),0)</f>
        <v>0</v>
      </c>
      <c r="Q49" s="258">
        <f>IFERROR(_xlfn.XLOOKUP(Q$7,'CF_Debt Schedule'!$16:$16,'CF_Debt Schedule'!27:27),0)</f>
        <v>0</v>
      </c>
      <c r="R49" s="258">
        <f>IFERROR(_xlfn.XLOOKUP(R$7,'CF_Debt Schedule'!$16:$16,'CF_Debt Schedule'!27:27),0)</f>
        <v>0</v>
      </c>
      <c r="S49" s="258">
        <f>IFERROR(_xlfn.XLOOKUP(S$7,'CF_Debt Schedule'!$16:$16,'CF_Debt Schedule'!27:27),0)</f>
        <v>0</v>
      </c>
      <c r="T49" s="258">
        <f>IFERROR(_xlfn.XLOOKUP(T$7,'CF_Debt Schedule'!$16:$16,'CF_Debt Schedule'!27:27),0)</f>
        <v>0</v>
      </c>
      <c r="U49" s="258">
        <f>IFERROR(_xlfn.XLOOKUP(U$7,'CF_Debt Schedule'!$16:$16,'CF_Debt Schedule'!27:27),0)</f>
        <v>0</v>
      </c>
      <c r="V49" s="258">
        <f>IFERROR(_xlfn.XLOOKUP(V$7,'CF_Debt Schedule'!$16:$16,'CF_Debt Schedule'!27:27),0)</f>
        <v>0</v>
      </c>
      <c r="W49" s="258">
        <f>IFERROR(_xlfn.XLOOKUP(W$7,'CF_Debt Schedule'!$16:$16,'CF_Debt Schedule'!27:27),0)</f>
        <v>0</v>
      </c>
      <c r="X49" s="258">
        <f>IFERROR(_xlfn.XLOOKUP(X$7,'CF_Debt Schedule'!$16:$16,'CF_Debt Schedule'!27:27),0)</f>
        <v>0</v>
      </c>
      <c r="Y49" s="258">
        <f>IFERROR(_xlfn.XLOOKUP(Y$7,'CF_Debt Schedule'!$16:$16,'CF_Debt Schedule'!27:27),0)</f>
        <v>0</v>
      </c>
      <c r="Z49" s="258">
        <f>IFERROR(_xlfn.XLOOKUP(Z$7,'CF_Debt Schedule'!$16:$16,'CF_Debt Schedule'!27:27),0)</f>
        <v>0</v>
      </c>
      <c r="AA49" s="258">
        <f>IFERROR(_xlfn.XLOOKUP(AA$7,'CF_Debt Schedule'!$16:$16,'CF_Debt Schedule'!27:27),0)</f>
        <v>0</v>
      </c>
      <c r="AB49" s="258">
        <f>IFERROR(_xlfn.XLOOKUP(AB$7,'CF_Debt Schedule'!$16:$16,'CF_Debt Schedule'!27:27),0)</f>
        <v>0</v>
      </c>
      <c r="AC49" s="258">
        <f>IFERROR(_xlfn.XLOOKUP(AC$7,'CF_Debt Schedule'!$16:$16,'CF_Debt Schedule'!27:27),0)</f>
        <v>0</v>
      </c>
      <c r="AD49" s="258">
        <f>IFERROR(_xlfn.XLOOKUP(AD$7,'CF_Debt Schedule'!$16:$16,'CF_Debt Schedule'!27:27),0)</f>
        <v>0</v>
      </c>
      <c r="AE49" s="258">
        <f>IFERROR(_xlfn.XLOOKUP(AE$7,'CF_Debt Schedule'!$16:$16,'CF_Debt Schedule'!27:27),0)</f>
        <v>0</v>
      </c>
      <c r="AF49" s="258">
        <f>IFERROR(_xlfn.XLOOKUP(AF$7,'CF_Debt Schedule'!$16:$16,'CF_Debt Schedule'!27:27),0)</f>
        <v>0</v>
      </c>
      <c r="AG49" s="258">
        <f>IFERROR(_xlfn.XLOOKUP(AG$7,'CF_Debt Schedule'!$16:$16,'CF_Debt Schedule'!27:27),0)</f>
        <v>0</v>
      </c>
      <c r="AH49" s="258">
        <f>IFERROR(_xlfn.XLOOKUP(AH$7,'CF_Debt Schedule'!$16:$16,'CF_Debt Schedule'!27:27),0)</f>
        <v>0</v>
      </c>
      <c r="AI49" s="258">
        <f>IFERROR(_xlfn.XLOOKUP(AI$7,'CF_Debt Schedule'!$16:$16,'CF_Debt Schedule'!27:27),0)</f>
        <v>0</v>
      </c>
      <c r="AJ49" s="258">
        <f>IFERROR(_xlfn.XLOOKUP(AJ$7,'CF_Debt Schedule'!$16:$16,'CF_Debt Schedule'!27:27),0)</f>
        <v>0</v>
      </c>
      <c r="AK49" s="258">
        <f>IFERROR(_xlfn.XLOOKUP(AK$7,'CF_Debt Schedule'!$16:$16,'CF_Debt Schedule'!27:27),0)</f>
        <v>0</v>
      </c>
      <c r="AL49" s="258">
        <f>IFERROR(_xlfn.XLOOKUP(AL$7,'CF_Debt Schedule'!$16:$16,'CF_Debt Schedule'!27:27),0)</f>
        <v>0</v>
      </c>
      <c r="AM49" s="258">
        <f>IFERROR(_xlfn.XLOOKUP(AM$7,'CF_Debt Schedule'!$16:$16,'CF_Debt Schedule'!27:27),0)</f>
        <v>0</v>
      </c>
      <c r="AN49" s="258">
        <f>IFERROR(_xlfn.XLOOKUP(AN$7,'CF_Debt Schedule'!$16:$16,'CF_Debt Schedule'!27:27),0)</f>
        <v>0</v>
      </c>
      <c r="AO49" s="258">
        <f>IFERROR(_xlfn.XLOOKUP(AO$7,'CF_Debt Schedule'!$16:$16,'CF_Debt Schedule'!27:27),0)</f>
        <v>0</v>
      </c>
      <c r="AP49" s="258">
        <f>IFERROR(_xlfn.XLOOKUP(AP$7,'CF_Debt Schedule'!$16:$16,'CF_Debt Schedule'!27:27),0)</f>
        <v>0</v>
      </c>
      <c r="AQ49" s="258">
        <f>IFERROR(_xlfn.XLOOKUP(AQ$7,'CF_Debt Schedule'!$16:$16,'CF_Debt Schedule'!27:27),0)</f>
        <v>0</v>
      </c>
      <c r="AR49" s="258">
        <f>IFERROR(_xlfn.XLOOKUP(AR$7,'CF_Debt Schedule'!$16:$16,'CF_Debt Schedule'!27:27),0)</f>
        <v>0</v>
      </c>
      <c r="AS49" s="258">
        <f>IFERROR(_xlfn.XLOOKUP(AS$7,'CF_Debt Schedule'!$16:$16,'CF_Debt Schedule'!27:27),0)</f>
        <v>0</v>
      </c>
      <c r="AT49" s="258">
        <f>IFERROR(_xlfn.XLOOKUP(AT$7,'CF_Debt Schedule'!$16:$16,'CF_Debt Schedule'!27:27),0)</f>
        <v>0</v>
      </c>
      <c r="AU49" s="258">
        <f>IFERROR(_xlfn.XLOOKUP(AU$7,'CF_Debt Schedule'!$16:$16,'CF_Debt Schedule'!27:27),0)</f>
        <v>0</v>
      </c>
      <c r="AV49" s="258">
        <f>IFERROR(_xlfn.XLOOKUP(AV$7,'CF_Debt Schedule'!$16:$16,'CF_Debt Schedule'!27:27),0)</f>
        <v>0</v>
      </c>
      <c r="AW49" s="258">
        <f>IFERROR(_xlfn.XLOOKUP(AW$7,'CF_Debt Schedule'!$16:$16,'CF_Debt Schedule'!27:27),0)</f>
        <v>0</v>
      </c>
      <c r="AX49" s="258">
        <f>IFERROR(_xlfn.XLOOKUP(AX$7,'CF_Debt Schedule'!$16:$16,'CF_Debt Schedule'!27:27),0)</f>
        <v>0</v>
      </c>
      <c r="AY49" s="258">
        <f>IFERROR(_xlfn.XLOOKUP(AY$7,'CF_Debt Schedule'!$16:$16,'CF_Debt Schedule'!27:27),0)</f>
        <v>0</v>
      </c>
      <c r="AZ49" s="258">
        <f>IFERROR(_xlfn.XLOOKUP(AZ$7,'CF_Debt Schedule'!$16:$16,'CF_Debt Schedule'!27:27),0)</f>
        <v>0</v>
      </c>
      <c r="BA49" s="258">
        <f>IFERROR(_xlfn.XLOOKUP(BA$7,'CF_Debt Schedule'!$16:$16,'CF_Debt Schedule'!27:27),0)</f>
        <v>0</v>
      </c>
      <c r="BB49" s="258">
        <f>IFERROR(_xlfn.XLOOKUP(BB$7,'CF_Debt Schedule'!$16:$16,'CF_Debt Schedule'!27:27),0)</f>
        <v>0</v>
      </c>
      <c r="BC49" s="258">
        <f>IFERROR(_xlfn.XLOOKUP(BC$7,'CF_Debt Schedule'!$16:$16,'CF_Debt Schedule'!27:27),0)</f>
        <v>0</v>
      </c>
      <c r="BD49" s="258">
        <f>IFERROR(_xlfn.XLOOKUP(BD$7,'CF_Debt Schedule'!$16:$16,'CF_Debt Schedule'!27:27),0)</f>
        <v>0</v>
      </c>
      <c r="BE49" s="258">
        <f>IFERROR(_xlfn.XLOOKUP(BE$7,'CF_Debt Schedule'!$16:$16,'CF_Debt Schedule'!27:27),0)</f>
        <v>0</v>
      </c>
      <c r="BF49" s="258">
        <f>IFERROR(_xlfn.XLOOKUP(BF$7,'CF_Debt Schedule'!$16:$16,'CF_Debt Schedule'!27:27),0)</f>
        <v>0</v>
      </c>
      <c r="BG49" s="258">
        <f>IFERROR(_xlfn.XLOOKUP(BG$7,'CF_Debt Schedule'!$16:$16,'CF_Debt Schedule'!27:27),0)</f>
        <v>0</v>
      </c>
      <c r="BH49" s="258">
        <f>IFERROR(_xlfn.XLOOKUP(BH$7,'CF_Debt Schedule'!$16:$16,'CF_Debt Schedule'!27:27),0)</f>
        <v>0</v>
      </c>
      <c r="BI49" s="258">
        <f>IFERROR(_xlfn.XLOOKUP(BI$7,'CF_Debt Schedule'!$16:$16,'CF_Debt Schedule'!27:27),0)</f>
        <v>0</v>
      </c>
      <c r="BJ49" s="258">
        <f>IFERROR(_xlfn.XLOOKUP(BJ$7,'CF_Debt Schedule'!$16:$16,'CF_Debt Schedule'!27:27),0)</f>
        <v>0</v>
      </c>
      <c r="BK49" s="258">
        <f ca="1">IFERROR(_xlfn.XLOOKUP(BK$7,'CF_Debt Schedule'!$16:$16,'CF_Debt Schedule'!27:27),0)</f>
        <v>-300.00044746913852</v>
      </c>
      <c r="BL49" s="258">
        <f>IFERROR(_xlfn.XLOOKUP(BL$7,'CF_Debt Schedule'!$16:$16,'CF_Debt Schedule'!27:27),0)</f>
        <v>0</v>
      </c>
      <c r="BM49" s="258">
        <f ca="1">IFERROR(_xlfn.XLOOKUP(BM$7,'CF_Debt Schedule'!$16:$16,'CF_Debt Schedule'!27:27),0)</f>
        <v>0</v>
      </c>
      <c r="BN49" s="258">
        <f ca="1">IFERROR(_xlfn.XLOOKUP(BN$7,'CF_Debt Schedule'!$16:$16,'CF_Debt Schedule'!27:27),0)</f>
        <v>0</v>
      </c>
      <c r="BO49" s="258">
        <f ca="1">IFERROR(_xlfn.XLOOKUP(BO$7,'CF_Debt Schedule'!$16:$16,'CF_Debt Schedule'!27:27),0)</f>
        <v>0</v>
      </c>
      <c r="BP49" s="258">
        <f ca="1">IFERROR(_xlfn.XLOOKUP(BP$7,'CF_Debt Schedule'!$16:$16,'CF_Debt Schedule'!27:27),0)</f>
        <v>0</v>
      </c>
      <c r="BQ49" s="258">
        <f ca="1">IFERROR(_xlfn.XLOOKUP(BQ$7,'CF_Debt Schedule'!$16:$16,'CF_Debt Schedule'!27:27),0)</f>
        <v>0</v>
      </c>
      <c r="BR49" s="258">
        <f ca="1">IFERROR(_xlfn.XLOOKUP(BR$7,'CF_Debt Schedule'!$16:$16,'CF_Debt Schedule'!27:27),0)</f>
        <v>0</v>
      </c>
      <c r="BS49" s="258">
        <f ca="1">IFERROR(_xlfn.XLOOKUP(BS$7,'CF_Debt Schedule'!$16:$16,'CF_Debt Schedule'!27:27),0)</f>
        <v>0</v>
      </c>
      <c r="BT49" s="258">
        <f ca="1">IFERROR(_xlfn.XLOOKUP(BT$7,'CF_Debt Schedule'!$16:$16,'CF_Debt Schedule'!27:27),0)</f>
        <v>0</v>
      </c>
      <c r="BU49" s="258">
        <f ca="1">IFERROR(_xlfn.XLOOKUP(BU$7,'CF_Debt Schedule'!$16:$16,'CF_Debt Schedule'!27:27),0)</f>
        <v>0</v>
      </c>
      <c r="BV49" s="258">
        <f ca="1">IFERROR(_xlfn.XLOOKUP(BV$7,'CF_Debt Schedule'!$16:$16,'CF_Debt Schedule'!27:27),0)</f>
        <v>0</v>
      </c>
      <c r="BW49" s="258">
        <f ca="1">IFERROR(_xlfn.XLOOKUP(BW$7,'CF_Debt Schedule'!$16:$16,'CF_Debt Schedule'!27:27),0)</f>
        <v>0</v>
      </c>
      <c r="BX49" s="258">
        <f ca="1">IFERROR(_xlfn.XLOOKUP(BX$7,'CF_Debt Schedule'!$16:$16,'CF_Debt Schedule'!27:27),0)</f>
        <v>0</v>
      </c>
      <c r="BY49" s="258">
        <f ca="1">IFERROR(_xlfn.XLOOKUP(BY$7,'CF_Debt Schedule'!$16:$16,'CF_Debt Schedule'!27:27),0)</f>
        <v>0</v>
      </c>
      <c r="BZ49" s="258">
        <f ca="1">IFERROR(_xlfn.XLOOKUP(BZ$7,'CF_Debt Schedule'!$16:$16,'CF_Debt Schedule'!27:27),0)</f>
        <v>0</v>
      </c>
      <c r="CA49" s="258">
        <f ca="1">IFERROR(_xlfn.XLOOKUP(CA$7,'CF_Debt Schedule'!$16:$16,'CF_Debt Schedule'!27:27),0)</f>
        <v>0</v>
      </c>
      <c r="CB49" s="258">
        <f ca="1">IFERROR(_xlfn.XLOOKUP(CB$7,'CF_Debt Schedule'!$16:$16,'CF_Debt Schedule'!27:27),0)</f>
        <v>0</v>
      </c>
      <c r="CC49" s="258">
        <f ca="1">IFERROR(_xlfn.XLOOKUP(CC$7,'CF_Debt Schedule'!$16:$16,'CF_Debt Schedule'!27:27),0)</f>
        <v>0</v>
      </c>
      <c r="CD49" s="258">
        <f ca="1">IFERROR(_xlfn.XLOOKUP(CD$7,'CF_Debt Schedule'!$16:$16,'CF_Debt Schedule'!27:27),0)</f>
        <v>0</v>
      </c>
      <c r="CE49" s="258">
        <f ca="1">IFERROR(_xlfn.XLOOKUP(CE$7,'CF_Debt Schedule'!$16:$16,'CF_Debt Schedule'!27:27),0)</f>
        <v>0</v>
      </c>
      <c r="CF49" s="258">
        <f ca="1">IFERROR(_xlfn.XLOOKUP(CF$7,'CF_Debt Schedule'!$16:$16,'CF_Debt Schedule'!27:27),0)</f>
        <v>0</v>
      </c>
      <c r="CG49" s="258">
        <f ca="1">IFERROR(_xlfn.XLOOKUP(CG$7,'CF_Debt Schedule'!$16:$16,'CF_Debt Schedule'!27:27),0)</f>
        <v>0</v>
      </c>
      <c r="CH49" s="258">
        <f ca="1">IFERROR(_xlfn.XLOOKUP(CH$7,'CF_Debt Schedule'!$16:$16,'CF_Debt Schedule'!27:27),0)</f>
        <v>0</v>
      </c>
      <c r="CI49" s="258">
        <f ca="1">IFERROR(_xlfn.XLOOKUP(CI$7,'CF_Debt Schedule'!$16:$16,'CF_Debt Schedule'!27:27),0)</f>
        <v>0</v>
      </c>
      <c r="CJ49" s="258">
        <f ca="1">IFERROR(_xlfn.XLOOKUP(CJ$7,'CF_Debt Schedule'!$16:$16,'CF_Debt Schedule'!27:27),0)</f>
        <v>0</v>
      </c>
      <c r="CK49" s="258">
        <f ca="1">IFERROR(_xlfn.XLOOKUP(CK$7,'CF_Debt Schedule'!$16:$16,'CF_Debt Schedule'!27:27),0)</f>
        <v>0</v>
      </c>
      <c r="CL49" s="258">
        <f ca="1">IFERROR(_xlfn.XLOOKUP(CL$7,'CF_Debt Schedule'!$16:$16,'CF_Debt Schedule'!27:27),0)</f>
        <v>0</v>
      </c>
      <c r="CM49" s="258">
        <f ca="1">IFERROR(_xlfn.XLOOKUP(CM$7,'CF_Debt Schedule'!$16:$16,'CF_Debt Schedule'!27:27),0)</f>
        <v>0</v>
      </c>
      <c r="CN49" s="258">
        <f ca="1">IFERROR(_xlfn.XLOOKUP(CN$7,'CF_Debt Schedule'!$16:$16,'CF_Debt Schedule'!27:27),0)</f>
        <v>0</v>
      </c>
      <c r="CO49" s="258">
        <f ca="1">IFERROR(_xlfn.XLOOKUP(CO$7,'CF_Debt Schedule'!$16:$16,'CF_Debt Schedule'!27:27),0)</f>
        <v>0</v>
      </c>
      <c r="CP49" s="258">
        <f ca="1">IFERROR(_xlfn.XLOOKUP(CP$7,'CF_Debt Schedule'!$16:$16,'CF_Debt Schedule'!27:27),0)</f>
        <v>0</v>
      </c>
      <c r="CQ49" s="258">
        <f ca="1">IFERROR(_xlfn.XLOOKUP(CQ$7,'CF_Debt Schedule'!$16:$16,'CF_Debt Schedule'!27:27),0)</f>
        <v>0</v>
      </c>
      <c r="CR49" s="258">
        <f ca="1">IFERROR(_xlfn.XLOOKUP(CR$7,'CF_Debt Schedule'!$16:$16,'CF_Debt Schedule'!27:27),0)</f>
        <v>0</v>
      </c>
      <c r="CS49" s="258">
        <f ca="1">IFERROR(_xlfn.XLOOKUP(CS$7,'CF_Debt Schedule'!$16:$16,'CF_Debt Schedule'!27:27),0)</f>
        <v>0</v>
      </c>
      <c r="CT49" s="258">
        <f ca="1">IFERROR(_xlfn.XLOOKUP(CT$7,'CF_Debt Schedule'!$16:$16,'CF_Debt Schedule'!27:27),0)</f>
        <v>0</v>
      </c>
      <c r="CU49" s="258">
        <f ca="1">IFERROR(_xlfn.XLOOKUP(CU$7,'CF_Debt Schedule'!$16:$16,'CF_Debt Schedule'!27:27),0)</f>
        <v>0</v>
      </c>
      <c r="CV49" s="258">
        <f ca="1">IFERROR(_xlfn.XLOOKUP(CV$7,'CF_Debt Schedule'!$16:$16,'CF_Debt Schedule'!27:27),0)</f>
        <v>0</v>
      </c>
      <c r="CW49" s="258">
        <f ca="1">IFERROR(_xlfn.XLOOKUP(CW$7,'CF_Debt Schedule'!$16:$16,'CF_Debt Schedule'!27:27),0)</f>
        <v>0</v>
      </c>
      <c r="CX49" s="258">
        <f ca="1">IFERROR(_xlfn.XLOOKUP(CX$7,'CF_Debt Schedule'!$16:$16,'CF_Debt Schedule'!27:27),0)</f>
        <v>0</v>
      </c>
      <c r="CY49" s="258">
        <f ca="1">IFERROR(_xlfn.XLOOKUP(CY$7,'CF_Debt Schedule'!$16:$16,'CF_Debt Schedule'!27:27),0)</f>
        <v>0</v>
      </c>
      <c r="CZ49" s="258">
        <f ca="1">IFERROR(_xlfn.XLOOKUP(CZ$7,'CF_Debt Schedule'!$16:$16,'CF_Debt Schedule'!27:27),0)</f>
        <v>0</v>
      </c>
      <c r="DA49" s="258">
        <f ca="1">IFERROR(_xlfn.XLOOKUP(DA$7,'CF_Debt Schedule'!$16:$16,'CF_Debt Schedule'!27:27),0)</f>
        <v>0</v>
      </c>
      <c r="DB49" s="258">
        <f ca="1">IFERROR(_xlfn.XLOOKUP(DB$7,'CF_Debt Schedule'!$16:$16,'CF_Debt Schedule'!27:27),0)</f>
        <v>0</v>
      </c>
      <c r="DC49" s="258">
        <f ca="1">IFERROR(_xlfn.XLOOKUP(DC$7,'CF_Debt Schedule'!$16:$16,'CF_Debt Schedule'!27:27),0)</f>
        <v>0</v>
      </c>
      <c r="DD49" s="258">
        <f ca="1">IFERROR(_xlfn.XLOOKUP(DD$7,'CF_Debt Schedule'!$16:$16,'CF_Debt Schedule'!27:27),0)</f>
        <v>0</v>
      </c>
      <c r="DE49" s="258">
        <f ca="1">IFERROR(_xlfn.XLOOKUP(DE$7,'CF_Debt Schedule'!$16:$16,'CF_Debt Schedule'!27:27),0)</f>
        <v>0</v>
      </c>
      <c r="DF49" s="258">
        <f ca="1">IFERROR(_xlfn.XLOOKUP(DF$7,'CF_Debt Schedule'!$16:$16,'CF_Debt Schedule'!27:27),0)</f>
        <v>0</v>
      </c>
      <c r="DG49" s="258">
        <f ca="1">IFERROR(_xlfn.XLOOKUP(DG$7,'CF_Debt Schedule'!$16:$16,'CF_Debt Schedule'!27:27),0)</f>
        <v>0</v>
      </c>
      <c r="DH49" s="258">
        <f ca="1">IFERROR(_xlfn.XLOOKUP(DH$7,'CF_Debt Schedule'!$16:$16,'CF_Debt Schedule'!27:27),0)</f>
        <v>0</v>
      </c>
      <c r="DI49" s="258">
        <f ca="1">IFERROR(_xlfn.XLOOKUP(DI$7,'CF_Debt Schedule'!$16:$16,'CF_Debt Schedule'!27:27),0)</f>
        <v>0</v>
      </c>
      <c r="DJ49" s="258">
        <f ca="1">IFERROR(_xlfn.XLOOKUP(DJ$7,'CF_Debt Schedule'!$16:$16,'CF_Debt Schedule'!27:27),0)</f>
        <v>0</v>
      </c>
      <c r="DK49" s="258">
        <f ca="1">IFERROR(_xlfn.XLOOKUP(DK$7,'CF_Debt Schedule'!$16:$16,'CF_Debt Schedule'!27:27),0)</f>
        <v>0</v>
      </c>
      <c r="DL49" s="258">
        <f ca="1">IFERROR(_xlfn.XLOOKUP(DL$7,'CF_Debt Schedule'!$16:$16,'CF_Debt Schedule'!27:27),0)</f>
        <v>0</v>
      </c>
      <c r="DM49" s="258">
        <f ca="1">IFERROR(_xlfn.XLOOKUP(DM$7,'CF_Debt Schedule'!$16:$16,'CF_Debt Schedule'!27:27),0)</f>
        <v>0</v>
      </c>
      <c r="DN49" s="258">
        <f ca="1">IFERROR(_xlfn.XLOOKUP(DN$7,'CF_Debt Schedule'!$16:$16,'CF_Debt Schedule'!27:27),0)</f>
        <v>0</v>
      </c>
      <c r="DO49" s="258">
        <f ca="1">IFERROR(_xlfn.XLOOKUP(DO$7,'CF_Debt Schedule'!$16:$16,'CF_Debt Schedule'!27:27),0)</f>
        <v>0</v>
      </c>
      <c r="DP49" s="258">
        <f ca="1">IFERROR(_xlfn.XLOOKUP(DP$7,'CF_Debt Schedule'!$16:$16,'CF_Debt Schedule'!27:27),0)</f>
        <v>0</v>
      </c>
      <c r="DQ49" s="258">
        <f ca="1">IFERROR(_xlfn.XLOOKUP(DQ$7,'CF_Debt Schedule'!$16:$16,'CF_Debt Schedule'!27:27),0)</f>
        <v>0</v>
      </c>
      <c r="DR49" s="258">
        <f ca="1">IFERROR(_xlfn.XLOOKUP(DR$7,'CF_Debt Schedule'!$16:$16,'CF_Debt Schedule'!27:27),0)</f>
        <v>0</v>
      </c>
      <c r="DS49" s="258">
        <f ca="1">IFERROR(_xlfn.XLOOKUP(DS$7,'CF_Debt Schedule'!$16:$16,'CF_Debt Schedule'!27:27),0)</f>
        <v>0</v>
      </c>
      <c r="DT49" s="258">
        <f ca="1">IFERROR(_xlfn.XLOOKUP(DT$7,'CF_Debt Schedule'!$16:$16,'CF_Debt Schedule'!27:27),0)</f>
        <v>0</v>
      </c>
      <c r="DU49" s="258">
        <f ca="1">IFERROR(_xlfn.XLOOKUP(DU$7,'CF_Debt Schedule'!$16:$16,'CF_Debt Schedule'!27:27),0)</f>
        <v>0</v>
      </c>
      <c r="DV49" s="258">
        <f ca="1">IFERROR(_xlfn.XLOOKUP(DV$7,'CF_Debt Schedule'!$16:$16,'CF_Debt Schedule'!27:27),0)</f>
        <v>0</v>
      </c>
      <c r="DW49" s="258">
        <f ca="1">IFERROR(_xlfn.XLOOKUP(DW$7,'CF_Debt Schedule'!$16:$16,'CF_Debt Schedule'!27:27),0)</f>
        <v>0</v>
      </c>
      <c r="DX49" s="258">
        <f ca="1">IFERROR(_xlfn.XLOOKUP(DX$7,'CF_Debt Schedule'!$16:$16,'CF_Debt Schedule'!27:27),0)</f>
        <v>0</v>
      </c>
      <c r="DY49" s="258">
        <f ca="1">IFERROR(_xlfn.XLOOKUP(DY$7,'CF_Debt Schedule'!$16:$16,'CF_Debt Schedule'!27:27),0)</f>
        <v>0</v>
      </c>
      <c r="DZ49" s="258">
        <f ca="1">IFERROR(_xlfn.XLOOKUP(DZ$7,'CF_Debt Schedule'!$16:$16,'CF_Debt Schedule'!27:27),0)</f>
        <v>0</v>
      </c>
      <c r="EA49" s="258">
        <f ca="1">IFERROR(_xlfn.XLOOKUP(EA$7,'CF_Debt Schedule'!$16:$16,'CF_Debt Schedule'!27:27),0)</f>
        <v>0</v>
      </c>
      <c r="EB49" s="258">
        <f ca="1">IFERROR(_xlfn.XLOOKUP(EB$7,'CF_Debt Schedule'!$16:$16,'CF_Debt Schedule'!27:27),0)</f>
        <v>0</v>
      </c>
      <c r="EC49" s="258">
        <f>IFERROR(_xlfn.XLOOKUP(EC$7,'CF_Debt Schedule'!$16:$16,'CF_Debt Schedule'!27:27),0)</f>
        <v>0</v>
      </c>
      <c r="ED49" s="258">
        <f>IFERROR(_xlfn.XLOOKUP(ED$7,'CF_Debt Schedule'!$16:$16,'CF_Debt Schedule'!27:27),0)</f>
        <v>0</v>
      </c>
      <c r="EE49" s="258">
        <f>IFERROR(_xlfn.XLOOKUP(EE$7,'CF_Debt Schedule'!$16:$16,'CF_Debt Schedule'!27:27),0)</f>
        <v>0</v>
      </c>
      <c r="EF49" s="258">
        <f>IFERROR(_xlfn.XLOOKUP(EF$7,'CF_Debt Schedule'!$16:$16,'CF_Debt Schedule'!27:27),0)</f>
        <v>0</v>
      </c>
      <c r="EG49" s="258">
        <f>IFERROR(_xlfn.XLOOKUP(EG$7,'CF_Debt Schedule'!$16:$16,'CF_Debt Schedule'!27:27),0)</f>
        <v>0</v>
      </c>
      <c r="EH49" s="258">
        <f>IFERROR(_xlfn.XLOOKUP(EH$7,'CF_Debt Schedule'!$16:$16,'CF_Debt Schedule'!27:27),0)</f>
        <v>0</v>
      </c>
      <c r="EI49" s="258">
        <f>IFERROR(_xlfn.XLOOKUP(EI$7,'CF_Debt Schedule'!$16:$16,'CF_Debt Schedule'!27:27),0)</f>
        <v>0</v>
      </c>
      <c r="EJ49" s="258">
        <f>IFERROR(_xlfn.XLOOKUP(EJ$7,'CF_Debt Schedule'!$16:$16,'CF_Debt Schedule'!27:27),0)</f>
        <v>0</v>
      </c>
      <c r="EK49" s="258">
        <f>IFERROR(_xlfn.XLOOKUP(EK$7,'CF_Debt Schedule'!$16:$16,'CF_Debt Schedule'!27:27),0)</f>
        <v>0</v>
      </c>
      <c r="EL49" s="258">
        <f>IFERROR(_xlfn.XLOOKUP(EL$7,'CF_Debt Schedule'!$16:$16,'CF_Debt Schedule'!27:27),0)</f>
        <v>0</v>
      </c>
      <c r="EM49" s="258">
        <f>IFERROR(_xlfn.XLOOKUP(EM$7,'CF_Debt Schedule'!$16:$16,'CF_Debt Schedule'!27:27),0)</f>
        <v>0</v>
      </c>
      <c r="EN49" s="258">
        <f>IFERROR(_xlfn.XLOOKUP(EN$7,'CF_Debt Schedule'!$16:$16,'CF_Debt Schedule'!27:27),0)</f>
        <v>0</v>
      </c>
      <c r="EO49" s="258">
        <f>IFERROR(_xlfn.XLOOKUP(EO$7,'CF_Debt Schedule'!$16:$16,'CF_Debt Schedule'!27:27),0)</f>
        <v>0</v>
      </c>
      <c r="EP49" s="258">
        <f>IFERROR(_xlfn.XLOOKUP(EP$7,'CF_Debt Schedule'!$16:$16,'CF_Debt Schedule'!27:27),0)</f>
        <v>0</v>
      </c>
      <c r="EQ49" s="258">
        <f>IFERROR(_xlfn.XLOOKUP(EQ$7,'CF_Debt Schedule'!$16:$16,'CF_Debt Schedule'!27:27),0)</f>
        <v>0</v>
      </c>
      <c r="ER49" s="258">
        <f>IFERROR(_xlfn.XLOOKUP(ER$7,'CF_Debt Schedule'!$16:$16,'CF_Debt Schedule'!27:27),0)</f>
        <v>0</v>
      </c>
      <c r="ES49" s="258">
        <f>IFERROR(_xlfn.XLOOKUP(ES$7,'CF_Debt Schedule'!$16:$16,'CF_Debt Schedule'!27:27),0)</f>
        <v>0</v>
      </c>
      <c r="ET49" s="258">
        <f>IFERROR(_xlfn.XLOOKUP(ET$7,'CF_Debt Schedule'!$16:$16,'CF_Debt Schedule'!27:27),0)</f>
        <v>0</v>
      </c>
      <c r="EU49" s="258">
        <f>IFERROR(_xlfn.XLOOKUP(EU$7,'CF_Debt Schedule'!$16:$16,'CF_Debt Schedule'!27:27),0)</f>
        <v>0</v>
      </c>
      <c r="EV49" s="258">
        <f>IFERROR(_xlfn.XLOOKUP(EV$7,'CF_Debt Schedule'!$16:$16,'CF_Debt Schedule'!27:27),0)</f>
        <v>0</v>
      </c>
      <c r="EW49" s="258">
        <f>IFERROR(_xlfn.XLOOKUP(EW$7,'CF_Debt Schedule'!$16:$16,'CF_Debt Schedule'!27:27),0)</f>
        <v>0</v>
      </c>
      <c r="EX49" s="258">
        <f>IFERROR(_xlfn.XLOOKUP(EX$7,'CF_Debt Schedule'!$16:$16,'CF_Debt Schedule'!27:27),0)</f>
        <v>0</v>
      </c>
      <c r="EY49" s="258">
        <f>IFERROR(_xlfn.XLOOKUP(EY$7,'CF_Debt Schedule'!$16:$16,'CF_Debt Schedule'!27:27),0)</f>
        <v>0</v>
      </c>
      <c r="EZ49" s="258">
        <f>IFERROR(_xlfn.XLOOKUP(EZ$7,'CF_Debt Schedule'!$16:$16,'CF_Debt Schedule'!27:27),0)</f>
        <v>0</v>
      </c>
      <c r="FA49" s="258">
        <f>IFERROR(_xlfn.XLOOKUP(FA$7,'CF_Debt Schedule'!$16:$16,'CF_Debt Schedule'!27:27),0)</f>
        <v>0</v>
      </c>
      <c r="FB49" s="258">
        <f>IFERROR(_xlfn.XLOOKUP(FB$7,'CF_Debt Schedule'!$16:$16,'CF_Debt Schedule'!27:27),0)</f>
        <v>0</v>
      </c>
      <c r="FC49" s="258">
        <f>IFERROR(_xlfn.XLOOKUP(FC$7,'CF_Debt Schedule'!$16:$16,'CF_Debt Schedule'!27:27),0)</f>
        <v>0</v>
      </c>
      <c r="FD49" s="258">
        <f>IFERROR(_xlfn.XLOOKUP(FD$7,'CF_Debt Schedule'!$16:$16,'CF_Debt Schedule'!27:27),0)</f>
        <v>0</v>
      </c>
      <c r="FE49" s="258">
        <f>IFERROR(_xlfn.XLOOKUP(FE$7,'CF_Debt Schedule'!$16:$16,'CF_Debt Schedule'!27:27),0)</f>
        <v>0</v>
      </c>
      <c r="FF49" s="258">
        <f>IFERROR(_xlfn.XLOOKUP(FF$7,'CF_Debt Schedule'!$16:$16,'CF_Debt Schedule'!27:27),0)</f>
        <v>0</v>
      </c>
      <c r="FG49" s="258">
        <f>IFERROR(_xlfn.XLOOKUP(FG$7,'CF_Debt Schedule'!$16:$16,'CF_Debt Schedule'!27:27),0)</f>
        <v>0</v>
      </c>
      <c r="FH49" s="258">
        <f>IFERROR(_xlfn.XLOOKUP(FH$7,'CF_Debt Schedule'!$16:$16,'CF_Debt Schedule'!27:27),0)</f>
        <v>0</v>
      </c>
      <c r="FI49" s="258">
        <f>IFERROR(_xlfn.XLOOKUP(FI$7,'CF_Debt Schedule'!$16:$16,'CF_Debt Schedule'!27:27),0)</f>
        <v>0</v>
      </c>
      <c r="FJ49" s="258">
        <f>IFERROR(_xlfn.XLOOKUP(FJ$7,'CF_Debt Schedule'!$16:$16,'CF_Debt Schedule'!27:27),0)</f>
        <v>0</v>
      </c>
      <c r="FK49" s="258">
        <f>IFERROR(_xlfn.XLOOKUP(FK$7,'CF_Debt Schedule'!$16:$16,'CF_Debt Schedule'!27:27),0)</f>
        <v>0</v>
      </c>
      <c r="FL49" s="258">
        <f>IFERROR(_xlfn.XLOOKUP(FL$7,'CF_Debt Schedule'!$16:$16,'CF_Debt Schedule'!27:27),0)</f>
        <v>0</v>
      </c>
      <c r="FM49" s="258">
        <f>IFERROR(_xlfn.XLOOKUP(FM$7,'CF_Debt Schedule'!$16:$16,'CF_Debt Schedule'!27:27),0)</f>
        <v>0</v>
      </c>
      <c r="FN49" s="258">
        <f>IFERROR(_xlfn.XLOOKUP(FN$7,'CF_Debt Schedule'!$16:$16,'CF_Debt Schedule'!27:27),0)</f>
        <v>0</v>
      </c>
      <c r="FO49" s="258">
        <f>IFERROR(_xlfn.XLOOKUP(FO$7,'CF_Debt Schedule'!$16:$16,'CF_Debt Schedule'!27:27),0)</f>
        <v>0</v>
      </c>
      <c r="FP49" s="258">
        <f>IFERROR(_xlfn.XLOOKUP(FP$7,'CF_Debt Schedule'!$16:$16,'CF_Debt Schedule'!27:27),0)</f>
        <v>0</v>
      </c>
      <c r="FQ49" s="258">
        <f>IFERROR(_xlfn.XLOOKUP(FQ$7,'CF_Debt Schedule'!$16:$16,'CF_Debt Schedule'!27:27),0)</f>
        <v>0</v>
      </c>
      <c r="FR49" s="258">
        <f>IFERROR(_xlfn.XLOOKUP(FR$7,'CF_Debt Schedule'!$16:$16,'CF_Debt Schedule'!27:27),0)</f>
        <v>0</v>
      </c>
      <c r="FS49" s="258">
        <f>IFERROR(_xlfn.XLOOKUP(FS$7,'CF_Debt Schedule'!$16:$16,'CF_Debt Schedule'!27:27),0)</f>
        <v>0</v>
      </c>
      <c r="FT49" s="258">
        <f>IFERROR(_xlfn.XLOOKUP(FT$7,'CF_Debt Schedule'!$16:$16,'CF_Debt Schedule'!27:27),0)</f>
        <v>0</v>
      </c>
      <c r="FU49" s="258">
        <f>IFERROR(_xlfn.XLOOKUP(FU$7,'CF_Debt Schedule'!$16:$16,'CF_Debt Schedule'!27:27),0)</f>
        <v>0</v>
      </c>
      <c r="FV49" s="258">
        <f>IFERROR(_xlfn.XLOOKUP(FV$7,'CF_Debt Schedule'!$16:$16,'CF_Debt Schedule'!27:27),0)</f>
        <v>0</v>
      </c>
      <c r="FW49" s="258">
        <f>IFERROR(_xlfn.XLOOKUP(FW$7,'CF_Debt Schedule'!$16:$16,'CF_Debt Schedule'!27:27),0)</f>
        <v>0</v>
      </c>
      <c r="FX49" s="258">
        <f>IFERROR(_xlfn.XLOOKUP(FX$7,'CF_Debt Schedule'!$16:$16,'CF_Debt Schedule'!27:27),0)</f>
        <v>0</v>
      </c>
      <c r="FY49" s="258">
        <f>IFERROR(_xlfn.XLOOKUP(FY$7,'CF_Debt Schedule'!$16:$16,'CF_Debt Schedule'!27:27),0)</f>
        <v>0</v>
      </c>
      <c r="FZ49" s="258">
        <f>IFERROR(_xlfn.XLOOKUP(FZ$7,'CF_Debt Schedule'!$16:$16,'CF_Debt Schedule'!27:27),0)</f>
        <v>0</v>
      </c>
      <c r="GA49" s="258">
        <f>IFERROR(_xlfn.XLOOKUP(GA$7,'CF_Debt Schedule'!$16:$16,'CF_Debt Schedule'!27:27),0)</f>
        <v>0</v>
      </c>
      <c r="GB49" s="258">
        <f>IFERROR(_xlfn.XLOOKUP(GB$7,'CF_Debt Schedule'!$16:$16,'CF_Debt Schedule'!27:27),0)</f>
        <v>0</v>
      </c>
      <c r="GC49" s="258">
        <f>IFERROR(_xlfn.XLOOKUP(GC$7,'CF_Debt Schedule'!$16:$16,'CF_Debt Schedule'!27:27),0)</f>
        <v>0</v>
      </c>
      <c r="GD49" s="258">
        <f>IFERROR(_xlfn.XLOOKUP(GD$7,'CF_Debt Schedule'!$16:$16,'CF_Debt Schedule'!27:27),0)</f>
        <v>0</v>
      </c>
      <c r="GE49" s="258">
        <f>IFERROR(_xlfn.XLOOKUP(GE$7,'CF_Debt Schedule'!$16:$16,'CF_Debt Schedule'!27:27),0)</f>
        <v>0</v>
      </c>
      <c r="GF49" s="258">
        <f>IFERROR(_xlfn.XLOOKUP(GF$7,'CF_Debt Schedule'!$16:$16,'CF_Debt Schedule'!27:27),0)</f>
        <v>0</v>
      </c>
      <c r="GG49" s="258">
        <f>IFERROR(_xlfn.XLOOKUP(GG$7,'CF_Debt Schedule'!$16:$16,'CF_Debt Schedule'!27:27),0)</f>
        <v>0</v>
      </c>
      <c r="GH49" s="258">
        <f>IFERROR(_xlfn.XLOOKUP(GH$7,'CF_Debt Schedule'!$16:$16,'CF_Debt Schedule'!27:27),0)</f>
        <v>0</v>
      </c>
      <c r="GI49" s="258">
        <f>IFERROR(_xlfn.XLOOKUP(GI$7,'CF_Debt Schedule'!$16:$16,'CF_Debt Schedule'!27:27),0)</f>
        <v>0</v>
      </c>
      <c r="GJ49" s="258">
        <f>IFERROR(_xlfn.XLOOKUP(GJ$7,'CF_Debt Schedule'!$16:$16,'CF_Debt Schedule'!27:27),0)</f>
        <v>0</v>
      </c>
      <c r="GK49" s="258">
        <f>IFERROR(_xlfn.XLOOKUP(GK$7,'CF_Debt Schedule'!$16:$16,'CF_Debt Schedule'!27:27),0)</f>
        <v>0</v>
      </c>
      <c r="GL49" s="258">
        <f>IFERROR(_xlfn.XLOOKUP(GL$7,'CF_Debt Schedule'!$16:$16,'CF_Debt Schedule'!27:27),0)</f>
        <v>0</v>
      </c>
      <c r="GM49" s="258">
        <f>IFERROR(_xlfn.XLOOKUP(GM$7,'CF_Debt Schedule'!$16:$16,'CF_Debt Schedule'!27:27),0)</f>
        <v>0</v>
      </c>
      <c r="GN49" s="258">
        <f>IFERROR(_xlfn.XLOOKUP(GN$7,'CF_Debt Schedule'!$16:$16,'CF_Debt Schedule'!27:27),0)</f>
        <v>0</v>
      </c>
      <c r="GO49" s="258">
        <f>IFERROR(_xlfn.XLOOKUP(GO$7,'CF_Debt Schedule'!$16:$16,'CF_Debt Schedule'!27:27),0)</f>
        <v>0</v>
      </c>
      <c r="GP49" s="258">
        <f>IFERROR(_xlfn.XLOOKUP(GP$7,'CF_Debt Schedule'!$16:$16,'CF_Debt Schedule'!27:27),0)</f>
        <v>0</v>
      </c>
      <c r="GQ49" s="258">
        <f>IFERROR(_xlfn.XLOOKUP(GQ$7,'CF_Debt Schedule'!$16:$16,'CF_Debt Schedule'!27:27),0)</f>
        <v>0</v>
      </c>
      <c r="GR49" s="258">
        <f>IFERROR(_xlfn.XLOOKUP(GR$7,'CF_Debt Schedule'!$16:$16,'CF_Debt Schedule'!27:27),0)</f>
        <v>0</v>
      </c>
      <c r="GS49" s="258">
        <f>IFERROR(_xlfn.XLOOKUP(GS$7,'CF_Debt Schedule'!$16:$16,'CF_Debt Schedule'!27:27),0)</f>
        <v>0</v>
      </c>
      <c r="GT49" s="258">
        <f>IFERROR(_xlfn.XLOOKUP(GT$7,'CF_Debt Schedule'!$16:$16,'CF_Debt Schedule'!27:27),0)</f>
        <v>0</v>
      </c>
      <c r="GU49" s="258">
        <f>IFERROR(_xlfn.XLOOKUP(GU$7,'CF_Debt Schedule'!$16:$16,'CF_Debt Schedule'!27:27),0)</f>
        <v>0</v>
      </c>
      <c r="GV49" s="258">
        <f>IFERROR(_xlfn.XLOOKUP(GV$7,'CF_Debt Schedule'!$16:$16,'CF_Debt Schedule'!27:27),0)</f>
        <v>0</v>
      </c>
      <c r="GW49" s="258">
        <f>IFERROR(_xlfn.XLOOKUP(GW$7,'CF_Debt Schedule'!$16:$16,'CF_Debt Schedule'!27:27),0)</f>
        <v>0</v>
      </c>
      <c r="GX49" s="258">
        <f>IFERROR(_xlfn.XLOOKUP(GX$7,'CF_Debt Schedule'!$16:$16,'CF_Debt Schedule'!27:27),0)</f>
        <v>0</v>
      </c>
      <c r="GY49" s="258">
        <f>IFERROR(_xlfn.XLOOKUP(GY$7,'CF_Debt Schedule'!$16:$16,'CF_Debt Schedule'!27:27),0)</f>
        <v>0</v>
      </c>
      <c r="GZ49" s="258">
        <f>IFERROR(_xlfn.XLOOKUP(GZ$7,'CF_Debt Schedule'!$16:$16,'CF_Debt Schedule'!27:27),0)</f>
        <v>0</v>
      </c>
      <c r="HA49" s="258">
        <f>IFERROR(_xlfn.XLOOKUP(HA$7,'CF_Debt Schedule'!$16:$16,'CF_Debt Schedule'!27:27),0)</f>
        <v>0</v>
      </c>
      <c r="HB49" s="258">
        <f>IFERROR(_xlfn.XLOOKUP(HB$7,'CF_Debt Schedule'!$16:$16,'CF_Debt Schedule'!27:27),0)</f>
        <v>0</v>
      </c>
      <c r="HC49" s="258">
        <f>IFERROR(_xlfn.XLOOKUP(HC$7,'CF_Debt Schedule'!$16:$16,'CF_Debt Schedule'!27:27),0)</f>
        <v>0</v>
      </c>
      <c r="HD49" s="258">
        <f>IFERROR(_xlfn.XLOOKUP(HD$7,'CF_Debt Schedule'!$16:$16,'CF_Debt Schedule'!27:27),0)</f>
        <v>0</v>
      </c>
      <c r="HE49" s="258">
        <f>IFERROR(_xlfn.XLOOKUP(HE$7,'CF_Debt Schedule'!$16:$16,'CF_Debt Schedule'!27:27),0)</f>
        <v>0</v>
      </c>
      <c r="HF49" s="258">
        <f>IFERROR(_xlfn.XLOOKUP(HF$7,'CF_Debt Schedule'!$16:$16,'CF_Debt Schedule'!27:27),0)</f>
        <v>0</v>
      </c>
      <c r="HG49" s="258">
        <f>IFERROR(_xlfn.XLOOKUP(HG$7,'CF_Debt Schedule'!$16:$16,'CF_Debt Schedule'!27:27),0)</f>
        <v>0</v>
      </c>
      <c r="HH49" s="258">
        <f>IFERROR(_xlfn.XLOOKUP(HH$7,'CF_Debt Schedule'!$16:$16,'CF_Debt Schedule'!27:27),0)</f>
        <v>0</v>
      </c>
      <c r="HI49" s="258">
        <f>IFERROR(_xlfn.XLOOKUP(HI$7,'CF_Debt Schedule'!$16:$16,'CF_Debt Schedule'!27:27),0)</f>
        <v>0</v>
      </c>
      <c r="HJ49" s="258">
        <f>IFERROR(_xlfn.XLOOKUP(HJ$7,'CF_Debt Schedule'!$16:$16,'CF_Debt Schedule'!27:27),0)</f>
        <v>0</v>
      </c>
      <c r="HK49" s="258">
        <f>IFERROR(_xlfn.XLOOKUP(HK$7,'CF_Debt Schedule'!$16:$16,'CF_Debt Schedule'!27:27),0)</f>
        <v>0</v>
      </c>
      <c r="HL49" s="258">
        <f>IFERROR(_xlfn.XLOOKUP(HL$7,'CF_Debt Schedule'!$16:$16,'CF_Debt Schedule'!27:27),0)</f>
        <v>0</v>
      </c>
      <c r="HM49" s="258">
        <f>IFERROR(_xlfn.XLOOKUP(HM$7,'CF_Debt Schedule'!$16:$16,'CF_Debt Schedule'!27:27),0)</f>
        <v>0</v>
      </c>
      <c r="HN49" s="258">
        <f>IFERROR(_xlfn.XLOOKUP(HN$7,'CF_Debt Schedule'!$16:$16,'CF_Debt Schedule'!27:27),0)</f>
        <v>0</v>
      </c>
      <c r="HO49" s="258">
        <f>IFERROR(_xlfn.XLOOKUP(HO$7,'CF_Debt Schedule'!$16:$16,'CF_Debt Schedule'!27:27),0)</f>
        <v>0</v>
      </c>
      <c r="HP49" s="258">
        <f>IFERROR(_xlfn.XLOOKUP(HP$7,'CF_Debt Schedule'!$16:$16,'CF_Debt Schedule'!27:27),0)</f>
        <v>0</v>
      </c>
      <c r="HQ49" s="258">
        <f>IFERROR(_xlfn.XLOOKUP(HQ$7,'CF_Debt Schedule'!$16:$16,'CF_Debt Schedule'!27:27),0)</f>
        <v>0</v>
      </c>
      <c r="HR49" s="258">
        <f>IFERROR(_xlfn.XLOOKUP(HR$7,'CF_Debt Schedule'!$16:$16,'CF_Debt Schedule'!27:27),0)</f>
        <v>0</v>
      </c>
      <c r="HS49" s="258">
        <f>IFERROR(_xlfn.XLOOKUP(HS$7,'CF_Debt Schedule'!$16:$16,'CF_Debt Schedule'!27:27),0)</f>
        <v>0</v>
      </c>
      <c r="HT49" s="258">
        <f>IFERROR(_xlfn.XLOOKUP(HT$7,'CF_Debt Schedule'!$16:$16,'CF_Debt Schedule'!27:27),0)</f>
        <v>0</v>
      </c>
      <c r="HU49" s="258">
        <f>IFERROR(_xlfn.XLOOKUP(HU$7,'CF_Debt Schedule'!$16:$16,'CF_Debt Schedule'!27:27),0)</f>
        <v>0</v>
      </c>
      <c r="HV49" s="258">
        <f>IFERROR(_xlfn.XLOOKUP(HV$7,'CF_Debt Schedule'!$16:$16,'CF_Debt Schedule'!27:27),0)</f>
        <v>0</v>
      </c>
      <c r="HW49" s="258">
        <f>IFERROR(_xlfn.XLOOKUP(HW$7,'CF_Debt Schedule'!$16:$16,'CF_Debt Schedule'!27:27),0)</f>
        <v>0</v>
      </c>
      <c r="HX49" s="258">
        <f>IFERROR(_xlfn.XLOOKUP(HX$7,'CF_Debt Schedule'!$16:$16,'CF_Debt Schedule'!27:27),0)</f>
        <v>0</v>
      </c>
      <c r="HY49" s="258">
        <f>IFERROR(_xlfn.XLOOKUP(HY$7,'CF_Debt Schedule'!$16:$16,'CF_Debt Schedule'!27:27),0)</f>
        <v>0</v>
      </c>
      <c r="HZ49" s="258">
        <f>IFERROR(_xlfn.XLOOKUP(HZ$7,'CF_Debt Schedule'!$16:$16,'CF_Debt Schedule'!27:27),0)</f>
        <v>0</v>
      </c>
      <c r="IA49" s="258">
        <f>IFERROR(_xlfn.XLOOKUP(IA$7,'CF_Debt Schedule'!$16:$16,'CF_Debt Schedule'!27:27),0)</f>
        <v>0</v>
      </c>
      <c r="IB49" s="258">
        <f>IFERROR(_xlfn.XLOOKUP(IB$7,'CF_Debt Schedule'!$16:$16,'CF_Debt Schedule'!27:27),0)</f>
        <v>0</v>
      </c>
      <c r="IC49" s="258">
        <f>IFERROR(_xlfn.XLOOKUP(IC$7,'CF_Debt Schedule'!$16:$16,'CF_Debt Schedule'!27:27),0)</f>
        <v>0</v>
      </c>
      <c r="ID49" s="258">
        <f>IFERROR(_xlfn.XLOOKUP(ID$7,'CF_Debt Schedule'!$16:$16,'CF_Debt Schedule'!27:27),0)</f>
        <v>0</v>
      </c>
      <c r="IE49" s="258">
        <f>IFERROR(_xlfn.XLOOKUP(IE$7,'CF_Debt Schedule'!$16:$16,'CF_Debt Schedule'!27:27),0)</f>
        <v>0</v>
      </c>
      <c r="IF49" s="258">
        <f>IFERROR(_xlfn.XLOOKUP(IF$7,'CF_Debt Schedule'!$16:$16,'CF_Debt Schedule'!27:27),0)</f>
        <v>0</v>
      </c>
      <c r="IG49" s="258">
        <f>IFERROR(_xlfn.XLOOKUP(IG$7,'CF_Debt Schedule'!$16:$16,'CF_Debt Schedule'!27:27),0)</f>
        <v>0</v>
      </c>
      <c r="IH49" s="258">
        <f>IFERROR(_xlfn.XLOOKUP(IH$7,'CF_Debt Schedule'!$16:$16,'CF_Debt Schedule'!27:27),0)</f>
        <v>0</v>
      </c>
      <c r="II49" s="258">
        <f>IFERROR(_xlfn.XLOOKUP(II$7,'CF_Debt Schedule'!$16:$16,'CF_Debt Schedule'!27:27),0)</f>
        <v>0</v>
      </c>
      <c r="IJ49" s="258">
        <f>IFERROR(_xlfn.XLOOKUP(IJ$7,'CF_Debt Schedule'!$16:$16,'CF_Debt Schedule'!27:27),0)</f>
        <v>0</v>
      </c>
      <c r="IK49" s="258">
        <f>IFERROR(_xlfn.XLOOKUP(IK$7,'CF_Debt Schedule'!$16:$16,'CF_Debt Schedule'!27:27),0)</f>
        <v>0</v>
      </c>
      <c r="IL49" s="258">
        <f>IFERROR(_xlfn.XLOOKUP(IL$7,'CF_Debt Schedule'!$16:$16,'CF_Debt Schedule'!27:27),0)</f>
        <v>0</v>
      </c>
      <c r="IM49" s="258">
        <f>IFERROR(_xlfn.XLOOKUP(IM$7,'CF_Debt Schedule'!$16:$16,'CF_Debt Schedule'!27:27),0)</f>
        <v>0</v>
      </c>
      <c r="IN49" s="258">
        <f>IFERROR(_xlfn.XLOOKUP(IN$7,'CF_Debt Schedule'!$16:$16,'CF_Debt Schedule'!27:27),0)</f>
        <v>0</v>
      </c>
      <c r="IO49" s="258">
        <f>IFERROR(_xlfn.XLOOKUP(IO$7,'CF_Debt Schedule'!$16:$16,'CF_Debt Schedule'!27:27),0)</f>
        <v>0</v>
      </c>
      <c r="IP49" s="258">
        <f>IFERROR(_xlfn.XLOOKUP(IP$7,'CF_Debt Schedule'!$16:$16,'CF_Debt Schedule'!27:27),0)</f>
        <v>0</v>
      </c>
      <c r="IQ49" s="258">
        <f>IFERROR(_xlfn.XLOOKUP(IQ$7,'CF_Debt Schedule'!$16:$16,'CF_Debt Schedule'!27:27),0)</f>
        <v>0</v>
      </c>
      <c r="IR49" s="258">
        <f>IFERROR(_xlfn.XLOOKUP(IR$7,'CF_Debt Schedule'!$16:$16,'CF_Debt Schedule'!27:27),0)</f>
        <v>0</v>
      </c>
      <c r="IS49" s="258">
        <f>IFERROR(_xlfn.XLOOKUP(IS$7,'CF_Debt Schedule'!$16:$16,'CF_Debt Schedule'!27:27),0)</f>
        <v>0</v>
      </c>
      <c r="IT49" s="258">
        <f>IFERROR(_xlfn.XLOOKUP(IT$7,'CF_Debt Schedule'!$16:$16,'CF_Debt Schedule'!27:27),0)</f>
        <v>0</v>
      </c>
      <c r="IU49" s="258">
        <f>IFERROR(_xlfn.XLOOKUP(IU$7,'CF_Debt Schedule'!$16:$16,'CF_Debt Schedule'!27:27),0)</f>
        <v>0</v>
      </c>
      <c r="IV49" s="258">
        <f>IFERROR(_xlfn.XLOOKUP(IV$7,'CF_Debt Schedule'!$16:$16,'CF_Debt Schedule'!27:27),0)</f>
        <v>0</v>
      </c>
      <c r="IW49" s="258">
        <f>IFERROR(_xlfn.XLOOKUP(IW$7,'CF_Debt Schedule'!$16:$16,'CF_Debt Schedule'!27:27),0)</f>
        <v>0</v>
      </c>
      <c r="IX49" s="258">
        <f>IFERROR(_xlfn.XLOOKUP(IX$7,'CF_Debt Schedule'!$16:$16,'CF_Debt Schedule'!27:27),0)</f>
        <v>0</v>
      </c>
      <c r="IY49" s="258">
        <f>IFERROR(_xlfn.XLOOKUP(IY$7,'CF_Debt Schedule'!$16:$16,'CF_Debt Schedule'!27:27),0)</f>
        <v>0</v>
      </c>
      <c r="IZ49" s="258">
        <f>IFERROR(_xlfn.XLOOKUP(IZ$7,'CF_Debt Schedule'!$16:$16,'CF_Debt Schedule'!27:27),0)</f>
        <v>0</v>
      </c>
      <c r="JA49" s="258">
        <f>IFERROR(_xlfn.XLOOKUP(JA$7,'CF_Debt Schedule'!$16:$16,'CF_Debt Schedule'!27:27),0)</f>
        <v>0</v>
      </c>
      <c r="JB49" s="258">
        <f>IFERROR(_xlfn.XLOOKUP(JB$7,'CF_Debt Schedule'!$16:$16,'CF_Debt Schedule'!27:27),0)</f>
        <v>0</v>
      </c>
      <c r="JC49" s="258">
        <f>IFERROR(_xlfn.XLOOKUP(JC$7,'CF_Debt Schedule'!$16:$16,'CF_Debt Schedule'!27:27),0)</f>
        <v>0</v>
      </c>
      <c r="JD49" s="258">
        <f>IFERROR(_xlfn.XLOOKUP(JD$7,'CF_Debt Schedule'!$16:$16,'CF_Debt Schedule'!27:27),0)</f>
        <v>0</v>
      </c>
      <c r="JE49" s="258">
        <f>IFERROR(_xlfn.XLOOKUP(JE$7,'CF_Debt Schedule'!$16:$16,'CF_Debt Schedule'!27:27),0)</f>
        <v>0</v>
      </c>
      <c r="JF49" s="258">
        <f>IFERROR(_xlfn.XLOOKUP(JF$7,'CF_Debt Schedule'!$16:$16,'CF_Debt Schedule'!27:27),0)</f>
        <v>0</v>
      </c>
      <c r="JG49" s="258">
        <f>IFERROR(_xlfn.XLOOKUP(JG$7,'CF_Debt Schedule'!$16:$16,'CF_Debt Schedule'!27:27),0)</f>
        <v>0</v>
      </c>
      <c r="JH49" s="258">
        <f>IFERROR(_xlfn.XLOOKUP(JH$7,'CF_Debt Schedule'!$16:$16,'CF_Debt Schedule'!27:27),0)</f>
        <v>0</v>
      </c>
      <c r="JI49" s="258">
        <f>IFERROR(_xlfn.XLOOKUP(JI$7,'CF_Debt Schedule'!$16:$16,'CF_Debt Schedule'!27:27),0)</f>
        <v>0</v>
      </c>
      <c r="JJ49" s="258">
        <f>IFERROR(_xlfn.XLOOKUP(JJ$7,'CF_Debt Schedule'!$16:$16,'CF_Debt Schedule'!27:27),0)</f>
        <v>0</v>
      </c>
      <c r="JK49" s="258">
        <f>IFERROR(_xlfn.XLOOKUP(JK$7,'CF_Debt Schedule'!$16:$16,'CF_Debt Schedule'!27:27),0)</f>
        <v>0</v>
      </c>
      <c r="JL49" s="258">
        <f>IFERROR(_xlfn.XLOOKUP(JL$7,'CF_Debt Schedule'!$16:$16,'CF_Debt Schedule'!27:27),0)</f>
        <v>0</v>
      </c>
      <c r="JM49" s="258">
        <f>IFERROR(_xlfn.XLOOKUP(JM$7,'CF_Debt Schedule'!$16:$16,'CF_Debt Schedule'!27:27),0)</f>
        <v>0</v>
      </c>
      <c r="JN49" s="258">
        <f>IFERROR(_xlfn.XLOOKUP(JN$7,'CF_Debt Schedule'!$16:$16,'CF_Debt Schedule'!27:27),0)</f>
        <v>0</v>
      </c>
      <c r="JO49" s="258">
        <f>IFERROR(_xlfn.XLOOKUP(JO$7,'CF_Debt Schedule'!$16:$16,'CF_Debt Schedule'!27:27),0)</f>
        <v>0</v>
      </c>
      <c r="JP49" s="258">
        <f>IFERROR(_xlfn.XLOOKUP(JP$7,'CF_Debt Schedule'!$16:$16,'CF_Debt Schedule'!27:27),0)</f>
        <v>0</v>
      </c>
      <c r="JQ49" s="258">
        <f>IFERROR(_xlfn.XLOOKUP(JQ$7,'CF_Debt Schedule'!$16:$16,'CF_Debt Schedule'!27:27),0)</f>
        <v>0</v>
      </c>
      <c r="JR49" s="258">
        <f>IFERROR(_xlfn.XLOOKUP(JR$7,'CF_Debt Schedule'!$16:$16,'CF_Debt Schedule'!27:27),0)</f>
        <v>0</v>
      </c>
      <c r="JS49" s="258">
        <f>IFERROR(_xlfn.XLOOKUP(JS$7,'CF_Debt Schedule'!$16:$16,'CF_Debt Schedule'!27:27),0)</f>
        <v>0</v>
      </c>
      <c r="JT49" s="258">
        <f>IFERROR(_xlfn.XLOOKUP(JT$7,'CF_Debt Schedule'!$16:$16,'CF_Debt Schedule'!27:27),0)</f>
        <v>0</v>
      </c>
      <c r="JU49" s="258">
        <f>IFERROR(_xlfn.XLOOKUP(JU$7,'CF_Debt Schedule'!$16:$16,'CF_Debt Schedule'!27:27),0)</f>
        <v>0</v>
      </c>
      <c r="JV49" s="258">
        <f>IFERROR(_xlfn.XLOOKUP(JV$7,'CF_Debt Schedule'!$16:$16,'CF_Debt Schedule'!27:27),0)</f>
        <v>0</v>
      </c>
      <c r="JW49" s="258">
        <f>IFERROR(_xlfn.XLOOKUP(JW$7,'CF_Debt Schedule'!$16:$16,'CF_Debt Schedule'!27:27),0)</f>
        <v>0</v>
      </c>
      <c r="JX49" s="258">
        <f>IFERROR(_xlfn.XLOOKUP(JX$7,'CF_Debt Schedule'!$16:$16,'CF_Debt Schedule'!27:27),0)</f>
        <v>0</v>
      </c>
      <c r="JY49" s="258">
        <f>IFERROR(_xlfn.XLOOKUP(JY$7,'CF_Debt Schedule'!$16:$16,'CF_Debt Schedule'!27:27),0)</f>
        <v>0</v>
      </c>
      <c r="JZ49" s="258">
        <f>IFERROR(_xlfn.XLOOKUP(JZ$7,'CF_Debt Schedule'!$16:$16,'CF_Debt Schedule'!27:27),0)</f>
        <v>0</v>
      </c>
      <c r="KA49" s="258">
        <f>IFERROR(_xlfn.XLOOKUP(KA$7,'CF_Debt Schedule'!$16:$16,'CF_Debt Schedule'!27:27),0)</f>
        <v>0</v>
      </c>
      <c r="KB49" s="258">
        <f>IFERROR(_xlfn.XLOOKUP(KB$7,'CF_Debt Schedule'!$16:$16,'CF_Debt Schedule'!27:27),0)</f>
        <v>0</v>
      </c>
      <c r="KC49" s="258">
        <f>SUMIF($C$7:$KB$7,"&lt;="&amp;$KC$6,C49:KB49)</f>
        <v>0</v>
      </c>
    </row>
    <row r="50" spans="1:289" hidden="1" x14ac:dyDescent="0.3">
      <c r="B50" s="39"/>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c r="IG50" s="44"/>
      <c r="IH50" s="44"/>
      <c r="II50" s="44"/>
      <c r="IJ50" s="44"/>
      <c r="IK50" s="44"/>
      <c r="IL50" s="44"/>
      <c r="IM50" s="44"/>
      <c r="IN50" s="44"/>
      <c r="IO50" s="44"/>
      <c r="IP50" s="44"/>
      <c r="IQ50" s="44"/>
      <c r="IR50" s="44"/>
      <c r="IS50" s="44"/>
      <c r="IT50" s="44"/>
      <c r="IU50" s="44"/>
      <c r="IV50" s="44"/>
      <c r="IW50" s="44"/>
      <c r="IX50" s="44"/>
      <c r="IY50" s="44"/>
      <c r="IZ50" s="44"/>
      <c r="JA50" s="44"/>
      <c r="JB50" s="44"/>
      <c r="JC50" s="44"/>
      <c r="JD50" s="44"/>
      <c r="JE50" s="44"/>
      <c r="JF50" s="44"/>
      <c r="JG50" s="44"/>
      <c r="JH50" s="44"/>
      <c r="JI50" s="44"/>
      <c r="JJ50" s="44"/>
      <c r="JK50" s="44"/>
      <c r="JL50" s="44"/>
      <c r="JM50" s="44"/>
      <c r="JN50" s="44"/>
      <c r="JO50" s="44"/>
      <c r="JP50" s="44"/>
      <c r="JQ50" s="44"/>
      <c r="JR50" s="44"/>
      <c r="JS50" s="44"/>
      <c r="JT50" s="44"/>
      <c r="JU50" s="44"/>
      <c r="JV50" s="44"/>
      <c r="JW50" s="44"/>
      <c r="JX50" s="44"/>
      <c r="JY50" s="44"/>
      <c r="JZ50" s="44"/>
      <c r="KA50" s="44"/>
      <c r="KB50" s="44"/>
      <c r="KC50" s="44"/>
    </row>
    <row r="51" spans="1:289" hidden="1" x14ac:dyDescent="0.3">
      <c r="B51" s="39"/>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c r="IG51" s="44"/>
      <c r="IH51" s="44"/>
      <c r="II51" s="44"/>
      <c r="IJ51" s="44"/>
      <c r="IK51" s="44"/>
      <c r="IL51" s="44"/>
      <c r="IM51" s="44"/>
      <c r="IN51" s="44"/>
      <c r="IO51" s="44"/>
      <c r="IP51" s="44"/>
      <c r="IQ51" s="44"/>
      <c r="IR51" s="44"/>
      <c r="IS51" s="44"/>
      <c r="IT51" s="44"/>
      <c r="IU51" s="44"/>
      <c r="IV51" s="44"/>
      <c r="IW51" s="44"/>
      <c r="IX51" s="44"/>
      <c r="IY51" s="44"/>
      <c r="IZ51" s="44"/>
      <c r="JA51" s="44"/>
      <c r="JB51" s="44"/>
      <c r="JC51" s="44"/>
      <c r="JD51" s="44"/>
      <c r="JE51" s="44"/>
      <c r="JF51" s="44"/>
      <c r="JG51" s="44"/>
      <c r="JH51" s="44"/>
      <c r="JI51" s="44"/>
      <c r="JJ51" s="44"/>
      <c r="JK51" s="44"/>
      <c r="JL51" s="44"/>
      <c r="JM51" s="44"/>
      <c r="JN51" s="44"/>
      <c r="JO51" s="44"/>
      <c r="JP51" s="44"/>
      <c r="JQ51" s="44"/>
      <c r="JR51" s="44"/>
      <c r="JS51" s="44"/>
      <c r="JT51" s="44"/>
      <c r="JU51" s="44"/>
      <c r="JV51" s="44"/>
      <c r="JW51" s="44"/>
      <c r="JX51" s="44"/>
      <c r="JY51" s="44"/>
      <c r="JZ51" s="44"/>
      <c r="KA51" s="44"/>
      <c r="KB51" s="44"/>
      <c r="KC51" s="44"/>
    </row>
    <row r="52" spans="1:289" hidden="1" x14ac:dyDescent="0.3">
      <c r="D52" s="46"/>
      <c r="E52" s="46"/>
      <c r="F52" s="46"/>
      <c r="G52" s="46"/>
      <c r="H52" s="46"/>
      <c r="I52" s="46"/>
      <c r="J52" s="46"/>
      <c r="K52" s="273"/>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row>
    <row r="53" spans="1:289" hidden="1" x14ac:dyDescent="0.3">
      <c r="A53" s="39" t="s">
        <v>43</v>
      </c>
    </row>
    <row r="54" spans="1:289" hidden="1" x14ac:dyDescent="0.3">
      <c r="A54" s="39" t="s">
        <v>50</v>
      </c>
      <c r="B54" s="272">
        <f ca="1">SUM(C54:KB54)</f>
        <v>-47.58</v>
      </c>
      <c r="C54" s="33">
        <f ca="1">SUM(C37,C41:C42,C46:C47,C49:C49)</f>
        <v>-47.58</v>
      </c>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c r="IG54" s="44"/>
      <c r="IH54" s="44"/>
      <c r="II54" s="44"/>
      <c r="IJ54" s="44"/>
      <c r="IK54" s="44"/>
      <c r="IL54" s="44"/>
      <c r="IM54" s="44"/>
      <c r="IN54" s="44"/>
      <c r="IO54" s="44"/>
      <c r="IP54" s="44"/>
      <c r="IQ54" s="44"/>
      <c r="IR54" s="44"/>
      <c r="IS54" s="44"/>
      <c r="IT54" s="44"/>
      <c r="IU54" s="44"/>
      <c r="IV54" s="44"/>
      <c r="IW54" s="44"/>
      <c r="IX54" s="44"/>
      <c r="IY54" s="44"/>
      <c r="IZ54" s="44"/>
      <c r="JA54" s="44"/>
      <c r="JB54" s="44"/>
      <c r="JC54" s="44"/>
      <c r="JD54" s="44"/>
      <c r="JE54" s="44"/>
      <c r="JF54" s="44"/>
      <c r="JG54" s="44"/>
      <c r="JH54" s="44"/>
      <c r="JI54" s="44"/>
      <c r="JJ54" s="44"/>
      <c r="JK54" s="44"/>
      <c r="JL54" s="44"/>
      <c r="JM54" s="44"/>
      <c r="JN54" s="44"/>
      <c r="JO54" s="44"/>
      <c r="JP54" s="44"/>
      <c r="JQ54" s="44"/>
      <c r="JR54" s="44"/>
      <c r="JS54" s="44"/>
      <c r="JT54" s="44"/>
      <c r="JU54" s="44"/>
      <c r="JV54" s="44"/>
      <c r="JW54" s="44"/>
      <c r="JX54" s="44"/>
      <c r="JY54" s="44"/>
      <c r="JZ54" s="44"/>
      <c r="KA54" s="44"/>
      <c r="KB54" s="44"/>
      <c r="KC54" s="44"/>
    </row>
    <row r="55" spans="1:289" hidden="1" x14ac:dyDescent="0.3">
      <c r="A55" s="39" t="s">
        <v>253</v>
      </c>
      <c r="B55" s="272">
        <f ca="1">SUM(C55:KB55)</f>
        <v>47.58</v>
      </c>
      <c r="C55" s="33">
        <f ca="1">MIN(0,C54)*-1</f>
        <v>47.58</v>
      </c>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c r="HZ55" s="44"/>
      <c r="IA55" s="44"/>
      <c r="IB55" s="44"/>
      <c r="IC55" s="44"/>
      <c r="ID55" s="44"/>
      <c r="IE55" s="44"/>
      <c r="IF55" s="44"/>
      <c r="IG55" s="44"/>
      <c r="IH55" s="44"/>
      <c r="II55" s="44"/>
      <c r="IJ55" s="44"/>
      <c r="IK55" s="44"/>
      <c r="IL55" s="44"/>
      <c r="IM55" s="44"/>
      <c r="IN55" s="44"/>
      <c r="IO55" s="44"/>
      <c r="IP55" s="44"/>
      <c r="IQ55" s="44"/>
      <c r="IR55" s="44"/>
      <c r="IS55" s="44"/>
      <c r="IT55" s="44"/>
      <c r="IU55" s="44"/>
      <c r="IV55" s="44"/>
      <c r="IW55" s="44"/>
      <c r="IX55" s="44"/>
      <c r="IY55" s="44"/>
      <c r="IZ55" s="44"/>
      <c r="JA55" s="44"/>
      <c r="JB55" s="44"/>
      <c r="JC55" s="44"/>
      <c r="JD55" s="44"/>
      <c r="JE55" s="44"/>
      <c r="JF55" s="44"/>
      <c r="JG55" s="44"/>
      <c r="JH55" s="44"/>
      <c r="JI55" s="44"/>
      <c r="JJ55" s="44"/>
      <c r="JK55" s="44"/>
      <c r="JL55" s="44"/>
      <c r="JM55" s="44"/>
      <c r="JN55" s="44"/>
      <c r="JO55" s="44"/>
      <c r="JP55" s="44"/>
      <c r="JQ55" s="44"/>
      <c r="JR55" s="44"/>
      <c r="JS55" s="44"/>
      <c r="JT55" s="44"/>
      <c r="JU55" s="44"/>
      <c r="JV55" s="44"/>
      <c r="JW55" s="44"/>
      <c r="JX55" s="44"/>
      <c r="JY55" s="44"/>
      <c r="JZ55" s="44"/>
      <c r="KA55" s="44"/>
      <c r="KB55" s="44"/>
      <c r="KC55" s="44"/>
    </row>
    <row r="56" spans="1:289" hidden="1" x14ac:dyDescent="0.3">
      <c r="A56" s="39"/>
      <c r="B56" s="27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c r="GZ56" s="44"/>
      <c r="HA56" s="44"/>
      <c r="HB56" s="44"/>
      <c r="HC56" s="44"/>
      <c r="HD56" s="44"/>
      <c r="HE56" s="44"/>
      <c r="HF56" s="44"/>
      <c r="HG56" s="44"/>
      <c r="HH56" s="44"/>
      <c r="HI56" s="44"/>
      <c r="HJ56" s="44"/>
      <c r="HK56" s="44"/>
      <c r="HL56" s="44"/>
      <c r="HM56" s="44"/>
      <c r="HN56" s="44"/>
      <c r="HO56" s="44"/>
      <c r="HP56" s="44"/>
      <c r="HQ56" s="44"/>
      <c r="HR56" s="44"/>
      <c r="HS56" s="44"/>
      <c r="HT56" s="44"/>
      <c r="HU56" s="44"/>
      <c r="HV56" s="44"/>
      <c r="HW56" s="44"/>
      <c r="HX56" s="44"/>
      <c r="HY56" s="44"/>
      <c r="HZ56" s="44"/>
      <c r="IA56" s="44"/>
      <c r="IB56" s="44"/>
      <c r="IC56" s="44"/>
      <c r="ID56" s="44"/>
      <c r="IE56" s="44"/>
      <c r="IF56" s="44"/>
      <c r="IG56" s="44"/>
      <c r="IH56" s="44"/>
      <c r="II56" s="44"/>
      <c r="IJ56" s="44"/>
      <c r="IK56" s="44"/>
      <c r="IL56" s="44"/>
      <c r="IM56" s="44"/>
      <c r="IN56" s="44"/>
      <c r="IO56" s="44"/>
      <c r="IP56" s="44"/>
      <c r="IQ56" s="44"/>
      <c r="IR56" s="44"/>
      <c r="IS56" s="44"/>
      <c r="IT56" s="44"/>
      <c r="IU56" s="44"/>
      <c r="IV56" s="44"/>
      <c r="IW56" s="44"/>
      <c r="IX56" s="44"/>
      <c r="IY56" s="44"/>
      <c r="IZ56" s="44"/>
      <c r="JA56" s="44"/>
      <c r="JB56" s="44"/>
      <c r="JC56" s="44"/>
      <c r="JD56" s="44"/>
      <c r="JE56" s="44"/>
      <c r="JF56" s="44"/>
      <c r="JG56" s="44"/>
      <c r="JH56" s="44"/>
      <c r="JI56" s="44"/>
      <c r="JJ56" s="44"/>
      <c r="JK56" s="44"/>
      <c r="JL56" s="44"/>
      <c r="JM56" s="44"/>
      <c r="JN56" s="44"/>
      <c r="JO56" s="44"/>
      <c r="JP56" s="44"/>
      <c r="JQ56" s="44"/>
      <c r="JR56" s="44"/>
      <c r="JS56" s="44"/>
      <c r="JT56" s="44"/>
      <c r="JU56" s="44"/>
      <c r="JV56" s="44"/>
      <c r="JW56" s="44"/>
      <c r="JX56" s="44"/>
      <c r="JY56" s="44"/>
      <c r="JZ56" s="44"/>
      <c r="KA56" s="44"/>
      <c r="KB56" s="44"/>
      <c r="KC56" s="44"/>
    </row>
    <row r="57" spans="1:289" hidden="1" x14ac:dyDescent="0.3">
      <c r="A57" s="39" t="s">
        <v>45</v>
      </c>
      <c r="B57" s="272"/>
      <c r="C57" s="33">
        <v>0</v>
      </c>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c r="IG57" s="44"/>
      <c r="IH57" s="44"/>
      <c r="II57" s="44"/>
      <c r="IJ57" s="44"/>
      <c r="IK57" s="44"/>
      <c r="IL57" s="44"/>
      <c r="IM57" s="44"/>
      <c r="IN57" s="44"/>
      <c r="IO57" s="44"/>
      <c r="IP57" s="44"/>
      <c r="IQ57" s="44"/>
      <c r="IR57" s="44"/>
      <c r="IS57" s="44"/>
      <c r="IT57" s="44"/>
      <c r="IU57" s="44"/>
      <c r="IV57" s="44"/>
      <c r="IW57" s="44"/>
      <c r="IX57" s="44"/>
      <c r="IY57" s="44"/>
      <c r="IZ57" s="44"/>
      <c r="JA57" s="44"/>
      <c r="JB57" s="44"/>
      <c r="JC57" s="44"/>
      <c r="JD57" s="44"/>
      <c r="JE57" s="44"/>
      <c r="JF57" s="44"/>
      <c r="JG57" s="44"/>
      <c r="JH57" s="44"/>
      <c r="JI57" s="44"/>
      <c r="JJ57" s="44"/>
      <c r="JK57" s="44"/>
      <c r="JL57" s="44"/>
      <c r="JM57" s="44"/>
      <c r="JN57" s="44"/>
      <c r="JO57" s="44"/>
      <c r="JP57" s="44"/>
      <c r="JQ57" s="44"/>
      <c r="JR57" s="44"/>
      <c r="JS57" s="44"/>
      <c r="JT57" s="44"/>
      <c r="JU57" s="44"/>
      <c r="JV57" s="44"/>
      <c r="JW57" s="44"/>
      <c r="JX57" s="44"/>
      <c r="JY57" s="44"/>
      <c r="JZ57" s="44"/>
      <c r="KA57" s="44"/>
      <c r="KB57" s="44"/>
      <c r="KC57" s="44"/>
    </row>
    <row r="58" spans="1:289" hidden="1" x14ac:dyDescent="0.3">
      <c r="A58" s="39" t="s">
        <v>159</v>
      </c>
      <c r="B58" s="275">
        <f ca="1">MIN(C58:FJ58)</f>
        <v>-47.58</v>
      </c>
      <c r="C58" s="33">
        <f t="shared" ref="C58" ca="1" si="470">C57+C54</f>
        <v>-47.58</v>
      </c>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c r="GS58" s="44"/>
      <c r="GT58" s="44"/>
      <c r="GU58" s="44"/>
      <c r="GV58" s="44"/>
      <c r="GW58" s="44"/>
      <c r="GX58" s="44"/>
      <c r="GY58" s="44"/>
      <c r="GZ58" s="44"/>
      <c r="HA58" s="44"/>
      <c r="HB58" s="44"/>
      <c r="HC58" s="44"/>
      <c r="HD58" s="44"/>
      <c r="HE58" s="44"/>
      <c r="HF58" s="44"/>
      <c r="HG58" s="44"/>
      <c r="HH58" s="44"/>
      <c r="HI58" s="44"/>
      <c r="HJ58" s="44"/>
      <c r="HK58" s="44"/>
      <c r="HL58" s="44"/>
      <c r="HM58" s="44"/>
      <c r="HN58" s="44"/>
      <c r="HO58" s="44"/>
      <c r="HP58" s="44"/>
      <c r="HQ58" s="44"/>
      <c r="HR58" s="44"/>
      <c r="HS58" s="44"/>
      <c r="HT58" s="44"/>
      <c r="HU58" s="44"/>
      <c r="HV58" s="44"/>
      <c r="HW58" s="44"/>
      <c r="HX58" s="44"/>
      <c r="HY58" s="44"/>
      <c r="HZ58" s="44"/>
      <c r="IA58" s="44"/>
      <c r="IB58" s="44"/>
      <c r="IC58" s="44"/>
      <c r="ID58" s="44"/>
      <c r="IE58" s="44"/>
      <c r="IF58" s="44"/>
      <c r="IG58" s="44"/>
      <c r="IH58" s="44"/>
      <c r="II58" s="44"/>
      <c r="IJ58" s="44"/>
      <c r="IK58" s="44"/>
      <c r="IL58" s="44"/>
      <c r="IM58" s="44"/>
      <c r="IN58" s="44"/>
      <c r="IO58" s="44"/>
      <c r="IP58" s="44"/>
      <c r="IQ58" s="44"/>
      <c r="IR58" s="44"/>
      <c r="IS58" s="44"/>
      <c r="IT58" s="44"/>
      <c r="IU58" s="44"/>
      <c r="IV58" s="44"/>
      <c r="IW58" s="44"/>
      <c r="IX58" s="44"/>
      <c r="IY58" s="44"/>
      <c r="IZ58" s="44"/>
      <c r="JA58" s="44"/>
      <c r="JB58" s="44"/>
      <c r="JC58" s="44"/>
      <c r="JD58" s="44"/>
      <c r="JE58" s="44"/>
      <c r="JF58" s="44"/>
      <c r="JG58" s="44"/>
      <c r="JH58" s="44"/>
      <c r="JI58" s="44"/>
      <c r="JJ58" s="44"/>
      <c r="JK58" s="44"/>
      <c r="JL58" s="44"/>
      <c r="JM58" s="44"/>
      <c r="JN58" s="44"/>
      <c r="JO58" s="44"/>
      <c r="JP58" s="44"/>
      <c r="JQ58" s="44"/>
      <c r="JR58" s="44"/>
      <c r="JS58" s="44"/>
      <c r="JT58" s="44"/>
      <c r="JU58" s="44"/>
      <c r="JV58" s="44"/>
      <c r="JW58" s="44"/>
      <c r="JX58" s="44"/>
      <c r="JY58" s="44"/>
      <c r="JZ58" s="44"/>
      <c r="KA58" s="44"/>
      <c r="KB58" s="44"/>
      <c r="KC58" s="44"/>
    </row>
    <row r="59" spans="1:289" x14ac:dyDescent="0.3">
      <c r="A59" s="39"/>
      <c r="B59" s="274"/>
      <c r="C59" s="33">
        <f>B62</f>
        <v>47.58</v>
      </c>
      <c r="D59" s="33">
        <f t="shared" ref="D59:BO59" ca="1" si="471">C59+D43</f>
        <v>56.513769268777267</v>
      </c>
      <c r="E59" s="33">
        <f t="shared" ca="1" si="471"/>
        <v>62.860406327519271</v>
      </c>
      <c r="F59" s="33">
        <f t="shared" ca="1" si="471"/>
        <v>68.843761110233899</v>
      </c>
      <c r="G59" s="33">
        <f t="shared" ca="1" si="471"/>
        <v>74.874923659833357</v>
      </c>
      <c r="H59" s="33">
        <f t="shared" ca="1" si="471"/>
        <v>80.954275966464905</v>
      </c>
      <c r="I59" s="33">
        <f t="shared" ca="1" si="471"/>
        <v>87.082203072425727</v>
      </c>
      <c r="J59" s="33">
        <f t="shared" ca="1" si="471"/>
        <v>93.259093096550004</v>
      </c>
      <c r="K59" s="33">
        <f t="shared" ca="1" si="471"/>
        <v>99.509737191247766</v>
      </c>
      <c r="L59" s="33">
        <f t="shared" ca="1" si="471"/>
        <v>105.80183920054468</v>
      </c>
      <c r="M59" s="33">
        <f t="shared" ca="1" si="471"/>
        <v>112.13271124134941</v>
      </c>
      <c r="N59" s="33">
        <f t="shared" ca="1" si="471"/>
        <v>118.4997021786472</v>
      </c>
      <c r="O59" s="33">
        <f t="shared" ca="1" si="471"/>
        <v>124.89462309177597</v>
      </c>
      <c r="P59" s="33">
        <f t="shared" ca="1" si="471"/>
        <v>138.55638303323008</v>
      </c>
      <c r="Q59" s="33">
        <f t="shared" ca="1" si="471"/>
        <v>151.31361857754328</v>
      </c>
      <c r="R59" s="33">
        <f t="shared" ca="1" si="471"/>
        <v>163.30996650051605</v>
      </c>
      <c r="S59" s="33">
        <f t="shared" ca="1" si="471"/>
        <v>175.35893860826442</v>
      </c>
      <c r="T59" s="33">
        <f t="shared" ca="1" si="471"/>
        <v>187.46076574644579</v>
      </c>
      <c r="U59" s="33">
        <f t="shared" ca="1" si="471"/>
        <v>199.61567977336455</v>
      </c>
      <c r="V59" s="33">
        <f t="shared" ca="1" si="471"/>
        <v>212.87244562811426</v>
      </c>
      <c r="W59" s="33">
        <f t="shared" ca="1" si="471"/>
        <v>225.18600922926879</v>
      </c>
      <c r="X59" s="33">
        <f t="shared" ca="1" si="471"/>
        <v>237.55358854006707</v>
      </c>
      <c r="Y59" s="33">
        <f t="shared" ca="1" si="471"/>
        <v>255.44194115055069</v>
      </c>
      <c r="Z59" s="33">
        <f t="shared" ca="1" si="471"/>
        <v>273.00673179013376</v>
      </c>
      <c r="AA59" s="33">
        <f t="shared" ca="1" si="471"/>
        <v>290.30807005401334</v>
      </c>
      <c r="AB59" s="33">
        <f t="shared" ca="1" si="471"/>
        <v>296.30554431963407</v>
      </c>
      <c r="AC59" s="33">
        <f t="shared" ca="1" si="471"/>
        <v>302.32932760829806</v>
      </c>
      <c r="AD59" s="33">
        <f t="shared" ca="1" si="471"/>
        <v>308.37953532936984</v>
      </c>
      <c r="AE59" s="33">
        <f t="shared" ca="1" si="471"/>
        <v>314.45628339847826</v>
      </c>
      <c r="AF59" s="33">
        <f t="shared" ca="1" si="471"/>
        <v>320.57935378218519</v>
      </c>
      <c r="AG59" s="33">
        <f t="shared" ca="1" si="471"/>
        <v>326.72928413938865</v>
      </c>
      <c r="AH59" s="33">
        <f t="shared" ca="1" si="471"/>
        <v>346.66454313770129</v>
      </c>
      <c r="AI59" s="33">
        <f t="shared" ca="1" si="471"/>
        <v>363.79381474624819</v>
      </c>
      <c r="AJ59" s="33">
        <f t="shared" ca="1" si="471"/>
        <v>380.26774023829137</v>
      </c>
      <c r="AK59" s="33">
        <f t="shared" ca="1" si="471"/>
        <v>392.07028152414529</v>
      </c>
      <c r="AL59" s="33">
        <f t="shared" ca="1" si="471"/>
        <v>403.9245968263445</v>
      </c>
      <c r="AM59" s="33">
        <f t="shared" ca="1" si="471"/>
        <v>415.8309132611264</v>
      </c>
      <c r="AN59" s="33">
        <f t="shared" ca="1" si="471"/>
        <v>427.78945894101554</v>
      </c>
      <c r="AO59" s="33">
        <f t="shared" ca="1" si="471"/>
        <v>439.84265172913808</v>
      </c>
      <c r="AP59" s="33">
        <f t="shared" ca="1" si="471"/>
        <v>451.94871806248381</v>
      </c>
      <c r="AQ59" s="33">
        <f t="shared" ca="1" si="471"/>
        <v>466.85022706593747</v>
      </c>
      <c r="AR59" s="33">
        <f t="shared" ca="1" si="471"/>
        <v>480.79897164010509</v>
      </c>
      <c r="AS59" s="33">
        <f t="shared" ca="1" si="471"/>
        <v>494.79256865674301</v>
      </c>
      <c r="AT59" s="33">
        <f t="shared" ca="1" si="471"/>
        <v>498.67093544825724</v>
      </c>
      <c r="AU59" s="33">
        <f t="shared" ca="1" si="471"/>
        <v>502.56631540844364</v>
      </c>
      <c r="AV59" s="33">
        <f t="shared" ca="1" si="471"/>
        <v>506.47878316869321</v>
      </c>
      <c r="AW59" s="33">
        <f t="shared" ca="1" si="471"/>
        <v>510.40841368778121</v>
      </c>
      <c r="AX59" s="33">
        <f t="shared" ca="1" si="471"/>
        <v>514.35528225330336</v>
      </c>
      <c r="AY59" s="33">
        <f t="shared" ca="1" si="471"/>
        <v>518.31946448311817</v>
      </c>
      <c r="AZ59" s="33">
        <f t="shared" ca="1" si="471"/>
        <v>524.11726201189447</v>
      </c>
      <c r="BA59" s="33">
        <f t="shared" ca="1" si="471"/>
        <v>528.13305699973898</v>
      </c>
      <c r="BB59" s="33">
        <f t="shared" ca="1" si="471"/>
        <v>532.16646801029458</v>
      </c>
      <c r="BC59" s="33">
        <f t="shared" ca="1" si="471"/>
        <v>536.2175723194822</v>
      </c>
      <c r="BD59" s="33">
        <f t="shared" ca="1" si="471"/>
        <v>540.28644754220795</v>
      </c>
      <c r="BE59" s="33">
        <f t="shared" ca="1" si="471"/>
        <v>551.5380507293936</v>
      </c>
      <c r="BF59" s="33">
        <f t="shared" ca="1" si="471"/>
        <v>551.5380507293936</v>
      </c>
      <c r="BG59" s="33">
        <f t="shared" ca="1" si="471"/>
        <v>551.5380507293936</v>
      </c>
      <c r="BH59" s="33">
        <f t="shared" ca="1" si="471"/>
        <v>551.5380507293936</v>
      </c>
      <c r="BI59" s="33">
        <f t="shared" ca="1" si="471"/>
        <v>551.5380507293936</v>
      </c>
      <c r="BJ59" s="33">
        <f t="shared" ca="1" si="471"/>
        <v>551.5380507293936</v>
      </c>
      <c r="BK59" s="33">
        <f t="shared" ca="1" si="471"/>
        <v>551.5380507293936</v>
      </c>
      <c r="BL59" s="33">
        <f t="shared" ca="1" si="471"/>
        <v>551.5380507293936</v>
      </c>
      <c r="BM59" s="33">
        <f t="shared" ca="1" si="471"/>
        <v>551.5380507293936</v>
      </c>
      <c r="BN59" s="33">
        <f t="shared" ca="1" si="471"/>
        <v>551.5380507293936</v>
      </c>
      <c r="BO59" s="33">
        <f t="shared" ca="1" si="471"/>
        <v>551.5380507293936</v>
      </c>
      <c r="BP59" s="33">
        <f t="shared" ref="BP59:EA59" ca="1" si="472">BO59+BP43</f>
        <v>551.5380507293936</v>
      </c>
      <c r="BQ59" s="33">
        <f t="shared" ca="1" si="472"/>
        <v>551.5380507293936</v>
      </c>
      <c r="BR59" s="33">
        <f t="shared" ca="1" si="472"/>
        <v>551.5380507293936</v>
      </c>
      <c r="BS59" s="33">
        <f t="shared" ca="1" si="472"/>
        <v>551.5380507293936</v>
      </c>
      <c r="BT59" s="33">
        <f t="shared" ca="1" si="472"/>
        <v>551.5380507293936</v>
      </c>
      <c r="BU59" s="33">
        <f t="shared" ca="1" si="472"/>
        <v>551.5380507293936</v>
      </c>
      <c r="BV59" s="33">
        <f t="shared" ca="1" si="472"/>
        <v>551.5380507293936</v>
      </c>
      <c r="BW59" s="33">
        <f t="shared" ca="1" si="472"/>
        <v>551.5380507293936</v>
      </c>
      <c r="BX59" s="33">
        <f t="shared" ca="1" si="472"/>
        <v>551.5380507293936</v>
      </c>
      <c r="BY59" s="33">
        <f t="shared" ca="1" si="472"/>
        <v>551.5380507293936</v>
      </c>
      <c r="BZ59" s="33">
        <f t="shared" ca="1" si="472"/>
        <v>551.5380507293936</v>
      </c>
      <c r="CA59" s="33">
        <f t="shared" ca="1" si="472"/>
        <v>551.5380507293936</v>
      </c>
      <c r="CB59" s="33">
        <f t="shared" ca="1" si="472"/>
        <v>551.5380507293936</v>
      </c>
      <c r="CC59" s="33">
        <f t="shared" ca="1" si="472"/>
        <v>551.5380507293936</v>
      </c>
      <c r="CD59" s="33">
        <f t="shared" ca="1" si="472"/>
        <v>551.5380507293936</v>
      </c>
      <c r="CE59" s="33">
        <f t="shared" ca="1" si="472"/>
        <v>551.5380507293936</v>
      </c>
      <c r="CF59" s="33">
        <f t="shared" ca="1" si="472"/>
        <v>551.5380507293936</v>
      </c>
      <c r="CG59" s="33">
        <f t="shared" ca="1" si="472"/>
        <v>551.5380507293936</v>
      </c>
      <c r="CH59" s="33">
        <f t="shared" ca="1" si="472"/>
        <v>551.5380507293936</v>
      </c>
      <c r="CI59" s="33">
        <f t="shared" ca="1" si="472"/>
        <v>551.5380507293936</v>
      </c>
      <c r="CJ59" s="33">
        <f t="shared" ca="1" si="472"/>
        <v>551.5380507293936</v>
      </c>
      <c r="CK59" s="33">
        <f t="shared" ca="1" si="472"/>
        <v>551.5380507293936</v>
      </c>
      <c r="CL59" s="33">
        <f t="shared" ca="1" si="472"/>
        <v>551.5380507293936</v>
      </c>
      <c r="CM59" s="33">
        <f t="shared" ca="1" si="472"/>
        <v>551.5380507293936</v>
      </c>
      <c r="CN59" s="33">
        <f t="shared" ca="1" si="472"/>
        <v>551.5380507293936</v>
      </c>
      <c r="CO59" s="33">
        <f t="shared" ca="1" si="472"/>
        <v>551.5380507293936</v>
      </c>
      <c r="CP59" s="33">
        <f t="shared" ca="1" si="472"/>
        <v>551.5380507293936</v>
      </c>
      <c r="CQ59" s="33">
        <f t="shared" ca="1" si="472"/>
        <v>551.5380507293936</v>
      </c>
      <c r="CR59" s="33">
        <f t="shared" ca="1" si="472"/>
        <v>551.5380507293936</v>
      </c>
      <c r="CS59" s="33">
        <f t="shared" ca="1" si="472"/>
        <v>551.5380507293936</v>
      </c>
      <c r="CT59" s="33">
        <f t="shared" ca="1" si="472"/>
        <v>551.5380507293936</v>
      </c>
      <c r="CU59" s="33">
        <f t="shared" ca="1" si="472"/>
        <v>551.5380507293936</v>
      </c>
      <c r="CV59" s="33">
        <f t="shared" ca="1" si="472"/>
        <v>551.5380507293936</v>
      </c>
      <c r="CW59" s="33">
        <f t="shared" ca="1" si="472"/>
        <v>551.5380507293936</v>
      </c>
      <c r="CX59" s="33">
        <f t="shared" ca="1" si="472"/>
        <v>551.5380507293936</v>
      </c>
      <c r="CY59" s="33">
        <f t="shared" ca="1" si="472"/>
        <v>551.5380507293936</v>
      </c>
      <c r="CZ59" s="33">
        <f t="shared" ca="1" si="472"/>
        <v>551.5380507293936</v>
      </c>
      <c r="DA59" s="33">
        <f t="shared" ca="1" si="472"/>
        <v>551.5380507293936</v>
      </c>
      <c r="DB59" s="33">
        <f t="shared" ca="1" si="472"/>
        <v>551.5380507293936</v>
      </c>
      <c r="DC59" s="33">
        <f t="shared" ca="1" si="472"/>
        <v>551.5380507293936</v>
      </c>
      <c r="DD59" s="33">
        <f t="shared" ca="1" si="472"/>
        <v>551.5380507293936</v>
      </c>
      <c r="DE59" s="33">
        <f t="shared" ca="1" si="472"/>
        <v>551.5380507293936</v>
      </c>
      <c r="DF59" s="33">
        <f t="shared" ca="1" si="472"/>
        <v>551.5380507293936</v>
      </c>
      <c r="DG59" s="33">
        <f t="shared" ca="1" si="472"/>
        <v>551.5380507293936</v>
      </c>
      <c r="DH59" s="33">
        <f t="shared" ca="1" si="472"/>
        <v>551.5380507293936</v>
      </c>
      <c r="DI59" s="33">
        <f t="shared" ca="1" si="472"/>
        <v>551.5380507293936</v>
      </c>
      <c r="DJ59" s="33">
        <f t="shared" ca="1" si="472"/>
        <v>551.5380507293936</v>
      </c>
      <c r="DK59" s="33">
        <f t="shared" ca="1" si="472"/>
        <v>551.5380507293936</v>
      </c>
      <c r="DL59" s="33">
        <f t="shared" ca="1" si="472"/>
        <v>551.5380507293936</v>
      </c>
      <c r="DM59" s="33">
        <f t="shared" ca="1" si="472"/>
        <v>551.5380507293936</v>
      </c>
      <c r="DN59" s="33">
        <f t="shared" ca="1" si="472"/>
        <v>551.5380507293936</v>
      </c>
      <c r="DO59" s="33">
        <f t="shared" ca="1" si="472"/>
        <v>551.5380507293936</v>
      </c>
      <c r="DP59" s="33">
        <f t="shared" ca="1" si="472"/>
        <v>551.5380507293936</v>
      </c>
      <c r="DQ59" s="33">
        <f t="shared" ca="1" si="472"/>
        <v>551.5380507293936</v>
      </c>
      <c r="DR59" s="33">
        <f t="shared" ca="1" si="472"/>
        <v>551.5380507293936</v>
      </c>
      <c r="DS59" s="33">
        <f t="shared" ca="1" si="472"/>
        <v>551.5380507293936</v>
      </c>
      <c r="DT59" s="33">
        <f t="shared" ca="1" si="472"/>
        <v>551.5380507293936</v>
      </c>
      <c r="DU59" s="33">
        <f t="shared" ca="1" si="472"/>
        <v>551.5380507293936</v>
      </c>
      <c r="DV59" s="33">
        <f t="shared" ca="1" si="472"/>
        <v>551.5380507293936</v>
      </c>
      <c r="DW59" s="33">
        <f t="shared" ca="1" si="472"/>
        <v>551.5380507293936</v>
      </c>
      <c r="DX59" s="33">
        <f t="shared" ca="1" si="472"/>
        <v>551.5380507293936</v>
      </c>
      <c r="DY59" s="33">
        <f t="shared" ca="1" si="472"/>
        <v>551.5380507293936</v>
      </c>
      <c r="DZ59" s="33">
        <f t="shared" ca="1" si="472"/>
        <v>551.5380507293936</v>
      </c>
      <c r="EA59" s="33">
        <f t="shared" ca="1" si="472"/>
        <v>551.5380507293936</v>
      </c>
      <c r="EB59" s="33">
        <f t="shared" ref="EB59:GM59" ca="1" si="473">EA59+EB43</f>
        <v>551.5380507293936</v>
      </c>
      <c r="EC59" s="33">
        <f t="shared" ca="1" si="473"/>
        <v>551.5380507293936</v>
      </c>
      <c r="ED59" s="33">
        <f t="shared" ca="1" si="473"/>
        <v>551.5380507293936</v>
      </c>
      <c r="EE59" s="33">
        <f t="shared" ca="1" si="473"/>
        <v>551.5380507293936</v>
      </c>
      <c r="EF59" s="33">
        <f t="shared" ca="1" si="473"/>
        <v>551.5380507293936</v>
      </c>
      <c r="EG59" s="33">
        <f t="shared" ca="1" si="473"/>
        <v>551.5380507293936</v>
      </c>
      <c r="EH59" s="33">
        <f t="shared" ca="1" si="473"/>
        <v>551.5380507293936</v>
      </c>
      <c r="EI59" s="33">
        <f t="shared" ca="1" si="473"/>
        <v>551.5380507293936</v>
      </c>
      <c r="EJ59" s="33">
        <f t="shared" ca="1" si="473"/>
        <v>551.5380507293936</v>
      </c>
      <c r="EK59" s="33">
        <f t="shared" ca="1" si="473"/>
        <v>551.5380507293936</v>
      </c>
      <c r="EL59" s="33">
        <f t="shared" ca="1" si="473"/>
        <v>551.5380507293936</v>
      </c>
      <c r="EM59" s="33">
        <f t="shared" ca="1" si="473"/>
        <v>551.5380507293936</v>
      </c>
      <c r="EN59" s="33">
        <f t="shared" ca="1" si="473"/>
        <v>551.5380507293936</v>
      </c>
      <c r="EO59" s="33">
        <f t="shared" ca="1" si="473"/>
        <v>551.5380507293936</v>
      </c>
      <c r="EP59" s="33">
        <f t="shared" ca="1" si="473"/>
        <v>551.5380507293936</v>
      </c>
      <c r="EQ59" s="33">
        <f t="shared" ca="1" si="473"/>
        <v>551.5380507293936</v>
      </c>
      <c r="ER59" s="33">
        <f t="shared" ca="1" si="473"/>
        <v>551.5380507293936</v>
      </c>
      <c r="ES59" s="33">
        <f t="shared" ca="1" si="473"/>
        <v>551.5380507293936</v>
      </c>
      <c r="ET59" s="33">
        <f t="shared" ca="1" si="473"/>
        <v>551.5380507293936</v>
      </c>
      <c r="EU59" s="33">
        <f t="shared" ca="1" si="473"/>
        <v>551.5380507293936</v>
      </c>
      <c r="EV59" s="33">
        <f t="shared" ca="1" si="473"/>
        <v>551.5380507293936</v>
      </c>
      <c r="EW59" s="33">
        <f t="shared" ca="1" si="473"/>
        <v>551.5380507293936</v>
      </c>
      <c r="EX59" s="33">
        <f t="shared" ca="1" si="473"/>
        <v>551.5380507293936</v>
      </c>
      <c r="EY59" s="33">
        <f t="shared" ca="1" si="473"/>
        <v>551.5380507293936</v>
      </c>
      <c r="EZ59" s="33">
        <f t="shared" ca="1" si="473"/>
        <v>551.5380507293936</v>
      </c>
      <c r="FA59" s="33">
        <f t="shared" ca="1" si="473"/>
        <v>551.5380507293936</v>
      </c>
      <c r="FB59" s="33">
        <f t="shared" ca="1" si="473"/>
        <v>551.5380507293936</v>
      </c>
      <c r="FC59" s="33">
        <f t="shared" ca="1" si="473"/>
        <v>551.5380507293936</v>
      </c>
      <c r="FD59" s="33">
        <f t="shared" ca="1" si="473"/>
        <v>551.5380507293936</v>
      </c>
      <c r="FE59" s="33">
        <f t="shared" ca="1" si="473"/>
        <v>551.5380507293936</v>
      </c>
      <c r="FF59" s="33">
        <f t="shared" ca="1" si="473"/>
        <v>551.5380507293936</v>
      </c>
      <c r="FG59" s="33">
        <f t="shared" ca="1" si="473"/>
        <v>551.5380507293936</v>
      </c>
      <c r="FH59" s="33">
        <f t="shared" ca="1" si="473"/>
        <v>551.5380507293936</v>
      </c>
      <c r="FI59" s="33">
        <f t="shared" ca="1" si="473"/>
        <v>551.5380507293936</v>
      </c>
      <c r="FJ59" s="33">
        <f t="shared" ca="1" si="473"/>
        <v>551.5380507293936</v>
      </c>
      <c r="FK59" s="33">
        <f t="shared" ca="1" si="473"/>
        <v>551.5380507293936</v>
      </c>
      <c r="FL59" s="33">
        <f t="shared" ca="1" si="473"/>
        <v>551.5380507293936</v>
      </c>
      <c r="FM59" s="33">
        <f t="shared" ca="1" si="473"/>
        <v>551.5380507293936</v>
      </c>
      <c r="FN59" s="33">
        <f t="shared" ca="1" si="473"/>
        <v>551.5380507293936</v>
      </c>
      <c r="FO59" s="33">
        <f t="shared" ca="1" si="473"/>
        <v>551.5380507293936</v>
      </c>
      <c r="FP59" s="33">
        <f t="shared" ca="1" si="473"/>
        <v>551.5380507293936</v>
      </c>
      <c r="FQ59" s="33">
        <f t="shared" ca="1" si="473"/>
        <v>551.5380507293936</v>
      </c>
      <c r="FR59" s="33">
        <f t="shared" ca="1" si="473"/>
        <v>551.5380507293936</v>
      </c>
      <c r="FS59" s="33">
        <f t="shared" ca="1" si="473"/>
        <v>551.5380507293936</v>
      </c>
      <c r="FT59" s="33">
        <f t="shared" ca="1" si="473"/>
        <v>551.5380507293936</v>
      </c>
      <c r="FU59" s="33">
        <f t="shared" ca="1" si="473"/>
        <v>551.5380507293936</v>
      </c>
      <c r="FV59" s="33">
        <f t="shared" ca="1" si="473"/>
        <v>551.5380507293936</v>
      </c>
      <c r="FW59" s="33">
        <f t="shared" ca="1" si="473"/>
        <v>551.5380507293936</v>
      </c>
      <c r="FX59" s="33">
        <f t="shared" ca="1" si="473"/>
        <v>551.5380507293936</v>
      </c>
      <c r="FY59" s="33">
        <f t="shared" ca="1" si="473"/>
        <v>551.5380507293936</v>
      </c>
      <c r="FZ59" s="33">
        <f t="shared" ca="1" si="473"/>
        <v>551.5380507293936</v>
      </c>
      <c r="GA59" s="33">
        <f t="shared" ca="1" si="473"/>
        <v>551.5380507293936</v>
      </c>
      <c r="GB59" s="33">
        <f t="shared" ca="1" si="473"/>
        <v>551.5380507293936</v>
      </c>
      <c r="GC59" s="33">
        <f t="shared" ca="1" si="473"/>
        <v>551.5380507293936</v>
      </c>
      <c r="GD59" s="33">
        <f t="shared" ca="1" si="473"/>
        <v>551.5380507293936</v>
      </c>
      <c r="GE59" s="33">
        <f t="shared" ca="1" si="473"/>
        <v>551.5380507293936</v>
      </c>
      <c r="GF59" s="33">
        <f t="shared" ca="1" si="473"/>
        <v>551.5380507293936</v>
      </c>
      <c r="GG59" s="33">
        <f t="shared" ca="1" si="473"/>
        <v>551.5380507293936</v>
      </c>
      <c r="GH59" s="33">
        <f t="shared" ca="1" si="473"/>
        <v>551.5380507293936</v>
      </c>
      <c r="GI59" s="33">
        <f t="shared" ca="1" si="473"/>
        <v>551.5380507293936</v>
      </c>
      <c r="GJ59" s="33">
        <f t="shared" ca="1" si="473"/>
        <v>551.5380507293936</v>
      </c>
      <c r="GK59" s="33">
        <f t="shared" ca="1" si="473"/>
        <v>551.5380507293936</v>
      </c>
      <c r="GL59" s="33">
        <f t="shared" ca="1" si="473"/>
        <v>551.5380507293936</v>
      </c>
      <c r="GM59" s="33">
        <f t="shared" ca="1" si="473"/>
        <v>551.5380507293936</v>
      </c>
      <c r="GN59" s="33">
        <f t="shared" ref="GN59:IY59" ca="1" si="474">GM59+GN43</f>
        <v>551.5380507293936</v>
      </c>
      <c r="GO59" s="33">
        <f t="shared" ca="1" si="474"/>
        <v>551.5380507293936</v>
      </c>
      <c r="GP59" s="33">
        <f t="shared" ca="1" si="474"/>
        <v>551.5380507293936</v>
      </c>
      <c r="GQ59" s="33">
        <f t="shared" ca="1" si="474"/>
        <v>551.5380507293936</v>
      </c>
      <c r="GR59" s="33">
        <f t="shared" ca="1" si="474"/>
        <v>551.5380507293936</v>
      </c>
      <c r="GS59" s="33">
        <f t="shared" ca="1" si="474"/>
        <v>551.5380507293936</v>
      </c>
      <c r="GT59" s="33">
        <f t="shared" ca="1" si="474"/>
        <v>551.5380507293936</v>
      </c>
      <c r="GU59" s="33">
        <f t="shared" ca="1" si="474"/>
        <v>551.5380507293936</v>
      </c>
      <c r="GV59" s="33">
        <f t="shared" ca="1" si="474"/>
        <v>551.5380507293936</v>
      </c>
      <c r="GW59" s="33">
        <f t="shared" ca="1" si="474"/>
        <v>551.5380507293936</v>
      </c>
      <c r="GX59" s="33">
        <f t="shared" ca="1" si="474"/>
        <v>551.5380507293936</v>
      </c>
      <c r="GY59" s="33">
        <f t="shared" ca="1" si="474"/>
        <v>551.5380507293936</v>
      </c>
      <c r="GZ59" s="33">
        <f t="shared" ca="1" si="474"/>
        <v>551.5380507293936</v>
      </c>
      <c r="HA59" s="33">
        <f t="shared" ca="1" si="474"/>
        <v>551.5380507293936</v>
      </c>
      <c r="HB59" s="33">
        <f t="shared" ca="1" si="474"/>
        <v>551.5380507293936</v>
      </c>
      <c r="HC59" s="33">
        <f t="shared" ca="1" si="474"/>
        <v>551.5380507293936</v>
      </c>
      <c r="HD59" s="33">
        <f t="shared" ca="1" si="474"/>
        <v>551.5380507293936</v>
      </c>
      <c r="HE59" s="33">
        <f t="shared" ca="1" si="474"/>
        <v>551.5380507293936</v>
      </c>
      <c r="HF59" s="33">
        <f t="shared" ca="1" si="474"/>
        <v>551.5380507293936</v>
      </c>
      <c r="HG59" s="33">
        <f t="shared" ca="1" si="474"/>
        <v>551.5380507293936</v>
      </c>
      <c r="HH59" s="33">
        <f t="shared" ca="1" si="474"/>
        <v>551.5380507293936</v>
      </c>
      <c r="HI59" s="33">
        <f t="shared" ca="1" si="474"/>
        <v>551.5380507293936</v>
      </c>
      <c r="HJ59" s="33">
        <f t="shared" ca="1" si="474"/>
        <v>551.5380507293936</v>
      </c>
      <c r="HK59" s="33">
        <f t="shared" ca="1" si="474"/>
        <v>551.5380507293936</v>
      </c>
      <c r="HL59" s="33">
        <f t="shared" ca="1" si="474"/>
        <v>551.5380507293936</v>
      </c>
      <c r="HM59" s="33">
        <f t="shared" ca="1" si="474"/>
        <v>551.5380507293936</v>
      </c>
      <c r="HN59" s="33">
        <f t="shared" ca="1" si="474"/>
        <v>551.5380507293936</v>
      </c>
      <c r="HO59" s="33">
        <f t="shared" ca="1" si="474"/>
        <v>551.5380507293936</v>
      </c>
      <c r="HP59" s="33">
        <f t="shared" ca="1" si="474"/>
        <v>551.5380507293936</v>
      </c>
      <c r="HQ59" s="33">
        <f t="shared" ca="1" si="474"/>
        <v>551.5380507293936</v>
      </c>
      <c r="HR59" s="33">
        <f t="shared" ca="1" si="474"/>
        <v>551.5380507293936</v>
      </c>
      <c r="HS59" s="33">
        <f t="shared" ca="1" si="474"/>
        <v>551.5380507293936</v>
      </c>
      <c r="HT59" s="33">
        <f t="shared" ca="1" si="474"/>
        <v>551.5380507293936</v>
      </c>
      <c r="HU59" s="33">
        <f t="shared" ca="1" si="474"/>
        <v>551.5380507293936</v>
      </c>
      <c r="HV59" s="33">
        <f t="shared" ca="1" si="474"/>
        <v>551.5380507293936</v>
      </c>
      <c r="HW59" s="33">
        <f t="shared" ca="1" si="474"/>
        <v>551.5380507293936</v>
      </c>
      <c r="HX59" s="33">
        <f t="shared" ca="1" si="474"/>
        <v>551.5380507293936</v>
      </c>
      <c r="HY59" s="33">
        <f t="shared" ca="1" si="474"/>
        <v>551.5380507293936</v>
      </c>
      <c r="HZ59" s="33">
        <f t="shared" ca="1" si="474"/>
        <v>551.5380507293936</v>
      </c>
      <c r="IA59" s="33">
        <f t="shared" ca="1" si="474"/>
        <v>551.5380507293936</v>
      </c>
      <c r="IB59" s="33">
        <f t="shared" ca="1" si="474"/>
        <v>551.5380507293936</v>
      </c>
      <c r="IC59" s="33">
        <f t="shared" ca="1" si="474"/>
        <v>551.5380507293936</v>
      </c>
      <c r="ID59" s="33">
        <f t="shared" ca="1" si="474"/>
        <v>551.5380507293936</v>
      </c>
      <c r="IE59" s="33">
        <f t="shared" ca="1" si="474"/>
        <v>551.5380507293936</v>
      </c>
      <c r="IF59" s="33">
        <f t="shared" ca="1" si="474"/>
        <v>551.5380507293936</v>
      </c>
      <c r="IG59" s="33">
        <f t="shared" ca="1" si="474"/>
        <v>551.5380507293936</v>
      </c>
      <c r="IH59" s="33">
        <f t="shared" ca="1" si="474"/>
        <v>551.5380507293936</v>
      </c>
      <c r="II59" s="33">
        <f t="shared" ca="1" si="474"/>
        <v>551.5380507293936</v>
      </c>
      <c r="IJ59" s="33">
        <f t="shared" ca="1" si="474"/>
        <v>551.5380507293936</v>
      </c>
      <c r="IK59" s="33">
        <f t="shared" ca="1" si="474"/>
        <v>551.5380507293936</v>
      </c>
      <c r="IL59" s="33">
        <f t="shared" ca="1" si="474"/>
        <v>551.5380507293936</v>
      </c>
      <c r="IM59" s="33">
        <f t="shared" ca="1" si="474"/>
        <v>551.5380507293936</v>
      </c>
      <c r="IN59" s="33">
        <f t="shared" ca="1" si="474"/>
        <v>551.5380507293936</v>
      </c>
      <c r="IO59" s="33">
        <f t="shared" ca="1" si="474"/>
        <v>551.5380507293936</v>
      </c>
      <c r="IP59" s="33">
        <f t="shared" ca="1" si="474"/>
        <v>551.5380507293936</v>
      </c>
      <c r="IQ59" s="33">
        <f t="shared" ca="1" si="474"/>
        <v>551.5380507293936</v>
      </c>
      <c r="IR59" s="33">
        <f t="shared" ca="1" si="474"/>
        <v>551.5380507293936</v>
      </c>
      <c r="IS59" s="33">
        <f t="shared" ca="1" si="474"/>
        <v>551.5380507293936</v>
      </c>
      <c r="IT59" s="33">
        <f t="shared" ca="1" si="474"/>
        <v>551.5380507293936</v>
      </c>
      <c r="IU59" s="33">
        <f t="shared" ca="1" si="474"/>
        <v>551.5380507293936</v>
      </c>
      <c r="IV59" s="33">
        <f t="shared" ca="1" si="474"/>
        <v>551.5380507293936</v>
      </c>
      <c r="IW59" s="33">
        <f t="shared" ca="1" si="474"/>
        <v>551.5380507293936</v>
      </c>
      <c r="IX59" s="33">
        <f t="shared" ca="1" si="474"/>
        <v>551.5380507293936</v>
      </c>
      <c r="IY59" s="33">
        <f t="shared" ca="1" si="474"/>
        <v>551.5380507293936</v>
      </c>
      <c r="IZ59" s="33">
        <f t="shared" ref="IZ59:KB59" ca="1" si="475">IY59+IZ43</f>
        <v>551.5380507293936</v>
      </c>
      <c r="JA59" s="33">
        <f t="shared" ca="1" si="475"/>
        <v>551.5380507293936</v>
      </c>
      <c r="JB59" s="33">
        <f t="shared" ca="1" si="475"/>
        <v>551.5380507293936</v>
      </c>
      <c r="JC59" s="33">
        <f t="shared" ca="1" si="475"/>
        <v>551.5380507293936</v>
      </c>
      <c r="JD59" s="33">
        <f t="shared" ca="1" si="475"/>
        <v>551.5380507293936</v>
      </c>
      <c r="JE59" s="33">
        <f t="shared" ca="1" si="475"/>
        <v>551.5380507293936</v>
      </c>
      <c r="JF59" s="33">
        <f t="shared" ca="1" si="475"/>
        <v>551.5380507293936</v>
      </c>
      <c r="JG59" s="33">
        <f t="shared" ca="1" si="475"/>
        <v>551.5380507293936</v>
      </c>
      <c r="JH59" s="33">
        <f t="shared" ca="1" si="475"/>
        <v>551.5380507293936</v>
      </c>
      <c r="JI59" s="33">
        <f t="shared" ca="1" si="475"/>
        <v>551.5380507293936</v>
      </c>
      <c r="JJ59" s="33">
        <f t="shared" ca="1" si="475"/>
        <v>551.5380507293936</v>
      </c>
      <c r="JK59" s="33">
        <f t="shared" ca="1" si="475"/>
        <v>551.5380507293936</v>
      </c>
      <c r="JL59" s="33">
        <f t="shared" ca="1" si="475"/>
        <v>551.5380507293936</v>
      </c>
      <c r="JM59" s="33">
        <f t="shared" ca="1" si="475"/>
        <v>551.5380507293936</v>
      </c>
      <c r="JN59" s="33">
        <f t="shared" ca="1" si="475"/>
        <v>551.5380507293936</v>
      </c>
      <c r="JO59" s="33">
        <f t="shared" ca="1" si="475"/>
        <v>551.5380507293936</v>
      </c>
      <c r="JP59" s="33">
        <f t="shared" ca="1" si="475"/>
        <v>551.5380507293936</v>
      </c>
      <c r="JQ59" s="33">
        <f t="shared" ca="1" si="475"/>
        <v>551.5380507293936</v>
      </c>
      <c r="JR59" s="33">
        <f t="shared" ca="1" si="475"/>
        <v>551.5380507293936</v>
      </c>
      <c r="JS59" s="33">
        <f t="shared" ca="1" si="475"/>
        <v>551.5380507293936</v>
      </c>
      <c r="JT59" s="33">
        <f t="shared" ca="1" si="475"/>
        <v>551.5380507293936</v>
      </c>
      <c r="JU59" s="33">
        <f t="shared" ca="1" si="475"/>
        <v>551.5380507293936</v>
      </c>
      <c r="JV59" s="33">
        <f t="shared" ca="1" si="475"/>
        <v>551.5380507293936</v>
      </c>
      <c r="JW59" s="33">
        <f t="shared" ca="1" si="475"/>
        <v>551.5380507293936</v>
      </c>
      <c r="JX59" s="33">
        <f t="shared" ca="1" si="475"/>
        <v>551.5380507293936</v>
      </c>
      <c r="JY59" s="33">
        <f t="shared" ca="1" si="475"/>
        <v>551.5380507293936</v>
      </c>
      <c r="JZ59" s="33">
        <f t="shared" ca="1" si="475"/>
        <v>551.5380507293936</v>
      </c>
      <c r="KA59" s="33">
        <f t="shared" ca="1" si="475"/>
        <v>551.5380507293936</v>
      </c>
      <c r="KB59" s="33">
        <f t="shared" ca="1" si="475"/>
        <v>551.5380507293936</v>
      </c>
      <c r="KC59" s="44"/>
    </row>
    <row r="60" spans="1:289" x14ac:dyDescent="0.3">
      <c r="A60" s="39" t="s">
        <v>304</v>
      </c>
      <c r="B60" s="274"/>
      <c r="C60" s="44"/>
      <c r="D60" s="33">
        <f ca="1">IF(SUM($D$43:D43)&gt;$B$82,1,0)</f>
        <v>0</v>
      </c>
      <c r="E60" s="33">
        <f ca="1">IF(SUM($D$43:E43)&gt;$B$82,1,0)</f>
        <v>0</v>
      </c>
      <c r="F60" s="33">
        <f ca="1">IF(SUM($D$43:F43)&gt;$B$82,1,0)</f>
        <v>0</v>
      </c>
      <c r="G60" s="33">
        <f ca="1">IF(SUM($D$43:G43)&gt;$B$82,1,0)</f>
        <v>0</v>
      </c>
      <c r="H60" s="33">
        <f ca="1">IF(SUM($D$43:H43)&gt;$B$82,1,0)</f>
        <v>0</v>
      </c>
      <c r="I60" s="33">
        <f ca="1">IF(SUM($D$43:I43)&gt;$B$82,1,0)</f>
        <v>0</v>
      </c>
      <c r="J60" s="33">
        <f ca="1">IF(AND(SUM($D$43:J43)&gt;$B$82,SUM($D$43:J43)&lt;$B$82+I43),1,0)</f>
        <v>0</v>
      </c>
      <c r="K60" s="33">
        <f ca="1">IF(AND(SUM($D$43:K43)&gt;$B$82,SUM($D$43:K43)&lt;$B$82+J43),1,0)</f>
        <v>0</v>
      </c>
      <c r="L60" s="33">
        <f ca="1">IF(AND(SUM($D$43:L43)&gt;$B$82,SUM($D$43:L43)&lt;$B$82+K43),1,0)</f>
        <v>1</v>
      </c>
      <c r="M60" s="33">
        <f ca="1">IF(AND(SUM($D$43:M43)&gt;$B$82,SUM($D$43:M43)&lt;$B$82+L43),1,0)</f>
        <v>0</v>
      </c>
      <c r="N60" s="33">
        <f ca="1">IF(AND(SUM($D$43:N43)&gt;$B$82,SUM($D$43:N43)&lt;$B$82+M43),1,0)</f>
        <v>0</v>
      </c>
      <c r="O60" s="33">
        <f ca="1">IF(AND(SUM($D$43:O43)&gt;$B$82,SUM($D$43:O43)&lt;$B$82+N43),1,0)</f>
        <v>0</v>
      </c>
      <c r="P60" s="33">
        <f ca="1">IF(AND(SUM($D$43:P43)&gt;$B$82,SUM($D$43:P43)&lt;$B$82+O43),1,0)</f>
        <v>0</v>
      </c>
      <c r="Q60" s="33">
        <f ca="1">IF(AND(SUM($D$43:Q43)&gt;$B$82,SUM($D$43:Q43)&lt;$B$82+P43),1,0)</f>
        <v>0</v>
      </c>
      <c r="R60" s="33">
        <f ca="1">IF(AND(SUM($D$43:R43)&gt;$B$82,SUM($D$43:R43)&lt;$B$82+Q43),1,0)</f>
        <v>0</v>
      </c>
      <c r="S60" s="33">
        <f ca="1">IF(AND(SUM($D$43:S43)&gt;$B$82,SUM($D$43:S43)&lt;$B$82+R43),1,0)</f>
        <v>0</v>
      </c>
      <c r="T60" s="33">
        <f ca="1">IF(AND(SUM($D$43:T43)&gt;$B$82,SUM($D$43:T43)&lt;$B$82+S43),1,0)</f>
        <v>0</v>
      </c>
      <c r="U60" s="33">
        <f ca="1">IF(AND(SUM($D$43:U43)&gt;$B$82,SUM($D$43:U43)&lt;$B$82+T43),1,0)</f>
        <v>0</v>
      </c>
      <c r="V60" s="33">
        <f ca="1">IF(AND(SUM($D$43:V43)&gt;$B$82,SUM($D$43:V43)&lt;$B$82+U43),1,0)</f>
        <v>0</v>
      </c>
      <c r="W60" s="33">
        <f ca="1">IF(AND(SUM($D$43:W43)&gt;$B$82,SUM($D$43:W43)&lt;$B$82+V43),1,0)</f>
        <v>0</v>
      </c>
      <c r="X60" s="33">
        <f ca="1">IF(AND(SUM($D$43:X43)&gt;$B$82,SUM($D$43:X43)&lt;$B$82+W43),1,0)</f>
        <v>0</v>
      </c>
      <c r="Y60" s="33">
        <f ca="1">IF(AND(SUM($D$43:Y43)&gt;$B$82,SUM($D$43:Y43)&lt;$B$82+X43),1,0)</f>
        <v>0</v>
      </c>
      <c r="Z60" s="33">
        <f ca="1">IF(AND(SUM($D$43:Z43)&gt;$B$82,SUM($D$43:Z43)&lt;$B$82+Y43),1,0)</f>
        <v>0</v>
      </c>
      <c r="AA60" s="33">
        <f ca="1">IF(AND(SUM($D$43:AA43)&gt;$B$82,SUM($D$43:AA43)&lt;$B$82+Z43),1,0)</f>
        <v>0</v>
      </c>
      <c r="AB60" s="33">
        <f ca="1">IF(AND(SUM($D$43:AB43)&gt;$B$82,SUM($D$43:AB43)&lt;$B$82+AA43),1,0)</f>
        <v>0</v>
      </c>
      <c r="AC60" s="33">
        <f ca="1">IF(AND(SUM($D$43:AC43)&gt;$B$82,SUM($D$43:AC43)&lt;$B$82+AB43),1,0)</f>
        <v>0</v>
      </c>
      <c r="AD60" s="33">
        <f ca="1">IF(AND(SUM($D$43:AD43)&gt;$B$82,SUM($D$43:AD43)&lt;$B$82+AC43),1,0)</f>
        <v>0</v>
      </c>
      <c r="AE60" s="33">
        <f ca="1">IF(AND(SUM($D$43:AE43)&gt;$B$82,SUM($D$43:AE43)&lt;$B$82+AD43),1,0)</f>
        <v>0</v>
      </c>
      <c r="AF60" s="33">
        <f ca="1">IF(AND(SUM($D$43:AF43)&gt;$B$82,SUM($D$43:AF43)&lt;$B$82+AE43),1,0)</f>
        <v>0</v>
      </c>
      <c r="AG60" s="33">
        <f ca="1">IF(AND(SUM($D$43:AG43)&gt;$B$82,SUM($D$43:AG43)&lt;$B$82+AF43),1,0)</f>
        <v>0</v>
      </c>
      <c r="AH60" s="33">
        <f ca="1">IF(AND(SUM($D$43:AH43)&gt;$B$82,SUM($D$43:AH43)&lt;$B$82+AG43),1,0)</f>
        <v>0</v>
      </c>
      <c r="AI60" s="33">
        <f ca="1">IF(AND(SUM($D$43:AI43)&gt;$B$82,SUM($D$43:AI43)&lt;$B$82+AH43),1,0)</f>
        <v>0</v>
      </c>
      <c r="AJ60" s="33">
        <f ca="1">IF(AND(SUM($D$43:AJ43)&gt;$B$82,SUM($D$43:AJ43)&lt;$B$82+AI43),1,0)</f>
        <v>0</v>
      </c>
      <c r="AK60" s="33">
        <f ca="1">IF(AND(SUM($D$43:AK43)&gt;$B$82,SUM($D$43:AK43)&lt;$B$82+AJ43),1,0)</f>
        <v>0</v>
      </c>
      <c r="AL60" s="33">
        <f ca="1">IF(AND(SUM($D$43:AL43)&gt;$B$82,SUM($D$43:AL43)&lt;$B$82+AK43),1,0)</f>
        <v>0</v>
      </c>
      <c r="AM60" s="33">
        <f ca="1">IF(AND(SUM($D$43:AM43)&gt;$B$82,SUM($D$43:AM43)&lt;$B$82+AL43),1,0)</f>
        <v>0</v>
      </c>
      <c r="AN60" s="33">
        <f ca="1">IF(AND(SUM($D$43:AN43)&gt;$B$82,SUM($D$43:AN43)&lt;$B$82+AM43),1,0)</f>
        <v>0</v>
      </c>
      <c r="AO60" s="33">
        <f ca="1">IF(AND(SUM($D$43:AO43)&gt;$B$82,SUM($D$43:AO43)&lt;$B$82+AN43),1,0)</f>
        <v>0</v>
      </c>
      <c r="AP60" s="33">
        <f ca="1">IF(AND(SUM($D$43:AP43)&gt;$B$82,SUM($D$43:AP43)&lt;$B$82+AO43),1,0)</f>
        <v>0</v>
      </c>
      <c r="AQ60" s="33">
        <f ca="1">IF(AND(SUM($D$43:AQ43)&gt;$B$82,SUM($D$43:AQ43)&lt;$B$82+AP43),1,0)</f>
        <v>0</v>
      </c>
      <c r="AR60" s="33">
        <f ca="1">IF(AND(SUM($D$43:AR43)&gt;$B$82,SUM($D$43:AR43)&lt;$B$82+AQ43),1,0)</f>
        <v>0</v>
      </c>
      <c r="AS60" s="33">
        <f ca="1">IF(AND(SUM($D$43:AS43)&gt;$B$82,SUM($D$43:AS43)&lt;$B$82+AR43),1,0)</f>
        <v>0</v>
      </c>
      <c r="AT60" s="33">
        <f ca="1">IF(AND(SUM($D$43:AT43)&gt;$B$82,SUM($D$43:AT43)&lt;$B$82+AS43),1,0)</f>
        <v>0</v>
      </c>
      <c r="AU60" s="33">
        <f ca="1">IF(AND(SUM($D$43:AU43)&gt;$B$82,SUM($D$43:AU43)&lt;$B$82+AT43),1,0)</f>
        <v>0</v>
      </c>
      <c r="AV60" s="33">
        <f ca="1">IF(AND(SUM($D$43:AV43)&gt;$B$82,SUM($D$43:AV43)&lt;$B$82+AU43),1,0)</f>
        <v>0</v>
      </c>
      <c r="AW60" s="33">
        <f ca="1">IF(AND(SUM($D$43:AW43)&gt;$B$82,SUM($D$43:AW43)&lt;$B$82+AV43),1,0)</f>
        <v>0</v>
      </c>
      <c r="AX60" s="33">
        <f ca="1">IF(AND(SUM($D$43:AX43)&gt;$B$82,SUM($D$43:AX43)&lt;$B$82+AW43),1,0)</f>
        <v>0</v>
      </c>
      <c r="AY60" s="33">
        <f ca="1">IF(AND(SUM($D$43:AY43)&gt;$B$82,SUM($D$43:AY43)&lt;$B$82+AX43),1,0)</f>
        <v>0</v>
      </c>
      <c r="AZ60" s="33">
        <f ca="1">IF(AND(SUM($D$43:AZ43)&gt;$B$82,SUM($D$43:AZ43)&lt;$B$82+AY43),1,0)</f>
        <v>0</v>
      </c>
      <c r="BA60" s="33">
        <f ca="1">IF(AND(SUM($D$43:BA43)&gt;$B$82,SUM($D$43:BA43)&lt;$B$82+AZ43),1,0)</f>
        <v>0</v>
      </c>
      <c r="BB60" s="33">
        <f ca="1">IF(AND(SUM($D$43:BB43)&gt;$B$82,SUM($D$43:BB43)&lt;$B$82+BA43),1,0)</f>
        <v>0</v>
      </c>
      <c r="BC60" s="33">
        <f ca="1">IF(AND(SUM($D$43:BC43)&gt;$B$82,SUM($D$43:BC43)&lt;$B$82+BB43),1,0)</f>
        <v>0</v>
      </c>
      <c r="BD60" s="33">
        <f ca="1">IF(AND(SUM($D$43:BD43)&gt;$B$82,SUM($D$43:BD43)&lt;$B$82+BC43),1,0)</f>
        <v>0</v>
      </c>
      <c r="BE60" s="33">
        <f ca="1">IF(AND(SUM($D$43:BE43)&gt;$B$82,SUM($D$43:BE43)&lt;$B$82+BD43),1,0)</f>
        <v>0</v>
      </c>
      <c r="BF60" s="33">
        <f ca="1">IF(AND(SUM($D$43:BF43)&gt;$B$82,SUM($D$43:BF43)&lt;$B$82+BE43),1,0)</f>
        <v>0</v>
      </c>
      <c r="BG60" s="33">
        <f ca="1">IF(AND(SUM($D$43:BG43)&gt;$B$82,SUM($D$43:BG43)&lt;$B$82+BF43),1,0)</f>
        <v>0</v>
      </c>
      <c r="BH60" s="33">
        <f ca="1">IF(AND(SUM($D$43:BH43)&gt;$B$82,SUM($D$43:BH43)&lt;$B$82+BG43),1,0)</f>
        <v>0</v>
      </c>
      <c r="BI60" s="33">
        <f ca="1">IF(AND(SUM($D$43:BI43)&gt;$B$82,SUM($D$43:BI43)&lt;$B$82+BH43),1,0)</f>
        <v>0</v>
      </c>
      <c r="BJ60" s="33">
        <f ca="1">IF(AND(SUM($D$43:BJ43)&gt;$B$82,SUM($D$43:BJ43)&lt;$B$82+BI43),1,0)</f>
        <v>0</v>
      </c>
      <c r="BK60" s="33">
        <f ca="1">IF(AND(SUM($D$43:BK43)&gt;$B$82,SUM($D$43:BK43)&lt;$B$82+BJ43),1,0)</f>
        <v>0</v>
      </c>
      <c r="BL60" s="33">
        <f ca="1">IF(AND(SUM($D$43:BL43)&gt;$B$82,SUM($D$43:BL43)&lt;$B$82+BK43),1,0)</f>
        <v>0</v>
      </c>
      <c r="BM60" s="33">
        <f ca="1">IF(AND(SUM($D$43:BM43)&gt;$B$82,SUM($D$43:BM43)&lt;$B$82+BL43),1,0)</f>
        <v>0</v>
      </c>
      <c r="BN60" s="33">
        <f ca="1">IF(AND(SUM($D$43:BN43)&gt;$B$82,SUM($D$43:BN43)&lt;$B$82+BM43),1,0)</f>
        <v>0</v>
      </c>
      <c r="BO60" s="33">
        <f ca="1">IF(AND(SUM($D$43:BO43)&gt;$B$82,SUM($D$43:BO43)&lt;$B$82+BN43),1,0)</f>
        <v>0</v>
      </c>
      <c r="BP60" s="33">
        <f ca="1">IF(AND(SUM($D$43:BP43)&gt;$B$82,SUM($D$43:BP43)&lt;$B$82+BO43),1,0)</f>
        <v>0</v>
      </c>
      <c r="BQ60" s="33">
        <f ca="1">IF(AND(SUM($D$43:BQ43)&gt;$B$82,SUM($D$43:BQ43)&lt;$B$82+BP43),1,0)</f>
        <v>0</v>
      </c>
      <c r="BR60" s="33">
        <f ca="1">IF(AND(SUM($D$43:BR43)&gt;$B$82,SUM($D$43:BR43)&lt;$B$82+BQ43),1,0)</f>
        <v>0</v>
      </c>
      <c r="BS60" s="33">
        <f ca="1">IF(AND(SUM($D$43:BS43)&gt;$B$82,SUM($D$43:BS43)&lt;$B$82+BR43),1,0)</f>
        <v>0</v>
      </c>
      <c r="BT60" s="33">
        <f ca="1">IF(AND(SUM($D$43:BT43)&gt;$B$82,SUM($D$43:BT43)&lt;$B$82+BS43),1,0)</f>
        <v>0</v>
      </c>
      <c r="BU60" s="33">
        <f ca="1">IF(AND(SUM($D$43:BU43)&gt;$B$82,SUM($D$43:BU43)&lt;$B$82+BT43),1,0)</f>
        <v>0</v>
      </c>
      <c r="BV60" s="33">
        <f ca="1">IF(AND(SUM($D$43:BV43)&gt;$B$82,SUM($D$43:BV43)&lt;$B$82+BU43),1,0)</f>
        <v>0</v>
      </c>
      <c r="BW60" s="33">
        <f ca="1">IF(AND(SUM($D$43:BW43)&gt;$B$82,SUM($D$43:BW43)&lt;$B$82+BV43),1,0)</f>
        <v>0</v>
      </c>
      <c r="BX60" s="33">
        <f ca="1">IF(AND(SUM($D$43:BX43)&gt;$B$82,SUM($D$43:BX43)&lt;$B$82+BW43),1,0)</f>
        <v>0</v>
      </c>
      <c r="BY60" s="33">
        <f ca="1">IF(AND(SUM($D$43:BY43)&gt;$B$82,SUM($D$43:BY43)&lt;$B$82+BX43),1,0)</f>
        <v>0</v>
      </c>
      <c r="BZ60" s="33">
        <f ca="1">IF(AND(SUM($D$43:BZ43)&gt;$B$82,SUM($D$43:BZ43)&lt;$B$82+BY43),1,0)</f>
        <v>0</v>
      </c>
      <c r="CA60" s="33">
        <f ca="1">IF(AND(SUM($D$43:CA43)&gt;$B$82,SUM($D$43:CA43)&lt;$B$82+BZ43),1,0)</f>
        <v>0</v>
      </c>
      <c r="CB60" s="33">
        <f ca="1">IF(AND(SUM($D$43:CB43)&gt;$B$82,SUM($D$43:CB43)&lt;$B$82+CA43),1,0)</f>
        <v>0</v>
      </c>
      <c r="CC60" s="33">
        <f ca="1">IF(AND(SUM($D$43:CC43)&gt;$B$82,SUM($D$43:CC43)&lt;$B$82+CB43),1,0)</f>
        <v>0</v>
      </c>
      <c r="CD60" s="33">
        <f ca="1">IF(AND(SUM($D$43:CD43)&gt;$B$82,SUM($D$43:CD43)&lt;$B$82+CC43),1,0)</f>
        <v>0</v>
      </c>
      <c r="CE60" s="33">
        <f ca="1">IF(AND(SUM($D$43:CE43)&gt;$B$82,SUM($D$43:CE43)&lt;$B$82+CD43),1,0)</f>
        <v>0</v>
      </c>
      <c r="CF60" s="33">
        <f ca="1">IF(AND(SUM($D$43:CF43)&gt;$B$82,SUM($D$43:CF43)&lt;$B$82+CE43),1,0)</f>
        <v>0</v>
      </c>
      <c r="CG60" s="33">
        <f ca="1">IF(AND(SUM($D$43:CG43)&gt;$B$82,SUM($D$43:CG43)&lt;$B$82+CF43),1,0)</f>
        <v>0</v>
      </c>
      <c r="CH60" s="33">
        <f ca="1">IF(AND(SUM($D$43:CH43)&gt;$B$82,SUM($D$43:CH43)&lt;$B$82+CG43),1,0)</f>
        <v>0</v>
      </c>
      <c r="CI60" s="33">
        <f ca="1">IF(AND(SUM($D$43:CI43)&gt;$B$82,SUM($D$43:CI43)&lt;$B$82+CH43),1,0)</f>
        <v>0</v>
      </c>
      <c r="CJ60" s="33">
        <f ca="1">IF(AND(SUM($D$43:CJ43)&gt;$B$82,SUM($D$43:CJ43)&lt;$B$82+CI43),1,0)</f>
        <v>0</v>
      </c>
      <c r="CK60" s="33">
        <f ca="1">IF(AND(SUM($D$43:CK43)&gt;$B$82,SUM($D$43:CK43)&lt;$B$82+CJ43),1,0)</f>
        <v>0</v>
      </c>
      <c r="CL60" s="33">
        <f ca="1">IF(AND(SUM($D$43:CL43)&gt;$B$82,SUM($D$43:CL43)&lt;$B$82+CK43),1,0)</f>
        <v>0</v>
      </c>
      <c r="CM60" s="33">
        <f ca="1">IF(AND(SUM($D$43:CM43)&gt;$B$82,SUM($D$43:CM43)&lt;$B$82+CL43),1,0)</f>
        <v>0</v>
      </c>
      <c r="CN60" s="33">
        <f ca="1">IF(AND(SUM($D$43:CN43)&gt;$B$82,SUM($D$43:CN43)&lt;$B$82+CM43),1,0)</f>
        <v>0</v>
      </c>
      <c r="CO60" s="33">
        <f ca="1">IF(AND(SUM($D$43:CO43)&gt;$B$82,SUM($D$43:CO43)&lt;$B$82+CN43),1,0)</f>
        <v>0</v>
      </c>
      <c r="CP60" s="33">
        <f ca="1">IF(AND(SUM($D$43:CP43)&gt;$B$82,SUM($D$43:CP43)&lt;$B$82+CO43),1,0)</f>
        <v>0</v>
      </c>
      <c r="CQ60" s="33">
        <f ca="1">IF(AND(SUM($D$43:CQ43)&gt;$B$82,SUM($D$43:CQ43)&lt;$B$82+CP43),1,0)</f>
        <v>0</v>
      </c>
      <c r="CR60" s="33">
        <f ca="1">IF(AND(SUM($D$43:CR43)&gt;$B$82,SUM($D$43:CR43)&lt;$B$82+CQ43),1,0)</f>
        <v>0</v>
      </c>
      <c r="CS60" s="33">
        <f ca="1">IF(AND(SUM($D$43:CS43)&gt;$B$82,SUM($D$43:CS43)&lt;$B$82+CR43),1,0)</f>
        <v>0</v>
      </c>
      <c r="CT60" s="33">
        <f ca="1">IF(AND(SUM($D$43:CT43)&gt;$B$82,SUM($D$43:CT43)&lt;$B$82+CS43),1,0)</f>
        <v>0</v>
      </c>
      <c r="CU60" s="33">
        <f ca="1">IF(AND(SUM($D$43:CU43)&gt;$B$82,SUM($D$43:CU43)&lt;$B$82+CT43),1,0)</f>
        <v>0</v>
      </c>
      <c r="CV60" s="33">
        <f ca="1">IF(AND(SUM($D$43:CV43)&gt;$B$82,SUM($D$43:CV43)&lt;$B$82+CU43),1,0)</f>
        <v>0</v>
      </c>
      <c r="CW60" s="33">
        <f ca="1">IF(AND(SUM($D$43:CW43)&gt;$B$82,SUM($D$43:CW43)&lt;$B$82+CV43),1,0)</f>
        <v>0</v>
      </c>
      <c r="CX60" s="33">
        <f ca="1">IF(AND(SUM($D$43:CX43)&gt;$B$82,SUM($D$43:CX43)&lt;$B$82+CW43),1,0)</f>
        <v>0</v>
      </c>
      <c r="CY60" s="33">
        <f ca="1">IF(AND(SUM($D$43:CY43)&gt;$B$82,SUM($D$43:CY43)&lt;$B$82+CX43),1,0)</f>
        <v>0</v>
      </c>
      <c r="CZ60" s="33">
        <f ca="1">IF(AND(SUM($D$43:CZ43)&gt;$B$82,SUM($D$43:CZ43)&lt;$B$82+CY43),1,0)</f>
        <v>0</v>
      </c>
      <c r="DA60" s="33">
        <f ca="1">IF(AND(SUM($D$43:DA43)&gt;$B$82,SUM($D$43:DA43)&lt;$B$82+CZ43),1,0)</f>
        <v>0</v>
      </c>
      <c r="DB60" s="33">
        <f ca="1">IF(AND(SUM($D$43:DB43)&gt;$B$82,SUM($D$43:DB43)&lt;$B$82+DA43),1,0)</f>
        <v>0</v>
      </c>
      <c r="DC60" s="33">
        <f ca="1">IF(AND(SUM($D$43:DC43)&gt;$B$82,SUM($D$43:DC43)&lt;$B$82+DB43),1,0)</f>
        <v>0</v>
      </c>
      <c r="DD60" s="33">
        <f ca="1">IF(AND(SUM($D$43:DD43)&gt;$B$82,SUM($D$43:DD43)&lt;$B$82+DC43),1,0)</f>
        <v>0</v>
      </c>
      <c r="DE60" s="33">
        <f ca="1">IF(AND(SUM($D$43:DE43)&gt;$B$82,SUM($D$43:DE43)&lt;$B$82+DD43),1,0)</f>
        <v>0</v>
      </c>
      <c r="DF60" s="33">
        <f ca="1">IF(AND(SUM($D$43:DF43)&gt;$B$82,SUM($D$43:DF43)&lt;$B$82+DE43),1,0)</f>
        <v>0</v>
      </c>
      <c r="DG60" s="33">
        <f ca="1">IF(AND(SUM($D$43:DG43)&gt;$B$82,SUM($D$43:DG43)&lt;$B$82+DF43),1,0)</f>
        <v>0</v>
      </c>
      <c r="DH60" s="33">
        <f ca="1">IF(AND(SUM($D$43:DH43)&gt;$B$82,SUM($D$43:DH43)&lt;$B$82+DG43),1,0)</f>
        <v>0</v>
      </c>
      <c r="DI60" s="33">
        <f ca="1">IF(AND(SUM($D$43:DI43)&gt;$B$82,SUM($D$43:DI43)&lt;$B$82+DH43),1,0)</f>
        <v>0</v>
      </c>
      <c r="DJ60" s="33">
        <f ca="1">IF(AND(SUM($D$43:DJ43)&gt;$B$82,SUM($D$43:DJ43)&lt;$B$82+DI43),1,0)</f>
        <v>0</v>
      </c>
      <c r="DK60" s="33">
        <f ca="1">IF(AND(SUM($D$43:DK43)&gt;$B$82,SUM($D$43:DK43)&lt;$B$82+DJ43),1,0)</f>
        <v>0</v>
      </c>
      <c r="DL60" s="33">
        <f ca="1">IF(AND(SUM($D$43:DL43)&gt;$B$82,SUM($D$43:DL43)&lt;$B$82+DK43),1,0)</f>
        <v>0</v>
      </c>
      <c r="DM60" s="33">
        <f ca="1">IF(AND(SUM($D$43:DM43)&gt;$B$82,SUM($D$43:DM43)&lt;$B$82+DL43),1,0)</f>
        <v>0</v>
      </c>
      <c r="DN60" s="33">
        <f ca="1">IF(AND(SUM($D$43:DN43)&gt;$B$82,SUM($D$43:DN43)&lt;$B$82+DM43),1,0)</f>
        <v>0</v>
      </c>
      <c r="DO60" s="33">
        <f ca="1">IF(AND(SUM($D$43:DO43)&gt;$B$82,SUM($D$43:DO43)&lt;$B$82+DN43),1,0)</f>
        <v>0</v>
      </c>
      <c r="DP60" s="33">
        <f ca="1">IF(AND(SUM($D$43:DP43)&gt;$B$82,SUM($D$43:DP43)&lt;$B$82+DO43),1,0)</f>
        <v>0</v>
      </c>
      <c r="DQ60" s="33">
        <f ca="1">IF(AND(SUM($D$43:DQ43)&gt;$B$82,SUM($D$43:DQ43)&lt;$B$82+DP43),1,0)</f>
        <v>0</v>
      </c>
      <c r="DR60" s="33">
        <f ca="1">IF(AND(SUM($D$43:DR43)&gt;$B$82,SUM($D$43:DR43)&lt;$B$82+DQ43),1,0)</f>
        <v>0</v>
      </c>
      <c r="DS60" s="33">
        <f ca="1">IF(AND(SUM($D$43:DS43)&gt;$B$82,SUM($D$43:DS43)&lt;$B$82+DR43),1,0)</f>
        <v>0</v>
      </c>
      <c r="DT60" s="33">
        <f ca="1">IF(AND(SUM($D$43:DT43)&gt;$B$82,SUM($D$43:DT43)&lt;$B$82+DS43),1,0)</f>
        <v>0</v>
      </c>
      <c r="DU60" s="33">
        <f ca="1">IF(AND(SUM($D$43:DU43)&gt;$B$82,SUM($D$43:DU43)&lt;$B$82+DT43),1,0)</f>
        <v>0</v>
      </c>
      <c r="DV60" s="33">
        <f ca="1">IF(AND(SUM($D$43:DV43)&gt;$B$82,SUM($D$43:DV43)&lt;$B$82+DU43),1,0)</f>
        <v>0</v>
      </c>
      <c r="DW60" s="33">
        <f ca="1">IF(AND(SUM($D$43:DW43)&gt;$B$82,SUM($D$43:DW43)&lt;$B$82+DV43),1,0)</f>
        <v>0</v>
      </c>
      <c r="DX60" s="33">
        <f ca="1">IF(AND(SUM($D$43:DX43)&gt;$B$82,SUM($D$43:DX43)&lt;$B$82+DW43),1,0)</f>
        <v>0</v>
      </c>
      <c r="DY60" s="33">
        <f ca="1">IF(AND(SUM($D$43:DY43)&gt;$B$82,SUM($D$43:DY43)&lt;$B$82+DX43),1,0)</f>
        <v>0</v>
      </c>
      <c r="DZ60" s="33">
        <f ca="1">IF(AND(SUM($D$43:DZ43)&gt;$B$82,SUM($D$43:DZ43)&lt;$B$82+DY43),1,0)</f>
        <v>0</v>
      </c>
      <c r="EA60" s="33">
        <f ca="1">IF(AND(SUM($D$43:EA43)&gt;$B$82,SUM($D$43:EA43)&lt;$B$82+DZ43),1,0)</f>
        <v>0</v>
      </c>
      <c r="EB60" s="33">
        <f ca="1">IF(AND(SUM($D$43:EB43)&gt;$B$82,SUM($D$43:EB43)&lt;$B$82+EA43),1,0)</f>
        <v>0</v>
      </c>
      <c r="EC60" s="33">
        <f ca="1">IF(AND(SUM($D$43:EC43)&gt;$B$82,SUM($D$43:EC43)&lt;$B$82+EB43),1,0)</f>
        <v>0</v>
      </c>
      <c r="ED60" s="33">
        <f ca="1">IF(AND(SUM($D$43:ED43)&gt;$B$82,SUM($D$43:ED43)&lt;$B$82+EC43),1,0)</f>
        <v>0</v>
      </c>
      <c r="EE60" s="33">
        <f ca="1">IF(AND(SUM($D$43:EE43)&gt;$B$82,SUM($D$43:EE43)&lt;$B$82+ED43),1,0)</f>
        <v>0</v>
      </c>
      <c r="EF60" s="33">
        <f ca="1">IF(AND(SUM($D$43:EF43)&gt;$B$82,SUM($D$43:EF43)&lt;$B$82+EE43),1,0)</f>
        <v>0</v>
      </c>
      <c r="EG60" s="33">
        <f ca="1">IF(AND(SUM($D$43:EG43)&gt;$B$82,SUM($D$43:EG43)&lt;$B$82+EF43),1,0)</f>
        <v>0</v>
      </c>
      <c r="EH60" s="33">
        <f ca="1">IF(AND(SUM($D$43:EH43)&gt;$B$82,SUM($D$43:EH43)&lt;$B$82+EG43),1,0)</f>
        <v>0</v>
      </c>
      <c r="EI60" s="33">
        <f ca="1">IF(AND(SUM($D$43:EI43)&gt;$B$82,SUM($D$43:EI43)&lt;$B$82+EH43),1,0)</f>
        <v>0</v>
      </c>
      <c r="EJ60" s="33">
        <f ca="1">IF(AND(SUM($D$43:EJ43)&gt;$B$82,SUM($D$43:EJ43)&lt;$B$82+EI43),1,0)</f>
        <v>0</v>
      </c>
      <c r="EK60" s="33">
        <f ca="1">IF(AND(SUM($D$43:EK43)&gt;$B$82,SUM($D$43:EK43)&lt;$B$82+EJ43),1,0)</f>
        <v>0</v>
      </c>
      <c r="EL60" s="33">
        <f ca="1">IF(AND(SUM($D$43:EL43)&gt;$B$82,SUM($D$43:EL43)&lt;$B$82+EK43),1,0)</f>
        <v>0</v>
      </c>
      <c r="EM60" s="33">
        <f ca="1">IF(AND(SUM($D$43:EM43)&gt;$B$82,SUM($D$43:EM43)&lt;$B$82+EL43),1,0)</f>
        <v>0</v>
      </c>
      <c r="EN60" s="33">
        <f ca="1">IF(AND(SUM($D$43:EN43)&gt;$B$82,SUM($D$43:EN43)&lt;$B$82+EM43),1,0)</f>
        <v>0</v>
      </c>
      <c r="EO60" s="33">
        <f ca="1">IF(AND(SUM($D$43:EO43)&gt;$B$82,SUM($D$43:EO43)&lt;$B$82+EN43),1,0)</f>
        <v>0</v>
      </c>
      <c r="EP60" s="33">
        <f ca="1">IF(AND(SUM($D$43:EP43)&gt;$B$82,SUM($D$43:EP43)&lt;$B$82+EO43),1,0)</f>
        <v>0</v>
      </c>
      <c r="EQ60" s="33">
        <f ca="1">IF(AND(SUM($D$43:EQ43)&gt;$B$82,SUM($D$43:EQ43)&lt;$B$82+EP43),1,0)</f>
        <v>0</v>
      </c>
      <c r="ER60" s="33">
        <f ca="1">IF(AND(SUM($D$43:ER43)&gt;$B$82,SUM($D$43:ER43)&lt;$B$82+EQ43),1,0)</f>
        <v>0</v>
      </c>
      <c r="ES60" s="33">
        <f ca="1">IF(AND(SUM($D$43:ES43)&gt;$B$82,SUM($D$43:ES43)&lt;$B$82+ER43),1,0)</f>
        <v>0</v>
      </c>
      <c r="ET60" s="33">
        <f ca="1">IF(AND(SUM($D$43:ET43)&gt;$B$82,SUM($D$43:ET43)&lt;$B$82+ES43),1,0)</f>
        <v>0</v>
      </c>
      <c r="EU60" s="33">
        <f ca="1">IF(AND(SUM($D$43:EU43)&gt;$B$82,SUM($D$43:EU43)&lt;$B$82+ET43),1,0)</f>
        <v>0</v>
      </c>
      <c r="EV60" s="33">
        <f ca="1">IF(AND(SUM($D$43:EV43)&gt;$B$82,SUM($D$43:EV43)&lt;$B$82+EU43),1,0)</f>
        <v>0</v>
      </c>
      <c r="EW60" s="33">
        <f ca="1">IF(AND(SUM($D$43:EW43)&gt;$B$82,SUM($D$43:EW43)&lt;$B$82+EV43),1,0)</f>
        <v>0</v>
      </c>
      <c r="EX60" s="33">
        <f ca="1">IF(AND(SUM($D$43:EX43)&gt;$B$82,SUM($D$43:EX43)&lt;$B$82+EW43),1,0)</f>
        <v>0</v>
      </c>
      <c r="EY60" s="33">
        <f ca="1">IF(AND(SUM($D$43:EY43)&gt;$B$82,SUM($D$43:EY43)&lt;$B$82+EX43),1,0)</f>
        <v>0</v>
      </c>
      <c r="EZ60" s="33">
        <f ca="1">IF(AND(SUM($D$43:EZ43)&gt;$B$82,SUM($D$43:EZ43)&lt;$B$82+EY43),1,0)</f>
        <v>0</v>
      </c>
      <c r="FA60" s="33">
        <f ca="1">IF(AND(SUM($D$43:FA43)&gt;$B$82,SUM($D$43:FA43)&lt;$B$82+EZ43),1,0)</f>
        <v>0</v>
      </c>
      <c r="FB60" s="33">
        <f ca="1">IF(AND(SUM($D$43:FB43)&gt;$B$82,SUM($D$43:FB43)&lt;$B$82+FA43),1,0)</f>
        <v>0</v>
      </c>
      <c r="FC60" s="33">
        <f ca="1">IF(AND(SUM($D$43:FC43)&gt;$B$82,SUM($D$43:FC43)&lt;$B$82+FB43),1,0)</f>
        <v>0</v>
      </c>
      <c r="FD60" s="33">
        <f ca="1">IF(AND(SUM($D$43:FD43)&gt;$B$82,SUM($D$43:FD43)&lt;$B$82+FC43),1,0)</f>
        <v>0</v>
      </c>
      <c r="FE60" s="33">
        <f ca="1">IF(AND(SUM($D$43:FE43)&gt;$B$82,SUM($D$43:FE43)&lt;$B$82+FD43),1,0)</f>
        <v>0</v>
      </c>
      <c r="FF60" s="33">
        <f ca="1">IF(AND(SUM($D$43:FF43)&gt;$B$82,SUM($D$43:FF43)&lt;$B$82+FE43),1,0)</f>
        <v>0</v>
      </c>
      <c r="FG60" s="33">
        <f ca="1">IF(AND(SUM($D$43:FG43)&gt;$B$82,SUM($D$43:FG43)&lt;$B$82+FF43),1,0)</f>
        <v>0</v>
      </c>
      <c r="FH60" s="33">
        <f ca="1">IF(AND(SUM($D$43:FH43)&gt;$B$82,SUM($D$43:FH43)&lt;$B$82+FG43),1,0)</f>
        <v>0</v>
      </c>
      <c r="FI60" s="33">
        <f ca="1">IF(AND(SUM($D$43:FI43)&gt;$B$82,SUM($D$43:FI43)&lt;$B$82+FH43),1,0)</f>
        <v>0</v>
      </c>
      <c r="FJ60" s="33">
        <f ca="1">IF(AND(SUM($D$43:FJ43)&gt;$B$82,SUM($D$43:FJ43)&lt;$B$82+FI43),1,0)</f>
        <v>0</v>
      </c>
      <c r="FK60" s="33">
        <f ca="1">IF(AND(SUM($D$43:FK43)&gt;$B$82,SUM($D$43:FK43)&lt;$B$82+FJ43),1,0)</f>
        <v>0</v>
      </c>
      <c r="FL60" s="33">
        <f ca="1">IF(AND(SUM($D$43:FL43)&gt;$B$82,SUM($D$43:FL43)&lt;$B$82+FK43),1,0)</f>
        <v>0</v>
      </c>
      <c r="FM60" s="33">
        <f ca="1">IF(AND(SUM($D$43:FM43)&gt;$B$82,SUM($D$43:FM43)&lt;$B$82+FL43),1,0)</f>
        <v>0</v>
      </c>
      <c r="FN60" s="33">
        <f ca="1">IF(AND(SUM($D$43:FN43)&gt;$B$82,SUM($D$43:FN43)&lt;$B$82+FM43),1,0)</f>
        <v>0</v>
      </c>
      <c r="FO60" s="33">
        <f ca="1">IF(AND(SUM($D$43:FO43)&gt;$B$82,SUM($D$43:FO43)&lt;$B$82+FN43),1,0)</f>
        <v>0</v>
      </c>
      <c r="FP60" s="33">
        <f ca="1">IF(AND(SUM($D$43:FP43)&gt;$B$82,SUM($D$43:FP43)&lt;$B$82+FO43),1,0)</f>
        <v>0</v>
      </c>
      <c r="FQ60" s="33">
        <f ca="1">IF(AND(SUM($D$43:FQ43)&gt;$B$82,SUM($D$43:FQ43)&lt;$B$82+FP43),1,0)</f>
        <v>0</v>
      </c>
      <c r="FR60" s="33">
        <f ca="1">IF(AND(SUM($D$43:FR43)&gt;$B$82,SUM($D$43:FR43)&lt;$B$82+FQ43),1,0)</f>
        <v>0</v>
      </c>
      <c r="FS60" s="33">
        <f ca="1">IF(AND(SUM($D$43:FS43)&gt;$B$82,SUM($D$43:FS43)&lt;$B$82+FR43),1,0)</f>
        <v>0</v>
      </c>
      <c r="FT60" s="33">
        <f ca="1">IF(AND(SUM($D$43:FT43)&gt;$B$82,SUM($D$43:FT43)&lt;$B$82+FS43),1,0)</f>
        <v>0</v>
      </c>
      <c r="FU60" s="33">
        <f ca="1">IF(AND(SUM($D$43:FU43)&gt;$B$82,SUM($D$43:FU43)&lt;$B$82+FT43),1,0)</f>
        <v>0</v>
      </c>
      <c r="FV60" s="33">
        <f ca="1">IF(AND(SUM($D$43:FV43)&gt;$B$82,SUM($D$43:FV43)&lt;$B$82+FU43),1,0)</f>
        <v>0</v>
      </c>
      <c r="FW60" s="33">
        <f ca="1">IF(AND(SUM($D$43:FW43)&gt;$B$82,SUM($D$43:FW43)&lt;$B$82+FV43),1,0)</f>
        <v>0</v>
      </c>
      <c r="FX60" s="33">
        <f ca="1">IF(AND(SUM($D$43:FX43)&gt;$B$82,SUM($D$43:FX43)&lt;$B$82+FW43),1,0)</f>
        <v>0</v>
      </c>
      <c r="FY60" s="33">
        <f ca="1">IF(AND(SUM($D$43:FY43)&gt;$B$82,SUM($D$43:FY43)&lt;$B$82+FX43),1,0)</f>
        <v>0</v>
      </c>
      <c r="FZ60" s="33">
        <f ca="1">IF(AND(SUM($D$43:FZ43)&gt;$B$82,SUM($D$43:FZ43)&lt;$B$82+FY43),1,0)</f>
        <v>0</v>
      </c>
      <c r="GA60" s="33">
        <f ca="1">IF(AND(SUM($D$43:GA43)&gt;$B$82,SUM($D$43:GA43)&lt;$B$82+FZ43),1,0)</f>
        <v>0</v>
      </c>
      <c r="GB60" s="33">
        <f ca="1">IF(AND(SUM($D$43:GB43)&gt;$B$82,SUM($D$43:GB43)&lt;$B$82+GA43),1,0)</f>
        <v>0</v>
      </c>
      <c r="GC60" s="33">
        <f ca="1">IF(AND(SUM($D$43:GC43)&gt;$B$82,SUM($D$43:GC43)&lt;$B$82+GB43),1,0)</f>
        <v>0</v>
      </c>
      <c r="GD60" s="33">
        <f ca="1">IF(AND(SUM($D$43:GD43)&gt;$B$82,SUM($D$43:GD43)&lt;$B$82+GC43),1,0)</f>
        <v>0</v>
      </c>
      <c r="GE60" s="33">
        <f ca="1">IF(AND(SUM($D$43:GE43)&gt;$B$82,SUM($D$43:GE43)&lt;$B$82+GD43),1,0)</f>
        <v>0</v>
      </c>
      <c r="GF60" s="33">
        <f ca="1">IF(AND(SUM($D$43:GF43)&gt;$B$82,SUM($D$43:GF43)&lt;$B$82+GE43),1,0)</f>
        <v>0</v>
      </c>
      <c r="GG60" s="33">
        <f ca="1">IF(AND(SUM($D$43:GG43)&gt;$B$82,SUM($D$43:GG43)&lt;$B$82+GF43),1,0)</f>
        <v>0</v>
      </c>
      <c r="GH60" s="33">
        <f ca="1">IF(AND(SUM($D$43:GH43)&gt;$B$82,SUM($D$43:GH43)&lt;$B$82+GG43),1,0)</f>
        <v>0</v>
      </c>
      <c r="GI60" s="33">
        <f ca="1">IF(AND(SUM($D$43:GI43)&gt;$B$82,SUM($D$43:GI43)&lt;$B$82+GH43),1,0)</f>
        <v>0</v>
      </c>
      <c r="GJ60" s="33">
        <f ca="1">IF(AND(SUM($D$43:GJ43)&gt;$B$82,SUM($D$43:GJ43)&lt;$B$82+GI43),1,0)</f>
        <v>0</v>
      </c>
      <c r="GK60" s="33">
        <f ca="1">IF(AND(SUM($D$43:GK43)&gt;$B$82,SUM($D$43:GK43)&lt;$B$82+GJ43),1,0)</f>
        <v>0</v>
      </c>
      <c r="GL60" s="33">
        <f ca="1">IF(AND(SUM($D$43:GL43)&gt;$B$82,SUM($D$43:GL43)&lt;$B$82+GK43),1,0)</f>
        <v>0</v>
      </c>
      <c r="GM60" s="33">
        <f ca="1">IF(AND(SUM($D$43:GM43)&gt;$B$82,SUM($D$43:GM43)&lt;$B$82+GL43),1,0)</f>
        <v>0</v>
      </c>
      <c r="GN60" s="33">
        <f ca="1">IF(AND(SUM($D$43:GN43)&gt;$B$82,SUM($D$43:GN43)&lt;$B$82+GM43),1,0)</f>
        <v>0</v>
      </c>
      <c r="GO60" s="33">
        <f ca="1">IF(AND(SUM($D$43:GO43)&gt;$B$82,SUM($D$43:GO43)&lt;$B$82+GN43),1,0)</f>
        <v>0</v>
      </c>
      <c r="GP60" s="33">
        <f ca="1">IF(AND(SUM($D$43:GP43)&gt;$B$82,SUM($D$43:GP43)&lt;$B$82+GO43),1,0)</f>
        <v>0</v>
      </c>
      <c r="GQ60" s="33">
        <f ca="1">IF(AND(SUM($D$43:GQ43)&gt;$B$82,SUM($D$43:GQ43)&lt;$B$82+GP43),1,0)</f>
        <v>0</v>
      </c>
      <c r="GR60" s="33">
        <f ca="1">IF(AND(SUM($D$43:GR43)&gt;$B$82,SUM($D$43:GR43)&lt;$B$82+GQ43),1,0)</f>
        <v>0</v>
      </c>
      <c r="GS60" s="33">
        <f ca="1">IF(AND(SUM($D$43:GS43)&gt;$B$82,SUM($D$43:GS43)&lt;$B$82+GR43),1,0)</f>
        <v>0</v>
      </c>
      <c r="GT60" s="33">
        <f ca="1">IF(AND(SUM($D$43:GT43)&gt;$B$82,SUM($D$43:GT43)&lt;$B$82+GS43),1,0)</f>
        <v>0</v>
      </c>
      <c r="GU60" s="33">
        <f ca="1">IF(AND(SUM($D$43:GU43)&gt;$B$82,SUM($D$43:GU43)&lt;$B$82+GT43),1,0)</f>
        <v>0</v>
      </c>
      <c r="GV60" s="33">
        <f ca="1">IF(AND(SUM($D$43:GV43)&gt;$B$82,SUM($D$43:GV43)&lt;$B$82+GU43),1,0)</f>
        <v>0</v>
      </c>
      <c r="GW60" s="33">
        <f ca="1">IF(AND(SUM($D$43:GW43)&gt;$B$82,SUM($D$43:GW43)&lt;$B$82+GV43),1,0)</f>
        <v>0</v>
      </c>
      <c r="GX60" s="33">
        <f ca="1">IF(AND(SUM($D$43:GX43)&gt;$B$82,SUM($D$43:GX43)&lt;$B$82+GW43),1,0)</f>
        <v>0</v>
      </c>
      <c r="GY60" s="33">
        <f ca="1">IF(AND(SUM($D$43:GY43)&gt;$B$82,SUM($D$43:GY43)&lt;$B$82+GX43),1,0)</f>
        <v>0</v>
      </c>
      <c r="GZ60" s="33">
        <f ca="1">IF(AND(SUM($D$43:GZ43)&gt;$B$82,SUM($D$43:GZ43)&lt;$B$82+GY43),1,0)</f>
        <v>0</v>
      </c>
      <c r="HA60" s="33">
        <f ca="1">IF(AND(SUM($D$43:HA43)&gt;$B$82,SUM($D$43:HA43)&lt;$B$82+GZ43),1,0)</f>
        <v>0</v>
      </c>
      <c r="HB60" s="33">
        <f ca="1">IF(AND(SUM($D$43:HB43)&gt;$B$82,SUM($D$43:HB43)&lt;$B$82+HA43),1,0)</f>
        <v>0</v>
      </c>
      <c r="HC60" s="33">
        <f ca="1">IF(AND(SUM($D$43:HC43)&gt;$B$82,SUM($D$43:HC43)&lt;$B$82+HB43),1,0)</f>
        <v>0</v>
      </c>
      <c r="HD60" s="33">
        <f ca="1">IF(AND(SUM($D$43:HD43)&gt;$B$82,SUM($D$43:HD43)&lt;$B$82+HC43),1,0)</f>
        <v>0</v>
      </c>
      <c r="HE60" s="33">
        <f ca="1">IF(AND(SUM($D$43:HE43)&gt;$B$82,SUM($D$43:HE43)&lt;$B$82+HD43),1,0)</f>
        <v>0</v>
      </c>
      <c r="HF60" s="33">
        <f ca="1">IF(AND(SUM($D$43:HF43)&gt;$B$82,SUM($D$43:HF43)&lt;$B$82+HE43),1,0)</f>
        <v>0</v>
      </c>
      <c r="HG60" s="33">
        <f ca="1">IF(AND(SUM($D$43:HG43)&gt;$B$82,SUM($D$43:HG43)&lt;$B$82+HF43),1,0)</f>
        <v>0</v>
      </c>
      <c r="HH60" s="33">
        <f ca="1">IF(AND(SUM($D$43:HH43)&gt;$B$82,SUM($D$43:HH43)&lt;$B$82+HG43),1,0)</f>
        <v>0</v>
      </c>
      <c r="HI60" s="33">
        <f ca="1">IF(AND(SUM($D$43:HI43)&gt;$B$82,SUM($D$43:HI43)&lt;$B$82+HH43),1,0)</f>
        <v>0</v>
      </c>
      <c r="HJ60" s="33">
        <f ca="1">IF(AND(SUM($D$43:HJ43)&gt;$B$82,SUM($D$43:HJ43)&lt;$B$82+HI43),1,0)</f>
        <v>0</v>
      </c>
      <c r="HK60" s="33">
        <f ca="1">IF(AND(SUM($D$43:HK43)&gt;$B$82,SUM($D$43:HK43)&lt;$B$82+HJ43),1,0)</f>
        <v>0</v>
      </c>
      <c r="HL60" s="33">
        <f ca="1">IF(AND(SUM($D$43:HL43)&gt;$B$82,SUM($D$43:HL43)&lt;$B$82+HK43),1,0)</f>
        <v>0</v>
      </c>
      <c r="HM60" s="33">
        <f ca="1">IF(AND(SUM($D$43:HM43)&gt;$B$82,SUM($D$43:HM43)&lt;$B$82+HL43),1,0)</f>
        <v>0</v>
      </c>
      <c r="HN60" s="33">
        <f ca="1">IF(AND(SUM($D$43:HN43)&gt;$B$82,SUM($D$43:HN43)&lt;$B$82+HM43),1,0)</f>
        <v>0</v>
      </c>
      <c r="HO60" s="33">
        <f ca="1">IF(AND(SUM($D$43:HO43)&gt;$B$82,SUM($D$43:HO43)&lt;$B$82+HN43),1,0)</f>
        <v>0</v>
      </c>
      <c r="HP60" s="33">
        <f ca="1">IF(AND(SUM($D$43:HP43)&gt;$B$82,SUM($D$43:HP43)&lt;$B$82+HO43),1,0)</f>
        <v>0</v>
      </c>
      <c r="HQ60" s="33">
        <f ca="1">IF(AND(SUM($D$43:HQ43)&gt;$B$82,SUM($D$43:HQ43)&lt;$B$82+HP43),1,0)</f>
        <v>0</v>
      </c>
      <c r="HR60" s="33">
        <f ca="1">IF(AND(SUM($D$43:HR43)&gt;$B$82,SUM($D$43:HR43)&lt;$B$82+HQ43),1,0)</f>
        <v>0</v>
      </c>
      <c r="HS60" s="33">
        <f ca="1">IF(AND(SUM($D$43:HS43)&gt;$B$82,SUM($D$43:HS43)&lt;$B$82+HR43),1,0)</f>
        <v>0</v>
      </c>
      <c r="HT60" s="33">
        <f ca="1">IF(AND(SUM($D$43:HT43)&gt;$B$82,SUM($D$43:HT43)&lt;$B$82+HS43),1,0)</f>
        <v>0</v>
      </c>
      <c r="HU60" s="33">
        <f ca="1">IF(AND(SUM($D$43:HU43)&gt;$B$82,SUM($D$43:HU43)&lt;$B$82+HT43),1,0)</f>
        <v>0</v>
      </c>
      <c r="HV60" s="33">
        <f ca="1">IF(AND(SUM($D$43:HV43)&gt;$B$82,SUM($D$43:HV43)&lt;$B$82+HU43),1,0)</f>
        <v>0</v>
      </c>
      <c r="HW60" s="33">
        <f ca="1">IF(AND(SUM($D$43:HW43)&gt;$B$82,SUM($D$43:HW43)&lt;$B$82+HV43),1,0)</f>
        <v>0</v>
      </c>
      <c r="HX60" s="33">
        <f ca="1">IF(AND(SUM($D$43:HX43)&gt;$B$82,SUM($D$43:HX43)&lt;$B$82+HW43),1,0)</f>
        <v>0</v>
      </c>
      <c r="HY60" s="33">
        <f ca="1">IF(AND(SUM($D$43:HY43)&gt;$B$82,SUM($D$43:HY43)&lt;$B$82+HX43),1,0)</f>
        <v>0</v>
      </c>
      <c r="HZ60" s="33">
        <f ca="1">IF(AND(SUM($D$43:HZ43)&gt;$B$82,SUM($D$43:HZ43)&lt;$B$82+HY43),1,0)</f>
        <v>0</v>
      </c>
      <c r="IA60" s="33">
        <f ca="1">IF(AND(SUM($D$43:IA43)&gt;$B$82,SUM($D$43:IA43)&lt;$B$82+HZ43),1,0)</f>
        <v>0</v>
      </c>
      <c r="IB60" s="33">
        <f ca="1">IF(AND(SUM($D$43:IB43)&gt;$B$82,SUM($D$43:IB43)&lt;$B$82+IA43),1,0)</f>
        <v>0</v>
      </c>
      <c r="IC60" s="33">
        <f ca="1">IF(AND(SUM($D$43:IC43)&gt;$B$82,SUM($D$43:IC43)&lt;$B$82+IB43),1,0)</f>
        <v>0</v>
      </c>
      <c r="ID60" s="33">
        <f ca="1">IF(AND(SUM($D$43:ID43)&gt;$B$82,SUM($D$43:ID43)&lt;$B$82+IC43),1,0)</f>
        <v>0</v>
      </c>
      <c r="IE60" s="33">
        <f ca="1">IF(AND(SUM($D$43:IE43)&gt;$B$82,SUM($D$43:IE43)&lt;$B$82+ID43),1,0)</f>
        <v>0</v>
      </c>
      <c r="IF60" s="33">
        <f ca="1">IF(AND(SUM($D$43:IF43)&gt;$B$82,SUM($D$43:IF43)&lt;$B$82+IE43),1,0)</f>
        <v>0</v>
      </c>
      <c r="IG60" s="33">
        <f ca="1">IF(AND(SUM($D$43:IG43)&gt;$B$82,SUM($D$43:IG43)&lt;$B$82+IF43),1,0)</f>
        <v>0</v>
      </c>
      <c r="IH60" s="33">
        <f ca="1">IF(AND(SUM($D$43:IH43)&gt;$B$82,SUM($D$43:IH43)&lt;$B$82+IG43),1,0)</f>
        <v>0</v>
      </c>
      <c r="II60" s="33">
        <f ca="1">IF(AND(SUM($D$43:II43)&gt;$B$82,SUM($D$43:II43)&lt;$B$82+IH43),1,0)</f>
        <v>0</v>
      </c>
      <c r="IJ60" s="33">
        <f ca="1">IF(AND(SUM($D$43:IJ43)&gt;$B$82,SUM($D$43:IJ43)&lt;$B$82+II43),1,0)</f>
        <v>0</v>
      </c>
      <c r="IK60" s="33">
        <f ca="1">IF(AND(SUM($D$43:IK43)&gt;$B$82,SUM($D$43:IK43)&lt;$B$82+IJ43),1,0)</f>
        <v>0</v>
      </c>
      <c r="IL60" s="33">
        <f ca="1">IF(AND(SUM($D$43:IL43)&gt;$B$82,SUM($D$43:IL43)&lt;$B$82+IK43),1,0)</f>
        <v>0</v>
      </c>
      <c r="IM60" s="33">
        <f ca="1">IF(AND(SUM($D$43:IM43)&gt;$B$82,SUM($D$43:IM43)&lt;$B$82+IL43),1,0)</f>
        <v>0</v>
      </c>
      <c r="IN60" s="33">
        <f ca="1">IF(AND(SUM($D$43:IN43)&gt;$B$82,SUM($D$43:IN43)&lt;$B$82+IM43),1,0)</f>
        <v>0</v>
      </c>
      <c r="IO60" s="33">
        <f ca="1">IF(AND(SUM($D$43:IO43)&gt;$B$82,SUM($D$43:IO43)&lt;$B$82+IN43),1,0)</f>
        <v>0</v>
      </c>
      <c r="IP60" s="33">
        <f ca="1">IF(AND(SUM($D$43:IP43)&gt;$B$82,SUM($D$43:IP43)&lt;$B$82+IO43),1,0)</f>
        <v>0</v>
      </c>
      <c r="IQ60" s="33">
        <f ca="1">IF(AND(SUM($D$43:IQ43)&gt;$B$82,SUM($D$43:IQ43)&lt;$B$82+IP43),1,0)</f>
        <v>0</v>
      </c>
      <c r="IR60" s="33">
        <f ca="1">IF(AND(SUM($D$43:IR43)&gt;$B$82,SUM($D$43:IR43)&lt;$B$82+IQ43),1,0)</f>
        <v>0</v>
      </c>
      <c r="IS60" s="33">
        <f ca="1">IF(AND(SUM($D$43:IS43)&gt;$B$82,SUM($D$43:IS43)&lt;$B$82+IR43),1,0)</f>
        <v>0</v>
      </c>
      <c r="IT60" s="33">
        <f ca="1">IF(AND(SUM($D$43:IT43)&gt;$B$82,SUM($D$43:IT43)&lt;$B$82+IS43),1,0)</f>
        <v>0</v>
      </c>
      <c r="IU60" s="33">
        <f ca="1">IF(AND(SUM($D$43:IU43)&gt;$B$82,SUM($D$43:IU43)&lt;$B$82+IT43),1,0)</f>
        <v>0</v>
      </c>
      <c r="IV60" s="33">
        <f ca="1">IF(AND(SUM($D$43:IV43)&gt;$B$82,SUM($D$43:IV43)&lt;$B$82+IU43),1,0)</f>
        <v>0</v>
      </c>
      <c r="IW60" s="33">
        <f ca="1">IF(AND(SUM($D$43:IW43)&gt;$B$82,SUM($D$43:IW43)&lt;$B$82+IV43),1,0)</f>
        <v>0</v>
      </c>
      <c r="IX60" s="33">
        <f ca="1">IF(AND(SUM($D$43:IX43)&gt;$B$82,SUM($D$43:IX43)&lt;$B$82+IW43),1,0)</f>
        <v>0</v>
      </c>
      <c r="IY60" s="33">
        <f ca="1">IF(AND(SUM($D$43:IY43)&gt;$B$82,SUM($D$43:IY43)&lt;$B$82+IX43),1,0)</f>
        <v>0</v>
      </c>
      <c r="IZ60" s="33">
        <f ca="1">IF(AND(SUM($D$43:IZ43)&gt;$B$82,SUM($D$43:IZ43)&lt;$B$82+IY43),1,0)</f>
        <v>0</v>
      </c>
      <c r="JA60" s="33">
        <f ca="1">IF(AND(SUM($D$43:JA43)&gt;$B$82,SUM($D$43:JA43)&lt;$B$82+IZ43),1,0)</f>
        <v>0</v>
      </c>
      <c r="JB60" s="33">
        <f ca="1">IF(AND(SUM($D$43:JB43)&gt;$B$82,SUM($D$43:JB43)&lt;$B$82+JA43),1,0)</f>
        <v>0</v>
      </c>
      <c r="JC60" s="33">
        <f ca="1">IF(AND(SUM($D$43:JC43)&gt;$B$82,SUM($D$43:JC43)&lt;$B$82+JB43),1,0)</f>
        <v>0</v>
      </c>
      <c r="JD60" s="33">
        <f ca="1">IF(AND(SUM($D$43:JD43)&gt;$B$82,SUM($D$43:JD43)&lt;$B$82+JC43),1,0)</f>
        <v>0</v>
      </c>
      <c r="JE60" s="33">
        <f ca="1">IF(AND(SUM($D$43:JE43)&gt;$B$82,SUM($D$43:JE43)&lt;$B$82+JD43),1,0)</f>
        <v>0</v>
      </c>
      <c r="JF60" s="33">
        <f ca="1">IF(AND(SUM($D$43:JF43)&gt;$B$82,SUM($D$43:JF43)&lt;$B$82+JE43),1,0)</f>
        <v>0</v>
      </c>
      <c r="JG60" s="33">
        <f ca="1">IF(AND(SUM($D$43:JG43)&gt;$B$82,SUM($D$43:JG43)&lt;$B$82+JF43),1,0)</f>
        <v>0</v>
      </c>
      <c r="JH60" s="33">
        <f ca="1">IF(AND(SUM($D$43:JH43)&gt;$B$82,SUM($D$43:JH43)&lt;$B$82+JG43),1,0)</f>
        <v>0</v>
      </c>
      <c r="JI60" s="33">
        <f ca="1">IF(AND(SUM($D$43:JI43)&gt;$B$82,SUM($D$43:JI43)&lt;$B$82+JH43),1,0)</f>
        <v>0</v>
      </c>
      <c r="JJ60" s="33">
        <f ca="1">IF(AND(SUM($D$43:JJ43)&gt;$B$82,SUM($D$43:JJ43)&lt;$B$82+JI43),1,0)</f>
        <v>0</v>
      </c>
      <c r="JK60" s="33">
        <f ca="1">IF(AND(SUM($D$43:JK43)&gt;$B$82,SUM($D$43:JK43)&lt;$B$82+JJ43),1,0)</f>
        <v>0</v>
      </c>
      <c r="JL60" s="33">
        <f ca="1">IF(AND(SUM($D$43:JL43)&gt;$B$82,SUM($D$43:JL43)&lt;$B$82+JK43),1,0)</f>
        <v>0</v>
      </c>
      <c r="JM60" s="33">
        <f ca="1">IF(AND(SUM($D$43:JM43)&gt;$B$82,SUM($D$43:JM43)&lt;$B$82+JL43),1,0)</f>
        <v>0</v>
      </c>
      <c r="JN60" s="33">
        <f ca="1">IF(AND(SUM($D$43:JN43)&gt;$B$82,SUM($D$43:JN43)&lt;$B$82+JM43),1,0)</f>
        <v>0</v>
      </c>
      <c r="JO60" s="33">
        <f ca="1">IF(AND(SUM($D$43:JO43)&gt;$B$82,SUM($D$43:JO43)&lt;$B$82+JN43),1,0)</f>
        <v>0</v>
      </c>
      <c r="JP60" s="33">
        <f ca="1">IF(AND(SUM($D$43:JP43)&gt;$B$82,SUM($D$43:JP43)&lt;$B$82+JO43),1,0)</f>
        <v>0</v>
      </c>
      <c r="JQ60" s="33">
        <f ca="1">IF(AND(SUM($D$43:JQ43)&gt;$B$82,SUM($D$43:JQ43)&lt;$B$82+JP43),1,0)</f>
        <v>0</v>
      </c>
      <c r="JR60" s="33">
        <f ca="1">IF(AND(SUM($D$43:JR43)&gt;$B$82,SUM($D$43:JR43)&lt;$B$82+JQ43),1,0)</f>
        <v>0</v>
      </c>
      <c r="JS60" s="33">
        <f ca="1">IF(AND(SUM($D$43:JS43)&gt;$B$82,SUM($D$43:JS43)&lt;$B$82+JR43),1,0)</f>
        <v>0</v>
      </c>
      <c r="JT60" s="33">
        <f ca="1">IF(AND(SUM($D$43:JT43)&gt;$B$82,SUM($D$43:JT43)&lt;$B$82+JS43),1,0)</f>
        <v>0</v>
      </c>
      <c r="JU60" s="33">
        <f ca="1">IF(AND(SUM($D$43:JU43)&gt;$B$82,SUM($D$43:JU43)&lt;$B$82+JT43),1,0)</f>
        <v>0</v>
      </c>
      <c r="JV60" s="33">
        <f ca="1">IF(AND(SUM($D$43:JV43)&gt;$B$82,SUM($D$43:JV43)&lt;$B$82+JU43),1,0)</f>
        <v>0</v>
      </c>
      <c r="JW60" s="33">
        <f ca="1">IF(AND(SUM($D$43:JW43)&gt;$B$82,SUM($D$43:JW43)&lt;$B$82+JV43),1,0)</f>
        <v>0</v>
      </c>
      <c r="JX60" s="33">
        <f ca="1">IF(AND(SUM($D$43:JX43)&gt;$B$82,SUM($D$43:JX43)&lt;$B$82+JW43),1,0)</f>
        <v>0</v>
      </c>
      <c r="JY60" s="33">
        <f ca="1">IF(AND(SUM($D$43:JY43)&gt;$B$82,SUM($D$43:JY43)&lt;$B$82+JX43),1,0)</f>
        <v>0</v>
      </c>
      <c r="JZ60" s="33">
        <f ca="1">IF(AND(SUM($D$43:JZ43)&gt;$B$82,SUM($D$43:JZ43)&lt;$B$82+JY43),1,0)</f>
        <v>0</v>
      </c>
      <c r="KA60" s="33">
        <f ca="1">IF(AND(SUM($D$43:KA43)&gt;$B$82,SUM($D$43:KA43)&lt;$B$82+JZ43),1,0)</f>
        <v>0</v>
      </c>
      <c r="KB60" s="33">
        <f ca="1">IF(AND(SUM($D$43:KB43)&gt;$B$82,SUM($D$43:KB43)&lt;$B$82+KA43),1,0)</f>
        <v>0</v>
      </c>
      <c r="KC60" s="44"/>
    </row>
    <row r="61" spans="1:289" x14ac:dyDescent="0.3">
      <c r="A61" s="276" t="s">
        <v>303</v>
      </c>
      <c r="B61" s="277">
        <v>0.55000000000000004</v>
      </c>
      <c r="C61" s="44"/>
      <c r="D61" s="44"/>
      <c r="E61" s="44"/>
      <c r="F61" s="44"/>
      <c r="G61" s="44"/>
      <c r="H61" s="44"/>
      <c r="I61" s="44"/>
      <c r="J61" s="44"/>
      <c r="K61" s="44"/>
      <c r="L61" s="44"/>
      <c r="M61" s="44"/>
      <c r="N61" s="33">
        <f ca="1">N59-SUM(B62,B82)</f>
        <v>12.766368845313863</v>
      </c>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c r="GZ61" s="44"/>
      <c r="HA61" s="44"/>
      <c r="HB61" s="44"/>
      <c r="HC61" s="44"/>
      <c r="HD61" s="44"/>
      <c r="HE61" s="44"/>
      <c r="HF61" s="44"/>
      <c r="HG61" s="44"/>
      <c r="HH61" s="44"/>
      <c r="HI61" s="44"/>
      <c r="HJ61" s="44"/>
      <c r="HK61" s="44"/>
      <c r="HL61" s="44"/>
      <c r="HM61" s="44"/>
      <c r="HN61" s="44"/>
      <c r="HO61" s="44"/>
      <c r="HP61" s="44"/>
      <c r="HQ61" s="44"/>
      <c r="HR61" s="44"/>
      <c r="HS61" s="44"/>
      <c r="HT61" s="44"/>
      <c r="HU61" s="44"/>
      <c r="HV61" s="44"/>
      <c r="HW61" s="44"/>
      <c r="HX61" s="44"/>
      <c r="HY61" s="44"/>
      <c r="HZ61" s="44"/>
      <c r="IA61" s="44"/>
      <c r="IB61" s="44"/>
      <c r="IC61" s="44"/>
      <c r="ID61" s="44"/>
      <c r="IE61" s="44"/>
      <c r="IF61" s="44"/>
      <c r="IG61" s="44"/>
      <c r="IH61" s="44"/>
      <c r="II61" s="44"/>
      <c r="IJ61" s="44"/>
      <c r="IK61" s="44"/>
      <c r="IL61" s="44"/>
      <c r="IM61" s="44"/>
      <c r="IN61" s="44"/>
      <c r="IO61" s="44"/>
      <c r="IP61" s="44"/>
      <c r="IQ61" s="44"/>
      <c r="IR61" s="44"/>
      <c r="IS61" s="44"/>
      <c r="IT61" s="44"/>
      <c r="IU61" s="44"/>
      <c r="IV61" s="44"/>
      <c r="IW61" s="44"/>
      <c r="IX61" s="44"/>
      <c r="IY61" s="44"/>
      <c r="IZ61" s="44"/>
      <c r="JA61" s="44"/>
      <c r="JB61" s="44"/>
      <c r="JC61" s="44"/>
      <c r="JD61" s="44"/>
      <c r="JE61" s="44"/>
      <c r="JF61" s="44"/>
      <c r="JG61" s="44"/>
      <c r="JH61" s="44"/>
      <c r="JI61" s="44"/>
      <c r="JJ61" s="44"/>
      <c r="JK61" s="44"/>
      <c r="JL61" s="44"/>
      <c r="JM61" s="44"/>
      <c r="JN61" s="44"/>
      <c r="JO61" s="44"/>
      <c r="JP61" s="44"/>
      <c r="JQ61" s="44"/>
      <c r="JR61" s="44"/>
      <c r="JS61" s="44"/>
      <c r="JT61" s="44"/>
      <c r="JU61" s="44"/>
      <c r="JV61" s="44"/>
      <c r="JW61" s="44"/>
      <c r="JX61" s="44"/>
      <c r="JY61" s="44"/>
      <c r="JZ61" s="44"/>
      <c r="KA61" s="44"/>
      <c r="KB61" s="44"/>
      <c r="KC61" s="44"/>
    </row>
    <row r="62" spans="1:289" x14ac:dyDescent="0.3">
      <c r="A62" s="1" t="s">
        <v>301</v>
      </c>
      <c r="B62" s="33">
        <f>-(SUM(C16:H16))</f>
        <v>47.58</v>
      </c>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44"/>
      <c r="IV62" s="44"/>
      <c r="IW62" s="44"/>
      <c r="IX62" s="44"/>
      <c r="IY62" s="44"/>
      <c r="IZ62" s="44"/>
      <c r="JA62" s="44"/>
      <c r="JB62" s="44"/>
      <c r="JC62" s="44"/>
      <c r="JD62" s="44"/>
      <c r="JE62" s="44"/>
      <c r="JF62" s="44"/>
      <c r="JG62" s="44"/>
      <c r="JH62" s="44"/>
      <c r="JI62" s="44"/>
      <c r="JJ62" s="44"/>
      <c r="JK62" s="44"/>
      <c r="JL62" s="44"/>
      <c r="JM62" s="44"/>
      <c r="JN62" s="44"/>
      <c r="JO62" s="44"/>
      <c r="JP62" s="44"/>
      <c r="JQ62" s="44"/>
      <c r="JR62" s="44"/>
      <c r="JS62" s="44"/>
      <c r="JT62" s="44"/>
      <c r="JU62" s="44"/>
      <c r="JV62" s="44"/>
      <c r="JW62" s="44"/>
      <c r="JX62" s="44"/>
      <c r="JY62" s="44"/>
      <c r="JZ62" s="44"/>
      <c r="KA62" s="44"/>
      <c r="KB62" s="44"/>
      <c r="KC62" s="44"/>
    </row>
    <row r="63" spans="1:289" hidden="1" x14ac:dyDescent="0.3">
      <c r="A63" s="56" t="s">
        <v>144</v>
      </c>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c r="GS63" s="44"/>
      <c r="GT63" s="44"/>
      <c r="GU63" s="44"/>
      <c r="GV63" s="44"/>
      <c r="GW63" s="44"/>
      <c r="GX63" s="44"/>
      <c r="GY63" s="44"/>
      <c r="GZ63" s="44"/>
      <c r="HA63" s="44"/>
      <c r="HB63" s="44"/>
      <c r="HC63" s="44"/>
      <c r="HD63" s="44"/>
      <c r="HE63" s="44"/>
      <c r="HF63" s="44"/>
      <c r="HG63" s="44"/>
      <c r="HH63" s="44"/>
      <c r="HI63" s="44"/>
      <c r="HJ63" s="44"/>
      <c r="HK63" s="44"/>
      <c r="HL63" s="44"/>
      <c r="HM63" s="44"/>
      <c r="HN63" s="44"/>
      <c r="HO63" s="44"/>
      <c r="HP63" s="44"/>
      <c r="HQ63" s="44"/>
      <c r="HR63" s="44"/>
      <c r="HS63" s="44"/>
      <c r="HT63" s="44"/>
      <c r="HU63" s="44"/>
      <c r="HV63" s="44"/>
      <c r="HW63" s="44"/>
      <c r="HX63" s="44"/>
      <c r="HY63" s="44"/>
      <c r="HZ63" s="44"/>
      <c r="IA63" s="44"/>
      <c r="IB63" s="44"/>
      <c r="IC63" s="44"/>
      <c r="ID63" s="44"/>
      <c r="IE63" s="44"/>
      <c r="IF63" s="44"/>
      <c r="IG63" s="44"/>
      <c r="IH63" s="44"/>
      <c r="II63" s="44"/>
      <c r="IJ63" s="44"/>
      <c r="IK63" s="44"/>
      <c r="IL63" s="44"/>
      <c r="IM63" s="44"/>
      <c r="IN63" s="44"/>
      <c r="IO63" s="44"/>
      <c r="IP63" s="44"/>
      <c r="IQ63" s="44"/>
      <c r="IR63" s="44"/>
      <c r="IS63" s="44"/>
      <c r="IT63" s="44"/>
      <c r="IU63" s="44"/>
      <c r="IV63" s="44"/>
      <c r="IW63" s="44"/>
      <c r="IX63" s="44"/>
      <c r="IY63" s="44"/>
      <c r="IZ63" s="44"/>
      <c r="JA63" s="44"/>
      <c r="JB63" s="44"/>
      <c r="JC63" s="44"/>
      <c r="JD63" s="44"/>
      <c r="JE63" s="44"/>
      <c r="JF63" s="44"/>
      <c r="JG63" s="44"/>
      <c r="JH63" s="44"/>
      <c r="JI63" s="44"/>
      <c r="JJ63" s="44"/>
      <c r="JK63" s="44"/>
      <c r="JL63" s="44"/>
      <c r="JM63" s="44"/>
      <c r="JN63" s="44"/>
      <c r="JO63" s="44"/>
      <c r="JP63" s="44"/>
      <c r="JQ63" s="44"/>
      <c r="JR63" s="44"/>
      <c r="JS63" s="44"/>
      <c r="JT63" s="44"/>
      <c r="JU63" s="44"/>
      <c r="JV63" s="44"/>
      <c r="JW63" s="44"/>
      <c r="JX63" s="44"/>
      <c r="JY63" s="44"/>
      <c r="JZ63" s="44"/>
      <c r="KA63" s="44"/>
      <c r="KB63" s="44"/>
      <c r="KC63" s="44"/>
    </row>
    <row r="64" spans="1:289" hidden="1" x14ac:dyDescent="0.3">
      <c r="A64" s="39" t="s">
        <v>53</v>
      </c>
      <c r="C64" s="278">
        <f ca="1">C46+C49</f>
        <v>0</v>
      </c>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278"/>
      <c r="CH64" s="278"/>
      <c r="CI64" s="278"/>
      <c r="CJ64" s="278"/>
      <c r="CK64" s="278"/>
      <c r="CL64" s="278"/>
      <c r="CM64" s="278"/>
      <c r="CN64" s="278"/>
      <c r="CO64" s="278"/>
      <c r="CP64" s="278"/>
      <c r="CQ64" s="278"/>
      <c r="CR64" s="278"/>
      <c r="CS64" s="278"/>
      <c r="CT64" s="278"/>
      <c r="CU64" s="278"/>
      <c r="CV64" s="278"/>
      <c r="CW64" s="278"/>
      <c r="CX64" s="278"/>
      <c r="CY64" s="278"/>
      <c r="CZ64" s="278"/>
      <c r="DA64" s="278"/>
      <c r="DB64" s="278"/>
      <c r="DC64" s="278"/>
      <c r="DD64" s="278"/>
      <c r="DE64" s="278"/>
      <c r="DF64" s="278"/>
      <c r="DG64" s="278"/>
      <c r="DH64" s="278"/>
      <c r="DI64" s="278"/>
      <c r="DJ64" s="278"/>
      <c r="DK64" s="278"/>
      <c r="DL64" s="278"/>
      <c r="DM64" s="278"/>
      <c r="DN64" s="278"/>
      <c r="DO64" s="278"/>
      <c r="DP64" s="278"/>
      <c r="DQ64" s="278"/>
      <c r="DR64" s="278"/>
      <c r="DS64" s="278"/>
      <c r="DT64" s="278"/>
      <c r="DU64" s="278"/>
      <c r="DV64" s="278"/>
      <c r="DW64" s="278"/>
      <c r="DX64" s="278"/>
      <c r="DY64" s="278"/>
      <c r="DZ64" s="278"/>
      <c r="EA64" s="278"/>
      <c r="EB64" s="278"/>
      <c r="EC64" s="278"/>
      <c r="ED64" s="278"/>
      <c r="EE64" s="278"/>
      <c r="EF64" s="278"/>
      <c r="EG64" s="278"/>
      <c r="EH64" s="278"/>
      <c r="EI64" s="278"/>
      <c r="EJ64" s="278"/>
      <c r="EK64" s="278"/>
      <c r="EL64" s="278"/>
      <c r="EM64" s="278"/>
      <c r="EN64" s="278"/>
      <c r="EO64" s="278"/>
      <c r="EP64" s="278"/>
      <c r="EQ64" s="278"/>
      <c r="ER64" s="278"/>
      <c r="ES64" s="278"/>
      <c r="ET64" s="278"/>
      <c r="EU64" s="278"/>
      <c r="EV64" s="278"/>
      <c r="EW64" s="278"/>
      <c r="EX64" s="278"/>
      <c r="EY64" s="278"/>
      <c r="EZ64" s="278"/>
      <c r="FA64" s="278"/>
      <c r="FB64" s="278"/>
      <c r="FC64" s="278"/>
      <c r="FD64" s="278"/>
      <c r="FE64" s="278"/>
      <c r="FF64" s="278"/>
      <c r="FG64" s="278"/>
      <c r="FH64" s="278"/>
      <c r="FI64" s="278"/>
      <c r="FJ64" s="278"/>
      <c r="FK64" s="278"/>
      <c r="FL64" s="278"/>
      <c r="FM64" s="278"/>
      <c r="FN64" s="278"/>
      <c r="FO64" s="278"/>
      <c r="FP64" s="278"/>
      <c r="FQ64" s="278"/>
      <c r="FR64" s="278"/>
      <c r="FS64" s="278"/>
      <c r="FT64" s="278"/>
      <c r="FU64" s="278"/>
      <c r="FV64" s="278"/>
      <c r="FW64" s="278"/>
      <c r="FX64" s="278"/>
      <c r="FY64" s="278"/>
      <c r="FZ64" s="278"/>
      <c r="GA64" s="278"/>
      <c r="GB64" s="278"/>
      <c r="GC64" s="278"/>
      <c r="GD64" s="278"/>
      <c r="GE64" s="278"/>
      <c r="GF64" s="278"/>
      <c r="GG64" s="278"/>
      <c r="GH64" s="278"/>
      <c r="GI64" s="278"/>
      <c r="GJ64" s="278"/>
      <c r="GK64" s="278"/>
      <c r="GL64" s="278"/>
      <c r="GM64" s="278"/>
      <c r="GN64" s="278"/>
      <c r="GO64" s="278"/>
      <c r="GP64" s="278"/>
      <c r="GQ64" s="278"/>
      <c r="GR64" s="278"/>
      <c r="GS64" s="278"/>
      <c r="GT64" s="278"/>
      <c r="GU64" s="278"/>
      <c r="GV64" s="278"/>
      <c r="GW64" s="278"/>
      <c r="GX64" s="278"/>
      <c r="GY64" s="278"/>
      <c r="GZ64" s="278"/>
      <c r="HA64" s="278"/>
      <c r="HB64" s="278"/>
      <c r="HC64" s="278"/>
      <c r="HD64" s="278"/>
      <c r="HE64" s="278"/>
      <c r="HF64" s="278"/>
      <c r="HG64" s="278"/>
      <c r="HH64" s="278"/>
      <c r="HI64" s="278"/>
      <c r="HJ64" s="278"/>
      <c r="HK64" s="278"/>
      <c r="HL64" s="278"/>
      <c r="HM64" s="278"/>
      <c r="HN64" s="278"/>
      <c r="HO64" s="278"/>
      <c r="HP64" s="278"/>
      <c r="HQ64" s="278"/>
      <c r="HR64" s="278"/>
      <c r="HS64" s="278"/>
      <c r="HT64" s="278"/>
      <c r="HU64" s="278"/>
      <c r="HV64" s="278"/>
      <c r="HW64" s="278"/>
      <c r="HX64" s="278"/>
      <c r="HY64" s="278"/>
      <c r="HZ64" s="278"/>
      <c r="IA64" s="278"/>
      <c r="IB64" s="278"/>
      <c r="IC64" s="278"/>
      <c r="ID64" s="278"/>
      <c r="IE64" s="278"/>
      <c r="IF64" s="278"/>
      <c r="IG64" s="278"/>
      <c r="IH64" s="278"/>
      <c r="II64" s="278"/>
      <c r="IJ64" s="278"/>
      <c r="IK64" s="278"/>
      <c r="IL64" s="278"/>
      <c r="IM64" s="278"/>
      <c r="IN64" s="278"/>
      <c r="IO64" s="278"/>
      <c r="IP64" s="278"/>
      <c r="IQ64" s="278"/>
      <c r="IR64" s="278"/>
      <c r="IS64" s="278"/>
      <c r="IT64" s="278"/>
      <c r="IU64" s="278"/>
      <c r="IV64" s="278"/>
      <c r="IW64" s="278"/>
      <c r="IX64" s="278"/>
      <c r="IY64" s="278"/>
      <c r="IZ64" s="278"/>
      <c r="JA64" s="278"/>
      <c r="JB64" s="278"/>
      <c r="JC64" s="278"/>
      <c r="JD64" s="278"/>
      <c r="JE64" s="278"/>
      <c r="JF64" s="278"/>
      <c r="JG64" s="278"/>
      <c r="JH64" s="278"/>
      <c r="JI64" s="278"/>
      <c r="JJ64" s="278"/>
      <c r="JK64" s="278"/>
      <c r="JL64" s="278"/>
      <c r="JM64" s="278"/>
      <c r="JN64" s="278"/>
      <c r="JO64" s="278"/>
      <c r="JP64" s="278"/>
      <c r="JQ64" s="278"/>
      <c r="JR64" s="278"/>
      <c r="JS64" s="278"/>
      <c r="JT64" s="278"/>
      <c r="JU64" s="278"/>
      <c r="JV64" s="278"/>
      <c r="JW64" s="278"/>
      <c r="JX64" s="278"/>
      <c r="JY64" s="278"/>
      <c r="JZ64" s="278"/>
      <c r="KA64" s="278"/>
      <c r="KB64" s="278"/>
      <c r="KC64" s="278"/>
    </row>
    <row r="65" spans="1:289" hidden="1" x14ac:dyDescent="0.3">
      <c r="A65" s="39" t="s">
        <v>42</v>
      </c>
      <c r="C65" s="278" t="e">
        <f>C47+#REF!</f>
        <v>#REF!</v>
      </c>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278"/>
      <c r="CB65" s="278"/>
      <c r="CC65" s="278"/>
      <c r="CD65" s="278"/>
      <c r="CE65" s="278"/>
      <c r="CF65" s="278"/>
      <c r="CG65" s="278"/>
      <c r="CH65" s="278"/>
      <c r="CI65" s="278"/>
      <c r="CJ65" s="278"/>
      <c r="CK65" s="278"/>
      <c r="CL65" s="278"/>
      <c r="CM65" s="278"/>
      <c r="CN65" s="278"/>
      <c r="CO65" s="278"/>
      <c r="CP65" s="278"/>
      <c r="CQ65" s="278"/>
      <c r="CR65" s="278"/>
      <c r="CS65" s="278"/>
      <c r="CT65" s="278"/>
      <c r="CU65" s="278"/>
      <c r="CV65" s="278"/>
      <c r="CW65" s="278"/>
      <c r="CX65" s="278"/>
      <c r="CY65" s="278"/>
      <c r="CZ65" s="278"/>
      <c r="DA65" s="278"/>
      <c r="DB65" s="278"/>
      <c r="DC65" s="278"/>
      <c r="DD65" s="278"/>
      <c r="DE65" s="278"/>
      <c r="DF65" s="278"/>
      <c r="DG65" s="278"/>
      <c r="DH65" s="278"/>
      <c r="DI65" s="278"/>
      <c r="DJ65" s="278"/>
      <c r="DK65" s="278"/>
      <c r="DL65" s="278"/>
      <c r="DM65" s="278"/>
      <c r="DN65" s="278"/>
      <c r="DO65" s="278"/>
      <c r="DP65" s="278"/>
      <c r="DQ65" s="278"/>
      <c r="DR65" s="278"/>
      <c r="DS65" s="278"/>
      <c r="DT65" s="278"/>
      <c r="DU65" s="278"/>
      <c r="DV65" s="278"/>
      <c r="DW65" s="278"/>
      <c r="DX65" s="278"/>
      <c r="DY65" s="278"/>
      <c r="DZ65" s="278"/>
      <c r="EA65" s="278"/>
      <c r="EB65" s="278"/>
      <c r="EC65" s="278"/>
      <c r="ED65" s="278"/>
      <c r="EE65" s="278"/>
      <c r="EF65" s="278"/>
      <c r="EG65" s="278"/>
      <c r="EH65" s="278"/>
      <c r="EI65" s="278"/>
      <c r="EJ65" s="278"/>
      <c r="EK65" s="278"/>
      <c r="EL65" s="278"/>
      <c r="EM65" s="278"/>
      <c r="EN65" s="278"/>
      <c r="EO65" s="278"/>
      <c r="EP65" s="278"/>
      <c r="EQ65" s="278"/>
      <c r="ER65" s="278"/>
      <c r="ES65" s="278"/>
      <c r="ET65" s="278"/>
      <c r="EU65" s="278"/>
      <c r="EV65" s="278"/>
      <c r="EW65" s="278"/>
      <c r="EX65" s="278"/>
      <c r="EY65" s="278"/>
      <c r="EZ65" s="278"/>
      <c r="FA65" s="278"/>
      <c r="FB65" s="278"/>
      <c r="FC65" s="278"/>
      <c r="FD65" s="278"/>
      <c r="FE65" s="278"/>
      <c r="FF65" s="278"/>
      <c r="FG65" s="278"/>
      <c r="FH65" s="278"/>
      <c r="FI65" s="278"/>
      <c r="FJ65" s="278"/>
      <c r="FK65" s="278"/>
      <c r="FL65" s="278"/>
      <c r="FM65" s="278"/>
      <c r="FN65" s="278"/>
      <c r="FO65" s="278"/>
      <c r="FP65" s="278"/>
      <c r="FQ65" s="278"/>
      <c r="FR65" s="278"/>
      <c r="FS65" s="278"/>
      <c r="FT65" s="278"/>
      <c r="FU65" s="278"/>
      <c r="FV65" s="278"/>
      <c r="FW65" s="278"/>
      <c r="FX65" s="278"/>
      <c r="FY65" s="278"/>
      <c r="FZ65" s="278"/>
      <c r="GA65" s="278"/>
      <c r="GB65" s="278"/>
      <c r="GC65" s="278"/>
      <c r="GD65" s="278"/>
      <c r="GE65" s="278"/>
      <c r="GF65" s="278"/>
      <c r="GG65" s="278"/>
      <c r="GH65" s="278"/>
      <c r="GI65" s="278"/>
      <c r="GJ65" s="278"/>
      <c r="GK65" s="278"/>
      <c r="GL65" s="278"/>
      <c r="GM65" s="278"/>
      <c r="GN65" s="278"/>
      <c r="GO65" s="278"/>
      <c r="GP65" s="278"/>
      <c r="GQ65" s="278"/>
      <c r="GR65" s="278"/>
      <c r="GS65" s="278"/>
      <c r="GT65" s="278"/>
      <c r="GU65" s="278"/>
      <c r="GV65" s="278"/>
      <c r="GW65" s="278"/>
      <c r="GX65" s="278"/>
      <c r="GY65" s="278"/>
      <c r="GZ65" s="278"/>
      <c r="HA65" s="278"/>
      <c r="HB65" s="278"/>
      <c r="HC65" s="278"/>
      <c r="HD65" s="278"/>
      <c r="HE65" s="278"/>
      <c r="HF65" s="278"/>
      <c r="HG65" s="278"/>
      <c r="HH65" s="278"/>
      <c r="HI65" s="278"/>
      <c r="HJ65" s="278"/>
      <c r="HK65" s="278"/>
      <c r="HL65" s="278"/>
      <c r="HM65" s="278"/>
      <c r="HN65" s="278"/>
      <c r="HO65" s="278"/>
      <c r="HP65" s="278"/>
      <c r="HQ65" s="278"/>
      <c r="HR65" s="278"/>
      <c r="HS65" s="278"/>
      <c r="HT65" s="278"/>
      <c r="HU65" s="278"/>
      <c r="HV65" s="278"/>
      <c r="HW65" s="278"/>
      <c r="HX65" s="278"/>
      <c r="HY65" s="278"/>
      <c r="HZ65" s="278"/>
      <c r="IA65" s="278"/>
      <c r="IB65" s="278"/>
      <c r="IC65" s="278"/>
      <c r="ID65" s="278"/>
      <c r="IE65" s="278"/>
      <c r="IF65" s="278"/>
      <c r="IG65" s="278"/>
      <c r="IH65" s="278"/>
      <c r="II65" s="278"/>
      <c r="IJ65" s="278"/>
      <c r="IK65" s="278"/>
      <c r="IL65" s="278"/>
      <c r="IM65" s="278"/>
      <c r="IN65" s="278"/>
      <c r="IO65" s="278"/>
      <c r="IP65" s="278"/>
      <c r="IQ65" s="278"/>
      <c r="IR65" s="278"/>
      <c r="IS65" s="278"/>
      <c r="IT65" s="278"/>
      <c r="IU65" s="278"/>
      <c r="IV65" s="278"/>
      <c r="IW65" s="278"/>
      <c r="IX65" s="278"/>
      <c r="IY65" s="278"/>
      <c r="IZ65" s="278"/>
      <c r="JA65" s="278"/>
      <c r="JB65" s="278"/>
      <c r="JC65" s="278"/>
      <c r="JD65" s="278"/>
      <c r="JE65" s="278"/>
      <c r="JF65" s="278"/>
      <c r="JG65" s="278"/>
      <c r="JH65" s="278"/>
      <c r="JI65" s="278"/>
      <c r="JJ65" s="278"/>
      <c r="JK65" s="278"/>
      <c r="JL65" s="278"/>
      <c r="JM65" s="278"/>
      <c r="JN65" s="278"/>
      <c r="JO65" s="278"/>
      <c r="JP65" s="278"/>
      <c r="JQ65" s="278"/>
      <c r="JR65" s="278"/>
      <c r="JS65" s="278"/>
      <c r="JT65" s="278"/>
      <c r="JU65" s="278"/>
      <c r="JV65" s="278"/>
      <c r="JW65" s="278"/>
      <c r="JX65" s="278"/>
      <c r="JY65" s="278"/>
      <c r="JZ65" s="278"/>
      <c r="KA65" s="278"/>
      <c r="KB65" s="278"/>
      <c r="KC65" s="278"/>
    </row>
    <row r="66" spans="1:289" hidden="1" x14ac:dyDescent="0.3">
      <c r="A66" s="39" t="s">
        <v>67</v>
      </c>
      <c r="C66" s="279">
        <f>SUM($C$42:C42)</f>
        <v>0</v>
      </c>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c r="DM66" s="279"/>
      <c r="DN66" s="279"/>
      <c r="DO66" s="279"/>
      <c r="DP66" s="279"/>
      <c r="DQ66" s="279"/>
      <c r="DR66" s="279"/>
      <c r="DS66" s="279"/>
      <c r="DT66" s="279"/>
      <c r="DU66" s="279"/>
      <c r="DV66" s="279"/>
      <c r="DW66" s="279"/>
      <c r="DX66" s="279"/>
      <c r="DY66" s="279"/>
      <c r="DZ66" s="279"/>
      <c r="EA66" s="279"/>
      <c r="EB66" s="279"/>
      <c r="EC66" s="279"/>
      <c r="ED66" s="279"/>
      <c r="EE66" s="279"/>
      <c r="EF66" s="279"/>
      <c r="EG66" s="279"/>
      <c r="EH66" s="279"/>
      <c r="EI66" s="279"/>
      <c r="EJ66" s="279"/>
      <c r="EK66" s="279"/>
      <c r="EL66" s="279"/>
      <c r="EM66" s="279"/>
      <c r="EN66" s="279"/>
      <c r="EO66" s="279"/>
      <c r="EP66" s="279"/>
      <c r="EQ66" s="279"/>
      <c r="ER66" s="279"/>
      <c r="ES66" s="279"/>
      <c r="ET66" s="279"/>
      <c r="EU66" s="279"/>
      <c r="EV66" s="279"/>
      <c r="EW66" s="279"/>
      <c r="EX66" s="279"/>
      <c r="EY66" s="279"/>
      <c r="EZ66" s="279"/>
      <c r="FA66" s="279"/>
      <c r="FB66" s="279"/>
      <c r="FC66" s="279"/>
      <c r="FD66" s="279"/>
      <c r="FE66" s="279"/>
      <c r="FF66" s="279"/>
      <c r="FG66" s="279"/>
      <c r="FH66" s="279"/>
      <c r="FI66" s="279"/>
      <c r="FJ66" s="279"/>
      <c r="FK66" s="279"/>
      <c r="FL66" s="279"/>
      <c r="FM66" s="279"/>
      <c r="FN66" s="279"/>
      <c r="FO66" s="279"/>
      <c r="FP66" s="279"/>
      <c r="FQ66" s="279"/>
      <c r="FR66" s="279"/>
      <c r="FS66" s="279"/>
      <c r="FT66" s="279"/>
      <c r="FU66" s="279"/>
      <c r="FV66" s="279"/>
      <c r="FW66" s="279"/>
      <c r="FX66" s="279"/>
      <c r="FY66" s="279"/>
      <c r="FZ66" s="279"/>
      <c r="GA66" s="279"/>
      <c r="GB66" s="279"/>
      <c r="GC66" s="279"/>
      <c r="GD66" s="279"/>
      <c r="GE66" s="279"/>
      <c r="GF66" s="279"/>
      <c r="GG66" s="279"/>
      <c r="GH66" s="279"/>
      <c r="GI66" s="279"/>
      <c r="GJ66" s="279"/>
      <c r="GK66" s="279"/>
      <c r="GL66" s="279"/>
      <c r="GM66" s="279"/>
      <c r="GN66" s="279"/>
      <c r="GO66" s="279"/>
      <c r="GP66" s="279"/>
      <c r="GQ66" s="279"/>
      <c r="GR66" s="279"/>
      <c r="GS66" s="279"/>
      <c r="GT66" s="279"/>
      <c r="GU66" s="279"/>
      <c r="GV66" s="279"/>
      <c r="GW66" s="279"/>
      <c r="GX66" s="279"/>
      <c r="GY66" s="279"/>
      <c r="GZ66" s="279"/>
      <c r="HA66" s="279"/>
      <c r="HB66" s="279"/>
      <c r="HC66" s="279"/>
      <c r="HD66" s="279"/>
      <c r="HE66" s="279"/>
      <c r="HF66" s="279"/>
      <c r="HG66" s="279"/>
      <c r="HH66" s="279"/>
      <c r="HI66" s="279"/>
      <c r="HJ66" s="279"/>
      <c r="HK66" s="279"/>
      <c r="HL66" s="279"/>
      <c r="HM66" s="279"/>
      <c r="HN66" s="279"/>
      <c r="HO66" s="279"/>
      <c r="HP66" s="279"/>
      <c r="HQ66" s="279"/>
      <c r="HR66" s="279"/>
      <c r="HS66" s="279"/>
      <c r="HT66" s="279"/>
      <c r="HU66" s="279"/>
      <c r="HV66" s="279"/>
      <c r="HW66" s="279"/>
      <c r="HX66" s="279"/>
      <c r="HY66" s="279"/>
      <c r="HZ66" s="279"/>
      <c r="IA66" s="279"/>
      <c r="IB66" s="279"/>
      <c r="IC66" s="279"/>
      <c r="ID66" s="279"/>
      <c r="IE66" s="279"/>
      <c r="IF66" s="279"/>
      <c r="IG66" s="279"/>
      <c r="IH66" s="279"/>
      <c r="II66" s="279"/>
      <c r="IJ66" s="279"/>
      <c r="IK66" s="279"/>
      <c r="IL66" s="279"/>
      <c r="IM66" s="279"/>
      <c r="IN66" s="279"/>
      <c r="IO66" s="279"/>
      <c r="IP66" s="279"/>
      <c r="IQ66" s="279"/>
      <c r="IR66" s="279"/>
      <c r="IS66" s="279"/>
      <c r="IT66" s="279"/>
      <c r="IU66" s="279"/>
      <c r="IV66" s="279"/>
      <c r="IW66" s="279"/>
      <c r="IX66" s="279"/>
      <c r="IY66" s="279"/>
      <c r="IZ66" s="279"/>
      <c r="JA66" s="279"/>
      <c r="JB66" s="279"/>
      <c r="JC66" s="279"/>
      <c r="JD66" s="279"/>
      <c r="JE66" s="279"/>
      <c r="JF66" s="279"/>
      <c r="JG66" s="279"/>
      <c r="JH66" s="279"/>
      <c r="JI66" s="279"/>
      <c r="JJ66" s="279"/>
      <c r="JK66" s="279"/>
      <c r="JL66" s="279"/>
      <c r="JM66" s="279"/>
      <c r="JN66" s="279"/>
      <c r="JO66" s="279"/>
      <c r="JP66" s="279"/>
      <c r="JQ66" s="279"/>
      <c r="JR66" s="279"/>
      <c r="JS66" s="279"/>
      <c r="JT66" s="279"/>
      <c r="JU66" s="279"/>
      <c r="JV66" s="279"/>
      <c r="JW66" s="279"/>
      <c r="JX66" s="279"/>
      <c r="JY66" s="279"/>
      <c r="JZ66" s="279"/>
      <c r="KA66" s="279"/>
      <c r="KB66" s="279"/>
      <c r="KC66" s="279"/>
    </row>
    <row r="67" spans="1:289" hidden="1" x14ac:dyDescent="0.3">
      <c r="A67" s="39" t="s">
        <v>155</v>
      </c>
      <c r="C67" s="279">
        <f>SUM(C10,C14,C26,C33,C34)</f>
        <v>0</v>
      </c>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79"/>
      <c r="CQ67" s="279"/>
      <c r="CR67" s="279"/>
      <c r="CS67" s="279"/>
      <c r="CT67" s="279"/>
      <c r="CU67" s="279"/>
      <c r="CV67" s="279"/>
      <c r="CW67" s="279"/>
      <c r="CX67" s="279"/>
      <c r="CY67" s="279"/>
      <c r="CZ67" s="279"/>
      <c r="DA67" s="279"/>
      <c r="DB67" s="279"/>
      <c r="DC67" s="279"/>
      <c r="DD67" s="279"/>
      <c r="DE67" s="279"/>
      <c r="DF67" s="279"/>
      <c r="DG67" s="279"/>
      <c r="DH67" s="279"/>
      <c r="DI67" s="279"/>
      <c r="DJ67" s="279"/>
      <c r="DK67" s="279"/>
      <c r="DL67" s="279"/>
      <c r="DM67" s="279"/>
      <c r="DN67" s="279"/>
      <c r="DO67" s="279"/>
      <c r="DP67" s="279"/>
      <c r="DQ67" s="279"/>
      <c r="DR67" s="279"/>
      <c r="DS67" s="279"/>
      <c r="DT67" s="279"/>
      <c r="DU67" s="279"/>
      <c r="DV67" s="279"/>
      <c r="DW67" s="279"/>
      <c r="DX67" s="279"/>
      <c r="DY67" s="279"/>
      <c r="DZ67" s="279"/>
      <c r="EA67" s="279"/>
      <c r="EB67" s="279"/>
      <c r="EC67" s="279"/>
      <c r="ED67" s="279"/>
      <c r="EE67" s="279"/>
      <c r="EF67" s="279"/>
      <c r="EG67" s="279"/>
      <c r="EH67" s="279"/>
      <c r="EI67" s="279"/>
      <c r="EJ67" s="279"/>
      <c r="EK67" s="279"/>
      <c r="EL67" s="279"/>
      <c r="EM67" s="279"/>
      <c r="EN67" s="279"/>
      <c r="EO67" s="279"/>
      <c r="EP67" s="279"/>
      <c r="EQ67" s="279"/>
      <c r="ER67" s="279"/>
      <c r="ES67" s="279"/>
      <c r="ET67" s="279"/>
      <c r="EU67" s="279"/>
      <c r="EV67" s="279"/>
      <c r="EW67" s="279"/>
      <c r="EX67" s="279"/>
      <c r="EY67" s="279"/>
      <c r="EZ67" s="279"/>
      <c r="FA67" s="279"/>
      <c r="FB67" s="279"/>
      <c r="FC67" s="279"/>
      <c r="FD67" s="279"/>
      <c r="FE67" s="279"/>
      <c r="FF67" s="279"/>
      <c r="FG67" s="279"/>
      <c r="FH67" s="279"/>
      <c r="FI67" s="279"/>
      <c r="FJ67" s="279"/>
      <c r="FK67" s="279"/>
      <c r="FL67" s="279"/>
      <c r="FM67" s="279"/>
      <c r="FN67" s="279"/>
      <c r="FO67" s="279"/>
      <c r="FP67" s="279"/>
      <c r="FQ67" s="279"/>
      <c r="FR67" s="279"/>
      <c r="FS67" s="279"/>
      <c r="FT67" s="279"/>
      <c r="FU67" s="279"/>
      <c r="FV67" s="279"/>
      <c r="FW67" s="279"/>
      <c r="FX67" s="279"/>
      <c r="FY67" s="279"/>
      <c r="FZ67" s="279"/>
      <c r="GA67" s="279"/>
      <c r="GB67" s="279"/>
      <c r="GC67" s="279"/>
      <c r="GD67" s="279"/>
      <c r="GE67" s="279"/>
      <c r="GF67" s="279"/>
      <c r="GG67" s="279"/>
      <c r="GH67" s="279"/>
      <c r="GI67" s="279"/>
      <c r="GJ67" s="279"/>
      <c r="GK67" s="279"/>
      <c r="GL67" s="279"/>
      <c r="GM67" s="279"/>
      <c r="GN67" s="279"/>
      <c r="GO67" s="279"/>
      <c r="GP67" s="279"/>
      <c r="GQ67" s="279"/>
      <c r="GR67" s="279"/>
      <c r="GS67" s="279"/>
      <c r="GT67" s="279"/>
      <c r="GU67" s="279"/>
      <c r="GV67" s="279"/>
      <c r="GW67" s="279"/>
      <c r="GX67" s="279"/>
      <c r="GY67" s="279"/>
      <c r="GZ67" s="279"/>
      <c r="HA67" s="279"/>
      <c r="HB67" s="279"/>
      <c r="HC67" s="279"/>
      <c r="HD67" s="279"/>
      <c r="HE67" s="279"/>
      <c r="HF67" s="279"/>
      <c r="HG67" s="279"/>
      <c r="HH67" s="279"/>
      <c r="HI67" s="279"/>
      <c r="HJ67" s="279"/>
      <c r="HK67" s="279"/>
      <c r="HL67" s="279"/>
      <c r="HM67" s="279"/>
      <c r="HN67" s="279"/>
      <c r="HO67" s="279"/>
      <c r="HP67" s="279"/>
      <c r="HQ67" s="279"/>
      <c r="HR67" s="279"/>
      <c r="HS67" s="279"/>
      <c r="HT67" s="279"/>
      <c r="HU67" s="279"/>
      <c r="HV67" s="279"/>
      <c r="HW67" s="279"/>
      <c r="HX67" s="279"/>
      <c r="HY67" s="279"/>
      <c r="HZ67" s="279"/>
      <c r="IA67" s="279"/>
      <c r="IB67" s="279"/>
      <c r="IC67" s="279"/>
      <c r="ID67" s="279"/>
      <c r="IE67" s="279"/>
      <c r="IF67" s="279"/>
      <c r="IG67" s="279"/>
      <c r="IH67" s="279"/>
      <c r="II67" s="279"/>
      <c r="IJ67" s="279"/>
      <c r="IK67" s="279"/>
      <c r="IL67" s="279"/>
      <c r="IM67" s="279"/>
      <c r="IN67" s="279"/>
      <c r="IO67" s="279"/>
      <c r="IP67" s="279"/>
      <c r="IQ67" s="279"/>
      <c r="IR67" s="279"/>
      <c r="IS67" s="279"/>
      <c r="IT67" s="279"/>
      <c r="IU67" s="279"/>
      <c r="IV67" s="279"/>
      <c r="IW67" s="279"/>
      <c r="IX67" s="279"/>
      <c r="IY67" s="279"/>
      <c r="IZ67" s="279"/>
      <c r="JA67" s="279"/>
      <c r="JB67" s="279"/>
      <c r="JC67" s="279"/>
      <c r="JD67" s="279"/>
      <c r="JE67" s="279"/>
      <c r="JF67" s="279"/>
      <c r="JG67" s="279"/>
      <c r="JH67" s="279"/>
      <c r="JI67" s="279"/>
      <c r="JJ67" s="279"/>
      <c r="JK67" s="279"/>
      <c r="JL67" s="279"/>
      <c r="JM67" s="279"/>
      <c r="JN67" s="279"/>
      <c r="JO67" s="279"/>
      <c r="JP67" s="279"/>
      <c r="JQ67" s="279"/>
      <c r="JR67" s="279"/>
      <c r="JS67" s="279"/>
      <c r="JT67" s="279"/>
      <c r="JU67" s="279"/>
      <c r="JV67" s="279"/>
      <c r="JW67" s="279"/>
      <c r="JX67" s="279"/>
      <c r="JY67" s="279"/>
      <c r="JZ67" s="279"/>
      <c r="KA67" s="279"/>
      <c r="KB67" s="279"/>
      <c r="KC67" s="279"/>
    </row>
    <row r="68" spans="1:289" hidden="1" x14ac:dyDescent="0.3">
      <c r="A68" s="39" t="s">
        <v>141</v>
      </c>
      <c r="C68" s="279">
        <f>C41+C26</f>
        <v>0</v>
      </c>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c r="DM68" s="279"/>
      <c r="DN68" s="279"/>
      <c r="DO68" s="279"/>
      <c r="DP68" s="279"/>
      <c r="DQ68" s="279"/>
      <c r="DR68" s="279"/>
      <c r="DS68" s="279"/>
      <c r="DT68" s="279"/>
      <c r="DU68" s="279"/>
      <c r="DV68" s="279"/>
      <c r="DW68" s="279"/>
      <c r="DX68" s="279"/>
      <c r="DY68" s="279"/>
      <c r="DZ68" s="279"/>
      <c r="EA68" s="279"/>
      <c r="EB68" s="279"/>
      <c r="EC68" s="279"/>
      <c r="ED68" s="279"/>
      <c r="EE68" s="279"/>
      <c r="EF68" s="279"/>
      <c r="EG68" s="279"/>
      <c r="EH68" s="279"/>
      <c r="EI68" s="279"/>
      <c r="EJ68" s="279"/>
      <c r="EK68" s="279"/>
      <c r="EL68" s="279"/>
      <c r="EM68" s="279"/>
      <c r="EN68" s="279"/>
      <c r="EO68" s="279"/>
      <c r="EP68" s="279"/>
      <c r="EQ68" s="279"/>
      <c r="ER68" s="279"/>
      <c r="ES68" s="279"/>
      <c r="ET68" s="279"/>
      <c r="EU68" s="279"/>
      <c r="EV68" s="279"/>
      <c r="EW68" s="279"/>
      <c r="EX68" s="279"/>
      <c r="EY68" s="279"/>
      <c r="EZ68" s="279"/>
      <c r="FA68" s="279"/>
      <c r="FB68" s="279"/>
      <c r="FC68" s="279"/>
      <c r="FD68" s="279"/>
      <c r="FE68" s="279"/>
      <c r="FF68" s="279"/>
      <c r="FG68" s="279"/>
      <c r="FH68" s="279"/>
      <c r="FI68" s="279"/>
      <c r="FJ68" s="279"/>
      <c r="FK68" s="279"/>
      <c r="FL68" s="279"/>
      <c r="FM68" s="279"/>
      <c r="FN68" s="279"/>
      <c r="FO68" s="279"/>
      <c r="FP68" s="279"/>
      <c r="FQ68" s="279"/>
      <c r="FR68" s="279"/>
      <c r="FS68" s="279"/>
      <c r="FT68" s="279"/>
      <c r="FU68" s="279"/>
      <c r="FV68" s="279"/>
      <c r="FW68" s="279"/>
      <c r="FX68" s="279"/>
      <c r="FY68" s="279"/>
      <c r="FZ68" s="279"/>
      <c r="GA68" s="279"/>
      <c r="GB68" s="279"/>
      <c r="GC68" s="279"/>
      <c r="GD68" s="279"/>
      <c r="GE68" s="279"/>
      <c r="GF68" s="279"/>
      <c r="GG68" s="279"/>
      <c r="GH68" s="279"/>
      <c r="GI68" s="279"/>
      <c r="GJ68" s="279"/>
      <c r="GK68" s="279"/>
      <c r="GL68" s="279"/>
      <c r="GM68" s="279"/>
      <c r="GN68" s="279"/>
      <c r="GO68" s="279"/>
      <c r="GP68" s="279"/>
      <c r="GQ68" s="279"/>
      <c r="GR68" s="279"/>
      <c r="GS68" s="279"/>
      <c r="GT68" s="279"/>
      <c r="GU68" s="279"/>
      <c r="GV68" s="279"/>
      <c r="GW68" s="279"/>
      <c r="GX68" s="279"/>
      <c r="GY68" s="279"/>
      <c r="GZ68" s="279"/>
      <c r="HA68" s="279"/>
      <c r="HB68" s="279"/>
      <c r="HC68" s="279"/>
      <c r="HD68" s="279"/>
      <c r="HE68" s="279"/>
      <c r="HF68" s="279"/>
      <c r="HG68" s="279"/>
      <c r="HH68" s="279"/>
      <c r="HI68" s="279"/>
      <c r="HJ68" s="279"/>
      <c r="HK68" s="279"/>
      <c r="HL68" s="279"/>
      <c r="HM68" s="279"/>
      <c r="HN68" s="279"/>
      <c r="HO68" s="279"/>
      <c r="HP68" s="279"/>
      <c r="HQ68" s="279"/>
      <c r="HR68" s="279"/>
      <c r="HS68" s="279"/>
      <c r="HT68" s="279"/>
      <c r="HU68" s="279"/>
      <c r="HV68" s="279"/>
      <c r="HW68" s="279"/>
      <c r="HX68" s="279"/>
      <c r="HY68" s="279"/>
      <c r="HZ68" s="279"/>
      <c r="IA68" s="279"/>
      <c r="IB68" s="279"/>
      <c r="IC68" s="279"/>
      <c r="ID68" s="279"/>
      <c r="IE68" s="279"/>
      <c r="IF68" s="279"/>
      <c r="IG68" s="279"/>
      <c r="IH68" s="279"/>
      <c r="II68" s="279"/>
      <c r="IJ68" s="279"/>
      <c r="IK68" s="279"/>
      <c r="IL68" s="279"/>
      <c r="IM68" s="279"/>
      <c r="IN68" s="279"/>
      <c r="IO68" s="279"/>
      <c r="IP68" s="279"/>
      <c r="IQ68" s="279"/>
      <c r="IR68" s="279"/>
      <c r="IS68" s="279"/>
      <c r="IT68" s="279"/>
      <c r="IU68" s="279"/>
      <c r="IV68" s="279"/>
      <c r="IW68" s="279"/>
      <c r="IX68" s="279"/>
      <c r="IY68" s="279"/>
      <c r="IZ68" s="279"/>
      <c r="JA68" s="279"/>
      <c r="JB68" s="279"/>
      <c r="JC68" s="279"/>
      <c r="JD68" s="279"/>
      <c r="JE68" s="279"/>
      <c r="JF68" s="279"/>
      <c r="JG68" s="279"/>
      <c r="JH68" s="279"/>
      <c r="JI68" s="279"/>
      <c r="JJ68" s="279"/>
      <c r="JK68" s="279"/>
      <c r="JL68" s="279"/>
      <c r="JM68" s="279"/>
      <c r="JN68" s="279"/>
      <c r="JO68" s="279"/>
      <c r="JP68" s="279"/>
      <c r="JQ68" s="279"/>
      <c r="JR68" s="279"/>
      <c r="JS68" s="279"/>
      <c r="JT68" s="279"/>
      <c r="JU68" s="279"/>
      <c r="JV68" s="279"/>
      <c r="JW68" s="279"/>
      <c r="JX68" s="279"/>
      <c r="JY68" s="279"/>
      <c r="JZ68" s="279"/>
      <c r="KA68" s="279"/>
      <c r="KB68" s="279"/>
      <c r="KC68" s="279"/>
    </row>
    <row r="69" spans="1:289" ht="13.8" hidden="1" customHeight="1" x14ac:dyDescent="0.3">
      <c r="A69" s="3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79"/>
      <c r="CQ69" s="279"/>
      <c r="CR69" s="279"/>
      <c r="CS69" s="279"/>
      <c r="CT69" s="279"/>
      <c r="CU69" s="279"/>
      <c r="CV69" s="279"/>
      <c r="CW69" s="279"/>
      <c r="CX69" s="279"/>
      <c r="CY69" s="279"/>
      <c r="CZ69" s="279"/>
      <c r="DA69" s="279"/>
      <c r="DB69" s="279"/>
      <c r="DC69" s="279"/>
      <c r="DD69" s="279"/>
      <c r="DE69" s="279"/>
      <c r="DF69" s="279"/>
      <c r="DG69" s="279"/>
      <c r="DH69" s="279"/>
      <c r="DI69" s="279"/>
      <c r="DJ69" s="279"/>
      <c r="DK69" s="279"/>
      <c r="DL69" s="279"/>
      <c r="DM69" s="279"/>
      <c r="DN69" s="279"/>
      <c r="DO69" s="279"/>
      <c r="DP69" s="279"/>
      <c r="DQ69" s="279"/>
      <c r="DR69" s="279"/>
      <c r="DS69" s="279"/>
      <c r="DT69" s="279"/>
      <c r="DU69" s="279"/>
      <c r="DV69" s="279"/>
      <c r="DW69" s="279"/>
      <c r="DX69" s="279"/>
      <c r="DY69" s="279"/>
      <c r="DZ69" s="279"/>
      <c r="EA69" s="279"/>
      <c r="EB69" s="279"/>
      <c r="EC69" s="279"/>
      <c r="ED69" s="279"/>
      <c r="EE69" s="279"/>
      <c r="EF69" s="279"/>
      <c r="EG69" s="279"/>
      <c r="EH69" s="279"/>
      <c r="EI69" s="279"/>
      <c r="EJ69" s="279"/>
      <c r="EK69" s="279"/>
      <c r="EL69" s="279"/>
      <c r="EM69" s="279"/>
      <c r="EN69" s="279"/>
      <c r="EO69" s="279"/>
      <c r="EP69" s="279"/>
      <c r="EQ69" s="279"/>
      <c r="ER69" s="279"/>
      <c r="ES69" s="279"/>
      <c r="ET69" s="279"/>
      <c r="EU69" s="279"/>
      <c r="EV69" s="279"/>
      <c r="EW69" s="279"/>
      <c r="EX69" s="279"/>
      <c r="EY69" s="279"/>
      <c r="EZ69" s="279"/>
      <c r="FA69" s="279"/>
      <c r="FB69" s="279"/>
      <c r="FC69" s="279"/>
      <c r="FD69" s="279"/>
      <c r="FE69" s="279"/>
      <c r="FF69" s="279"/>
      <c r="FG69" s="279"/>
      <c r="FH69" s="279"/>
      <c r="FI69" s="279"/>
      <c r="FJ69" s="279"/>
      <c r="FK69" s="279"/>
      <c r="FL69" s="279"/>
      <c r="FM69" s="279"/>
      <c r="FN69" s="279"/>
      <c r="FO69" s="279"/>
      <c r="FP69" s="279"/>
      <c r="FQ69" s="279"/>
      <c r="FR69" s="279"/>
      <c r="FS69" s="279"/>
      <c r="FT69" s="279"/>
      <c r="FU69" s="279"/>
      <c r="FV69" s="279"/>
      <c r="FW69" s="279"/>
      <c r="FX69" s="279"/>
      <c r="FY69" s="279"/>
      <c r="FZ69" s="279"/>
      <c r="GA69" s="279"/>
      <c r="GB69" s="279"/>
      <c r="GC69" s="279"/>
      <c r="GD69" s="279"/>
      <c r="GE69" s="279"/>
      <c r="GF69" s="279"/>
      <c r="GG69" s="279"/>
      <c r="GH69" s="279"/>
      <c r="GI69" s="279"/>
      <c r="GJ69" s="279"/>
      <c r="GK69" s="279"/>
      <c r="GL69" s="279"/>
      <c r="GM69" s="279"/>
      <c r="GN69" s="279"/>
      <c r="GO69" s="279"/>
      <c r="GP69" s="279"/>
      <c r="GQ69" s="279"/>
      <c r="GR69" s="279"/>
      <c r="GS69" s="279"/>
      <c r="GT69" s="279"/>
      <c r="GU69" s="279"/>
      <c r="GV69" s="279"/>
      <c r="GW69" s="279"/>
      <c r="GX69" s="279"/>
      <c r="GY69" s="279"/>
      <c r="GZ69" s="279"/>
      <c r="HA69" s="279"/>
      <c r="HB69" s="279"/>
      <c r="HC69" s="279"/>
      <c r="HD69" s="279"/>
      <c r="HE69" s="279"/>
      <c r="HF69" s="279"/>
      <c r="HG69" s="279"/>
      <c r="HH69" s="279"/>
      <c r="HI69" s="279"/>
      <c r="HJ69" s="279"/>
      <c r="HK69" s="279"/>
      <c r="HL69" s="279"/>
      <c r="HM69" s="279"/>
      <c r="HN69" s="279"/>
      <c r="HO69" s="279"/>
      <c r="HP69" s="279"/>
      <c r="HQ69" s="279"/>
      <c r="HR69" s="279"/>
      <c r="HS69" s="279"/>
      <c r="HT69" s="279"/>
      <c r="HU69" s="279"/>
      <c r="HV69" s="279"/>
      <c r="HW69" s="279"/>
      <c r="HX69" s="279"/>
      <c r="HY69" s="279"/>
      <c r="HZ69" s="279"/>
      <c r="IA69" s="279"/>
      <c r="IB69" s="279"/>
      <c r="IC69" s="279"/>
      <c r="ID69" s="279"/>
      <c r="IE69" s="279"/>
      <c r="IF69" s="279"/>
      <c r="IG69" s="279"/>
      <c r="IH69" s="279"/>
      <c r="II69" s="279"/>
      <c r="IJ69" s="279"/>
      <c r="IK69" s="279"/>
      <c r="IL69" s="279"/>
      <c r="IM69" s="279"/>
      <c r="IN69" s="279"/>
      <c r="IO69" s="279"/>
      <c r="IP69" s="279"/>
      <c r="IQ69" s="279"/>
      <c r="IR69" s="279"/>
      <c r="IS69" s="279"/>
      <c r="IT69" s="279"/>
      <c r="IU69" s="279"/>
      <c r="IV69" s="279"/>
      <c r="IW69" s="279"/>
      <c r="IX69" s="279"/>
      <c r="IY69" s="279"/>
      <c r="IZ69" s="279"/>
      <c r="JA69" s="279"/>
      <c r="JB69" s="279"/>
      <c r="JC69" s="279"/>
      <c r="JD69" s="279"/>
      <c r="JE69" s="279"/>
      <c r="JF69" s="279"/>
      <c r="JG69" s="279"/>
      <c r="JH69" s="279"/>
      <c r="JI69" s="279"/>
      <c r="JJ69" s="279"/>
      <c r="JK69" s="279"/>
      <c r="JL69" s="279"/>
      <c r="JM69" s="279"/>
      <c r="JN69" s="279"/>
      <c r="JO69" s="279"/>
      <c r="JP69" s="279"/>
      <c r="JQ69" s="279"/>
      <c r="JR69" s="279"/>
      <c r="JS69" s="279"/>
      <c r="JT69" s="279"/>
      <c r="JU69" s="279"/>
      <c r="JV69" s="279"/>
      <c r="JW69" s="279"/>
      <c r="JX69" s="279"/>
      <c r="JY69" s="279"/>
      <c r="JZ69" s="279"/>
      <c r="KA69" s="279"/>
      <c r="KB69" s="279"/>
      <c r="KC69" s="279"/>
    </row>
    <row r="70" spans="1:289" ht="13.8" hidden="1" customHeight="1" x14ac:dyDescent="0.3">
      <c r="A70" s="39"/>
      <c r="B70" s="280" t="s">
        <v>143</v>
      </c>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79"/>
      <c r="CO70" s="279"/>
      <c r="CP70" s="279"/>
      <c r="CQ70" s="279"/>
      <c r="CR70" s="279"/>
      <c r="CS70" s="279"/>
      <c r="CT70" s="279"/>
      <c r="CU70" s="279"/>
      <c r="CV70" s="279"/>
      <c r="CW70" s="279"/>
      <c r="CX70" s="279"/>
      <c r="CY70" s="279"/>
      <c r="CZ70" s="279"/>
      <c r="DA70" s="279"/>
      <c r="DB70" s="279"/>
      <c r="DC70" s="279"/>
      <c r="DD70" s="279"/>
      <c r="DE70" s="279"/>
      <c r="DF70" s="279"/>
      <c r="DG70" s="279"/>
      <c r="DH70" s="279"/>
      <c r="DI70" s="279"/>
      <c r="DJ70" s="279"/>
      <c r="DK70" s="279"/>
      <c r="DL70" s="279"/>
      <c r="DM70" s="279"/>
      <c r="DN70" s="279"/>
      <c r="DO70" s="279"/>
      <c r="DP70" s="279"/>
      <c r="DQ70" s="279"/>
      <c r="DR70" s="279"/>
      <c r="DS70" s="279"/>
      <c r="DT70" s="279"/>
      <c r="DU70" s="279"/>
      <c r="DV70" s="279"/>
      <c r="DW70" s="279"/>
      <c r="DX70" s="279"/>
      <c r="DY70" s="279"/>
      <c r="DZ70" s="279"/>
      <c r="EA70" s="279"/>
      <c r="EB70" s="279"/>
      <c r="EC70" s="279"/>
      <c r="ED70" s="279"/>
      <c r="EE70" s="279"/>
      <c r="EF70" s="279"/>
      <c r="EG70" s="279"/>
      <c r="EH70" s="279"/>
      <c r="EI70" s="279"/>
      <c r="EJ70" s="279"/>
      <c r="EK70" s="279"/>
      <c r="EL70" s="279"/>
      <c r="EM70" s="279"/>
      <c r="EN70" s="279"/>
      <c r="EO70" s="279"/>
      <c r="EP70" s="279"/>
      <c r="EQ70" s="279"/>
      <c r="ER70" s="279"/>
      <c r="ES70" s="279"/>
      <c r="ET70" s="279"/>
      <c r="EU70" s="279"/>
      <c r="EV70" s="279"/>
      <c r="EW70" s="279"/>
      <c r="EX70" s="279"/>
      <c r="EY70" s="279"/>
      <c r="EZ70" s="279"/>
      <c r="FA70" s="279"/>
      <c r="FB70" s="279"/>
      <c r="FC70" s="279"/>
      <c r="FD70" s="279"/>
      <c r="FE70" s="279"/>
      <c r="FF70" s="279"/>
      <c r="FG70" s="279"/>
      <c r="FH70" s="279"/>
      <c r="FI70" s="279"/>
      <c r="FJ70" s="279"/>
      <c r="FK70" s="279"/>
      <c r="FL70" s="279"/>
      <c r="FM70" s="279"/>
      <c r="FN70" s="279"/>
      <c r="FO70" s="279"/>
      <c r="FP70" s="279"/>
      <c r="FQ70" s="279"/>
      <c r="FR70" s="279"/>
      <c r="FS70" s="279"/>
      <c r="FT70" s="279"/>
      <c r="FU70" s="279"/>
      <c r="FV70" s="279"/>
      <c r="FW70" s="279"/>
      <c r="FX70" s="279"/>
      <c r="FY70" s="279"/>
      <c r="FZ70" s="279"/>
      <c r="GA70" s="279"/>
      <c r="GB70" s="279"/>
      <c r="GC70" s="279"/>
      <c r="GD70" s="279"/>
      <c r="GE70" s="279"/>
      <c r="GF70" s="279"/>
      <c r="GG70" s="279"/>
      <c r="GH70" s="279"/>
      <c r="GI70" s="279"/>
      <c r="GJ70" s="279"/>
      <c r="GK70" s="279"/>
      <c r="GL70" s="279"/>
      <c r="GM70" s="279"/>
      <c r="GN70" s="279"/>
      <c r="GO70" s="279"/>
      <c r="GP70" s="279"/>
      <c r="GQ70" s="279"/>
      <c r="GR70" s="279"/>
      <c r="GS70" s="279"/>
      <c r="GT70" s="279"/>
      <c r="GU70" s="279"/>
      <c r="GV70" s="279"/>
      <c r="GW70" s="279"/>
      <c r="GX70" s="279"/>
      <c r="GY70" s="279"/>
      <c r="GZ70" s="279"/>
      <c r="HA70" s="279"/>
      <c r="HB70" s="279"/>
      <c r="HC70" s="279"/>
      <c r="HD70" s="279"/>
      <c r="HE70" s="279"/>
      <c r="HF70" s="279"/>
      <c r="HG70" s="279"/>
      <c r="HH70" s="279"/>
      <c r="HI70" s="279"/>
      <c r="HJ70" s="279"/>
      <c r="HK70" s="279"/>
      <c r="HL70" s="279"/>
      <c r="HM70" s="279"/>
      <c r="HN70" s="279"/>
      <c r="HO70" s="279"/>
      <c r="HP70" s="279"/>
      <c r="HQ70" s="279"/>
      <c r="HR70" s="279"/>
      <c r="HS70" s="279"/>
      <c r="HT70" s="279"/>
      <c r="HU70" s="279"/>
      <c r="HV70" s="279"/>
      <c r="HW70" s="279"/>
      <c r="HX70" s="279"/>
      <c r="HY70" s="279"/>
      <c r="HZ70" s="279"/>
      <c r="IA70" s="279"/>
      <c r="IB70" s="279"/>
      <c r="IC70" s="279"/>
      <c r="ID70" s="279"/>
      <c r="IE70" s="279"/>
      <c r="IF70" s="279"/>
      <c r="IG70" s="279"/>
      <c r="IH70" s="279"/>
      <c r="II70" s="279"/>
      <c r="IJ70" s="279"/>
      <c r="IK70" s="279"/>
      <c r="IL70" s="279"/>
      <c r="IM70" s="279"/>
      <c r="IN70" s="279"/>
      <c r="IO70" s="279"/>
      <c r="IP70" s="279"/>
      <c r="IQ70" s="279"/>
      <c r="IR70" s="279"/>
      <c r="IS70" s="279"/>
      <c r="IT70" s="279"/>
      <c r="IU70" s="279"/>
      <c r="IV70" s="279"/>
      <c r="IW70" s="279"/>
      <c r="IX70" s="279"/>
      <c r="IY70" s="279"/>
      <c r="IZ70" s="279"/>
      <c r="JA70" s="279"/>
      <c r="JB70" s="279"/>
      <c r="JC70" s="279"/>
      <c r="JD70" s="279"/>
      <c r="JE70" s="279"/>
      <c r="JF70" s="279"/>
      <c r="JG70" s="279"/>
      <c r="JH70" s="279"/>
      <c r="JI70" s="279"/>
      <c r="JJ70" s="279"/>
      <c r="JK70" s="279"/>
      <c r="JL70" s="279"/>
      <c r="JM70" s="279"/>
      <c r="JN70" s="279"/>
      <c r="JO70" s="279"/>
      <c r="JP70" s="279"/>
      <c r="JQ70" s="279"/>
      <c r="JR70" s="279"/>
      <c r="JS70" s="279"/>
      <c r="JT70" s="279"/>
      <c r="JU70" s="279"/>
      <c r="JV70" s="279"/>
      <c r="JW70" s="279"/>
      <c r="JX70" s="279"/>
      <c r="JY70" s="279"/>
      <c r="JZ70" s="279"/>
      <c r="KA70" s="279"/>
      <c r="KB70" s="279"/>
      <c r="KC70" s="279"/>
    </row>
    <row r="71" spans="1:289" ht="13.8" hidden="1" customHeight="1" x14ac:dyDescent="0.3">
      <c r="A71" s="39" t="s">
        <v>142</v>
      </c>
      <c r="B71" s="281">
        <f>MAX(C71:CN71)</f>
        <v>0.61590982096452807</v>
      </c>
      <c r="C71" s="282">
        <v>0.61590982096452807</v>
      </c>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c r="AL71" s="282"/>
      <c r="AM71" s="282"/>
      <c r="AN71" s="282"/>
      <c r="AO71" s="282"/>
      <c r="AP71" s="282"/>
      <c r="AQ71" s="282"/>
      <c r="AR71" s="282"/>
      <c r="AS71" s="282"/>
      <c r="AT71" s="282"/>
      <c r="AU71" s="282"/>
      <c r="AV71" s="282"/>
      <c r="AW71" s="282"/>
      <c r="AX71" s="282"/>
      <c r="AY71" s="282"/>
      <c r="AZ71" s="282"/>
      <c r="BA71" s="282"/>
      <c r="BB71" s="282"/>
      <c r="BC71" s="282"/>
      <c r="BD71" s="282"/>
      <c r="BE71" s="282"/>
      <c r="BF71" s="282"/>
      <c r="BG71" s="282"/>
      <c r="BH71" s="282"/>
      <c r="BI71" s="282"/>
      <c r="BJ71" s="282"/>
      <c r="BK71" s="282"/>
      <c r="BL71" s="282"/>
      <c r="BM71" s="282"/>
      <c r="BN71" s="282"/>
      <c r="BO71" s="282"/>
      <c r="BP71" s="282"/>
      <c r="BQ71" s="282"/>
      <c r="BR71" s="282"/>
      <c r="BS71" s="282"/>
      <c r="BT71" s="282"/>
      <c r="BU71" s="282"/>
      <c r="BV71" s="282"/>
      <c r="BW71" s="282"/>
      <c r="BX71" s="282"/>
      <c r="BY71" s="282"/>
      <c r="BZ71" s="282"/>
      <c r="CA71" s="282"/>
      <c r="CB71" s="282"/>
      <c r="CC71" s="282"/>
      <c r="CD71" s="282"/>
      <c r="CE71" s="282"/>
      <c r="CF71" s="282"/>
      <c r="CG71" s="282"/>
      <c r="CH71" s="282"/>
      <c r="CI71" s="282"/>
      <c r="CJ71" s="282"/>
      <c r="CK71" s="282"/>
      <c r="CL71" s="282"/>
      <c r="CM71" s="282"/>
      <c r="CN71" s="282"/>
      <c r="CO71" s="282"/>
      <c r="CP71" s="282"/>
      <c r="CQ71" s="282"/>
      <c r="CR71" s="282"/>
      <c r="CS71" s="282"/>
      <c r="CT71" s="282"/>
      <c r="CU71" s="282"/>
      <c r="CV71" s="282"/>
      <c r="CW71" s="282"/>
      <c r="CX71" s="282"/>
      <c r="CY71" s="282"/>
      <c r="CZ71" s="282"/>
      <c r="DA71" s="282"/>
      <c r="DB71" s="282"/>
      <c r="DC71" s="282"/>
      <c r="DD71" s="282"/>
      <c r="DE71" s="282"/>
      <c r="DF71" s="282"/>
      <c r="DG71" s="282"/>
      <c r="DH71" s="282"/>
      <c r="DI71" s="282"/>
      <c r="DJ71" s="282"/>
      <c r="DK71" s="282"/>
      <c r="DL71" s="282"/>
      <c r="DM71" s="282"/>
      <c r="DN71" s="282"/>
      <c r="DO71" s="282"/>
      <c r="DP71" s="282"/>
      <c r="DQ71" s="282"/>
      <c r="DR71" s="282"/>
      <c r="DS71" s="282"/>
      <c r="DT71" s="282"/>
      <c r="DU71" s="282"/>
      <c r="DV71" s="282"/>
      <c r="DW71" s="282"/>
      <c r="DX71" s="282"/>
      <c r="DY71" s="282"/>
      <c r="DZ71" s="282"/>
      <c r="EA71" s="282"/>
      <c r="EB71" s="282"/>
      <c r="EC71" s="282"/>
      <c r="ED71" s="282"/>
      <c r="EE71" s="282"/>
      <c r="EF71" s="282"/>
      <c r="EG71" s="282"/>
      <c r="EH71" s="282"/>
      <c r="EI71" s="282"/>
      <c r="EJ71" s="282"/>
      <c r="EK71" s="282"/>
      <c r="EL71" s="282"/>
      <c r="EM71" s="282"/>
      <c r="EN71" s="282"/>
      <c r="EO71" s="282"/>
      <c r="EP71" s="282"/>
      <c r="EQ71" s="282"/>
      <c r="ER71" s="282"/>
      <c r="ES71" s="282"/>
      <c r="ET71" s="282"/>
      <c r="EU71" s="282"/>
      <c r="EV71" s="282"/>
      <c r="EW71" s="282"/>
      <c r="EX71" s="282"/>
      <c r="EY71" s="282"/>
      <c r="EZ71" s="282"/>
      <c r="FA71" s="282"/>
      <c r="FB71" s="282"/>
      <c r="FC71" s="282"/>
      <c r="FD71" s="282"/>
      <c r="FE71" s="282"/>
      <c r="FF71" s="282"/>
      <c r="FG71" s="282"/>
      <c r="FH71" s="282"/>
      <c r="FI71" s="282"/>
      <c r="FJ71" s="282"/>
      <c r="FK71" s="282"/>
      <c r="FL71" s="282"/>
      <c r="FM71" s="282"/>
      <c r="FN71" s="282"/>
      <c r="FO71" s="282"/>
      <c r="FP71" s="282"/>
      <c r="FQ71" s="282"/>
      <c r="FR71" s="282"/>
      <c r="FS71" s="282"/>
      <c r="FT71" s="282"/>
      <c r="FU71" s="282"/>
      <c r="FV71" s="282"/>
      <c r="FW71" s="282"/>
      <c r="FX71" s="282"/>
      <c r="FY71" s="282"/>
      <c r="FZ71" s="282"/>
      <c r="GA71" s="282"/>
      <c r="GB71" s="282"/>
      <c r="GC71" s="282"/>
      <c r="GD71" s="282"/>
      <c r="GE71" s="282"/>
      <c r="GF71" s="282"/>
      <c r="GG71" s="282"/>
      <c r="GH71" s="282"/>
      <c r="GI71" s="282"/>
      <c r="GJ71" s="282"/>
      <c r="GK71" s="282"/>
      <c r="GL71" s="282"/>
      <c r="GM71" s="282"/>
      <c r="GN71" s="282"/>
      <c r="GO71" s="282"/>
      <c r="GP71" s="282"/>
      <c r="GQ71" s="282"/>
      <c r="GR71" s="282"/>
      <c r="GS71" s="282"/>
      <c r="GT71" s="282"/>
      <c r="GU71" s="282"/>
      <c r="GV71" s="282"/>
      <c r="GW71" s="282"/>
      <c r="GX71" s="282"/>
      <c r="GY71" s="282"/>
      <c r="GZ71" s="282"/>
      <c r="HA71" s="282"/>
      <c r="HB71" s="282"/>
      <c r="HC71" s="282"/>
      <c r="HD71" s="282"/>
      <c r="HE71" s="282"/>
      <c r="HF71" s="282"/>
      <c r="HG71" s="282"/>
      <c r="HH71" s="282"/>
      <c r="HI71" s="282"/>
      <c r="HJ71" s="282"/>
      <c r="HK71" s="282"/>
      <c r="HL71" s="282"/>
      <c r="HM71" s="282"/>
      <c r="HN71" s="282"/>
      <c r="HO71" s="282"/>
      <c r="HP71" s="282"/>
      <c r="HQ71" s="282"/>
      <c r="HR71" s="282"/>
      <c r="HS71" s="282"/>
      <c r="HT71" s="282"/>
      <c r="HU71" s="282"/>
      <c r="HV71" s="282"/>
      <c r="HW71" s="282"/>
      <c r="HX71" s="282"/>
      <c r="HY71" s="282"/>
      <c r="HZ71" s="282"/>
      <c r="IA71" s="282"/>
      <c r="IB71" s="282"/>
      <c r="IC71" s="282"/>
      <c r="ID71" s="282"/>
      <c r="IE71" s="282"/>
      <c r="IF71" s="282"/>
      <c r="IG71" s="282"/>
      <c r="IH71" s="282"/>
      <c r="II71" s="282"/>
      <c r="IJ71" s="282"/>
      <c r="IK71" s="282"/>
      <c r="IL71" s="282"/>
      <c r="IM71" s="282"/>
      <c r="IN71" s="282"/>
      <c r="IO71" s="282"/>
      <c r="IP71" s="282"/>
      <c r="IQ71" s="282"/>
      <c r="IR71" s="282"/>
      <c r="IS71" s="282"/>
      <c r="IT71" s="282"/>
      <c r="IU71" s="282"/>
      <c r="IV71" s="282"/>
      <c r="IW71" s="282"/>
      <c r="IX71" s="282"/>
      <c r="IY71" s="282"/>
      <c r="IZ71" s="282"/>
      <c r="JA71" s="282"/>
      <c r="JB71" s="282"/>
      <c r="JC71" s="282"/>
      <c r="JD71" s="282"/>
      <c r="JE71" s="282"/>
      <c r="JF71" s="282"/>
      <c r="JG71" s="282"/>
      <c r="JH71" s="282"/>
      <c r="JI71" s="282"/>
      <c r="JJ71" s="282"/>
      <c r="JK71" s="282"/>
      <c r="JL71" s="282"/>
      <c r="JM71" s="282"/>
      <c r="JN71" s="282"/>
      <c r="JO71" s="282"/>
      <c r="JP71" s="282"/>
      <c r="JQ71" s="282"/>
      <c r="JR71" s="282"/>
      <c r="JS71" s="282"/>
      <c r="JT71" s="282"/>
      <c r="JU71" s="282"/>
      <c r="JV71" s="282"/>
      <c r="JW71" s="282"/>
      <c r="JX71" s="282"/>
      <c r="JY71" s="282"/>
      <c r="JZ71" s="282"/>
      <c r="KA71" s="282"/>
      <c r="KB71" s="282"/>
      <c r="KC71" s="282"/>
    </row>
    <row r="72" spans="1:289" ht="13.8" hidden="1" customHeight="1" x14ac:dyDescent="0.3">
      <c r="A72" s="39" t="s">
        <v>145</v>
      </c>
      <c r="B72" s="283">
        <f>MAX(C72:CN72)</f>
        <v>0.38115358479404177</v>
      </c>
      <c r="C72" s="284">
        <v>0.38115358479404177</v>
      </c>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84"/>
      <c r="DC72" s="284"/>
      <c r="DD72" s="284"/>
      <c r="DE72" s="284"/>
      <c r="DF72" s="284"/>
      <c r="DG72" s="284"/>
      <c r="DH72" s="284"/>
      <c r="DI72" s="284"/>
      <c r="DJ72" s="284"/>
      <c r="DK72" s="284"/>
      <c r="DL72" s="284"/>
      <c r="DM72" s="284"/>
      <c r="DN72" s="284"/>
      <c r="DO72" s="284"/>
      <c r="DP72" s="284"/>
      <c r="DQ72" s="284"/>
      <c r="DR72" s="284"/>
      <c r="DS72" s="284"/>
      <c r="DT72" s="284"/>
      <c r="DU72" s="284"/>
      <c r="DV72" s="284"/>
      <c r="DW72" s="284"/>
      <c r="DX72" s="284"/>
      <c r="DY72" s="284"/>
      <c r="DZ72" s="284"/>
      <c r="EA72" s="284"/>
      <c r="EB72" s="284"/>
      <c r="EC72" s="284"/>
      <c r="ED72" s="284"/>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84"/>
      <c r="FF72" s="284"/>
      <c r="FG72" s="284"/>
      <c r="FH72" s="284"/>
      <c r="FI72" s="284"/>
      <c r="FJ72" s="284"/>
      <c r="FK72" s="284"/>
      <c r="FL72" s="284"/>
      <c r="FM72" s="284"/>
      <c r="FN72" s="284"/>
      <c r="FO72" s="284"/>
      <c r="FP72" s="284"/>
      <c r="FQ72" s="284"/>
      <c r="FR72" s="284"/>
      <c r="FS72" s="284"/>
      <c r="FT72" s="284"/>
      <c r="FU72" s="284"/>
      <c r="FV72" s="284"/>
      <c r="FW72" s="284"/>
      <c r="FX72" s="284"/>
      <c r="FY72" s="284"/>
      <c r="FZ72" s="284"/>
      <c r="GA72" s="284"/>
      <c r="GB72" s="284"/>
      <c r="GC72" s="284"/>
      <c r="GD72" s="284"/>
      <c r="GE72" s="284"/>
      <c r="GF72" s="284"/>
      <c r="GG72" s="284"/>
      <c r="GH72" s="284"/>
      <c r="GI72" s="284"/>
      <c r="GJ72" s="284"/>
      <c r="GK72" s="284"/>
      <c r="GL72" s="284"/>
      <c r="GM72" s="284"/>
      <c r="GN72" s="284"/>
      <c r="GO72" s="284"/>
      <c r="GP72" s="284"/>
      <c r="GQ72" s="284"/>
      <c r="GR72" s="284"/>
      <c r="GS72" s="284"/>
      <c r="GT72" s="284"/>
      <c r="GU72" s="284"/>
      <c r="GV72" s="284"/>
      <c r="GW72" s="284"/>
      <c r="GX72" s="284"/>
      <c r="GY72" s="284"/>
      <c r="GZ72" s="284"/>
      <c r="HA72" s="284"/>
      <c r="HB72" s="284"/>
      <c r="HC72" s="284"/>
      <c r="HD72" s="284"/>
      <c r="HE72" s="284"/>
      <c r="HF72" s="284"/>
      <c r="HG72" s="284"/>
      <c r="HH72" s="284"/>
      <c r="HI72" s="284"/>
      <c r="HJ72" s="284"/>
      <c r="HK72" s="284"/>
      <c r="HL72" s="284"/>
      <c r="HM72" s="284"/>
      <c r="HN72" s="284"/>
      <c r="HO72" s="284"/>
      <c r="HP72" s="284"/>
      <c r="HQ72" s="284"/>
      <c r="HR72" s="284"/>
      <c r="HS72" s="284"/>
      <c r="HT72" s="284"/>
      <c r="HU72" s="284"/>
      <c r="HV72" s="284"/>
      <c r="HW72" s="284"/>
      <c r="HX72" s="284"/>
      <c r="HY72" s="284"/>
      <c r="HZ72" s="284"/>
      <c r="IA72" s="284"/>
      <c r="IB72" s="284"/>
      <c r="IC72" s="284"/>
      <c r="ID72" s="284"/>
      <c r="IE72" s="284"/>
      <c r="IF72" s="284"/>
      <c r="IG72" s="284"/>
      <c r="IH72" s="284"/>
      <c r="II72" s="284"/>
      <c r="IJ72" s="284"/>
      <c r="IK72" s="284"/>
      <c r="IL72" s="284"/>
      <c r="IM72" s="284"/>
      <c r="IN72" s="284"/>
      <c r="IO72" s="284"/>
      <c r="IP72" s="284"/>
      <c r="IQ72" s="284"/>
      <c r="IR72" s="284"/>
      <c r="IS72" s="284"/>
      <c r="IT72" s="284"/>
      <c r="IU72" s="284"/>
      <c r="IV72" s="284"/>
      <c r="IW72" s="284"/>
      <c r="IX72" s="284"/>
      <c r="IY72" s="284"/>
      <c r="IZ72" s="284"/>
      <c r="JA72" s="284"/>
      <c r="JB72" s="284"/>
      <c r="JC72" s="284"/>
      <c r="JD72" s="284"/>
      <c r="JE72" s="284"/>
      <c r="JF72" s="284"/>
      <c r="JG72" s="284"/>
      <c r="JH72" s="284"/>
      <c r="JI72" s="284"/>
      <c r="JJ72" s="284"/>
      <c r="JK72" s="284"/>
      <c r="JL72" s="284"/>
      <c r="JM72" s="284"/>
      <c r="JN72" s="284"/>
      <c r="JO72" s="284"/>
      <c r="JP72" s="284"/>
      <c r="JQ72" s="284"/>
      <c r="JR72" s="284"/>
      <c r="JS72" s="284"/>
      <c r="JT72" s="284"/>
      <c r="JU72" s="284"/>
      <c r="JV72" s="284"/>
      <c r="JW72" s="284"/>
      <c r="JX72" s="284"/>
      <c r="JY72" s="284"/>
      <c r="JZ72" s="284"/>
      <c r="KA72" s="284"/>
      <c r="KB72" s="284"/>
      <c r="KC72" s="284"/>
    </row>
    <row r="73" spans="1:289" ht="13.8" hidden="1" customHeight="1" x14ac:dyDescent="0.3">
      <c r="A73" s="39"/>
      <c r="B73" s="285" t="s">
        <v>148</v>
      </c>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c r="BC73" s="284"/>
      <c r="BD73" s="284"/>
      <c r="BE73" s="284"/>
      <c r="BF73" s="284"/>
      <c r="BG73" s="284"/>
      <c r="BH73" s="284"/>
      <c r="BI73" s="284"/>
      <c r="BJ73" s="284"/>
      <c r="BK73" s="284"/>
      <c r="BL73" s="284"/>
      <c r="BM73" s="284"/>
      <c r="BN73" s="284"/>
      <c r="BO73" s="284"/>
      <c r="BP73" s="284"/>
      <c r="BQ73" s="284"/>
      <c r="BR73" s="284"/>
      <c r="BS73" s="284"/>
      <c r="BT73" s="284"/>
      <c r="BU73" s="284"/>
      <c r="BV73" s="284"/>
      <c r="BW73" s="284"/>
      <c r="BX73" s="284"/>
      <c r="BY73" s="284"/>
      <c r="BZ73" s="284"/>
      <c r="CA73" s="284"/>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c r="CY73" s="284"/>
      <c r="CZ73" s="284"/>
      <c r="DA73" s="284"/>
      <c r="DB73" s="284"/>
      <c r="DC73" s="284"/>
      <c r="DD73" s="284"/>
      <c r="DE73" s="284"/>
      <c r="DF73" s="284"/>
      <c r="DG73" s="284"/>
      <c r="DH73" s="284"/>
      <c r="DI73" s="284"/>
      <c r="DJ73" s="284"/>
      <c r="DK73" s="284"/>
      <c r="DL73" s="284"/>
      <c r="DM73" s="284"/>
      <c r="DN73" s="284"/>
      <c r="DO73" s="284"/>
      <c r="DP73" s="284"/>
      <c r="DQ73" s="284"/>
      <c r="DR73" s="284"/>
      <c r="DS73" s="284"/>
      <c r="DT73" s="284"/>
      <c r="DU73" s="284"/>
      <c r="DV73" s="284"/>
      <c r="DW73" s="284"/>
      <c r="DX73" s="284"/>
      <c r="DY73" s="284"/>
      <c r="DZ73" s="284"/>
      <c r="EA73" s="284"/>
      <c r="EB73" s="284"/>
      <c r="EC73" s="284"/>
      <c r="ED73" s="284"/>
      <c r="EE73" s="284"/>
      <c r="EF73" s="284"/>
      <c r="EG73" s="284"/>
      <c r="EH73" s="284"/>
      <c r="EI73" s="284"/>
      <c r="EJ73" s="284"/>
      <c r="EK73" s="284"/>
      <c r="EL73" s="284"/>
      <c r="EM73" s="284"/>
      <c r="EN73" s="284"/>
      <c r="EO73" s="284"/>
      <c r="EP73" s="284"/>
      <c r="EQ73" s="284"/>
      <c r="ER73" s="284"/>
      <c r="ES73" s="284"/>
      <c r="ET73" s="284"/>
      <c r="EU73" s="284"/>
      <c r="EV73" s="284"/>
      <c r="EW73" s="284"/>
      <c r="EX73" s="284"/>
      <c r="EY73" s="284"/>
      <c r="EZ73" s="284"/>
      <c r="FA73" s="284"/>
      <c r="FB73" s="284"/>
      <c r="FC73" s="284"/>
      <c r="FD73" s="284"/>
      <c r="FE73" s="284"/>
      <c r="FF73" s="284"/>
      <c r="FG73" s="284"/>
      <c r="FH73" s="284"/>
      <c r="FI73" s="284"/>
      <c r="FJ73" s="284"/>
      <c r="FK73" s="284"/>
      <c r="FL73" s="284"/>
      <c r="FM73" s="284"/>
      <c r="FN73" s="284"/>
      <c r="FO73" s="284"/>
      <c r="FP73" s="284"/>
      <c r="FQ73" s="284"/>
      <c r="FR73" s="284"/>
      <c r="FS73" s="284"/>
      <c r="FT73" s="284"/>
      <c r="FU73" s="284"/>
      <c r="FV73" s="284"/>
      <c r="FW73" s="284"/>
      <c r="FX73" s="284"/>
      <c r="FY73" s="284"/>
      <c r="FZ73" s="284"/>
      <c r="GA73" s="284"/>
      <c r="GB73" s="284"/>
      <c r="GC73" s="284"/>
      <c r="GD73" s="284"/>
      <c r="GE73" s="284"/>
      <c r="GF73" s="284"/>
      <c r="GG73" s="284"/>
      <c r="GH73" s="284"/>
      <c r="GI73" s="284"/>
      <c r="GJ73" s="284"/>
      <c r="GK73" s="284"/>
      <c r="GL73" s="284"/>
      <c r="GM73" s="284"/>
      <c r="GN73" s="284"/>
      <c r="GO73" s="284"/>
      <c r="GP73" s="284"/>
      <c r="GQ73" s="284"/>
      <c r="GR73" s="284"/>
      <c r="GS73" s="284"/>
      <c r="GT73" s="284"/>
      <c r="GU73" s="284"/>
      <c r="GV73" s="284"/>
      <c r="GW73" s="284"/>
      <c r="GX73" s="284"/>
      <c r="GY73" s="284"/>
      <c r="GZ73" s="284"/>
      <c r="HA73" s="284"/>
      <c r="HB73" s="284"/>
      <c r="HC73" s="284"/>
      <c r="HD73" s="284"/>
      <c r="HE73" s="284"/>
      <c r="HF73" s="284"/>
      <c r="HG73" s="284"/>
      <c r="HH73" s="284"/>
      <c r="HI73" s="284"/>
      <c r="HJ73" s="284"/>
      <c r="HK73" s="284"/>
      <c r="HL73" s="284"/>
      <c r="HM73" s="284"/>
      <c r="HN73" s="284"/>
      <c r="HO73" s="284"/>
      <c r="HP73" s="284"/>
      <c r="HQ73" s="284"/>
      <c r="HR73" s="284"/>
      <c r="HS73" s="284"/>
      <c r="HT73" s="284"/>
      <c r="HU73" s="284"/>
      <c r="HV73" s="284"/>
      <c r="HW73" s="284"/>
      <c r="HX73" s="284"/>
      <c r="HY73" s="284"/>
      <c r="HZ73" s="284"/>
      <c r="IA73" s="284"/>
      <c r="IB73" s="284"/>
      <c r="IC73" s="284"/>
      <c r="ID73" s="284"/>
      <c r="IE73" s="284"/>
      <c r="IF73" s="284"/>
      <c r="IG73" s="284"/>
      <c r="IH73" s="284"/>
      <c r="II73" s="284"/>
      <c r="IJ73" s="284"/>
      <c r="IK73" s="284"/>
      <c r="IL73" s="284"/>
      <c r="IM73" s="284"/>
      <c r="IN73" s="284"/>
      <c r="IO73" s="284"/>
      <c r="IP73" s="284"/>
      <c r="IQ73" s="284"/>
      <c r="IR73" s="284"/>
      <c r="IS73" s="284"/>
      <c r="IT73" s="284"/>
      <c r="IU73" s="284"/>
      <c r="IV73" s="284"/>
      <c r="IW73" s="284"/>
      <c r="IX73" s="284"/>
      <c r="IY73" s="284"/>
      <c r="IZ73" s="284"/>
      <c r="JA73" s="284"/>
      <c r="JB73" s="284"/>
      <c r="JC73" s="284"/>
      <c r="JD73" s="284"/>
      <c r="JE73" s="284"/>
      <c r="JF73" s="284"/>
      <c r="JG73" s="284"/>
      <c r="JH73" s="284"/>
      <c r="JI73" s="284"/>
      <c r="JJ73" s="284"/>
      <c r="JK73" s="284"/>
      <c r="JL73" s="284"/>
      <c r="JM73" s="284"/>
      <c r="JN73" s="284"/>
      <c r="JO73" s="284"/>
      <c r="JP73" s="284"/>
      <c r="JQ73" s="284"/>
      <c r="JR73" s="284"/>
      <c r="JS73" s="284"/>
      <c r="JT73" s="284"/>
      <c r="JU73" s="284"/>
      <c r="JV73" s="284"/>
      <c r="JW73" s="284"/>
      <c r="JX73" s="284"/>
      <c r="JY73" s="284"/>
      <c r="JZ73" s="284"/>
      <c r="KA73" s="284"/>
      <c r="KB73" s="284"/>
      <c r="KC73" s="284"/>
    </row>
    <row r="74" spans="1:289" ht="13.8" hidden="1" customHeight="1" x14ac:dyDescent="0.3">
      <c r="A74" s="39" t="s">
        <v>147</v>
      </c>
      <c r="B74" s="283">
        <f>MIN(C74:AC74)</f>
        <v>0.61884641520595829</v>
      </c>
      <c r="C74" s="50">
        <v>0.61884641520595829</v>
      </c>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row>
    <row r="75" spans="1:289" hidden="1" x14ac:dyDescent="0.3">
      <c r="A75" s="39"/>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row>
    <row r="76" spans="1:289" hidden="1" x14ac:dyDescent="0.3">
      <c r="A76" s="39" t="s">
        <v>149</v>
      </c>
      <c r="B76" s="283">
        <f ca="1">-B49/B46</f>
        <v>0.99999999999999978</v>
      </c>
    </row>
    <row r="77" spans="1:289" hidden="1" x14ac:dyDescent="0.3">
      <c r="A77" s="1" t="s">
        <v>150</v>
      </c>
      <c r="B77" s="283" t="e">
        <f ca="1">B46/$B$47</f>
        <v>#DIV/0!</v>
      </c>
    </row>
    <row r="78" spans="1:289" hidden="1" x14ac:dyDescent="0.3">
      <c r="A78" s="1" t="s">
        <v>209</v>
      </c>
      <c r="B78" s="286">
        <f>SUM(C78:KB78)</f>
        <v>0</v>
      </c>
      <c r="C78" s="258">
        <f>IFERROR(_xlfn.XLOOKUP(C7,#REF!,#REF!)/#REF!*(#REF!-'CF_Debt Schedule'!$B$19),0)</f>
        <v>0</v>
      </c>
      <c r="D78" s="258"/>
      <c r="E78" s="258"/>
      <c r="F78" s="258"/>
      <c r="G78" s="258"/>
      <c r="H78" s="258"/>
      <c r="I78" s="258"/>
      <c r="J78" s="258"/>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258"/>
      <c r="BU78" s="258"/>
      <c r="BV78" s="258"/>
      <c r="BW78" s="258"/>
      <c r="BX78" s="258"/>
      <c r="BY78" s="258"/>
      <c r="BZ78" s="258"/>
      <c r="CA78" s="258"/>
      <c r="CB78" s="258"/>
      <c r="CC78" s="258"/>
      <c r="CD78" s="258"/>
      <c r="CE78" s="258"/>
      <c r="CF78" s="258"/>
      <c r="CG78" s="258"/>
      <c r="CH78" s="258"/>
      <c r="CI78" s="258"/>
      <c r="CJ78" s="258"/>
      <c r="CK78" s="258"/>
      <c r="CL78" s="258"/>
      <c r="CM78" s="258"/>
      <c r="CN78" s="258"/>
      <c r="CO78" s="258"/>
      <c r="CP78" s="258"/>
      <c r="CQ78" s="258"/>
      <c r="CR78" s="258"/>
      <c r="CS78" s="258"/>
      <c r="CT78" s="258"/>
      <c r="CU78" s="258"/>
      <c r="CV78" s="258"/>
      <c r="CW78" s="258"/>
      <c r="CX78" s="258"/>
      <c r="CY78" s="258"/>
      <c r="CZ78" s="258"/>
      <c r="DA78" s="258"/>
      <c r="DB78" s="258"/>
      <c r="DC78" s="258"/>
      <c r="DD78" s="258"/>
      <c r="DE78" s="258"/>
      <c r="DF78" s="258"/>
      <c r="DG78" s="258"/>
      <c r="DH78" s="258"/>
      <c r="DI78" s="258"/>
      <c r="DJ78" s="258"/>
      <c r="DK78" s="258"/>
      <c r="DL78" s="258"/>
      <c r="DM78" s="258"/>
      <c r="DN78" s="258"/>
      <c r="DO78" s="258"/>
      <c r="DP78" s="258"/>
      <c r="DQ78" s="258"/>
      <c r="DR78" s="258"/>
      <c r="DS78" s="258"/>
      <c r="DT78" s="258"/>
      <c r="DU78" s="258"/>
      <c r="DV78" s="258"/>
      <c r="DW78" s="258"/>
      <c r="DX78" s="258"/>
      <c r="DY78" s="258"/>
      <c r="DZ78" s="258"/>
      <c r="EA78" s="258"/>
      <c r="EB78" s="258"/>
      <c r="EC78" s="258"/>
      <c r="ED78" s="258"/>
      <c r="EE78" s="258"/>
      <c r="EF78" s="258"/>
      <c r="EG78" s="258"/>
      <c r="EH78" s="258"/>
      <c r="EI78" s="258"/>
      <c r="EJ78" s="258"/>
      <c r="EK78" s="258"/>
      <c r="EL78" s="258"/>
      <c r="EM78" s="258"/>
      <c r="EN78" s="258"/>
      <c r="EO78" s="258"/>
      <c r="EP78" s="258"/>
      <c r="EQ78" s="258"/>
      <c r="ER78" s="258"/>
      <c r="ES78" s="258"/>
      <c r="ET78" s="258"/>
      <c r="EU78" s="258"/>
      <c r="EV78" s="258"/>
      <c r="EW78" s="258"/>
      <c r="EX78" s="258"/>
      <c r="EY78" s="258"/>
      <c r="EZ78" s="258"/>
      <c r="FA78" s="258"/>
      <c r="FB78" s="258"/>
      <c r="FC78" s="258"/>
      <c r="FD78" s="258"/>
      <c r="FE78" s="258"/>
      <c r="FF78" s="258"/>
      <c r="FG78" s="258"/>
      <c r="FH78" s="258"/>
      <c r="FI78" s="258"/>
      <c r="FJ78" s="258"/>
      <c r="FK78" s="258"/>
      <c r="FL78" s="258"/>
      <c r="FM78" s="258"/>
      <c r="FN78" s="258"/>
      <c r="FO78" s="258"/>
      <c r="FP78" s="258"/>
      <c r="FQ78" s="258"/>
      <c r="FR78" s="258"/>
      <c r="FS78" s="258"/>
      <c r="FT78" s="258"/>
      <c r="FU78" s="258"/>
      <c r="FV78" s="258"/>
      <c r="FW78" s="258"/>
      <c r="FX78" s="258"/>
      <c r="FY78" s="258"/>
      <c r="FZ78" s="258"/>
      <c r="GA78" s="258"/>
      <c r="GB78" s="258"/>
      <c r="GC78" s="258"/>
      <c r="GD78" s="258"/>
      <c r="GE78" s="258"/>
      <c r="GF78" s="258"/>
      <c r="GG78" s="258"/>
      <c r="GH78" s="258"/>
      <c r="GI78" s="258"/>
      <c r="GJ78" s="258"/>
      <c r="GK78" s="258"/>
      <c r="GL78" s="258"/>
      <c r="GM78" s="258"/>
      <c r="GN78" s="258"/>
      <c r="GO78" s="258"/>
      <c r="GP78" s="258"/>
      <c r="GQ78" s="258"/>
      <c r="GR78" s="258"/>
      <c r="GS78" s="258"/>
      <c r="GT78" s="258"/>
      <c r="GU78" s="258"/>
      <c r="GV78" s="258"/>
      <c r="GW78" s="258"/>
      <c r="GX78" s="258"/>
      <c r="GY78" s="258"/>
      <c r="GZ78" s="258"/>
      <c r="HA78" s="258"/>
      <c r="HB78" s="258"/>
      <c r="HC78" s="258"/>
      <c r="HD78" s="258"/>
      <c r="HE78" s="258"/>
      <c r="HF78" s="258"/>
      <c r="HG78" s="258"/>
      <c r="HH78" s="258"/>
      <c r="HI78" s="258"/>
      <c r="HJ78" s="258"/>
      <c r="HK78" s="258"/>
      <c r="HL78" s="258"/>
      <c r="HM78" s="258"/>
      <c r="HN78" s="258"/>
      <c r="HO78" s="258"/>
      <c r="HP78" s="258"/>
      <c r="HQ78" s="258"/>
      <c r="HR78" s="258"/>
      <c r="HS78" s="258"/>
      <c r="HT78" s="258"/>
      <c r="HU78" s="258"/>
      <c r="HV78" s="258"/>
      <c r="HW78" s="258"/>
      <c r="HX78" s="258"/>
      <c r="HY78" s="258"/>
      <c r="HZ78" s="258"/>
      <c r="IA78" s="258"/>
      <c r="IB78" s="258"/>
      <c r="IC78" s="258"/>
      <c r="ID78" s="258"/>
      <c r="IE78" s="258"/>
      <c r="IF78" s="258"/>
      <c r="IG78" s="258"/>
      <c r="IH78" s="258"/>
      <c r="II78" s="258"/>
      <c r="IJ78" s="258"/>
      <c r="IK78" s="258"/>
      <c r="IL78" s="258"/>
      <c r="IM78" s="258"/>
      <c r="IN78" s="258"/>
      <c r="IO78" s="258"/>
      <c r="IP78" s="258"/>
      <c r="IQ78" s="258"/>
      <c r="IR78" s="258"/>
      <c r="IS78" s="258"/>
      <c r="IT78" s="258"/>
      <c r="IU78" s="258"/>
      <c r="IV78" s="258"/>
      <c r="IW78" s="258"/>
      <c r="IX78" s="258"/>
      <c r="IY78" s="258"/>
      <c r="IZ78" s="258"/>
      <c r="JA78" s="258"/>
      <c r="JB78" s="258"/>
      <c r="JC78" s="258"/>
      <c r="JD78" s="258"/>
      <c r="JE78" s="258"/>
      <c r="JF78" s="258"/>
      <c r="JG78" s="258"/>
      <c r="JH78" s="258"/>
      <c r="JI78" s="258"/>
      <c r="JJ78" s="258"/>
      <c r="JK78" s="258"/>
      <c r="JL78" s="258"/>
      <c r="JM78" s="258"/>
      <c r="JN78" s="258"/>
      <c r="JO78" s="258"/>
      <c r="JP78" s="258"/>
      <c r="JQ78" s="258"/>
      <c r="JR78" s="258"/>
      <c r="JS78" s="258"/>
      <c r="JT78" s="258"/>
      <c r="JU78" s="258"/>
      <c r="JV78" s="258"/>
      <c r="JW78" s="258"/>
      <c r="JX78" s="258"/>
      <c r="JY78" s="258"/>
      <c r="JZ78" s="258"/>
      <c r="KA78" s="258"/>
      <c r="KB78" s="258"/>
    </row>
    <row r="79" spans="1:289" hidden="1" x14ac:dyDescent="0.3"/>
    <row r="80" spans="1:289" hidden="1" x14ac:dyDescent="0.3">
      <c r="B80" s="46"/>
      <c r="U80" s="258"/>
    </row>
    <row r="81" spans="1:289" hidden="1" x14ac:dyDescent="0.3"/>
    <row r="82" spans="1:289" x14ac:dyDescent="0.3">
      <c r="A82" s="1" t="s">
        <v>302</v>
      </c>
      <c r="B82" s="52">
        <f>B62/B86*B61</f>
        <v>58.153333333333336</v>
      </c>
      <c r="H82" s="52"/>
      <c r="I82" s="44"/>
      <c r="K82" s="52"/>
      <c r="L82" s="44"/>
      <c r="M82" s="33"/>
    </row>
    <row r="83" spans="1:289" x14ac:dyDescent="0.3">
      <c r="A83" s="1" t="s">
        <v>302</v>
      </c>
      <c r="B83" s="52">
        <f>B62/B86*B61</f>
        <v>58.153333333333336</v>
      </c>
    </row>
    <row r="86" spans="1:289" x14ac:dyDescent="0.3">
      <c r="A86" s="276" t="s">
        <v>266</v>
      </c>
      <c r="B86" s="51">
        <f>1-B61</f>
        <v>0.44999999999999996</v>
      </c>
      <c r="E86" s="33">
        <f ca="1">IF(SUM($D$43:E43)&lt;$B$82,E43,IF(E60=1,(($B$82-SUM($D$43:D43))+(SUM($D$43:E43)-$B$82)*$B$61),E43*$B$61))</f>
        <v>6.3466370587420045</v>
      </c>
      <c r="F86" s="33">
        <f ca="1">IF(SUM($D$43:F43)&lt;$B$82,F43,IF(F60=1,(($B$82-SUM($D$43:E43))+(SUM($D$43:F43)-$B$82)*$B$61),F43*$B$61))</f>
        <v>5.983354782714625</v>
      </c>
      <c r="G86" s="33">
        <f ca="1">IF(SUM($D$43:G43)&lt;$B$82,G43,IF(G60=1,(($B$82-SUM($D$43:F43))+(SUM($D$43:G43)-$B$82)*$B$61),G43*$B$61))</f>
        <v>6.0311625495994576</v>
      </c>
      <c r="H86" s="33">
        <f ca="1">IF(SUM($D$43:H43)&lt;$B$82,H43,IF(H60=1,(($B$82-SUM($D$43:G43))+(SUM($D$43:H43)-$B$82)*$B$61),H43*$B$61))</f>
        <v>6.0793523066315434</v>
      </c>
      <c r="I86" s="33">
        <f ca="1">IF(SUM($D$43:I43)&lt;$B$82,I43,IF(I60=1,(($B$82-SUM($D$43:H43))+(SUM($D$43:I43)-$B$82)*$B$61),I43*$B$61))</f>
        <v>6.1279271059608176</v>
      </c>
      <c r="J86" s="33">
        <f ca="1">IF(SUM($D$43:J43)&lt;$B$82,J43,IF(J60=1,(($B$82-SUM($D$43:I43))+(SUM($D$43:J43)-$B$82)*$B$61),J43*$B$61))</f>
        <v>6.1768900241242815</v>
      </c>
      <c r="K86" s="33">
        <f ca="1">IF(SUM($D$43:K43)&lt;$B$82,K43,IF(K60=1,(($B$82-SUM($D$43:J43))+(SUM($D$43:K43)-$B$82)*$B$61),K43*$B$61))</f>
        <v>6.2506440946977602</v>
      </c>
      <c r="L86" s="33">
        <f ca="1">IF(SUM($D$43:L43)&lt;$B$82,L43,IF(L60=1,(($B$82-SUM($D$43:K43))+(SUM($D$43:L43)-$B$82)*$B$61),L43*$B$61))</f>
        <v>6.2612743690518142</v>
      </c>
      <c r="M86" s="33">
        <f ca="1">IF(SUM($D$43:M43)&lt;$B$82,M43,IF(M60=1,(($B$82-SUM($D$43:L43))+(SUM($D$43:M43)-$B$82)*$B$61),M43*$B$61))</f>
        <v>3.4819796224426049</v>
      </c>
      <c r="N86" s="33">
        <f ca="1">IF(SUM($D$43:N43)&lt;$B$82,N43,IF(N60=1,(($B$82-SUM($D$43:M43))+(SUM($D$43:N43)-$B$82)*$B$61),N43*$B$61))</f>
        <v>3.501845015513783</v>
      </c>
      <c r="O86" s="33">
        <f ca="1">IF(SUM($D$43:O43)&lt;$B$82,O43,IF(O60=1,(($B$82-SUM($D$43:N43))+(SUM($D$43:O43)-$B$82)*$B$61),O43*$B$61))</f>
        <v>3.5172065022208252</v>
      </c>
      <c r="P86" s="33">
        <f ca="1">IF(SUM($D$43:P43)&lt;$B$82,P43,IF(P60=1,(($B$82-SUM($D$43:O43))+(SUM($D$43:P43)-$B$82)*$B$61),P43*$B$61))</f>
        <v>7.5139679677997577</v>
      </c>
      <c r="Q86" s="33">
        <f ca="1">IF(SUM($D$43:Q43)&lt;$B$82,Q43,IF(Q60=1,(($B$82-SUM($D$43:P43))+(SUM($D$43:Q43)-$B$82)*$B$61),Q43*$B$61))</f>
        <v>7.016479549372268</v>
      </c>
      <c r="R86" s="33">
        <f ca="1">IF(SUM($D$43:R43)&lt;$B$82,R43,IF(R60=1,(($B$82-SUM($D$43:Q43))+(SUM($D$43:R43)-$B$82)*$B$61),R43*$B$61))</f>
        <v>6.597991357635034</v>
      </c>
      <c r="S86" s="33">
        <f ca="1">IF(SUM($D$43:S43)&lt;$B$82,S43,IF(S60=1,(($B$82-SUM($D$43:R43))+(SUM($D$43:S43)-$B$82)*$B$61),S43*$B$61))</f>
        <v>6.6269346592615967</v>
      </c>
      <c r="T86" s="33">
        <f ca="1">IF(SUM($D$43:T43)&lt;$B$82,T43,IF(T60=1,(($B$82-SUM($D$43:S43))+(SUM($D$43:T43)-$B$82)*$B$61),T43*$B$61))</f>
        <v>6.6560049259997571</v>
      </c>
      <c r="U86" s="33">
        <f ca="1">IF(SUM($D$43:U43)&lt;$B$82,U43,IF(U60=1,(($B$82-SUM($D$43:T43))+(SUM($D$43:U43)-$B$82)*$B$61),U43*$B$61))</f>
        <v>6.6852027148053113</v>
      </c>
      <c r="V86" s="33">
        <f ca="1">IF(SUM($D$43:V43)&lt;$B$82,V43,IF(V60=1,(($B$82-SUM($D$43:U43))+(SUM($D$43:V43)-$B$82)*$B$61),V43*$B$61))</f>
        <v>7.2912212201123472</v>
      </c>
      <c r="W86" s="33">
        <f ca="1">IF(SUM($D$43:W43)&lt;$B$82,W43,IF(W60=1,(($B$82-SUM($D$43:V43))+(SUM($D$43:W43)-$B$82)*$B$61),W43*$B$61))</f>
        <v>6.7724599806349826</v>
      </c>
      <c r="X86" s="33">
        <f ca="1">IF(SUM($D$43:X43)&lt;$B$82,X43,IF(X60=1,(($B$82-SUM($D$43:W43))+(SUM($D$43:X43)-$B$82)*$B$61),X43*$B$61))</f>
        <v>6.8021686209390522</v>
      </c>
      <c r="Y86" s="33">
        <f ca="1">IF(SUM($D$43:Y43)&lt;$B$82,Y43,IF(Y60=1,(($B$82-SUM($D$43:X43))+(SUM($D$43:Y43)-$B$82)*$B$61),Y43*$B$61))</f>
        <v>9.8385939357659922</v>
      </c>
      <c r="Z86" s="33">
        <f ca="1">IF(SUM($D$43:Z43)&lt;$B$82,Z43,IF(Z60=1,(($B$82-SUM($D$43:Y43))+(SUM($D$43:Z43)-$B$82)*$B$61),Z43*$B$61))</f>
        <v>9.6606348517706877</v>
      </c>
      <c r="AA86" s="33">
        <f ca="1">IF(SUM($D$43:AA43)&lt;$B$82,AA43,IF(AA60=1,(($B$82-SUM($D$43:Z43))+(SUM($D$43:AA43)-$B$82)*$B$61),AA43*$B$61))</f>
        <v>9.5157360451337567</v>
      </c>
      <c r="AB86" s="33">
        <f ca="1">IF(SUM($D$43:AB43)&lt;$B$82,AB43,IF(AB60=1,(($B$82-SUM($D$43:AA43))+(SUM($D$43:AB43)-$B$82)*$B$61),AB43*$B$61))</f>
        <v>3.2986108460913925</v>
      </c>
      <c r="AC86" s="33">
        <f ca="1">IF(SUM($D$43:AC43)&lt;$B$82,AC43,IF(AC60=1,(($B$82-SUM($D$43:AB43))+(SUM($D$43:AC43)-$B$82)*$B$61),AC43*$B$61))</f>
        <v>3.3130808087651991</v>
      </c>
      <c r="AD86" s="33">
        <f ca="1">IF(SUM($D$43:AD43)&lt;$B$82,AD43,IF(AD60=1,(($B$82-SUM($D$43:AC43))+(SUM($D$43:AD43)-$B$82)*$B$61),AD43*$B$61))</f>
        <v>3.3276142465894702</v>
      </c>
      <c r="AE86" s="33">
        <f ca="1">IF(SUM($D$43:AE43)&lt;$B$82,AE43,IF(AE60=1,(($B$82-SUM($D$43:AD43))+(SUM($D$43:AE43)-$B$82)*$B$61),AE43*$B$61))</f>
        <v>3.3422114380096191</v>
      </c>
      <c r="AF86" s="33">
        <f ca="1">IF(SUM($D$43:AF43)&lt;$B$82,AF43,IF(AF60=1,(($B$82-SUM($D$43:AE43))+(SUM($D$43:AF43)-$B$82)*$B$61),AF43*$B$61))</f>
        <v>3.3676887110388241</v>
      </c>
      <c r="AG86" s="33">
        <f ca="1">IF(SUM($D$43:AG43)&lt;$B$82,AG43,IF(AG60=1,(($B$82-SUM($D$43:AF43))+(SUM($D$43:AG43)-$B$82)*$B$61),AG43*$B$61))</f>
        <v>3.3824616964619061</v>
      </c>
      <c r="AH86" s="33">
        <f ca="1">IF(SUM($D$43:AH43)&lt;$B$82,AH43,IF(AH60=1,(($B$82-SUM($D$43:AG43))+(SUM($D$43:AH43)-$B$82)*$B$61),AH43*$B$61))</f>
        <v>10.964392449071958</v>
      </c>
      <c r="AI86" s="33">
        <f ca="1">IF(SUM($D$43:AI43)&lt;$B$82,AI43,IF(AI60=1,(($B$82-SUM($D$43:AH43))+(SUM($D$43:AI43)-$B$82)*$B$61),AI43*$B$61))</f>
        <v>9.4210993847007956</v>
      </c>
      <c r="AJ86" s="33">
        <f ca="1">IF(SUM($D$43:AJ43)&lt;$B$82,AJ43,IF(AJ60=1,(($B$82-SUM($D$43:AI43))+(SUM($D$43:AJ43)-$B$82)*$B$61),AJ43*$B$61))</f>
        <v>9.0606590206237616</v>
      </c>
      <c r="AK86" s="33">
        <f ca="1">IF(SUM($D$43:AK43)&lt;$B$82,AK43,IF(AK60=1,(($B$82-SUM($D$43:AJ43))+(SUM($D$43:AK43)-$B$82)*$B$61),AK43*$B$61))</f>
        <v>6.4913977072196438</v>
      </c>
      <c r="AL86" s="33">
        <f ca="1">IF(SUM($D$43:AL43)&lt;$B$82,AL43,IF(AL60=1,(($B$82-SUM($D$43:AK43))+(SUM($D$43:AL43)-$B$82)*$B$61),AL43*$B$61))</f>
        <v>6.5198734162095651</v>
      </c>
      <c r="AM86" s="33">
        <f ca="1">IF(SUM($D$43:AM43)&lt;$B$82,AM43,IF(AM60=1,(($B$82-SUM($D$43:AL43))+(SUM($D$43:AM43)-$B$82)*$B$61),AM43*$B$61))</f>
        <v>6.5484740391300535</v>
      </c>
      <c r="AN86" s="33">
        <f ca="1">IF(SUM($D$43:AN43)&lt;$B$82,AN43,IF(AN60=1,(($B$82-SUM($D$43:AM43))+(SUM($D$43:AN43)-$B$82)*$B$61),AN43*$B$61))</f>
        <v>6.5772001239390194</v>
      </c>
      <c r="AO86" s="33">
        <f ca="1">IF(SUM($D$43:AO43)&lt;$B$82,AO43,IF(AO60=1,(($B$82-SUM($D$43:AN43))+(SUM($D$43:AO43)-$B$82)*$B$61),AO43*$B$61))</f>
        <v>6.6292560334674153</v>
      </c>
      <c r="AP86" s="33">
        <f ca="1">IF(SUM($D$43:AP43)&lt;$B$82,AP43,IF(AP60=1,(($B$82-SUM($D$43:AO43))+(SUM($D$43:AP43)-$B$82)*$B$61),AP43*$B$61))</f>
        <v>6.6583364833401362</v>
      </c>
      <c r="AQ86" s="33">
        <f ca="1">IF(SUM($D$43:AQ43)&lt;$B$82,AQ43,IF(AQ60=1,(($B$82-SUM($D$43:AP43))+(SUM($D$43:AQ43)-$B$82)*$B$61),AQ43*$B$61))</f>
        <v>8.1958299518995261</v>
      </c>
      <c r="AR86" s="33">
        <f ca="1">IF(SUM($D$43:AR43)&lt;$B$82,AR43,IF(AR60=1,(($B$82-SUM($D$43:AQ43))+(SUM($D$43:AR43)-$B$82)*$B$61),AR43*$B$61))</f>
        <v>7.6718095157921864</v>
      </c>
      <c r="AS86" s="33">
        <f ca="1">IF(SUM($D$43:AS43)&lt;$B$82,AS43,IF(AS60=1,(($B$82-SUM($D$43:AR43))+(SUM($D$43:AS43)-$B$82)*$B$61),AS43*$B$61))</f>
        <v>7.6964783591508548</v>
      </c>
      <c r="AT86" s="33">
        <f ca="1">IF(SUM($D$43:AT43)&lt;$B$82,AT43,IF(AT60=1,(($B$82-SUM($D$43:AS43))+(SUM($D$43:AT43)-$B$82)*$B$61),AT43*$B$61))</f>
        <v>2.1331017353328208</v>
      </c>
      <c r="AU86" s="33">
        <f ca="1">IF(SUM($D$43:AU43)&lt;$B$82,AU43,IF(AU60=1,(($B$82-SUM($D$43:AT43))+(SUM($D$43:AU43)-$B$82)*$B$61),AU43*$B$61))</f>
        <v>2.1424589781025372</v>
      </c>
      <c r="AV86" s="33">
        <f ca="1">IF(SUM($D$43:AV43)&lt;$B$82,AV43,IF(AV60=1,(($B$82-SUM($D$43:AU43))+(SUM($D$43:AV43)-$B$82)*$B$61),AV43*$B$61))</f>
        <v>2.1518572681372765</v>
      </c>
      <c r="AW86" s="33">
        <f ca="1">IF(SUM($D$43:AW43)&lt;$B$82,AW43,IF(AW60=1,(($B$82-SUM($D$43:AV43))+(SUM($D$43:AW43)-$B$82)*$B$61),AW43*$B$61))</f>
        <v>2.16129678549841</v>
      </c>
      <c r="AX86" s="33">
        <f ca="1">IF(SUM($D$43:AX43)&lt;$B$82,AX43,IF(AX60=1,(($B$82-SUM($D$43:AW43))+(SUM($D$43:AX43)-$B$82)*$B$61),AX43*$B$61))</f>
        <v>2.1707777110371822</v>
      </c>
      <c r="AY86" s="33">
        <f ca="1">IF(SUM($D$43:AY43)&lt;$B$82,AY43,IF(AY60=1,(($B$82-SUM($D$43:AX43))+(SUM($D$43:AY43)-$B$82)*$B$61),AY43*$B$61))</f>
        <v>2.1803002263981734</v>
      </c>
      <c r="AZ86" s="33">
        <f ca="1">IF(SUM($D$43:AZ43)&lt;$B$82,AZ43,IF(AZ60=1,(($B$82-SUM($D$43:AY43))+(SUM($D$43:AZ43)-$B$82)*$B$61),AZ43*$B$61))</f>
        <v>3.1887886408269921</v>
      </c>
      <c r="BA86" s="33">
        <f ca="1">IF(SUM($D$43:BA43)&lt;$B$82,BA43,IF(BA60=1,(($B$82-SUM($D$43:AZ43))+(SUM($D$43:BA43)-$B$82)*$B$61),BA43*$B$61))</f>
        <v>2.2086872433144786</v>
      </c>
      <c r="BB86" s="33">
        <f ca="1">IF(SUM($D$43:BB43)&lt;$B$82,BB43,IF(BB60=1,(($B$82-SUM($D$43:BA43))+(SUM($D$43:BB43)-$B$82)*$B$61),BB43*$B$61))</f>
        <v>2.2183760558055741</v>
      </c>
      <c r="BC86" s="33">
        <f ca="1">IF(SUM($D$43:BC43)&lt;$B$82,BC43,IF(BC60=1,(($B$82-SUM($D$43:BB43))+(SUM($D$43:BC43)-$B$82)*$B$61),BC43*$B$61))</f>
        <v>2.2281073700532081</v>
      </c>
      <c r="BD86" s="33">
        <f ca="1">IF(SUM($D$43:BD43)&lt;$B$82,BD43,IF(BD60=1,(($B$82-SUM($D$43:BC43))+(SUM($D$43:BD43)-$B$82)*$B$61),BD43*$B$61))</f>
        <v>2.2378813724991486</v>
      </c>
      <c r="BE86" s="33">
        <f ca="1">IF(SUM($D$43:BE43)&lt;$B$82,BE43,IF(BE60=1,(($B$82-SUM($D$43:BD43))+(SUM($D$43:BE43)-$B$82)*$B$61),BE43*$B$61))</f>
        <v>6.188381752952111</v>
      </c>
      <c r="BF86" s="33">
        <f ca="1">IF(SUM($D$43:BF43)&lt;$B$82,BF43,IF(BF60=1,(($B$82-SUM($D$43:BE43))+(SUM($D$43:BF43)-$B$82)*$B$61),BF43*$B$61))</f>
        <v>0</v>
      </c>
      <c r="BG86" s="33">
        <f ca="1">IF(SUM($D$43:BG43)&lt;$B$82,BG43,IF(BG60=1,(($B$82-SUM($D$43:BF43))+(SUM($D$43:BG43)-$B$82)*$B$61),BG43*$B$61))</f>
        <v>0</v>
      </c>
      <c r="BH86" s="33">
        <f ca="1">IF(SUM($D$43:BH43)&lt;$B$82,BH43,IF(BH60=1,(($B$82-SUM($D$43:BG43))+(SUM($D$43:BH43)-$B$82)*$B$61),BH43*$B$61))</f>
        <v>0</v>
      </c>
      <c r="BI86" s="33">
        <f ca="1">IF(SUM($D$43:BI43)&lt;$B$82,BI43,IF(BI60=1,(($B$82-SUM($D$43:BH43))+(SUM($D$43:BI43)-$B$82)*$B$61),BI43*$B$61))</f>
        <v>0</v>
      </c>
      <c r="BJ86" s="33">
        <f ca="1">IF(SUM($D$43:BJ43)&lt;$B$82,BJ43,IF(BJ60=1,(($B$82-SUM($D$43:BI43))+(SUM($D$43:BJ43)-$B$82)*$B$61),BJ43*$B$61))</f>
        <v>0</v>
      </c>
      <c r="BK86" s="33">
        <f ca="1">IF(SUM($D$43:BK43)&lt;$B$82,BK43,IF(BK60=1,(($B$82-SUM($D$43:BJ43))+(SUM($D$43:BK43)-$B$82)*$B$61),BK43*$B$61))</f>
        <v>0</v>
      </c>
      <c r="BL86" s="33">
        <f ca="1">IF(SUM($D$43:BL43)&lt;$B$82,BL43,IF(BL60=1,(($B$82-SUM($D$43:BK43))+(SUM($D$43:BL43)-$B$82)*$B$61),BL43*$B$61))</f>
        <v>0</v>
      </c>
      <c r="BM86" s="33">
        <f ca="1">IF(SUM($D$43:BM43)&lt;$B$82,BM43,IF(BM60=1,(($B$82-SUM($D$43:BL43))+(SUM($D$43:BM43)-$B$82)*$B$61),BM43*$B$61))</f>
        <v>0</v>
      </c>
      <c r="BN86" s="33">
        <f ca="1">IF(SUM($D$43:BN43)&lt;$B$82,BN43,IF(BN60=1,(($B$82-SUM($D$43:BM43))+(SUM($D$43:BN43)-$B$82)*$B$61),BN43*$B$61))</f>
        <v>0</v>
      </c>
      <c r="BO86" s="33">
        <f ca="1">IF(SUM($D$43:BO43)&lt;$B$82,BO43,IF(BO60=1,(($B$82-SUM($D$43:BN43))+(SUM($D$43:BO43)-$B$82)*$B$61),BO43*$B$61))</f>
        <v>0</v>
      </c>
      <c r="BP86" s="33">
        <f ca="1">IF(SUM($D$43:BP43)&lt;$B$82,BP43,IF(BP60=1,(($B$82-SUM($D$43:BO43))+(SUM($D$43:BP43)-$B$82)*$B$61),BP43*$B$61))</f>
        <v>0</v>
      </c>
      <c r="BQ86" s="33">
        <f ca="1">IF(SUM($D$43:BQ43)&lt;$B$82,BQ43,IF(BQ60=1,(($B$82-SUM($D$43:BP43))+(SUM($D$43:BQ43)-$B$82)*$B$61),BQ43*$B$61))</f>
        <v>0</v>
      </c>
      <c r="BR86" s="33">
        <f ca="1">IF(SUM($D$43:BR43)&lt;$B$82,BR43,IF(BR60=1,(($B$82-SUM($D$43:BQ43))+(SUM($D$43:BR43)-$B$82)*$B$61),BR43*$B$61))</f>
        <v>0</v>
      </c>
      <c r="BS86" s="33">
        <f ca="1">IF(SUM($D$43:BS43)&lt;$B$82,BS43,IF(BS60=1,(($B$82-SUM($D$43:BR43))+(SUM($D$43:BS43)-$B$82)*$B$61),BS43*$B$61))</f>
        <v>0</v>
      </c>
      <c r="BT86" s="33">
        <f ca="1">IF(SUM($D$43:BT43)&lt;$B$82,BT43,IF(BT60=1,(($B$82-SUM($D$43:BS43))+(SUM($D$43:BT43)-$B$82)*$B$61),BT43*$B$61))</f>
        <v>0</v>
      </c>
      <c r="BU86" s="33">
        <f ca="1">IF(SUM($D$43:BU43)&lt;$B$82,BU43,IF(BU60=1,(($B$82-SUM($D$43:BT43))+(SUM($D$43:BU43)-$B$82)*$B$61),BU43*$B$61))</f>
        <v>0</v>
      </c>
      <c r="BV86" s="33">
        <f ca="1">IF(SUM($D$43:BV43)&lt;$B$82,BV43,IF(BV60=1,(($B$82-SUM($D$43:BU43))+(SUM($D$43:BV43)-$B$82)*$B$61),BV43*$B$61))</f>
        <v>0</v>
      </c>
      <c r="BW86" s="33">
        <f ca="1">IF(SUM($D$43:BW43)&lt;$B$82,BW43,IF(BW60=1,(($B$82-SUM($D$43:BV43))+(SUM($D$43:BW43)-$B$82)*$B$61),BW43*$B$61))</f>
        <v>0</v>
      </c>
      <c r="BX86" s="33">
        <f ca="1">IF(SUM($D$43:BX43)&lt;$B$82,BX43,IF(BX60=1,(($B$82-SUM($D$43:BW43))+(SUM($D$43:BX43)-$B$82)*$B$61),BX43*$B$61))</f>
        <v>0</v>
      </c>
      <c r="BY86" s="33">
        <f ca="1">IF(SUM($D$43:BY43)&lt;$B$82,BY43,IF(BY60=1,(($B$82-SUM($D$43:BX43))+(SUM($D$43:BY43)-$B$82)*$B$61),BY43*$B$61))</f>
        <v>0</v>
      </c>
      <c r="BZ86" s="33">
        <f ca="1">IF(SUM($D$43:BZ43)&lt;$B$82,BZ43,IF(BZ60=1,(($B$82-SUM($D$43:BY43))+(SUM($D$43:BZ43)-$B$82)*$B$61),BZ43*$B$61))</f>
        <v>0</v>
      </c>
      <c r="CA86" s="33">
        <f ca="1">IF(SUM($D$43:CA43)&lt;$B$82,CA43,IF(CA60=1,(($B$82-SUM($D$43:BZ43))+(SUM($D$43:CA43)-$B$82)*$B$61),CA43*$B$61))</f>
        <v>0</v>
      </c>
      <c r="CB86" s="33">
        <f ca="1">IF(SUM($D$43:CB43)&lt;$B$82,CB43,IF(CB60=1,(($B$82-SUM($D$43:CA43))+(SUM($D$43:CB43)-$B$82)*$B$61),CB43*$B$61))</f>
        <v>0</v>
      </c>
      <c r="CC86" s="33">
        <f ca="1">IF(SUM($D$43:CC43)&lt;$B$82,CC43,IF(CC60=1,(($B$82-SUM($D$43:CB43))+(SUM($D$43:CC43)-$B$82)*$B$61),CC43*$B$61))</f>
        <v>0</v>
      </c>
      <c r="CD86" s="33">
        <f ca="1">IF(SUM($D$43:CD43)&lt;$B$82,CD43,IF(CD60=1,(($B$82-SUM($D$43:CC43))+(SUM($D$43:CD43)-$B$82)*$B$61),CD43*$B$61))</f>
        <v>0</v>
      </c>
      <c r="CE86" s="33">
        <f ca="1">IF(SUM($D$43:CE43)&lt;$B$82,CE43,IF(CE60=1,(($B$82-SUM($D$43:CD43))+(SUM($D$43:CE43)-$B$82)*$B$61),CE43*$B$61))</f>
        <v>0</v>
      </c>
      <c r="CF86" s="33">
        <f ca="1">IF(SUM($D$43:CF43)&lt;$B$82,CF43,IF(CF60=1,(($B$82-SUM($D$43:CE43))+(SUM($D$43:CF43)-$B$82)*$B$61),CF43*$B$61))</f>
        <v>0</v>
      </c>
      <c r="CG86" s="33">
        <f ca="1">IF(SUM($D$43:CG43)&lt;$B$82,CG43,IF(CG60=1,(($B$82-SUM($D$43:CF43))+(SUM($D$43:CG43)-$B$82)*$B$61),CG43*$B$61))</f>
        <v>0</v>
      </c>
      <c r="CH86" s="33">
        <f ca="1">IF(SUM($D$43:CH43)&lt;$B$82,CH43,IF(CH60=1,(($B$82-SUM($D$43:CG43))+(SUM($D$43:CH43)-$B$82)*$B$61),CH43*$B$61))</f>
        <v>0</v>
      </c>
      <c r="CI86" s="33">
        <f ca="1">IF(SUM($D$43:CI43)&lt;$B$82,CI43,IF(CI60=1,(($B$82-SUM($D$43:CH43))+(SUM($D$43:CI43)-$B$82)*$B$61),CI43*$B$61))</f>
        <v>0</v>
      </c>
      <c r="CJ86" s="33">
        <f ca="1">IF(SUM($D$43:CJ43)&lt;$B$82,CJ43,IF(CJ60=1,(($B$82-SUM($D$43:CI43))+(SUM($D$43:CJ43)-$B$82)*$B$61),CJ43*$B$61))</f>
        <v>0</v>
      </c>
      <c r="CK86" s="33">
        <f ca="1">IF(SUM($D$43:CK43)&lt;$B$82,CK43,IF(CK60=1,(($B$82-SUM($D$43:CJ43))+(SUM($D$43:CK43)-$B$82)*$B$61),CK43*$B$61))</f>
        <v>0</v>
      </c>
      <c r="CL86" s="33">
        <f ca="1">IF(SUM($D$43:CL43)&lt;$B$82,CL43,IF(CL60=1,(($B$82-SUM($D$43:CK43))+(SUM($D$43:CL43)-$B$82)*$B$61),CL43*$B$61))</f>
        <v>0</v>
      </c>
      <c r="CM86" s="33">
        <f ca="1">IF(SUM($D$43:CM43)&lt;$B$82,CM43,IF(CM60=1,(($B$82-SUM($D$43:CL43))+(SUM($D$43:CM43)-$B$82)*$B$61),CM43*$B$61))</f>
        <v>0</v>
      </c>
      <c r="CN86" s="33">
        <f ca="1">IF(SUM($D$43:CN43)&lt;$B$82,CN43,IF(CN60=1,(($B$82-SUM($D$43:CM43))+(SUM($D$43:CN43)-$B$82)*$B$61),CN43*$B$61))</f>
        <v>0</v>
      </c>
      <c r="CO86" s="33">
        <f ca="1">IF(SUM($D$43:CO43)&lt;$B$82,CO43,IF(CO60=1,(($B$82-SUM($D$43:CN43))+(SUM($D$43:CO43)-$B$82)*$B$61),CO43*$B$61))</f>
        <v>0</v>
      </c>
      <c r="CP86" s="33">
        <f ca="1">IF(SUM($D$43:CP43)&lt;$B$82,CP43,IF(CP60=1,(($B$82-SUM($D$43:CO43))+(SUM($D$43:CP43)-$B$82)*$B$61),CP43*$B$61))</f>
        <v>0</v>
      </c>
      <c r="CQ86" s="33">
        <f ca="1">IF(SUM($D$43:CQ43)&lt;$B$82,CQ43,IF(CQ60=1,(($B$82-SUM($D$43:CP43))+(SUM($D$43:CQ43)-$B$82)*$B$61),CQ43*$B$61))</f>
        <v>0</v>
      </c>
      <c r="CR86" s="33">
        <f ca="1">IF(SUM($D$43:CR43)&lt;$B$82,CR43,IF(CR60=1,(($B$82-SUM($D$43:CQ43))+(SUM($D$43:CR43)-$B$82)*$B$61),CR43*$B$61))</f>
        <v>0</v>
      </c>
      <c r="CS86" s="33">
        <f ca="1">IF(SUM($D$43:CS43)&lt;$B$82,CS43,IF(CS60=1,(($B$82-SUM($D$43:CR43))+(SUM($D$43:CS43)-$B$82)*$B$61),CS43*$B$61))</f>
        <v>0</v>
      </c>
      <c r="CT86" s="33">
        <f ca="1">IF(SUM($D$43:CT43)&lt;$B$82,CT43,IF(CT60=1,(($B$82-SUM($D$43:CS43))+(SUM($D$43:CT43)-$B$82)*$B$61),CT43*$B$61))</f>
        <v>0</v>
      </c>
      <c r="CU86" s="33">
        <f ca="1">IF(SUM($D$43:CU43)&lt;$B$82,CU43,IF(CU60=1,(($B$82-SUM($D$43:CT43))+(SUM($D$43:CU43)-$B$82)*$B$61),CU43*$B$61))</f>
        <v>0</v>
      </c>
      <c r="CV86" s="33">
        <f ca="1">IF(SUM($D$43:CV43)&lt;$B$82,CV43,IF(CV60=1,(($B$82-SUM($D$43:CU43))+(SUM($D$43:CV43)-$B$82)*$B$61),CV43*$B$61))</f>
        <v>0</v>
      </c>
      <c r="CW86" s="33">
        <f ca="1">IF(SUM($D$43:CW43)&lt;$B$82,CW43,IF(CW60=1,(($B$82-SUM($D$43:CV43))+(SUM($D$43:CW43)-$B$82)*$B$61),CW43*$B$61))</f>
        <v>0</v>
      </c>
      <c r="CX86" s="33">
        <f ca="1">IF(SUM($D$43:CX43)&lt;$B$82,CX43,IF(CX60=1,(($B$82-SUM($D$43:CW43))+(SUM($D$43:CX43)-$B$82)*$B$61),CX43*$B$61))</f>
        <v>0</v>
      </c>
      <c r="CY86" s="33">
        <f ca="1">IF(SUM($D$43:CY43)&lt;$B$82,CY43,IF(CY60=1,(($B$82-SUM($D$43:CX43))+(SUM($D$43:CY43)-$B$82)*$B$61),CY43*$B$61))</f>
        <v>0</v>
      </c>
      <c r="CZ86" s="33">
        <f ca="1">IF(SUM($D$43:CZ43)&lt;$B$82,CZ43,IF(CZ60=1,(($B$82-SUM($D$43:CY43))+(SUM($D$43:CZ43)-$B$82)*$B$61),CZ43*$B$61))</f>
        <v>0</v>
      </c>
      <c r="DA86" s="33">
        <f ca="1">IF(SUM($D$43:DA43)&lt;$B$82,DA43,IF(DA60=1,(($B$82-SUM($D$43:CZ43))+(SUM($D$43:DA43)-$B$82)*$B$61),DA43*$B$61))</f>
        <v>0</v>
      </c>
      <c r="DB86" s="33">
        <f ca="1">IF(SUM($D$43:DB43)&lt;$B$82,DB43,IF(DB60=1,(($B$82-SUM($D$43:DA43))+(SUM($D$43:DB43)-$B$82)*$B$61),DB43*$B$61))</f>
        <v>0</v>
      </c>
      <c r="DC86" s="33">
        <f ca="1">IF(SUM($D$43:DC43)&lt;$B$82,DC43,IF(DC60=1,(($B$82-SUM($D$43:DB43))+(SUM($D$43:DC43)-$B$82)*$B$61),DC43*$B$61))</f>
        <v>0</v>
      </c>
      <c r="DD86" s="33">
        <f ca="1">IF(SUM($D$43:DD43)&lt;$B$82,DD43,IF(DD60=1,(($B$82-SUM($D$43:DC43))+(SUM($D$43:DD43)-$B$82)*$B$61),DD43*$B$61))</f>
        <v>0</v>
      </c>
      <c r="DE86" s="33">
        <f ca="1">IF(SUM($D$43:DE43)&lt;$B$82,DE43,IF(DE60=1,(($B$82-SUM($D$43:DD43))+(SUM($D$43:DE43)-$B$82)*$B$61),DE43*$B$61))</f>
        <v>0</v>
      </c>
      <c r="DF86" s="33">
        <f ca="1">IF(SUM($D$43:DF43)&lt;$B$82,DF43,IF(DF60=1,(($B$82-SUM($D$43:DE43))+(SUM($D$43:DF43)-$B$82)*$B$61),DF43*$B$61))</f>
        <v>0</v>
      </c>
      <c r="DG86" s="33">
        <f ca="1">IF(SUM($D$43:DG43)&lt;$B$82,DG43,IF(DG60=1,(($B$82-SUM($D$43:DF43))+(SUM($D$43:DG43)-$B$82)*$B$61),DG43*$B$61))</f>
        <v>0</v>
      </c>
      <c r="DH86" s="33">
        <f ca="1">IF(SUM($D$43:DH43)&lt;$B$82,DH43,IF(DH60=1,(($B$82-SUM($D$43:DG43))+(SUM($D$43:DH43)-$B$82)*$B$61),DH43*$B$61))</f>
        <v>0</v>
      </c>
      <c r="DI86" s="33">
        <f ca="1">IF(SUM($D$43:DI43)&lt;$B$82,DI43,IF(DI60=1,(($B$82-SUM($D$43:DH43))+(SUM($D$43:DI43)-$B$82)*$B$61),DI43*$B$61))</f>
        <v>0</v>
      </c>
      <c r="DJ86" s="33">
        <f ca="1">IF(SUM($D$43:DJ43)&lt;$B$82,DJ43,IF(DJ60=1,(($B$82-SUM($D$43:DI43))+(SUM($D$43:DJ43)-$B$82)*$B$61),DJ43*$B$61))</f>
        <v>0</v>
      </c>
      <c r="DK86" s="33">
        <f ca="1">IF(SUM($D$43:DK43)&lt;$B$82,DK43,IF(DK60=1,(($B$82-SUM($D$43:DJ43))+(SUM($D$43:DK43)-$B$82)*$B$61),DK43*$B$61))</f>
        <v>0</v>
      </c>
      <c r="DL86" s="33">
        <f ca="1">IF(SUM($D$43:DL43)&lt;$B$82,DL43,IF(DL60=1,(($B$82-SUM($D$43:DK43))+(SUM($D$43:DL43)-$B$82)*$B$61),DL43*$B$61))</f>
        <v>0</v>
      </c>
      <c r="DM86" s="33">
        <f ca="1">IF(SUM($D$43:DM43)&lt;$B$82,DM43,IF(DM60=1,(($B$82-SUM($D$43:DL43))+(SUM($D$43:DM43)-$B$82)*$B$61),DM43*$B$61))</f>
        <v>0</v>
      </c>
      <c r="DN86" s="33">
        <f ca="1">IF(SUM($D$43:DN43)&lt;$B$82,DN43,IF(DN60=1,(($B$82-SUM($D$43:DM43))+(SUM($D$43:DN43)-$B$82)*$B$61),DN43*$B$61))</f>
        <v>0</v>
      </c>
      <c r="DO86" s="33">
        <f ca="1">IF(SUM($D$43:DO43)&lt;$B$82,DO43,IF(DO60=1,(($B$82-SUM($D$43:DN43))+(SUM($D$43:DO43)-$B$82)*$B$61),DO43*$B$61))</f>
        <v>0</v>
      </c>
      <c r="DP86" s="33">
        <f ca="1">IF(SUM($D$43:DP43)&lt;$B$82,DP43,IF(DP60=1,(($B$82-SUM($D$43:DO43))+(SUM($D$43:DP43)-$B$82)*$B$61),DP43*$B$61))</f>
        <v>0</v>
      </c>
      <c r="DQ86" s="33">
        <f ca="1">IF(SUM($D$43:DQ43)&lt;$B$82,DQ43,IF(DQ60=1,(($B$82-SUM($D$43:DP43))+(SUM($D$43:DQ43)-$B$82)*$B$61),DQ43*$B$61))</f>
        <v>0</v>
      </c>
      <c r="DR86" s="33">
        <f ca="1">IF(SUM($D$43:DR43)&lt;$B$82,DR43,IF(DR60=1,(($B$82-SUM($D$43:DQ43))+(SUM($D$43:DR43)-$B$82)*$B$61),DR43*$B$61))</f>
        <v>0</v>
      </c>
      <c r="DS86" s="33">
        <f ca="1">IF(SUM($D$43:DS43)&lt;$B$82,DS43,IF(DS60=1,(($B$82-SUM($D$43:DR43))+(SUM($D$43:DS43)-$B$82)*$B$61),DS43*$B$61))</f>
        <v>0</v>
      </c>
      <c r="DT86" s="33">
        <f ca="1">IF(SUM($D$43:DT43)&lt;$B$82,DT43,IF(DT60=1,(($B$82-SUM($D$43:DS43))+(SUM($D$43:DT43)-$B$82)*$B$61),DT43*$B$61))</f>
        <v>0</v>
      </c>
      <c r="DU86" s="33">
        <f ca="1">IF(SUM($D$43:DU43)&lt;$B$82,DU43,IF(DU60=1,(($B$82-SUM($D$43:DT43))+(SUM($D$43:DU43)-$B$82)*$B$61),DU43*$B$61))</f>
        <v>0</v>
      </c>
      <c r="DV86" s="33">
        <f ca="1">IF(SUM($D$43:DV43)&lt;$B$82,DV43,IF(DV60=1,(($B$82-SUM($D$43:DU43))+(SUM($D$43:DV43)-$B$82)*$B$61),DV43*$B$61))</f>
        <v>0</v>
      </c>
      <c r="DW86" s="33">
        <f ca="1">IF(SUM($D$43:DW43)&lt;$B$82,DW43,IF(DW60=1,(($B$82-SUM($D$43:DV43))+(SUM($D$43:DW43)-$B$82)*$B$61),DW43*$B$61))</f>
        <v>0</v>
      </c>
      <c r="DX86" s="33">
        <f ca="1">IF(SUM($D$43:DX43)&lt;$B$82,DX43,IF(DX60=1,(($B$82-SUM($D$43:DW43))+(SUM($D$43:DX43)-$B$82)*$B$61),DX43*$B$61))</f>
        <v>0</v>
      </c>
      <c r="DY86" s="33">
        <f ca="1">IF(SUM($D$43:DY43)&lt;$B$82,DY43,IF(DY60=1,(($B$82-SUM($D$43:DX43))+(SUM($D$43:DY43)-$B$82)*$B$61),DY43*$B$61))</f>
        <v>0</v>
      </c>
      <c r="DZ86" s="33">
        <f ca="1">IF(SUM($D$43:DZ43)&lt;$B$82,DZ43,IF(DZ60=1,(($B$82-SUM($D$43:DY43))+(SUM($D$43:DZ43)-$B$82)*$B$61),DZ43*$B$61))</f>
        <v>0</v>
      </c>
      <c r="EA86" s="33">
        <f ca="1">IF(SUM($D$43:EA43)&lt;$B$82,EA43,IF(EA60=1,(($B$82-SUM($D$43:DZ43))+(SUM($D$43:EA43)-$B$82)*$B$61),EA43*$B$61))</f>
        <v>0</v>
      </c>
      <c r="EB86" s="33">
        <f ca="1">IF(SUM($D$43:EB43)&lt;$B$82,EB43,IF(EB60=1,(($B$82-SUM($D$43:EA43))+(SUM($D$43:EB43)-$B$82)*$B$61),EB43*$B$61))</f>
        <v>0</v>
      </c>
      <c r="EC86" s="33">
        <f ca="1">IF(SUM($D$43:EC43)&lt;$B$82,EC43,IF(EC60=1,(($B$82-SUM($D$43:EB43))+(SUM($D$43:EC43)-$B$82)*$B$61),EC43*$B$61))</f>
        <v>0</v>
      </c>
      <c r="ED86" s="33">
        <f ca="1">IF(SUM($D$43:ED43)&lt;$B$82,ED43,IF(ED60=1,(($B$82-SUM($D$43:EC43))+(SUM($D$43:ED43)-$B$82)*$B$61),ED43*$B$61))</f>
        <v>0</v>
      </c>
      <c r="EE86" s="33">
        <f ca="1">IF(SUM($D$43:EE43)&lt;$B$82,EE43,IF(EE60=1,(($B$82-SUM($D$43:ED43))+(SUM($D$43:EE43)-$B$82)*$B$61),EE43*$B$61))</f>
        <v>0</v>
      </c>
      <c r="EF86" s="33">
        <f ca="1">IF(SUM($D$43:EF43)&lt;$B$82,EF43,IF(EF60=1,(($B$82-SUM($D$43:EE43))+(SUM($D$43:EF43)-$B$82)*$B$61),EF43*$B$61))</f>
        <v>0</v>
      </c>
      <c r="EG86" s="33">
        <f ca="1">IF(SUM($D$43:EG43)&lt;$B$82,EG43,IF(EG60=1,(($B$82-SUM($D$43:EF43))+(SUM($D$43:EG43)-$B$82)*$B$61),EG43*$B$61))</f>
        <v>0</v>
      </c>
      <c r="EH86" s="33">
        <f ca="1">IF(SUM($D$43:EH43)&lt;$B$82,EH43,IF(EH60=1,(($B$82-SUM($D$43:EG43))+(SUM($D$43:EH43)-$B$82)*$B$61),EH43*$B$61))</f>
        <v>0</v>
      </c>
      <c r="EI86" s="33">
        <f ca="1">IF(SUM($D$43:EI43)&lt;$B$82,EI43,IF(EI60=1,(($B$82-SUM($D$43:EH43))+(SUM($D$43:EI43)-$B$82)*$B$61),EI43*$B$61))</f>
        <v>0</v>
      </c>
      <c r="EJ86" s="33">
        <f ca="1">IF(SUM($D$43:EJ43)&lt;$B$82,EJ43,IF(EJ60=1,(($B$82-SUM($D$43:EI43))+(SUM($D$43:EJ43)-$B$82)*$B$61),EJ43*$B$61))</f>
        <v>0</v>
      </c>
      <c r="EK86" s="33">
        <f ca="1">IF(SUM($D$43:EK43)&lt;$B$82,EK43,IF(EK60=1,(($B$82-SUM($D$43:EJ43))+(SUM($D$43:EK43)-$B$82)*$B$61),EK43*$B$61))</f>
        <v>0</v>
      </c>
      <c r="EL86" s="33">
        <f ca="1">IF(SUM($D$43:EL43)&lt;$B$82,EL43,IF(EL60=1,(($B$82-SUM($D$43:EK43))+(SUM($D$43:EL43)-$B$82)*$B$61),EL43*$B$61))</f>
        <v>0</v>
      </c>
      <c r="EM86" s="33">
        <f ca="1">IF(SUM($D$43:EM43)&lt;$B$82,EM43,IF(EM60=1,(($B$82-SUM($D$43:EL43))+(SUM($D$43:EM43)-$B$82)*$B$61),EM43*$B$61))</f>
        <v>0</v>
      </c>
      <c r="EN86" s="33">
        <f ca="1">IF(SUM($D$43:EN43)&lt;$B$82,EN43,IF(EN60=1,(($B$82-SUM($D$43:EM43))+(SUM($D$43:EN43)-$B$82)*$B$61),EN43*$B$61))</f>
        <v>0</v>
      </c>
      <c r="EO86" s="33">
        <f ca="1">IF(SUM($D$43:EO43)&lt;$B$82,EO43,IF(EO60=1,(($B$82-SUM($D$43:EN43))+(SUM($D$43:EO43)-$B$82)*$B$61),EO43*$B$61))</f>
        <v>0</v>
      </c>
      <c r="EP86" s="33">
        <f ca="1">IF(SUM($D$43:EP43)&lt;$B$82,EP43,IF(EP60=1,(($B$82-SUM($D$43:EO43))+(SUM($D$43:EP43)-$B$82)*$B$61),EP43*$B$61))</f>
        <v>0</v>
      </c>
      <c r="EQ86" s="33">
        <f ca="1">IF(SUM($D$43:EQ43)&lt;$B$82,EQ43,IF(EQ60=1,(($B$82-SUM($D$43:EP43))+(SUM($D$43:EQ43)-$B$82)*$B$61),EQ43*$B$61))</f>
        <v>0</v>
      </c>
      <c r="ER86" s="33">
        <f ca="1">IF(SUM($D$43:ER43)&lt;$B$82,ER43,IF(ER60=1,(($B$82-SUM($D$43:EQ43))+(SUM($D$43:ER43)-$B$82)*$B$61),ER43*$B$61))</f>
        <v>0</v>
      </c>
      <c r="ES86" s="33">
        <f ca="1">IF(SUM($D$43:ES43)&lt;$B$82,ES43,IF(ES60=1,(($B$82-SUM($D$43:ER43))+(SUM($D$43:ES43)-$B$82)*$B$61),ES43*$B$61))</f>
        <v>0</v>
      </c>
      <c r="ET86" s="33">
        <f ca="1">IF(SUM($D$43:ET43)&lt;$B$82,ET43,IF(ET60=1,(($B$82-SUM($D$43:ES43))+(SUM($D$43:ET43)-$B$82)*$B$61),ET43*$B$61))</f>
        <v>0</v>
      </c>
      <c r="EU86" s="33">
        <f ca="1">IF(SUM($D$43:EU43)&lt;$B$82,EU43,IF(EU60=1,(($B$82-SUM($D$43:ET43))+(SUM($D$43:EU43)-$B$82)*$B$61),EU43*$B$61))</f>
        <v>0</v>
      </c>
      <c r="EV86" s="33">
        <f ca="1">IF(SUM($D$43:EV43)&lt;$B$82,EV43,IF(EV60=1,(($B$82-SUM($D$43:EU43))+(SUM($D$43:EV43)-$B$82)*$B$61),EV43*$B$61))</f>
        <v>0</v>
      </c>
      <c r="EW86" s="33">
        <f ca="1">IF(SUM($D$43:EW43)&lt;$B$82,EW43,IF(EW60=1,(($B$82-SUM($D$43:EV43))+(SUM($D$43:EW43)-$B$82)*$B$61),EW43*$B$61))</f>
        <v>0</v>
      </c>
      <c r="EX86" s="33">
        <f ca="1">IF(SUM($D$43:EX43)&lt;$B$82,EX43,IF(EX60=1,(($B$82-SUM($D$43:EW43))+(SUM($D$43:EX43)-$B$82)*$B$61),EX43*$B$61))</f>
        <v>0</v>
      </c>
      <c r="EY86" s="33">
        <f ca="1">IF(SUM($D$43:EY43)&lt;$B$82,EY43,IF(EY60=1,(($B$82-SUM($D$43:EX43))+(SUM($D$43:EY43)-$B$82)*$B$61),EY43*$B$61))</f>
        <v>0</v>
      </c>
      <c r="EZ86" s="33">
        <f ca="1">IF(SUM($D$43:EZ43)&lt;$B$82,EZ43,IF(EZ60=1,(($B$82-SUM($D$43:EY43))+(SUM($D$43:EZ43)-$B$82)*$B$61),EZ43*$B$61))</f>
        <v>0</v>
      </c>
      <c r="FA86" s="33">
        <f ca="1">IF(SUM($D$43:FA43)&lt;$B$82,FA43,IF(FA60=1,(($B$82-SUM($D$43:EZ43))+(SUM($D$43:FA43)-$B$82)*$B$61),FA43*$B$61))</f>
        <v>0</v>
      </c>
      <c r="FB86" s="33">
        <f ca="1">IF(SUM($D$43:FB43)&lt;$B$82,FB43,IF(FB60=1,(($B$82-SUM($D$43:FA43))+(SUM($D$43:FB43)-$B$82)*$B$61),FB43*$B$61))</f>
        <v>0</v>
      </c>
      <c r="FC86" s="33">
        <f ca="1">IF(SUM($D$43:FC43)&lt;$B$82,FC43,IF(FC60=1,(($B$82-SUM($D$43:FB43))+(SUM($D$43:FC43)-$B$82)*$B$61),FC43*$B$61))</f>
        <v>0</v>
      </c>
      <c r="FD86" s="33">
        <f ca="1">IF(SUM($D$43:FD43)&lt;$B$82,FD43,IF(FD60=1,(($B$82-SUM($D$43:FC43))+(SUM($D$43:FD43)-$B$82)*$B$61),FD43*$B$61))</f>
        <v>0</v>
      </c>
      <c r="FE86" s="33">
        <f ca="1">IF(SUM($D$43:FE43)&lt;$B$82,FE43,IF(FE60=1,(($B$82-SUM($D$43:FD43))+(SUM($D$43:FE43)-$B$82)*$B$61),FE43*$B$61))</f>
        <v>0</v>
      </c>
      <c r="FF86" s="33">
        <f ca="1">IF(SUM($D$43:FF43)&lt;$B$82,FF43,IF(FF60=1,(($B$82-SUM($D$43:FE43))+(SUM($D$43:FF43)-$B$82)*$B$61),FF43*$B$61))</f>
        <v>0</v>
      </c>
      <c r="FG86" s="33">
        <f ca="1">IF(SUM($D$43:FG43)&lt;$B$82,FG43,IF(FG60=1,(($B$82-SUM($D$43:FF43))+(SUM($D$43:FG43)-$B$82)*$B$61),FG43*$B$61))</f>
        <v>0</v>
      </c>
      <c r="FH86" s="33">
        <f ca="1">IF(SUM($D$43:FH43)&lt;$B$82,FH43,IF(FH60=1,(($B$82-SUM($D$43:FG43))+(SUM($D$43:FH43)-$B$82)*$B$61),FH43*$B$61))</f>
        <v>0</v>
      </c>
      <c r="FI86" s="33">
        <f ca="1">IF(SUM($D$43:FI43)&lt;$B$82,FI43,IF(FI60=1,(($B$82-SUM($D$43:FH43))+(SUM($D$43:FI43)-$B$82)*$B$61),FI43*$B$61))</f>
        <v>0</v>
      </c>
      <c r="FJ86" s="33">
        <f ca="1">IF(SUM($D$43:FJ43)&lt;$B$82,FJ43,IF(FJ60=1,(($B$82-SUM($D$43:FI43))+(SUM($D$43:FJ43)-$B$82)*$B$61),FJ43*$B$61))</f>
        <v>0</v>
      </c>
      <c r="FK86" s="33">
        <f ca="1">IF(SUM($D$43:FK43)&lt;$B$82,FK43,IF(FK60=1,(($B$82-SUM($D$43:FJ43))+(SUM($D$43:FK43)-$B$82)*$B$61),FK43*$B$61))</f>
        <v>0</v>
      </c>
      <c r="FL86" s="33">
        <f ca="1">IF(SUM($D$43:FL43)&lt;$B$82,FL43,IF(FL60=1,(($B$82-SUM($D$43:FK43))+(SUM($D$43:FL43)-$B$82)*$B$61),FL43*$B$61))</f>
        <v>0</v>
      </c>
      <c r="FM86" s="33">
        <f ca="1">IF(SUM($D$43:FM43)&lt;$B$82,FM43,IF(FM60=1,(($B$82-SUM($D$43:FL43))+(SUM($D$43:FM43)-$B$82)*$B$61),FM43*$B$61))</f>
        <v>0</v>
      </c>
      <c r="FN86" s="33">
        <f ca="1">IF(SUM($D$43:FN43)&lt;$B$82,FN43,IF(FN60=1,(($B$82-SUM($D$43:FM43))+(SUM($D$43:FN43)-$B$82)*$B$61),FN43*$B$61))</f>
        <v>0</v>
      </c>
      <c r="FO86" s="33">
        <f ca="1">IF(SUM($D$43:FO43)&lt;$B$82,FO43,IF(FO60=1,(($B$82-SUM($D$43:FN43))+(SUM($D$43:FO43)-$B$82)*$B$61),FO43*$B$61))</f>
        <v>0</v>
      </c>
      <c r="FP86" s="33">
        <f ca="1">IF(SUM($D$43:FP43)&lt;$B$82,FP43,IF(FP60=1,(($B$82-SUM($D$43:FO43))+(SUM($D$43:FP43)-$B$82)*$B$61),FP43*$B$61))</f>
        <v>0</v>
      </c>
      <c r="FQ86" s="33">
        <f ca="1">IF(SUM($D$43:FQ43)&lt;$B$82,FQ43,IF(FQ60=1,(($B$82-SUM($D$43:FP43))+(SUM($D$43:FQ43)-$B$82)*$B$61),FQ43*$B$61))</f>
        <v>0</v>
      </c>
      <c r="FR86" s="33">
        <f ca="1">IF(SUM($D$43:FR43)&lt;$B$82,FR43,IF(FR60=1,(($B$82-SUM($D$43:FQ43))+(SUM($D$43:FR43)-$B$82)*$B$61),FR43*$B$61))</f>
        <v>0</v>
      </c>
      <c r="FS86" s="33">
        <f ca="1">IF(SUM($D$43:FS43)&lt;$B$82,FS43,IF(FS60=1,(($B$82-SUM($D$43:FR43))+(SUM($D$43:FS43)-$B$82)*$B$61),FS43*$B$61))</f>
        <v>0</v>
      </c>
      <c r="FT86" s="33">
        <f ca="1">IF(SUM($D$43:FT43)&lt;$B$82,FT43,IF(FT60=1,(($B$82-SUM($D$43:FS43))+(SUM($D$43:FT43)-$B$82)*$B$61),FT43*$B$61))</f>
        <v>0</v>
      </c>
      <c r="FU86" s="33">
        <f ca="1">IF(SUM($D$43:FU43)&lt;$B$82,FU43,IF(FU60=1,(($B$82-SUM($D$43:FT43))+(SUM($D$43:FU43)-$B$82)*$B$61),FU43*$B$61))</f>
        <v>0</v>
      </c>
      <c r="FV86" s="33">
        <f ca="1">IF(SUM($D$43:FV43)&lt;$B$82,FV43,IF(FV60=1,(($B$82-SUM($D$43:FU43))+(SUM($D$43:FV43)-$B$82)*$B$61),FV43*$B$61))</f>
        <v>0</v>
      </c>
      <c r="FW86" s="33">
        <f ca="1">IF(SUM($D$43:FW43)&lt;$B$82,FW43,IF(FW60=1,(($B$82-SUM($D$43:FV43))+(SUM($D$43:FW43)-$B$82)*$B$61),FW43*$B$61))</f>
        <v>0</v>
      </c>
      <c r="FX86" s="33">
        <f ca="1">IF(SUM($D$43:FX43)&lt;$B$82,FX43,IF(FX60=1,(($B$82-SUM($D$43:FW43))+(SUM($D$43:FX43)-$B$82)*$B$61),FX43*$B$61))</f>
        <v>0</v>
      </c>
      <c r="FY86" s="33">
        <f ca="1">IF(SUM($D$43:FY43)&lt;$B$82,FY43,IF(FY60=1,(($B$82-SUM($D$43:FX43))+(SUM($D$43:FY43)-$B$82)*$B$61),FY43*$B$61))</f>
        <v>0</v>
      </c>
      <c r="FZ86" s="33">
        <f ca="1">IF(SUM($D$43:FZ43)&lt;$B$82,FZ43,IF(FZ60=1,(($B$82-SUM($D$43:FY43))+(SUM($D$43:FZ43)-$B$82)*$B$61),FZ43*$B$61))</f>
        <v>0</v>
      </c>
      <c r="GA86" s="33">
        <f ca="1">IF(SUM($D$43:GA43)&lt;$B$82,GA43,IF(GA60=1,(($B$82-SUM($D$43:FZ43))+(SUM($D$43:GA43)-$B$82)*$B$61),GA43*$B$61))</f>
        <v>0</v>
      </c>
      <c r="GB86" s="33">
        <f ca="1">IF(SUM($D$43:GB43)&lt;$B$82,GB43,IF(GB60=1,(($B$82-SUM($D$43:GA43))+(SUM($D$43:GB43)-$B$82)*$B$61),GB43*$B$61))</f>
        <v>0</v>
      </c>
      <c r="GC86" s="33">
        <f ca="1">IF(SUM($D$43:GC43)&lt;$B$82,GC43,IF(GC60=1,(($B$82-SUM($D$43:GB43))+(SUM($D$43:GC43)-$B$82)*$B$61),GC43*$B$61))</f>
        <v>0</v>
      </c>
      <c r="GD86" s="33">
        <f ca="1">IF(SUM($D$43:GD43)&lt;$B$82,GD43,IF(GD60=1,(($B$82-SUM($D$43:GC43))+(SUM($D$43:GD43)-$B$82)*$B$61),GD43*$B$61))</f>
        <v>0</v>
      </c>
      <c r="GE86" s="33">
        <f ca="1">IF(SUM($D$43:GE43)&lt;$B$82,GE43,IF(GE60=1,(($B$82-SUM($D$43:GD43))+(SUM($D$43:GE43)-$B$82)*$B$61),GE43*$B$61))</f>
        <v>0</v>
      </c>
      <c r="GF86" s="33">
        <f ca="1">IF(SUM($D$43:GF43)&lt;$B$82,GF43,IF(GF60=1,(($B$82-SUM($D$43:GE43))+(SUM($D$43:GF43)-$B$82)*$B$61),GF43*$B$61))</f>
        <v>0</v>
      </c>
      <c r="GG86" s="33">
        <f ca="1">IF(SUM($D$43:GG43)&lt;$B$82,GG43,IF(GG60=1,(($B$82-SUM($D$43:GF43))+(SUM($D$43:GG43)-$B$82)*$B$61),GG43*$B$61))</f>
        <v>0</v>
      </c>
      <c r="GH86" s="33">
        <f ca="1">IF(SUM($D$43:GH43)&lt;$B$82,GH43,IF(GH60=1,(($B$82-SUM($D$43:GG43))+(SUM($D$43:GH43)-$B$82)*$B$61),GH43*$B$61))</f>
        <v>0</v>
      </c>
      <c r="GI86" s="33">
        <f ca="1">IF(SUM($D$43:GI43)&lt;$B$82,GI43,IF(GI60=1,(($B$82-SUM($D$43:GH43))+(SUM($D$43:GI43)-$B$82)*$B$61),GI43*$B$61))</f>
        <v>0</v>
      </c>
      <c r="GJ86" s="33">
        <f ca="1">IF(SUM($D$43:GJ43)&lt;$B$82,GJ43,IF(GJ60=1,(($B$82-SUM($D$43:GI43))+(SUM($D$43:GJ43)-$B$82)*$B$61),GJ43*$B$61))</f>
        <v>0</v>
      </c>
      <c r="GK86" s="33">
        <f ca="1">IF(SUM($D$43:GK43)&lt;$B$82,GK43,IF(GK60=1,(($B$82-SUM($D$43:GJ43))+(SUM($D$43:GK43)-$B$82)*$B$61),GK43*$B$61))</f>
        <v>0</v>
      </c>
      <c r="GL86" s="33">
        <f ca="1">IF(SUM($D$43:GL43)&lt;$B$82,GL43,IF(GL60=1,(($B$82-SUM($D$43:GK43))+(SUM($D$43:GL43)-$B$82)*$B$61),GL43*$B$61))</f>
        <v>0</v>
      </c>
      <c r="GM86" s="33">
        <f ca="1">IF(SUM($D$43:GM43)&lt;$B$82,GM43,IF(GM60=1,(($B$82-SUM($D$43:GL43))+(SUM($D$43:GM43)-$B$82)*$B$61),GM43*$B$61))</f>
        <v>0</v>
      </c>
      <c r="GN86" s="33">
        <f ca="1">IF(SUM($D$43:GN43)&lt;$B$82,GN43,IF(GN60=1,(($B$82-SUM($D$43:GM43))+(SUM($D$43:GN43)-$B$82)*$B$61),GN43*$B$61))</f>
        <v>0</v>
      </c>
      <c r="GO86" s="33">
        <f ca="1">IF(SUM($D$43:GO43)&lt;$B$82,GO43,IF(GO60=1,(($B$82-SUM($D$43:GN43))+(SUM($D$43:GO43)-$B$82)*$B$61),GO43*$B$61))</f>
        <v>0</v>
      </c>
      <c r="GP86" s="33">
        <f ca="1">IF(SUM($D$43:GP43)&lt;$B$82,GP43,IF(GP60=1,(($B$82-SUM($D$43:GO43))+(SUM($D$43:GP43)-$B$82)*$B$61),GP43*$B$61))</f>
        <v>0</v>
      </c>
      <c r="GQ86" s="33">
        <f ca="1">IF(SUM($D$43:GQ43)&lt;$B$82,GQ43,IF(GQ60=1,(($B$82-SUM($D$43:GP43))+(SUM($D$43:GQ43)-$B$82)*$B$61),GQ43*$B$61))</f>
        <v>0</v>
      </c>
      <c r="GR86" s="33">
        <f ca="1">IF(SUM($D$43:GR43)&lt;$B$82,GR43,IF(GR60=1,(($B$82-SUM($D$43:GQ43))+(SUM($D$43:GR43)-$B$82)*$B$61),GR43*$B$61))</f>
        <v>0</v>
      </c>
      <c r="GS86" s="33">
        <f ca="1">IF(SUM($D$43:GS43)&lt;$B$82,GS43,IF(GS60=1,(($B$82-SUM($D$43:GR43))+(SUM($D$43:GS43)-$B$82)*$B$61),GS43*$B$61))</f>
        <v>0</v>
      </c>
      <c r="GT86" s="33">
        <f ca="1">IF(SUM($D$43:GT43)&lt;$B$82,GT43,IF(GT60=1,(($B$82-SUM($D$43:GS43))+(SUM($D$43:GT43)-$B$82)*$B$61),GT43*$B$61))</f>
        <v>0</v>
      </c>
      <c r="GU86" s="33">
        <f ca="1">IF(SUM($D$43:GU43)&lt;$B$82,GU43,IF(GU60=1,(($B$82-SUM($D$43:GT43))+(SUM($D$43:GU43)-$B$82)*$B$61),GU43*$B$61))</f>
        <v>0</v>
      </c>
      <c r="GV86" s="33">
        <f ca="1">IF(SUM($D$43:GV43)&lt;$B$82,GV43,IF(GV60=1,(($B$82-SUM($D$43:GU43))+(SUM($D$43:GV43)-$B$82)*$B$61),GV43*$B$61))</f>
        <v>0</v>
      </c>
      <c r="GW86" s="33">
        <f ca="1">IF(SUM($D$43:GW43)&lt;$B$82,GW43,IF(GW60=1,(($B$82-SUM($D$43:GV43))+(SUM($D$43:GW43)-$B$82)*$B$61),GW43*$B$61))</f>
        <v>0</v>
      </c>
      <c r="GX86" s="33">
        <f ca="1">IF(SUM($D$43:GX43)&lt;$B$82,GX43,IF(GX60=1,(($B$82-SUM($D$43:GW43))+(SUM($D$43:GX43)-$B$82)*$B$61),GX43*$B$61))</f>
        <v>0</v>
      </c>
      <c r="GY86" s="33">
        <f ca="1">IF(SUM($D$43:GY43)&lt;$B$82,GY43,IF(GY60=1,(($B$82-SUM($D$43:GX43))+(SUM($D$43:GY43)-$B$82)*$B$61),GY43*$B$61))</f>
        <v>0</v>
      </c>
      <c r="GZ86" s="33">
        <f ca="1">IF(SUM($D$43:GZ43)&lt;$B$82,GZ43,IF(GZ60=1,(($B$82-SUM($D$43:GY43))+(SUM($D$43:GZ43)-$B$82)*$B$61),GZ43*$B$61))</f>
        <v>0</v>
      </c>
      <c r="HA86" s="33">
        <f ca="1">IF(SUM($D$43:HA43)&lt;$B$82,HA43,IF(HA60=1,(($B$82-SUM($D$43:GZ43))+(SUM($D$43:HA43)-$B$82)*$B$61),HA43*$B$61))</f>
        <v>0</v>
      </c>
      <c r="HB86" s="33">
        <f ca="1">IF(SUM($D$43:HB43)&lt;$B$82,HB43,IF(HB60=1,(($B$82-SUM($D$43:HA43))+(SUM($D$43:HB43)-$B$82)*$B$61),HB43*$B$61))</f>
        <v>0</v>
      </c>
      <c r="HC86" s="33">
        <f ca="1">IF(SUM($D$43:HC43)&lt;$B$82,HC43,IF(HC60=1,(($B$82-SUM($D$43:HB43))+(SUM($D$43:HC43)-$B$82)*$B$61),HC43*$B$61))</f>
        <v>0</v>
      </c>
      <c r="HD86" s="33">
        <f ca="1">IF(SUM($D$43:HD43)&lt;$B$82,HD43,IF(HD60=1,(($B$82-SUM($D$43:HC43))+(SUM($D$43:HD43)-$B$82)*$B$61),HD43*$B$61))</f>
        <v>0</v>
      </c>
      <c r="HE86" s="33">
        <f ca="1">IF(SUM($D$43:HE43)&lt;$B$82,HE43,IF(HE60=1,(($B$82-SUM($D$43:HD43))+(SUM($D$43:HE43)-$B$82)*$B$61),HE43*$B$61))</f>
        <v>0</v>
      </c>
      <c r="HF86" s="33">
        <f ca="1">IF(SUM($D$43:HF43)&lt;$B$82,HF43,IF(HF60=1,(($B$82-SUM($D$43:HE43))+(SUM($D$43:HF43)-$B$82)*$B$61),HF43*$B$61))</f>
        <v>0</v>
      </c>
      <c r="HG86" s="33">
        <f ca="1">IF(SUM($D$43:HG43)&lt;$B$82,HG43,IF(HG60=1,(($B$82-SUM($D$43:HF43))+(SUM($D$43:HG43)-$B$82)*$B$61),HG43*$B$61))</f>
        <v>0</v>
      </c>
      <c r="HH86" s="33">
        <f ca="1">IF(SUM($D$43:HH43)&lt;$B$82,HH43,IF(HH60=1,(($B$82-SUM($D$43:HG43))+(SUM($D$43:HH43)-$B$82)*$B$61),HH43*$B$61))</f>
        <v>0</v>
      </c>
      <c r="HI86" s="33">
        <f ca="1">IF(SUM($D$43:HI43)&lt;$B$82,HI43,IF(HI60=1,(($B$82-SUM($D$43:HH43))+(SUM($D$43:HI43)-$B$82)*$B$61),HI43*$B$61))</f>
        <v>0</v>
      </c>
      <c r="HJ86" s="33">
        <f ca="1">IF(SUM($D$43:HJ43)&lt;$B$82,HJ43,IF(HJ60=1,(($B$82-SUM($D$43:HI43))+(SUM($D$43:HJ43)-$B$82)*$B$61),HJ43*$B$61))</f>
        <v>0</v>
      </c>
      <c r="HK86" s="33">
        <f ca="1">IF(SUM($D$43:HK43)&lt;$B$82,HK43,IF(HK60=1,(($B$82-SUM($D$43:HJ43))+(SUM($D$43:HK43)-$B$82)*$B$61),HK43*$B$61))</f>
        <v>0</v>
      </c>
      <c r="HL86" s="33">
        <f ca="1">IF(SUM($D$43:HL43)&lt;$B$82,HL43,IF(HL60=1,(($B$82-SUM($D$43:HK43))+(SUM($D$43:HL43)-$B$82)*$B$61),HL43*$B$61))</f>
        <v>0</v>
      </c>
      <c r="HM86" s="33">
        <f ca="1">IF(SUM($D$43:HM43)&lt;$B$82,HM43,IF(HM60=1,(($B$82-SUM($D$43:HL43))+(SUM($D$43:HM43)-$B$82)*$B$61),HM43*$B$61))</f>
        <v>0</v>
      </c>
      <c r="HN86" s="33">
        <f ca="1">IF(SUM($D$43:HN43)&lt;$B$82,HN43,IF(HN60=1,(($B$82-SUM($D$43:HM43))+(SUM($D$43:HN43)-$B$82)*$B$61),HN43*$B$61))</f>
        <v>0</v>
      </c>
      <c r="HO86" s="33">
        <f ca="1">IF(SUM($D$43:HO43)&lt;$B$82,HO43,IF(HO60=1,(($B$82-SUM($D$43:HN43))+(SUM($D$43:HO43)-$B$82)*$B$61),HO43*$B$61))</f>
        <v>0</v>
      </c>
      <c r="HP86" s="33">
        <f ca="1">IF(SUM($D$43:HP43)&lt;$B$82,HP43,IF(HP60=1,(($B$82-SUM($D$43:HO43))+(SUM($D$43:HP43)-$B$82)*$B$61),HP43*$B$61))</f>
        <v>0</v>
      </c>
      <c r="HQ86" s="33">
        <f ca="1">IF(SUM($D$43:HQ43)&lt;$B$82,HQ43,IF(HQ60=1,(($B$82-SUM($D$43:HP43))+(SUM($D$43:HQ43)-$B$82)*$B$61),HQ43*$B$61))</f>
        <v>0</v>
      </c>
      <c r="HR86" s="33">
        <f ca="1">IF(SUM($D$43:HR43)&lt;$B$82,HR43,IF(HR60=1,(($B$82-SUM($D$43:HQ43))+(SUM($D$43:HR43)-$B$82)*$B$61),HR43*$B$61))</f>
        <v>0</v>
      </c>
      <c r="HS86" s="33">
        <f ca="1">IF(SUM($D$43:HS43)&lt;$B$82,HS43,IF(HS60=1,(($B$82-SUM($D$43:HR43))+(SUM($D$43:HS43)-$B$82)*$B$61),HS43*$B$61))</f>
        <v>0</v>
      </c>
      <c r="HT86" s="33">
        <f ca="1">IF(SUM($D$43:HT43)&lt;$B$82,HT43,IF(HT60=1,(($B$82-SUM($D$43:HS43))+(SUM($D$43:HT43)-$B$82)*$B$61),HT43*$B$61))</f>
        <v>0</v>
      </c>
      <c r="HU86" s="33">
        <f ca="1">IF(SUM($D$43:HU43)&lt;$B$82,HU43,IF(HU60=1,(($B$82-SUM($D$43:HT43))+(SUM($D$43:HU43)-$B$82)*$B$61),HU43*$B$61))</f>
        <v>0</v>
      </c>
      <c r="HV86" s="33">
        <f ca="1">IF(SUM($D$43:HV43)&lt;$B$82,HV43,IF(HV60=1,(($B$82-SUM($D$43:HU43))+(SUM($D$43:HV43)-$B$82)*$B$61),HV43*$B$61))</f>
        <v>0</v>
      </c>
      <c r="HW86" s="33">
        <f ca="1">IF(SUM($D$43:HW43)&lt;$B$82,HW43,IF(HW60=1,(($B$82-SUM($D$43:HV43))+(SUM($D$43:HW43)-$B$82)*$B$61),HW43*$B$61))</f>
        <v>0</v>
      </c>
      <c r="HX86" s="33">
        <f ca="1">IF(SUM($D$43:HX43)&lt;$B$82,HX43,IF(HX60=1,(($B$82-SUM($D$43:HW43))+(SUM($D$43:HX43)-$B$82)*$B$61),HX43*$B$61))</f>
        <v>0</v>
      </c>
      <c r="HY86" s="33">
        <f ca="1">IF(SUM($D$43:HY43)&lt;$B$82,HY43,IF(HY60=1,(($B$82-SUM($D$43:HX43))+(SUM($D$43:HY43)-$B$82)*$B$61),HY43*$B$61))</f>
        <v>0</v>
      </c>
      <c r="HZ86" s="33">
        <f ca="1">IF(SUM($D$43:HZ43)&lt;$B$82,HZ43,IF(HZ60=1,(($B$82-SUM($D$43:HY43))+(SUM($D$43:HZ43)-$B$82)*$B$61),HZ43*$B$61))</f>
        <v>0</v>
      </c>
      <c r="IA86" s="33">
        <f ca="1">IF(SUM($D$43:IA43)&lt;$B$82,IA43,IF(IA60=1,(($B$82-SUM($D$43:HZ43))+(SUM($D$43:IA43)-$B$82)*$B$61),IA43*$B$61))</f>
        <v>0</v>
      </c>
      <c r="IB86" s="33">
        <f ca="1">IF(SUM($D$43:IB43)&lt;$B$82,IB43,IF(IB60=1,(($B$82-SUM($D$43:IA43))+(SUM($D$43:IB43)-$B$82)*$B$61),IB43*$B$61))</f>
        <v>0</v>
      </c>
      <c r="IC86" s="33">
        <f ca="1">IF(SUM($D$43:IC43)&lt;$B$82,IC43,IF(IC60=1,(($B$82-SUM($D$43:IB43))+(SUM($D$43:IC43)-$B$82)*$B$61),IC43*$B$61))</f>
        <v>0</v>
      </c>
      <c r="ID86" s="33">
        <f ca="1">IF(SUM($D$43:ID43)&lt;$B$82,ID43,IF(ID60=1,(($B$82-SUM($D$43:IC43))+(SUM($D$43:ID43)-$B$82)*$B$61),ID43*$B$61))</f>
        <v>0</v>
      </c>
      <c r="IE86" s="33">
        <f ca="1">IF(SUM($D$43:IE43)&lt;$B$82,IE43,IF(IE60=1,(($B$82-SUM($D$43:ID43))+(SUM($D$43:IE43)-$B$82)*$B$61),IE43*$B$61))</f>
        <v>0</v>
      </c>
      <c r="IF86" s="33">
        <f ca="1">IF(SUM($D$43:IF43)&lt;$B$82,IF43,IF(IF60=1,(($B$82-SUM($D$43:IE43))+(SUM($D$43:IF43)-$B$82)*$B$61),IF43*$B$61))</f>
        <v>0</v>
      </c>
      <c r="IG86" s="33">
        <f ca="1">IF(SUM($D$43:IG43)&lt;$B$82,IG43,IF(IG60=1,(($B$82-SUM($D$43:IF43))+(SUM($D$43:IG43)-$B$82)*$B$61),IG43*$B$61))</f>
        <v>0</v>
      </c>
      <c r="IH86" s="33">
        <f ca="1">IF(SUM($D$43:IH43)&lt;$B$82,IH43,IF(IH60=1,(($B$82-SUM($D$43:IG43))+(SUM($D$43:IH43)-$B$82)*$B$61),IH43*$B$61))</f>
        <v>0</v>
      </c>
      <c r="II86" s="33">
        <f ca="1">IF(SUM($D$43:II43)&lt;$B$82,II43,IF(II60=1,(($B$82-SUM($D$43:IH43))+(SUM($D$43:II43)-$B$82)*$B$61),II43*$B$61))</f>
        <v>0</v>
      </c>
      <c r="IJ86" s="33">
        <f ca="1">IF(SUM($D$43:IJ43)&lt;$B$82,IJ43,IF(IJ60=1,(($B$82-SUM($D$43:II43))+(SUM($D$43:IJ43)-$B$82)*$B$61),IJ43*$B$61))</f>
        <v>0</v>
      </c>
      <c r="IK86" s="33">
        <f ca="1">IF(SUM($D$43:IK43)&lt;$B$82,IK43,IF(IK60=1,(($B$82-SUM($D$43:IJ43))+(SUM($D$43:IK43)-$B$82)*$B$61),IK43*$B$61))</f>
        <v>0</v>
      </c>
      <c r="IL86" s="33">
        <f ca="1">IF(SUM($D$43:IL43)&lt;$B$82,IL43,IF(IL60=1,(($B$82-SUM($D$43:IK43))+(SUM($D$43:IL43)-$B$82)*$B$61),IL43*$B$61))</f>
        <v>0</v>
      </c>
      <c r="IM86" s="33">
        <f ca="1">IF(SUM($D$43:IM43)&lt;$B$82,IM43,IF(IM60=1,(($B$82-SUM($D$43:IL43))+(SUM($D$43:IM43)-$B$82)*$B$61),IM43*$B$61))</f>
        <v>0</v>
      </c>
      <c r="IN86" s="33">
        <f ca="1">IF(SUM($D$43:IN43)&lt;$B$82,IN43,IF(IN60=1,(($B$82-SUM($D$43:IM43))+(SUM($D$43:IN43)-$B$82)*$B$61),IN43*$B$61))</f>
        <v>0</v>
      </c>
      <c r="IO86" s="33">
        <f ca="1">IF(SUM($D$43:IO43)&lt;$B$82,IO43,IF(IO60=1,(($B$82-SUM($D$43:IN43))+(SUM($D$43:IO43)-$B$82)*$B$61),IO43*$B$61))</f>
        <v>0</v>
      </c>
      <c r="IP86" s="33">
        <f ca="1">IF(SUM($D$43:IP43)&lt;$B$82,IP43,IF(IP60=1,(($B$82-SUM($D$43:IO43))+(SUM($D$43:IP43)-$B$82)*$B$61),IP43*$B$61))</f>
        <v>0</v>
      </c>
      <c r="IQ86" s="33">
        <f ca="1">IF(SUM($D$43:IQ43)&lt;$B$82,IQ43,IF(IQ60=1,(($B$82-SUM($D$43:IP43))+(SUM($D$43:IQ43)-$B$82)*$B$61),IQ43*$B$61))</f>
        <v>0</v>
      </c>
      <c r="IR86" s="33">
        <f ca="1">IF(SUM($D$43:IR43)&lt;$B$82,IR43,IF(IR60=1,(($B$82-SUM($D$43:IQ43))+(SUM($D$43:IR43)-$B$82)*$B$61),IR43*$B$61))</f>
        <v>0</v>
      </c>
      <c r="IS86" s="33">
        <f ca="1">IF(SUM($D$43:IS43)&lt;$B$82,IS43,IF(IS60=1,(($B$82-SUM($D$43:IR43))+(SUM($D$43:IS43)-$B$82)*$B$61),IS43*$B$61))</f>
        <v>0</v>
      </c>
      <c r="IT86" s="33">
        <f ca="1">IF(SUM($D$43:IT43)&lt;$B$82,IT43,IF(IT60=1,(($B$82-SUM($D$43:IS43))+(SUM($D$43:IT43)-$B$82)*$B$61),IT43*$B$61))</f>
        <v>0</v>
      </c>
      <c r="IU86" s="33">
        <f ca="1">IF(SUM($D$43:IU43)&lt;$B$82,IU43,IF(IU60=1,(($B$82-SUM($D$43:IT43))+(SUM($D$43:IU43)-$B$82)*$B$61),IU43*$B$61))</f>
        <v>0</v>
      </c>
      <c r="IV86" s="33">
        <f ca="1">IF(SUM($D$43:IV43)&lt;$B$82,IV43,IF(IV60=1,(($B$82-SUM($D$43:IU43))+(SUM($D$43:IV43)-$B$82)*$B$61),IV43*$B$61))</f>
        <v>0</v>
      </c>
      <c r="IW86" s="33">
        <f ca="1">IF(SUM($D$43:IW43)&lt;$B$82,IW43,IF(IW60=1,(($B$82-SUM($D$43:IV43))+(SUM($D$43:IW43)-$B$82)*$B$61),IW43*$B$61))</f>
        <v>0</v>
      </c>
      <c r="IX86" s="33">
        <f ca="1">IF(SUM($D$43:IX43)&lt;$B$82,IX43,IF(IX60=1,(($B$82-SUM($D$43:IW43))+(SUM($D$43:IX43)-$B$82)*$B$61),IX43*$B$61))</f>
        <v>0</v>
      </c>
      <c r="IY86" s="33">
        <f ca="1">IF(SUM($D$43:IY43)&lt;$B$82,IY43,IF(IY60=1,(($B$82-SUM($D$43:IX43))+(SUM($D$43:IY43)-$B$82)*$B$61),IY43*$B$61))</f>
        <v>0</v>
      </c>
      <c r="IZ86" s="33">
        <f ca="1">IF(SUM($D$43:IZ43)&lt;$B$82,IZ43,IF(IZ60=1,(($B$82-SUM($D$43:IY43))+(SUM($D$43:IZ43)-$B$82)*$B$61),IZ43*$B$61))</f>
        <v>0</v>
      </c>
      <c r="JA86" s="33">
        <f ca="1">IF(SUM($D$43:JA43)&lt;$B$82,JA43,IF(JA60=1,(($B$82-SUM($D$43:IZ43))+(SUM($D$43:JA43)-$B$82)*$B$61),JA43*$B$61))</f>
        <v>0</v>
      </c>
      <c r="JB86" s="33">
        <f ca="1">IF(SUM($D$43:JB43)&lt;$B$82,JB43,IF(JB60=1,(($B$82-SUM($D$43:JA43))+(SUM($D$43:JB43)-$B$82)*$B$61),JB43*$B$61))</f>
        <v>0</v>
      </c>
      <c r="JC86" s="33">
        <f ca="1">IF(SUM($D$43:JC43)&lt;$B$82,JC43,IF(JC60=1,(($B$82-SUM($D$43:JB43))+(SUM($D$43:JC43)-$B$82)*$B$61),JC43*$B$61))</f>
        <v>0</v>
      </c>
      <c r="JD86" s="33">
        <f ca="1">IF(SUM($D$43:JD43)&lt;$B$82,JD43,IF(JD60=1,(($B$82-SUM($D$43:JC43))+(SUM($D$43:JD43)-$B$82)*$B$61),JD43*$B$61))</f>
        <v>0</v>
      </c>
      <c r="JE86" s="33">
        <f ca="1">IF(SUM($D$43:JE43)&lt;$B$82,JE43,IF(JE60=1,(($B$82-SUM($D$43:JD43))+(SUM($D$43:JE43)-$B$82)*$B$61),JE43*$B$61))</f>
        <v>0</v>
      </c>
      <c r="JF86" s="33">
        <f ca="1">IF(SUM($D$43:JF43)&lt;$B$82,JF43,IF(JF60=1,(($B$82-SUM($D$43:JE43))+(SUM($D$43:JF43)-$B$82)*$B$61),JF43*$B$61))</f>
        <v>0</v>
      </c>
      <c r="JG86" s="33">
        <f ca="1">IF(SUM($D$43:JG43)&lt;$B$82,JG43,IF(JG60=1,(($B$82-SUM($D$43:JF43))+(SUM($D$43:JG43)-$B$82)*$B$61),JG43*$B$61))</f>
        <v>0</v>
      </c>
      <c r="JH86" s="33">
        <f ca="1">IF(SUM($D$43:JH43)&lt;$B$82,JH43,IF(JH60=1,(($B$82-SUM($D$43:JG43))+(SUM($D$43:JH43)-$B$82)*$B$61),JH43*$B$61))</f>
        <v>0</v>
      </c>
      <c r="JI86" s="33">
        <f ca="1">IF(SUM($D$43:JI43)&lt;$B$82,JI43,IF(JI60=1,(($B$82-SUM($D$43:JH43))+(SUM($D$43:JI43)-$B$82)*$B$61),JI43*$B$61))</f>
        <v>0</v>
      </c>
      <c r="JJ86" s="33">
        <f ca="1">IF(SUM($D$43:JJ43)&lt;$B$82,JJ43,IF(JJ60=1,(($B$82-SUM($D$43:JI43))+(SUM($D$43:JJ43)-$B$82)*$B$61),JJ43*$B$61))</f>
        <v>0</v>
      </c>
      <c r="JK86" s="33">
        <f ca="1">IF(SUM($D$43:JK43)&lt;$B$82,JK43,IF(JK60=1,(($B$82-SUM($D$43:JJ43))+(SUM($D$43:JK43)-$B$82)*$B$61),JK43*$B$61))</f>
        <v>0</v>
      </c>
      <c r="JL86" s="33">
        <f ca="1">IF(SUM($D$43:JL43)&lt;$B$82,JL43,IF(JL60=1,(($B$82-SUM($D$43:JK43))+(SUM($D$43:JL43)-$B$82)*$B$61),JL43*$B$61))</f>
        <v>0</v>
      </c>
      <c r="JM86" s="33">
        <f ca="1">IF(SUM($D$43:JM43)&lt;$B$82,JM43,IF(JM60=1,(($B$82-SUM($D$43:JL43))+(SUM($D$43:JM43)-$B$82)*$B$61),JM43*$B$61))</f>
        <v>0</v>
      </c>
      <c r="JN86" s="33">
        <f ca="1">IF(SUM($D$43:JN43)&lt;$B$82,JN43,IF(JN60=1,(($B$82-SUM($D$43:JM43))+(SUM($D$43:JN43)-$B$82)*$B$61),JN43*$B$61))</f>
        <v>0</v>
      </c>
      <c r="JO86" s="33">
        <f ca="1">IF(SUM($D$43:JO43)&lt;$B$82,JO43,IF(JO60=1,(($B$82-SUM($D$43:JN43))+(SUM($D$43:JO43)-$B$82)*$B$61),JO43*$B$61))</f>
        <v>0</v>
      </c>
      <c r="JP86" s="33">
        <f ca="1">IF(SUM($D$43:JP43)&lt;$B$82,JP43,IF(JP60=1,(($B$82-SUM($D$43:JO43))+(SUM($D$43:JP43)-$B$82)*$B$61),JP43*$B$61))</f>
        <v>0</v>
      </c>
      <c r="JQ86" s="33">
        <f ca="1">IF(SUM($D$43:JQ43)&lt;$B$82,JQ43,IF(JQ60=1,(($B$82-SUM($D$43:JP43))+(SUM($D$43:JQ43)-$B$82)*$B$61),JQ43*$B$61))</f>
        <v>0</v>
      </c>
      <c r="JR86" s="33">
        <f ca="1">IF(SUM($D$43:JR43)&lt;$B$82,JR43,IF(JR60=1,(($B$82-SUM($D$43:JQ43))+(SUM($D$43:JR43)-$B$82)*$B$61),JR43*$B$61))</f>
        <v>0</v>
      </c>
      <c r="JS86" s="33">
        <f ca="1">IF(SUM($D$43:JS43)&lt;$B$82,JS43,IF(JS60=1,(($B$82-SUM($D$43:JR43))+(SUM($D$43:JS43)-$B$82)*$B$61),JS43*$B$61))</f>
        <v>0</v>
      </c>
      <c r="JT86" s="33">
        <f ca="1">IF(SUM($D$43:JT43)&lt;$B$82,JT43,IF(JT60=1,(($B$82-SUM($D$43:JS43))+(SUM($D$43:JT43)-$B$82)*$B$61),JT43*$B$61))</f>
        <v>0</v>
      </c>
      <c r="JU86" s="33">
        <f ca="1">IF(SUM($D$43:JU43)&lt;$B$82,JU43,IF(JU60=1,(($B$82-SUM($D$43:JT43))+(SUM($D$43:JU43)-$B$82)*$B$61),JU43*$B$61))</f>
        <v>0</v>
      </c>
      <c r="JV86" s="33">
        <f ca="1">IF(SUM($D$43:JV43)&lt;$B$82,JV43,IF(JV60=1,(($B$82-SUM($D$43:JU43))+(SUM($D$43:JV43)-$B$82)*$B$61),JV43*$B$61))</f>
        <v>0</v>
      </c>
      <c r="JW86" s="33">
        <f ca="1">IF(SUM($D$43:JW43)&lt;$B$82,JW43,IF(JW60=1,(($B$82-SUM($D$43:JV43))+(SUM($D$43:JW43)-$B$82)*$B$61),JW43*$B$61))</f>
        <v>0</v>
      </c>
      <c r="JX86" s="33">
        <f ca="1">IF(SUM($D$43:JX43)&lt;$B$82,JX43,IF(JX60=1,(($B$82-SUM($D$43:JW43))+(SUM($D$43:JX43)-$B$82)*$B$61),JX43*$B$61))</f>
        <v>0</v>
      </c>
      <c r="JY86" s="33">
        <f ca="1">IF(SUM($D$43:JY43)&lt;$B$82,JY43,IF(JY60=1,(($B$82-SUM($D$43:JX43))+(SUM($D$43:JY43)-$B$82)*$B$61),JY43*$B$61))</f>
        <v>0</v>
      </c>
      <c r="JZ86" s="33">
        <f ca="1">IF(SUM($D$43:JZ43)&lt;$B$82,JZ43,IF(JZ60=1,(($B$82-SUM($D$43:JY43))+(SUM($D$43:JZ43)-$B$82)*$B$61),JZ43*$B$61))</f>
        <v>0</v>
      </c>
      <c r="KA86" s="33">
        <f ca="1">IF(SUM($D$43:KA43)&lt;$B$82,KA43,IF(KA60=1,(($B$82-SUM($D$43:JZ43))+(SUM($D$43:KA43)-$B$82)*$B$61),KA43*$B$61))</f>
        <v>0</v>
      </c>
      <c r="KB86" s="33">
        <f ca="1">IF(SUM($D$43:KB43)&lt;$B$82,KB43,IF(KB60=1,(($B$82-SUM($D$43:KA43))+(SUM($D$43:KB43)-$B$82)*$B$61),KB43*$B$61))</f>
        <v>0</v>
      </c>
    </row>
    <row r="87" spans="1:289" x14ac:dyDescent="0.3">
      <c r="A87" s="276" t="s">
        <v>267</v>
      </c>
      <c r="B87" s="57">
        <f ca="1">IFERROR(B62/B90,0)</f>
        <v>0.18915660872689097</v>
      </c>
      <c r="D87" s="33"/>
      <c r="E87" s="33">
        <f ca="1">E86-E92</f>
        <v>2.8559866764339019</v>
      </c>
      <c r="F87" s="33">
        <f t="shared" ref="F87:BQ87" ca="1" si="476">F86-F92</f>
        <v>2.692509652221581</v>
      </c>
      <c r="G87" s="33">
        <f t="shared" ca="1" si="476"/>
        <v>2.7140231473197556</v>
      </c>
      <c r="H87" s="33">
        <f t="shared" ca="1" si="476"/>
        <v>2.7357085379841943</v>
      </c>
      <c r="I87" s="33">
        <f t="shared" ca="1" si="476"/>
        <v>2.7575671976823677</v>
      </c>
      <c r="J87" s="33">
        <f t="shared" ca="1" si="476"/>
        <v>2.7796005108559263</v>
      </c>
      <c r="K87" s="33">
        <f t="shared" ca="1" si="476"/>
        <v>2.8127898426139919</v>
      </c>
      <c r="L87" s="33">
        <f t="shared" ca="1" si="476"/>
        <v>2.8006182639385107</v>
      </c>
      <c r="M87" s="33">
        <f t="shared" ca="1" si="476"/>
        <v>0</v>
      </c>
      <c r="N87" s="33">
        <f t="shared" ca="1" si="476"/>
        <v>0</v>
      </c>
      <c r="O87" s="33">
        <f t="shared" ca="1" si="476"/>
        <v>0</v>
      </c>
      <c r="P87" s="33">
        <f t="shared" ca="1" si="476"/>
        <v>0</v>
      </c>
      <c r="Q87" s="33">
        <f t="shared" ca="1" si="476"/>
        <v>0</v>
      </c>
      <c r="R87" s="33">
        <f t="shared" ca="1" si="476"/>
        <v>0</v>
      </c>
      <c r="S87" s="33">
        <f t="shared" ca="1" si="476"/>
        <v>0</v>
      </c>
      <c r="T87" s="33">
        <f t="shared" ca="1" si="476"/>
        <v>0</v>
      </c>
      <c r="U87" s="33">
        <f t="shared" ca="1" si="476"/>
        <v>0</v>
      </c>
      <c r="V87" s="33">
        <f t="shared" ca="1" si="476"/>
        <v>0</v>
      </c>
      <c r="W87" s="33">
        <f t="shared" ca="1" si="476"/>
        <v>0</v>
      </c>
      <c r="X87" s="33">
        <f t="shared" ca="1" si="476"/>
        <v>0</v>
      </c>
      <c r="Y87" s="33">
        <f t="shared" ca="1" si="476"/>
        <v>0</v>
      </c>
      <c r="Z87" s="33">
        <f t="shared" ca="1" si="476"/>
        <v>0</v>
      </c>
      <c r="AA87" s="33">
        <f t="shared" ca="1" si="476"/>
        <v>0</v>
      </c>
      <c r="AB87" s="33">
        <f t="shared" ca="1" si="476"/>
        <v>0</v>
      </c>
      <c r="AC87" s="33">
        <f t="shared" ca="1" si="476"/>
        <v>0</v>
      </c>
      <c r="AD87" s="33">
        <f t="shared" ca="1" si="476"/>
        <v>0</v>
      </c>
      <c r="AE87" s="33">
        <f t="shared" ca="1" si="476"/>
        <v>0</v>
      </c>
      <c r="AF87" s="33">
        <f t="shared" ca="1" si="476"/>
        <v>0</v>
      </c>
      <c r="AG87" s="33">
        <f t="shared" ca="1" si="476"/>
        <v>0</v>
      </c>
      <c r="AH87" s="33">
        <f t="shared" ca="1" si="476"/>
        <v>0</v>
      </c>
      <c r="AI87" s="33">
        <f t="shared" ca="1" si="476"/>
        <v>0</v>
      </c>
      <c r="AJ87" s="33">
        <f t="shared" ca="1" si="476"/>
        <v>0</v>
      </c>
      <c r="AK87" s="33">
        <f t="shared" ca="1" si="476"/>
        <v>0</v>
      </c>
      <c r="AL87" s="33">
        <f t="shared" ca="1" si="476"/>
        <v>0</v>
      </c>
      <c r="AM87" s="33">
        <f t="shared" ca="1" si="476"/>
        <v>0</v>
      </c>
      <c r="AN87" s="33">
        <f t="shared" ca="1" si="476"/>
        <v>0</v>
      </c>
      <c r="AO87" s="33">
        <f t="shared" ca="1" si="476"/>
        <v>0</v>
      </c>
      <c r="AP87" s="33">
        <f t="shared" ca="1" si="476"/>
        <v>0</v>
      </c>
      <c r="AQ87" s="33">
        <f t="shared" ca="1" si="476"/>
        <v>0</v>
      </c>
      <c r="AR87" s="33">
        <f t="shared" ca="1" si="476"/>
        <v>0</v>
      </c>
      <c r="AS87" s="33">
        <f t="shared" ca="1" si="476"/>
        <v>0</v>
      </c>
      <c r="AT87" s="33">
        <f t="shared" ca="1" si="476"/>
        <v>0</v>
      </c>
      <c r="AU87" s="33">
        <f t="shared" ca="1" si="476"/>
        <v>0</v>
      </c>
      <c r="AV87" s="33">
        <f t="shared" ca="1" si="476"/>
        <v>0</v>
      </c>
      <c r="AW87" s="33">
        <f t="shared" ca="1" si="476"/>
        <v>0</v>
      </c>
      <c r="AX87" s="33">
        <f t="shared" ca="1" si="476"/>
        <v>0</v>
      </c>
      <c r="AY87" s="33">
        <f t="shared" ca="1" si="476"/>
        <v>0</v>
      </c>
      <c r="AZ87" s="33">
        <f t="shared" ca="1" si="476"/>
        <v>0</v>
      </c>
      <c r="BA87" s="33">
        <f t="shared" ca="1" si="476"/>
        <v>0</v>
      </c>
      <c r="BB87" s="33">
        <f t="shared" ca="1" si="476"/>
        <v>0</v>
      </c>
      <c r="BC87" s="33">
        <f t="shared" ca="1" si="476"/>
        <v>0</v>
      </c>
      <c r="BD87" s="33">
        <f t="shared" ca="1" si="476"/>
        <v>0</v>
      </c>
      <c r="BE87" s="33">
        <f t="shared" ca="1" si="476"/>
        <v>3.3454804320278555</v>
      </c>
      <c r="BF87" s="33">
        <f t="shared" ca="1" si="476"/>
        <v>0</v>
      </c>
      <c r="BG87" s="33">
        <f t="shared" ca="1" si="476"/>
        <v>0</v>
      </c>
      <c r="BH87" s="33">
        <f t="shared" ca="1" si="476"/>
        <v>0</v>
      </c>
      <c r="BI87" s="33">
        <f t="shared" ca="1" si="476"/>
        <v>0</v>
      </c>
      <c r="BJ87" s="33">
        <f t="shared" ca="1" si="476"/>
        <v>0</v>
      </c>
      <c r="BK87" s="33">
        <f t="shared" ca="1" si="476"/>
        <v>0</v>
      </c>
      <c r="BL87" s="33">
        <f t="shared" ca="1" si="476"/>
        <v>0</v>
      </c>
      <c r="BM87" s="33">
        <f t="shared" ca="1" si="476"/>
        <v>0</v>
      </c>
      <c r="BN87" s="33">
        <f t="shared" ca="1" si="476"/>
        <v>0</v>
      </c>
      <c r="BO87" s="33">
        <f t="shared" ca="1" si="476"/>
        <v>0</v>
      </c>
      <c r="BP87" s="33">
        <f t="shared" ca="1" si="476"/>
        <v>0</v>
      </c>
      <c r="BQ87" s="33">
        <f t="shared" ca="1" si="476"/>
        <v>0</v>
      </c>
      <c r="BR87" s="33">
        <f t="shared" ref="BR87:EC87" ca="1" si="477">BR86-BR92</f>
        <v>0</v>
      </c>
      <c r="BS87" s="33">
        <f t="shared" ca="1" si="477"/>
        <v>0</v>
      </c>
      <c r="BT87" s="33">
        <f t="shared" ca="1" si="477"/>
        <v>0</v>
      </c>
      <c r="BU87" s="33">
        <f t="shared" ca="1" si="477"/>
        <v>0</v>
      </c>
      <c r="BV87" s="33">
        <f t="shared" ca="1" si="477"/>
        <v>0</v>
      </c>
      <c r="BW87" s="33">
        <f t="shared" ca="1" si="477"/>
        <v>0</v>
      </c>
      <c r="BX87" s="33">
        <f t="shared" ca="1" si="477"/>
        <v>0</v>
      </c>
      <c r="BY87" s="33">
        <f t="shared" ca="1" si="477"/>
        <v>0</v>
      </c>
      <c r="BZ87" s="33">
        <f t="shared" ca="1" si="477"/>
        <v>0</v>
      </c>
      <c r="CA87" s="33">
        <f t="shared" ca="1" si="477"/>
        <v>0</v>
      </c>
      <c r="CB87" s="33">
        <f t="shared" ca="1" si="477"/>
        <v>0</v>
      </c>
      <c r="CC87" s="33">
        <f t="shared" ca="1" si="477"/>
        <v>0</v>
      </c>
      <c r="CD87" s="33">
        <f t="shared" ca="1" si="477"/>
        <v>0</v>
      </c>
      <c r="CE87" s="33">
        <f t="shared" ca="1" si="477"/>
        <v>0</v>
      </c>
      <c r="CF87" s="33">
        <f t="shared" ca="1" si="477"/>
        <v>0</v>
      </c>
      <c r="CG87" s="33">
        <f t="shared" ca="1" si="477"/>
        <v>0</v>
      </c>
      <c r="CH87" s="33">
        <f t="shared" ca="1" si="477"/>
        <v>0</v>
      </c>
      <c r="CI87" s="33">
        <f t="shared" ca="1" si="477"/>
        <v>0</v>
      </c>
      <c r="CJ87" s="33">
        <f t="shared" ca="1" si="477"/>
        <v>0</v>
      </c>
      <c r="CK87" s="33">
        <f t="shared" ca="1" si="477"/>
        <v>0</v>
      </c>
      <c r="CL87" s="33">
        <f t="shared" ca="1" si="477"/>
        <v>0</v>
      </c>
      <c r="CM87" s="33">
        <f t="shared" ca="1" si="477"/>
        <v>0</v>
      </c>
      <c r="CN87" s="33">
        <f t="shared" ca="1" si="477"/>
        <v>0</v>
      </c>
      <c r="CO87" s="33">
        <f t="shared" ca="1" si="477"/>
        <v>0</v>
      </c>
      <c r="CP87" s="33">
        <f t="shared" ca="1" si="477"/>
        <v>0</v>
      </c>
      <c r="CQ87" s="33">
        <f t="shared" ca="1" si="477"/>
        <v>0</v>
      </c>
      <c r="CR87" s="33">
        <f t="shared" ca="1" si="477"/>
        <v>0</v>
      </c>
      <c r="CS87" s="33">
        <f t="shared" ca="1" si="477"/>
        <v>0</v>
      </c>
      <c r="CT87" s="33">
        <f t="shared" ca="1" si="477"/>
        <v>0</v>
      </c>
      <c r="CU87" s="33">
        <f t="shared" ca="1" si="477"/>
        <v>0</v>
      </c>
      <c r="CV87" s="33">
        <f t="shared" ca="1" si="477"/>
        <v>0</v>
      </c>
      <c r="CW87" s="33">
        <f t="shared" ca="1" si="477"/>
        <v>0</v>
      </c>
      <c r="CX87" s="33">
        <f t="shared" ca="1" si="477"/>
        <v>0</v>
      </c>
      <c r="CY87" s="33">
        <f t="shared" ca="1" si="477"/>
        <v>0</v>
      </c>
      <c r="CZ87" s="33">
        <f t="shared" ca="1" si="477"/>
        <v>0</v>
      </c>
      <c r="DA87" s="33">
        <f t="shared" ca="1" si="477"/>
        <v>0</v>
      </c>
      <c r="DB87" s="33">
        <f t="shared" ca="1" si="477"/>
        <v>0</v>
      </c>
      <c r="DC87" s="33">
        <f t="shared" ca="1" si="477"/>
        <v>0</v>
      </c>
      <c r="DD87" s="33">
        <f t="shared" ca="1" si="477"/>
        <v>0</v>
      </c>
      <c r="DE87" s="33">
        <f t="shared" ca="1" si="477"/>
        <v>0</v>
      </c>
      <c r="DF87" s="33">
        <f t="shared" ca="1" si="477"/>
        <v>0</v>
      </c>
      <c r="DG87" s="33">
        <f t="shared" ca="1" si="477"/>
        <v>0</v>
      </c>
      <c r="DH87" s="33">
        <f t="shared" ca="1" si="477"/>
        <v>0</v>
      </c>
      <c r="DI87" s="33">
        <f t="shared" ca="1" si="477"/>
        <v>0</v>
      </c>
      <c r="DJ87" s="33">
        <f t="shared" ca="1" si="477"/>
        <v>0</v>
      </c>
      <c r="DK87" s="33">
        <f t="shared" ca="1" si="477"/>
        <v>0</v>
      </c>
      <c r="DL87" s="33">
        <f t="shared" ca="1" si="477"/>
        <v>0</v>
      </c>
      <c r="DM87" s="33">
        <f t="shared" ca="1" si="477"/>
        <v>0</v>
      </c>
      <c r="DN87" s="33">
        <f t="shared" ca="1" si="477"/>
        <v>0</v>
      </c>
      <c r="DO87" s="33">
        <f t="shared" ca="1" si="477"/>
        <v>0</v>
      </c>
      <c r="DP87" s="33">
        <f t="shared" ca="1" si="477"/>
        <v>0</v>
      </c>
      <c r="DQ87" s="33">
        <f t="shared" ca="1" si="477"/>
        <v>0</v>
      </c>
      <c r="DR87" s="33">
        <f t="shared" ca="1" si="477"/>
        <v>0</v>
      </c>
      <c r="DS87" s="33">
        <f t="shared" ca="1" si="477"/>
        <v>0</v>
      </c>
      <c r="DT87" s="33">
        <f t="shared" ca="1" si="477"/>
        <v>0</v>
      </c>
      <c r="DU87" s="33">
        <f t="shared" ca="1" si="477"/>
        <v>0</v>
      </c>
      <c r="DV87" s="33">
        <f t="shared" ca="1" si="477"/>
        <v>0</v>
      </c>
      <c r="DW87" s="33">
        <f t="shared" ca="1" si="477"/>
        <v>0</v>
      </c>
      <c r="DX87" s="33">
        <f t="shared" ca="1" si="477"/>
        <v>0</v>
      </c>
      <c r="DY87" s="33">
        <f t="shared" ca="1" si="477"/>
        <v>0</v>
      </c>
      <c r="DZ87" s="33">
        <f t="shared" ca="1" si="477"/>
        <v>0</v>
      </c>
      <c r="EA87" s="33">
        <f t="shared" ca="1" si="477"/>
        <v>0</v>
      </c>
      <c r="EB87" s="33">
        <f t="shared" ca="1" si="477"/>
        <v>0</v>
      </c>
      <c r="EC87" s="33">
        <f t="shared" ca="1" si="477"/>
        <v>0</v>
      </c>
      <c r="ED87" s="33">
        <f t="shared" ref="ED87:GO87" ca="1" si="478">ED86-ED92</f>
        <v>0</v>
      </c>
      <c r="EE87" s="33">
        <f t="shared" ca="1" si="478"/>
        <v>0</v>
      </c>
      <c r="EF87" s="33">
        <f t="shared" ca="1" si="478"/>
        <v>0</v>
      </c>
      <c r="EG87" s="33">
        <f t="shared" ca="1" si="478"/>
        <v>0</v>
      </c>
      <c r="EH87" s="33">
        <f t="shared" ca="1" si="478"/>
        <v>0</v>
      </c>
      <c r="EI87" s="33">
        <f t="shared" ca="1" si="478"/>
        <v>0</v>
      </c>
      <c r="EJ87" s="33">
        <f t="shared" ca="1" si="478"/>
        <v>0</v>
      </c>
      <c r="EK87" s="33">
        <f t="shared" ca="1" si="478"/>
        <v>0</v>
      </c>
      <c r="EL87" s="33">
        <f t="shared" ca="1" si="478"/>
        <v>0</v>
      </c>
      <c r="EM87" s="33">
        <f t="shared" ca="1" si="478"/>
        <v>0</v>
      </c>
      <c r="EN87" s="33">
        <f t="shared" ca="1" si="478"/>
        <v>0</v>
      </c>
      <c r="EO87" s="33">
        <f t="shared" ca="1" si="478"/>
        <v>0</v>
      </c>
      <c r="EP87" s="33">
        <f t="shared" ca="1" si="478"/>
        <v>0</v>
      </c>
      <c r="EQ87" s="33">
        <f t="shared" ca="1" si="478"/>
        <v>0</v>
      </c>
      <c r="ER87" s="33">
        <f t="shared" ca="1" si="478"/>
        <v>0</v>
      </c>
      <c r="ES87" s="33">
        <f t="shared" ca="1" si="478"/>
        <v>0</v>
      </c>
      <c r="ET87" s="33">
        <f t="shared" ca="1" si="478"/>
        <v>0</v>
      </c>
      <c r="EU87" s="33">
        <f t="shared" ca="1" si="478"/>
        <v>0</v>
      </c>
      <c r="EV87" s="33">
        <f t="shared" ca="1" si="478"/>
        <v>0</v>
      </c>
      <c r="EW87" s="33">
        <f t="shared" ca="1" si="478"/>
        <v>0</v>
      </c>
      <c r="EX87" s="33">
        <f t="shared" ca="1" si="478"/>
        <v>0</v>
      </c>
      <c r="EY87" s="33">
        <f t="shared" ca="1" si="478"/>
        <v>0</v>
      </c>
      <c r="EZ87" s="33">
        <f t="shared" ca="1" si="478"/>
        <v>0</v>
      </c>
      <c r="FA87" s="33">
        <f t="shared" ca="1" si="478"/>
        <v>0</v>
      </c>
      <c r="FB87" s="33">
        <f t="shared" ca="1" si="478"/>
        <v>0</v>
      </c>
      <c r="FC87" s="33">
        <f t="shared" ca="1" si="478"/>
        <v>0</v>
      </c>
      <c r="FD87" s="33">
        <f t="shared" ca="1" si="478"/>
        <v>0</v>
      </c>
      <c r="FE87" s="33">
        <f t="shared" ca="1" si="478"/>
        <v>0</v>
      </c>
      <c r="FF87" s="33">
        <f t="shared" ca="1" si="478"/>
        <v>0</v>
      </c>
      <c r="FG87" s="33">
        <f t="shared" ca="1" si="478"/>
        <v>0</v>
      </c>
      <c r="FH87" s="33">
        <f t="shared" ca="1" si="478"/>
        <v>0</v>
      </c>
      <c r="FI87" s="33">
        <f t="shared" ca="1" si="478"/>
        <v>0</v>
      </c>
      <c r="FJ87" s="33">
        <f t="shared" ca="1" si="478"/>
        <v>0</v>
      </c>
      <c r="FK87" s="33">
        <f t="shared" ca="1" si="478"/>
        <v>0</v>
      </c>
      <c r="FL87" s="33">
        <f t="shared" ca="1" si="478"/>
        <v>0</v>
      </c>
      <c r="FM87" s="33">
        <f t="shared" ca="1" si="478"/>
        <v>0</v>
      </c>
      <c r="FN87" s="33">
        <f t="shared" ca="1" si="478"/>
        <v>0</v>
      </c>
      <c r="FO87" s="33">
        <f t="shared" ca="1" si="478"/>
        <v>0</v>
      </c>
      <c r="FP87" s="33">
        <f t="shared" ca="1" si="478"/>
        <v>0</v>
      </c>
      <c r="FQ87" s="33">
        <f t="shared" ca="1" si="478"/>
        <v>0</v>
      </c>
      <c r="FR87" s="33">
        <f t="shared" ca="1" si="478"/>
        <v>0</v>
      </c>
      <c r="FS87" s="33">
        <f t="shared" ca="1" si="478"/>
        <v>0</v>
      </c>
      <c r="FT87" s="33">
        <f t="shared" ca="1" si="478"/>
        <v>0</v>
      </c>
      <c r="FU87" s="33">
        <f t="shared" ca="1" si="478"/>
        <v>0</v>
      </c>
      <c r="FV87" s="33">
        <f t="shared" ca="1" si="478"/>
        <v>0</v>
      </c>
      <c r="FW87" s="33">
        <f t="shared" ca="1" si="478"/>
        <v>0</v>
      </c>
      <c r="FX87" s="33">
        <f t="shared" ca="1" si="478"/>
        <v>0</v>
      </c>
      <c r="FY87" s="33">
        <f t="shared" ca="1" si="478"/>
        <v>0</v>
      </c>
      <c r="FZ87" s="33">
        <f t="shared" ca="1" si="478"/>
        <v>0</v>
      </c>
      <c r="GA87" s="33">
        <f t="shared" ca="1" si="478"/>
        <v>0</v>
      </c>
      <c r="GB87" s="33">
        <f t="shared" ca="1" si="478"/>
        <v>0</v>
      </c>
      <c r="GC87" s="33">
        <f t="shared" ca="1" si="478"/>
        <v>0</v>
      </c>
      <c r="GD87" s="33">
        <f t="shared" ca="1" si="478"/>
        <v>0</v>
      </c>
      <c r="GE87" s="33">
        <f t="shared" ca="1" si="478"/>
        <v>0</v>
      </c>
      <c r="GF87" s="33">
        <f t="shared" ca="1" si="478"/>
        <v>0</v>
      </c>
      <c r="GG87" s="33">
        <f t="shared" ca="1" si="478"/>
        <v>0</v>
      </c>
      <c r="GH87" s="33">
        <f t="shared" ca="1" si="478"/>
        <v>0</v>
      </c>
      <c r="GI87" s="33">
        <f t="shared" ca="1" si="478"/>
        <v>0</v>
      </c>
      <c r="GJ87" s="33">
        <f t="shared" ca="1" si="478"/>
        <v>0</v>
      </c>
      <c r="GK87" s="33">
        <f t="shared" ca="1" si="478"/>
        <v>0</v>
      </c>
      <c r="GL87" s="33">
        <f t="shared" ca="1" si="478"/>
        <v>0</v>
      </c>
      <c r="GM87" s="33">
        <f t="shared" ca="1" si="478"/>
        <v>0</v>
      </c>
      <c r="GN87" s="33">
        <f t="shared" ca="1" si="478"/>
        <v>0</v>
      </c>
      <c r="GO87" s="33">
        <f t="shared" ca="1" si="478"/>
        <v>0</v>
      </c>
      <c r="GP87" s="33">
        <f t="shared" ref="GP87:JA87" ca="1" si="479">GP86-GP92</f>
        <v>0</v>
      </c>
      <c r="GQ87" s="33">
        <f t="shared" ca="1" si="479"/>
        <v>0</v>
      </c>
      <c r="GR87" s="33">
        <f t="shared" ca="1" si="479"/>
        <v>0</v>
      </c>
      <c r="GS87" s="33">
        <f t="shared" ca="1" si="479"/>
        <v>0</v>
      </c>
      <c r="GT87" s="33">
        <f t="shared" ca="1" si="479"/>
        <v>0</v>
      </c>
      <c r="GU87" s="33">
        <f t="shared" ca="1" si="479"/>
        <v>0</v>
      </c>
      <c r="GV87" s="33">
        <f t="shared" ca="1" si="479"/>
        <v>0</v>
      </c>
      <c r="GW87" s="33">
        <f t="shared" ca="1" si="479"/>
        <v>0</v>
      </c>
      <c r="GX87" s="33">
        <f t="shared" ca="1" si="479"/>
        <v>0</v>
      </c>
      <c r="GY87" s="33">
        <f t="shared" ca="1" si="479"/>
        <v>0</v>
      </c>
      <c r="GZ87" s="33">
        <f t="shared" ca="1" si="479"/>
        <v>0</v>
      </c>
      <c r="HA87" s="33">
        <f t="shared" ca="1" si="479"/>
        <v>0</v>
      </c>
      <c r="HB87" s="33">
        <f t="shared" ca="1" si="479"/>
        <v>0</v>
      </c>
      <c r="HC87" s="33">
        <f t="shared" ca="1" si="479"/>
        <v>0</v>
      </c>
      <c r="HD87" s="33">
        <f t="shared" ca="1" si="479"/>
        <v>0</v>
      </c>
      <c r="HE87" s="33">
        <f t="shared" ca="1" si="479"/>
        <v>0</v>
      </c>
      <c r="HF87" s="33">
        <f t="shared" ca="1" si="479"/>
        <v>0</v>
      </c>
      <c r="HG87" s="33">
        <f t="shared" ca="1" si="479"/>
        <v>0</v>
      </c>
      <c r="HH87" s="33">
        <f t="shared" ca="1" si="479"/>
        <v>0</v>
      </c>
      <c r="HI87" s="33">
        <f t="shared" ca="1" si="479"/>
        <v>0</v>
      </c>
      <c r="HJ87" s="33">
        <f t="shared" ca="1" si="479"/>
        <v>0</v>
      </c>
      <c r="HK87" s="33">
        <f t="shared" ca="1" si="479"/>
        <v>0</v>
      </c>
      <c r="HL87" s="33">
        <f t="shared" ca="1" si="479"/>
        <v>0</v>
      </c>
      <c r="HM87" s="33">
        <f t="shared" ca="1" si="479"/>
        <v>0</v>
      </c>
      <c r="HN87" s="33">
        <f t="shared" ca="1" si="479"/>
        <v>0</v>
      </c>
      <c r="HO87" s="33">
        <f t="shared" ca="1" si="479"/>
        <v>0</v>
      </c>
      <c r="HP87" s="33">
        <f t="shared" ca="1" si="479"/>
        <v>0</v>
      </c>
      <c r="HQ87" s="33">
        <f t="shared" ca="1" si="479"/>
        <v>0</v>
      </c>
      <c r="HR87" s="33">
        <f t="shared" ca="1" si="479"/>
        <v>0</v>
      </c>
      <c r="HS87" s="33">
        <f t="shared" ca="1" si="479"/>
        <v>0</v>
      </c>
      <c r="HT87" s="33">
        <f t="shared" ca="1" si="479"/>
        <v>0</v>
      </c>
      <c r="HU87" s="33">
        <f t="shared" ca="1" si="479"/>
        <v>0</v>
      </c>
      <c r="HV87" s="33">
        <f t="shared" ca="1" si="479"/>
        <v>0</v>
      </c>
      <c r="HW87" s="33">
        <f t="shared" ca="1" si="479"/>
        <v>0</v>
      </c>
      <c r="HX87" s="33">
        <f t="shared" ca="1" si="479"/>
        <v>0</v>
      </c>
      <c r="HY87" s="33">
        <f t="shared" ca="1" si="479"/>
        <v>0</v>
      </c>
      <c r="HZ87" s="33">
        <f t="shared" ca="1" si="479"/>
        <v>0</v>
      </c>
      <c r="IA87" s="33">
        <f t="shared" ca="1" si="479"/>
        <v>0</v>
      </c>
      <c r="IB87" s="33">
        <f t="shared" ca="1" si="479"/>
        <v>0</v>
      </c>
      <c r="IC87" s="33">
        <f t="shared" ca="1" si="479"/>
        <v>0</v>
      </c>
      <c r="ID87" s="33">
        <f t="shared" ca="1" si="479"/>
        <v>0</v>
      </c>
      <c r="IE87" s="33">
        <f t="shared" ca="1" si="479"/>
        <v>0</v>
      </c>
      <c r="IF87" s="33">
        <f t="shared" ca="1" si="479"/>
        <v>0</v>
      </c>
      <c r="IG87" s="33">
        <f t="shared" ca="1" si="479"/>
        <v>0</v>
      </c>
      <c r="IH87" s="33">
        <f t="shared" ca="1" si="479"/>
        <v>0</v>
      </c>
      <c r="II87" s="33">
        <f t="shared" ca="1" si="479"/>
        <v>0</v>
      </c>
      <c r="IJ87" s="33">
        <f t="shared" ca="1" si="479"/>
        <v>0</v>
      </c>
      <c r="IK87" s="33">
        <f t="shared" ca="1" si="479"/>
        <v>0</v>
      </c>
      <c r="IL87" s="33">
        <f t="shared" ca="1" si="479"/>
        <v>0</v>
      </c>
      <c r="IM87" s="33">
        <f t="shared" ca="1" si="479"/>
        <v>0</v>
      </c>
      <c r="IN87" s="33">
        <f t="shared" ca="1" si="479"/>
        <v>0</v>
      </c>
      <c r="IO87" s="33">
        <f t="shared" ca="1" si="479"/>
        <v>0</v>
      </c>
      <c r="IP87" s="33">
        <f t="shared" ca="1" si="479"/>
        <v>0</v>
      </c>
      <c r="IQ87" s="33">
        <f t="shared" ca="1" si="479"/>
        <v>0</v>
      </c>
      <c r="IR87" s="33">
        <f t="shared" ca="1" si="479"/>
        <v>0</v>
      </c>
      <c r="IS87" s="33">
        <f t="shared" ca="1" si="479"/>
        <v>0</v>
      </c>
      <c r="IT87" s="33">
        <f t="shared" ca="1" si="479"/>
        <v>0</v>
      </c>
      <c r="IU87" s="33">
        <f t="shared" ca="1" si="479"/>
        <v>0</v>
      </c>
      <c r="IV87" s="33">
        <f t="shared" ca="1" si="479"/>
        <v>0</v>
      </c>
      <c r="IW87" s="33">
        <f t="shared" ca="1" si="479"/>
        <v>0</v>
      </c>
      <c r="IX87" s="33">
        <f t="shared" ca="1" si="479"/>
        <v>0</v>
      </c>
      <c r="IY87" s="33">
        <f t="shared" ca="1" si="479"/>
        <v>0</v>
      </c>
      <c r="IZ87" s="33">
        <f t="shared" ca="1" si="479"/>
        <v>0</v>
      </c>
      <c r="JA87" s="33">
        <f t="shared" ca="1" si="479"/>
        <v>0</v>
      </c>
      <c r="JB87" s="33">
        <f t="shared" ref="JB87:KB87" ca="1" si="480">JB86-JB92</f>
        <v>0</v>
      </c>
      <c r="JC87" s="33">
        <f t="shared" ca="1" si="480"/>
        <v>0</v>
      </c>
      <c r="JD87" s="33">
        <f t="shared" ca="1" si="480"/>
        <v>0</v>
      </c>
      <c r="JE87" s="33">
        <f t="shared" ca="1" si="480"/>
        <v>0</v>
      </c>
      <c r="JF87" s="33">
        <f t="shared" ca="1" si="480"/>
        <v>0</v>
      </c>
      <c r="JG87" s="33">
        <f t="shared" ca="1" si="480"/>
        <v>0</v>
      </c>
      <c r="JH87" s="33">
        <f t="shared" ca="1" si="480"/>
        <v>0</v>
      </c>
      <c r="JI87" s="33">
        <f t="shared" ca="1" si="480"/>
        <v>0</v>
      </c>
      <c r="JJ87" s="33">
        <f t="shared" ca="1" si="480"/>
        <v>0</v>
      </c>
      <c r="JK87" s="33">
        <f t="shared" ca="1" si="480"/>
        <v>0</v>
      </c>
      <c r="JL87" s="33">
        <f t="shared" ca="1" si="480"/>
        <v>0</v>
      </c>
      <c r="JM87" s="33">
        <f t="shared" ca="1" si="480"/>
        <v>0</v>
      </c>
      <c r="JN87" s="33">
        <f t="shared" ca="1" si="480"/>
        <v>0</v>
      </c>
      <c r="JO87" s="33">
        <f t="shared" ca="1" si="480"/>
        <v>0</v>
      </c>
      <c r="JP87" s="33">
        <f t="shared" ca="1" si="480"/>
        <v>0</v>
      </c>
      <c r="JQ87" s="33">
        <f t="shared" ca="1" si="480"/>
        <v>0</v>
      </c>
      <c r="JR87" s="33">
        <f t="shared" ca="1" si="480"/>
        <v>0</v>
      </c>
      <c r="JS87" s="33">
        <f t="shared" ca="1" si="480"/>
        <v>0</v>
      </c>
      <c r="JT87" s="33">
        <f t="shared" ca="1" si="480"/>
        <v>0</v>
      </c>
      <c r="JU87" s="33">
        <f t="shared" ca="1" si="480"/>
        <v>0</v>
      </c>
      <c r="JV87" s="33">
        <f t="shared" ca="1" si="480"/>
        <v>0</v>
      </c>
      <c r="JW87" s="33">
        <f t="shared" ca="1" si="480"/>
        <v>0</v>
      </c>
      <c r="JX87" s="33">
        <f t="shared" ca="1" si="480"/>
        <v>0</v>
      </c>
      <c r="JY87" s="33">
        <f t="shared" ca="1" si="480"/>
        <v>0</v>
      </c>
      <c r="JZ87" s="33">
        <f t="shared" ca="1" si="480"/>
        <v>0</v>
      </c>
      <c r="KA87" s="33">
        <f t="shared" ca="1" si="480"/>
        <v>0</v>
      </c>
      <c r="KB87" s="33">
        <f t="shared" ca="1" si="480"/>
        <v>0</v>
      </c>
    </row>
    <row r="88" spans="1:289" x14ac:dyDescent="0.3">
      <c r="A88" s="287" t="s">
        <v>295</v>
      </c>
      <c r="B88" s="52"/>
    </row>
    <row r="89" spans="1:289" x14ac:dyDescent="0.3">
      <c r="A89" s="288" t="s">
        <v>294</v>
      </c>
      <c r="B89" s="289"/>
      <c r="C89" s="289">
        <f t="shared" ref="C89:BN89" si="481">C7</f>
        <v>45473</v>
      </c>
      <c r="D89" s="289">
        <f t="shared" si="481"/>
        <v>45504</v>
      </c>
      <c r="E89" s="289">
        <f t="shared" si="481"/>
        <v>45535</v>
      </c>
      <c r="F89" s="289">
        <f t="shared" si="481"/>
        <v>45565</v>
      </c>
      <c r="G89" s="289">
        <f t="shared" si="481"/>
        <v>45596</v>
      </c>
      <c r="H89" s="289">
        <f t="shared" si="481"/>
        <v>45626</v>
      </c>
      <c r="I89" s="289">
        <f t="shared" si="481"/>
        <v>45657</v>
      </c>
      <c r="J89" s="289">
        <f t="shared" si="481"/>
        <v>45688</v>
      </c>
      <c r="K89" s="289">
        <f t="shared" si="481"/>
        <v>45716</v>
      </c>
      <c r="L89" s="289">
        <f t="shared" si="481"/>
        <v>45747</v>
      </c>
      <c r="M89" s="289">
        <f t="shared" si="481"/>
        <v>45777</v>
      </c>
      <c r="N89" s="289">
        <f t="shared" si="481"/>
        <v>45808</v>
      </c>
      <c r="O89" s="289">
        <f t="shared" si="481"/>
        <v>45838</v>
      </c>
      <c r="P89" s="289">
        <f t="shared" si="481"/>
        <v>45869</v>
      </c>
      <c r="Q89" s="289">
        <f t="shared" si="481"/>
        <v>45900</v>
      </c>
      <c r="R89" s="289">
        <f t="shared" si="481"/>
        <v>45930</v>
      </c>
      <c r="S89" s="289">
        <f t="shared" si="481"/>
        <v>45961</v>
      </c>
      <c r="T89" s="289">
        <f t="shared" si="481"/>
        <v>45991</v>
      </c>
      <c r="U89" s="289">
        <f t="shared" si="481"/>
        <v>46022</v>
      </c>
      <c r="V89" s="289">
        <f t="shared" si="481"/>
        <v>46053</v>
      </c>
      <c r="W89" s="289">
        <f t="shared" si="481"/>
        <v>46081</v>
      </c>
      <c r="X89" s="289">
        <f t="shared" si="481"/>
        <v>46112</v>
      </c>
      <c r="Y89" s="289">
        <f t="shared" si="481"/>
        <v>46142</v>
      </c>
      <c r="Z89" s="289">
        <f t="shared" si="481"/>
        <v>46173</v>
      </c>
      <c r="AA89" s="289">
        <f t="shared" si="481"/>
        <v>46203</v>
      </c>
      <c r="AB89" s="289">
        <f t="shared" si="481"/>
        <v>46234</v>
      </c>
      <c r="AC89" s="289">
        <f t="shared" si="481"/>
        <v>46265</v>
      </c>
      <c r="AD89" s="289">
        <f t="shared" si="481"/>
        <v>46295</v>
      </c>
      <c r="AE89" s="289">
        <f t="shared" si="481"/>
        <v>46326</v>
      </c>
      <c r="AF89" s="289">
        <f t="shared" si="481"/>
        <v>46356</v>
      </c>
      <c r="AG89" s="289">
        <f t="shared" si="481"/>
        <v>46387</v>
      </c>
      <c r="AH89" s="289">
        <f t="shared" si="481"/>
        <v>46418</v>
      </c>
      <c r="AI89" s="289">
        <f t="shared" si="481"/>
        <v>46446</v>
      </c>
      <c r="AJ89" s="289">
        <f t="shared" si="481"/>
        <v>46477</v>
      </c>
      <c r="AK89" s="289">
        <f t="shared" si="481"/>
        <v>46507</v>
      </c>
      <c r="AL89" s="289">
        <f t="shared" si="481"/>
        <v>46538</v>
      </c>
      <c r="AM89" s="289">
        <f t="shared" si="481"/>
        <v>46568</v>
      </c>
      <c r="AN89" s="289">
        <f t="shared" si="481"/>
        <v>46599</v>
      </c>
      <c r="AO89" s="289">
        <f t="shared" si="481"/>
        <v>46630</v>
      </c>
      <c r="AP89" s="289">
        <f t="shared" si="481"/>
        <v>46660</v>
      </c>
      <c r="AQ89" s="289">
        <f t="shared" si="481"/>
        <v>46691</v>
      </c>
      <c r="AR89" s="289">
        <f t="shared" si="481"/>
        <v>46721</v>
      </c>
      <c r="AS89" s="289">
        <f t="shared" si="481"/>
        <v>46752</v>
      </c>
      <c r="AT89" s="289">
        <f t="shared" si="481"/>
        <v>46783</v>
      </c>
      <c r="AU89" s="289">
        <f t="shared" si="481"/>
        <v>46812</v>
      </c>
      <c r="AV89" s="289">
        <f t="shared" si="481"/>
        <v>46843</v>
      </c>
      <c r="AW89" s="289">
        <f t="shared" si="481"/>
        <v>46873</v>
      </c>
      <c r="AX89" s="289">
        <f t="shared" si="481"/>
        <v>46904</v>
      </c>
      <c r="AY89" s="289">
        <f t="shared" si="481"/>
        <v>46934</v>
      </c>
      <c r="AZ89" s="289">
        <f t="shared" si="481"/>
        <v>46965</v>
      </c>
      <c r="BA89" s="289">
        <f t="shared" si="481"/>
        <v>46996</v>
      </c>
      <c r="BB89" s="289">
        <f t="shared" si="481"/>
        <v>47026</v>
      </c>
      <c r="BC89" s="289">
        <f t="shared" si="481"/>
        <v>47057</v>
      </c>
      <c r="BD89" s="289">
        <f t="shared" si="481"/>
        <v>47087</v>
      </c>
      <c r="BE89" s="289">
        <f t="shared" si="481"/>
        <v>47118</v>
      </c>
      <c r="BF89" s="289">
        <f t="shared" si="481"/>
        <v>47149</v>
      </c>
      <c r="BG89" s="289">
        <f t="shared" si="481"/>
        <v>47177</v>
      </c>
      <c r="BH89" s="289">
        <f t="shared" si="481"/>
        <v>47208</v>
      </c>
      <c r="BI89" s="289">
        <f t="shared" si="481"/>
        <v>47238</v>
      </c>
      <c r="BJ89" s="289">
        <f t="shared" si="481"/>
        <v>47269</v>
      </c>
      <c r="BK89" s="289">
        <f t="shared" si="481"/>
        <v>47299</v>
      </c>
      <c r="BL89" s="289">
        <f t="shared" si="481"/>
        <v>47330</v>
      </c>
      <c r="BM89" s="289">
        <f t="shared" si="481"/>
        <v>47361</v>
      </c>
      <c r="BN89" s="289">
        <f t="shared" si="481"/>
        <v>47391</v>
      </c>
      <c r="BO89" s="289">
        <f t="shared" ref="BO89:DZ89" si="482">BO7</f>
        <v>47422</v>
      </c>
      <c r="BP89" s="289">
        <f t="shared" si="482"/>
        <v>47452</v>
      </c>
      <c r="BQ89" s="289">
        <f t="shared" si="482"/>
        <v>47483</v>
      </c>
      <c r="BR89" s="289">
        <f t="shared" si="482"/>
        <v>47514</v>
      </c>
      <c r="BS89" s="289">
        <f t="shared" si="482"/>
        <v>47542</v>
      </c>
      <c r="BT89" s="289">
        <f t="shared" si="482"/>
        <v>47573</v>
      </c>
      <c r="BU89" s="289">
        <f t="shared" si="482"/>
        <v>47603</v>
      </c>
      <c r="BV89" s="289">
        <f t="shared" si="482"/>
        <v>47634</v>
      </c>
      <c r="BW89" s="289">
        <f t="shared" si="482"/>
        <v>47664</v>
      </c>
      <c r="BX89" s="289">
        <f t="shared" si="482"/>
        <v>47695</v>
      </c>
      <c r="BY89" s="289">
        <f t="shared" si="482"/>
        <v>47726</v>
      </c>
      <c r="BZ89" s="289">
        <f t="shared" si="482"/>
        <v>47756</v>
      </c>
      <c r="CA89" s="289">
        <f t="shared" si="482"/>
        <v>47787</v>
      </c>
      <c r="CB89" s="289">
        <f t="shared" si="482"/>
        <v>47817</v>
      </c>
      <c r="CC89" s="289">
        <f t="shared" si="482"/>
        <v>47848</v>
      </c>
      <c r="CD89" s="289">
        <f t="shared" si="482"/>
        <v>47879</v>
      </c>
      <c r="CE89" s="289">
        <f t="shared" si="482"/>
        <v>47907</v>
      </c>
      <c r="CF89" s="289">
        <f t="shared" si="482"/>
        <v>47938</v>
      </c>
      <c r="CG89" s="289">
        <f t="shared" si="482"/>
        <v>47968</v>
      </c>
      <c r="CH89" s="289">
        <f t="shared" si="482"/>
        <v>47999</v>
      </c>
      <c r="CI89" s="289">
        <f t="shared" si="482"/>
        <v>48029</v>
      </c>
      <c r="CJ89" s="289">
        <f t="shared" si="482"/>
        <v>48060</v>
      </c>
      <c r="CK89" s="289">
        <f t="shared" si="482"/>
        <v>48091</v>
      </c>
      <c r="CL89" s="289">
        <f t="shared" si="482"/>
        <v>48121</v>
      </c>
      <c r="CM89" s="289">
        <f t="shared" si="482"/>
        <v>48152</v>
      </c>
      <c r="CN89" s="289">
        <f t="shared" si="482"/>
        <v>48182</v>
      </c>
      <c r="CO89" s="289">
        <f t="shared" si="482"/>
        <v>48213</v>
      </c>
      <c r="CP89" s="289">
        <f t="shared" si="482"/>
        <v>48244</v>
      </c>
      <c r="CQ89" s="289">
        <f t="shared" si="482"/>
        <v>48273</v>
      </c>
      <c r="CR89" s="289">
        <f t="shared" si="482"/>
        <v>48304</v>
      </c>
      <c r="CS89" s="289">
        <f t="shared" si="482"/>
        <v>48334</v>
      </c>
      <c r="CT89" s="289">
        <f t="shared" si="482"/>
        <v>48365</v>
      </c>
      <c r="CU89" s="289">
        <f t="shared" si="482"/>
        <v>48395</v>
      </c>
      <c r="CV89" s="289">
        <f t="shared" si="482"/>
        <v>48426</v>
      </c>
      <c r="CW89" s="289">
        <f t="shared" si="482"/>
        <v>48457</v>
      </c>
      <c r="CX89" s="289">
        <f t="shared" si="482"/>
        <v>48487</v>
      </c>
      <c r="CY89" s="289">
        <f t="shared" si="482"/>
        <v>48518</v>
      </c>
      <c r="CZ89" s="289">
        <f t="shared" si="482"/>
        <v>48548</v>
      </c>
      <c r="DA89" s="289">
        <f t="shared" si="482"/>
        <v>48579</v>
      </c>
      <c r="DB89" s="289">
        <f t="shared" si="482"/>
        <v>48610</v>
      </c>
      <c r="DC89" s="289">
        <f t="shared" si="482"/>
        <v>48638</v>
      </c>
      <c r="DD89" s="289">
        <f t="shared" si="482"/>
        <v>48669</v>
      </c>
      <c r="DE89" s="289">
        <f t="shared" si="482"/>
        <v>48699</v>
      </c>
      <c r="DF89" s="289">
        <f t="shared" si="482"/>
        <v>48730</v>
      </c>
      <c r="DG89" s="289">
        <f t="shared" si="482"/>
        <v>48760</v>
      </c>
      <c r="DH89" s="289">
        <f t="shared" si="482"/>
        <v>48791</v>
      </c>
      <c r="DI89" s="289">
        <f t="shared" si="482"/>
        <v>48822</v>
      </c>
      <c r="DJ89" s="289">
        <f t="shared" si="482"/>
        <v>48852</v>
      </c>
      <c r="DK89" s="289">
        <f t="shared" si="482"/>
        <v>48883</v>
      </c>
      <c r="DL89" s="289">
        <f t="shared" si="482"/>
        <v>48913</v>
      </c>
      <c r="DM89" s="289">
        <f t="shared" si="482"/>
        <v>48944</v>
      </c>
      <c r="DN89" s="289">
        <f t="shared" si="482"/>
        <v>48975</v>
      </c>
      <c r="DO89" s="289">
        <f t="shared" si="482"/>
        <v>49003</v>
      </c>
      <c r="DP89" s="289">
        <f t="shared" si="482"/>
        <v>49034</v>
      </c>
      <c r="DQ89" s="289">
        <f t="shared" si="482"/>
        <v>49064</v>
      </c>
      <c r="DR89" s="289">
        <f t="shared" si="482"/>
        <v>49095</v>
      </c>
      <c r="DS89" s="289">
        <f t="shared" si="482"/>
        <v>49125</v>
      </c>
      <c r="DT89" s="289">
        <f t="shared" si="482"/>
        <v>49156</v>
      </c>
      <c r="DU89" s="289">
        <f t="shared" si="482"/>
        <v>49187</v>
      </c>
      <c r="DV89" s="289">
        <f t="shared" si="482"/>
        <v>49217</v>
      </c>
      <c r="DW89" s="289">
        <f t="shared" si="482"/>
        <v>49248</v>
      </c>
      <c r="DX89" s="289">
        <f t="shared" si="482"/>
        <v>49278</v>
      </c>
      <c r="DY89" s="289">
        <f t="shared" si="482"/>
        <v>49309</v>
      </c>
      <c r="DZ89" s="289">
        <f t="shared" si="482"/>
        <v>49340</v>
      </c>
      <c r="EA89" s="289">
        <f t="shared" ref="EA89:GL89" si="483">EA7</f>
        <v>49368</v>
      </c>
      <c r="EB89" s="289">
        <f t="shared" si="483"/>
        <v>49399</v>
      </c>
      <c r="EC89" s="289">
        <f t="shared" si="483"/>
        <v>49429</v>
      </c>
      <c r="ED89" s="289">
        <f t="shared" si="483"/>
        <v>49460</v>
      </c>
      <c r="EE89" s="289">
        <f t="shared" si="483"/>
        <v>49490</v>
      </c>
      <c r="EF89" s="289">
        <f t="shared" si="483"/>
        <v>49521</v>
      </c>
      <c r="EG89" s="289">
        <f t="shared" si="483"/>
        <v>49552</v>
      </c>
      <c r="EH89" s="289">
        <f t="shared" si="483"/>
        <v>49582</v>
      </c>
      <c r="EI89" s="289">
        <f t="shared" si="483"/>
        <v>49613</v>
      </c>
      <c r="EJ89" s="289">
        <f t="shared" si="483"/>
        <v>49643</v>
      </c>
      <c r="EK89" s="289">
        <f t="shared" si="483"/>
        <v>49674</v>
      </c>
      <c r="EL89" s="289">
        <f t="shared" si="483"/>
        <v>49705</v>
      </c>
      <c r="EM89" s="289">
        <f t="shared" si="483"/>
        <v>49734</v>
      </c>
      <c r="EN89" s="289">
        <f t="shared" si="483"/>
        <v>49765</v>
      </c>
      <c r="EO89" s="289">
        <f t="shared" si="483"/>
        <v>49795</v>
      </c>
      <c r="EP89" s="289">
        <f t="shared" si="483"/>
        <v>49826</v>
      </c>
      <c r="EQ89" s="289">
        <f t="shared" si="483"/>
        <v>49856</v>
      </c>
      <c r="ER89" s="289">
        <f t="shared" si="483"/>
        <v>49887</v>
      </c>
      <c r="ES89" s="289">
        <f t="shared" si="483"/>
        <v>49918</v>
      </c>
      <c r="ET89" s="289">
        <f t="shared" si="483"/>
        <v>49948</v>
      </c>
      <c r="EU89" s="289">
        <f t="shared" si="483"/>
        <v>49979</v>
      </c>
      <c r="EV89" s="289">
        <f t="shared" si="483"/>
        <v>50009</v>
      </c>
      <c r="EW89" s="289">
        <f t="shared" si="483"/>
        <v>50040</v>
      </c>
      <c r="EX89" s="289">
        <f t="shared" si="483"/>
        <v>50071</v>
      </c>
      <c r="EY89" s="289">
        <f t="shared" si="483"/>
        <v>50099</v>
      </c>
      <c r="EZ89" s="289">
        <f t="shared" si="483"/>
        <v>50130</v>
      </c>
      <c r="FA89" s="289">
        <f t="shared" si="483"/>
        <v>50160</v>
      </c>
      <c r="FB89" s="289">
        <f t="shared" si="483"/>
        <v>50191</v>
      </c>
      <c r="FC89" s="289">
        <f t="shared" si="483"/>
        <v>50221</v>
      </c>
      <c r="FD89" s="289">
        <f t="shared" si="483"/>
        <v>50252</v>
      </c>
      <c r="FE89" s="289">
        <f t="shared" si="483"/>
        <v>50283</v>
      </c>
      <c r="FF89" s="289">
        <f t="shared" si="483"/>
        <v>50313</v>
      </c>
      <c r="FG89" s="289">
        <f t="shared" si="483"/>
        <v>50344</v>
      </c>
      <c r="FH89" s="289">
        <f t="shared" si="483"/>
        <v>50374</v>
      </c>
      <c r="FI89" s="289">
        <f t="shared" si="483"/>
        <v>50405</v>
      </c>
      <c r="FJ89" s="289">
        <f t="shared" si="483"/>
        <v>50436</v>
      </c>
      <c r="FK89" s="289">
        <f t="shared" si="483"/>
        <v>50464</v>
      </c>
      <c r="FL89" s="289">
        <f t="shared" si="483"/>
        <v>50495</v>
      </c>
      <c r="FM89" s="289">
        <f t="shared" si="483"/>
        <v>50525</v>
      </c>
      <c r="FN89" s="289">
        <f t="shared" si="483"/>
        <v>50556</v>
      </c>
      <c r="FO89" s="289">
        <f t="shared" si="483"/>
        <v>50586</v>
      </c>
      <c r="FP89" s="289">
        <f t="shared" si="483"/>
        <v>50617</v>
      </c>
      <c r="FQ89" s="289">
        <f t="shared" si="483"/>
        <v>50648</v>
      </c>
      <c r="FR89" s="289">
        <f t="shared" si="483"/>
        <v>50678</v>
      </c>
      <c r="FS89" s="289">
        <f t="shared" si="483"/>
        <v>50709</v>
      </c>
      <c r="FT89" s="289">
        <f t="shared" si="483"/>
        <v>50739</v>
      </c>
      <c r="FU89" s="289">
        <f t="shared" si="483"/>
        <v>50770</v>
      </c>
      <c r="FV89" s="289">
        <f t="shared" si="483"/>
        <v>50801</v>
      </c>
      <c r="FW89" s="289">
        <f t="shared" si="483"/>
        <v>50829</v>
      </c>
      <c r="FX89" s="289">
        <f t="shared" si="483"/>
        <v>50860</v>
      </c>
      <c r="FY89" s="289">
        <f t="shared" si="483"/>
        <v>50890</v>
      </c>
      <c r="FZ89" s="289">
        <f t="shared" si="483"/>
        <v>50921</v>
      </c>
      <c r="GA89" s="289">
        <f t="shared" si="483"/>
        <v>50951</v>
      </c>
      <c r="GB89" s="289">
        <f t="shared" si="483"/>
        <v>50982</v>
      </c>
      <c r="GC89" s="289">
        <f t="shared" si="483"/>
        <v>51013</v>
      </c>
      <c r="GD89" s="289">
        <f t="shared" si="483"/>
        <v>51043</v>
      </c>
      <c r="GE89" s="289">
        <f t="shared" si="483"/>
        <v>51074</v>
      </c>
      <c r="GF89" s="289">
        <f t="shared" si="483"/>
        <v>51104</v>
      </c>
      <c r="GG89" s="289">
        <f t="shared" si="483"/>
        <v>51135</v>
      </c>
      <c r="GH89" s="289">
        <f t="shared" si="483"/>
        <v>51166</v>
      </c>
      <c r="GI89" s="289">
        <f t="shared" si="483"/>
        <v>51195</v>
      </c>
      <c r="GJ89" s="289">
        <f t="shared" si="483"/>
        <v>51226</v>
      </c>
      <c r="GK89" s="289">
        <f t="shared" si="483"/>
        <v>51256</v>
      </c>
      <c r="GL89" s="289">
        <f t="shared" si="483"/>
        <v>51287</v>
      </c>
      <c r="GM89" s="289">
        <f t="shared" ref="GM89:IX89" si="484">GM7</f>
        <v>51317</v>
      </c>
      <c r="GN89" s="289">
        <f t="shared" si="484"/>
        <v>51348</v>
      </c>
      <c r="GO89" s="289">
        <f t="shared" si="484"/>
        <v>51379</v>
      </c>
      <c r="GP89" s="289">
        <f t="shared" si="484"/>
        <v>51409</v>
      </c>
      <c r="GQ89" s="289">
        <f t="shared" si="484"/>
        <v>51440</v>
      </c>
      <c r="GR89" s="289">
        <f t="shared" si="484"/>
        <v>51470</v>
      </c>
      <c r="GS89" s="289">
        <f t="shared" si="484"/>
        <v>51501</v>
      </c>
      <c r="GT89" s="289">
        <f t="shared" si="484"/>
        <v>51532</v>
      </c>
      <c r="GU89" s="289">
        <f t="shared" si="484"/>
        <v>51560</v>
      </c>
      <c r="GV89" s="289">
        <f t="shared" si="484"/>
        <v>51591</v>
      </c>
      <c r="GW89" s="289">
        <f t="shared" si="484"/>
        <v>51621</v>
      </c>
      <c r="GX89" s="289">
        <f t="shared" si="484"/>
        <v>51652</v>
      </c>
      <c r="GY89" s="289">
        <f t="shared" si="484"/>
        <v>51682</v>
      </c>
      <c r="GZ89" s="289">
        <f t="shared" si="484"/>
        <v>51713</v>
      </c>
      <c r="HA89" s="289">
        <f t="shared" si="484"/>
        <v>51744</v>
      </c>
      <c r="HB89" s="289">
        <f t="shared" si="484"/>
        <v>51774</v>
      </c>
      <c r="HC89" s="289">
        <f t="shared" si="484"/>
        <v>51805</v>
      </c>
      <c r="HD89" s="289">
        <f t="shared" si="484"/>
        <v>51835</v>
      </c>
      <c r="HE89" s="289">
        <f t="shared" si="484"/>
        <v>51866</v>
      </c>
      <c r="HF89" s="289">
        <f t="shared" si="484"/>
        <v>51897</v>
      </c>
      <c r="HG89" s="289">
        <f t="shared" si="484"/>
        <v>51925</v>
      </c>
      <c r="HH89" s="289">
        <f t="shared" si="484"/>
        <v>51956</v>
      </c>
      <c r="HI89" s="289">
        <f t="shared" si="484"/>
        <v>51986</v>
      </c>
      <c r="HJ89" s="289">
        <f t="shared" si="484"/>
        <v>52017</v>
      </c>
      <c r="HK89" s="289">
        <f t="shared" si="484"/>
        <v>52047</v>
      </c>
      <c r="HL89" s="289">
        <f t="shared" si="484"/>
        <v>52078</v>
      </c>
      <c r="HM89" s="289">
        <f t="shared" si="484"/>
        <v>52109</v>
      </c>
      <c r="HN89" s="289">
        <f t="shared" si="484"/>
        <v>52139</v>
      </c>
      <c r="HO89" s="289">
        <f t="shared" si="484"/>
        <v>52170</v>
      </c>
      <c r="HP89" s="289">
        <f t="shared" si="484"/>
        <v>52200</v>
      </c>
      <c r="HQ89" s="289">
        <f t="shared" si="484"/>
        <v>52231</v>
      </c>
      <c r="HR89" s="289">
        <f t="shared" si="484"/>
        <v>52262</v>
      </c>
      <c r="HS89" s="289">
        <f t="shared" si="484"/>
        <v>52290</v>
      </c>
      <c r="HT89" s="289">
        <f t="shared" si="484"/>
        <v>52321</v>
      </c>
      <c r="HU89" s="289">
        <f t="shared" si="484"/>
        <v>52351</v>
      </c>
      <c r="HV89" s="289">
        <f t="shared" si="484"/>
        <v>52382</v>
      </c>
      <c r="HW89" s="289">
        <f t="shared" si="484"/>
        <v>52412</v>
      </c>
      <c r="HX89" s="289">
        <f t="shared" si="484"/>
        <v>52443</v>
      </c>
      <c r="HY89" s="289">
        <f t="shared" si="484"/>
        <v>52474</v>
      </c>
      <c r="HZ89" s="289">
        <f t="shared" si="484"/>
        <v>52504</v>
      </c>
      <c r="IA89" s="289">
        <f t="shared" si="484"/>
        <v>52535</v>
      </c>
      <c r="IB89" s="289">
        <f t="shared" si="484"/>
        <v>52565</v>
      </c>
      <c r="IC89" s="289">
        <f t="shared" si="484"/>
        <v>52596</v>
      </c>
      <c r="ID89" s="289">
        <f t="shared" si="484"/>
        <v>52627</v>
      </c>
      <c r="IE89" s="289">
        <f t="shared" si="484"/>
        <v>52656</v>
      </c>
      <c r="IF89" s="289">
        <f t="shared" si="484"/>
        <v>52687</v>
      </c>
      <c r="IG89" s="289">
        <f t="shared" si="484"/>
        <v>52717</v>
      </c>
      <c r="IH89" s="289">
        <f t="shared" si="484"/>
        <v>52748</v>
      </c>
      <c r="II89" s="289">
        <f t="shared" si="484"/>
        <v>52778</v>
      </c>
      <c r="IJ89" s="289">
        <f t="shared" si="484"/>
        <v>52809</v>
      </c>
      <c r="IK89" s="289">
        <f t="shared" si="484"/>
        <v>52840</v>
      </c>
      <c r="IL89" s="289">
        <f t="shared" si="484"/>
        <v>52870</v>
      </c>
      <c r="IM89" s="289">
        <f t="shared" si="484"/>
        <v>52901</v>
      </c>
      <c r="IN89" s="289">
        <f t="shared" si="484"/>
        <v>52931</v>
      </c>
      <c r="IO89" s="289">
        <f t="shared" si="484"/>
        <v>52962</v>
      </c>
      <c r="IP89" s="289">
        <f t="shared" si="484"/>
        <v>52993</v>
      </c>
      <c r="IQ89" s="289">
        <f t="shared" si="484"/>
        <v>53021</v>
      </c>
      <c r="IR89" s="289">
        <f t="shared" si="484"/>
        <v>53052</v>
      </c>
      <c r="IS89" s="289">
        <f t="shared" si="484"/>
        <v>53082</v>
      </c>
      <c r="IT89" s="289">
        <f t="shared" si="484"/>
        <v>53113</v>
      </c>
      <c r="IU89" s="289">
        <f t="shared" si="484"/>
        <v>53143</v>
      </c>
      <c r="IV89" s="289">
        <f t="shared" si="484"/>
        <v>53174</v>
      </c>
      <c r="IW89" s="289">
        <f t="shared" si="484"/>
        <v>53205</v>
      </c>
      <c r="IX89" s="289">
        <f t="shared" si="484"/>
        <v>53235</v>
      </c>
      <c r="IY89" s="289">
        <f t="shared" ref="IY89:KB89" si="485">IY7</f>
        <v>53266</v>
      </c>
      <c r="IZ89" s="289">
        <f t="shared" si="485"/>
        <v>53296</v>
      </c>
      <c r="JA89" s="289">
        <f t="shared" si="485"/>
        <v>53327</v>
      </c>
      <c r="JB89" s="289">
        <f t="shared" si="485"/>
        <v>53358</v>
      </c>
      <c r="JC89" s="289">
        <f t="shared" si="485"/>
        <v>53386</v>
      </c>
      <c r="JD89" s="289">
        <f t="shared" si="485"/>
        <v>53417</v>
      </c>
      <c r="JE89" s="289">
        <f t="shared" si="485"/>
        <v>53447</v>
      </c>
      <c r="JF89" s="289">
        <f t="shared" si="485"/>
        <v>53478</v>
      </c>
      <c r="JG89" s="289">
        <f t="shared" si="485"/>
        <v>53508</v>
      </c>
      <c r="JH89" s="289">
        <f t="shared" si="485"/>
        <v>53539</v>
      </c>
      <c r="JI89" s="289">
        <f t="shared" si="485"/>
        <v>53570</v>
      </c>
      <c r="JJ89" s="289">
        <f t="shared" si="485"/>
        <v>53600</v>
      </c>
      <c r="JK89" s="289">
        <f t="shared" si="485"/>
        <v>53631</v>
      </c>
      <c r="JL89" s="289">
        <f t="shared" si="485"/>
        <v>53661</v>
      </c>
      <c r="JM89" s="289">
        <f t="shared" si="485"/>
        <v>53692</v>
      </c>
      <c r="JN89" s="289">
        <f t="shared" si="485"/>
        <v>53723</v>
      </c>
      <c r="JO89" s="289">
        <f t="shared" si="485"/>
        <v>53751</v>
      </c>
      <c r="JP89" s="289">
        <f t="shared" si="485"/>
        <v>53782</v>
      </c>
      <c r="JQ89" s="289">
        <f t="shared" si="485"/>
        <v>53812</v>
      </c>
      <c r="JR89" s="289">
        <f t="shared" si="485"/>
        <v>53843</v>
      </c>
      <c r="JS89" s="289">
        <f t="shared" si="485"/>
        <v>53873</v>
      </c>
      <c r="JT89" s="289">
        <f t="shared" si="485"/>
        <v>53904</v>
      </c>
      <c r="JU89" s="289">
        <f t="shared" si="485"/>
        <v>53935</v>
      </c>
      <c r="JV89" s="289">
        <f t="shared" si="485"/>
        <v>53965</v>
      </c>
      <c r="JW89" s="289">
        <f t="shared" si="485"/>
        <v>53996</v>
      </c>
      <c r="JX89" s="289">
        <f t="shared" si="485"/>
        <v>54026</v>
      </c>
      <c r="JY89" s="289">
        <f t="shared" si="485"/>
        <v>54057</v>
      </c>
      <c r="JZ89" s="289">
        <f t="shared" si="485"/>
        <v>54088</v>
      </c>
      <c r="KA89" s="289">
        <f t="shared" si="485"/>
        <v>54117</v>
      </c>
      <c r="KB89" s="289">
        <f t="shared" si="485"/>
        <v>54148</v>
      </c>
      <c r="KC89" s="58"/>
    </row>
    <row r="90" spans="1:289" x14ac:dyDescent="0.3">
      <c r="A90" s="169" t="s">
        <v>516</v>
      </c>
      <c r="B90" s="259">
        <f ca="1">SUM(C90:KB90)</f>
        <v>251.53760326025505</v>
      </c>
      <c r="C90" s="52">
        <f t="shared" ref="C90:BC90" si="486">(-C38*$B$86)</f>
        <v>21.410999999999998</v>
      </c>
      <c r="D90" s="52">
        <f t="shared" ca="1" si="486"/>
        <v>4.0201961709497702</v>
      </c>
      <c r="E90" s="52">
        <f t="shared" ca="1" si="486"/>
        <v>2.8559866764339019</v>
      </c>
      <c r="F90" s="52">
        <f t="shared" ca="1" si="486"/>
        <v>2.692509652221581</v>
      </c>
      <c r="G90" s="52">
        <f t="shared" ca="1" si="486"/>
        <v>2.7140231473197556</v>
      </c>
      <c r="H90" s="52">
        <f t="shared" ca="1" si="486"/>
        <v>2.7357085379841943</v>
      </c>
      <c r="I90" s="52">
        <f t="shared" ca="1" si="486"/>
        <v>2.7575671976823677</v>
      </c>
      <c r="J90" s="52">
        <f t="shared" ca="1" si="486"/>
        <v>2.7796005108559263</v>
      </c>
      <c r="K90" s="52">
        <f t="shared" ca="1" si="486"/>
        <v>2.8127898426139919</v>
      </c>
      <c r="L90" s="52">
        <f t="shared" ca="1" si="486"/>
        <v>2.8314459041836115</v>
      </c>
      <c r="M90" s="52">
        <f t="shared" ca="1" si="486"/>
        <v>2.8488924183621309</v>
      </c>
      <c r="N90" s="52">
        <f t="shared" ca="1" si="486"/>
        <v>2.8651459217840034</v>
      </c>
      <c r="O90" s="52">
        <f t="shared" ca="1" si="486"/>
        <v>2.8777144109079473</v>
      </c>
      <c r="P90" s="52">
        <f t="shared" ca="1" si="486"/>
        <v>6.1477919736543463</v>
      </c>
      <c r="Q90" s="52">
        <f t="shared" ca="1" si="486"/>
        <v>5.7407559949409448</v>
      </c>
      <c r="R90" s="52">
        <f t="shared" ca="1" si="486"/>
        <v>5.3983565653377541</v>
      </c>
      <c r="S90" s="52">
        <f t="shared" ca="1" si="486"/>
        <v>5.4220374484867602</v>
      </c>
      <c r="T90" s="52">
        <f t="shared" ca="1" si="486"/>
        <v>5.4458222121816187</v>
      </c>
      <c r="U90" s="52">
        <f t="shared" ca="1" si="486"/>
        <v>5.4697113121134349</v>
      </c>
      <c r="V90" s="52">
        <f t="shared" ca="1" si="486"/>
        <v>5.9655446346373742</v>
      </c>
      <c r="W90" s="52">
        <f t="shared" ca="1" si="486"/>
        <v>5.5411036205195305</v>
      </c>
      <c r="X90" s="52">
        <f t="shared" ca="1" si="486"/>
        <v>5.565410689859223</v>
      </c>
      <c r="Y90" s="52">
        <f t="shared" ca="1" si="486"/>
        <v>8.04975867471763</v>
      </c>
      <c r="Z90" s="52">
        <f t="shared" ca="1" si="486"/>
        <v>7.9041557878123792</v>
      </c>
      <c r="AA90" s="52">
        <f t="shared" ca="1" si="486"/>
        <v>7.7856022187458001</v>
      </c>
      <c r="AB90" s="52">
        <f t="shared" ca="1" si="486"/>
        <v>2.6988634195293209</v>
      </c>
      <c r="AC90" s="52">
        <f t="shared" ca="1" si="486"/>
        <v>2.7107024798987984</v>
      </c>
      <c r="AD90" s="52">
        <f t="shared" ca="1" si="486"/>
        <v>2.7225934744822933</v>
      </c>
      <c r="AE90" s="52">
        <f t="shared" ca="1" si="486"/>
        <v>2.7345366310987784</v>
      </c>
      <c r="AF90" s="52">
        <f t="shared" ca="1" si="486"/>
        <v>2.7553816726681286</v>
      </c>
      <c r="AG90" s="52">
        <f t="shared" ca="1" si="486"/>
        <v>2.7674686607415593</v>
      </c>
      <c r="AH90" s="52">
        <f t="shared" ca="1" si="486"/>
        <v>8.9708665492406929</v>
      </c>
      <c r="AI90" s="52">
        <f t="shared" ca="1" si="486"/>
        <v>7.7081722238461046</v>
      </c>
      <c r="AJ90" s="52">
        <f t="shared" ca="1" si="486"/>
        <v>7.4132664714194396</v>
      </c>
      <c r="AK90" s="52">
        <f t="shared" ca="1" si="486"/>
        <v>5.3111435786342529</v>
      </c>
      <c r="AL90" s="52">
        <f t="shared" ca="1" si="486"/>
        <v>5.3344418859896425</v>
      </c>
      <c r="AM90" s="52">
        <f t="shared" ca="1" si="486"/>
        <v>5.3578423956518604</v>
      </c>
      <c r="AN90" s="52">
        <f t="shared" ca="1" si="486"/>
        <v>5.381345555950106</v>
      </c>
      <c r="AO90" s="52">
        <f t="shared" ca="1" si="486"/>
        <v>5.4239367546551573</v>
      </c>
      <c r="AP90" s="52">
        <f t="shared" ca="1" si="486"/>
        <v>5.4477298500055653</v>
      </c>
      <c r="AQ90" s="52">
        <f t="shared" ca="1" si="486"/>
        <v>6.7056790515541564</v>
      </c>
      <c r="AR90" s="52">
        <f t="shared" ca="1" si="486"/>
        <v>6.2769350583754244</v>
      </c>
      <c r="AS90" s="52">
        <f t="shared" ca="1" si="486"/>
        <v>6.2971186574870623</v>
      </c>
      <c r="AT90" s="52">
        <f t="shared" ca="1" si="486"/>
        <v>1.7452650561813985</v>
      </c>
      <c r="AU90" s="52">
        <f t="shared" ca="1" si="486"/>
        <v>1.7529209820838936</v>
      </c>
      <c r="AV90" s="52">
        <f t="shared" ca="1" si="486"/>
        <v>1.7606104921123167</v>
      </c>
      <c r="AW90" s="52">
        <f t="shared" ca="1" si="486"/>
        <v>1.7683337335896079</v>
      </c>
      <c r="AX90" s="52">
        <f t="shared" ca="1" si="486"/>
        <v>1.776090854484967</v>
      </c>
      <c r="AY90" s="52">
        <f t="shared" ca="1" si="486"/>
        <v>1.7838820034166871</v>
      </c>
      <c r="AZ90" s="52">
        <f t="shared" ca="1" si="486"/>
        <v>2.6090088879493569</v>
      </c>
      <c r="BA90" s="52">
        <f t="shared" ca="1" si="486"/>
        <v>1.8071077445300276</v>
      </c>
      <c r="BB90" s="52">
        <f t="shared" ca="1" si="486"/>
        <v>1.8150349547500146</v>
      </c>
      <c r="BC90" s="52">
        <f t="shared" ca="1" si="486"/>
        <v>1.8229969391344427</v>
      </c>
      <c r="BD90" s="52">
        <f ca="1">(-BD38*$B$86)</f>
        <v>1.8309938502265757</v>
      </c>
      <c r="BE90" s="574">
        <f ca="1">MAX(-BE38*$B$86,(-BE32-BE30))-1.13</f>
        <v>8.4087018662613993</v>
      </c>
      <c r="BF90" s="52">
        <f t="shared" ref="BF90:BO90" si="487">-BF38*$B$86</f>
        <v>0</v>
      </c>
      <c r="BG90" s="52">
        <f t="shared" si="487"/>
        <v>0</v>
      </c>
      <c r="BH90" s="52">
        <f t="shared" si="487"/>
        <v>0</v>
      </c>
      <c r="BI90" s="52">
        <f t="shared" si="487"/>
        <v>0</v>
      </c>
      <c r="BJ90" s="52">
        <f t="shared" si="487"/>
        <v>0</v>
      </c>
      <c r="BK90" s="52">
        <f t="shared" si="487"/>
        <v>0</v>
      </c>
      <c r="BL90" s="52">
        <f t="shared" si="487"/>
        <v>0</v>
      </c>
      <c r="BM90" s="52">
        <f t="shared" si="487"/>
        <v>0</v>
      </c>
      <c r="BN90" s="52">
        <f t="shared" si="487"/>
        <v>0</v>
      </c>
      <c r="BO90" s="52">
        <f t="shared" si="487"/>
        <v>0</v>
      </c>
      <c r="BP90" s="52">
        <f t="shared" ref="BP90:EA90" si="488">-BP38*$B$86</f>
        <v>0</v>
      </c>
      <c r="BQ90" s="52">
        <f t="shared" si="488"/>
        <v>0</v>
      </c>
      <c r="BR90" s="52">
        <f t="shared" si="488"/>
        <v>0</v>
      </c>
      <c r="BS90" s="52">
        <f t="shared" si="488"/>
        <v>0</v>
      </c>
      <c r="BT90" s="52">
        <f t="shared" si="488"/>
        <v>0</v>
      </c>
      <c r="BU90" s="52">
        <f t="shared" si="488"/>
        <v>0</v>
      </c>
      <c r="BV90" s="52">
        <f t="shared" si="488"/>
        <v>0</v>
      </c>
      <c r="BW90" s="52">
        <f t="shared" si="488"/>
        <v>0</v>
      </c>
      <c r="BX90" s="52">
        <f t="shared" si="488"/>
        <v>0</v>
      </c>
      <c r="BY90" s="52">
        <f t="shared" si="488"/>
        <v>0</v>
      </c>
      <c r="BZ90" s="52">
        <f t="shared" si="488"/>
        <v>0</v>
      </c>
      <c r="CA90" s="52">
        <f t="shared" si="488"/>
        <v>0</v>
      </c>
      <c r="CB90" s="52">
        <f t="shared" si="488"/>
        <v>0</v>
      </c>
      <c r="CC90" s="52">
        <f t="shared" si="488"/>
        <v>0</v>
      </c>
      <c r="CD90" s="52">
        <f t="shared" si="488"/>
        <v>0</v>
      </c>
      <c r="CE90" s="52">
        <f t="shared" si="488"/>
        <v>0</v>
      </c>
      <c r="CF90" s="52">
        <f t="shared" si="488"/>
        <v>0</v>
      </c>
      <c r="CG90" s="52">
        <f t="shared" si="488"/>
        <v>0</v>
      </c>
      <c r="CH90" s="52">
        <f t="shared" si="488"/>
        <v>0</v>
      </c>
      <c r="CI90" s="52">
        <f t="shared" si="488"/>
        <v>0</v>
      </c>
      <c r="CJ90" s="52">
        <f t="shared" si="488"/>
        <v>0</v>
      </c>
      <c r="CK90" s="52">
        <f t="shared" si="488"/>
        <v>0</v>
      </c>
      <c r="CL90" s="52">
        <f t="shared" si="488"/>
        <v>0</v>
      </c>
      <c r="CM90" s="52">
        <f t="shared" si="488"/>
        <v>0</v>
      </c>
      <c r="CN90" s="52">
        <f t="shared" si="488"/>
        <v>0</v>
      </c>
      <c r="CO90" s="52">
        <f t="shared" si="488"/>
        <v>0</v>
      </c>
      <c r="CP90" s="52">
        <f t="shared" si="488"/>
        <v>0</v>
      </c>
      <c r="CQ90" s="52">
        <f t="shared" si="488"/>
        <v>0</v>
      </c>
      <c r="CR90" s="52">
        <f t="shared" si="488"/>
        <v>0</v>
      </c>
      <c r="CS90" s="52">
        <f t="shared" si="488"/>
        <v>0</v>
      </c>
      <c r="CT90" s="52">
        <f t="shared" si="488"/>
        <v>0</v>
      </c>
      <c r="CU90" s="52">
        <f t="shared" si="488"/>
        <v>0</v>
      </c>
      <c r="CV90" s="52">
        <f t="shared" si="488"/>
        <v>0</v>
      </c>
      <c r="CW90" s="52">
        <f t="shared" si="488"/>
        <v>0</v>
      </c>
      <c r="CX90" s="52">
        <f t="shared" si="488"/>
        <v>0</v>
      </c>
      <c r="CY90" s="52">
        <f t="shared" si="488"/>
        <v>0</v>
      </c>
      <c r="CZ90" s="52">
        <f t="shared" si="488"/>
        <v>0</v>
      </c>
      <c r="DA90" s="52">
        <f t="shared" si="488"/>
        <v>0</v>
      </c>
      <c r="DB90" s="52">
        <f t="shared" si="488"/>
        <v>0</v>
      </c>
      <c r="DC90" s="52">
        <f t="shared" si="488"/>
        <v>0</v>
      </c>
      <c r="DD90" s="52">
        <f t="shared" si="488"/>
        <v>0</v>
      </c>
      <c r="DE90" s="52">
        <f t="shared" si="488"/>
        <v>0</v>
      </c>
      <c r="DF90" s="52">
        <f t="shared" si="488"/>
        <v>0</v>
      </c>
      <c r="DG90" s="52">
        <f t="shared" si="488"/>
        <v>0</v>
      </c>
      <c r="DH90" s="52">
        <f t="shared" si="488"/>
        <v>0</v>
      </c>
      <c r="DI90" s="52">
        <f t="shared" si="488"/>
        <v>0</v>
      </c>
      <c r="DJ90" s="52">
        <f t="shared" si="488"/>
        <v>0</v>
      </c>
      <c r="DK90" s="52">
        <f t="shared" si="488"/>
        <v>0</v>
      </c>
      <c r="DL90" s="52">
        <f t="shared" si="488"/>
        <v>0</v>
      </c>
      <c r="DM90" s="52">
        <f t="shared" si="488"/>
        <v>0</v>
      </c>
      <c r="DN90" s="52">
        <f t="shared" si="488"/>
        <v>0</v>
      </c>
      <c r="DO90" s="52">
        <f t="shared" si="488"/>
        <v>0</v>
      </c>
      <c r="DP90" s="52">
        <f t="shared" si="488"/>
        <v>0</v>
      </c>
      <c r="DQ90" s="52">
        <f t="shared" si="488"/>
        <v>0</v>
      </c>
      <c r="DR90" s="52">
        <f t="shared" si="488"/>
        <v>0</v>
      </c>
      <c r="DS90" s="52">
        <f t="shared" si="488"/>
        <v>0</v>
      </c>
      <c r="DT90" s="52">
        <f t="shared" si="488"/>
        <v>0</v>
      </c>
      <c r="DU90" s="52">
        <f t="shared" si="488"/>
        <v>0</v>
      </c>
      <c r="DV90" s="52">
        <f t="shared" si="488"/>
        <v>0</v>
      </c>
      <c r="DW90" s="52">
        <f t="shared" si="488"/>
        <v>0</v>
      </c>
      <c r="DX90" s="52">
        <f t="shared" si="488"/>
        <v>0</v>
      </c>
      <c r="DY90" s="52">
        <f t="shared" si="488"/>
        <v>0</v>
      </c>
      <c r="DZ90" s="52">
        <f t="shared" si="488"/>
        <v>0</v>
      </c>
      <c r="EA90" s="52">
        <f t="shared" si="488"/>
        <v>0</v>
      </c>
      <c r="EB90" s="52">
        <f t="shared" ref="EB90:GM90" si="489">-EB38*$B$86</f>
        <v>0</v>
      </c>
      <c r="EC90" s="52">
        <f t="shared" si="489"/>
        <v>0</v>
      </c>
      <c r="ED90" s="52">
        <f t="shared" si="489"/>
        <v>0</v>
      </c>
      <c r="EE90" s="52">
        <f t="shared" si="489"/>
        <v>0</v>
      </c>
      <c r="EF90" s="52">
        <f t="shared" si="489"/>
        <v>0</v>
      </c>
      <c r="EG90" s="52">
        <f t="shared" si="489"/>
        <v>0</v>
      </c>
      <c r="EH90" s="52">
        <f t="shared" si="489"/>
        <v>0</v>
      </c>
      <c r="EI90" s="52">
        <f t="shared" si="489"/>
        <v>0</v>
      </c>
      <c r="EJ90" s="52">
        <f t="shared" si="489"/>
        <v>0</v>
      </c>
      <c r="EK90" s="52">
        <f t="shared" si="489"/>
        <v>0</v>
      </c>
      <c r="EL90" s="52">
        <f t="shared" si="489"/>
        <v>0</v>
      </c>
      <c r="EM90" s="52">
        <f t="shared" si="489"/>
        <v>0</v>
      </c>
      <c r="EN90" s="52">
        <f t="shared" si="489"/>
        <v>0</v>
      </c>
      <c r="EO90" s="52">
        <f t="shared" si="489"/>
        <v>0</v>
      </c>
      <c r="EP90" s="52">
        <f t="shared" si="489"/>
        <v>0</v>
      </c>
      <c r="EQ90" s="52">
        <f t="shared" si="489"/>
        <v>0</v>
      </c>
      <c r="ER90" s="52">
        <f t="shared" si="489"/>
        <v>0</v>
      </c>
      <c r="ES90" s="52">
        <f t="shared" si="489"/>
        <v>0</v>
      </c>
      <c r="ET90" s="52">
        <f t="shared" si="489"/>
        <v>0</v>
      </c>
      <c r="EU90" s="52">
        <f t="shared" si="489"/>
        <v>0</v>
      </c>
      <c r="EV90" s="52">
        <f t="shared" si="489"/>
        <v>0</v>
      </c>
      <c r="EW90" s="52">
        <f t="shared" si="489"/>
        <v>0</v>
      </c>
      <c r="EX90" s="52">
        <f t="shared" si="489"/>
        <v>0</v>
      </c>
      <c r="EY90" s="52">
        <f t="shared" si="489"/>
        <v>0</v>
      </c>
      <c r="EZ90" s="52">
        <f t="shared" si="489"/>
        <v>0</v>
      </c>
      <c r="FA90" s="52">
        <f t="shared" si="489"/>
        <v>0</v>
      </c>
      <c r="FB90" s="52">
        <f t="shared" si="489"/>
        <v>0</v>
      </c>
      <c r="FC90" s="52">
        <f t="shared" si="489"/>
        <v>0</v>
      </c>
      <c r="FD90" s="52">
        <f t="shared" si="489"/>
        <v>0</v>
      </c>
      <c r="FE90" s="52">
        <f t="shared" si="489"/>
        <v>0</v>
      </c>
      <c r="FF90" s="52">
        <f t="shared" si="489"/>
        <v>0</v>
      </c>
      <c r="FG90" s="52">
        <f t="shared" si="489"/>
        <v>0</v>
      </c>
      <c r="FH90" s="52">
        <f t="shared" si="489"/>
        <v>0</v>
      </c>
      <c r="FI90" s="52">
        <f t="shared" si="489"/>
        <v>0</v>
      </c>
      <c r="FJ90" s="52">
        <f t="shared" si="489"/>
        <v>0</v>
      </c>
      <c r="FK90" s="52">
        <f t="shared" si="489"/>
        <v>0</v>
      </c>
      <c r="FL90" s="52">
        <f t="shared" si="489"/>
        <v>0</v>
      </c>
      <c r="FM90" s="52">
        <f t="shared" si="489"/>
        <v>0</v>
      </c>
      <c r="FN90" s="52">
        <f t="shared" si="489"/>
        <v>0</v>
      </c>
      <c r="FO90" s="52">
        <f t="shared" si="489"/>
        <v>0</v>
      </c>
      <c r="FP90" s="52">
        <f t="shared" si="489"/>
        <v>0</v>
      </c>
      <c r="FQ90" s="52">
        <f t="shared" si="489"/>
        <v>0</v>
      </c>
      <c r="FR90" s="52">
        <f t="shared" si="489"/>
        <v>0</v>
      </c>
      <c r="FS90" s="52">
        <f t="shared" si="489"/>
        <v>0</v>
      </c>
      <c r="FT90" s="52">
        <f t="shared" si="489"/>
        <v>0</v>
      </c>
      <c r="FU90" s="52">
        <f t="shared" si="489"/>
        <v>0</v>
      </c>
      <c r="FV90" s="52">
        <f t="shared" si="489"/>
        <v>0</v>
      </c>
      <c r="FW90" s="52">
        <f t="shared" si="489"/>
        <v>0</v>
      </c>
      <c r="FX90" s="52">
        <f t="shared" si="489"/>
        <v>0</v>
      </c>
      <c r="FY90" s="52">
        <f t="shared" si="489"/>
        <v>0</v>
      </c>
      <c r="FZ90" s="52">
        <f t="shared" si="489"/>
        <v>0</v>
      </c>
      <c r="GA90" s="52">
        <f t="shared" si="489"/>
        <v>0</v>
      </c>
      <c r="GB90" s="52">
        <f t="shared" si="489"/>
        <v>0</v>
      </c>
      <c r="GC90" s="52">
        <f t="shared" si="489"/>
        <v>0</v>
      </c>
      <c r="GD90" s="52">
        <f t="shared" si="489"/>
        <v>0</v>
      </c>
      <c r="GE90" s="52">
        <f t="shared" si="489"/>
        <v>0</v>
      </c>
      <c r="GF90" s="52">
        <f t="shared" si="489"/>
        <v>0</v>
      </c>
      <c r="GG90" s="52">
        <f t="shared" si="489"/>
        <v>0</v>
      </c>
      <c r="GH90" s="52">
        <f t="shared" si="489"/>
        <v>0</v>
      </c>
      <c r="GI90" s="52">
        <f t="shared" si="489"/>
        <v>0</v>
      </c>
      <c r="GJ90" s="52">
        <f t="shared" si="489"/>
        <v>0</v>
      </c>
      <c r="GK90" s="52">
        <f t="shared" si="489"/>
        <v>0</v>
      </c>
      <c r="GL90" s="52">
        <f t="shared" si="489"/>
        <v>0</v>
      </c>
      <c r="GM90" s="52">
        <f t="shared" si="489"/>
        <v>0</v>
      </c>
      <c r="GN90" s="52">
        <f t="shared" ref="GN90:IY90" si="490">-GN38*$B$86</f>
        <v>0</v>
      </c>
      <c r="GO90" s="52">
        <f t="shared" si="490"/>
        <v>0</v>
      </c>
      <c r="GP90" s="52">
        <f t="shared" si="490"/>
        <v>0</v>
      </c>
      <c r="GQ90" s="52">
        <f t="shared" si="490"/>
        <v>0</v>
      </c>
      <c r="GR90" s="52">
        <f t="shared" si="490"/>
        <v>0</v>
      </c>
      <c r="GS90" s="52">
        <f t="shared" si="490"/>
        <v>0</v>
      </c>
      <c r="GT90" s="52">
        <f t="shared" si="490"/>
        <v>0</v>
      </c>
      <c r="GU90" s="52">
        <f t="shared" si="490"/>
        <v>0</v>
      </c>
      <c r="GV90" s="52">
        <f t="shared" si="490"/>
        <v>0</v>
      </c>
      <c r="GW90" s="52">
        <f t="shared" si="490"/>
        <v>0</v>
      </c>
      <c r="GX90" s="52">
        <f t="shared" si="490"/>
        <v>0</v>
      </c>
      <c r="GY90" s="52">
        <f t="shared" si="490"/>
        <v>0</v>
      </c>
      <c r="GZ90" s="52">
        <f t="shared" si="490"/>
        <v>0</v>
      </c>
      <c r="HA90" s="52">
        <f t="shared" si="490"/>
        <v>0</v>
      </c>
      <c r="HB90" s="52">
        <f t="shared" si="490"/>
        <v>0</v>
      </c>
      <c r="HC90" s="52">
        <f t="shared" si="490"/>
        <v>0</v>
      </c>
      <c r="HD90" s="52">
        <f t="shared" si="490"/>
        <v>0</v>
      </c>
      <c r="HE90" s="52">
        <f t="shared" si="490"/>
        <v>0</v>
      </c>
      <c r="HF90" s="52">
        <f t="shared" si="490"/>
        <v>0</v>
      </c>
      <c r="HG90" s="52">
        <f t="shared" si="490"/>
        <v>0</v>
      </c>
      <c r="HH90" s="52">
        <f t="shared" si="490"/>
        <v>0</v>
      </c>
      <c r="HI90" s="52">
        <f t="shared" si="490"/>
        <v>0</v>
      </c>
      <c r="HJ90" s="52">
        <f t="shared" si="490"/>
        <v>0</v>
      </c>
      <c r="HK90" s="52">
        <f t="shared" si="490"/>
        <v>0</v>
      </c>
      <c r="HL90" s="52">
        <f t="shared" si="490"/>
        <v>0</v>
      </c>
      <c r="HM90" s="52">
        <f t="shared" si="490"/>
        <v>0</v>
      </c>
      <c r="HN90" s="52">
        <f t="shared" si="490"/>
        <v>0</v>
      </c>
      <c r="HO90" s="52">
        <f t="shared" si="490"/>
        <v>0</v>
      </c>
      <c r="HP90" s="52">
        <f t="shared" si="490"/>
        <v>0</v>
      </c>
      <c r="HQ90" s="52">
        <f t="shared" si="490"/>
        <v>0</v>
      </c>
      <c r="HR90" s="52">
        <f t="shared" si="490"/>
        <v>0</v>
      </c>
      <c r="HS90" s="52">
        <f t="shared" si="490"/>
        <v>0</v>
      </c>
      <c r="HT90" s="52">
        <f t="shared" si="490"/>
        <v>0</v>
      </c>
      <c r="HU90" s="52">
        <f t="shared" si="490"/>
        <v>0</v>
      </c>
      <c r="HV90" s="52">
        <f t="shared" si="490"/>
        <v>0</v>
      </c>
      <c r="HW90" s="52">
        <f t="shared" si="490"/>
        <v>0</v>
      </c>
      <c r="HX90" s="52">
        <f t="shared" si="490"/>
        <v>0</v>
      </c>
      <c r="HY90" s="52">
        <f t="shared" si="490"/>
        <v>0</v>
      </c>
      <c r="HZ90" s="52">
        <f t="shared" si="490"/>
        <v>0</v>
      </c>
      <c r="IA90" s="52">
        <f t="shared" si="490"/>
        <v>0</v>
      </c>
      <c r="IB90" s="52">
        <f t="shared" si="490"/>
        <v>0</v>
      </c>
      <c r="IC90" s="52">
        <f t="shared" si="490"/>
        <v>0</v>
      </c>
      <c r="ID90" s="52">
        <f t="shared" si="490"/>
        <v>0</v>
      </c>
      <c r="IE90" s="52">
        <f t="shared" si="490"/>
        <v>0</v>
      </c>
      <c r="IF90" s="52">
        <f t="shared" si="490"/>
        <v>0</v>
      </c>
      <c r="IG90" s="52">
        <f t="shared" si="490"/>
        <v>0</v>
      </c>
      <c r="IH90" s="52">
        <f t="shared" si="490"/>
        <v>0</v>
      </c>
      <c r="II90" s="52">
        <f t="shared" si="490"/>
        <v>0</v>
      </c>
      <c r="IJ90" s="52">
        <f t="shared" si="490"/>
        <v>0</v>
      </c>
      <c r="IK90" s="52">
        <f t="shared" si="490"/>
        <v>0</v>
      </c>
      <c r="IL90" s="52">
        <f t="shared" si="490"/>
        <v>0</v>
      </c>
      <c r="IM90" s="52">
        <f t="shared" si="490"/>
        <v>0</v>
      </c>
      <c r="IN90" s="52">
        <f t="shared" si="490"/>
        <v>0</v>
      </c>
      <c r="IO90" s="52">
        <f t="shared" si="490"/>
        <v>0</v>
      </c>
      <c r="IP90" s="52">
        <f t="shared" si="490"/>
        <v>0</v>
      </c>
      <c r="IQ90" s="52">
        <f t="shared" si="490"/>
        <v>0</v>
      </c>
      <c r="IR90" s="52">
        <f t="shared" si="490"/>
        <v>0</v>
      </c>
      <c r="IS90" s="52">
        <f t="shared" si="490"/>
        <v>0</v>
      </c>
      <c r="IT90" s="52">
        <f t="shared" si="490"/>
        <v>0</v>
      </c>
      <c r="IU90" s="52">
        <f t="shared" si="490"/>
        <v>0</v>
      </c>
      <c r="IV90" s="52">
        <f t="shared" si="490"/>
        <v>0</v>
      </c>
      <c r="IW90" s="52">
        <f t="shared" si="490"/>
        <v>0</v>
      </c>
      <c r="IX90" s="52">
        <f t="shared" si="490"/>
        <v>0</v>
      </c>
      <c r="IY90" s="52">
        <f t="shared" si="490"/>
        <v>0</v>
      </c>
      <c r="IZ90" s="52">
        <f t="shared" ref="IZ90:KB90" si="491">-IZ38*$B$86</f>
        <v>0</v>
      </c>
      <c r="JA90" s="52">
        <f t="shared" si="491"/>
        <v>0</v>
      </c>
      <c r="JB90" s="52">
        <f t="shared" si="491"/>
        <v>0</v>
      </c>
      <c r="JC90" s="52">
        <f t="shared" si="491"/>
        <v>0</v>
      </c>
      <c r="JD90" s="52">
        <f t="shared" si="491"/>
        <v>0</v>
      </c>
      <c r="JE90" s="52">
        <f t="shared" si="491"/>
        <v>0</v>
      </c>
      <c r="JF90" s="52">
        <f t="shared" si="491"/>
        <v>0</v>
      </c>
      <c r="JG90" s="52">
        <f t="shared" si="491"/>
        <v>0</v>
      </c>
      <c r="JH90" s="52">
        <f t="shared" si="491"/>
        <v>0</v>
      </c>
      <c r="JI90" s="52">
        <f t="shared" si="491"/>
        <v>0</v>
      </c>
      <c r="JJ90" s="52">
        <f t="shared" si="491"/>
        <v>0</v>
      </c>
      <c r="JK90" s="52">
        <f t="shared" si="491"/>
        <v>0</v>
      </c>
      <c r="JL90" s="52">
        <f t="shared" si="491"/>
        <v>0</v>
      </c>
      <c r="JM90" s="52">
        <f t="shared" si="491"/>
        <v>0</v>
      </c>
      <c r="JN90" s="52">
        <f t="shared" si="491"/>
        <v>0</v>
      </c>
      <c r="JO90" s="52">
        <f t="shared" si="491"/>
        <v>0</v>
      </c>
      <c r="JP90" s="52">
        <f t="shared" si="491"/>
        <v>0</v>
      </c>
      <c r="JQ90" s="52">
        <f t="shared" si="491"/>
        <v>0</v>
      </c>
      <c r="JR90" s="52">
        <f t="shared" si="491"/>
        <v>0</v>
      </c>
      <c r="JS90" s="52">
        <f t="shared" si="491"/>
        <v>0</v>
      </c>
      <c r="JT90" s="52">
        <f t="shared" si="491"/>
        <v>0</v>
      </c>
      <c r="JU90" s="52">
        <f t="shared" si="491"/>
        <v>0</v>
      </c>
      <c r="JV90" s="52">
        <f t="shared" si="491"/>
        <v>0</v>
      </c>
      <c r="JW90" s="52">
        <f t="shared" si="491"/>
        <v>0</v>
      </c>
      <c r="JX90" s="52">
        <f t="shared" si="491"/>
        <v>0</v>
      </c>
      <c r="JY90" s="52">
        <f t="shared" si="491"/>
        <v>0</v>
      </c>
      <c r="JZ90" s="52">
        <f t="shared" si="491"/>
        <v>0</v>
      </c>
      <c r="KA90" s="52">
        <f t="shared" si="491"/>
        <v>0</v>
      </c>
      <c r="KB90" s="52">
        <f t="shared" si="491"/>
        <v>0</v>
      </c>
    </row>
    <row r="91" spans="1:289" x14ac:dyDescent="0.3">
      <c r="A91" s="290" t="s">
        <v>269</v>
      </c>
      <c r="B91" s="259"/>
      <c r="C91" s="54">
        <f>C90</f>
        <v>21.410999999999998</v>
      </c>
      <c r="D91" s="54">
        <f ca="1">C91+D90</f>
        <v>25.431196170949768</v>
      </c>
      <c r="E91" s="54">
        <f t="shared" ref="E91:BP91" ca="1" si="492">D91+E90</f>
        <v>28.287182847383669</v>
      </c>
      <c r="F91" s="54">
        <f t="shared" ca="1" si="492"/>
        <v>30.97969249960525</v>
      </c>
      <c r="G91" s="54">
        <f t="shared" ca="1" si="492"/>
        <v>33.693715646925007</v>
      </c>
      <c r="H91" s="54">
        <f t="shared" ca="1" si="492"/>
        <v>36.429424184909202</v>
      </c>
      <c r="I91" s="54">
        <f t="shared" ca="1" si="492"/>
        <v>39.186991382591572</v>
      </c>
      <c r="J91" s="54">
        <f t="shared" ca="1" si="492"/>
        <v>41.9665918934475</v>
      </c>
      <c r="K91" s="54">
        <f t="shared" ca="1" si="492"/>
        <v>44.779381736061495</v>
      </c>
      <c r="L91" s="54">
        <f t="shared" ca="1" si="492"/>
        <v>47.610827640245105</v>
      </c>
      <c r="M91" s="54">
        <f t="shared" ca="1" si="492"/>
        <v>50.459720058607239</v>
      </c>
      <c r="N91" s="54">
        <f t="shared" ca="1" si="492"/>
        <v>53.324865980391245</v>
      </c>
      <c r="O91" s="54">
        <f t="shared" ca="1" si="492"/>
        <v>56.202580391299193</v>
      </c>
      <c r="P91" s="54">
        <f t="shared" ca="1" si="492"/>
        <v>62.350372364953543</v>
      </c>
      <c r="Q91" s="54">
        <f t="shared" ca="1" si="492"/>
        <v>68.091128359894483</v>
      </c>
      <c r="R91" s="54">
        <f t="shared" ca="1" si="492"/>
        <v>73.489484925232233</v>
      </c>
      <c r="S91" s="54">
        <f t="shared" ca="1" si="492"/>
        <v>78.911522373718995</v>
      </c>
      <c r="T91" s="54">
        <f t="shared" ca="1" si="492"/>
        <v>84.35734458590062</v>
      </c>
      <c r="U91" s="54">
        <f t="shared" ca="1" si="492"/>
        <v>89.827055898014052</v>
      </c>
      <c r="V91" s="54">
        <f t="shared" ca="1" si="492"/>
        <v>95.79260053265142</v>
      </c>
      <c r="W91" s="54">
        <f t="shared" ca="1" si="492"/>
        <v>101.33370415317096</v>
      </c>
      <c r="X91" s="54">
        <f t="shared" ca="1" si="492"/>
        <v>106.89911484303018</v>
      </c>
      <c r="Y91" s="54">
        <f t="shared" ca="1" si="492"/>
        <v>114.94887351774781</v>
      </c>
      <c r="Z91" s="54">
        <f t="shared" ca="1" si="492"/>
        <v>122.8530293055602</v>
      </c>
      <c r="AA91" s="54">
        <f t="shared" ca="1" si="492"/>
        <v>130.63863152430599</v>
      </c>
      <c r="AB91" s="54">
        <f t="shared" ca="1" si="492"/>
        <v>133.33749494383531</v>
      </c>
      <c r="AC91" s="54">
        <f t="shared" ca="1" si="492"/>
        <v>136.04819742373411</v>
      </c>
      <c r="AD91" s="54">
        <f t="shared" ca="1" si="492"/>
        <v>138.7707908982164</v>
      </c>
      <c r="AE91" s="54">
        <f t="shared" ca="1" si="492"/>
        <v>141.5053275293152</v>
      </c>
      <c r="AF91" s="54">
        <f t="shared" ca="1" si="492"/>
        <v>144.26070920198333</v>
      </c>
      <c r="AG91" s="54">
        <f t="shared" ca="1" si="492"/>
        <v>147.0281778627249</v>
      </c>
      <c r="AH91" s="54">
        <f t="shared" ca="1" si="492"/>
        <v>155.9990444119656</v>
      </c>
      <c r="AI91" s="54">
        <f t="shared" ca="1" si="492"/>
        <v>163.7072166358117</v>
      </c>
      <c r="AJ91" s="54">
        <f t="shared" ca="1" si="492"/>
        <v>171.12048310723114</v>
      </c>
      <c r="AK91" s="54">
        <f t="shared" ca="1" si="492"/>
        <v>176.43162668586538</v>
      </c>
      <c r="AL91" s="54">
        <f t="shared" ca="1" si="492"/>
        <v>181.76606857185502</v>
      </c>
      <c r="AM91" s="54">
        <f t="shared" ca="1" si="492"/>
        <v>187.12391096750687</v>
      </c>
      <c r="AN91" s="54">
        <f t="shared" ca="1" si="492"/>
        <v>192.50525652345698</v>
      </c>
      <c r="AO91" s="54">
        <f t="shared" ca="1" si="492"/>
        <v>197.92919327811214</v>
      </c>
      <c r="AP91" s="54">
        <f t="shared" ca="1" si="492"/>
        <v>203.37692312811771</v>
      </c>
      <c r="AQ91" s="54">
        <f t="shared" ca="1" si="492"/>
        <v>210.08260217967188</v>
      </c>
      <c r="AR91" s="54">
        <f t="shared" ca="1" si="492"/>
        <v>216.3595372380473</v>
      </c>
      <c r="AS91" s="54">
        <f t="shared" ca="1" si="492"/>
        <v>222.65665589553436</v>
      </c>
      <c r="AT91" s="54">
        <f t="shared" ca="1" si="492"/>
        <v>224.40192095171577</v>
      </c>
      <c r="AU91" s="54">
        <f t="shared" ca="1" si="492"/>
        <v>226.15484193379967</v>
      </c>
      <c r="AV91" s="54">
        <f t="shared" ca="1" si="492"/>
        <v>227.91545242591198</v>
      </c>
      <c r="AW91" s="54">
        <f t="shared" ca="1" si="492"/>
        <v>229.68378615950158</v>
      </c>
      <c r="AX91" s="54">
        <f t="shared" ca="1" si="492"/>
        <v>231.45987701398656</v>
      </c>
      <c r="AY91" s="54">
        <f t="shared" ca="1" si="492"/>
        <v>233.24375901740325</v>
      </c>
      <c r="AZ91" s="54">
        <f t="shared" ca="1" si="492"/>
        <v>235.85276790535261</v>
      </c>
      <c r="BA91" s="54">
        <f t="shared" ca="1" si="492"/>
        <v>237.65987564988262</v>
      </c>
      <c r="BB91" s="54">
        <f t="shared" ca="1" si="492"/>
        <v>239.47491060463264</v>
      </c>
      <c r="BC91" s="54">
        <f t="shared" ca="1" si="492"/>
        <v>241.29790754376708</v>
      </c>
      <c r="BD91" s="54">
        <f t="shared" ca="1" si="492"/>
        <v>243.12890139399366</v>
      </c>
      <c r="BE91" s="54">
        <f t="shared" ca="1" si="492"/>
        <v>251.53760326025505</v>
      </c>
      <c r="BF91" s="54">
        <f t="shared" ca="1" si="492"/>
        <v>251.53760326025505</v>
      </c>
      <c r="BG91" s="54">
        <f t="shared" ca="1" si="492"/>
        <v>251.53760326025505</v>
      </c>
      <c r="BH91" s="54">
        <f t="shared" ca="1" si="492"/>
        <v>251.53760326025505</v>
      </c>
      <c r="BI91" s="54">
        <f t="shared" ca="1" si="492"/>
        <v>251.53760326025505</v>
      </c>
      <c r="BJ91" s="54">
        <f t="shared" ca="1" si="492"/>
        <v>251.53760326025505</v>
      </c>
      <c r="BK91" s="54">
        <f t="shared" ca="1" si="492"/>
        <v>251.53760326025505</v>
      </c>
      <c r="BL91" s="54">
        <f t="shared" ca="1" si="492"/>
        <v>251.53760326025505</v>
      </c>
      <c r="BM91" s="54">
        <f t="shared" ca="1" si="492"/>
        <v>251.53760326025505</v>
      </c>
      <c r="BN91" s="54">
        <f t="shared" ca="1" si="492"/>
        <v>251.53760326025505</v>
      </c>
      <c r="BO91" s="54">
        <f t="shared" ca="1" si="492"/>
        <v>251.53760326025505</v>
      </c>
      <c r="BP91" s="54">
        <f t="shared" ca="1" si="492"/>
        <v>251.53760326025505</v>
      </c>
      <c r="BQ91" s="54">
        <f t="shared" ref="BQ91:EB91" ca="1" si="493">BP91+BQ90</f>
        <v>251.53760326025505</v>
      </c>
      <c r="BR91" s="54">
        <f t="shared" ca="1" si="493"/>
        <v>251.53760326025505</v>
      </c>
      <c r="BS91" s="54">
        <f t="shared" ca="1" si="493"/>
        <v>251.53760326025505</v>
      </c>
      <c r="BT91" s="54">
        <f t="shared" ca="1" si="493"/>
        <v>251.53760326025505</v>
      </c>
      <c r="BU91" s="54">
        <f t="shared" ca="1" si="493"/>
        <v>251.53760326025505</v>
      </c>
      <c r="BV91" s="54">
        <f t="shared" ca="1" si="493"/>
        <v>251.53760326025505</v>
      </c>
      <c r="BW91" s="54">
        <f t="shared" ca="1" si="493"/>
        <v>251.53760326025505</v>
      </c>
      <c r="BX91" s="54">
        <f t="shared" ca="1" si="493"/>
        <v>251.53760326025505</v>
      </c>
      <c r="BY91" s="54">
        <f t="shared" ca="1" si="493"/>
        <v>251.53760326025505</v>
      </c>
      <c r="BZ91" s="54">
        <f t="shared" ca="1" si="493"/>
        <v>251.53760326025505</v>
      </c>
      <c r="CA91" s="54">
        <f t="shared" ca="1" si="493"/>
        <v>251.53760326025505</v>
      </c>
      <c r="CB91" s="54">
        <f t="shared" ca="1" si="493"/>
        <v>251.53760326025505</v>
      </c>
      <c r="CC91" s="54">
        <f t="shared" ca="1" si="493"/>
        <v>251.53760326025505</v>
      </c>
      <c r="CD91" s="54">
        <f t="shared" ca="1" si="493"/>
        <v>251.53760326025505</v>
      </c>
      <c r="CE91" s="54">
        <f t="shared" ca="1" si="493"/>
        <v>251.53760326025505</v>
      </c>
      <c r="CF91" s="54">
        <f t="shared" ca="1" si="493"/>
        <v>251.53760326025505</v>
      </c>
      <c r="CG91" s="54">
        <f t="shared" ca="1" si="493"/>
        <v>251.53760326025505</v>
      </c>
      <c r="CH91" s="54">
        <f t="shared" ca="1" si="493"/>
        <v>251.53760326025505</v>
      </c>
      <c r="CI91" s="54">
        <f t="shared" ca="1" si="493"/>
        <v>251.53760326025505</v>
      </c>
      <c r="CJ91" s="54">
        <f t="shared" ca="1" si="493"/>
        <v>251.53760326025505</v>
      </c>
      <c r="CK91" s="54">
        <f t="shared" ca="1" si="493"/>
        <v>251.53760326025505</v>
      </c>
      <c r="CL91" s="54">
        <f t="shared" ca="1" si="493"/>
        <v>251.53760326025505</v>
      </c>
      <c r="CM91" s="54">
        <f t="shared" ca="1" si="493"/>
        <v>251.53760326025505</v>
      </c>
      <c r="CN91" s="54">
        <f t="shared" ca="1" si="493"/>
        <v>251.53760326025505</v>
      </c>
      <c r="CO91" s="54">
        <f t="shared" ca="1" si="493"/>
        <v>251.53760326025505</v>
      </c>
      <c r="CP91" s="54">
        <f t="shared" ca="1" si="493"/>
        <v>251.53760326025505</v>
      </c>
      <c r="CQ91" s="54">
        <f t="shared" ca="1" si="493"/>
        <v>251.53760326025505</v>
      </c>
      <c r="CR91" s="54">
        <f t="shared" ca="1" si="493"/>
        <v>251.53760326025505</v>
      </c>
      <c r="CS91" s="54">
        <f t="shared" ca="1" si="493"/>
        <v>251.53760326025505</v>
      </c>
      <c r="CT91" s="54">
        <f t="shared" ca="1" si="493"/>
        <v>251.53760326025505</v>
      </c>
      <c r="CU91" s="54">
        <f t="shared" ca="1" si="493"/>
        <v>251.53760326025505</v>
      </c>
      <c r="CV91" s="54">
        <f t="shared" ca="1" si="493"/>
        <v>251.53760326025505</v>
      </c>
      <c r="CW91" s="54">
        <f t="shared" ca="1" si="493"/>
        <v>251.53760326025505</v>
      </c>
      <c r="CX91" s="54">
        <f t="shared" ca="1" si="493"/>
        <v>251.53760326025505</v>
      </c>
      <c r="CY91" s="54">
        <f t="shared" ca="1" si="493"/>
        <v>251.53760326025505</v>
      </c>
      <c r="CZ91" s="54">
        <f t="shared" ca="1" si="493"/>
        <v>251.53760326025505</v>
      </c>
      <c r="DA91" s="54">
        <f t="shared" ca="1" si="493"/>
        <v>251.53760326025505</v>
      </c>
      <c r="DB91" s="54">
        <f t="shared" ca="1" si="493"/>
        <v>251.53760326025505</v>
      </c>
      <c r="DC91" s="54">
        <f t="shared" ca="1" si="493"/>
        <v>251.53760326025505</v>
      </c>
      <c r="DD91" s="54">
        <f t="shared" ca="1" si="493"/>
        <v>251.53760326025505</v>
      </c>
      <c r="DE91" s="54">
        <f t="shared" ca="1" si="493"/>
        <v>251.53760326025505</v>
      </c>
      <c r="DF91" s="54">
        <f t="shared" ca="1" si="493"/>
        <v>251.53760326025505</v>
      </c>
      <c r="DG91" s="54">
        <f t="shared" ca="1" si="493"/>
        <v>251.53760326025505</v>
      </c>
      <c r="DH91" s="54">
        <f t="shared" ca="1" si="493"/>
        <v>251.53760326025505</v>
      </c>
      <c r="DI91" s="54">
        <f t="shared" ca="1" si="493"/>
        <v>251.53760326025505</v>
      </c>
      <c r="DJ91" s="54">
        <f t="shared" ca="1" si="493"/>
        <v>251.53760326025505</v>
      </c>
      <c r="DK91" s="54">
        <f t="shared" ca="1" si="493"/>
        <v>251.53760326025505</v>
      </c>
      <c r="DL91" s="54">
        <f t="shared" ca="1" si="493"/>
        <v>251.53760326025505</v>
      </c>
      <c r="DM91" s="54">
        <f t="shared" ca="1" si="493"/>
        <v>251.53760326025505</v>
      </c>
      <c r="DN91" s="54">
        <f t="shared" ca="1" si="493"/>
        <v>251.53760326025505</v>
      </c>
      <c r="DO91" s="54">
        <f t="shared" ca="1" si="493"/>
        <v>251.53760326025505</v>
      </c>
      <c r="DP91" s="54">
        <f t="shared" ca="1" si="493"/>
        <v>251.53760326025505</v>
      </c>
      <c r="DQ91" s="54">
        <f t="shared" ca="1" si="493"/>
        <v>251.53760326025505</v>
      </c>
      <c r="DR91" s="54">
        <f t="shared" ca="1" si="493"/>
        <v>251.53760326025505</v>
      </c>
      <c r="DS91" s="54">
        <f t="shared" ca="1" si="493"/>
        <v>251.53760326025505</v>
      </c>
      <c r="DT91" s="54">
        <f t="shared" ca="1" si="493"/>
        <v>251.53760326025505</v>
      </c>
      <c r="DU91" s="54">
        <f t="shared" ca="1" si="493"/>
        <v>251.53760326025505</v>
      </c>
      <c r="DV91" s="54">
        <f t="shared" ca="1" si="493"/>
        <v>251.53760326025505</v>
      </c>
      <c r="DW91" s="54">
        <f t="shared" ca="1" si="493"/>
        <v>251.53760326025505</v>
      </c>
      <c r="DX91" s="54">
        <f t="shared" ca="1" si="493"/>
        <v>251.53760326025505</v>
      </c>
      <c r="DY91" s="54">
        <f t="shared" ca="1" si="493"/>
        <v>251.53760326025505</v>
      </c>
      <c r="DZ91" s="54">
        <f t="shared" ca="1" si="493"/>
        <v>251.53760326025505</v>
      </c>
      <c r="EA91" s="54">
        <f t="shared" ca="1" si="493"/>
        <v>251.53760326025505</v>
      </c>
      <c r="EB91" s="54">
        <f t="shared" ca="1" si="493"/>
        <v>251.53760326025505</v>
      </c>
      <c r="EC91" s="54">
        <f t="shared" ref="EC91:GN91" ca="1" si="494">EB91+EC90</f>
        <v>251.53760326025505</v>
      </c>
      <c r="ED91" s="54">
        <f t="shared" ca="1" si="494"/>
        <v>251.53760326025505</v>
      </c>
      <c r="EE91" s="54">
        <f t="shared" ca="1" si="494"/>
        <v>251.53760326025505</v>
      </c>
      <c r="EF91" s="54">
        <f t="shared" ca="1" si="494"/>
        <v>251.53760326025505</v>
      </c>
      <c r="EG91" s="54">
        <f t="shared" ca="1" si="494"/>
        <v>251.53760326025505</v>
      </c>
      <c r="EH91" s="54">
        <f t="shared" ca="1" si="494"/>
        <v>251.53760326025505</v>
      </c>
      <c r="EI91" s="54">
        <f t="shared" ca="1" si="494"/>
        <v>251.53760326025505</v>
      </c>
      <c r="EJ91" s="54">
        <f t="shared" ca="1" si="494"/>
        <v>251.53760326025505</v>
      </c>
      <c r="EK91" s="54">
        <f t="shared" ca="1" si="494"/>
        <v>251.53760326025505</v>
      </c>
      <c r="EL91" s="54">
        <f t="shared" ca="1" si="494"/>
        <v>251.53760326025505</v>
      </c>
      <c r="EM91" s="54">
        <f t="shared" ca="1" si="494"/>
        <v>251.53760326025505</v>
      </c>
      <c r="EN91" s="54">
        <f t="shared" ca="1" si="494"/>
        <v>251.53760326025505</v>
      </c>
      <c r="EO91" s="54">
        <f t="shared" ca="1" si="494"/>
        <v>251.53760326025505</v>
      </c>
      <c r="EP91" s="54">
        <f t="shared" ca="1" si="494"/>
        <v>251.53760326025505</v>
      </c>
      <c r="EQ91" s="54">
        <f t="shared" ca="1" si="494"/>
        <v>251.53760326025505</v>
      </c>
      <c r="ER91" s="54">
        <f t="shared" ca="1" si="494"/>
        <v>251.53760326025505</v>
      </c>
      <c r="ES91" s="54">
        <f t="shared" ca="1" si="494"/>
        <v>251.53760326025505</v>
      </c>
      <c r="ET91" s="54">
        <f t="shared" ca="1" si="494"/>
        <v>251.53760326025505</v>
      </c>
      <c r="EU91" s="54">
        <f t="shared" ca="1" si="494"/>
        <v>251.53760326025505</v>
      </c>
      <c r="EV91" s="54">
        <f t="shared" ca="1" si="494"/>
        <v>251.53760326025505</v>
      </c>
      <c r="EW91" s="54">
        <f t="shared" ca="1" si="494"/>
        <v>251.53760326025505</v>
      </c>
      <c r="EX91" s="54">
        <f t="shared" ca="1" si="494"/>
        <v>251.53760326025505</v>
      </c>
      <c r="EY91" s="54">
        <f t="shared" ca="1" si="494"/>
        <v>251.53760326025505</v>
      </c>
      <c r="EZ91" s="54">
        <f t="shared" ca="1" si="494"/>
        <v>251.53760326025505</v>
      </c>
      <c r="FA91" s="54">
        <f t="shared" ca="1" si="494"/>
        <v>251.53760326025505</v>
      </c>
      <c r="FB91" s="54">
        <f t="shared" ca="1" si="494"/>
        <v>251.53760326025505</v>
      </c>
      <c r="FC91" s="54">
        <f t="shared" ca="1" si="494"/>
        <v>251.53760326025505</v>
      </c>
      <c r="FD91" s="54">
        <f t="shared" ca="1" si="494"/>
        <v>251.53760326025505</v>
      </c>
      <c r="FE91" s="54">
        <f t="shared" ca="1" si="494"/>
        <v>251.53760326025505</v>
      </c>
      <c r="FF91" s="54">
        <f t="shared" ca="1" si="494"/>
        <v>251.53760326025505</v>
      </c>
      <c r="FG91" s="54">
        <f t="shared" ca="1" si="494"/>
        <v>251.53760326025505</v>
      </c>
      <c r="FH91" s="54">
        <f t="shared" ca="1" si="494"/>
        <v>251.53760326025505</v>
      </c>
      <c r="FI91" s="54">
        <f t="shared" ca="1" si="494"/>
        <v>251.53760326025505</v>
      </c>
      <c r="FJ91" s="54">
        <f t="shared" ca="1" si="494"/>
        <v>251.53760326025505</v>
      </c>
      <c r="FK91" s="54">
        <f t="shared" ca="1" si="494"/>
        <v>251.53760326025505</v>
      </c>
      <c r="FL91" s="54">
        <f t="shared" ca="1" si="494"/>
        <v>251.53760326025505</v>
      </c>
      <c r="FM91" s="54">
        <f t="shared" ca="1" si="494"/>
        <v>251.53760326025505</v>
      </c>
      <c r="FN91" s="54">
        <f t="shared" ca="1" si="494"/>
        <v>251.53760326025505</v>
      </c>
      <c r="FO91" s="54">
        <f t="shared" ca="1" si="494"/>
        <v>251.53760326025505</v>
      </c>
      <c r="FP91" s="54">
        <f t="shared" ca="1" si="494"/>
        <v>251.53760326025505</v>
      </c>
      <c r="FQ91" s="54">
        <f t="shared" ca="1" si="494"/>
        <v>251.53760326025505</v>
      </c>
      <c r="FR91" s="54">
        <f t="shared" ca="1" si="494"/>
        <v>251.53760326025505</v>
      </c>
      <c r="FS91" s="54">
        <f t="shared" ca="1" si="494"/>
        <v>251.53760326025505</v>
      </c>
      <c r="FT91" s="54">
        <f t="shared" ca="1" si="494"/>
        <v>251.53760326025505</v>
      </c>
      <c r="FU91" s="54">
        <f t="shared" ca="1" si="494"/>
        <v>251.53760326025505</v>
      </c>
      <c r="FV91" s="54">
        <f t="shared" ca="1" si="494"/>
        <v>251.53760326025505</v>
      </c>
      <c r="FW91" s="54">
        <f t="shared" ca="1" si="494"/>
        <v>251.53760326025505</v>
      </c>
      <c r="FX91" s="54">
        <f t="shared" ca="1" si="494"/>
        <v>251.53760326025505</v>
      </c>
      <c r="FY91" s="54">
        <f t="shared" ca="1" si="494"/>
        <v>251.53760326025505</v>
      </c>
      <c r="FZ91" s="54">
        <f t="shared" ca="1" si="494"/>
        <v>251.53760326025505</v>
      </c>
      <c r="GA91" s="54">
        <f t="shared" ca="1" si="494"/>
        <v>251.53760326025505</v>
      </c>
      <c r="GB91" s="54">
        <f t="shared" ca="1" si="494"/>
        <v>251.53760326025505</v>
      </c>
      <c r="GC91" s="54">
        <f t="shared" ca="1" si="494"/>
        <v>251.53760326025505</v>
      </c>
      <c r="GD91" s="54">
        <f t="shared" ca="1" si="494"/>
        <v>251.53760326025505</v>
      </c>
      <c r="GE91" s="54">
        <f t="shared" ca="1" si="494"/>
        <v>251.53760326025505</v>
      </c>
      <c r="GF91" s="54">
        <f t="shared" ca="1" si="494"/>
        <v>251.53760326025505</v>
      </c>
      <c r="GG91" s="54">
        <f t="shared" ca="1" si="494"/>
        <v>251.53760326025505</v>
      </c>
      <c r="GH91" s="54">
        <f t="shared" ca="1" si="494"/>
        <v>251.53760326025505</v>
      </c>
      <c r="GI91" s="54">
        <f t="shared" ca="1" si="494"/>
        <v>251.53760326025505</v>
      </c>
      <c r="GJ91" s="54">
        <f t="shared" ca="1" si="494"/>
        <v>251.53760326025505</v>
      </c>
      <c r="GK91" s="54">
        <f t="shared" ca="1" si="494"/>
        <v>251.53760326025505</v>
      </c>
      <c r="GL91" s="54">
        <f t="shared" ca="1" si="494"/>
        <v>251.53760326025505</v>
      </c>
      <c r="GM91" s="54">
        <f t="shared" ca="1" si="494"/>
        <v>251.53760326025505</v>
      </c>
      <c r="GN91" s="54">
        <f t="shared" ca="1" si="494"/>
        <v>251.53760326025505</v>
      </c>
      <c r="GO91" s="54">
        <f t="shared" ref="GO91:IZ91" ca="1" si="495">GN91+GO90</f>
        <v>251.53760326025505</v>
      </c>
      <c r="GP91" s="54">
        <f t="shared" ca="1" si="495"/>
        <v>251.53760326025505</v>
      </c>
      <c r="GQ91" s="54">
        <f t="shared" ca="1" si="495"/>
        <v>251.53760326025505</v>
      </c>
      <c r="GR91" s="54">
        <f t="shared" ca="1" si="495"/>
        <v>251.53760326025505</v>
      </c>
      <c r="GS91" s="54">
        <f t="shared" ca="1" si="495"/>
        <v>251.53760326025505</v>
      </c>
      <c r="GT91" s="54">
        <f t="shared" ca="1" si="495"/>
        <v>251.53760326025505</v>
      </c>
      <c r="GU91" s="54">
        <f t="shared" ca="1" si="495"/>
        <v>251.53760326025505</v>
      </c>
      <c r="GV91" s="54">
        <f t="shared" ca="1" si="495"/>
        <v>251.53760326025505</v>
      </c>
      <c r="GW91" s="54">
        <f t="shared" ca="1" si="495"/>
        <v>251.53760326025505</v>
      </c>
      <c r="GX91" s="54">
        <f t="shared" ca="1" si="495"/>
        <v>251.53760326025505</v>
      </c>
      <c r="GY91" s="54">
        <f t="shared" ca="1" si="495"/>
        <v>251.53760326025505</v>
      </c>
      <c r="GZ91" s="54">
        <f t="shared" ca="1" si="495"/>
        <v>251.53760326025505</v>
      </c>
      <c r="HA91" s="54">
        <f t="shared" ca="1" si="495"/>
        <v>251.53760326025505</v>
      </c>
      <c r="HB91" s="54">
        <f t="shared" ca="1" si="495"/>
        <v>251.53760326025505</v>
      </c>
      <c r="HC91" s="54">
        <f t="shared" ca="1" si="495"/>
        <v>251.53760326025505</v>
      </c>
      <c r="HD91" s="54">
        <f t="shared" ca="1" si="495"/>
        <v>251.53760326025505</v>
      </c>
      <c r="HE91" s="54">
        <f t="shared" ca="1" si="495"/>
        <v>251.53760326025505</v>
      </c>
      <c r="HF91" s="54">
        <f t="shared" ca="1" si="495"/>
        <v>251.53760326025505</v>
      </c>
      <c r="HG91" s="54">
        <f t="shared" ca="1" si="495"/>
        <v>251.53760326025505</v>
      </c>
      <c r="HH91" s="54">
        <f t="shared" ca="1" si="495"/>
        <v>251.53760326025505</v>
      </c>
      <c r="HI91" s="54">
        <f t="shared" ca="1" si="495"/>
        <v>251.53760326025505</v>
      </c>
      <c r="HJ91" s="54">
        <f t="shared" ca="1" si="495"/>
        <v>251.53760326025505</v>
      </c>
      <c r="HK91" s="54">
        <f t="shared" ca="1" si="495"/>
        <v>251.53760326025505</v>
      </c>
      <c r="HL91" s="54">
        <f t="shared" ca="1" si="495"/>
        <v>251.53760326025505</v>
      </c>
      <c r="HM91" s="54">
        <f t="shared" ca="1" si="495"/>
        <v>251.53760326025505</v>
      </c>
      <c r="HN91" s="54">
        <f t="shared" ca="1" si="495"/>
        <v>251.53760326025505</v>
      </c>
      <c r="HO91" s="54">
        <f t="shared" ca="1" si="495"/>
        <v>251.53760326025505</v>
      </c>
      <c r="HP91" s="54">
        <f t="shared" ca="1" si="495"/>
        <v>251.53760326025505</v>
      </c>
      <c r="HQ91" s="54">
        <f t="shared" ca="1" si="495"/>
        <v>251.53760326025505</v>
      </c>
      <c r="HR91" s="54">
        <f t="shared" ca="1" si="495"/>
        <v>251.53760326025505</v>
      </c>
      <c r="HS91" s="54">
        <f t="shared" ca="1" si="495"/>
        <v>251.53760326025505</v>
      </c>
      <c r="HT91" s="54">
        <f t="shared" ca="1" si="495"/>
        <v>251.53760326025505</v>
      </c>
      <c r="HU91" s="54">
        <f t="shared" ca="1" si="495"/>
        <v>251.53760326025505</v>
      </c>
      <c r="HV91" s="54">
        <f t="shared" ca="1" si="495"/>
        <v>251.53760326025505</v>
      </c>
      <c r="HW91" s="54">
        <f t="shared" ca="1" si="495"/>
        <v>251.53760326025505</v>
      </c>
      <c r="HX91" s="54">
        <f t="shared" ca="1" si="495"/>
        <v>251.53760326025505</v>
      </c>
      <c r="HY91" s="54">
        <f t="shared" ca="1" si="495"/>
        <v>251.53760326025505</v>
      </c>
      <c r="HZ91" s="54">
        <f t="shared" ca="1" si="495"/>
        <v>251.53760326025505</v>
      </c>
      <c r="IA91" s="54">
        <f t="shared" ca="1" si="495"/>
        <v>251.53760326025505</v>
      </c>
      <c r="IB91" s="54">
        <f t="shared" ca="1" si="495"/>
        <v>251.53760326025505</v>
      </c>
      <c r="IC91" s="54">
        <f t="shared" ca="1" si="495"/>
        <v>251.53760326025505</v>
      </c>
      <c r="ID91" s="54">
        <f t="shared" ca="1" si="495"/>
        <v>251.53760326025505</v>
      </c>
      <c r="IE91" s="54">
        <f t="shared" ca="1" si="495"/>
        <v>251.53760326025505</v>
      </c>
      <c r="IF91" s="54">
        <f t="shared" ca="1" si="495"/>
        <v>251.53760326025505</v>
      </c>
      <c r="IG91" s="54">
        <f t="shared" ca="1" si="495"/>
        <v>251.53760326025505</v>
      </c>
      <c r="IH91" s="54">
        <f t="shared" ca="1" si="495"/>
        <v>251.53760326025505</v>
      </c>
      <c r="II91" s="54">
        <f t="shared" ca="1" si="495"/>
        <v>251.53760326025505</v>
      </c>
      <c r="IJ91" s="54">
        <f t="shared" ca="1" si="495"/>
        <v>251.53760326025505</v>
      </c>
      <c r="IK91" s="54">
        <f t="shared" ca="1" si="495"/>
        <v>251.53760326025505</v>
      </c>
      <c r="IL91" s="54">
        <f t="shared" ca="1" si="495"/>
        <v>251.53760326025505</v>
      </c>
      <c r="IM91" s="54">
        <f t="shared" ca="1" si="495"/>
        <v>251.53760326025505</v>
      </c>
      <c r="IN91" s="54">
        <f t="shared" ca="1" si="495"/>
        <v>251.53760326025505</v>
      </c>
      <c r="IO91" s="54">
        <f t="shared" ca="1" si="495"/>
        <v>251.53760326025505</v>
      </c>
      <c r="IP91" s="54">
        <f t="shared" ca="1" si="495"/>
        <v>251.53760326025505</v>
      </c>
      <c r="IQ91" s="54">
        <f t="shared" ca="1" si="495"/>
        <v>251.53760326025505</v>
      </c>
      <c r="IR91" s="54">
        <f t="shared" ca="1" si="495"/>
        <v>251.53760326025505</v>
      </c>
      <c r="IS91" s="54">
        <f t="shared" ca="1" si="495"/>
        <v>251.53760326025505</v>
      </c>
      <c r="IT91" s="54">
        <f t="shared" ca="1" si="495"/>
        <v>251.53760326025505</v>
      </c>
      <c r="IU91" s="54">
        <f t="shared" ca="1" si="495"/>
        <v>251.53760326025505</v>
      </c>
      <c r="IV91" s="54">
        <f t="shared" ca="1" si="495"/>
        <v>251.53760326025505</v>
      </c>
      <c r="IW91" s="54">
        <f t="shared" ca="1" si="495"/>
        <v>251.53760326025505</v>
      </c>
      <c r="IX91" s="54">
        <f t="shared" ca="1" si="495"/>
        <v>251.53760326025505</v>
      </c>
      <c r="IY91" s="54">
        <f t="shared" ca="1" si="495"/>
        <v>251.53760326025505</v>
      </c>
      <c r="IZ91" s="54">
        <f t="shared" ca="1" si="495"/>
        <v>251.53760326025505</v>
      </c>
      <c r="JA91" s="54">
        <f t="shared" ref="JA91:KB91" ca="1" si="496">IZ91+JA90</f>
        <v>251.53760326025505</v>
      </c>
      <c r="JB91" s="54">
        <f t="shared" ca="1" si="496"/>
        <v>251.53760326025505</v>
      </c>
      <c r="JC91" s="54">
        <f t="shared" ca="1" si="496"/>
        <v>251.53760326025505</v>
      </c>
      <c r="JD91" s="54">
        <f t="shared" ca="1" si="496"/>
        <v>251.53760326025505</v>
      </c>
      <c r="JE91" s="54">
        <f t="shared" ca="1" si="496"/>
        <v>251.53760326025505</v>
      </c>
      <c r="JF91" s="54">
        <f t="shared" ca="1" si="496"/>
        <v>251.53760326025505</v>
      </c>
      <c r="JG91" s="54">
        <f t="shared" ca="1" si="496"/>
        <v>251.53760326025505</v>
      </c>
      <c r="JH91" s="54">
        <f t="shared" ca="1" si="496"/>
        <v>251.53760326025505</v>
      </c>
      <c r="JI91" s="54">
        <f t="shared" ca="1" si="496"/>
        <v>251.53760326025505</v>
      </c>
      <c r="JJ91" s="54">
        <f t="shared" ca="1" si="496"/>
        <v>251.53760326025505</v>
      </c>
      <c r="JK91" s="54">
        <f t="shared" ca="1" si="496"/>
        <v>251.53760326025505</v>
      </c>
      <c r="JL91" s="54">
        <f t="shared" ca="1" si="496"/>
        <v>251.53760326025505</v>
      </c>
      <c r="JM91" s="54">
        <f t="shared" ca="1" si="496"/>
        <v>251.53760326025505</v>
      </c>
      <c r="JN91" s="54">
        <f t="shared" ca="1" si="496"/>
        <v>251.53760326025505</v>
      </c>
      <c r="JO91" s="54">
        <f t="shared" ca="1" si="496"/>
        <v>251.53760326025505</v>
      </c>
      <c r="JP91" s="54">
        <f t="shared" ca="1" si="496"/>
        <v>251.53760326025505</v>
      </c>
      <c r="JQ91" s="54">
        <f t="shared" ca="1" si="496"/>
        <v>251.53760326025505</v>
      </c>
      <c r="JR91" s="54">
        <f t="shared" ca="1" si="496"/>
        <v>251.53760326025505</v>
      </c>
      <c r="JS91" s="54">
        <f t="shared" ca="1" si="496"/>
        <v>251.53760326025505</v>
      </c>
      <c r="JT91" s="54">
        <f t="shared" ca="1" si="496"/>
        <v>251.53760326025505</v>
      </c>
      <c r="JU91" s="54">
        <f t="shared" ca="1" si="496"/>
        <v>251.53760326025505</v>
      </c>
      <c r="JV91" s="54">
        <f t="shared" ca="1" si="496"/>
        <v>251.53760326025505</v>
      </c>
      <c r="JW91" s="54">
        <f t="shared" ca="1" si="496"/>
        <v>251.53760326025505</v>
      </c>
      <c r="JX91" s="54">
        <f t="shared" ca="1" si="496"/>
        <v>251.53760326025505</v>
      </c>
      <c r="JY91" s="54">
        <f t="shared" ca="1" si="496"/>
        <v>251.53760326025505</v>
      </c>
      <c r="JZ91" s="54">
        <f t="shared" ca="1" si="496"/>
        <v>251.53760326025505</v>
      </c>
      <c r="KA91" s="54">
        <f t="shared" ca="1" si="496"/>
        <v>251.53760326025505</v>
      </c>
      <c r="KB91" s="54">
        <f t="shared" ca="1" si="496"/>
        <v>251.53760326025505</v>
      </c>
    </row>
    <row r="92" spans="1:289" x14ac:dyDescent="0.3">
      <c r="A92" s="169" t="s">
        <v>270</v>
      </c>
      <c r="B92" s="259">
        <f ca="1">SUM(C92:KB92)</f>
        <v>300.00044746913863</v>
      </c>
      <c r="C92" s="52">
        <f>-C38-C90</f>
        <v>26.169</v>
      </c>
      <c r="D92" s="52">
        <f t="shared" ref="D92:BO92" ca="1" si="497">-D38-D90</f>
        <v>4.9135730978274985</v>
      </c>
      <c r="E92" s="52">
        <f t="shared" ca="1" si="497"/>
        <v>3.4906503823081025</v>
      </c>
      <c r="F92" s="52">
        <f t="shared" ca="1" si="497"/>
        <v>3.2908451304930439</v>
      </c>
      <c r="G92" s="52">
        <f t="shared" ca="1" si="497"/>
        <v>3.3171394022797021</v>
      </c>
      <c r="H92" s="52">
        <f t="shared" ca="1" si="497"/>
        <v>3.343643768647349</v>
      </c>
      <c r="I92" s="52">
        <f t="shared" ca="1" si="497"/>
        <v>3.3703599082784499</v>
      </c>
      <c r="J92" s="52">
        <f t="shared" ca="1" si="497"/>
        <v>3.3972895132683552</v>
      </c>
      <c r="K92" s="52">
        <f t="shared" ca="1" si="497"/>
        <v>3.4378542520837683</v>
      </c>
      <c r="L92" s="52">
        <f t="shared" ca="1" si="497"/>
        <v>3.4606561051133036</v>
      </c>
      <c r="M92" s="52">
        <f t="shared" ca="1" si="497"/>
        <v>3.4819796224426049</v>
      </c>
      <c r="N92" s="52">
        <f t="shared" ca="1" si="497"/>
        <v>3.501845015513783</v>
      </c>
      <c r="O92" s="52">
        <f t="shared" ca="1" si="497"/>
        <v>3.5172065022208252</v>
      </c>
      <c r="P92" s="52">
        <f t="shared" ca="1" si="497"/>
        <v>7.5139679677997577</v>
      </c>
      <c r="Q92" s="52">
        <f t="shared" ca="1" si="497"/>
        <v>7.016479549372268</v>
      </c>
      <c r="R92" s="52">
        <f t="shared" ca="1" si="497"/>
        <v>6.597991357635034</v>
      </c>
      <c r="S92" s="52">
        <f t="shared" ca="1" si="497"/>
        <v>6.6269346592615967</v>
      </c>
      <c r="T92" s="52">
        <f t="shared" ca="1" si="497"/>
        <v>6.6560049259997571</v>
      </c>
      <c r="U92" s="52">
        <f t="shared" ca="1" si="497"/>
        <v>6.6852027148053113</v>
      </c>
      <c r="V92" s="52">
        <f t="shared" ca="1" si="497"/>
        <v>7.2912212201123472</v>
      </c>
      <c r="W92" s="52">
        <f t="shared" ca="1" si="497"/>
        <v>6.7724599806349826</v>
      </c>
      <c r="X92" s="52">
        <f t="shared" ca="1" si="497"/>
        <v>6.8021686209390522</v>
      </c>
      <c r="Y92" s="52">
        <f t="shared" ca="1" si="497"/>
        <v>9.8385939357659922</v>
      </c>
      <c r="Z92" s="52">
        <f t="shared" ca="1" si="497"/>
        <v>9.6606348517706877</v>
      </c>
      <c r="AA92" s="52">
        <f t="shared" ca="1" si="497"/>
        <v>9.5157360451337567</v>
      </c>
      <c r="AB92" s="52">
        <f t="shared" ca="1" si="497"/>
        <v>3.2986108460913925</v>
      </c>
      <c r="AC92" s="52">
        <f t="shared" ca="1" si="497"/>
        <v>3.3130808087651991</v>
      </c>
      <c r="AD92" s="52">
        <f t="shared" ca="1" si="497"/>
        <v>3.3276142465894702</v>
      </c>
      <c r="AE92" s="52">
        <f t="shared" ca="1" si="497"/>
        <v>3.3422114380096191</v>
      </c>
      <c r="AF92" s="52">
        <f t="shared" ca="1" si="497"/>
        <v>3.3676887110388241</v>
      </c>
      <c r="AG92" s="52">
        <f t="shared" ca="1" si="497"/>
        <v>3.3824616964619061</v>
      </c>
      <c r="AH92" s="52">
        <f t="shared" ca="1" si="497"/>
        <v>10.964392449071958</v>
      </c>
      <c r="AI92" s="52">
        <f t="shared" ca="1" si="497"/>
        <v>9.4210993847007956</v>
      </c>
      <c r="AJ92" s="52">
        <f t="shared" ca="1" si="497"/>
        <v>9.0606590206237598</v>
      </c>
      <c r="AK92" s="52">
        <f t="shared" ca="1" si="497"/>
        <v>6.4913977072196438</v>
      </c>
      <c r="AL92" s="52">
        <f t="shared" ca="1" si="497"/>
        <v>6.5198734162095651</v>
      </c>
      <c r="AM92" s="52">
        <f t="shared" ca="1" si="497"/>
        <v>6.5484740391300535</v>
      </c>
      <c r="AN92" s="52">
        <f t="shared" ca="1" si="497"/>
        <v>6.5772001239390194</v>
      </c>
      <c r="AO92" s="52">
        <f t="shared" ca="1" si="497"/>
        <v>6.6292560334674153</v>
      </c>
      <c r="AP92" s="52">
        <f t="shared" ca="1" si="497"/>
        <v>6.6583364833401362</v>
      </c>
      <c r="AQ92" s="52">
        <f t="shared" ca="1" si="497"/>
        <v>8.1958299518995261</v>
      </c>
      <c r="AR92" s="52">
        <f t="shared" ca="1" si="497"/>
        <v>7.6718095157921864</v>
      </c>
      <c r="AS92" s="52">
        <f t="shared" ca="1" si="497"/>
        <v>7.6964783591508548</v>
      </c>
      <c r="AT92" s="52">
        <f t="shared" ca="1" si="497"/>
        <v>2.1331017353328208</v>
      </c>
      <c r="AU92" s="52">
        <f t="shared" ca="1" si="497"/>
        <v>2.1424589781025372</v>
      </c>
      <c r="AV92" s="52">
        <f t="shared" ca="1" si="497"/>
        <v>2.1518572681372765</v>
      </c>
      <c r="AW92" s="52">
        <f t="shared" ca="1" si="497"/>
        <v>2.16129678549841</v>
      </c>
      <c r="AX92" s="52">
        <f t="shared" ca="1" si="497"/>
        <v>2.1707777110371822</v>
      </c>
      <c r="AY92" s="52">
        <f t="shared" ca="1" si="497"/>
        <v>2.1803002263981734</v>
      </c>
      <c r="AZ92" s="52">
        <f t="shared" ca="1" si="497"/>
        <v>3.1887886408269921</v>
      </c>
      <c r="BA92" s="52">
        <f t="shared" ca="1" si="497"/>
        <v>2.2086872433144786</v>
      </c>
      <c r="BB92" s="52">
        <f t="shared" ca="1" si="497"/>
        <v>2.2183760558055736</v>
      </c>
      <c r="BC92" s="52">
        <f t="shared" ca="1" si="497"/>
        <v>2.2281073700532081</v>
      </c>
      <c r="BD92" s="52">
        <f t="shared" ca="1" si="497"/>
        <v>2.2378813724991486</v>
      </c>
      <c r="BE92" s="52">
        <f t="shared" ca="1" si="497"/>
        <v>2.8429013209242555</v>
      </c>
      <c r="BF92" s="52">
        <f t="shared" si="497"/>
        <v>0</v>
      </c>
      <c r="BG92" s="52">
        <f t="shared" si="497"/>
        <v>0</v>
      </c>
      <c r="BH92" s="52">
        <f t="shared" si="497"/>
        <v>0</v>
      </c>
      <c r="BI92" s="52">
        <f t="shared" si="497"/>
        <v>0</v>
      </c>
      <c r="BJ92" s="52">
        <f t="shared" si="497"/>
        <v>0</v>
      </c>
      <c r="BK92" s="52">
        <f t="shared" si="497"/>
        <v>0</v>
      </c>
      <c r="BL92" s="52">
        <f t="shared" si="497"/>
        <v>0</v>
      </c>
      <c r="BM92" s="52">
        <f t="shared" si="497"/>
        <v>0</v>
      </c>
      <c r="BN92" s="52">
        <f t="shared" si="497"/>
        <v>0</v>
      </c>
      <c r="BO92" s="52">
        <f t="shared" si="497"/>
        <v>0</v>
      </c>
      <c r="BP92" s="52">
        <f t="shared" ref="BP92:EA92" si="498">-BP38-BP90</f>
        <v>0</v>
      </c>
      <c r="BQ92" s="52">
        <f t="shared" si="498"/>
        <v>0</v>
      </c>
      <c r="BR92" s="52">
        <f t="shared" si="498"/>
        <v>0</v>
      </c>
      <c r="BS92" s="52">
        <f t="shared" si="498"/>
        <v>0</v>
      </c>
      <c r="BT92" s="52">
        <f t="shared" si="498"/>
        <v>0</v>
      </c>
      <c r="BU92" s="52">
        <f t="shared" si="498"/>
        <v>0</v>
      </c>
      <c r="BV92" s="52">
        <f t="shared" si="498"/>
        <v>0</v>
      </c>
      <c r="BW92" s="52">
        <f t="shared" si="498"/>
        <v>0</v>
      </c>
      <c r="BX92" s="52">
        <f t="shared" si="498"/>
        <v>0</v>
      </c>
      <c r="BY92" s="52">
        <f t="shared" si="498"/>
        <v>0</v>
      </c>
      <c r="BZ92" s="52">
        <f t="shared" si="498"/>
        <v>0</v>
      </c>
      <c r="CA92" s="52">
        <f t="shared" si="498"/>
        <v>0</v>
      </c>
      <c r="CB92" s="52">
        <f t="shared" si="498"/>
        <v>0</v>
      </c>
      <c r="CC92" s="52">
        <f t="shared" si="498"/>
        <v>0</v>
      </c>
      <c r="CD92" s="52">
        <f t="shared" si="498"/>
        <v>0</v>
      </c>
      <c r="CE92" s="52">
        <f t="shared" si="498"/>
        <v>0</v>
      </c>
      <c r="CF92" s="52">
        <f t="shared" si="498"/>
        <v>0</v>
      </c>
      <c r="CG92" s="52">
        <f t="shared" si="498"/>
        <v>0</v>
      </c>
      <c r="CH92" s="52">
        <f t="shared" si="498"/>
        <v>0</v>
      </c>
      <c r="CI92" s="52">
        <f t="shared" si="498"/>
        <v>0</v>
      </c>
      <c r="CJ92" s="52">
        <f t="shared" si="498"/>
        <v>0</v>
      </c>
      <c r="CK92" s="52">
        <f t="shared" si="498"/>
        <v>0</v>
      </c>
      <c r="CL92" s="52">
        <f t="shared" si="498"/>
        <v>0</v>
      </c>
      <c r="CM92" s="52">
        <f t="shared" si="498"/>
        <v>0</v>
      </c>
      <c r="CN92" s="52">
        <f t="shared" si="498"/>
        <v>0</v>
      </c>
      <c r="CO92" s="52">
        <f t="shared" si="498"/>
        <v>0</v>
      </c>
      <c r="CP92" s="52">
        <f t="shared" si="498"/>
        <v>0</v>
      </c>
      <c r="CQ92" s="52">
        <f t="shared" si="498"/>
        <v>0</v>
      </c>
      <c r="CR92" s="52">
        <f t="shared" si="498"/>
        <v>0</v>
      </c>
      <c r="CS92" s="52">
        <f t="shared" si="498"/>
        <v>0</v>
      </c>
      <c r="CT92" s="52">
        <f t="shared" si="498"/>
        <v>0</v>
      </c>
      <c r="CU92" s="52">
        <f t="shared" si="498"/>
        <v>0</v>
      </c>
      <c r="CV92" s="52">
        <f t="shared" si="498"/>
        <v>0</v>
      </c>
      <c r="CW92" s="52">
        <f t="shared" si="498"/>
        <v>0</v>
      </c>
      <c r="CX92" s="52">
        <f t="shared" si="498"/>
        <v>0</v>
      </c>
      <c r="CY92" s="52">
        <f t="shared" si="498"/>
        <v>0</v>
      </c>
      <c r="CZ92" s="52">
        <f t="shared" si="498"/>
        <v>0</v>
      </c>
      <c r="DA92" s="52">
        <f t="shared" si="498"/>
        <v>0</v>
      </c>
      <c r="DB92" s="52">
        <f t="shared" si="498"/>
        <v>0</v>
      </c>
      <c r="DC92" s="52">
        <f t="shared" si="498"/>
        <v>0</v>
      </c>
      <c r="DD92" s="52">
        <f t="shared" si="498"/>
        <v>0</v>
      </c>
      <c r="DE92" s="52">
        <f t="shared" si="498"/>
        <v>0</v>
      </c>
      <c r="DF92" s="52">
        <f t="shared" si="498"/>
        <v>0</v>
      </c>
      <c r="DG92" s="52">
        <f t="shared" si="498"/>
        <v>0</v>
      </c>
      <c r="DH92" s="52">
        <f t="shared" si="498"/>
        <v>0</v>
      </c>
      <c r="DI92" s="52">
        <f t="shared" si="498"/>
        <v>0</v>
      </c>
      <c r="DJ92" s="52">
        <f t="shared" si="498"/>
        <v>0</v>
      </c>
      <c r="DK92" s="52">
        <f t="shared" si="498"/>
        <v>0</v>
      </c>
      <c r="DL92" s="52">
        <f t="shared" si="498"/>
        <v>0</v>
      </c>
      <c r="DM92" s="52">
        <f t="shared" si="498"/>
        <v>0</v>
      </c>
      <c r="DN92" s="52">
        <f t="shared" si="498"/>
        <v>0</v>
      </c>
      <c r="DO92" s="52">
        <f t="shared" si="498"/>
        <v>0</v>
      </c>
      <c r="DP92" s="52">
        <f t="shared" si="498"/>
        <v>0</v>
      </c>
      <c r="DQ92" s="52">
        <f t="shared" si="498"/>
        <v>0</v>
      </c>
      <c r="DR92" s="52">
        <f t="shared" si="498"/>
        <v>0</v>
      </c>
      <c r="DS92" s="52">
        <f t="shared" si="498"/>
        <v>0</v>
      </c>
      <c r="DT92" s="52">
        <f t="shared" si="498"/>
        <v>0</v>
      </c>
      <c r="DU92" s="52">
        <f t="shared" si="498"/>
        <v>0</v>
      </c>
      <c r="DV92" s="52">
        <f t="shared" si="498"/>
        <v>0</v>
      </c>
      <c r="DW92" s="52">
        <f t="shared" si="498"/>
        <v>0</v>
      </c>
      <c r="DX92" s="52">
        <f t="shared" si="498"/>
        <v>0</v>
      </c>
      <c r="DY92" s="52">
        <f t="shared" si="498"/>
        <v>0</v>
      </c>
      <c r="DZ92" s="52">
        <f t="shared" si="498"/>
        <v>0</v>
      </c>
      <c r="EA92" s="52">
        <f t="shared" si="498"/>
        <v>0</v>
      </c>
      <c r="EB92" s="52">
        <f t="shared" ref="EB92:GM92" si="499">-EB38-EB90</f>
        <v>0</v>
      </c>
      <c r="EC92" s="52">
        <f t="shared" si="499"/>
        <v>0</v>
      </c>
      <c r="ED92" s="52">
        <f t="shared" si="499"/>
        <v>0</v>
      </c>
      <c r="EE92" s="52">
        <f t="shared" si="499"/>
        <v>0</v>
      </c>
      <c r="EF92" s="52">
        <f t="shared" si="499"/>
        <v>0</v>
      </c>
      <c r="EG92" s="52">
        <f t="shared" si="499"/>
        <v>0</v>
      </c>
      <c r="EH92" s="52">
        <f t="shared" si="499"/>
        <v>0</v>
      </c>
      <c r="EI92" s="52">
        <f t="shared" si="499"/>
        <v>0</v>
      </c>
      <c r="EJ92" s="52">
        <f t="shared" si="499"/>
        <v>0</v>
      </c>
      <c r="EK92" s="52">
        <f t="shared" si="499"/>
        <v>0</v>
      </c>
      <c r="EL92" s="52">
        <f t="shared" si="499"/>
        <v>0</v>
      </c>
      <c r="EM92" s="52">
        <f t="shared" si="499"/>
        <v>0</v>
      </c>
      <c r="EN92" s="52">
        <f t="shared" si="499"/>
        <v>0</v>
      </c>
      <c r="EO92" s="52">
        <f t="shared" si="499"/>
        <v>0</v>
      </c>
      <c r="EP92" s="52">
        <f t="shared" si="499"/>
        <v>0</v>
      </c>
      <c r="EQ92" s="52">
        <f t="shared" si="499"/>
        <v>0</v>
      </c>
      <c r="ER92" s="52">
        <f t="shared" si="499"/>
        <v>0</v>
      </c>
      <c r="ES92" s="52">
        <f t="shared" si="499"/>
        <v>0</v>
      </c>
      <c r="ET92" s="52">
        <f t="shared" si="499"/>
        <v>0</v>
      </c>
      <c r="EU92" s="52">
        <f t="shared" si="499"/>
        <v>0</v>
      </c>
      <c r="EV92" s="52">
        <f t="shared" si="499"/>
        <v>0</v>
      </c>
      <c r="EW92" s="52">
        <f t="shared" si="499"/>
        <v>0</v>
      </c>
      <c r="EX92" s="52">
        <f t="shared" si="499"/>
        <v>0</v>
      </c>
      <c r="EY92" s="52">
        <f t="shared" si="499"/>
        <v>0</v>
      </c>
      <c r="EZ92" s="52">
        <f t="shared" si="499"/>
        <v>0</v>
      </c>
      <c r="FA92" s="52">
        <f t="shared" si="499"/>
        <v>0</v>
      </c>
      <c r="FB92" s="52">
        <f t="shared" si="499"/>
        <v>0</v>
      </c>
      <c r="FC92" s="52">
        <f t="shared" si="499"/>
        <v>0</v>
      </c>
      <c r="FD92" s="52">
        <f t="shared" si="499"/>
        <v>0</v>
      </c>
      <c r="FE92" s="52">
        <f t="shared" si="499"/>
        <v>0</v>
      </c>
      <c r="FF92" s="52">
        <f t="shared" si="499"/>
        <v>0</v>
      </c>
      <c r="FG92" s="52">
        <f t="shared" si="499"/>
        <v>0</v>
      </c>
      <c r="FH92" s="52">
        <f t="shared" si="499"/>
        <v>0</v>
      </c>
      <c r="FI92" s="52">
        <f t="shared" si="499"/>
        <v>0</v>
      </c>
      <c r="FJ92" s="52">
        <f t="shared" si="499"/>
        <v>0</v>
      </c>
      <c r="FK92" s="52">
        <f t="shared" si="499"/>
        <v>0</v>
      </c>
      <c r="FL92" s="52">
        <f t="shared" si="499"/>
        <v>0</v>
      </c>
      <c r="FM92" s="52">
        <f t="shared" si="499"/>
        <v>0</v>
      </c>
      <c r="FN92" s="52">
        <f t="shared" si="499"/>
        <v>0</v>
      </c>
      <c r="FO92" s="52">
        <f t="shared" si="499"/>
        <v>0</v>
      </c>
      <c r="FP92" s="52">
        <f t="shared" si="499"/>
        <v>0</v>
      </c>
      <c r="FQ92" s="52">
        <f t="shared" si="499"/>
        <v>0</v>
      </c>
      <c r="FR92" s="52">
        <f t="shared" si="499"/>
        <v>0</v>
      </c>
      <c r="FS92" s="52">
        <f t="shared" si="499"/>
        <v>0</v>
      </c>
      <c r="FT92" s="52">
        <f t="shared" si="499"/>
        <v>0</v>
      </c>
      <c r="FU92" s="52">
        <f t="shared" si="499"/>
        <v>0</v>
      </c>
      <c r="FV92" s="52">
        <f t="shared" si="499"/>
        <v>0</v>
      </c>
      <c r="FW92" s="52">
        <f t="shared" si="499"/>
        <v>0</v>
      </c>
      <c r="FX92" s="52">
        <f t="shared" si="499"/>
        <v>0</v>
      </c>
      <c r="FY92" s="52">
        <f t="shared" si="499"/>
        <v>0</v>
      </c>
      <c r="FZ92" s="52">
        <f t="shared" si="499"/>
        <v>0</v>
      </c>
      <c r="GA92" s="52">
        <f t="shared" si="499"/>
        <v>0</v>
      </c>
      <c r="GB92" s="52">
        <f t="shared" si="499"/>
        <v>0</v>
      </c>
      <c r="GC92" s="52">
        <f t="shared" si="499"/>
        <v>0</v>
      </c>
      <c r="GD92" s="52">
        <f t="shared" si="499"/>
        <v>0</v>
      </c>
      <c r="GE92" s="52">
        <f t="shared" si="499"/>
        <v>0</v>
      </c>
      <c r="GF92" s="52">
        <f t="shared" si="499"/>
        <v>0</v>
      </c>
      <c r="GG92" s="52">
        <f t="shared" si="499"/>
        <v>0</v>
      </c>
      <c r="GH92" s="52">
        <f t="shared" si="499"/>
        <v>0</v>
      </c>
      <c r="GI92" s="52">
        <f t="shared" si="499"/>
        <v>0</v>
      </c>
      <c r="GJ92" s="52">
        <f t="shared" si="499"/>
        <v>0</v>
      </c>
      <c r="GK92" s="52">
        <f t="shared" si="499"/>
        <v>0</v>
      </c>
      <c r="GL92" s="52">
        <f t="shared" si="499"/>
        <v>0</v>
      </c>
      <c r="GM92" s="52">
        <f t="shared" si="499"/>
        <v>0</v>
      </c>
      <c r="GN92" s="52">
        <f t="shared" ref="GN92:IY92" si="500">-GN38-GN90</f>
        <v>0</v>
      </c>
      <c r="GO92" s="52">
        <f t="shared" si="500"/>
        <v>0</v>
      </c>
      <c r="GP92" s="52">
        <f t="shared" si="500"/>
        <v>0</v>
      </c>
      <c r="GQ92" s="52">
        <f t="shared" si="500"/>
        <v>0</v>
      </c>
      <c r="GR92" s="52">
        <f t="shared" si="500"/>
        <v>0</v>
      </c>
      <c r="GS92" s="52">
        <f t="shared" si="500"/>
        <v>0</v>
      </c>
      <c r="GT92" s="52">
        <f t="shared" si="500"/>
        <v>0</v>
      </c>
      <c r="GU92" s="52">
        <f t="shared" si="500"/>
        <v>0</v>
      </c>
      <c r="GV92" s="52">
        <f t="shared" si="500"/>
        <v>0</v>
      </c>
      <c r="GW92" s="52">
        <f t="shared" si="500"/>
        <v>0</v>
      </c>
      <c r="GX92" s="52">
        <f t="shared" si="500"/>
        <v>0</v>
      </c>
      <c r="GY92" s="52">
        <f t="shared" si="500"/>
        <v>0</v>
      </c>
      <c r="GZ92" s="52">
        <f t="shared" si="500"/>
        <v>0</v>
      </c>
      <c r="HA92" s="52">
        <f t="shared" si="500"/>
        <v>0</v>
      </c>
      <c r="HB92" s="52">
        <f t="shared" si="500"/>
        <v>0</v>
      </c>
      <c r="HC92" s="52">
        <f t="shared" si="500"/>
        <v>0</v>
      </c>
      <c r="HD92" s="52">
        <f t="shared" si="500"/>
        <v>0</v>
      </c>
      <c r="HE92" s="52">
        <f t="shared" si="500"/>
        <v>0</v>
      </c>
      <c r="HF92" s="52">
        <f t="shared" si="500"/>
        <v>0</v>
      </c>
      <c r="HG92" s="52">
        <f t="shared" si="500"/>
        <v>0</v>
      </c>
      <c r="HH92" s="52">
        <f t="shared" si="500"/>
        <v>0</v>
      </c>
      <c r="HI92" s="52">
        <f t="shared" si="500"/>
        <v>0</v>
      </c>
      <c r="HJ92" s="52">
        <f t="shared" si="500"/>
        <v>0</v>
      </c>
      <c r="HK92" s="52">
        <f t="shared" si="500"/>
        <v>0</v>
      </c>
      <c r="HL92" s="52">
        <f t="shared" si="500"/>
        <v>0</v>
      </c>
      <c r="HM92" s="52">
        <f t="shared" si="500"/>
        <v>0</v>
      </c>
      <c r="HN92" s="52">
        <f t="shared" si="500"/>
        <v>0</v>
      </c>
      <c r="HO92" s="52">
        <f t="shared" si="500"/>
        <v>0</v>
      </c>
      <c r="HP92" s="52">
        <f t="shared" si="500"/>
        <v>0</v>
      </c>
      <c r="HQ92" s="52">
        <f t="shared" si="500"/>
        <v>0</v>
      </c>
      <c r="HR92" s="52">
        <f t="shared" si="500"/>
        <v>0</v>
      </c>
      <c r="HS92" s="52">
        <f t="shared" si="500"/>
        <v>0</v>
      </c>
      <c r="HT92" s="52">
        <f t="shared" si="500"/>
        <v>0</v>
      </c>
      <c r="HU92" s="52">
        <f t="shared" si="500"/>
        <v>0</v>
      </c>
      <c r="HV92" s="52">
        <f t="shared" si="500"/>
        <v>0</v>
      </c>
      <c r="HW92" s="52">
        <f t="shared" si="500"/>
        <v>0</v>
      </c>
      <c r="HX92" s="52">
        <f t="shared" si="500"/>
        <v>0</v>
      </c>
      <c r="HY92" s="52">
        <f t="shared" si="500"/>
        <v>0</v>
      </c>
      <c r="HZ92" s="52">
        <f t="shared" si="500"/>
        <v>0</v>
      </c>
      <c r="IA92" s="52">
        <f t="shared" si="500"/>
        <v>0</v>
      </c>
      <c r="IB92" s="52">
        <f t="shared" si="500"/>
        <v>0</v>
      </c>
      <c r="IC92" s="52">
        <f t="shared" si="500"/>
        <v>0</v>
      </c>
      <c r="ID92" s="52">
        <f t="shared" si="500"/>
        <v>0</v>
      </c>
      <c r="IE92" s="52">
        <f t="shared" si="500"/>
        <v>0</v>
      </c>
      <c r="IF92" s="52">
        <f t="shared" si="500"/>
        <v>0</v>
      </c>
      <c r="IG92" s="52">
        <f t="shared" si="500"/>
        <v>0</v>
      </c>
      <c r="IH92" s="52">
        <f t="shared" si="500"/>
        <v>0</v>
      </c>
      <c r="II92" s="52">
        <f t="shared" si="500"/>
        <v>0</v>
      </c>
      <c r="IJ92" s="52">
        <f t="shared" si="500"/>
        <v>0</v>
      </c>
      <c r="IK92" s="52">
        <f t="shared" si="500"/>
        <v>0</v>
      </c>
      <c r="IL92" s="52">
        <f t="shared" si="500"/>
        <v>0</v>
      </c>
      <c r="IM92" s="52">
        <f t="shared" si="500"/>
        <v>0</v>
      </c>
      <c r="IN92" s="52">
        <f t="shared" si="500"/>
        <v>0</v>
      </c>
      <c r="IO92" s="52">
        <f t="shared" si="500"/>
        <v>0</v>
      </c>
      <c r="IP92" s="52">
        <f t="shared" si="500"/>
        <v>0</v>
      </c>
      <c r="IQ92" s="52">
        <f t="shared" si="500"/>
        <v>0</v>
      </c>
      <c r="IR92" s="52">
        <f t="shared" si="500"/>
        <v>0</v>
      </c>
      <c r="IS92" s="52">
        <f t="shared" si="500"/>
        <v>0</v>
      </c>
      <c r="IT92" s="52">
        <f t="shared" si="500"/>
        <v>0</v>
      </c>
      <c r="IU92" s="52">
        <f t="shared" si="500"/>
        <v>0</v>
      </c>
      <c r="IV92" s="52">
        <f t="shared" si="500"/>
        <v>0</v>
      </c>
      <c r="IW92" s="52">
        <f t="shared" si="500"/>
        <v>0</v>
      </c>
      <c r="IX92" s="52">
        <f t="shared" si="500"/>
        <v>0</v>
      </c>
      <c r="IY92" s="52">
        <f t="shared" si="500"/>
        <v>0</v>
      </c>
      <c r="IZ92" s="52">
        <f t="shared" ref="IZ92:KB92" si="501">-IZ38-IZ90</f>
        <v>0</v>
      </c>
      <c r="JA92" s="52">
        <f t="shared" si="501"/>
        <v>0</v>
      </c>
      <c r="JB92" s="52">
        <f t="shared" si="501"/>
        <v>0</v>
      </c>
      <c r="JC92" s="52">
        <f t="shared" si="501"/>
        <v>0</v>
      </c>
      <c r="JD92" s="52">
        <f t="shared" si="501"/>
        <v>0</v>
      </c>
      <c r="JE92" s="52">
        <f t="shared" si="501"/>
        <v>0</v>
      </c>
      <c r="JF92" s="52">
        <f t="shared" si="501"/>
        <v>0</v>
      </c>
      <c r="JG92" s="52">
        <f t="shared" si="501"/>
        <v>0</v>
      </c>
      <c r="JH92" s="52">
        <f t="shared" si="501"/>
        <v>0</v>
      </c>
      <c r="JI92" s="52">
        <f t="shared" si="501"/>
        <v>0</v>
      </c>
      <c r="JJ92" s="52">
        <f t="shared" si="501"/>
        <v>0</v>
      </c>
      <c r="JK92" s="52">
        <f t="shared" si="501"/>
        <v>0</v>
      </c>
      <c r="JL92" s="52">
        <f t="shared" si="501"/>
        <v>0</v>
      </c>
      <c r="JM92" s="52">
        <f t="shared" si="501"/>
        <v>0</v>
      </c>
      <c r="JN92" s="52">
        <f t="shared" si="501"/>
        <v>0</v>
      </c>
      <c r="JO92" s="52">
        <f t="shared" si="501"/>
        <v>0</v>
      </c>
      <c r="JP92" s="52">
        <f t="shared" si="501"/>
        <v>0</v>
      </c>
      <c r="JQ92" s="52">
        <f t="shared" si="501"/>
        <v>0</v>
      </c>
      <c r="JR92" s="52">
        <f t="shared" si="501"/>
        <v>0</v>
      </c>
      <c r="JS92" s="52">
        <f t="shared" si="501"/>
        <v>0</v>
      </c>
      <c r="JT92" s="52">
        <f t="shared" si="501"/>
        <v>0</v>
      </c>
      <c r="JU92" s="52">
        <f t="shared" si="501"/>
        <v>0</v>
      </c>
      <c r="JV92" s="52">
        <f t="shared" si="501"/>
        <v>0</v>
      </c>
      <c r="JW92" s="52">
        <f t="shared" si="501"/>
        <v>0</v>
      </c>
      <c r="JX92" s="52">
        <f t="shared" si="501"/>
        <v>0</v>
      </c>
      <c r="JY92" s="52">
        <f t="shared" si="501"/>
        <v>0</v>
      </c>
      <c r="JZ92" s="52">
        <f t="shared" si="501"/>
        <v>0</v>
      </c>
      <c r="KA92" s="52">
        <f t="shared" si="501"/>
        <v>0</v>
      </c>
      <c r="KB92" s="52">
        <f t="shared" si="501"/>
        <v>0</v>
      </c>
    </row>
    <row r="93" spans="1:289" x14ac:dyDescent="0.3">
      <c r="A93" s="290" t="s">
        <v>271</v>
      </c>
      <c r="B93" s="54"/>
      <c r="C93" s="54">
        <f>C92</f>
        <v>26.169</v>
      </c>
      <c r="D93" s="54">
        <f t="shared" ref="D93" ca="1" si="502">C93+D92</f>
        <v>31.082573097827499</v>
      </c>
      <c r="E93" s="54">
        <f t="shared" ref="E93" ca="1" si="503">D93+E92</f>
        <v>34.573223480135603</v>
      </c>
      <c r="F93" s="54">
        <f t="shared" ref="F93" ca="1" si="504">E93+F92</f>
        <v>37.864068610628649</v>
      </c>
      <c r="G93" s="54">
        <f t="shared" ref="G93" ca="1" si="505">F93+G92</f>
        <v>41.18120801290835</v>
      </c>
      <c r="H93" s="54">
        <f t="shared" ref="H93" ca="1" si="506">G93+H92</f>
        <v>44.524851781555697</v>
      </c>
      <c r="I93" s="54">
        <f t="shared" ref="I93" ca="1" si="507">H93+I92</f>
        <v>47.895211689834149</v>
      </c>
      <c r="J93" s="54">
        <f t="shared" ref="J93" ca="1" si="508">I93+J92</f>
        <v>51.292501203102503</v>
      </c>
      <c r="K93" s="54">
        <f t="shared" ref="K93" ca="1" si="509">J93+K92</f>
        <v>54.73035545518627</v>
      </c>
      <c r="L93" s="54">
        <f t="shared" ref="L93" ca="1" si="510">K93+L92</f>
        <v>58.191011560299572</v>
      </c>
      <c r="M93" s="54">
        <f t="shared" ref="M93" ca="1" si="511">L93+M92</f>
        <v>61.67299118274218</v>
      </c>
      <c r="N93" s="54">
        <f t="shared" ref="N93" ca="1" si="512">M93+N92</f>
        <v>65.17483619825596</v>
      </c>
      <c r="O93" s="54">
        <f t="shared" ref="O93" ca="1" si="513">N93+O92</f>
        <v>68.69204270047679</v>
      </c>
      <c r="P93" s="54">
        <f t="shared" ref="P93" ca="1" si="514">O93+P92</f>
        <v>76.206010668276548</v>
      </c>
      <c r="Q93" s="54">
        <f t="shared" ref="Q93" ca="1" si="515">P93+Q92</f>
        <v>83.222490217648811</v>
      </c>
      <c r="R93" s="54">
        <f t="shared" ref="R93" ca="1" si="516">Q93+R92</f>
        <v>89.82048157528385</v>
      </c>
      <c r="S93" s="54">
        <f t="shared" ref="S93" ca="1" si="517">R93+S92</f>
        <v>96.447416234545443</v>
      </c>
      <c r="T93" s="54">
        <f t="shared" ref="T93" ca="1" si="518">S93+T92</f>
        <v>103.1034211605452</v>
      </c>
      <c r="U93" s="54">
        <f t="shared" ref="U93" ca="1" si="519">T93+U92</f>
        <v>109.78862387535051</v>
      </c>
      <c r="V93" s="54">
        <f t="shared" ref="V93" ca="1" si="520">U93+V92</f>
        <v>117.07984509546286</v>
      </c>
      <c r="W93" s="54">
        <f t="shared" ref="W93" ca="1" si="521">V93+W92</f>
        <v>123.85230507609784</v>
      </c>
      <c r="X93" s="54">
        <f t="shared" ref="X93" ca="1" si="522">W93+X92</f>
        <v>130.65447369703688</v>
      </c>
      <c r="Y93" s="54">
        <f t="shared" ref="Y93" ca="1" si="523">X93+Y92</f>
        <v>140.49306763280288</v>
      </c>
      <c r="Z93" s="54">
        <f t="shared" ref="Z93" ca="1" si="524">Y93+Z92</f>
        <v>150.15370248457356</v>
      </c>
      <c r="AA93" s="54">
        <f t="shared" ref="AA93" ca="1" si="525">Z93+AA92</f>
        <v>159.66943852970732</v>
      </c>
      <c r="AB93" s="54">
        <f t="shared" ref="AB93" ca="1" si="526">AA93+AB92</f>
        <v>162.96804937579873</v>
      </c>
      <c r="AC93" s="54">
        <f t="shared" ref="AC93" ca="1" si="527">AB93+AC92</f>
        <v>166.28113018456392</v>
      </c>
      <c r="AD93" s="54">
        <f t="shared" ref="AD93" ca="1" si="528">AC93+AD92</f>
        <v>169.60874443115338</v>
      </c>
      <c r="AE93" s="54">
        <f t="shared" ref="AE93" ca="1" si="529">AD93+AE92</f>
        <v>172.95095586916301</v>
      </c>
      <c r="AF93" s="54">
        <f t="shared" ref="AF93" ca="1" si="530">AE93+AF92</f>
        <v>176.31864458020183</v>
      </c>
      <c r="AG93" s="54">
        <f t="shared" ref="AG93" ca="1" si="531">AF93+AG92</f>
        <v>179.70110627666375</v>
      </c>
      <c r="AH93" s="54">
        <f t="shared" ref="AH93" ca="1" si="532">AG93+AH92</f>
        <v>190.66549872573572</v>
      </c>
      <c r="AI93" s="54">
        <f t="shared" ref="AI93" ca="1" si="533">AH93+AI92</f>
        <v>200.08659811043651</v>
      </c>
      <c r="AJ93" s="54">
        <f t="shared" ref="AJ93" ca="1" si="534">AI93+AJ92</f>
        <v>209.14725713106026</v>
      </c>
      <c r="AK93" s="54">
        <f t="shared" ref="AK93" ca="1" si="535">AJ93+AK92</f>
        <v>215.6386548382799</v>
      </c>
      <c r="AL93" s="54">
        <f t="shared" ref="AL93" ca="1" si="536">AK93+AL92</f>
        <v>222.15852825448948</v>
      </c>
      <c r="AM93" s="54">
        <f t="shared" ref="AM93" ca="1" si="537">AL93+AM92</f>
        <v>228.70700229361952</v>
      </c>
      <c r="AN93" s="54">
        <f t="shared" ref="AN93" ca="1" si="538">AM93+AN92</f>
        <v>235.28420241755853</v>
      </c>
      <c r="AO93" s="54">
        <f t="shared" ref="AO93" ca="1" si="539">AN93+AO92</f>
        <v>241.91345845102595</v>
      </c>
      <c r="AP93" s="54">
        <f t="shared" ref="AP93" ca="1" si="540">AO93+AP92</f>
        <v>248.5717949343661</v>
      </c>
      <c r="AQ93" s="54">
        <f t="shared" ref="AQ93" ca="1" si="541">AP93+AQ92</f>
        <v>256.76762488626559</v>
      </c>
      <c r="AR93" s="54">
        <f t="shared" ref="AR93" ca="1" si="542">AQ93+AR92</f>
        <v>264.43943440205777</v>
      </c>
      <c r="AS93" s="54">
        <f t="shared" ref="AS93" ca="1" si="543">AR93+AS92</f>
        <v>272.1359127612086</v>
      </c>
      <c r="AT93" s="54">
        <f t="shared" ref="AT93" ca="1" si="544">AS93+AT92</f>
        <v>274.26901449654144</v>
      </c>
      <c r="AU93" s="54">
        <f t="shared" ref="AU93" ca="1" si="545">AT93+AU92</f>
        <v>276.41147347464397</v>
      </c>
      <c r="AV93" s="54">
        <f t="shared" ref="AV93" ca="1" si="546">AU93+AV92</f>
        <v>278.56333074278126</v>
      </c>
      <c r="AW93" s="54">
        <f t="shared" ref="AW93" ca="1" si="547">AV93+AW92</f>
        <v>280.72462752827965</v>
      </c>
      <c r="AX93" s="54">
        <f t="shared" ref="AX93" ca="1" si="548">AW93+AX92</f>
        <v>282.89540523931686</v>
      </c>
      <c r="AY93" s="54">
        <f t="shared" ref="AY93" ca="1" si="549">AX93+AY92</f>
        <v>285.07570546571503</v>
      </c>
      <c r="AZ93" s="54">
        <f t="shared" ref="AZ93" ca="1" si="550">AY93+AZ92</f>
        <v>288.26449410654203</v>
      </c>
      <c r="BA93" s="54">
        <f t="shared" ref="BA93" ca="1" si="551">AZ93+BA92</f>
        <v>290.47318134985653</v>
      </c>
      <c r="BB93" s="54">
        <f t="shared" ref="BB93" ca="1" si="552">BA93+BB92</f>
        <v>292.69155740566208</v>
      </c>
      <c r="BC93" s="54">
        <f t="shared" ref="BC93" ca="1" si="553">BB93+BC92</f>
        <v>294.91966477571526</v>
      </c>
      <c r="BD93" s="54">
        <f t="shared" ref="BD93" ca="1" si="554">BC93+BD92</f>
        <v>297.15754614821441</v>
      </c>
      <c r="BE93" s="54">
        <f t="shared" ref="BE93" ca="1" si="555">BD93+BE92</f>
        <v>300.00044746913863</v>
      </c>
      <c r="BF93" s="54">
        <f t="shared" ref="BF93" ca="1" si="556">BE93+BF92</f>
        <v>300.00044746913863</v>
      </c>
      <c r="BG93" s="54">
        <f t="shared" ref="BG93" ca="1" si="557">BF93+BG92</f>
        <v>300.00044746913863</v>
      </c>
      <c r="BH93" s="54">
        <f t="shared" ref="BH93" ca="1" si="558">BG93+BH92</f>
        <v>300.00044746913863</v>
      </c>
      <c r="BI93" s="54">
        <f t="shared" ref="BI93" ca="1" si="559">BH93+BI92</f>
        <v>300.00044746913863</v>
      </c>
      <c r="BJ93" s="54">
        <f t="shared" ref="BJ93" ca="1" si="560">BI93+BJ92</f>
        <v>300.00044746913863</v>
      </c>
      <c r="BK93" s="54">
        <f t="shared" ref="BK93" ca="1" si="561">BJ93+BK92</f>
        <v>300.00044746913863</v>
      </c>
      <c r="BL93" s="54">
        <f t="shared" ref="BL93" ca="1" si="562">BK93+BL92</f>
        <v>300.00044746913863</v>
      </c>
      <c r="BM93" s="54">
        <f t="shared" ref="BM93" ca="1" si="563">BL93+BM92</f>
        <v>300.00044746913863</v>
      </c>
      <c r="BN93" s="54">
        <f t="shared" ref="BN93" ca="1" si="564">BM93+BN92</f>
        <v>300.00044746913863</v>
      </c>
      <c r="BO93" s="54">
        <f t="shared" ref="BO93" ca="1" si="565">BN93+BO92</f>
        <v>300.00044746913863</v>
      </c>
      <c r="BP93" s="54">
        <f t="shared" ref="BP93" ca="1" si="566">BO93+BP92</f>
        <v>300.00044746913863</v>
      </c>
      <c r="BQ93" s="54">
        <f t="shared" ref="BQ93" ca="1" si="567">BP93+BQ92</f>
        <v>300.00044746913863</v>
      </c>
      <c r="BR93" s="54">
        <f t="shared" ref="BR93" ca="1" si="568">BQ93+BR92</f>
        <v>300.00044746913863</v>
      </c>
      <c r="BS93" s="54">
        <f t="shared" ref="BS93" ca="1" si="569">BR93+BS92</f>
        <v>300.00044746913863</v>
      </c>
      <c r="BT93" s="54">
        <f t="shared" ref="BT93" ca="1" si="570">BS93+BT92</f>
        <v>300.00044746913863</v>
      </c>
      <c r="BU93" s="54">
        <f t="shared" ref="BU93" ca="1" si="571">BT93+BU92</f>
        <v>300.00044746913863</v>
      </c>
      <c r="BV93" s="54">
        <f t="shared" ref="BV93" ca="1" si="572">BU93+BV92</f>
        <v>300.00044746913863</v>
      </c>
      <c r="BW93" s="54">
        <f t="shared" ref="BW93" ca="1" si="573">BV93+BW92</f>
        <v>300.00044746913863</v>
      </c>
      <c r="BX93" s="54">
        <f t="shared" ref="BX93" ca="1" si="574">BW93+BX92</f>
        <v>300.00044746913863</v>
      </c>
      <c r="BY93" s="54">
        <f t="shared" ref="BY93" ca="1" si="575">BX93+BY92</f>
        <v>300.00044746913863</v>
      </c>
      <c r="BZ93" s="54">
        <f t="shared" ref="BZ93" ca="1" si="576">BY93+BZ92</f>
        <v>300.00044746913863</v>
      </c>
      <c r="CA93" s="54">
        <f t="shared" ref="CA93" ca="1" si="577">BZ93+CA92</f>
        <v>300.00044746913863</v>
      </c>
      <c r="CB93" s="54">
        <f t="shared" ref="CB93" ca="1" si="578">CA93+CB92</f>
        <v>300.00044746913863</v>
      </c>
      <c r="CC93" s="54">
        <f t="shared" ref="CC93" ca="1" si="579">CB93+CC92</f>
        <v>300.00044746913863</v>
      </c>
      <c r="CD93" s="54">
        <f t="shared" ref="CD93" ca="1" si="580">CC93+CD92</f>
        <v>300.00044746913863</v>
      </c>
      <c r="CE93" s="54">
        <f t="shared" ref="CE93" ca="1" si="581">CD93+CE92</f>
        <v>300.00044746913863</v>
      </c>
      <c r="CF93" s="54">
        <f t="shared" ref="CF93" ca="1" si="582">CE93+CF92</f>
        <v>300.00044746913863</v>
      </c>
      <c r="CG93" s="54">
        <f t="shared" ref="CG93" ca="1" si="583">CF93+CG92</f>
        <v>300.00044746913863</v>
      </c>
      <c r="CH93" s="54">
        <f t="shared" ref="CH93" ca="1" si="584">CG93+CH92</f>
        <v>300.00044746913863</v>
      </c>
      <c r="CI93" s="54">
        <f t="shared" ref="CI93" ca="1" si="585">CH93+CI92</f>
        <v>300.00044746913863</v>
      </c>
      <c r="CJ93" s="54">
        <f t="shared" ref="CJ93" ca="1" si="586">CI93+CJ92</f>
        <v>300.00044746913863</v>
      </c>
      <c r="CK93" s="54">
        <f t="shared" ref="CK93" ca="1" si="587">CJ93+CK92</f>
        <v>300.00044746913863</v>
      </c>
      <c r="CL93" s="54">
        <f t="shared" ref="CL93" ca="1" si="588">CK93+CL92</f>
        <v>300.00044746913863</v>
      </c>
      <c r="CM93" s="54">
        <f t="shared" ref="CM93" ca="1" si="589">CL93+CM92</f>
        <v>300.00044746913863</v>
      </c>
      <c r="CN93" s="54">
        <f t="shared" ref="CN93" ca="1" si="590">CM93+CN92</f>
        <v>300.00044746913863</v>
      </c>
      <c r="CO93" s="54">
        <f t="shared" ref="CO93" ca="1" si="591">CN93+CO92</f>
        <v>300.00044746913863</v>
      </c>
      <c r="CP93" s="54">
        <f t="shared" ref="CP93" ca="1" si="592">CO93+CP92</f>
        <v>300.00044746913863</v>
      </c>
      <c r="CQ93" s="54">
        <f t="shared" ref="CQ93" ca="1" si="593">CP93+CQ92</f>
        <v>300.00044746913863</v>
      </c>
      <c r="CR93" s="54">
        <f t="shared" ref="CR93" ca="1" si="594">CQ93+CR92</f>
        <v>300.00044746913863</v>
      </c>
      <c r="CS93" s="54">
        <f t="shared" ref="CS93" ca="1" si="595">CR93+CS92</f>
        <v>300.00044746913863</v>
      </c>
      <c r="CT93" s="54">
        <f t="shared" ref="CT93" ca="1" si="596">CS93+CT92</f>
        <v>300.00044746913863</v>
      </c>
      <c r="CU93" s="54">
        <f t="shared" ref="CU93" ca="1" si="597">CT93+CU92</f>
        <v>300.00044746913863</v>
      </c>
      <c r="CV93" s="54">
        <f t="shared" ref="CV93" ca="1" si="598">CU93+CV92</f>
        <v>300.00044746913863</v>
      </c>
      <c r="CW93" s="54">
        <f t="shared" ref="CW93" ca="1" si="599">CV93+CW92</f>
        <v>300.00044746913863</v>
      </c>
      <c r="CX93" s="54">
        <f t="shared" ref="CX93" ca="1" si="600">CW93+CX92</f>
        <v>300.00044746913863</v>
      </c>
      <c r="CY93" s="54">
        <f t="shared" ref="CY93" ca="1" si="601">CX93+CY92</f>
        <v>300.00044746913863</v>
      </c>
      <c r="CZ93" s="54">
        <f t="shared" ref="CZ93" ca="1" si="602">CY93+CZ92</f>
        <v>300.00044746913863</v>
      </c>
      <c r="DA93" s="54">
        <f t="shared" ref="DA93" ca="1" si="603">CZ93+DA92</f>
        <v>300.00044746913863</v>
      </c>
      <c r="DB93" s="54">
        <f t="shared" ref="DB93" ca="1" si="604">DA93+DB92</f>
        <v>300.00044746913863</v>
      </c>
      <c r="DC93" s="54">
        <f t="shared" ref="DC93" ca="1" si="605">DB93+DC92</f>
        <v>300.00044746913863</v>
      </c>
      <c r="DD93" s="54">
        <f t="shared" ref="DD93" ca="1" si="606">DC93+DD92</f>
        <v>300.00044746913863</v>
      </c>
      <c r="DE93" s="54">
        <f t="shared" ref="DE93" ca="1" si="607">DD93+DE92</f>
        <v>300.00044746913863</v>
      </c>
      <c r="DF93" s="54">
        <f t="shared" ref="DF93" ca="1" si="608">DE93+DF92</f>
        <v>300.00044746913863</v>
      </c>
      <c r="DG93" s="54">
        <f t="shared" ref="DG93" ca="1" si="609">DF93+DG92</f>
        <v>300.00044746913863</v>
      </c>
      <c r="DH93" s="54">
        <f t="shared" ref="DH93" ca="1" si="610">DG93+DH92</f>
        <v>300.00044746913863</v>
      </c>
      <c r="DI93" s="54">
        <f t="shared" ref="DI93" ca="1" si="611">DH93+DI92</f>
        <v>300.00044746913863</v>
      </c>
      <c r="DJ93" s="54">
        <f t="shared" ref="DJ93" ca="1" si="612">DI93+DJ92</f>
        <v>300.00044746913863</v>
      </c>
      <c r="DK93" s="54">
        <f t="shared" ref="DK93" ca="1" si="613">DJ93+DK92</f>
        <v>300.00044746913863</v>
      </c>
      <c r="DL93" s="54">
        <f t="shared" ref="DL93" ca="1" si="614">DK93+DL92</f>
        <v>300.00044746913863</v>
      </c>
      <c r="DM93" s="54">
        <f t="shared" ref="DM93" ca="1" si="615">DL93+DM92</f>
        <v>300.00044746913863</v>
      </c>
      <c r="DN93" s="54">
        <f t="shared" ref="DN93" ca="1" si="616">DM93+DN92</f>
        <v>300.00044746913863</v>
      </c>
      <c r="DO93" s="54">
        <f t="shared" ref="DO93" ca="1" si="617">DN93+DO92</f>
        <v>300.00044746913863</v>
      </c>
      <c r="DP93" s="54">
        <f t="shared" ref="DP93" ca="1" si="618">DO93+DP92</f>
        <v>300.00044746913863</v>
      </c>
      <c r="DQ93" s="54">
        <f t="shared" ref="DQ93" ca="1" si="619">DP93+DQ92</f>
        <v>300.00044746913863</v>
      </c>
      <c r="DR93" s="54">
        <f t="shared" ref="DR93" ca="1" si="620">DQ93+DR92</f>
        <v>300.00044746913863</v>
      </c>
      <c r="DS93" s="54">
        <f t="shared" ref="DS93" ca="1" si="621">DR93+DS92</f>
        <v>300.00044746913863</v>
      </c>
      <c r="DT93" s="54">
        <f t="shared" ref="DT93" ca="1" si="622">DS93+DT92</f>
        <v>300.00044746913863</v>
      </c>
      <c r="DU93" s="54">
        <f t="shared" ref="DU93" ca="1" si="623">DT93+DU92</f>
        <v>300.00044746913863</v>
      </c>
      <c r="DV93" s="54">
        <f t="shared" ref="DV93" ca="1" si="624">DU93+DV92</f>
        <v>300.00044746913863</v>
      </c>
      <c r="DW93" s="54">
        <f t="shared" ref="DW93" ca="1" si="625">DV93+DW92</f>
        <v>300.00044746913863</v>
      </c>
      <c r="DX93" s="54">
        <f t="shared" ref="DX93" ca="1" si="626">DW93+DX92</f>
        <v>300.00044746913863</v>
      </c>
      <c r="DY93" s="54">
        <f t="shared" ref="DY93" ca="1" si="627">DX93+DY92</f>
        <v>300.00044746913863</v>
      </c>
      <c r="DZ93" s="54">
        <f t="shared" ref="DZ93" ca="1" si="628">DY93+DZ92</f>
        <v>300.00044746913863</v>
      </c>
      <c r="EA93" s="54">
        <f t="shared" ref="EA93" ca="1" si="629">DZ93+EA92</f>
        <v>300.00044746913863</v>
      </c>
      <c r="EB93" s="54">
        <f t="shared" ref="EB93" ca="1" si="630">EA93+EB92</f>
        <v>300.00044746913863</v>
      </c>
      <c r="EC93" s="54">
        <f t="shared" ref="EC93" ca="1" si="631">EB93+EC92</f>
        <v>300.00044746913863</v>
      </c>
      <c r="ED93" s="54">
        <f t="shared" ref="ED93" ca="1" si="632">EC93+ED92</f>
        <v>300.00044746913863</v>
      </c>
      <c r="EE93" s="54">
        <f t="shared" ref="EE93" ca="1" si="633">ED93+EE92</f>
        <v>300.00044746913863</v>
      </c>
      <c r="EF93" s="54">
        <f t="shared" ref="EF93" ca="1" si="634">EE93+EF92</f>
        <v>300.00044746913863</v>
      </c>
      <c r="EG93" s="54">
        <f t="shared" ref="EG93" ca="1" si="635">EF93+EG92</f>
        <v>300.00044746913863</v>
      </c>
      <c r="EH93" s="54">
        <f t="shared" ref="EH93" ca="1" si="636">EG93+EH92</f>
        <v>300.00044746913863</v>
      </c>
      <c r="EI93" s="54">
        <f t="shared" ref="EI93" ca="1" si="637">EH93+EI92</f>
        <v>300.00044746913863</v>
      </c>
      <c r="EJ93" s="54">
        <f t="shared" ref="EJ93" ca="1" si="638">EI93+EJ92</f>
        <v>300.00044746913863</v>
      </c>
      <c r="EK93" s="54">
        <f t="shared" ref="EK93" ca="1" si="639">EJ93+EK92</f>
        <v>300.00044746913863</v>
      </c>
      <c r="EL93" s="54">
        <f t="shared" ref="EL93" ca="1" si="640">EK93+EL92</f>
        <v>300.00044746913863</v>
      </c>
      <c r="EM93" s="54">
        <f t="shared" ref="EM93" ca="1" si="641">EL93+EM92</f>
        <v>300.00044746913863</v>
      </c>
      <c r="EN93" s="54">
        <f t="shared" ref="EN93" ca="1" si="642">EM93+EN92</f>
        <v>300.00044746913863</v>
      </c>
      <c r="EO93" s="54">
        <f t="shared" ref="EO93" ca="1" si="643">EN93+EO92</f>
        <v>300.00044746913863</v>
      </c>
      <c r="EP93" s="54">
        <f t="shared" ref="EP93" ca="1" si="644">EO93+EP92</f>
        <v>300.00044746913863</v>
      </c>
      <c r="EQ93" s="54">
        <f t="shared" ref="EQ93" ca="1" si="645">EP93+EQ92</f>
        <v>300.00044746913863</v>
      </c>
      <c r="ER93" s="54">
        <f t="shared" ref="ER93" ca="1" si="646">EQ93+ER92</f>
        <v>300.00044746913863</v>
      </c>
      <c r="ES93" s="54">
        <f t="shared" ref="ES93" ca="1" si="647">ER93+ES92</f>
        <v>300.00044746913863</v>
      </c>
      <c r="ET93" s="54">
        <f t="shared" ref="ET93" ca="1" si="648">ES93+ET92</f>
        <v>300.00044746913863</v>
      </c>
      <c r="EU93" s="54">
        <f t="shared" ref="EU93" ca="1" si="649">ET93+EU92</f>
        <v>300.00044746913863</v>
      </c>
      <c r="EV93" s="54">
        <f t="shared" ref="EV93" ca="1" si="650">EU93+EV92</f>
        <v>300.00044746913863</v>
      </c>
      <c r="EW93" s="54">
        <f t="shared" ref="EW93" ca="1" si="651">EV93+EW92</f>
        <v>300.00044746913863</v>
      </c>
      <c r="EX93" s="54">
        <f t="shared" ref="EX93" ca="1" si="652">EW93+EX92</f>
        <v>300.00044746913863</v>
      </c>
      <c r="EY93" s="54">
        <f t="shared" ref="EY93" ca="1" si="653">EX93+EY92</f>
        <v>300.00044746913863</v>
      </c>
      <c r="EZ93" s="54">
        <f t="shared" ref="EZ93" ca="1" si="654">EY93+EZ92</f>
        <v>300.00044746913863</v>
      </c>
      <c r="FA93" s="54">
        <f t="shared" ref="FA93" ca="1" si="655">EZ93+FA92</f>
        <v>300.00044746913863</v>
      </c>
      <c r="FB93" s="54">
        <f t="shared" ref="FB93" ca="1" si="656">FA93+FB92</f>
        <v>300.00044746913863</v>
      </c>
      <c r="FC93" s="54">
        <f t="shared" ref="FC93" ca="1" si="657">FB93+FC92</f>
        <v>300.00044746913863</v>
      </c>
      <c r="FD93" s="54">
        <f t="shared" ref="FD93" ca="1" si="658">FC93+FD92</f>
        <v>300.00044746913863</v>
      </c>
      <c r="FE93" s="54">
        <f t="shared" ref="FE93" ca="1" si="659">FD93+FE92</f>
        <v>300.00044746913863</v>
      </c>
      <c r="FF93" s="54">
        <f t="shared" ref="FF93" ca="1" si="660">FE93+FF92</f>
        <v>300.00044746913863</v>
      </c>
      <c r="FG93" s="54">
        <f t="shared" ref="FG93" ca="1" si="661">FF93+FG92</f>
        <v>300.00044746913863</v>
      </c>
      <c r="FH93" s="54">
        <f t="shared" ref="FH93" ca="1" si="662">FG93+FH92</f>
        <v>300.00044746913863</v>
      </c>
      <c r="FI93" s="54">
        <f t="shared" ref="FI93" ca="1" si="663">FH93+FI92</f>
        <v>300.00044746913863</v>
      </c>
      <c r="FJ93" s="54">
        <f t="shared" ref="FJ93" ca="1" si="664">FI93+FJ92</f>
        <v>300.00044746913863</v>
      </c>
      <c r="FK93" s="54">
        <f t="shared" ref="FK93" ca="1" si="665">FJ93+FK92</f>
        <v>300.00044746913863</v>
      </c>
      <c r="FL93" s="54">
        <f t="shared" ref="FL93" ca="1" si="666">FK93+FL92</f>
        <v>300.00044746913863</v>
      </c>
      <c r="FM93" s="54">
        <f t="shared" ref="FM93" ca="1" si="667">FL93+FM92</f>
        <v>300.00044746913863</v>
      </c>
      <c r="FN93" s="54">
        <f t="shared" ref="FN93" ca="1" si="668">FM93+FN92</f>
        <v>300.00044746913863</v>
      </c>
      <c r="FO93" s="54">
        <f t="shared" ref="FO93" ca="1" si="669">FN93+FO92</f>
        <v>300.00044746913863</v>
      </c>
      <c r="FP93" s="54">
        <f t="shared" ref="FP93" ca="1" si="670">FO93+FP92</f>
        <v>300.00044746913863</v>
      </c>
      <c r="FQ93" s="54">
        <f t="shared" ref="FQ93" ca="1" si="671">FP93+FQ92</f>
        <v>300.00044746913863</v>
      </c>
      <c r="FR93" s="54">
        <f t="shared" ref="FR93" ca="1" si="672">FQ93+FR92</f>
        <v>300.00044746913863</v>
      </c>
      <c r="FS93" s="54">
        <f t="shared" ref="FS93" ca="1" si="673">FR93+FS92</f>
        <v>300.00044746913863</v>
      </c>
      <c r="FT93" s="54">
        <f t="shared" ref="FT93" ca="1" si="674">FS93+FT92</f>
        <v>300.00044746913863</v>
      </c>
      <c r="FU93" s="54">
        <f t="shared" ref="FU93" ca="1" si="675">FT93+FU92</f>
        <v>300.00044746913863</v>
      </c>
      <c r="FV93" s="54">
        <f t="shared" ref="FV93" ca="1" si="676">FU93+FV92</f>
        <v>300.00044746913863</v>
      </c>
      <c r="FW93" s="54">
        <f t="shared" ref="FW93" ca="1" si="677">FV93+FW92</f>
        <v>300.00044746913863</v>
      </c>
      <c r="FX93" s="54">
        <f t="shared" ref="FX93" ca="1" si="678">FW93+FX92</f>
        <v>300.00044746913863</v>
      </c>
      <c r="FY93" s="54">
        <f t="shared" ref="FY93" ca="1" si="679">FX93+FY92</f>
        <v>300.00044746913863</v>
      </c>
      <c r="FZ93" s="54">
        <f t="shared" ref="FZ93" ca="1" si="680">FY93+FZ92</f>
        <v>300.00044746913863</v>
      </c>
      <c r="GA93" s="54">
        <f t="shared" ref="GA93" ca="1" si="681">FZ93+GA92</f>
        <v>300.00044746913863</v>
      </c>
      <c r="GB93" s="54">
        <f t="shared" ref="GB93" ca="1" si="682">GA93+GB92</f>
        <v>300.00044746913863</v>
      </c>
      <c r="GC93" s="54">
        <f t="shared" ref="GC93" ca="1" si="683">GB93+GC92</f>
        <v>300.00044746913863</v>
      </c>
      <c r="GD93" s="54">
        <f t="shared" ref="GD93" ca="1" si="684">GC93+GD92</f>
        <v>300.00044746913863</v>
      </c>
      <c r="GE93" s="54">
        <f t="shared" ref="GE93" ca="1" si="685">GD93+GE92</f>
        <v>300.00044746913863</v>
      </c>
      <c r="GF93" s="54">
        <f t="shared" ref="GF93" ca="1" si="686">GE93+GF92</f>
        <v>300.00044746913863</v>
      </c>
      <c r="GG93" s="54">
        <f t="shared" ref="GG93" ca="1" si="687">GF93+GG92</f>
        <v>300.00044746913863</v>
      </c>
      <c r="GH93" s="54">
        <f t="shared" ref="GH93" ca="1" si="688">GG93+GH92</f>
        <v>300.00044746913863</v>
      </c>
      <c r="GI93" s="54">
        <f t="shared" ref="GI93" ca="1" si="689">GH93+GI92</f>
        <v>300.00044746913863</v>
      </c>
      <c r="GJ93" s="54">
        <f t="shared" ref="GJ93" ca="1" si="690">GI93+GJ92</f>
        <v>300.00044746913863</v>
      </c>
      <c r="GK93" s="54">
        <f t="shared" ref="GK93" ca="1" si="691">GJ93+GK92</f>
        <v>300.00044746913863</v>
      </c>
      <c r="GL93" s="54">
        <f t="shared" ref="GL93" ca="1" si="692">GK93+GL92</f>
        <v>300.00044746913863</v>
      </c>
      <c r="GM93" s="54">
        <f t="shared" ref="GM93" ca="1" si="693">GL93+GM92</f>
        <v>300.00044746913863</v>
      </c>
      <c r="GN93" s="54">
        <f t="shared" ref="GN93" ca="1" si="694">GM93+GN92</f>
        <v>300.00044746913863</v>
      </c>
      <c r="GO93" s="54">
        <f t="shared" ref="GO93" ca="1" si="695">GN93+GO92</f>
        <v>300.00044746913863</v>
      </c>
      <c r="GP93" s="54">
        <f t="shared" ref="GP93" ca="1" si="696">GO93+GP92</f>
        <v>300.00044746913863</v>
      </c>
      <c r="GQ93" s="54">
        <f t="shared" ref="GQ93" ca="1" si="697">GP93+GQ92</f>
        <v>300.00044746913863</v>
      </c>
      <c r="GR93" s="54">
        <f t="shared" ref="GR93" ca="1" si="698">GQ93+GR92</f>
        <v>300.00044746913863</v>
      </c>
      <c r="GS93" s="54">
        <f t="shared" ref="GS93" ca="1" si="699">GR93+GS92</f>
        <v>300.00044746913863</v>
      </c>
      <c r="GT93" s="54">
        <f t="shared" ref="GT93" ca="1" si="700">GS93+GT92</f>
        <v>300.00044746913863</v>
      </c>
      <c r="GU93" s="54">
        <f t="shared" ref="GU93" ca="1" si="701">GT93+GU92</f>
        <v>300.00044746913863</v>
      </c>
      <c r="GV93" s="54">
        <f t="shared" ref="GV93" ca="1" si="702">GU93+GV92</f>
        <v>300.00044746913863</v>
      </c>
      <c r="GW93" s="54">
        <f t="shared" ref="GW93" ca="1" si="703">GV93+GW92</f>
        <v>300.00044746913863</v>
      </c>
      <c r="GX93" s="54">
        <f t="shared" ref="GX93" ca="1" si="704">GW93+GX92</f>
        <v>300.00044746913863</v>
      </c>
      <c r="GY93" s="54">
        <f t="shared" ref="GY93" ca="1" si="705">GX93+GY92</f>
        <v>300.00044746913863</v>
      </c>
      <c r="GZ93" s="54">
        <f t="shared" ref="GZ93" ca="1" si="706">GY93+GZ92</f>
        <v>300.00044746913863</v>
      </c>
      <c r="HA93" s="54">
        <f t="shared" ref="HA93" ca="1" si="707">GZ93+HA92</f>
        <v>300.00044746913863</v>
      </c>
      <c r="HB93" s="54">
        <f t="shared" ref="HB93" ca="1" si="708">HA93+HB92</f>
        <v>300.00044746913863</v>
      </c>
      <c r="HC93" s="54">
        <f t="shared" ref="HC93" ca="1" si="709">HB93+HC92</f>
        <v>300.00044746913863</v>
      </c>
      <c r="HD93" s="54">
        <f t="shared" ref="HD93" ca="1" si="710">HC93+HD92</f>
        <v>300.00044746913863</v>
      </c>
      <c r="HE93" s="54">
        <f t="shared" ref="HE93" ca="1" si="711">HD93+HE92</f>
        <v>300.00044746913863</v>
      </c>
      <c r="HF93" s="54">
        <f t="shared" ref="HF93" ca="1" si="712">HE93+HF92</f>
        <v>300.00044746913863</v>
      </c>
      <c r="HG93" s="54">
        <f t="shared" ref="HG93" ca="1" si="713">HF93+HG92</f>
        <v>300.00044746913863</v>
      </c>
      <c r="HH93" s="54">
        <f t="shared" ref="HH93" ca="1" si="714">HG93+HH92</f>
        <v>300.00044746913863</v>
      </c>
      <c r="HI93" s="54">
        <f t="shared" ref="HI93" ca="1" si="715">HH93+HI92</f>
        <v>300.00044746913863</v>
      </c>
      <c r="HJ93" s="54">
        <f t="shared" ref="HJ93" ca="1" si="716">HI93+HJ92</f>
        <v>300.00044746913863</v>
      </c>
      <c r="HK93" s="54">
        <f t="shared" ref="HK93" ca="1" si="717">HJ93+HK92</f>
        <v>300.00044746913863</v>
      </c>
      <c r="HL93" s="54">
        <f t="shared" ref="HL93" ca="1" si="718">HK93+HL92</f>
        <v>300.00044746913863</v>
      </c>
      <c r="HM93" s="54">
        <f t="shared" ref="HM93" ca="1" si="719">HL93+HM92</f>
        <v>300.00044746913863</v>
      </c>
      <c r="HN93" s="54">
        <f t="shared" ref="HN93" ca="1" si="720">HM93+HN92</f>
        <v>300.00044746913863</v>
      </c>
      <c r="HO93" s="54">
        <f t="shared" ref="HO93" ca="1" si="721">HN93+HO92</f>
        <v>300.00044746913863</v>
      </c>
      <c r="HP93" s="54">
        <f t="shared" ref="HP93" ca="1" si="722">HO93+HP92</f>
        <v>300.00044746913863</v>
      </c>
      <c r="HQ93" s="54">
        <f t="shared" ref="HQ93" ca="1" si="723">HP93+HQ92</f>
        <v>300.00044746913863</v>
      </c>
      <c r="HR93" s="54">
        <f t="shared" ref="HR93" ca="1" si="724">HQ93+HR92</f>
        <v>300.00044746913863</v>
      </c>
      <c r="HS93" s="54">
        <f t="shared" ref="HS93" ca="1" si="725">HR93+HS92</f>
        <v>300.00044746913863</v>
      </c>
      <c r="HT93" s="54">
        <f t="shared" ref="HT93" ca="1" si="726">HS93+HT92</f>
        <v>300.00044746913863</v>
      </c>
      <c r="HU93" s="54">
        <f t="shared" ref="HU93" ca="1" si="727">HT93+HU92</f>
        <v>300.00044746913863</v>
      </c>
      <c r="HV93" s="54">
        <f t="shared" ref="HV93" ca="1" si="728">HU93+HV92</f>
        <v>300.00044746913863</v>
      </c>
      <c r="HW93" s="54">
        <f t="shared" ref="HW93" ca="1" si="729">HV93+HW92</f>
        <v>300.00044746913863</v>
      </c>
      <c r="HX93" s="54">
        <f t="shared" ref="HX93" ca="1" si="730">HW93+HX92</f>
        <v>300.00044746913863</v>
      </c>
      <c r="HY93" s="54">
        <f t="shared" ref="HY93" ca="1" si="731">HX93+HY92</f>
        <v>300.00044746913863</v>
      </c>
      <c r="HZ93" s="54">
        <f t="shared" ref="HZ93" ca="1" si="732">HY93+HZ92</f>
        <v>300.00044746913863</v>
      </c>
      <c r="IA93" s="54">
        <f t="shared" ref="IA93" ca="1" si="733">HZ93+IA92</f>
        <v>300.00044746913863</v>
      </c>
      <c r="IB93" s="54">
        <f t="shared" ref="IB93" ca="1" si="734">IA93+IB92</f>
        <v>300.00044746913863</v>
      </c>
      <c r="IC93" s="54">
        <f t="shared" ref="IC93" ca="1" si="735">IB93+IC92</f>
        <v>300.00044746913863</v>
      </c>
      <c r="ID93" s="54">
        <f t="shared" ref="ID93" ca="1" si="736">IC93+ID92</f>
        <v>300.00044746913863</v>
      </c>
      <c r="IE93" s="54">
        <f t="shared" ref="IE93" ca="1" si="737">ID93+IE92</f>
        <v>300.00044746913863</v>
      </c>
      <c r="IF93" s="54">
        <f t="shared" ref="IF93" ca="1" si="738">IE93+IF92</f>
        <v>300.00044746913863</v>
      </c>
      <c r="IG93" s="54">
        <f t="shared" ref="IG93" ca="1" si="739">IF93+IG92</f>
        <v>300.00044746913863</v>
      </c>
      <c r="IH93" s="54">
        <f t="shared" ref="IH93" ca="1" si="740">IG93+IH92</f>
        <v>300.00044746913863</v>
      </c>
      <c r="II93" s="54">
        <f t="shared" ref="II93" ca="1" si="741">IH93+II92</f>
        <v>300.00044746913863</v>
      </c>
      <c r="IJ93" s="54">
        <f t="shared" ref="IJ93" ca="1" si="742">II93+IJ92</f>
        <v>300.00044746913863</v>
      </c>
      <c r="IK93" s="54">
        <f t="shared" ref="IK93" ca="1" si="743">IJ93+IK92</f>
        <v>300.00044746913863</v>
      </c>
      <c r="IL93" s="54">
        <f t="shared" ref="IL93" ca="1" si="744">IK93+IL92</f>
        <v>300.00044746913863</v>
      </c>
      <c r="IM93" s="54">
        <f t="shared" ref="IM93" ca="1" si="745">IL93+IM92</f>
        <v>300.00044746913863</v>
      </c>
      <c r="IN93" s="54">
        <f t="shared" ref="IN93" ca="1" si="746">IM93+IN92</f>
        <v>300.00044746913863</v>
      </c>
      <c r="IO93" s="54">
        <f t="shared" ref="IO93" ca="1" si="747">IN93+IO92</f>
        <v>300.00044746913863</v>
      </c>
      <c r="IP93" s="54">
        <f t="shared" ref="IP93" ca="1" si="748">IO93+IP92</f>
        <v>300.00044746913863</v>
      </c>
      <c r="IQ93" s="54">
        <f t="shared" ref="IQ93" ca="1" si="749">IP93+IQ92</f>
        <v>300.00044746913863</v>
      </c>
      <c r="IR93" s="54">
        <f t="shared" ref="IR93" ca="1" si="750">IQ93+IR92</f>
        <v>300.00044746913863</v>
      </c>
      <c r="IS93" s="54">
        <f t="shared" ref="IS93" ca="1" si="751">IR93+IS92</f>
        <v>300.00044746913863</v>
      </c>
      <c r="IT93" s="54">
        <f t="shared" ref="IT93" ca="1" si="752">IS93+IT92</f>
        <v>300.00044746913863</v>
      </c>
      <c r="IU93" s="54">
        <f t="shared" ref="IU93" ca="1" si="753">IT93+IU92</f>
        <v>300.00044746913863</v>
      </c>
      <c r="IV93" s="54">
        <f t="shared" ref="IV93" ca="1" si="754">IU93+IV92</f>
        <v>300.00044746913863</v>
      </c>
      <c r="IW93" s="54">
        <f t="shared" ref="IW93" ca="1" si="755">IV93+IW92</f>
        <v>300.00044746913863</v>
      </c>
      <c r="IX93" s="54">
        <f t="shared" ref="IX93" ca="1" si="756">IW93+IX92</f>
        <v>300.00044746913863</v>
      </c>
      <c r="IY93" s="54">
        <f t="shared" ref="IY93" ca="1" si="757">IX93+IY92</f>
        <v>300.00044746913863</v>
      </c>
      <c r="IZ93" s="54">
        <f t="shared" ref="IZ93" ca="1" si="758">IY93+IZ92</f>
        <v>300.00044746913863</v>
      </c>
      <c r="JA93" s="54">
        <f t="shared" ref="JA93" ca="1" si="759">IZ93+JA92</f>
        <v>300.00044746913863</v>
      </c>
      <c r="JB93" s="54">
        <f t="shared" ref="JB93" ca="1" si="760">JA93+JB92</f>
        <v>300.00044746913863</v>
      </c>
      <c r="JC93" s="54">
        <f t="shared" ref="JC93" ca="1" si="761">JB93+JC92</f>
        <v>300.00044746913863</v>
      </c>
      <c r="JD93" s="54">
        <f t="shared" ref="JD93" ca="1" si="762">JC93+JD92</f>
        <v>300.00044746913863</v>
      </c>
      <c r="JE93" s="54">
        <f t="shared" ref="JE93" ca="1" si="763">JD93+JE92</f>
        <v>300.00044746913863</v>
      </c>
      <c r="JF93" s="54">
        <f t="shared" ref="JF93" ca="1" si="764">JE93+JF92</f>
        <v>300.00044746913863</v>
      </c>
      <c r="JG93" s="54">
        <f t="shared" ref="JG93" ca="1" si="765">JF93+JG92</f>
        <v>300.00044746913863</v>
      </c>
      <c r="JH93" s="54">
        <f t="shared" ref="JH93" ca="1" si="766">JG93+JH92</f>
        <v>300.00044746913863</v>
      </c>
      <c r="JI93" s="54">
        <f t="shared" ref="JI93" ca="1" si="767">JH93+JI92</f>
        <v>300.00044746913863</v>
      </c>
      <c r="JJ93" s="54">
        <f t="shared" ref="JJ93" ca="1" si="768">JI93+JJ92</f>
        <v>300.00044746913863</v>
      </c>
      <c r="JK93" s="54">
        <f t="shared" ref="JK93" ca="1" si="769">JJ93+JK92</f>
        <v>300.00044746913863</v>
      </c>
      <c r="JL93" s="54">
        <f t="shared" ref="JL93" ca="1" si="770">JK93+JL92</f>
        <v>300.00044746913863</v>
      </c>
      <c r="JM93" s="54">
        <f t="shared" ref="JM93" ca="1" si="771">JL93+JM92</f>
        <v>300.00044746913863</v>
      </c>
      <c r="JN93" s="54">
        <f t="shared" ref="JN93" ca="1" si="772">JM93+JN92</f>
        <v>300.00044746913863</v>
      </c>
      <c r="JO93" s="54">
        <f t="shared" ref="JO93" ca="1" si="773">JN93+JO92</f>
        <v>300.00044746913863</v>
      </c>
      <c r="JP93" s="54">
        <f t="shared" ref="JP93" ca="1" si="774">JO93+JP92</f>
        <v>300.00044746913863</v>
      </c>
      <c r="JQ93" s="54">
        <f t="shared" ref="JQ93" ca="1" si="775">JP93+JQ92</f>
        <v>300.00044746913863</v>
      </c>
      <c r="JR93" s="54">
        <f t="shared" ref="JR93" ca="1" si="776">JQ93+JR92</f>
        <v>300.00044746913863</v>
      </c>
      <c r="JS93" s="54">
        <f t="shared" ref="JS93" ca="1" si="777">JR93+JS92</f>
        <v>300.00044746913863</v>
      </c>
      <c r="JT93" s="54">
        <f t="shared" ref="JT93" ca="1" si="778">JS93+JT92</f>
        <v>300.00044746913863</v>
      </c>
      <c r="JU93" s="54">
        <f t="shared" ref="JU93" ca="1" si="779">JT93+JU92</f>
        <v>300.00044746913863</v>
      </c>
      <c r="JV93" s="54">
        <f t="shared" ref="JV93" ca="1" si="780">JU93+JV92</f>
        <v>300.00044746913863</v>
      </c>
      <c r="JW93" s="54">
        <f t="shared" ref="JW93" ca="1" si="781">JV93+JW92</f>
        <v>300.00044746913863</v>
      </c>
      <c r="JX93" s="54">
        <f t="shared" ref="JX93" ca="1" si="782">JW93+JX92</f>
        <v>300.00044746913863</v>
      </c>
      <c r="JY93" s="54">
        <f t="shared" ref="JY93" ca="1" si="783">JX93+JY92</f>
        <v>300.00044746913863</v>
      </c>
      <c r="JZ93" s="54">
        <f t="shared" ref="JZ93" ca="1" si="784">JY93+JZ92</f>
        <v>300.00044746913863</v>
      </c>
      <c r="KA93" s="54">
        <f t="shared" ref="KA93" ca="1" si="785">JZ93+KA92</f>
        <v>300.00044746913863</v>
      </c>
      <c r="KB93" s="54">
        <f t="shared" ref="KB93" ca="1" si="786">KA93+KB92</f>
        <v>300.00044746913863</v>
      </c>
    </row>
    <row r="94" spans="1:289" x14ac:dyDescent="0.3">
      <c r="A94" s="169"/>
      <c r="B94" s="39"/>
      <c r="K94" s="52"/>
    </row>
    <row r="95" spans="1:289" x14ac:dyDescent="0.3">
      <c r="A95" s="291" t="s">
        <v>272</v>
      </c>
      <c r="B95" s="259">
        <f ca="1">(B90*B87)</f>
        <v>47.58</v>
      </c>
      <c r="C95" s="259">
        <f ca="1">IF(-C39&gt;($B$95-C31),(B95-C31),-C39)</f>
        <v>47.58</v>
      </c>
      <c r="D95" s="259">
        <f t="shared" ref="D95:BO95" ca="1" si="787">IF(-D39&gt;($B$95-D31),(C95-D31),-D39)</f>
        <v>49.704003168081499</v>
      </c>
      <c r="E95" s="259">
        <f t="shared" ca="1" si="787"/>
        <v>49.704003168081499</v>
      </c>
      <c r="F95" s="259">
        <f t="shared" ca="1" si="787"/>
        <v>49.704003168081499</v>
      </c>
      <c r="G95" s="259">
        <f t="shared" ca="1" si="787"/>
        <v>49.704003168081499</v>
      </c>
      <c r="H95" s="259">
        <f t="shared" ca="1" si="787"/>
        <v>49.704003168081499</v>
      </c>
      <c r="I95" s="259">
        <f t="shared" ca="1" si="787"/>
        <v>49.704003168081499</v>
      </c>
      <c r="J95" s="259">
        <f t="shared" ca="1" si="787"/>
        <v>49.704003168081499</v>
      </c>
      <c r="K95" s="259">
        <f t="shared" ca="1" si="787"/>
        <v>49.704003168081499</v>
      </c>
      <c r="L95" s="259">
        <f t="shared" ca="1" si="787"/>
        <v>49.704003168081499</v>
      </c>
      <c r="M95" s="259">
        <f t="shared" ca="1" si="787"/>
        <v>49.704003168081499</v>
      </c>
      <c r="N95" s="259">
        <f t="shared" ca="1" si="787"/>
        <v>49.704003168081499</v>
      </c>
      <c r="O95" s="259">
        <f t="shared" ca="1" si="787"/>
        <v>49.704003168081499</v>
      </c>
      <c r="P95" s="259">
        <f t="shared" ca="1" si="787"/>
        <v>49.704003168081499</v>
      </c>
      <c r="Q95" s="259">
        <f t="shared" ca="1" si="787"/>
        <v>49.704003168081499</v>
      </c>
      <c r="R95" s="259">
        <f t="shared" ca="1" si="787"/>
        <v>49.704003168081499</v>
      </c>
      <c r="S95" s="259">
        <f t="shared" ca="1" si="787"/>
        <v>49.704003168081499</v>
      </c>
      <c r="T95" s="259">
        <f t="shared" ca="1" si="787"/>
        <v>49.704003168081499</v>
      </c>
      <c r="U95" s="259">
        <f t="shared" ca="1" si="787"/>
        <v>49.704003168081499</v>
      </c>
      <c r="V95" s="259">
        <f t="shared" ca="1" si="787"/>
        <v>49.704003168081499</v>
      </c>
      <c r="W95" s="259">
        <f t="shared" ca="1" si="787"/>
        <v>49.704003168081499</v>
      </c>
      <c r="X95" s="259">
        <f t="shared" ca="1" si="787"/>
        <v>49.704003168081499</v>
      </c>
      <c r="Y95" s="259">
        <f t="shared" ca="1" si="787"/>
        <v>49.704003168081499</v>
      </c>
      <c r="Z95" s="259">
        <f t="shared" ca="1" si="787"/>
        <v>49.704003168081499</v>
      </c>
      <c r="AA95" s="259">
        <f t="shared" ca="1" si="787"/>
        <v>49.704003168081499</v>
      </c>
      <c r="AB95" s="259">
        <f t="shared" ca="1" si="787"/>
        <v>49.704003168081499</v>
      </c>
      <c r="AC95" s="259">
        <f t="shared" ca="1" si="787"/>
        <v>49.704003168081499</v>
      </c>
      <c r="AD95" s="259">
        <f t="shared" ca="1" si="787"/>
        <v>49.704003168081499</v>
      </c>
      <c r="AE95" s="259">
        <f t="shared" ca="1" si="787"/>
        <v>49.704003168081499</v>
      </c>
      <c r="AF95" s="259">
        <f t="shared" ca="1" si="787"/>
        <v>49.704003168081499</v>
      </c>
      <c r="AG95" s="259">
        <f t="shared" ca="1" si="787"/>
        <v>49.704003168081499</v>
      </c>
      <c r="AH95" s="259">
        <f t="shared" ca="1" si="787"/>
        <v>49.704003168081499</v>
      </c>
      <c r="AI95" s="259">
        <f t="shared" ca="1" si="787"/>
        <v>49.704003168081499</v>
      </c>
      <c r="AJ95" s="259">
        <f t="shared" ca="1" si="787"/>
        <v>49.704003168081499</v>
      </c>
      <c r="AK95" s="259">
        <f t="shared" ca="1" si="787"/>
        <v>49.704003168081499</v>
      </c>
      <c r="AL95" s="259">
        <f t="shared" ca="1" si="787"/>
        <v>49.704003168081499</v>
      </c>
      <c r="AM95" s="259">
        <f t="shared" ca="1" si="787"/>
        <v>49.704003168081499</v>
      </c>
      <c r="AN95" s="259">
        <f t="shared" ca="1" si="787"/>
        <v>49.704003168081499</v>
      </c>
      <c r="AO95" s="259">
        <f t="shared" ca="1" si="787"/>
        <v>49.704003168081499</v>
      </c>
      <c r="AP95" s="259">
        <f t="shared" ca="1" si="787"/>
        <v>49.704003168081499</v>
      </c>
      <c r="AQ95" s="259">
        <f t="shared" ca="1" si="787"/>
        <v>49.704003168081499</v>
      </c>
      <c r="AR95" s="259">
        <f t="shared" ca="1" si="787"/>
        <v>49.704003168081499</v>
      </c>
      <c r="AS95" s="259">
        <f t="shared" ca="1" si="787"/>
        <v>49.704003168081499</v>
      </c>
      <c r="AT95" s="259">
        <f t="shared" ca="1" si="787"/>
        <v>49.704003168081499</v>
      </c>
      <c r="AU95" s="259">
        <f t="shared" ca="1" si="787"/>
        <v>49.704003168081499</v>
      </c>
      <c r="AV95" s="259">
        <f t="shared" ca="1" si="787"/>
        <v>49.704003168081499</v>
      </c>
      <c r="AW95" s="259">
        <f t="shared" ca="1" si="787"/>
        <v>49.704003168081499</v>
      </c>
      <c r="AX95" s="259">
        <f t="shared" ca="1" si="787"/>
        <v>49.704003168081499</v>
      </c>
      <c r="AY95" s="259">
        <f t="shared" ca="1" si="787"/>
        <v>49.704003168081499</v>
      </c>
      <c r="AZ95" s="259">
        <f t="shared" ca="1" si="787"/>
        <v>49.704003168081499</v>
      </c>
      <c r="BA95" s="259">
        <f t="shared" ca="1" si="787"/>
        <v>49.704003168081499</v>
      </c>
      <c r="BB95" s="259">
        <f t="shared" ca="1" si="787"/>
        <v>49.704003168081499</v>
      </c>
      <c r="BC95" s="259">
        <f t="shared" ca="1" si="787"/>
        <v>49.704003168081499</v>
      </c>
      <c r="BD95" s="259">
        <f t="shared" ca="1" si="787"/>
        <v>49.704003168081499</v>
      </c>
      <c r="BE95" s="259">
        <f t="shared" ca="1" si="787"/>
        <v>49.704003168081499</v>
      </c>
      <c r="BF95" s="259">
        <f t="shared" ca="1" si="787"/>
        <v>49.704003168081499</v>
      </c>
      <c r="BG95" s="259">
        <f t="shared" ca="1" si="787"/>
        <v>49.704003168081499</v>
      </c>
      <c r="BH95" s="259">
        <f t="shared" ca="1" si="787"/>
        <v>49.704003168081499</v>
      </c>
      <c r="BI95" s="259">
        <f t="shared" ca="1" si="787"/>
        <v>49.704003168081499</v>
      </c>
      <c r="BJ95" s="259">
        <f t="shared" ca="1" si="787"/>
        <v>49.704003168081499</v>
      </c>
      <c r="BK95" s="259">
        <f t="shared" ca="1" si="787"/>
        <v>49.704003168081499</v>
      </c>
      <c r="BL95" s="259">
        <f t="shared" ca="1" si="787"/>
        <v>49.704003168081499</v>
      </c>
      <c r="BM95" s="259">
        <f t="shared" ca="1" si="787"/>
        <v>49.704003168081499</v>
      </c>
      <c r="BN95" s="259">
        <f t="shared" ca="1" si="787"/>
        <v>49.704003168081499</v>
      </c>
      <c r="BO95" s="259">
        <f t="shared" ca="1" si="787"/>
        <v>49.704003168081499</v>
      </c>
      <c r="BP95" s="259">
        <f t="shared" ref="BP95:EA95" ca="1" si="788">IF(-BP39&gt;($B$95-BP31),(BO95-BP31),-BP39)</f>
        <v>49.704003168081499</v>
      </c>
      <c r="BQ95" s="259">
        <f t="shared" ca="1" si="788"/>
        <v>49.704003168081499</v>
      </c>
      <c r="BR95" s="259">
        <f t="shared" ca="1" si="788"/>
        <v>49.704003168081499</v>
      </c>
      <c r="BS95" s="259">
        <f t="shared" ca="1" si="788"/>
        <v>49.704003168081499</v>
      </c>
      <c r="BT95" s="259">
        <f t="shared" ca="1" si="788"/>
        <v>49.704003168081499</v>
      </c>
      <c r="BU95" s="259">
        <f t="shared" ca="1" si="788"/>
        <v>49.704003168081499</v>
      </c>
      <c r="BV95" s="259">
        <f t="shared" ca="1" si="788"/>
        <v>49.704003168081499</v>
      </c>
      <c r="BW95" s="259">
        <f t="shared" ca="1" si="788"/>
        <v>49.704003168081499</v>
      </c>
      <c r="BX95" s="259">
        <f t="shared" ca="1" si="788"/>
        <v>49.704003168081499</v>
      </c>
      <c r="BY95" s="259">
        <f t="shared" ca="1" si="788"/>
        <v>49.704003168081499</v>
      </c>
      <c r="BZ95" s="259">
        <f t="shared" ca="1" si="788"/>
        <v>49.704003168081499</v>
      </c>
      <c r="CA95" s="259">
        <f t="shared" ca="1" si="788"/>
        <v>49.704003168081499</v>
      </c>
      <c r="CB95" s="259">
        <f t="shared" ca="1" si="788"/>
        <v>49.704003168081499</v>
      </c>
      <c r="CC95" s="259">
        <f t="shared" ca="1" si="788"/>
        <v>49.704003168081499</v>
      </c>
      <c r="CD95" s="259">
        <f t="shared" ca="1" si="788"/>
        <v>49.704003168081499</v>
      </c>
      <c r="CE95" s="259">
        <f t="shared" ca="1" si="788"/>
        <v>49.704003168081499</v>
      </c>
      <c r="CF95" s="259">
        <f t="shared" ca="1" si="788"/>
        <v>49.704003168081499</v>
      </c>
      <c r="CG95" s="259">
        <f t="shared" ca="1" si="788"/>
        <v>49.704003168081499</v>
      </c>
      <c r="CH95" s="259">
        <f t="shared" ca="1" si="788"/>
        <v>49.704003168081499</v>
      </c>
      <c r="CI95" s="259">
        <f t="shared" ca="1" si="788"/>
        <v>49.704003168081499</v>
      </c>
      <c r="CJ95" s="259">
        <f t="shared" ca="1" si="788"/>
        <v>49.704003168081499</v>
      </c>
      <c r="CK95" s="259">
        <f t="shared" ca="1" si="788"/>
        <v>49.704003168081499</v>
      </c>
      <c r="CL95" s="259">
        <f t="shared" ca="1" si="788"/>
        <v>49.704003168081499</v>
      </c>
      <c r="CM95" s="259">
        <f t="shared" ca="1" si="788"/>
        <v>49.704003168081499</v>
      </c>
      <c r="CN95" s="259">
        <f t="shared" ca="1" si="788"/>
        <v>49.704003168081499</v>
      </c>
      <c r="CO95" s="259">
        <f t="shared" ca="1" si="788"/>
        <v>49.704003168081499</v>
      </c>
      <c r="CP95" s="259">
        <f t="shared" ca="1" si="788"/>
        <v>49.704003168081499</v>
      </c>
      <c r="CQ95" s="259">
        <f t="shared" ca="1" si="788"/>
        <v>49.704003168081499</v>
      </c>
      <c r="CR95" s="259">
        <f t="shared" ca="1" si="788"/>
        <v>49.704003168081499</v>
      </c>
      <c r="CS95" s="259">
        <f t="shared" ca="1" si="788"/>
        <v>49.704003168081499</v>
      </c>
      <c r="CT95" s="259">
        <f t="shared" ca="1" si="788"/>
        <v>49.704003168081499</v>
      </c>
      <c r="CU95" s="259">
        <f t="shared" ca="1" si="788"/>
        <v>49.704003168081499</v>
      </c>
      <c r="CV95" s="259">
        <f t="shared" ca="1" si="788"/>
        <v>49.704003168081499</v>
      </c>
      <c r="CW95" s="259">
        <f t="shared" ca="1" si="788"/>
        <v>49.704003168081499</v>
      </c>
      <c r="CX95" s="259">
        <f t="shared" ca="1" si="788"/>
        <v>49.704003168081499</v>
      </c>
      <c r="CY95" s="259">
        <f t="shared" ca="1" si="788"/>
        <v>49.704003168081499</v>
      </c>
      <c r="CZ95" s="259">
        <f t="shared" ca="1" si="788"/>
        <v>49.704003168081499</v>
      </c>
      <c r="DA95" s="259">
        <f t="shared" ca="1" si="788"/>
        <v>49.704003168081499</v>
      </c>
      <c r="DB95" s="259">
        <f t="shared" ca="1" si="788"/>
        <v>49.704003168081499</v>
      </c>
      <c r="DC95" s="259">
        <f t="shared" ca="1" si="788"/>
        <v>49.704003168081499</v>
      </c>
      <c r="DD95" s="259">
        <f t="shared" ca="1" si="788"/>
        <v>49.704003168081499</v>
      </c>
      <c r="DE95" s="259">
        <f t="shared" ca="1" si="788"/>
        <v>49.704003168081499</v>
      </c>
      <c r="DF95" s="259">
        <f t="shared" ca="1" si="788"/>
        <v>49.704003168081499</v>
      </c>
      <c r="DG95" s="259">
        <f t="shared" ca="1" si="788"/>
        <v>49.704003168081499</v>
      </c>
      <c r="DH95" s="259">
        <f t="shared" ca="1" si="788"/>
        <v>49.704003168081499</v>
      </c>
      <c r="DI95" s="259">
        <f t="shared" ca="1" si="788"/>
        <v>49.704003168081499</v>
      </c>
      <c r="DJ95" s="259">
        <f t="shared" ca="1" si="788"/>
        <v>49.704003168081499</v>
      </c>
      <c r="DK95" s="259">
        <f t="shared" ca="1" si="788"/>
        <v>49.704003168081499</v>
      </c>
      <c r="DL95" s="259">
        <f t="shared" ca="1" si="788"/>
        <v>49.704003168081499</v>
      </c>
      <c r="DM95" s="259">
        <f t="shared" ca="1" si="788"/>
        <v>49.704003168081499</v>
      </c>
      <c r="DN95" s="259">
        <f t="shared" ca="1" si="788"/>
        <v>49.704003168081499</v>
      </c>
      <c r="DO95" s="259">
        <f t="shared" ca="1" si="788"/>
        <v>49.704003168081499</v>
      </c>
      <c r="DP95" s="259">
        <f t="shared" ca="1" si="788"/>
        <v>49.704003168081499</v>
      </c>
      <c r="DQ95" s="259">
        <f t="shared" ca="1" si="788"/>
        <v>49.704003168081499</v>
      </c>
      <c r="DR95" s="259">
        <f t="shared" ca="1" si="788"/>
        <v>49.704003168081499</v>
      </c>
      <c r="DS95" s="259">
        <f t="shared" ca="1" si="788"/>
        <v>49.704003168081499</v>
      </c>
      <c r="DT95" s="259">
        <f t="shared" ca="1" si="788"/>
        <v>49.704003168081499</v>
      </c>
      <c r="DU95" s="259">
        <f t="shared" ca="1" si="788"/>
        <v>49.704003168081499</v>
      </c>
      <c r="DV95" s="259">
        <f t="shared" ca="1" si="788"/>
        <v>49.704003168081499</v>
      </c>
      <c r="DW95" s="259">
        <f t="shared" ca="1" si="788"/>
        <v>49.704003168081499</v>
      </c>
      <c r="DX95" s="259">
        <f t="shared" ca="1" si="788"/>
        <v>49.704003168081499</v>
      </c>
      <c r="DY95" s="259">
        <f t="shared" ca="1" si="788"/>
        <v>49.704003168081499</v>
      </c>
      <c r="DZ95" s="259">
        <f t="shared" ca="1" si="788"/>
        <v>49.704003168081499</v>
      </c>
      <c r="EA95" s="259">
        <f t="shared" ca="1" si="788"/>
        <v>49.704003168081499</v>
      </c>
      <c r="EB95" s="259">
        <f t="shared" ref="EB95:GM95" ca="1" si="789">IF(-EB39&gt;($B$95-EB31),(EA95-EB31),-EB39)</f>
        <v>49.704003168081499</v>
      </c>
      <c r="EC95" s="259">
        <f t="shared" ca="1" si="789"/>
        <v>49.704003168081499</v>
      </c>
      <c r="ED95" s="259">
        <f t="shared" ca="1" si="789"/>
        <v>49.704003168081499</v>
      </c>
      <c r="EE95" s="259">
        <f t="shared" ca="1" si="789"/>
        <v>49.704003168081499</v>
      </c>
      <c r="EF95" s="259">
        <f t="shared" ca="1" si="789"/>
        <v>49.704003168081499</v>
      </c>
      <c r="EG95" s="259">
        <f t="shared" ca="1" si="789"/>
        <v>49.704003168081499</v>
      </c>
      <c r="EH95" s="259">
        <f t="shared" ca="1" si="789"/>
        <v>49.704003168081499</v>
      </c>
      <c r="EI95" s="259">
        <f t="shared" ca="1" si="789"/>
        <v>49.704003168081499</v>
      </c>
      <c r="EJ95" s="259">
        <f t="shared" ca="1" si="789"/>
        <v>49.704003168081499</v>
      </c>
      <c r="EK95" s="259">
        <f t="shared" ca="1" si="789"/>
        <v>49.704003168081499</v>
      </c>
      <c r="EL95" s="259">
        <f t="shared" ca="1" si="789"/>
        <v>49.704003168081499</v>
      </c>
      <c r="EM95" s="259">
        <f t="shared" ca="1" si="789"/>
        <v>49.704003168081499</v>
      </c>
      <c r="EN95" s="259">
        <f t="shared" ca="1" si="789"/>
        <v>49.704003168081499</v>
      </c>
      <c r="EO95" s="259">
        <f t="shared" ca="1" si="789"/>
        <v>49.704003168081499</v>
      </c>
      <c r="EP95" s="259">
        <f t="shared" ca="1" si="789"/>
        <v>49.704003168081499</v>
      </c>
      <c r="EQ95" s="259">
        <f t="shared" ca="1" si="789"/>
        <v>49.704003168081499</v>
      </c>
      <c r="ER95" s="259">
        <f t="shared" ca="1" si="789"/>
        <v>49.704003168081499</v>
      </c>
      <c r="ES95" s="259">
        <f t="shared" ca="1" si="789"/>
        <v>49.704003168081499</v>
      </c>
      <c r="ET95" s="259">
        <f t="shared" ca="1" si="789"/>
        <v>49.704003168081499</v>
      </c>
      <c r="EU95" s="259">
        <f t="shared" ca="1" si="789"/>
        <v>49.704003168081499</v>
      </c>
      <c r="EV95" s="259">
        <f t="shared" ca="1" si="789"/>
        <v>49.704003168081499</v>
      </c>
      <c r="EW95" s="259">
        <f t="shared" ca="1" si="789"/>
        <v>49.704003168081499</v>
      </c>
      <c r="EX95" s="259">
        <f t="shared" ca="1" si="789"/>
        <v>49.704003168081499</v>
      </c>
      <c r="EY95" s="259">
        <f t="shared" ca="1" si="789"/>
        <v>49.704003168081499</v>
      </c>
      <c r="EZ95" s="259">
        <f t="shared" ca="1" si="789"/>
        <v>49.704003168081499</v>
      </c>
      <c r="FA95" s="259">
        <f t="shared" ca="1" si="789"/>
        <v>49.704003168081499</v>
      </c>
      <c r="FB95" s="259">
        <f t="shared" ca="1" si="789"/>
        <v>49.704003168081499</v>
      </c>
      <c r="FC95" s="259">
        <f t="shared" ca="1" si="789"/>
        <v>49.704003168081499</v>
      </c>
      <c r="FD95" s="259">
        <f t="shared" ca="1" si="789"/>
        <v>49.704003168081499</v>
      </c>
      <c r="FE95" s="259">
        <f t="shared" ca="1" si="789"/>
        <v>49.704003168081499</v>
      </c>
      <c r="FF95" s="259">
        <f t="shared" ca="1" si="789"/>
        <v>49.704003168081499</v>
      </c>
      <c r="FG95" s="259">
        <f t="shared" ca="1" si="789"/>
        <v>49.704003168081499</v>
      </c>
      <c r="FH95" s="259">
        <f t="shared" ca="1" si="789"/>
        <v>49.704003168081499</v>
      </c>
      <c r="FI95" s="259">
        <f t="shared" ca="1" si="789"/>
        <v>49.704003168081499</v>
      </c>
      <c r="FJ95" s="259">
        <f t="shared" ca="1" si="789"/>
        <v>49.704003168081499</v>
      </c>
      <c r="FK95" s="259">
        <f t="shared" ca="1" si="789"/>
        <v>49.704003168081499</v>
      </c>
      <c r="FL95" s="259">
        <f t="shared" ca="1" si="789"/>
        <v>49.704003168081499</v>
      </c>
      <c r="FM95" s="259">
        <f t="shared" ca="1" si="789"/>
        <v>49.704003168081499</v>
      </c>
      <c r="FN95" s="259">
        <f t="shared" ca="1" si="789"/>
        <v>49.704003168081499</v>
      </c>
      <c r="FO95" s="259">
        <f t="shared" ca="1" si="789"/>
        <v>49.704003168081499</v>
      </c>
      <c r="FP95" s="259">
        <f t="shared" ca="1" si="789"/>
        <v>49.704003168081499</v>
      </c>
      <c r="FQ95" s="259">
        <f t="shared" ca="1" si="789"/>
        <v>49.704003168081499</v>
      </c>
      <c r="FR95" s="259">
        <f t="shared" ca="1" si="789"/>
        <v>49.704003168081499</v>
      </c>
      <c r="FS95" s="259">
        <f t="shared" ca="1" si="789"/>
        <v>49.704003168081499</v>
      </c>
      <c r="FT95" s="259">
        <f t="shared" ca="1" si="789"/>
        <v>49.704003168081499</v>
      </c>
      <c r="FU95" s="259">
        <f t="shared" ca="1" si="789"/>
        <v>49.704003168081499</v>
      </c>
      <c r="FV95" s="259">
        <f t="shared" ca="1" si="789"/>
        <v>49.704003168081499</v>
      </c>
      <c r="FW95" s="259">
        <f t="shared" ca="1" si="789"/>
        <v>49.704003168081499</v>
      </c>
      <c r="FX95" s="259">
        <f t="shared" ca="1" si="789"/>
        <v>49.704003168081499</v>
      </c>
      <c r="FY95" s="259">
        <f t="shared" ca="1" si="789"/>
        <v>49.704003168081499</v>
      </c>
      <c r="FZ95" s="259">
        <f t="shared" ca="1" si="789"/>
        <v>49.704003168081499</v>
      </c>
      <c r="GA95" s="259">
        <f t="shared" ca="1" si="789"/>
        <v>49.704003168081499</v>
      </c>
      <c r="GB95" s="259">
        <f t="shared" ca="1" si="789"/>
        <v>49.704003168081499</v>
      </c>
      <c r="GC95" s="259">
        <f t="shared" ca="1" si="789"/>
        <v>49.704003168081499</v>
      </c>
      <c r="GD95" s="259">
        <f t="shared" ca="1" si="789"/>
        <v>49.704003168081499</v>
      </c>
      <c r="GE95" s="259">
        <f t="shared" ca="1" si="789"/>
        <v>49.704003168081499</v>
      </c>
      <c r="GF95" s="259">
        <f t="shared" ca="1" si="789"/>
        <v>49.704003168081499</v>
      </c>
      <c r="GG95" s="259">
        <f t="shared" ca="1" si="789"/>
        <v>49.704003168081499</v>
      </c>
      <c r="GH95" s="259">
        <f t="shared" ca="1" si="789"/>
        <v>49.704003168081499</v>
      </c>
      <c r="GI95" s="259">
        <f t="shared" ca="1" si="789"/>
        <v>49.704003168081499</v>
      </c>
      <c r="GJ95" s="259">
        <f t="shared" ca="1" si="789"/>
        <v>49.704003168081499</v>
      </c>
      <c r="GK95" s="259">
        <f t="shared" ca="1" si="789"/>
        <v>49.704003168081499</v>
      </c>
      <c r="GL95" s="259">
        <f t="shared" ca="1" si="789"/>
        <v>49.704003168081499</v>
      </c>
      <c r="GM95" s="259">
        <f t="shared" ca="1" si="789"/>
        <v>49.704003168081499</v>
      </c>
      <c r="GN95" s="259">
        <f t="shared" ref="GN95:IY95" ca="1" si="790">IF(-GN39&gt;($B$95-GN31),(GM95-GN31),-GN39)</f>
        <v>49.704003168081499</v>
      </c>
      <c r="GO95" s="259">
        <f t="shared" ca="1" si="790"/>
        <v>49.704003168081499</v>
      </c>
      <c r="GP95" s="259">
        <f t="shared" ca="1" si="790"/>
        <v>49.704003168081499</v>
      </c>
      <c r="GQ95" s="259">
        <f t="shared" ca="1" si="790"/>
        <v>49.704003168081499</v>
      </c>
      <c r="GR95" s="259">
        <f t="shared" ca="1" si="790"/>
        <v>49.704003168081499</v>
      </c>
      <c r="GS95" s="259">
        <f t="shared" ca="1" si="790"/>
        <v>49.704003168081499</v>
      </c>
      <c r="GT95" s="259">
        <f t="shared" ca="1" si="790"/>
        <v>49.704003168081499</v>
      </c>
      <c r="GU95" s="259">
        <f t="shared" ca="1" si="790"/>
        <v>49.704003168081499</v>
      </c>
      <c r="GV95" s="259">
        <f t="shared" ca="1" si="790"/>
        <v>49.704003168081499</v>
      </c>
      <c r="GW95" s="259">
        <f t="shared" ca="1" si="790"/>
        <v>49.704003168081499</v>
      </c>
      <c r="GX95" s="259">
        <f t="shared" ca="1" si="790"/>
        <v>49.704003168081499</v>
      </c>
      <c r="GY95" s="259">
        <f t="shared" ca="1" si="790"/>
        <v>49.704003168081499</v>
      </c>
      <c r="GZ95" s="259">
        <f t="shared" ca="1" si="790"/>
        <v>49.704003168081499</v>
      </c>
      <c r="HA95" s="259">
        <f t="shared" ca="1" si="790"/>
        <v>49.704003168081499</v>
      </c>
      <c r="HB95" s="259">
        <f t="shared" ca="1" si="790"/>
        <v>49.704003168081499</v>
      </c>
      <c r="HC95" s="259">
        <f t="shared" ca="1" si="790"/>
        <v>49.704003168081499</v>
      </c>
      <c r="HD95" s="259">
        <f t="shared" ca="1" si="790"/>
        <v>49.704003168081499</v>
      </c>
      <c r="HE95" s="259">
        <f t="shared" ca="1" si="790"/>
        <v>49.704003168081499</v>
      </c>
      <c r="HF95" s="259">
        <f t="shared" ca="1" si="790"/>
        <v>49.704003168081499</v>
      </c>
      <c r="HG95" s="259">
        <f t="shared" ca="1" si="790"/>
        <v>49.704003168081499</v>
      </c>
      <c r="HH95" s="259">
        <f t="shared" ca="1" si="790"/>
        <v>49.704003168081499</v>
      </c>
      <c r="HI95" s="259">
        <f t="shared" ca="1" si="790"/>
        <v>49.704003168081499</v>
      </c>
      <c r="HJ95" s="259">
        <f t="shared" ca="1" si="790"/>
        <v>49.704003168081499</v>
      </c>
      <c r="HK95" s="259">
        <f t="shared" ca="1" si="790"/>
        <v>49.704003168081499</v>
      </c>
      <c r="HL95" s="259">
        <f t="shared" ca="1" si="790"/>
        <v>49.704003168081499</v>
      </c>
      <c r="HM95" s="259">
        <f t="shared" ca="1" si="790"/>
        <v>49.704003168081499</v>
      </c>
      <c r="HN95" s="259">
        <f t="shared" ca="1" si="790"/>
        <v>49.704003168081499</v>
      </c>
      <c r="HO95" s="259">
        <f t="shared" ca="1" si="790"/>
        <v>49.704003168081499</v>
      </c>
      <c r="HP95" s="259">
        <f t="shared" ca="1" si="790"/>
        <v>49.704003168081499</v>
      </c>
      <c r="HQ95" s="259">
        <f t="shared" ca="1" si="790"/>
        <v>49.704003168081499</v>
      </c>
      <c r="HR95" s="259">
        <f t="shared" ca="1" si="790"/>
        <v>49.704003168081499</v>
      </c>
      <c r="HS95" s="259">
        <f t="shared" ca="1" si="790"/>
        <v>49.704003168081499</v>
      </c>
      <c r="HT95" s="259">
        <f t="shared" ca="1" si="790"/>
        <v>49.704003168081499</v>
      </c>
      <c r="HU95" s="259">
        <f t="shared" ca="1" si="790"/>
        <v>49.704003168081499</v>
      </c>
      <c r="HV95" s="259">
        <f t="shared" ca="1" si="790"/>
        <v>49.704003168081499</v>
      </c>
      <c r="HW95" s="259">
        <f t="shared" ca="1" si="790"/>
        <v>49.704003168081499</v>
      </c>
      <c r="HX95" s="259">
        <f t="shared" ca="1" si="790"/>
        <v>49.704003168081499</v>
      </c>
      <c r="HY95" s="259">
        <f t="shared" ca="1" si="790"/>
        <v>49.704003168081499</v>
      </c>
      <c r="HZ95" s="259">
        <f t="shared" ca="1" si="790"/>
        <v>49.704003168081499</v>
      </c>
      <c r="IA95" s="259">
        <f t="shared" ca="1" si="790"/>
        <v>49.704003168081499</v>
      </c>
      <c r="IB95" s="259">
        <f t="shared" ca="1" si="790"/>
        <v>49.704003168081499</v>
      </c>
      <c r="IC95" s="259">
        <f t="shared" ca="1" si="790"/>
        <v>49.704003168081499</v>
      </c>
      <c r="ID95" s="259">
        <f t="shared" ca="1" si="790"/>
        <v>49.704003168081499</v>
      </c>
      <c r="IE95" s="259">
        <f t="shared" ca="1" si="790"/>
        <v>49.704003168081499</v>
      </c>
      <c r="IF95" s="259">
        <f t="shared" ca="1" si="790"/>
        <v>49.704003168081499</v>
      </c>
      <c r="IG95" s="259">
        <f t="shared" ca="1" si="790"/>
        <v>49.704003168081499</v>
      </c>
      <c r="IH95" s="259">
        <f t="shared" ca="1" si="790"/>
        <v>49.704003168081499</v>
      </c>
      <c r="II95" s="259">
        <f t="shared" ca="1" si="790"/>
        <v>49.704003168081499</v>
      </c>
      <c r="IJ95" s="259">
        <f t="shared" ca="1" si="790"/>
        <v>49.704003168081499</v>
      </c>
      <c r="IK95" s="259">
        <f t="shared" ca="1" si="790"/>
        <v>49.704003168081499</v>
      </c>
      <c r="IL95" s="259">
        <f t="shared" ca="1" si="790"/>
        <v>49.704003168081499</v>
      </c>
      <c r="IM95" s="259">
        <f t="shared" ca="1" si="790"/>
        <v>49.704003168081499</v>
      </c>
      <c r="IN95" s="259">
        <f t="shared" ca="1" si="790"/>
        <v>49.704003168081499</v>
      </c>
      <c r="IO95" s="259">
        <f t="shared" ca="1" si="790"/>
        <v>49.704003168081499</v>
      </c>
      <c r="IP95" s="259">
        <f t="shared" ca="1" si="790"/>
        <v>49.704003168081499</v>
      </c>
      <c r="IQ95" s="259">
        <f t="shared" ca="1" si="790"/>
        <v>49.704003168081499</v>
      </c>
      <c r="IR95" s="259">
        <f t="shared" ca="1" si="790"/>
        <v>49.704003168081499</v>
      </c>
      <c r="IS95" s="259">
        <f t="shared" ca="1" si="790"/>
        <v>49.704003168081499</v>
      </c>
      <c r="IT95" s="259">
        <f t="shared" ca="1" si="790"/>
        <v>49.704003168081499</v>
      </c>
      <c r="IU95" s="259">
        <f t="shared" ca="1" si="790"/>
        <v>49.704003168081499</v>
      </c>
      <c r="IV95" s="259">
        <f t="shared" ca="1" si="790"/>
        <v>49.704003168081499</v>
      </c>
      <c r="IW95" s="259">
        <f t="shared" ca="1" si="790"/>
        <v>49.704003168081499</v>
      </c>
      <c r="IX95" s="259">
        <f t="shared" ca="1" si="790"/>
        <v>49.704003168081499</v>
      </c>
      <c r="IY95" s="259">
        <f t="shared" ca="1" si="790"/>
        <v>49.704003168081499</v>
      </c>
      <c r="IZ95" s="259">
        <f t="shared" ref="IZ95:KB95" ca="1" si="791">IF(-IZ39&gt;($B$95-IZ31),(IY95-IZ31),-IZ39)</f>
        <v>49.704003168081499</v>
      </c>
      <c r="JA95" s="259">
        <f t="shared" ca="1" si="791"/>
        <v>49.704003168081499</v>
      </c>
      <c r="JB95" s="259">
        <f t="shared" ca="1" si="791"/>
        <v>49.704003168081499</v>
      </c>
      <c r="JC95" s="259">
        <f t="shared" ca="1" si="791"/>
        <v>49.704003168081499</v>
      </c>
      <c r="JD95" s="259">
        <f t="shared" ca="1" si="791"/>
        <v>49.704003168081499</v>
      </c>
      <c r="JE95" s="259">
        <f t="shared" ca="1" si="791"/>
        <v>49.704003168081499</v>
      </c>
      <c r="JF95" s="259">
        <f t="shared" ca="1" si="791"/>
        <v>49.704003168081499</v>
      </c>
      <c r="JG95" s="259">
        <f t="shared" ca="1" si="791"/>
        <v>49.704003168081499</v>
      </c>
      <c r="JH95" s="259">
        <f t="shared" ca="1" si="791"/>
        <v>49.704003168081499</v>
      </c>
      <c r="JI95" s="259">
        <f t="shared" ca="1" si="791"/>
        <v>49.704003168081499</v>
      </c>
      <c r="JJ95" s="259">
        <f t="shared" ca="1" si="791"/>
        <v>49.704003168081499</v>
      </c>
      <c r="JK95" s="259">
        <f t="shared" ca="1" si="791"/>
        <v>49.704003168081499</v>
      </c>
      <c r="JL95" s="259">
        <f t="shared" ca="1" si="791"/>
        <v>49.704003168081499</v>
      </c>
      <c r="JM95" s="259">
        <f t="shared" ca="1" si="791"/>
        <v>49.704003168081499</v>
      </c>
      <c r="JN95" s="259">
        <f t="shared" ca="1" si="791"/>
        <v>49.704003168081499</v>
      </c>
      <c r="JO95" s="259">
        <f t="shared" ca="1" si="791"/>
        <v>49.704003168081499</v>
      </c>
      <c r="JP95" s="259">
        <f t="shared" ca="1" si="791"/>
        <v>49.704003168081499</v>
      </c>
      <c r="JQ95" s="259">
        <f t="shared" ca="1" si="791"/>
        <v>49.704003168081499</v>
      </c>
      <c r="JR95" s="259">
        <f t="shared" ca="1" si="791"/>
        <v>49.704003168081499</v>
      </c>
      <c r="JS95" s="259">
        <f t="shared" ca="1" si="791"/>
        <v>49.704003168081499</v>
      </c>
      <c r="JT95" s="259">
        <f t="shared" ca="1" si="791"/>
        <v>49.704003168081499</v>
      </c>
      <c r="JU95" s="259">
        <f t="shared" ca="1" si="791"/>
        <v>49.704003168081499</v>
      </c>
      <c r="JV95" s="259">
        <f t="shared" ca="1" si="791"/>
        <v>49.704003168081499</v>
      </c>
      <c r="JW95" s="259">
        <f t="shared" ca="1" si="791"/>
        <v>49.704003168081499</v>
      </c>
      <c r="JX95" s="259">
        <f t="shared" ca="1" si="791"/>
        <v>49.704003168081499</v>
      </c>
      <c r="JY95" s="259">
        <f t="shared" ca="1" si="791"/>
        <v>49.704003168081499</v>
      </c>
      <c r="JZ95" s="259">
        <f t="shared" ca="1" si="791"/>
        <v>49.704003168081499</v>
      </c>
      <c r="KA95" s="259">
        <f t="shared" ca="1" si="791"/>
        <v>49.704003168081499</v>
      </c>
      <c r="KB95" s="259">
        <f t="shared" ca="1" si="791"/>
        <v>49.704003168081499</v>
      </c>
    </row>
    <row r="96" spans="1:289" x14ac:dyDescent="0.3">
      <c r="A96" s="169" t="s">
        <v>273</v>
      </c>
      <c r="B96" s="39"/>
      <c r="C96" s="52">
        <f t="shared" ref="C96" ca="1" si="792">C95-B96</f>
        <v>47.58</v>
      </c>
      <c r="D96" s="52">
        <f ca="1">D95-C95</f>
        <v>2.1240031680815008</v>
      </c>
      <c r="E96" s="52">
        <f t="shared" ref="E96:BP96" ca="1" si="793">E95-D95</f>
        <v>0</v>
      </c>
      <c r="F96" s="52">
        <f t="shared" ca="1" si="793"/>
        <v>0</v>
      </c>
      <c r="G96" s="52">
        <f t="shared" ca="1" si="793"/>
        <v>0</v>
      </c>
      <c r="H96" s="52">
        <f t="shared" ca="1" si="793"/>
        <v>0</v>
      </c>
      <c r="I96" s="52">
        <f t="shared" ca="1" si="793"/>
        <v>0</v>
      </c>
      <c r="J96" s="52">
        <f t="shared" ca="1" si="793"/>
        <v>0</v>
      </c>
      <c r="K96" s="52">
        <f t="shared" ca="1" si="793"/>
        <v>0</v>
      </c>
      <c r="L96" s="52">
        <f t="shared" ca="1" si="793"/>
        <v>0</v>
      </c>
      <c r="M96" s="52">
        <f t="shared" ca="1" si="793"/>
        <v>0</v>
      </c>
      <c r="N96" s="52">
        <f t="shared" ca="1" si="793"/>
        <v>0</v>
      </c>
      <c r="O96" s="52">
        <f t="shared" ca="1" si="793"/>
        <v>0</v>
      </c>
      <c r="P96" s="52">
        <f t="shared" ca="1" si="793"/>
        <v>0</v>
      </c>
      <c r="Q96" s="52">
        <f t="shared" ca="1" si="793"/>
        <v>0</v>
      </c>
      <c r="R96" s="52">
        <f t="shared" ca="1" si="793"/>
        <v>0</v>
      </c>
      <c r="S96" s="52">
        <f t="shared" ca="1" si="793"/>
        <v>0</v>
      </c>
      <c r="T96" s="52">
        <f t="shared" ca="1" si="793"/>
        <v>0</v>
      </c>
      <c r="U96" s="52">
        <f t="shared" ca="1" si="793"/>
        <v>0</v>
      </c>
      <c r="V96" s="52">
        <f t="shared" ca="1" si="793"/>
        <v>0</v>
      </c>
      <c r="W96" s="52">
        <f t="shared" ca="1" si="793"/>
        <v>0</v>
      </c>
      <c r="X96" s="52">
        <f t="shared" ca="1" si="793"/>
        <v>0</v>
      </c>
      <c r="Y96" s="52">
        <f t="shared" ca="1" si="793"/>
        <v>0</v>
      </c>
      <c r="Z96" s="52">
        <f t="shared" ca="1" si="793"/>
        <v>0</v>
      </c>
      <c r="AA96" s="52">
        <f t="shared" ca="1" si="793"/>
        <v>0</v>
      </c>
      <c r="AB96" s="52">
        <f t="shared" ca="1" si="793"/>
        <v>0</v>
      </c>
      <c r="AC96" s="52">
        <f t="shared" ca="1" si="793"/>
        <v>0</v>
      </c>
      <c r="AD96" s="52">
        <f t="shared" ca="1" si="793"/>
        <v>0</v>
      </c>
      <c r="AE96" s="52">
        <f t="shared" ca="1" si="793"/>
        <v>0</v>
      </c>
      <c r="AF96" s="52">
        <f t="shared" ca="1" si="793"/>
        <v>0</v>
      </c>
      <c r="AG96" s="52">
        <f t="shared" ca="1" si="793"/>
        <v>0</v>
      </c>
      <c r="AH96" s="52">
        <f t="shared" ca="1" si="793"/>
        <v>0</v>
      </c>
      <c r="AI96" s="52">
        <f t="shared" ca="1" si="793"/>
        <v>0</v>
      </c>
      <c r="AJ96" s="52">
        <f t="shared" ca="1" si="793"/>
        <v>0</v>
      </c>
      <c r="AK96" s="52">
        <f t="shared" ca="1" si="793"/>
        <v>0</v>
      </c>
      <c r="AL96" s="52">
        <f t="shared" ca="1" si="793"/>
        <v>0</v>
      </c>
      <c r="AM96" s="52">
        <f t="shared" ca="1" si="793"/>
        <v>0</v>
      </c>
      <c r="AN96" s="52">
        <f t="shared" ca="1" si="793"/>
        <v>0</v>
      </c>
      <c r="AO96" s="52">
        <f t="shared" ca="1" si="793"/>
        <v>0</v>
      </c>
      <c r="AP96" s="52">
        <f t="shared" ca="1" si="793"/>
        <v>0</v>
      </c>
      <c r="AQ96" s="52">
        <f t="shared" ca="1" si="793"/>
        <v>0</v>
      </c>
      <c r="AR96" s="52">
        <f t="shared" ca="1" si="793"/>
        <v>0</v>
      </c>
      <c r="AS96" s="52">
        <f t="shared" ca="1" si="793"/>
        <v>0</v>
      </c>
      <c r="AT96" s="52">
        <f t="shared" ca="1" si="793"/>
        <v>0</v>
      </c>
      <c r="AU96" s="52">
        <f t="shared" ca="1" si="793"/>
        <v>0</v>
      </c>
      <c r="AV96" s="52">
        <f t="shared" ca="1" si="793"/>
        <v>0</v>
      </c>
      <c r="AW96" s="52">
        <f t="shared" ca="1" si="793"/>
        <v>0</v>
      </c>
      <c r="AX96" s="52">
        <f t="shared" ca="1" si="793"/>
        <v>0</v>
      </c>
      <c r="AY96" s="52">
        <f t="shared" ca="1" si="793"/>
        <v>0</v>
      </c>
      <c r="AZ96" s="52">
        <f t="shared" ca="1" si="793"/>
        <v>0</v>
      </c>
      <c r="BA96" s="52">
        <f t="shared" ca="1" si="793"/>
        <v>0</v>
      </c>
      <c r="BB96" s="52">
        <f t="shared" ca="1" si="793"/>
        <v>0</v>
      </c>
      <c r="BC96" s="52">
        <f t="shared" ca="1" si="793"/>
        <v>0</v>
      </c>
      <c r="BD96" s="52">
        <f t="shared" ca="1" si="793"/>
        <v>0</v>
      </c>
      <c r="BE96" s="52">
        <f t="shared" ca="1" si="793"/>
        <v>0</v>
      </c>
      <c r="BF96" s="52">
        <f t="shared" ca="1" si="793"/>
        <v>0</v>
      </c>
      <c r="BG96" s="52">
        <f t="shared" ca="1" si="793"/>
        <v>0</v>
      </c>
      <c r="BH96" s="52">
        <f t="shared" ca="1" si="793"/>
        <v>0</v>
      </c>
      <c r="BI96" s="52">
        <f t="shared" ca="1" si="793"/>
        <v>0</v>
      </c>
      <c r="BJ96" s="52">
        <f t="shared" ca="1" si="793"/>
        <v>0</v>
      </c>
      <c r="BK96" s="52">
        <f t="shared" ca="1" si="793"/>
        <v>0</v>
      </c>
      <c r="BL96" s="52">
        <f t="shared" ca="1" si="793"/>
        <v>0</v>
      </c>
      <c r="BM96" s="52">
        <f t="shared" ca="1" si="793"/>
        <v>0</v>
      </c>
      <c r="BN96" s="52">
        <f t="shared" ca="1" si="793"/>
        <v>0</v>
      </c>
      <c r="BO96" s="52">
        <f t="shared" ca="1" si="793"/>
        <v>0</v>
      </c>
      <c r="BP96" s="52">
        <f t="shared" ca="1" si="793"/>
        <v>0</v>
      </c>
      <c r="BQ96" s="52">
        <f t="shared" ref="BQ96:EB96" ca="1" si="794">BQ95-BP95</f>
        <v>0</v>
      </c>
      <c r="BR96" s="52">
        <f t="shared" ca="1" si="794"/>
        <v>0</v>
      </c>
      <c r="BS96" s="52">
        <f t="shared" ca="1" si="794"/>
        <v>0</v>
      </c>
      <c r="BT96" s="52">
        <f t="shared" ca="1" si="794"/>
        <v>0</v>
      </c>
      <c r="BU96" s="52">
        <f t="shared" ca="1" si="794"/>
        <v>0</v>
      </c>
      <c r="BV96" s="52">
        <f t="shared" ca="1" si="794"/>
        <v>0</v>
      </c>
      <c r="BW96" s="52">
        <f t="shared" ca="1" si="794"/>
        <v>0</v>
      </c>
      <c r="BX96" s="52">
        <f t="shared" ca="1" si="794"/>
        <v>0</v>
      </c>
      <c r="BY96" s="52">
        <f t="shared" ca="1" si="794"/>
        <v>0</v>
      </c>
      <c r="BZ96" s="52">
        <f t="shared" ca="1" si="794"/>
        <v>0</v>
      </c>
      <c r="CA96" s="52">
        <f t="shared" ca="1" si="794"/>
        <v>0</v>
      </c>
      <c r="CB96" s="52">
        <f t="shared" ca="1" si="794"/>
        <v>0</v>
      </c>
      <c r="CC96" s="52">
        <f t="shared" ca="1" si="794"/>
        <v>0</v>
      </c>
      <c r="CD96" s="52">
        <f t="shared" ca="1" si="794"/>
        <v>0</v>
      </c>
      <c r="CE96" s="52">
        <f t="shared" ca="1" si="794"/>
        <v>0</v>
      </c>
      <c r="CF96" s="52">
        <f t="shared" ca="1" si="794"/>
        <v>0</v>
      </c>
      <c r="CG96" s="52">
        <f t="shared" ca="1" si="794"/>
        <v>0</v>
      </c>
      <c r="CH96" s="52">
        <f t="shared" ca="1" si="794"/>
        <v>0</v>
      </c>
      <c r="CI96" s="52">
        <f t="shared" ca="1" si="794"/>
        <v>0</v>
      </c>
      <c r="CJ96" s="52">
        <f t="shared" ca="1" si="794"/>
        <v>0</v>
      </c>
      <c r="CK96" s="52">
        <f t="shared" ca="1" si="794"/>
        <v>0</v>
      </c>
      <c r="CL96" s="52">
        <f t="shared" ca="1" si="794"/>
        <v>0</v>
      </c>
      <c r="CM96" s="52">
        <f t="shared" ca="1" si="794"/>
        <v>0</v>
      </c>
      <c r="CN96" s="52">
        <f t="shared" ca="1" si="794"/>
        <v>0</v>
      </c>
      <c r="CO96" s="52">
        <f t="shared" ca="1" si="794"/>
        <v>0</v>
      </c>
      <c r="CP96" s="52">
        <f t="shared" ca="1" si="794"/>
        <v>0</v>
      </c>
      <c r="CQ96" s="52">
        <f t="shared" ca="1" si="794"/>
        <v>0</v>
      </c>
      <c r="CR96" s="52">
        <f t="shared" ca="1" si="794"/>
        <v>0</v>
      </c>
      <c r="CS96" s="52">
        <f t="shared" ca="1" si="794"/>
        <v>0</v>
      </c>
      <c r="CT96" s="52">
        <f t="shared" ca="1" si="794"/>
        <v>0</v>
      </c>
      <c r="CU96" s="52">
        <f t="shared" ca="1" si="794"/>
        <v>0</v>
      </c>
      <c r="CV96" s="52">
        <f t="shared" ca="1" si="794"/>
        <v>0</v>
      </c>
      <c r="CW96" s="52">
        <f t="shared" ca="1" si="794"/>
        <v>0</v>
      </c>
      <c r="CX96" s="52">
        <f t="shared" ca="1" si="794"/>
        <v>0</v>
      </c>
      <c r="CY96" s="52">
        <f t="shared" ca="1" si="794"/>
        <v>0</v>
      </c>
      <c r="CZ96" s="52">
        <f t="shared" ca="1" si="794"/>
        <v>0</v>
      </c>
      <c r="DA96" s="52">
        <f t="shared" ca="1" si="794"/>
        <v>0</v>
      </c>
      <c r="DB96" s="52">
        <f t="shared" ca="1" si="794"/>
        <v>0</v>
      </c>
      <c r="DC96" s="52">
        <f t="shared" ca="1" si="794"/>
        <v>0</v>
      </c>
      <c r="DD96" s="52">
        <f t="shared" ca="1" si="794"/>
        <v>0</v>
      </c>
      <c r="DE96" s="52">
        <f t="shared" ca="1" si="794"/>
        <v>0</v>
      </c>
      <c r="DF96" s="52">
        <f t="shared" ca="1" si="794"/>
        <v>0</v>
      </c>
      <c r="DG96" s="52">
        <f t="shared" ca="1" si="794"/>
        <v>0</v>
      </c>
      <c r="DH96" s="52">
        <f t="shared" ca="1" si="794"/>
        <v>0</v>
      </c>
      <c r="DI96" s="52">
        <f t="shared" ca="1" si="794"/>
        <v>0</v>
      </c>
      <c r="DJ96" s="52">
        <f t="shared" ca="1" si="794"/>
        <v>0</v>
      </c>
      <c r="DK96" s="52">
        <f t="shared" ca="1" si="794"/>
        <v>0</v>
      </c>
      <c r="DL96" s="52">
        <f t="shared" ca="1" si="794"/>
        <v>0</v>
      </c>
      <c r="DM96" s="52">
        <f t="shared" ca="1" si="794"/>
        <v>0</v>
      </c>
      <c r="DN96" s="52">
        <f t="shared" ca="1" si="794"/>
        <v>0</v>
      </c>
      <c r="DO96" s="52">
        <f t="shared" ca="1" si="794"/>
        <v>0</v>
      </c>
      <c r="DP96" s="52">
        <f t="shared" ca="1" si="794"/>
        <v>0</v>
      </c>
      <c r="DQ96" s="52">
        <f t="shared" ca="1" si="794"/>
        <v>0</v>
      </c>
      <c r="DR96" s="52">
        <f t="shared" ca="1" si="794"/>
        <v>0</v>
      </c>
      <c r="DS96" s="52">
        <f t="shared" ca="1" si="794"/>
        <v>0</v>
      </c>
      <c r="DT96" s="52">
        <f t="shared" ca="1" si="794"/>
        <v>0</v>
      </c>
      <c r="DU96" s="52">
        <f t="shared" ca="1" si="794"/>
        <v>0</v>
      </c>
      <c r="DV96" s="52">
        <f t="shared" ca="1" si="794"/>
        <v>0</v>
      </c>
      <c r="DW96" s="52">
        <f t="shared" ca="1" si="794"/>
        <v>0</v>
      </c>
      <c r="DX96" s="52">
        <f t="shared" ca="1" si="794"/>
        <v>0</v>
      </c>
      <c r="DY96" s="52">
        <f t="shared" ca="1" si="794"/>
        <v>0</v>
      </c>
      <c r="DZ96" s="52">
        <f t="shared" ca="1" si="794"/>
        <v>0</v>
      </c>
      <c r="EA96" s="52">
        <f t="shared" ca="1" si="794"/>
        <v>0</v>
      </c>
      <c r="EB96" s="52">
        <f t="shared" ca="1" si="794"/>
        <v>0</v>
      </c>
      <c r="EC96" s="52">
        <f t="shared" ref="EC96:GN96" ca="1" si="795">EC95-EB95</f>
        <v>0</v>
      </c>
      <c r="ED96" s="52">
        <f t="shared" ca="1" si="795"/>
        <v>0</v>
      </c>
      <c r="EE96" s="52">
        <f t="shared" ca="1" si="795"/>
        <v>0</v>
      </c>
      <c r="EF96" s="52">
        <f t="shared" ca="1" si="795"/>
        <v>0</v>
      </c>
      <c r="EG96" s="52">
        <f t="shared" ca="1" si="795"/>
        <v>0</v>
      </c>
      <c r="EH96" s="52">
        <f t="shared" ca="1" si="795"/>
        <v>0</v>
      </c>
      <c r="EI96" s="52">
        <f t="shared" ca="1" si="795"/>
        <v>0</v>
      </c>
      <c r="EJ96" s="52">
        <f t="shared" ca="1" si="795"/>
        <v>0</v>
      </c>
      <c r="EK96" s="52">
        <f t="shared" ca="1" si="795"/>
        <v>0</v>
      </c>
      <c r="EL96" s="52">
        <f t="shared" ca="1" si="795"/>
        <v>0</v>
      </c>
      <c r="EM96" s="52">
        <f t="shared" ca="1" si="795"/>
        <v>0</v>
      </c>
      <c r="EN96" s="52">
        <f t="shared" ca="1" si="795"/>
        <v>0</v>
      </c>
      <c r="EO96" s="52">
        <f t="shared" ca="1" si="795"/>
        <v>0</v>
      </c>
      <c r="EP96" s="52">
        <f t="shared" ca="1" si="795"/>
        <v>0</v>
      </c>
      <c r="EQ96" s="52">
        <f t="shared" ca="1" si="795"/>
        <v>0</v>
      </c>
      <c r="ER96" s="52">
        <f t="shared" ca="1" si="795"/>
        <v>0</v>
      </c>
      <c r="ES96" s="52">
        <f t="shared" ca="1" si="795"/>
        <v>0</v>
      </c>
      <c r="ET96" s="52">
        <f t="shared" ca="1" si="795"/>
        <v>0</v>
      </c>
      <c r="EU96" s="52">
        <f t="shared" ca="1" si="795"/>
        <v>0</v>
      </c>
      <c r="EV96" s="52">
        <f t="shared" ca="1" si="795"/>
        <v>0</v>
      </c>
      <c r="EW96" s="52">
        <f t="shared" ca="1" si="795"/>
        <v>0</v>
      </c>
      <c r="EX96" s="52">
        <f t="shared" ca="1" si="795"/>
        <v>0</v>
      </c>
      <c r="EY96" s="52">
        <f t="shared" ca="1" si="795"/>
        <v>0</v>
      </c>
      <c r="EZ96" s="52">
        <f t="shared" ca="1" si="795"/>
        <v>0</v>
      </c>
      <c r="FA96" s="52">
        <f t="shared" ca="1" si="795"/>
        <v>0</v>
      </c>
      <c r="FB96" s="52">
        <f t="shared" ca="1" si="795"/>
        <v>0</v>
      </c>
      <c r="FC96" s="52">
        <f t="shared" ca="1" si="795"/>
        <v>0</v>
      </c>
      <c r="FD96" s="52">
        <f t="shared" ca="1" si="795"/>
        <v>0</v>
      </c>
      <c r="FE96" s="52">
        <f t="shared" ca="1" si="795"/>
        <v>0</v>
      </c>
      <c r="FF96" s="52">
        <f t="shared" ca="1" si="795"/>
        <v>0</v>
      </c>
      <c r="FG96" s="52">
        <f t="shared" ca="1" si="795"/>
        <v>0</v>
      </c>
      <c r="FH96" s="52">
        <f t="shared" ca="1" si="795"/>
        <v>0</v>
      </c>
      <c r="FI96" s="52">
        <f t="shared" ca="1" si="795"/>
        <v>0</v>
      </c>
      <c r="FJ96" s="52">
        <f t="shared" ca="1" si="795"/>
        <v>0</v>
      </c>
      <c r="FK96" s="52">
        <f t="shared" ca="1" si="795"/>
        <v>0</v>
      </c>
      <c r="FL96" s="52">
        <f t="shared" ca="1" si="795"/>
        <v>0</v>
      </c>
      <c r="FM96" s="52">
        <f t="shared" ca="1" si="795"/>
        <v>0</v>
      </c>
      <c r="FN96" s="52">
        <f t="shared" ca="1" si="795"/>
        <v>0</v>
      </c>
      <c r="FO96" s="52">
        <f t="shared" ca="1" si="795"/>
        <v>0</v>
      </c>
      <c r="FP96" s="52">
        <f t="shared" ca="1" si="795"/>
        <v>0</v>
      </c>
      <c r="FQ96" s="52">
        <f t="shared" ca="1" si="795"/>
        <v>0</v>
      </c>
      <c r="FR96" s="52">
        <f t="shared" ca="1" si="795"/>
        <v>0</v>
      </c>
      <c r="FS96" s="52">
        <f t="shared" ca="1" si="795"/>
        <v>0</v>
      </c>
      <c r="FT96" s="52">
        <f t="shared" ca="1" si="795"/>
        <v>0</v>
      </c>
      <c r="FU96" s="52">
        <f t="shared" ca="1" si="795"/>
        <v>0</v>
      </c>
      <c r="FV96" s="52">
        <f t="shared" ca="1" si="795"/>
        <v>0</v>
      </c>
      <c r="FW96" s="52">
        <f t="shared" ca="1" si="795"/>
        <v>0</v>
      </c>
      <c r="FX96" s="52">
        <f t="shared" ca="1" si="795"/>
        <v>0</v>
      </c>
      <c r="FY96" s="52">
        <f t="shared" ca="1" si="795"/>
        <v>0</v>
      </c>
      <c r="FZ96" s="52">
        <f t="shared" ca="1" si="795"/>
        <v>0</v>
      </c>
      <c r="GA96" s="52">
        <f t="shared" ca="1" si="795"/>
        <v>0</v>
      </c>
      <c r="GB96" s="52">
        <f t="shared" ca="1" si="795"/>
        <v>0</v>
      </c>
      <c r="GC96" s="52">
        <f t="shared" ca="1" si="795"/>
        <v>0</v>
      </c>
      <c r="GD96" s="52">
        <f t="shared" ca="1" si="795"/>
        <v>0</v>
      </c>
      <c r="GE96" s="52">
        <f t="shared" ca="1" si="795"/>
        <v>0</v>
      </c>
      <c r="GF96" s="52">
        <f t="shared" ca="1" si="795"/>
        <v>0</v>
      </c>
      <c r="GG96" s="52">
        <f t="shared" ca="1" si="795"/>
        <v>0</v>
      </c>
      <c r="GH96" s="52">
        <f t="shared" ca="1" si="795"/>
        <v>0</v>
      </c>
      <c r="GI96" s="52">
        <f t="shared" ca="1" si="795"/>
        <v>0</v>
      </c>
      <c r="GJ96" s="52">
        <f t="shared" ca="1" si="795"/>
        <v>0</v>
      </c>
      <c r="GK96" s="52">
        <f t="shared" ca="1" si="795"/>
        <v>0</v>
      </c>
      <c r="GL96" s="52">
        <f t="shared" ca="1" si="795"/>
        <v>0</v>
      </c>
      <c r="GM96" s="52">
        <f t="shared" ca="1" si="795"/>
        <v>0</v>
      </c>
      <c r="GN96" s="52">
        <f t="shared" ca="1" si="795"/>
        <v>0</v>
      </c>
      <c r="GO96" s="52">
        <f t="shared" ref="GO96:IZ96" ca="1" si="796">GO95-GN95</f>
        <v>0</v>
      </c>
      <c r="GP96" s="52">
        <f t="shared" ca="1" si="796"/>
        <v>0</v>
      </c>
      <c r="GQ96" s="52">
        <f t="shared" ca="1" si="796"/>
        <v>0</v>
      </c>
      <c r="GR96" s="52">
        <f t="shared" ca="1" si="796"/>
        <v>0</v>
      </c>
      <c r="GS96" s="52">
        <f t="shared" ca="1" si="796"/>
        <v>0</v>
      </c>
      <c r="GT96" s="52">
        <f t="shared" ca="1" si="796"/>
        <v>0</v>
      </c>
      <c r="GU96" s="52">
        <f t="shared" ca="1" si="796"/>
        <v>0</v>
      </c>
      <c r="GV96" s="52">
        <f t="shared" ca="1" si="796"/>
        <v>0</v>
      </c>
      <c r="GW96" s="52">
        <f t="shared" ca="1" si="796"/>
        <v>0</v>
      </c>
      <c r="GX96" s="52">
        <f t="shared" ca="1" si="796"/>
        <v>0</v>
      </c>
      <c r="GY96" s="52">
        <f t="shared" ca="1" si="796"/>
        <v>0</v>
      </c>
      <c r="GZ96" s="52">
        <f t="shared" ca="1" si="796"/>
        <v>0</v>
      </c>
      <c r="HA96" s="52">
        <f t="shared" ca="1" si="796"/>
        <v>0</v>
      </c>
      <c r="HB96" s="52">
        <f t="shared" ca="1" si="796"/>
        <v>0</v>
      </c>
      <c r="HC96" s="52">
        <f t="shared" ca="1" si="796"/>
        <v>0</v>
      </c>
      <c r="HD96" s="52">
        <f t="shared" ca="1" si="796"/>
        <v>0</v>
      </c>
      <c r="HE96" s="52">
        <f t="shared" ca="1" si="796"/>
        <v>0</v>
      </c>
      <c r="HF96" s="52">
        <f t="shared" ca="1" si="796"/>
        <v>0</v>
      </c>
      <c r="HG96" s="52">
        <f t="shared" ca="1" si="796"/>
        <v>0</v>
      </c>
      <c r="HH96" s="52">
        <f t="shared" ca="1" si="796"/>
        <v>0</v>
      </c>
      <c r="HI96" s="52">
        <f t="shared" ca="1" si="796"/>
        <v>0</v>
      </c>
      <c r="HJ96" s="52">
        <f t="shared" ca="1" si="796"/>
        <v>0</v>
      </c>
      <c r="HK96" s="52">
        <f t="shared" ca="1" si="796"/>
        <v>0</v>
      </c>
      <c r="HL96" s="52">
        <f t="shared" ca="1" si="796"/>
        <v>0</v>
      </c>
      <c r="HM96" s="52">
        <f t="shared" ca="1" si="796"/>
        <v>0</v>
      </c>
      <c r="HN96" s="52">
        <f t="shared" ca="1" si="796"/>
        <v>0</v>
      </c>
      <c r="HO96" s="52">
        <f t="shared" ca="1" si="796"/>
        <v>0</v>
      </c>
      <c r="HP96" s="52">
        <f t="shared" ca="1" si="796"/>
        <v>0</v>
      </c>
      <c r="HQ96" s="52">
        <f t="shared" ca="1" si="796"/>
        <v>0</v>
      </c>
      <c r="HR96" s="52">
        <f t="shared" ca="1" si="796"/>
        <v>0</v>
      </c>
      <c r="HS96" s="52">
        <f t="shared" ca="1" si="796"/>
        <v>0</v>
      </c>
      <c r="HT96" s="52">
        <f t="shared" ca="1" si="796"/>
        <v>0</v>
      </c>
      <c r="HU96" s="52">
        <f t="shared" ca="1" si="796"/>
        <v>0</v>
      </c>
      <c r="HV96" s="52">
        <f t="shared" ca="1" si="796"/>
        <v>0</v>
      </c>
      <c r="HW96" s="52">
        <f t="shared" ca="1" si="796"/>
        <v>0</v>
      </c>
      <c r="HX96" s="52">
        <f t="shared" ca="1" si="796"/>
        <v>0</v>
      </c>
      <c r="HY96" s="52">
        <f t="shared" ca="1" si="796"/>
        <v>0</v>
      </c>
      <c r="HZ96" s="52">
        <f t="shared" ca="1" si="796"/>
        <v>0</v>
      </c>
      <c r="IA96" s="52">
        <f t="shared" ca="1" si="796"/>
        <v>0</v>
      </c>
      <c r="IB96" s="52">
        <f t="shared" ca="1" si="796"/>
        <v>0</v>
      </c>
      <c r="IC96" s="52">
        <f t="shared" ca="1" si="796"/>
        <v>0</v>
      </c>
      <c r="ID96" s="52">
        <f t="shared" ca="1" si="796"/>
        <v>0</v>
      </c>
      <c r="IE96" s="52">
        <f t="shared" ca="1" si="796"/>
        <v>0</v>
      </c>
      <c r="IF96" s="52">
        <f t="shared" ca="1" si="796"/>
        <v>0</v>
      </c>
      <c r="IG96" s="52">
        <f t="shared" ca="1" si="796"/>
        <v>0</v>
      </c>
      <c r="IH96" s="52">
        <f t="shared" ca="1" si="796"/>
        <v>0</v>
      </c>
      <c r="II96" s="52">
        <f t="shared" ca="1" si="796"/>
        <v>0</v>
      </c>
      <c r="IJ96" s="52">
        <f t="shared" ca="1" si="796"/>
        <v>0</v>
      </c>
      <c r="IK96" s="52">
        <f t="shared" ca="1" si="796"/>
        <v>0</v>
      </c>
      <c r="IL96" s="52">
        <f t="shared" ca="1" si="796"/>
        <v>0</v>
      </c>
      <c r="IM96" s="52">
        <f t="shared" ca="1" si="796"/>
        <v>0</v>
      </c>
      <c r="IN96" s="52">
        <f t="shared" ca="1" si="796"/>
        <v>0</v>
      </c>
      <c r="IO96" s="52">
        <f t="shared" ca="1" si="796"/>
        <v>0</v>
      </c>
      <c r="IP96" s="52">
        <f t="shared" ca="1" si="796"/>
        <v>0</v>
      </c>
      <c r="IQ96" s="52">
        <f t="shared" ca="1" si="796"/>
        <v>0</v>
      </c>
      <c r="IR96" s="52">
        <f t="shared" ca="1" si="796"/>
        <v>0</v>
      </c>
      <c r="IS96" s="52">
        <f t="shared" ca="1" si="796"/>
        <v>0</v>
      </c>
      <c r="IT96" s="52">
        <f t="shared" ca="1" si="796"/>
        <v>0</v>
      </c>
      <c r="IU96" s="52">
        <f t="shared" ca="1" si="796"/>
        <v>0</v>
      </c>
      <c r="IV96" s="52">
        <f t="shared" ca="1" si="796"/>
        <v>0</v>
      </c>
      <c r="IW96" s="52">
        <f t="shared" ca="1" si="796"/>
        <v>0</v>
      </c>
      <c r="IX96" s="52">
        <f t="shared" ca="1" si="796"/>
        <v>0</v>
      </c>
      <c r="IY96" s="52">
        <f t="shared" ca="1" si="796"/>
        <v>0</v>
      </c>
      <c r="IZ96" s="52">
        <f t="shared" ca="1" si="796"/>
        <v>0</v>
      </c>
      <c r="JA96" s="52">
        <f t="shared" ref="JA96:KB96" ca="1" si="797">JA95-IZ95</f>
        <v>0</v>
      </c>
      <c r="JB96" s="52">
        <f t="shared" ca="1" si="797"/>
        <v>0</v>
      </c>
      <c r="JC96" s="52">
        <f t="shared" ca="1" si="797"/>
        <v>0</v>
      </c>
      <c r="JD96" s="52">
        <f t="shared" ca="1" si="797"/>
        <v>0</v>
      </c>
      <c r="JE96" s="52">
        <f t="shared" ca="1" si="797"/>
        <v>0</v>
      </c>
      <c r="JF96" s="52">
        <f t="shared" ca="1" si="797"/>
        <v>0</v>
      </c>
      <c r="JG96" s="52">
        <f t="shared" ca="1" si="797"/>
        <v>0</v>
      </c>
      <c r="JH96" s="52">
        <f t="shared" ca="1" si="797"/>
        <v>0</v>
      </c>
      <c r="JI96" s="52">
        <f t="shared" ca="1" si="797"/>
        <v>0</v>
      </c>
      <c r="JJ96" s="52">
        <f t="shared" ca="1" si="797"/>
        <v>0</v>
      </c>
      <c r="JK96" s="52">
        <f t="shared" ca="1" si="797"/>
        <v>0</v>
      </c>
      <c r="JL96" s="52">
        <f t="shared" ca="1" si="797"/>
        <v>0</v>
      </c>
      <c r="JM96" s="52">
        <f t="shared" ca="1" si="797"/>
        <v>0</v>
      </c>
      <c r="JN96" s="52">
        <f t="shared" ca="1" si="797"/>
        <v>0</v>
      </c>
      <c r="JO96" s="52">
        <f t="shared" ca="1" si="797"/>
        <v>0</v>
      </c>
      <c r="JP96" s="52">
        <f t="shared" ca="1" si="797"/>
        <v>0</v>
      </c>
      <c r="JQ96" s="52">
        <f t="shared" ca="1" si="797"/>
        <v>0</v>
      </c>
      <c r="JR96" s="52">
        <f t="shared" ca="1" si="797"/>
        <v>0</v>
      </c>
      <c r="JS96" s="52">
        <f t="shared" ca="1" si="797"/>
        <v>0</v>
      </c>
      <c r="JT96" s="52">
        <f t="shared" ca="1" si="797"/>
        <v>0</v>
      </c>
      <c r="JU96" s="52">
        <f t="shared" ca="1" si="797"/>
        <v>0</v>
      </c>
      <c r="JV96" s="52">
        <f t="shared" ca="1" si="797"/>
        <v>0</v>
      </c>
      <c r="JW96" s="52">
        <f t="shared" ca="1" si="797"/>
        <v>0</v>
      </c>
      <c r="JX96" s="52">
        <f t="shared" ca="1" si="797"/>
        <v>0</v>
      </c>
      <c r="JY96" s="52">
        <f t="shared" ca="1" si="797"/>
        <v>0</v>
      </c>
      <c r="JZ96" s="52">
        <f t="shared" ca="1" si="797"/>
        <v>0</v>
      </c>
      <c r="KA96" s="52">
        <f t="shared" ca="1" si="797"/>
        <v>0</v>
      </c>
      <c r="KB96" s="52">
        <f t="shared" ca="1" si="797"/>
        <v>0</v>
      </c>
    </row>
    <row r="97" spans="1:288" x14ac:dyDescent="0.3">
      <c r="A97" s="169"/>
      <c r="B97" s="39"/>
    </row>
    <row r="98" spans="1:288" x14ac:dyDescent="0.3">
      <c r="A98" s="169" t="s">
        <v>274</v>
      </c>
      <c r="B98" s="259">
        <f ca="1">SUM(C98:KB98)</f>
        <v>56.866513851407177</v>
      </c>
      <c r="C98" s="258">
        <f>IF(C7&lt;='Assumption Sheet'!$B$13,(-C16-C31-C30),0)</f>
        <v>47.58</v>
      </c>
      <c r="D98" s="258">
        <f ca="1">IF(D7&lt;='Assumption Sheet'!$B$13,(-D16-D31-D30),0)</f>
        <v>2.1240031680815004</v>
      </c>
      <c r="E98" s="258">
        <f>IF(E7&lt;='Assumption Sheet'!$B$13,(-E16-E31-E30),0)</f>
        <v>0</v>
      </c>
      <c r="F98" s="258">
        <f>IF(F7&lt;='Assumption Sheet'!$B$13,(-F16-F31-F30),0)</f>
        <v>0</v>
      </c>
      <c r="G98" s="258">
        <f>IF(G7&lt;='Assumption Sheet'!$B$13,(-G16-G31-G30),0)</f>
        <v>0</v>
      </c>
      <c r="H98" s="258">
        <f>IF(H7&lt;='Assumption Sheet'!$B$13,(-H16-H31-H30),0)</f>
        <v>0</v>
      </c>
      <c r="I98" s="258">
        <f>IF(I7&lt;='Assumption Sheet'!$B$13,(-I16-I31-I30),0)</f>
        <v>0</v>
      </c>
      <c r="J98" s="258">
        <f>IF(J7&lt;='Assumption Sheet'!$B$13,(-J16-J31-J30),0)</f>
        <v>0</v>
      </c>
      <c r="K98" s="258">
        <f>IF(K7&lt;='Assumption Sheet'!$B$13,(-K16-K31-K30),0)</f>
        <v>0</v>
      </c>
      <c r="L98" s="258">
        <f>IF(L7&lt;='Assumption Sheet'!$B$13,(-L16-L31-L30),0)</f>
        <v>0</v>
      </c>
      <c r="M98" s="258">
        <f>IF(M7&lt;='Assumption Sheet'!$B$13,(-M16-M31-M30),0)</f>
        <v>0</v>
      </c>
      <c r="N98" s="258">
        <f>IF(N7&lt;='Assumption Sheet'!$B$13,(-N16-N31-N30),0)</f>
        <v>0</v>
      </c>
      <c r="O98" s="258">
        <f>IF(O7&lt;='Assumption Sheet'!$B$13,(-O16-O31-O30),0)</f>
        <v>0</v>
      </c>
      <c r="P98" s="258">
        <f>IF(P7&lt;='Assumption Sheet'!$B$13,(-P16-P31-P30),0)</f>
        <v>0</v>
      </c>
      <c r="Q98" s="258">
        <f>IF(Q7&lt;='Assumption Sheet'!$B$13,(-Q16-Q31-Q30),0)</f>
        <v>0</v>
      </c>
      <c r="R98" s="258">
        <f>IF(R7&lt;='Assumption Sheet'!$B$13,(-R16-R31-R30),0)</f>
        <v>0</v>
      </c>
      <c r="S98" s="258">
        <f>IF(S7&lt;='Assumption Sheet'!$B$13,(-S16-S31-S30),0)</f>
        <v>0</v>
      </c>
      <c r="T98" s="258">
        <f>IF(T7&lt;='Assumption Sheet'!$B$13,(-T16-T31-T30),0)</f>
        <v>0</v>
      </c>
      <c r="U98" s="258">
        <f>IF(U7&lt;='Assumption Sheet'!$B$13,(-U16-U31-U30),0)</f>
        <v>0</v>
      </c>
      <c r="V98" s="258">
        <f>IF(V7&lt;='Assumption Sheet'!$B$13,(-V16-V31-V30),0)</f>
        <v>0</v>
      </c>
      <c r="W98" s="258">
        <f>IF(W7&lt;='Assumption Sheet'!$B$13,(-W16-W31-W30),0)</f>
        <v>0</v>
      </c>
      <c r="X98" s="258">
        <f>IF(X7&lt;='Assumption Sheet'!$B$13,(-X16-X31-X30),0)</f>
        <v>0</v>
      </c>
      <c r="Y98" s="258">
        <f>IF(Y7&lt;='Assumption Sheet'!$B$13,(-Y16-Y31-Y30),0)</f>
        <v>0</v>
      </c>
      <c r="Z98" s="258">
        <f>IF(Z7&lt;='Assumption Sheet'!$B$13,(-Z16-Z31-Z30),0)</f>
        <v>0</v>
      </c>
      <c r="AA98" s="258">
        <f>IF(AA7&lt;='Assumption Sheet'!$B$13,(-AA16-AA31-AA30),0)</f>
        <v>0</v>
      </c>
      <c r="AB98" s="258">
        <f>IF(AB7&lt;='Assumption Sheet'!$B$13,(-AB16-AB31-AB30),0)</f>
        <v>0</v>
      </c>
      <c r="AC98" s="258">
        <f>IF(AC7&lt;='Assumption Sheet'!$B$13,(-AC16-AC31-AC30),0)</f>
        <v>0</v>
      </c>
      <c r="AD98" s="258">
        <f>IF(AD7&lt;='Assumption Sheet'!$B$13,(-AD16-AD31-AD30),0)</f>
        <v>0</v>
      </c>
      <c r="AE98" s="258">
        <f>IF(AE7&lt;='Assumption Sheet'!$B$13,(-AE16-AE31-AE30),0)</f>
        <v>0</v>
      </c>
      <c r="AF98" s="258">
        <f>IF(AF7&lt;='Assumption Sheet'!$B$13,(-AF16-AF31-AF30),0)</f>
        <v>0</v>
      </c>
      <c r="AG98" s="258">
        <f>IF(AG7&lt;='Assumption Sheet'!$B$13,(-AG16-AG31-AG30),0)</f>
        <v>0</v>
      </c>
      <c r="AH98" s="258">
        <f>IF(AH7&lt;='Assumption Sheet'!$B$13,(-AH16-AH31-AH30),0)</f>
        <v>0</v>
      </c>
      <c r="AI98" s="258">
        <f>IF(AI7&lt;='Assumption Sheet'!$B$13,(-AI16-AI31-AI30),0)</f>
        <v>0</v>
      </c>
      <c r="AJ98" s="258">
        <f>IF(AJ7&lt;='Assumption Sheet'!$B$13,(-AJ16-AJ31-AJ30),0)</f>
        <v>0</v>
      </c>
      <c r="AK98" s="258">
        <f>IF(AK7&lt;='Assumption Sheet'!$B$13,(-AK16-AK31-AK30),0)</f>
        <v>0</v>
      </c>
      <c r="AL98" s="258">
        <f>IF(AL7&lt;='Assumption Sheet'!$B$13,(-AL16-AL31-AL30),0)</f>
        <v>0</v>
      </c>
      <c r="AM98" s="258">
        <f>IF(AM7&lt;='Assumption Sheet'!$B$13,(-AM16-AM31-AM30),0)</f>
        <v>0</v>
      </c>
      <c r="AN98" s="258">
        <f>IF(AN7&lt;='Assumption Sheet'!$B$13,(-AN16-AN31-AN30),0)</f>
        <v>0</v>
      </c>
      <c r="AO98" s="258">
        <f>IF(AO7&lt;='Assumption Sheet'!$B$13,(-AO16-AO31-AO30),0)</f>
        <v>0</v>
      </c>
      <c r="AP98" s="258">
        <f>IF(AP7&lt;='Assumption Sheet'!$B$13,(-AP16-AP31-AP30),0)</f>
        <v>0</v>
      </c>
      <c r="AQ98" s="258">
        <f>IF(AQ7&lt;='Assumption Sheet'!$B$13,(-AQ16-AQ31-AQ30),0)</f>
        <v>0</v>
      </c>
      <c r="AR98" s="258">
        <f>IF(AR7&lt;='Assumption Sheet'!$B$13,(-AR16-AR31-AR30),0)</f>
        <v>0</v>
      </c>
      <c r="AS98" s="258">
        <f>IF(AS7&lt;='Assumption Sheet'!$B$13,(-AS16-AS31-AS30),0)</f>
        <v>0</v>
      </c>
      <c r="AT98" s="258">
        <f>IF(AT7&lt;='Assumption Sheet'!$B$13,(-AT16-AT31-AT30),0)</f>
        <v>0</v>
      </c>
      <c r="AU98" s="258">
        <f>IF(AU7&lt;='Assumption Sheet'!$B$13,(-AU16-AU31-AU30),0)</f>
        <v>0</v>
      </c>
      <c r="AV98" s="258">
        <f>IF(AV7&lt;='Assumption Sheet'!$B$13,(-AV16-AV31-AV30),0)</f>
        <v>0</v>
      </c>
      <c r="AW98" s="258">
        <f>IF(AW7&lt;='Assumption Sheet'!$B$13,(-AW16-AW31-AW30),0)</f>
        <v>0</v>
      </c>
      <c r="AX98" s="258">
        <f>IF(AX7&lt;='Assumption Sheet'!$B$13,(-AX16-AX31-AX30),0)</f>
        <v>0</v>
      </c>
      <c r="AY98" s="258">
        <f>IF(AY7&lt;='Assumption Sheet'!$B$13,(-AY16-AY31-AY30),0)</f>
        <v>0</v>
      </c>
      <c r="AZ98" s="258">
        <f>IF(AZ7&lt;='Assumption Sheet'!$B$13,(-AZ16-AZ31-AZ30),0)</f>
        <v>0</v>
      </c>
      <c r="BA98" s="258">
        <f>IF(BA7&lt;='Assumption Sheet'!$B$13,(-BA16-BA31-BA30),0)</f>
        <v>0</v>
      </c>
      <c r="BB98" s="258">
        <f>IF(BB7&lt;='Assumption Sheet'!$B$13,(-BB16-BB31-BB30),0)</f>
        <v>0</v>
      </c>
      <c r="BC98" s="258">
        <f>IF(BC7&lt;='Assumption Sheet'!$B$13,(-BC16-BC31-BC30),0)</f>
        <v>0</v>
      </c>
      <c r="BD98" s="258">
        <f>IF(BD7&lt;='Assumption Sheet'!$B$13,(-BD16-BD31-BD30),0)</f>
        <v>0</v>
      </c>
      <c r="BE98" s="258">
        <f ca="1">IF(BE7&lt;='Assumption Sheet'!$B$13,(-BE16-BE31-BE30),0)</f>
        <v>7.1625106833256815</v>
      </c>
      <c r="BF98" s="258">
        <f>IF(BF7&lt;='Assumption Sheet'!$B$13,(-BF16-BF31-BF30),0)</f>
        <v>0</v>
      </c>
      <c r="BG98" s="258">
        <f>IF(BG7&lt;='Assumption Sheet'!$B$13,(-BG16-BG31-BG30),0)</f>
        <v>0</v>
      </c>
      <c r="BH98" s="258">
        <f>IF(BH7&lt;='Assumption Sheet'!$B$13,(-BH16-BH31-BH30),0)</f>
        <v>0</v>
      </c>
      <c r="BI98" s="258">
        <f>IF(BI7&lt;='Assumption Sheet'!$B$13,(-BI16-BI31-BI30),0)</f>
        <v>0</v>
      </c>
      <c r="BJ98" s="258">
        <f>IF(BJ7&lt;='Assumption Sheet'!$B$13,(-BJ16-BJ31-BJ30),0)</f>
        <v>0</v>
      </c>
      <c r="BK98" s="258">
        <f>IF(BK7&lt;='Assumption Sheet'!$B$13,(-BK16-BK31-BK30),0)</f>
        <v>0</v>
      </c>
      <c r="BL98" s="258">
        <f>IF(BL7&lt;='Assumption Sheet'!$B$13,(-BL16-BL31-BL30),0)</f>
        <v>0</v>
      </c>
      <c r="BM98" s="258">
        <f>IF(BM7&lt;='Assumption Sheet'!$B$13,(-BM16-BM31-BM30),0)</f>
        <v>0</v>
      </c>
      <c r="BN98" s="258">
        <f>IF(BN7&lt;='Assumption Sheet'!$B$13,(-BN16-BN31-BN30),0)</f>
        <v>0</v>
      </c>
      <c r="BO98" s="258">
        <f>IF(BO7&lt;='Assumption Sheet'!$B$13,(-BO16-BO31-BO30),0)</f>
        <v>0</v>
      </c>
      <c r="BP98" s="258">
        <f>IF(BP7&lt;='Assumption Sheet'!$B$13,(-BP16-BP31-BP30),0)</f>
        <v>0</v>
      </c>
      <c r="BQ98" s="258">
        <f>IF(BQ7&lt;='Assumption Sheet'!$B$13,(-BQ16-BQ31-BQ30),0)</f>
        <v>0</v>
      </c>
      <c r="BR98" s="258">
        <f>IF(BR7&lt;='Assumption Sheet'!$B$13,(-BR16-BR31-BR30),0)</f>
        <v>0</v>
      </c>
      <c r="BS98" s="258">
        <f>IF(BS7&lt;='Assumption Sheet'!$B$13,(-BS16-BS31-BS30),0)</f>
        <v>0</v>
      </c>
      <c r="BT98" s="258">
        <f>IF(BT7&lt;='Assumption Sheet'!$B$13,(-BT16-BT31-BT30),0)</f>
        <v>0</v>
      </c>
      <c r="BU98" s="258">
        <f>IF(BU7&lt;='Assumption Sheet'!$B$13,(-BU16-BU31-BU30),0)</f>
        <v>0</v>
      </c>
      <c r="BV98" s="258">
        <f>IF(BV7&lt;='Assumption Sheet'!$B$13,(-BV16-BV31-BV30),0)</f>
        <v>0</v>
      </c>
      <c r="BW98" s="258">
        <f>IF(BW7&lt;='Assumption Sheet'!$B$13,(-BW16-BW31-BW30),0)</f>
        <v>0</v>
      </c>
      <c r="BX98" s="258">
        <f>IF(BX7&lt;='Assumption Sheet'!$B$13,(-BX16-BX31-BX30),0)</f>
        <v>0</v>
      </c>
      <c r="BY98" s="258">
        <f>IF(BY7&lt;='Assumption Sheet'!$B$13,(-BY16-BY31-BY30),0)</f>
        <v>0</v>
      </c>
      <c r="BZ98" s="258">
        <f>IF(BZ7&lt;='Assumption Sheet'!$B$13,(-BZ16-BZ31-BZ30),0)</f>
        <v>0</v>
      </c>
      <c r="CA98" s="258">
        <f>IF(CA7&lt;='Assumption Sheet'!$B$13,(-CA16-CA31-CA30),0)</f>
        <v>0</v>
      </c>
      <c r="CB98" s="258">
        <f>IF(CB7&lt;='Assumption Sheet'!$B$13,(-CB16-CB31-CB30),0)</f>
        <v>0</v>
      </c>
      <c r="CC98" s="258">
        <f>IF(CC7&lt;='Assumption Sheet'!$B$13,(-CC16-CC31-CC30),0)</f>
        <v>0</v>
      </c>
      <c r="CD98" s="258">
        <f>IF(CD7&lt;='Assumption Sheet'!$B$13,(-CD16-CD31-CD30),0)</f>
        <v>0</v>
      </c>
      <c r="CE98" s="258">
        <f>IF(CE7&lt;='Assumption Sheet'!$B$13,(-CE16-CE31-CE30),0)</f>
        <v>0</v>
      </c>
      <c r="CF98" s="258">
        <f>IF(CF7&lt;='Assumption Sheet'!$B$13,(-CF16-CF31-CF30),0)</f>
        <v>0</v>
      </c>
      <c r="CG98" s="258">
        <f>IF(CG7&lt;='Assumption Sheet'!$B$13,(-CG16-CG31-CG30),0)</f>
        <v>0</v>
      </c>
      <c r="CH98" s="258">
        <f>IF(CH7&lt;='Assumption Sheet'!$B$13,(-CH16-CH31-CH30),0)</f>
        <v>0</v>
      </c>
      <c r="CI98" s="258">
        <f>IF(CI7&lt;='Assumption Sheet'!$B$13,(-CI16-CI31-CI30),0)</f>
        <v>0</v>
      </c>
      <c r="CJ98" s="258">
        <f>IF(CJ7&lt;='Assumption Sheet'!$B$13,(-CJ16-CJ31-CJ30),0)</f>
        <v>0</v>
      </c>
      <c r="CK98" s="258">
        <f>IF(CK7&lt;='Assumption Sheet'!$B$13,(-CK16-CK31-CK30),0)</f>
        <v>0</v>
      </c>
      <c r="CL98" s="258">
        <f>IF(CL7&lt;='Assumption Sheet'!$B$13,(-CL16-CL31-CL30),0)</f>
        <v>0</v>
      </c>
      <c r="CM98" s="258">
        <f>IF(CM7&lt;='Assumption Sheet'!$B$13,(-CM16-CM31-CM30),0)</f>
        <v>0</v>
      </c>
      <c r="CN98" s="258">
        <f>IF(CN7&lt;='Assumption Sheet'!$B$13,(-CN16-CN31-CN30),0)</f>
        <v>0</v>
      </c>
      <c r="CO98" s="258">
        <f>IF(CO7&lt;='Assumption Sheet'!$B$13,(-CO16-CO31-CO30),0)</f>
        <v>0</v>
      </c>
      <c r="CP98" s="258">
        <f>IF(CP7&lt;='Assumption Sheet'!$B$13,(-CP16-CP31-CP30),0)</f>
        <v>0</v>
      </c>
      <c r="CQ98" s="258">
        <f>IF(CQ7&lt;='Assumption Sheet'!$B$13,(-CQ16-CQ31-CQ30),0)</f>
        <v>0</v>
      </c>
      <c r="CR98" s="258">
        <f>IF(CR7&lt;='Assumption Sheet'!$B$13,(-CR16-CR31-CR30),0)</f>
        <v>0</v>
      </c>
      <c r="CS98" s="258">
        <f>IF(CS7&lt;='Assumption Sheet'!$B$13,(-CS16-CS31-CS30),0)</f>
        <v>0</v>
      </c>
      <c r="CT98" s="258">
        <f>IF(CT7&lt;='Assumption Sheet'!$B$13,(-CT16-CT31-CT30),0)</f>
        <v>0</v>
      </c>
      <c r="CU98" s="258">
        <f>IF(CU7&lt;='Assumption Sheet'!$B$13,(-CU16-CU31-CU30),0)</f>
        <v>0</v>
      </c>
      <c r="CV98" s="258">
        <f>IF(CV7&lt;='Assumption Sheet'!$B$13,(-CV16-CV31-CV30),0)</f>
        <v>0</v>
      </c>
      <c r="CW98" s="258">
        <f>IF(CW7&lt;='Assumption Sheet'!$B$13,(-CW16-CW31-CW30),0)</f>
        <v>0</v>
      </c>
      <c r="CX98" s="258">
        <f>IF(CX7&lt;='Assumption Sheet'!$B$13,(-CX16-CX31-CX30),0)</f>
        <v>0</v>
      </c>
      <c r="CY98" s="258">
        <f>IF(CY7&lt;='Assumption Sheet'!$B$13,(-CY16-CY31-CY30),0)</f>
        <v>0</v>
      </c>
      <c r="CZ98" s="258">
        <f>IF(CZ7&lt;='Assumption Sheet'!$B$13,(-CZ16-CZ31-CZ30),0)</f>
        <v>0</v>
      </c>
      <c r="DA98" s="258">
        <f>IF(DA7&lt;='Assumption Sheet'!$B$13,(-DA16-DA31-DA30),0)</f>
        <v>0</v>
      </c>
      <c r="DB98" s="258">
        <f>IF(DB7&lt;='Assumption Sheet'!$B$13,(-DB16-DB31-DB30),0)</f>
        <v>0</v>
      </c>
      <c r="DC98" s="258">
        <f>IF(DC7&lt;='Assumption Sheet'!$B$13,(-DC16-DC31-DC30),0)</f>
        <v>0</v>
      </c>
      <c r="DD98" s="258">
        <f>IF(DD7&lt;='Assumption Sheet'!$B$13,(-DD16-DD31-DD30),0)</f>
        <v>0</v>
      </c>
      <c r="DE98" s="258">
        <f>IF(DE7&lt;='Assumption Sheet'!$B$13,(-DE16-DE31-DE30),0)</f>
        <v>0</v>
      </c>
      <c r="DF98" s="258">
        <f>IF(DF7&lt;='Assumption Sheet'!$B$13,(-DF16-DF31-DF30),0)</f>
        <v>0</v>
      </c>
      <c r="DG98" s="258">
        <f>IF(DG7&lt;='Assumption Sheet'!$B$13,(-DG16-DG31-DG30),0)</f>
        <v>0</v>
      </c>
      <c r="DH98" s="258">
        <f>IF(DH7&lt;='Assumption Sheet'!$B$13,(-DH16-DH31-DH30),0)</f>
        <v>0</v>
      </c>
      <c r="DI98" s="258">
        <f>IF(DI7&lt;='Assumption Sheet'!$B$13,(-DI16-DI31-DI30),0)</f>
        <v>0</v>
      </c>
      <c r="DJ98" s="258">
        <f>IF(DJ7&lt;='Assumption Sheet'!$B$13,(-DJ16-DJ31-DJ30),0)</f>
        <v>0</v>
      </c>
      <c r="DK98" s="258">
        <f>IF(DK7&lt;='Assumption Sheet'!$B$13,(-DK16-DK31-DK30),0)</f>
        <v>0</v>
      </c>
      <c r="DL98" s="258">
        <f>IF(DL7&lt;='Assumption Sheet'!$B$13,(-DL16-DL31-DL30),0)</f>
        <v>0</v>
      </c>
      <c r="DM98" s="258">
        <f>IF(DM7&lt;='Assumption Sheet'!$B$13,(-DM16-DM31-DM30),0)</f>
        <v>0</v>
      </c>
      <c r="DN98" s="258">
        <f>IF(DN7&lt;='Assumption Sheet'!$B$13,(-DN16-DN31-DN30),0)</f>
        <v>0</v>
      </c>
      <c r="DO98" s="258">
        <f>IF(DO7&lt;='Assumption Sheet'!$B$13,(-DO16-DO31-DO30),0)</f>
        <v>0</v>
      </c>
      <c r="DP98" s="258">
        <f>IF(DP7&lt;='Assumption Sheet'!$B$13,(-DP16-DP31-DP30),0)</f>
        <v>0</v>
      </c>
      <c r="DQ98" s="258">
        <f>IF(DQ7&lt;='Assumption Sheet'!$B$13,(-DQ16-DQ31-DQ30),0)</f>
        <v>0</v>
      </c>
      <c r="DR98" s="258">
        <f>IF(DR7&lt;='Assumption Sheet'!$B$13,(-DR16-DR31-DR30),0)</f>
        <v>0</v>
      </c>
      <c r="DS98" s="258">
        <f>IF(DS7&lt;='Assumption Sheet'!$B$13,(-DS16-DS31-DS30),0)</f>
        <v>0</v>
      </c>
      <c r="DT98" s="258">
        <f>IF(DT7&lt;='Assumption Sheet'!$B$13,(-DT16-DT31-DT30),0)</f>
        <v>0</v>
      </c>
      <c r="DU98" s="258">
        <f>IF(DU7&lt;='Assumption Sheet'!$B$13,(-DU16-DU31-DU30),0)</f>
        <v>0</v>
      </c>
      <c r="DV98" s="258">
        <f>IF(DV7&lt;='Assumption Sheet'!$B$13,(-DV16-DV31-DV30),0)</f>
        <v>0</v>
      </c>
      <c r="DW98" s="258">
        <f>IF(DW7&lt;='Assumption Sheet'!$B$13,(-DW16-DW31-DW30),0)</f>
        <v>0</v>
      </c>
      <c r="DX98" s="258">
        <f>IF(DX7&lt;='Assumption Sheet'!$B$13,(-DX16-DX31-DX30),0)</f>
        <v>0</v>
      </c>
      <c r="DY98" s="258">
        <f>IF(DY7&lt;='Assumption Sheet'!$B$13,(-DY16-DY31-DY30),0)</f>
        <v>0</v>
      </c>
      <c r="DZ98" s="258">
        <f>IF(DZ7&lt;='Assumption Sheet'!$B$13,(-DZ16-DZ31-DZ30),0)</f>
        <v>0</v>
      </c>
      <c r="EA98" s="258">
        <f>IF(EA7&lt;='Assumption Sheet'!$B$13,(-EA16-EA31-EA30),0)</f>
        <v>0</v>
      </c>
      <c r="EB98" s="258">
        <f>IF(EB7&lt;='Assumption Sheet'!$B$13,(-EB16-EB31-EB30),0)</f>
        <v>0</v>
      </c>
      <c r="EC98" s="258">
        <f>IF(EC7&lt;='Assumption Sheet'!$B$13,(-EC16-EC31-EC30),0)</f>
        <v>0</v>
      </c>
      <c r="ED98" s="258">
        <f>IF(ED7&lt;='Assumption Sheet'!$B$13,(-ED16-ED31-ED30),0)</f>
        <v>0</v>
      </c>
      <c r="EE98" s="258">
        <f>IF(EE7&lt;='Assumption Sheet'!$B$13,(-EE16-EE31-EE30),0)</f>
        <v>0</v>
      </c>
      <c r="EF98" s="258">
        <f>IF(EF7&lt;='Assumption Sheet'!$B$13,(-EF16-EF31-EF30),0)</f>
        <v>0</v>
      </c>
      <c r="EG98" s="258">
        <f>IF(EG7&lt;='Assumption Sheet'!$B$13,(-EG16-EG31-EG30),0)</f>
        <v>0</v>
      </c>
      <c r="EH98" s="258">
        <f>IF(EH7&lt;='Assumption Sheet'!$B$13,(-EH16-EH31-EH30),0)</f>
        <v>0</v>
      </c>
      <c r="EI98" s="258">
        <f>IF(EI7&lt;='Assumption Sheet'!$B$13,(-EI16-EI31-EI30),0)</f>
        <v>0</v>
      </c>
      <c r="EJ98" s="258">
        <f>IF(EJ7&lt;='Assumption Sheet'!$B$13,(-EJ16-EJ31-EJ30),0)</f>
        <v>0</v>
      </c>
      <c r="EK98" s="258">
        <f>IF(EK7&lt;='Assumption Sheet'!$B$13,(-EK16-EK31-EK30),0)</f>
        <v>0</v>
      </c>
      <c r="EL98" s="258">
        <f>IF(EL7&lt;='Assumption Sheet'!$B$13,(-EL16-EL31-EL30),0)</f>
        <v>0</v>
      </c>
      <c r="EM98" s="258">
        <f>IF(EM7&lt;='Assumption Sheet'!$B$13,(-EM16-EM31-EM30),0)</f>
        <v>0</v>
      </c>
      <c r="EN98" s="258">
        <f>IF(EN7&lt;='Assumption Sheet'!$B$13,(-EN16-EN31-EN30),0)</f>
        <v>0</v>
      </c>
      <c r="EO98" s="258">
        <f>IF(EO7&lt;='Assumption Sheet'!$B$13,(-EO16-EO31-EO30),0)</f>
        <v>0</v>
      </c>
      <c r="EP98" s="258">
        <f>IF(EP7&lt;='Assumption Sheet'!$B$13,(-EP16-EP31-EP30),0)</f>
        <v>0</v>
      </c>
      <c r="EQ98" s="258">
        <f>IF(EQ7&lt;='Assumption Sheet'!$B$13,(-EQ16-EQ31-EQ30),0)</f>
        <v>0</v>
      </c>
      <c r="ER98" s="258">
        <f>IF(ER7&lt;='Assumption Sheet'!$B$13,(-ER16-ER31-ER30),0)</f>
        <v>0</v>
      </c>
      <c r="ES98" s="258">
        <f>IF(ES7&lt;='Assumption Sheet'!$B$13,(-ES16-ES31-ES30),0)</f>
        <v>0</v>
      </c>
      <c r="ET98" s="258">
        <f>IF(ET7&lt;='Assumption Sheet'!$B$13,(-ET16-ET31-ET30),0)</f>
        <v>0</v>
      </c>
      <c r="EU98" s="258">
        <f>IF(EU7&lt;='Assumption Sheet'!$B$13,(-EU16-EU31-EU30),0)</f>
        <v>0</v>
      </c>
      <c r="EV98" s="258">
        <f>IF(EV7&lt;='Assumption Sheet'!$B$13,(-EV16-EV31-EV30),0)</f>
        <v>0</v>
      </c>
      <c r="EW98" s="258">
        <f>IF(EW7&lt;='Assumption Sheet'!$B$13,(-EW16-EW31-EW30),0)</f>
        <v>0</v>
      </c>
      <c r="EX98" s="258">
        <f>IF(EX7&lt;='Assumption Sheet'!$B$13,(-EX16-EX31-EX30),0)</f>
        <v>0</v>
      </c>
      <c r="EY98" s="258">
        <f>IF(EY7&lt;='Assumption Sheet'!$B$13,(-EY16-EY31-EY30),0)</f>
        <v>0</v>
      </c>
      <c r="EZ98" s="258">
        <f>IF(EZ7&lt;='Assumption Sheet'!$B$13,(-EZ16-EZ31-EZ30),0)</f>
        <v>0</v>
      </c>
      <c r="FA98" s="258">
        <f>IF(FA7&lt;='Assumption Sheet'!$B$13,(-FA16-FA31-FA30),0)</f>
        <v>0</v>
      </c>
      <c r="FB98" s="258">
        <f>IF(FB7&lt;='Assumption Sheet'!$B$13,(-FB16-FB31-FB30),0)</f>
        <v>0</v>
      </c>
      <c r="FC98" s="258">
        <f>IF(FC7&lt;='Assumption Sheet'!$B$13,(-FC16-FC31-FC30),0)</f>
        <v>0</v>
      </c>
      <c r="FD98" s="258">
        <f>IF(FD7&lt;='Assumption Sheet'!$B$13,(-FD16-FD31-FD30),0)</f>
        <v>0</v>
      </c>
      <c r="FE98" s="258">
        <f>IF(FE7&lt;='Assumption Sheet'!$B$13,(-FE16-FE31-FE30),0)</f>
        <v>0</v>
      </c>
      <c r="FF98" s="258">
        <f>IF(FF7&lt;='Assumption Sheet'!$B$13,(-FF16-FF31-FF30),0)</f>
        <v>0</v>
      </c>
      <c r="FG98" s="258">
        <f>IF(FG7&lt;='Assumption Sheet'!$B$13,(-FG16-FG31-FG30),0)</f>
        <v>0</v>
      </c>
      <c r="FH98" s="258">
        <f>IF(FH7&lt;='Assumption Sheet'!$B$13,(-FH16-FH31-FH30),0)</f>
        <v>0</v>
      </c>
      <c r="FI98" s="258">
        <f>IF(FI7&lt;='Assumption Sheet'!$B$13,(-FI16-FI31-FI30),0)</f>
        <v>0</v>
      </c>
      <c r="FJ98" s="258">
        <f>IF(FJ7&lt;='Assumption Sheet'!$B$13,(-FJ16-FJ31-FJ30),0)</f>
        <v>0</v>
      </c>
      <c r="FK98" s="258">
        <f>IF(FK7&lt;='Assumption Sheet'!$B$13,(-FK16-FK31-FK30),0)</f>
        <v>0</v>
      </c>
      <c r="FL98" s="258">
        <f>IF(FL7&lt;='Assumption Sheet'!$B$13,(-FL16-FL31-FL30),0)</f>
        <v>0</v>
      </c>
      <c r="FM98" s="258">
        <f>IF(FM7&lt;='Assumption Sheet'!$B$13,(-FM16-FM31-FM30),0)</f>
        <v>0</v>
      </c>
      <c r="FN98" s="258">
        <f>IF(FN7&lt;='Assumption Sheet'!$B$13,(-FN16-FN31-FN30),0)</f>
        <v>0</v>
      </c>
      <c r="FO98" s="258">
        <f>IF(FO7&lt;='Assumption Sheet'!$B$13,(-FO16-FO31-FO30),0)</f>
        <v>0</v>
      </c>
      <c r="FP98" s="258">
        <f>IF(FP7&lt;='Assumption Sheet'!$B$13,(-FP16-FP31-FP30),0)</f>
        <v>0</v>
      </c>
      <c r="FQ98" s="258">
        <f>IF(FQ7&lt;='Assumption Sheet'!$B$13,(-FQ16-FQ31-FQ30),0)</f>
        <v>0</v>
      </c>
      <c r="FR98" s="258">
        <f>IF(FR7&lt;='Assumption Sheet'!$B$13,(-FR16-FR31-FR30),0)</f>
        <v>0</v>
      </c>
      <c r="FS98" s="258">
        <f>IF(FS7&lt;='Assumption Sheet'!$B$13,(-FS16-FS31-FS30),0)</f>
        <v>0</v>
      </c>
      <c r="FT98" s="258">
        <f>IF(FT7&lt;='Assumption Sheet'!$B$13,(-FT16-FT31-FT30),0)</f>
        <v>0</v>
      </c>
      <c r="FU98" s="258">
        <f>IF(FU7&lt;='Assumption Sheet'!$B$13,(-FU16-FU31-FU30),0)</f>
        <v>0</v>
      </c>
      <c r="FV98" s="258">
        <f>IF(FV7&lt;='Assumption Sheet'!$B$13,(-FV16-FV31-FV30),0)</f>
        <v>0</v>
      </c>
      <c r="FW98" s="258">
        <f>IF(FW7&lt;='Assumption Sheet'!$B$13,(-FW16-FW31-FW30),0)</f>
        <v>0</v>
      </c>
      <c r="FX98" s="258">
        <f>IF(FX7&lt;='Assumption Sheet'!$B$13,(-FX16-FX31-FX30),0)</f>
        <v>0</v>
      </c>
      <c r="FY98" s="258">
        <f>IF(FY7&lt;='Assumption Sheet'!$B$13,(-FY16-FY31-FY30),0)</f>
        <v>0</v>
      </c>
      <c r="FZ98" s="258">
        <f>IF(FZ7&lt;='Assumption Sheet'!$B$13,(-FZ16-FZ31-FZ30),0)</f>
        <v>0</v>
      </c>
      <c r="GA98" s="258">
        <f>IF(GA7&lt;='Assumption Sheet'!$B$13,(-GA16-GA31-GA30),0)</f>
        <v>0</v>
      </c>
      <c r="GB98" s="258">
        <f>IF(GB7&lt;='Assumption Sheet'!$B$13,(-GB16-GB31-GB30),0)</f>
        <v>0</v>
      </c>
      <c r="GC98" s="258">
        <f>IF(GC7&lt;='Assumption Sheet'!$B$13,(-GC16-GC31-GC30),0)</f>
        <v>0</v>
      </c>
      <c r="GD98" s="258">
        <f>IF(GD7&lt;='Assumption Sheet'!$B$13,(-GD16-GD31-GD30),0)</f>
        <v>0</v>
      </c>
      <c r="GE98" s="258">
        <f>IF(GE7&lt;='Assumption Sheet'!$B$13,(-GE16-GE31-GE30),0)</f>
        <v>0</v>
      </c>
      <c r="GF98" s="258">
        <f>IF(GF7&lt;='Assumption Sheet'!$B$13,(-GF16-GF31-GF30),0)</f>
        <v>0</v>
      </c>
      <c r="GG98" s="258">
        <f>IF(GG7&lt;='Assumption Sheet'!$B$13,(-GG16-GG31-GG30),0)</f>
        <v>0</v>
      </c>
      <c r="GH98" s="258">
        <f>IF(GH7&lt;='Assumption Sheet'!$B$13,(-GH16-GH31-GH30),0)</f>
        <v>0</v>
      </c>
      <c r="GI98" s="258">
        <f>IF(GI7&lt;='Assumption Sheet'!$B$13,(-GI16-GI31-GI30),0)</f>
        <v>0</v>
      </c>
      <c r="GJ98" s="258">
        <f>IF(GJ7&lt;='Assumption Sheet'!$B$13,(-GJ16-GJ31-GJ30),0)</f>
        <v>0</v>
      </c>
      <c r="GK98" s="258">
        <f>IF(GK7&lt;='Assumption Sheet'!$B$13,(-GK16-GK31-GK30),0)</f>
        <v>0</v>
      </c>
      <c r="GL98" s="258">
        <f>IF(GL7&lt;='Assumption Sheet'!$B$13,(-GL16-GL31-GL30),0)</f>
        <v>0</v>
      </c>
      <c r="GM98" s="258">
        <f>IF(GM7&lt;='Assumption Sheet'!$B$13,(-GM16-GM31-GM30),0)</f>
        <v>0</v>
      </c>
      <c r="GN98" s="258">
        <f>IF(GN7&lt;='Assumption Sheet'!$B$13,(-GN16-GN31-GN30),0)</f>
        <v>0</v>
      </c>
      <c r="GO98" s="258">
        <f>IF(GO7&lt;='Assumption Sheet'!$B$13,(-GO16-GO31-GO30),0)</f>
        <v>0</v>
      </c>
      <c r="GP98" s="258">
        <f>IF(GP7&lt;='Assumption Sheet'!$B$13,(-GP16-GP31-GP30),0)</f>
        <v>0</v>
      </c>
      <c r="GQ98" s="258">
        <f>IF(GQ7&lt;='Assumption Sheet'!$B$13,(-GQ16-GQ31-GQ30),0)</f>
        <v>0</v>
      </c>
      <c r="GR98" s="258">
        <f>IF(GR7&lt;='Assumption Sheet'!$B$13,(-GR16-GR31-GR30),0)</f>
        <v>0</v>
      </c>
      <c r="GS98" s="258">
        <f>IF(GS7&lt;='Assumption Sheet'!$B$13,(-GS16-GS31-GS30),0)</f>
        <v>0</v>
      </c>
      <c r="GT98" s="258">
        <f>IF(GT7&lt;='Assumption Sheet'!$B$13,(-GT16-GT31-GT30),0)</f>
        <v>0</v>
      </c>
      <c r="GU98" s="258">
        <f>IF(GU7&lt;='Assumption Sheet'!$B$13,(-GU16-GU31-GU30),0)</f>
        <v>0</v>
      </c>
      <c r="GV98" s="258">
        <f>IF(GV7&lt;='Assumption Sheet'!$B$13,(-GV16-GV31-GV30),0)</f>
        <v>0</v>
      </c>
      <c r="GW98" s="258">
        <f>IF(GW7&lt;='Assumption Sheet'!$B$13,(-GW16-GW31-GW30),0)</f>
        <v>0</v>
      </c>
      <c r="GX98" s="258">
        <f>IF(GX7&lt;='Assumption Sheet'!$B$13,(-GX16-GX31-GX30),0)</f>
        <v>0</v>
      </c>
      <c r="GY98" s="258">
        <f>IF(GY7&lt;='Assumption Sheet'!$B$13,(-GY16-GY31-GY30),0)</f>
        <v>0</v>
      </c>
      <c r="GZ98" s="258">
        <f>IF(GZ7&lt;='Assumption Sheet'!$B$13,(-GZ16-GZ31-GZ30),0)</f>
        <v>0</v>
      </c>
      <c r="HA98" s="258">
        <f>IF(HA7&lt;='Assumption Sheet'!$B$13,(-HA16-HA31-HA30),0)</f>
        <v>0</v>
      </c>
      <c r="HB98" s="258">
        <f>IF(HB7&lt;='Assumption Sheet'!$B$13,(-HB16-HB31-HB30),0)</f>
        <v>0</v>
      </c>
      <c r="HC98" s="258">
        <f>IF(HC7&lt;='Assumption Sheet'!$B$13,(-HC16-HC31-HC30),0)</f>
        <v>0</v>
      </c>
      <c r="HD98" s="258">
        <f>IF(HD7&lt;='Assumption Sheet'!$B$13,(-HD16-HD31-HD30),0)</f>
        <v>0</v>
      </c>
      <c r="HE98" s="258">
        <f>IF(HE7&lt;='Assumption Sheet'!$B$13,(-HE16-HE31-HE30),0)</f>
        <v>0</v>
      </c>
      <c r="HF98" s="258">
        <f>IF(HF7&lt;='Assumption Sheet'!$B$13,(-HF16-HF31-HF30),0)</f>
        <v>0</v>
      </c>
      <c r="HG98" s="258">
        <f>IF(HG7&lt;='Assumption Sheet'!$B$13,(-HG16-HG31-HG30),0)</f>
        <v>0</v>
      </c>
      <c r="HH98" s="258">
        <f>IF(HH7&lt;='Assumption Sheet'!$B$13,(-HH16-HH31-HH30),0)</f>
        <v>0</v>
      </c>
      <c r="HI98" s="258">
        <f>IF(HI7&lt;='Assumption Sheet'!$B$13,(-HI16-HI31-HI30),0)</f>
        <v>0</v>
      </c>
      <c r="HJ98" s="258">
        <f>IF(HJ7&lt;='Assumption Sheet'!$B$13,(-HJ16-HJ31-HJ30),0)</f>
        <v>0</v>
      </c>
      <c r="HK98" s="258">
        <f>IF(HK7&lt;='Assumption Sheet'!$B$13,(-HK16-HK31-HK30),0)</f>
        <v>0</v>
      </c>
      <c r="HL98" s="258">
        <f>IF(HL7&lt;='Assumption Sheet'!$B$13,(-HL16-HL31-HL30),0)</f>
        <v>0</v>
      </c>
      <c r="HM98" s="258">
        <f>IF(HM7&lt;='Assumption Sheet'!$B$13,(-HM16-HM31-HM30),0)</f>
        <v>0</v>
      </c>
      <c r="HN98" s="258">
        <f>IF(HN7&lt;='Assumption Sheet'!$B$13,(-HN16-HN31-HN30),0)</f>
        <v>0</v>
      </c>
      <c r="HO98" s="258">
        <f>IF(HO7&lt;='Assumption Sheet'!$B$13,(-HO16-HO31-HO30),0)</f>
        <v>0</v>
      </c>
      <c r="HP98" s="258">
        <f>IF(HP7&lt;='Assumption Sheet'!$B$13,(-HP16-HP31-HP30),0)</f>
        <v>0</v>
      </c>
      <c r="HQ98" s="258">
        <f>IF(HQ7&lt;='Assumption Sheet'!$B$13,(-HQ16-HQ31-HQ30),0)</f>
        <v>0</v>
      </c>
      <c r="HR98" s="258">
        <f>IF(HR7&lt;='Assumption Sheet'!$B$13,(-HR16-HR31-HR30),0)</f>
        <v>0</v>
      </c>
      <c r="HS98" s="258">
        <f>IF(HS7&lt;='Assumption Sheet'!$B$13,(-HS16-HS31-HS30),0)</f>
        <v>0</v>
      </c>
      <c r="HT98" s="258">
        <f>IF(HT7&lt;='Assumption Sheet'!$B$13,(-HT16-HT31-HT30),0)</f>
        <v>0</v>
      </c>
      <c r="HU98" s="258">
        <f>IF(HU7&lt;='Assumption Sheet'!$B$13,(-HU16-HU31-HU30),0)</f>
        <v>0</v>
      </c>
      <c r="HV98" s="258">
        <f>IF(HV7&lt;='Assumption Sheet'!$B$13,(-HV16-HV31-HV30),0)</f>
        <v>0</v>
      </c>
      <c r="HW98" s="258">
        <f>IF(HW7&lt;='Assumption Sheet'!$B$13,(-HW16-HW31-HW30),0)</f>
        <v>0</v>
      </c>
      <c r="HX98" s="258">
        <f>IF(HX7&lt;='Assumption Sheet'!$B$13,(-HX16-HX31-HX30),0)</f>
        <v>0</v>
      </c>
      <c r="HY98" s="258">
        <f>IF(HY7&lt;='Assumption Sheet'!$B$13,(-HY16-HY31-HY30),0)</f>
        <v>0</v>
      </c>
      <c r="HZ98" s="258">
        <f>IF(HZ7&lt;='Assumption Sheet'!$B$13,(-HZ16-HZ31-HZ30),0)</f>
        <v>0</v>
      </c>
      <c r="IA98" s="258">
        <f>IF(IA7&lt;='Assumption Sheet'!$B$13,(-IA16-IA31-IA30),0)</f>
        <v>0</v>
      </c>
      <c r="IB98" s="258">
        <f>IF(IB7&lt;='Assumption Sheet'!$B$13,(-IB16-IB31-IB30),0)</f>
        <v>0</v>
      </c>
      <c r="IC98" s="258">
        <f>IF(IC7&lt;='Assumption Sheet'!$B$13,(-IC16-IC31-IC30),0)</f>
        <v>0</v>
      </c>
      <c r="ID98" s="258">
        <f>IF(ID7&lt;='Assumption Sheet'!$B$13,(-ID16-ID31-ID30),0)</f>
        <v>0</v>
      </c>
      <c r="IE98" s="258">
        <f>IF(IE7&lt;='Assumption Sheet'!$B$13,(-IE16-IE31-IE30),0)</f>
        <v>0</v>
      </c>
      <c r="IF98" s="258">
        <f>IF(IF7&lt;='Assumption Sheet'!$B$13,(-IF16-IF31-IF30),0)</f>
        <v>0</v>
      </c>
      <c r="IG98" s="258">
        <f>IF(IG7&lt;='Assumption Sheet'!$B$13,(-IG16-IG31-IG30),0)</f>
        <v>0</v>
      </c>
      <c r="IH98" s="258">
        <f>IF(IH7&lt;='Assumption Sheet'!$B$13,(-IH16-IH31-IH30),0)</f>
        <v>0</v>
      </c>
      <c r="II98" s="258">
        <f>IF(II7&lt;='Assumption Sheet'!$B$13,(-II16-II31-II30),0)</f>
        <v>0</v>
      </c>
      <c r="IJ98" s="258">
        <f>IF(IJ7&lt;='Assumption Sheet'!$B$13,(-IJ16-IJ31-IJ30),0)</f>
        <v>0</v>
      </c>
      <c r="IK98" s="258">
        <f>IF(IK7&lt;='Assumption Sheet'!$B$13,(-IK16-IK31-IK30),0)</f>
        <v>0</v>
      </c>
      <c r="IL98" s="258">
        <f>IF(IL7&lt;='Assumption Sheet'!$B$13,(-IL16-IL31-IL30),0)</f>
        <v>0</v>
      </c>
      <c r="IM98" s="258">
        <f>IF(IM7&lt;='Assumption Sheet'!$B$13,(-IM16-IM31-IM30),0)</f>
        <v>0</v>
      </c>
      <c r="IN98" s="258">
        <f>IF(IN7&lt;='Assumption Sheet'!$B$13,(-IN16-IN31-IN30),0)</f>
        <v>0</v>
      </c>
      <c r="IO98" s="258">
        <f>IF(IO7&lt;='Assumption Sheet'!$B$13,(-IO16-IO31-IO30),0)</f>
        <v>0</v>
      </c>
      <c r="IP98" s="258">
        <f>IF(IP7&lt;='Assumption Sheet'!$B$13,(-IP16-IP31-IP30),0)</f>
        <v>0</v>
      </c>
      <c r="IQ98" s="258">
        <f>IF(IQ7&lt;='Assumption Sheet'!$B$13,(-IQ16-IQ31-IQ30),0)</f>
        <v>0</v>
      </c>
      <c r="IR98" s="258">
        <f>IF(IR7&lt;='Assumption Sheet'!$B$13,(-IR16-IR31-IR30),0)</f>
        <v>0</v>
      </c>
      <c r="IS98" s="258">
        <f>IF(IS7&lt;='Assumption Sheet'!$B$13,(-IS16-IS31-IS30),0)</f>
        <v>0</v>
      </c>
      <c r="IT98" s="258">
        <f>IF(IT7&lt;='Assumption Sheet'!$B$13,(-IT16-IT31-IT30),0)</f>
        <v>0</v>
      </c>
      <c r="IU98" s="258">
        <f>IF(IU7&lt;='Assumption Sheet'!$B$13,(-IU16-IU31-IU30),0)</f>
        <v>0</v>
      </c>
      <c r="IV98" s="258">
        <f>IF(IV7&lt;='Assumption Sheet'!$B$13,(-IV16-IV31-IV30),0)</f>
        <v>0</v>
      </c>
      <c r="IW98" s="258">
        <f>IF(IW7&lt;='Assumption Sheet'!$B$13,(-IW16-IW31-IW30),0)</f>
        <v>0</v>
      </c>
      <c r="IX98" s="258">
        <f>IF(IX7&lt;='Assumption Sheet'!$B$13,(-IX16-IX31-IX30),0)</f>
        <v>0</v>
      </c>
      <c r="IY98" s="258">
        <f>IF(IY7&lt;='Assumption Sheet'!$B$13,(-IY16-IY31-IY30),0)</f>
        <v>0</v>
      </c>
      <c r="IZ98" s="258">
        <f>IF(IZ7&lt;='Assumption Sheet'!$B$13,(-IZ16-IZ31-IZ30),0)</f>
        <v>0</v>
      </c>
      <c r="JA98" s="258">
        <f>IF(JA7&lt;='Assumption Sheet'!$B$13,(-JA16-JA31-JA30),0)</f>
        <v>0</v>
      </c>
      <c r="JB98" s="258">
        <f>IF(JB7&lt;='Assumption Sheet'!$B$13,(-JB16-JB31-JB30),0)</f>
        <v>0</v>
      </c>
      <c r="JC98" s="258">
        <f>IF(JC7&lt;='Assumption Sheet'!$B$13,(-JC16-JC31-JC30),0)</f>
        <v>0</v>
      </c>
      <c r="JD98" s="258">
        <f>IF(JD7&lt;='Assumption Sheet'!$B$13,(-JD16-JD31-JD30),0)</f>
        <v>0</v>
      </c>
      <c r="JE98" s="258">
        <f>IF(JE7&lt;='Assumption Sheet'!$B$13,(-JE16-JE31-JE30),0)</f>
        <v>0</v>
      </c>
      <c r="JF98" s="258">
        <f>IF(JF7&lt;='Assumption Sheet'!$B$13,(-JF16-JF31-JF30),0)</f>
        <v>0</v>
      </c>
      <c r="JG98" s="258">
        <f>IF(JG7&lt;='Assumption Sheet'!$B$13,(-JG16-JG31-JG30),0)</f>
        <v>0</v>
      </c>
      <c r="JH98" s="258">
        <f>IF(JH7&lt;='Assumption Sheet'!$B$13,(-JH16-JH31-JH30),0)</f>
        <v>0</v>
      </c>
      <c r="JI98" s="258">
        <f>IF(JI7&lt;='Assumption Sheet'!$B$13,(-JI16-JI31-JI30),0)</f>
        <v>0</v>
      </c>
      <c r="JJ98" s="258">
        <f>IF(JJ7&lt;='Assumption Sheet'!$B$13,(-JJ16-JJ31-JJ30),0)</f>
        <v>0</v>
      </c>
      <c r="JK98" s="258">
        <f>IF(JK7&lt;='Assumption Sheet'!$B$13,(-JK16-JK31-JK30),0)</f>
        <v>0</v>
      </c>
      <c r="JL98" s="258">
        <f>IF(JL7&lt;='Assumption Sheet'!$B$13,(-JL16-JL31-JL30),0)</f>
        <v>0</v>
      </c>
      <c r="JM98" s="258">
        <f>IF(JM7&lt;='Assumption Sheet'!$B$13,(-JM16-JM31-JM30),0)</f>
        <v>0</v>
      </c>
      <c r="JN98" s="258">
        <f>IF(JN7&lt;='Assumption Sheet'!$B$13,(-JN16-JN31-JN30),0)</f>
        <v>0</v>
      </c>
      <c r="JO98" s="258">
        <f>IF(JO7&lt;='Assumption Sheet'!$B$13,(-JO16-JO31-JO30),0)</f>
        <v>0</v>
      </c>
      <c r="JP98" s="258">
        <f>IF(JP7&lt;='Assumption Sheet'!$B$13,(-JP16-JP31-JP30),0)</f>
        <v>0</v>
      </c>
      <c r="JQ98" s="258">
        <f>IF(JQ7&lt;='Assumption Sheet'!$B$13,(-JQ16-JQ31-JQ30),0)</f>
        <v>0</v>
      </c>
      <c r="JR98" s="258">
        <f>IF(JR7&lt;='Assumption Sheet'!$B$13,(-JR16-JR31-JR30),0)</f>
        <v>0</v>
      </c>
      <c r="JS98" s="258">
        <f>IF(JS7&lt;='Assumption Sheet'!$B$13,(-JS16-JS31-JS30),0)</f>
        <v>0</v>
      </c>
      <c r="JT98" s="258">
        <f>IF(JT7&lt;='Assumption Sheet'!$B$13,(-JT16-JT31-JT30),0)</f>
        <v>0</v>
      </c>
      <c r="JU98" s="258">
        <f>IF(JU7&lt;='Assumption Sheet'!$B$13,(-JU16-JU31-JU30),0)</f>
        <v>0</v>
      </c>
      <c r="JV98" s="258">
        <f>IF(JV7&lt;='Assumption Sheet'!$B$13,(-JV16-JV31-JV30),0)</f>
        <v>0</v>
      </c>
      <c r="JW98" s="258">
        <f>IF(JW7&lt;='Assumption Sheet'!$B$13,(-JW16-JW31-JW30),0)</f>
        <v>0</v>
      </c>
      <c r="JX98" s="258">
        <f>IF(JX7&lt;='Assumption Sheet'!$B$13,(-JX16-JX31-JX30),0)</f>
        <v>0</v>
      </c>
      <c r="JY98" s="258">
        <f>IF(JY7&lt;='Assumption Sheet'!$B$13,(-JY16-JY31-JY30),0)</f>
        <v>0</v>
      </c>
      <c r="JZ98" s="258">
        <f>IF(JZ7&lt;='Assumption Sheet'!$B$13,(-JZ16-JZ31-JZ30),0)</f>
        <v>0</v>
      </c>
      <c r="KA98" s="258">
        <f>IF(KA7&lt;='Assumption Sheet'!$B$13,(-KA16-KA31-KA30),0)</f>
        <v>0</v>
      </c>
      <c r="KB98" s="258">
        <f>IF(KB7&lt;='Assumption Sheet'!$B$13,(-KB16-KB31-KB30),0)</f>
        <v>0</v>
      </c>
    </row>
    <row r="99" spans="1:288" x14ac:dyDescent="0.3">
      <c r="A99" s="169" t="s">
        <v>275</v>
      </c>
      <c r="B99" s="39"/>
      <c r="C99" s="258">
        <f ca="1">IF(C95&gt;=C91,C98+B99,C91)</f>
        <v>47.58</v>
      </c>
      <c r="D99" s="258">
        <f t="shared" ref="D99:BO99" ca="1" si="798">IF(D95&gt;=D91,D98+C99,D91)</f>
        <v>49.704003168081499</v>
      </c>
      <c r="E99" s="258">
        <f t="shared" ca="1" si="798"/>
        <v>49.704003168081499</v>
      </c>
      <c r="F99" s="258">
        <f t="shared" ca="1" si="798"/>
        <v>49.704003168081499</v>
      </c>
      <c r="G99" s="258">
        <f t="shared" ca="1" si="798"/>
        <v>49.704003168081499</v>
      </c>
      <c r="H99" s="258">
        <f t="shared" ca="1" si="798"/>
        <v>49.704003168081499</v>
      </c>
      <c r="I99" s="258">
        <f t="shared" ca="1" si="798"/>
        <v>49.704003168081499</v>
      </c>
      <c r="J99" s="258">
        <f t="shared" ca="1" si="798"/>
        <v>49.704003168081499</v>
      </c>
      <c r="K99" s="258">
        <f t="shared" ca="1" si="798"/>
        <v>49.704003168081499</v>
      </c>
      <c r="L99" s="258">
        <f t="shared" ca="1" si="798"/>
        <v>49.704003168081499</v>
      </c>
      <c r="M99" s="258">
        <f t="shared" ca="1" si="798"/>
        <v>50.459720058607239</v>
      </c>
      <c r="N99" s="258">
        <f t="shared" ca="1" si="798"/>
        <v>53.324865980391245</v>
      </c>
      <c r="O99" s="258">
        <f t="shared" ca="1" si="798"/>
        <v>56.202580391299193</v>
      </c>
      <c r="P99" s="258">
        <f t="shared" ca="1" si="798"/>
        <v>62.350372364953543</v>
      </c>
      <c r="Q99" s="258">
        <f t="shared" ca="1" si="798"/>
        <v>68.091128359894483</v>
      </c>
      <c r="R99" s="258">
        <f t="shared" ca="1" si="798"/>
        <v>73.489484925232233</v>
      </c>
      <c r="S99" s="258">
        <f t="shared" ca="1" si="798"/>
        <v>78.911522373718995</v>
      </c>
      <c r="T99" s="258">
        <f t="shared" ca="1" si="798"/>
        <v>84.35734458590062</v>
      </c>
      <c r="U99" s="258">
        <f t="shared" ca="1" si="798"/>
        <v>89.827055898014052</v>
      </c>
      <c r="V99" s="258">
        <f t="shared" ca="1" si="798"/>
        <v>95.79260053265142</v>
      </c>
      <c r="W99" s="258">
        <f t="shared" ca="1" si="798"/>
        <v>101.33370415317096</v>
      </c>
      <c r="X99" s="258">
        <f t="shared" ca="1" si="798"/>
        <v>106.89911484303018</v>
      </c>
      <c r="Y99" s="258">
        <f t="shared" ca="1" si="798"/>
        <v>114.94887351774781</v>
      </c>
      <c r="Z99" s="258">
        <f t="shared" ca="1" si="798"/>
        <v>122.8530293055602</v>
      </c>
      <c r="AA99" s="258">
        <f t="shared" ca="1" si="798"/>
        <v>130.63863152430599</v>
      </c>
      <c r="AB99" s="258">
        <f t="shared" ca="1" si="798"/>
        <v>133.33749494383531</v>
      </c>
      <c r="AC99" s="258">
        <f t="shared" ca="1" si="798"/>
        <v>136.04819742373411</v>
      </c>
      <c r="AD99" s="258">
        <f t="shared" ca="1" si="798"/>
        <v>138.7707908982164</v>
      </c>
      <c r="AE99" s="258">
        <f t="shared" ca="1" si="798"/>
        <v>141.5053275293152</v>
      </c>
      <c r="AF99" s="258">
        <f t="shared" ca="1" si="798"/>
        <v>144.26070920198333</v>
      </c>
      <c r="AG99" s="258">
        <f t="shared" ca="1" si="798"/>
        <v>147.0281778627249</v>
      </c>
      <c r="AH99" s="258">
        <f t="shared" ca="1" si="798"/>
        <v>155.9990444119656</v>
      </c>
      <c r="AI99" s="258">
        <f t="shared" ca="1" si="798"/>
        <v>163.7072166358117</v>
      </c>
      <c r="AJ99" s="258">
        <f t="shared" ca="1" si="798"/>
        <v>171.12048310723114</v>
      </c>
      <c r="AK99" s="258">
        <f t="shared" ca="1" si="798"/>
        <v>176.43162668586538</v>
      </c>
      <c r="AL99" s="258">
        <f t="shared" ca="1" si="798"/>
        <v>181.76606857185502</v>
      </c>
      <c r="AM99" s="258">
        <f t="shared" ca="1" si="798"/>
        <v>187.12391096750687</v>
      </c>
      <c r="AN99" s="258">
        <f t="shared" ca="1" si="798"/>
        <v>192.50525652345698</v>
      </c>
      <c r="AO99" s="258">
        <f t="shared" ca="1" si="798"/>
        <v>197.92919327811214</v>
      </c>
      <c r="AP99" s="258">
        <f t="shared" ca="1" si="798"/>
        <v>203.37692312811771</v>
      </c>
      <c r="AQ99" s="258">
        <f t="shared" ca="1" si="798"/>
        <v>210.08260217967188</v>
      </c>
      <c r="AR99" s="258">
        <f t="shared" ca="1" si="798"/>
        <v>216.3595372380473</v>
      </c>
      <c r="AS99" s="258">
        <f t="shared" ca="1" si="798"/>
        <v>222.65665589553436</v>
      </c>
      <c r="AT99" s="258">
        <f t="shared" ca="1" si="798"/>
        <v>224.40192095171577</v>
      </c>
      <c r="AU99" s="258">
        <f t="shared" ca="1" si="798"/>
        <v>226.15484193379967</v>
      </c>
      <c r="AV99" s="258">
        <f t="shared" ca="1" si="798"/>
        <v>227.91545242591198</v>
      </c>
      <c r="AW99" s="258">
        <f t="shared" ca="1" si="798"/>
        <v>229.68378615950158</v>
      </c>
      <c r="AX99" s="258">
        <f t="shared" ca="1" si="798"/>
        <v>231.45987701398656</v>
      </c>
      <c r="AY99" s="258">
        <f t="shared" ca="1" si="798"/>
        <v>233.24375901740325</v>
      </c>
      <c r="AZ99" s="258">
        <f t="shared" ca="1" si="798"/>
        <v>235.85276790535261</v>
      </c>
      <c r="BA99" s="258">
        <f t="shared" ca="1" si="798"/>
        <v>237.65987564988262</v>
      </c>
      <c r="BB99" s="258">
        <f t="shared" ca="1" si="798"/>
        <v>239.47491060463264</v>
      </c>
      <c r="BC99" s="258">
        <f t="shared" ca="1" si="798"/>
        <v>241.29790754376708</v>
      </c>
      <c r="BD99" s="258">
        <f t="shared" ca="1" si="798"/>
        <v>243.12890139399366</v>
      </c>
      <c r="BE99" s="258">
        <f t="shared" ca="1" si="798"/>
        <v>251.53760326025505</v>
      </c>
      <c r="BF99" s="258">
        <f t="shared" ca="1" si="798"/>
        <v>251.53760326025505</v>
      </c>
      <c r="BG99" s="258">
        <f t="shared" ca="1" si="798"/>
        <v>251.53760326025505</v>
      </c>
      <c r="BH99" s="258">
        <f t="shared" ca="1" si="798"/>
        <v>251.53760326025505</v>
      </c>
      <c r="BI99" s="258">
        <f t="shared" ca="1" si="798"/>
        <v>251.53760326025505</v>
      </c>
      <c r="BJ99" s="258">
        <f t="shared" ca="1" si="798"/>
        <v>251.53760326025505</v>
      </c>
      <c r="BK99" s="258">
        <f t="shared" ca="1" si="798"/>
        <v>251.53760326025505</v>
      </c>
      <c r="BL99" s="258">
        <f t="shared" ca="1" si="798"/>
        <v>251.53760326025505</v>
      </c>
      <c r="BM99" s="258">
        <f t="shared" ca="1" si="798"/>
        <v>251.53760326025505</v>
      </c>
      <c r="BN99" s="258">
        <f t="shared" ca="1" si="798"/>
        <v>251.53760326025505</v>
      </c>
      <c r="BO99" s="258">
        <f t="shared" ca="1" si="798"/>
        <v>251.53760326025505</v>
      </c>
      <c r="BP99" s="258">
        <f t="shared" ref="BP99:EA99" ca="1" si="799">IF(BP95&gt;=BP91,BP98+BO99,BP91)</f>
        <v>251.53760326025505</v>
      </c>
      <c r="BQ99" s="258">
        <f t="shared" ca="1" si="799"/>
        <v>251.53760326025505</v>
      </c>
      <c r="BR99" s="258">
        <f t="shared" ca="1" si="799"/>
        <v>251.53760326025505</v>
      </c>
      <c r="BS99" s="258">
        <f t="shared" ca="1" si="799"/>
        <v>251.53760326025505</v>
      </c>
      <c r="BT99" s="258">
        <f t="shared" ca="1" si="799"/>
        <v>251.53760326025505</v>
      </c>
      <c r="BU99" s="258">
        <f t="shared" ca="1" si="799"/>
        <v>251.53760326025505</v>
      </c>
      <c r="BV99" s="258">
        <f t="shared" ca="1" si="799"/>
        <v>251.53760326025505</v>
      </c>
      <c r="BW99" s="258">
        <f t="shared" ca="1" si="799"/>
        <v>251.53760326025505</v>
      </c>
      <c r="BX99" s="258">
        <f t="shared" ca="1" si="799"/>
        <v>251.53760326025505</v>
      </c>
      <c r="BY99" s="258">
        <f t="shared" ca="1" si="799"/>
        <v>251.53760326025505</v>
      </c>
      <c r="BZ99" s="258">
        <f t="shared" ca="1" si="799"/>
        <v>251.53760326025505</v>
      </c>
      <c r="CA99" s="258">
        <f t="shared" ca="1" si="799"/>
        <v>251.53760326025505</v>
      </c>
      <c r="CB99" s="258">
        <f t="shared" ca="1" si="799"/>
        <v>251.53760326025505</v>
      </c>
      <c r="CC99" s="258">
        <f t="shared" ca="1" si="799"/>
        <v>251.53760326025505</v>
      </c>
      <c r="CD99" s="258">
        <f t="shared" ca="1" si="799"/>
        <v>251.53760326025505</v>
      </c>
      <c r="CE99" s="258">
        <f t="shared" ca="1" si="799"/>
        <v>251.53760326025505</v>
      </c>
      <c r="CF99" s="258">
        <f t="shared" ca="1" si="799"/>
        <v>251.53760326025505</v>
      </c>
      <c r="CG99" s="258">
        <f t="shared" ca="1" si="799"/>
        <v>251.53760326025505</v>
      </c>
      <c r="CH99" s="258">
        <f t="shared" ca="1" si="799"/>
        <v>251.53760326025505</v>
      </c>
      <c r="CI99" s="258">
        <f t="shared" ca="1" si="799"/>
        <v>251.53760326025505</v>
      </c>
      <c r="CJ99" s="258">
        <f t="shared" ca="1" si="799"/>
        <v>251.53760326025505</v>
      </c>
      <c r="CK99" s="258">
        <f t="shared" ca="1" si="799"/>
        <v>251.53760326025505</v>
      </c>
      <c r="CL99" s="258">
        <f t="shared" ca="1" si="799"/>
        <v>251.53760326025505</v>
      </c>
      <c r="CM99" s="258">
        <f t="shared" ca="1" si="799"/>
        <v>251.53760326025505</v>
      </c>
      <c r="CN99" s="258">
        <f t="shared" ca="1" si="799"/>
        <v>251.53760326025505</v>
      </c>
      <c r="CO99" s="258">
        <f t="shared" ca="1" si="799"/>
        <v>251.53760326025505</v>
      </c>
      <c r="CP99" s="258">
        <f t="shared" ca="1" si="799"/>
        <v>251.53760326025505</v>
      </c>
      <c r="CQ99" s="258">
        <f t="shared" ca="1" si="799"/>
        <v>251.53760326025505</v>
      </c>
      <c r="CR99" s="258">
        <f t="shared" ca="1" si="799"/>
        <v>251.53760326025505</v>
      </c>
      <c r="CS99" s="258">
        <f t="shared" ca="1" si="799"/>
        <v>251.53760326025505</v>
      </c>
      <c r="CT99" s="258">
        <f t="shared" ca="1" si="799"/>
        <v>251.53760326025505</v>
      </c>
      <c r="CU99" s="258">
        <f t="shared" ca="1" si="799"/>
        <v>251.53760326025505</v>
      </c>
      <c r="CV99" s="258">
        <f t="shared" ca="1" si="799"/>
        <v>251.53760326025505</v>
      </c>
      <c r="CW99" s="258">
        <f t="shared" ca="1" si="799"/>
        <v>251.53760326025505</v>
      </c>
      <c r="CX99" s="258">
        <f t="shared" ca="1" si="799"/>
        <v>251.53760326025505</v>
      </c>
      <c r="CY99" s="258">
        <f t="shared" ca="1" si="799"/>
        <v>251.53760326025505</v>
      </c>
      <c r="CZ99" s="258">
        <f t="shared" ca="1" si="799"/>
        <v>251.53760326025505</v>
      </c>
      <c r="DA99" s="258">
        <f t="shared" ca="1" si="799"/>
        <v>251.53760326025505</v>
      </c>
      <c r="DB99" s="258">
        <f t="shared" ca="1" si="799"/>
        <v>251.53760326025505</v>
      </c>
      <c r="DC99" s="258">
        <f t="shared" ca="1" si="799"/>
        <v>251.53760326025505</v>
      </c>
      <c r="DD99" s="258">
        <f t="shared" ca="1" si="799"/>
        <v>251.53760326025505</v>
      </c>
      <c r="DE99" s="258">
        <f t="shared" ca="1" si="799"/>
        <v>251.53760326025505</v>
      </c>
      <c r="DF99" s="258">
        <f t="shared" ca="1" si="799"/>
        <v>251.53760326025505</v>
      </c>
      <c r="DG99" s="258">
        <f t="shared" ca="1" si="799"/>
        <v>251.53760326025505</v>
      </c>
      <c r="DH99" s="258">
        <f t="shared" ca="1" si="799"/>
        <v>251.53760326025505</v>
      </c>
      <c r="DI99" s="258">
        <f t="shared" ca="1" si="799"/>
        <v>251.53760326025505</v>
      </c>
      <c r="DJ99" s="258">
        <f t="shared" ca="1" si="799"/>
        <v>251.53760326025505</v>
      </c>
      <c r="DK99" s="258">
        <f t="shared" ca="1" si="799"/>
        <v>251.53760326025505</v>
      </c>
      <c r="DL99" s="258">
        <f t="shared" ca="1" si="799"/>
        <v>251.53760326025505</v>
      </c>
      <c r="DM99" s="258">
        <f t="shared" ca="1" si="799"/>
        <v>251.53760326025505</v>
      </c>
      <c r="DN99" s="258">
        <f t="shared" ca="1" si="799"/>
        <v>251.53760326025505</v>
      </c>
      <c r="DO99" s="258">
        <f t="shared" ca="1" si="799"/>
        <v>251.53760326025505</v>
      </c>
      <c r="DP99" s="258">
        <f t="shared" ca="1" si="799"/>
        <v>251.53760326025505</v>
      </c>
      <c r="DQ99" s="258">
        <f t="shared" ca="1" si="799"/>
        <v>251.53760326025505</v>
      </c>
      <c r="DR99" s="258">
        <f t="shared" ca="1" si="799"/>
        <v>251.53760326025505</v>
      </c>
      <c r="DS99" s="258">
        <f t="shared" ca="1" si="799"/>
        <v>251.53760326025505</v>
      </c>
      <c r="DT99" s="258">
        <f t="shared" ca="1" si="799"/>
        <v>251.53760326025505</v>
      </c>
      <c r="DU99" s="258">
        <f t="shared" ca="1" si="799"/>
        <v>251.53760326025505</v>
      </c>
      <c r="DV99" s="258">
        <f t="shared" ca="1" si="799"/>
        <v>251.53760326025505</v>
      </c>
      <c r="DW99" s="258">
        <f t="shared" ca="1" si="799"/>
        <v>251.53760326025505</v>
      </c>
      <c r="DX99" s="258">
        <f t="shared" ca="1" si="799"/>
        <v>251.53760326025505</v>
      </c>
      <c r="DY99" s="258">
        <f t="shared" ca="1" si="799"/>
        <v>251.53760326025505</v>
      </c>
      <c r="DZ99" s="258">
        <f t="shared" ca="1" si="799"/>
        <v>251.53760326025505</v>
      </c>
      <c r="EA99" s="258">
        <f t="shared" ca="1" si="799"/>
        <v>251.53760326025505</v>
      </c>
      <c r="EB99" s="258">
        <f t="shared" ref="EB99:GM99" ca="1" si="800">IF(EB95&gt;=EB91,EB98+EA99,EB91)</f>
        <v>251.53760326025505</v>
      </c>
      <c r="EC99" s="258">
        <f t="shared" ca="1" si="800"/>
        <v>251.53760326025505</v>
      </c>
      <c r="ED99" s="258">
        <f t="shared" ca="1" si="800"/>
        <v>251.53760326025505</v>
      </c>
      <c r="EE99" s="258">
        <f t="shared" ca="1" si="800"/>
        <v>251.53760326025505</v>
      </c>
      <c r="EF99" s="258">
        <f t="shared" ca="1" si="800"/>
        <v>251.53760326025505</v>
      </c>
      <c r="EG99" s="258">
        <f t="shared" ca="1" si="800"/>
        <v>251.53760326025505</v>
      </c>
      <c r="EH99" s="258">
        <f t="shared" ca="1" si="800"/>
        <v>251.53760326025505</v>
      </c>
      <c r="EI99" s="258">
        <f t="shared" ca="1" si="800"/>
        <v>251.53760326025505</v>
      </c>
      <c r="EJ99" s="258">
        <f t="shared" ca="1" si="800"/>
        <v>251.53760326025505</v>
      </c>
      <c r="EK99" s="258">
        <f t="shared" ca="1" si="800"/>
        <v>251.53760326025505</v>
      </c>
      <c r="EL99" s="258">
        <f t="shared" ca="1" si="800"/>
        <v>251.53760326025505</v>
      </c>
      <c r="EM99" s="258">
        <f t="shared" ca="1" si="800"/>
        <v>251.53760326025505</v>
      </c>
      <c r="EN99" s="258">
        <f t="shared" ca="1" si="800"/>
        <v>251.53760326025505</v>
      </c>
      <c r="EO99" s="258">
        <f t="shared" ca="1" si="800"/>
        <v>251.53760326025505</v>
      </c>
      <c r="EP99" s="258">
        <f t="shared" ca="1" si="800"/>
        <v>251.53760326025505</v>
      </c>
      <c r="EQ99" s="258">
        <f t="shared" ca="1" si="800"/>
        <v>251.53760326025505</v>
      </c>
      <c r="ER99" s="258">
        <f t="shared" ca="1" si="800"/>
        <v>251.53760326025505</v>
      </c>
      <c r="ES99" s="258">
        <f t="shared" ca="1" si="800"/>
        <v>251.53760326025505</v>
      </c>
      <c r="ET99" s="258">
        <f t="shared" ca="1" si="800"/>
        <v>251.53760326025505</v>
      </c>
      <c r="EU99" s="258">
        <f t="shared" ca="1" si="800"/>
        <v>251.53760326025505</v>
      </c>
      <c r="EV99" s="258">
        <f t="shared" ca="1" si="800"/>
        <v>251.53760326025505</v>
      </c>
      <c r="EW99" s="258">
        <f t="shared" ca="1" si="800"/>
        <v>251.53760326025505</v>
      </c>
      <c r="EX99" s="258">
        <f t="shared" ca="1" si="800"/>
        <v>251.53760326025505</v>
      </c>
      <c r="EY99" s="258">
        <f t="shared" ca="1" si="800"/>
        <v>251.53760326025505</v>
      </c>
      <c r="EZ99" s="258">
        <f t="shared" ca="1" si="800"/>
        <v>251.53760326025505</v>
      </c>
      <c r="FA99" s="258">
        <f t="shared" ca="1" si="800"/>
        <v>251.53760326025505</v>
      </c>
      <c r="FB99" s="258">
        <f t="shared" ca="1" si="800"/>
        <v>251.53760326025505</v>
      </c>
      <c r="FC99" s="258">
        <f t="shared" ca="1" si="800"/>
        <v>251.53760326025505</v>
      </c>
      <c r="FD99" s="258">
        <f t="shared" ca="1" si="800"/>
        <v>251.53760326025505</v>
      </c>
      <c r="FE99" s="258">
        <f t="shared" ca="1" si="800"/>
        <v>251.53760326025505</v>
      </c>
      <c r="FF99" s="258">
        <f t="shared" ca="1" si="800"/>
        <v>251.53760326025505</v>
      </c>
      <c r="FG99" s="258">
        <f t="shared" ca="1" si="800"/>
        <v>251.53760326025505</v>
      </c>
      <c r="FH99" s="258">
        <f t="shared" ca="1" si="800"/>
        <v>251.53760326025505</v>
      </c>
      <c r="FI99" s="258">
        <f t="shared" ca="1" si="800"/>
        <v>251.53760326025505</v>
      </c>
      <c r="FJ99" s="258">
        <f t="shared" ca="1" si="800"/>
        <v>251.53760326025505</v>
      </c>
      <c r="FK99" s="258">
        <f t="shared" ca="1" si="800"/>
        <v>251.53760326025505</v>
      </c>
      <c r="FL99" s="258">
        <f t="shared" ca="1" si="800"/>
        <v>251.53760326025505</v>
      </c>
      <c r="FM99" s="258">
        <f t="shared" ca="1" si="800"/>
        <v>251.53760326025505</v>
      </c>
      <c r="FN99" s="258">
        <f t="shared" ca="1" si="800"/>
        <v>251.53760326025505</v>
      </c>
      <c r="FO99" s="258">
        <f t="shared" ca="1" si="800"/>
        <v>251.53760326025505</v>
      </c>
      <c r="FP99" s="258">
        <f t="shared" ca="1" si="800"/>
        <v>251.53760326025505</v>
      </c>
      <c r="FQ99" s="258">
        <f t="shared" ca="1" si="800"/>
        <v>251.53760326025505</v>
      </c>
      <c r="FR99" s="258">
        <f t="shared" ca="1" si="800"/>
        <v>251.53760326025505</v>
      </c>
      <c r="FS99" s="258">
        <f t="shared" ca="1" si="800"/>
        <v>251.53760326025505</v>
      </c>
      <c r="FT99" s="258">
        <f t="shared" ca="1" si="800"/>
        <v>251.53760326025505</v>
      </c>
      <c r="FU99" s="258">
        <f t="shared" ca="1" si="800"/>
        <v>251.53760326025505</v>
      </c>
      <c r="FV99" s="258">
        <f t="shared" ca="1" si="800"/>
        <v>251.53760326025505</v>
      </c>
      <c r="FW99" s="258">
        <f t="shared" ca="1" si="800"/>
        <v>251.53760326025505</v>
      </c>
      <c r="FX99" s="258">
        <f t="shared" ca="1" si="800"/>
        <v>251.53760326025505</v>
      </c>
      <c r="FY99" s="258">
        <f t="shared" ca="1" si="800"/>
        <v>251.53760326025505</v>
      </c>
      <c r="FZ99" s="258">
        <f t="shared" ca="1" si="800"/>
        <v>251.53760326025505</v>
      </c>
      <c r="GA99" s="258">
        <f t="shared" ca="1" si="800"/>
        <v>251.53760326025505</v>
      </c>
      <c r="GB99" s="258">
        <f t="shared" ca="1" si="800"/>
        <v>251.53760326025505</v>
      </c>
      <c r="GC99" s="258">
        <f t="shared" ca="1" si="800"/>
        <v>251.53760326025505</v>
      </c>
      <c r="GD99" s="258">
        <f t="shared" ca="1" si="800"/>
        <v>251.53760326025505</v>
      </c>
      <c r="GE99" s="258">
        <f t="shared" ca="1" si="800"/>
        <v>251.53760326025505</v>
      </c>
      <c r="GF99" s="258">
        <f t="shared" ca="1" si="800"/>
        <v>251.53760326025505</v>
      </c>
      <c r="GG99" s="258">
        <f t="shared" ca="1" si="800"/>
        <v>251.53760326025505</v>
      </c>
      <c r="GH99" s="258">
        <f t="shared" ca="1" si="800"/>
        <v>251.53760326025505</v>
      </c>
      <c r="GI99" s="258">
        <f t="shared" ca="1" si="800"/>
        <v>251.53760326025505</v>
      </c>
      <c r="GJ99" s="258">
        <f t="shared" ca="1" si="800"/>
        <v>251.53760326025505</v>
      </c>
      <c r="GK99" s="258">
        <f t="shared" ca="1" si="800"/>
        <v>251.53760326025505</v>
      </c>
      <c r="GL99" s="258">
        <f t="shared" ca="1" si="800"/>
        <v>251.53760326025505</v>
      </c>
      <c r="GM99" s="258">
        <f t="shared" ca="1" si="800"/>
        <v>251.53760326025505</v>
      </c>
      <c r="GN99" s="258">
        <f t="shared" ref="GN99:IY99" ca="1" si="801">IF(GN95&gt;=GN91,GN98+GM99,GN91)</f>
        <v>251.53760326025505</v>
      </c>
      <c r="GO99" s="258">
        <f t="shared" ca="1" si="801"/>
        <v>251.53760326025505</v>
      </c>
      <c r="GP99" s="258">
        <f t="shared" ca="1" si="801"/>
        <v>251.53760326025505</v>
      </c>
      <c r="GQ99" s="258">
        <f t="shared" ca="1" si="801"/>
        <v>251.53760326025505</v>
      </c>
      <c r="GR99" s="258">
        <f t="shared" ca="1" si="801"/>
        <v>251.53760326025505</v>
      </c>
      <c r="GS99" s="258">
        <f t="shared" ca="1" si="801"/>
        <v>251.53760326025505</v>
      </c>
      <c r="GT99" s="258">
        <f t="shared" ca="1" si="801"/>
        <v>251.53760326025505</v>
      </c>
      <c r="GU99" s="258">
        <f t="shared" ca="1" si="801"/>
        <v>251.53760326025505</v>
      </c>
      <c r="GV99" s="258">
        <f t="shared" ca="1" si="801"/>
        <v>251.53760326025505</v>
      </c>
      <c r="GW99" s="258">
        <f t="shared" ca="1" si="801"/>
        <v>251.53760326025505</v>
      </c>
      <c r="GX99" s="258">
        <f t="shared" ca="1" si="801"/>
        <v>251.53760326025505</v>
      </c>
      <c r="GY99" s="258">
        <f t="shared" ca="1" si="801"/>
        <v>251.53760326025505</v>
      </c>
      <c r="GZ99" s="258">
        <f t="shared" ca="1" si="801"/>
        <v>251.53760326025505</v>
      </c>
      <c r="HA99" s="258">
        <f t="shared" ca="1" si="801"/>
        <v>251.53760326025505</v>
      </c>
      <c r="HB99" s="258">
        <f t="shared" ca="1" si="801"/>
        <v>251.53760326025505</v>
      </c>
      <c r="HC99" s="258">
        <f t="shared" ca="1" si="801"/>
        <v>251.53760326025505</v>
      </c>
      <c r="HD99" s="258">
        <f t="shared" ca="1" si="801"/>
        <v>251.53760326025505</v>
      </c>
      <c r="HE99" s="258">
        <f t="shared" ca="1" si="801"/>
        <v>251.53760326025505</v>
      </c>
      <c r="HF99" s="258">
        <f t="shared" ca="1" si="801"/>
        <v>251.53760326025505</v>
      </c>
      <c r="HG99" s="258">
        <f t="shared" ca="1" si="801"/>
        <v>251.53760326025505</v>
      </c>
      <c r="HH99" s="258">
        <f t="shared" ca="1" si="801"/>
        <v>251.53760326025505</v>
      </c>
      <c r="HI99" s="258">
        <f t="shared" ca="1" si="801"/>
        <v>251.53760326025505</v>
      </c>
      <c r="HJ99" s="258">
        <f t="shared" ca="1" si="801"/>
        <v>251.53760326025505</v>
      </c>
      <c r="HK99" s="258">
        <f t="shared" ca="1" si="801"/>
        <v>251.53760326025505</v>
      </c>
      <c r="HL99" s="258">
        <f t="shared" ca="1" si="801"/>
        <v>251.53760326025505</v>
      </c>
      <c r="HM99" s="258">
        <f t="shared" ca="1" si="801"/>
        <v>251.53760326025505</v>
      </c>
      <c r="HN99" s="258">
        <f t="shared" ca="1" si="801"/>
        <v>251.53760326025505</v>
      </c>
      <c r="HO99" s="258">
        <f t="shared" ca="1" si="801"/>
        <v>251.53760326025505</v>
      </c>
      <c r="HP99" s="258">
        <f t="shared" ca="1" si="801"/>
        <v>251.53760326025505</v>
      </c>
      <c r="HQ99" s="258">
        <f t="shared" ca="1" si="801"/>
        <v>251.53760326025505</v>
      </c>
      <c r="HR99" s="258">
        <f t="shared" ca="1" si="801"/>
        <v>251.53760326025505</v>
      </c>
      <c r="HS99" s="258">
        <f t="shared" ca="1" si="801"/>
        <v>251.53760326025505</v>
      </c>
      <c r="HT99" s="258">
        <f t="shared" ca="1" si="801"/>
        <v>251.53760326025505</v>
      </c>
      <c r="HU99" s="258">
        <f t="shared" ca="1" si="801"/>
        <v>251.53760326025505</v>
      </c>
      <c r="HV99" s="258">
        <f t="shared" ca="1" si="801"/>
        <v>251.53760326025505</v>
      </c>
      <c r="HW99" s="258">
        <f t="shared" ca="1" si="801"/>
        <v>251.53760326025505</v>
      </c>
      <c r="HX99" s="258">
        <f t="shared" ca="1" si="801"/>
        <v>251.53760326025505</v>
      </c>
      <c r="HY99" s="258">
        <f t="shared" ca="1" si="801"/>
        <v>251.53760326025505</v>
      </c>
      <c r="HZ99" s="258">
        <f t="shared" ca="1" si="801"/>
        <v>251.53760326025505</v>
      </c>
      <c r="IA99" s="258">
        <f t="shared" ca="1" si="801"/>
        <v>251.53760326025505</v>
      </c>
      <c r="IB99" s="258">
        <f t="shared" ca="1" si="801"/>
        <v>251.53760326025505</v>
      </c>
      <c r="IC99" s="258">
        <f t="shared" ca="1" si="801"/>
        <v>251.53760326025505</v>
      </c>
      <c r="ID99" s="258">
        <f t="shared" ca="1" si="801"/>
        <v>251.53760326025505</v>
      </c>
      <c r="IE99" s="258">
        <f t="shared" ca="1" si="801"/>
        <v>251.53760326025505</v>
      </c>
      <c r="IF99" s="258">
        <f t="shared" ca="1" si="801"/>
        <v>251.53760326025505</v>
      </c>
      <c r="IG99" s="258">
        <f t="shared" ca="1" si="801"/>
        <v>251.53760326025505</v>
      </c>
      <c r="IH99" s="258">
        <f t="shared" ca="1" si="801"/>
        <v>251.53760326025505</v>
      </c>
      <c r="II99" s="258">
        <f t="shared" ca="1" si="801"/>
        <v>251.53760326025505</v>
      </c>
      <c r="IJ99" s="258">
        <f t="shared" ca="1" si="801"/>
        <v>251.53760326025505</v>
      </c>
      <c r="IK99" s="258">
        <f t="shared" ca="1" si="801"/>
        <v>251.53760326025505</v>
      </c>
      <c r="IL99" s="258">
        <f t="shared" ca="1" si="801"/>
        <v>251.53760326025505</v>
      </c>
      <c r="IM99" s="258">
        <f t="shared" ca="1" si="801"/>
        <v>251.53760326025505</v>
      </c>
      <c r="IN99" s="258">
        <f t="shared" ca="1" si="801"/>
        <v>251.53760326025505</v>
      </c>
      <c r="IO99" s="258">
        <f t="shared" ca="1" si="801"/>
        <v>251.53760326025505</v>
      </c>
      <c r="IP99" s="258">
        <f t="shared" ca="1" si="801"/>
        <v>251.53760326025505</v>
      </c>
      <c r="IQ99" s="258">
        <f t="shared" ca="1" si="801"/>
        <v>251.53760326025505</v>
      </c>
      <c r="IR99" s="258">
        <f t="shared" ca="1" si="801"/>
        <v>251.53760326025505</v>
      </c>
      <c r="IS99" s="258">
        <f t="shared" ca="1" si="801"/>
        <v>251.53760326025505</v>
      </c>
      <c r="IT99" s="258">
        <f t="shared" ca="1" si="801"/>
        <v>251.53760326025505</v>
      </c>
      <c r="IU99" s="258">
        <f t="shared" ca="1" si="801"/>
        <v>251.53760326025505</v>
      </c>
      <c r="IV99" s="258">
        <f t="shared" ca="1" si="801"/>
        <v>251.53760326025505</v>
      </c>
      <c r="IW99" s="258">
        <f t="shared" ca="1" si="801"/>
        <v>251.53760326025505</v>
      </c>
      <c r="IX99" s="258">
        <f t="shared" ca="1" si="801"/>
        <v>251.53760326025505</v>
      </c>
      <c r="IY99" s="258">
        <f t="shared" ca="1" si="801"/>
        <v>251.53760326025505</v>
      </c>
      <c r="IZ99" s="258">
        <f t="shared" ref="IZ99:KB99" ca="1" si="802">IF(IZ95&gt;=IZ91,IZ98+IY99,IZ91)</f>
        <v>251.53760326025505</v>
      </c>
      <c r="JA99" s="258">
        <f t="shared" ca="1" si="802"/>
        <v>251.53760326025505</v>
      </c>
      <c r="JB99" s="258">
        <f t="shared" ca="1" si="802"/>
        <v>251.53760326025505</v>
      </c>
      <c r="JC99" s="258">
        <f t="shared" ca="1" si="802"/>
        <v>251.53760326025505</v>
      </c>
      <c r="JD99" s="258">
        <f t="shared" ca="1" si="802"/>
        <v>251.53760326025505</v>
      </c>
      <c r="JE99" s="258">
        <f t="shared" ca="1" si="802"/>
        <v>251.53760326025505</v>
      </c>
      <c r="JF99" s="258">
        <f t="shared" ca="1" si="802"/>
        <v>251.53760326025505</v>
      </c>
      <c r="JG99" s="258">
        <f t="shared" ca="1" si="802"/>
        <v>251.53760326025505</v>
      </c>
      <c r="JH99" s="258">
        <f t="shared" ca="1" si="802"/>
        <v>251.53760326025505</v>
      </c>
      <c r="JI99" s="258">
        <f t="shared" ca="1" si="802"/>
        <v>251.53760326025505</v>
      </c>
      <c r="JJ99" s="258">
        <f t="shared" ca="1" si="802"/>
        <v>251.53760326025505</v>
      </c>
      <c r="JK99" s="258">
        <f t="shared" ca="1" si="802"/>
        <v>251.53760326025505</v>
      </c>
      <c r="JL99" s="258">
        <f t="shared" ca="1" si="802"/>
        <v>251.53760326025505</v>
      </c>
      <c r="JM99" s="258">
        <f t="shared" ca="1" si="802"/>
        <v>251.53760326025505</v>
      </c>
      <c r="JN99" s="258">
        <f t="shared" ca="1" si="802"/>
        <v>251.53760326025505</v>
      </c>
      <c r="JO99" s="258">
        <f t="shared" ca="1" si="802"/>
        <v>251.53760326025505</v>
      </c>
      <c r="JP99" s="258">
        <f t="shared" ca="1" si="802"/>
        <v>251.53760326025505</v>
      </c>
      <c r="JQ99" s="258">
        <f t="shared" ca="1" si="802"/>
        <v>251.53760326025505</v>
      </c>
      <c r="JR99" s="258">
        <f t="shared" ca="1" si="802"/>
        <v>251.53760326025505</v>
      </c>
      <c r="JS99" s="258">
        <f t="shared" ca="1" si="802"/>
        <v>251.53760326025505</v>
      </c>
      <c r="JT99" s="258">
        <f t="shared" ca="1" si="802"/>
        <v>251.53760326025505</v>
      </c>
      <c r="JU99" s="258">
        <f t="shared" ca="1" si="802"/>
        <v>251.53760326025505</v>
      </c>
      <c r="JV99" s="258">
        <f t="shared" ca="1" si="802"/>
        <v>251.53760326025505</v>
      </c>
      <c r="JW99" s="258">
        <f t="shared" ca="1" si="802"/>
        <v>251.53760326025505</v>
      </c>
      <c r="JX99" s="258">
        <f t="shared" ca="1" si="802"/>
        <v>251.53760326025505</v>
      </c>
      <c r="JY99" s="258">
        <f t="shared" ca="1" si="802"/>
        <v>251.53760326025505</v>
      </c>
      <c r="JZ99" s="258">
        <f t="shared" ca="1" si="802"/>
        <v>251.53760326025505</v>
      </c>
      <c r="KA99" s="258">
        <f t="shared" ca="1" si="802"/>
        <v>251.53760326025505</v>
      </c>
      <c r="KB99" s="258">
        <f t="shared" ca="1" si="802"/>
        <v>251.53760326025505</v>
      </c>
    </row>
    <row r="100" spans="1:288" x14ac:dyDescent="0.3">
      <c r="A100" s="290" t="s">
        <v>276</v>
      </c>
      <c r="B100" s="39"/>
      <c r="C100" s="54">
        <f ca="1">C99-B99</f>
        <v>47.58</v>
      </c>
      <c r="D100" s="54">
        <f t="shared" ref="D100:BO100" ca="1" si="803">D99-C99</f>
        <v>2.1240031680815008</v>
      </c>
      <c r="E100" s="54">
        <f t="shared" ca="1" si="803"/>
        <v>0</v>
      </c>
      <c r="F100" s="54">
        <f t="shared" ca="1" si="803"/>
        <v>0</v>
      </c>
      <c r="G100" s="54">
        <f t="shared" ca="1" si="803"/>
        <v>0</v>
      </c>
      <c r="H100" s="54">
        <f t="shared" ca="1" si="803"/>
        <v>0</v>
      </c>
      <c r="I100" s="54">
        <f t="shared" ca="1" si="803"/>
        <v>0</v>
      </c>
      <c r="J100" s="54">
        <f t="shared" ca="1" si="803"/>
        <v>0</v>
      </c>
      <c r="K100" s="54">
        <f t="shared" ca="1" si="803"/>
        <v>0</v>
      </c>
      <c r="L100" s="54">
        <f t="shared" ca="1" si="803"/>
        <v>0</v>
      </c>
      <c r="M100" s="54">
        <f t="shared" ca="1" si="803"/>
        <v>0.75571689052573987</v>
      </c>
      <c r="N100" s="54">
        <f t="shared" ca="1" si="803"/>
        <v>2.8651459217840056</v>
      </c>
      <c r="O100" s="54">
        <f t="shared" ca="1" si="803"/>
        <v>2.8777144109079487</v>
      </c>
      <c r="P100" s="54">
        <f t="shared" ca="1" si="803"/>
        <v>6.1477919736543498</v>
      </c>
      <c r="Q100" s="54">
        <f t="shared" ca="1" si="803"/>
        <v>5.7407559949409404</v>
      </c>
      <c r="R100" s="54">
        <f t="shared" ca="1" si="803"/>
        <v>5.3983565653377497</v>
      </c>
      <c r="S100" s="54">
        <f t="shared" ca="1" si="803"/>
        <v>5.4220374484867619</v>
      </c>
      <c r="T100" s="54">
        <f t="shared" ca="1" si="803"/>
        <v>5.4458222121816249</v>
      </c>
      <c r="U100" s="54">
        <f t="shared" ca="1" si="803"/>
        <v>5.4697113121134322</v>
      </c>
      <c r="V100" s="54">
        <f t="shared" ca="1" si="803"/>
        <v>5.9655446346373679</v>
      </c>
      <c r="W100" s="54">
        <f t="shared" ca="1" si="803"/>
        <v>5.5411036205195359</v>
      </c>
      <c r="X100" s="54">
        <f t="shared" ca="1" si="803"/>
        <v>5.5654106898592204</v>
      </c>
      <c r="Y100" s="54">
        <f t="shared" ca="1" si="803"/>
        <v>8.0497586747176371</v>
      </c>
      <c r="Z100" s="54">
        <f t="shared" ca="1" si="803"/>
        <v>7.9041557878123854</v>
      </c>
      <c r="AA100" s="54">
        <f t="shared" ca="1" si="803"/>
        <v>7.7856022187457938</v>
      </c>
      <c r="AB100" s="54">
        <f t="shared" ca="1" si="803"/>
        <v>2.6988634195293173</v>
      </c>
      <c r="AC100" s="54">
        <f t="shared" ca="1" si="803"/>
        <v>2.7107024798987993</v>
      </c>
      <c r="AD100" s="54">
        <f t="shared" ca="1" si="803"/>
        <v>2.7225934744822951</v>
      </c>
      <c r="AE100" s="54">
        <f t="shared" ca="1" si="803"/>
        <v>2.7345366310987913</v>
      </c>
      <c r="AF100" s="54">
        <f t="shared" ca="1" si="803"/>
        <v>2.7553816726681362</v>
      </c>
      <c r="AG100" s="54">
        <f t="shared" ca="1" si="803"/>
        <v>2.7674686607415708</v>
      </c>
      <c r="AH100" s="54">
        <f t="shared" ca="1" si="803"/>
        <v>8.9708665492406965</v>
      </c>
      <c r="AI100" s="54">
        <f t="shared" ca="1" si="803"/>
        <v>7.7081722238461055</v>
      </c>
      <c r="AJ100" s="54">
        <f t="shared" ca="1" si="803"/>
        <v>7.4132664714194334</v>
      </c>
      <c r="AK100" s="54">
        <f t="shared" ca="1" si="803"/>
        <v>5.311143578634244</v>
      </c>
      <c r="AL100" s="54">
        <f t="shared" ca="1" si="803"/>
        <v>5.3344418859896336</v>
      </c>
      <c r="AM100" s="54">
        <f t="shared" ca="1" si="803"/>
        <v>5.3578423956518577</v>
      </c>
      <c r="AN100" s="54">
        <f t="shared" ca="1" si="803"/>
        <v>5.3813455559501051</v>
      </c>
      <c r="AO100" s="54">
        <f t="shared" ca="1" si="803"/>
        <v>5.4239367546551591</v>
      </c>
      <c r="AP100" s="54">
        <f t="shared" ca="1" si="803"/>
        <v>5.4477298500055724</v>
      </c>
      <c r="AQ100" s="54">
        <f t="shared" ca="1" si="803"/>
        <v>6.7056790515541707</v>
      </c>
      <c r="AR100" s="54">
        <f t="shared" ca="1" si="803"/>
        <v>6.2769350583754147</v>
      </c>
      <c r="AS100" s="54">
        <f t="shared" ca="1" si="803"/>
        <v>6.2971186574870615</v>
      </c>
      <c r="AT100" s="54">
        <f t="shared" ca="1" si="803"/>
        <v>1.7452650561814096</v>
      </c>
      <c r="AU100" s="54">
        <f t="shared" ca="1" si="803"/>
        <v>1.7529209820839071</v>
      </c>
      <c r="AV100" s="54">
        <f t="shared" ca="1" si="803"/>
        <v>1.7606104921123062</v>
      </c>
      <c r="AW100" s="54">
        <f t="shared" ca="1" si="803"/>
        <v>1.7683337335895999</v>
      </c>
      <c r="AX100" s="54">
        <f t="shared" ca="1" si="803"/>
        <v>1.7760908544849769</v>
      </c>
      <c r="AY100" s="54">
        <f t="shared" ca="1" si="803"/>
        <v>1.7838820034166929</v>
      </c>
      <c r="AZ100" s="54">
        <f t="shared" ca="1" si="803"/>
        <v>2.6090088879493578</v>
      </c>
      <c r="BA100" s="54">
        <f t="shared" ca="1" si="803"/>
        <v>1.8071077445300148</v>
      </c>
      <c r="BB100" s="54">
        <f t="shared" ca="1" si="803"/>
        <v>1.8150349547500184</v>
      </c>
      <c r="BC100" s="54">
        <f t="shared" ca="1" si="803"/>
        <v>1.8229969391344412</v>
      </c>
      <c r="BD100" s="54">
        <f t="shared" ca="1" si="803"/>
        <v>1.8309938502265766</v>
      </c>
      <c r="BE100" s="54">
        <f ca="1">BE99-BD99</f>
        <v>8.4087018662613957</v>
      </c>
      <c r="BF100" s="54">
        <f t="shared" ca="1" si="803"/>
        <v>0</v>
      </c>
      <c r="BG100" s="54">
        <f t="shared" ca="1" si="803"/>
        <v>0</v>
      </c>
      <c r="BH100" s="54">
        <f t="shared" ca="1" si="803"/>
        <v>0</v>
      </c>
      <c r="BI100" s="54">
        <f t="shared" ca="1" si="803"/>
        <v>0</v>
      </c>
      <c r="BJ100" s="54">
        <f t="shared" ca="1" si="803"/>
        <v>0</v>
      </c>
      <c r="BK100" s="54">
        <f t="shared" ca="1" si="803"/>
        <v>0</v>
      </c>
      <c r="BL100" s="54">
        <f t="shared" ca="1" si="803"/>
        <v>0</v>
      </c>
      <c r="BM100" s="54">
        <f t="shared" ca="1" si="803"/>
        <v>0</v>
      </c>
      <c r="BN100" s="54">
        <f t="shared" ca="1" si="803"/>
        <v>0</v>
      </c>
      <c r="BO100" s="54">
        <f t="shared" ca="1" si="803"/>
        <v>0</v>
      </c>
      <c r="BP100" s="54">
        <f t="shared" ref="BP100:EA100" ca="1" si="804">BP99-BO99</f>
        <v>0</v>
      </c>
      <c r="BQ100" s="54">
        <f t="shared" ca="1" si="804"/>
        <v>0</v>
      </c>
      <c r="BR100" s="54">
        <f t="shared" ca="1" si="804"/>
        <v>0</v>
      </c>
      <c r="BS100" s="54">
        <f t="shared" ca="1" si="804"/>
        <v>0</v>
      </c>
      <c r="BT100" s="54">
        <f t="shared" ca="1" si="804"/>
        <v>0</v>
      </c>
      <c r="BU100" s="54">
        <f t="shared" ca="1" si="804"/>
        <v>0</v>
      </c>
      <c r="BV100" s="54">
        <f t="shared" ca="1" si="804"/>
        <v>0</v>
      </c>
      <c r="BW100" s="54">
        <f t="shared" ca="1" si="804"/>
        <v>0</v>
      </c>
      <c r="BX100" s="54">
        <f t="shared" ca="1" si="804"/>
        <v>0</v>
      </c>
      <c r="BY100" s="54">
        <f t="shared" ca="1" si="804"/>
        <v>0</v>
      </c>
      <c r="BZ100" s="54">
        <f t="shared" ca="1" si="804"/>
        <v>0</v>
      </c>
      <c r="CA100" s="54">
        <f t="shared" ca="1" si="804"/>
        <v>0</v>
      </c>
      <c r="CB100" s="54">
        <f t="shared" ca="1" si="804"/>
        <v>0</v>
      </c>
      <c r="CC100" s="54">
        <f t="shared" ca="1" si="804"/>
        <v>0</v>
      </c>
      <c r="CD100" s="54">
        <f t="shared" ca="1" si="804"/>
        <v>0</v>
      </c>
      <c r="CE100" s="54">
        <f t="shared" ca="1" si="804"/>
        <v>0</v>
      </c>
      <c r="CF100" s="54">
        <f t="shared" ca="1" si="804"/>
        <v>0</v>
      </c>
      <c r="CG100" s="54">
        <f t="shared" ca="1" si="804"/>
        <v>0</v>
      </c>
      <c r="CH100" s="54">
        <f t="shared" ca="1" si="804"/>
        <v>0</v>
      </c>
      <c r="CI100" s="54">
        <f t="shared" ca="1" si="804"/>
        <v>0</v>
      </c>
      <c r="CJ100" s="54">
        <f t="shared" ca="1" si="804"/>
        <v>0</v>
      </c>
      <c r="CK100" s="54">
        <f t="shared" ca="1" si="804"/>
        <v>0</v>
      </c>
      <c r="CL100" s="54">
        <f t="shared" ca="1" si="804"/>
        <v>0</v>
      </c>
      <c r="CM100" s="54">
        <f t="shared" ca="1" si="804"/>
        <v>0</v>
      </c>
      <c r="CN100" s="54">
        <f t="shared" ca="1" si="804"/>
        <v>0</v>
      </c>
      <c r="CO100" s="54">
        <f t="shared" ca="1" si="804"/>
        <v>0</v>
      </c>
      <c r="CP100" s="54">
        <f t="shared" ca="1" si="804"/>
        <v>0</v>
      </c>
      <c r="CQ100" s="54">
        <f t="shared" ca="1" si="804"/>
        <v>0</v>
      </c>
      <c r="CR100" s="54">
        <f t="shared" ca="1" si="804"/>
        <v>0</v>
      </c>
      <c r="CS100" s="54">
        <f t="shared" ca="1" si="804"/>
        <v>0</v>
      </c>
      <c r="CT100" s="54">
        <f t="shared" ca="1" si="804"/>
        <v>0</v>
      </c>
      <c r="CU100" s="54">
        <f t="shared" ca="1" si="804"/>
        <v>0</v>
      </c>
      <c r="CV100" s="54">
        <f t="shared" ca="1" si="804"/>
        <v>0</v>
      </c>
      <c r="CW100" s="54">
        <f t="shared" ca="1" si="804"/>
        <v>0</v>
      </c>
      <c r="CX100" s="54">
        <f t="shared" ca="1" si="804"/>
        <v>0</v>
      </c>
      <c r="CY100" s="54">
        <f t="shared" ca="1" si="804"/>
        <v>0</v>
      </c>
      <c r="CZ100" s="54">
        <f t="shared" ca="1" si="804"/>
        <v>0</v>
      </c>
      <c r="DA100" s="54">
        <f t="shared" ca="1" si="804"/>
        <v>0</v>
      </c>
      <c r="DB100" s="54">
        <f t="shared" ca="1" si="804"/>
        <v>0</v>
      </c>
      <c r="DC100" s="54">
        <f t="shared" ca="1" si="804"/>
        <v>0</v>
      </c>
      <c r="DD100" s="54">
        <f t="shared" ca="1" si="804"/>
        <v>0</v>
      </c>
      <c r="DE100" s="54">
        <f t="shared" ca="1" si="804"/>
        <v>0</v>
      </c>
      <c r="DF100" s="54">
        <f t="shared" ca="1" si="804"/>
        <v>0</v>
      </c>
      <c r="DG100" s="54">
        <f t="shared" ca="1" si="804"/>
        <v>0</v>
      </c>
      <c r="DH100" s="54">
        <f t="shared" ca="1" si="804"/>
        <v>0</v>
      </c>
      <c r="DI100" s="54">
        <f t="shared" ca="1" si="804"/>
        <v>0</v>
      </c>
      <c r="DJ100" s="54">
        <f t="shared" ca="1" si="804"/>
        <v>0</v>
      </c>
      <c r="DK100" s="54">
        <f t="shared" ca="1" si="804"/>
        <v>0</v>
      </c>
      <c r="DL100" s="54">
        <f t="shared" ca="1" si="804"/>
        <v>0</v>
      </c>
      <c r="DM100" s="54">
        <f t="shared" ca="1" si="804"/>
        <v>0</v>
      </c>
      <c r="DN100" s="54">
        <f t="shared" ca="1" si="804"/>
        <v>0</v>
      </c>
      <c r="DO100" s="54">
        <f t="shared" ca="1" si="804"/>
        <v>0</v>
      </c>
      <c r="DP100" s="54">
        <f t="shared" ca="1" si="804"/>
        <v>0</v>
      </c>
      <c r="DQ100" s="54">
        <f t="shared" ca="1" si="804"/>
        <v>0</v>
      </c>
      <c r="DR100" s="54">
        <f t="shared" ca="1" si="804"/>
        <v>0</v>
      </c>
      <c r="DS100" s="54">
        <f t="shared" ca="1" si="804"/>
        <v>0</v>
      </c>
      <c r="DT100" s="54">
        <f t="shared" ca="1" si="804"/>
        <v>0</v>
      </c>
      <c r="DU100" s="54">
        <f t="shared" ca="1" si="804"/>
        <v>0</v>
      </c>
      <c r="DV100" s="54">
        <f t="shared" ca="1" si="804"/>
        <v>0</v>
      </c>
      <c r="DW100" s="54">
        <f t="shared" ca="1" si="804"/>
        <v>0</v>
      </c>
      <c r="DX100" s="54">
        <f t="shared" ca="1" si="804"/>
        <v>0</v>
      </c>
      <c r="DY100" s="54">
        <f t="shared" ca="1" si="804"/>
        <v>0</v>
      </c>
      <c r="DZ100" s="54">
        <f t="shared" ca="1" si="804"/>
        <v>0</v>
      </c>
      <c r="EA100" s="54">
        <f t="shared" ca="1" si="804"/>
        <v>0</v>
      </c>
      <c r="EB100" s="54">
        <f t="shared" ref="EB100:GM100" ca="1" si="805">EB99-EA99</f>
        <v>0</v>
      </c>
      <c r="EC100" s="54">
        <f t="shared" ca="1" si="805"/>
        <v>0</v>
      </c>
      <c r="ED100" s="54">
        <f t="shared" ca="1" si="805"/>
        <v>0</v>
      </c>
      <c r="EE100" s="54">
        <f t="shared" ca="1" si="805"/>
        <v>0</v>
      </c>
      <c r="EF100" s="54">
        <f t="shared" ca="1" si="805"/>
        <v>0</v>
      </c>
      <c r="EG100" s="54">
        <f t="shared" ca="1" si="805"/>
        <v>0</v>
      </c>
      <c r="EH100" s="54">
        <f t="shared" ca="1" si="805"/>
        <v>0</v>
      </c>
      <c r="EI100" s="54">
        <f t="shared" ca="1" si="805"/>
        <v>0</v>
      </c>
      <c r="EJ100" s="54">
        <f t="shared" ca="1" si="805"/>
        <v>0</v>
      </c>
      <c r="EK100" s="54">
        <f t="shared" ca="1" si="805"/>
        <v>0</v>
      </c>
      <c r="EL100" s="54">
        <f t="shared" ca="1" si="805"/>
        <v>0</v>
      </c>
      <c r="EM100" s="54">
        <f t="shared" ca="1" si="805"/>
        <v>0</v>
      </c>
      <c r="EN100" s="54">
        <f t="shared" ca="1" si="805"/>
        <v>0</v>
      </c>
      <c r="EO100" s="54">
        <f t="shared" ca="1" si="805"/>
        <v>0</v>
      </c>
      <c r="EP100" s="54">
        <f t="shared" ca="1" si="805"/>
        <v>0</v>
      </c>
      <c r="EQ100" s="54">
        <f t="shared" ca="1" si="805"/>
        <v>0</v>
      </c>
      <c r="ER100" s="54">
        <f t="shared" ca="1" si="805"/>
        <v>0</v>
      </c>
      <c r="ES100" s="54">
        <f t="shared" ca="1" si="805"/>
        <v>0</v>
      </c>
      <c r="ET100" s="54">
        <f t="shared" ca="1" si="805"/>
        <v>0</v>
      </c>
      <c r="EU100" s="54">
        <f t="shared" ca="1" si="805"/>
        <v>0</v>
      </c>
      <c r="EV100" s="54">
        <f t="shared" ca="1" si="805"/>
        <v>0</v>
      </c>
      <c r="EW100" s="54">
        <f t="shared" ca="1" si="805"/>
        <v>0</v>
      </c>
      <c r="EX100" s="54">
        <f t="shared" ca="1" si="805"/>
        <v>0</v>
      </c>
      <c r="EY100" s="54">
        <f t="shared" ca="1" si="805"/>
        <v>0</v>
      </c>
      <c r="EZ100" s="54">
        <f t="shared" ca="1" si="805"/>
        <v>0</v>
      </c>
      <c r="FA100" s="54">
        <f t="shared" ca="1" si="805"/>
        <v>0</v>
      </c>
      <c r="FB100" s="54">
        <f t="shared" ca="1" si="805"/>
        <v>0</v>
      </c>
      <c r="FC100" s="54">
        <f t="shared" ca="1" si="805"/>
        <v>0</v>
      </c>
      <c r="FD100" s="54">
        <f t="shared" ca="1" si="805"/>
        <v>0</v>
      </c>
      <c r="FE100" s="54">
        <f t="shared" ca="1" si="805"/>
        <v>0</v>
      </c>
      <c r="FF100" s="54">
        <f t="shared" ca="1" si="805"/>
        <v>0</v>
      </c>
      <c r="FG100" s="54">
        <f t="shared" ca="1" si="805"/>
        <v>0</v>
      </c>
      <c r="FH100" s="54">
        <f t="shared" ca="1" si="805"/>
        <v>0</v>
      </c>
      <c r="FI100" s="54">
        <f t="shared" ca="1" si="805"/>
        <v>0</v>
      </c>
      <c r="FJ100" s="54">
        <f t="shared" ca="1" si="805"/>
        <v>0</v>
      </c>
      <c r="FK100" s="54">
        <f t="shared" ca="1" si="805"/>
        <v>0</v>
      </c>
      <c r="FL100" s="54">
        <f t="shared" ca="1" si="805"/>
        <v>0</v>
      </c>
      <c r="FM100" s="54">
        <f t="shared" ca="1" si="805"/>
        <v>0</v>
      </c>
      <c r="FN100" s="54">
        <f t="shared" ca="1" si="805"/>
        <v>0</v>
      </c>
      <c r="FO100" s="54">
        <f t="shared" ca="1" si="805"/>
        <v>0</v>
      </c>
      <c r="FP100" s="54">
        <f t="shared" ca="1" si="805"/>
        <v>0</v>
      </c>
      <c r="FQ100" s="54">
        <f t="shared" ca="1" si="805"/>
        <v>0</v>
      </c>
      <c r="FR100" s="54">
        <f t="shared" ca="1" si="805"/>
        <v>0</v>
      </c>
      <c r="FS100" s="54">
        <f t="shared" ca="1" si="805"/>
        <v>0</v>
      </c>
      <c r="FT100" s="54">
        <f t="shared" ca="1" si="805"/>
        <v>0</v>
      </c>
      <c r="FU100" s="54">
        <f t="shared" ca="1" si="805"/>
        <v>0</v>
      </c>
      <c r="FV100" s="54">
        <f t="shared" ca="1" si="805"/>
        <v>0</v>
      </c>
      <c r="FW100" s="54">
        <f t="shared" ca="1" si="805"/>
        <v>0</v>
      </c>
      <c r="FX100" s="54">
        <f t="shared" ca="1" si="805"/>
        <v>0</v>
      </c>
      <c r="FY100" s="54">
        <f t="shared" ca="1" si="805"/>
        <v>0</v>
      </c>
      <c r="FZ100" s="54">
        <f t="shared" ca="1" si="805"/>
        <v>0</v>
      </c>
      <c r="GA100" s="54">
        <f t="shared" ca="1" si="805"/>
        <v>0</v>
      </c>
      <c r="GB100" s="54">
        <f t="shared" ca="1" si="805"/>
        <v>0</v>
      </c>
      <c r="GC100" s="54">
        <f t="shared" ca="1" si="805"/>
        <v>0</v>
      </c>
      <c r="GD100" s="54">
        <f t="shared" ca="1" si="805"/>
        <v>0</v>
      </c>
      <c r="GE100" s="54">
        <f t="shared" ca="1" si="805"/>
        <v>0</v>
      </c>
      <c r="GF100" s="54">
        <f t="shared" ca="1" si="805"/>
        <v>0</v>
      </c>
      <c r="GG100" s="54">
        <f t="shared" ca="1" si="805"/>
        <v>0</v>
      </c>
      <c r="GH100" s="54">
        <f t="shared" ca="1" si="805"/>
        <v>0</v>
      </c>
      <c r="GI100" s="54">
        <f t="shared" ca="1" si="805"/>
        <v>0</v>
      </c>
      <c r="GJ100" s="54">
        <f t="shared" ca="1" si="805"/>
        <v>0</v>
      </c>
      <c r="GK100" s="54">
        <f t="shared" ca="1" si="805"/>
        <v>0</v>
      </c>
      <c r="GL100" s="54">
        <f t="shared" ca="1" si="805"/>
        <v>0</v>
      </c>
      <c r="GM100" s="54">
        <f t="shared" ca="1" si="805"/>
        <v>0</v>
      </c>
      <c r="GN100" s="54">
        <f t="shared" ref="GN100:IY100" ca="1" si="806">GN99-GM99</f>
        <v>0</v>
      </c>
      <c r="GO100" s="54">
        <f t="shared" ca="1" si="806"/>
        <v>0</v>
      </c>
      <c r="GP100" s="54">
        <f t="shared" ca="1" si="806"/>
        <v>0</v>
      </c>
      <c r="GQ100" s="54">
        <f t="shared" ca="1" si="806"/>
        <v>0</v>
      </c>
      <c r="GR100" s="54">
        <f t="shared" ca="1" si="806"/>
        <v>0</v>
      </c>
      <c r="GS100" s="54">
        <f t="shared" ca="1" si="806"/>
        <v>0</v>
      </c>
      <c r="GT100" s="54">
        <f t="shared" ca="1" si="806"/>
        <v>0</v>
      </c>
      <c r="GU100" s="54">
        <f t="shared" ca="1" si="806"/>
        <v>0</v>
      </c>
      <c r="GV100" s="54">
        <f t="shared" ca="1" si="806"/>
        <v>0</v>
      </c>
      <c r="GW100" s="54">
        <f t="shared" ca="1" si="806"/>
        <v>0</v>
      </c>
      <c r="GX100" s="54">
        <f t="shared" ca="1" si="806"/>
        <v>0</v>
      </c>
      <c r="GY100" s="54">
        <f t="shared" ca="1" si="806"/>
        <v>0</v>
      </c>
      <c r="GZ100" s="54">
        <f t="shared" ca="1" si="806"/>
        <v>0</v>
      </c>
      <c r="HA100" s="54">
        <f t="shared" ca="1" si="806"/>
        <v>0</v>
      </c>
      <c r="HB100" s="54">
        <f t="shared" ca="1" si="806"/>
        <v>0</v>
      </c>
      <c r="HC100" s="54">
        <f t="shared" ca="1" si="806"/>
        <v>0</v>
      </c>
      <c r="HD100" s="54">
        <f t="shared" ca="1" si="806"/>
        <v>0</v>
      </c>
      <c r="HE100" s="54">
        <f t="shared" ca="1" si="806"/>
        <v>0</v>
      </c>
      <c r="HF100" s="54">
        <f t="shared" ca="1" si="806"/>
        <v>0</v>
      </c>
      <c r="HG100" s="54">
        <f t="shared" ca="1" si="806"/>
        <v>0</v>
      </c>
      <c r="HH100" s="54">
        <f t="shared" ca="1" si="806"/>
        <v>0</v>
      </c>
      <c r="HI100" s="54">
        <f t="shared" ca="1" si="806"/>
        <v>0</v>
      </c>
      <c r="HJ100" s="54">
        <f t="shared" ca="1" si="806"/>
        <v>0</v>
      </c>
      <c r="HK100" s="54">
        <f t="shared" ca="1" si="806"/>
        <v>0</v>
      </c>
      <c r="HL100" s="54">
        <f t="shared" ca="1" si="806"/>
        <v>0</v>
      </c>
      <c r="HM100" s="54">
        <f t="shared" ca="1" si="806"/>
        <v>0</v>
      </c>
      <c r="HN100" s="54">
        <f t="shared" ca="1" si="806"/>
        <v>0</v>
      </c>
      <c r="HO100" s="54">
        <f t="shared" ca="1" si="806"/>
        <v>0</v>
      </c>
      <c r="HP100" s="54">
        <f t="shared" ca="1" si="806"/>
        <v>0</v>
      </c>
      <c r="HQ100" s="54">
        <f t="shared" ca="1" si="806"/>
        <v>0</v>
      </c>
      <c r="HR100" s="54">
        <f t="shared" ca="1" si="806"/>
        <v>0</v>
      </c>
      <c r="HS100" s="54">
        <f t="shared" ca="1" si="806"/>
        <v>0</v>
      </c>
      <c r="HT100" s="54">
        <f t="shared" ca="1" si="806"/>
        <v>0</v>
      </c>
      <c r="HU100" s="54">
        <f t="shared" ca="1" si="806"/>
        <v>0</v>
      </c>
      <c r="HV100" s="54">
        <f t="shared" ca="1" si="806"/>
        <v>0</v>
      </c>
      <c r="HW100" s="54">
        <f t="shared" ca="1" si="806"/>
        <v>0</v>
      </c>
      <c r="HX100" s="54">
        <f t="shared" ca="1" si="806"/>
        <v>0</v>
      </c>
      <c r="HY100" s="54">
        <f t="shared" ca="1" si="806"/>
        <v>0</v>
      </c>
      <c r="HZ100" s="54">
        <f t="shared" ca="1" si="806"/>
        <v>0</v>
      </c>
      <c r="IA100" s="54">
        <f t="shared" ca="1" si="806"/>
        <v>0</v>
      </c>
      <c r="IB100" s="54">
        <f t="shared" ca="1" si="806"/>
        <v>0</v>
      </c>
      <c r="IC100" s="54">
        <f t="shared" ca="1" si="806"/>
        <v>0</v>
      </c>
      <c r="ID100" s="54">
        <f t="shared" ca="1" si="806"/>
        <v>0</v>
      </c>
      <c r="IE100" s="54">
        <f t="shared" ca="1" si="806"/>
        <v>0</v>
      </c>
      <c r="IF100" s="54">
        <f t="shared" ca="1" si="806"/>
        <v>0</v>
      </c>
      <c r="IG100" s="54">
        <f t="shared" ca="1" si="806"/>
        <v>0</v>
      </c>
      <c r="IH100" s="54">
        <f t="shared" ca="1" si="806"/>
        <v>0</v>
      </c>
      <c r="II100" s="54">
        <f t="shared" ca="1" si="806"/>
        <v>0</v>
      </c>
      <c r="IJ100" s="54">
        <f t="shared" ca="1" si="806"/>
        <v>0</v>
      </c>
      <c r="IK100" s="54">
        <f t="shared" ca="1" si="806"/>
        <v>0</v>
      </c>
      <c r="IL100" s="54">
        <f t="shared" ca="1" si="806"/>
        <v>0</v>
      </c>
      <c r="IM100" s="54">
        <f t="shared" ca="1" si="806"/>
        <v>0</v>
      </c>
      <c r="IN100" s="54">
        <f t="shared" ca="1" si="806"/>
        <v>0</v>
      </c>
      <c r="IO100" s="54">
        <f t="shared" ca="1" si="806"/>
        <v>0</v>
      </c>
      <c r="IP100" s="54">
        <f t="shared" ca="1" si="806"/>
        <v>0</v>
      </c>
      <c r="IQ100" s="54">
        <f t="shared" ca="1" si="806"/>
        <v>0</v>
      </c>
      <c r="IR100" s="54">
        <f t="shared" ca="1" si="806"/>
        <v>0</v>
      </c>
      <c r="IS100" s="54">
        <f t="shared" ca="1" si="806"/>
        <v>0</v>
      </c>
      <c r="IT100" s="54">
        <f t="shared" ca="1" si="806"/>
        <v>0</v>
      </c>
      <c r="IU100" s="54">
        <f t="shared" ca="1" si="806"/>
        <v>0</v>
      </c>
      <c r="IV100" s="54">
        <f t="shared" ca="1" si="806"/>
        <v>0</v>
      </c>
      <c r="IW100" s="54">
        <f t="shared" ca="1" si="806"/>
        <v>0</v>
      </c>
      <c r="IX100" s="54">
        <f t="shared" ca="1" si="806"/>
        <v>0</v>
      </c>
      <c r="IY100" s="54">
        <f t="shared" ca="1" si="806"/>
        <v>0</v>
      </c>
      <c r="IZ100" s="54">
        <f t="shared" ref="IZ100:KB100" ca="1" si="807">IZ99-IY99</f>
        <v>0</v>
      </c>
      <c r="JA100" s="54">
        <f t="shared" ca="1" si="807"/>
        <v>0</v>
      </c>
      <c r="JB100" s="54">
        <f t="shared" ca="1" si="807"/>
        <v>0</v>
      </c>
      <c r="JC100" s="54">
        <f t="shared" ca="1" si="807"/>
        <v>0</v>
      </c>
      <c r="JD100" s="54">
        <f t="shared" ca="1" si="807"/>
        <v>0</v>
      </c>
      <c r="JE100" s="54">
        <f t="shared" ca="1" si="807"/>
        <v>0</v>
      </c>
      <c r="JF100" s="54">
        <f t="shared" ca="1" si="807"/>
        <v>0</v>
      </c>
      <c r="JG100" s="54">
        <f t="shared" ca="1" si="807"/>
        <v>0</v>
      </c>
      <c r="JH100" s="54">
        <f t="shared" ca="1" si="807"/>
        <v>0</v>
      </c>
      <c r="JI100" s="54">
        <f t="shared" ca="1" si="807"/>
        <v>0</v>
      </c>
      <c r="JJ100" s="54">
        <f t="shared" ca="1" si="807"/>
        <v>0</v>
      </c>
      <c r="JK100" s="54">
        <f t="shared" ca="1" si="807"/>
        <v>0</v>
      </c>
      <c r="JL100" s="54">
        <f t="shared" ca="1" si="807"/>
        <v>0</v>
      </c>
      <c r="JM100" s="54">
        <f t="shared" ca="1" si="807"/>
        <v>0</v>
      </c>
      <c r="JN100" s="54">
        <f t="shared" ca="1" si="807"/>
        <v>0</v>
      </c>
      <c r="JO100" s="54">
        <f t="shared" ca="1" si="807"/>
        <v>0</v>
      </c>
      <c r="JP100" s="54">
        <f t="shared" ca="1" si="807"/>
        <v>0</v>
      </c>
      <c r="JQ100" s="54">
        <f t="shared" ca="1" si="807"/>
        <v>0</v>
      </c>
      <c r="JR100" s="54">
        <f t="shared" ca="1" si="807"/>
        <v>0</v>
      </c>
      <c r="JS100" s="54">
        <f t="shared" ca="1" si="807"/>
        <v>0</v>
      </c>
      <c r="JT100" s="54">
        <f t="shared" ca="1" si="807"/>
        <v>0</v>
      </c>
      <c r="JU100" s="54">
        <f t="shared" ca="1" si="807"/>
        <v>0</v>
      </c>
      <c r="JV100" s="54">
        <f t="shared" ca="1" si="807"/>
        <v>0</v>
      </c>
      <c r="JW100" s="54">
        <f t="shared" ca="1" si="807"/>
        <v>0</v>
      </c>
      <c r="JX100" s="54">
        <f t="shared" ca="1" si="807"/>
        <v>0</v>
      </c>
      <c r="JY100" s="54">
        <f t="shared" ca="1" si="807"/>
        <v>0</v>
      </c>
      <c r="JZ100" s="54">
        <f t="shared" ca="1" si="807"/>
        <v>0</v>
      </c>
      <c r="KA100" s="54">
        <f t="shared" ca="1" si="807"/>
        <v>0</v>
      </c>
      <c r="KB100" s="54">
        <f t="shared" ca="1" si="807"/>
        <v>0</v>
      </c>
    </row>
    <row r="101" spans="1:288" x14ac:dyDescent="0.3">
      <c r="A101" s="169" t="s">
        <v>12</v>
      </c>
      <c r="B101" s="39"/>
      <c r="C101" s="258"/>
      <c r="D101" s="258"/>
      <c r="E101" s="258"/>
      <c r="F101" s="258"/>
      <c r="G101" s="258"/>
      <c r="H101" s="258"/>
      <c r="I101" s="258"/>
      <c r="J101" s="258"/>
      <c r="K101" s="258"/>
      <c r="L101" s="258"/>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c r="BB101" s="258"/>
      <c r="BC101" s="258"/>
      <c r="BD101" s="258"/>
      <c r="BE101" s="258"/>
      <c r="BF101" s="258"/>
      <c r="BG101" s="258"/>
      <c r="BH101" s="258"/>
      <c r="BI101" s="258"/>
      <c r="BJ101" s="258"/>
      <c r="BK101" s="258"/>
      <c r="BL101" s="258"/>
      <c r="BM101" s="258"/>
      <c r="BN101" s="258"/>
      <c r="BO101" s="258"/>
      <c r="BP101" s="258"/>
      <c r="BQ101" s="258"/>
      <c r="BR101" s="258"/>
      <c r="BS101" s="258"/>
      <c r="BT101" s="258"/>
      <c r="BU101" s="258"/>
      <c r="BV101" s="258"/>
      <c r="BW101" s="258"/>
      <c r="BX101" s="258"/>
      <c r="BY101" s="258"/>
      <c r="BZ101" s="258"/>
      <c r="CA101" s="258"/>
      <c r="CB101" s="258"/>
      <c r="CC101" s="258"/>
      <c r="CD101" s="258"/>
      <c r="CE101" s="258"/>
      <c r="CF101" s="258"/>
      <c r="CG101" s="258"/>
      <c r="CH101" s="258"/>
      <c r="CI101" s="258"/>
      <c r="CJ101" s="258"/>
      <c r="CK101" s="258"/>
      <c r="CL101" s="258"/>
      <c r="CM101" s="258"/>
      <c r="CN101" s="258"/>
      <c r="CO101" s="258"/>
      <c r="CP101" s="258"/>
      <c r="CQ101" s="258"/>
      <c r="CR101" s="258"/>
      <c r="CS101" s="258"/>
      <c r="CT101" s="258"/>
      <c r="CU101" s="258"/>
      <c r="CV101" s="258"/>
      <c r="CW101" s="258"/>
      <c r="CX101" s="258"/>
      <c r="CY101" s="258"/>
      <c r="CZ101" s="258"/>
      <c r="DA101" s="258"/>
      <c r="DB101" s="258"/>
      <c r="DC101" s="258"/>
      <c r="DD101" s="258"/>
      <c r="DE101" s="258"/>
      <c r="DF101" s="258"/>
      <c r="DG101" s="258"/>
      <c r="DH101" s="258"/>
      <c r="DI101" s="258"/>
      <c r="DJ101" s="258"/>
      <c r="DK101" s="258"/>
      <c r="DL101" s="258"/>
      <c r="DM101" s="258"/>
      <c r="DN101" s="258"/>
      <c r="DO101" s="258"/>
      <c r="DP101" s="258"/>
      <c r="DQ101" s="258"/>
      <c r="DR101" s="258"/>
      <c r="DS101" s="258"/>
      <c r="DT101" s="258"/>
      <c r="DU101" s="258"/>
      <c r="DV101" s="258"/>
      <c r="DW101" s="258"/>
      <c r="DX101" s="258"/>
      <c r="DY101" s="258"/>
      <c r="DZ101" s="258"/>
      <c r="EA101" s="258"/>
      <c r="EB101" s="258"/>
      <c r="EC101" s="258"/>
      <c r="ED101" s="258"/>
      <c r="EE101" s="258"/>
      <c r="EF101" s="258"/>
      <c r="EG101" s="258"/>
      <c r="EH101" s="258"/>
      <c r="EI101" s="258"/>
      <c r="EJ101" s="258"/>
      <c r="EK101" s="258"/>
      <c r="EL101" s="258"/>
      <c r="EM101" s="258"/>
      <c r="EN101" s="258"/>
      <c r="EO101" s="258"/>
      <c r="EP101" s="258"/>
      <c r="EQ101" s="258"/>
      <c r="ER101" s="258"/>
      <c r="ES101" s="258"/>
      <c r="ET101" s="258"/>
      <c r="EU101" s="258"/>
      <c r="EV101" s="258"/>
      <c r="EW101" s="258"/>
      <c r="EX101" s="258"/>
      <c r="EY101" s="258"/>
      <c r="EZ101" s="258"/>
      <c r="FA101" s="258"/>
      <c r="FB101" s="258"/>
      <c r="FC101" s="258"/>
      <c r="FD101" s="258"/>
      <c r="FE101" s="258"/>
      <c r="FF101" s="258"/>
      <c r="FG101" s="258"/>
      <c r="FH101" s="258"/>
      <c r="FI101" s="258"/>
      <c r="FJ101" s="258"/>
      <c r="FK101" s="258"/>
      <c r="FL101" s="258"/>
      <c r="FM101" s="258"/>
      <c r="FN101" s="258"/>
      <c r="FO101" s="258"/>
      <c r="FP101" s="258"/>
      <c r="FQ101" s="258"/>
      <c r="FR101" s="258"/>
      <c r="FS101" s="258"/>
      <c r="FT101" s="258"/>
      <c r="FU101" s="258"/>
      <c r="FV101" s="258"/>
      <c r="FW101" s="258"/>
      <c r="FX101" s="258"/>
      <c r="FY101" s="258"/>
      <c r="FZ101" s="258"/>
      <c r="GA101" s="258"/>
      <c r="GB101" s="258"/>
      <c r="GC101" s="258"/>
      <c r="GD101" s="258"/>
      <c r="GE101" s="258"/>
      <c r="GF101" s="258"/>
      <c r="GG101" s="258"/>
      <c r="GH101" s="258"/>
      <c r="GI101" s="258"/>
      <c r="GJ101" s="258"/>
      <c r="GK101" s="258"/>
      <c r="GL101" s="258"/>
      <c r="GM101" s="258"/>
      <c r="GN101" s="258"/>
      <c r="GO101" s="258"/>
      <c r="GP101" s="258"/>
      <c r="GQ101" s="258"/>
      <c r="GR101" s="258"/>
      <c r="GS101" s="258"/>
      <c r="GT101" s="258"/>
      <c r="GU101" s="258"/>
      <c r="GV101" s="258"/>
      <c r="GW101" s="258"/>
      <c r="GX101" s="258"/>
      <c r="GY101" s="258"/>
      <c r="GZ101" s="258"/>
      <c r="HA101" s="258"/>
      <c r="HB101" s="258"/>
      <c r="HC101" s="258"/>
      <c r="HD101" s="258"/>
      <c r="HE101" s="258"/>
      <c r="HF101" s="258"/>
      <c r="HG101" s="258"/>
      <c r="HH101" s="258"/>
      <c r="HI101" s="258"/>
      <c r="HJ101" s="258"/>
      <c r="HK101" s="258"/>
      <c r="HL101" s="258"/>
      <c r="HM101" s="258"/>
      <c r="HN101" s="258"/>
      <c r="HO101" s="258"/>
      <c r="HP101" s="258"/>
      <c r="HQ101" s="258"/>
      <c r="HR101" s="258"/>
      <c r="HS101" s="258"/>
      <c r="HT101" s="258"/>
      <c r="HU101" s="258"/>
      <c r="HV101" s="258"/>
      <c r="HW101" s="258"/>
      <c r="HX101" s="258"/>
      <c r="HY101" s="258"/>
      <c r="HZ101" s="258"/>
      <c r="IA101" s="258"/>
      <c r="IB101" s="258"/>
      <c r="IC101" s="258"/>
      <c r="ID101" s="258"/>
      <c r="IE101" s="258"/>
      <c r="IF101" s="258"/>
      <c r="IG101" s="258"/>
      <c r="IH101" s="258"/>
      <c r="II101" s="258"/>
      <c r="IJ101" s="258"/>
      <c r="IK101" s="258"/>
      <c r="IL101" s="258"/>
      <c r="IM101" s="258"/>
      <c r="IN101" s="258"/>
      <c r="IO101" s="258"/>
      <c r="IP101" s="258"/>
      <c r="IQ101" s="258"/>
      <c r="IR101" s="258"/>
      <c r="IS101" s="258"/>
      <c r="IT101" s="258"/>
      <c r="IU101" s="258"/>
      <c r="IV101" s="258"/>
      <c r="IW101" s="258"/>
      <c r="IX101" s="258"/>
      <c r="IY101" s="258"/>
      <c r="IZ101" s="258"/>
      <c r="JA101" s="258"/>
      <c r="JB101" s="258"/>
      <c r="JC101" s="258"/>
      <c r="JD101" s="258"/>
      <c r="JE101" s="258"/>
      <c r="JF101" s="258"/>
      <c r="JG101" s="258"/>
      <c r="JH101" s="258"/>
      <c r="JI101" s="258"/>
      <c r="JJ101" s="258"/>
      <c r="JK101" s="258"/>
      <c r="JL101" s="258"/>
      <c r="JM101" s="258"/>
      <c r="JN101" s="258"/>
      <c r="JO101" s="258"/>
      <c r="JP101" s="258"/>
      <c r="JQ101" s="258"/>
      <c r="JR101" s="258"/>
      <c r="JS101" s="258"/>
      <c r="JT101" s="258"/>
      <c r="JU101" s="258"/>
      <c r="JV101" s="258"/>
      <c r="JW101" s="258"/>
      <c r="JX101" s="258"/>
      <c r="JY101" s="258"/>
      <c r="JZ101" s="258"/>
      <c r="KA101" s="258"/>
      <c r="KB101" s="258"/>
    </row>
    <row r="102" spans="1:288" x14ac:dyDescent="0.3">
      <c r="A102" s="169"/>
      <c r="B102" s="39"/>
    </row>
    <row r="103" spans="1:288" x14ac:dyDescent="0.3">
      <c r="A103" s="291" t="s">
        <v>277</v>
      </c>
      <c r="B103" s="39"/>
      <c r="C103" s="258">
        <f ca="1">IF((-C39-$B$95)&gt;$B$104,$B$104,-C39-$B$95)</f>
        <v>0</v>
      </c>
      <c r="D103" s="258">
        <f ca="1">IF((-D39-$B$95)&gt;$B$104,$B$104,-D39-$B$95)-D98</f>
        <v>6.8097661006957679</v>
      </c>
      <c r="E103" s="258">
        <f t="shared" ref="E103:BP103" ca="1" si="808">IF((-E39-$B$95)&gt;$B$104,$B$104,-E39-$B$95)-E98</f>
        <v>15.280406327519273</v>
      </c>
      <c r="F103" s="258">
        <f t="shared" ca="1" si="808"/>
        <v>21.263761110233901</v>
      </c>
      <c r="G103" s="258">
        <f t="shared" ca="1" si="808"/>
        <v>27.294923659833358</v>
      </c>
      <c r="H103" s="258">
        <f t="shared" ca="1" si="808"/>
        <v>33.374275966464907</v>
      </c>
      <c r="I103" s="258">
        <f t="shared" ca="1" si="808"/>
        <v>39.502203072425729</v>
      </c>
      <c r="J103" s="258">
        <f t="shared" ca="1" si="808"/>
        <v>45.679093096550005</v>
      </c>
      <c r="K103" s="258">
        <f t="shared" ca="1" si="808"/>
        <v>51.929737191247767</v>
      </c>
      <c r="L103" s="258">
        <f t="shared" ca="1" si="808"/>
        <v>58.153333333333343</v>
      </c>
      <c r="M103" s="258">
        <f t="shared" ca="1" si="808"/>
        <v>58.153333333333343</v>
      </c>
      <c r="N103" s="258">
        <f t="shared" ca="1" si="808"/>
        <v>58.153333333333343</v>
      </c>
      <c r="O103" s="258">
        <f t="shared" ca="1" si="808"/>
        <v>58.153333333333343</v>
      </c>
      <c r="P103" s="258">
        <f t="shared" ca="1" si="808"/>
        <v>58.153333333333343</v>
      </c>
      <c r="Q103" s="258">
        <f t="shared" ca="1" si="808"/>
        <v>58.153333333333343</v>
      </c>
      <c r="R103" s="258">
        <f t="shared" ca="1" si="808"/>
        <v>58.153333333333343</v>
      </c>
      <c r="S103" s="258">
        <f t="shared" ca="1" si="808"/>
        <v>58.153333333333343</v>
      </c>
      <c r="T103" s="258">
        <f t="shared" ca="1" si="808"/>
        <v>58.153333333333343</v>
      </c>
      <c r="U103" s="258">
        <f t="shared" ca="1" si="808"/>
        <v>58.153333333333343</v>
      </c>
      <c r="V103" s="258">
        <f t="shared" ca="1" si="808"/>
        <v>58.153333333333343</v>
      </c>
      <c r="W103" s="258">
        <f t="shared" ca="1" si="808"/>
        <v>58.153333333333343</v>
      </c>
      <c r="X103" s="258">
        <f t="shared" ca="1" si="808"/>
        <v>58.153333333333343</v>
      </c>
      <c r="Y103" s="258">
        <f t="shared" ca="1" si="808"/>
        <v>58.153333333333343</v>
      </c>
      <c r="Z103" s="258">
        <f t="shared" ca="1" si="808"/>
        <v>58.153333333333343</v>
      </c>
      <c r="AA103" s="258">
        <f t="shared" ca="1" si="808"/>
        <v>58.153333333333343</v>
      </c>
      <c r="AB103" s="258">
        <f t="shared" ca="1" si="808"/>
        <v>58.153333333333343</v>
      </c>
      <c r="AC103" s="258">
        <f t="shared" ca="1" si="808"/>
        <v>58.153333333333343</v>
      </c>
      <c r="AD103" s="258">
        <f t="shared" ca="1" si="808"/>
        <v>58.153333333333343</v>
      </c>
      <c r="AE103" s="258">
        <f t="shared" ca="1" si="808"/>
        <v>58.153333333333343</v>
      </c>
      <c r="AF103" s="258">
        <f t="shared" ca="1" si="808"/>
        <v>58.153333333333343</v>
      </c>
      <c r="AG103" s="258">
        <f t="shared" ca="1" si="808"/>
        <v>58.153333333333343</v>
      </c>
      <c r="AH103" s="258">
        <f t="shared" ca="1" si="808"/>
        <v>58.153333333333343</v>
      </c>
      <c r="AI103" s="258">
        <f t="shared" ca="1" si="808"/>
        <v>58.153333333333343</v>
      </c>
      <c r="AJ103" s="258">
        <f t="shared" ca="1" si="808"/>
        <v>58.153333333333343</v>
      </c>
      <c r="AK103" s="258">
        <f t="shared" ca="1" si="808"/>
        <v>58.153333333333343</v>
      </c>
      <c r="AL103" s="258">
        <f t="shared" ca="1" si="808"/>
        <v>58.153333333333343</v>
      </c>
      <c r="AM103" s="258">
        <f t="shared" ca="1" si="808"/>
        <v>58.153333333333343</v>
      </c>
      <c r="AN103" s="258">
        <f t="shared" ca="1" si="808"/>
        <v>58.153333333333343</v>
      </c>
      <c r="AO103" s="258">
        <f t="shared" ca="1" si="808"/>
        <v>58.153333333333343</v>
      </c>
      <c r="AP103" s="258">
        <f t="shared" ca="1" si="808"/>
        <v>58.153333333333343</v>
      </c>
      <c r="AQ103" s="258">
        <f t="shared" ca="1" si="808"/>
        <v>58.153333333333343</v>
      </c>
      <c r="AR103" s="258">
        <f t="shared" ca="1" si="808"/>
        <v>58.153333333333343</v>
      </c>
      <c r="AS103" s="258">
        <f t="shared" ca="1" si="808"/>
        <v>58.153333333333343</v>
      </c>
      <c r="AT103" s="258">
        <f t="shared" ca="1" si="808"/>
        <v>58.153333333333343</v>
      </c>
      <c r="AU103" s="258">
        <f t="shared" ca="1" si="808"/>
        <v>58.153333333333343</v>
      </c>
      <c r="AV103" s="258">
        <f t="shared" ca="1" si="808"/>
        <v>58.153333333333343</v>
      </c>
      <c r="AW103" s="258">
        <f t="shared" ca="1" si="808"/>
        <v>58.153333333333343</v>
      </c>
      <c r="AX103" s="258">
        <f t="shared" ca="1" si="808"/>
        <v>58.153333333333343</v>
      </c>
      <c r="AY103" s="258">
        <f t="shared" ca="1" si="808"/>
        <v>58.153333333333343</v>
      </c>
      <c r="AZ103" s="258">
        <f t="shared" ca="1" si="808"/>
        <v>58.153333333333343</v>
      </c>
      <c r="BA103" s="258">
        <f t="shared" ca="1" si="808"/>
        <v>58.153333333333343</v>
      </c>
      <c r="BB103" s="258">
        <f t="shared" ca="1" si="808"/>
        <v>58.153333333333343</v>
      </c>
      <c r="BC103" s="258">
        <f t="shared" ca="1" si="808"/>
        <v>58.153333333333343</v>
      </c>
      <c r="BD103" s="258">
        <f t="shared" ca="1" si="808"/>
        <v>58.153333333333343</v>
      </c>
      <c r="BE103" s="258">
        <f ca="1">IF((-BE39-$B$95)&gt;$B$104,$B$104,-BE39-$B$95)</f>
        <v>58.153333333333343</v>
      </c>
      <c r="BF103" s="258">
        <f t="shared" ca="1" si="808"/>
        <v>58.153333333333343</v>
      </c>
      <c r="BG103" s="258">
        <f t="shared" ca="1" si="808"/>
        <v>58.153333333333343</v>
      </c>
      <c r="BH103" s="258">
        <f t="shared" ca="1" si="808"/>
        <v>58.153333333333343</v>
      </c>
      <c r="BI103" s="258">
        <f t="shared" ca="1" si="808"/>
        <v>58.153333333333343</v>
      </c>
      <c r="BJ103" s="258">
        <f t="shared" ca="1" si="808"/>
        <v>58.153333333333343</v>
      </c>
      <c r="BK103" s="258">
        <f t="shared" ca="1" si="808"/>
        <v>58.153333333333343</v>
      </c>
      <c r="BL103" s="258">
        <f t="shared" ca="1" si="808"/>
        <v>58.153333333333343</v>
      </c>
      <c r="BM103" s="258">
        <f t="shared" ca="1" si="808"/>
        <v>58.153333333333343</v>
      </c>
      <c r="BN103" s="258">
        <f t="shared" ca="1" si="808"/>
        <v>58.153333333333343</v>
      </c>
      <c r="BO103" s="258">
        <f t="shared" ca="1" si="808"/>
        <v>58.153333333333343</v>
      </c>
      <c r="BP103" s="258">
        <f t="shared" ca="1" si="808"/>
        <v>58.153333333333343</v>
      </c>
      <c r="BQ103" s="258">
        <f t="shared" ref="BQ103:EB103" ca="1" si="809">IF((-BQ39-$B$95)&gt;$B$104,$B$104,-BQ39-$B$95)-BQ98</f>
        <v>58.153333333333343</v>
      </c>
      <c r="BR103" s="258">
        <f t="shared" ca="1" si="809"/>
        <v>58.153333333333343</v>
      </c>
      <c r="BS103" s="258">
        <f t="shared" ca="1" si="809"/>
        <v>58.153333333333343</v>
      </c>
      <c r="BT103" s="258">
        <f t="shared" ca="1" si="809"/>
        <v>58.153333333333343</v>
      </c>
      <c r="BU103" s="258">
        <f t="shared" ca="1" si="809"/>
        <v>58.153333333333343</v>
      </c>
      <c r="BV103" s="258">
        <f t="shared" ca="1" si="809"/>
        <v>58.153333333333343</v>
      </c>
      <c r="BW103" s="258">
        <f t="shared" ca="1" si="809"/>
        <v>58.153333333333343</v>
      </c>
      <c r="BX103" s="258">
        <f t="shared" ca="1" si="809"/>
        <v>58.153333333333343</v>
      </c>
      <c r="BY103" s="258">
        <f t="shared" ca="1" si="809"/>
        <v>58.153333333333343</v>
      </c>
      <c r="BZ103" s="258">
        <f t="shared" ca="1" si="809"/>
        <v>58.153333333333343</v>
      </c>
      <c r="CA103" s="258">
        <f t="shared" ca="1" si="809"/>
        <v>58.153333333333343</v>
      </c>
      <c r="CB103" s="258">
        <f t="shared" ca="1" si="809"/>
        <v>58.153333333333343</v>
      </c>
      <c r="CC103" s="258">
        <f t="shared" ca="1" si="809"/>
        <v>58.153333333333343</v>
      </c>
      <c r="CD103" s="258">
        <f t="shared" ca="1" si="809"/>
        <v>58.153333333333343</v>
      </c>
      <c r="CE103" s="258">
        <f t="shared" ca="1" si="809"/>
        <v>58.153333333333343</v>
      </c>
      <c r="CF103" s="258">
        <f t="shared" ca="1" si="809"/>
        <v>58.153333333333343</v>
      </c>
      <c r="CG103" s="258">
        <f t="shared" ca="1" si="809"/>
        <v>58.153333333333343</v>
      </c>
      <c r="CH103" s="258">
        <f t="shared" ca="1" si="809"/>
        <v>58.153333333333343</v>
      </c>
      <c r="CI103" s="258">
        <f t="shared" ca="1" si="809"/>
        <v>58.153333333333343</v>
      </c>
      <c r="CJ103" s="258">
        <f t="shared" ca="1" si="809"/>
        <v>58.153333333333343</v>
      </c>
      <c r="CK103" s="258">
        <f t="shared" ca="1" si="809"/>
        <v>58.153333333333343</v>
      </c>
      <c r="CL103" s="258">
        <f t="shared" ca="1" si="809"/>
        <v>58.153333333333343</v>
      </c>
      <c r="CM103" s="258">
        <f t="shared" ca="1" si="809"/>
        <v>58.153333333333343</v>
      </c>
      <c r="CN103" s="258">
        <f t="shared" ca="1" si="809"/>
        <v>58.153333333333343</v>
      </c>
      <c r="CO103" s="258">
        <f t="shared" ca="1" si="809"/>
        <v>58.153333333333343</v>
      </c>
      <c r="CP103" s="258">
        <f t="shared" ca="1" si="809"/>
        <v>58.153333333333343</v>
      </c>
      <c r="CQ103" s="258">
        <f t="shared" ca="1" si="809"/>
        <v>58.153333333333343</v>
      </c>
      <c r="CR103" s="258">
        <f t="shared" ca="1" si="809"/>
        <v>58.153333333333343</v>
      </c>
      <c r="CS103" s="258">
        <f t="shared" ca="1" si="809"/>
        <v>58.153333333333343</v>
      </c>
      <c r="CT103" s="258">
        <f t="shared" ca="1" si="809"/>
        <v>58.153333333333343</v>
      </c>
      <c r="CU103" s="258">
        <f t="shared" ca="1" si="809"/>
        <v>58.153333333333343</v>
      </c>
      <c r="CV103" s="258">
        <f t="shared" ca="1" si="809"/>
        <v>58.153333333333343</v>
      </c>
      <c r="CW103" s="258">
        <f t="shared" ca="1" si="809"/>
        <v>58.153333333333343</v>
      </c>
      <c r="CX103" s="258">
        <f t="shared" ca="1" si="809"/>
        <v>58.153333333333343</v>
      </c>
      <c r="CY103" s="258">
        <f t="shared" ca="1" si="809"/>
        <v>58.153333333333343</v>
      </c>
      <c r="CZ103" s="258">
        <f t="shared" ca="1" si="809"/>
        <v>58.153333333333343</v>
      </c>
      <c r="DA103" s="258">
        <f t="shared" ca="1" si="809"/>
        <v>58.153333333333343</v>
      </c>
      <c r="DB103" s="258">
        <f t="shared" ca="1" si="809"/>
        <v>58.153333333333343</v>
      </c>
      <c r="DC103" s="258">
        <f t="shared" ca="1" si="809"/>
        <v>58.153333333333343</v>
      </c>
      <c r="DD103" s="258">
        <f t="shared" ca="1" si="809"/>
        <v>58.153333333333343</v>
      </c>
      <c r="DE103" s="258">
        <f t="shared" ca="1" si="809"/>
        <v>58.153333333333343</v>
      </c>
      <c r="DF103" s="258">
        <f t="shared" ca="1" si="809"/>
        <v>58.153333333333343</v>
      </c>
      <c r="DG103" s="258">
        <f t="shared" ca="1" si="809"/>
        <v>58.153333333333343</v>
      </c>
      <c r="DH103" s="258">
        <f t="shared" ca="1" si="809"/>
        <v>58.153333333333343</v>
      </c>
      <c r="DI103" s="258">
        <f t="shared" ca="1" si="809"/>
        <v>58.153333333333343</v>
      </c>
      <c r="DJ103" s="258">
        <f t="shared" ca="1" si="809"/>
        <v>58.153333333333343</v>
      </c>
      <c r="DK103" s="258">
        <f t="shared" ca="1" si="809"/>
        <v>58.153333333333343</v>
      </c>
      <c r="DL103" s="258">
        <f t="shared" ca="1" si="809"/>
        <v>58.153333333333343</v>
      </c>
      <c r="DM103" s="258">
        <f t="shared" ca="1" si="809"/>
        <v>58.153333333333343</v>
      </c>
      <c r="DN103" s="258">
        <f t="shared" ca="1" si="809"/>
        <v>58.153333333333343</v>
      </c>
      <c r="DO103" s="258">
        <f t="shared" ca="1" si="809"/>
        <v>58.153333333333343</v>
      </c>
      <c r="DP103" s="258">
        <f t="shared" ca="1" si="809"/>
        <v>58.153333333333343</v>
      </c>
      <c r="DQ103" s="258">
        <f t="shared" ca="1" si="809"/>
        <v>58.153333333333343</v>
      </c>
      <c r="DR103" s="258">
        <f t="shared" ca="1" si="809"/>
        <v>58.153333333333343</v>
      </c>
      <c r="DS103" s="258">
        <f t="shared" ca="1" si="809"/>
        <v>58.153333333333343</v>
      </c>
      <c r="DT103" s="258">
        <f t="shared" ca="1" si="809"/>
        <v>58.153333333333343</v>
      </c>
      <c r="DU103" s="258">
        <f t="shared" ca="1" si="809"/>
        <v>58.153333333333343</v>
      </c>
      <c r="DV103" s="258">
        <f t="shared" ca="1" si="809"/>
        <v>58.153333333333343</v>
      </c>
      <c r="DW103" s="258">
        <f t="shared" ca="1" si="809"/>
        <v>58.153333333333343</v>
      </c>
      <c r="DX103" s="258">
        <f t="shared" ca="1" si="809"/>
        <v>58.153333333333343</v>
      </c>
      <c r="DY103" s="258">
        <f t="shared" ca="1" si="809"/>
        <v>58.153333333333343</v>
      </c>
      <c r="DZ103" s="258">
        <f t="shared" ca="1" si="809"/>
        <v>58.153333333333343</v>
      </c>
      <c r="EA103" s="258">
        <f t="shared" ca="1" si="809"/>
        <v>58.153333333333343</v>
      </c>
      <c r="EB103" s="258">
        <f t="shared" ca="1" si="809"/>
        <v>58.153333333333343</v>
      </c>
      <c r="EC103" s="258">
        <f t="shared" ref="EC103:GN103" ca="1" si="810">IF((-EC39-$B$95)&gt;$B$104,$B$104,-EC39-$B$95)-EC98</f>
        <v>58.153333333333343</v>
      </c>
      <c r="ED103" s="258">
        <f t="shared" ca="1" si="810"/>
        <v>58.153333333333343</v>
      </c>
      <c r="EE103" s="258">
        <f t="shared" ca="1" si="810"/>
        <v>58.153333333333343</v>
      </c>
      <c r="EF103" s="258">
        <f t="shared" ca="1" si="810"/>
        <v>58.153333333333343</v>
      </c>
      <c r="EG103" s="258">
        <f t="shared" ca="1" si="810"/>
        <v>58.153333333333343</v>
      </c>
      <c r="EH103" s="258">
        <f t="shared" ca="1" si="810"/>
        <v>58.153333333333343</v>
      </c>
      <c r="EI103" s="258">
        <f t="shared" ca="1" si="810"/>
        <v>58.153333333333343</v>
      </c>
      <c r="EJ103" s="258">
        <f t="shared" ca="1" si="810"/>
        <v>58.153333333333343</v>
      </c>
      <c r="EK103" s="258">
        <f t="shared" ca="1" si="810"/>
        <v>58.153333333333343</v>
      </c>
      <c r="EL103" s="258">
        <f t="shared" ca="1" si="810"/>
        <v>58.153333333333343</v>
      </c>
      <c r="EM103" s="258">
        <f t="shared" ca="1" si="810"/>
        <v>58.153333333333343</v>
      </c>
      <c r="EN103" s="258">
        <f t="shared" ca="1" si="810"/>
        <v>58.153333333333343</v>
      </c>
      <c r="EO103" s="258">
        <f t="shared" ca="1" si="810"/>
        <v>58.153333333333343</v>
      </c>
      <c r="EP103" s="258">
        <f t="shared" ca="1" si="810"/>
        <v>58.153333333333343</v>
      </c>
      <c r="EQ103" s="258">
        <f t="shared" ca="1" si="810"/>
        <v>58.153333333333343</v>
      </c>
      <c r="ER103" s="258">
        <f t="shared" ca="1" si="810"/>
        <v>58.153333333333343</v>
      </c>
      <c r="ES103" s="258">
        <f t="shared" ca="1" si="810"/>
        <v>58.153333333333343</v>
      </c>
      <c r="ET103" s="258">
        <f t="shared" ca="1" si="810"/>
        <v>58.153333333333343</v>
      </c>
      <c r="EU103" s="258">
        <f t="shared" ca="1" si="810"/>
        <v>58.153333333333343</v>
      </c>
      <c r="EV103" s="258">
        <f t="shared" ca="1" si="810"/>
        <v>58.153333333333343</v>
      </c>
      <c r="EW103" s="258">
        <f t="shared" ca="1" si="810"/>
        <v>58.153333333333343</v>
      </c>
      <c r="EX103" s="258">
        <f t="shared" ca="1" si="810"/>
        <v>58.153333333333343</v>
      </c>
      <c r="EY103" s="258">
        <f t="shared" ca="1" si="810"/>
        <v>58.153333333333343</v>
      </c>
      <c r="EZ103" s="258">
        <f t="shared" ca="1" si="810"/>
        <v>58.153333333333343</v>
      </c>
      <c r="FA103" s="258">
        <f t="shared" ca="1" si="810"/>
        <v>58.153333333333343</v>
      </c>
      <c r="FB103" s="258">
        <f t="shared" ca="1" si="810"/>
        <v>58.153333333333343</v>
      </c>
      <c r="FC103" s="258">
        <f t="shared" ca="1" si="810"/>
        <v>58.153333333333343</v>
      </c>
      <c r="FD103" s="258">
        <f t="shared" ca="1" si="810"/>
        <v>58.153333333333343</v>
      </c>
      <c r="FE103" s="258">
        <f t="shared" ca="1" si="810"/>
        <v>58.153333333333343</v>
      </c>
      <c r="FF103" s="258">
        <f t="shared" ca="1" si="810"/>
        <v>58.153333333333343</v>
      </c>
      <c r="FG103" s="258">
        <f t="shared" ca="1" si="810"/>
        <v>58.153333333333343</v>
      </c>
      <c r="FH103" s="258">
        <f t="shared" ca="1" si="810"/>
        <v>58.153333333333343</v>
      </c>
      <c r="FI103" s="258">
        <f t="shared" ca="1" si="810"/>
        <v>58.153333333333343</v>
      </c>
      <c r="FJ103" s="258">
        <f t="shared" ca="1" si="810"/>
        <v>58.153333333333343</v>
      </c>
      <c r="FK103" s="258">
        <f t="shared" ca="1" si="810"/>
        <v>58.153333333333343</v>
      </c>
      <c r="FL103" s="258">
        <f t="shared" ca="1" si="810"/>
        <v>58.153333333333343</v>
      </c>
      <c r="FM103" s="258">
        <f t="shared" ca="1" si="810"/>
        <v>58.153333333333343</v>
      </c>
      <c r="FN103" s="258">
        <f t="shared" ca="1" si="810"/>
        <v>58.153333333333343</v>
      </c>
      <c r="FO103" s="258">
        <f t="shared" ca="1" si="810"/>
        <v>58.153333333333343</v>
      </c>
      <c r="FP103" s="258">
        <f t="shared" ca="1" si="810"/>
        <v>58.153333333333343</v>
      </c>
      <c r="FQ103" s="258">
        <f t="shared" ca="1" si="810"/>
        <v>58.153333333333343</v>
      </c>
      <c r="FR103" s="258">
        <f t="shared" ca="1" si="810"/>
        <v>58.153333333333343</v>
      </c>
      <c r="FS103" s="258">
        <f t="shared" ca="1" si="810"/>
        <v>58.153333333333343</v>
      </c>
      <c r="FT103" s="258">
        <f t="shared" ca="1" si="810"/>
        <v>58.153333333333343</v>
      </c>
      <c r="FU103" s="258">
        <f t="shared" ca="1" si="810"/>
        <v>58.153333333333343</v>
      </c>
      <c r="FV103" s="258">
        <f t="shared" ca="1" si="810"/>
        <v>58.153333333333343</v>
      </c>
      <c r="FW103" s="258">
        <f t="shared" ca="1" si="810"/>
        <v>58.153333333333343</v>
      </c>
      <c r="FX103" s="258">
        <f t="shared" ca="1" si="810"/>
        <v>58.153333333333343</v>
      </c>
      <c r="FY103" s="258">
        <f t="shared" ca="1" si="810"/>
        <v>58.153333333333343</v>
      </c>
      <c r="FZ103" s="258">
        <f t="shared" ca="1" si="810"/>
        <v>58.153333333333343</v>
      </c>
      <c r="GA103" s="258">
        <f t="shared" ca="1" si="810"/>
        <v>58.153333333333343</v>
      </c>
      <c r="GB103" s="258">
        <f t="shared" ca="1" si="810"/>
        <v>58.153333333333343</v>
      </c>
      <c r="GC103" s="258">
        <f t="shared" ca="1" si="810"/>
        <v>58.153333333333343</v>
      </c>
      <c r="GD103" s="258">
        <f t="shared" ca="1" si="810"/>
        <v>58.153333333333343</v>
      </c>
      <c r="GE103" s="258">
        <f t="shared" ca="1" si="810"/>
        <v>58.153333333333343</v>
      </c>
      <c r="GF103" s="258">
        <f t="shared" ca="1" si="810"/>
        <v>58.153333333333343</v>
      </c>
      <c r="GG103" s="258">
        <f t="shared" ca="1" si="810"/>
        <v>58.153333333333343</v>
      </c>
      <c r="GH103" s="258">
        <f t="shared" ca="1" si="810"/>
        <v>58.153333333333343</v>
      </c>
      <c r="GI103" s="258">
        <f t="shared" ca="1" si="810"/>
        <v>58.153333333333343</v>
      </c>
      <c r="GJ103" s="258">
        <f t="shared" ca="1" si="810"/>
        <v>58.153333333333343</v>
      </c>
      <c r="GK103" s="258">
        <f t="shared" ca="1" si="810"/>
        <v>58.153333333333343</v>
      </c>
      <c r="GL103" s="258">
        <f t="shared" ca="1" si="810"/>
        <v>58.153333333333343</v>
      </c>
      <c r="GM103" s="258">
        <f t="shared" ca="1" si="810"/>
        <v>58.153333333333343</v>
      </c>
      <c r="GN103" s="258">
        <f t="shared" ca="1" si="810"/>
        <v>58.153333333333343</v>
      </c>
      <c r="GO103" s="258">
        <f t="shared" ref="GO103:IZ103" ca="1" si="811">IF((-GO39-$B$95)&gt;$B$104,$B$104,-GO39-$B$95)-GO98</f>
        <v>58.153333333333343</v>
      </c>
      <c r="GP103" s="258">
        <f t="shared" ca="1" si="811"/>
        <v>58.153333333333343</v>
      </c>
      <c r="GQ103" s="258">
        <f t="shared" ca="1" si="811"/>
        <v>58.153333333333343</v>
      </c>
      <c r="GR103" s="258">
        <f t="shared" ca="1" si="811"/>
        <v>58.153333333333343</v>
      </c>
      <c r="GS103" s="258">
        <f t="shared" ca="1" si="811"/>
        <v>58.153333333333343</v>
      </c>
      <c r="GT103" s="258">
        <f t="shared" ca="1" si="811"/>
        <v>58.153333333333343</v>
      </c>
      <c r="GU103" s="258">
        <f t="shared" ca="1" si="811"/>
        <v>58.153333333333343</v>
      </c>
      <c r="GV103" s="258">
        <f t="shared" ca="1" si="811"/>
        <v>58.153333333333343</v>
      </c>
      <c r="GW103" s="258">
        <f t="shared" ca="1" si="811"/>
        <v>58.153333333333343</v>
      </c>
      <c r="GX103" s="258">
        <f t="shared" ca="1" si="811"/>
        <v>58.153333333333343</v>
      </c>
      <c r="GY103" s="258">
        <f t="shared" ca="1" si="811"/>
        <v>58.153333333333343</v>
      </c>
      <c r="GZ103" s="258">
        <f t="shared" ca="1" si="811"/>
        <v>58.153333333333343</v>
      </c>
      <c r="HA103" s="258">
        <f t="shared" ca="1" si="811"/>
        <v>58.153333333333343</v>
      </c>
      <c r="HB103" s="258">
        <f t="shared" ca="1" si="811"/>
        <v>58.153333333333343</v>
      </c>
      <c r="HC103" s="258">
        <f t="shared" ca="1" si="811"/>
        <v>58.153333333333343</v>
      </c>
      <c r="HD103" s="258">
        <f t="shared" ca="1" si="811"/>
        <v>58.153333333333343</v>
      </c>
      <c r="HE103" s="258">
        <f t="shared" ca="1" si="811"/>
        <v>58.153333333333343</v>
      </c>
      <c r="HF103" s="258">
        <f t="shared" ca="1" si="811"/>
        <v>58.153333333333343</v>
      </c>
      <c r="HG103" s="258">
        <f t="shared" ca="1" si="811"/>
        <v>58.153333333333343</v>
      </c>
      <c r="HH103" s="258">
        <f t="shared" ca="1" si="811"/>
        <v>58.153333333333343</v>
      </c>
      <c r="HI103" s="258">
        <f t="shared" ca="1" si="811"/>
        <v>58.153333333333343</v>
      </c>
      <c r="HJ103" s="258">
        <f t="shared" ca="1" si="811"/>
        <v>58.153333333333343</v>
      </c>
      <c r="HK103" s="258">
        <f t="shared" ca="1" si="811"/>
        <v>58.153333333333343</v>
      </c>
      <c r="HL103" s="258">
        <f t="shared" ca="1" si="811"/>
        <v>58.153333333333343</v>
      </c>
      <c r="HM103" s="258">
        <f t="shared" ca="1" si="811"/>
        <v>58.153333333333343</v>
      </c>
      <c r="HN103" s="258">
        <f t="shared" ca="1" si="811"/>
        <v>58.153333333333343</v>
      </c>
      <c r="HO103" s="258">
        <f t="shared" ca="1" si="811"/>
        <v>58.153333333333343</v>
      </c>
      <c r="HP103" s="258">
        <f t="shared" ca="1" si="811"/>
        <v>58.153333333333343</v>
      </c>
      <c r="HQ103" s="258">
        <f t="shared" ca="1" si="811"/>
        <v>58.153333333333343</v>
      </c>
      <c r="HR103" s="258">
        <f t="shared" ca="1" si="811"/>
        <v>58.153333333333343</v>
      </c>
      <c r="HS103" s="258">
        <f t="shared" ca="1" si="811"/>
        <v>58.153333333333343</v>
      </c>
      <c r="HT103" s="258">
        <f t="shared" ca="1" si="811"/>
        <v>58.153333333333343</v>
      </c>
      <c r="HU103" s="258">
        <f t="shared" ca="1" si="811"/>
        <v>58.153333333333343</v>
      </c>
      <c r="HV103" s="258">
        <f t="shared" ca="1" si="811"/>
        <v>58.153333333333343</v>
      </c>
      <c r="HW103" s="258">
        <f t="shared" ca="1" si="811"/>
        <v>58.153333333333343</v>
      </c>
      <c r="HX103" s="258">
        <f t="shared" ca="1" si="811"/>
        <v>58.153333333333343</v>
      </c>
      <c r="HY103" s="258">
        <f t="shared" ca="1" si="811"/>
        <v>58.153333333333343</v>
      </c>
      <c r="HZ103" s="258">
        <f t="shared" ca="1" si="811"/>
        <v>58.153333333333343</v>
      </c>
      <c r="IA103" s="258">
        <f t="shared" ca="1" si="811"/>
        <v>58.153333333333343</v>
      </c>
      <c r="IB103" s="258">
        <f t="shared" ca="1" si="811"/>
        <v>58.153333333333343</v>
      </c>
      <c r="IC103" s="258">
        <f t="shared" ca="1" si="811"/>
        <v>58.153333333333343</v>
      </c>
      <c r="ID103" s="258">
        <f t="shared" ca="1" si="811"/>
        <v>58.153333333333343</v>
      </c>
      <c r="IE103" s="258">
        <f t="shared" ca="1" si="811"/>
        <v>58.153333333333343</v>
      </c>
      <c r="IF103" s="258">
        <f t="shared" ca="1" si="811"/>
        <v>58.153333333333343</v>
      </c>
      <c r="IG103" s="258">
        <f t="shared" ca="1" si="811"/>
        <v>58.153333333333343</v>
      </c>
      <c r="IH103" s="258">
        <f t="shared" ca="1" si="811"/>
        <v>58.153333333333343</v>
      </c>
      <c r="II103" s="258">
        <f t="shared" ca="1" si="811"/>
        <v>58.153333333333343</v>
      </c>
      <c r="IJ103" s="258">
        <f t="shared" ca="1" si="811"/>
        <v>58.153333333333343</v>
      </c>
      <c r="IK103" s="258">
        <f t="shared" ca="1" si="811"/>
        <v>58.153333333333343</v>
      </c>
      <c r="IL103" s="258">
        <f t="shared" ca="1" si="811"/>
        <v>58.153333333333343</v>
      </c>
      <c r="IM103" s="258">
        <f t="shared" ca="1" si="811"/>
        <v>58.153333333333343</v>
      </c>
      <c r="IN103" s="258">
        <f t="shared" ca="1" si="811"/>
        <v>58.153333333333343</v>
      </c>
      <c r="IO103" s="258">
        <f t="shared" ca="1" si="811"/>
        <v>58.153333333333343</v>
      </c>
      <c r="IP103" s="258">
        <f t="shared" ca="1" si="811"/>
        <v>58.153333333333343</v>
      </c>
      <c r="IQ103" s="258">
        <f t="shared" ca="1" si="811"/>
        <v>58.153333333333343</v>
      </c>
      <c r="IR103" s="258">
        <f t="shared" ca="1" si="811"/>
        <v>58.153333333333343</v>
      </c>
      <c r="IS103" s="258">
        <f t="shared" ca="1" si="811"/>
        <v>58.153333333333343</v>
      </c>
      <c r="IT103" s="258">
        <f t="shared" ca="1" si="811"/>
        <v>58.153333333333343</v>
      </c>
      <c r="IU103" s="258">
        <f t="shared" ca="1" si="811"/>
        <v>58.153333333333343</v>
      </c>
      <c r="IV103" s="258">
        <f t="shared" ca="1" si="811"/>
        <v>58.153333333333343</v>
      </c>
      <c r="IW103" s="258">
        <f t="shared" ca="1" si="811"/>
        <v>58.153333333333343</v>
      </c>
      <c r="IX103" s="258">
        <f t="shared" ca="1" si="811"/>
        <v>58.153333333333343</v>
      </c>
      <c r="IY103" s="258">
        <f t="shared" ca="1" si="811"/>
        <v>58.153333333333343</v>
      </c>
      <c r="IZ103" s="258">
        <f t="shared" ca="1" si="811"/>
        <v>58.153333333333343</v>
      </c>
      <c r="JA103" s="258">
        <f t="shared" ref="JA103:KB103" ca="1" si="812">IF((-JA39-$B$95)&gt;$B$104,$B$104,-JA39-$B$95)-JA98</f>
        <v>58.153333333333343</v>
      </c>
      <c r="JB103" s="258">
        <f t="shared" ca="1" si="812"/>
        <v>58.153333333333343</v>
      </c>
      <c r="JC103" s="258">
        <f t="shared" ca="1" si="812"/>
        <v>58.153333333333343</v>
      </c>
      <c r="JD103" s="258">
        <f t="shared" ca="1" si="812"/>
        <v>58.153333333333343</v>
      </c>
      <c r="JE103" s="258">
        <f t="shared" ca="1" si="812"/>
        <v>58.153333333333343</v>
      </c>
      <c r="JF103" s="258">
        <f t="shared" ca="1" si="812"/>
        <v>58.153333333333343</v>
      </c>
      <c r="JG103" s="258">
        <f t="shared" ca="1" si="812"/>
        <v>58.153333333333343</v>
      </c>
      <c r="JH103" s="258">
        <f t="shared" ca="1" si="812"/>
        <v>58.153333333333343</v>
      </c>
      <c r="JI103" s="258">
        <f t="shared" ca="1" si="812"/>
        <v>58.153333333333343</v>
      </c>
      <c r="JJ103" s="258">
        <f t="shared" ca="1" si="812"/>
        <v>58.153333333333343</v>
      </c>
      <c r="JK103" s="258">
        <f t="shared" ca="1" si="812"/>
        <v>58.153333333333343</v>
      </c>
      <c r="JL103" s="258">
        <f t="shared" ca="1" si="812"/>
        <v>58.153333333333343</v>
      </c>
      <c r="JM103" s="258">
        <f t="shared" ca="1" si="812"/>
        <v>58.153333333333343</v>
      </c>
      <c r="JN103" s="258">
        <f t="shared" ca="1" si="812"/>
        <v>58.153333333333343</v>
      </c>
      <c r="JO103" s="258">
        <f t="shared" ca="1" si="812"/>
        <v>58.153333333333343</v>
      </c>
      <c r="JP103" s="258">
        <f t="shared" ca="1" si="812"/>
        <v>58.153333333333343</v>
      </c>
      <c r="JQ103" s="258">
        <f t="shared" ca="1" si="812"/>
        <v>58.153333333333343</v>
      </c>
      <c r="JR103" s="258">
        <f t="shared" ca="1" si="812"/>
        <v>58.153333333333343</v>
      </c>
      <c r="JS103" s="258">
        <f t="shared" ca="1" si="812"/>
        <v>58.153333333333343</v>
      </c>
      <c r="JT103" s="258">
        <f t="shared" ca="1" si="812"/>
        <v>58.153333333333343</v>
      </c>
      <c r="JU103" s="258">
        <f t="shared" ca="1" si="812"/>
        <v>58.153333333333343</v>
      </c>
      <c r="JV103" s="258">
        <f t="shared" ca="1" si="812"/>
        <v>58.153333333333343</v>
      </c>
      <c r="JW103" s="258">
        <f t="shared" ca="1" si="812"/>
        <v>58.153333333333343</v>
      </c>
      <c r="JX103" s="258">
        <f t="shared" ca="1" si="812"/>
        <v>58.153333333333343</v>
      </c>
      <c r="JY103" s="258">
        <f t="shared" ca="1" si="812"/>
        <v>58.153333333333343</v>
      </c>
      <c r="JZ103" s="258">
        <f t="shared" ca="1" si="812"/>
        <v>58.153333333333343</v>
      </c>
      <c r="KA103" s="258">
        <f t="shared" ca="1" si="812"/>
        <v>58.153333333333343</v>
      </c>
      <c r="KB103" s="258">
        <f t="shared" ca="1" si="812"/>
        <v>58.153333333333343</v>
      </c>
    </row>
    <row r="104" spans="1:288" x14ac:dyDescent="0.3">
      <c r="A104" s="169" t="s">
        <v>278</v>
      </c>
      <c r="B104" s="259">
        <f ca="1">(B95*B61)/B86</f>
        <v>58.153333333333343</v>
      </c>
      <c r="C104" s="258">
        <f ca="1">C103-B103</f>
        <v>0</v>
      </c>
      <c r="D104" s="258">
        <f ca="1">D103-C103</f>
        <v>6.8097661006957679</v>
      </c>
      <c r="E104" s="258">
        <f t="shared" ref="E104:BP104" ca="1" si="813">E103-D103</f>
        <v>8.4706402268235053</v>
      </c>
      <c r="F104" s="258">
        <f t="shared" ca="1" si="813"/>
        <v>5.9833547827146276</v>
      </c>
      <c r="G104" s="258">
        <f t="shared" ca="1" si="813"/>
        <v>6.0311625495994576</v>
      </c>
      <c r="H104" s="258">
        <f t="shared" ca="1" si="813"/>
        <v>6.0793523066315487</v>
      </c>
      <c r="I104" s="258">
        <f t="shared" ca="1" si="813"/>
        <v>6.127927105960822</v>
      </c>
      <c r="J104" s="258">
        <f t="shared" ca="1" si="813"/>
        <v>6.1768900241242761</v>
      </c>
      <c r="K104" s="258">
        <f t="shared" ca="1" si="813"/>
        <v>6.2506440946977619</v>
      </c>
      <c r="L104" s="258">
        <f t="shared" ca="1" si="813"/>
        <v>6.2235961420855759</v>
      </c>
      <c r="M104" s="258">
        <f t="shared" ca="1" si="813"/>
        <v>0</v>
      </c>
      <c r="N104" s="258">
        <f t="shared" ca="1" si="813"/>
        <v>0</v>
      </c>
      <c r="O104" s="258">
        <f t="shared" ca="1" si="813"/>
        <v>0</v>
      </c>
      <c r="P104" s="258">
        <f t="shared" ca="1" si="813"/>
        <v>0</v>
      </c>
      <c r="Q104" s="258">
        <f t="shared" ca="1" si="813"/>
        <v>0</v>
      </c>
      <c r="R104" s="258">
        <f t="shared" ca="1" si="813"/>
        <v>0</v>
      </c>
      <c r="S104" s="258">
        <f t="shared" ca="1" si="813"/>
        <v>0</v>
      </c>
      <c r="T104" s="258">
        <f t="shared" ca="1" si="813"/>
        <v>0</v>
      </c>
      <c r="U104" s="258">
        <f t="shared" ca="1" si="813"/>
        <v>0</v>
      </c>
      <c r="V104" s="258">
        <f t="shared" ca="1" si="813"/>
        <v>0</v>
      </c>
      <c r="W104" s="258">
        <f t="shared" ca="1" si="813"/>
        <v>0</v>
      </c>
      <c r="X104" s="258">
        <f t="shared" ca="1" si="813"/>
        <v>0</v>
      </c>
      <c r="Y104" s="258">
        <f t="shared" ca="1" si="813"/>
        <v>0</v>
      </c>
      <c r="Z104" s="258">
        <f t="shared" ca="1" si="813"/>
        <v>0</v>
      </c>
      <c r="AA104" s="258">
        <f t="shared" ca="1" si="813"/>
        <v>0</v>
      </c>
      <c r="AB104" s="258">
        <f t="shared" ca="1" si="813"/>
        <v>0</v>
      </c>
      <c r="AC104" s="258">
        <f t="shared" ca="1" si="813"/>
        <v>0</v>
      </c>
      <c r="AD104" s="258">
        <f t="shared" ca="1" si="813"/>
        <v>0</v>
      </c>
      <c r="AE104" s="258">
        <f t="shared" ca="1" si="813"/>
        <v>0</v>
      </c>
      <c r="AF104" s="258">
        <f t="shared" ca="1" si="813"/>
        <v>0</v>
      </c>
      <c r="AG104" s="258">
        <f t="shared" ca="1" si="813"/>
        <v>0</v>
      </c>
      <c r="AH104" s="258">
        <f t="shared" ca="1" si="813"/>
        <v>0</v>
      </c>
      <c r="AI104" s="258">
        <f t="shared" ca="1" si="813"/>
        <v>0</v>
      </c>
      <c r="AJ104" s="258">
        <f t="shared" ca="1" si="813"/>
        <v>0</v>
      </c>
      <c r="AK104" s="258">
        <f t="shared" ca="1" si="813"/>
        <v>0</v>
      </c>
      <c r="AL104" s="258">
        <f t="shared" ca="1" si="813"/>
        <v>0</v>
      </c>
      <c r="AM104" s="258">
        <f t="shared" ca="1" si="813"/>
        <v>0</v>
      </c>
      <c r="AN104" s="258">
        <f t="shared" ca="1" si="813"/>
        <v>0</v>
      </c>
      <c r="AO104" s="258">
        <f t="shared" ca="1" si="813"/>
        <v>0</v>
      </c>
      <c r="AP104" s="258">
        <f t="shared" ca="1" si="813"/>
        <v>0</v>
      </c>
      <c r="AQ104" s="258">
        <f t="shared" ca="1" si="813"/>
        <v>0</v>
      </c>
      <c r="AR104" s="258">
        <f t="shared" ca="1" si="813"/>
        <v>0</v>
      </c>
      <c r="AS104" s="258">
        <f t="shared" ca="1" si="813"/>
        <v>0</v>
      </c>
      <c r="AT104" s="258">
        <f t="shared" ca="1" si="813"/>
        <v>0</v>
      </c>
      <c r="AU104" s="258">
        <f t="shared" ca="1" si="813"/>
        <v>0</v>
      </c>
      <c r="AV104" s="258">
        <f t="shared" ca="1" si="813"/>
        <v>0</v>
      </c>
      <c r="AW104" s="258">
        <f t="shared" ca="1" si="813"/>
        <v>0</v>
      </c>
      <c r="AX104" s="258">
        <f t="shared" ca="1" si="813"/>
        <v>0</v>
      </c>
      <c r="AY104" s="258">
        <f t="shared" ca="1" si="813"/>
        <v>0</v>
      </c>
      <c r="AZ104" s="258">
        <f t="shared" ca="1" si="813"/>
        <v>0</v>
      </c>
      <c r="BA104" s="258">
        <f t="shared" ca="1" si="813"/>
        <v>0</v>
      </c>
      <c r="BB104" s="258">
        <f t="shared" ca="1" si="813"/>
        <v>0</v>
      </c>
      <c r="BC104" s="258">
        <f t="shared" ca="1" si="813"/>
        <v>0</v>
      </c>
      <c r="BD104" s="258">
        <f t="shared" ca="1" si="813"/>
        <v>0</v>
      </c>
      <c r="BE104" s="258">
        <f t="shared" ca="1" si="813"/>
        <v>0</v>
      </c>
      <c r="BF104" s="258">
        <f t="shared" ca="1" si="813"/>
        <v>0</v>
      </c>
      <c r="BG104" s="258">
        <f t="shared" ca="1" si="813"/>
        <v>0</v>
      </c>
      <c r="BH104" s="258">
        <f t="shared" ca="1" si="813"/>
        <v>0</v>
      </c>
      <c r="BI104" s="258">
        <f t="shared" ca="1" si="813"/>
        <v>0</v>
      </c>
      <c r="BJ104" s="258">
        <f t="shared" ca="1" si="813"/>
        <v>0</v>
      </c>
      <c r="BK104" s="258">
        <f t="shared" ca="1" si="813"/>
        <v>0</v>
      </c>
      <c r="BL104" s="258">
        <f t="shared" ca="1" si="813"/>
        <v>0</v>
      </c>
      <c r="BM104" s="258">
        <f t="shared" ca="1" si="813"/>
        <v>0</v>
      </c>
      <c r="BN104" s="258">
        <f t="shared" ca="1" si="813"/>
        <v>0</v>
      </c>
      <c r="BO104" s="258">
        <f t="shared" ca="1" si="813"/>
        <v>0</v>
      </c>
      <c r="BP104" s="258">
        <f t="shared" ca="1" si="813"/>
        <v>0</v>
      </c>
      <c r="BQ104" s="258">
        <f t="shared" ref="BQ104:EB104" ca="1" si="814">BQ103-BP103</f>
        <v>0</v>
      </c>
      <c r="BR104" s="258">
        <f t="shared" ca="1" si="814"/>
        <v>0</v>
      </c>
      <c r="BS104" s="258">
        <f t="shared" ca="1" si="814"/>
        <v>0</v>
      </c>
      <c r="BT104" s="258">
        <f t="shared" ca="1" si="814"/>
        <v>0</v>
      </c>
      <c r="BU104" s="258">
        <f t="shared" ca="1" si="814"/>
        <v>0</v>
      </c>
      <c r="BV104" s="258">
        <f t="shared" ca="1" si="814"/>
        <v>0</v>
      </c>
      <c r="BW104" s="258">
        <f t="shared" ca="1" si="814"/>
        <v>0</v>
      </c>
      <c r="BX104" s="258">
        <f t="shared" ca="1" si="814"/>
        <v>0</v>
      </c>
      <c r="BY104" s="258">
        <f t="shared" ca="1" si="814"/>
        <v>0</v>
      </c>
      <c r="BZ104" s="258">
        <f t="shared" ca="1" si="814"/>
        <v>0</v>
      </c>
      <c r="CA104" s="258">
        <f t="shared" ca="1" si="814"/>
        <v>0</v>
      </c>
      <c r="CB104" s="258">
        <f t="shared" ca="1" si="814"/>
        <v>0</v>
      </c>
      <c r="CC104" s="258">
        <f t="shared" ca="1" si="814"/>
        <v>0</v>
      </c>
      <c r="CD104" s="258">
        <f t="shared" ca="1" si="814"/>
        <v>0</v>
      </c>
      <c r="CE104" s="258">
        <f t="shared" ca="1" si="814"/>
        <v>0</v>
      </c>
      <c r="CF104" s="258">
        <f t="shared" ca="1" si="814"/>
        <v>0</v>
      </c>
      <c r="CG104" s="258">
        <f t="shared" ca="1" si="814"/>
        <v>0</v>
      </c>
      <c r="CH104" s="258">
        <f t="shared" ca="1" si="814"/>
        <v>0</v>
      </c>
      <c r="CI104" s="258">
        <f t="shared" ca="1" si="814"/>
        <v>0</v>
      </c>
      <c r="CJ104" s="258">
        <f t="shared" ca="1" si="814"/>
        <v>0</v>
      </c>
      <c r="CK104" s="258">
        <f t="shared" ca="1" si="814"/>
        <v>0</v>
      </c>
      <c r="CL104" s="258">
        <f t="shared" ca="1" si="814"/>
        <v>0</v>
      </c>
      <c r="CM104" s="258">
        <f t="shared" ca="1" si="814"/>
        <v>0</v>
      </c>
      <c r="CN104" s="258">
        <f t="shared" ca="1" si="814"/>
        <v>0</v>
      </c>
      <c r="CO104" s="258">
        <f t="shared" ca="1" si="814"/>
        <v>0</v>
      </c>
      <c r="CP104" s="258">
        <f t="shared" ca="1" si="814"/>
        <v>0</v>
      </c>
      <c r="CQ104" s="258">
        <f t="shared" ca="1" si="814"/>
        <v>0</v>
      </c>
      <c r="CR104" s="258">
        <f t="shared" ca="1" si="814"/>
        <v>0</v>
      </c>
      <c r="CS104" s="258">
        <f t="shared" ca="1" si="814"/>
        <v>0</v>
      </c>
      <c r="CT104" s="258">
        <f t="shared" ca="1" si="814"/>
        <v>0</v>
      </c>
      <c r="CU104" s="258">
        <f t="shared" ca="1" si="814"/>
        <v>0</v>
      </c>
      <c r="CV104" s="258">
        <f t="shared" ca="1" si="814"/>
        <v>0</v>
      </c>
      <c r="CW104" s="258">
        <f t="shared" ca="1" si="814"/>
        <v>0</v>
      </c>
      <c r="CX104" s="258">
        <f t="shared" ca="1" si="814"/>
        <v>0</v>
      </c>
      <c r="CY104" s="258">
        <f t="shared" ca="1" si="814"/>
        <v>0</v>
      </c>
      <c r="CZ104" s="258">
        <f t="shared" ca="1" si="814"/>
        <v>0</v>
      </c>
      <c r="DA104" s="258">
        <f t="shared" ca="1" si="814"/>
        <v>0</v>
      </c>
      <c r="DB104" s="258">
        <f t="shared" ca="1" si="814"/>
        <v>0</v>
      </c>
      <c r="DC104" s="258">
        <f t="shared" ca="1" si="814"/>
        <v>0</v>
      </c>
      <c r="DD104" s="258">
        <f t="shared" ca="1" si="814"/>
        <v>0</v>
      </c>
      <c r="DE104" s="258">
        <f t="shared" ca="1" si="814"/>
        <v>0</v>
      </c>
      <c r="DF104" s="258">
        <f t="shared" ca="1" si="814"/>
        <v>0</v>
      </c>
      <c r="DG104" s="258">
        <f t="shared" ca="1" si="814"/>
        <v>0</v>
      </c>
      <c r="DH104" s="258">
        <f t="shared" ca="1" si="814"/>
        <v>0</v>
      </c>
      <c r="DI104" s="258">
        <f t="shared" ca="1" si="814"/>
        <v>0</v>
      </c>
      <c r="DJ104" s="258">
        <f t="shared" ca="1" si="814"/>
        <v>0</v>
      </c>
      <c r="DK104" s="258">
        <f t="shared" ca="1" si="814"/>
        <v>0</v>
      </c>
      <c r="DL104" s="258">
        <f t="shared" ca="1" si="814"/>
        <v>0</v>
      </c>
      <c r="DM104" s="258">
        <f t="shared" ca="1" si="814"/>
        <v>0</v>
      </c>
      <c r="DN104" s="258">
        <f t="shared" ca="1" si="814"/>
        <v>0</v>
      </c>
      <c r="DO104" s="258">
        <f t="shared" ca="1" si="814"/>
        <v>0</v>
      </c>
      <c r="DP104" s="258">
        <f t="shared" ca="1" si="814"/>
        <v>0</v>
      </c>
      <c r="DQ104" s="258">
        <f t="shared" ca="1" si="814"/>
        <v>0</v>
      </c>
      <c r="DR104" s="258">
        <f t="shared" ca="1" si="814"/>
        <v>0</v>
      </c>
      <c r="DS104" s="258">
        <f t="shared" ca="1" si="814"/>
        <v>0</v>
      </c>
      <c r="DT104" s="258">
        <f t="shared" ca="1" si="814"/>
        <v>0</v>
      </c>
      <c r="DU104" s="258">
        <f t="shared" ca="1" si="814"/>
        <v>0</v>
      </c>
      <c r="DV104" s="258">
        <f t="shared" ca="1" si="814"/>
        <v>0</v>
      </c>
      <c r="DW104" s="258">
        <f t="shared" ca="1" si="814"/>
        <v>0</v>
      </c>
      <c r="DX104" s="258">
        <f t="shared" ca="1" si="814"/>
        <v>0</v>
      </c>
      <c r="DY104" s="258">
        <f t="shared" ca="1" si="814"/>
        <v>0</v>
      </c>
      <c r="DZ104" s="258">
        <f t="shared" ca="1" si="814"/>
        <v>0</v>
      </c>
      <c r="EA104" s="258">
        <f t="shared" ca="1" si="814"/>
        <v>0</v>
      </c>
      <c r="EB104" s="258">
        <f t="shared" ca="1" si="814"/>
        <v>0</v>
      </c>
      <c r="EC104" s="258">
        <f t="shared" ref="EC104:GN104" ca="1" si="815">EC103-EB103</f>
        <v>0</v>
      </c>
      <c r="ED104" s="258">
        <f t="shared" ca="1" si="815"/>
        <v>0</v>
      </c>
      <c r="EE104" s="258">
        <f t="shared" ca="1" si="815"/>
        <v>0</v>
      </c>
      <c r="EF104" s="258">
        <f t="shared" ca="1" si="815"/>
        <v>0</v>
      </c>
      <c r="EG104" s="258">
        <f t="shared" ca="1" si="815"/>
        <v>0</v>
      </c>
      <c r="EH104" s="258">
        <f t="shared" ca="1" si="815"/>
        <v>0</v>
      </c>
      <c r="EI104" s="258">
        <f t="shared" ca="1" si="815"/>
        <v>0</v>
      </c>
      <c r="EJ104" s="258">
        <f t="shared" ca="1" si="815"/>
        <v>0</v>
      </c>
      <c r="EK104" s="258">
        <f t="shared" ca="1" si="815"/>
        <v>0</v>
      </c>
      <c r="EL104" s="258">
        <f t="shared" ca="1" si="815"/>
        <v>0</v>
      </c>
      <c r="EM104" s="258">
        <f t="shared" ca="1" si="815"/>
        <v>0</v>
      </c>
      <c r="EN104" s="258">
        <f t="shared" ca="1" si="815"/>
        <v>0</v>
      </c>
      <c r="EO104" s="258">
        <f t="shared" ca="1" si="815"/>
        <v>0</v>
      </c>
      <c r="EP104" s="258">
        <f t="shared" ca="1" si="815"/>
        <v>0</v>
      </c>
      <c r="EQ104" s="258">
        <f t="shared" ca="1" si="815"/>
        <v>0</v>
      </c>
      <c r="ER104" s="258">
        <f t="shared" ca="1" si="815"/>
        <v>0</v>
      </c>
      <c r="ES104" s="258">
        <f t="shared" ca="1" si="815"/>
        <v>0</v>
      </c>
      <c r="ET104" s="258">
        <f t="shared" ca="1" si="815"/>
        <v>0</v>
      </c>
      <c r="EU104" s="258">
        <f t="shared" ca="1" si="815"/>
        <v>0</v>
      </c>
      <c r="EV104" s="258">
        <f t="shared" ca="1" si="815"/>
        <v>0</v>
      </c>
      <c r="EW104" s="258">
        <f t="shared" ca="1" si="815"/>
        <v>0</v>
      </c>
      <c r="EX104" s="258">
        <f t="shared" ca="1" si="815"/>
        <v>0</v>
      </c>
      <c r="EY104" s="258">
        <f t="shared" ca="1" si="815"/>
        <v>0</v>
      </c>
      <c r="EZ104" s="258">
        <f t="shared" ca="1" si="815"/>
        <v>0</v>
      </c>
      <c r="FA104" s="258">
        <f t="shared" ca="1" si="815"/>
        <v>0</v>
      </c>
      <c r="FB104" s="258">
        <f t="shared" ca="1" si="815"/>
        <v>0</v>
      </c>
      <c r="FC104" s="258">
        <f t="shared" ca="1" si="815"/>
        <v>0</v>
      </c>
      <c r="FD104" s="258">
        <f t="shared" ca="1" si="815"/>
        <v>0</v>
      </c>
      <c r="FE104" s="258">
        <f t="shared" ca="1" si="815"/>
        <v>0</v>
      </c>
      <c r="FF104" s="258">
        <f t="shared" ca="1" si="815"/>
        <v>0</v>
      </c>
      <c r="FG104" s="258">
        <f t="shared" ca="1" si="815"/>
        <v>0</v>
      </c>
      <c r="FH104" s="258">
        <f t="shared" ca="1" si="815"/>
        <v>0</v>
      </c>
      <c r="FI104" s="258">
        <f t="shared" ca="1" si="815"/>
        <v>0</v>
      </c>
      <c r="FJ104" s="258">
        <f t="shared" ca="1" si="815"/>
        <v>0</v>
      </c>
      <c r="FK104" s="258">
        <f t="shared" ca="1" si="815"/>
        <v>0</v>
      </c>
      <c r="FL104" s="258">
        <f t="shared" ca="1" si="815"/>
        <v>0</v>
      </c>
      <c r="FM104" s="258">
        <f t="shared" ca="1" si="815"/>
        <v>0</v>
      </c>
      <c r="FN104" s="258">
        <f t="shared" ca="1" si="815"/>
        <v>0</v>
      </c>
      <c r="FO104" s="258">
        <f t="shared" ca="1" si="815"/>
        <v>0</v>
      </c>
      <c r="FP104" s="258">
        <f t="shared" ca="1" si="815"/>
        <v>0</v>
      </c>
      <c r="FQ104" s="258">
        <f t="shared" ca="1" si="815"/>
        <v>0</v>
      </c>
      <c r="FR104" s="258">
        <f t="shared" ca="1" si="815"/>
        <v>0</v>
      </c>
      <c r="FS104" s="258">
        <f t="shared" ca="1" si="815"/>
        <v>0</v>
      </c>
      <c r="FT104" s="258">
        <f t="shared" ca="1" si="815"/>
        <v>0</v>
      </c>
      <c r="FU104" s="258">
        <f t="shared" ca="1" si="815"/>
        <v>0</v>
      </c>
      <c r="FV104" s="258">
        <f t="shared" ca="1" si="815"/>
        <v>0</v>
      </c>
      <c r="FW104" s="258">
        <f t="shared" ca="1" si="815"/>
        <v>0</v>
      </c>
      <c r="FX104" s="258">
        <f t="shared" ca="1" si="815"/>
        <v>0</v>
      </c>
      <c r="FY104" s="258">
        <f t="shared" ca="1" si="815"/>
        <v>0</v>
      </c>
      <c r="FZ104" s="258">
        <f t="shared" ca="1" si="815"/>
        <v>0</v>
      </c>
      <c r="GA104" s="258">
        <f t="shared" ca="1" si="815"/>
        <v>0</v>
      </c>
      <c r="GB104" s="258">
        <f t="shared" ca="1" si="815"/>
        <v>0</v>
      </c>
      <c r="GC104" s="258">
        <f t="shared" ca="1" si="815"/>
        <v>0</v>
      </c>
      <c r="GD104" s="258">
        <f t="shared" ca="1" si="815"/>
        <v>0</v>
      </c>
      <c r="GE104" s="258">
        <f t="shared" ca="1" si="815"/>
        <v>0</v>
      </c>
      <c r="GF104" s="258">
        <f t="shared" ca="1" si="815"/>
        <v>0</v>
      </c>
      <c r="GG104" s="258">
        <f t="shared" ca="1" si="815"/>
        <v>0</v>
      </c>
      <c r="GH104" s="258">
        <f t="shared" ca="1" si="815"/>
        <v>0</v>
      </c>
      <c r="GI104" s="258">
        <f t="shared" ca="1" si="815"/>
        <v>0</v>
      </c>
      <c r="GJ104" s="258">
        <f t="shared" ca="1" si="815"/>
        <v>0</v>
      </c>
      <c r="GK104" s="258">
        <f t="shared" ca="1" si="815"/>
        <v>0</v>
      </c>
      <c r="GL104" s="258">
        <f t="shared" ca="1" si="815"/>
        <v>0</v>
      </c>
      <c r="GM104" s="258">
        <f t="shared" ca="1" si="815"/>
        <v>0</v>
      </c>
      <c r="GN104" s="258">
        <f t="shared" ca="1" si="815"/>
        <v>0</v>
      </c>
      <c r="GO104" s="258">
        <f t="shared" ref="GO104:IZ104" ca="1" si="816">GO103-GN103</f>
        <v>0</v>
      </c>
      <c r="GP104" s="258">
        <f t="shared" ca="1" si="816"/>
        <v>0</v>
      </c>
      <c r="GQ104" s="258">
        <f t="shared" ca="1" si="816"/>
        <v>0</v>
      </c>
      <c r="GR104" s="258">
        <f t="shared" ca="1" si="816"/>
        <v>0</v>
      </c>
      <c r="GS104" s="258">
        <f t="shared" ca="1" si="816"/>
        <v>0</v>
      </c>
      <c r="GT104" s="258">
        <f t="shared" ca="1" si="816"/>
        <v>0</v>
      </c>
      <c r="GU104" s="258">
        <f t="shared" ca="1" si="816"/>
        <v>0</v>
      </c>
      <c r="GV104" s="258">
        <f t="shared" ca="1" si="816"/>
        <v>0</v>
      </c>
      <c r="GW104" s="258">
        <f t="shared" ca="1" si="816"/>
        <v>0</v>
      </c>
      <c r="GX104" s="258">
        <f t="shared" ca="1" si="816"/>
        <v>0</v>
      </c>
      <c r="GY104" s="258">
        <f t="shared" ca="1" si="816"/>
        <v>0</v>
      </c>
      <c r="GZ104" s="258">
        <f t="shared" ca="1" si="816"/>
        <v>0</v>
      </c>
      <c r="HA104" s="258">
        <f t="shared" ca="1" si="816"/>
        <v>0</v>
      </c>
      <c r="HB104" s="258">
        <f t="shared" ca="1" si="816"/>
        <v>0</v>
      </c>
      <c r="HC104" s="258">
        <f t="shared" ca="1" si="816"/>
        <v>0</v>
      </c>
      <c r="HD104" s="258">
        <f t="shared" ca="1" si="816"/>
        <v>0</v>
      </c>
      <c r="HE104" s="258">
        <f t="shared" ca="1" si="816"/>
        <v>0</v>
      </c>
      <c r="HF104" s="258">
        <f t="shared" ca="1" si="816"/>
        <v>0</v>
      </c>
      <c r="HG104" s="258">
        <f t="shared" ca="1" si="816"/>
        <v>0</v>
      </c>
      <c r="HH104" s="258">
        <f t="shared" ca="1" si="816"/>
        <v>0</v>
      </c>
      <c r="HI104" s="258">
        <f t="shared" ca="1" si="816"/>
        <v>0</v>
      </c>
      <c r="HJ104" s="258">
        <f t="shared" ca="1" si="816"/>
        <v>0</v>
      </c>
      <c r="HK104" s="258">
        <f t="shared" ca="1" si="816"/>
        <v>0</v>
      </c>
      <c r="HL104" s="258">
        <f t="shared" ca="1" si="816"/>
        <v>0</v>
      </c>
      <c r="HM104" s="258">
        <f t="shared" ca="1" si="816"/>
        <v>0</v>
      </c>
      <c r="HN104" s="258">
        <f t="shared" ca="1" si="816"/>
        <v>0</v>
      </c>
      <c r="HO104" s="258">
        <f t="shared" ca="1" si="816"/>
        <v>0</v>
      </c>
      <c r="HP104" s="258">
        <f t="shared" ca="1" si="816"/>
        <v>0</v>
      </c>
      <c r="HQ104" s="258">
        <f t="shared" ca="1" si="816"/>
        <v>0</v>
      </c>
      <c r="HR104" s="258">
        <f t="shared" ca="1" si="816"/>
        <v>0</v>
      </c>
      <c r="HS104" s="258">
        <f t="shared" ca="1" si="816"/>
        <v>0</v>
      </c>
      <c r="HT104" s="258">
        <f t="shared" ca="1" si="816"/>
        <v>0</v>
      </c>
      <c r="HU104" s="258">
        <f t="shared" ca="1" si="816"/>
        <v>0</v>
      </c>
      <c r="HV104" s="258">
        <f t="shared" ca="1" si="816"/>
        <v>0</v>
      </c>
      <c r="HW104" s="258">
        <f t="shared" ca="1" si="816"/>
        <v>0</v>
      </c>
      <c r="HX104" s="258">
        <f t="shared" ca="1" si="816"/>
        <v>0</v>
      </c>
      <c r="HY104" s="258">
        <f t="shared" ca="1" si="816"/>
        <v>0</v>
      </c>
      <c r="HZ104" s="258">
        <f t="shared" ca="1" si="816"/>
        <v>0</v>
      </c>
      <c r="IA104" s="258">
        <f t="shared" ca="1" si="816"/>
        <v>0</v>
      </c>
      <c r="IB104" s="258">
        <f t="shared" ca="1" si="816"/>
        <v>0</v>
      </c>
      <c r="IC104" s="258">
        <f t="shared" ca="1" si="816"/>
        <v>0</v>
      </c>
      <c r="ID104" s="258">
        <f t="shared" ca="1" si="816"/>
        <v>0</v>
      </c>
      <c r="IE104" s="258">
        <f t="shared" ca="1" si="816"/>
        <v>0</v>
      </c>
      <c r="IF104" s="258">
        <f t="shared" ca="1" si="816"/>
        <v>0</v>
      </c>
      <c r="IG104" s="258">
        <f t="shared" ca="1" si="816"/>
        <v>0</v>
      </c>
      <c r="IH104" s="258">
        <f t="shared" ca="1" si="816"/>
        <v>0</v>
      </c>
      <c r="II104" s="258">
        <f t="shared" ca="1" si="816"/>
        <v>0</v>
      </c>
      <c r="IJ104" s="258">
        <f t="shared" ca="1" si="816"/>
        <v>0</v>
      </c>
      <c r="IK104" s="258">
        <f t="shared" ca="1" si="816"/>
        <v>0</v>
      </c>
      <c r="IL104" s="258">
        <f t="shared" ca="1" si="816"/>
        <v>0</v>
      </c>
      <c r="IM104" s="258">
        <f t="shared" ca="1" si="816"/>
        <v>0</v>
      </c>
      <c r="IN104" s="258">
        <f t="shared" ca="1" si="816"/>
        <v>0</v>
      </c>
      <c r="IO104" s="258">
        <f t="shared" ca="1" si="816"/>
        <v>0</v>
      </c>
      <c r="IP104" s="258">
        <f t="shared" ca="1" si="816"/>
        <v>0</v>
      </c>
      <c r="IQ104" s="258">
        <f t="shared" ca="1" si="816"/>
        <v>0</v>
      </c>
      <c r="IR104" s="258">
        <f t="shared" ca="1" si="816"/>
        <v>0</v>
      </c>
      <c r="IS104" s="258">
        <f t="shared" ca="1" si="816"/>
        <v>0</v>
      </c>
      <c r="IT104" s="258">
        <f t="shared" ca="1" si="816"/>
        <v>0</v>
      </c>
      <c r="IU104" s="258">
        <f t="shared" ca="1" si="816"/>
        <v>0</v>
      </c>
      <c r="IV104" s="258">
        <f t="shared" ca="1" si="816"/>
        <v>0</v>
      </c>
      <c r="IW104" s="258">
        <f t="shared" ca="1" si="816"/>
        <v>0</v>
      </c>
      <c r="IX104" s="258">
        <f t="shared" ca="1" si="816"/>
        <v>0</v>
      </c>
      <c r="IY104" s="258">
        <f t="shared" ca="1" si="816"/>
        <v>0</v>
      </c>
      <c r="IZ104" s="258">
        <f t="shared" ca="1" si="816"/>
        <v>0</v>
      </c>
      <c r="JA104" s="258">
        <f t="shared" ref="JA104:KB104" ca="1" si="817">JA103-IZ103</f>
        <v>0</v>
      </c>
      <c r="JB104" s="258">
        <f t="shared" ca="1" si="817"/>
        <v>0</v>
      </c>
      <c r="JC104" s="258">
        <f t="shared" ca="1" si="817"/>
        <v>0</v>
      </c>
      <c r="JD104" s="258">
        <f t="shared" ca="1" si="817"/>
        <v>0</v>
      </c>
      <c r="JE104" s="258">
        <f t="shared" ca="1" si="817"/>
        <v>0</v>
      </c>
      <c r="JF104" s="258">
        <f t="shared" ca="1" si="817"/>
        <v>0</v>
      </c>
      <c r="JG104" s="258">
        <f t="shared" ca="1" si="817"/>
        <v>0</v>
      </c>
      <c r="JH104" s="258">
        <f t="shared" ca="1" si="817"/>
        <v>0</v>
      </c>
      <c r="JI104" s="258">
        <f t="shared" ca="1" si="817"/>
        <v>0</v>
      </c>
      <c r="JJ104" s="258">
        <f t="shared" ca="1" si="817"/>
        <v>0</v>
      </c>
      <c r="JK104" s="258">
        <f t="shared" ca="1" si="817"/>
        <v>0</v>
      </c>
      <c r="JL104" s="258">
        <f t="shared" ca="1" si="817"/>
        <v>0</v>
      </c>
      <c r="JM104" s="258">
        <f t="shared" ca="1" si="817"/>
        <v>0</v>
      </c>
      <c r="JN104" s="258">
        <f t="shared" ca="1" si="817"/>
        <v>0</v>
      </c>
      <c r="JO104" s="258">
        <f t="shared" ca="1" si="817"/>
        <v>0</v>
      </c>
      <c r="JP104" s="258">
        <f t="shared" ca="1" si="817"/>
        <v>0</v>
      </c>
      <c r="JQ104" s="258">
        <f t="shared" ca="1" si="817"/>
        <v>0</v>
      </c>
      <c r="JR104" s="258">
        <f t="shared" ca="1" si="817"/>
        <v>0</v>
      </c>
      <c r="JS104" s="258">
        <f t="shared" ca="1" si="817"/>
        <v>0</v>
      </c>
      <c r="JT104" s="258">
        <f t="shared" ca="1" si="817"/>
        <v>0</v>
      </c>
      <c r="JU104" s="258">
        <f t="shared" ca="1" si="817"/>
        <v>0</v>
      </c>
      <c r="JV104" s="258">
        <f t="shared" ca="1" si="817"/>
        <v>0</v>
      </c>
      <c r="JW104" s="258">
        <f t="shared" ca="1" si="817"/>
        <v>0</v>
      </c>
      <c r="JX104" s="258">
        <f t="shared" ca="1" si="817"/>
        <v>0</v>
      </c>
      <c r="JY104" s="258">
        <f t="shared" ca="1" si="817"/>
        <v>0</v>
      </c>
      <c r="JZ104" s="258">
        <f t="shared" ca="1" si="817"/>
        <v>0</v>
      </c>
      <c r="KA104" s="258">
        <f t="shared" ca="1" si="817"/>
        <v>0</v>
      </c>
      <c r="KB104" s="258">
        <f t="shared" ca="1" si="817"/>
        <v>0</v>
      </c>
    </row>
    <row r="105" spans="1:288" x14ac:dyDescent="0.3">
      <c r="A105" s="169" t="s">
        <v>279</v>
      </c>
      <c r="B105" s="39"/>
      <c r="C105" s="33">
        <f ca="1">IF(-C39&lt;=$B$95,0,IF(-C39-$B$95&lt;=$B$104,C103,-C39-C99))</f>
        <v>0</v>
      </c>
      <c r="D105" s="33">
        <f ca="1">IF(-D39&lt;=$B$95,0,IF(-D39-$B$95&lt;=$B$104,D103,-D39-D99))</f>
        <v>6.8097661006957679</v>
      </c>
      <c r="E105" s="33">
        <f t="shared" ref="E105:BP105" ca="1" si="818">IF(-E39&lt;=$B$95,0,IF(-E39-$B$95&lt;=$B$104,E103,-E39-E99))</f>
        <v>15.280406327519273</v>
      </c>
      <c r="F105" s="33">
        <f t="shared" ca="1" si="818"/>
        <v>21.263761110233901</v>
      </c>
      <c r="G105" s="33">
        <f t="shared" ca="1" si="818"/>
        <v>27.294923659833358</v>
      </c>
      <c r="H105" s="33">
        <f t="shared" ca="1" si="818"/>
        <v>33.374275966464907</v>
      </c>
      <c r="I105" s="33">
        <f t="shared" ca="1" si="818"/>
        <v>39.502203072425729</v>
      </c>
      <c r="J105" s="33">
        <f t="shared" ca="1" si="818"/>
        <v>45.679093096550005</v>
      </c>
      <c r="K105" s="33">
        <f t="shared" ca="1" si="818"/>
        <v>51.929737191247767</v>
      </c>
      <c r="L105" s="33">
        <f t="shared" ca="1" si="818"/>
        <v>56.097836032463178</v>
      </c>
      <c r="M105" s="33">
        <f t="shared" ca="1" si="818"/>
        <v>61.672991182742173</v>
      </c>
      <c r="N105" s="33">
        <f t="shared" ca="1" si="818"/>
        <v>65.174836198255946</v>
      </c>
      <c r="O105" s="33">
        <f t="shared" ca="1" si="818"/>
        <v>68.692042700476776</v>
      </c>
      <c r="P105" s="33">
        <f t="shared" ca="1" si="818"/>
        <v>76.206010668276534</v>
      </c>
      <c r="Q105" s="33">
        <f t="shared" ca="1" si="818"/>
        <v>83.222490217648797</v>
      </c>
      <c r="R105" s="33">
        <f t="shared" ca="1" si="818"/>
        <v>89.820481575283821</v>
      </c>
      <c r="S105" s="33">
        <f t="shared" ca="1" si="818"/>
        <v>96.447416234545429</v>
      </c>
      <c r="T105" s="33">
        <f t="shared" ca="1" si="818"/>
        <v>103.10342116054517</v>
      </c>
      <c r="U105" s="33">
        <f t="shared" ca="1" si="818"/>
        <v>109.7886238753505</v>
      </c>
      <c r="V105" s="33">
        <f t="shared" ca="1" si="818"/>
        <v>117.07984509546284</v>
      </c>
      <c r="W105" s="33">
        <f t="shared" ca="1" si="818"/>
        <v>123.85230507609784</v>
      </c>
      <c r="X105" s="33">
        <f t="shared" ca="1" si="818"/>
        <v>130.65447369703691</v>
      </c>
      <c r="Y105" s="33">
        <f t="shared" ca="1" si="818"/>
        <v>140.49306763280288</v>
      </c>
      <c r="Z105" s="33">
        <f t="shared" ca="1" si="818"/>
        <v>150.15370248457356</v>
      </c>
      <c r="AA105" s="33">
        <f t="shared" ca="1" si="818"/>
        <v>159.66943852970735</v>
      </c>
      <c r="AB105" s="33">
        <f t="shared" ca="1" si="818"/>
        <v>162.96804937579876</v>
      </c>
      <c r="AC105" s="33">
        <f t="shared" ca="1" si="818"/>
        <v>166.28113018456395</v>
      </c>
      <c r="AD105" s="33">
        <f t="shared" ca="1" si="818"/>
        <v>169.60874443115344</v>
      </c>
      <c r="AE105" s="33">
        <f t="shared" ca="1" si="818"/>
        <v>172.95095586916307</v>
      </c>
      <c r="AF105" s="33">
        <f t="shared" ca="1" si="818"/>
        <v>176.31864458020186</v>
      </c>
      <c r="AG105" s="33">
        <f t="shared" ca="1" si="818"/>
        <v>179.70110627666375</v>
      </c>
      <c r="AH105" s="33">
        <f t="shared" ca="1" si="818"/>
        <v>190.66549872573569</v>
      </c>
      <c r="AI105" s="33">
        <f t="shared" ca="1" si="818"/>
        <v>200.08659811043648</v>
      </c>
      <c r="AJ105" s="33">
        <f t="shared" ca="1" si="818"/>
        <v>209.14725713106023</v>
      </c>
      <c r="AK105" s="33">
        <f t="shared" ca="1" si="818"/>
        <v>215.6386548382799</v>
      </c>
      <c r="AL105" s="33">
        <f t="shared" ca="1" si="818"/>
        <v>222.15852825448948</v>
      </c>
      <c r="AM105" s="33">
        <f t="shared" ca="1" si="818"/>
        <v>228.70700229361952</v>
      </c>
      <c r="AN105" s="33">
        <f t="shared" ca="1" si="818"/>
        <v>235.28420241755856</v>
      </c>
      <c r="AO105" s="33">
        <f t="shared" ca="1" si="818"/>
        <v>241.91345845102595</v>
      </c>
      <c r="AP105" s="33">
        <f t="shared" ca="1" si="818"/>
        <v>248.5717949343661</v>
      </c>
      <c r="AQ105" s="33">
        <f t="shared" ca="1" si="818"/>
        <v>256.76762488626559</v>
      </c>
      <c r="AR105" s="33">
        <f t="shared" ca="1" si="818"/>
        <v>264.43943440205783</v>
      </c>
      <c r="AS105" s="33">
        <f t="shared" ca="1" si="818"/>
        <v>272.13591276120866</v>
      </c>
      <c r="AT105" s="33">
        <f t="shared" ca="1" si="818"/>
        <v>274.26901449654144</v>
      </c>
      <c r="AU105" s="33">
        <f t="shared" ca="1" si="818"/>
        <v>276.41147347464397</v>
      </c>
      <c r="AV105" s="33">
        <f t="shared" ca="1" si="818"/>
        <v>278.5633307427812</v>
      </c>
      <c r="AW105" s="33">
        <f t="shared" ca="1" si="818"/>
        <v>280.7246275282796</v>
      </c>
      <c r="AX105" s="33">
        <f t="shared" ca="1" si="818"/>
        <v>282.8954052393168</v>
      </c>
      <c r="AY105" s="33">
        <f t="shared" ca="1" si="818"/>
        <v>285.07570546571492</v>
      </c>
      <c r="AZ105" s="33">
        <f t="shared" ca="1" si="818"/>
        <v>288.26449410654186</v>
      </c>
      <c r="BA105" s="33">
        <f t="shared" ca="1" si="818"/>
        <v>290.47318134985636</v>
      </c>
      <c r="BB105" s="33">
        <f t="shared" ca="1" si="818"/>
        <v>292.69155740566191</v>
      </c>
      <c r="BC105" s="33">
        <f t="shared" ca="1" si="818"/>
        <v>294.91966477571509</v>
      </c>
      <c r="BD105" s="33">
        <f t="shared" ca="1" si="818"/>
        <v>297.15754614821429</v>
      </c>
      <c r="BE105" s="33">
        <f t="shared" ca="1" si="818"/>
        <v>300.00044746913852</v>
      </c>
      <c r="BF105" s="33">
        <f t="shared" ca="1" si="818"/>
        <v>300.00044746913852</v>
      </c>
      <c r="BG105" s="33">
        <f t="shared" ca="1" si="818"/>
        <v>300.00044746913852</v>
      </c>
      <c r="BH105" s="33">
        <f t="shared" ca="1" si="818"/>
        <v>300.00044746913852</v>
      </c>
      <c r="BI105" s="33">
        <f t="shared" ca="1" si="818"/>
        <v>300.00044746913852</v>
      </c>
      <c r="BJ105" s="33">
        <f t="shared" ca="1" si="818"/>
        <v>300.00044746913852</v>
      </c>
      <c r="BK105" s="33">
        <f t="shared" ca="1" si="818"/>
        <v>300.00044746913852</v>
      </c>
      <c r="BL105" s="33">
        <f t="shared" ca="1" si="818"/>
        <v>300.00044746913852</v>
      </c>
      <c r="BM105" s="33">
        <f t="shared" ca="1" si="818"/>
        <v>300.00044746913852</v>
      </c>
      <c r="BN105" s="33">
        <f t="shared" ca="1" si="818"/>
        <v>300.00044746913852</v>
      </c>
      <c r="BO105" s="33">
        <f t="shared" ca="1" si="818"/>
        <v>300.00044746913852</v>
      </c>
      <c r="BP105" s="33">
        <f t="shared" ca="1" si="818"/>
        <v>300.00044746913852</v>
      </c>
      <c r="BQ105" s="33">
        <f t="shared" ref="BQ105:EB105" ca="1" si="819">IF(-BQ39&lt;=$B$95,0,IF(-BQ39-$B$95&lt;=$B$104,BQ103,-BQ39-BQ99))</f>
        <v>300.00044746913852</v>
      </c>
      <c r="BR105" s="33">
        <f t="shared" ca="1" si="819"/>
        <v>300.00044746913852</v>
      </c>
      <c r="BS105" s="33">
        <f t="shared" ca="1" si="819"/>
        <v>300.00044746913852</v>
      </c>
      <c r="BT105" s="33">
        <f t="shared" ca="1" si="819"/>
        <v>300.00044746913852</v>
      </c>
      <c r="BU105" s="33">
        <f t="shared" ca="1" si="819"/>
        <v>300.00044746913852</v>
      </c>
      <c r="BV105" s="33">
        <f t="shared" ca="1" si="819"/>
        <v>300.00044746913852</v>
      </c>
      <c r="BW105" s="33">
        <f t="shared" ca="1" si="819"/>
        <v>300.00044746913852</v>
      </c>
      <c r="BX105" s="33">
        <f t="shared" ca="1" si="819"/>
        <v>300.00044746913852</v>
      </c>
      <c r="BY105" s="33">
        <f t="shared" ca="1" si="819"/>
        <v>300.00044746913852</v>
      </c>
      <c r="BZ105" s="33">
        <f t="shared" ca="1" si="819"/>
        <v>300.00044746913852</v>
      </c>
      <c r="CA105" s="33">
        <f t="shared" ca="1" si="819"/>
        <v>300.00044746913852</v>
      </c>
      <c r="CB105" s="33">
        <f t="shared" ca="1" si="819"/>
        <v>300.00044746913852</v>
      </c>
      <c r="CC105" s="33">
        <f t="shared" ca="1" si="819"/>
        <v>300.00044746913852</v>
      </c>
      <c r="CD105" s="33">
        <f t="shared" ca="1" si="819"/>
        <v>300.00044746913852</v>
      </c>
      <c r="CE105" s="33">
        <f t="shared" ca="1" si="819"/>
        <v>300.00044746913852</v>
      </c>
      <c r="CF105" s="33">
        <f t="shared" ca="1" si="819"/>
        <v>300.00044746913852</v>
      </c>
      <c r="CG105" s="33">
        <f t="shared" ca="1" si="819"/>
        <v>300.00044746913852</v>
      </c>
      <c r="CH105" s="33">
        <f t="shared" ca="1" si="819"/>
        <v>300.00044746913852</v>
      </c>
      <c r="CI105" s="33">
        <f t="shared" ca="1" si="819"/>
        <v>300.00044746913852</v>
      </c>
      <c r="CJ105" s="33">
        <f t="shared" ca="1" si="819"/>
        <v>300.00044746913852</v>
      </c>
      <c r="CK105" s="33">
        <f t="shared" ca="1" si="819"/>
        <v>300.00044746913852</v>
      </c>
      <c r="CL105" s="33">
        <f t="shared" ca="1" si="819"/>
        <v>300.00044746913852</v>
      </c>
      <c r="CM105" s="33">
        <f t="shared" ca="1" si="819"/>
        <v>300.00044746913852</v>
      </c>
      <c r="CN105" s="33">
        <f t="shared" ca="1" si="819"/>
        <v>300.00044746913852</v>
      </c>
      <c r="CO105" s="33">
        <f t="shared" ca="1" si="819"/>
        <v>300.00044746913852</v>
      </c>
      <c r="CP105" s="33">
        <f t="shared" ca="1" si="819"/>
        <v>300.00044746913852</v>
      </c>
      <c r="CQ105" s="33">
        <f t="shared" ca="1" si="819"/>
        <v>300.00044746913852</v>
      </c>
      <c r="CR105" s="33">
        <f t="shared" ca="1" si="819"/>
        <v>300.00044746913852</v>
      </c>
      <c r="CS105" s="33">
        <f t="shared" ca="1" si="819"/>
        <v>300.00044746913852</v>
      </c>
      <c r="CT105" s="33">
        <f t="shared" ca="1" si="819"/>
        <v>300.00044746913852</v>
      </c>
      <c r="CU105" s="33">
        <f t="shared" ca="1" si="819"/>
        <v>300.00044746913852</v>
      </c>
      <c r="CV105" s="33">
        <f t="shared" ca="1" si="819"/>
        <v>300.00044746913852</v>
      </c>
      <c r="CW105" s="33">
        <f t="shared" ca="1" si="819"/>
        <v>300.00044746913852</v>
      </c>
      <c r="CX105" s="33">
        <f t="shared" ca="1" si="819"/>
        <v>300.00044746913852</v>
      </c>
      <c r="CY105" s="33">
        <f t="shared" ca="1" si="819"/>
        <v>300.00044746913852</v>
      </c>
      <c r="CZ105" s="33">
        <f t="shared" ca="1" si="819"/>
        <v>300.00044746913852</v>
      </c>
      <c r="DA105" s="33">
        <f t="shared" ca="1" si="819"/>
        <v>300.00044746913852</v>
      </c>
      <c r="DB105" s="33">
        <f t="shared" ca="1" si="819"/>
        <v>300.00044746913852</v>
      </c>
      <c r="DC105" s="33">
        <f t="shared" ca="1" si="819"/>
        <v>300.00044746913852</v>
      </c>
      <c r="DD105" s="33">
        <f t="shared" ca="1" si="819"/>
        <v>300.00044746913852</v>
      </c>
      <c r="DE105" s="33">
        <f t="shared" ca="1" si="819"/>
        <v>300.00044746913852</v>
      </c>
      <c r="DF105" s="33">
        <f t="shared" ca="1" si="819"/>
        <v>300.00044746913852</v>
      </c>
      <c r="DG105" s="33">
        <f t="shared" ca="1" si="819"/>
        <v>300.00044746913852</v>
      </c>
      <c r="DH105" s="33">
        <f t="shared" ca="1" si="819"/>
        <v>300.00044746913852</v>
      </c>
      <c r="DI105" s="33">
        <f t="shared" ca="1" si="819"/>
        <v>300.00044746913852</v>
      </c>
      <c r="DJ105" s="33">
        <f t="shared" ca="1" si="819"/>
        <v>300.00044746913852</v>
      </c>
      <c r="DK105" s="33">
        <f t="shared" ca="1" si="819"/>
        <v>300.00044746913852</v>
      </c>
      <c r="DL105" s="33">
        <f t="shared" ca="1" si="819"/>
        <v>300.00044746913852</v>
      </c>
      <c r="DM105" s="33">
        <f t="shared" ca="1" si="819"/>
        <v>300.00044746913852</v>
      </c>
      <c r="DN105" s="33">
        <f t="shared" ca="1" si="819"/>
        <v>300.00044746913852</v>
      </c>
      <c r="DO105" s="33">
        <f t="shared" ca="1" si="819"/>
        <v>300.00044746913852</v>
      </c>
      <c r="DP105" s="33">
        <f t="shared" ca="1" si="819"/>
        <v>300.00044746913852</v>
      </c>
      <c r="DQ105" s="33">
        <f t="shared" ca="1" si="819"/>
        <v>300.00044746913852</v>
      </c>
      <c r="DR105" s="33">
        <f t="shared" ca="1" si="819"/>
        <v>300.00044746913852</v>
      </c>
      <c r="DS105" s="33">
        <f t="shared" ca="1" si="819"/>
        <v>300.00044746913852</v>
      </c>
      <c r="DT105" s="33">
        <f t="shared" ca="1" si="819"/>
        <v>300.00044746913852</v>
      </c>
      <c r="DU105" s="33">
        <f t="shared" ca="1" si="819"/>
        <v>300.00044746913852</v>
      </c>
      <c r="DV105" s="33">
        <f t="shared" ca="1" si="819"/>
        <v>300.00044746913852</v>
      </c>
      <c r="DW105" s="33">
        <f t="shared" ca="1" si="819"/>
        <v>300.00044746913852</v>
      </c>
      <c r="DX105" s="33">
        <f t="shared" ca="1" si="819"/>
        <v>300.00044746913852</v>
      </c>
      <c r="DY105" s="33">
        <f t="shared" ca="1" si="819"/>
        <v>300.00044746913852</v>
      </c>
      <c r="DZ105" s="33">
        <f t="shared" ca="1" si="819"/>
        <v>300.00044746913852</v>
      </c>
      <c r="EA105" s="33">
        <f t="shared" ca="1" si="819"/>
        <v>300.00044746913852</v>
      </c>
      <c r="EB105" s="33">
        <f t="shared" ca="1" si="819"/>
        <v>300.00044746913852</v>
      </c>
      <c r="EC105" s="33">
        <f t="shared" ref="EC105:GN105" ca="1" si="820">IF(-EC39&lt;=$B$95,0,IF(-EC39-$B$95&lt;=$B$104,EC103,-EC39-EC99))</f>
        <v>300.00044746913852</v>
      </c>
      <c r="ED105" s="33">
        <f t="shared" ca="1" si="820"/>
        <v>300.00044746913852</v>
      </c>
      <c r="EE105" s="33">
        <f t="shared" ca="1" si="820"/>
        <v>300.00044746913852</v>
      </c>
      <c r="EF105" s="33">
        <f t="shared" ca="1" si="820"/>
        <v>300.00044746913852</v>
      </c>
      <c r="EG105" s="33">
        <f t="shared" ca="1" si="820"/>
        <v>300.00044746913852</v>
      </c>
      <c r="EH105" s="33">
        <f t="shared" ca="1" si="820"/>
        <v>300.00044746913852</v>
      </c>
      <c r="EI105" s="33">
        <f t="shared" ca="1" si="820"/>
        <v>300.00044746913852</v>
      </c>
      <c r="EJ105" s="33">
        <f t="shared" ca="1" si="820"/>
        <v>300.00044746913852</v>
      </c>
      <c r="EK105" s="33">
        <f t="shared" ca="1" si="820"/>
        <v>300.00044746913852</v>
      </c>
      <c r="EL105" s="33">
        <f t="shared" ca="1" si="820"/>
        <v>300.00044746913852</v>
      </c>
      <c r="EM105" s="33">
        <f t="shared" ca="1" si="820"/>
        <v>300.00044746913852</v>
      </c>
      <c r="EN105" s="33">
        <f t="shared" ca="1" si="820"/>
        <v>300.00044746913852</v>
      </c>
      <c r="EO105" s="33">
        <f t="shared" ca="1" si="820"/>
        <v>300.00044746913852</v>
      </c>
      <c r="EP105" s="33">
        <f t="shared" ca="1" si="820"/>
        <v>300.00044746913852</v>
      </c>
      <c r="EQ105" s="33">
        <f t="shared" ca="1" si="820"/>
        <v>300.00044746913852</v>
      </c>
      <c r="ER105" s="33">
        <f t="shared" ca="1" si="820"/>
        <v>300.00044746913852</v>
      </c>
      <c r="ES105" s="33">
        <f t="shared" ca="1" si="820"/>
        <v>300.00044746913852</v>
      </c>
      <c r="ET105" s="33">
        <f t="shared" ca="1" si="820"/>
        <v>300.00044746913852</v>
      </c>
      <c r="EU105" s="33">
        <f t="shared" ca="1" si="820"/>
        <v>300.00044746913852</v>
      </c>
      <c r="EV105" s="33">
        <f t="shared" ca="1" si="820"/>
        <v>300.00044746913852</v>
      </c>
      <c r="EW105" s="33">
        <f t="shared" ca="1" si="820"/>
        <v>300.00044746913852</v>
      </c>
      <c r="EX105" s="33">
        <f t="shared" ca="1" si="820"/>
        <v>300.00044746913852</v>
      </c>
      <c r="EY105" s="33">
        <f t="shared" ca="1" si="820"/>
        <v>300.00044746913852</v>
      </c>
      <c r="EZ105" s="33">
        <f t="shared" ca="1" si="820"/>
        <v>300.00044746913852</v>
      </c>
      <c r="FA105" s="33">
        <f t="shared" ca="1" si="820"/>
        <v>300.00044746913852</v>
      </c>
      <c r="FB105" s="33">
        <f t="shared" ca="1" si="820"/>
        <v>300.00044746913852</v>
      </c>
      <c r="FC105" s="33">
        <f t="shared" ca="1" si="820"/>
        <v>300.00044746913852</v>
      </c>
      <c r="FD105" s="33">
        <f t="shared" ca="1" si="820"/>
        <v>300.00044746913852</v>
      </c>
      <c r="FE105" s="33">
        <f t="shared" ca="1" si="820"/>
        <v>300.00044746913852</v>
      </c>
      <c r="FF105" s="33">
        <f t="shared" ca="1" si="820"/>
        <v>300.00044746913852</v>
      </c>
      <c r="FG105" s="33">
        <f t="shared" ca="1" si="820"/>
        <v>300.00044746913852</v>
      </c>
      <c r="FH105" s="33">
        <f t="shared" ca="1" si="820"/>
        <v>300.00044746913852</v>
      </c>
      <c r="FI105" s="33">
        <f t="shared" ca="1" si="820"/>
        <v>300.00044746913852</v>
      </c>
      <c r="FJ105" s="33">
        <f t="shared" ca="1" si="820"/>
        <v>300.00044746913852</v>
      </c>
      <c r="FK105" s="33">
        <f t="shared" ca="1" si="820"/>
        <v>300.00044746913852</v>
      </c>
      <c r="FL105" s="33">
        <f t="shared" ca="1" si="820"/>
        <v>300.00044746913852</v>
      </c>
      <c r="FM105" s="33">
        <f t="shared" ca="1" si="820"/>
        <v>300.00044746913852</v>
      </c>
      <c r="FN105" s="33">
        <f t="shared" ca="1" si="820"/>
        <v>300.00044746913852</v>
      </c>
      <c r="FO105" s="33">
        <f t="shared" ca="1" si="820"/>
        <v>300.00044746913852</v>
      </c>
      <c r="FP105" s="33">
        <f t="shared" ca="1" si="820"/>
        <v>300.00044746913852</v>
      </c>
      <c r="FQ105" s="33">
        <f t="shared" ca="1" si="820"/>
        <v>300.00044746913852</v>
      </c>
      <c r="FR105" s="33">
        <f t="shared" ca="1" si="820"/>
        <v>300.00044746913852</v>
      </c>
      <c r="FS105" s="33">
        <f t="shared" ca="1" si="820"/>
        <v>300.00044746913852</v>
      </c>
      <c r="FT105" s="33">
        <f t="shared" ca="1" si="820"/>
        <v>300.00044746913852</v>
      </c>
      <c r="FU105" s="33">
        <f t="shared" ca="1" si="820"/>
        <v>300.00044746913852</v>
      </c>
      <c r="FV105" s="33">
        <f t="shared" ca="1" si="820"/>
        <v>300.00044746913852</v>
      </c>
      <c r="FW105" s="33">
        <f t="shared" ca="1" si="820"/>
        <v>300.00044746913852</v>
      </c>
      <c r="FX105" s="33">
        <f t="shared" ca="1" si="820"/>
        <v>300.00044746913852</v>
      </c>
      <c r="FY105" s="33">
        <f t="shared" ca="1" si="820"/>
        <v>300.00044746913852</v>
      </c>
      <c r="FZ105" s="33">
        <f t="shared" ca="1" si="820"/>
        <v>300.00044746913852</v>
      </c>
      <c r="GA105" s="33">
        <f t="shared" ca="1" si="820"/>
        <v>300.00044746913852</v>
      </c>
      <c r="GB105" s="33">
        <f t="shared" ca="1" si="820"/>
        <v>300.00044746913852</v>
      </c>
      <c r="GC105" s="33">
        <f t="shared" ca="1" si="820"/>
        <v>300.00044746913852</v>
      </c>
      <c r="GD105" s="33">
        <f t="shared" ca="1" si="820"/>
        <v>300.00044746913852</v>
      </c>
      <c r="GE105" s="33">
        <f t="shared" ca="1" si="820"/>
        <v>300.00044746913852</v>
      </c>
      <c r="GF105" s="33">
        <f t="shared" ca="1" si="820"/>
        <v>300.00044746913852</v>
      </c>
      <c r="GG105" s="33">
        <f t="shared" ca="1" si="820"/>
        <v>300.00044746913852</v>
      </c>
      <c r="GH105" s="33">
        <f t="shared" ca="1" si="820"/>
        <v>300.00044746913852</v>
      </c>
      <c r="GI105" s="33">
        <f t="shared" ca="1" si="820"/>
        <v>300.00044746913852</v>
      </c>
      <c r="GJ105" s="33">
        <f t="shared" ca="1" si="820"/>
        <v>300.00044746913852</v>
      </c>
      <c r="GK105" s="33">
        <f t="shared" ca="1" si="820"/>
        <v>300.00044746913852</v>
      </c>
      <c r="GL105" s="33">
        <f t="shared" ca="1" si="820"/>
        <v>300.00044746913852</v>
      </c>
      <c r="GM105" s="33">
        <f t="shared" ca="1" si="820"/>
        <v>300.00044746913852</v>
      </c>
      <c r="GN105" s="33">
        <f t="shared" ca="1" si="820"/>
        <v>300.00044746913852</v>
      </c>
      <c r="GO105" s="33">
        <f t="shared" ref="GO105:IZ105" ca="1" si="821">IF(-GO39&lt;=$B$95,0,IF(-GO39-$B$95&lt;=$B$104,GO103,-GO39-GO99))</f>
        <v>300.00044746913852</v>
      </c>
      <c r="GP105" s="33">
        <f t="shared" ca="1" si="821"/>
        <v>300.00044746913852</v>
      </c>
      <c r="GQ105" s="33">
        <f t="shared" ca="1" si="821"/>
        <v>300.00044746913852</v>
      </c>
      <c r="GR105" s="33">
        <f t="shared" ca="1" si="821"/>
        <v>300.00044746913852</v>
      </c>
      <c r="GS105" s="33">
        <f t="shared" ca="1" si="821"/>
        <v>300.00044746913852</v>
      </c>
      <c r="GT105" s="33">
        <f t="shared" ca="1" si="821"/>
        <v>300.00044746913852</v>
      </c>
      <c r="GU105" s="33">
        <f t="shared" ca="1" si="821"/>
        <v>300.00044746913852</v>
      </c>
      <c r="GV105" s="33">
        <f t="shared" ca="1" si="821"/>
        <v>300.00044746913852</v>
      </c>
      <c r="GW105" s="33">
        <f t="shared" ca="1" si="821"/>
        <v>300.00044746913852</v>
      </c>
      <c r="GX105" s="33">
        <f t="shared" ca="1" si="821"/>
        <v>300.00044746913852</v>
      </c>
      <c r="GY105" s="33">
        <f t="shared" ca="1" si="821"/>
        <v>300.00044746913852</v>
      </c>
      <c r="GZ105" s="33">
        <f t="shared" ca="1" si="821"/>
        <v>300.00044746913852</v>
      </c>
      <c r="HA105" s="33">
        <f t="shared" ca="1" si="821"/>
        <v>300.00044746913852</v>
      </c>
      <c r="HB105" s="33">
        <f t="shared" ca="1" si="821"/>
        <v>300.00044746913852</v>
      </c>
      <c r="HC105" s="33">
        <f t="shared" ca="1" si="821"/>
        <v>300.00044746913852</v>
      </c>
      <c r="HD105" s="33">
        <f t="shared" ca="1" si="821"/>
        <v>300.00044746913852</v>
      </c>
      <c r="HE105" s="33">
        <f t="shared" ca="1" si="821"/>
        <v>300.00044746913852</v>
      </c>
      <c r="HF105" s="33">
        <f t="shared" ca="1" si="821"/>
        <v>300.00044746913852</v>
      </c>
      <c r="HG105" s="33">
        <f t="shared" ca="1" si="821"/>
        <v>300.00044746913852</v>
      </c>
      <c r="HH105" s="33">
        <f t="shared" ca="1" si="821"/>
        <v>300.00044746913852</v>
      </c>
      <c r="HI105" s="33">
        <f t="shared" ca="1" si="821"/>
        <v>300.00044746913852</v>
      </c>
      <c r="HJ105" s="33">
        <f t="shared" ca="1" si="821"/>
        <v>300.00044746913852</v>
      </c>
      <c r="HK105" s="33">
        <f t="shared" ca="1" si="821"/>
        <v>300.00044746913852</v>
      </c>
      <c r="HL105" s="33">
        <f t="shared" ca="1" si="821"/>
        <v>300.00044746913852</v>
      </c>
      <c r="HM105" s="33">
        <f t="shared" ca="1" si="821"/>
        <v>300.00044746913852</v>
      </c>
      <c r="HN105" s="33">
        <f t="shared" ca="1" si="821"/>
        <v>300.00044746913852</v>
      </c>
      <c r="HO105" s="33">
        <f t="shared" ca="1" si="821"/>
        <v>300.00044746913852</v>
      </c>
      <c r="HP105" s="33">
        <f t="shared" ca="1" si="821"/>
        <v>300.00044746913852</v>
      </c>
      <c r="HQ105" s="33">
        <f t="shared" ca="1" si="821"/>
        <v>300.00044746913852</v>
      </c>
      <c r="HR105" s="33">
        <f t="shared" ca="1" si="821"/>
        <v>300.00044746913852</v>
      </c>
      <c r="HS105" s="33">
        <f t="shared" ca="1" si="821"/>
        <v>300.00044746913852</v>
      </c>
      <c r="HT105" s="33">
        <f t="shared" ca="1" si="821"/>
        <v>300.00044746913852</v>
      </c>
      <c r="HU105" s="33">
        <f t="shared" ca="1" si="821"/>
        <v>300.00044746913852</v>
      </c>
      <c r="HV105" s="33">
        <f t="shared" ca="1" si="821"/>
        <v>300.00044746913852</v>
      </c>
      <c r="HW105" s="33">
        <f t="shared" ca="1" si="821"/>
        <v>300.00044746913852</v>
      </c>
      <c r="HX105" s="33">
        <f t="shared" ca="1" si="821"/>
        <v>300.00044746913852</v>
      </c>
      <c r="HY105" s="33">
        <f t="shared" ca="1" si="821"/>
        <v>300.00044746913852</v>
      </c>
      <c r="HZ105" s="33">
        <f t="shared" ca="1" si="821"/>
        <v>300.00044746913852</v>
      </c>
      <c r="IA105" s="33">
        <f t="shared" ca="1" si="821"/>
        <v>300.00044746913852</v>
      </c>
      <c r="IB105" s="33">
        <f t="shared" ca="1" si="821"/>
        <v>300.00044746913852</v>
      </c>
      <c r="IC105" s="33">
        <f t="shared" ca="1" si="821"/>
        <v>300.00044746913852</v>
      </c>
      <c r="ID105" s="33">
        <f t="shared" ca="1" si="821"/>
        <v>300.00044746913852</v>
      </c>
      <c r="IE105" s="33">
        <f t="shared" ca="1" si="821"/>
        <v>300.00044746913852</v>
      </c>
      <c r="IF105" s="33">
        <f t="shared" ca="1" si="821"/>
        <v>300.00044746913852</v>
      </c>
      <c r="IG105" s="33">
        <f t="shared" ca="1" si="821"/>
        <v>300.00044746913852</v>
      </c>
      <c r="IH105" s="33">
        <f t="shared" ca="1" si="821"/>
        <v>300.00044746913852</v>
      </c>
      <c r="II105" s="33">
        <f t="shared" ca="1" si="821"/>
        <v>300.00044746913852</v>
      </c>
      <c r="IJ105" s="33">
        <f t="shared" ca="1" si="821"/>
        <v>300.00044746913852</v>
      </c>
      <c r="IK105" s="33">
        <f t="shared" ca="1" si="821"/>
        <v>300.00044746913852</v>
      </c>
      <c r="IL105" s="33">
        <f t="shared" ca="1" si="821"/>
        <v>300.00044746913852</v>
      </c>
      <c r="IM105" s="33">
        <f t="shared" ca="1" si="821"/>
        <v>300.00044746913852</v>
      </c>
      <c r="IN105" s="33">
        <f t="shared" ca="1" si="821"/>
        <v>300.00044746913852</v>
      </c>
      <c r="IO105" s="33">
        <f t="shared" ca="1" si="821"/>
        <v>300.00044746913852</v>
      </c>
      <c r="IP105" s="33">
        <f t="shared" ca="1" si="821"/>
        <v>300.00044746913852</v>
      </c>
      <c r="IQ105" s="33">
        <f t="shared" ca="1" si="821"/>
        <v>300.00044746913852</v>
      </c>
      <c r="IR105" s="33">
        <f t="shared" ca="1" si="821"/>
        <v>300.00044746913852</v>
      </c>
      <c r="IS105" s="33">
        <f t="shared" ca="1" si="821"/>
        <v>300.00044746913852</v>
      </c>
      <c r="IT105" s="33">
        <f t="shared" ca="1" si="821"/>
        <v>300.00044746913852</v>
      </c>
      <c r="IU105" s="33">
        <f t="shared" ca="1" si="821"/>
        <v>300.00044746913852</v>
      </c>
      <c r="IV105" s="33">
        <f t="shared" ca="1" si="821"/>
        <v>300.00044746913852</v>
      </c>
      <c r="IW105" s="33">
        <f t="shared" ca="1" si="821"/>
        <v>300.00044746913852</v>
      </c>
      <c r="IX105" s="33">
        <f t="shared" ca="1" si="821"/>
        <v>300.00044746913852</v>
      </c>
      <c r="IY105" s="33">
        <f t="shared" ca="1" si="821"/>
        <v>300.00044746913852</v>
      </c>
      <c r="IZ105" s="33">
        <f t="shared" ca="1" si="821"/>
        <v>300.00044746913852</v>
      </c>
      <c r="JA105" s="33">
        <f t="shared" ref="JA105:KB105" ca="1" si="822">IF(-JA39&lt;=$B$95,0,IF(-JA39-$B$95&lt;=$B$104,JA103,-JA39-JA99))</f>
        <v>300.00044746913852</v>
      </c>
      <c r="JB105" s="33">
        <f t="shared" ca="1" si="822"/>
        <v>300.00044746913852</v>
      </c>
      <c r="JC105" s="33">
        <f t="shared" ca="1" si="822"/>
        <v>300.00044746913852</v>
      </c>
      <c r="JD105" s="33">
        <f t="shared" ca="1" si="822"/>
        <v>300.00044746913852</v>
      </c>
      <c r="JE105" s="33">
        <f t="shared" ca="1" si="822"/>
        <v>300.00044746913852</v>
      </c>
      <c r="JF105" s="33">
        <f t="shared" ca="1" si="822"/>
        <v>300.00044746913852</v>
      </c>
      <c r="JG105" s="33">
        <f t="shared" ca="1" si="822"/>
        <v>300.00044746913852</v>
      </c>
      <c r="JH105" s="33">
        <f t="shared" ca="1" si="822"/>
        <v>300.00044746913852</v>
      </c>
      <c r="JI105" s="33">
        <f t="shared" ca="1" si="822"/>
        <v>300.00044746913852</v>
      </c>
      <c r="JJ105" s="33">
        <f t="shared" ca="1" si="822"/>
        <v>300.00044746913852</v>
      </c>
      <c r="JK105" s="33">
        <f t="shared" ca="1" si="822"/>
        <v>300.00044746913852</v>
      </c>
      <c r="JL105" s="33">
        <f t="shared" ca="1" si="822"/>
        <v>300.00044746913852</v>
      </c>
      <c r="JM105" s="33">
        <f t="shared" ca="1" si="822"/>
        <v>300.00044746913852</v>
      </c>
      <c r="JN105" s="33">
        <f t="shared" ca="1" si="822"/>
        <v>300.00044746913852</v>
      </c>
      <c r="JO105" s="33">
        <f t="shared" ca="1" si="822"/>
        <v>300.00044746913852</v>
      </c>
      <c r="JP105" s="33">
        <f t="shared" ca="1" si="822"/>
        <v>300.00044746913852</v>
      </c>
      <c r="JQ105" s="33">
        <f t="shared" ca="1" si="822"/>
        <v>300.00044746913852</v>
      </c>
      <c r="JR105" s="33">
        <f t="shared" ca="1" si="822"/>
        <v>300.00044746913852</v>
      </c>
      <c r="JS105" s="33">
        <f t="shared" ca="1" si="822"/>
        <v>300.00044746913852</v>
      </c>
      <c r="JT105" s="33">
        <f t="shared" ca="1" si="822"/>
        <v>300.00044746913852</v>
      </c>
      <c r="JU105" s="33">
        <f t="shared" ca="1" si="822"/>
        <v>300.00044746913852</v>
      </c>
      <c r="JV105" s="33">
        <f t="shared" ca="1" si="822"/>
        <v>300.00044746913852</v>
      </c>
      <c r="JW105" s="33">
        <f t="shared" ca="1" si="822"/>
        <v>300.00044746913852</v>
      </c>
      <c r="JX105" s="33">
        <f t="shared" ca="1" si="822"/>
        <v>300.00044746913852</v>
      </c>
      <c r="JY105" s="33">
        <f t="shared" ca="1" si="822"/>
        <v>300.00044746913852</v>
      </c>
      <c r="JZ105" s="33">
        <f t="shared" ca="1" si="822"/>
        <v>300.00044746913852</v>
      </c>
      <c r="KA105" s="33">
        <f t="shared" ca="1" si="822"/>
        <v>300.00044746913852</v>
      </c>
      <c r="KB105" s="33">
        <f t="shared" ca="1" si="822"/>
        <v>300.00044746913852</v>
      </c>
    </row>
    <row r="106" spans="1:288" x14ac:dyDescent="0.3">
      <c r="A106" s="290" t="s">
        <v>280</v>
      </c>
      <c r="B106" s="39"/>
      <c r="C106" s="54">
        <f ca="1">C105-B105</f>
        <v>0</v>
      </c>
      <c r="D106" s="54">
        <f ca="1">D105-C105</f>
        <v>6.8097661006957679</v>
      </c>
      <c r="E106" s="54">
        <f t="shared" ref="E106:BP106" ca="1" si="823">E105-D105</f>
        <v>8.4706402268235053</v>
      </c>
      <c r="F106" s="54">
        <f t="shared" ca="1" si="823"/>
        <v>5.9833547827146276</v>
      </c>
      <c r="G106" s="54">
        <f t="shared" ca="1" si="823"/>
        <v>6.0311625495994576</v>
      </c>
      <c r="H106" s="54">
        <f t="shared" ca="1" si="823"/>
        <v>6.0793523066315487</v>
      </c>
      <c r="I106" s="54">
        <f t="shared" ca="1" si="823"/>
        <v>6.127927105960822</v>
      </c>
      <c r="J106" s="54">
        <f t="shared" ca="1" si="823"/>
        <v>6.1768900241242761</v>
      </c>
      <c r="K106" s="54">
        <f t="shared" ca="1" si="823"/>
        <v>6.2506440946977619</v>
      </c>
      <c r="L106" s="54">
        <f t="shared" ca="1" si="823"/>
        <v>4.1680988412154107</v>
      </c>
      <c r="M106" s="54">
        <f t="shared" ca="1" si="823"/>
        <v>5.5751551502789951</v>
      </c>
      <c r="N106" s="54">
        <f t="shared" ca="1" si="823"/>
        <v>3.5018450155137728</v>
      </c>
      <c r="O106" s="54">
        <f t="shared" ca="1" si="823"/>
        <v>3.5172065022208301</v>
      </c>
      <c r="P106" s="54">
        <f t="shared" ca="1" si="823"/>
        <v>7.5139679677997577</v>
      </c>
      <c r="Q106" s="54">
        <f t="shared" ca="1" si="823"/>
        <v>7.0164795493722636</v>
      </c>
      <c r="R106" s="54">
        <f t="shared" ca="1" si="823"/>
        <v>6.5979913576350242</v>
      </c>
      <c r="S106" s="54">
        <f t="shared" ca="1" si="823"/>
        <v>6.6269346592616074</v>
      </c>
      <c r="T106" s="54">
        <f t="shared" ca="1" si="823"/>
        <v>6.6560049259997385</v>
      </c>
      <c r="U106" s="54">
        <f t="shared" ca="1" si="823"/>
        <v>6.6852027148053281</v>
      </c>
      <c r="V106" s="54">
        <f t="shared" ca="1" si="823"/>
        <v>7.2912212201123481</v>
      </c>
      <c r="W106" s="54">
        <f t="shared" ca="1" si="823"/>
        <v>6.7724599806349914</v>
      </c>
      <c r="X106" s="54">
        <f t="shared" ca="1" si="823"/>
        <v>6.8021686209390708</v>
      </c>
      <c r="Y106" s="54">
        <f t="shared" ca="1" si="823"/>
        <v>9.8385939357659709</v>
      </c>
      <c r="Z106" s="54">
        <f t="shared" ca="1" si="823"/>
        <v>9.6606348517706806</v>
      </c>
      <c r="AA106" s="54">
        <f t="shared" ca="1" si="823"/>
        <v>9.5157360451337922</v>
      </c>
      <c r="AB106" s="54">
        <f t="shared" ca="1" si="823"/>
        <v>3.2986108460914068</v>
      </c>
      <c r="AC106" s="54">
        <f t="shared" ca="1" si="823"/>
        <v>3.3130808087651928</v>
      </c>
      <c r="AD106" s="54">
        <f t="shared" ca="1" si="823"/>
        <v>3.3276142465894907</v>
      </c>
      <c r="AE106" s="54">
        <f t="shared" ca="1" si="823"/>
        <v>3.3422114380096275</v>
      </c>
      <c r="AF106" s="54">
        <f t="shared" ca="1" si="823"/>
        <v>3.3676887110387952</v>
      </c>
      <c r="AG106" s="54">
        <f t="shared" ca="1" si="823"/>
        <v>3.3824616964618883</v>
      </c>
      <c r="AH106" s="54">
        <f t="shared" ca="1" si="823"/>
        <v>10.964392449071937</v>
      </c>
      <c r="AI106" s="54">
        <f t="shared" ca="1" si="823"/>
        <v>9.4210993847007956</v>
      </c>
      <c r="AJ106" s="54">
        <f t="shared" ca="1" si="823"/>
        <v>9.0606590206237456</v>
      </c>
      <c r="AK106" s="54">
        <f t="shared" ca="1" si="823"/>
        <v>6.4913977072196758</v>
      </c>
      <c r="AL106" s="54">
        <f t="shared" ca="1" si="823"/>
        <v>6.5198734162095775</v>
      </c>
      <c r="AM106" s="54">
        <f t="shared" ca="1" si="823"/>
        <v>6.548474039130042</v>
      </c>
      <c r="AN106" s="54">
        <f t="shared" ca="1" si="823"/>
        <v>6.5772001239390363</v>
      </c>
      <c r="AO106" s="54">
        <f t="shared" ca="1" si="823"/>
        <v>6.6292560334673851</v>
      </c>
      <c r="AP106" s="54">
        <f t="shared" ca="1" si="823"/>
        <v>6.6583364833401504</v>
      </c>
      <c r="AQ106" s="54">
        <f t="shared" ca="1" si="823"/>
        <v>8.1958299518994977</v>
      </c>
      <c r="AR106" s="54">
        <f t="shared" ca="1" si="823"/>
        <v>7.6718095157922335</v>
      </c>
      <c r="AS106" s="54">
        <f t="shared" ca="1" si="823"/>
        <v>7.6964783591508308</v>
      </c>
      <c r="AT106" s="54">
        <f t="shared" ca="1" si="823"/>
        <v>2.1331017353327866</v>
      </c>
      <c r="AU106" s="54">
        <f t="shared" ca="1" si="823"/>
        <v>2.1424589781025247</v>
      </c>
      <c r="AV106" s="54">
        <f t="shared" ca="1" si="823"/>
        <v>2.1518572681372348</v>
      </c>
      <c r="AW106" s="54">
        <f t="shared" ca="1" si="823"/>
        <v>2.1612967854983935</v>
      </c>
      <c r="AX106" s="54">
        <f t="shared" ca="1" si="823"/>
        <v>2.1707777110372035</v>
      </c>
      <c r="AY106" s="54">
        <f t="shared" ca="1" si="823"/>
        <v>2.180300226398117</v>
      </c>
      <c r="AZ106" s="54">
        <f t="shared" ca="1" si="823"/>
        <v>3.1887886408269424</v>
      </c>
      <c r="BA106" s="54">
        <f t="shared" ca="1" si="823"/>
        <v>2.2086872433145004</v>
      </c>
      <c r="BB106" s="54">
        <f t="shared" ca="1" si="823"/>
        <v>2.2183760558055496</v>
      </c>
      <c r="BC106" s="54">
        <f t="shared" ca="1" si="823"/>
        <v>2.2281073700531806</v>
      </c>
      <c r="BD106" s="54">
        <f t="shared" ca="1" si="823"/>
        <v>2.2378813724992028</v>
      </c>
      <c r="BE106" s="54">
        <f ca="1">BE105-BD105</f>
        <v>2.8429013209242271</v>
      </c>
      <c r="BF106" s="54">
        <f t="shared" ca="1" si="823"/>
        <v>0</v>
      </c>
      <c r="BG106" s="54">
        <f t="shared" ca="1" si="823"/>
        <v>0</v>
      </c>
      <c r="BH106" s="54">
        <f t="shared" ca="1" si="823"/>
        <v>0</v>
      </c>
      <c r="BI106" s="54">
        <f t="shared" ca="1" si="823"/>
        <v>0</v>
      </c>
      <c r="BJ106" s="54">
        <f t="shared" ca="1" si="823"/>
        <v>0</v>
      </c>
      <c r="BK106" s="54">
        <f t="shared" ca="1" si="823"/>
        <v>0</v>
      </c>
      <c r="BL106" s="54">
        <f t="shared" ca="1" si="823"/>
        <v>0</v>
      </c>
      <c r="BM106" s="54">
        <f t="shared" ca="1" si="823"/>
        <v>0</v>
      </c>
      <c r="BN106" s="54">
        <f t="shared" ca="1" si="823"/>
        <v>0</v>
      </c>
      <c r="BO106" s="54">
        <f t="shared" ca="1" si="823"/>
        <v>0</v>
      </c>
      <c r="BP106" s="54">
        <f t="shared" ca="1" si="823"/>
        <v>0</v>
      </c>
      <c r="BQ106" s="54">
        <f t="shared" ref="BQ106:EB106" ca="1" si="824">BQ105-BP105</f>
        <v>0</v>
      </c>
      <c r="BR106" s="54">
        <f t="shared" ca="1" si="824"/>
        <v>0</v>
      </c>
      <c r="BS106" s="54">
        <f t="shared" ca="1" si="824"/>
        <v>0</v>
      </c>
      <c r="BT106" s="54">
        <f t="shared" ca="1" si="824"/>
        <v>0</v>
      </c>
      <c r="BU106" s="54">
        <f t="shared" ca="1" si="824"/>
        <v>0</v>
      </c>
      <c r="BV106" s="54">
        <f t="shared" ca="1" si="824"/>
        <v>0</v>
      </c>
      <c r="BW106" s="54">
        <f t="shared" ca="1" si="824"/>
        <v>0</v>
      </c>
      <c r="BX106" s="54">
        <f t="shared" ca="1" si="824"/>
        <v>0</v>
      </c>
      <c r="BY106" s="54">
        <f t="shared" ca="1" si="824"/>
        <v>0</v>
      </c>
      <c r="BZ106" s="54">
        <f t="shared" ca="1" si="824"/>
        <v>0</v>
      </c>
      <c r="CA106" s="54">
        <f t="shared" ca="1" si="824"/>
        <v>0</v>
      </c>
      <c r="CB106" s="54">
        <f t="shared" ca="1" si="824"/>
        <v>0</v>
      </c>
      <c r="CC106" s="54">
        <f t="shared" ca="1" si="824"/>
        <v>0</v>
      </c>
      <c r="CD106" s="54">
        <f t="shared" ca="1" si="824"/>
        <v>0</v>
      </c>
      <c r="CE106" s="54">
        <f t="shared" ca="1" si="824"/>
        <v>0</v>
      </c>
      <c r="CF106" s="54">
        <f t="shared" ca="1" si="824"/>
        <v>0</v>
      </c>
      <c r="CG106" s="54">
        <f t="shared" ca="1" si="824"/>
        <v>0</v>
      </c>
      <c r="CH106" s="54">
        <f t="shared" ca="1" si="824"/>
        <v>0</v>
      </c>
      <c r="CI106" s="54">
        <f t="shared" ca="1" si="824"/>
        <v>0</v>
      </c>
      <c r="CJ106" s="54">
        <f t="shared" ca="1" si="824"/>
        <v>0</v>
      </c>
      <c r="CK106" s="54">
        <f t="shared" ca="1" si="824"/>
        <v>0</v>
      </c>
      <c r="CL106" s="54">
        <f t="shared" ca="1" si="824"/>
        <v>0</v>
      </c>
      <c r="CM106" s="54">
        <f t="shared" ca="1" si="824"/>
        <v>0</v>
      </c>
      <c r="CN106" s="54">
        <f t="shared" ca="1" si="824"/>
        <v>0</v>
      </c>
      <c r="CO106" s="54">
        <f t="shared" ca="1" si="824"/>
        <v>0</v>
      </c>
      <c r="CP106" s="54">
        <f t="shared" ca="1" si="824"/>
        <v>0</v>
      </c>
      <c r="CQ106" s="54">
        <f t="shared" ca="1" si="824"/>
        <v>0</v>
      </c>
      <c r="CR106" s="54">
        <f t="shared" ca="1" si="824"/>
        <v>0</v>
      </c>
      <c r="CS106" s="54">
        <f t="shared" ca="1" si="824"/>
        <v>0</v>
      </c>
      <c r="CT106" s="54">
        <f t="shared" ca="1" si="824"/>
        <v>0</v>
      </c>
      <c r="CU106" s="54">
        <f t="shared" ca="1" si="824"/>
        <v>0</v>
      </c>
      <c r="CV106" s="54">
        <f t="shared" ca="1" si="824"/>
        <v>0</v>
      </c>
      <c r="CW106" s="54">
        <f t="shared" ca="1" si="824"/>
        <v>0</v>
      </c>
      <c r="CX106" s="54">
        <f t="shared" ca="1" si="824"/>
        <v>0</v>
      </c>
      <c r="CY106" s="54">
        <f t="shared" ca="1" si="824"/>
        <v>0</v>
      </c>
      <c r="CZ106" s="54">
        <f t="shared" ca="1" si="824"/>
        <v>0</v>
      </c>
      <c r="DA106" s="54">
        <f t="shared" ca="1" si="824"/>
        <v>0</v>
      </c>
      <c r="DB106" s="54">
        <f t="shared" ca="1" si="824"/>
        <v>0</v>
      </c>
      <c r="DC106" s="54">
        <f t="shared" ca="1" si="824"/>
        <v>0</v>
      </c>
      <c r="DD106" s="54">
        <f t="shared" ca="1" si="824"/>
        <v>0</v>
      </c>
      <c r="DE106" s="54">
        <f t="shared" ca="1" si="824"/>
        <v>0</v>
      </c>
      <c r="DF106" s="54">
        <f t="shared" ca="1" si="824"/>
        <v>0</v>
      </c>
      <c r="DG106" s="54">
        <f t="shared" ca="1" si="824"/>
        <v>0</v>
      </c>
      <c r="DH106" s="54">
        <f t="shared" ca="1" si="824"/>
        <v>0</v>
      </c>
      <c r="DI106" s="54">
        <f t="shared" ca="1" si="824"/>
        <v>0</v>
      </c>
      <c r="DJ106" s="54">
        <f t="shared" ca="1" si="824"/>
        <v>0</v>
      </c>
      <c r="DK106" s="54">
        <f t="shared" ca="1" si="824"/>
        <v>0</v>
      </c>
      <c r="DL106" s="54">
        <f t="shared" ca="1" si="824"/>
        <v>0</v>
      </c>
      <c r="DM106" s="54">
        <f t="shared" ca="1" si="824"/>
        <v>0</v>
      </c>
      <c r="DN106" s="54">
        <f t="shared" ca="1" si="824"/>
        <v>0</v>
      </c>
      <c r="DO106" s="54">
        <f t="shared" ca="1" si="824"/>
        <v>0</v>
      </c>
      <c r="DP106" s="54">
        <f t="shared" ca="1" si="824"/>
        <v>0</v>
      </c>
      <c r="DQ106" s="54">
        <f t="shared" ca="1" si="824"/>
        <v>0</v>
      </c>
      <c r="DR106" s="54">
        <f t="shared" ca="1" si="824"/>
        <v>0</v>
      </c>
      <c r="DS106" s="54">
        <f t="shared" ca="1" si="824"/>
        <v>0</v>
      </c>
      <c r="DT106" s="54">
        <f t="shared" ca="1" si="824"/>
        <v>0</v>
      </c>
      <c r="DU106" s="54">
        <f t="shared" ca="1" si="824"/>
        <v>0</v>
      </c>
      <c r="DV106" s="54">
        <f t="shared" ca="1" si="824"/>
        <v>0</v>
      </c>
      <c r="DW106" s="54">
        <f t="shared" ca="1" si="824"/>
        <v>0</v>
      </c>
      <c r="DX106" s="54">
        <f t="shared" ca="1" si="824"/>
        <v>0</v>
      </c>
      <c r="DY106" s="54">
        <f t="shared" ca="1" si="824"/>
        <v>0</v>
      </c>
      <c r="DZ106" s="54">
        <f t="shared" ca="1" si="824"/>
        <v>0</v>
      </c>
      <c r="EA106" s="54">
        <f t="shared" ca="1" si="824"/>
        <v>0</v>
      </c>
      <c r="EB106" s="54">
        <f t="shared" ca="1" si="824"/>
        <v>0</v>
      </c>
      <c r="EC106" s="54">
        <f t="shared" ref="EC106:GN106" ca="1" si="825">EC105-EB105</f>
        <v>0</v>
      </c>
      <c r="ED106" s="54">
        <f t="shared" ca="1" si="825"/>
        <v>0</v>
      </c>
      <c r="EE106" s="54">
        <f t="shared" ca="1" si="825"/>
        <v>0</v>
      </c>
      <c r="EF106" s="54">
        <f t="shared" ca="1" si="825"/>
        <v>0</v>
      </c>
      <c r="EG106" s="54">
        <f t="shared" ca="1" si="825"/>
        <v>0</v>
      </c>
      <c r="EH106" s="54">
        <f t="shared" ca="1" si="825"/>
        <v>0</v>
      </c>
      <c r="EI106" s="54">
        <f t="shared" ca="1" si="825"/>
        <v>0</v>
      </c>
      <c r="EJ106" s="54">
        <f t="shared" ca="1" si="825"/>
        <v>0</v>
      </c>
      <c r="EK106" s="54">
        <f t="shared" ca="1" si="825"/>
        <v>0</v>
      </c>
      <c r="EL106" s="54">
        <f t="shared" ca="1" si="825"/>
        <v>0</v>
      </c>
      <c r="EM106" s="54">
        <f t="shared" ca="1" si="825"/>
        <v>0</v>
      </c>
      <c r="EN106" s="54">
        <f t="shared" ca="1" si="825"/>
        <v>0</v>
      </c>
      <c r="EO106" s="54">
        <f t="shared" ca="1" si="825"/>
        <v>0</v>
      </c>
      <c r="EP106" s="54">
        <f t="shared" ca="1" si="825"/>
        <v>0</v>
      </c>
      <c r="EQ106" s="54">
        <f t="shared" ca="1" si="825"/>
        <v>0</v>
      </c>
      <c r="ER106" s="54">
        <f t="shared" ca="1" si="825"/>
        <v>0</v>
      </c>
      <c r="ES106" s="54">
        <f t="shared" ca="1" si="825"/>
        <v>0</v>
      </c>
      <c r="ET106" s="54">
        <f t="shared" ca="1" si="825"/>
        <v>0</v>
      </c>
      <c r="EU106" s="54">
        <f t="shared" ca="1" si="825"/>
        <v>0</v>
      </c>
      <c r="EV106" s="54">
        <f t="shared" ca="1" si="825"/>
        <v>0</v>
      </c>
      <c r="EW106" s="54">
        <f t="shared" ca="1" si="825"/>
        <v>0</v>
      </c>
      <c r="EX106" s="54">
        <f t="shared" ca="1" si="825"/>
        <v>0</v>
      </c>
      <c r="EY106" s="54">
        <f t="shared" ca="1" si="825"/>
        <v>0</v>
      </c>
      <c r="EZ106" s="54">
        <f t="shared" ca="1" si="825"/>
        <v>0</v>
      </c>
      <c r="FA106" s="54">
        <f t="shared" ca="1" si="825"/>
        <v>0</v>
      </c>
      <c r="FB106" s="54">
        <f t="shared" ca="1" si="825"/>
        <v>0</v>
      </c>
      <c r="FC106" s="54">
        <f t="shared" ca="1" si="825"/>
        <v>0</v>
      </c>
      <c r="FD106" s="54">
        <f t="shared" ca="1" si="825"/>
        <v>0</v>
      </c>
      <c r="FE106" s="54">
        <f t="shared" ca="1" si="825"/>
        <v>0</v>
      </c>
      <c r="FF106" s="54">
        <f t="shared" ca="1" si="825"/>
        <v>0</v>
      </c>
      <c r="FG106" s="54">
        <f t="shared" ca="1" si="825"/>
        <v>0</v>
      </c>
      <c r="FH106" s="54">
        <f t="shared" ca="1" si="825"/>
        <v>0</v>
      </c>
      <c r="FI106" s="54">
        <f t="shared" ca="1" si="825"/>
        <v>0</v>
      </c>
      <c r="FJ106" s="54">
        <f t="shared" ca="1" si="825"/>
        <v>0</v>
      </c>
      <c r="FK106" s="54">
        <f t="shared" ca="1" si="825"/>
        <v>0</v>
      </c>
      <c r="FL106" s="54">
        <f t="shared" ca="1" si="825"/>
        <v>0</v>
      </c>
      <c r="FM106" s="54">
        <f t="shared" ca="1" si="825"/>
        <v>0</v>
      </c>
      <c r="FN106" s="54">
        <f t="shared" ca="1" si="825"/>
        <v>0</v>
      </c>
      <c r="FO106" s="54">
        <f t="shared" ca="1" si="825"/>
        <v>0</v>
      </c>
      <c r="FP106" s="54">
        <f t="shared" ca="1" si="825"/>
        <v>0</v>
      </c>
      <c r="FQ106" s="54">
        <f t="shared" ca="1" si="825"/>
        <v>0</v>
      </c>
      <c r="FR106" s="54">
        <f t="shared" ca="1" si="825"/>
        <v>0</v>
      </c>
      <c r="FS106" s="54">
        <f t="shared" ca="1" si="825"/>
        <v>0</v>
      </c>
      <c r="FT106" s="54">
        <f t="shared" ca="1" si="825"/>
        <v>0</v>
      </c>
      <c r="FU106" s="54">
        <f t="shared" ca="1" si="825"/>
        <v>0</v>
      </c>
      <c r="FV106" s="54">
        <f t="shared" ca="1" si="825"/>
        <v>0</v>
      </c>
      <c r="FW106" s="54">
        <f t="shared" ca="1" si="825"/>
        <v>0</v>
      </c>
      <c r="FX106" s="54">
        <f t="shared" ca="1" si="825"/>
        <v>0</v>
      </c>
      <c r="FY106" s="54">
        <f t="shared" ca="1" si="825"/>
        <v>0</v>
      </c>
      <c r="FZ106" s="54">
        <f t="shared" ca="1" si="825"/>
        <v>0</v>
      </c>
      <c r="GA106" s="54">
        <f t="shared" ca="1" si="825"/>
        <v>0</v>
      </c>
      <c r="GB106" s="54">
        <f t="shared" ca="1" si="825"/>
        <v>0</v>
      </c>
      <c r="GC106" s="54">
        <f t="shared" ca="1" si="825"/>
        <v>0</v>
      </c>
      <c r="GD106" s="54">
        <f t="shared" ca="1" si="825"/>
        <v>0</v>
      </c>
      <c r="GE106" s="54">
        <f t="shared" ca="1" si="825"/>
        <v>0</v>
      </c>
      <c r="GF106" s="54">
        <f t="shared" ca="1" si="825"/>
        <v>0</v>
      </c>
      <c r="GG106" s="54">
        <f t="shared" ca="1" si="825"/>
        <v>0</v>
      </c>
      <c r="GH106" s="54">
        <f t="shared" ca="1" si="825"/>
        <v>0</v>
      </c>
      <c r="GI106" s="54">
        <f t="shared" ca="1" si="825"/>
        <v>0</v>
      </c>
      <c r="GJ106" s="54">
        <f t="shared" ca="1" si="825"/>
        <v>0</v>
      </c>
      <c r="GK106" s="54">
        <f t="shared" ca="1" si="825"/>
        <v>0</v>
      </c>
      <c r="GL106" s="54">
        <f t="shared" ca="1" si="825"/>
        <v>0</v>
      </c>
      <c r="GM106" s="54">
        <f t="shared" ca="1" si="825"/>
        <v>0</v>
      </c>
      <c r="GN106" s="54">
        <f t="shared" ca="1" si="825"/>
        <v>0</v>
      </c>
      <c r="GO106" s="54">
        <f t="shared" ref="GO106:IZ106" ca="1" si="826">GO105-GN105</f>
        <v>0</v>
      </c>
      <c r="GP106" s="54">
        <f t="shared" ca="1" si="826"/>
        <v>0</v>
      </c>
      <c r="GQ106" s="54">
        <f t="shared" ca="1" si="826"/>
        <v>0</v>
      </c>
      <c r="GR106" s="54">
        <f t="shared" ca="1" si="826"/>
        <v>0</v>
      </c>
      <c r="GS106" s="54">
        <f t="shared" ca="1" si="826"/>
        <v>0</v>
      </c>
      <c r="GT106" s="54">
        <f t="shared" ca="1" si="826"/>
        <v>0</v>
      </c>
      <c r="GU106" s="54">
        <f t="shared" ca="1" si="826"/>
        <v>0</v>
      </c>
      <c r="GV106" s="54">
        <f t="shared" ca="1" si="826"/>
        <v>0</v>
      </c>
      <c r="GW106" s="54">
        <f t="shared" ca="1" si="826"/>
        <v>0</v>
      </c>
      <c r="GX106" s="54">
        <f t="shared" ca="1" si="826"/>
        <v>0</v>
      </c>
      <c r="GY106" s="54">
        <f t="shared" ca="1" si="826"/>
        <v>0</v>
      </c>
      <c r="GZ106" s="54">
        <f t="shared" ca="1" si="826"/>
        <v>0</v>
      </c>
      <c r="HA106" s="54">
        <f t="shared" ca="1" si="826"/>
        <v>0</v>
      </c>
      <c r="HB106" s="54">
        <f t="shared" ca="1" si="826"/>
        <v>0</v>
      </c>
      <c r="HC106" s="54">
        <f t="shared" ca="1" si="826"/>
        <v>0</v>
      </c>
      <c r="HD106" s="54">
        <f t="shared" ca="1" si="826"/>
        <v>0</v>
      </c>
      <c r="HE106" s="54">
        <f t="shared" ca="1" si="826"/>
        <v>0</v>
      </c>
      <c r="HF106" s="54">
        <f t="shared" ca="1" si="826"/>
        <v>0</v>
      </c>
      <c r="HG106" s="54">
        <f t="shared" ca="1" si="826"/>
        <v>0</v>
      </c>
      <c r="HH106" s="54">
        <f t="shared" ca="1" si="826"/>
        <v>0</v>
      </c>
      <c r="HI106" s="54">
        <f t="shared" ca="1" si="826"/>
        <v>0</v>
      </c>
      <c r="HJ106" s="54">
        <f t="shared" ca="1" si="826"/>
        <v>0</v>
      </c>
      <c r="HK106" s="54">
        <f t="shared" ca="1" si="826"/>
        <v>0</v>
      </c>
      <c r="HL106" s="54">
        <f t="shared" ca="1" si="826"/>
        <v>0</v>
      </c>
      <c r="HM106" s="54">
        <f t="shared" ca="1" si="826"/>
        <v>0</v>
      </c>
      <c r="HN106" s="54">
        <f t="shared" ca="1" si="826"/>
        <v>0</v>
      </c>
      <c r="HO106" s="54">
        <f t="shared" ca="1" si="826"/>
        <v>0</v>
      </c>
      <c r="HP106" s="54">
        <f t="shared" ca="1" si="826"/>
        <v>0</v>
      </c>
      <c r="HQ106" s="54">
        <f t="shared" ca="1" si="826"/>
        <v>0</v>
      </c>
      <c r="HR106" s="54">
        <f t="shared" ca="1" si="826"/>
        <v>0</v>
      </c>
      <c r="HS106" s="54">
        <f t="shared" ca="1" si="826"/>
        <v>0</v>
      </c>
      <c r="HT106" s="54">
        <f t="shared" ca="1" si="826"/>
        <v>0</v>
      </c>
      <c r="HU106" s="54">
        <f t="shared" ca="1" si="826"/>
        <v>0</v>
      </c>
      <c r="HV106" s="54">
        <f t="shared" ca="1" si="826"/>
        <v>0</v>
      </c>
      <c r="HW106" s="54">
        <f t="shared" ca="1" si="826"/>
        <v>0</v>
      </c>
      <c r="HX106" s="54">
        <f t="shared" ca="1" si="826"/>
        <v>0</v>
      </c>
      <c r="HY106" s="54">
        <f t="shared" ca="1" si="826"/>
        <v>0</v>
      </c>
      <c r="HZ106" s="54">
        <f t="shared" ca="1" si="826"/>
        <v>0</v>
      </c>
      <c r="IA106" s="54">
        <f t="shared" ca="1" si="826"/>
        <v>0</v>
      </c>
      <c r="IB106" s="54">
        <f t="shared" ca="1" si="826"/>
        <v>0</v>
      </c>
      <c r="IC106" s="54">
        <f t="shared" ca="1" si="826"/>
        <v>0</v>
      </c>
      <c r="ID106" s="54">
        <f t="shared" ca="1" si="826"/>
        <v>0</v>
      </c>
      <c r="IE106" s="54">
        <f t="shared" ca="1" si="826"/>
        <v>0</v>
      </c>
      <c r="IF106" s="54">
        <f t="shared" ca="1" si="826"/>
        <v>0</v>
      </c>
      <c r="IG106" s="54">
        <f t="shared" ca="1" si="826"/>
        <v>0</v>
      </c>
      <c r="IH106" s="54">
        <f t="shared" ca="1" si="826"/>
        <v>0</v>
      </c>
      <c r="II106" s="54">
        <f t="shared" ca="1" si="826"/>
        <v>0</v>
      </c>
      <c r="IJ106" s="54">
        <f t="shared" ca="1" si="826"/>
        <v>0</v>
      </c>
      <c r="IK106" s="54">
        <f t="shared" ca="1" si="826"/>
        <v>0</v>
      </c>
      <c r="IL106" s="54">
        <f t="shared" ca="1" si="826"/>
        <v>0</v>
      </c>
      <c r="IM106" s="54">
        <f t="shared" ca="1" si="826"/>
        <v>0</v>
      </c>
      <c r="IN106" s="54">
        <f t="shared" ca="1" si="826"/>
        <v>0</v>
      </c>
      <c r="IO106" s="54">
        <f t="shared" ca="1" si="826"/>
        <v>0</v>
      </c>
      <c r="IP106" s="54">
        <f t="shared" ca="1" si="826"/>
        <v>0</v>
      </c>
      <c r="IQ106" s="54">
        <f t="shared" ca="1" si="826"/>
        <v>0</v>
      </c>
      <c r="IR106" s="54">
        <f t="shared" ca="1" si="826"/>
        <v>0</v>
      </c>
      <c r="IS106" s="54">
        <f t="shared" ca="1" si="826"/>
        <v>0</v>
      </c>
      <c r="IT106" s="54">
        <f t="shared" ca="1" si="826"/>
        <v>0</v>
      </c>
      <c r="IU106" s="54">
        <f t="shared" ca="1" si="826"/>
        <v>0</v>
      </c>
      <c r="IV106" s="54">
        <f t="shared" ca="1" si="826"/>
        <v>0</v>
      </c>
      <c r="IW106" s="54">
        <f t="shared" ca="1" si="826"/>
        <v>0</v>
      </c>
      <c r="IX106" s="54">
        <f t="shared" ca="1" si="826"/>
        <v>0</v>
      </c>
      <c r="IY106" s="54">
        <f t="shared" ca="1" si="826"/>
        <v>0</v>
      </c>
      <c r="IZ106" s="54">
        <f t="shared" ca="1" si="826"/>
        <v>0</v>
      </c>
      <c r="JA106" s="54">
        <f t="shared" ref="JA106:KB106" ca="1" si="827">JA105-IZ105</f>
        <v>0</v>
      </c>
      <c r="JB106" s="54">
        <f t="shared" ca="1" si="827"/>
        <v>0</v>
      </c>
      <c r="JC106" s="54">
        <f t="shared" ca="1" si="827"/>
        <v>0</v>
      </c>
      <c r="JD106" s="54">
        <f t="shared" ca="1" si="827"/>
        <v>0</v>
      </c>
      <c r="JE106" s="54">
        <f t="shared" ca="1" si="827"/>
        <v>0</v>
      </c>
      <c r="JF106" s="54">
        <f t="shared" ca="1" si="827"/>
        <v>0</v>
      </c>
      <c r="JG106" s="54">
        <f t="shared" ca="1" si="827"/>
        <v>0</v>
      </c>
      <c r="JH106" s="54">
        <f t="shared" ca="1" si="827"/>
        <v>0</v>
      </c>
      <c r="JI106" s="54">
        <f t="shared" ca="1" si="827"/>
        <v>0</v>
      </c>
      <c r="JJ106" s="54">
        <f t="shared" ca="1" si="827"/>
        <v>0</v>
      </c>
      <c r="JK106" s="54">
        <f t="shared" ca="1" si="827"/>
        <v>0</v>
      </c>
      <c r="JL106" s="54">
        <f t="shared" ca="1" si="827"/>
        <v>0</v>
      </c>
      <c r="JM106" s="54">
        <f t="shared" ca="1" si="827"/>
        <v>0</v>
      </c>
      <c r="JN106" s="54">
        <f t="shared" ca="1" si="827"/>
        <v>0</v>
      </c>
      <c r="JO106" s="54">
        <f t="shared" ca="1" si="827"/>
        <v>0</v>
      </c>
      <c r="JP106" s="54">
        <f t="shared" ca="1" si="827"/>
        <v>0</v>
      </c>
      <c r="JQ106" s="54">
        <f t="shared" ca="1" si="827"/>
        <v>0</v>
      </c>
      <c r="JR106" s="54">
        <f t="shared" ca="1" si="827"/>
        <v>0</v>
      </c>
      <c r="JS106" s="54">
        <f t="shared" ca="1" si="827"/>
        <v>0</v>
      </c>
      <c r="JT106" s="54">
        <f t="shared" ca="1" si="827"/>
        <v>0</v>
      </c>
      <c r="JU106" s="54">
        <f t="shared" ca="1" si="827"/>
        <v>0</v>
      </c>
      <c r="JV106" s="54">
        <f t="shared" ca="1" si="827"/>
        <v>0</v>
      </c>
      <c r="JW106" s="54">
        <f t="shared" ca="1" si="827"/>
        <v>0</v>
      </c>
      <c r="JX106" s="54">
        <f t="shared" ca="1" si="827"/>
        <v>0</v>
      </c>
      <c r="JY106" s="54">
        <f t="shared" ca="1" si="827"/>
        <v>0</v>
      </c>
      <c r="JZ106" s="54">
        <f t="shared" ca="1" si="827"/>
        <v>0</v>
      </c>
      <c r="KA106" s="54">
        <f t="shared" ca="1" si="827"/>
        <v>0</v>
      </c>
      <c r="KB106" s="54">
        <f t="shared" ca="1" si="827"/>
        <v>0</v>
      </c>
    </row>
    <row r="107" spans="1:288" x14ac:dyDescent="0.3">
      <c r="A107" s="169"/>
      <c r="B107" s="39"/>
      <c r="O107" s="52"/>
    </row>
    <row r="108" spans="1:288" x14ac:dyDescent="0.3">
      <c r="A108" s="292" t="s">
        <v>281</v>
      </c>
      <c r="B108" s="293"/>
      <c r="C108" s="294"/>
      <c r="D108" s="294"/>
      <c r="E108" s="294"/>
      <c r="F108" s="294"/>
      <c r="G108" s="294"/>
      <c r="H108" s="294"/>
      <c r="I108" s="294"/>
      <c r="J108" s="294"/>
      <c r="K108" s="294"/>
      <c r="L108" s="294"/>
      <c r="M108" s="294"/>
      <c r="N108" s="294"/>
      <c r="O108" s="295"/>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4"/>
      <c r="CG108" s="294"/>
      <c r="CH108" s="294"/>
      <c r="CI108" s="294"/>
      <c r="CJ108" s="294"/>
      <c r="CK108" s="294"/>
      <c r="CL108" s="294"/>
      <c r="CM108" s="294"/>
      <c r="CN108" s="294"/>
      <c r="CO108" s="294"/>
      <c r="CP108" s="294"/>
      <c r="CQ108" s="294"/>
      <c r="CR108" s="294"/>
      <c r="CS108" s="294"/>
      <c r="CT108" s="294"/>
      <c r="CU108" s="294"/>
      <c r="CV108" s="294"/>
      <c r="CW108" s="294"/>
      <c r="CX108" s="294"/>
      <c r="CY108" s="294"/>
      <c r="CZ108" s="294"/>
      <c r="DA108" s="294"/>
      <c r="DB108" s="294"/>
      <c r="DC108" s="294"/>
      <c r="DD108" s="294"/>
      <c r="DE108" s="294"/>
      <c r="DF108" s="294"/>
      <c r="DG108" s="294"/>
      <c r="DH108" s="294"/>
      <c r="DI108" s="294"/>
      <c r="DJ108" s="294"/>
      <c r="DK108" s="294"/>
      <c r="DL108" s="294"/>
      <c r="DM108" s="294"/>
      <c r="DN108" s="294"/>
      <c r="DO108" s="294"/>
      <c r="DP108" s="294"/>
      <c r="DQ108" s="294"/>
      <c r="DR108" s="294"/>
      <c r="DS108" s="294"/>
      <c r="DT108" s="294"/>
      <c r="DU108" s="294"/>
      <c r="DV108" s="294"/>
      <c r="DW108" s="294"/>
      <c r="DX108" s="294"/>
      <c r="DY108" s="294"/>
      <c r="DZ108" s="294"/>
      <c r="EA108" s="294"/>
      <c r="EB108" s="294"/>
      <c r="EC108" s="294"/>
      <c r="ED108" s="294"/>
      <c r="EE108" s="294"/>
      <c r="EF108" s="294"/>
      <c r="EG108" s="294"/>
      <c r="EH108" s="294"/>
      <c r="EI108" s="294"/>
      <c r="EJ108" s="294"/>
      <c r="EK108" s="294"/>
      <c r="EL108" s="294"/>
      <c r="EM108" s="294"/>
      <c r="EN108" s="294"/>
      <c r="EO108" s="294"/>
      <c r="EP108" s="294"/>
      <c r="EQ108" s="294"/>
      <c r="ER108" s="294"/>
      <c r="ES108" s="294"/>
      <c r="ET108" s="294"/>
      <c r="EU108" s="294"/>
      <c r="EV108" s="294"/>
      <c r="EW108" s="294"/>
      <c r="EX108" s="294"/>
      <c r="EY108" s="294"/>
      <c r="EZ108" s="294"/>
      <c r="FA108" s="294"/>
      <c r="FB108" s="294"/>
      <c r="FC108" s="294"/>
      <c r="FD108" s="294"/>
      <c r="FE108" s="294"/>
      <c r="FF108" s="294"/>
      <c r="FG108" s="294"/>
      <c r="FH108" s="294"/>
      <c r="FI108" s="294"/>
      <c r="FJ108" s="294"/>
      <c r="FK108" s="294"/>
      <c r="FL108" s="294"/>
      <c r="FM108" s="294"/>
      <c r="FN108" s="294"/>
      <c r="FO108" s="294"/>
      <c r="FP108" s="294"/>
      <c r="FQ108" s="294"/>
      <c r="FR108" s="294"/>
      <c r="FS108" s="294"/>
      <c r="FT108" s="294"/>
      <c r="FU108" s="294"/>
      <c r="FV108" s="294"/>
      <c r="FW108" s="294"/>
      <c r="FX108" s="294"/>
      <c r="FY108" s="294"/>
      <c r="FZ108" s="294"/>
      <c r="GA108" s="294"/>
      <c r="GB108" s="294"/>
      <c r="GC108" s="294"/>
      <c r="GD108" s="294"/>
      <c r="GE108" s="294"/>
      <c r="GF108" s="294"/>
      <c r="GG108" s="294"/>
      <c r="GH108" s="294"/>
      <c r="GI108" s="294"/>
      <c r="GJ108" s="294"/>
      <c r="GK108" s="294"/>
      <c r="GL108" s="294"/>
      <c r="GM108" s="294"/>
      <c r="GN108" s="294"/>
      <c r="GO108" s="294"/>
      <c r="GP108" s="294"/>
      <c r="GQ108" s="294"/>
      <c r="GR108" s="294"/>
      <c r="GS108" s="294"/>
      <c r="GT108" s="294"/>
      <c r="GU108" s="294"/>
      <c r="GV108" s="294"/>
      <c r="GW108" s="294"/>
      <c r="GX108" s="294"/>
      <c r="GY108" s="294"/>
      <c r="GZ108" s="294"/>
      <c r="HA108" s="294"/>
      <c r="HB108" s="294"/>
      <c r="HC108" s="294"/>
      <c r="HD108" s="294"/>
      <c r="HE108" s="294"/>
      <c r="HF108" s="294"/>
      <c r="HG108" s="294"/>
      <c r="HH108" s="294"/>
      <c r="HI108" s="294"/>
      <c r="HJ108" s="294"/>
      <c r="HK108" s="294"/>
      <c r="HL108" s="294"/>
      <c r="HM108" s="294"/>
      <c r="HN108" s="294"/>
      <c r="HO108" s="294"/>
      <c r="HP108" s="294"/>
      <c r="HQ108" s="294"/>
      <c r="HR108" s="294"/>
      <c r="HS108" s="294"/>
      <c r="HT108" s="294"/>
      <c r="HU108" s="294"/>
      <c r="HV108" s="294"/>
      <c r="HW108" s="294"/>
      <c r="HX108" s="294"/>
      <c r="HY108" s="294"/>
      <c r="HZ108" s="294"/>
      <c r="IA108" s="294"/>
      <c r="IB108" s="294"/>
      <c r="IC108" s="294"/>
      <c r="ID108" s="294"/>
      <c r="IE108" s="294"/>
      <c r="IF108" s="294"/>
      <c r="IG108" s="294"/>
      <c r="IH108" s="294"/>
      <c r="II108" s="294"/>
      <c r="IJ108" s="294"/>
      <c r="IK108" s="294"/>
      <c r="IL108" s="294"/>
      <c r="IM108" s="294"/>
      <c r="IN108" s="294"/>
      <c r="IO108" s="294"/>
      <c r="IP108" s="294"/>
      <c r="IQ108" s="294"/>
      <c r="IR108" s="294"/>
      <c r="IS108" s="294"/>
      <c r="IT108" s="294"/>
      <c r="IU108" s="294"/>
      <c r="IV108" s="294"/>
      <c r="IW108" s="294"/>
      <c r="IX108" s="294"/>
      <c r="IY108" s="294"/>
      <c r="IZ108" s="294"/>
      <c r="JA108" s="294"/>
      <c r="JB108" s="294"/>
      <c r="JC108" s="294"/>
      <c r="JD108" s="294"/>
      <c r="JE108" s="294"/>
      <c r="JF108" s="294"/>
      <c r="JG108" s="294"/>
      <c r="JH108" s="294"/>
      <c r="JI108" s="294"/>
      <c r="JJ108" s="294"/>
      <c r="JK108" s="294"/>
      <c r="JL108" s="294"/>
      <c r="JM108" s="294"/>
      <c r="JN108" s="294"/>
      <c r="JO108" s="294"/>
      <c r="JP108" s="294"/>
      <c r="JQ108" s="294"/>
      <c r="JR108" s="294"/>
      <c r="JS108" s="294"/>
      <c r="JT108" s="294"/>
      <c r="JU108" s="294"/>
      <c r="JV108" s="294"/>
      <c r="JW108" s="294"/>
      <c r="JX108" s="294"/>
      <c r="JY108" s="294"/>
      <c r="JZ108" s="294"/>
      <c r="KA108" s="294"/>
      <c r="KB108" s="294"/>
    </row>
    <row r="109" spans="1:288" x14ac:dyDescent="0.3">
      <c r="A109" s="169" t="s">
        <v>282</v>
      </c>
      <c r="B109" s="259">
        <f ca="1">SUM(C109:KB109)</f>
        <v>251.53760326025505</v>
      </c>
      <c r="C109" s="52">
        <f t="shared" ref="C109:BN109" ca="1" si="828">C100</f>
        <v>47.58</v>
      </c>
      <c r="D109" s="52">
        <f t="shared" ca="1" si="828"/>
        <v>2.1240031680815008</v>
      </c>
      <c r="E109" s="52">
        <f t="shared" ca="1" si="828"/>
        <v>0</v>
      </c>
      <c r="F109" s="52">
        <f t="shared" ca="1" si="828"/>
        <v>0</v>
      </c>
      <c r="G109" s="52">
        <f t="shared" ca="1" si="828"/>
        <v>0</v>
      </c>
      <c r="H109" s="52">
        <f t="shared" ca="1" si="828"/>
        <v>0</v>
      </c>
      <c r="I109" s="52">
        <f t="shared" ca="1" si="828"/>
        <v>0</v>
      </c>
      <c r="J109" s="52">
        <f t="shared" ca="1" si="828"/>
        <v>0</v>
      </c>
      <c r="K109" s="52">
        <f t="shared" ca="1" si="828"/>
        <v>0</v>
      </c>
      <c r="L109" s="52">
        <f t="shared" ca="1" si="828"/>
        <v>0</v>
      </c>
      <c r="M109" s="52">
        <f t="shared" ca="1" si="828"/>
        <v>0.75571689052573987</v>
      </c>
      <c r="N109" s="52">
        <f t="shared" ca="1" si="828"/>
        <v>2.8651459217840056</v>
      </c>
      <c r="O109" s="52">
        <f t="shared" ca="1" si="828"/>
        <v>2.8777144109079487</v>
      </c>
      <c r="P109" s="52">
        <f t="shared" ca="1" si="828"/>
        <v>6.1477919736543498</v>
      </c>
      <c r="Q109" s="52">
        <f t="shared" ca="1" si="828"/>
        <v>5.7407559949409404</v>
      </c>
      <c r="R109" s="52">
        <f t="shared" ca="1" si="828"/>
        <v>5.3983565653377497</v>
      </c>
      <c r="S109" s="52">
        <f t="shared" ca="1" si="828"/>
        <v>5.4220374484867619</v>
      </c>
      <c r="T109" s="52">
        <f t="shared" ca="1" si="828"/>
        <v>5.4458222121816249</v>
      </c>
      <c r="U109" s="52">
        <f t="shared" ca="1" si="828"/>
        <v>5.4697113121134322</v>
      </c>
      <c r="V109" s="52">
        <f t="shared" ca="1" si="828"/>
        <v>5.9655446346373679</v>
      </c>
      <c r="W109" s="52">
        <f t="shared" ca="1" si="828"/>
        <v>5.5411036205195359</v>
      </c>
      <c r="X109" s="52">
        <f t="shared" ca="1" si="828"/>
        <v>5.5654106898592204</v>
      </c>
      <c r="Y109" s="52">
        <f t="shared" ca="1" si="828"/>
        <v>8.0497586747176371</v>
      </c>
      <c r="Z109" s="52">
        <f t="shared" ca="1" si="828"/>
        <v>7.9041557878123854</v>
      </c>
      <c r="AA109" s="52">
        <f t="shared" ca="1" si="828"/>
        <v>7.7856022187457938</v>
      </c>
      <c r="AB109" s="52">
        <f t="shared" ca="1" si="828"/>
        <v>2.6988634195293173</v>
      </c>
      <c r="AC109" s="52">
        <f t="shared" ca="1" si="828"/>
        <v>2.7107024798987993</v>
      </c>
      <c r="AD109" s="52">
        <f t="shared" ca="1" si="828"/>
        <v>2.7225934744822951</v>
      </c>
      <c r="AE109" s="52">
        <f t="shared" ca="1" si="828"/>
        <v>2.7345366310987913</v>
      </c>
      <c r="AF109" s="52">
        <f t="shared" ca="1" si="828"/>
        <v>2.7553816726681362</v>
      </c>
      <c r="AG109" s="52">
        <f t="shared" ca="1" si="828"/>
        <v>2.7674686607415708</v>
      </c>
      <c r="AH109" s="52">
        <f t="shared" ca="1" si="828"/>
        <v>8.9708665492406965</v>
      </c>
      <c r="AI109" s="52">
        <f t="shared" ca="1" si="828"/>
        <v>7.7081722238461055</v>
      </c>
      <c r="AJ109" s="52">
        <f t="shared" ca="1" si="828"/>
        <v>7.4132664714194334</v>
      </c>
      <c r="AK109" s="52">
        <f t="shared" ca="1" si="828"/>
        <v>5.311143578634244</v>
      </c>
      <c r="AL109" s="52">
        <f t="shared" ca="1" si="828"/>
        <v>5.3344418859896336</v>
      </c>
      <c r="AM109" s="52">
        <f t="shared" ca="1" si="828"/>
        <v>5.3578423956518577</v>
      </c>
      <c r="AN109" s="52">
        <f t="shared" ca="1" si="828"/>
        <v>5.3813455559501051</v>
      </c>
      <c r="AO109" s="52">
        <f t="shared" ca="1" si="828"/>
        <v>5.4239367546551591</v>
      </c>
      <c r="AP109" s="52">
        <f t="shared" ca="1" si="828"/>
        <v>5.4477298500055724</v>
      </c>
      <c r="AQ109" s="52">
        <f t="shared" ca="1" si="828"/>
        <v>6.7056790515541707</v>
      </c>
      <c r="AR109" s="52">
        <f t="shared" ca="1" si="828"/>
        <v>6.2769350583754147</v>
      </c>
      <c r="AS109" s="52">
        <f t="shared" ca="1" si="828"/>
        <v>6.2971186574870615</v>
      </c>
      <c r="AT109" s="52">
        <f t="shared" ca="1" si="828"/>
        <v>1.7452650561814096</v>
      </c>
      <c r="AU109" s="52">
        <f t="shared" ca="1" si="828"/>
        <v>1.7529209820839071</v>
      </c>
      <c r="AV109" s="52">
        <f t="shared" ca="1" si="828"/>
        <v>1.7606104921123062</v>
      </c>
      <c r="AW109" s="52">
        <f t="shared" ca="1" si="828"/>
        <v>1.7683337335895999</v>
      </c>
      <c r="AX109" s="52">
        <f t="shared" ca="1" si="828"/>
        <v>1.7760908544849769</v>
      </c>
      <c r="AY109" s="52">
        <f t="shared" ca="1" si="828"/>
        <v>1.7838820034166929</v>
      </c>
      <c r="AZ109" s="52">
        <f t="shared" ca="1" si="828"/>
        <v>2.6090088879493578</v>
      </c>
      <c r="BA109" s="52">
        <f t="shared" ca="1" si="828"/>
        <v>1.8071077445300148</v>
      </c>
      <c r="BB109" s="52">
        <f t="shared" ca="1" si="828"/>
        <v>1.8150349547500184</v>
      </c>
      <c r="BC109" s="52">
        <f t="shared" ca="1" si="828"/>
        <v>1.8229969391344412</v>
      </c>
      <c r="BD109" s="52">
        <f t="shared" ca="1" si="828"/>
        <v>1.8309938502265766</v>
      </c>
      <c r="BE109" s="52">
        <f ca="1">BE100</f>
        <v>8.4087018662613957</v>
      </c>
      <c r="BF109" s="52">
        <f t="shared" ca="1" si="828"/>
        <v>0</v>
      </c>
      <c r="BG109" s="52">
        <f t="shared" ca="1" si="828"/>
        <v>0</v>
      </c>
      <c r="BH109" s="52">
        <f t="shared" ca="1" si="828"/>
        <v>0</v>
      </c>
      <c r="BI109" s="52">
        <f t="shared" ca="1" si="828"/>
        <v>0</v>
      </c>
      <c r="BJ109" s="52">
        <f t="shared" ca="1" si="828"/>
        <v>0</v>
      </c>
      <c r="BK109" s="52">
        <f t="shared" ca="1" si="828"/>
        <v>0</v>
      </c>
      <c r="BL109" s="52">
        <f t="shared" ca="1" si="828"/>
        <v>0</v>
      </c>
      <c r="BM109" s="52">
        <f t="shared" ca="1" si="828"/>
        <v>0</v>
      </c>
      <c r="BN109" s="52">
        <f t="shared" ca="1" si="828"/>
        <v>0</v>
      </c>
      <c r="BO109" s="52">
        <f t="shared" ref="BO109:DZ109" ca="1" si="829">BO100</f>
        <v>0</v>
      </c>
      <c r="BP109" s="52">
        <f t="shared" ca="1" si="829"/>
        <v>0</v>
      </c>
      <c r="BQ109" s="52">
        <f t="shared" ca="1" si="829"/>
        <v>0</v>
      </c>
      <c r="BR109" s="52">
        <f t="shared" ca="1" si="829"/>
        <v>0</v>
      </c>
      <c r="BS109" s="52">
        <f t="shared" ca="1" si="829"/>
        <v>0</v>
      </c>
      <c r="BT109" s="52">
        <f t="shared" ca="1" si="829"/>
        <v>0</v>
      </c>
      <c r="BU109" s="52">
        <f t="shared" ca="1" si="829"/>
        <v>0</v>
      </c>
      <c r="BV109" s="52">
        <f t="shared" ca="1" si="829"/>
        <v>0</v>
      </c>
      <c r="BW109" s="52">
        <f t="shared" ca="1" si="829"/>
        <v>0</v>
      </c>
      <c r="BX109" s="52">
        <f t="shared" ca="1" si="829"/>
        <v>0</v>
      </c>
      <c r="BY109" s="52">
        <f t="shared" ca="1" si="829"/>
        <v>0</v>
      </c>
      <c r="BZ109" s="52">
        <f t="shared" ca="1" si="829"/>
        <v>0</v>
      </c>
      <c r="CA109" s="52">
        <f t="shared" ca="1" si="829"/>
        <v>0</v>
      </c>
      <c r="CB109" s="52">
        <f t="shared" ca="1" si="829"/>
        <v>0</v>
      </c>
      <c r="CC109" s="52">
        <f t="shared" ca="1" si="829"/>
        <v>0</v>
      </c>
      <c r="CD109" s="52">
        <f t="shared" ca="1" si="829"/>
        <v>0</v>
      </c>
      <c r="CE109" s="52">
        <f t="shared" ca="1" si="829"/>
        <v>0</v>
      </c>
      <c r="CF109" s="52">
        <f t="shared" ca="1" si="829"/>
        <v>0</v>
      </c>
      <c r="CG109" s="52">
        <f t="shared" ca="1" si="829"/>
        <v>0</v>
      </c>
      <c r="CH109" s="52">
        <f t="shared" ca="1" si="829"/>
        <v>0</v>
      </c>
      <c r="CI109" s="52">
        <f t="shared" ca="1" si="829"/>
        <v>0</v>
      </c>
      <c r="CJ109" s="52">
        <f t="shared" ca="1" si="829"/>
        <v>0</v>
      </c>
      <c r="CK109" s="52">
        <f t="shared" ca="1" si="829"/>
        <v>0</v>
      </c>
      <c r="CL109" s="52">
        <f t="shared" ca="1" si="829"/>
        <v>0</v>
      </c>
      <c r="CM109" s="52">
        <f t="shared" ca="1" si="829"/>
        <v>0</v>
      </c>
      <c r="CN109" s="52">
        <f t="shared" ca="1" si="829"/>
        <v>0</v>
      </c>
      <c r="CO109" s="52">
        <f t="shared" ca="1" si="829"/>
        <v>0</v>
      </c>
      <c r="CP109" s="52">
        <f t="shared" ca="1" si="829"/>
        <v>0</v>
      </c>
      <c r="CQ109" s="52">
        <f t="shared" ca="1" si="829"/>
        <v>0</v>
      </c>
      <c r="CR109" s="52">
        <f t="shared" ca="1" si="829"/>
        <v>0</v>
      </c>
      <c r="CS109" s="52">
        <f t="shared" ca="1" si="829"/>
        <v>0</v>
      </c>
      <c r="CT109" s="52">
        <f t="shared" ca="1" si="829"/>
        <v>0</v>
      </c>
      <c r="CU109" s="52">
        <f t="shared" ca="1" si="829"/>
        <v>0</v>
      </c>
      <c r="CV109" s="52">
        <f t="shared" ca="1" si="829"/>
        <v>0</v>
      </c>
      <c r="CW109" s="52">
        <f t="shared" ca="1" si="829"/>
        <v>0</v>
      </c>
      <c r="CX109" s="52">
        <f t="shared" ca="1" si="829"/>
        <v>0</v>
      </c>
      <c r="CY109" s="52">
        <f t="shared" ca="1" si="829"/>
        <v>0</v>
      </c>
      <c r="CZ109" s="52">
        <f t="shared" ca="1" si="829"/>
        <v>0</v>
      </c>
      <c r="DA109" s="52">
        <f t="shared" ca="1" si="829"/>
        <v>0</v>
      </c>
      <c r="DB109" s="52">
        <f t="shared" ca="1" si="829"/>
        <v>0</v>
      </c>
      <c r="DC109" s="52">
        <f t="shared" ca="1" si="829"/>
        <v>0</v>
      </c>
      <c r="DD109" s="52">
        <f t="shared" ca="1" si="829"/>
        <v>0</v>
      </c>
      <c r="DE109" s="52">
        <f t="shared" ca="1" si="829"/>
        <v>0</v>
      </c>
      <c r="DF109" s="52">
        <f t="shared" ca="1" si="829"/>
        <v>0</v>
      </c>
      <c r="DG109" s="52">
        <f t="shared" ca="1" si="829"/>
        <v>0</v>
      </c>
      <c r="DH109" s="52">
        <f t="shared" ca="1" si="829"/>
        <v>0</v>
      </c>
      <c r="DI109" s="52">
        <f t="shared" ca="1" si="829"/>
        <v>0</v>
      </c>
      <c r="DJ109" s="52">
        <f t="shared" ca="1" si="829"/>
        <v>0</v>
      </c>
      <c r="DK109" s="52">
        <f t="shared" ca="1" si="829"/>
        <v>0</v>
      </c>
      <c r="DL109" s="52">
        <f t="shared" ca="1" si="829"/>
        <v>0</v>
      </c>
      <c r="DM109" s="52">
        <f t="shared" ca="1" si="829"/>
        <v>0</v>
      </c>
      <c r="DN109" s="52">
        <f t="shared" ca="1" si="829"/>
        <v>0</v>
      </c>
      <c r="DO109" s="52">
        <f t="shared" ca="1" si="829"/>
        <v>0</v>
      </c>
      <c r="DP109" s="52">
        <f t="shared" ca="1" si="829"/>
        <v>0</v>
      </c>
      <c r="DQ109" s="52">
        <f t="shared" ca="1" si="829"/>
        <v>0</v>
      </c>
      <c r="DR109" s="52">
        <f t="shared" ca="1" si="829"/>
        <v>0</v>
      </c>
      <c r="DS109" s="52">
        <f t="shared" ca="1" si="829"/>
        <v>0</v>
      </c>
      <c r="DT109" s="52">
        <f t="shared" ca="1" si="829"/>
        <v>0</v>
      </c>
      <c r="DU109" s="52">
        <f t="shared" ca="1" si="829"/>
        <v>0</v>
      </c>
      <c r="DV109" s="52">
        <f t="shared" ca="1" si="829"/>
        <v>0</v>
      </c>
      <c r="DW109" s="52">
        <f t="shared" ca="1" si="829"/>
        <v>0</v>
      </c>
      <c r="DX109" s="52">
        <f t="shared" ca="1" si="829"/>
        <v>0</v>
      </c>
      <c r="DY109" s="52">
        <f t="shared" ca="1" si="829"/>
        <v>0</v>
      </c>
      <c r="DZ109" s="52">
        <f t="shared" ca="1" si="829"/>
        <v>0</v>
      </c>
      <c r="EA109" s="52">
        <f t="shared" ref="EA109:GL109" ca="1" si="830">EA100</f>
        <v>0</v>
      </c>
      <c r="EB109" s="52">
        <f t="shared" ca="1" si="830"/>
        <v>0</v>
      </c>
      <c r="EC109" s="52">
        <f t="shared" ca="1" si="830"/>
        <v>0</v>
      </c>
      <c r="ED109" s="52">
        <f t="shared" ca="1" si="830"/>
        <v>0</v>
      </c>
      <c r="EE109" s="52">
        <f t="shared" ca="1" si="830"/>
        <v>0</v>
      </c>
      <c r="EF109" s="52">
        <f t="shared" ca="1" si="830"/>
        <v>0</v>
      </c>
      <c r="EG109" s="52">
        <f t="shared" ca="1" si="830"/>
        <v>0</v>
      </c>
      <c r="EH109" s="52">
        <f t="shared" ca="1" si="830"/>
        <v>0</v>
      </c>
      <c r="EI109" s="52">
        <f t="shared" ca="1" si="830"/>
        <v>0</v>
      </c>
      <c r="EJ109" s="52">
        <f t="shared" ca="1" si="830"/>
        <v>0</v>
      </c>
      <c r="EK109" s="52">
        <f t="shared" ca="1" si="830"/>
        <v>0</v>
      </c>
      <c r="EL109" s="52">
        <f t="shared" ca="1" si="830"/>
        <v>0</v>
      </c>
      <c r="EM109" s="52">
        <f t="shared" ca="1" si="830"/>
        <v>0</v>
      </c>
      <c r="EN109" s="52">
        <f t="shared" ca="1" si="830"/>
        <v>0</v>
      </c>
      <c r="EO109" s="52">
        <f t="shared" ca="1" si="830"/>
        <v>0</v>
      </c>
      <c r="EP109" s="52">
        <f t="shared" ca="1" si="830"/>
        <v>0</v>
      </c>
      <c r="EQ109" s="52">
        <f t="shared" ca="1" si="830"/>
        <v>0</v>
      </c>
      <c r="ER109" s="52">
        <f t="shared" ca="1" si="830"/>
        <v>0</v>
      </c>
      <c r="ES109" s="52">
        <f t="shared" ca="1" si="830"/>
        <v>0</v>
      </c>
      <c r="ET109" s="52">
        <f t="shared" ca="1" si="830"/>
        <v>0</v>
      </c>
      <c r="EU109" s="52">
        <f t="shared" ca="1" si="830"/>
        <v>0</v>
      </c>
      <c r="EV109" s="52">
        <f t="shared" ca="1" si="830"/>
        <v>0</v>
      </c>
      <c r="EW109" s="52">
        <f t="shared" ca="1" si="830"/>
        <v>0</v>
      </c>
      <c r="EX109" s="52">
        <f t="shared" ca="1" si="830"/>
        <v>0</v>
      </c>
      <c r="EY109" s="52">
        <f t="shared" ca="1" si="830"/>
        <v>0</v>
      </c>
      <c r="EZ109" s="52">
        <f t="shared" ca="1" si="830"/>
        <v>0</v>
      </c>
      <c r="FA109" s="52">
        <f t="shared" ca="1" si="830"/>
        <v>0</v>
      </c>
      <c r="FB109" s="52">
        <f t="shared" ca="1" si="830"/>
        <v>0</v>
      </c>
      <c r="FC109" s="52">
        <f t="shared" ca="1" si="830"/>
        <v>0</v>
      </c>
      <c r="FD109" s="52">
        <f t="shared" ca="1" si="830"/>
        <v>0</v>
      </c>
      <c r="FE109" s="52">
        <f t="shared" ca="1" si="830"/>
        <v>0</v>
      </c>
      <c r="FF109" s="52">
        <f t="shared" ca="1" si="830"/>
        <v>0</v>
      </c>
      <c r="FG109" s="52">
        <f t="shared" ca="1" si="830"/>
        <v>0</v>
      </c>
      <c r="FH109" s="52">
        <f t="shared" ca="1" si="830"/>
        <v>0</v>
      </c>
      <c r="FI109" s="52">
        <f t="shared" ca="1" si="830"/>
        <v>0</v>
      </c>
      <c r="FJ109" s="52">
        <f t="shared" ca="1" si="830"/>
        <v>0</v>
      </c>
      <c r="FK109" s="52">
        <f t="shared" ca="1" si="830"/>
        <v>0</v>
      </c>
      <c r="FL109" s="52">
        <f t="shared" ca="1" si="830"/>
        <v>0</v>
      </c>
      <c r="FM109" s="52">
        <f t="shared" ca="1" si="830"/>
        <v>0</v>
      </c>
      <c r="FN109" s="52">
        <f t="shared" ca="1" si="830"/>
        <v>0</v>
      </c>
      <c r="FO109" s="52">
        <f t="shared" ca="1" si="830"/>
        <v>0</v>
      </c>
      <c r="FP109" s="52">
        <f t="shared" ca="1" si="830"/>
        <v>0</v>
      </c>
      <c r="FQ109" s="52">
        <f t="shared" ca="1" si="830"/>
        <v>0</v>
      </c>
      <c r="FR109" s="52">
        <f t="shared" ca="1" si="830"/>
        <v>0</v>
      </c>
      <c r="FS109" s="52">
        <f t="shared" ca="1" si="830"/>
        <v>0</v>
      </c>
      <c r="FT109" s="52">
        <f t="shared" ca="1" si="830"/>
        <v>0</v>
      </c>
      <c r="FU109" s="52">
        <f t="shared" ca="1" si="830"/>
        <v>0</v>
      </c>
      <c r="FV109" s="52">
        <f t="shared" ca="1" si="830"/>
        <v>0</v>
      </c>
      <c r="FW109" s="52">
        <f t="shared" ca="1" si="830"/>
        <v>0</v>
      </c>
      <c r="FX109" s="52">
        <f t="shared" ca="1" si="830"/>
        <v>0</v>
      </c>
      <c r="FY109" s="52">
        <f t="shared" ca="1" si="830"/>
        <v>0</v>
      </c>
      <c r="FZ109" s="52">
        <f t="shared" ca="1" si="830"/>
        <v>0</v>
      </c>
      <c r="GA109" s="52">
        <f t="shared" ca="1" si="830"/>
        <v>0</v>
      </c>
      <c r="GB109" s="52">
        <f t="shared" ca="1" si="830"/>
        <v>0</v>
      </c>
      <c r="GC109" s="52">
        <f t="shared" ca="1" si="830"/>
        <v>0</v>
      </c>
      <c r="GD109" s="52">
        <f t="shared" ca="1" si="830"/>
        <v>0</v>
      </c>
      <c r="GE109" s="52">
        <f t="shared" ca="1" si="830"/>
        <v>0</v>
      </c>
      <c r="GF109" s="52">
        <f t="shared" ca="1" si="830"/>
        <v>0</v>
      </c>
      <c r="GG109" s="52">
        <f t="shared" ca="1" si="830"/>
        <v>0</v>
      </c>
      <c r="GH109" s="52">
        <f t="shared" ca="1" si="830"/>
        <v>0</v>
      </c>
      <c r="GI109" s="52">
        <f t="shared" ca="1" si="830"/>
        <v>0</v>
      </c>
      <c r="GJ109" s="52">
        <f t="shared" ca="1" si="830"/>
        <v>0</v>
      </c>
      <c r="GK109" s="52">
        <f t="shared" ca="1" si="830"/>
        <v>0</v>
      </c>
      <c r="GL109" s="52">
        <f t="shared" ca="1" si="830"/>
        <v>0</v>
      </c>
      <c r="GM109" s="52">
        <f t="shared" ref="GM109:IX109" ca="1" si="831">GM100</f>
        <v>0</v>
      </c>
      <c r="GN109" s="52">
        <f t="shared" ca="1" si="831"/>
        <v>0</v>
      </c>
      <c r="GO109" s="52">
        <f t="shared" ca="1" si="831"/>
        <v>0</v>
      </c>
      <c r="GP109" s="52">
        <f t="shared" ca="1" si="831"/>
        <v>0</v>
      </c>
      <c r="GQ109" s="52">
        <f t="shared" ca="1" si="831"/>
        <v>0</v>
      </c>
      <c r="GR109" s="52">
        <f t="shared" ca="1" si="831"/>
        <v>0</v>
      </c>
      <c r="GS109" s="52">
        <f t="shared" ca="1" si="831"/>
        <v>0</v>
      </c>
      <c r="GT109" s="52">
        <f t="shared" ca="1" si="831"/>
        <v>0</v>
      </c>
      <c r="GU109" s="52">
        <f t="shared" ca="1" si="831"/>
        <v>0</v>
      </c>
      <c r="GV109" s="52">
        <f t="shared" ca="1" si="831"/>
        <v>0</v>
      </c>
      <c r="GW109" s="52">
        <f t="shared" ca="1" si="831"/>
        <v>0</v>
      </c>
      <c r="GX109" s="52">
        <f t="shared" ca="1" si="831"/>
        <v>0</v>
      </c>
      <c r="GY109" s="52">
        <f t="shared" ca="1" si="831"/>
        <v>0</v>
      </c>
      <c r="GZ109" s="52">
        <f t="shared" ca="1" si="831"/>
        <v>0</v>
      </c>
      <c r="HA109" s="52">
        <f t="shared" ca="1" si="831"/>
        <v>0</v>
      </c>
      <c r="HB109" s="52">
        <f t="shared" ca="1" si="831"/>
        <v>0</v>
      </c>
      <c r="HC109" s="52">
        <f t="shared" ca="1" si="831"/>
        <v>0</v>
      </c>
      <c r="HD109" s="52">
        <f t="shared" ca="1" si="831"/>
        <v>0</v>
      </c>
      <c r="HE109" s="52">
        <f t="shared" ca="1" si="831"/>
        <v>0</v>
      </c>
      <c r="HF109" s="52">
        <f t="shared" ca="1" si="831"/>
        <v>0</v>
      </c>
      <c r="HG109" s="52">
        <f t="shared" ca="1" si="831"/>
        <v>0</v>
      </c>
      <c r="HH109" s="52">
        <f t="shared" ca="1" si="831"/>
        <v>0</v>
      </c>
      <c r="HI109" s="52">
        <f t="shared" ca="1" si="831"/>
        <v>0</v>
      </c>
      <c r="HJ109" s="52">
        <f t="shared" ca="1" si="831"/>
        <v>0</v>
      </c>
      <c r="HK109" s="52">
        <f t="shared" ca="1" si="831"/>
        <v>0</v>
      </c>
      <c r="HL109" s="52">
        <f t="shared" ca="1" si="831"/>
        <v>0</v>
      </c>
      <c r="HM109" s="52">
        <f t="shared" ca="1" si="831"/>
        <v>0</v>
      </c>
      <c r="HN109" s="52">
        <f t="shared" ca="1" si="831"/>
        <v>0</v>
      </c>
      <c r="HO109" s="52">
        <f t="shared" ca="1" si="831"/>
        <v>0</v>
      </c>
      <c r="HP109" s="52">
        <f t="shared" ca="1" si="831"/>
        <v>0</v>
      </c>
      <c r="HQ109" s="52">
        <f t="shared" ca="1" si="831"/>
        <v>0</v>
      </c>
      <c r="HR109" s="52">
        <f t="shared" ca="1" si="831"/>
        <v>0</v>
      </c>
      <c r="HS109" s="52">
        <f t="shared" ca="1" si="831"/>
        <v>0</v>
      </c>
      <c r="HT109" s="52">
        <f t="shared" ca="1" si="831"/>
        <v>0</v>
      </c>
      <c r="HU109" s="52">
        <f t="shared" ca="1" si="831"/>
        <v>0</v>
      </c>
      <c r="HV109" s="52">
        <f t="shared" ca="1" si="831"/>
        <v>0</v>
      </c>
      <c r="HW109" s="52">
        <f t="shared" ca="1" si="831"/>
        <v>0</v>
      </c>
      <c r="HX109" s="52">
        <f t="shared" ca="1" si="831"/>
        <v>0</v>
      </c>
      <c r="HY109" s="52">
        <f t="shared" ca="1" si="831"/>
        <v>0</v>
      </c>
      <c r="HZ109" s="52">
        <f t="shared" ca="1" si="831"/>
        <v>0</v>
      </c>
      <c r="IA109" s="52">
        <f t="shared" ca="1" si="831"/>
        <v>0</v>
      </c>
      <c r="IB109" s="52">
        <f t="shared" ca="1" si="831"/>
        <v>0</v>
      </c>
      <c r="IC109" s="52">
        <f t="shared" ca="1" si="831"/>
        <v>0</v>
      </c>
      <c r="ID109" s="52">
        <f t="shared" ca="1" si="831"/>
        <v>0</v>
      </c>
      <c r="IE109" s="52">
        <f t="shared" ca="1" si="831"/>
        <v>0</v>
      </c>
      <c r="IF109" s="52">
        <f t="shared" ca="1" si="831"/>
        <v>0</v>
      </c>
      <c r="IG109" s="52">
        <f t="shared" ca="1" si="831"/>
        <v>0</v>
      </c>
      <c r="IH109" s="52">
        <f t="shared" ca="1" si="831"/>
        <v>0</v>
      </c>
      <c r="II109" s="52">
        <f t="shared" ca="1" si="831"/>
        <v>0</v>
      </c>
      <c r="IJ109" s="52">
        <f t="shared" ca="1" si="831"/>
        <v>0</v>
      </c>
      <c r="IK109" s="52">
        <f t="shared" ca="1" si="831"/>
        <v>0</v>
      </c>
      <c r="IL109" s="52">
        <f t="shared" ca="1" si="831"/>
        <v>0</v>
      </c>
      <c r="IM109" s="52">
        <f t="shared" ca="1" si="831"/>
        <v>0</v>
      </c>
      <c r="IN109" s="52">
        <f t="shared" ca="1" si="831"/>
        <v>0</v>
      </c>
      <c r="IO109" s="52">
        <f t="shared" ca="1" si="831"/>
        <v>0</v>
      </c>
      <c r="IP109" s="52">
        <f t="shared" ca="1" si="831"/>
        <v>0</v>
      </c>
      <c r="IQ109" s="52">
        <f t="shared" ca="1" si="831"/>
        <v>0</v>
      </c>
      <c r="IR109" s="52">
        <f t="shared" ca="1" si="831"/>
        <v>0</v>
      </c>
      <c r="IS109" s="52">
        <f t="shared" ca="1" si="831"/>
        <v>0</v>
      </c>
      <c r="IT109" s="52">
        <f t="shared" ca="1" si="831"/>
        <v>0</v>
      </c>
      <c r="IU109" s="52">
        <f t="shared" ca="1" si="831"/>
        <v>0</v>
      </c>
      <c r="IV109" s="52">
        <f t="shared" ca="1" si="831"/>
        <v>0</v>
      </c>
      <c r="IW109" s="52">
        <f t="shared" ca="1" si="831"/>
        <v>0</v>
      </c>
      <c r="IX109" s="52">
        <f t="shared" ca="1" si="831"/>
        <v>0</v>
      </c>
      <c r="IY109" s="52">
        <f t="shared" ref="IY109:KB109" ca="1" si="832">IY100</f>
        <v>0</v>
      </c>
      <c r="IZ109" s="52">
        <f t="shared" ca="1" si="832"/>
        <v>0</v>
      </c>
      <c r="JA109" s="52">
        <f t="shared" ca="1" si="832"/>
        <v>0</v>
      </c>
      <c r="JB109" s="52">
        <f t="shared" ca="1" si="832"/>
        <v>0</v>
      </c>
      <c r="JC109" s="52">
        <f t="shared" ca="1" si="832"/>
        <v>0</v>
      </c>
      <c r="JD109" s="52">
        <f t="shared" ca="1" si="832"/>
        <v>0</v>
      </c>
      <c r="JE109" s="52">
        <f t="shared" ca="1" si="832"/>
        <v>0</v>
      </c>
      <c r="JF109" s="52">
        <f t="shared" ca="1" si="832"/>
        <v>0</v>
      </c>
      <c r="JG109" s="52">
        <f t="shared" ca="1" si="832"/>
        <v>0</v>
      </c>
      <c r="JH109" s="52">
        <f t="shared" ca="1" si="832"/>
        <v>0</v>
      </c>
      <c r="JI109" s="52">
        <f t="shared" ca="1" si="832"/>
        <v>0</v>
      </c>
      <c r="JJ109" s="52">
        <f t="shared" ca="1" si="832"/>
        <v>0</v>
      </c>
      <c r="JK109" s="52">
        <f t="shared" ca="1" si="832"/>
        <v>0</v>
      </c>
      <c r="JL109" s="52">
        <f t="shared" ca="1" si="832"/>
        <v>0</v>
      </c>
      <c r="JM109" s="52">
        <f t="shared" ca="1" si="832"/>
        <v>0</v>
      </c>
      <c r="JN109" s="52">
        <f t="shared" ca="1" si="832"/>
        <v>0</v>
      </c>
      <c r="JO109" s="52">
        <f t="shared" ca="1" si="832"/>
        <v>0</v>
      </c>
      <c r="JP109" s="52">
        <f t="shared" ca="1" si="832"/>
        <v>0</v>
      </c>
      <c r="JQ109" s="52">
        <f t="shared" ca="1" si="832"/>
        <v>0</v>
      </c>
      <c r="JR109" s="52">
        <f t="shared" ca="1" si="832"/>
        <v>0</v>
      </c>
      <c r="JS109" s="52">
        <f t="shared" ca="1" si="832"/>
        <v>0</v>
      </c>
      <c r="JT109" s="52">
        <f t="shared" ca="1" si="832"/>
        <v>0</v>
      </c>
      <c r="JU109" s="52">
        <f t="shared" ca="1" si="832"/>
        <v>0</v>
      </c>
      <c r="JV109" s="52">
        <f t="shared" ca="1" si="832"/>
        <v>0</v>
      </c>
      <c r="JW109" s="52">
        <f t="shared" ca="1" si="832"/>
        <v>0</v>
      </c>
      <c r="JX109" s="52">
        <f t="shared" ca="1" si="832"/>
        <v>0</v>
      </c>
      <c r="JY109" s="52">
        <f t="shared" ca="1" si="832"/>
        <v>0</v>
      </c>
      <c r="JZ109" s="52">
        <f t="shared" ca="1" si="832"/>
        <v>0</v>
      </c>
      <c r="KA109" s="52">
        <f t="shared" ca="1" si="832"/>
        <v>0</v>
      </c>
      <c r="KB109" s="52">
        <f t="shared" ca="1" si="832"/>
        <v>0</v>
      </c>
    </row>
    <row r="110" spans="1:288" x14ac:dyDescent="0.3">
      <c r="A110" s="169" t="s">
        <v>194</v>
      </c>
      <c r="B110" s="259">
        <f ca="1">SUM(C110:KB110)</f>
        <v>300.00044746913852</v>
      </c>
      <c r="C110" s="52">
        <f ca="1">IFERROR(C106,0)</f>
        <v>0</v>
      </c>
      <c r="D110" s="52">
        <f ca="1">IFERROR(D106,0)</f>
        <v>6.8097661006957679</v>
      </c>
      <c r="E110" s="52">
        <f t="shared" ref="E110:BP110" ca="1" si="833">IFERROR(E106,0)</f>
        <v>8.4706402268235053</v>
      </c>
      <c r="F110" s="52">
        <f t="shared" ca="1" si="833"/>
        <v>5.9833547827146276</v>
      </c>
      <c r="G110" s="52">
        <f t="shared" ca="1" si="833"/>
        <v>6.0311625495994576</v>
      </c>
      <c r="H110" s="52">
        <f t="shared" ca="1" si="833"/>
        <v>6.0793523066315487</v>
      </c>
      <c r="I110" s="52">
        <f t="shared" ca="1" si="833"/>
        <v>6.127927105960822</v>
      </c>
      <c r="J110" s="52">
        <f t="shared" ca="1" si="833"/>
        <v>6.1768900241242761</v>
      </c>
      <c r="K110" s="52">
        <f t="shared" ca="1" si="833"/>
        <v>6.2506440946977619</v>
      </c>
      <c r="L110" s="52">
        <f t="shared" ca="1" si="833"/>
        <v>4.1680988412154107</v>
      </c>
      <c r="M110" s="52">
        <f t="shared" ca="1" si="833"/>
        <v>5.5751551502789951</v>
      </c>
      <c r="N110" s="52">
        <f t="shared" ca="1" si="833"/>
        <v>3.5018450155137728</v>
      </c>
      <c r="O110" s="52">
        <f t="shared" ca="1" si="833"/>
        <v>3.5172065022208301</v>
      </c>
      <c r="P110" s="52">
        <f t="shared" ca="1" si="833"/>
        <v>7.5139679677997577</v>
      </c>
      <c r="Q110" s="52">
        <f t="shared" ca="1" si="833"/>
        <v>7.0164795493722636</v>
      </c>
      <c r="R110" s="52">
        <f t="shared" ca="1" si="833"/>
        <v>6.5979913576350242</v>
      </c>
      <c r="S110" s="52">
        <f t="shared" ca="1" si="833"/>
        <v>6.6269346592616074</v>
      </c>
      <c r="T110" s="52">
        <f t="shared" ca="1" si="833"/>
        <v>6.6560049259997385</v>
      </c>
      <c r="U110" s="52">
        <f t="shared" ca="1" si="833"/>
        <v>6.6852027148053281</v>
      </c>
      <c r="V110" s="52">
        <f t="shared" ca="1" si="833"/>
        <v>7.2912212201123481</v>
      </c>
      <c r="W110" s="52">
        <f t="shared" ca="1" si="833"/>
        <v>6.7724599806349914</v>
      </c>
      <c r="X110" s="52">
        <f t="shared" ca="1" si="833"/>
        <v>6.8021686209390708</v>
      </c>
      <c r="Y110" s="52">
        <f t="shared" ca="1" si="833"/>
        <v>9.8385939357659709</v>
      </c>
      <c r="Z110" s="52">
        <f t="shared" ca="1" si="833"/>
        <v>9.6606348517706806</v>
      </c>
      <c r="AA110" s="52">
        <f t="shared" ca="1" si="833"/>
        <v>9.5157360451337922</v>
      </c>
      <c r="AB110" s="52">
        <f t="shared" ca="1" si="833"/>
        <v>3.2986108460914068</v>
      </c>
      <c r="AC110" s="52">
        <f t="shared" ca="1" si="833"/>
        <v>3.3130808087651928</v>
      </c>
      <c r="AD110" s="52">
        <f t="shared" ca="1" si="833"/>
        <v>3.3276142465894907</v>
      </c>
      <c r="AE110" s="52">
        <f t="shared" ca="1" si="833"/>
        <v>3.3422114380096275</v>
      </c>
      <c r="AF110" s="52">
        <f t="shared" ca="1" si="833"/>
        <v>3.3676887110387952</v>
      </c>
      <c r="AG110" s="52">
        <f t="shared" ca="1" si="833"/>
        <v>3.3824616964618883</v>
      </c>
      <c r="AH110" s="52">
        <f t="shared" ca="1" si="833"/>
        <v>10.964392449071937</v>
      </c>
      <c r="AI110" s="52">
        <f t="shared" ca="1" si="833"/>
        <v>9.4210993847007956</v>
      </c>
      <c r="AJ110" s="52">
        <f t="shared" ca="1" si="833"/>
        <v>9.0606590206237456</v>
      </c>
      <c r="AK110" s="52">
        <f t="shared" ca="1" si="833"/>
        <v>6.4913977072196758</v>
      </c>
      <c r="AL110" s="52">
        <f t="shared" ca="1" si="833"/>
        <v>6.5198734162095775</v>
      </c>
      <c r="AM110" s="52">
        <f t="shared" ca="1" si="833"/>
        <v>6.548474039130042</v>
      </c>
      <c r="AN110" s="52">
        <f t="shared" ca="1" si="833"/>
        <v>6.5772001239390363</v>
      </c>
      <c r="AO110" s="52">
        <f t="shared" ca="1" si="833"/>
        <v>6.6292560334673851</v>
      </c>
      <c r="AP110" s="52">
        <f t="shared" ca="1" si="833"/>
        <v>6.6583364833401504</v>
      </c>
      <c r="AQ110" s="52">
        <f t="shared" ca="1" si="833"/>
        <v>8.1958299518994977</v>
      </c>
      <c r="AR110" s="52">
        <f t="shared" ca="1" si="833"/>
        <v>7.6718095157922335</v>
      </c>
      <c r="AS110" s="52">
        <f t="shared" ca="1" si="833"/>
        <v>7.6964783591508308</v>
      </c>
      <c r="AT110" s="52">
        <f t="shared" ca="1" si="833"/>
        <v>2.1331017353327866</v>
      </c>
      <c r="AU110" s="52">
        <f t="shared" ca="1" si="833"/>
        <v>2.1424589781025247</v>
      </c>
      <c r="AV110" s="52">
        <f t="shared" ca="1" si="833"/>
        <v>2.1518572681372348</v>
      </c>
      <c r="AW110" s="52">
        <f t="shared" ca="1" si="833"/>
        <v>2.1612967854983935</v>
      </c>
      <c r="AX110" s="52">
        <f t="shared" ca="1" si="833"/>
        <v>2.1707777110372035</v>
      </c>
      <c r="AY110" s="52">
        <f t="shared" ca="1" si="833"/>
        <v>2.180300226398117</v>
      </c>
      <c r="AZ110" s="52">
        <f t="shared" ca="1" si="833"/>
        <v>3.1887886408269424</v>
      </c>
      <c r="BA110" s="52">
        <f t="shared" ca="1" si="833"/>
        <v>2.2086872433145004</v>
      </c>
      <c r="BB110" s="52">
        <f t="shared" ca="1" si="833"/>
        <v>2.2183760558055496</v>
      </c>
      <c r="BC110" s="52">
        <f ca="1">IFERROR(BC106,0)</f>
        <v>2.2281073700531806</v>
      </c>
      <c r="BD110" s="52">
        <f t="shared" ca="1" si="833"/>
        <v>2.2378813724992028</v>
      </c>
      <c r="BE110" s="52">
        <f ca="1">IFERROR(BE106,0)</f>
        <v>2.8429013209242271</v>
      </c>
      <c r="BF110" s="52">
        <f t="shared" ca="1" si="833"/>
        <v>0</v>
      </c>
      <c r="BG110" s="52">
        <f t="shared" ca="1" si="833"/>
        <v>0</v>
      </c>
      <c r="BH110" s="52">
        <f t="shared" ca="1" si="833"/>
        <v>0</v>
      </c>
      <c r="BI110" s="52">
        <f t="shared" ca="1" si="833"/>
        <v>0</v>
      </c>
      <c r="BJ110" s="52">
        <f t="shared" ca="1" si="833"/>
        <v>0</v>
      </c>
      <c r="BK110" s="52">
        <f t="shared" ca="1" si="833"/>
        <v>0</v>
      </c>
      <c r="BL110" s="52">
        <f t="shared" ca="1" si="833"/>
        <v>0</v>
      </c>
      <c r="BM110" s="52">
        <f t="shared" ca="1" si="833"/>
        <v>0</v>
      </c>
      <c r="BN110" s="52">
        <f t="shared" ca="1" si="833"/>
        <v>0</v>
      </c>
      <c r="BO110" s="52">
        <f t="shared" ca="1" si="833"/>
        <v>0</v>
      </c>
      <c r="BP110" s="52">
        <f t="shared" ca="1" si="833"/>
        <v>0</v>
      </c>
      <c r="BQ110" s="52">
        <f t="shared" ref="BQ110:EB110" ca="1" si="834">IFERROR(BQ106,0)</f>
        <v>0</v>
      </c>
      <c r="BR110" s="52">
        <f t="shared" ca="1" si="834"/>
        <v>0</v>
      </c>
      <c r="BS110" s="52">
        <f t="shared" ca="1" si="834"/>
        <v>0</v>
      </c>
      <c r="BT110" s="52">
        <f t="shared" ca="1" si="834"/>
        <v>0</v>
      </c>
      <c r="BU110" s="52">
        <f t="shared" ca="1" si="834"/>
        <v>0</v>
      </c>
      <c r="BV110" s="52">
        <f t="shared" ca="1" si="834"/>
        <v>0</v>
      </c>
      <c r="BW110" s="52">
        <f t="shared" ca="1" si="834"/>
        <v>0</v>
      </c>
      <c r="BX110" s="52">
        <f t="shared" ca="1" si="834"/>
        <v>0</v>
      </c>
      <c r="BY110" s="52">
        <f t="shared" ca="1" si="834"/>
        <v>0</v>
      </c>
      <c r="BZ110" s="52">
        <f t="shared" ca="1" si="834"/>
        <v>0</v>
      </c>
      <c r="CA110" s="52">
        <f t="shared" ca="1" si="834"/>
        <v>0</v>
      </c>
      <c r="CB110" s="52">
        <f t="shared" ca="1" si="834"/>
        <v>0</v>
      </c>
      <c r="CC110" s="52">
        <f t="shared" ca="1" si="834"/>
        <v>0</v>
      </c>
      <c r="CD110" s="52">
        <f t="shared" ca="1" si="834"/>
        <v>0</v>
      </c>
      <c r="CE110" s="52">
        <f t="shared" ca="1" si="834"/>
        <v>0</v>
      </c>
      <c r="CF110" s="52">
        <f t="shared" ca="1" si="834"/>
        <v>0</v>
      </c>
      <c r="CG110" s="52">
        <f t="shared" ca="1" si="834"/>
        <v>0</v>
      </c>
      <c r="CH110" s="52">
        <f t="shared" ca="1" si="834"/>
        <v>0</v>
      </c>
      <c r="CI110" s="52">
        <f t="shared" ca="1" si="834"/>
        <v>0</v>
      </c>
      <c r="CJ110" s="52">
        <f t="shared" ca="1" si="834"/>
        <v>0</v>
      </c>
      <c r="CK110" s="52">
        <f t="shared" ca="1" si="834"/>
        <v>0</v>
      </c>
      <c r="CL110" s="52">
        <f t="shared" ca="1" si="834"/>
        <v>0</v>
      </c>
      <c r="CM110" s="52">
        <f t="shared" ca="1" si="834"/>
        <v>0</v>
      </c>
      <c r="CN110" s="52">
        <f t="shared" ca="1" si="834"/>
        <v>0</v>
      </c>
      <c r="CO110" s="52">
        <f t="shared" ca="1" si="834"/>
        <v>0</v>
      </c>
      <c r="CP110" s="52">
        <f t="shared" ca="1" si="834"/>
        <v>0</v>
      </c>
      <c r="CQ110" s="52">
        <f t="shared" ca="1" si="834"/>
        <v>0</v>
      </c>
      <c r="CR110" s="52">
        <f t="shared" ca="1" si="834"/>
        <v>0</v>
      </c>
      <c r="CS110" s="52">
        <f t="shared" ca="1" si="834"/>
        <v>0</v>
      </c>
      <c r="CT110" s="52">
        <f t="shared" ca="1" si="834"/>
        <v>0</v>
      </c>
      <c r="CU110" s="52">
        <f t="shared" ca="1" si="834"/>
        <v>0</v>
      </c>
      <c r="CV110" s="52">
        <f t="shared" ca="1" si="834"/>
        <v>0</v>
      </c>
      <c r="CW110" s="52">
        <f t="shared" ca="1" si="834"/>
        <v>0</v>
      </c>
      <c r="CX110" s="52">
        <f t="shared" ca="1" si="834"/>
        <v>0</v>
      </c>
      <c r="CY110" s="52">
        <f t="shared" ca="1" si="834"/>
        <v>0</v>
      </c>
      <c r="CZ110" s="52">
        <f t="shared" ca="1" si="834"/>
        <v>0</v>
      </c>
      <c r="DA110" s="52">
        <f t="shared" ca="1" si="834"/>
        <v>0</v>
      </c>
      <c r="DB110" s="52">
        <f t="shared" ca="1" si="834"/>
        <v>0</v>
      </c>
      <c r="DC110" s="52">
        <f t="shared" ca="1" si="834"/>
        <v>0</v>
      </c>
      <c r="DD110" s="52">
        <f t="shared" ca="1" si="834"/>
        <v>0</v>
      </c>
      <c r="DE110" s="52">
        <f t="shared" ca="1" si="834"/>
        <v>0</v>
      </c>
      <c r="DF110" s="52">
        <f t="shared" ca="1" si="834"/>
        <v>0</v>
      </c>
      <c r="DG110" s="52">
        <f t="shared" ca="1" si="834"/>
        <v>0</v>
      </c>
      <c r="DH110" s="52">
        <f t="shared" ca="1" si="834"/>
        <v>0</v>
      </c>
      <c r="DI110" s="52">
        <f t="shared" ca="1" si="834"/>
        <v>0</v>
      </c>
      <c r="DJ110" s="52">
        <f t="shared" ca="1" si="834"/>
        <v>0</v>
      </c>
      <c r="DK110" s="52">
        <f t="shared" ca="1" si="834"/>
        <v>0</v>
      </c>
      <c r="DL110" s="52">
        <f t="shared" ca="1" si="834"/>
        <v>0</v>
      </c>
      <c r="DM110" s="52">
        <f t="shared" ca="1" si="834"/>
        <v>0</v>
      </c>
      <c r="DN110" s="52">
        <f t="shared" ca="1" si="834"/>
        <v>0</v>
      </c>
      <c r="DO110" s="52">
        <f t="shared" ca="1" si="834"/>
        <v>0</v>
      </c>
      <c r="DP110" s="52">
        <f t="shared" ca="1" si="834"/>
        <v>0</v>
      </c>
      <c r="DQ110" s="52">
        <f t="shared" ca="1" si="834"/>
        <v>0</v>
      </c>
      <c r="DR110" s="52">
        <f t="shared" ca="1" si="834"/>
        <v>0</v>
      </c>
      <c r="DS110" s="52">
        <f t="shared" ca="1" si="834"/>
        <v>0</v>
      </c>
      <c r="DT110" s="52">
        <f t="shared" ca="1" si="834"/>
        <v>0</v>
      </c>
      <c r="DU110" s="52">
        <f t="shared" ca="1" si="834"/>
        <v>0</v>
      </c>
      <c r="DV110" s="52">
        <f t="shared" ca="1" si="834"/>
        <v>0</v>
      </c>
      <c r="DW110" s="52">
        <f t="shared" ca="1" si="834"/>
        <v>0</v>
      </c>
      <c r="DX110" s="52">
        <f t="shared" ca="1" si="834"/>
        <v>0</v>
      </c>
      <c r="DY110" s="52">
        <f t="shared" ca="1" si="834"/>
        <v>0</v>
      </c>
      <c r="DZ110" s="52">
        <f t="shared" ca="1" si="834"/>
        <v>0</v>
      </c>
      <c r="EA110" s="52">
        <f t="shared" ca="1" si="834"/>
        <v>0</v>
      </c>
      <c r="EB110" s="52">
        <f t="shared" ca="1" si="834"/>
        <v>0</v>
      </c>
      <c r="EC110" s="52">
        <f t="shared" ref="EC110:GN110" ca="1" si="835">IFERROR(EC106,0)</f>
        <v>0</v>
      </c>
      <c r="ED110" s="52">
        <f t="shared" ca="1" si="835"/>
        <v>0</v>
      </c>
      <c r="EE110" s="52">
        <f t="shared" ca="1" si="835"/>
        <v>0</v>
      </c>
      <c r="EF110" s="52">
        <f t="shared" ca="1" si="835"/>
        <v>0</v>
      </c>
      <c r="EG110" s="52">
        <f t="shared" ca="1" si="835"/>
        <v>0</v>
      </c>
      <c r="EH110" s="52">
        <f t="shared" ca="1" si="835"/>
        <v>0</v>
      </c>
      <c r="EI110" s="52">
        <f t="shared" ca="1" si="835"/>
        <v>0</v>
      </c>
      <c r="EJ110" s="52">
        <f t="shared" ca="1" si="835"/>
        <v>0</v>
      </c>
      <c r="EK110" s="52">
        <f t="shared" ca="1" si="835"/>
        <v>0</v>
      </c>
      <c r="EL110" s="52">
        <f t="shared" ca="1" si="835"/>
        <v>0</v>
      </c>
      <c r="EM110" s="52">
        <f t="shared" ca="1" si="835"/>
        <v>0</v>
      </c>
      <c r="EN110" s="52">
        <f t="shared" ca="1" si="835"/>
        <v>0</v>
      </c>
      <c r="EO110" s="52">
        <f t="shared" ca="1" si="835"/>
        <v>0</v>
      </c>
      <c r="EP110" s="52">
        <f t="shared" ca="1" si="835"/>
        <v>0</v>
      </c>
      <c r="EQ110" s="52">
        <f t="shared" ca="1" si="835"/>
        <v>0</v>
      </c>
      <c r="ER110" s="52">
        <f t="shared" ca="1" si="835"/>
        <v>0</v>
      </c>
      <c r="ES110" s="52">
        <f t="shared" ca="1" si="835"/>
        <v>0</v>
      </c>
      <c r="ET110" s="52">
        <f t="shared" ca="1" si="835"/>
        <v>0</v>
      </c>
      <c r="EU110" s="52">
        <f t="shared" ca="1" si="835"/>
        <v>0</v>
      </c>
      <c r="EV110" s="52">
        <f t="shared" ca="1" si="835"/>
        <v>0</v>
      </c>
      <c r="EW110" s="52">
        <f t="shared" ca="1" si="835"/>
        <v>0</v>
      </c>
      <c r="EX110" s="52">
        <f t="shared" ca="1" si="835"/>
        <v>0</v>
      </c>
      <c r="EY110" s="52">
        <f t="shared" ca="1" si="835"/>
        <v>0</v>
      </c>
      <c r="EZ110" s="52">
        <f t="shared" ca="1" si="835"/>
        <v>0</v>
      </c>
      <c r="FA110" s="52">
        <f t="shared" ca="1" si="835"/>
        <v>0</v>
      </c>
      <c r="FB110" s="52">
        <f t="shared" ca="1" si="835"/>
        <v>0</v>
      </c>
      <c r="FC110" s="52">
        <f t="shared" ca="1" si="835"/>
        <v>0</v>
      </c>
      <c r="FD110" s="52">
        <f t="shared" ca="1" si="835"/>
        <v>0</v>
      </c>
      <c r="FE110" s="52">
        <f t="shared" ca="1" si="835"/>
        <v>0</v>
      </c>
      <c r="FF110" s="52">
        <f t="shared" ca="1" si="835"/>
        <v>0</v>
      </c>
      <c r="FG110" s="52">
        <f t="shared" ca="1" si="835"/>
        <v>0</v>
      </c>
      <c r="FH110" s="52">
        <f t="shared" ca="1" si="835"/>
        <v>0</v>
      </c>
      <c r="FI110" s="52">
        <f t="shared" ca="1" si="835"/>
        <v>0</v>
      </c>
      <c r="FJ110" s="52">
        <f t="shared" ca="1" si="835"/>
        <v>0</v>
      </c>
      <c r="FK110" s="52">
        <f t="shared" ca="1" si="835"/>
        <v>0</v>
      </c>
      <c r="FL110" s="52">
        <f t="shared" ca="1" si="835"/>
        <v>0</v>
      </c>
      <c r="FM110" s="52">
        <f t="shared" ca="1" si="835"/>
        <v>0</v>
      </c>
      <c r="FN110" s="52">
        <f t="shared" ca="1" si="835"/>
        <v>0</v>
      </c>
      <c r="FO110" s="52">
        <f t="shared" ca="1" si="835"/>
        <v>0</v>
      </c>
      <c r="FP110" s="52">
        <f t="shared" ca="1" si="835"/>
        <v>0</v>
      </c>
      <c r="FQ110" s="52">
        <f t="shared" ca="1" si="835"/>
        <v>0</v>
      </c>
      <c r="FR110" s="52">
        <f t="shared" ca="1" si="835"/>
        <v>0</v>
      </c>
      <c r="FS110" s="52">
        <f t="shared" ca="1" si="835"/>
        <v>0</v>
      </c>
      <c r="FT110" s="52">
        <f t="shared" ca="1" si="835"/>
        <v>0</v>
      </c>
      <c r="FU110" s="52">
        <f t="shared" ca="1" si="835"/>
        <v>0</v>
      </c>
      <c r="FV110" s="52">
        <f t="shared" ca="1" si="835"/>
        <v>0</v>
      </c>
      <c r="FW110" s="52">
        <f t="shared" ca="1" si="835"/>
        <v>0</v>
      </c>
      <c r="FX110" s="52">
        <f t="shared" ca="1" si="835"/>
        <v>0</v>
      </c>
      <c r="FY110" s="52">
        <f t="shared" ca="1" si="835"/>
        <v>0</v>
      </c>
      <c r="FZ110" s="52">
        <f t="shared" ca="1" si="835"/>
        <v>0</v>
      </c>
      <c r="GA110" s="52">
        <f t="shared" ca="1" si="835"/>
        <v>0</v>
      </c>
      <c r="GB110" s="52">
        <f t="shared" ca="1" si="835"/>
        <v>0</v>
      </c>
      <c r="GC110" s="52">
        <f t="shared" ca="1" si="835"/>
        <v>0</v>
      </c>
      <c r="GD110" s="52">
        <f t="shared" ca="1" si="835"/>
        <v>0</v>
      </c>
      <c r="GE110" s="52">
        <f t="shared" ca="1" si="835"/>
        <v>0</v>
      </c>
      <c r="GF110" s="52">
        <f t="shared" ca="1" si="835"/>
        <v>0</v>
      </c>
      <c r="GG110" s="52">
        <f t="shared" ca="1" si="835"/>
        <v>0</v>
      </c>
      <c r="GH110" s="52">
        <f t="shared" ca="1" si="835"/>
        <v>0</v>
      </c>
      <c r="GI110" s="52">
        <f t="shared" ca="1" si="835"/>
        <v>0</v>
      </c>
      <c r="GJ110" s="52">
        <f t="shared" ca="1" si="835"/>
        <v>0</v>
      </c>
      <c r="GK110" s="52">
        <f t="shared" ca="1" si="835"/>
        <v>0</v>
      </c>
      <c r="GL110" s="52">
        <f t="shared" ca="1" si="835"/>
        <v>0</v>
      </c>
      <c r="GM110" s="52">
        <f t="shared" ca="1" si="835"/>
        <v>0</v>
      </c>
      <c r="GN110" s="52">
        <f t="shared" ca="1" si="835"/>
        <v>0</v>
      </c>
      <c r="GO110" s="52">
        <f t="shared" ref="GO110:IZ110" ca="1" si="836">IFERROR(GO106,0)</f>
        <v>0</v>
      </c>
      <c r="GP110" s="52">
        <f t="shared" ca="1" si="836"/>
        <v>0</v>
      </c>
      <c r="GQ110" s="52">
        <f t="shared" ca="1" si="836"/>
        <v>0</v>
      </c>
      <c r="GR110" s="52">
        <f t="shared" ca="1" si="836"/>
        <v>0</v>
      </c>
      <c r="GS110" s="52">
        <f t="shared" ca="1" si="836"/>
        <v>0</v>
      </c>
      <c r="GT110" s="52">
        <f t="shared" ca="1" si="836"/>
        <v>0</v>
      </c>
      <c r="GU110" s="52">
        <f t="shared" ca="1" si="836"/>
        <v>0</v>
      </c>
      <c r="GV110" s="52">
        <f t="shared" ca="1" si="836"/>
        <v>0</v>
      </c>
      <c r="GW110" s="52">
        <f t="shared" ca="1" si="836"/>
        <v>0</v>
      </c>
      <c r="GX110" s="52">
        <f t="shared" ca="1" si="836"/>
        <v>0</v>
      </c>
      <c r="GY110" s="52">
        <f t="shared" ca="1" si="836"/>
        <v>0</v>
      </c>
      <c r="GZ110" s="52">
        <f t="shared" ca="1" si="836"/>
        <v>0</v>
      </c>
      <c r="HA110" s="52">
        <f t="shared" ca="1" si="836"/>
        <v>0</v>
      </c>
      <c r="HB110" s="52">
        <f t="shared" ca="1" si="836"/>
        <v>0</v>
      </c>
      <c r="HC110" s="52">
        <f t="shared" ca="1" si="836"/>
        <v>0</v>
      </c>
      <c r="HD110" s="52">
        <f t="shared" ca="1" si="836"/>
        <v>0</v>
      </c>
      <c r="HE110" s="52">
        <f t="shared" ca="1" si="836"/>
        <v>0</v>
      </c>
      <c r="HF110" s="52">
        <f t="shared" ca="1" si="836"/>
        <v>0</v>
      </c>
      <c r="HG110" s="52">
        <f t="shared" ca="1" si="836"/>
        <v>0</v>
      </c>
      <c r="HH110" s="52">
        <f t="shared" ca="1" si="836"/>
        <v>0</v>
      </c>
      <c r="HI110" s="52">
        <f t="shared" ca="1" si="836"/>
        <v>0</v>
      </c>
      <c r="HJ110" s="52">
        <f t="shared" ca="1" si="836"/>
        <v>0</v>
      </c>
      <c r="HK110" s="52">
        <f t="shared" ca="1" si="836"/>
        <v>0</v>
      </c>
      <c r="HL110" s="52">
        <f t="shared" ca="1" si="836"/>
        <v>0</v>
      </c>
      <c r="HM110" s="52">
        <f t="shared" ca="1" si="836"/>
        <v>0</v>
      </c>
      <c r="HN110" s="52">
        <f t="shared" ca="1" si="836"/>
        <v>0</v>
      </c>
      <c r="HO110" s="52">
        <f t="shared" ca="1" si="836"/>
        <v>0</v>
      </c>
      <c r="HP110" s="52">
        <f t="shared" ca="1" si="836"/>
        <v>0</v>
      </c>
      <c r="HQ110" s="52">
        <f t="shared" ca="1" si="836"/>
        <v>0</v>
      </c>
      <c r="HR110" s="52">
        <f t="shared" ca="1" si="836"/>
        <v>0</v>
      </c>
      <c r="HS110" s="52">
        <f t="shared" ca="1" si="836"/>
        <v>0</v>
      </c>
      <c r="HT110" s="52">
        <f t="shared" ca="1" si="836"/>
        <v>0</v>
      </c>
      <c r="HU110" s="52">
        <f t="shared" ca="1" si="836"/>
        <v>0</v>
      </c>
      <c r="HV110" s="52">
        <f t="shared" ca="1" si="836"/>
        <v>0</v>
      </c>
      <c r="HW110" s="52">
        <f t="shared" ca="1" si="836"/>
        <v>0</v>
      </c>
      <c r="HX110" s="52">
        <f t="shared" ca="1" si="836"/>
        <v>0</v>
      </c>
      <c r="HY110" s="52">
        <f t="shared" ca="1" si="836"/>
        <v>0</v>
      </c>
      <c r="HZ110" s="52">
        <f t="shared" ca="1" si="836"/>
        <v>0</v>
      </c>
      <c r="IA110" s="52">
        <f t="shared" ca="1" si="836"/>
        <v>0</v>
      </c>
      <c r="IB110" s="52">
        <f t="shared" ca="1" si="836"/>
        <v>0</v>
      </c>
      <c r="IC110" s="52">
        <f t="shared" ca="1" si="836"/>
        <v>0</v>
      </c>
      <c r="ID110" s="52">
        <f t="shared" ca="1" si="836"/>
        <v>0</v>
      </c>
      <c r="IE110" s="52">
        <f t="shared" ca="1" si="836"/>
        <v>0</v>
      </c>
      <c r="IF110" s="52">
        <f t="shared" ca="1" si="836"/>
        <v>0</v>
      </c>
      <c r="IG110" s="52">
        <f t="shared" ca="1" si="836"/>
        <v>0</v>
      </c>
      <c r="IH110" s="52">
        <f t="shared" ca="1" si="836"/>
        <v>0</v>
      </c>
      <c r="II110" s="52">
        <f t="shared" ca="1" si="836"/>
        <v>0</v>
      </c>
      <c r="IJ110" s="52">
        <f t="shared" ca="1" si="836"/>
        <v>0</v>
      </c>
      <c r="IK110" s="52">
        <f t="shared" ca="1" si="836"/>
        <v>0</v>
      </c>
      <c r="IL110" s="52">
        <f t="shared" ca="1" si="836"/>
        <v>0</v>
      </c>
      <c r="IM110" s="52">
        <f t="shared" ca="1" si="836"/>
        <v>0</v>
      </c>
      <c r="IN110" s="52">
        <f t="shared" ca="1" si="836"/>
        <v>0</v>
      </c>
      <c r="IO110" s="52">
        <f t="shared" ca="1" si="836"/>
        <v>0</v>
      </c>
      <c r="IP110" s="52">
        <f t="shared" ca="1" si="836"/>
        <v>0</v>
      </c>
      <c r="IQ110" s="52">
        <f t="shared" ca="1" si="836"/>
        <v>0</v>
      </c>
      <c r="IR110" s="52">
        <f t="shared" ca="1" si="836"/>
        <v>0</v>
      </c>
      <c r="IS110" s="52">
        <f t="shared" ca="1" si="836"/>
        <v>0</v>
      </c>
      <c r="IT110" s="52">
        <f t="shared" ca="1" si="836"/>
        <v>0</v>
      </c>
      <c r="IU110" s="52">
        <f t="shared" ca="1" si="836"/>
        <v>0</v>
      </c>
      <c r="IV110" s="52">
        <f t="shared" ca="1" si="836"/>
        <v>0</v>
      </c>
      <c r="IW110" s="52">
        <f t="shared" ca="1" si="836"/>
        <v>0</v>
      </c>
      <c r="IX110" s="52">
        <f t="shared" ca="1" si="836"/>
        <v>0</v>
      </c>
      <c r="IY110" s="52">
        <f t="shared" ca="1" si="836"/>
        <v>0</v>
      </c>
      <c r="IZ110" s="52">
        <f t="shared" ca="1" si="836"/>
        <v>0</v>
      </c>
      <c r="JA110" s="52">
        <f t="shared" ref="JA110:KB110" ca="1" si="837">IFERROR(JA106,0)</f>
        <v>0</v>
      </c>
      <c r="JB110" s="52">
        <f t="shared" ca="1" si="837"/>
        <v>0</v>
      </c>
      <c r="JC110" s="52">
        <f t="shared" ca="1" si="837"/>
        <v>0</v>
      </c>
      <c r="JD110" s="52">
        <f t="shared" ca="1" si="837"/>
        <v>0</v>
      </c>
      <c r="JE110" s="52">
        <f t="shared" ca="1" si="837"/>
        <v>0</v>
      </c>
      <c r="JF110" s="52">
        <f t="shared" ca="1" si="837"/>
        <v>0</v>
      </c>
      <c r="JG110" s="52">
        <f t="shared" ca="1" si="837"/>
        <v>0</v>
      </c>
      <c r="JH110" s="52">
        <f t="shared" ca="1" si="837"/>
        <v>0</v>
      </c>
      <c r="JI110" s="52">
        <f t="shared" ca="1" si="837"/>
        <v>0</v>
      </c>
      <c r="JJ110" s="52">
        <f t="shared" ca="1" si="837"/>
        <v>0</v>
      </c>
      <c r="JK110" s="52">
        <f t="shared" ca="1" si="837"/>
        <v>0</v>
      </c>
      <c r="JL110" s="52">
        <f t="shared" ca="1" si="837"/>
        <v>0</v>
      </c>
      <c r="JM110" s="52">
        <f t="shared" ca="1" si="837"/>
        <v>0</v>
      </c>
      <c r="JN110" s="52">
        <f t="shared" ca="1" si="837"/>
        <v>0</v>
      </c>
      <c r="JO110" s="52">
        <f t="shared" ca="1" si="837"/>
        <v>0</v>
      </c>
      <c r="JP110" s="52">
        <f t="shared" ca="1" si="837"/>
        <v>0</v>
      </c>
      <c r="JQ110" s="52">
        <f t="shared" ca="1" si="837"/>
        <v>0</v>
      </c>
      <c r="JR110" s="52">
        <f t="shared" ca="1" si="837"/>
        <v>0</v>
      </c>
      <c r="JS110" s="52">
        <f t="shared" ca="1" si="837"/>
        <v>0</v>
      </c>
      <c r="JT110" s="52">
        <f t="shared" ca="1" si="837"/>
        <v>0</v>
      </c>
      <c r="JU110" s="52">
        <f t="shared" ca="1" si="837"/>
        <v>0</v>
      </c>
      <c r="JV110" s="52">
        <f t="shared" ca="1" si="837"/>
        <v>0</v>
      </c>
      <c r="JW110" s="52">
        <f t="shared" ca="1" si="837"/>
        <v>0</v>
      </c>
      <c r="JX110" s="52">
        <f t="shared" ca="1" si="837"/>
        <v>0</v>
      </c>
      <c r="JY110" s="52">
        <f t="shared" ca="1" si="837"/>
        <v>0</v>
      </c>
      <c r="JZ110" s="52">
        <f t="shared" ca="1" si="837"/>
        <v>0</v>
      </c>
      <c r="KA110" s="52">
        <f t="shared" ca="1" si="837"/>
        <v>0</v>
      </c>
      <c r="KB110" s="52">
        <f t="shared" ca="1" si="837"/>
        <v>0</v>
      </c>
    </row>
    <row r="111" spans="1:288" x14ac:dyDescent="0.3">
      <c r="A111" s="296" t="s">
        <v>283</v>
      </c>
      <c r="B111" s="297">
        <f ca="1">SUM(C111:KB111)</f>
        <v>551.5380507293936</v>
      </c>
      <c r="C111" s="298">
        <f ca="1">SUM(C109:C110)</f>
        <v>47.58</v>
      </c>
      <c r="D111" s="298">
        <f t="shared" ref="D111:BO111" ca="1" si="838">SUM(D109:D110)</f>
        <v>8.9337692687772687</v>
      </c>
      <c r="E111" s="298">
        <f t="shared" ca="1" si="838"/>
        <v>8.4706402268235053</v>
      </c>
      <c r="F111" s="298">
        <f t="shared" ca="1" si="838"/>
        <v>5.9833547827146276</v>
      </c>
      <c r="G111" s="298">
        <f t="shared" ca="1" si="838"/>
        <v>6.0311625495994576</v>
      </c>
      <c r="H111" s="298">
        <f t="shared" ca="1" si="838"/>
        <v>6.0793523066315487</v>
      </c>
      <c r="I111" s="298">
        <f t="shared" ca="1" si="838"/>
        <v>6.127927105960822</v>
      </c>
      <c r="J111" s="298">
        <f t="shared" ca="1" si="838"/>
        <v>6.1768900241242761</v>
      </c>
      <c r="K111" s="298">
        <f t="shared" ca="1" si="838"/>
        <v>6.2506440946977619</v>
      </c>
      <c r="L111" s="298">
        <f t="shared" ca="1" si="838"/>
        <v>4.1680988412154107</v>
      </c>
      <c r="M111" s="298">
        <f t="shared" ca="1" si="838"/>
        <v>6.330872040804735</v>
      </c>
      <c r="N111" s="298">
        <f t="shared" ca="1" si="838"/>
        <v>6.3669909372977784</v>
      </c>
      <c r="O111" s="298">
        <f t="shared" ca="1" si="838"/>
        <v>6.3949209131287787</v>
      </c>
      <c r="P111" s="298">
        <f t="shared" ca="1" si="838"/>
        <v>13.661759941454108</v>
      </c>
      <c r="Q111" s="298">
        <f t="shared" ca="1" si="838"/>
        <v>12.757235544313204</v>
      </c>
      <c r="R111" s="298">
        <f t="shared" ca="1" si="838"/>
        <v>11.996347922972774</v>
      </c>
      <c r="S111" s="298">
        <f t="shared" ca="1" si="838"/>
        <v>12.048972107748369</v>
      </c>
      <c r="T111" s="298">
        <f t="shared" ca="1" si="838"/>
        <v>12.101827138181363</v>
      </c>
      <c r="U111" s="298">
        <f t="shared" ca="1" si="838"/>
        <v>12.15491402691876</v>
      </c>
      <c r="V111" s="298">
        <f t="shared" ca="1" si="838"/>
        <v>13.256765854749716</v>
      </c>
      <c r="W111" s="298">
        <f t="shared" ca="1" si="838"/>
        <v>12.313563601154527</v>
      </c>
      <c r="X111" s="298">
        <f t="shared" ca="1" si="838"/>
        <v>12.367579310798291</v>
      </c>
      <c r="Y111" s="298">
        <f t="shared" ca="1" si="838"/>
        <v>17.888352610483608</v>
      </c>
      <c r="Z111" s="298">
        <f t="shared" ca="1" si="838"/>
        <v>17.564790639583066</v>
      </c>
      <c r="AA111" s="298">
        <f t="shared" ca="1" si="838"/>
        <v>17.301338263879586</v>
      </c>
      <c r="AB111" s="298">
        <f t="shared" ca="1" si="838"/>
        <v>5.9974742656207241</v>
      </c>
      <c r="AC111" s="298">
        <f t="shared" ca="1" si="838"/>
        <v>6.0237832886639922</v>
      </c>
      <c r="AD111" s="298">
        <f t="shared" ca="1" si="838"/>
        <v>6.0502077210717857</v>
      </c>
      <c r="AE111" s="298">
        <f t="shared" ca="1" si="838"/>
        <v>6.0767480691084188</v>
      </c>
      <c r="AF111" s="298">
        <f t="shared" ca="1" si="838"/>
        <v>6.1230703837069314</v>
      </c>
      <c r="AG111" s="298">
        <f t="shared" ca="1" si="838"/>
        <v>6.1499303572034592</v>
      </c>
      <c r="AH111" s="298">
        <f t="shared" ca="1" si="838"/>
        <v>19.935258998312634</v>
      </c>
      <c r="AI111" s="298">
        <f t="shared" ca="1" si="838"/>
        <v>17.129271608546901</v>
      </c>
      <c r="AJ111" s="298">
        <f t="shared" ca="1" si="838"/>
        <v>16.473925492043179</v>
      </c>
      <c r="AK111" s="298">
        <f t="shared" ca="1" si="838"/>
        <v>11.80254128585392</v>
      </c>
      <c r="AL111" s="298">
        <f t="shared" ca="1" si="838"/>
        <v>11.854315302199211</v>
      </c>
      <c r="AM111" s="298">
        <f t="shared" ca="1" si="838"/>
        <v>11.9063164347819</v>
      </c>
      <c r="AN111" s="298">
        <f t="shared" ca="1" si="838"/>
        <v>11.958545679889141</v>
      </c>
      <c r="AO111" s="298">
        <f t="shared" ca="1" si="838"/>
        <v>12.053192788122544</v>
      </c>
      <c r="AP111" s="298">
        <f t="shared" ca="1" si="838"/>
        <v>12.106066333345723</v>
      </c>
      <c r="AQ111" s="298">
        <f t="shared" ca="1" si="838"/>
        <v>14.901509003453668</v>
      </c>
      <c r="AR111" s="298">
        <f t="shared" ca="1" si="838"/>
        <v>13.948744574167648</v>
      </c>
      <c r="AS111" s="298">
        <f t="shared" ca="1" si="838"/>
        <v>13.993597016637892</v>
      </c>
      <c r="AT111" s="298">
        <f t="shared" ca="1" si="838"/>
        <v>3.8783667915141962</v>
      </c>
      <c r="AU111" s="298">
        <f t="shared" ca="1" si="838"/>
        <v>3.8953799601864318</v>
      </c>
      <c r="AV111" s="298">
        <f t="shared" ca="1" si="838"/>
        <v>3.912467760249541</v>
      </c>
      <c r="AW111" s="298">
        <f t="shared" ca="1" si="838"/>
        <v>3.9296305190879934</v>
      </c>
      <c r="AX111" s="298">
        <f t="shared" ca="1" si="838"/>
        <v>3.9468685655221805</v>
      </c>
      <c r="AY111" s="298">
        <f t="shared" ca="1" si="838"/>
        <v>3.9641822298148099</v>
      </c>
      <c r="AZ111" s="298">
        <f t="shared" ca="1" si="838"/>
        <v>5.7977975287763002</v>
      </c>
      <c r="BA111" s="298">
        <f t="shared" ca="1" si="838"/>
        <v>4.0157949878445152</v>
      </c>
      <c r="BB111" s="298">
        <f t="shared" ca="1" si="838"/>
        <v>4.0334110105555681</v>
      </c>
      <c r="BC111" s="298">
        <f t="shared" ca="1" si="838"/>
        <v>4.0511043091876218</v>
      </c>
      <c r="BD111" s="298">
        <f t="shared" ca="1" si="838"/>
        <v>4.0688752227257794</v>
      </c>
      <c r="BE111" s="298">
        <f t="shared" ca="1" si="838"/>
        <v>11.251603187185623</v>
      </c>
      <c r="BF111" s="298">
        <f t="shared" ca="1" si="838"/>
        <v>0</v>
      </c>
      <c r="BG111" s="298">
        <f t="shared" ca="1" si="838"/>
        <v>0</v>
      </c>
      <c r="BH111" s="298">
        <f t="shared" ca="1" si="838"/>
        <v>0</v>
      </c>
      <c r="BI111" s="298">
        <f t="shared" ca="1" si="838"/>
        <v>0</v>
      </c>
      <c r="BJ111" s="298">
        <f t="shared" ca="1" si="838"/>
        <v>0</v>
      </c>
      <c r="BK111" s="298">
        <f t="shared" ca="1" si="838"/>
        <v>0</v>
      </c>
      <c r="BL111" s="298">
        <f t="shared" ca="1" si="838"/>
        <v>0</v>
      </c>
      <c r="BM111" s="298">
        <f t="shared" ca="1" si="838"/>
        <v>0</v>
      </c>
      <c r="BN111" s="298">
        <f t="shared" ca="1" si="838"/>
        <v>0</v>
      </c>
      <c r="BO111" s="298">
        <f t="shared" ca="1" si="838"/>
        <v>0</v>
      </c>
      <c r="BP111" s="298">
        <f t="shared" ref="BP111:CP111" ca="1" si="839">SUM(BP109:BP110)</f>
        <v>0</v>
      </c>
      <c r="BQ111" s="298">
        <f t="shared" ca="1" si="839"/>
        <v>0</v>
      </c>
      <c r="BR111" s="298">
        <f t="shared" ca="1" si="839"/>
        <v>0</v>
      </c>
      <c r="BS111" s="298">
        <f t="shared" ca="1" si="839"/>
        <v>0</v>
      </c>
      <c r="BT111" s="298">
        <f t="shared" ca="1" si="839"/>
        <v>0</v>
      </c>
      <c r="BU111" s="298">
        <f t="shared" ca="1" si="839"/>
        <v>0</v>
      </c>
      <c r="BV111" s="298">
        <f t="shared" ca="1" si="839"/>
        <v>0</v>
      </c>
      <c r="BW111" s="298">
        <f t="shared" ca="1" si="839"/>
        <v>0</v>
      </c>
      <c r="BX111" s="298">
        <f t="shared" ca="1" si="839"/>
        <v>0</v>
      </c>
      <c r="BY111" s="298">
        <f t="shared" ca="1" si="839"/>
        <v>0</v>
      </c>
      <c r="BZ111" s="298">
        <f t="shared" ca="1" si="839"/>
        <v>0</v>
      </c>
      <c r="CA111" s="298">
        <f t="shared" ca="1" si="839"/>
        <v>0</v>
      </c>
      <c r="CB111" s="298">
        <f t="shared" ca="1" si="839"/>
        <v>0</v>
      </c>
      <c r="CC111" s="298">
        <f t="shared" ca="1" si="839"/>
        <v>0</v>
      </c>
      <c r="CD111" s="298">
        <f t="shared" ca="1" si="839"/>
        <v>0</v>
      </c>
      <c r="CE111" s="298">
        <f t="shared" ca="1" si="839"/>
        <v>0</v>
      </c>
      <c r="CF111" s="298">
        <f t="shared" ca="1" si="839"/>
        <v>0</v>
      </c>
      <c r="CG111" s="298">
        <f t="shared" ca="1" si="839"/>
        <v>0</v>
      </c>
      <c r="CH111" s="298">
        <f t="shared" ca="1" si="839"/>
        <v>0</v>
      </c>
      <c r="CI111" s="298">
        <f t="shared" ca="1" si="839"/>
        <v>0</v>
      </c>
      <c r="CJ111" s="298">
        <f t="shared" ca="1" si="839"/>
        <v>0</v>
      </c>
      <c r="CK111" s="298">
        <f t="shared" ca="1" si="839"/>
        <v>0</v>
      </c>
      <c r="CL111" s="298">
        <f t="shared" ca="1" si="839"/>
        <v>0</v>
      </c>
      <c r="CM111" s="298">
        <f t="shared" ca="1" si="839"/>
        <v>0</v>
      </c>
      <c r="CN111" s="298">
        <f t="shared" ca="1" si="839"/>
        <v>0</v>
      </c>
      <c r="CO111" s="298">
        <f t="shared" ca="1" si="839"/>
        <v>0</v>
      </c>
      <c r="CP111" s="298">
        <f t="shared" ca="1" si="839"/>
        <v>0</v>
      </c>
      <c r="CQ111" s="298">
        <f t="shared" ref="CQ111" ca="1" si="840">SUM(CQ109:CQ110)</f>
        <v>0</v>
      </c>
      <c r="CR111" s="298">
        <f t="shared" ref="CR111" ca="1" si="841">SUM(CR109:CR110)</f>
        <v>0</v>
      </c>
      <c r="CS111" s="298">
        <f t="shared" ref="CS111" ca="1" si="842">SUM(CS109:CS110)</f>
        <v>0</v>
      </c>
      <c r="CT111" s="298">
        <f t="shared" ref="CT111" ca="1" si="843">SUM(CT109:CT110)</f>
        <v>0</v>
      </c>
      <c r="CU111" s="298">
        <f t="shared" ref="CU111" ca="1" si="844">SUM(CU109:CU110)</f>
        <v>0</v>
      </c>
      <c r="CV111" s="298">
        <f t="shared" ref="CV111" ca="1" si="845">SUM(CV109:CV110)</f>
        <v>0</v>
      </c>
      <c r="CW111" s="298">
        <f t="shared" ref="CW111" ca="1" si="846">SUM(CW109:CW110)</f>
        <v>0</v>
      </c>
      <c r="CX111" s="298">
        <f t="shared" ref="CX111" ca="1" si="847">SUM(CX109:CX110)</f>
        <v>0</v>
      </c>
      <c r="CY111" s="298">
        <f t="shared" ref="CY111" ca="1" si="848">SUM(CY109:CY110)</f>
        <v>0</v>
      </c>
      <c r="CZ111" s="298">
        <f t="shared" ref="CZ111" ca="1" si="849">SUM(CZ109:CZ110)</f>
        <v>0</v>
      </c>
      <c r="DA111" s="298">
        <f t="shared" ref="DA111" ca="1" si="850">SUM(DA109:DA110)</f>
        <v>0</v>
      </c>
      <c r="DB111" s="298">
        <f t="shared" ref="DB111" ca="1" si="851">SUM(DB109:DB110)</f>
        <v>0</v>
      </c>
      <c r="DC111" s="298">
        <f t="shared" ref="DC111" ca="1" si="852">SUM(DC109:DC110)</f>
        <v>0</v>
      </c>
      <c r="DD111" s="298">
        <f t="shared" ref="DD111" ca="1" si="853">SUM(DD109:DD110)</f>
        <v>0</v>
      </c>
      <c r="DE111" s="298">
        <f t="shared" ref="DE111" ca="1" si="854">SUM(DE109:DE110)</f>
        <v>0</v>
      </c>
      <c r="DF111" s="298">
        <f t="shared" ref="DF111" ca="1" si="855">SUM(DF109:DF110)</f>
        <v>0</v>
      </c>
      <c r="DG111" s="298">
        <f t="shared" ref="DG111" ca="1" si="856">SUM(DG109:DG110)</f>
        <v>0</v>
      </c>
      <c r="DH111" s="298">
        <f t="shared" ref="DH111" ca="1" si="857">SUM(DH109:DH110)</f>
        <v>0</v>
      </c>
      <c r="DI111" s="298">
        <f t="shared" ref="DI111" ca="1" si="858">SUM(DI109:DI110)</f>
        <v>0</v>
      </c>
      <c r="DJ111" s="298">
        <f t="shared" ref="DJ111" ca="1" si="859">SUM(DJ109:DJ110)</f>
        <v>0</v>
      </c>
      <c r="DK111" s="298">
        <f t="shared" ref="DK111" ca="1" si="860">SUM(DK109:DK110)</f>
        <v>0</v>
      </c>
      <c r="DL111" s="298">
        <f t="shared" ref="DL111" ca="1" si="861">SUM(DL109:DL110)</f>
        <v>0</v>
      </c>
      <c r="DM111" s="298">
        <f t="shared" ref="DM111" ca="1" si="862">SUM(DM109:DM110)</f>
        <v>0</v>
      </c>
      <c r="DN111" s="298">
        <f t="shared" ref="DN111" ca="1" si="863">SUM(DN109:DN110)</f>
        <v>0</v>
      </c>
      <c r="DO111" s="298">
        <f t="shared" ref="DO111" ca="1" si="864">SUM(DO109:DO110)</f>
        <v>0</v>
      </c>
      <c r="DP111" s="298">
        <f t="shared" ref="DP111" ca="1" si="865">SUM(DP109:DP110)</f>
        <v>0</v>
      </c>
      <c r="DQ111" s="298">
        <f t="shared" ref="DQ111" ca="1" si="866">SUM(DQ109:DQ110)</f>
        <v>0</v>
      </c>
      <c r="DR111" s="298">
        <f t="shared" ref="DR111" ca="1" si="867">SUM(DR109:DR110)</f>
        <v>0</v>
      </c>
      <c r="DS111" s="298">
        <f t="shared" ref="DS111" ca="1" si="868">SUM(DS109:DS110)</f>
        <v>0</v>
      </c>
      <c r="DT111" s="298">
        <f t="shared" ref="DT111" ca="1" si="869">SUM(DT109:DT110)</f>
        <v>0</v>
      </c>
      <c r="DU111" s="298">
        <f t="shared" ref="DU111" ca="1" si="870">SUM(DU109:DU110)</f>
        <v>0</v>
      </c>
      <c r="DV111" s="298">
        <f t="shared" ref="DV111" ca="1" si="871">SUM(DV109:DV110)</f>
        <v>0</v>
      </c>
      <c r="DW111" s="298">
        <f t="shared" ref="DW111" ca="1" si="872">SUM(DW109:DW110)</f>
        <v>0</v>
      </c>
      <c r="DX111" s="298">
        <f t="shared" ref="DX111" ca="1" si="873">SUM(DX109:DX110)</f>
        <v>0</v>
      </c>
      <c r="DY111" s="298">
        <f t="shared" ref="DY111" ca="1" si="874">SUM(DY109:DY110)</f>
        <v>0</v>
      </c>
      <c r="DZ111" s="298">
        <f t="shared" ref="DZ111" ca="1" si="875">SUM(DZ109:DZ110)</f>
        <v>0</v>
      </c>
      <c r="EA111" s="298">
        <f t="shared" ref="EA111" ca="1" si="876">SUM(EA109:EA110)</f>
        <v>0</v>
      </c>
      <c r="EB111" s="298">
        <f t="shared" ref="EB111" ca="1" si="877">SUM(EB109:EB110)</f>
        <v>0</v>
      </c>
      <c r="EC111" s="298">
        <f t="shared" ref="EC111" ca="1" si="878">SUM(EC109:EC110)</f>
        <v>0</v>
      </c>
      <c r="ED111" s="298">
        <f t="shared" ref="ED111" ca="1" si="879">SUM(ED109:ED110)</f>
        <v>0</v>
      </c>
      <c r="EE111" s="298">
        <f t="shared" ref="EE111" ca="1" si="880">SUM(EE109:EE110)</f>
        <v>0</v>
      </c>
      <c r="EF111" s="298">
        <f t="shared" ref="EF111" ca="1" si="881">SUM(EF109:EF110)</f>
        <v>0</v>
      </c>
      <c r="EG111" s="298">
        <f t="shared" ref="EG111" ca="1" si="882">SUM(EG109:EG110)</f>
        <v>0</v>
      </c>
      <c r="EH111" s="298">
        <f t="shared" ref="EH111" ca="1" si="883">SUM(EH109:EH110)</f>
        <v>0</v>
      </c>
      <c r="EI111" s="298">
        <f t="shared" ref="EI111" ca="1" si="884">SUM(EI109:EI110)</f>
        <v>0</v>
      </c>
      <c r="EJ111" s="298">
        <f t="shared" ref="EJ111" ca="1" si="885">SUM(EJ109:EJ110)</f>
        <v>0</v>
      </c>
      <c r="EK111" s="298">
        <f t="shared" ref="EK111" ca="1" si="886">SUM(EK109:EK110)</f>
        <v>0</v>
      </c>
      <c r="EL111" s="298">
        <f t="shared" ref="EL111" ca="1" si="887">SUM(EL109:EL110)</f>
        <v>0</v>
      </c>
      <c r="EM111" s="298">
        <f t="shared" ref="EM111" ca="1" si="888">SUM(EM109:EM110)</f>
        <v>0</v>
      </c>
      <c r="EN111" s="298">
        <f t="shared" ref="EN111" ca="1" si="889">SUM(EN109:EN110)</f>
        <v>0</v>
      </c>
      <c r="EO111" s="298">
        <f t="shared" ref="EO111" ca="1" si="890">SUM(EO109:EO110)</f>
        <v>0</v>
      </c>
      <c r="EP111" s="298">
        <f t="shared" ref="EP111" ca="1" si="891">SUM(EP109:EP110)</f>
        <v>0</v>
      </c>
      <c r="EQ111" s="298">
        <f t="shared" ref="EQ111" ca="1" si="892">SUM(EQ109:EQ110)</f>
        <v>0</v>
      </c>
      <c r="ER111" s="298">
        <f t="shared" ref="ER111" ca="1" si="893">SUM(ER109:ER110)</f>
        <v>0</v>
      </c>
      <c r="ES111" s="298">
        <f t="shared" ref="ES111" ca="1" si="894">SUM(ES109:ES110)</f>
        <v>0</v>
      </c>
      <c r="ET111" s="298">
        <f t="shared" ref="ET111" ca="1" si="895">SUM(ET109:ET110)</f>
        <v>0</v>
      </c>
      <c r="EU111" s="298">
        <f t="shared" ref="EU111" ca="1" si="896">SUM(EU109:EU110)</f>
        <v>0</v>
      </c>
      <c r="EV111" s="298">
        <f t="shared" ref="EV111" ca="1" si="897">SUM(EV109:EV110)</f>
        <v>0</v>
      </c>
      <c r="EW111" s="298">
        <f t="shared" ref="EW111" ca="1" si="898">SUM(EW109:EW110)</f>
        <v>0</v>
      </c>
      <c r="EX111" s="298">
        <f t="shared" ref="EX111" ca="1" si="899">SUM(EX109:EX110)</f>
        <v>0</v>
      </c>
      <c r="EY111" s="298">
        <f t="shared" ref="EY111" ca="1" si="900">SUM(EY109:EY110)</f>
        <v>0</v>
      </c>
      <c r="EZ111" s="298">
        <f t="shared" ref="EZ111" ca="1" si="901">SUM(EZ109:EZ110)</f>
        <v>0</v>
      </c>
      <c r="FA111" s="298">
        <f t="shared" ref="FA111" ca="1" si="902">SUM(FA109:FA110)</f>
        <v>0</v>
      </c>
      <c r="FB111" s="298">
        <f t="shared" ref="FB111" ca="1" si="903">SUM(FB109:FB110)</f>
        <v>0</v>
      </c>
      <c r="FC111" s="298">
        <f t="shared" ref="FC111" ca="1" si="904">SUM(FC109:FC110)</f>
        <v>0</v>
      </c>
      <c r="FD111" s="298">
        <f t="shared" ref="FD111" ca="1" si="905">SUM(FD109:FD110)</f>
        <v>0</v>
      </c>
      <c r="FE111" s="298">
        <f t="shared" ref="FE111" ca="1" si="906">SUM(FE109:FE110)</f>
        <v>0</v>
      </c>
      <c r="FF111" s="298">
        <f t="shared" ref="FF111" ca="1" si="907">SUM(FF109:FF110)</f>
        <v>0</v>
      </c>
      <c r="FG111" s="298">
        <f t="shared" ref="FG111" ca="1" si="908">SUM(FG109:FG110)</f>
        <v>0</v>
      </c>
      <c r="FH111" s="298">
        <f t="shared" ref="FH111" ca="1" si="909">SUM(FH109:FH110)</f>
        <v>0</v>
      </c>
      <c r="FI111" s="298">
        <f t="shared" ref="FI111" ca="1" si="910">SUM(FI109:FI110)</f>
        <v>0</v>
      </c>
      <c r="FJ111" s="298">
        <f t="shared" ref="FJ111" ca="1" si="911">SUM(FJ109:FJ110)</f>
        <v>0</v>
      </c>
      <c r="FK111" s="298">
        <f t="shared" ref="FK111" ca="1" si="912">SUM(FK109:FK110)</f>
        <v>0</v>
      </c>
      <c r="FL111" s="298">
        <f t="shared" ref="FL111" ca="1" si="913">SUM(FL109:FL110)</f>
        <v>0</v>
      </c>
      <c r="FM111" s="298">
        <f t="shared" ref="FM111" ca="1" si="914">SUM(FM109:FM110)</f>
        <v>0</v>
      </c>
      <c r="FN111" s="298">
        <f t="shared" ref="FN111" ca="1" si="915">SUM(FN109:FN110)</f>
        <v>0</v>
      </c>
      <c r="FO111" s="298">
        <f t="shared" ref="FO111" ca="1" si="916">SUM(FO109:FO110)</f>
        <v>0</v>
      </c>
      <c r="FP111" s="298">
        <f t="shared" ref="FP111" ca="1" si="917">SUM(FP109:FP110)</f>
        <v>0</v>
      </c>
      <c r="FQ111" s="298">
        <f t="shared" ref="FQ111" ca="1" si="918">SUM(FQ109:FQ110)</f>
        <v>0</v>
      </c>
      <c r="FR111" s="298">
        <f t="shared" ref="FR111" ca="1" si="919">SUM(FR109:FR110)</f>
        <v>0</v>
      </c>
      <c r="FS111" s="298">
        <f t="shared" ref="FS111" ca="1" si="920">SUM(FS109:FS110)</f>
        <v>0</v>
      </c>
      <c r="FT111" s="298">
        <f t="shared" ref="FT111" ca="1" si="921">SUM(FT109:FT110)</f>
        <v>0</v>
      </c>
      <c r="FU111" s="298">
        <f t="shared" ref="FU111" ca="1" si="922">SUM(FU109:FU110)</f>
        <v>0</v>
      </c>
      <c r="FV111" s="298">
        <f t="shared" ref="FV111" ca="1" si="923">SUM(FV109:FV110)</f>
        <v>0</v>
      </c>
      <c r="FW111" s="298">
        <f t="shared" ref="FW111" ca="1" si="924">SUM(FW109:FW110)</f>
        <v>0</v>
      </c>
      <c r="FX111" s="298">
        <f t="shared" ref="FX111" ca="1" si="925">SUM(FX109:FX110)</f>
        <v>0</v>
      </c>
      <c r="FY111" s="298">
        <f t="shared" ref="FY111" ca="1" si="926">SUM(FY109:FY110)</f>
        <v>0</v>
      </c>
      <c r="FZ111" s="298">
        <f t="shared" ref="FZ111" ca="1" si="927">SUM(FZ109:FZ110)</f>
        <v>0</v>
      </c>
      <c r="GA111" s="298">
        <f t="shared" ref="GA111" ca="1" si="928">SUM(GA109:GA110)</f>
        <v>0</v>
      </c>
      <c r="GB111" s="298">
        <f t="shared" ref="GB111" ca="1" si="929">SUM(GB109:GB110)</f>
        <v>0</v>
      </c>
      <c r="GC111" s="298">
        <f t="shared" ref="GC111" ca="1" si="930">SUM(GC109:GC110)</f>
        <v>0</v>
      </c>
      <c r="GD111" s="298">
        <f t="shared" ref="GD111" ca="1" si="931">SUM(GD109:GD110)</f>
        <v>0</v>
      </c>
      <c r="GE111" s="298">
        <f t="shared" ref="GE111" ca="1" si="932">SUM(GE109:GE110)</f>
        <v>0</v>
      </c>
      <c r="GF111" s="298">
        <f t="shared" ref="GF111" ca="1" si="933">SUM(GF109:GF110)</f>
        <v>0</v>
      </c>
      <c r="GG111" s="298">
        <f t="shared" ref="GG111" ca="1" si="934">SUM(GG109:GG110)</f>
        <v>0</v>
      </c>
      <c r="GH111" s="298">
        <f t="shared" ref="GH111" ca="1" si="935">SUM(GH109:GH110)</f>
        <v>0</v>
      </c>
      <c r="GI111" s="298">
        <f t="shared" ref="GI111" ca="1" si="936">SUM(GI109:GI110)</f>
        <v>0</v>
      </c>
      <c r="GJ111" s="298">
        <f t="shared" ref="GJ111" ca="1" si="937">SUM(GJ109:GJ110)</f>
        <v>0</v>
      </c>
      <c r="GK111" s="298">
        <f t="shared" ref="GK111" ca="1" si="938">SUM(GK109:GK110)</f>
        <v>0</v>
      </c>
      <c r="GL111" s="298">
        <f t="shared" ref="GL111" ca="1" si="939">SUM(GL109:GL110)</f>
        <v>0</v>
      </c>
      <c r="GM111" s="298">
        <f t="shared" ref="GM111" ca="1" si="940">SUM(GM109:GM110)</f>
        <v>0</v>
      </c>
      <c r="GN111" s="298">
        <f t="shared" ref="GN111" ca="1" si="941">SUM(GN109:GN110)</f>
        <v>0</v>
      </c>
      <c r="GO111" s="298">
        <f t="shared" ref="GO111" ca="1" si="942">SUM(GO109:GO110)</f>
        <v>0</v>
      </c>
      <c r="GP111" s="298">
        <f t="shared" ref="GP111" ca="1" si="943">SUM(GP109:GP110)</f>
        <v>0</v>
      </c>
      <c r="GQ111" s="298">
        <f t="shared" ref="GQ111" ca="1" si="944">SUM(GQ109:GQ110)</f>
        <v>0</v>
      </c>
      <c r="GR111" s="298">
        <f t="shared" ref="GR111" ca="1" si="945">SUM(GR109:GR110)</f>
        <v>0</v>
      </c>
      <c r="GS111" s="298">
        <f t="shared" ref="GS111" ca="1" si="946">SUM(GS109:GS110)</f>
        <v>0</v>
      </c>
      <c r="GT111" s="298">
        <f t="shared" ref="GT111" ca="1" si="947">SUM(GT109:GT110)</f>
        <v>0</v>
      </c>
      <c r="GU111" s="298">
        <f t="shared" ref="GU111" ca="1" si="948">SUM(GU109:GU110)</f>
        <v>0</v>
      </c>
      <c r="GV111" s="298">
        <f t="shared" ref="GV111" ca="1" si="949">SUM(GV109:GV110)</f>
        <v>0</v>
      </c>
      <c r="GW111" s="298">
        <f t="shared" ref="GW111" ca="1" si="950">SUM(GW109:GW110)</f>
        <v>0</v>
      </c>
      <c r="GX111" s="298">
        <f t="shared" ref="GX111" ca="1" si="951">SUM(GX109:GX110)</f>
        <v>0</v>
      </c>
      <c r="GY111" s="298">
        <f t="shared" ref="GY111" ca="1" si="952">SUM(GY109:GY110)</f>
        <v>0</v>
      </c>
      <c r="GZ111" s="298">
        <f t="shared" ref="GZ111" ca="1" si="953">SUM(GZ109:GZ110)</f>
        <v>0</v>
      </c>
      <c r="HA111" s="298">
        <f t="shared" ref="HA111" ca="1" si="954">SUM(HA109:HA110)</f>
        <v>0</v>
      </c>
      <c r="HB111" s="298">
        <f t="shared" ref="HB111" ca="1" si="955">SUM(HB109:HB110)</f>
        <v>0</v>
      </c>
      <c r="HC111" s="298">
        <f t="shared" ref="HC111" ca="1" si="956">SUM(HC109:HC110)</f>
        <v>0</v>
      </c>
      <c r="HD111" s="298">
        <f t="shared" ref="HD111" ca="1" si="957">SUM(HD109:HD110)</f>
        <v>0</v>
      </c>
      <c r="HE111" s="298">
        <f t="shared" ref="HE111" ca="1" si="958">SUM(HE109:HE110)</f>
        <v>0</v>
      </c>
      <c r="HF111" s="298">
        <f t="shared" ref="HF111" ca="1" si="959">SUM(HF109:HF110)</f>
        <v>0</v>
      </c>
      <c r="HG111" s="298">
        <f t="shared" ref="HG111" ca="1" si="960">SUM(HG109:HG110)</f>
        <v>0</v>
      </c>
      <c r="HH111" s="298">
        <f t="shared" ref="HH111" ca="1" si="961">SUM(HH109:HH110)</f>
        <v>0</v>
      </c>
      <c r="HI111" s="298">
        <f t="shared" ref="HI111" ca="1" si="962">SUM(HI109:HI110)</f>
        <v>0</v>
      </c>
      <c r="HJ111" s="298">
        <f t="shared" ref="HJ111" ca="1" si="963">SUM(HJ109:HJ110)</f>
        <v>0</v>
      </c>
      <c r="HK111" s="298">
        <f t="shared" ref="HK111" ca="1" si="964">SUM(HK109:HK110)</f>
        <v>0</v>
      </c>
      <c r="HL111" s="298">
        <f t="shared" ref="HL111" ca="1" si="965">SUM(HL109:HL110)</f>
        <v>0</v>
      </c>
      <c r="HM111" s="298">
        <f t="shared" ref="HM111" ca="1" si="966">SUM(HM109:HM110)</f>
        <v>0</v>
      </c>
      <c r="HN111" s="298">
        <f t="shared" ref="HN111" ca="1" si="967">SUM(HN109:HN110)</f>
        <v>0</v>
      </c>
      <c r="HO111" s="298">
        <f t="shared" ref="HO111" ca="1" si="968">SUM(HO109:HO110)</f>
        <v>0</v>
      </c>
      <c r="HP111" s="298">
        <f t="shared" ref="HP111" ca="1" si="969">SUM(HP109:HP110)</f>
        <v>0</v>
      </c>
      <c r="HQ111" s="298">
        <f t="shared" ref="HQ111" ca="1" si="970">SUM(HQ109:HQ110)</f>
        <v>0</v>
      </c>
      <c r="HR111" s="298">
        <f t="shared" ref="HR111" ca="1" si="971">SUM(HR109:HR110)</f>
        <v>0</v>
      </c>
      <c r="HS111" s="298">
        <f t="shared" ref="HS111" ca="1" si="972">SUM(HS109:HS110)</f>
        <v>0</v>
      </c>
      <c r="HT111" s="298">
        <f t="shared" ref="HT111" ca="1" si="973">SUM(HT109:HT110)</f>
        <v>0</v>
      </c>
      <c r="HU111" s="298">
        <f t="shared" ref="HU111" ca="1" si="974">SUM(HU109:HU110)</f>
        <v>0</v>
      </c>
      <c r="HV111" s="298">
        <f t="shared" ref="HV111" ca="1" si="975">SUM(HV109:HV110)</f>
        <v>0</v>
      </c>
      <c r="HW111" s="298">
        <f t="shared" ref="HW111" ca="1" si="976">SUM(HW109:HW110)</f>
        <v>0</v>
      </c>
      <c r="HX111" s="298">
        <f t="shared" ref="HX111" ca="1" si="977">SUM(HX109:HX110)</f>
        <v>0</v>
      </c>
      <c r="HY111" s="298">
        <f t="shared" ref="HY111" ca="1" si="978">SUM(HY109:HY110)</f>
        <v>0</v>
      </c>
      <c r="HZ111" s="298">
        <f t="shared" ref="HZ111" ca="1" si="979">SUM(HZ109:HZ110)</f>
        <v>0</v>
      </c>
      <c r="IA111" s="298">
        <f t="shared" ref="IA111" ca="1" si="980">SUM(IA109:IA110)</f>
        <v>0</v>
      </c>
      <c r="IB111" s="298">
        <f t="shared" ref="IB111" ca="1" si="981">SUM(IB109:IB110)</f>
        <v>0</v>
      </c>
      <c r="IC111" s="298">
        <f t="shared" ref="IC111" ca="1" si="982">SUM(IC109:IC110)</f>
        <v>0</v>
      </c>
      <c r="ID111" s="298">
        <f t="shared" ref="ID111" ca="1" si="983">SUM(ID109:ID110)</f>
        <v>0</v>
      </c>
      <c r="IE111" s="298">
        <f t="shared" ref="IE111" ca="1" si="984">SUM(IE109:IE110)</f>
        <v>0</v>
      </c>
      <c r="IF111" s="298">
        <f t="shared" ref="IF111" ca="1" si="985">SUM(IF109:IF110)</f>
        <v>0</v>
      </c>
      <c r="IG111" s="298">
        <f t="shared" ref="IG111" ca="1" si="986">SUM(IG109:IG110)</f>
        <v>0</v>
      </c>
      <c r="IH111" s="298">
        <f t="shared" ref="IH111" ca="1" si="987">SUM(IH109:IH110)</f>
        <v>0</v>
      </c>
      <c r="II111" s="298">
        <f t="shared" ref="II111" ca="1" si="988">SUM(II109:II110)</f>
        <v>0</v>
      </c>
      <c r="IJ111" s="298">
        <f t="shared" ref="IJ111" ca="1" si="989">SUM(IJ109:IJ110)</f>
        <v>0</v>
      </c>
      <c r="IK111" s="298">
        <f t="shared" ref="IK111" ca="1" si="990">SUM(IK109:IK110)</f>
        <v>0</v>
      </c>
      <c r="IL111" s="298">
        <f t="shared" ref="IL111" ca="1" si="991">SUM(IL109:IL110)</f>
        <v>0</v>
      </c>
      <c r="IM111" s="298">
        <f t="shared" ref="IM111" ca="1" si="992">SUM(IM109:IM110)</f>
        <v>0</v>
      </c>
      <c r="IN111" s="298">
        <f t="shared" ref="IN111" ca="1" si="993">SUM(IN109:IN110)</f>
        <v>0</v>
      </c>
      <c r="IO111" s="298">
        <f t="shared" ref="IO111" ca="1" si="994">SUM(IO109:IO110)</f>
        <v>0</v>
      </c>
      <c r="IP111" s="298">
        <f t="shared" ref="IP111" ca="1" si="995">SUM(IP109:IP110)</f>
        <v>0</v>
      </c>
      <c r="IQ111" s="298">
        <f t="shared" ref="IQ111" ca="1" si="996">SUM(IQ109:IQ110)</f>
        <v>0</v>
      </c>
      <c r="IR111" s="298">
        <f t="shared" ref="IR111" ca="1" si="997">SUM(IR109:IR110)</f>
        <v>0</v>
      </c>
      <c r="IS111" s="298">
        <f t="shared" ref="IS111" ca="1" si="998">SUM(IS109:IS110)</f>
        <v>0</v>
      </c>
      <c r="IT111" s="298">
        <f t="shared" ref="IT111" ca="1" si="999">SUM(IT109:IT110)</f>
        <v>0</v>
      </c>
      <c r="IU111" s="298">
        <f t="shared" ref="IU111" ca="1" si="1000">SUM(IU109:IU110)</f>
        <v>0</v>
      </c>
      <c r="IV111" s="298">
        <f t="shared" ref="IV111" ca="1" si="1001">SUM(IV109:IV110)</f>
        <v>0</v>
      </c>
      <c r="IW111" s="298">
        <f t="shared" ref="IW111" ca="1" si="1002">SUM(IW109:IW110)</f>
        <v>0</v>
      </c>
      <c r="IX111" s="298">
        <f t="shared" ref="IX111" ca="1" si="1003">SUM(IX109:IX110)</f>
        <v>0</v>
      </c>
      <c r="IY111" s="298">
        <f t="shared" ref="IY111" ca="1" si="1004">SUM(IY109:IY110)</f>
        <v>0</v>
      </c>
      <c r="IZ111" s="298">
        <f t="shared" ref="IZ111" ca="1" si="1005">SUM(IZ109:IZ110)</f>
        <v>0</v>
      </c>
      <c r="JA111" s="298">
        <f t="shared" ref="JA111" ca="1" si="1006">SUM(JA109:JA110)</f>
        <v>0</v>
      </c>
      <c r="JB111" s="298">
        <f t="shared" ref="JB111" ca="1" si="1007">SUM(JB109:JB110)</f>
        <v>0</v>
      </c>
      <c r="JC111" s="298">
        <f t="shared" ref="JC111" ca="1" si="1008">SUM(JC109:JC110)</f>
        <v>0</v>
      </c>
      <c r="JD111" s="298">
        <f t="shared" ref="JD111" ca="1" si="1009">SUM(JD109:JD110)</f>
        <v>0</v>
      </c>
      <c r="JE111" s="298">
        <f t="shared" ref="JE111" ca="1" si="1010">SUM(JE109:JE110)</f>
        <v>0</v>
      </c>
      <c r="JF111" s="298">
        <f t="shared" ref="JF111" ca="1" si="1011">SUM(JF109:JF110)</f>
        <v>0</v>
      </c>
      <c r="JG111" s="298">
        <f t="shared" ref="JG111" ca="1" si="1012">SUM(JG109:JG110)</f>
        <v>0</v>
      </c>
      <c r="JH111" s="298">
        <f t="shared" ref="JH111" ca="1" si="1013">SUM(JH109:JH110)</f>
        <v>0</v>
      </c>
      <c r="JI111" s="298">
        <f t="shared" ref="JI111" ca="1" si="1014">SUM(JI109:JI110)</f>
        <v>0</v>
      </c>
      <c r="JJ111" s="298">
        <f t="shared" ref="JJ111" ca="1" si="1015">SUM(JJ109:JJ110)</f>
        <v>0</v>
      </c>
      <c r="JK111" s="298">
        <f t="shared" ref="JK111" ca="1" si="1016">SUM(JK109:JK110)</f>
        <v>0</v>
      </c>
      <c r="JL111" s="298">
        <f t="shared" ref="JL111" ca="1" si="1017">SUM(JL109:JL110)</f>
        <v>0</v>
      </c>
      <c r="JM111" s="298">
        <f t="shared" ref="JM111" ca="1" si="1018">SUM(JM109:JM110)</f>
        <v>0</v>
      </c>
      <c r="JN111" s="298">
        <f t="shared" ref="JN111" ca="1" si="1019">SUM(JN109:JN110)</f>
        <v>0</v>
      </c>
      <c r="JO111" s="298">
        <f t="shared" ref="JO111" ca="1" si="1020">SUM(JO109:JO110)</f>
        <v>0</v>
      </c>
      <c r="JP111" s="298">
        <f t="shared" ref="JP111" ca="1" si="1021">SUM(JP109:JP110)</f>
        <v>0</v>
      </c>
      <c r="JQ111" s="298">
        <f t="shared" ref="JQ111" ca="1" si="1022">SUM(JQ109:JQ110)</f>
        <v>0</v>
      </c>
      <c r="JR111" s="298">
        <f t="shared" ref="JR111" ca="1" si="1023">SUM(JR109:JR110)</f>
        <v>0</v>
      </c>
      <c r="JS111" s="298">
        <f t="shared" ref="JS111" ca="1" si="1024">SUM(JS109:JS110)</f>
        <v>0</v>
      </c>
      <c r="JT111" s="298">
        <f t="shared" ref="JT111" ca="1" si="1025">SUM(JT109:JT110)</f>
        <v>0</v>
      </c>
      <c r="JU111" s="298">
        <f t="shared" ref="JU111" ca="1" si="1026">SUM(JU109:JU110)</f>
        <v>0</v>
      </c>
      <c r="JV111" s="298">
        <f t="shared" ref="JV111" ca="1" si="1027">SUM(JV109:JV110)</f>
        <v>0</v>
      </c>
      <c r="JW111" s="298">
        <f t="shared" ref="JW111" ca="1" si="1028">SUM(JW109:JW110)</f>
        <v>0</v>
      </c>
      <c r="JX111" s="298">
        <f t="shared" ref="JX111" ca="1" si="1029">SUM(JX109:JX110)</f>
        <v>0</v>
      </c>
      <c r="JY111" s="298">
        <f t="shared" ref="JY111" ca="1" si="1030">SUM(JY109:JY110)</f>
        <v>0</v>
      </c>
      <c r="JZ111" s="298">
        <f t="shared" ref="JZ111" ca="1" si="1031">SUM(JZ109:JZ110)</f>
        <v>0</v>
      </c>
      <c r="KA111" s="298">
        <f t="shared" ref="KA111" ca="1" si="1032">SUM(KA109:KA110)</f>
        <v>0</v>
      </c>
      <c r="KB111" s="298">
        <f t="shared" ref="KB111" ca="1" si="1033">SUM(KB109:KB110)</f>
        <v>0</v>
      </c>
    </row>
    <row r="112" spans="1:288" x14ac:dyDescent="0.3">
      <c r="A112" s="169"/>
    </row>
    <row r="113" spans="1:288" x14ac:dyDescent="0.3">
      <c r="A113" s="299" t="s">
        <v>284</v>
      </c>
      <c r="B113" s="300"/>
      <c r="C113" s="301">
        <f ca="1">SUM($C$110:C110)/SUM($C$111:C111)</f>
        <v>0</v>
      </c>
      <c r="D113" s="301">
        <f ca="1">SUM($C$110:D110)/SUM($C$111:D111)</f>
        <v>0.12049746794110985</v>
      </c>
      <c r="E113" s="301">
        <f ca="1">SUM($C$110:E110)/SUM($C$111:E111)</f>
        <v>0.23513957341650854</v>
      </c>
      <c r="F113" s="301">
        <f ca="1">SUM($C$110:F110)/SUM($C$111:F111)</f>
        <v>0.29962563040373474</v>
      </c>
      <c r="G113" s="301">
        <f ca="1">SUM($C$110:G110)/SUM($C$111:G111)</f>
        <v>0.35448446860609978</v>
      </c>
      <c r="H113" s="301">
        <f ca="1">SUM($C$110:H110)/SUM($C$111:H111)</f>
        <v>0.40172083863719438</v>
      </c>
      <c r="I113" s="301">
        <f ca="1">SUM($C$110:I110)/SUM($C$111:I111)</f>
        <v>0.44281900034986982</v>
      </c>
      <c r="J113" s="301">
        <f ca="1">SUM($C$110:J110)/SUM($C$111:J111)</f>
        <v>0.47890134505402954</v>
      </c>
      <c r="K113" s="301">
        <f ca="1">SUM($C$110:K110)/SUM($C$111:K111)</f>
        <v>0.51094977915452644</v>
      </c>
      <c r="L113" s="301">
        <f ca="1">SUM($C$110:L110)/SUM($C$111:L111)</f>
        <v>0.53021607616982125</v>
      </c>
      <c r="M113" s="301">
        <f ca="1">SUM($C$110:M110)/SUM($C$111:M111)</f>
        <v>0.54999999999999993</v>
      </c>
      <c r="N113" s="301">
        <f ca="1">SUM($C$110:N110)/SUM($C$111:N111)</f>
        <v>0.54999999999999993</v>
      </c>
      <c r="O113" s="301">
        <f ca="1">SUM($C$110:O110)/SUM($C$111:O111)</f>
        <v>0.54999999999999993</v>
      </c>
      <c r="P113" s="301">
        <f ca="1">SUM($C$110:P110)/SUM($C$111:P111)</f>
        <v>0.54999999999999993</v>
      </c>
      <c r="Q113" s="301">
        <f ca="1">SUM($C$110:Q110)/SUM($C$111:Q111)</f>
        <v>0.54999999999999993</v>
      </c>
      <c r="R113" s="301">
        <f ca="1">SUM($C$110:R110)/SUM($C$111:R111)</f>
        <v>0.54999999999999993</v>
      </c>
      <c r="S113" s="301">
        <f ca="1">SUM($C$110:S110)/SUM($C$111:S111)</f>
        <v>0.54999999999999993</v>
      </c>
      <c r="T113" s="301">
        <f ca="1">SUM($C$110:T110)/SUM($C$111:T111)</f>
        <v>0.54999999999999993</v>
      </c>
      <c r="U113" s="301">
        <f ca="1">SUM($C$110:U110)/SUM($C$111:U111)</f>
        <v>0.54999999999999993</v>
      </c>
      <c r="V113" s="301">
        <f ca="1">SUM($C$110:V110)/SUM($C$111:V111)</f>
        <v>0.55000000000000004</v>
      </c>
      <c r="W113" s="301">
        <f ca="1">SUM($C$110:W110)/SUM($C$111:W111)</f>
        <v>0.55000000000000004</v>
      </c>
      <c r="X113" s="301">
        <f ca="1">SUM($C$110:X110)/SUM($C$111:X111)</f>
        <v>0.55000000000000004</v>
      </c>
      <c r="Y113" s="301">
        <f ca="1">SUM($C$110:Y110)/SUM($C$111:Y111)</f>
        <v>0.55000000000000004</v>
      </c>
      <c r="Z113" s="301">
        <f ca="1">SUM($C$110:Z110)/SUM($C$111:Z111)</f>
        <v>0.54999999999999993</v>
      </c>
      <c r="AA113" s="301">
        <f ca="1">SUM($C$110:AA110)/SUM($C$111:AA111)</f>
        <v>0.55000000000000004</v>
      </c>
      <c r="AB113" s="301">
        <f ca="1">SUM($C$110:AB110)/SUM($C$111:AB111)</f>
        <v>0.55000000000000004</v>
      </c>
      <c r="AC113" s="301">
        <f ca="1">SUM($C$110:AC110)/SUM($C$111:AC111)</f>
        <v>0.55000000000000004</v>
      </c>
      <c r="AD113" s="301">
        <f ca="1">SUM($C$110:AD110)/SUM($C$111:AD111)</f>
        <v>0.55000000000000004</v>
      </c>
      <c r="AE113" s="301">
        <f ca="1">SUM($C$110:AE110)/SUM($C$111:AE111)</f>
        <v>0.55000000000000004</v>
      </c>
      <c r="AF113" s="301">
        <f ca="1">SUM($C$110:AF110)/SUM($C$111:AF111)</f>
        <v>0.55000000000000004</v>
      </c>
      <c r="AG113" s="301">
        <f ca="1">SUM($C$110:AG110)/SUM($C$111:AG111)</f>
        <v>0.54999999999999993</v>
      </c>
      <c r="AH113" s="301">
        <f ca="1">SUM($C$110:AH110)/SUM($C$111:AH111)</f>
        <v>0.54999999999999993</v>
      </c>
      <c r="AI113" s="301">
        <f ca="1">SUM($C$110:AI110)/SUM($C$111:AI111)</f>
        <v>0.54999999999999993</v>
      </c>
      <c r="AJ113" s="301">
        <f ca="1">SUM($C$110:AJ110)/SUM($C$111:AJ111)</f>
        <v>0.54999999999999993</v>
      </c>
      <c r="AK113" s="301">
        <f ca="1">SUM($C$110:AK110)/SUM($C$111:AK111)</f>
        <v>0.55000000000000004</v>
      </c>
      <c r="AL113" s="301">
        <f ca="1">SUM($C$110:AL110)/SUM($C$111:AL111)</f>
        <v>0.55000000000000004</v>
      </c>
      <c r="AM113" s="301">
        <f ca="1">SUM($C$110:AM110)/SUM($C$111:AM111)</f>
        <v>0.55000000000000004</v>
      </c>
      <c r="AN113" s="301">
        <f ca="1">SUM($C$110:AN110)/SUM($C$111:AN111)</f>
        <v>0.55000000000000004</v>
      </c>
      <c r="AO113" s="301">
        <f ca="1">SUM($C$110:AO110)/SUM($C$111:AO111)</f>
        <v>0.55000000000000004</v>
      </c>
      <c r="AP113" s="301">
        <f ca="1">SUM($C$110:AP110)/SUM($C$111:AP111)</f>
        <v>0.55000000000000004</v>
      </c>
      <c r="AQ113" s="301">
        <f ca="1">SUM($C$110:AQ110)/SUM($C$111:AQ111)</f>
        <v>0.54999999999999993</v>
      </c>
      <c r="AR113" s="301">
        <f ca="1">SUM($C$110:AR110)/SUM($C$111:AR111)</f>
        <v>0.54999999999999993</v>
      </c>
      <c r="AS113" s="301">
        <f ca="1">SUM($C$110:AS110)/SUM($C$111:AS111)</f>
        <v>0.55000000000000004</v>
      </c>
      <c r="AT113" s="301">
        <f ca="1">SUM($C$110:AT110)/SUM($C$111:AT111)</f>
        <v>0.54999999999999993</v>
      </c>
      <c r="AU113" s="301">
        <f ca="1">SUM($C$110:AU110)/SUM($C$111:AU111)</f>
        <v>0.54999999999999993</v>
      </c>
      <c r="AV113" s="301">
        <f ca="1">SUM($C$110:AV110)/SUM($C$111:AV111)</f>
        <v>0.54999999999999982</v>
      </c>
      <c r="AW113" s="301">
        <f ca="1">SUM($C$110:AW110)/SUM($C$111:AW111)</f>
        <v>0.54999999999999982</v>
      </c>
      <c r="AX113" s="301">
        <f ca="1">SUM($C$110:AX110)/SUM($C$111:AX111)</f>
        <v>0.54999999999999993</v>
      </c>
      <c r="AY113" s="301">
        <f ca="1">SUM($C$110:AY110)/SUM($C$111:AY111)</f>
        <v>0.54999999999999982</v>
      </c>
      <c r="AZ113" s="301">
        <f ca="1">SUM($C$110:AZ110)/SUM($C$111:AZ111)</f>
        <v>0.54999999999999982</v>
      </c>
      <c r="BA113" s="301">
        <f ca="1">SUM($C$110:BA110)/SUM($C$111:BA111)</f>
        <v>0.54999999999999982</v>
      </c>
      <c r="BB113" s="301">
        <f ca="1">SUM($C$110:BB110)/SUM($C$111:BB111)</f>
        <v>0.54999999999999982</v>
      </c>
      <c r="BC113" s="301">
        <f ca="1">SUM($C$110:BC110)/SUM($C$111:BC111)</f>
        <v>0.54999999999999982</v>
      </c>
      <c r="BD113" s="301">
        <f ca="1">SUM($C$110:BD110)/SUM($C$111:BD111)</f>
        <v>0.54999999999999982</v>
      </c>
      <c r="BE113" s="301">
        <f ca="1">SUM($C$110:BE110)/SUM($C$111:BE111)</f>
        <v>0.5439342708493029</v>
      </c>
      <c r="BF113" s="301">
        <f ca="1">SUM($C$110:BF110)/SUM($C$111:BF111)</f>
        <v>0.5439342708493029</v>
      </c>
      <c r="BG113" s="301">
        <f ca="1">SUM($C$110:BG110)/SUM($C$111:BG111)</f>
        <v>0.5439342708493029</v>
      </c>
      <c r="BH113" s="301">
        <f ca="1">SUM($C$110:BH110)/SUM($C$111:BH111)</f>
        <v>0.5439342708493029</v>
      </c>
      <c r="BI113" s="301">
        <f ca="1">SUM($C$110:BI110)/SUM($C$111:BI111)</f>
        <v>0.5439342708493029</v>
      </c>
      <c r="BJ113" s="301">
        <f ca="1">SUM($C$110:BJ110)/SUM($C$111:BJ111)</f>
        <v>0.5439342708493029</v>
      </c>
      <c r="BK113" s="301">
        <f ca="1">SUM($C$110:BK110)/SUM($C$111:BK111)</f>
        <v>0.5439342708493029</v>
      </c>
      <c r="BL113" s="301">
        <f ca="1">SUM($C$110:BL110)/SUM($C$111:BL111)</f>
        <v>0.5439342708493029</v>
      </c>
      <c r="BM113" s="301">
        <f ca="1">SUM($C$110:BM110)/SUM($C$111:BM111)</f>
        <v>0.5439342708493029</v>
      </c>
      <c r="BN113" s="301">
        <f ca="1">SUM($C$110:BN110)/SUM($C$111:BN111)</f>
        <v>0.5439342708493029</v>
      </c>
      <c r="BO113" s="301">
        <f ca="1">SUM($C$110:BO110)/SUM($C$111:BO111)</f>
        <v>0.5439342708493029</v>
      </c>
      <c r="BP113" s="301">
        <f ca="1">SUM($C$110:BP110)/SUM($C$111:BP111)</f>
        <v>0.5439342708493029</v>
      </c>
      <c r="BQ113" s="301">
        <f ca="1">SUM($C$110:BQ110)/SUM($C$111:BQ111)</f>
        <v>0.5439342708493029</v>
      </c>
      <c r="BR113" s="301">
        <f ca="1">SUM($C$110:BR110)/SUM($C$111:BR111)</f>
        <v>0.5439342708493029</v>
      </c>
      <c r="BS113" s="301">
        <f ca="1">SUM($C$110:BS110)/SUM($C$111:BS111)</f>
        <v>0.5439342708493029</v>
      </c>
      <c r="BT113" s="301">
        <f ca="1">SUM($C$110:BT110)/SUM($C$111:BT111)</f>
        <v>0.5439342708493029</v>
      </c>
      <c r="BU113" s="301">
        <f ca="1">SUM($C$110:BU110)/SUM($C$111:BU111)</f>
        <v>0.5439342708493029</v>
      </c>
      <c r="BV113" s="301">
        <f ca="1">SUM($C$110:BV110)/SUM($C$111:BV111)</f>
        <v>0.5439342708493029</v>
      </c>
      <c r="BW113" s="301">
        <f ca="1">SUM($C$110:BW110)/SUM($C$111:BW111)</f>
        <v>0.5439342708493029</v>
      </c>
      <c r="BX113" s="301">
        <f ca="1">SUM($C$110:BX110)/SUM($C$111:BX111)</f>
        <v>0.5439342708493029</v>
      </c>
      <c r="BY113" s="301">
        <f ca="1">SUM($C$110:BY110)/SUM($C$111:BY111)</f>
        <v>0.5439342708493029</v>
      </c>
      <c r="BZ113" s="301">
        <f ca="1">SUM($C$110:BZ110)/SUM($C$111:BZ111)</f>
        <v>0.5439342708493029</v>
      </c>
      <c r="CA113" s="301">
        <f ca="1">SUM($C$110:CA110)/SUM($C$111:CA111)</f>
        <v>0.5439342708493029</v>
      </c>
      <c r="CB113" s="301">
        <f ca="1">SUM($C$110:CB110)/SUM($C$111:CB111)</f>
        <v>0.5439342708493029</v>
      </c>
      <c r="CC113" s="301">
        <f ca="1">SUM($C$110:CC110)/SUM($C$111:CC111)</f>
        <v>0.5439342708493029</v>
      </c>
      <c r="CD113" s="301">
        <f ca="1">SUM($C$110:CD110)/SUM($C$111:CD111)</f>
        <v>0.5439342708493029</v>
      </c>
      <c r="CE113" s="301">
        <f ca="1">SUM($C$110:CE110)/SUM($C$111:CE111)</f>
        <v>0.5439342708493029</v>
      </c>
      <c r="CF113" s="301">
        <f ca="1">SUM($C$110:CF110)/SUM($C$111:CF111)</f>
        <v>0.5439342708493029</v>
      </c>
      <c r="CG113" s="301">
        <f ca="1">SUM($C$110:CG110)/SUM($C$111:CG111)</f>
        <v>0.5439342708493029</v>
      </c>
      <c r="CH113" s="301">
        <f ca="1">SUM($C$110:CH110)/SUM($C$111:CH111)</f>
        <v>0.5439342708493029</v>
      </c>
      <c r="CI113" s="301">
        <f ca="1">SUM($C$110:CI110)/SUM($C$111:CI111)</f>
        <v>0.5439342708493029</v>
      </c>
      <c r="CJ113" s="301">
        <f ca="1">SUM($C$110:CJ110)/SUM($C$111:CJ111)</f>
        <v>0.5439342708493029</v>
      </c>
      <c r="CK113" s="301">
        <f ca="1">SUM($C$110:CK110)/SUM($C$111:CK111)</f>
        <v>0.5439342708493029</v>
      </c>
      <c r="CL113" s="301">
        <f ca="1">SUM($C$110:CL110)/SUM($C$111:CL111)</f>
        <v>0.5439342708493029</v>
      </c>
      <c r="CM113" s="301">
        <f ca="1">SUM($C$110:CM110)/SUM($C$111:CM111)</f>
        <v>0.5439342708493029</v>
      </c>
      <c r="CN113" s="301">
        <f ca="1">SUM($C$110:CN110)/SUM($C$111:CN111)</f>
        <v>0.5439342708493029</v>
      </c>
      <c r="CO113" s="301">
        <f ca="1">SUM($C$110:CO110)/SUM($C$111:CO111)</f>
        <v>0.5439342708493029</v>
      </c>
      <c r="CP113" s="301">
        <f ca="1">SUM($C$110:CP110)/SUM($C$111:CP111)</f>
        <v>0.5439342708493029</v>
      </c>
      <c r="CQ113" s="301">
        <f ca="1">SUM($C$110:CQ110)/SUM($C$111:CQ111)</f>
        <v>0.5439342708493029</v>
      </c>
      <c r="CR113" s="301">
        <f ca="1">SUM($C$110:CR110)/SUM($C$111:CR111)</f>
        <v>0.5439342708493029</v>
      </c>
      <c r="CS113" s="301">
        <f ca="1">SUM($C$110:CS110)/SUM($C$111:CS111)</f>
        <v>0.5439342708493029</v>
      </c>
      <c r="CT113" s="301">
        <f ca="1">SUM($C$110:CT110)/SUM($C$111:CT111)</f>
        <v>0.5439342708493029</v>
      </c>
      <c r="CU113" s="301">
        <f ca="1">SUM($C$110:CU110)/SUM($C$111:CU111)</f>
        <v>0.5439342708493029</v>
      </c>
      <c r="CV113" s="301">
        <f ca="1">SUM($C$110:CV110)/SUM($C$111:CV111)</f>
        <v>0.5439342708493029</v>
      </c>
      <c r="CW113" s="301">
        <f ca="1">SUM($C$110:CW110)/SUM($C$111:CW111)</f>
        <v>0.5439342708493029</v>
      </c>
      <c r="CX113" s="301">
        <f ca="1">SUM($C$110:CX110)/SUM($C$111:CX111)</f>
        <v>0.5439342708493029</v>
      </c>
      <c r="CY113" s="301">
        <f ca="1">SUM($C$110:CY110)/SUM($C$111:CY111)</f>
        <v>0.5439342708493029</v>
      </c>
      <c r="CZ113" s="301">
        <f ca="1">SUM($C$110:CZ110)/SUM($C$111:CZ111)</f>
        <v>0.5439342708493029</v>
      </c>
      <c r="DA113" s="301">
        <f ca="1">SUM($C$110:DA110)/SUM($C$111:DA111)</f>
        <v>0.5439342708493029</v>
      </c>
      <c r="DB113" s="301">
        <f ca="1">SUM($C$110:DB110)/SUM($C$111:DB111)</f>
        <v>0.5439342708493029</v>
      </c>
      <c r="DC113" s="301">
        <f ca="1">SUM($C$110:DC110)/SUM($C$111:DC111)</f>
        <v>0.5439342708493029</v>
      </c>
      <c r="DD113" s="301">
        <f ca="1">SUM($C$110:DD110)/SUM($C$111:DD111)</f>
        <v>0.5439342708493029</v>
      </c>
      <c r="DE113" s="301">
        <f ca="1">SUM($C$110:DE110)/SUM($C$111:DE111)</f>
        <v>0.5439342708493029</v>
      </c>
      <c r="DF113" s="301">
        <f ca="1">SUM($C$110:DF110)/SUM($C$111:DF111)</f>
        <v>0.5439342708493029</v>
      </c>
      <c r="DG113" s="301">
        <f ca="1">SUM($C$110:DG110)/SUM($C$111:DG111)</f>
        <v>0.5439342708493029</v>
      </c>
      <c r="DH113" s="301">
        <f ca="1">SUM($C$110:DH110)/SUM($C$111:DH111)</f>
        <v>0.5439342708493029</v>
      </c>
      <c r="DI113" s="301">
        <f ca="1">SUM($C$110:DI110)/SUM($C$111:DI111)</f>
        <v>0.5439342708493029</v>
      </c>
      <c r="DJ113" s="301">
        <f ca="1">SUM($C$110:DJ110)/SUM($C$111:DJ111)</f>
        <v>0.5439342708493029</v>
      </c>
      <c r="DK113" s="301">
        <f ca="1">SUM($C$110:DK110)/SUM($C$111:DK111)</f>
        <v>0.5439342708493029</v>
      </c>
      <c r="DL113" s="301">
        <f ca="1">SUM($C$110:DL110)/SUM($C$111:DL111)</f>
        <v>0.5439342708493029</v>
      </c>
      <c r="DM113" s="301">
        <f ca="1">SUM($C$110:DM110)/SUM($C$111:DM111)</f>
        <v>0.5439342708493029</v>
      </c>
      <c r="DN113" s="301">
        <f ca="1">SUM($C$110:DN110)/SUM($C$111:DN111)</f>
        <v>0.5439342708493029</v>
      </c>
      <c r="DO113" s="301">
        <f ca="1">SUM($C$110:DO110)/SUM($C$111:DO111)</f>
        <v>0.5439342708493029</v>
      </c>
      <c r="DP113" s="301">
        <f ca="1">SUM($C$110:DP110)/SUM($C$111:DP111)</f>
        <v>0.5439342708493029</v>
      </c>
      <c r="DQ113" s="301">
        <f ca="1">SUM($C$110:DQ110)/SUM($C$111:DQ111)</f>
        <v>0.5439342708493029</v>
      </c>
      <c r="DR113" s="301">
        <f ca="1">SUM($C$110:DR110)/SUM($C$111:DR111)</f>
        <v>0.5439342708493029</v>
      </c>
      <c r="DS113" s="301">
        <f ca="1">SUM($C$110:DS110)/SUM($C$111:DS111)</f>
        <v>0.5439342708493029</v>
      </c>
      <c r="DT113" s="301">
        <f ca="1">SUM($C$110:DT110)/SUM($C$111:DT111)</f>
        <v>0.5439342708493029</v>
      </c>
      <c r="DU113" s="301">
        <f ca="1">SUM($C$110:DU110)/SUM($C$111:DU111)</f>
        <v>0.5439342708493029</v>
      </c>
      <c r="DV113" s="301">
        <f ca="1">SUM($C$110:DV110)/SUM($C$111:DV111)</f>
        <v>0.5439342708493029</v>
      </c>
      <c r="DW113" s="301">
        <f ca="1">SUM($C$110:DW110)/SUM($C$111:DW111)</f>
        <v>0.5439342708493029</v>
      </c>
      <c r="DX113" s="301">
        <f ca="1">SUM($C$110:DX110)/SUM($C$111:DX111)</f>
        <v>0.5439342708493029</v>
      </c>
      <c r="DY113" s="301">
        <f ca="1">SUM($C$110:DY110)/SUM($C$111:DY111)</f>
        <v>0.5439342708493029</v>
      </c>
      <c r="DZ113" s="301">
        <f ca="1">SUM($C$110:DZ110)/SUM($C$111:DZ111)</f>
        <v>0.5439342708493029</v>
      </c>
      <c r="EA113" s="301">
        <f ca="1">SUM($C$110:EA110)/SUM($C$111:EA111)</f>
        <v>0.5439342708493029</v>
      </c>
      <c r="EB113" s="301">
        <f ca="1">SUM($C$110:EB110)/SUM($C$111:EB111)</f>
        <v>0.5439342708493029</v>
      </c>
      <c r="EC113" s="301">
        <f ca="1">SUM($C$110:EC110)/SUM($C$111:EC111)</f>
        <v>0.5439342708493029</v>
      </c>
      <c r="ED113" s="301">
        <f ca="1">SUM($C$110:ED110)/SUM($C$111:ED111)</f>
        <v>0.5439342708493029</v>
      </c>
      <c r="EE113" s="301">
        <f ca="1">SUM($C$110:EE110)/SUM($C$111:EE111)</f>
        <v>0.5439342708493029</v>
      </c>
      <c r="EF113" s="301">
        <f ca="1">SUM($C$110:EF110)/SUM($C$111:EF111)</f>
        <v>0.5439342708493029</v>
      </c>
      <c r="EG113" s="301">
        <f ca="1">SUM($C$110:EG110)/SUM($C$111:EG111)</f>
        <v>0.5439342708493029</v>
      </c>
      <c r="EH113" s="301">
        <f ca="1">SUM($C$110:EH110)/SUM($C$111:EH111)</f>
        <v>0.5439342708493029</v>
      </c>
      <c r="EI113" s="301">
        <f ca="1">SUM($C$110:EI110)/SUM($C$111:EI111)</f>
        <v>0.5439342708493029</v>
      </c>
      <c r="EJ113" s="301">
        <f ca="1">SUM($C$110:EJ110)/SUM($C$111:EJ111)</f>
        <v>0.5439342708493029</v>
      </c>
      <c r="EK113" s="301">
        <f ca="1">SUM($C$110:EK110)/SUM($C$111:EK111)</f>
        <v>0.5439342708493029</v>
      </c>
      <c r="EL113" s="301">
        <f ca="1">SUM($C$110:EL110)/SUM($C$111:EL111)</f>
        <v>0.5439342708493029</v>
      </c>
      <c r="EM113" s="301">
        <f ca="1">SUM($C$110:EM110)/SUM($C$111:EM111)</f>
        <v>0.5439342708493029</v>
      </c>
      <c r="EN113" s="301">
        <f ca="1">SUM($C$110:EN110)/SUM($C$111:EN111)</f>
        <v>0.5439342708493029</v>
      </c>
      <c r="EO113" s="301">
        <f ca="1">SUM($C$110:EO110)/SUM($C$111:EO111)</f>
        <v>0.5439342708493029</v>
      </c>
      <c r="EP113" s="301">
        <f ca="1">SUM($C$110:EP110)/SUM($C$111:EP111)</f>
        <v>0.5439342708493029</v>
      </c>
      <c r="EQ113" s="301">
        <f ca="1">SUM($C$110:EQ110)/SUM($C$111:EQ111)</f>
        <v>0.5439342708493029</v>
      </c>
      <c r="ER113" s="301">
        <f ca="1">SUM($C$110:ER110)/SUM($C$111:ER111)</f>
        <v>0.5439342708493029</v>
      </c>
      <c r="ES113" s="301">
        <f ca="1">SUM($C$110:ES110)/SUM($C$111:ES111)</f>
        <v>0.5439342708493029</v>
      </c>
      <c r="ET113" s="301">
        <f ca="1">SUM($C$110:ET110)/SUM($C$111:ET111)</f>
        <v>0.5439342708493029</v>
      </c>
      <c r="EU113" s="301">
        <f ca="1">SUM($C$110:EU110)/SUM($C$111:EU111)</f>
        <v>0.5439342708493029</v>
      </c>
      <c r="EV113" s="301">
        <f ca="1">SUM($C$110:EV110)/SUM($C$111:EV111)</f>
        <v>0.5439342708493029</v>
      </c>
      <c r="EW113" s="301">
        <f ca="1">SUM($C$110:EW110)/SUM($C$111:EW111)</f>
        <v>0.5439342708493029</v>
      </c>
      <c r="EX113" s="301">
        <f ca="1">SUM($C$110:EX110)/SUM($C$111:EX111)</f>
        <v>0.5439342708493029</v>
      </c>
      <c r="EY113" s="301">
        <f ca="1">SUM($C$110:EY110)/SUM($C$111:EY111)</f>
        <v>0.5439342708493029</v>
      </c>
      <c r="EZ113" s="301">
        <f ca="1">SUM($C$110:EZ110)/SUM($C$111:EZ111)</f>
        <v>0.5439342708493029</v>
      </c>
      <c r="FA113" s="301">
        <f ca="1">SUM($C$110:FA110)/SUM($C$111:FA111)</f>
        <v>0.5439342708493029</v>
      </c>
      <c r="FB113" s="301">
        <f ca="1">SUM($C$110:FB110)/SUM($C$111:FB111)</f>
        <v>0.5439342708493029</v>
      </c>
      <c r="FC113" s="301">
        <f ca="1">SUM($C$110:FC110)/SUM($C$111:FC111)</f>
        <v>0.5439342708493029</v>
      </c>
      <c r="FD113" s="301">
        <f ca="1">SUM($C$110:FD110)/SUM($C$111:FD111)</f>
        <v>0.5439342708493029</v>
      </c>
      <c r="FE113" s="301">
        <f ca="1">SUM($C$110:FE110)/SUM($C$111:FE111)</f>
        <v>0.5439342708493029</v>
      </c>
      <c r="FF113" s="301">
        <f ca="1">SUM($C$110:FF110)/SUM($C$111:FF111)</f>
        <v>0.5439342708493029</v>
      </c>
      <c r="FG113" s="301">
        <f ca="1">SUM($C$110:FG110)/SUM($C$111:FG111)</f>
        <v>0.5439342708493029</v>
      </c>
      <c r="FH113" s="301">
        <f ca="1">SUM($C$110:FH110)/SUM($C$111:FH111)</f>
        <v>0.5439342708493029</v>
      </c>
      <c r="FI113" s="301">
        <f ca="1">SUM($C$110:FI110)/SUM($C$111:FI111)</f>
        <v>0.5439342708493029</v>
      </c>
      <c r="FJ113" s="301">
        <f ca="1">SUM($C$110:FJ110)/SUM($C$111:FJ111)</f>
        <v>0.5439342708493029</v>
      </c>
      <c r="FK113" s="301">
        <f ca="1">SUM($C$110:FK110)/SUM($C$111:FK111)</f>
        <v>0.5439342708493029</v>
      </c>
      <c r="FL113" s="301">
        <f ca="1">SUM($C$110:FL110)/SUM($C$111:FL111)</f>
        <v>0.5439342708493029</v>
      </c>
      <c r="FM113" s="301">
        <f ca="1">SUM($C$110:FM110)/SUM($C$111:FM111)</f>
        <v>0.5439342708493029</v>
      </c>
      <c r="FN113" s="301">
        <f ca="1">SUM($C$110:FN110)/SUM($C$111:FN111)</f>
        <v>0.5439342708493029</v>
      </c>
      <c r="FO113" s="301">
        <f ca="1">SUM($C$110:FO110)/SUM($C$111:FO111)</f>
        <v>0.5439342708493029</v>
      </c>
      <c r="FP113" s="301">
        <f ca="1">SUM($C$110:FP110)/SUM($C$111:FP111)</f>
        <v>0.5439342708493029</v>
      </c>
      <c r="FQ113" s="301">
        <f ca="1">SUM($C$110:FQ110)/SUM($C$111:FQ111)</f>
        <v>0.5439342708493029</v>
      </c>
      <c r="FR113" s="301">
        <f ca="1">SUM($C$110:FR110)/SUM($C$111:FR111)</f>
        <v>0.5439342708493029</v>
      </c>
      <c r="FS113" s="301">
        <f ca="1">SUM($C$110:FS110)/SUM($C$111:FS111)</f>
        <v>0.5439342708493029</v>
      </c>
      <c r="FT113" s="301">
        <f ca="1">SUM($C$110:FT110)/SUM($C$111:FT111)</f>
        <v>0.5439342708493029</v>
      </c>
      <c r="FU113" s="301">
        <f ca="1">SUM($C$110:FU110)/SUM($C$111:FU111)</f>
        <v>0.5439342708493029</v>
      </c>
      <c r="FV113" s="301">
        <f ca="1">SUM($C$110:FV110)/SUM($C$111:FV111)</f>
        <v>0.5439342708493029</v>
      </c>
      <c r="FW113" s="301">
        <f ca="1">SUM($C$110:FW110)/SUM($C$111:FW111)</f>
        <v>0.5439342708493029</v>
      </c>
      <c r="FX113" s="301">
        <f ca="1">SUM($C$110:FX110)/SUM($C$111:FX111)</f>
        <v>0.5439342708493029</v>
      </c>
      <c r="FY113" s="301">
        <f ca="1">SUM($C$110:FY110)/SUM($C$111:FY111)</f>
        <v>0.5439342708493029</v>
      </c>
      <c r="FZ113" s="301">
        <f ca="1">SUM($C$110:FZ110)/SUM($C$111:FZ111)</f>
        <v>0.5439342708493029</v>
      </c>
      <c r="GA113" s="301">
        <f ca="1">SUM($C$110:GA110)/SUM($C$111:GA111)</f>
        <v>0.5439342708493029</v>
      </c>
      <c r="GB113" s="301">
        <f ca="1">SUM($C$110:GB110)/SUM($C$111:GB111)</f>
        <v>0.5439342708493029</v>
      </c>
      <c r="GC113" s="301">
        <f ca="1">SUM($C$110:GC110)/SUM($C$111:GC111)</f>
        <v>0.5439342708493029</v>
      </c>
      <c r="GD113" s="301">
        <f ca="1">SUM($C$110:GD110)/SUM($C$111:GD111)</f>
        <v>0.5439342708493029</v>
      </c>
      <c r="GE113" s="301">
        <f ca="1">SUM($C$110:GE110)/SUM($C$111:GE111)</f>
        <v>0.5439342708493029</v>
      </c>
      <c r="GF113" s="301">
        <f ca="1">SUM($C$110:GF110)/SUM($C$111:GF111)</f>
        <v>0.5439342708493029</v>
      </c>
      <c r="GG113" s="301">
        <f ca="1">SUM($C$110:GG110)/SUM($C$111:GG111)</f>
        <v>0.5439342708493029</v>
      </c>
      <c r="GH113" s="301">
        <f ca="1">SUM($C$110:GH110)/SUM($C$111:GH111)</f>
        <v>0.5439342708493029</v>
      </c>
      <c r="GI113" s="301">
        <f ca="1">SUM($C$110:GI110)/SUM($C$111:GI111)</f>
        <v>0.5439342708493029</v>
      </c>
      <c r="GJ113" s="301">
        <f ca="1">SUM($C$110:GJ110)/SUM($C$111:GJ111)</f>
        <v>0.5439342708493029</v>
      </c>
      <c r="GK113" s="301">
        <f ca="1">SUM($C$110:GK110)/SUM($C$111:GK111)</f>
        <v>0.5439342708493029</v>
      </c>
      <c r="GL113" s="301">
        <f ca="1">SUM($C$110:GL110)/SUM($C$111:GL111)</f>
        <v>0.5439342708493029</v>
      </c>
      <c r="GM113" s="301">
        <f ca="1">SUM($C$110:GM110)/SUM($C$111:GM111)</f>
        <v>0.5439342708493029</v>
      </c>
      <c r="GN113" s="301">
        <f ca="1">SUM($C$110:GN110)/SUM($C$111:GN111)</f>
        <v>0.5439342708493029</v>
      </c>
      <c r="GO113" s="301">
        <f ca="1">SUM($C$110:GO110)/SUM($C$111:GO111)</f>
        <v>0.5439342708493029</v>
      </c>
      <c r="GP113" s="301">
        <f ca="1">SUM($C$110:GP110)/SUM($C$111:GP111)</f>
        <v>0.5439342708493029</v>
      </c>
      <c r="GQ113" s="301">
        <f ca="1">SUM($C$110:GQ110)/SUM($C$111:GQ111)</f>
        <v>0.5439342708493029</v>
      </c>
      <c r="GR113" s="301">
        <f ca="1">SUM($C$110:GR110)/SUM($C$111:GR111)</f>
        <v>0.5439342708493029</v>
      </c>
      <c r="GS113" s="301">
        <f ca="1">SUM($C$110:GS110)/SUM($C$111:GS111)</f>
        <v>0.5439342708493029</v>
      </c>
      <c r="GT113" s="301">
        <f ca="1">SUM($C$110:GT110)/SUM($C$111:GT111)</f>
        <v>0.5439342708493029</v>
      </c>
      <c r="GU113" s="301">
        <f ca="1">SUM($C$110:GU110)/SUM($C$111:GU111)</f>
        <v>0.5439342708493029</v>
      </c>
      <c r="GV113" s="301">
        <f ca="1">SUM($C$110:GV110)/SUM($C$111:GV111)</f>
        <v>0.5439342708493029</v>
      </c>
      <c r="GW113" s="301">
        <f ca="1">SUM($C$110:GW110)/SUM($C$111:GW111)</f>
        <v>0.5439342708493029</v>
      </c>
      <c r="GX113" s="301">
        <f ca="1">SUM($C$110:GX110)/SUM($C$111:GX111)</f>
        <v>0.5439342708493029</v>
      </c>
      <c r="GY113" s="301">
        <f ca="1">SUM($C$110:GY110)/SUM($C$111:GY111)</f>
        <v>0.5439342708493029</v>
      </c>
      <c r="GZ113" s="301">
        <f ca="1">SUM($C$110:GZ110)/SUM($C$111:GZ111)</f>
        <v>0.5439342708493029</v>
      </c>
      <c r="HA113" s="301">
        <f ca="1">SUM($C$110:HA110)/SUM($C$111:HA111)</f>
        <v>0.5439342708493029</v>
      </c>
      <c r="HB113" s="301">
        <f ca="1">SUM($C$110:HB110)/SUM($C$111:HB111)</f>
        <v>0.5439342708493029</v>
      </c>
      <c r="HC113" s="301">
        <f ca="1">SUM($C$110:HC110)/SUM($C$111:HC111)</f>
        <v>0.5439342708493029</v>
      </c>
      <c r="HD113" s="301">
        <f ca="1">SUM($C$110:HD110)/SUM($C$111:HD111)</f>
        <v>0.5439342708493029</v>
      </c>
      <c r="HE113" s="301">
        <f ca="1">SUM($C$110:HE110)/SUM($C$111:HE111)</f>
        <v>0.5439342708493029</v>
      </c>
      <c r="HF113" s="301">
        <f ca="1">SUM($C$110:HF110)/SUM($C$111:HF111)</f>
        <v>0.5439342708493029</v>
      </c>
      <c r="HG113" s="301">
        <f ca="1">SUM($C$110:HG110)/SUM($C$111:HG111)</f>
        <v>0.5439342708493029</v>
      </c>
      <c r="HH113" s="301">
        <f ca="1">SUM($C$110:HH110)/SUM($C$111:HH111)</f>
        <v>0.5439342708493029</v>
      </c>
      <c r="HI113" s="301">
        <f ca="1">SUM($C$110:HI110)/SUM($C$111:HI111)</f>
        <v>0.5439342708493029</v>
      </c>
      <c r="HJ113" s="301">
        <f ca="1">SUM($C$110:HJ110)/SUM($C$111:HJ111)</f>
        <v>0.5439342708493029</v>
      </c>
      <c r="HK113" s="301">
        <f ca="1">SUM($C$110:HK110)/SUM($C$111:HK111)</f>
        <v>0.5439342708493029</v>
      </c>
      <c r="HL113" s="301">
        <f ca="1">SUM($C$110:HL110)/SUM($C$111:HL111)</f>
        <v>0.5439342708493029</v>
      </c>
      <c r="HM113" s="301">
        <f ca="1">SUM($C$110:HM110)/SUM($C$111:HM111)</f>
        <v>0.5439342708493029</v>
      </c>
      <c r="HN113" s="301">
        <f ca="1">SUM($C$110:HN110)/SUM($C$111:HN111)</f>
        <v>0.5439342708493029</v>
      </c>
      <c r="HO113" s="301">
        <f ca="1">SUM($C$110:HO110)/SUM($C$111:HO111)</f>
        <v>0.5439342708493029</v>
      </c>
      <c r="HP113" s="301">
        <f ca="1">SUM($C$110:HP110)/SUM($C$111:HP111)</f>
        <v>0.5439342708493029</v>
      </c>
      <c r="HQ113" s="301">
        <f ca="1">SUM($C$110:HQ110)/SUM($C$111:HQ111)</f>
        <v>0.5439342708493029</v>
      </c>
      <c r="HR113" s="301">
        <f ca="1">SUM($C$110:HR110)/SUM($C$111:HR111)</f>
        <v>0.5439342708493029</v>
      </c>
      <c r="HS113" s="301">
        <f ca="1">SUM($C$110:HS110)/SUM($C$111:HS111)</f>
        <v>0.5439342708493029</v>
      </c>
      <c r="HT113" s="301">
        <f ca="1">SUM($C$110:HT110)/SUM($C$111:HT111)</f>
        <v>0.5439342708493029</v>
      </c>
      <c r="HU113" s="301">
        <f ca="1">SUM($C$110:HU110)/SUM($C$111:HU111)</f>
        <v>0.5439342708493029</v>
      </c>
      <c r="HV113" s="301">
        <f ca="1">SUM($C$110:HV110)/SUM($C$111:HV111)</f>
        <v>0.5439342708493029</v>
      </c>
      <c r="HW113" s="301">
        <f ca="1">SUM($C$110:HW110)/SUM($C$111:HW111)</f>
        <v>0.5439342708493029</v>
      </c>
      <c r="HX113" s="301">
        <f ca="1">SUM($C$110:HX110)/SUM($C$111:HX111)</f>
        <v>0.5439342708493029</v>
      </c>
      <c r="HY113" s="301">
        <f ca="1">SUM($C$110:HY110)/SUM($C$111:HY111)</f>
        <v>0.5439342708493029</v>
      </c>
      <c r="HZ113" s="301">
        <f ca="1">SUM($C$110:HZ110)/SUM($C$111:HZ111)</f>
        <v>0.5439342708493029</v>
      </c>
      <c r="IA113" s="301">
        <f ca="1">SUM($C$110:IA110)/SUM($C$111:IA111)</f>
        <v>0.5439342708493029</v>
      </c>
      <c r="IB113" s="301">
        <f ca="1">SUM($C$110:IB110)/SUM($C$111:IB111)</f>
        <v>0.5439342708493029</v>
      </c>
      <c r="IC113" s="301">
        <f ca="1">SUM($C$110:IC110)/SUM($C$111:IC111)</f>
        <v>0.5439342708493029</v>
      </c>
      <c r="ID113" s="301">
        <f ca="1">SUM($C$110:ID110)/SUM($C$111:ID111)</f>
        <v>0.5439342708493029</v>
      </c>
      <c r="IE113" s="301">
        <f ca="1">SUM($C$110:IE110)/SUM($C$111:IE111)</f>
        <v>0.5439342708493029</v>
      </c>
      <c r="IF113" s="301">
        <f ca="1">SUM($C$110:IF110)/SUM($C$111:IF111)</f>
        <v>0.5439342708493029</v>
      </c>
      <c r="IG113" s="301">
        <f ca="1">SUM($C$110:IG110)/SUM($C$111:IG111)</f>
        <v>0.5439342708493029</v>
      </c>
      <c r="IH113" s="301">
        <f ca="1">SUM($C$110:IH110)/SUM($C$111:IH111)</f>
        <v>0.5439342708493029</v>
      </c>
      <c r="II113" s="301">
        <f ca="1">SUM($C$110:II110)/SUM($C$111:II111)</f>
        <v>0.5439342708493029</v>
      </c>
      <c r="IJ113" s="301">
        <f ca="1">SUM($C$110:IJ110)/SUM($C$111:IJ111)</f>
        <v>0.5439342708493029</v>
      </c>
      <c r="IK113" s="301">
        <f ca="1">SUM($C$110:IK110)/SUM($C$111:IK111)</f>
        <v>0.5439342708493029</v>
      </c>
      <c r="IL113" s="301">
        <f ca="1">SUM($C$110:IL110)/SUM($C$111:IL111)</f>
        <v>0.5439342708493029</v>
      </c>
      <c r="IM113" s="301">
        <f ca="1">SUM($C$110:IM110)/SUM($C$111:IM111)</f>
        <v>0.5439342708493029</v>
      </c>
      <c r="IN113" s="301">
        <f ca="1">SUM($C$110:IN110)/SUM($C$111:IN111)</f>
        <v>0.5439342708493029</v>
      </c>
      <c r="IO113" s="301">
        <f ca="1">SUM($C$110:IO110)/SUM($C$111:IO111)</f>
        <v>0.5439342708493029</v>
      </c>
      <c r="IP113" s="301">
        <f ca="1">SUM($C$110:IP110)/SUM($C$111:IP111)</f>
        <v>0.5439342708493029</v>
      </c>
      <c r="IQ113" s="301">
        <f ca="1">SUM($C$110:IQ110)/SUM($C$111:IQ111)</f>
        <v>0.5439342708493029</v>
      </c>
      <c r="IR113" s="301">
        <f ca="1">SUM($C$110:IR110)/SUM($C$111:IR111)</f>
        <v>0.5439342708493029</v>
      </c>
      <c r="IS113" s="301">
        <f ca="1">SUM($C$110:IS110)/SUM($C$111:IS111)</f>
        <v>0.5439342708493029</v>
      </c>
      <c r="IT113" s="301">
        <f ca="1">SUM($C$110:IT110)/SUM($C$111:IT111)</f>
        <v>0.5439342708493029</v>
      </c>
      <c r="IU113" s="301">
        <f ca="1">SUM($C$110:IU110)/SUM($C$111:IU111)</f>
        <v>0.5439342708493029</v>
      </c>
      <c r="IV113" s="301">
        <f ca="1">SUM($C$110:IV110)/SUM($C$111:IV111)</f>
        <v>0.5439342708493029</v>
      </c>
      <c r="IW113" s="301">
        <f ca="1">SUM($C$110:IW110)/SUM($C$111:IW111)</f>
        <v>0.5439342708493029</v>
      </c>
      <c r="IX113" s="301">
        <f ca="1">SUM($C$110:IX110)/SUM($C$111:IX111)</f>
        <v>0.5439342708493029</v>
      </c>
      <c r="IY113" s="301">
        <f ca="1">SUM($C$110:IY110)/SUM($C$111:IY111)</f>
        <v>0.5439342708493029</v>
      </c>
      <c r="IZ113" s="301">
        <f ca="1">SUM($C$110:IZ110)/SUM($C$111:IZ111)</f>
        <v>0.5439342708493029</v>
      </c>
      <c r="JA113" s="301">
        <f ca="1">SUM($C$110:JA110)/SUM($C$111:JA111)</f>
        <v>0.5439342708493029</v>
      </c>
      <c r="JB113" s="301">
        <f ca="1">SUM($C$110:JB110)/SUM($C$111:JB111)</f>
        <v>0.5439342708493029</v>
      </c>
      <c r="JC113" s="301">
        <f ca="1">SUM($C$110:JC110)/SUM($C$111:JC111)</f>
        <v>0.5439342708493029</v>
      </c>
      <c r="JD113" s="301">
        <f ca="1">SUM($C$110:JD110)/SUM($C$111:JD111)</f>
        <v>0.5439342708493029</v>
      </c>
      <c r="JE113" s="301">
        <f ca="1">SUM($C$110:JE110)/SUM($C$111:JE111)</f>
        <v>0.5439342708493029</v>
      </c>
      <c r="JF113" s="301">
        <f ca="1">SUM($C$110:JF110)/SUM($C$111:JF111)</f>
        <v>0.5439342708493029</v>
      </c>
      <c r="JG113" s="301">
        <f ca="1">SUM($C$110:JG110)/SUM($C$111:JG111)</f>
        <v>0.5439342708493029</v>
      </c>
      <c r="JH113" s="301">
        <f ca="1">SUM($C$110:JH110)/SUM($C$111:JH111)</f>
        <v>0.5439342708493029</v>
      </c>
      <c r="JI113" s="301">
        <f ca="1">SUM($C$110:JI110)/SUM($C$111:JI111)</f>
        <v>0.5439342708493029</v>
      </c>
      <c r="JJ113" s="301">
        <f ca="1">SUM($C$110:JJ110)/SUM($C$111:JJ111)</f>
        <v>0.5439342708493029</v>
      </c>
      <c r="JK113" s="301">
        <f ca="1">SUM($C$110:JK110)/SUM($C$111:JK111)</f>
        <v>0.5439342708493029</v>
      </c>
      <c r="JL113" s="301">
        <f ca="1">SUM($C$110:JL110)/SUM($C$111:JL111)</f>
        <v>0.5439342708493029</v>
      </c>
      <c r="JM113" s="301">
        <f ca="1">SUM($C$110:JM110)/SUM($C$111:JM111)</f>
        <v>0.5439342708493029</v>
      </c>
      <c r="JN113" s="301">
        <f ca="1">SUM($C$110:JN110)/SUM($C$111:JN111)</f>
        <v>0.5439342708493029</v>
      </c>
      <c r="JO113" s="301">
        <f ca="1">SUM($C$110:JO110)/SUM($C$111:JO111)</f>
        <v>0.5439342708493029</v>
      </c>
      <c r="JP113" s="301">
        <f ca="1">SUM($C$110:JP110)/SUM($C$111:JP111)</f>
        <v>0.5439342708493029</v>
      </c>
      <c r="JQ113" s="301">
        <f ca="1">SUM($C$110:JQ110)/SUM($C$111:JQ111)</f>
        <v>0.5439342708493029</v>
      </c>
      <c r="JR113" s="301">
        <f ca="1">SUM($C$110:JR110)/SUM($C$111:JR111)</f>
        <v>0.5439342708493029</v>
      </c>
      <c r="JS113" s="301">
        <f ca="1">SUM($C$110:JS110)/SUM($C$111:JS111)</f>
        <v>0.5439342708493029</v>
      </c>
      <c r="JT113" s="301">
        <f ca="1">SUM($C$110:JT110)/SUM($C$111:JT111)</f>
        <v>0.5439342708493029</v>
      </c>
      <c r="JU113" s="301">
        <f ca="1">SUM($C$110:JU110)/SUM($C$111:JU111)</f>
        <v>0.5439342708493029</v>
      </c>
      <c r="JV113" s="301">
        <f ca="1">SUM($C$110:JV110)/SUM($C$111:JV111)</f>
        <v>0.5439342708493029</v>
      </c>
      <c r="JW113" s="301">
        <f ca="1">SUM($C$110:JW110)/SUM($C$111:JW111)</f>
        <v>0.5439342708493029</v>
      </c>
      <c r="JX113" s="301">
        <f ca="1">SUM($C$110:JX110)/SUM($C$111:JX111)</f>
        <v>0.5439342708493029</v>
      </c>
      <c r="JY113" s="301">
        <f ca="1">SUM($C$110:JY110)/SUM($C$111:JY111)</f>
        <v>0.5439342708493029</v>
      </c>
      <c r="JZ113" s="301">
        <f ca="1">SUM($C$110:JZ110)/SUM($C$111:JZ111)</f>
        <v>0.5439342708493029</v>
      </c>
      <c r="KA113" s="301">
        <f ca="1">SUM($C$110:KA110)/SUM($C$111:KA111)</f>
        <v>0.5439342708493029</v>
      </c>
      <c r="KB113" s="301">
        <f ca="1">SUM($C$110:KB110)/SUM($C$111:KB111)</f>
        <v>0.5439342708493029</v>
      </c>
    </row>
    <row r="115" spans="1:288" x14ac:dyDescent="0.3">
      <c r="N115" s="52"/>
      <c r="BB115" s="52"/>
      <c r="BC115" s="52"/>
      <c r="BD115" s="52"/>
      <c r="BE115" s="52"/>
    </row>
    <row r="116" spans="1:288" x14ac:dyDescent="0.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c r="IV116" s="33"/>
      <c r="IW116" s="33"/>
      <c r="IX116" s="33"/>
      <c r="IY116" s="33"/>
      <c r="IZ116" s="33"/>
      <c r="JA116" s="33"/>
      <c r="JB116" s="33"/>
      <c r="JC116" s="33"/>
      <c r="JD116" s="33"/>
      <c r="JE116" s="33"/>
      <c r="JF116" s="33"/>
      <c r="JG116" s="33"/>
      <c r="JH116" s="33"/>
      <c r="JI116" s="33"/>
      <c r="JJ116" s="33"/>
      <c r="JK116" s="33"/>
      <c r="JL116" s="33"/>
      <c r="JM116" s="33"/>
      <c r="JN116" s="33"/>
      <c r="JO116" s="33"/>
      <c r="JP116" s="33"/>
      <c r="JQ116" s="33"/>
      <c r="JR116" s="33"/>
      <c r="JS116" s="33"/>
      <c r="JT116" s="33"/>
      <c r="JU116" s="33"/>
      <c r="JV116" s="33"/>
      <c r="JW116" s="33"/>
      <c r="JX116" s="33"/>
      <c r="JY116" s="33"/>
      <c r="JZ116" s="33"/>
      <c r="KA116" s="33"/>
      <c r="KB116" s="33"/>
    </row>
    <row r="117" spans="1:288" x14ac:dyDescent="0.3">
      <c r="B117" s="53"/>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row>
    <row r="118" spans="1:288" x14ac:dyDescent="0.3">
      <c r="A118" s="1">
        <v>0</v>
      </c>
      <c r="D118" s="33"/>
      <c r="G118" s="33"/>
    </row>
    <row r="121" spans="1:288" x14ac:dyDescent="0.3">
      <c r="D121" s="33"/>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row>
    <row r="122" spans="1:288" x14ac:dyDescent="0.3">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row>
    <row r="123" spans="1:288" x14ac:dyDescent="0.3">
      <c r="D123" s="33"/>
    </row>
    <row r="124" spans="1:288" x14ac:dyDescent="0.3">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row>
  </sheetData>
  <mergeCells count="2">
    <mergeCell ref="A4:B4"/>
    <mergeCell ref="A5:B5"/>
  </mergeCells>
  <conditionalFormatting sqref="C58:KB58">
    <cfRule type="cellIs" dxfId="1" priority="1" operator="lessThan">
      <formula>0</formula>
    </cfRule>
  </conditionalFormatting>
  <dataValidations disablePrompts="1" count="1">
    <dataValidation type="list" allowBlank="1" showInputMessage="1" showErrorMessage="1" sqref="A118" xr:uid="{432775E5-AE84-486C-A79F-F45BE82FA1D7}">
      <formula1>"0,1"</formula1>
    </dataValidation>
  </dataValidations>
  <pageMargins left="0.7" right="0.7" top="0.75" bottom="0.75" header="0.3" footer="0.3"/>
  <pageSetup paperSize="9" orientation="portrait" r:id="rId1"/>
  <ignoredErrors>
    <ignoredError sqref="A1 A84:G85 A63:C81 C61:C62 A52:C58 A28:KB29 A16 I16:KB16 D16:G16 KD61:XFD82 KD52:XFD59 A44:I45 KD43:XFD43 O83:KB85 O44:KB45 A47:I47 A46:B46 A22:A27 C24:KB24 A35:KB36 A30:A34 C30:KB30 A7:KB11 A6:B6 P6:Z6 A4:B4 A2:B2 KC1:XFD2 C27:KB27 C33:KB34 E31:KB31 KD115:XFD115 A115:B115 A5:B5 A59:B59 BX6:KB6 BL6:BT6 AZ6:BJ6 AN6:AX6 AB6:AL6 A18:A20 A119:KB120 A13:KB15 A12:C12 H118:KB118 A41:KB42 A40:K40 M40:KB40 D4:KB5 A116:A117 C116 A111:KB114 A96:B103 A48 C48:I48 A49:I49 A51:I51 B50:I50 C26 A38:KB39 A37 C37:BE37 C83:G83 B118:C118 E118:F118 BF121:KB124 A105:B110 A104 C105:KB105 BG37:KB37 A94:A95 A91:KB93 B90 A86:KB89 D103 BF117:KB117 BE103 KC44:XFD46 KC4:XFD20 KC83:XFD114 O47:XFD51 KC22:XFD42 KC116:XFD1048576 A125:KB1048576"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0A227-ECBF-48AB-B868-98240E0AD92C}">
  <sheetPr>
    <tabColor theme="4" tint="0.39997558519241921"/>
  </sheetPr>
  <dimension ref="A1:CX122"/>
  <sheetViews>
    <sheetView zoomScale="90" zoomScaleNormal="90" zoomScaleSheetLayoutView="90" workbookViewId="0">
      <pane xSplit="2" ySplit="7" topLeftCell="D18" activePane="bottomRight" state="frozen"/>
      <selection activeCell="L22" sqref="L22"/>
      <selection pane="topRight" activeCell="L22" sqref="L22"/>
      <selection pane="bottomLeft" activeCell="L22" sqref="L22"/>
      <selection pane="bottomRight" activeCell="C16" sqref="C16:U23"/>
    </sheetView>
  </sheetViews>
  <sheetFormatPr defaultColWidth="8.88671875" defaultRowHeight="13.8" x14ac:dyDescent="0.3"/>
  <cols>
    <col min="1" max="1" width="47.33203125" style="1" bestFit="1" customWidth="1"/>
    <col min="2" max="2" width="9" style="1" bestFit="1" customWidth="1"/>
    <col min="3" max="3" width="11.21875" style="1" customWidth="1"/>
    <col min="4" max="5" width="9.44140625" style="1" bestFit="1" customWidth="1"/>
    <col min="6" max="6" width="9.77734375" style="1" bestFit="1" customWidth="1"/>
    <col min="7" max="7" width="9.21875" style="1" bestFit="1" customWidth="1"/>
    <col min="8" max="9" width="9.44140625" style="1" bestFit="1" customWidth="1"/>
    <col min="10" max="10" width="9.77734375" style="1" bestFit="1" customWidth="1"/>
    <col min="11" max="11" width="9.21875" style="1" bestFit="1" customWidth="1"/>
    <col min="12" max="13" width="9.44140625" style="1" bestFit="1" customWidth="1"/>
    <col min="14" max="14" width="9.77734375" style="1" bestFit="1" customWidth="1"/>
    <col min="15" max="15" width="9.21875" style="1" bestFit="1" customWidth="1"/>
    <col min="16" max="17" width="9.44140625" style="1" bestFit="1" customWidth="1"/>
    <col min="18" max="18" width="9.77734375" style="1" bestFit="1" customWidth="1"/>
    <col min="19" max="19" width="9.21875" style="1" bestFit="1" customWidth="1"/>
    <col min="20" max="21" width="9.44140625" style="1" bestFit="1" customWidth="1"/>
    <col min="22" max="22" width="9.77734375" style="1" bestFit="1" customWidth="1"/>
    <col min="23" max="23" width="9.21875" style="1" bestFit="1" customWidth="1"/>
    <col min="24" max="25" width="9.44140625" style="1" bestFit="1" customWidth="1"/>
    <col min="26" max="26" width="9.77734375" style="1" bestFit="1" customWidth="1"/>
    <col min="27" max="27" width="9.21875" style="1" bestFit="1" customWidth="1"/>
    <col min="28" max="29" width="9.44140625" style="1" bestFit="1" customWidth="1"/>
    <col min="30" max="30" width="9.77734375" style="1" bestFit="1" customWidth="1"/>
    <col min="31" max="31" width="9.21875" style="1" bestFit="1" customWidth="1"/>
    <col min="32" max="33" width="9.44140625" style="1" bestFit="1" customWidth="1"/>
    <col min="34" max="34" width="9.77734375" style="1" bestFit="1" customWidth="1"/>
    <col min="35" max="35" width="9.21875" style="1" bestFit="1" customWidth="1"/>
    <col min="36" max="37" width="9.44140625" style="1" bestFit="1" customWidth="1"/>
    <col min="38" max="38" width="9.77734375" style="1" bestFit="1" customWidth="1"/>
    <col min="39" max="39" width="9.21875" style="1" bestFit="1" customWidth="1"/>
    <col min="40" max="41" width="9.44140625" style="1" bestFit="1" customWidth="1"/>
    <col min="42" max="42" width="9.77734375" style="1" bestFit="1" customWidth="1"/>
    <col min="43" max="43" width="9.21875" style="1" bestFit="1" customWidth="1"/>
    <col min="44" max="45" width="9.44140625" style="1" bestFit="1" customWidth="1"/>
    <col min="46" max="46" width="9.77734375" style="1" bestFit="1" customWidth="1"/>
    <col min="47" max="47" width="9.21875" style="1" bestFit="1" customWidth="1"/>
    <col min="48" max="49" width="9.44140625" style="1" bestFit="1" customWidth="1"/>
    <col min="50" max="50" width="9.77734375" style="1" bestFit="1" customWidth="1"/>
    <col min="51" max="51" width="9.21875" style="1" bestFit="1" customWidth="1"/>
    <col min="52" max="53" width="9.44140625" style="1" bestFit="1" customWidth="1"/>
    <col min="54" max="54" width="9.77734375" style="1" bestFit="1" customWidth="1"/>
    <col min="55" max="55" width="9.21875" style="1" bestFit="1" customWidth="1"/>
    <col min="56" max="57" width="9.44140625" style="1" bestFit="1" customWidth="1"/>
    <col min="58" max="58" width="9.77734375" style="1" bestFit="1" customWidth="1"/>
    <col min="59" max="59" width="9.21875" style="1" bestFit="1" customWidth="1"/>
    <col min="60" max="61" width="9.44140625" style="1" bestFit="1" customWidth="1"/>
    <col min="62" max="62" width="9.77734375" style="1" bestFit="1" customWidth="1"/>
    <col min="63" max="63" width="9.21875" style="1" bestFit="1" customWidth="1"/>
    <col min="64" max="65" width="9.44140625" style="1" bestFit="1" customWidth="1"/>
    <col min="66" max="66" width="9.77734375" style="1" bestFit="1" customWidth="1"/>
    <col min="67" max="67" width="9.21875" style="1" bestFit="1" customWidth="1"/>
    <col min="68" max="69" width="9.44140625" style="1" bestFit="1" customWidth="1"/>
    <col min="70" max="70" width="9.77734375" style="1" bestFit="1" customWidth="1"/>
    <col min="71" max="71" width="9.21875" style="1" bestFit="1" customWidth="1"/>
    <col min="72" max="73" width="9.44140625" style="1" bestFit="1" customWidth="1"/>
    <col min="74" max="74" width="9.77734375" style="1" bestFit="1" customWidth="1"/>
    <col min="75" max="75" width="9.21875" style="1" bestFit="1" customWidth="1"/>
    <col min="76" max="77" width="9.44140625" style="1" bestFit="1" customWidth="1"/>
    <col min="78" max="78" width="9.77734375" style="1" bestFit="1" customWidth="1"/>
    <col min="79" max="79" width="9.21875" style="1" bestFit="1" customWidth="1"/>
    <col min="80" max="81" width="9.44140625" style="1" bestFit="1" customWidth="1"/>
    <col min="82" max="82" width="9.77734375" style="1" bestFit="1" customWidth="1"/>
    <col min="83" max="83" width="9.21875" style="1" bestFit="1" customWidth="1"/>
    <col min="84" max="85" width="9.44140625" style="1" bestFit="1" customWidth="1"/>
    <col min="86" max="86" width="9.77734375" style="1" bestFit="1" customWidth="1"/>
    <col min="87" max="87" width="9.21875" style="1" bestFit="1" customWidth="1"/>
    <col min="88" max="89" width="9.44140625" style="1" bestFit="1" customWidth="1"/>
    <col min="90" max="90" width="9.77734375" style="1" bestFit="1" customWidth="1"/>
    <col min="91" max="91" width="9.21875" style="1" bestFit="1" customWidth="1"/>
    <col min="92" max="93" width="9.44140625" style="1" bestFit="1" customWidth="1"/>
    <col min="94" max="94" width="9.77734375" style="1" bestFit="1" customWidth="1"/>
    <col min="95" max="95" width="9.21875" style="1" bestFit="1" customWidth="1"/>
    <col min="96" max="97" width="9.44140625" style="1" bestFit="1" customWidth="1"/>
    <col min="98" max="98" width="9.77734375" style="1" bestFit="1" customWidth="1"/>
    <col min="99" max="99" width="9.21875" style="1" bestFit="1" customWidth="1"/>
    <col min="100" max="101" width="9.44140625" style="1" bestFit="1" customWidth="1"/>
    <col min="102" max="102" width="9.77734375" style="1" bestFit="1" customWidth="1"/>
    <col min="103" max="16384" width="8.88671875" style="1"/>
  </cols>
  <sheetData>
    <row r="1" spans="1:102" x14ac:dyDescent="0.3">
      <c r="A1" s="39" t="s">
        <v>156</v>
      </c>
      <c r="B1" s="33"/>
      <c r="C1" s="1">
        <v>1</v>
      </c>
      <c r="D1" s="1">
        <f>C1+1</f>
        <v>2</v>
      </c>
      <c r="E1" s="1">
        <f t="shared" ref="E1:BP1" si="0">D1+1</f>
        <v>3</v>
      </c>
      <c r="F1" s="1">
        <f t="shared" si="0"/>
        <v>4</v>
      </c>
      <c r="G1" s="1">
        <f t="shared" si="0"/>
        <v>5</v>
      </c>
      <c r="H1" s="1">
        <f t="shared" si="0"/>
        <v>6</v>
      </c>
      <c r="I1" s="1">
        <f t="shared" si="0"/>
        <v>7</v>
      </c>
      <c r="J1" s="1">
        <f t="shared" si="0"/>
        <v>8</v>
      </c>
      <c r="K1" s="1">
        <f t="shared" si="0"/>
        <v>9</v>
      </c>
      <c r="L1" s="1">
        <f t="shared" si="0"/>
        <v>10</v>
      </c>
      <c r="M1" s="1">
        <f t="shared" si="0"/>
        <v>11</v>
      </c>
      <c r="N1" s="1">
        <f t="shared" si="0"/>
        <v>12</v>
      </c>
      <c r="O1" s="1">
        <f t="shared" si="0"/>
        <v>13</v>
      </c>
      <c r="P1" s="1">
        <f t="shared" si="0"/>
        <v>14</v>
      </c>
      <c r="Q1" s="1">
        <f t="shared" si="0"/>
        <v>15</v>
      </c>
      <c r="R1" s="1">
        <f t="shared" si="0"/>
        <v>16</v>
      </c>
      <c r="S1" s="1">
        <f t="shared" si="0"/>
        <v>17</v>
      </c>
      <c r="T1" s="1">
        <f t="shared" si="0"/>
        <v>18</v>
      </c>
      <c r="U1" s="1">
        <f t="shared" si="0"/>
        <v>19</v>
      </c>
      <c r="V1" s="1">
        <f t="shared" si="0"/>
        <v>20</v>
      </c>
      <c r="W1" s="1">
        <f t="shared" si="0"/>
        <v>21</v>
      </c>
      <c r="X1" s="1">
        <f t="shared" si="0"/>
        <v>22</v>
      </c>
      <c r="Y1" s="1">
        <f t="shared" si="0"/>
        <v>23</v>
      </c>
      <c r="Z1" s="1">
        <f t="shared" si="0"/>
        <v>24</v>
      </c>
      <c r="AA1" s="1">
        <f t="shared" si="0"/>
        <v>25</v>
      </c>
      <c r="AB1" s="1">
        <f t="shared" si="0"/>
        <v>26</v>
      </c>
      <c r="AC1" s="1">
        <f t="shared" si="0"/>
        <v>27</v>
      </c>
      <c r="AD1" s="1">
        <f t="shared" si="0"/>
        <v>28</v>
      </c>
      <c r="AE1" s="1">
        <f t="shared" si="0"/>
        <v>29</v>
      </c>
      <c r="AF1" s="1">
        <f t="shared" si="0"/>
        <v>30</v>
      </c>
      <c r="AG1" s="1">
        <f t="shared" si="0"/>
        <v>31</v>
      </c>
      <c r="AH1" s="1">
        <f t="shared" si="0"/>
        <v>32</v>
      </c>
      <c r="AI1" s="1">
        <f t="shared" si="0"/>
        <v>33</v>
      </c>
      <c r="AJ1" s="1">
        <f t="shared" si="0"/>
        <v>34</v>
      </c>
      <c r="AK1" s="1">
        <f t="shared" si="0"/>
        <v>35</v>
      </c>
      <c r="AL1" s="1">
        <f t="shared" si="0"/>
        <v>36</v>
      </c>
      <c r="AM1" s="1">
        <f t="shared" si="0"/>
        <v>37</v>
      </c>
      <c r="AN1" s="1">
        <f t="shared" si="0"/>
        <v>38</v>
      </c>
      <c r="AO1" s="1">
        <f t="shared" si="0"/>
        <v>39</v>
      </c>
      <c r="AP1" s="1">
        <f t="shared" si="0"/>
        <v>40</v>
      </c>
      <c r="AQ1" s="1">
        <f t="shared" si="0"/>
        <v>41</v>
      </c>
      <c r="AR1" s="1">
        <f t="shared" si="0"/>
        <v>42</v>
      </c>
      <c r="AS1" s="1">
        <f t="shared" si="0"/>
        <v>43</v>
      </c>
      <c r="AT1" s="1">
        <f t="shared" si="0"/>
        <v>44</v>
      </c>
      <c r="AU1" s="1">
        <f t="shared" si="0"/>
        <v>45</v>
      </c>
      <c r="AV1" s="1">
        <f t="shared" si="0"/>
        <v>46</v>
      </c>
      <c r="AW1" s="1">
        <f t="shared" si="0"/>
        <v>47</v>
      </c>
      <c r="AX1" s="1">
        <f t="shared" si="0"/>
        <v>48</v>
      </c>
      <c r="AY1" s="1">
        <f t="shared" si="0"/>
        <v>49</v>
      </c>
      <c r="AZ1" s="1">
        <f t="shared" si="0"/>
        <v>50</v>
      </c>
      <c r="BA1" s="1">
        <f t="shared" si="0"/>
        <v>51</v>
      </c>
      <c r="BB1" s="1">
        <f t="shared" si="0"/>
        <v>52</v>
      </c>
      <c r="BC1" s="1">
        <f t="shared" si="0"/>
        <v>53</v>
      </c>
      <c r="BD1" s="1">
        <f t="shared" si="0"/>
        <v>54</v>
      </c>
      <c r="BE1" s="1">
        <f t="shared" si="0"/>
        <v>55</v>
      </c>
      <c r="BF1" s="1">
        <f t="shared" si="0"/>
        <v>56</v>
      </c>
      <c r="BG1" s="1">
        <f t="shared" si="0"/>
        <v>57</v>
      </c>
      <c r="BH1" s="1">
        <f t="shared" si="0"/>
        <v>58</v>
      </c>
      <c r="BI1" s="1">
        <f t="shared" si="0"/>
        <v>59</v>
      </c>
      <c r="BJ1" s="1">
        <f t="shared" si="0"/>
        <v>60</v>
      </c>
      <c r="BK1" s="1">
        <f t="shared" si="0"/>
        <v>61</v>
      </c>
      <c r="BL1" s="1">
        <f t="shared" si="0"/>
        <v>62</v>
      </c>
      <c r="BM1" s="1">
        <f t="shared" si="0"/>
        <v>63</v>
      </c>
      <c r="BN1" s="1">
        <f t="shared" si="0"/>
        <v>64</v>
      </c>
      <c r="BO1" s="1">
        <f t="shared" si="0"/>
        <v>65</v>
      </c>
      <c r="BP1" s="1">
        <f t="shared" si="0"/>
        <v>66</v>
      </c>
      <c r="BQ1" s="1">
        <f t="shared" ref="BQ1:CX1" si="1">BP1+1</f>
        <v>67</v>
      </c>
      <c r="BR1" s="1">
        <f t="shared" si="1"/>
        <v>68</v>
      </c>
      <c r="BS1" s="1">
        <f t="shared" si="1"/>
        <v>69</v>
      </c>
      <c r="BT1" s="1">
        <f t="shared" si="1"/>
        <v>70</v>
      </c>
      <c r="BU1" s="1">
        <f t="shared" si="1"/>
        <v>71</v>
      </c>
      <c r="BV1" s="1">
        <f t="shared" si="1"/>
        <v>72</v>
      </c>
      <c r="BW1" s="1">
        <f t="shared" si="1"/>
        <v>73</v>
      </c>
      <c r="BX1" s="1">
        <f t="shared" si="1"/>
        <v>74</v>
      </c>
      <c r="BY1" s="1">
        <f t="shared" si="1"/>
        <v>75</v>
      </c>
      <c r="BZ1" s="1">
        <f t="shared" si="1"/>
        <v>76</v>
      </c>
      <c r="CA1" s="1">
        <f t="shared" si="1"/>
        <v>77</v>
      </c>
      <c r="CB1" s="1">
        <f t="shared" si="1"/>
        <v>78</v>
      </c>
      <c r="CC1" s="1">
        <f t="shared" si="1"/>
        <v>79</v>
      </c>
      <c r="CD1" s="1">
        <f t="shared" si="1"/>
        <v>80</v>
      </c>
      <c r="CE1" s="1">
        <f t="shared" si="1"/>
        <v>81</v>
      </c>
      <c r="CF1" s="1">
        <f t="shared" si="1"/>
        <v>82</v>
      </c>
      <c r="CG1" s="1">
        <f t="shared" si="1"/>
        <v>83</v>
      </c>
      <c r="CH1" s="1">
        <f t="shared" si="1"/>
        <v>84</v>
      </c>
      <c r="CI1" s="1">
        <f t="shared" si="1"/>
        <v>85</v>
      </c>
      <c r="CJ1" s="1">
        <f t="shared" si="1"/>
        <v>86</v>
      </c>
      <c r="CK1" s="1">
        <f t="shared" si="1"/>
        <v>87</v>
      </c>
      <c r="CL1" s="1">
        <f t="shared" si="1"/>
        <v>88</v>
      </c>
      <c r="CM1" s="1">
        <f t="shared" si="1"/>
        <v>89</v>
      </c>
      <c r="CN1" s="1">
        <f t="shared" si="1"/>
        <v>90</v>
      </c>
      <c r="CO1" s="1">
        <f t="shared" si="1"/>
        <v>91</v>
      </c>
      <c r="CP1" s="1">
        <f t="shared" si="1"/>
        <v>92</v>
      </c>
      <c r="CQ1" s="1">
        <f t="shared" si="1"/>
        <v>93</v>
      </c>
      <c r="CR1" s="1">
        <f t="shared" si="1"/>
        <v>94</v>
      </c>
      <c r="CS1" s="1">
        <f t="shared" si="1"/>
        <v>95</v>
      </c>
      <c r="CT1" s="1">
        <f t="shared" si="1"/>
        <v>96</v>
      </c>
      <c r="CU1" s="1">
        <f t="shared" si="1"/>
        <v>97</v>
      </c>
      <c r="CV1" s="1">
        <f t="shared" si="1"/>
        <v>98</v>
      </c>
      <c r="CW1" s="1">
        <f t="shared" si="1"/>
        <v>99</v>
      </c>
      <c r="CX1" s="1">
        <f t="shared" si="1"/>
        <v>100</v>
      </c>
    </row>
    <row r="2" spans="1:102" x14ac:dyDescent="0.3">
      <c r="A2" s="251" t="s">
        <v>127</v>
      </c>
      <c r="C2" s="252">
        <f>IF(MONTH(C7)&gt;3,DATE(YEAR(C7)+1,3,31),DATE(YEAR(C7),3,31))</f>
        <v>45747</v>
      </c>
      <c r="D2" s="252">
        <f t="shared" ref="D2:BO2" si="2">IF(MONTH(D7)&gt;3,DATE(YEAR(D7)+1,3,31),DATE(YEAR(D7),3,31))</f>
        <v>45747</v>
      </c>
      <c r="E2" s="252">
        <f t="shared" si="2"/>
        <v>45747</v>
      </c>
      <c r="F2" s="252">
        <f t="shared" si="2"/>
        <v>45747</v>
      </c>
      <c r="G2" s="252">
        <f t="shared" si="2"/>
        <v>46112</v>
      </c>
      <c r="H2" s="252">
        <f t="shared" si="2"/>
        <v>46112</v>
      </c>
      <c r="I2" s="252">
        <f t="shared" si="2"/>
        <v>46112</v>
      </c>
      <c r="J2" s="252">
        <f t="shared" si="2"/>
        <v>46112</v>
      </c>
      <c r="K2" s="252">
        <f t="shared" si="2"/>
        <v>46477</v>
      </c>
      <c r="L2" s="252">
        <f t="shared" si="2"/>
        <v>46477</v>
      </c>
      <c r="M2" s="252">
        <f t="shared" si="2"/>
        <v>46477</v>
      </c>
      <c r="N2" s="252">
        <f t="shared" si="2"/>
        <v>46477</v>
      </c>
      <c r="O2" s="252">
        <f t="shared" si="2"/>
        <v>46843</v>
      </c>
      <c r="P2" s="252">
        <f t="shared" si="2"/>
        <v>46843</v>
      </c>
      <c r="Q2" s="252">
        <f t="shared" si="2"/>
        <v>46843</v>
      </c>
      <c r="R2" s="252">
        <f t="shared" si="2"/>
        <v>46843</v>
      </c>
      <c r="S2" s="252">
        <f t="shared" si="2"/>
        <v>47208</v>
      </c>
      <c r="T2" s="252">
        <f t="shared" si="2"/>
        <v>47208</v>
      </c>
      <c r="U2" s="252">
        <f t="shared" si="2"/>
        <v>47208</v>
      </c>
      <c r="V2" s="252">
        <f t="shared" si="2"/>
        <v>47208</v>
      </c>
      <c r="W2" s="252">
        <f t="shared" si="2"/>
        <v>47573</v>
      </c>
      <c r="X2" s="252">
        <f t="shared" si="2"/>
        <v>47573</v>
      </c>
      <c r="Y2" s="252">
        <f t="shared" si="2"/>
        <v>47573</v>
      </c>
      <c r="Z2" s="252">
        <f t="shared" si="2"/>
        <v>47573</v>
      </c>
      <c r="AA2" s="252">
        <f t="shared" si="2"/>
        <v>47938</v>
      </c>
      <c r="AB2" s="252">
        <f t="shared" si="2"/>
        <v>47938</v>
      </c>
      <c r="AC2" s="252">
        <f t="shared" si="2"/>
        <v>47938</v>
      </c>
      <c r="AD2" s="252">
        <f t="shared" si="2"/>
        <v>47938</v>
      </c>
      <c r="AE2" s="252">
        <f t="shared" si="2"/>
        <v>48304</v>
      </c>
      <c r="AF2" s="252">
        <f t="shared" si="2"/>
        <v>48304</v>
      </c>
      <c r="AG2" s="252">
        <f t="shared" si="2"/>
        <v>48304</v>
      </c>
      <c r="AH2" s="252">
        <f t="shared" si="2"/>
        <v>48304</v>
      </c>
      <c r="AI2" s="252">
        <f t="shared" si="2"/>
        <v>48669</v>
      </c>
      <c r="AJ2" s="252">
        <f t="shared" si="2"/>
        <v>48669</v>
      </c>
      <c r="AK2" s="252">
        <f t="shared" si="2"/>
        <v>48669</v>
      </c>
      <c r="AL2" s="252">
        <f t="shared" si="2"/>
        <v>48669</v>
      </c>
      <c r="AM2" s="252">
        <f t="shared" si="2"/>
        <v>49034</v>
      </c>
      <c r="AN2" s="252">
        <f t="shared" si="2"/>
        <v>49034</v>
      </c>
      <c r="AO2" s="252">
        <f t="shared" si="2"/>
        <v>49034</v>
      </c>
      <c r="AP2" s="252">
        <f t="shared" si="2"/>
        <v>49034</v>
      </c>
      <c r="AQ2" s="252">
        <f t="shared" si="2"/>
        <v>49399</v>
      </c>
      <c r="AR2" s="252">
        <f t="shared" si="2"/>
        <v>49399</v>
      </c>
      <c r="AS2" s="252">
        <f t="shared" si="2"/>
        <v>49399</v>
      </c>
      <c r="AT2" s="252">
        <f t="shared" si="2"/>
        <v>49399</v>
      </c>
      <c r="AU2" s="252">
        <f t="shared" si="2"/>
        <v>49765</v>
      </c>
      <c r="AV2" s="252">
        <f t="shared" si="2"/>
        <v>49765</v>
      </c>
      <c r="AW2" s="252">
        <f t="shared" si="2"/>
        <v>49765</v>
      </c>
      <c r="AX2" s="252">
        <f t="shared" si="2"/>
        <v>49765</v>
      </c>
      <c r="AY2" s="252">
        <f t="shared" si="2"/>
        <v>50130</v>
      </c>
      <c r="AZ2" s="252">
        <f t="shared" si="2"/>
        <v>50130</v>
      </c>
      <c r="BA2" s="252">
        <f t="shared" si="2"/>
        <v>50130</v>
      </c>
      <c r="BB2" s="252">
        <f t="shared" si="2"/>
        <v>50130</v>
      </c>
      <c r="BC2" s="252">
        <f t="shared" si="2"/>
        <v>50495</v>
      </c>
      <c r="BD2" s="252">
        <f t="shared" si="2"/>
        <v>50495</v>
      </c>
      <c r="BE2" s="252">
        <f t="shared" si="2"/>
        <v>50495</v>
      </c>
      <c r="BF2" s="252">
        <f t="shared" si="2"/>
        <v>50495</v>
      </c>
      <c r="BG2" s="252">
        <f t="shared" si="2"/>
        <v>50860</v>
      </c>
      <c r="BH2" s="252">
        <f t="shared" si="2"/>
        <v>50860</v>
      </c>
      <c r="BI2" s="252">
        <f t="shared" si="2"/>
        <v>50860</v>
      </c>
      <c r="BJ2" s="252">
        <f t="shared" si="2"/>
        <v>50860</v>
      </c>
      <c r="BK2" s="252">
        <f t="shared" si="2"/>
        <v>51226</v>
      </c>
      <c r="BL2" s="252">
        <f t="shared" si="2"/>
        <v>51226</v>
      </c>
      <c r="BM2" s="252">
        <f t="shared" si="2"/>
        <v>51226</v>
      </c>
      <c r="BN2" s="252">
        <f t="shared" si="2"/>
        <v>51226</v>
      </c>
      <c r="BO2" s="252">
        <f t="shared" si="2"/>
        <v>51591</v>
      </c>
      <c r="BP2" s="252">
        <f t="shared" ref="BP2:CX2" si="3">IF(MONTH(BP7)&gt;3,DATE(YEAR(BP7)+1,3,31),DATE(YEAR(BP7),3,31))</f>
        <v>51591</v>
      </c>
      <c r="BQ2" s="252">
        <f t="shared" si="3"/>
        <v>51591</v>
      </c>
      <c r="BR2" s="252">
        <f t="shared" si="3"/>
        <v>51591</v>
      </c>
      <c r="BS2" s="252">
        <f t="shared" si="3"/>
        <v>51956</v>
      </c>
      <c r="BT2" s="252">
        <f t="shared" si="3"/>
        <v>51956</v>
      </c>
      <c r="BU2" s="252">
        <f t="shared" si="3"/>
        <v>51956</v>
      </c>
      <c r="BV2" s="252">
        <f t="shared" si="3"/>
        <v>51956</v>
      </c>
      <c r="BW2" s="252">
        <f t="shared" si="3"/>
        <v>52321</v>
      </c>
      <c r="BX2" s="252">
        <f t="shared" si="3"/>
        <v>52321</v>
      </c>
      <c r="BY2" s="252">
        <f t="shared" si="3"/>
        <v>52321</v>
      </c>
      <c r="BZ2" s="252">
        <f t="shared" si="3"/>
        <v>52321</v>
      </c>
      <c r="CA2" s="252">
        <f t="shared" si="3"/>
        <v>52687</v>
      </c>
      <c r="CB2" s="252">
        <f t="shared" si="3"/>
        <v>52687</v>
      </c>
      <c r="CC2" s="252">
        <f t="shared" si="3"/>
        <v>52687</v>
      </c>
      <c r="CD2" s="252">
        <f t="shared" si="3"/>
        <v>52687</v>
      </c>
      <c r="CE2" s="252">
        <f t="shared" si="3"/>
        <v>53052</v>
      </c>
      <c r="CF2" s="252">
        <f t="shared" si="3"/>
        <v>53052</v>
      </c>
      <c r="CG2" s="252">
        <f t="shared" si="3"/>
        <v>53052</v>
      </c>
      <c r="CH2" s="252">
        <f t="shared" si="3"/>
        <v>53052</v>
      </c>
      <c r="CI2" s="252">
        <f t="shared" si="3"/>
        <v>53417</v>
      </c>
      <c r="CJ2" s="252">
        <f t="shared" si="3"/>
        <v>53417</v>
      </c>
      <c r="CK2" s="252">
        <f t="shared" si="3"/>
        <v>53417</v>
      </c>
      <c r="CL2" s="252">
        <f t="shared" si="3"/>
        <v>53417</v>
      </c>
      <c r="CM2" s="252">
        <f t="shared" si="3"/>
        <v>53782</v>
      </c>
      <c r="CN2" s="252">
        <f t="shared" si="3"/>
        <v>53782</v>
      </c>
      <c r="CO2" s="252">
        <f t="shared" si="3"/>
        <v>53782</v>
      </c>
      <c r="CP2" s="252">
        <f t="shared" si="3"/>
        <v>53782</v>
      </c>
      <c r="CQ2" s="252">
        <f t="shared" si="3"/>
        <v>54148</v>
      </c>
      <c r="CR2" s="252">
        <f t="shared" si="3"/>
        <v>54148</v>
      </c>
      <c r="CS2" s="252">
        <f t="shared" si="3"/>
        <v>54148</v>
      </c>
      <c r="CT2" s="252">
        <f t="shared" si="3"/>
        <v>54148</v>
      </c>
      <c r="CU2" s="252">
        <f t="shared" si="3"/>
        <v>54513</v>
      </c>
      <c r="CV2" s="252">
        <f t="shared" si="3"/>
        <v>54513</v>
      </c>
      <c r="CW2" s="252">
        <f t="shared" si="3"/>
        <v>54513</v>
      </c>
      <c r="CX2" s="252">
        <f t="shared" si="3"/>
        <v>54513</v>
      </c>
    </row>
    <row r="3" spans="1:102" x14ac:dyDescent="0.3">
      <c r="A3" s="251"/>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row>
    <row r="4" spans="1:102" x14ac:dyDescent="0.3">
      <c r="A4" s="657" t="s">
        <v>28</v>
      </c>
      <c r="B4" s="657"/>
      <c r="C4" s="253">
        <v>1</v>
      </c>
      <c r="D4" s="253">
        <v>1</v>
      </c>
      <c r="E4" s="253">
        <f t="shared" ref="E4:O4" si="4">D4</f>
        <v>1</v>
      </c>
      <c r="F4" s="253">
        <f t="shared" si="4"/>
        <v>1</v>
      </c>
      <c r="G4" s="253">
        <f t="shared" si="4"/>
        <v>1</v>
      </c>
      <c r="H4" s="253">
        <f t="shared" si="4"/>
        <v>1</v>
      </c>
      <c r="I4" s="253">
        <f t="shared" si="4"/>
        <v>1</v>
      </c>
      <c r="J4" s="253">
        <f t="shared" si="4"/>
        <v>1</v>
      </c>
      <c r="K4" s="253">
        <f t="shared" si="4"/>
        <v>1</v>
      </c>
      <c r="L4" s="253">
        <f t="shared" si="4"/>
        <v>1</v>
      </c>
      <c r="M4" s="253">
        <f t="shared" si="4"/>
        <v>1</v>
      </c>
      <c r="N4" s="253">
        <f t="shared" si="4"/>
        <v>1</v>
      </c>
      <c r="O4" s="253">
        <f t="shared" si="4"/>
        <v>1</v>
      </c>
      <c r="P4" s="253">
        <f t="shared" ref="P4:CA4" si="5">D4+1</f>
        <v>2</v>
      </c>
      <c r="Q4" s="253">
        <f t="shared" si="5"/>
        <v>2</v>
      </c>
      <c r="R4" s="253">
        <f t="shared" si="5"/>
        <v>2</v>
      </c>
      <c r="S4" s="253">
        <f t="shared" si="5"/>
        <v>2</v>
      </c>
      <c r="T4" s="253">
        <f t="shared" si="5"/>
        <v>2</v>
      </c>
      <c r="U4" s="253">
        <f t="shared" si="5"/>
        <v>2</v>
      </c>
      <c r="V4" s="253">
        <f t="shared" si="5"/>
        <v>2</v>
      </c>
      <c r="W4" s="253">
        <f t="shared" si="5"/>
        <v>2</v>
      </c>
      <c r="X4" s="253">
        <f t="shared" si="5"/>
        <v>2</v>
      </c>
      <c r="Y4" s="253">
        <f t="shared" si="5"/>
        <v>2</v>
      </c>
      <c r="Z4" s="253">
        <f t="shared" si="5"/>
        <v>2</v>
      </c>
      <c r="AA4" s="253">
        <f t="shared" si="5"/>
        <v>2</v>
      </c>
      <c r="AB4" s="253">
        <f t="shared" si="5"/>
        <v>3</v>
      </c>
      <c r="AC4" s="253">
        <f t="shared" si="5"/>
        <v>3</v>
      </c>
      <c r="AD4" s="253">
        <f t="shared" si="5"/>
        <v>3</v>
      </c>
      <c r="AE4" s="253">
        <f t="shared" si="5"/>
        <v>3</v>
      </c>
      <c r="AF4" s="253">
        <f t="shared" si="5"/>
        <v>3</v>
      </c>
      <c r="AG4" s="253">
        <f t="shared" si="5"/>
        <v>3</v>
      </c>
      <c r="AH4" s="253">
        <f t="shared" si="5"/>
        <v>3</v>
      </c>
      <c r="AI4" s="253">
        <f t="shared" si="5"/>
        <v>3</v>
      </c>
      <c r="AJ4" s="253">
        <f t="shared" si="5"/>
        <v>3</v>
      </c>
      <c r="AK4" s="253">
        <f t="shared" si="5"/>
        <v>3</v>
      </c>
      <c r="AL4" s="253">
        <f t="shared" si="5"/>
        <v>3</v>
      </c>
      <c r="AM4" s="253">
        <f t="shared" si="5"/>
        <v>3</v>
      </c>
      <c r="AN4" s="253">
        <f t="shared" si="5"/>
        <v>4</v>
      </c>
      <c r="AO4" s="253">
        <f t="shared" si="5"/>
        <v>4</v>
      </c>
      <c r="AP4" s="253">
        <f t="shared" si="5"/>
        <v>4</v>
      </c>
      <c r="AQ4" s="253">
        <f t="shared" si="5"/>
        <v>4</v>
      </c>
      <c r="AR4" s="253">
        <f t="shared" si="5"/>
        <v>4</v>
      </c>
      <c r="AS4" s="253">
        <f t="shared" si="5"/>
        <v>4</v>
      </c>
      <c r="AT4" s="253">
        <f t="shared" si="5"/>
        <v>4</v>
      </c>
      <c r="AU4" s="253">
        <f t="shared" si="5"/>
        <v>4</v>
      </c>
      <c r="AV4" s="253">
        <f t="shared" si="5"/>
        <v>4</v>
      </c>
      <c r="AW4" s="253">
        <f t="shared" si="5"/>
        <v>4</v>
      </c>
      <c r="AX4" s="253">
        <f t="shared" si="5"/>
        <v>4</v>
      </c>
      <c r="AY4" s="253">
        <f t="shared" si="5"/>
        <v>4</v>
      </c>
      <c r="AZ4" s="253">
        <f t="shared" si="5"/>
        <v>5</v>
      </c>
      <c r="BA4" s="253">
        <f t="shared" si="5"/>
        <v>5</v>
      </c>
      <c r="BB4" s="253">
        <f t="shared" si="5"/>
        <v>5</v>
      </c>
      <c r="BC4" s="253">
        <f t="shared" si="5"/>
        <v>5</v>
      </c>
      <c r="BD4" s="253">
        <f t="shared" si="5"/>
        <v>5</v>
      </c>
      <c r="BE4" s="253">
        <f t="shared" si="5"/>
        <v>5</v>
      </c>
      <c r="BF4" s="253">
        <f t="shared" si="5"/>
        <v>5</v>
      </c>
      <c r="BG4" s="253">
        <f t="shared" si="5"/>
        <v>5</v>
      </c>
      <c r="BH4" s="253">
        <f t="shared" si="5"/>
        <v>5</v>
      </c>
      <c r="BI4" s="253">
        <f t="shared" si="5"/>
        <v>5</v>
      </c>
      <c r="BJ4" s="253">
        <f t="shared" si="5"/>
        <v>5</v>
      </c>
      <c r="BK4" s="253">
        <f t="shared" si="5"/>
        <v>5</v>
      </c>
      <c r="BL4" s="253">
        <f t="shared" si="5"/>
        <v>6</v>
      </c>
      <c r="BM4" s="253">
        <f t="shared" si="5"/>
        <v>6</v>
      </c>
      <c r="BN4" s="253">
        <f t="shared" si="5"/>
        <v>6</v>
      </c>
      <c r="BO4" s="253">
        <f t="shared" si="5"/>
        <v>6</v>
      </c>
      <c r="BP4" s="253">
        <f t="shared" si="5"/>
        <v>6</v>
      </c>
      <c r="BQ4" s="253">
        <f t="shared" si="5"/>
        <v>6</v>
      </c>
      <c r="BR4" s="253">
        <f t="shared" si="5"/>
        <v>6</v>
      </c>
      <c r="BS4" s="253">
        <f t="shared" si="5"/>
        <v>6</v>
      </c>
      <c r="BT4" s="253">
        <f t="shared" si="5"/>
        <v>6</v>
      </c>
      <c r="BU4" s="253">
        <f t="shared" si="5"/>
        <v>6</v>
      </c>
      <c r="BV4" s="253">
        <f t="shared" si="5"/>
        <v>6</v>
      </c>
      <c r="BW4" s="253">
        <f t="shared" si="5"/>
        <v>6</v>
      </c>
      <c r="BX4" s="253">
        <f t="shared" si="5"/>
        <v>7</v>
      </c>
      <c r="BY4" s="253">
        <f t="shared" si="5"/>
        <v>7</v>
      </c>
      <c r="BZ4" s="253">
        <f t="shared" si="5"/>
        <v>7</v>
      </c>
      <c r="CA4" s="253">
        <f t="shared" si="5"/>
        <v>7</v>
      </c>
      <c r="CB4" s="253">
        <f t="shared" ref="CB4:CX4" si="6">BP4+1</f>
        <v>7</v>
      </c>
      <c r="CC4" s="253">
        <f t="shared" si="6"/>
        <v>7</v>
      </c>
      <c r="CD4" s="253">
        <f t="shared" si="6"/>
        <v>7</v>
      </c>
      <c r="CE4" s="253">
        <f t="shared" si="6"/>
        <v>7</v>
      </c>
      <c r="CF4" s="253">
        <f t="shared" si="6"/>
        <v>7</v>
      </c>
      <c r="CG4" s="253">
        <f t="shared" si="6"/>
        <v>7</v>
      </c>
      <c r="CH4" s="253">
        <f t="shared" si="6"/>
        <v>7</v>
      </c>
      <c r="CI4" s="253">
        <f t="shared" si="6"/>
        <v>7</v>
      </c>
      <c r="CJ4" s="253">
        <f t="shared" si="6"/>
        <v>8</v>
      </c>
      <c r="CK4" s="253">
        <f t="shared" si="6"/>
        <v>8</v>
      </c>
      <c r="CL4" s="253">
        <f t="shared" si="6"/>
        <v>8</v>
      </c>
      <c r="CM4" s="253">
        <f t="shared" si="6"/>
        <v>8</v>
      </c>
      <c r="CN4" s="253">
        <f t="shared" si="6"/>
        <v>8</v>
      </c>
      <c r="CO4" s="253">
        <f t="shared" si="6"/>
        <v>8</v>
      </c>
      <c r="CP4" s="253">
        <f t="shared" si="6"/>
        <v>8</v>
      </c>
      <c r="CQ4" s="253">
        <f t="shared" si="6"/>
        <v>8</v>
      </c>
      <c r="CR4" s="253">
        <f t="shared" si="6"/>
        <v>8</v>
      </c>
      <c r="CS4" s="253">
        <f t="shared" si="6"/>
        <v>8</v>
      </c>
      <c r="CT4" s="253">
        <f t="shared" si="6"/>
        <v>8</v>
      </c>
      <c r="CU4" s="253">
        <f t="shared" si="6"/>
        <v>8</v>
      </c>
      <c r="CV4" s="253">
        <f t="shared" si="6"/>
        <v>9</v>
      </c>
      <c r="CW4" s="253">
        <f t="shared" si="6"/>
        <v>9</v>
      </c>
      <c r="CX4" s="253">
        <f t="shared" si="6"/>
        <v>9</v>
      </c>
    </row>
    <row r="5" spans="1:102" x14ac:dyDescent="0.3">
      <c r="A5" s="657" t="s">
        <v>27</v>
      </c>
      <c r="B5" s="657"/>
      <c r="C5" s="253">
        <v>1</v>
      </c>
      <c r="D5" s="253">
        <v>1</v>
      </c>
      <c r="E5" s="253">
        <v>1</v>
      </c>
      <c r="F5" s="253">
        <v>1</v>
      </c>
      <c r="G5" s="253">
        <f t="shared" ref="G5:BR5" si="7">D5+1</f>
        <v>2</v>
      </c>
      <c r="H5" s="253">
        <f t="shared" si="7"/>
        <v>2</v>
      </c>
      <c r="I5" s="253">
        <f t="shared" si="7"/>
        <v>2</v>
      </c>
      <c r="J5" s="253">
        <f t="shared" si="7"/>
        <v>3</v>
      </c>
      <c r="K5" s="253">
        <f t="shared" si="7"/>
        <v>3</v>
      </c>
      <c r="L5" s="253">
        <f t="shared" si="7"/>
        <v>3</v>
      </c>
      <c r="M5" s="253">
        <f t="shared" si="7"/>
        <v>4</v>
      </c>
      <c r="N5" s="253">
        <f t="shared" si="7"/>
        <v>4</v>
      </c>
      <c r="O5" s="253">
        <f t="shared" si="7"/>
        <v>4</v>
      </c>
      <c r="P5" s="253">
        <f t="shared" si="7"/>
        <v>5</v>
      </c>
      <c r="Q5" s="253">
        <f t="shared" si="7"/>
        <v>5</v>
      </c>
      <c r="R5" s="253">
        <f t="shared" si="7"/>
        <v>5</v>
      </c>
      <c r="S5" s="253">
        <f t="shared" si="7"/>
        <v>6</v>
      </c>
      <c r="T5" s="253">
        <f t="shared" si="7"/>
        <v>6</v>
      </c>
      <c r="U5" s="253">
        <f t="shared" si="7"/>
        <v>6</v>
      </c>
      <c r="V5" s="253">
        <f t="shared" si="7"/>
        <v>7</v>
      </c>
      <c r="W5" s="253">
        <f t="shared" si="7"/>
        <v>7</v>
      </c>
      <c r="X5" s="253">
        <f t="shared" si="7"/>
        <v>7</v>
      </c>
      <c r="Y5" s="253">
        <f t="shared" si="7"/>
        <v>8</v>
      </c>
      <c r="Z5" s="253">
        <f t="shared" si="7"/>
        <v>8</v>
      </c>
      <c r="AA5" s="253">
        <f t="shared" si="7"/>
        <v>8</v>
      </c>
      <c r="AB5" s="253">
        <f t="shared" si="7"/>
        <v>9</v>
      </c>
      <c r="AC5" s="253">
        <f t="shared" si="7"/>
        <v>9</v>
      </c>
      <c r="AD5" s="253">
        <f t="shared" si="7"/>
        <v>9</v>
      </c>
      <c r="AE5" s="253">
        <f t="shared" si="7"/>
        <v>10</v>
      </c>
      <c r="AF5" s="253">
        <f t="shared" si="7"/>
        <v>10</v>
      </c>
      <c r="AG5" s="253">
        <f t="shared" si="7"/>
        <v>10</v>
      </c>
      <c r="AH5" s="253">
        <f t="shared" si="7"/>
        <v>11</v>
      </c>
      <c r="AI5" s="253">
        <f t="shared" si="7"/>
        <v>11</v>
      </c>
      <c r="AJ5" s="253">
        <f t="shared" si="7"/>
        <v>11</v>
      </c>
      <c r="AK5" s="253">
        <f t="shared" si="7"/>
        <v>12</v>
      </c>
      <c r="AL5" s="253">
        <f t="shared" si="7"/>
        <v>12</v>
      </c>
      <c r="AM5" s="253">
        <f t="shared" si="7"/>
        <v>12</v>
      </c>
      <c r="AN5" s="253">
        <f t="shared" si="7"/>
        <v>13</v>
      </c>
      <c r="AO5" s="253">
        <f t="shared" si="7"/>
        <v>13</v>
      </c>
      <c r="AP5" s="253">
        <f t="shared" si="7"/>
        <v>13</v>
      </c>
      <c r="AQ5" s="253">
        <f t="shared" si="7"/>
        <v>14</v>
      </c>
      <c r="AR5" s="253">
        <f t="shared" si="7"/>
        <v>14</v>
      </c>
      <c r="AS5" s="253">
        <f t="shared" si="7"/>
        <v>14</v>
      </c>
      <c r="AT5" s="253">
        <f t="shared" si="7"/>
        <v>15</v>
      </c>
      <c r="AU5" s="253">
        <f t="shared" si="7"/>
        <v>15</v>
      </c>
      <c r="AV5" s="253">
        <f t="shared" si="7"/>
        <v>15</v>
      </c>
      <c r="AW5" s="253">
        <f t="shared" si="7"/>
        <v>16</v>
      </c>
      <c r="AX5" s="253">
        <f t="shared" si="7"/>
        <v>16</v>
      </c>
      <c r="AY5" s="253">
        <f t="shared" si="7"/>
        <v>16</v>
      </c>
      <c r="AZ5" s="253">
        <f t="shared" si="7"/>
        <v>17</v>
      </c>
      <c r="BA5" s="253">
        <f t="shared" si="7"/>
        <v>17</v>
      </c>
      <c r="BB5" s="253">
        <f t="shared" si="7"/>
        <v>17</v>
      </c>
      <c r="BC5" s="253">
        <f t="shared" si="7"/>
        <v>18</v>
      </c>
      <c r="BD5" s="253">
        <f t="shared" si="7"/>
        <v>18</v>
      </c>
      <c r="BE5" s="253">
        <f t="shared" si="7"/>
        <v>18</v>
      </c>
      <c r="BF5" s="253">
        <f t="shared" si="7"/>
        <v>19</v>
      </c>
      <c r="BG5" s="253">
        <f t="shared" si="7"/>
        <v>19</v>
      </c>
      <c r="BH5" s="253">
        <f t="shared" si="7"/>
        <v>19</v>
      </c>
      <c r="BI5" s="253">
        <f t="shared" si="7"/>
        <v>20</v>
      </c>
      <c r="BJ5" s="253">
        <f t="shared" si="7"/>
        <v>20</v>
      </c>
      <c r="BK5" s="253">
        <f t="shared" si="7"/>
        <v>20</v>
      </c>
      <c r="BL5" s="253">
        <f t="shared" si="7"/>
        <v>21</v>
      </c>
      <c r="BM5" s="253">
        <f t="shared" si="7"/>
        <v>21</v>
      </c>
      <c r="BN5" s="253">
        <f t="shared" si="7"/>
        <v>21</v>
      </c>
      <c r="BO5" s="253">
        <f t="shared" si="7"/>
        <v>22</v>
      </c>
      <c r="BP5" s="253">
        <f t="shared" si="7"/>
        <v>22</v>
      </c>
      <c r="BQ5" s="253">
        <f t="shared" si="7"/>
        <v>22</v>
      </c>
      <c r="BR5" s="253">
        <f t="shared" si="7"/>
        <v>23</v>
      </c>
      <c r="BS5" s="253">
        <f t="shared" ref="BS5:CX5" si="8">BP5+1</f>
        <v>23</v>
      </c>
      <c r="BT5" s="253">
        <f t="shared" si="8"/>
        <v>23</v>
      </c>
      <c r="BU5" s="253">
        <f t="shared" si="8"/>
        <v>24</v>
      </c>
      <c r="BV5" s="253">
        <f t="shared" si="8"/>
        <v>24</v>
      </c>
      <c r="BW5" s="253">
        <f t="shared" si="8"/>
        <v>24</v>
      </c>
      <c r="BX5" s="253">
        <f t="shared" si="8"/>
        <v>25</v>
      </c>
      <c r="BY5" s="253">
        <f t="shared" si="8"/>
        <v>25</v>
      </c>
      <c r="BZ5" s="253">
        <f t="shared" si="8"/>
        <v>25</v>
      </c>
      <c r="CA5" s="253">
        <f t="shared" si="8"/>
        <v>26</v>
      </c>
      <c r="CB5" s="253">
        <f t="shared" si="8"/>
        <v>26</v>
      </c>
      <c r="CC5" s="253">
        <f t="shared" si="8"/>
        <v>26</v>
      </c>
      <c r="CD5" s="253">
        <f t="shared" si="8"/>
        <v>27</v>
      </c>
      <c r="CE5" s="253">
        <f t="shared" si="8"/>
        <v>27</v>
      </c>
      <c r="CF5" s="253">
        <f t="shared" si="8"/>
        <v>27</v>
      </c>
      <c r="CG5" s="253">
        <f t="shared" si="8"/>
        <v>28</v>
      </c>
      <c r="CH5" s="253">
        <f t="shared" si="8"/>
        <v>28</v>
      </c>
      <c r="CI5" s="253">
        <f t="shared" si="8"/>
        <v>28</v>
      </c>
      <c r="CJ5" s="253">
        <f t="shared" si="8"/>
        <v>29</v>
      </c>
      <c r="CK5" s="253">
        <f t="shared" si="8"/>
        <v>29</v>
      </c>
      <c r="CL5" s="253">
        <f t="shared" si="8"/>
        <v>29</v>
      </c>
      <c r="CM5" s="253">
        <f t="shared" si="8"/>
        <v>30</v>
      </c>
      <c r="CN5" s="253">
        <f t="shared" si="8"/>
        <v>30</v>
      </c>
      <c r="CO5" s="253">
        <f t="shared" si="8"/>
        <v>30</v>
      </c>
      <c r="CP5" s="253">
        <f t="shared" si="8"/>
        <v>31</v>
      </c>
      <c r="CQ5" s="253">
        <f t="shared" si="8"/>
        <v>31</v>
      </c>
      <c r="CR5" s="253">
        <f t="shared" si="8"/>
        <v>31</v>
      </c>
      <c r="CS5" s="253">
        <f t="shared" si="8"/>
        <v>32</v>
      </c>
      <c r="CT5" s="253">
        <f t="shared" si="8"/>
        <v>32</v>
      </c>
      <c r="CU5" s="253">
        <f t="shared" si="8"/>
        <v>32</v>
      </c>
      <c r="CV5" s="253">
        <f t="shared" si="8"/>
        <v>33</v>
      </c>
      <c r="CW5" s="253">
        <f t="shared" si="8"/>
        <v>33</v>
      </c>
      <c r="CX5" s="253">
        <f t="shared" si="8"/>
        <v>33</v>
      </c>
    </row>
    <row r="6" spans="1:102" x14ac:dyDescent="0.3">
      <c r="A6" s="253" t="s">
        <v>160</v>
      </c>
      <c r="B6" s="253"/>
      <c r="C6" s="253">
        <v>1</v>
      </c>
      <c r="D6" s="253">
        <v>1</v>
      </c>
      <c r="E6" s="253">
        <v>1</v>
      </c>
      <c r="F6" s="253">
        <v>1</v>
      </c>
      <c r="G6" s="253">
        <v>1</v>
      </c>
      <c r="H6" s="253">
        <v>1</v>
      </c>
      <c r="I6" s="253">
        <v>1</v>
      </c>
      <c r="J6" s="253">
        <v>1</v>
      </c>
      <c r="K6" s="253">
        <v>1</v>
      </c>
      <c r="L6" s="253">
        <v>1</v>
      </c>
      <c r="M6" s="253">
        <v>2</v>
      </c>
      <c r="N6" s="253">
        <v>2</v>
      </c>
      <c r="O6" s="253">
        <v>2</v>
      </c>
      <c r="P6" s="253">
        <f>D6+1</f>
        <v>2</v>
      </c>
      <c r="Q6" s="253">
        <f t="shared" ref="Q6:CB6" si="9">E6+1</f>
        <v>2</v>
      </c>
      <c r="R6" s="253">
        <f t="shared" si="9"/>
        <v>2</v>
      </c>
      <c r="S6" s="253">
        <f t="shared" si="9"/>
        <v>2</v>
      </c>
      <c r="T6" s="253">
        <f t="shared" si="9"/>
        <v>2</v>
      </c>
      <c r="U6" s="253">
        <f t="shared" si="9"/>
        <v>2</v>
      </c>
      <c r="V6" s="253">
        <f t="shared" si="9"/>
        <v>2</v>
      </c>
      <c r="W6" s="253">
        <f t="shared" si="9"/>
        <v>2</v>
      </c>
      <c r="X6" s="253">
        <f t="shared" si="9"/>
        <v>2</v>
      </c>
      <c r="Y6" s="253">
        <f t="shared" si="9"/>
        <v>3</v>
      </c>
      <c r="Z6" s="253">
        <f t="shared" si="9"/>
        <v>3</v>
      </c>
      <c r="AA6" s="253">
        <v>3</v>
      </c>
      <c r="AB6" s="253">
        <f t="shared" si="9"/>
        <v>3</v>
      </c>
      <c r="AC6" s="253">
        <f t="shared" si="9"/>
        <v>3</v>
      </c>
      <c r="AD6" s="253">
        <f t="shared" si="9"/>
        <v>3</v>
      </c>
      <c r="AE6" s="253">
        <f t="shared" si="9"/>
        <v>3</v>
      </c>
      <c r="AF6" s="253">
        <f t="shared" si="9"/>
        <v>3</v>
      </c>
      <c r="AG6" s="253">
        <f t="shared" si="9"/>
        <v>3</v>
      </c>
      <c r="AH6" s="253">
        <f t="shared" si="9"/>
        <v>3</v>
      </c>
      <c r="AI6" s="253">
        <f t="shared" si="9"/>
        <v>3</v>
      </c>
      <c r="AJ6" s="253">
        <f t="shared" si="9"/>
        <v>3</v>
      </c>
      <c r="AK6" s="253">
        <f t="shared" si="9"/>
        <v>4</v>
      </c>
      <c r="AL6" s="253">
        <f t="shared" si="9"/>
        <v>4</v>
      </c>
      <c r="AM6" s="253">
        <v>4</v>
      </c>
      <c r="AN6" s="253">
        <f t="shared" si="9"/>
        <v>4</v>
      </c>
      <c r="AO6" s="253">
        <f t="shared" si="9"/>
        <v>4</v>
      </c>
      <c r="AP6" s="253">
        <f t="shared" si="9"/>
        <v>4</v>
      </c>
      <c r="AQ6" s="253">
        <f t="shared" si="9"/>
        <v>4</v>
      </c>
      <c r="AR6" s="253">
        <f t="shared" si="9"/>
        <v>4</v>
      </c>
      <c r="AS6" s="253">
        <f t="shared" si="9"/>
        <v>4</v>
      </c>
      <c r="AT6" s="253">
        <f t="shared" si="9"/>
        <v>4</v>
      </c>
      <c r="AU6" s="253">
        <f t="shared" si="9"/>
        <v>4</v>
      </c>
      <c r="AV6" s="253">
        <f t="shared" si="9"/>
        <v>4</v>
      </c>
      <c r="AW6" s="253">
        <f t="shared" si="9"/>
        <v>5</v>
      </c>
      <c r="AX6" s="253">
        <f t="shared" si="9"/>
        <v>5</v>
      </c>
      <c r="AY6" s="253">
        <v>5</v>
      </c>
      <c r="AZ6" s="253">
        <f t="shared" si="9"/>
        <v>5</v>
      </c>
      <c r="BA6" s="253">
        <f t="shared" si="9"/>
        <v>5</v>
      </c>
      <c r="BB6" s="253">
        <f t="shared" si="9"/>
        <v>5</v>
      </c>
      <c r="BC6" s="253">
        <f t="shared" si="9"/>
        <v>5</v>
      </c>
      <c r="BD6" s="253">
        <f t="shared" si="9"/>
        <v>5</v>
      </c>
      <c r="BE6" s="253">
        <f t="shared" si="9"/>
        <v>5</v>
      </c>
      <c r="BF6" s="253">
        <f t="shared" si="9"/>
        <v>5</v>
      </c>
      <c r="BG6" s="253">
        <f t="shared" si="9"/>
        <v>5</v>
      </c>
      <c r="BH6" s="253">
        <f t="shared" si="9"/>
        <v>5</v>
      </c>
      <c r="BI6" s="253">
        <f t="shared" si="9"/>
        <v>6</v>
      </c>
      <c r="BJ6" s="253">
        <f t="shared" si="9"/>
        <v>6</v>
      </c>
      <c r="BK6" s="253">
        <v>6</v>
      </c>
      <c r="BL6" s="253">
        <f t="shared" si="9"/>
        <v>6</v>
      </c>
      <c r="BM6" s="253">
        <f t="shared" si="9"/>
        <v>6</v>
      </c>
      <c r="BN6" s="253">
        <f t="shared" si="9"/>
        <v>6</v>
      </c>
      <c r="BO6" s="253">
        <f t="shared" si="9"/>
        <v>6</v>
      </c>
      <c r="BP6" s="253">
        <f t="shared" si="9"/>
        <v>6</v>
      </c>
      <c r="BQ6" s="253">
        <f t="shared" si="9"/>
        <v>6</v>
      </c>
      <c r="BR6" s="253">
        <f t="shared" si="9"/>
        <v>6</v>
      </c>
      <c r="BS6" s="253">
        <f t="shared" si="9"/>
        <v>6</v>
      </c>
      <c r="BT6" s="253">
        <f t="shared" si="9"/>
        <v>6</v>
      </c>
      <c r="BU6" s="253">
        <v>7</v>
      </c>
      <c r="BV6" s="253">
        <v>7</v>
      </c>
      <c r="BW6" s="253">
        <v>7</v>
      </c>
      <c r="BX6" s="253">
        <f t="shared" si="9"/>
        <v>7</v>
      </c>
      <c r="BY6" s="253">
        <f t="shared" si="9"/>
        <v>7</v>
      </c>
      <c r="BZ6" s="253">
        <f t="shared" si="9"/>
        <v>7</v>
      </c>
      <c r="CA6" s="253">
        <f t="shared" si="9"/>
        <v>7</v>
      </c>
      <c r="CB6" s="253">
        <f t="shared" si="9"/>
        <v>7</v>
      </c>
      <c r="CC6" s="253">
        <f t="shared" ref="CC6:CX6" si="10">BQ6+1</f>
        <v>7</v>
      </c>
      <c r="CD6" s="253">
        <f t="shared" si="10"/>
        <v>7</v>
      </c>
      <c r="CE6" s="253">
        <f t="shared" si="10"/>
        <v>7</v>
      </c>
      <c r="CF6" s="253">
        <f t="shared" si="10"/>
        <v>7</v>
      </c>
      <c r="CG6" s="253">
        <f t="shared" si="10"/>
        <v>8</v>
      </c>
      <c r="CH6" s="253">
        <f t="shared" si="10"/>
        <v>8</v>
      </c>
      <c r="CI6" s="253">
        <f t="shared" si="10"/>
        <v>8</v>
      </c>
      <c r="CJ6" s="253">
        <f t="shared" si="10"/>
        <v>8</v>
      </c>
      <c r="CK6" s="253">
        <f t="shared" si="10"/>
        <v>8</v>
      </c>
      <c r="CL6" s="253">
        <f t="shared" si="10"/>
        <v>8</v>
      </c>
      <c r="CM6" s="253">
        <f t="shared" si="10"/>
        <v>8</v>
      </c>
      <c r="CN6" s="253">
        <f t="shared" si="10"/>
        <v>8</v>
      </c>
      <c r="CO6" s="253">
        <f t="shared" si="10"/>
        <v>8</v>
      </c>
      <c r="CP6" s="253">
        <f t="shared" si="10"/>
        <v>8</v>
      </c>
      <c r="CQ6" s="253">
        <f t="shared" si="10"/>
        <v>8</v>
      </c>
      <c r="CR6" s="253">
        <f t="shared" si="10"/>
        <v>8</v>
      </c>
      <c r="CS6" s="253">
        <f t="shared" si="10"/>
        <v>9</v>
      </c>
      <c r="CT6" s="253">
        <f t="shared" si="10"/>
        <v>9</v>
      </c>
      <c r="CU6" s="253">
        <f t="shared" si="10"/>
        <v>9</v>
      </c>
      <c r="CV6" s="253">
        <f t="shared" si="10"/>
        <v>9</v>
      </c>
      <c r="CW6" s="253">
        <f t="shared" si="10"/>
        <v>9</v>
      </c>
      <c r="CX6" s="253">
        <f t="shared" si="10"/>
        <v>9</v>
      </c>
    </row>
    <row r="7" spans="1:102" x14ac:dyDescent="0.3">
      <c r="A7" s="253" t="s">
        <v>102</v>
      </c>
      <c r="B7" s="253" t="s">
        <v>26</v>
      </c>
      <c r="C7" s="256">
        <f>EOMONTH('Assumption Sheet'!B9,-1)</f>
        <v>45473</v>
      </c>
      <c r="D7" s="256">
        <f>EOMONTH(C7,3)</f>
        <v>45565</v>
      </c>
      <c r="E7" s="256">
        <f t="shared" ref="E7:BP7" si="11">EOMONTH(D7,3)</f>
        <v>45657</v>
      </c>
      <c r="F7" s="256">
        <f t="shared" si="11"/>
        <v>45747</v>
      </c>
      <c r="G7" s="256">
        <f t="shared" si="11"/>
        <v>45838</v>
      </c>
      <c r="H7" s="256">
        <f t="shared" si="11"/>
        <v>45930</v>
      </c>
      <c r="I7" s="256">
        <f t="shared" si="11"/>
        <v>46022</v>
      </c>
      <c r="J7" s="256">
        <f t="shared" si="11"/>
        <v>46112</v>
      </c>
      <c r="K7" s="256">
        <f t="shared" si="11"/>
        <v>46203</v>
      </c>
      <c r="L7" s="256">
        <f t="shared" si="11"/>
        <v>46295</v>
      </c>
      <c r="M7" s="256">
        <f t="shared" si="11"/>
        <v>46387</v>
      </c>
      <c r="N7" s="256">
        <f t="shared" si="11"/>
        <v>46477</v>
      </c>
      <c r="O7" s="256">
        <f t="shared" si="11"/>
        <v>46568</v>
      </c>
      <c r="P7" s="256">
        <f t="shared" si="11"/>
        <v>46660</v>
      </c>
      <c r="Q7" s="256">
        <f t="shared" si="11"/>
        <v>46752</v>
      </c>
      <c r="R7" s="256">
        <f t="shared" si="11"/>
        <v>46843</v>
      </c>
      <c r="S7" s="256">
        <f t="shared" si="11"/>
        <v>46934</v>
      </c>
      <c r="T7" s="256">
        <f t="shared" si="11"/>
        <v>47026</v>
      </c>
      <c r="U7" s="256">
        <f t="shared" si="11"/>
        <v>47118</v>
      </c>
      <c r="V7" s="256">
        <f t="shared" si="11"/>
        <v>47208</v>
      </c>
      <c r="W7" s="256">
        <f t="shared" si="11"/>
        <v>47299</v>
      </c>
      <c r="X7" s="256">
        <f t="shared" si="11"/>
        <v>47391</v>
      </c>
      <c r="Y7" s="256">
        <f t="shared" si="11"/>
        <v>47483</v>
      </c>
      <c r="Z7" s="256">
        <f t="shared" si="11"/>
        <v>47573</v>
      </c>
      <c r="AA7" s="256">
        <f t="shared" si="11"/>
        <v>47664</v>
      </c>
      <c r="AB7" s="256">
        <f t="shared" si="11"/>
        <v>47756</v>
      </c>
      <c r="AC7" s="256">
        <f t="shared" si="11"/>
        <v>47848</v>
      </c>
      <c r="AD7" s="256">
        <f t="shared" si="11"/>
        <v>47938</v>
      </c>
      <c r="AE7" s="256">
        <f t="shared" si="11"/>
        <v>48029</v>
      </c>
      <c r="AF7" s="256">
        <f t="shared" si="11"/>
        <v>48121</v>
      </c>
      <c r="AG7" s="256">
        <f t="shared" si="11"/>
        <v>48213</v>
      </c>
      <c r="AH7" s="256">
        <f t="shared" si="11"/>
        <v>48304</v>
      </c>
      <c r="AI7" s="256">
        <f t="shared" si="11"/>
        <v>48395</v>
      </c>
      <c r="AJ7" s="256">
        <f t="shared" si="11"/>
        <v>48487</v>
      </c>
      <c r="AK7" s="256">
        <f t="shared" si="11"/>
        <v>48579</v>
      </c>
      <c r="AL7" s="256">
        <f t="shared" si="11"/>
        <v>48669</v>
      </c>
      <c r="AM7" s="256">
        <f t="shared" si="11"/>
        <v>48760</v>
      </c>
      <c r="AN7" s="256">
        <f t="shared" si="11"/>
        <v>48852</v>
      </c>
      <c r="AO7" s="256">
        <f t="shared" si="11"/>
        <v>48944</v>
      </c>
      <c r="AP7" s="256">
        <f t="shared" si="11"/>
        <v>49034</v>
      </c>
      <c r="AQ7" s="256">
        <f t="shared" si="11"/>
        <v>49125</v>
      </c>
      <c r="AR7" s="256">
        <f t="shared" si="11"/>
        <v>49217</v>
      </c>
      <c r="AS7" s="256">
        <f t="shared" si="11"/>
        <v>49309</v>
      </c>
      <c r="AT7" s="256">
        <f t="shared" si="11"/>
        <v>49399</v>
      </c>
      <c r="AU7" s="256">
        <f t="shared" si="11"/>
        <v>49490</v>
      </c>
      <c r="AV7" s="256">
        <f t="shared" si="11"/>
        <v>49582</v>
      </c>
      <c r="AW7" s="256">
        <f t="shared" si="11"/>
        <v>49674</v>
      </c>
      <c r="AX7" s="256">
        <f t="shared" si="11"/>
        <v>49765</v>
      </c>
      <c r="AY7" s="256">
        <f t="shared" si="11"/>
        <v>49856</v>
      </c>
      <c r="AZ7" s="256">
        <f t="shared" si="11"/>
        <v>49948</v>
      </c>
      <c r="BA7" s="256">
        <f t="shared" si="11"/>
        <v>50040</v>
      </c>
      <c r="BB7" s="256">
        <f t="shared" si="11"/>
        <v>50130</v>
      </c>
      <c r="BC7" s="256">
        <f t="shared" si="11"/>
        <v>50221</v>
      </c>
      <c r="BD7" s="256">
        <f t="shared" si="11"/>
        <v>50313</v>
      </c>
      <c r="BE7" s="256">
        <f t="shared" si="11"/>
        <v>50405</v>
      </c>
      <c r="BF7" s="256">
        <f t="shared" si="11"/>
        <v>50495</v>
      </c>
      <c r="BG7" s="256">
        <f t="shared" si="11"/>
        <v>50586</v>
      </c>
      <c r="BH7" s="256">
        <f t="shared" si="11"/>
        <v>50678</v>
      </c>
      <c r="BI7" s="256">
        <f t="shared" si="11"/>
        <v>50770</v>
      </c>
      <c r="BJ7" s="256">
        <f t="shared" si="11"/>
        <v>50860</v>
      </c>
      <c r="BK7" s="256">
        <f t="shared" si="11"/>
        <v>50951</v>
      </c>
      <c r="BL7" s="256">
        <f t="shared" si="11"/>
        <v>51043</v>
      </c>
      <c r="BM7" s="256">
        <f t="shared" si="11"/>
        <v>51135</v>
      </c>
      <c r="BN7" s="256">
        <f t="shared" si="11"/>
        <v>51226</v>
      </c>
      <c r="BO7" s="256">
        <f t="shared" si="11"/>
        <v>51317</v>
      </c>
      <c r="BP7" s="256">
        <f t="shared" si="11"/>
        <v>51409</v>
      </c>
      <c r="BQ7" s="256">
        <f t="shared" ref="BQ7:CX7" si="12">EOMONTH(BP7,3)</f>
        <v>51501</v>
      </c>
      <c r="BR7" s="256">
        <f t="shared" si="12"/>
        <v>51591</v>
      </c>
      <c r="BS7" s="256">
        <f t="shared" si="12"/>
        <v>51682</v>
      </c>
      <c r="BT7" s="256">
        <f t="shared" si="12"/>
        <v>51774</v>
      </c>
      <c r="BU7" s="256">
        <f t="shared" si="12"/>
        <v>51866</v>
      </c>
      <c r="BV7" s="256">
        <f t="shared" si="12"/>
        <v>51956</v>
      </c>
      <c r="BW7" s="256">
        <f t="shared" si="12"/>
        <v>52047</v>
      </c>
      <c r="BX7" s="256">
        <f t="shared" si="12"/>
        <v>52139</v>
      </c>
      <c r="BY7" s="256">
        <f t="shared" si="12"/>
        <v>52231</v>
      </c>
      <c r="BZ7" s="256">
        <f t="shared" si="12"/>
        <v>52321</v>
      </c>
      <c r="CA7" s="256">
        <f t="shared" si="12"/>
        <v>52412</v>
      </c>
      <c r="CB7" s="256">
        <f t="shared" si="12"/>
        <v>52504</v>
      </c>
      <c r="CC7" s="256">
        <f t="shared" si="12"/>
        <v>52596</v>
      </c>
      <c r="CD7" s="256">
        <f t="shared" si="12"/>
        <v>52687</v>
      </c>
      <c r="CE7" s="256">
        <f t="shared" si="12"/>
        <v>52778</v>
      </c>
      <c r="CF7" s="256">
        <f t="shared" si="12"/>
        <v>52870</v>
      </c>
      <c r="CG7" s="256">
        <f t="shared" si="12"/>
        <v>52962</v>
      </c>
      <c r="CH7" s="256">
        <f t="shared" si="12"/>
        <v>53052</v>
      </c>
      <c r="CI7" s="256">
        <f t="shared" si="12"/>
        <v>53143</v>
      </c>
      <c r="CJ7" s="256">
        <f t="shared" si="12"/>
        <v>53235</v>
      </c>
      <c r="CK7" s="256">
        <f t="shared" si="12"/>
        <v>53327</v>
      </c>
      <c r="CL7" s="256">
        <f t="shared" si="12"/>
        <v>53417</v>
      </c>
      <c r="CM7" s="256">
        <f t="shared" si="12"/>
        <v>53508</v>
      </c>
      <c r="CN7" s="256">
        <f t="shared" si="12"/>
        <v>53600</v>
      </c>
      <c r="CO7" s="256">
        <f t="shared" si="12"/>
        <v>53692</v>
      </c>
      <c r="CP7" s="256">
        <f t="shared" si="12"/>
        <v>53782</v>
      </c>
      <c r="CQ7" s="256">
        <f t="shared" si="12"/>
        <v>53873</v>
      </c>
      <c r="CR7" s="256">
        <f t="shared" si="12"/>
        <v>53965</v>
      </c>
      <c r="CS7" s="256">
        <f t="shared" si="12"/>
        <v>54057</v>
      </c>
      <c r="CT7" s="256">
        <f t="shared" si="12"/>
        <v>54148</v>
      </c>
      <c r="CU7" s="256">
        <f t="shared" si="12"/>
        <v>54239</v>
      </c>
      <c r="CV7" s="256">
        <f t="shared" si="12"/>
        <v>54331</v>
      </c>
      <c r="CW7" s="256">
        <f t="shared" si="12"/>
        <v>54423</v>
      </c>
      <c r="CX7" s="256">
        <f t="shared" si="12"/>
        <v>54513</v>
      </c>
    </row>
    <row r="9" spans="1:102" x14ac:dyDescent="0.3">
      <c r="A9" s="39" t="s">
        <v>29</v>
      </c>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row>
    <row r="10" spans="1:102" x14ac:dyDescent="0.3">
      <c r="A10" s="1" t="s">
        <v>201</v>
      </c>
      <c r="B10" s="257">
        <f>SUM(C10:CX10)</f>
        <v>1162.5063300304505</v>
      </c>
      <c r="C10" s="258">
        <f>SUMIFS('Monthly Cashflow'!10:10,'Monthly Cashflow'!$3:$3,C$7)</f>
        <v>0</v>
      </c>
      <c r="D10" s="258">
        <f>SUMIFS('Monthly Cashflow'!10:10,'Monthly Cashflow'!$3:$3,D$7)</f>
        <v>0</v>
      </c>
      <c r="E10" s="258">
        <f>SUMIFS('Monthly Cashflow'!10:10,'Monthly Cashflow'!$3:$3,E$7)</f>
        <v>0</v>
      </c>
      <c r="F10" s="258">
        <f>SUMIFS('Monthly Cashflow'!10:10,'Monthly Cashflow'!$3:$3,F$7)</f>
        <v>0</v>
      </c>
      <c r="G10" s="258">
        <f>SUMIFS('Monthly Cashflow'!10:10,'Monthly Cashflow'!$3:$3,G$7)</f>
        <v>0</v>
      </c>
      <c r="H10" s="258">
        <f>SUMIFS('Monthly Cashflow'!10:10,'Monthly Cashflow'!$3:$3,H$7)</f>
        <v>0</v>
      </c>
      <c r="I10" s="258">
        <f>SUMIFS('Monthly Cashflow'!10:10,'Monthly Cashflow'!$3:$3,I$7)</f>
        <v>0</v>
      </c>
      <c r="J10" s="258">
        <f>SUMIFS('Monthly Cashflow'!10:10,'Monthly Cashflow'!$3:$3,J$7)</f>
        <v>1.5693559613849248</v>
      </c>
      <c r="K10" s="258">
        <f>SUMIFS('Monthly Cashflow'!10:10,'Monthly Cashflow'!$3:$3,K$7)</f>
        <v>1.5693559613849248</v>
      </c>
      <c r="L10" s="258">
        <f>SUMIFS('Monthly Cashflow'!10:10,'Monthly Cashflow'!$3:$3,L$7)</f>
        <v>1.5693559613849248</v>
      </c>
      <c r="M10" s="258">
        <f>SUMIFS('Monthly Cashflow'!10:10,'Monthly Cashflow'!$3:$3,M$7)</f>
        <v>1.5693559613849248</v>
      </c>
      <c r="N10" s="258">
        <f>SUMIFS('Monthly Cashflow'!10:10,'Monthly Cashflow'!$3:$3,N$7)</f>
        <v>4.6875835631268785</v>
      </c>
      <c r="O10" s="258">
        <f>SUMIFS('Monthly Cashflow'!10:10,'Monthly Cashflow'!$3:$3,O$7)</f>
        <v>4.6875835631268785</v>
      </c>
      <c r="P10" s="258">
        <f>SUMIFS('Monthly Cashflow'!10:10,'Monthly Cashflow'!$3:$3,P$7)</f>
        <v>4.6875835631268785</v>
      </c>
      <c r="Q10" s="258">
        <f>SUMIFS('Monthly Cashflow'!10:10,'Monthly Cashflow'!$3:$3,Q$7)</f>
        <v>5.9547067323736389</v>
      </c>
      <c r="R10" s="258">
        <f>SUMIFS('Monthly Cashflow'!10:10,'Monthly Cashflow'!$3:$3,R$7)</f>
        <v>6.1890859105299825</v>
      </c>
      <c r="S10" s="258">
        <f>SUMIFS('Monthly Cashflow'!10:10,'Monthly Cashflow'!$3:$3,S$7)</f>
        <v>6.1890859105299825</v>
      </c>
      <c r="T10" s="258">
        <f>SUMIFS('Monthly Cashflow'!10:10,'Monthly Cashflow'!$3:$3,T$7)</f>
        <v>8.907462109795965</v>
      </c>
      <c r="U10" s="258">
        <f>SUMIFS('Monthly Cashflow'!10:10,'Monthly Cashflow'!$3:$3,U$7)</f>
        <v>8.970818268258304</v>
      </c>
      <c r="V10" s="258">
        <f>SUMIFS('Monthly Cashflow'!10:10,'Monthly Cashflow'!$3:$3,V$7)</f>
        <v>9.2169164053224648</v>
      </c>
      <c r="W10" s="258">
        <f>SUMIFS('Monthly Cashflow'!10:10,'Monthly Cashflow'!$3:$3,W$7)</f>
        <v>9.783290973950951</v>
      </c>
      <c r="X10" s="258">
        <f>SUMIFS('Monthly Cashflow'!10:10,'Monthly Cashflow'!$3:$3,X$7)</f>
        <v>9.9192097839142512</v>
      </c>
      <c r="Y10" s="258">
        <f>SUMIFS('Monthly Cashflow'!10:10,'Monthly Cashflow'!$3:$3,Y$7)</f>
        <v>9.9857337502997066</v>
      </c>
      <c r="Z10" s="258">
        <f>SUMIFS('Monthly Cashflow'!10:10,'Monthly Cashflow'!$3:$3,Z$7)</f>
        <v>10.244136794217077</v>
      </c>
      <c r="AA10" s="258">
        <f>SUMIFS('Monthly Cashflow'!10:10,'Monthly Cashflow'!$3:$3,AA$7)</f>
        <v>10.272455522648501</v>
      </c>
      <c r="AB10" s="258">
        <f>SUMIFS('Monthly Cashflow'!10:10,'Monthly Cashflow'!$3:$3,AB$7)</f>
        <v>10.415170273109965</v>
      </c>
      <c r="AC10" s="258">
        <f>SUMIFS('Monthly Cashflow'!10:10,'Monthly Cashflow'!$3:$3,AC$7)</f>
        <v>10.485020437814693</v>
      </c>
      <c r="AD10" s="258">
        <f>SUMIFS('Monthly Cashflow'!10:10,'Monthly Cashflow'!$3:$3,AD$7)</f>
        <v>10.756343633927932</v>
      </c>
      <c r="AE10" s="258">
        <f>SUMIFS('Monthly Cashflow'!10:10,'Monthly Cashflow'!$3:$3,AE$7)</f>
        <v>10.786078298780925</v>
      </c>
      <c r="AF10" s="258">
        <f>SUMIFS('Monthly Cashflow'!10:10,'Monthly Cashflow'!$3:$3,AF$7)</f>
        <v>10.935928786765464</v>
      </c>
      <c r="AG10" s="258">
        <f>SUMIFS('Monthly Cashflow'!10:10,'Monthly Cashflow'!$3:$3,AG$7)</f>
        <v>11.009271459705428</v>
      </c>
      <c r="AH10" s="258">
        <f>SUMIFS('Monthly Cashflow'!10:10,'Monthly Cashflow'!$3:$3,AH$7)</f>
        <v>11.29416081562433</v>
      </c>
      <c r="AI10" s="258">
        <f>SUMIFS('Monthly Cashflow'!10:10,'Monthly Cashflow'!$3:$3,AI$7)</f>
        <v>11.325382213719974</v>
      </c>
      <c r="AJ10" s="258">
        <f>SUMIFS('Monthly Cashflow'!10:10,'Monthly Cashflow'!$3:$3,AJ$7)</f>
        <v>11.482725226103739</v>
      </c>
      <c r="AK10" s="258">
        <f>SUMIFS('Monthly Cashflow'!10:10,'Monthly Cashflow'!$3:$3,AK$7)</f>
        <v>11.5597350326907</v>
      </c>
      <c r="AL10" s="258">
        <f>SUMIFS('Monthly Cashflow'!10:10,'Monthly Cashflow'!$3:$3,AL$7)</f>
        <v>11.858868856405545</v>
      </c>
      <c r="AM10" s="258">
        <f>SUMIFS('Monthly Cashflow'!10:10,'Monthly Cashflow'!$3:$3,AM$7)</f>
        <v>11.891651324405972</v>
      </c>
      <c r="AN10" s="258">
        <f>SUMIFS('Monthly Cashflow'!10:10,'Monthly Cashflow'!$3:$3,AN$7)</f>
        <v>12.056861487408927</v>
      </c>
      <c r="AO10" s="258">
        <f>SUMIFS('Monthly Cashflow'!10:10,'Monthly Cashflow'!$3:$3,AO$7)</f>
        <v>12.137721784325237</v>
      </c>
      <c r="AP10" s="258">
        <f>SUMIFS('Monthly Cashflow'!10:10,'Monthly Cashflow'!$3:$3,AP$7)</f>
        <v>12.451812299225825</v>
      </c>
      <c r="AQ10" s="258">
        <f>SUMIFS('Monthly Cashflow'!10:10,'Monthly Cashflow'!$3:$3,AQ$7)</f>
        <v>12.486233890626272</v>
      </c>
      <c r="AR10" s="258">
        <f>SUMIFS('Monthly Cashflow'!10:10,'Monthly Cashflow'!$3:$3,AR$7)</f>
        <v>12.659704561779373</v>
      </c>
      <c r="AS10" s="258">
        <f>SUMIFS('Monthly Cashflow'!10:10,'Monthly Cashflow'!$3:$3,AS$7)</f>
        <v>12.744607873541497</v>
      </c>
      <c r="AT10" s="258">
        <f>SUMIFS('Monthly Cashflow'!10:10,'Monthly Cashflow'!$3:$3,AT$7)</f>
        <v>13.074402914187111</v>
      </c>
      <c r="AU10" s="258">
        <f>SUMIFS('Monthly Cashflow'!10:10,'Monthly Cashflow'!$3:$3,AU$7)</f>
        <v>13.110545585157583</v>
      </c>
      <c r="AV10" s="258">
        <f>SUMIFS('Monthly Cashflow'!10:10,'Monthly Cashflow'!$3:$3,AV$7)</f>
        <v>13.292689789868341</v>
      </c>
      <c r="AW10" s="258">
        <f>SUMIFS('Monthly Cashflow'!10:10,'Monthly Cashflow'!$3:$3,AW$7)</f>
        <v>13.381838267218571</v>
      </c>
      <c r="AX10" s="258">
        <f>SUMIFS('Monthly Cashflow'!10:10,'Monthly Cashflow'!$3:$3,AX$7)</f>
        <v>13.728123059896472</v>
      </c>
      <c r="AY10" s="258">
        <f>SUMIFS('Monthly Cashflow'!10:10,'Monthly Cashflow'!$3:$3,AY$7)</f>
        <v>13.766072864415467</v>
      </c>
      <c r="AZ10" s="258">
        <f>SUMIFS('Monthly Cashflow'!10:10,'Monthly Cashflow'!$3:$3,AZ$7)</f>
        <v>13.957324279361757</v>
      </c>
      <c r="BA10" s="258">
        <f>SUMIFS('Monthly Cashflow'!10:10,'Monthly Cashflow'!$3:$3,BA$7)</f>
        <v>14.050930180579501</v>
      </c>
      <c r="BB10" s="258">
        <f>SUMIFS('Monthly Cashflow'!10:10,'Monthly Cashflow'!$3:$3,BB$7)</f>
        <v>14.414529212891294</v>
      </c>
      <c r="BC10" s="258">
        <f>SUMIFS('Monthly Cashflow'!10:10,'Monthly Cashflow'!$3:$3,BC$7)</f>
        <v>14.45437650763624</v>
      </c>
      <c r="BD10" s="258">
        <f>SUMIFS('Monthly Cashflow'!10:10,'Monthly Cashflow'!$3:$3,BD$7)</f>
        <v>14.655190493329846</v>
      </c>
      <c r="BE10" s="258">
        <f>SUMIFS('Monthly Cashflow'!10:10,'Monthly Cashflow'!$3:$3,BE$7)</f>
        <v>14.75347668960848</v>
      </c>
      <c r="BF10" s="258">
        <f>SUMIFS('Monthly Cashflow'!10:10,'Monthly Cashflow'!$3:$3,BF$7)</f>
        <v>15.135255673535863</v>
      </c>
      <c r="BG10" s="258">
        <f>SUMIFS('Monthly Cashflow'!10:10,'Monthly Cashflow'!$3:$3,BG$7)</f>
        <v>15.177095333018054</v>
      </c>
      <c r="BH10" s="258">
        <f>SUMIFS('Monthly Cashflow'!10:10,'Monthly Cashflow'!$3:$3,BH$7)</f>
        <v>15.387950017996342</v>
      </c>
      <c r="BI10" s="258">
        <f>SUMIFS('Monthly Cashflow'!10:10,'Monthly Cashflow'!$3:$3,BI$7)</f>
        <v>15.491150524088905</v>
      </c>
      <c r="BJ10" s="258">
        <f>SUMIFS('Monthly Cashflow'!10:10,'Monthly Cashflow'!$3:$3,BJ$7)</f>
        <v>15.892018457212654</v>
      </c>
      <c r="BK10" s="258">
        <f>SUMIFS('Monthly Cashflow'!10:10,'Monthly Cashflow'!$3:$3,BK$7)</f>
        <v>15.935950099668958</v>
      </c>
      <c r="BL10" s="258">
        <f>SUMIFS('Monthly Cashflow'!10:10,'Monthly Cashflow'!$3:$3,BL$7)</f>
        <v>16.157347518896159</v>
      </c>
      <c r="BM10" s="258">
        <f>SUMIFS('Monthly Cashflow'!10:10,'Monthly Cashflow'!$3:$3,BM$7)</f>
        <v>16.265708050293352</v>
      </c>
      <c r="BN10" s="258">
        <f>SUMIFS('Monthly Cashflow'!10:10,'Monthly Cashflow'!$3:$3,BN$7)</f>
        <v>16.686619380073289</v>
      </c>
      <c r="BO10" s="258">
        <f>SUMIFS('Monthly Cashflow'!10:10,'Monthly Cashflow'!$3:$3,BO$7)</f>
        <v>16.732747604652403</v>
      </c>
      <c r="BP10" s="258">
        <f>SUMIFS('Monthly Cashflow'!10:10,'Monthly Cashflow'!$3:$3,BP$7)</f>
        <v>16.965214894840969</v>
      </c>
      <c r="BQ10" s="258">
        <f>SUMIFS('Monthly Cashflow'!10:10,'Monthly Cashflow'!$3:$3,BQ$7)</f>
        <v>17.078993452808017</v>
      </c>
      <c r="BR10" s="258">
        <f>SUMIFS('Monthly Cashflow'!10:10,'Monthly Cashflow'!$3:$3,BR$7)</f>
        <v>17.520950349076955</v>
      </c>
      <c r="BS10" s="258">
        <f>SUMIFS('Monthly Cashflow'!10:10,'Monthly Cashflow'!$3:$3,BS$7)</f>
        <v>17.569384984885026</v>
      </c>
      <c r="BT10" s="258">
        <f>SUMIFS('Monthly Cashflow'!10:10,'Monthly Cashflow'!$3:$3,BT$7)</f>
        <v>17.813475639583018</v>
      </c>
      <c r="BU10" s="258">
        <f>SUMIFS('Monthly Cashflow'!10:10,'Monthly Cashflow'!$3:$3,BU$7)</f>
        <v>17.932943125448425</v>
      </c>
      <c r="BV10" s="258">
        <f>SUMIFS('Monthly Cashflow'!10:10,'Monthly Cashflow'!$3:$3,BV$7)</f>
        <v>18.396997866530803</v>
      </c>
      <c r="BW10" s="258">
        <f>SUMIFS('Monthly Cashflow'!10:10,'Monthly Cashflow'!$3:$3,BW$7)</f>
        <v>18.447854234129274</v>
      </c>
      <c r="BX10" s="258">
        <f>SUMIFS('Monthly Cashflow'!10:10,'Monthly Cashflow'!$3:$3,BX$7)</f>
        <v>18.704149421562164</v>
      </c>
      <c r="BY10" s="258">
        <f>SUMIFS('Monthly Cashflow'!10:10,'Monthly Cashflow'!$3:$3,BY$7)</f>
        <v>18.82959028172084</v>
      </c>
      <c r="BZ10" s="258">
        <f>SUMIFS('Monthly Cashflow'!10:10,'Monthly Cashflow'!$3:$3,BZ$7)</f>
        <v>19.316847759857342</v>
      </c>
      <c r="CA10" s="258">
        <f>SUMIFS('Monthly Cashflow'!10:10,'Monthly Cashflow'!$3:$3,CA$7)</f>
        <v>19.370246945835746</v>
      </c>
      <c r="CB10" s="258">
        <f>SUMIFS('Monthly Cashflow'!10:10,'Monthly Cashflow'!$3:$3,CB$7)</f>
        <v>19.639356892640279</v>
      </c>
      <c r="CC10" s="258">
        <f>SUMIFS('Monthly Cashflow'!10:10,'Monthly Cashflow'!$3:$3,CC$7)</f>
        <v>19.771069795806888</v>
      </c>
      <c r="CD10" s="258">
        <f>SUMIFS('Monthly Cashflow'!10:10,'Monthly Cashflow'!$3:$3,CD$7)</f>
        <v>20.282690147850211</v>
      </c>
      <c r="CE10" s="258">
        <f>SUMIFS('Monthly Cashflow'!10:10,'Monthly Cashflow'!$3:$3,CE$7)</f>
        <v>20.338759293127531</v>
      </c>
      <c r="CF10" s="258">
        <f>SUMIFS('Monthly Cashflow'!10:10,'Monthly Cashflow'!$3:$3,CF$7)</f>
        <v>20.621324737272293</v>
      </c>
      <c r="CG10" s="258">
        <f>SUMIFS('Monthly Cashflow'!10:10,'Monthly Cashflow'!$3:$3,CG$7)</f>
        <v>20.759623285597229</v>
      </c>
      <c r="CH10" s="258">
        <f>SUMIFS('Monthly Cashflow'!10:10,'Monthly Cashflow'!$3:$3,CH$7)</f>
        <v>21.296824655242723</v>
      </c>
      <c r="CI10" s="258">
        <f>SUMIFS('Monthly Cashflow'!10:10,'Monthly Cashflow'!$3:$3,CI$7)</f>
        <v>21.355697257783909</v>
      </c>
      <c r="CJ10" s="258">
        <f>SUMIFS('Monthly Cashflow'!10:10,'Monthly Cashflow'!$3:$3,CJ$7)</f>
        <v>17.686706620900345</v>
      </c>
      <c r="CK10" s="258">
        <f>SUMIFS('Monthly Cashflow'!10:10,'Monthly Cashflow'!$3:$3,CK$7)</f>
        <v>17.831920096641529</v>
      </c>
      <c r="CL10" s="258">
        <f>SUMIFS('Monthly Cashflow'!10:10,'Monthly Cashflow'!$3:$3,CL$7)</f>
        <v>18.197697317107519</v>
      </c>
      <c r="CM10" s="258">
        <f>SUMIFS('Monthly Cashflow'!10:10,'Monthly Cashflow'!$3:$3,CM$7)</f>
        <v>18.259513549775765</v>
      </c>
      <c r="CN10" s="258">
        <f>SUMIFS('Monthly Cashflow'!10:10,'Monthly Cashflow'!$3:$3,CN$7)</f>
        <v>10.889720322159597</v>
      </c>
      <c r="CO10" s="258">
        <f>SUMIFS('Monthly Cashflow'!10:10,'Monthly Cashflow'!$3:$3,CO$7)</f>
        <v>11.042194471687839</v>
      </c>
      <c r="CP10" s="258">
        <f>SUMIFS('Monthly Cashflow'!10:10,'Monthly Cashflow'!$3:$3,CP$7)</f>
        <v>11.042194471687839</v>
      </c>
      <c r="CQ10" s="258">
        <f>SUMIFS('Monthly Cashflow'!10:10,'Monthly Cashflow'!$3:$3,CQ$7)</f>
        <v>7.9051443758963975</v>
      </c>
      <c r="CR10" s="258">
        <f>SUMIFS('Monthly Cashflow'!10:10,'Monthly Cashflow'!$3:$3,CR$7)</f>
        <v>8.2322491981744754</v>
      </c>
      <c r="CS10" s="258">
        <f>SUMIFS('Monthly Cashflow'!10:10,'Monthly Cashflow'!$3:$3,CS$7)</f>
        <v>8.2322491981744754</v>
      </c>
      <c r="CT10" s="258">
        <f>SUMIFS('Monthly Cashflow'!10:10,'Monthly Cashflow'!$3:$3,CT$7)</f>
        <v>1.3630479303348102</v>
      </c>
      <c r="CU10" s="258">
        <f>SUMIFS('Monthly Cashflow'!10:10,'Monthly Cashflow'!$3:$3,CU$7)</f>
        <v>0</v>
      </c>
      <c r="CV10" s="258">
        <f>SUMIFS('Monthly Cashflow'!10:10,'Monthly Cashflow'!$3:$3,CV$7)</f>
        <v>0</v>
      </c>
      <c r="CW10" s="258">
        <f>SUMIFS('Monthly Cashflow'!10:10,'Monthly Cashflow'!$3:$3,CW$7)</f>
        <v>0</v>
      </c>
      <c r="CX10" s="258">
        <f>SUMIFS('Monthly Cashflow'!10:10,'Monthly Cashflow'!$3:$3,CX$7)</f>
        <v>0</v>
      </c>
    </row>
    <row r="11" spans="1:102" x14ac:dyDescent="0.3">
      <c r="A11" s="1" t="s">
        <v>202</v>
      </c>
      <c r="B11" s="257">
        <f>SUM(C11:CX11)</f>
        <v>62.695760639581735</v>
      </c>
      <c r="C11" s="258">
        <f>SUMIFS('Monthly Cashflow'!11:11,'Monthly Cashflow'!$3:$3,C$7)</f>
        <v>0</v>
      </c>
      <c r="D11" s="258">
        <f>SUMIFS('Monthly Cashflow'!11:11,'Monthly Cashflow'!$3:$3,D$7)</f>
        <v>0</v>
      </c>
      <c r="E11" s="258">
        <f>SUMIFS('Monthly Cashflow'!11:11,'Monthly Cashflow'!$3:$3,E$7)</f>
        <v>0</v>
      </c>
      <c r="F11" s="258">
        <f>SUMIFS('Monthly Cashflow'!11:11,'Monthly Cashflow'!$3:$3,F$7)</f>
        <v>0</v>
      </c>
      <c r="G11" s="258">
        <f>SUMIFS('Monthly Cashflow'!11:11,'Monthly Cashflow'!$3:$3,G$7)</f>
        <v>0</v>
      </c>
      <c r="H11" s="258">
        <f>SUMIFS('Monthly Cashflow'!11:11,'Monthly Cashflow'!$3:$3,H$7)</f>
        <v>0</v>
      </c>
      <c r="I11" s="258">
        <f>SUMIFS('Monthly Cashflow'!11:11,'Monthly Cashflow'!$3:$3,I$7)</f>
        <v>0</v>
      </c>
      <c r="J11" s="258">
        <f>SUMIFS('Monthly Cashflow'!11:11,'Monthly Cashflow'!$3:$3,J$7)</f>
        <v>7.6553949335849997E-2</v>
      </c>
      <c r="K11" s="258">
        <f>SUMIFS('Monthly Cashflow'!11:11,'Monthly Cashflow'!$3:$3,K$7)</f>
        <v>7.6553949335849983E-2</v>
      </c>
      <c r="L11" s="258">
        <f>SUMIFS('Monthly Cashflow'!11:11,'Monthly Cashflow'!$3:$3,L$7)</f>
        <v>7.6553949335849983E-2</v>
      </c>
      <c r="M11" s="258">
        <f>SUMIFS('Monthly Cashflow'!11:11,'Monthly Cashflow'!$3:$3,M$7)</f>
        <v>7.6553949335849983E-2</v>
      </c>
      <c r="N11" s="258">
        <f>SUMIFS('Monthly Cashflow'!11:11,'Monthly Cashflow'!$3:$3,N$7)</f>
        <v>0.22866261283545747</v>
      </c>
      <c r="O11" s="258">
        <f>SUMIFS('Monthly Cashflow'!11:11,'Monthly Cashflow'!$3:$3,O$7)</f>
        <v>0.22866261283545747</v>
      </c>
      <c r="P11" s="258">
        <f>SUMIFS('Monthly Cashflow'!11:11,'Monthly Cashflow'!$3:$3,P$7)</f>
        <v>0.22866261283545747</v>
      </c>
      <c r="Q11" s="258">
        <f>SUMIFS('Monthly Cashflow'!11:11,'Monthly Cashflow'!$3:$3,Q$7)</f>
        <v>0.2904734991401775</v>
      </c>
      <c r="R11" s="258">
        <f>SUMIFS('Monthly Cashflow'!11:11,'Monthly Cashflow'!$3:$3,R$7)</f>
        <v>0.30190662978195038</v>
      </c>
      <c r="S11" s="258">
        <f>SUMIFS('Monthly Cashflow'!11:11,'Monthly Cashflow'!$3:$3,S$7)</f>
        <v>0.30190662978195038</v>
      </c>
      <c r="T11" s="258">
        <f>SUMIFS('Monthly Cashflow'!11:11,'Monthly Cashflow'!$3:$3,T$7)</f>
        <v>0.43451034681931533</v>
      </c>
      <c r="U11" s="258">
        <f>SUMIFS('Monthly Cashflow'!11:11,'Monthly Cashflow'!$3:$3,U$7)</f>
        <v>0.43760089113455142</v>
      </c>
      <c r="V11" s="258">
        <f>SUMIFS('Monthly Cashflow'!11:11,'Monthly Cashflow'!$3:$3,V$7)</f>
        <v>0.44960567830841303</v>
      </c>
      <c r="W11" s="258">
        <f>SUMIFS('Monthly Cashflow'!11:11,'Monthly Cashflow'!$3:$3,W$7)</f>
        <v>0.47723370604638804</v>
      </c>
      <c r="X11" s="258">
        <f>SUMIFS('Monthly Cashflow'!11:11,'Monthly Cashflow'!$3:$3,X$7)</f>
        <v>0.48386389189825624</v>
      </c>
      <c r="Y11" s="258">
        <f>SUMIFS('Monthly Cashflow'!11:11,'Monthly Cashflow'!$3:$3,Y$7)</f>
        <v>0.48710896342925414</v>
      </c>
      <c r="Z11" s="258">
        <f>SUMIFS('Monthly Cashflow'!11:11,'Monthly Cashflow'!$3:$3,Z$7)</f>
        <v>0.4997139899618086</v>
      </c>
      <c r="AA11" s="258">
        <f>SUMIFS('Monthly Cashflow'!11:11,'Monthly Cashflow'!$3:$3,AA$7)</f>
        <v>0.5010953913487074</v>
      </c>
      <c r="AB11" s="258">
        <f>SUMIFS('Monthly Cashflow'!11:11,'Monthly Cashflow'!$3:$3,AB$7)</f>
        <v>0.50805708649316905</v>
      </c>
      <c r="AC11" s="258">
        <f>SUMIFS('Monthly Cashflow'!11:11,'Monthly Cashflow'!$3:$3,AC$7)</f>
        <v>0.51146441160071687</v>
      </c>
      <c r="AD11" s="258">
        <f>SUMIFS('Monthly Cashflow'!11:11,'Monthly Cashflow'!$3:$3,AD$7)</f>
        <v>0.52469968945989909</v>
      </c>
      <c r="AE11" s="258">
        <f>SUMIFS('Monthly Cashflow'!11:11,'Monthly Cashflow'!$3:$3,AE$7)</f>
        <v>0.52615016091614275</v>
      </c>
      <c r="AF11" s="258">
        <f>SUMIFS('Monthly Cashflow'!11:11,'Monthly Cashflow'!$3:$3,AF$7)</f>
        <v>0.53345994081782744</v>
      </c>
      <c r="AG11" s="258">
        <f>SUMIFS('Monthly Cashflow'!11:11,'Monthly Cashflow'!$3:$3,AG$7)</f>
        <v>0.53703763218075262</v>
      </c>
      <c r="AH11" s="258">
        <f>SUMIFS('Monthly Cashflow'!11:11,'Monthly Cashflow'!$3:$3,AH$7)</f>
        <v>0.55093467393289397</v>
      </c>
      <c r="AI11" s="258">
        <f>SUMIFS('Monthly Cashflow'!11:11,'Monthly Cashflow'!$3:$3,AI$7)</f>
        <v>0.55245766896194992</v>
      </c>
      <c r="AJ11" s="258">
        <f>SUMIFS('Monthly Cashflow'!11:11,'Monthly Cashflow'!$3:$3,AJ$7)</f>
        <v>0.56013293785871898</v>
      </c>
      <c r="AK11" s="258">
        <f>SUMIFS('Monthly Cashflow'!11:11,'Monthly Cashflow'!$3:$3,AK$7)</f>
        <v>0.56388951378979013</v>
      </c>
      <c r="AL11" s="258">
        <f>SUMIFS('Monthly Cashflow'!11:11,'Monthly Cashflow'!$3:$3,AL$7)</f>
        <v>0.5784814076295387</v>
      </c>
      <c r="AM11" s="258">
        <f>SUMIFS('Monthly Cashflow'!11:11,'Monthly Cashflow'!$3:$3,AM$7)</f>
        <v>0.58008055241004741</v>
      </c>
      <c r="AN11" s="258">
        <f>SUMIFS('Monthly Cashflow'!11:11,'Monthly Cashflow'!$3:$3,AN$7)</f>
        <v>0.58813958475165484</v>
      </c>
      <c r="AO11" s="258">
        <f>SUMIFS('Monthly Cashflow'!11:11,'Monthly Cashflow'!$3:$3,AO$7)</f>
        <v>0.59208398947927976</v>
      </c>
      <c r="AP11" s="258">
        <f>SUMIFS('Monthly Cashflow'!11:11,'Monthly Cashflow'!$3:$3,AP$7)</f>
        <v>0.60740547801101563</v>
      </c>
      <c r="AQ11" s="258">
        <f>SUMIFS('Monthly Cashflow'!11:11,'Monthly Cashflow'!$3:$3,AQ$7)</f>
        <v>0.60908458003054977</v>
      </c>
      <c r="AR11" s="258">
        <f>SUMIFS('Monthly Cashflow'!11:11,'Monthly Cashflow'!$3:$3,AR$7)</f>
        <v>0.61754656398923757</v>
      </c>
      <c r="AS11" s="258">
        <f>SUMIFS('Monthly Cashflow'!11:11,'Monthly Cashflow'!$3:$3,AS$7)</f>
        <v>0.62168818895324374</v>
      </c>
      <c r="AT11" s="258">
        <f>SUMIFS('Monthly Cashflow'!11:11,'Monthly Cashflow'!$3:$3,AT$7)</f>
        <v>0.63777575191156655</v>
      </c>
      <c r="AU11" s="258">
        <f>SUMIFS('Monthly Cashflow'!11:11,'Monthly Cashflow'!$3:$3,AU$7)</f>
        <v>0.63953880903207727</v>
      </c>
      <c r="AV11" s="258">
        <f>SUMIFS('Monthly Cashflow'!11:11,'Monthly Cashflow'!$3:$3,AV$7)</f>
        <v>0.64842389218869956</v>
      </c>
      <c r="AW11" s="258">
        <f>SUMIFS('Monthly Cashflow'!11:11,'Monthly Cashflow'!$3:$3,AW$7)</f>
        <v>0.65277259840090596</v>
      </c>
      <c r="AX11" s="258">
        <f>SUMIFS('Monthly Cashflow'!11:11,'Monthly Cashflow'!$3:$3,AX$7)</f>
        <v>0.66966453950714477</v>
      </c>
      <c r="AY11" s="258">
        <f>SUMIFS('Monthly Cashflow'!11:11,'Monthly Cashflow'!$3:$3,AY$7)</f>
        <v>0.67151574948368109</v>
      </c>
      <c r="AZ11" s="258">
        <f>SUMIFS('Monthly Cashflow'!11:11,'Monthly Cashflow'!$3:$3,AZ$7)</f>
        <v>0.68084508679813449</v>
      </c>
      <c r="BA11" s="258">
        <f>SUMIFS('Monthly Cashflow'!11:11,'Monthly Cashflow'!$3:$3,BA$7)</f>
        <v>0.68541122832095125</v>
      </c>
      <c r="BB11" s="258">
        <f>SUMIFS('Monthly Cashflow'!11:11,'Monthly Cashflow'!$3:$3,BB$7)</f>
        <v>0.7031477664825021</v>
      </c>
      <c r="BC11" s="258">
        <f>SUMIFS('Monthly Cashflow'!11:11,'Monthly Cashflow'!$3:$3,BC$7)</f>
        <v>0.70509153695786531</v>
      </c>
      <c r="BD11" s="258">
        <f>SUMIFS('Monthly Cashflow'!11:11,'Monthly Cashflow'!$3:$3,BD$7)</f>
        <v>0.71488734113804131</v>
      </c>
      <c r="BE11" s="258">
        <f>SUMIFS('Monthly Cashflow'!11:11,'Monthly Cashflow'!$3:$3,BE$7)</f>
        <v>0.71968178973699892</v>
      </c>
      <c r="BF11" s="258">
        <f>SUMIFS('Monthly Cashflow'!11:11,'Monthly Cashflow'!$3:$3,BF$7)</f>
        <v>0.7383051548066274</v>
      </c>
      <c r="BG11" s="258">
        <f>SUMIFS('Monthly Cashflow'!11:11,'Monthly Cashflow'!$3:$3,BG$7)</f>
        <v>0.74034611380575877</v>
      </c>
      <c r="BH11" s="258">
        <f>SUMIFS('Monthly Cashflow'!11:11,'Monthly Cashflow'!$3:$3,BH$7)</f>
        <v>0.75063170819494363</v>
      </c>
      <c r="BI11" s="258">
        <f>SUMIFS('Monthly Cashflow'!11:11,'Monthly Cashflow'!$3:$3,BI$7)</f>
        <v>0.75566587922384909</v>
      </c>
      <c r="BJ11" s="258">
        <f>SUMIFS('Monthly Cashflow'!11:11,'Monthly Cashflow'!$3:$3,BJ$7)</f>
        <v>0.77522041254695884</v>
      </c>
      <c r="BK11" s="258">
        <f>SUMIFS('Monthly Cashflow'!11:11,'Monthly Cashflow'!$3:$3,BK$7)</f>
        <v>0.77736341949604659</v>
      </c>
      <c r="BL11" s="258">
        <f>SUMIFS('Monthly Cashflow'!11:11,'Monthly Cashflow'!$3:$3,BL$7)</f>
        <v>0.78816329360469073</v>
      </c>
      <c r="BM11" s="258">
        <f>SUMIFS('Monthly Cashflow'!11:11,'Monthly Cashflow'!$3:$3,BM$7)</f>
        <v>0.79344917318504138</v>
      </c>
      <c r="BN11" s="258">
        <f>SUMIFS('Monthly Cashflow'!11:11,'Monthly Cashflow'!$3:$3,BN$7)</f>
        <v>0.81398143317430671</v>
      </c>
      <c r="BO11" s="258">
        <f>SUMIFS('Monthly Cashflow'!11:11,'Monthly Cashflow'!$3:$3,BO$7)</f>
        <v>0.81623159047084903</v>
      </c>
      <c r="BP11" s="258">
        <f>SUMIFS('Monthly Cashflow'!11:11,'Monthly Cashflow'!$3:$3,BP$7)</f>
        <v>0.82757145828492518</v>
      </c>
      <c r="BQ11" s="258">
        <f>SUMIFS('Monthly Cashflow'!11:11,'Monthly Cashflow'!$3:$3,BQ$7)</f>
        <v>0.83312163184429355</v>
      </c>
      <c r="BR11" s="258">
        <f>SUMIFS('Monthly Cashflow'!11:11,'Monthly Cashflow'!$3:$3,BR$7)</f>
        <v>0.85468050483302216</v>
      </c>
      <c r="BS11" s="258">
        <f>SUMIFS('Monthly Cashflow'!11:11,'Monthly Cashflow'!$3:$3,BS$7)</f>
        <v>0.85704316999439167</v>
      </c>
      <c r="BT11" s="258">
        <f>SUMIFS('Monthly Cashflow'!11:11,'Monthly Cashflow'!$3:$3,BT$7)</f>
        <v>0.86895003119917158</v>
      </c>
      <c r="BU11" s="258">
        <f>SUMIFS('Monthly Cashflow'!11:11,'Monthly Cashflow'!$3:$3,BU$7)</f>
        <v>0.87477771343650845</v>
      </c>
      <c r="BV11" s="258">
        <f>SUMIFS('Monthly Cashflow'!11:11,'Monthly Cashflow'!$3:$3,BV$7)</f>
        <v>0.89741453007467342</v>
      </c>
      <c r="BW11" s="258">
        <f>SUMIFS('Monthly Cashflow'!11:11,'Monthly Cashflow'!$3:$3,BW$7)</f>
        <v>0.89989532849411114</v>
      </c>
      <c r="BX11" s="258">
        <f>SUMIFS('Monthly Cashflow'!11:11,'Monthly Cashflow'!$3:$3,BX$7)</f>
        <v>0.91239753275913016</v>
      </c>
      <c r="BY11" s="258">
        <f>SUMIFS('Monthly Cashflow'!11:11,'Monthly Cashflow'!$3:$3,BY$7)</f>
        <v>0.91851659910833372</v>
      </c>
      <c r="BZ11" s="258">
        <f>SUMIFS('Monthly Cashflow'!11:11,'Monthly Cashflow'!$3:$3,BZ$7)</f>
        <v>0.942285256578407</v>
      </c>
      <c r="CA11" s="258">
        <f>SUMIFS('Monthly Cashflow'!11:11,'Monthly Cashflow'!$3:$3,CA$7)</f>
        <v>0.94489009491881693</v>
      </c>
      <c r="CB11" s="258">
        <f>SUMIFS('Monthly Cashflow'!11:11,'Monthly Cashflow'!$3:$3,CB$7)</f>
        <v>0.95801740939708668</v>
      </c>
      <c r="CC11" s="258">
        <f>SUMIFS('Monthly Cashflow'!11:11,'Monthly Cashflow'!$3:$3,CC$7)</f>
        <v>0.96444242906375044</v>
      </c>
      <c r="CD11" s="258">
        <f>SUMIFS('Monthly Cashflow'!11:11,'Monthly Cashflow'!$3:$3,CD$7)</f>
        <v>0.98939951940732729</v>
      </c>
      <c r="CE11" s="258">
        <f>SUMIFS('Monthly Cashflow'!11:11,'Monthly Cashflow'!$3:$3,CE$7)</f>
        <v>0.99213459966475759</v>
      </c>
      <c r="CF11" s="258">
        <f>SUMIFS('Monthly Cashflow'!11:11,'Monthly Cashflow'!$3:$3,CF$7)</f>
        <v>1.005918279866941</v>
      </c>
      <c r="CG11" s="258">
        <f>SUMIFS('Monthly Cashflow'!11:11,'Monthly Cashflow'!$3:$3,CG$7)</f>
        <v>1.012664550516938</v>
      </c>
      <c r="CH11" s="258">
        <f>SUMIFS('Monthly Cashflow'!11:11,'Monthly Cashflow'!$3:$3,CH$7)</f>
        <v>1.0388694953776938</v>
      </c>
      <c r="CI11" s="258">
        <f>SUMIFS('Monthly Cashflow'!11:11,'Monthly Cashflow'!$3:$3,CI$7)</f>
        <v>1.0417413296479956</v>
      </c>
      <c r="CJ11" s="258">
        <f>SUMIFS('Monthly Cashflow'!11:11,'Monthly Cashflow'!$3:$3,CJ$7)</f>
        <v>1.0562141938602885</v>
      </c>
      <c r="CK11" s="258">
        <f>SUMIFS('Monthly Cashflow'!11:11,'Monthly Cashflow'!$3:$3,CK$7)</f>
        <v>1.063297778042785</v>
      </c>
      <c r="CL11" s="258">
        <f>SUMIFS('Monthly Cashflow'!11:11,'Monthly Cashflow'!$3:$3,CL$7)</f>
        <v>1.0908129701465785</v>
      </c>
      <c r="CM11" s="258">
        <f>SUMIFS('Monthly Cashflow'!11:11,'Monthly Cashflow'!$3:$3,CM$7)</f>
        <v>1.0938283961303954</v>
      </c>
      <c r="CN11" s="258">
        <f>SUMIFS('Monthly Cashflow'!11:11,'Monthly Cashflow'!$3:$3,CN$7)</f>
        <v>1.1090249035533026</v>
      </c>
      <c r="CO11" s="258">
        <f>SUMIFS('Monthly Cashflow'!11:11,'Monthly Cashflow'!$3:$3,CO$7)</f>
        <v>1.1164626669449242</v>
      </c>
      <c r="CP11" s="258">
        <f>SUMIFS('Monthly Cashflow'!11:11,'Monthly Cashflow'!$3:$3,CP$7)</f>
        <v>1.1453536186539077</v>
      </c>
      <c r="CQ11" s="258">
        <f>SUMIFS('Monthly Cashflow'!11:11,'Monthly Cashflow'!$3:$3,CQ$7)</f>
        <v>1.1485198159369152</v>
      </c>
      <c r="CR11" s="258">
        <f>SUMIFS('Monthly Cashflow'!11:11,'Monthly Cashflow'!$3:$3,CR$7)</f>
        <v>1.1644761487309681</v>
      </c>
      <c r="CS11" s="258">
        <f>SUMIFS('Monthly Cashflow'!11:11,'Monthly Cashflow'!$3:$3,CS$7)</f>
        <v>1.1722858002921708</v>
      </c>
      <c r="CT11" s="258">
        <f>SUMIFS('Monthly Cashflow'!11:11,'Monthly Cashflow'!$3:$3,CT$7)</f>
        <v>1.202621299586603</v>
      </c>
      <c r="CU11" s="258">
        <f>SUMIFS('Monthly Cashflow'!11:11,'Monthly Cashflow'!$3:$3,CU$7)</f>
        <v>0</v>
      </c>
      <c r="CV11" s="258">
        <f>SUMIFS('Monthly Cashflow'!11:11,'Monthly Cashflow'!$3:$3,CV$7)</f>
        <v>0</v>
      </c>
      <c r="CW11" s="258">
        <f>SUMIFS('Monthly Cashflow'!11:11,'Monthly Cashflow'!$3:$3,CW$7)</f>
        <v>0</v>
      </c>
      <c r="CX11" s="258">
        <f>SUMIFS('Monthly Cashflow'!11:11,'Monthly Cashflow'!$3:$3,CX$7)</f>
        <v>0</v>
      </c>
    </row>
    <row r="12" spans="1:102" x14ac:dyDescent="0.3">
      <c r="B12" s="257">
        <f>SUM(C12:CX12)</f>
        <v>1225.2020906700313</v>
      </c>
      <c r="C12" s="259">
        <f>SUM(C10:C11)</f>
        <v>0</v>
      </c>
      <c r="D12" s="259">
        <f t="shared" ref="D12:BO12" si="13">SUM(D10:D11)</f>
        <v>0</v>
      </c>
      <c r="E12" s="259">
        <f t="shared" si="13"/>
        <v>0</v>
      </c>
      <c r="F12" s="259">
        <f t="shared" si="13"/>
        <v>0</v>
      </c>
      <c r="G12" s="259">
        <f t="shared" si="13"/>
        <v>0</v>
      </c>
      <c r="H12" s="259">
        <f t="shared" si="13"/>
        <v>0</v>
      </c>
      <c r="I12" s="259">
        <f t="shared" si="13"/>
        <v>0</v>
      </c>
      <c r="J12" s="259">
        <f t="shared" si="13"/>
        <v>1.6459099107207749</v>
      </c>
      <c r="K12" s="259">
        <f t="shared" si="13"/>
        <v>1.6459099107207749</v>
      </c>
      <c r="L12" s="259">
        <f t="shared" si="13"/>
        <v>1.6459099107207749</v>
      </c>
      <c r="M12" s="259">
        <f t="shared" si="13"/>
        <v>1.6459099107207749</v>
      </c>
      <c r="N12" s="259">
        <f t="shared" si="13"/>
        <v>4.9162461759623364</v>
      </c>
      <c r="O12" s="259">
        <f t="shared" si="13"/>
        <v>4.9162461759623364</v>
      </c>
      <c r="P12" s="259">
        <f t="shared" si="13"/>
        <v>4.9162461759623364</v>
      </c>
      <c r="Q12" s="259">
        <f t="shared" si="13"/>
        <v>6.2451802315138165</v>
      </c>
      <c r="R12" s="259">
        <f t="shared" si="13"/>
        <v>6.4909925403119324</v>
      </c>
      <c r="S12" s="259">
        <f t="shared" si="13"/>
        <v>6.4909925403119324</v>
      </c>
      <c r="T12" s="259">
        <f t="shared" si="13"/>
        <v>9.3419724566152809</v>
      </c>
      <c r="U12" s="259">
        <f t="shared" si="13"/>
        <v>9.4084191593928548</v>
      </c>
      <c r="V12" s="259">
        <f t="shared" si="13"/>
        <v>9.6665220836308769</v>
      </c>
      <c r="W12" s="259">
        <f t="shared" si="13"/>
        <v>10.260524679997339</v>
      </c>
      <c r="X12" s="259">
        <f t="shared" si="13"/>
        <v>10.403073675812507</v>
      </c>
      <c r="Y12" s="259">
        <f t="shared" si="13"/>
        <v>10.47284271372896</v>
      </c>
      <c r="Z12" s="259">
        <f t="shared" si="13"/>
        <v>10.743850784178886</v>
      </c>
      <c r="AA12" s="259">
        <f t="shared" si="13"/>
        <v>10.773550913997209</v>
      </c>
      <c r="AB12" s="259">
        <f t="shared" si="13"/>
        <v>10.923227359603134</v>
      </c>
      <c r="AC12" s="259">
        <f t="shared" si="13"/>
        <v>10.99648484941541</v>
      </c>
      <c r="AD12" s="259">
        <f t="shared" si="13"/>
        <v>11.281043323387831</v>
      </c>
      <c r="AE12" s="259">
        <f t="shared" si="13"/>
        <v>11.312228459697067</v>
      </c>
      <c r="AF12" s="259">
        <f t="shared" si="13"/>
        <v>11.469388727583292</v>
      </c>
      <c r="AG12" s="259">
        <f t="shared" si="13"/>
        <v>11.546309091886179</v>
      </c>
      <c r="AH12" s="259">
        <f t="shared" si="13"/>
        <v>11.845095489557224</v>
      </c>
      <c r="AI12" s="259">
        <f t="shared" si="13"/>
        <v>11.877839882681924</v>
      </c>
      <c r="AJ12" s="259">
        <f t="shared" si="13"/>
        <v>12.042858163962457</v>
      </c>
      <c r="AK12" s="259">
        <f t="shared" si="13"/>
        <v>12.123624546480491</v>
      </c>
      <c r="AL12" s="259">
        <f t="shared" si="13"/>
        <v>12.437350264035084</v>
      </c>
      <c r="AM12" s="259">
        <f t="shared" si="13"/>
        <v>12.471731876816019</v>
      </c>
      <c r="AN12" s="259">
        <f t="shared" si="13"/>
        <v>12.645001072160582</v>
      </c>
      <c r="AO12" s="259">
        <f t="shared" si="13"/>
        <v>12.729805773804516</v>
      </c>
      <c r="AP12" s="259">
        <f t="shared" si="13"/>
        <v>13.059217777236841</v>
      </c>
      <c r="AQ12" s="259">
        <f t="shared" si="13"/>
        <v>13.095318470656821</v>
      </c>
      <c r="AR12" s="259">
        <f t="shared" si="13"/>
        <v>13.277251125768611</v>
      </c>
      <c r="AS12" s="259">
        <f t="shared" si="13"/>
        <v>13.36629606249474</v>
      </c>
      <c r="AT12" s="259">
        <f t="shared" si="13"/>
        <v>13.712178666098678</v>
      </c>
      <c r="AU12" s="259">
        <f t="shared" si="13"/>
        <v>13.75008439418966</v>
      </c>
      <c r="AV12" s="259">
        <f t="shared" si="13"/>
        <v>13.94111368205704</v>
      </c>
      <c r="AW12" s="259">
        <f t="shared" si="13"/>
        <v>14.034610865619477</v>
      </c>
      <c r="AX12" s="259">
        <f t="shared" si="13"/>
        <v>14.397787599403618</v>
      </c>
      <c r="AY12" s="259">
        <f t="shared" si="13"/>
        <v>14.437588613899148</v>
      </c>
      <c r="AZ12" s="259">
        <f t="shared" si="13"/>
        <v>14.638169366159891</v>
      </c>
      <c r="BA12" s="259">
        <f t="shared" si="13"/>
        <v>14.736341408900453</v>
      </c>
      <c r="BB12" s="259">
        <f t="shared" si="13"/>
        <v>15.117676979373796</v>
      </c>
      <c r="BC12" s="259">
        <f t="shared" si="13"/>
        <v>15.159468044594107</v>
      </c>
      <c r="BD12" s="259">
        <f t="shared" si="13"/>
        <v>15.370077834467887</v>
      </c>
      <c r="BE12" s="259">
        <f t="shared" si="13"/>
        <v>15.473158479345479</v>
      </c>
      <c r="BF12" s="259">
        <f t="shared" si="13"/>
        <v>15.873560828342489</v>
      </c>
      <c r="BG12" s="259">
        <f t="shared" si="13"/>
        <v>15.917441446823812</v>
      </c>
      <c r="BH12" s="259">
        <f t="shared" si="13"/>
        <v>16.138581726191287</v>
      </c>
      <c r="BI12" s="259">
        <f t="shared" si="13"/>
        <v>16.246816403312753</v>
      </c>
      <c r="BJ12" s="259">
        <f t="shared" si="13"/>
        <v>16.667238869759611</v>
      </c>
      <c r="BK12" s="259">
        <f t="shared" si="13"/>
        <v>16.713313519165006</v>
      </c>
      <c r="BL12" s="259">
        <f t="shared" si="13"/>
        <v>16.945510812500849</v>
      </c>
      <c r="BM12" s="259">
        <f t="shared" si="13"/>
        <v>17.059157223478394</v>
      </c>
      <c r="BN12" s="259">
        <f t="shared" si="13"/>
        <v>17.500600813247594</v>
      </c>
      <c r="BO12" s="259">
        <f t="shared" si="13"/>
        <v>17.548979195123252</v>
      </c>
      <c r="BP12" s="259">
        <f t="shared" ref="BP12:CX12" si="14">SUM(BP10:BP11)</f>
        <v>17.792786353125894</v>
      </c>
      <c r="BQ12" s="259">
        <f t="shared" si="14"/>
        <v>17.91211508465231</v>
      </c>
      <c r="BR12" s="259">
        <f t="shared" si="14"/>
        <v>18.375630853909978</v>
      </c>
      <c r="BS12" s="259">
        <f t="shared" si="14"/>
        <v>18.426428154879417</v>
      </c>
      <c r="BT12" s="259">
        <f t="shared" si="14"/>
        <v>18.682425670782191</v>
      </c>
      <c r="BU12" s="259">
        <f t="shared" si="14"/>
        <v>18.807720838884933</v>
      </c>
      <c r="BV12" s="259">
        <f t="shared" si="14"/>
        <v>19.294412396605477</v>
      </c>
      <c r="BW12" s="259">
        <f t="shared" si="14"/>
        <v>19.347749562623385</v>
      </c>
      <c r="BX12" s="259">
        <f t="shared" si="14"/>
        <v>19.616546954321294</v>
      </c>
      <c r="BY12" s="259">
        <f t="shared" si="14"/>
        <v>19.748106880829173</v>
      </c>
      <c r="BZ12" s="259">
        <f t="shared" si="14"/>
        <v>20.259133016435751</v>
      </c>
      <c r="CA12" s="259">
        <f t="shared" si="14"/>
        <v>20.315137040754564</v>
      </c>
      <c r="CB12" s="259">
        <f t="shared" si="14"/>
        <v>20.597374302037366</v>
      </c>
      <c r="CC12" s="259">
        <f t="shared" si="14"/>
        <v>20.735512224870639</v>
      </c>
      <c r="CD12" s="259">
        <f t="shared" si="14"/>
        <v>21.272089667257539</v>
      </c>
      <c r="CE12" s="259">
        <f t="shared" si="14"/>
        <v>21.33089389279229</v>
      </c>
      <c r="CF12" s="259">
        <f t="shared" si="14"/>
        <v>21.627243017139232</v>
      </c>
      <c r="CG12" s="259">
        <f t="shared" si="14"/>
        <v>21.772287836114167</v>
      </c>
      <c r="CH12" s="259">
        <f t="shared" si="14"/>
        <v>22.335694150620416</v>
      </c>
      <c r="CI12" s="259">
        <f t="shared" si="14"/>
        <v>22.397438587431903</v>
      </c>
      <c r="CJ12" s="259">
        <f t="shared" si="14"/>
        <v>18.742920814760634</v>
      </c>
      <c r="CK12" s="259">
        <f t="shared" si="14"/>
        <v>18.895217874684313</v>
      </c>
      <c r="CL12" s="259">
        <f t="shared" si="14"/>
        <v>19.288510287254098</v>
      </c>
      <c r="CM12" s="259">
        <f t="shared" si="14"/>
        <v>19.353341945906159</v>
      </c>
      <c r="CN12" s="259">
        <f t="shared" si="14"/>
        <v>11.9987452257129</v>
      </c>
      <c r="CO12" s="259">
        <f t="shared" si="14"/>
        <v>12.158657138632764</v>
      </c>
      <c r="CP12" s="259">
        <f t="shared" si="14"/>
        <v>12.187548090341746</v>
      </c>
      <c r="CQ12" s="259">
        <f t="shared" si="14"/>
        <v>9.0536641918333132</v>
      </c>
      <c r="CR12" s="259">
        <f t="shared" si="14"/>
        <v>9.396725346905443</v>
      </c>
      <c r="CS12" s="259">
        <f t="shared" si="14"/>
        <v>9.4045349984666462</v>
      </c>
      <c r="CT12" s="259">
        <f t="shared" si="14"/>
        <v>2.5656692299214132</v>
      </c>
      <c r="CU12" s="259">
        <f t="shared" si="14"/>
        <v>0</v>
      </c>
      <c r="CV12" s="259">
        <f t="shared" si="14"/>
        <v>0</v>
      </c>
      <c r="CW12" s="259">
        <f t="shared" si="14"/>
        <v>0</v>
      </c>
      <c r="CX12" s="259">
        <f t="shared" si="14"/>
        <v>0</v>
      </c>
    </row>
    <row r="13" spans="1:102" x14ac:dyDescent="0.3">
      <c r="A13" s="39" t="s">
        <v>33</v>
      </c>
      <c r="B13" s="257"/>
      <c r="C13" s="258"/>
      <c r="D13" s="258"/>
      <c r="E13" s="258"/>
      <c r="F13" s="258"/>
      <c r="G13" s="258"/>
      <c r="H13" s="258"/>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8"/>
      <c r="BM13" s="258"/>
      <c r="BN13" s="258"/>
      <c r="BO13" s="258"/>
      <c r="BP13" s="258"/>
      <c r="BQ13" s="258"/>
      <c r="BR13" s="258"/>
      <c r="BS13" s="258"/>
      <c r="BT13" s="258"/>
      <c r="BU13" s="258"/>
      <c r="BV13" s="258"/>
      <c r="BW13" s="258"/>
      <c r="BX13" s="258"/>
      <c r="BY13" s="258"/>
      <c r="BZ13" s="258"/>
      <c r="CA13" s="258"/>
      <c r="CB13" s="258"/>
      <c r="CC13" s="258"/>
      <c r="CD13" s="258"/>
      <c r="CE13" s="258"/>
      <c r="CF13" s="258"/>
      <c r="CG13" s="258"/>
      <c r="CH13" s="258"/>
      <c r="CI13" s="258"/>
      <c r="CJ13" s="258"/>
      <c r="CK13" s="258"/>
      <c r="CL13" s="258"/>
      <c r="CM13" s="258"/>
      <c r="CN13" s="258"/>
      <c r="CO13" s="258"/>
      <c r="CP13" s="258"/>
      <c r="CQ13" s="258"/>
      <c r="CR13" s="258"/>
      <c r="CS13" s="258"/>
      <c r="CT13" s="258"/>
      <c r="CU13" s="258"/>
      <c r="CV13" s="258"/>
      <c r="CW13" s="258"/>
      <c r="CX13" s="258"/>
    </row>
    <row r="14" spans="1:102" x14ac:dyDescent="0.3">
      <c r="A14" s="262" t="s">
        <v>22</v>
      </c>
      <c r="B14" s="257">
        <f>SUM(C14:CX14)</f>
        <v>-122.52020906700315</v>
      </c>
      <c r="C14" s="258">
        <f>-(C10+C11)*'Assumption Sheet'!$B$54</f>
        <v>0</v>
      </c>
      <c r="D14" s="258">
        <f>-(D10+D11)*'Assumption Sheet'!$B$54</f>
        <v>0</v>
      </c>
      <c r="E14" s="258">
        <f>-(E10+E11)*'Assumption Sheet'!$B$54</f>
        <v>0</v>
      </c>
      <c r="F14" s="258">
        <f>-(F10+F11)*'Assumption Sheet'!$B$54</f>
        <v>0</v>
      </c>
      <c r="G14" s="258">
        <f>-(G10+G11)*'Assumption Sheet'!$B$54</f>
        <v>0</v>
      </c>
      <c r="H14" s="258">
        <f>-(H10+H11)*'Assumption Sheet'!$B$54</f>
        <v>0</v>
      </c>
      <c r="I14" s="258">
        <f>-(I10+I11)*'Assumption Sheet'!$B$54</f>
        <v>0</v>
      </c>
      <c r="J14" s="258">
        <f>-(J10+J11)*'Assumption Sheet'!$B$54</f>
        <v>-0.1645909910720775</v>
      </c>
      <c r="K14" s="258">
        <f>-(K10+K11)*'Assumption Sheet'!$B$54</f>
        <v>-0.1645909910720775</v>
      </c>
      <c r="L14" s="258">
        <f>-(L10+L11)*'Assumption Sheet'!$B$54</f>
        <v>-0.1645909910720775</v>
      </c>
      <c r="M14" s="258">
        <f>-(M10+M11)*'Assumption Sheet'!$B$54</f>
        <v>-0.1645909910720775</v>
      </c>
      <c r="N14" s="258">
        <f>-(N10+N11)*'Assumption Sheet'!$B$54</f>
        <v>-0.49162461759623366</v>
      </c>
      <c r="O14" s="258">
        <f>-(O10+O11)*'Assumption Sheet'!$B$54</f>
        <v>-0.49162461759623366</v>
      </c>
      <c r="P14" s="258">
        <f>-(P10+P11)*'Assumption Sheet'!$B$54</f>
        <v>-0.49162461759623366</v>
      </c>
      <c r="Q14" s="258">
        <f>-(Q10+Q11)*'Assumption Sheet'!$B$54</f>
        <v>-0.62451802315138172</v>
      </c>
      <c r="R14" s="258">
        <f>-(R10+R11)*'Assumption Sheet'!$B$54</f>
        <v>-0.64909925403119328</v>
      </c>
      <c r="S14" s="258">
        <f>-(S10+S11)*'Assumption Sheet'!$B$54</f>
        <v>-0.64909925403119328</v>
      </c>
      <c r="T14" s="258">
        <f>-(T10+T11)*'Assumption Sheet'!$B$54</f>
        <v>-0.93419724566152818</v>
      </c>
      <c r="U14" s="258">
        <f>-(U10+U11)*'Assumption Sheet'!$B$54</f>
        <v>-0.94084191593928557</v>
      </c>
      <c r="V14" s="258">
        <f>-(V10+V11)*'Assumption Sheet'!$B$54</f>
        <v>-0.96665220836308774</v>
      </c>
      <c r="W14" s="258">
        <f>-(W10+W11)*'Assumption Sheet'!$B$54</f>
        <v>-1.0260524679997338</v>
      </c>
      <c r="X14" s="258">
        <f>-(X10+X11)*'Assumption Sheet'!$B$54</f>
        <v>-1.0403073675812509</v>
      </c>
      <c r="Y14" s="258">
        <f>-(Y10+Y11)*'Assumption Sheet'!$B$54</f>
        <v>-1.047284271372896</v>
      </c>
      <c r="Z14" s="258">
        <f>-(Z10+Z11)*'Assumption Sheet'!$B$54</f>
        <v>-1.0743850784178886</v>
      </c>
      <c r="AA14" s="258">
        <f>-(AA10+AA11)*'Assumption Sheet'!$B$54</f>
        <v>-1.077355091399721</v>
      </c>
      <c r="AB14" s="258">
        <f>-(AB10+AB11)*'Assumption Sheet'!$B$54</f>
        <v>-1.0923227359603134</v>
      </c>
      <c r="AC14" s="258">
        <f>-(AC10+AC11)*'Assumption Sheet'!$B$54</f>
        <v>-1.0996484849415411</v>
      </c>
      <c r="AD14" s="258">
        <f>-(AD10+AD11)*'Assumption Sheet'!$B$54</f>
        <v>-1.1281043323387832</v>
      </c>
      <c r="AE14" s="258">
        <f>-(AE10+AE11)*'Assumption Sheet'!$B$54</f>
        <v>-1.1312228459697067</v>
      </c>
      <c r="AF14" s="258">
        <f>-(AF10+AF11)*'Assumption Sheet'!$B$54</f>
        <v>-1.1469388727583292</v>
      </c>
      <c r="AG14" s="258">
        <f>-(AG10+AG11)*'Assumption Sheet'!$B$54</f>
        <v>-1.154630909188618</v>
      </c>
      <c r="AH14" s="258">
        <f>-(AH10+AH11)*'Assumption Sheet'!$B$54</f>
        <v>-1.1845095489557225</v>
      </c>
      <c r="AI14" s="258">
        <f>-(AI10+AI11)*'Assumption Sheet'!$B$54</f>
        <v>-1.1877839882681924</v>
      </c>
      <c r="AJ14" s="258">
        <f>-(AJ10+AJ11)*'Assumption Sheet'!$B$54</f>
        <v>-1.2042858163962458</v>
      </c>
      <c r="AK14" s="258">
        <f>-(AK10+AK11)*'Assumption Sheet'!$B$54</f>
        <v>-1.2123624546480491</v>
      </c>
      <c r="AL14" s="258">
        <f>-(AL10+AL11)*'Assumption Sheet'!$B$54</f>
        <v>-1.2437350264035085</v>
      </c>
      <c r="AM14" s="258">
        <f>-(AM10+AM11)*'Assumption Sheet'!$B$54</f>
        <v>-1.2471731876816019</v>
      </c>
      <c r="AN14" s="258">
        <f>-(AN10+AN11)*'Assumption Sheet'!$B$54</f>
        <v>-1.2645001072160582</v>
      </c>
      <c r="AO14" s="258">
        <f>-(AO10+AO11)*'Assumption Sheet'!$B$54</f>
        <v>-1.2729805773804517</v>
      </c>
      <c r="AP14" s="258">
        <f>-(AP10+AP11)*'Assumption Sheet'!$B$54</f>
        <v>-1.3059217777236842</v>
      </c>
      <c r="AQ14" s="258">
        <f>-(AQ10+AQ11)*'Assumption Sheet'!$B$54</f>
        <v>-1.3095318470656823</v>
      </c>
      <c r="AR14" s="258">
        <f>-(AR10+AR11)*'Assumption Sheet'!$B$54</f>
        <v>-1.3277251125768612</v>
      </c>
      <c r="AS14" s="258">
        <f>-(AS10+AS11)*'Assumption Sheet'!$B$54</f>
        <v>-1.336629606249474</v>
      </c>
      <c r="AT14" s="258">
        <f>-(AT10+AT11)*'Assumption Sheet'!$B$54</f>
        <v>-1.371217866609868</v>
      </c>
      <c r="AU14" s="258">
        <f>-(AU10+AU11)*'Assumption Sheet'!$B$54</f>
        <v>-1.3750084394189661</v>
      </c>
      <c r="AV14" s="258">
        <f>-(AV10+AV11)*'Assumption Sheet'!$B$54</f>
        <v>-1.394111368205704</v>
      </c>
      <c r="AW14" s="258">
        <f>-(AW10+AW11)*'Assumption Sheet'!$B$54</f>
        <v>-1.4034610865619479</v>
      </c>
      <c r="AX14" s="258">
        <f>-(AX10+AX11)*'Assumption Sheet'!$B$54</f>
        <v>-1.4397787599403618</v>
      </c>
      <c r="AY14" s="258">
        <f>-(AY10+AY11)*'Assumption Sheet'!$B$54</f>
        <v>-1.4437588613899148</v>
      </c>
      <c r="AZ14" s="258">
        <f>-(AZ10+AZ11)*'Assumption Sheet'!$B$54</f>
        <v>-1.4638169366159892</v>
      </c>
      <c r="BA14" s="258">
        <f>-(BA10+BA11)*'Assumption Sheet'!$B$54</f>
        <v>-1.4736341408900453</v>
      </c>
      <c r="BB14" s="258">
        <f>-(BB10+BB11)*'Assumption Sheet'!$B$54</f>
        <v>-1.5117676979373798</v>
      </c>
      <c r="BC14" s="258">
        <f>-(BC10+BC11)*'Assumption Sheet'!$B$54</f>
        <v>-1.5159468044594107</v>
      </c>
      <c r="BD14" s="258">
        <f>-(BD10+BD11)*'Assumption Sheet'!$B$54</f>
        <v>-1.5370077834467888</v>
      </c>
      <c r="BE14" s="258">
        <f>-(BE10+BE11)*'Assumption Sheet'!$B$54</f>
        <v>-1.5473158479345479</v>
      </c>
      <c r="BF14" s="258">
        <f>-(BF10+BF11)*'Assumption Sheet'!$B$54</f>
        <v>-1.587356082834249</v>
      </c>
      <c r="BG14" s="258">
        <f>-(BG10+BG11)*'Assumption Sheet'!$B$54</f>
        <v>-1.5917441446823812</v>
      </c>
      <c r="BH14" s="258">
        <f>-(BH10+BH11)*'Assumption Sheet'!$B$54</f>
        <v>-1.6138581726191288</v>
      </c>
      <c r="BI14" s="258">
        <f>-(BI10+BI11)*'Assumption Sheet'!$B$54</f>
        <v>-1.6246816403312754</v>
      </c>
      <c r="BJ14" s="258">
        <f>-(BJ10+BJ11)*'Assumption Sheet'!$B$54</f>
        <v>-1.6667238869759613</v>
      </c>
      <c r="BK14" s="258">
        <f>-(BK10+BK11)*'Assumption Sheet'!$B$54</f>
        <v>-1.6713313519165007</v>
      </c>
      <c r="BL14" s="258">
        <f>-(BL10+BL11)*'Assumption Sheet'!$B$54</f>
        <v>-1.694551081250085</v>
      </c>
      <c r="BM14" s="258">
        <f>-(BM10+BM11)*'Assumption Sheet'!$B$54</f>
        <v>-1.7059157223478394</v>
      </c>
      <c r="BN14" s="258">
        <f>-(BN10+BN11)*'Assumption Sheet'!$B$54</f>
        <v>-1.7500600813247595</v>
      </c>
      <c r="BO14" s="258">
        <f>-(BO10+BO11)*'Assumption Sheet'!$B$54</f>
        <v>-1.7548979195123253</v>
      </c>
      <c r="BP14" s="258">
        <f>-(BP10+BP11)*'Assumption Sheet'!$B$54</f>
        <v>-1.7792786353125896</v>
      </c>
      <c r="BQ14" s="258">
        <f>-(BQ10+BQ11)*'Assumption Sheet'!$B$54</f>
        <v>-1.7912115084652311</v>
      </c>
      <c r="BR14" s="258">
        <f>-(BR10+BR11)*'Assumption Sheet'!$B$54</f>
        <v>-1.8375630853909979</v>
      </c>
      <c r="BS14" s="258">
        <f>-(BS10+BS11)*'Assumption Sheet'!$B$54</f>
        <v>-1.8426428154879417</v>
      </c>
      <c r="BT14" s="258">
        <f>-(BT10+BT11)*'Assumption Sheet'!$B$54</f>
        <v>-1.8682425670782192</v>
      </c>
      <c r="BU14" s="258">
        <f>-(BU10+BU11)*'Assumption Sheet'!$B$54</f>
        <v>-1.8807720838884934</v>
      </c>
      <c r="BV14" s="258">
        <f>-(BV10+BV11)*'Assumption Sheet'!$B$54</f>
        <v>-1.9294412396605478</v>
      </c>
      <c r="BW14" s="258">
        <f>-(BW10+BW11)*'Assumption Sheet'!$B$54</f>
        <v>-1.9347749562623386</v>
      </c>
      <c r="BX14" s="258">
        <f>-(BX10+BX11)*'Assumption Sheet'!$B$54</f>
        <v>-1.9616546954321294</v>
      </c>
      <c r="BY14" s="258">
        <f>-(BY10+BY11)*'Assumption Sheet'!$B$54</f>
        <v>-1.9748106880829175</v>
      </c>
      <c r="BZ14" s="258">
        <f>-(BZ10+BZ11)*'Assumption Sheet'!$B$54</f>
        <v>-2.0259133016435751</v>
      </c>
      <c r="CA14" s="258">
        <f>-(CA10+CA11)*'Assumption Sheet'!$B$54</f>
        <v>-2.0315137040754565</v>
      </c>
      <c r="CB14" s="258">
        <f>-(CB10+CB11)*'Assumption Sheet'!$B$54</f>
        <v>-2.0597374302037368</v>
      </c>
      <c r="CC14" s="258">
        <f>-(CC10+CC11)*'Assumption Sheet'!$B$54</f>
        <v>-2.073551222487064</v>
      </c>
      <c r="CD14" s="258">
        <f>-(CD10+CD11)*'Assumption Sheet'!$B$54</f>
        <v>-2.1272089667257541</v>
      </c>
      <c r="CE14" s="258">
        <f>-(CE10+CE11)*'Assumption Sheet'!$B$54</f>
        <v>-2.1330893892792289</v>
      </c>
      <c r="CF14" s="258">
        <f>-(CF10+CF11)*'Assumption Sheet'!$B$54</f>
        <v>-2.1627243017139235</v>
      </c>
      <c r="CG14" s="258">
        <f>-(CG10+CG11)*'Assumption Sheet'!$B$54</f>
        <v>-2.1772287836114166</v>
      </c>
      <c r="CH14" s="258">
        <f>-(CH10+CH11)*'Assumption Sheet'!$B$54</f>
        <v>-2.2335694150620418</v>
      </c>
      <c r="CI14" s="258">
        <f>-(CI10+CI11)*'Assumption Sheet'!$B$54</f>
        <v>-2.2397438587431906</v>
      </c>
      <c r="CJ14" s="258">
        <f>-(CJ10+CJ11)*'Assumption Sheet'!$B$54</f>
        <v>-1.8742920814760635</v>
      </c>
      <c r="CK14" s="258">
        <f>-(CK10+CK11)*'Assumption Sheet'!$B$54</f>
        <v>-1.8895217874684314</v>
      </c>
      <c r="CL14" s="258">
        <f>-(CL10+CL11)*'Assumption Sheet'!$B$54</f>
        <v>-1.9288510287254099</v>
      </c>
      <c r="CM14" s="258">
        <f>-(CM10+CM11)*'Assumption Sheet'!$B$54</f>
        <v>-1.935334194590616</v>
      </c>
      <c r="CN14" s="258">
        <f>-(CN10+CN11)*'Assumption Sheet'!$B$54</f>
        <v>-1.1998745225712901</v>
      </c>
      <c r="CO14" s="258">
        <f>-(CO10+CO11)*'Assumption Sheet'!$B$54</f>
        <v>-1.2158657138632765</v>
      </c>
      <c r="CP14" s="258">
        <f>-(CP10+CP11)*'Assumption Sheet'!$B$54</f>
        <v>-1.2187548090341747</v>
      </c>
      <c r="CQ14" s="258">
        <f>-(CQ10+CQ11)*'Assumption Sheet'!$B$54</f>
        <v>-0.90536641918333138</v>
      </c>
      <c r="CR14" s="258">
        <f>-(CR10+CR11)*'Assumption Sheet'!$B$54</f>
        <v>-0.93967253469054435</v>
      </c>
      <c r="CS14" s="258">
        <f>-(CS10+CS11)*'Assumption Sheet'!$B$54</f>
        <v>-0.94045349984666471</v>
      </c>
      <c r="CT14" s="258">
        <f>-(CT10+CT11)*'Assumption Sheet'!$B$54</f>
        <v>-0.25656692299214134</v>
      </c>
      <c r="CU14" s="258">
        <f>-(CU10+CU11)*'Assumption Sheet'!$B$54</f>
        <v>0</v>
      </c>
      <c r="CV14" s="258">
        <f>-(CV10+CV11)*'Assumption Sheet'!$B$54</f>
        <v>0</v>
      </c>
      <c r="CW14" s="258">
        <f>-(CW10+CW11)*'Assumption Sheet'!$B$54</f>
        <v>0</v>
      </c>
      <c r="CX14" s="258">
        <f>-(CX10+CX11)*'Assumption Sheet'!$B$54</f>
        <v>0</v>
      </c>
    </row>
    <row r="15" spans="1:102" x14ac:dyDescent="0.3">
      <c r="A15" s="262" t="s">
        <v>174</v>
      </c>
      <c r="B15" s="257"/>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8"/>
      <c r="BR15" s="258"/>
      <c r="BS15" s="258"/>
      <c r="BT15" s="258"/>
      <c r="BU15" s="258"/>
      <c r="BV15" s="258"/>
      <c r="BW15" s="258"/>
      <c r="BX15" s="258"/>
      <c r="BY15" s="258"/>
      <c r="BZ15" s="258"/>
      <c r="CA15" s="258"/>
      <c r="CB15" s="258"/>
      <c r="CC15" s="258"/>
      <c r="CD15" s="258"/>
      <c r="CE15" s="258"/>
      <c r="CF15" s="258"/>
      <c r="CG15" s="258"/>
      <c r="CH15" s="258"/>
      <c r="CI15" s="258"/>
      <c r="CJ15" s="258"/>
      <c r="CK15" s="258"/>
      <c r="CL15" s="258"/>
      <c r="CM15" s="258"/>
      <c r="CN15" s="258"/>
      <c r="CO15" s="258"/>
      <c r="CP15" s="258"/>
      <c r="CQ15" s="258"/>
      <c r="CR15" s="258"/>
      <c r="CS15" s="258"/>
      <c r="CT15" s="258"/>
      <c r="CU15" s="258"/>
      <c r="CV15" s="258"/>
      <c r="CW15" s="258"/>
      <c r="CX15" s="258"/>
    </row>
    <row r="16" spans="1:102" x14ac:dyDescent="0.3">
      <c r="A16" s="1" t="s">
        <v>212</v>
      </c>
      <c r="B16" s="257">
        <f>SUM(C16:U16)</f>
        <v>-47.58</v>
      </c>
      <c r="C16" s="270">
        <f>SUMIFS('Monthly Cashflow'!16:16,'Monthly Cashflow'!$3:$3,C$7)</f>
        <v>-47.58</v>
      </c>
      <c r="D16" s="270">
        <f>SUMIFS('Monthly Cashflow'!16:16,'Monthly Cashflow'!$3:$3,D$7)</f>
        <v>0</v>
      </c>
      <c r="E16" s="270">
        <f>SUMIFS('Monthly Cashflow'!16:16,'Monthly Cashflow'!$3:$3,E$7)</f>
        <v>0</v>
      </c>
      <c r="F16" s="270">
        <f>SUMIFS('Monthly Cashflow'!16:16,'Monthly Cashflow'!$3:$3,F$7)</f>
        <v>0</v>
      </c>
      <c r="G16" s="270">
        <f>SUMIFS('Monthly Cashflow'!16:16,'Monthly Cashflow'!$3:$3,G$7)</f>
        <v>0</v>
      </c>
      <c r="H16" s="270">
        <f>SUMIFS('Monthly Cashflow'!16:16,'Monthly Cashflow'!$3:$3,H$7)</f>
        <v>0</v>
      </c>
      <c r="I16" s="270">
        <f>SUMIFS('Monthly Cashflow'!16:16,'Monthly Cashflow'!$3:$3,I$7)</f>
        <v>0</v>
      </c>
      <c r="J16" s="270">
        <f>SUMIFS('Monthly Cashflow'!16:16,'Monthly Cashflow'!$3:$3,J$7)</f>
        <v>0</v>
      </c>
      <c r="K16" s="270">
        <f>SUMIFS('Monthly Cashflow'!16:16,'Monthly Cashflow'!$3:$3,K$7)</f>
        <v>0</v>
      </c>
      <c r="L16" s="270">
        <f>SUMIFS('Monthly Cashflow'!16:16,'Monthly Cashflow'!$3:$3,L$7)</f>
        <v>0</v>
      </c>
      <c r="M16" s="270">
        <f>SUMIFS('Monthly Cashflow'!16:16,'Monthly Cashflow'!$3:$3,M$7)</f>
        <v>0</v>
      </c>
      <c r="N16" s="270">
        <f>SUMIFS('Monthly Cashflow'!16:16,'Monthly Cashflow'!$3:$3,N$7)</f>
        <v>0</v>
      </c>
      <c r="O16" s="270">
        <f>SUMIFS('Monthly Cashflow'!16:16,'Monthly Cashflow'!$3:$3,O$7)</f>
        <v>0</v>
      </c>
      <c r="P16" s="270">
        <f>SUMIFS('Monthly Cashflow'!16:16,'Monthly Cashflow'!$3:$3,P$7)</f>
        <v>0</v>
      </c>
      <c r="Q16" s="270">
        <f>SUMIFS('Monthly Cashflow'!16:16,'Monthly Cashflow'!$3:$3,Q$7)</f>
        <v>0</v>
      </c>
      <c r="R16" s="270">
        <f>SUMIFS('Monthly Cashflow'!16:16,'Monthly Cashflow'!$3:$3,R$7)</f>
        <v>0</v>
      </c>
      <c r="S16" s="270">
        <f>SUMIFS('Monthly Cashflow'!16:16,'Monthly Cashflow'!$3:$3,S$7)</f>
        <v>0</v>
      </c>
      <c r="T16" s="270">
        <f>SUMIFS('Monthly Cashflow'!16:16,'Monthly Cashflow'!$3:$3,T$7)</f>
        <v>0</v>
      </c>
      <c r="U16" s="270">
        <f>SUMIFS('Monthly Cashflow'!16:16,'Monthly Cashflow'!$3:$3,U$7)</f>
        <v>0</v>
      </c>
      <c r="V16" s="270">
        <f>SUMIFS('Monthly Cashflow'!16:16,'Monthly Cashflow'!$3:$3,V$7)</f>
        <v>0</v>
      </c>
      <c r="W16" s="270">
        <f>SUMIFS('Monthly Cashflow'!16:16,'Monthly Cashflow'!$3:$3,W$7)</f>
        <v>0</v>
      </c>
      <c r="X16" s="270">
        <f>SUMIFS('Monthly Cashflow'!16:16,'Monthly Cashflow'!$3:$3,X$7)</f>
        <v>0</v>
      </c>
      <c r="Y16" s="270">
        <f>SUMIFS('Monthly Cashflow'!16:16,'Monthly Cashflow'!$3:$3,Y$7)</f>
        <v>0</v>
      </c>
      <c r="Z16" s="270">
        <f>SUMIFS('Monthly Cashflow'!16:16,'Monthly Cashflow'!$3:$3,Z$7)</f>
        <v>0</v>
      </c>
      <c r="AA16" s="270">
        <f>SUMIFS('Monthly Cashflow'!16:16,'Monthly Cashflow'!$3:$3,AA$7)</f>
        <v>0</v>
      </c>
      <c r="AB16" s="270">
        <f>SUMIFS('Monthly Cashflow'!16:16,'Monthly Cashflow'!$3:$3,AB$7)</f>
        <v>0</v>
      </c>
      <c r="AC16" s="270">
        <f>SUMIFS('Monthly Cashflow'!16:16,'Monthly Cashflow'!$3:$3,AC$7)</f>
        <v>0</v>
      </c>
      <c r="AD16" s="270">
        <f>SUMIFS('Monthly Cashflow'!16:16,'Monthly Cashflow'!$3:$3,AD$7)</f>
        <v>0</v>
      </c>
      <c r="AE16" s="270">
        <f>SUMIFS('Monthly Cashflow'!16:16,'Monthly Cashflow'!$3:$3,AE$7)</f>
        <v>0</v>
      </c>
      <c r="AF16" s="270">
        <f>SUMIFS('Monthly Cashflow'!16:16,'Monthly Cashflow'!$3:$3,AF$7)</f>
        <v>0</v>
      </c>
      <c r="AG16" s="270">
        <f>SUMIFS('Monthly Cashflow'!16:16,'Monthly Cashflow'!$3:$3,AG$7)</f>
        <v>0</v>
      </c>
      <c r="AH16" s="270">
        <f>SUMIFS('Monthly Cashflow'!16:16,'Monthly Cashflow'!$3:$3,AH$7)</f>
        <v>0</v>
      </c>
      <c r="AI16" s="270">
        <f>SUMIFS('Monthly Cashflow'!16:16,'Monthly Cashflow'!$3:$3,AI$7)</f>
        <v>0</v>
      </c>
      <c r="AJ16" s="270">
        <f>SUMIFS('Monthly Cashflow'!16:16,'Monthly Cashflow'!$3:$3,AJ$7)</f>
        <v>0</v>
      </c>
      <c r="AK16" s="270">
        <f>SUMIFS('Monthly Cashflow'!16:16,'Monthly Cashflow'!$3:$3,AK$7)</f>
        <v>0</v>
      </c>
      <c r="AL16" s="270">
        <f>SUMIFS('Monthly Cashflow'!16:16,'Monthly Cashflow'!$3:$3,AL$7)</f>
        <v>0</v>
      </c>
      <c r="AM16" s="270">
        <f>SUMIFS('Monthly Cashflow'!16:16,'Monthly Cashflow'!$3:$3,AM$7)</f>
        <v>0</v>
      </c>
      <c r="AN16" s="270">
        <f>SUMIFS('Monthly Cashflow'!16:16,'Monthly Cashflow'!$3:$3,AN$7)</f>
        <v>0</v>
      </c>
      <c r="AO16" s="270">
        <f>SUMIFS('Monthly Cashflow'!16:16,'Monthly Cashflow'!$3:$3,AO$7)</f>
        <v>0</v>
      </c>
      <c r="AP16" s="270">
        <f>SUMIFS('Monthly Cashflow'!16:16,'Monthly Cashflow'!$3:$3,AP$7)</f>
        <v>0</v>
      </c>
      <c r="AQ16" s="270">
        <f>SUMIFS('Monthly Cashflow'!16:16,'Monthly Cashflow'!$3:$3,AQ$7)</f>
        <v>0</v>
      </c>
      <c r="AR16" s="270">
        <f>SUMIFS('Monthly Cashflow'!16:16,'Monthly Cashflow'!$3:$3,AR$7)</f>
        <v>0</v>
      </c>
      <c r="AS16" s="270">
        <f>SUMIFS('Monthly Cashflow'!16:16,'Monthly Cashflow'!$3:$3,AS$7)</f>
        <v>0</v>
      </c>
      <c r="AT16" s="270">
        <f>SUMIFS('Monthly Cashflow'!16:16,'Monthly Cashflow'!$3:$3,AT$7)</f>
        <v>0</v>
      </c>
      <c r="AU16" s="270">
        <f>SUMIFS('Monthly Cashflow'!16:16,'Monthly Cashflow'!$3:$3,AU$7)</f>
        <v>0</v>
      </c>
      <c r="AV16" s="270">
        <f>SUMIFS('Monthly Cashflow'!16:16,'Monthly Cashflow'!$3:$3,AV$7)</f>
        <v>0</v>
      </c>
      <c r="AW16" s="270">
        <f>SUMIFS('Monthly Cashflow'!16:16,'Monthly Cashflow'!$3:$3,AW$7)</f>
        <v>0</v>
      </c>
      <c r="AX16" s="270">
        <f>SUMIFS('Monthly Cashflow'!16:16,'Monthly Cashflow'!$3:$3,AX$7)</f>
        <v>0</v>
      </c>
      <c r="AY16" s="270">
        <f>SUMIFS('Monthly Cashflow'!16:16,'Monthly Cashflow'!$3:$3,AY$7)</f>
        <v>0</v>
      </c>
      <c r="AZ16" s="270">
        <f>SUMIFS('Monthly Cashflow'!16:16,'Monthly Cashflow'!$3:$3,AZ$7)</f>
        <v>0</v>
      </c>
      <c r="BA16" s="270">
        <f>SUMIFS('Monthly Cashflow'!16:16,'Monthly Cashflow'!$3:$3,BA$7)</f>
        <v>0</v>
      </c>
      <c r="BB16" s="270">
        <f>SUMIFS('Monthly Cashflow'!16:16,'Monthly Cashflow'!$3:$3,BB$7)</f>
        <v>0</v>
      </c>
      <c r="BC16" s="270">
        <f>SUMIFS('Monthly Cashflow'!16:16,'Monthly Cashflow'!$3:$3,BC$7)</f>
        <v>0</v>
      </c>
      <c r="BD16" s="270">
        <f>SUMIFS('Monthly Cashflow'!16:16,'Monthly Cashflow'!$3:$3,BD$7)</f>
        <v>0</v>
      </c>
      <c r="BE16" s="270">
        <f>SUMIFS('Monthly Cashflow'!16:16,'Monthly Cashflow'!$3:$3,BE$7)</f>
        <v>0</v>
      </c>
      <c r="BF16" s="270">
        <f>SUMIFS('Monthly Cashflow'!16:16,'Monthly Cashflow'!$3:$3,BF$7)</f>
        <v>0</v>
      </c>
      <c r="BG16" s="270">
        <f>SUMIFS('Monthly Cashflow'!16:16,'Monthly Cashflow'!$3:$3,BG$7)</f>
        <v>0</v>
      </c>
      <c r="BH16" s="270">
        <f>SUMIFS('Monthly Cashflow'!16:16,'Monthly Cashflow'!$3:$3,BH$7)</f>
        <v>0</v>
      </c>
      <c r="BI16" s="270">
        <f>SUMIFS('Monthly Cashflow'!16:16,'Monthly Cashflow'!$3:$3,BI$7)</f>
        <v>0</v>
      </c>
      <c r="BJ16" s="270">
        <f>SUMIFS('Monthly Cashflow'!16:16,'Monthly Cashflow'!$3:$3,BJ$7)</f>
        <v>0</v>
      </c>
      <c r="BK16" s="270">
        <f>SUMIFS('Monthly Cashflow'!16:16,'Monthly Cashflow'!$3:$3,BK$7)</f>
        <v>0</v>
      </c>
      <c r="BL16" s="270">
        <f>SUMIFS('Monthly Cashflow'!16:16,'Monthly Cashflow'!$3:$3,BL$7)</f>
        <v>0</v>
      </c>
      <c r="BM16" s="270">
        <f>SUMIFS('Monthly Cashflow'!16:16,'Monthly Cashflow'!$3:$3,BM$7)</f>
        <v>0</v>
      </c>
      <c r="BN16" s="270">
        <f>SUMIFS('Monthly Cashflow'!16:16,'Monthly Cashflow'!$3:$3,BN$7)</f>
        <v>0</v>
      </c>
      <c r="BO16" s="270">
        <f>SUMIFS('Monthly Cashflow'!16:16,'Monthly Cashflow'!$3:$3,BO$7)</f>
        <v>0</v>
      </c>
      <c r="BP16" s="270">
        <f>SUMIFS('Monthly Cashflow'!16:16,'Monthly Cashflow'!$3:$3,BP$7)</f>
        <v>0</v>
      </c>
      <c r="BQ16" s="270">
        <f>SUMIFS('Monthly Cashflow'!16:16,'Monthly Cashflow'!$3:$3,BQ$7)</f>
        <v>0</v>
      </c>
      <c r="BR16" s="270">
        <f>SUMIFS('Monthly Cashflow'!16:16,'Monthly Cashflow'!$3:$3,BR$7)</f>
        <v>0</v>
      </c>
      <c r="BS16" s="270">
        <f>SUMIFS('Monthly Cashflow'!16:16,'Monthly Cashflow'!$3:$3,BS$7)</f>
        <v>0</v>
      </c>
      <c r="BT16" s="270">
        <f>SUMIFS('Monthly Cashflow'!16:16,'Monthly Cashflow'!$3:$3,BT$7)</f>
        <v>0</v>
      </c>
      <c r="BU16" s="270">
        <f>SUMIFS('Monthly Cashflow'!16:16,'Monthly Cashflow'!$3:$3,BU$7)</f>
        <v>0</v>
      </c>
      <c r="BV16" s="270">
        <f>SUMIFS('Monthly Cashflow'!16:16,'Monthly Cashflow'!$3:$3,BV$7)</f>
        <v>0</v>
      </c>
      <c r="BW16" s="270">
        <f>SUMIFS('Monthly Cashflow'!16:16,'Monthly Cashflow'!$3:$3,BW$7)</f>
        <v>0</v>
      </c>
      <c r="BX16" s="270">
        <f>SUMIFS('Monthly Cashflow'!16:16,'Monthly Cashflow'!$3:$3,BX$7)</f>
        <v>0</v>
      </c>
      <c r="BY16" s="270">
        <f>SUMIFS('Monthly Cashflow'!16:16,'Monthly Cashflow'!$3:$3,BY$7)</f>
        <v>0</v>
      </c>
      <c r="BZ16" s="270">
        <f>SUMIFS('Monthly Cashflow'!16:16,'Monthly Cashflow'!$3:$3,BZ$7)</f>
        <v>0</v>
      </c>
      <c r="CA16" s="270">
        <f>SUMIFS('Monthly Cashflow'!16:16,'Monthly Cashflow'!$3:$3,CA$7)</f>
        <v>0</v>
      </c>
      <c r="CB16" s="270">
        <f>SUMIFS('Monthly Cashflow'!16:16,'Monthly Cashflow'!$3:$3,CB$7)</f>
        <v>0</v>
      </c>
      <c r="CC16" s="270">
        <f>SUMIFS('Monthly Cashflow'!16:16,'Monthly Cashflow'!$3:$3,CC$7)</f>
        <v>0</v>
      </c>
      <c r="CD16" s="270">
        <f>SUMIFS('Monthly Cashflow'!16:16,'Monthly Cashflow'!$3:$3,CD$7)</f>
        <v>0</v>
      </c>
      <c r="CE16" s="270">
        <f>SUMIFS('Monthly Cashflow'!16:16,'Monthly Cashflow'!$3:$3,CE$7)</f>
        <v>0</v>
      </c>
      <c r="CF16" s="270">
        <f>SUMIFS('Monthly Cashflow'!16:16,'Monthly Cashflow'!$3:$3,CF$7)</f>
        <v>0</v>
      </c>
      <c r="CG16" s="270">
        <f>SUMIFS('Monthly Cashflow'!16:16,'Monthly Cashflow'!$3:$3,CG$7)</f>
        <v>0</v>
      </c>
      <c r="CH16" s="270">
        <f>SUMIFS('Monthly Cashflow'!16:16,'Monthly Cashflow'!$3:$3,CH$7)</f>
        <v>0</v>
      </c>
      <c r="CI16" s="270">
        <f>SUMIFS('Monthly Cashflow'!16:16,'Monthly Cashflow'!$3:$3,CI$7)</f>
        <v>0</v>
      </c>
      <c r="CJ16" s="270">
        <f>SUMIFS('Monthly Cashflow'!16:16,'Monthly Cashflow'!$3:$3,CJ$7)</f>
        <v>0</v>
      </c>
      <c r="CK16" s="270">
        <f>SUMIFS('Monthly Cashflow'!16:16,'Monthly Cashflow'!$3:$3,CK$7)</f>
        <v>0</v>
      </c>
      <c r="CL16" s="270">
        <f>SUMIFS('Monthly Cashflow'!16:16,'Monthly Cashflow'!$3:$3,CL$7)</f>
        <v>0</v>
      </c>
      <c r="CM16" s="270">
        <f>SUMIFS('Monthly Cashflow'!16:16,'Monthly Cashflow'!$3:$3,CM$7)</f>
        <v>0</v>
      </c>
      <c r="CN16" s="270">
        <f>SUMIFS('Monthly Cashflow'!16:16,'Monthly Cashflow'!$3:$3,CN$7)</f>
        <v>0</v>
      </c>
      <c r="CO16" s="270">
        <f>SUMIFS('Monthly Cashflow'!16:16,'Monthly Cashflow'!$3:$3,CO$7)</f>
        <v>0</v>
      </c>
      <c r="CP16" s="270">
        <f>SUMIFS('Monthly Cashflow'!16:16,'Monthly Cashflow'!$3:$3,CP$7)</f>
        <v>0</v>
      </c>
      <c r="CQ16" s="270">
        <f>SUMIFS('Monthly Cashflow'!16:16,'Monthly Cashflow'!$3:$3,CQ$7)</f>
        <v>0</v>
      </c>
      <c r="CR16" s="270">
        <f>SUMIFS('Monthly Cashflow'!16:16,'Monthly Cashflow'!$3:$3,CR$7)</f>
        <v>0</v>
      </c>
      <c r="CS16" s="270">
        <f>SUMIFS('Monthly Cashflow'!16:16,'Monthly Cashflow'!$3:$3,CS$7)</f>
        <v>0</v>
      </c>
      <c r="CT16" s="270">
        <f>SUMIFS('Monthly Cashflow'!16:16,'Monthly Cashflow'!$3:$3,CT$7)</f>
        <v>0</v>
      </c>
      <c r="CU16" s="270">
        <f>SUMIFS('Monthly Cashflow'!16:16,'Monthly Cashflow'!$3:$3,CU$7)</f>
        <v>0</v>
      </c>
      <c r="CV16" s="270">
        <f>SUMIFS('Monthly Cashflow'!16:16,'Monthly Cashflow'!$3:$3,CV$7)</f>
        <v>0</v>
      </c>
      <c r="CW16" s="270">
        <f>SUMIFS('Monthly Cashflow'!16:16,'Monthly Cashflow'!$3:$3,CW$7)</f>
        <v>0</v>
      </c>
      <c r="CX16" s="270">
        <f>SUMIFS('Monthly Cashflow'!16:16,'Monthly Cashflow'!$3:$3,CX$7)</f>
        <v>0</v>
      </c>
    </row>
    <row r="17" spans="1:102" x14ac:dyDescent="0.3">
      <c r="A17" s="1" t="s">
        <v>17</v>
      </c>
      <c r="B17" s="257">
        <f t="shared" ref="B17:B27" si="15">SUM(C17:U17)</f>
        <v>-254.45065628902631</v>
      </c>
      <c r="C17" s="270">
        <f>SUMIFS('Monthly Cashflow'!17:17,'Monthly Cashflow'!$3:$3,C$7)</f>
        <v>0</v>
      </c>
      <c r="D17" s="270">
        <f>SUMIFS('Monthly Cashflow'!17:17,'Monthly Cashflow'!$3:$3,D$7)</f>
        <v>-10.897393930855596</v>
      </c>
      <c r="E17" s="270">
        <f>SUMIFS('Monthly Cashflow'!17:17,'Monthly Cashflow'!$3:$3,E$7)</f>
        <v>-10.897393930855596</v>
      </c>
      <c r="F17" s="270">
        <f>SUMIFS('Monthly Cashflow'!17:17,'Monthly Cashflow'!$3:$3,F$7)</f>
        <v>-10.897393930855596</v>
      </c>
      <c r="G17" s="270">
        <f>SUMIFS('Monthly Cashflow'!17:17,'Monthly Cashflow'!$3:$3,G$7)</f>
        <v>-10.897393930855596</v>
      </c>
      <c r="H17" s="270">
        <f>SUMIFS('Monthly Cashflow'!17:17,'Monthly Cashflow'!$3:$3,H$7)</f>
        <v>-21.107677831464834</v>
      </c>
      <c r="I17" s="270">
        <f>SUMIFS('Monthly Cashflow'!17:17,'Monthly Cashflow'!$3:$3,I$7)</f>
        <v>-21.107677831464834</v>
      </c>
      <c r="J17" s="270">
        <f>SUMIFS('Monthly Cashflow'!17:17,'Monthly Cashflow'!$3:$3,J$7)</f>
        <v>-21.107677831464834</v>
      </c>
      <c r="K17" s="270">
        <f>SUMIFS('Monthly Cashflow'!17:17,'Monthly Cashflow'!$3:$3,K$7)</f>
        <v>-29.90640844068275</v>
      </c>
      <c r="L17" s="270">
        <f>SUMIFS('Monthly Cashflow'!17:17,'Monthly Cashflow'!$3:$3,L$7)</f>
        <v>-8.7987306092179178</v>
      </c>
      <c r="M17" s="270">
        <f>SUMIFS('Monthly Cashflow'!17:17,'Monthly Cashflow'!$3:$3,M$7)</f>
        <v>-8.7987306092179178</v>
      </c>
      <c r="N17" s="270">
        <f>SUMIFS('Monthly Cashflow'!17:17,'Monthly Cashflow'!$3:$3,N$7)</f>
        <v>-27.674764488441557</v>
      </c>
      <c r="O17" s="270">
        <f>SUMIFS('Monthly Cashflow'!17:17,'Monthly Cashflow'!$3:$3,O$7)</f>
        <v>-18.876033879223638</v>
      </c>
      <c r="P17" s="270">
        <f>SUMIFS('Monthly Cashflow'!17:17,'Monthly Cashflow'!$3:$3,P$7)</f>
        <v>-18.876033879223638</v>
      </c>
      <c r="Q17" s="270">
        <f>SUMIFS('Monthly Cashflow'!17:17,'Monthly Cashflow'!$3:$3,Q$7)</f>
        <v>-22.022296136419317</v>
      </c>
      <c r="R17" s="270">
        <f>SUMIFS('Monthly Cashflow'!17:17,'Monthly Cashflow'!$3:$3,R$7)</f>
        <v>-3.14626225719568</v>
      </c>
      <c r="S17" s="270">
        <f>SUMIFS('Monthly Cashflow'!17:17,'Monthly Cashflow'!$3:$3,S$7)</f>
        <v>-3.14626225719568</v>
      </c>
      <c r="T17" s="270">
        <f>SUMIFS('Monthly Cashflow'!17:17,'Monthly Cashflow'!$3:$3,T$7)</f>
        <v>-3.14626225719568</v>
      </c>
      <c r="U17" s="270">
        <f>SUMIFS('Monthly Cashflow'!17:17,'Monthly Cashflow'!$3:$3,U$7)</f>
        <v>-3.14626225719568</v>
      </c>
      <c r="V17" s="270">
        <f>SUMIFS('Monthly Cashflow'!17:17,'Monthly Cashflow'!$3:$3,V$7)</f>
        <v>0</v>
      </c>
      <c r="W17" s="270">
        <f>SUMIFS('Monthly Cashflow'!17:17,'Monthly Cashflow'!$3:$3,W$7)</f>
        <v>0</v>
      </c>
      <c r="X17" s="270">
        <f>SUMIFS('Monthly Cashflow'!17:17,'Monthly Cashflow'!$3:$3,X$7)</f>
        <v>0</v>
      </c>
      <c r="Y17" s="270">
        <f>SUMIFS('Monthly Cashflow'!17:17,'Monthly Cashflow'!$3:$3,Y$7)</f>
        <v>0</v>
      </c>
      <c r="Z17" s="270">
        <f>SUMIFS('Monthly Cashflow'!17:17,'Monthly Cashflow'!$3:$3,Z$7)</f>
        <v>0</v>
      </c>
      <c r="AA17" s="270">
        <f>SUMIFS('Monthly Cashflow'!17:17,'Monthly Cashflow'!$3:$3,AA$7)</f>
        <v>0</v>
      </c>
      <c r="AB17" s="270">
        <f>SUMIFS('Monthly Cashflow'!17:17,'Monthly Cashflow'!$3:$3,AB$7)</f>
        <v>0</v>
      </c>
      <c r="AC17" s="270">
        <f>SUMIFS('Monthly Cashflow'!17:17,'Monthly Cashflow'!$3:$3,AC$7)</f>
        <v>0</v>
      </c>
      <c r="AD17" s="270">
        <f>SUMIFS('Monthly Cashflow'!17:17,'Monthly Cashflow'!$3:$3,AD$7)</f>
        <v>0</v>
      </c>
      <c r="AE17" s="270">
        <f>SUMIFS('Monthly Cashflow'!17:17,'Monthly Cashflow'!$3:$3,AE$7)</f>
        <v>0</v>
      </c>
      <c r="AF17" s="270">
        <f>SUMIFS('Monthly Cashflow'!17:17,'Monthly Cashflow'!$3:$3,AF$7)</f>
        <v>0</v>
      </c>
      <c r="AG17" s="270">
        <f>SUMIFS('Monthly Cashflow'!17:17,'Monthly Cashflow'!$3:$3,AG$7)</f>
        <v>0</v>
      </c>
      <c r="AH17" s="270">
        <f>SUMIFS('Monthly Cashflow'!17:17,'Monthly Cashflow'!$3:$3,AH$7)</f>
        <v>0</v>
      </c>
      <c r="AI17" s="270">
        <f>SUMIFS('Monthly Cashflow'!17:17,'Monthly Cashflow'!$3:$3,AI$7)</f>
        <v>0</v>
      </c>
      <c r="AJ17" s="270">
        <f>SUMIFS('Monthly Cashflow'!17:17,'Monthly Cashflow'!$3:$3,AJ$7)</f>
        <v>0</v>
      </c>
      <c r="AK17" s="270">
        <f>SUMIFS('Monthly Cashflow'!17:17,'Monthly Cashflow'!$3:$3,AK$7)</f>
        <v>0</v>
      </c>
      <c r="AL17" s="270">
        <f>SUMIFS('Monthly Cashflow'!17:17,'Monthly Cashflow'!$3:$3,AL$7)</f>
        <v>0</v>
      </c>
      <c r="AM17" s="270">
        <f>SUMIFS('Monthly Cashflow'!17:17,'Monthly Cashflow'!$3:$3,AM$7)</f>
        <v>0</v>
      </c>
      <c r="AN17" s="270">
        <f>SUMIFS('Monthly Cashflow'!17:17,'Monthly Cashflow'!$3:$3,AN$7)</f>
        <v>0</v>
      </c>
      <c r="AO17" s="270">
        <f>SUMIFS('Monthly Cashflow'!17:17,'Monthly Cashflow'!$3:$3,AO$7)</f>
        <v>0</v>
      </c>
      <c r="AP17" s="270">
        <f>SUMIFS('Monthly Cashflow'!17:17,'Monthly Cashflow'!$3:$3,AP$7)</f>
        <v>0</v>
      </c>
      <c r="AQ17" s="270">
        <f>SUMIFS('Monthly Cashflow'!17:17,'Monthly Cashflow'!$3:$3,AQ$7)</f>
        <v>0</v>
      </c>
      <c r="AR17" s="270">
        <f>SUMIFS('Monthly Cashflow'!17:17,'Monthly Cashflow'!$3:$3,AR$7)</f>
        <v>0</v>
      </c>
      <c r="AS17" s="270">
        <f>SUMIFS('Monthly Cashflow'!17:17,'Monthly Cashflow'!$3:$3,AS$7)</f>
        <v>0</v>
      </c>
      <c r="AT17" s="270">
        <f>SUMIFS('Monthly Cashflow'!17:17,'Monthly Cashflow'!$3:$3,AT$7)</f>
        <v>0</v>
      </c>
      <c r="AU17" s="270">
        <f>SUMIFS('Monthly Cashflow'!17:17,'Monthly Cashflow'!$3:$3,AU$7)</f>
        <v>0</v>
      </c>
      <c r="AV17" s="270">
        <f>SUMIFS('Monthly Cashflow'!17:17,'Monthly Cashflow'!$3:$3,AV$7)</f>
        <v>0</v>
      </c>
      <c r="AW17" s="270">
        <f>SUMIFS('Monthly Cashflow'!17:17,'Monthly Cashflow'!$3:$3,AW$7)</f>
        <v>0</v>
      </c>
      <c r="AX17" s="270">
        <f>SUMIFS('Monthly Cashflow'!17:17,'Monthly Cashflow'!$3:$3,AX$7)</f>
        <v>0</v>
      </c>
      <c r="AY17" s="270">
        <f>SUMIFS('Monthly Cashflow'!17:17,'Monthly Cashflow'!$3:$3,AY$7)</f>
        <v>0</v>
      </c>
      <c r="AZ17" s="270">
        <f>SUMIFS('Monthly Cashflow'!17:17,'Monthly Cashflow'!$3:$3,AZ$7)</f>
        <v>0</v>
      </c>
      <c r="BA17" s="270">
        <f>SUMIFS('Monthly Cashflow'!17:17,'Monthly Cashflow'!$3:$3,BA$7)</f>
        <v>0</v>
      </c>
      <c r="BB17" s="270">
        <f>SUMIFS('Monthly Cashflow'!17:17,'Monthly Cashflow'!$3:$3,BB$7)</f>
        <v>0</v>
      </c>
      <c r="BC17" s="270">
        <f>SUMIFS('Monthly Cashflow'!17:17,'Monthly Cashflow'!$3:$3,BC$7)</f>
        <v>0</v>
      </c>
      <c r="BD17" s="270">
        <f>SUMIFS('Monthly Cashflow'!17:17,'Monthly Cashflow'!$3:$3,BD$7)</f>
        <v>0</v>
      </c>
      <c r="BE17" s="270">
        <f>SUMIFS('Monthly Cashflow'!17:17,'Monthly Cashflow'!$3:$3,BE$7)</f>
        <v>0</v>
      </c>
      <c r="BF17" s="270">
        <f>SUMIFS('Monthly Cashflow'!17:17,'Monthly Cashflow'!$3:$3,BF$7)</f>
        <v>0</v>
      </c>
      <c r="BG17" s="270">
        <f>SUMIFS('Monthly Cashflow'!17:17,'Monthly Cashflow'!$3:$3,BG$7)</f>
        <v>0</v>
      </c>
      <c r="BH17" s="270">
        <f>SUMIFS('Monthly Cashflow'!17:17,'Monthly Cashflow'!$3:$3,BH$7)</f>
        <v>0</v>
      </c>
      <c r="BI17" s="270">
        <f>SUMIFS('Monthly Cashflow'!17:17,'Monthly Cashflow'!$3:$3,BI$7)</f>
        <v>0</v>
      </c>
      <c r="BJ17" s="270">
        <f>SUMIFS('Monthly Cashflow'!17:17,'Monthly Cashflow'!$3:$3,BJ$7)</f>
        <v>0</v>
      </c>
      <c r="BK17" s="270">
        <f>SUMIFS('Monthly Cashflow'!17:17,'Monthly Cashflow'!$3:$3,BK$7)</f>
        <v>0</v>
      </c>
      <c r="BL17" s="270">
        <f>SUMIFS('Monthly Cashflow'!17:17,'Monthly Cashflow'!$3:$3,BL$7)</f>
        <v>0</v>
      </c>
      <c r="BM17" s="270">
        <f>SUMIFS('Monthly Cashflow'!17:17,'Monthly Cashflow'!$3:$3,BM$7)</f>
        <v>0</v>
      </c>
      <c r="BN17" s="270">
        <f>SUMIFS('Monthly Cashflow'!17:17,'Monthly Cashflow'!$3:$3,BN$7)</f>
        <v>0</v>
      </c>
      <c r="BO17" s="270">
        <f>SUMIFS('Monthly Cashflow'!17:17,'Monthly Cashflow'!$3:$3,BO$7)</f>
        <v>0</v>
      </c>
      <c r="BP17" s="270">
        <f>SUMIFS('Monthly Cashflow'!17:17,'Monthly Cashflow'!$3:$3,BP$7)</f>
        <v>0</v>
      </c>
      <c r="BQ17" s="270">
        <f>SUMIFS('Monthly Cashflow'!17:17,'Monthly Cashflow'!$3:$3,BQ$7)</f>
        <v>0</v>
      </c>
      <c r="BR17" s="270">
        <f>SUMIFS('Monthly Cashflow'!17:17,'Monthly Cashflow'!$3:$3,BR$7)</f>
        <v>0</v>
      </c>
      <c r="BS17" s="270">
        <f>SUMIFS('Monthly Cashflow'!17:17,'Monthly Cashflow'!$3:$3,BS$7)</f>
        <v>0</v>
      </c>
      <c r="BT17" s="270">
        <f>SUMIFS('Monthly Cashflow'!17:17,'Monthly Cashflow'!$3:$3,BT$7)</f>
        <v>0</v>
      </c>
      <c r="BU17" s="270">
        <f>SUMIFS('Monthly Cashflow'!17:17,'Monthly Cashflow'!$3:$3,BU$7)</f>
        <v>0</v>
      </c>
      <c r="BV17" s="270">
        <f>SUMIFS('Monthly Cashflow'!17:17,'Monthly Cashflow'!$3:$3,BV$7)</f>
        <v>0</v>
      </c>
      <c r="BW17" s="270">
        <f>SUMIFS('Monthly Cashflow'!17:17,'Monthly Cashflow'!$3:$3,BW$7)</f>
        <v>0</v>
      </c>
      <c r="BX17" s="270">
        <f>SUMIFS('Monthly Cashflow'!17:17,'Monthly Cashflow'!$3:$3,BX$7)</f>
        <v>0</v>
      </c>
      <c r="BY17" s="270">
        <f>SUMIFS('Monthly Cashflow'!17:17,'Monthly Cashflow'!$3:$3,BY$7)</f>
        <v>0</v>
      </c>
      <c r="BZ17" s="270">
        <f>SUMIFS('Monthly Cashflow'!17:17,'Monthly Cashflow'!$3:$3,BZ$7)</f>
        <v>0</v>
      </c>
      <c r="CA17" s="270">
        <f>SUMIFS('Monthly Cashflow'!17:17,'Monthly Cashflow'!$3:$3,CA$7)</f>
        <v>0</v>
      </c>
      <c r="CB17" s="270">
        <f>SUMIFS('Monthly Cashflow'!17:17,'Monthly Cashflow'!$3:$3,CB$7)</f>
        <v>0</v>
      </c>
      <c r="CC17" s="270">
        <f>SUMIFS('Monthly Cashflow'!17:17,'Monthly Cashflow'!$3:$3,CC$7)</f>
        <v>0</v>
      </c>
      <c r="CD17" s="270">
        <f>SUMIFS('Monthly Cashflow'!17:17,'Monthly Cashflow'!$3:$3,CD$7)</f>
        <v>0</v>
      </c>
      <c r="CE17" s="270">
        <f>SUMIFS('Monthly Cashflow'!17:17,'Monthly Cashflow'!$3:$3,CE$7)</f>
        <v>0</v>
      </c>
      <c r="CF17" s="270">
        <f>SUMIFS('Monthly Cashflow'!17:17,'Monthly Cashflow'!$3:$3,CF$7)</f>
        <v>0</v>
      </c>
      <c r="CG17" s="270">
        <f>SUMIFS('Monthly Cashflow'!17:17,'Monthly Cashflow'!$3:$3,CG$7)</f>
        <v>0</v>
      </c>
      <c r="CH17" s="270">
        <f>SUMIFS('Monthly Cashflow'!17:17,'Monthly Cashflow'!$3:$3,CH$7)</f>
        <v>0</v>
      </c>
      <c r="CI17" s="270">
        <f>SUMIFS('Monthly Cashflow'!17:17,'Monthly Cashflow'!$3:$3,CI$7)</f>
        <v>0</v>
      </c>
      <c r="CJ17" s="270">
        <f>SUMIFS('Monthly Cashflow'!17:17,'Monthly Cashflow'!$3:$3,CJ$7)</f>
        <v>0</v>
      </c>
      <c r="CK17" s="270">
        <f>SUMIFS('Monthly Cashflow'!17:17,'Monthly Cashflow'!$3:$3,CK$7)</f>
        <v>0</v>
      </c>
      <c r="CL17" s="270">
        <f>SUMIFS('Monthly Cashflow'!17:17,'Monthly Cashflow'!$3:$3,CL$7)</f>
        <v>0</v>
      </c>
      <c r="CM17" s="270">
        <f>SUMIFS('Monthly Cashflow'!17:17,'Monthly Cashflow'!$3:$3,CM$7)</f>
        <v>0</v>
      </c>
      <c r="CN17" s="270">
        <f>SUMIFS('Monthly Cashflow'!17:17,'Monthly Cashflow'!$3:$3,CN$7)</f>
        <v>0</v>
      </c>
      <c r="CO17" s="270">
        <f>SUMIFS('Monthly Cashflow'!17:17,'Monthly Cashflow'!$3:$3,CO$7)</f>
        <v>0</v>
      </c>
      <c r="CP17" s="270">
        <f>SUMIFS('Monthly Cashflow'!17:17,'Monthly Cashflow'!$3:$3,CP$7)</f>
        <v>0</v>
      </c>
      <c r="CQ17" s="270">
        <f>SUMIFS('Monthly Cashflow'!17:17,'Monthly Cashflow'!$3:$3,CQ$7)</f>
        <v>0</v>
      </c>
      <c r="CR17" s="270">
        <f>SUMIFS('Monthly Cashflow'!17:17,'Monthly Cashflow'!$3:$3,CR$7)</f>
        <v>0</v>
      </c>
      <c r="CS17" s="270">
        <f>SUMIFS('Monthly Cashflow'!17:17,'Monthly Cashflow'!$3:$3,CS$7)</f>
        <v>0</v>
      </c>
      <c r="CT17" s="270">
        <f>SUMIFS('Monthly Cashflow'!17:17,'Monthly Cashflow'!$3:$3,CT$7)</f>
        <v>0</v>
      </c>
      <c r="CU17" s="270">
        <f>SUMIFS('Monthly Cashflow'!17:17,'Monthly Cashflow'!$3:$3,CU$7)</f>
        <v>0</v>
      </c>
      <c r="CV17" s="270">
        <f>SUMIFS('Monthly Cashflow'!17:17,'Monthly Cashflow'!$3:$3,CV$7)</f>
        <v>0</v>
      </c>
      <c r="CW17" s="270">
        <f>SUMIFS('Monthly Cashflow'!17:17,'Monthly Cashflow'!$3:$3,CW$7)</f>
        <v>0</v>
      </c>
      <c r="CX17" s="270">
        <f>SUMIFS('Monthly Cashflow'!17:17,'Monthly Cashflow'!$3:$3,CX$7)</f>
        <v>0</v>
      </c>
    </row>
    <row r="18" spans="1:102" x14ac:dyDescent="0.3">
      <c r="A18" s="1" t="s">
        <v>19</v>
      </c>
      <c r="B18" s="257">
        <f t="shared" si="15"/>
        <v>-61.60384310155375</v>
      </c>
      <c r="C18" s="270">
        <f>SUMIFS('Monthly Cashflow'!18:18,'Monthly Cashflow'!$3:$3,C$7)</f>
        <v>0</v>
      </c>
      <c r="D18" s="270">
        <f>SUMIFS('Monthly Cashflow'!18:18,'Monthly Cashflow'!$3:$3,D$7)</f>
        <v>-2.9549143964088445</v>
      </c>
      <c r="E18" s="270">
        <f>SUMIFS('Monthly Cashflow'!18:18,'Monthly Cashflow'!$3:$3,E$7)</f>
        <v>-2.5327837683504382</v>
      </c>
      <c r="F18" s="270">
        <f>SUMIFS('Monthly Cashflow'!18:18,'Monthly Cashflow'!$3:$3,F$7)</f>
        <v>-2.5327837683504382</v>
      </c>
      <c r="G18" s="270">
        <f>SUMIFS('Monthly Cashflow'!18:18,'Monthly Cashflow'!$3:$3,G$7)</f>
        <v>-2.5327837683504382</v>
      </c>
      <c r="H18" s="270">
        <f>SUMIFS('Monthly Cashflow'!18:18,'Monthly Cashflow'!$3:$3,H$7)</f>
        <v>-5.7235134835635177</v>
      </c>
      <c r="I18" s="270">
        <f>SUMIFS('Monthly Cashflow'!18:18,'Monthly Cashflow'!$3:$3,I$7)</f>
        <v>-4.9058687001973009</v>
      </c>
      <c r="J18" s="270">
        <f>SUMIFS('Monthly Cashflow'!18:18,'Monthly Cashflow'!$3:$3,J$7)</f>
        <v>-4.9058687001973009</v>
      </c>
      <c r="K18" s="270">
        <f>SUMIFS('Monthly Cashflow'!18:18,'Monthly Cashflow'!$3:$3,K$7)</f>
        <v>-7.2917139685494439</v>
      </c>
      <c r="L18" s="270">
        <f>SUMIFS('Monthly Cashflow'!18:18,'Monthly Cashflow'!$3:$3,L$7)</f>
        <v>-2.0450102300161226</v>
      </c>
      <c r="M18" s="270">
        <f>SUMIFS('Monthly Cashflow'!18:18,'Monthly Cashflow'!$3:$3,M$7)</f>
        <v>-2.0450102300161226</v>
      </c>
      <c r="N18" s="270">
        <f>SUMIFS('Monthly Cashflow'!18:18,'Monthly Cashflow'!$3:$3,N$7)</f>
        <v>-7.1633958376877125</v>
      </c>
      <c r="O18" s="270">
        <f>SUMIFS('Monthly Cashflow'!18:18,'Monthly Cashflow'!$3:$3,O$7)</f>
        <v>-4.387187663718505</v>
      </c>
      <c r="P18" s="270">
        <f>SUMIFS('Monthly Cashflow'!18:18,'Monthly Cashflow'!$3:$3,P$7)</f>
        <v>-4.387187663718505</v>
      </c>
      <c r="Q18" s="270">
        <f>SUMIFS('Monthly Cashflow'!18:18,'Monthly Cashflow'!$3:$3,Q$7)</f>
        <v>-5.1489143154606172</v>
      </c>
      <c r="R18" s="270">
        <f>SUMIFS('Monthly Cashflow'!18:18,'Monthly Cashflow'!$3:$3,R$7)</f>
        <v>-0.76172665174211174</v>
      </c>
      <c r="S18" s="270">
        <f>SUMIFS('Monthly Cashflow'!18:18,'Monthly Cashflow'!$3:$3,S$7)</f>
        <v>-0.76172665174211174</v>
      </c>
      <c r="T18" s="270">
        <f>SUMIFS('Monthly Cashflow'!18:18,'Monthly Cashflow'!$3:$3,T$7)</f>
        <v>-0.76172665174211174</v>
      </c>
      <c r="U18" s="270">
        <f>SUMIFS('Monthly Cashflow'!18:18,'Monthly Cashflow'!$3:$3,U$7)</f>
        <v>-0.76172665174211174</v>
      </c>
      <c r="V18" s="270">
        <f>SUMIFS('Monthly Cashflow'!18:18,'Monthly Cashflow'!$3:$3,V$7)</f>
        <v>0</v>
      </c>
      <c r="W18" s="270">
        <f>SUMIFS('Monthly Cashflow'!18:18,'Monthly Cashflow'!$3:$3,W$7)</f>
        <v>0</v>
      </c>
      <c r="X18" s="270">
        <f>SUMIFS('Monthly Cashflow'!18:18,'Monthly Cashflow'!$3:$3,X$7)</f>
        <v>0</v>
      </c>
      <c r="Y18" s="270">
        <f>SUMIFS('Monthly Cashflow'!18:18,'Monthly Cashflow'!$3:$3,Y$7)</f>
        <v>0</v>
      </c>
      <c r="Z18" s="270">
        <f>SUMIFS('Monthly Cashflow'!18:18,'Monthly Cashflow'!$3:$3,Z$7)</f>
        <v>0</v>
      </c>
      <c r="AA18" s="270">
        <f>SUMIFS('Monthly Cashflow'!18:18,'Monthly Cashflow'!$3:$3,AA$7)</f>
        <v>0</v>
      </c>
      <c r="AB18" s="270">
        <f>SUMIFS('Monthly Cashflow'!18:18,'Monthly Cashflow'!$3:$3,AB$7)</f>
        <v>0</v>
      </c>
      <c r="AC18" s="270">
        <f>SUMIFS('Monthly Cashflow'!18:18,'Monthly Cashflow'!$3:$3,AC$7)</f>
        <v>0</v>
      </c>
      <c r="AD18" s="270">
        <f>SUMIFS('Monthly Cashflow'!18:18,'Monthly Cashflow'!$3:$3,AD$7)</f>
        <v>0</v>
      </c>
      <c r="AE18" s="270">
        <f>SUMIFS('Monthly Cashflow'!18:18,'Monthly Cashflow'!$3:$3,AE$7)</f>
        <v>0</v>
      </c>
      <c r="AF18" s="270">
        <f>SUMIFS('Monthly Cashflow'!18:18,'Monthly Cashflow'!$3:$3,AF$7)</f>
        <v>0</v>
      </c>
      <c r="AG18" s="270">
        <f>SUMIFS('Monthly Cashflow'!18:18,'Monthly Cashflow'!$3:$3,AG$7)</f>
        <v>0</v>
      </c>
      <c r="AH18" s="270">
        <f>SUMIFS('Monthly Cashflow'!18:18,'Monthly Cashflow'!$3:$3,AH$7)</f>
        <v>0</v>
      </c>
      <c r="AI18" s="270">
        <f>SUMIFS('Monthly Cashflow'!18:18,'Monthly Cashflow'!$3:$3,AI$7)</f>
        <v>0</v>
      </c>
      <c r="AJ18" s="270">
        <f>SUMIFS('Monthly Cashflow'!18:18,'Monthly Cashflow'!$3:$3,AJ$7)</f>
        <v>0</v>
      </c>
      <c r="AK18" s="270">
        <f>SUMIFS('Monthly Cashflow'!18:18,'Monthly Cashflow'!$3:$3,AK$7)</f>
        <v>0</v>
      </c>
      <c r="AL18" s="270">
        <f>SUMIFS('Monthly Cashflow'!18:18,'Monthly Cashflow'!$3:$3,AL$7)</f>
        <v>0</v>
      </c>
      <c r="AM18" s="270">
        <f>SUMIFS('Monthly Cashflow'!18:18,'Monthly Cashflow'!$3:$3,AM$7)</f>
        <v>0</v>
      </c>
      <c r="AN18" s="270">
        <f>SUMIFS('Monthly Cashflow'!18:18,'Monthly Cashflow'!$3:$3,AN$7)</f>
        <v>0</v>
      </c>
      <c r="AO18" s="270">
        <f>SUMIFS('Monthly Cashflow'!18:18,'Monthly Cashflow'!$3:$3,AO$7)</f>
        <v>0</v>
      </c>
      <c r="AP18" s="270">
        <f>SUMIFS('Monthly Cashflow'!18:18,'Monthly Cashflow'!$3:$3,AP$7)</f>
        <v>0</v>
      </c>
      <c r="AQ18" s="270">
        <f>SUMIFS('Monthly Cashflow'!18:18,'Monthly Cashflow'!$3:$3,AQ$7)</f>
        <v>0</v>
      </c>
      <c r="AR18" s="270">
        <f>SUMIFS('Monthly Cashflow'!18:18,'Monthly Cashflow'!$3:$3,AR$7)</f>
        <v>0</v>
      </c>
      <c r="AS18" s="270">
        <f>SUMIFS('Monthly Cashflow'!18:18,'Monthly Cashflow'!$3:$3,AS$7)</f>
        <v>0</v>
      </c>
      <c r="AT18" s="270">
        <f>SUMIFS('Monthly Cashflow'!18:18,'Monthly Cashflow'!$3:$3,AT$7)</f>
        <v>0</v>
      </c>
      <c r="AU18" s="270">
        <f>SUMIFS('Monthly Cashflow'!18:18,'Monthly Cashflow'!$3:$3,AU$7)</f>
        <v>0</v>
      </c>
      <c r="AV18" s="270">
        <f>SUMIFS('Monthly Cashflow'!18:18,'Monthly Cashflow'!$3:$3,AV$7)</f>
        <v>0</v>
      </c>
      <c r="AW18" s="270">
        <f>SUMIFS('Monthly Cashflow'!18:18,'Monthly Cashflow'!$3:$3,AW$7)</f>
        <v>0</v>
      </c>
      <c r="AX18" s="270">
        <f>SUMIFS('Monthly Cashflow'!18:18,'Monthly Cashflow'!$3:$3,AX$7)</f>
        <v>0</v>
      </c>
      <c r="AY18" s="270">
        <f>SUMIFS('Monthly Cashflow'!18:18,'Monthly Cashflow'!$3:$3,AY$7)</f>
        <v>0</v>
      </c>
      <c r="AZ18" s="270">
        <f>SUMIFS('Monthly Cashflow'!18:18,'Monthly Cashflow'!$3:$3,AZ$7)</f>
        <v>0</v>
      </c>
      <c r="BA18" s="270">
        <f>SUMIFS('Monthly Cashflow'!18:18,'Monthly Cashflow'!$3:$3,BA$7)</f>
        <v>0</v>
      </c>
      <c r="BB18" s="270">
        <f>SUMIFS('Monthly Cashflow'!18:18,'Monthly Cashflow'!$3:$3,BB$7)</f>
        <v>0</v>
      </c>
      <c r="BC18" s="270">
        <f>SUMIFS('Monthly Cashflow'!18:18,'Monthly Cashflow'!$3:$3,BC$7)</f>
        <v>0</v>
      </c>
      <c r="BD18" s="270">
        <f>SUMIFS('Monthly Cashflow'!18:18,'Monthly Cashflow'!$3:$3,BD$7)</f>
        <v>0</v>
      </c>
      <c r="BE18" s="270">
        <f>SUMIFS('Monthly Cashflow'!18:18,'Monthly Cashflow'!$3:$3,BE$7)</f>
        <v>0</v>
      </c>
      <c r="BF18" s="270">
        <f>SUMIFS('Monthly Cashflow'!18:18,'Monthly Cashflow'!$3:$3,BF$7)</f>
        <v>0</v>
      </c>
      <c r="BG18" s="270">
        <f>SUMIFS('Monthly Cashflow'!18:18,'Monthly Cashflow'!$3:$3,BG$7)</f>
        <v>0</v>
      </c>
      <c r="BH18" s="270">
        <f>SUMIFS('Monthly Cashflow'!18:18,'Monthly Cashflow'!$3:$3,BH$7)</f>
        <v>0</v>
      </c>
      <c r="BI18" s="270">
        <f>SUMIFS('Monthly Cashflow'!18:18,'Monthly Cashflow'!$3:$3,BI$7)</f>
        <v>0</v>
      </c>
      <c r="BJ18" s="270">
        <f>SUMIFS('Monthly Cashflow'!18:18,'Monthly Cashflow'!$3:$3,BJ$7)</f>
        <v>0</v>
      </c>
      <c r="BK18" s="270">
        <f>SUMIFS('Monthly Cashflow'!18:18,'Monthly Cashflow'!$3:$3,BK$7)</f>
        <v>0</v>
      </c>
      <c r="BL18" s="270">
        <f>SUMIFS('Monthly Cashflow'!18:18,'Monthly Cashflow'!$3:$3,BL$7)</f>
        <v>0</v>
      </c>
      <c r="BM18" s="270">
        <f>SUMIFS('Monthly Cashflow'!18:18,'Monthly Cashflow'!$3:$3,BM$7)</f>
        <v>0</v>
      </c>
      <c r="BN18" s="270">
        <f>SUMIFS('Monthly Cashflow'!18:18,'Monthly Cashflow'!$3:$3,BN$7)</f>
        <v>0</v>
      </c>
      <c r="BO18" s="270">
        <f>SUMIFS('Monthly Cashflow'!18:18,'Monthly Cashflow'!$3:$3,BO$7)</f>
        <v>0</v>
      </c>
      <c r="BP18" s="270">
        <f>SUMIFS('Monthly Cashflow'!18:18,'Monthly Cashflow'!$3:$3,BP$7)</f>
        <v>0</v>
      </c>
      <c r="BQ18" s="270">
        <f>SUMIFS('Monthly Cashflow'!18:18,'Monthly Cashflow'!$3:$3,BQ$7)</f>
        <v>0</v>
      </c>
      <c r="BR18" s="270">
        <f>SUMIFS('Monthly Cashflow'!18:18,'Monthly Cashflow'!$3:$3,BR$7)</f>
        <v>0</v>
      </c>
      <c r="BS18" s="270">
        <f>SUMIFS('Monthly Cashflow'!18:18,'Monthly Cashflow'!$3:$3,BS$7)</f>
        <v>0</v>
      </c>
      <c r="BT18" s="270">
        <f>SUMIFS('Monthly Cashflow'!18:18,'Monthly Cashflow'!$3:$3,BT$7)</f>
        <v>0</v>
      </c>
      <c r="BU18" s="270">
        <f>SUMIFS('Monthly Cashflow'!18:18,'Monthly Cashflow'!$3:$3,BU$7)</f>
        <v>0</v>
      </c>
      <c r="BV18" s="270">
        <f>SUMIFS('Monthly Cashflow'!18:18,'Monthly Cashflow'!$3:$3,BV$7)</f>
        <v>0</v>
      </c>
      <c r="BW18" s="270">
        <f>SUMIFS('Monthly Cashflow'!18:18,'Monthly Cashflow'!$3:$3,BW$7)</f>
        <v>0</v>
      </c>
      <c r="BX18" s="270">
        <f>SUMIFS('Monthly Cashflow'!18:18,'Monthly Cashflow'!$3:$3,BX$7)</f>
        <v>0</v>
      </c>
      <c r="BY18" s="270">
        <f>SUMIFS('Monthly Cashflow'!18:18,'Monthly Cashflow'!$3:$3,BY$7)</f>
        <v>0</v>
      </c>
      <c r="BZ18" s="270">
        <f>SUMIFS('Monthly Cashflow'!18:18,'Monthly Cashflow'!$3:$3,BZ$7)</f>
        <v>0</v>
      </c>
      <c r="CA18" s="270">
        <f>SUMIFS('Monthly Cashflow'!18:18,'Monthly Cashflow'!$3:$3,CA$7)</f>
        <v>0</v>
      </c>
      <c r="CB18" s="270">
        <f>SUMIFS('Monthly Cashflow'!18:18,'Monthly Cashflow'!$3:$3,CB$7)</f>
        <v>0</v>
      </c>
      <c r="CC18" s="270">
        <f>SUMIFS('Monthly Cashflow'!18:18,'Monthly Cashflow'!$3:$3,CC$7)</f>
        <v>0</v>
      </c>
      <c r="CD18" s="270">
        <f>SUMIFS('Monthly Cashflow'!18:18,'Monthly Cashflow'!$3:$3,CD$7)</f>
        <v>0</v>
      </c>
      <c r="CE18" s="270">
        <f>SUMIFS('Monthly Cashflow'!18:18,'Monthly Cashflow'!$3:$3,CE$7)</f>
        <v>0</v>
      </c>
      <c r="CF18" s="270">
        <f>SUMIFS('Monthly Cashflow'!18:18,'Monthly Cashflow'!$3:$3,CF$7)</f>
        <v>0</v>
      </c>
      <c r="CG18" s="270">
        <f>SUMIFS('Monthly Cashflow'!18:18,'Monthly Cashflow'!$3:$3,CG$7)</f>
        <v>0</v>
      </c>
      <c r="CH18" s="270">
        <f>SUMIFS('Monthly Cashflow'!18:18,'Monthly Cashflow'!$3:$3,CH$7)</f>
        <v>0</v>
      </c>
      <c r="CI18" s="270">
        <f>SUMIFS('Monthly Cashflow'!18:18,'Monthly Cashflow'!$3:$3,CI$7)</f>
        <v>0</v>
      </c>
      <c r="CJ18" s="270">
        <f>SUMIFS('Monthly Cashflow'!18:18,'Monthly Cashflow'!$3:$3,CJ$7)</f>
        <v>0</v>
      </c>
      <c r="CK18" s="270">
        <f>SUMIFS('Monthly Cashflow'!18:18,'Monthly Cashflow'!$3:$3,CK$7)</f>
        <v>0</v>
      </c>
      <c r="CL18" s="270">
        <f>SUMIFS('Monthly Cashflow'!18:18,'Monthly Cashflow'!$3:$3,CL$7)</f>
        <v>0</v>
      </c>
      <c r="CM18" s="270">
        <f>SUMIFS('Monthly Cashflow'!18:18,'Monthly Cashflow'!$3:$3,CM$7)</f>
        <v>0</v>
      </c>
      <c r="CN18" s="270">
        <f>SUMIFS('Monthly Cashflow'!18:18,'Monthly Cashflow'!$3:$3,CN$7)</f>
        <v>0</v>
      </c>
      <c r="CO18" s="270">
        <f>SUMIFS('Monthly Cashflow'!18:18,'Monthly Cashflow'!$3:$3,CO$7)</f>
        <v>0</v>
      </c>
      <c r="CP18" s="270">
        <f>SUMIFS('Monthly Cashflow'!18:18,'Monthly Cashflow'!$3:$3,CP$7)</f>
        <v>0</v>
      </c>
      <c r="CQ18" s="270">
        <f>SUMIFS('Monthly Cashflow'!18:18,'Monthly Cashflow'!$3:$3,CQ$7)</f>
        <v>0</v>
      </c>
      <c r="CR18" s="270">
        <f>SUMIFS('Monthly Cashflow'!18:18,'Monthly Cashflow'!$3:$3,CR$7)</f>
        <v>0</v>
      </c>
      <c r="CS18" s="270">
        <f>SUMIFS('Monthly Cashflow'!18:18,'Monthly Cashflow'!$3:$3,CS$7)</f>
        <v>0</v>
      </c>
      <c r="CT18" s="270">
        <f>SUMIFS('Monthly Cashflow'!18:18,'Monthly Cashflow'!$3:$3,CT$7)</f>
        <v>0</v>
      </c>
      <c r="CU18" s="270">
        <f>SUMIFS('Monthly Cashflow'!18:18,'Monthly Cashflow'!$3:$3,CU$7)</f>
        <v>0</v>
      </c>
      <c r="CV18" s="270">
        <f>SUMIFS('Monthly Cashflow'!18:18,'Monthly Cashflow'!$3:$3,CV$7)</f>
        <v>0</v>
      </c>
      <c r="CW18" s="270">
        <f>SUMIFS('Monthly Cashflow'!18:18,'Monthly Cashflow'!$3:$3,CW$7)</f>
        <v>0</v>
      </c>
      <c r="CX18" s="270">
        <f>SUMIFS('Monthly Cashflow'!18:18,'Monthly Cashflow'!$3:$3,CX$7)</f>
        <v>0</v>
      </c>
    </row>
    <row r="19" spans="1:102" x14ac:dyDescent="0.3">
      <c r="A19" s="1" t="s">
        <v>25</v>
      </c>
      <c r="B19" s="257">
        <f t="shared" si="15"/>
        <v>-5.0220524267570994</v>
      </c>
      <c r="C19" s="270">
        <f>SUMIFS('Monthly Cashflow'!19:19,'Monthly Cashflow'!$3:$3,C$7)</f>
        <v>0</v>
      </c>
      <c r="D19" s="270">
        <f>SUMIFS('Monthly Cashflow'!19:19,'Monthly Cashflow'!$3:$3,D$7)</f>
        <v>-0.58931959283969093</v>
      </c>
      <c r="E19" s="270">
        <f>SUMIFS('Monthly Cashflow'!19:19,'Monthly Cashflow'!$3:$3,E$7)</f>
        <v>-9.0333660216302986E-2</v>
      </c>
      <c r="F19" s="270">
        <f>SUMIFS('Monthly Cashflow'!19:19,'Monthly Cashflow'!$3:$3,F$7)</f>
        <v>-9.0333660216302986E-2</v>
      </c>
      <c r="G19" s="270">
        <f>SUMIFS('Monthly Cashflow'!19:19,'Monthly Cashflow'!$3:$3,G$7)</f>
        <v>-9.0333660216302986E-2</v>
      </c>
      <c r="H19" s="270">
        <f>SUMIFS('Monthly Cashflow'!19:19,'Monthly Cashflow'!$3:$3,H$7)</f>
        <v>-1.1414809985173748</v>
      </c>
      <c r="I19" s="270">
        <f>SUMIFS('Monthly Cashflow'!19:19,'Monthly Cashflow'!$3:$3,I$7)</f>
        <v>-0.17497153991872166</v>
      </c>
      <c r="J19" s="270">
        <f>SUMIFS('Monthly Cashflow'!19:19,'Monthly Cashflow'!$3:$3,J$7)</f>
        <v>-0.17497153991872166</v>
      </c>
      <c r="K19" s="270">
        <f>SUMIFS('Monthly Cashflow'!19:19,'Monthly Cashflow'!$3:$3,K$7)</f>
        <v>-0.6507976294435327</v>
      </c>
      <c r="L19" s="270">
        <f>SUMIFS('Monthly Cashflow'!19:19,'Monthly Cashflow'!$3:$3,L$7)</f>
        <v>-7.2936845839569595E-2</v>
      </c>
      <c r="M19" s="270">
        <f>SUMIFS('Monthly Cashflow'!19:19,'Monthly Cashflow'!$3:$3,M$7)</f>
        <v>-7.2936845839569595E-2</v>
      </c>
      <c r="N19" s="270">
        <f>SUMIFS('Monthly Cashflow'!19:19,'Monthly Cashflow'!$3:$3,N$7)</f>
        <v>-1.0937328885186375</v>
      </c>
      <c r="O19" s="270">
        <f>SUMIFS('Monthly Cashflow'!19:19,'Monthly Cashflow'!$3:$3,O$7)</f>
        <v>-0.15647238610409067</v>
      </c>
      <c r="P19" s="270">
        <f>SUMIFS('Monthly Cashflow'!19:19,'Monthly Cashflow'!$3:$3,P$7)</f>
        <v>-0.15647238610409067</v>
      </c>
      <c r="Q19" s="270">
        <f>SUMIFS('Monthly Cashflow'!19:19,'Monthly Cashflow'!$3:$3,Q$7)</f>
        <v>-0.37381287097616067</v>
      </c>
      <c r="R19" s="270">
        <f>SUMIFS('Monthly Cashflow'!19:19,'Monthly Cashflow'!$3:$3,R$7)</f>
        <v>-2.3286480522007498E-2</v>
      </c>
      <c r="S19" s="270">
        <f>SUMIFS('Monthly Cashflow'!19:19,'Monthly Cashflow'!$3:$3,S$7)</f>
        <v>-2.3286480522007498E-2</v>
      </c>
      <c r="T19" s="270">
        <f>SUMIFS('Monthly Cashflow'!19:19,'Monthly Cashflow'!$3:$3,T$7)</f>
        <v>-2.3286480522007498E-2</v>
      </c>
      <c r="U19" s="270">
        <f>SUMIFS('Monthly Cashflow'!19:19,'Monthly Cashflow'!$3:$3,U$7)</f>
        <v>-2.3286480522007498E-2</v>
      </c>
      <c r="V19" s="270">
        <f>SUMIFS('Monthly Cashflow'!19:19,'Monthly Cashflow'!$3:$3,V$7)</f>
        <v>0</v>
      </c>
      <c r="W19" s="270">
        <f>SUMIFS('Monthly Cashflow'!19:19,'Monthly Cashflow'!$3:$3,W$7)</f>
        <v>0</v>
      </c>
      <c r="X19" s="270">
        <f>SUMIFS('Monthly Cashflow'!19:19,'Monthly Cashflow'!$3:$3,X$7)</f>
        <v>0</v>
      </c>
      <c r="Y19" s="270">
        <f>SUMIFS('Monthly Cashflow'!19:19,'Monthly Cashflow'!$3:$3,Y$7)</f>
        <v>0</v>
      </c>
      <c r="Z19" s="270">
        <f>SUMIFS('Monthly Cashflow'!19:19,'Monthly Cashflow'!$3:$3,Z$7)</f>
        <v>0</v>
      </c>
      <c r="AA19" s="270">
        <f>SUMIFS('Monthly Cashflow'!19:19,'Monthly Cashflow'!$3:$3,AA$7)</f>
        <v>0</v>
      </c>
      <c r="AB19" s="270">
        <f>SUMIFS('Monthly Cashflow'!19:19,'Monthly Cashflow'!$3:$3,AB$7)</f>
        <v>0</v>
      </c>
      <c r="AC19" s="270">
        <f>SUMIFS('Monthly Cashflow'!19:19,'Monthly Cashflow'!$3:$3,AC$7)</f>
        <v>0</v>
      </c>
      <c r="AD19" s="270">
        <f>SUMIFS('Monthly Cashflow'!19:19,'Monthly Cashflow'!$3:$3,AD$7)</f>
        <v>0</v>
      </c>
      <c r="AE19" s="270">
        <f>SUMIFS('Monthly Cashflow'!19:19,'Monthly Cashflow'!$3:$3,AE$7)</f>
        <v>0</v>
      </c>
      <c r="AF19" s="270">
        <f>SUMIFS('Monthly Cashflow'!19:19,'Monthly Cashflow'!$3:$3,AF$7)</f>
        <v>0</v>
      </c>
      <c r="AG19" s="270">
        <f>SUMIFS('Monthly Cashflow'!19:19,'Monthly Cashflow'!$3:$3,AG$7)</f>
        <v>0</v>
      </c>
      <c r="AH19" s="270">
        <f>SUMIFS('Monthly Cashflow'!19:19,'Monthly Cashflow'!$3:$3,AH$7)</f>
        <v>0</v>
      </c>
      <c r="AI19" s="270">
        <f>SUMIFS('Monthly Cashflow'!19:19,'Monthly Cashflow'!$3:$3,AI$7)</f>
        <v>0</v>
      </c>
      <c r="AJ19" s="270">
        <f>SUMIFS('Monthly Cashflow'!19:19,'Monthly Cashflow'!$3:$3,AJ$7)</f>
        <v>0</v>
      </c>
      <c r="AK19" s="270">
        <f>SUMIFS('Monthly Cashflow'!19:19,'Monthly Cashflow'!$3:$3,AK$7)</f>
        <v>0</v>
      </c>
      <c r="AL19" s="270">
        <f>SUMIFS('Monthly Cashflow'!19:19,'Monthly Cashflow'!$3:$3,AL$7)</f>
        <v>0</v>
      </c>
      <c r="AM19" s="270">
        <f>SUMIFS('Monthly Cashflow'!19:19,'Monthly Cashflow'!$3:$3,AM$7)</f>
        <v>0</v>
      </c>
      <c r="AN19" s="270">
        <f>SUMIFS('Monthly Cashflow'!19:19,'Monthly Cashflow'!$3:$3,AN$7)</f>
        <v>0</v>
      </c>
      <c r="AO19" s="270">
        <f>SUMIFS('Monthly Cashflow'!19:19,'Monthly Cashflow'!$3:$3,AO$7)</f>
        <v>0</v>
      </c>
      <c r="AP19" s="270">
        <f>SUMIFS('Monthly Cashflow'!19:19,'Monthly Cashflow'!$3:$3,AP$7)</f>
        <v>0</v>
      </c>
      <c r="AQ19" s="270">
        <f>SUMIFS('Monthly Cashflow'!19:19,'Monthly Cashflow'!$3:$3,AQ$7)</f>
        <v>0</v>
      </c>
      <c r="AR19" s="270">
        <f>SUMIFS('Monthly Cashflow'!19:19,'Monthly Cashflow'!$3:$3,AR$7)</f>
        <v>0</v>
      </c>
      <c r="AS19" s="270">
        <f>SUMIFS('Monthly Cashflow'!19:19,'Monthly Cashflow'!$3:$3,AS$7)</f>
        <v>0</v>
      </c>
      <c r="AT19" s="270">
        <f>SUMIFS('Monthly Cashflow'!19:19,'Monthly Cashflow'!$3:$3,AT$7)</f>
        <v>0</v>
      </c>
      <c r="AU19" s="270">
        <f>SUMIFS('Monthly Cashflow'!19:19,'Monthly Cashflow'!$3:$3,AU$7)</f>
        <v>0</v>
      </c>
      <c r="AV19" s="270">
        <f>SUMIFS('Monthly Cashflow'!19:19,'Monthly Cashflow'!$3:$3,AV$7)</f>
        <v>0</v>
      </c>
      <c r="AW19" s="270">
        <f>SUMIFS('Monthly Cashflow'!19:19,'Monthly Cashflow'!$3:$3,AW$7)</f>
        <v>0</v>
      </c>
      <c r="AX19" s="270">
        <f>SUMIFS('Monthly Cashflow'!19:19,'Monthly Cashflow'!$3:$3,AX$7)</f>
        <v>0</v>
      </c>
      <c r="AY19" s="270">
        <f>SUMIFS('Monthly Cashflow'!19:19,'Monthly Cashflow'!$3:$3,AY$7)</f>
        <v>0</v>
      </c>
      <c r="AZ19" s="270">
        <f>SUMIFS('Monthly Cashflow'!19:19,'Monthly Cashflow'!$3:$3,AZ$7)</f>
        <v>0</v>
      </c>
      <c r="BA19" s="270">
        <f>SUMIFS('Monthly Cashflow'!19:19,'Monthly Cashflow'!$3:$3,BA$7)</f>
        <v>0</v>
      </c>
      <c r="BB19" s="270">
        <f>SUMIFS('Monthly Cashflow'!19:19,'Monthly Cashflow'!$3:$3,BB$7)</f>
        <v>0</v>
      </c>
      <c r="BC19" s="270">
        <f>SUMIFS('Monthly Cashflow'!19:19,'Monthly Cashflow'!$3:$3,BC$7)</f>
        <v>0</v>
      </c>
      <c r="BD19" s="270">
        <f>SUMIFS('Monthly Cashflow'!19:19,'Monthly Cashflow'!$3:$3,BD$7)</f>
        <v>0</v>
      </c>
      <c r="BE19" s="270">
        <f>SUMIFS('Monthly Cashflow'!19:19,'Monthly Cashflow'!$3:$3,BE$7)</f>
        <v>0</v>
      </c>
      <c r="BF19" s="270">
        <f>SUMIFS('Monthly Cashflow'!19:19,'Monthly Cashflow'!$3:$3,BF$7)</f>
        <v>0</v>
      </c>
      <c r="BG19" s="270">
        <f>SUMIFS('Monthly Cashflow'!19:19,'Monthly Cashflow'!$3:$3,BG$7)</f>
        <v>0</v>
      </c>
      <c r="BH19" s="270">
        <f>SUMIFS('Monthly Cashflow'!19:19,'Monthly Cashflow'!$3:$3,BH$7)</f>
        <v>0</v>
      </c>
      <c r="BI19" s="270">
        <f>SUMIFS('Monthly Cashflow'!19:19,'Monthly Cashflow'!$3:$3,BI$7)</f>
        <v>0</v>
      </c>
      <c r="BJ19" s="270">
        <f>SUMIFS('Monthly Cashflow'!19:19,'Monthly Cashflow'!$3:$3,BJ$7)</f>
        <v>0</v>
      </c>
      <c r="BK19" s="270">
        <f>SUMIFS('Monthly Cashflow'!19:19,'Monthly Cashflow'!$3:$3,BK$7)</f>
        <v>0</v>
      </c>
      <c r="BL19" s="270">
        <f>SUMIFS('Monthly Cashflow'!19:19,'Monthly Cashflow'!$3:$3,BL$7)</f>
        <v>0</v>
      </c>
      <c r="BM19" s="270">
        <f>SUMIFS('Monthly Cashflow'!19:19,'Monthly Cashflow'!$3:$3,BM$7)</f>
        <v>0</v>
      </c>
      <c r="BN19" s="270">
        <f>SUMIFS('Monthly Cashflow'!19:19,'Monthly Cashflow'!$3:$3,BN$7)</f>
        <v>0</v>
      </c>
      <c r="BO19" s="270">
        <f>SUMIFS('Monthly Cashflow'!19:19,'Monthly Cashflow'!$3:$3,BO$7)</f>
        <v>0</v>
      </c>
      <c r="BP19" s="270">
        <f>SUMIFS('Monthly Cashflow'!19:19,'Monthly Cashflow'!$3:$3,BP$7)</f>
        <v>0</v>
      </c>
      <c r="BQ19" s="270">
        <f>SUMIFS('Monthly Cashflow'!19:19,'Monthly Cashflow'!$3:$3,BQ$7)</f>
        <v>0</v>
      </c>
      <c r="BR19" s="270">
        <f>SUMIFS('Monthly Cashflow'!19:19,'Monthly Cashflow'!$3:$3,BR$7)</f>
        <v>0</v>
      </c>
      <c r="BS19" s="270">
        <f>SUMIFS('Monthly Cashflow'!19:19,'Monthly Cashflow'!$3:$3,BS$7)</f>
        <v>0</v>
      </c>
      <c r="BT19" s="270">
        <f>SUMIFS('Monthly Cashflow'!19:19,'Monthly Cashflow'!$3:$3,BT$7)</f>
        <v>0</v>
      </c>
      <c r="BU19" s="270">
        <f>SUMIFS('Monthly Cashflow'!19:19,'Monthly Cashflow'!$3:$3,BU$7)</f>
        <v>0</v>
      </c>
      <c r="BV19" s="270">
        <f>SUMIFS('Monthly Cashflow'!19:19,'Monthly Cashflow'!$3:$3,BV$7)</f>
        <v>0</v>
      </c>
      <c r="BW19" s="270">
        <f>SUMIFS('Monthly Cashflow'!19:19,'Monthly Cashflow'!$3:$3,BW$7)</f>
        <v>0</v>
      </c>
      <c r="BX19" s="270">
        <f>SUMIFS('Monthly Cashflow'!19:19,'Monthly Cashflow'!$3:$3,BX$7)</f>
        <v>0</v>
      </c>
      <c r="BY19" s="270">
        <f>SUMIFS('Monthly Cashflow'!19:19,'Monthly Cashflow'!$3:$3,BY$7)</f>
        <v>0</v>
      </c>
      <c r="BZ19" s="270">
        <f>SUMIFS('Monthly Cashflow'!19:19,'Monthly Cashflow'!$3:$3,BZ$7)</f>
        <v>0</v>
      </c>
      <c r="CA19" s="270">
        <f>SUMIFS('Monthly Cashflow'!19:19,'Monthly Cashflow'!$3:$3,CA$7)</f>
        <v>0</v>
      </c>
      <c r="CB19" s="270">
        <f>SUMIFS('Monthly Cashflow'!19:19,'Monthly Cashflow'!$3:$3,CB$7)</f>
        <v>0</v>
      </c>
      <c r="CC19" s="270">
        <f>SUMIFS('Monthly Cashflow'!19:19,'Monthly Cashflow'!$3:$3,CC$7)</f>
        <v>0</v>
      </c>
      <c r="CD19" s="270">
        <f>SUMIFS('Monthly Cashflow'!19:19,'Monthly Cashflow'!$3:$3,CD$7)</f>
        <v>0</v>
      </c>
      <c r="CE19" s="270">
        <f>SUMIFS('Monthly Cashflow'!19:19,'Monthly Cashflow'!$3:$3,CE$7)</f>
        <v>0</v>
      </c>
      <c r="CF19" s="270">
        <f>SUMIFS('Monthly Cashflow'!19:19,'Monthly Cashflow'!$3:$3,CF$7)</f>
        <v>0</v>
      </c>
      <c r="CG19" s="270">
        <f>SUMIFS('Monthly Cashflow'!19:19,'Monthly Cashflow'!$3:$3,CG$7)</f>
        <v>0</v>
      </c>
      <c r="CH19" s="270">
        <f>SUMIFS('Monthly Cashflow'!19:19,'Monthly Cashflow'!$3:$3,CH$7)</f>
        <v>0</v>
      </c>
      <c r="CI19" s="270">
        <f>SUMIFS('Monthly Cashflow'!19:19,'Monthly Cashflow'!$3:$3,CI$7)</f>
        <v>0</v>
      </c>
      <c r="CJ19" s="270">
        <f>SUMIFS('Monthly Cashflow'!19:19,'Monthly Cashflow'!$3:$3,CJ$7)</f>
        <v>0</v>
      </c>
      <c r="CK19" s="270">
        <f>SUMIFS('Monthly Cashflow'!19:19,'Monthly Cashflow'!$3:$3,CK$7)</f>
        <v>0</v>
      </c>
      <c r="CL19" s="270">
        <f>SUMIFS('Monthly Cashflow'!19:19,'Monthly Cashflow'!$3:$3,CL$7)</f>
        <v>0</v>
      </c>
      <c r="CM19" s="270">
        <f>SUMIFS('Monthly Cashflow'!19:19,'Monthly Cashflow'!$3:$3,CM$7)</f>
        <v>0</v>
      </c>
      <c r="CN19" s="270">
        <f>SUMIFS('Monthly Cashflow'!19:19,'Monthly Cashflow'!$3:$3,CN$7)</f>
        <v>0</v>
      </c>
      <c r="CO19" s="270">
        <f>SUMIFS('Monthly Cashflow'!19:19,'Monthly Cashflow'!$3:$3,CO$7)</f>
        <v>0</v>
      </c>
      <c r="CP19" s="270">
        <f>SUMIFS('Monthly Cashflow'!19:19,'Monthly Cashflow'!$3:$3,CP$7)</f>
        <v>0</v>
      </c>
      <c r="CQ19" s="270">
        <f>SUMIFS('Monthly Cashflow'!19:19,'Monthly Cashflow'!$3:$3,CQ$7)</f>
        <v>0</v>
      </c>
      <c r="CR19" s="270">
        <f>SUMIFS('Monthly Cashflow'!19:19,'Monthly Cashflow'!$3:$3,CR$7)</f>
        <v>0</v>
      </c>
      <c r="CS19" s="270">
        <f>SUMIFS('Monthly Cashflow'!19:19,'Monthly Cashflow'!$3:$3,CS$7)</f>
        <v>0</v>
      </c>
      <c r="CT19" s="270">
        <f>SUMIFS('Monthly Cashflow'!19:19,'Monthly Cashflow'!$3:$3,CT$7)</f>
        <v>0</v>
      </c>
      <c r="CU19" s="270">
        <f>SUMIFS('Monthly Cashflow'!19:19,'Monthly Cashflow'!$3:$3,CU$7)</f>
        <v>0</v>
      </c>
      <c r="CV19" s="270">
        <f>SUMIFS('Monthly Cashflow'!19:19,'Monthly Cashflow'!$3:$3,CV$7)</f>
        <v>0</v>
      </c>
      <c r="CW19" s="270">
        <f>SUMIFS('Monthly Cashflow'!19:19,'Monthly Cashflow'!$3:$3,CW$7)</f>
        <v>0</v>
      </c>
      <c r="CX19" s="270">
        <f>SUMIFS('Monthly Cashflow'!19:19,'Monthly Cashflow'!$3:$3,CX$7)</f>
        <v>0</v>
      </c>
    </row>
    <row r="20" spans="1:102" x14ac:dyDescent="0.3">
      <c r="A20" s="1" t="s">
        <v>263</v>
      </c>
      <c r="B20" s="257">
        <f t="shared" si="15"/>
        <v>-18.414192231442701</v>
      </c>
      <c r="C20" s="270">
        <f>SUMIFS('Monthly Cashflow'!20:20,'Monthly Cashflow'!$3:$3,C$7)</f>
        <v>0</v>
      </c>
      <c r="D20" s="270">
        <f>SUMIFS('Monthly Cashflow'!20:20,'Monthly Cashflow'!$3:$3,D$7)</f>
        <v>-0.88326245544829574</v>
      </c>
      <c r="E20" s="270">
        <f>SUMIFS('Monthly Cashflow'!20:20,'Monthly Cashflow'!$3:$3,E$7)</f>
        <v>-0.75708210466996784</v>
      </c>
      <c r="F20" s="270">
        <f>SUMIFS('Monthly Cashflow'!20:20,'Monthly Cashflow'!$3:$3,F$7)</f>
        <v>-0.75708210466996784</v>
      </c>
      <c r="G20" s="270">
        <f>SUMIFS('Monthly Cashflow'!20:20,'Monthly Cashflow'!$3:$3,G$7)</f>
        <v>-0.75708210466996784</v>
      </c>
      <c r="H20" s="270">
        <f>SUMIFS('Monthly Cashflow'!20:20,'Monthly Cashflow'!$3:$3,H$7)</f>
        <v>-1.7108328347608339</v>
      </c>
      <c r="I20" s="270">
        <f>SUMIFS('Monthly Cashflow'!20:20,'Monthly Cashflow'!$3:$3,I$7)</f>
        <v>-1.466428144080715</v>
      </c>
      <c r="J20" s="270">
        <f>SUMIFS('Monthly Cashflow'!20:20,'Monthly Cashflow'!$3:$3,J$7)</f>
        <v>-1.466428144080715</v>
      </c>
      <c r="K20" s="270">
        <f>SUMIFS('Monthly Cashflow'!20:20,'Monthly Cashflow'!$3:$3,K$7)</f>
        <v>-2.1795884145120619</v>
      </c>
      <c r="L20" s="270">
        <f>SUMIFS('Monthly Cashflow'!20:20,'Monthly Cashflow'!$3:$3,L$7)</f>
        <v>-0.61128023179829749</v>
      </c>
      <c r="M20" s="270">
        <f>SUMIFS('Monthly Cashflow'!20:20,'Monthly Cashflow'!$3:$3,M$7)</f>
        <v>-0.61128023179829749</v>
      </c>
      <c r="N20" s="270">
        <f>SUMIFS('Monthly Cashflow'!20:20,'Monthly Cashflow'!$3:$3,N$7)</f>
        <v>-2.1412324514827397</v>
      </c>
      <c r="O20" s="270">
        <f>SUMIFS('Monthly Cashflow'!20:20,'Monthly Cashflow'!$3:$3,O$7)</f>
        <v>-1.3113876168723793</v>
      </c>
      <c r="P20" s="270">
        <f>SUMIFS('Monthly Cashflow'!20:20,'Monthly Cashflow'!$3:$3,P$7)</f>
        <v>-1.3113876168723793</v>
      </c>
      <c r="Q20" s="270">
        <f>SUMIFS('Monthly Cashflow'!20:20,'Monthly Cashflow'!$3:$3,Q$7)</f>
        <v>-1.539077648643119</v>
      </c>
      <c r="R20" s="270">
        <f>SUMIFS('Monthly Cashflow'!20:20,'Monthly Cashflow'!$3:$3,R$7)</f>
        <v>-0.22769003177073996</v>
      </c>
      <c r="S20" s="270">
        <f>SUMIFS('Monthly Cashflow'!20:20,'Monthly Cashflow'!$3:$3,S$7)</f>
        <v>-0.22769003177073996</v>
      </c>
      <c r="T20" s="270">
        <f>SUMIFS('Monthly Cashflow'!20:20,'Monthly Cashflow'!$3:$3,T$7)</f>
        <v>-0.22769003177073996</v>
      </c>
      <c r="U20" s="270">
        <f>SUMIFS('Monthly Cashflow'!20:20,'Monthly Cashflow'!$3:$3,U$7)</f>
        <v>-0.22769003177073996</v>
      </c>
      <c r="V20" s="270">
        <f>SUMIFS('Monthly Cashflow'!20:20,'Monthly Cashflow'!$3:$3,V$7)</f>
        <v>0</v>
      </c>
      <c r="W20" s="270">
        <f>SUMIFS('Monthly Cashflow'!20:20,'Monthly Cashflow'!$3:$3,W$7)</f>
        <v>0</v>
      </c>
      <c r="X20" s="270">
        <f>SUMIFS('Monthly Cashflow'!20:20,'Monthly Cashflow'!$3:$3,X$7)</f>
        <v>0</v>
      </c>
      <c r="Y20" s="270">
        <f>SUMIFS('Monthly Cashflow'!20:20,'Monthly Cashflow'!$3:$3,Y$7)</f>
        <v>0</v>
      </c>
      <c r="Z20" s="270">
        <f>SUMIFS('Monthly Cashflow'!20:20,'Monthly Cashflow'!$3:$3,Z$7)</f>
        <v>0</v>
      </c>
      <c r="AA20" s="270">
        <f>SUMIFS('Monthly Cashflow'!20:20,'Monthly Cashflow'!$3:$3,AA$7)</f>
        <v>0</v>
      </c>
      <c r="AB20" s="270">
        <f>SUMIFS('Monthly Cashflow'!20:20,'Monthly Cashflow'!$3:$3,AB$7)</f>
        <v>0</v>
      </c>
      <c r="AC20" s="270">
        <f>SUMIFS('Monthly Cashflow'!20:20,'Monthly Cashflow'!$3:$3,AC$7)</f>
        <v>0</v>
      </c>
      <c r="AD20" s="270">
        <f>SUMIFS('Monthly Cashflow'!20:20,'Monthly Cashflow'!$3:$3,AD$7)</f>
        <v>0</v>
      </c>
      <c r="AE20" s="270">
        <f>SUMIFS('Monthly Cashflow'!20:20,'Monthly Cashflow'!$3:$3,AE$7)</f>
        <v>0</v>
      </c>
      <c r="AF20" s="270">
        <f>SUMIFS('Monthly Cashflow'!20:20,'Monthly Cashflow'!$3:$3,AF$7)</f>
        <v>0</v>
      </c>
      <c r="AG20" s="270">
        <f>SUMIFS('Monthly Cashflow'!20:20,'Monthly Cashflow'!$3:$3,AG$7)</f>
        <v>0</v>
      </c>
      <c r="AH20" s="270">
        <f>SUMIFS('Monthly Cashflow'!20:20,'Monthly Cashflow'!$3:$3,AH$7)</f>
        <v>0</v>
      </c>
      <c r="AI20" s="270">
        <f>SUMIFS('Monthly Cashflow'!20:20,'Monthly Cashflow'!$3:$3,AI$7)</f>
        <v>0</v>
      </c>
      <c r="AJ20" s="270">
        <f>SUMIFS('Monthly Cashflow'!20:20,'Monthly Cashflow'!$3:$3,AJ$7)</f>
        <v>0</v>
      </c>
      <c r="AK20" s="270">
        <f>SUMIFS('Monthly Cashflow'!20:20,'Monthly Cashflow'!$3:$3,AK$7)</f>
        <v>0</v>
      </c>
      <c r="AL20" s="270">
        <f>SUMIFS('Monthly Cashflow'!20:20,'Monthly Cashflow'!$3:$3,AL$7)</f>
        <v>0</v>
      </c>
      <c r="AM20" s="270">
        <f>SUMIFS('Monthly Cashflow'!20:20,'Monthly Cashflow'!$3:$3,AM$7)</f>
        <v>0</v>
      </c>
      <c r="AN20" s="270">
        <f>SUMIFS('Monthly Cashflow'!20:20,'Monthly Cashflow'!$3:$3,AN$7)</f>
        <v>0</v>
      </c>
      <c r="AO20" s="270">
        <f>SUMIFS('Monthly Cashflow'!20:20,'Monthly Cashflow'!$3:$3,AO$7)</f>
        <v>0</v>
      </c>
      <c r="AP20" s="270">
        <f>SUMIFS('Monthly Cashflow'!20:20,'Monthly Cashflow'!$3:$3,AP$7)</f>
        <v>0</v>
      </c>
      <c r="AQ20" s="270">
        <f>SUMIFS('Monthly Cashflow'!20:20,'Monthly Cashflow'!$3:$3,AQ$7)</f>
        <v>0</v>
      </c>
      <c r="AR20" s="270">
        <f>SUMIFS('Monthly Cashflow'!20:20,'Monthly Cashflow'!$3:$3,AR$7)</f>
        <v>0</v>
      </c>
      <c r="AS20" s="270">
        <f>SUMIFS('Monthly Cashflow'!20:20,'Monthly Cashflow'!$3:$3,AS$7)</f>
        <v>0</v>
      </c>
      <c r="AT20" s="270">
        <f>SUMIFS('Monthly Cashflow'!20:20,'Monthly Cashflow'!$3:$3,AT$7)</f>
        <v>0</v>
      </c>
      <c r="AU20" s="270">
        <f>SUMIFS('Monthly Cashflow'!20:20,'Monthly Cashflow'!$3:$3,AU$7)</f>
        <v>0</v>
      </c>
      <c r="AV20" s="270">
        <f>SUMIFS('Monthly Cashflow'!20:20,'Monthly Cashflow'!$3:$3,AV$7)</f>
        <v>0</v>
      </c>
      <c r="AW20" s="270">
        <f>SUMIFS('Monthly Cashflow'!20:20,'Monthly Cashflow'!$3:$3,AW$7)</f>
        <v>0</v>
      </c>
      <c r="AX20" s="270">
        <f>SUMIFS('Monthly Cashflow'!20:20,'Monthly Cashflow'!$3:$3,AX$7)</f>
        <v>0</v>
      </c>
      <c r="AY20" s="270">
        <f>SUMIFS('Monthly Cashflow'!20:20,'Monthly Cashflow'!$3:$3,AY$7)</f>
        <v>0</v>
      </c>
      <c r="AZ20" s="270">
        <f>SUMIFS('Monthly Cashflow'!20:20,'Monthly Cashflow'!$3:$3,AZ$7)</f>
        <v>0</v>
      </c>
      <c r="BA20" s="270">
        <f>SUMIFS('Monthly Cashflow'!20:20,'Monthly Cashflow'!$3:$3,BA$7)</f>
        <v>0</v>
      </c>
      <c r="BB20" s="270">
        <f>SUMIFS('Monthly Cashflow'!20:20,'Monthly Cashflow'!$3:$3,BB$7)</f>
        <v>0</v>
      </c>
      <c r="BC20" s="270">
        <f>SUMIFS('Monthly Cashflow'!20:20,'Monthly Cashflow'!$3:$3,BC$7)</f>
        <v>0</v>
      </c>
      <c r="BD20" s="270">
        <f>SUMIFS('Monthly Cashflow'!20:20,'Monthly Cashflow'!$3:$3,BD$7)</f>
        <v>0</v>
      </c>
      <c r="BE20" s="270">
        <f>SUMIFS('Monthly Cashflow'!20:20,'Monthly Cashflow'!$3:$3,BE$7)</f>
        <v>0</v>
      </c>
      <c r="BF20" s="270">
        <f>SUMIFS('Monthly Cashflow'!20:20,'Monthly Cashflow'!$3:$3,BF$7)</f>
        <v>0</v>
      </c>
      <c r="BG20" s="270">
        <f>SUMIFS('Monthly Cashflow'!20:20,'Monthly Cashflow'!$3:$3,BG$7)</f>
        <v>0</v>
      </c>
      <c r="BH20" s="270">
        <f>SUMIFS('Monthly Cashflow'!20:20,'Monthly Cashflow'!$3:$3,BH$7)</f>
        <v>0</v>
      </c>
      <c r="BI20" s="270">
        <f>SUMIFS('Monthly Cashflow'!20:20,'Monthly Cashflow'!$3:$3,BI$7)</f>
        <v>0</v>
      </c>
      <c r="BJ20" s="270">
        <f>SUMIFS('Monthly Cashflow'!20:20,'Monthly Cashflow'!$3:$3,BJ$7)</f>
        <v>0</v>
      </c>
      <c r="BK20" s="270">
        <f>SUMIFS('Monthly Cashflow'!20:20,'Monthly Cashflow'!$3:$3,BK$7)</f>
        <v>0</v>
      </c>
      <c r="BL20" s="270">
        <f>SUMIFS('Monthly Cashflow'!20:20,'Monthly Cashflow'!$3:$3,BL$7)</f>
        <v>0</v>
      </c>
      <c r="BM20" s="270">
        <f>SUMIFS('Monthly Cashflow'!20:20,'Monthly Cashflow'!$3:$3,BM$7)</f>
        <v>0</v>
      </c>
      <c r="BN20" s="270">
        <f>SUMIFS('Monthly Cashflow'!20:20,'Monthly Cashflow'!$3:$3,BN$7)</f>
        <v>0</v>
      </c>
      <c r="BO20" s="270">
        <f>SUMIFS('Monthly Cashflow'!20:20,'Monthly Cashflow'!$3:$3,BO$7)</f>
        <v>0</v>
      </c>
      <c r="BP20" s="270">
        <f>SUMIFS('Monthly Cashflow'!20:20,'Monthly Cashflow'!$3:$3,BP$7)</f>
        <v>0</v>
      </c>
      <c r="BQ20" s="270">
        <f>SUMIFS('Monthly Cashflow'!20:20,'Monthly Cashflow'!$3:$3,BQ$7)</f>
        <v>0</v>
      </c>
      <c r="BR20" s="270">
        <f>SUMIFS('Monthly Cashflow'!20:20,'Monthly Cashflow'!$3:$3,BR$7)</f>
        <v>0</v>
      </c>
      <c r="BS20" s="270">
        <f>SUMIFS('Monthly Cashflow'!20:20,'Monthly Cashflow'!$3:$3,BS$7)</f>
        <v>0</v>
      </c>
      <c r="BT20" s="270">
        <f>SUMIFS('Monthly Cashflow'!20:20,'Monthly Cashflow'!$3:$3,BT$7)</f>
        <v>0</v>
      </c>
      <c r="BU20" s="270">
        <f>SUMIFS('Monthly Cashflow'!20:20,'Monthly Cashflow'!$3:$3,BU$7)</f>
        <v>0</v>
      </c>
      <c r="BV20" s="270">
        <f>SUMIFS('Monthly Cashflow'!20:20,'Monthly Cashflow'!$3:$3,BV$7)</f>
        <v>0</v>
      </c>
      <c r="BW20" s="270">
        <f>SUMIFS('Monthly Cashflow'!20:20,'Monthly Cashflow'!$3:$3,BW$7)</f>
        <v>0</v>
      </c>
      <c r="BX20" s="270">
        <f>SUMIFS('Monthly Cashflow'!20:20,'Monthly Cashflow'!$3:$3,BX$7)</f>
        <v>0</v>
      </c>
      <c r="BY20" s="270">
        <f>SUMIFS('Monthly Cashflow'!20:20,'Monthly Cashflow'!$3:$3,BY$7)</f>
        <v>0</v>
      </c>
      <c r="BZ20" s="270">
        <f>SUMIFS('Monthly Cashflow'!20:20,'Monthly Cashflow'!$3:$3,BZ$7)</f>
        <v>0</v>
      </c>
      <c r="CA20" s="270">
        <f>SUMIFS('Monthly Cashflow'!20:20,'Monthly Cashflow'!$3:$3,CA$7)</f>
        <v>0</v>
      </c>
      <c r="CB20" s="270">
        <f>SUMIFS('Monthly Cashflow'!20:20,'Monthly Cashflow'!$3:$3,CB$7)</f>
        <v>0</v>
      </c>
      <c r="CC20" s="270">
        <f>SUMIFS('Monthly Cashflow'!20:20,'Monthly Cashflow'!$3:$3,CC$7)</f>
        <v>0</v>
      </c>
      <c r="CD20" s="270">
        <f>SUMIFS('Monthly Cashflow'!20:20,'Monthly Cashflow'!$3:$3,CD$7)</f>
        <v>0</v>
      </c>
      <c r="CE20" s="270">
        <f>SUMIFS('Monthly Cashflow'!20:20,'Monthly Cashflow'!$3:$3,CE$7)</f>
        <v>0</v>
      </c>
      <c r="CF20" s="270">
        <f>SUMIFS('Monthly Cashflow'!20:20,'Monthly Cashflow'!$3:$3,CF$7)</f>
        <v>0</v>
      </c>
      <c r="CG20" s="270">
        <f>SUMIFS('Monthly Cashflow'!20:20,'Monthly Cashflow'!$3:$3,CG$7)</f>
        <v>0</v>
      </c>
      <c r="CH20" s="270">
        <f>SUMIFS('Monthly Cashflow'!20:20,'Monthly Cashflow'!$3:$3,CH$7)</f>
        <v>0</v>
      </c>
      <c r="CI20" s="270">
        <f>SUMIFS('Monthly Cashflow'!20:20,'Monthly Cashflow'!$3:$3,CI$7)</f>
        <v>0</v>
      </c>
      <c r="CJ20" s="270">
        <f>SUMIFS('Monthly Cashflow'!20:20,'Monthly Cashflow'!$3:$3,CJ$7)</f>
        <v>0</v>
      </c>
      <c r="CK20" s="270">
        <f>SUMIFS('Monthly Cashflow'!20:20,'Monthly Cashflow'!$3:$3,CK$7)</f>
        <v>0</v>
      </c>
      <c r="CL20" s="270">
        <f>SUMIFS('Monthly Cashflow'!20:20,'Monthly Cashflow'!$3:$3,CL$7)</f>
        <v>0</v>
      </c>
      <c r="CM20" s="270">
        <f>SUMIFS('Monthly Cashflow'!20:20,'Monthly Cashflow'!$3:$3,CM$7)</f>
        <v>0</v>
      </c>
      <c r="CN20" s="270">
        <f>SUMIFS('Monthly Cashflow'!20:20,'Monthly Cashflow'!$3:$3,CN$7)</f>
        <v>0</v>
      </c>
      <c r="CO20" s="270">
        <f>SUMIFS('Monthly Cashflow'!20:20,'Monthly Cashflow'!$3:$3,CO$7)</f>
        <v>0</v>
      </c>
      <c r="CP20" s="270">
        <f>SUMIFS('Monthly Cashflow'!20:20,'Monthly Cashflow'!$3:$3,CP$7)</f>
        <v>0</v>
      </c>
      <c r="CQ20" s="270">
        <f>SUMIFS('Monthly Cashflow'!20:20,'Monthly Cashflow'!$3:$3,CQ$7)</f>
        <v>0</v>
      </c>
      <c r="CR20" s="270">
        <f>SUMIFS('Monthly Cashflow'!20:20,'Monthly Cashflow'!$3:$3,CR$7)</f>
        <v>0</v>
      </c>
      <c r="CS20" s="270">
        <f>SUMIFS('Monthly Cashflow'!20:20,'Monthly Cashflow'!$3:$3,CS$7)</f>
        <v>0</v>
      </c>
      <c r="CT20" s="270">
        <f>SUMIFS('Monthly Cashflow'!20:20,'Monthly Cashflow'!$3:$3,CT$7)</f>
        <v>0</v>
      </c>
      <c r="CU20" s="270">
        <f>SUMIFS('Monthly Cashflow'!20:20,'Monthly Cashflow'!$3:$3,CU$7)</f>
        <v>0</v>
      </c>
      <c r="CV20" s="270">
        <f>SUMIFS('Monthly Cashflow'!20:20,'Monthly Cashflow'!$3:$3,CV$7)</f>
        <v>0</v>
      </c>
      <c r="CW20" s="270">
        <f>SUMIFS('Monthly Cashflow'!20:20,'Monthly Cashflow'!$3:$3,CW$7)</f>
        <v>0</v>
      </c>
      <c r="CX20" s="270">
        <f>SUMIFS('Monthly Cashflow'!20:20,'Monthly Cashflow'!$3:$3,CX$7)</f>
        <v>0</v>
      </c>
    </row>
    <row r="21" spans="1:102" x14ac:dyDescent="0.3">
      <c r="A21" s="1" t="s">
        <v>399</v>
      </c>
      <c r="B21" s="257">
        <f t="shared" si="15"/>
        <v>-34.099735977680709</v>
      </c>
      <c r="C21" s="270">
        <f>SUMIFS('Monthly Cashflow'!21:21,'Monthly Cashflow'!$3:$3,C$7)</f>
        <v>0</v>
      </c>
      <c r="D21" s="270">
        <f>SUMIFS('Monthly Cashflow'!21:21,'Monthly Cashflow'!$3:$3,D$7)</f>
        <v>-1.5048727471462588</v>
      </c>
      <c r="E21" s="270">
        <f>SUMIFS('Monthly Cashflow'!21:21,'Monthly Cashflow'!$3:$3,E$7)</f>
        <v>-1.4455679822804446</v>
      </c>
      <c r="F21" s="270">
        <f>SUMIFS('Monthly Cashflow'!21:21,'Monthly Cashflow'!$3:$3,F$7)</f>
        <v>-1.4455679822804446</v>
      </c>
      <c r="G21" s="270">
        <f>SUMIFS('Monthly Cashflow'!21:21,'Monthly Cashflow'!$3:$3,G$7)</f>
        <v>-1.4455679822804446</v>
      </c>
      <c r="H21" s="270">
        <f>SUMIFS('Monthly Cashflow'!21:21,'Monthly Cashflow'!$3:$3,H$7)</f>
        <v>-2.9148592154840753</v>
      </c>
      <c r="I21" s="270">
        <f>SUMIFS('Monthly Cashflow'!21:21,'Monthly Cashflow'!$3:$3,I$7)</f>
        <v>-2.7999890108644196</v>
      </c>
      <c r="J21" s="270">
        <f>SUMIFS('Monthly Cashflow'!21:21,'Monthly Cashflow'!$3:$3,J$7)</f>
        <v>-2.7999890108644196</v>
      </c>
      <c r="K21" s="270">
        <f>SUMIFS('Monthly Cashflow'!21:21,'Monthly Cashflow'!$3:$3,K$7)</f>
        <v>-4.0150473988889441</v>
      </c>
      <c r="L21" s="270">
        <f>SUMIFS('Monthly Cashflow'!21:21,'Monthly Cashflow'!$3:$3,L$7)</f>
        <v>-1.1671747698669916</v>
      </c>
      <c r="M21" s="270">
        <f>SUMIFS('Monthly Cashflow'!21:21,'Monthly Cashflow'!$3:$3,M$7)</f>
        <v>-1.1671747698669916</v>
      </c>
      <c r="N21" s="270">
        <f>SUMIFS('Monthly Cashflow'!21:21,'Monthly Cashflow'!$3:$3,N$7)</f>
        <v>-3.7738557010410436</v>
      </c>
      <c r="O21" s="270">
        <f>SUMIFS('Monthly Cashflow'!21:21,'Monthly Cashflow'!$3:$3,O$7)</f>
        <v>-2.5039555678523824</v>
      </c>
      <c r="P21" s="270">
        <f>SUMIFS('Monthly Cashflow'!21:21,'Monthly Cashflow'!$3:$3,P$7)</f>
        <v>-2.5039555678523824</v>
      </c>
      <c r="Q21" s="270">
        <f>SUMIFS('Monthly Cashflow'!21:21,'Monthly Cashflow'!$3:$3,Q$7)</f>
        <v>-2.9255961085041982</v>
      </c>
      <c r="R21" s="270">
        <f>SUMIFS('Monthly Cashflow'!21:21,'Monthly Cashflow'!$3:$3,R$7)</f>
        <v>-0.42164054065181578</v>
      </c>
      <c r="S21" s="270">
        <f>SUMIFS('Monthly Cashflow'!21:21,'Monthly Cashflow'!$3:$3,S$7)</f>
        <v>-0.42164054065181578</v>
      </c>
      <c r="T21" s="270">
        <f>SUMIFS('Monthly Cashflow'!21:21,'Monthly Cashflow'!$3:$3,T$7)</f>
        <v>-0.42164054065181578</v>
      </c>
      <c r="U21" s="270">
        <f>SUMIFS('Monthly Cashflow'!21:21,'Monthly Cashflow'!$3:$3,U$7)</f>
        <v>-0.42164054065181578</v>
      </c>
      <c r="V21" s="270">
        <f>SUMIFS('Monthly Cashflow'!21:21,'Monthly Cashflow'!$3:$3,V$7)</f>
        <v>0</v>
      </c>
      <c r="W21" s="270">
        <f>SUMIFS('Monthly Cashflow'!21:21,'Monthly Cashflow'!$3:$3,W$7)</f>
        <v>0</v>
      </c>
      <c r="X21" s="270">
        <f>SUMIFS('Monthly Cashflow'!21:21,'Monthly Cashflow'!$3:$3,X$7)</f>
        <v>0</v>
      </c>
      <c r="Y21" s="270">
        <f>SUMIFS('Monthly Cashflow'!21:21,'Monthly Cashflow'!$3:$3,Y$7)</f>
        <v>0</v>
      </c>
      <c r="Z21" s="270">
        <f>SUMIFS('Monthly Cashflow'!21:21,'Monthly Cashflow'!$3:$3,Z$7)</f>
        <v>0</v>
      </c>
      <c r="AA21" s="270">
        <f>SUMIFS('Monthly Cashflow'!21:21,'Monthly Cashflow'!$3:$3,AA$7)</f>
        <v>0</v>
      </c>
      <c r="AB21" s="270">
        <f>SUMIFS('Monthly Cashflow'!21:21,'Monthly Cashflow'!$3:$3,AB$7)</f>
        <v>0</v>
      </c>
      <c r="AC21" s="270">
        <f>SUMIFS('Monthly Cashflow'!21:21,'Monthly Cashflow'!$3:$3,AC$7)</f>
        <v>0</v>
      </c>
      <c r="AD21" s="270">
        <f>SUMIFS('Monthly Cashflow'!21:21,'Monthly Cashflow'!$3:$3,AD$7)</f>
        <v>0</v>
      </c>
      <c r="AE21" s="270">
        <f>SUMIFS('Monthly Cashflow'!21:21,'Monthly Cashflow'!$3:$3,AE$7)</f>
        <v>0</v>
      </c>
      <c r="AF21" s="270">
        <f>SUMIFS('Monthly Cashflow'!21:21,'Monthly Cashflow'!$3:$3,AF$7)</f>
        <v>0</v>
      </c>
      <c r="AG21" s="270">
        <f>SUMIFS('Monthly Cashflow'!21:21,'Monthly Cashflow'!$3:$3,AG$7)</f>
        <v>0</v>
      </c>
      <c r="AH21" s="270">
        <f>SUMIFS('Monthly Cashflow'!21:21,'Monthly Cashflow'!$3:$3,AH$7)</f>
        <v>0</v>
      </c>
      <c r="AI21" s="270">
        <f>SUMIFS('Monthly Cashflow'!21:21,'Monthly Cashflow'!$3:$3,AI$7)</f>
        <v>0</v>
      </c>
      <c r="AJ21" s="270">
        <f>SUMIFS('Monthly Cashflow'!21:21,'Monthly Cashflow'!$3:$3,AJ$7)</f>
        <v>0</v>
      </c>
      <c r="AK21" s="270">
        <f>SUMIFS('Monthly Cashflow'!21:21,'Monthly Cashflow'!$3:$3,AK$7)</f>
        <v>0</v>
      </c>
      <c r="AL21" s="270">
        <f>SUMIFS('Monthly Cashflow'!21:21,'Monthly Cashflow'!$3:$3,AL$7)</f>
        <v>0</v>
      </c>
      <c r="AM21" s="270">
        <f>SUMIFS('Monthly Cashflow'!21:21,'Monthly Cashflow'!$3:$3,AM$7)</f>
        <v>0</v>
      </c>
      <c r="AN21" s="270">
        <f>SUMIFS('Monthly Cashflow'!21:21,'Monthly Cashflow'!$3:$3,AN$7)</f>
        <v>0</v>
      </c>
      <c r="AO21" s="270">
        <f>SUMIFS('Monthly Cashflow'!21:21,'Monthly Cashflow'!$3:$3,AO$7)</f>
        <v>0</v>
      </c>
      <c r="AP21" s="270">
        <f>SUMIFS('Monthly Cashflow'!21:21,'Monthly Cashflow'!$3:$3,AP$7)</f>
        <v>0</v>
      </c>
      <c r="AQ21" s="270">
        <f>SUMIFS('Monthly Cashflow'!21:21,'Monthly Cashflow'!$3:$3,AQ$7)</f>
        <v>0</v>
      </c>
      <c r="AR21" s="270">
        <f>SUMIFS('Monthly Cashflow'!21:21,'Monthly Cashflow'!$3:$3,AR$7)</f>
        <v>0</v>
      </c>
      <c r="AS21" s="270">
        <f>SUMIFS('Monthly Cashflow'!21:21,'Monthly Cashflow'!$3:$3,AS$7)</f>
        <v>0</v>
      </c>
      <c r="AT21" s="270">
        <f>SUMIFS('Monthly Cashflow'!21:21,'Monthly Cashflow'!$3:$3,AT$7)</f>
        <v>0</v>
      </c>
      <c r="AU21" s="270">
        <f>SUMIFS('Monthly Cashflow'!21:21,'Monthly Cashflow'!$3:$3,AU$7)</f>
        <v>0</v>
      </c>
      <c r="AV21" s="270">
        <f>SUMIFS('Monthly Cashflow'!21:21,'Monthly Cashflow'!$3:$3,AV$7)</f>
        <v>0</v>
      </c>
      <c r="AW21" s="270">
        <f>SUMIFS('Monthly Cashflow'!21:21,'Monthly Cashflow'!$3:$3,AW$7)</f>
        <v>0</v>
      </c>
      <c r="AX21" s="270">
        <f>SUMIFS('Monthly Cashflow'!21:21,'Monthly Cashflow'!$3:$3,AX$7)</f>
        <v>0</v>
      </c>
      <c r="AY21" s="270">
        <f>SUMIFS('Monthly Cashflow'!21:21,'Monthly Cashflow'!$3:$3,AY$7)</f>
        <v>0</v>
      </c>
      <c r="AZ21" s="270">
        <f>SUMIFS('Monthly Cashflow'!21:21,'Monthly Cashflow'!$3:$3,AZ$7)</f>
        <v>0</v>
      </c>
      <c r="BA21" s="270">
        <f>SUMIFS('Monthly Cashflow'!21:21,'Monthly Cashflow'!$3:$3,BA$7)</f>
        <v>0</v>
      </c>
      <c r="BB21" s="270">
        <f>SUMIFS('Monthly Cashflow'!21:21,'Monthly Cashflow'!$3:$3,BB$7)</f>
        <v>0</v>
      </c>
      <c r="BC21" s="270">
        <f>SUMIFS('Monthly Cashflow'!21:21,'Monthly Cashflow'!$3:$3,BC$7)</f>
        <v>0</v>
      </c>
      <c r="BD21" s="270">
        <f>SUMIFS('Monthly Cashflow'!21:21,'Monthly Cashflow'!$3:$3,BD$7)</f>
        <v>0</v>
      </c>
      <c r="BE21" s="270">
        <f>SUMIFS('Monthly Cashflow'!21:21,'Monthly Cashflow'!$3:$3,BE$7)</f>
        <v>0</v>
      </c>
      <c r="BF21" s="270">
        <f>SUMIFS('Monthly Cashflow'!21:21,'Monthly Cashflow'!$3:$3,BF$7)</f>
        <v>0</v>
      </c>
      <c r="BG21" s="270">
        <f>SUMIFS('Monthly Cashflow'!21:21,'Monthly Cashflow'!$3:$3,BG$7)</f>
        <v>0</v>
      </c>
      <c r="BH21" s="270">
        <f>SUMIFS('Monthly Cashflow'!21:21,'Monthly Cashflow'!$3:$3,BH$7)</f>
        <v>0</v>
      </c>
      <c r="BI21" s="270">
        <f>SUMIFS('Monthly Cashflow'!21:21,'Monthly Cashflow'!$3:$3,BI$7)</f>
        <v>0</v>
      </c>
      <c r="BJ21" s="270">
        <f>SUMIFS('Monthly Cashflow'!21:21,'Monthly Cashflow'!$3:$3,BJ$7)</f>
        <v>0</v>
      </c>
      <c r="BK21" s="270">
        <f>SUMIFS('Monthly Cashflow'!21:21,'Monthly Cashflow'!$3:$3,BK$7)</f>
        <v>0</v>
      </c>
      <c r="BL21" s="270">
        <f>SUMIFS('Monthly Cashflow'!21:21,'Monthly Cashflow'!$3:$3,BL$7)</f>
        <v>0</v>
      </c>
      <c r="BM21" s="270">
        <f>SUMIFS('Monthly Cashflow'!21:21,'Monthly Cashflow'!$3:$3,BM$7)</f>
        <v>0</v>
      </c>
      <c r="BN21" s="270">
        <f>SUMIFS('Monthly Cashflow'!21:21,'Monthly Cashflow'!$3:$3,BN$7)</f>
        <v>0</v>
      </c>
      <c r="BO21" s="270">
        <f>SUMIFS('Monthly Cashflow'!21:21,'Monthly Cashflow'!$3:$3,BO$7)</f>
        <v>0</v>
      </c>
      <c r="BP21" s="270">
        <f>SUMIFS('Monthly Cashflow'!21:21,'Monthly Cashflow'!$3:$3,BP$7)</f>
        <v>0</v>
      </c>
      <c r="BQ21" s="270">
        <f>SUMIFS('Monthly Cashflow'!21:21,'Monthly Cashflow'!$3:$3,BQ$7)</f>
        <v>0</v>
      </c>
      <c r="BR21" s="270">
        <f>SUMIFS('Monthly Cashflow'!21:21,'Monthly Cashflow'!$3:$3,BR$7)</f>
        <v>0</v>
      </c>
      <c r="BS21" s="270">
        <f>SUMIFS('Monthly Cashflow'!21:21,'Monthly Cashflow'!$3:$3,BS$7)</f>
        <v>0</v>
      </c>
      <c r="BT21" s="270">
        <f>SUMIFS('Monthly Cashflow'!21:21,'Monthly Cashflow'!$3:$3,BT$7)</f>
        <v>0</v>
      </c>
      <c r="BU21" s="270">
        <f>SUMIFS('Monthly Cashflow'!21:21,'Monthly Cashflow'!$3:$3,BU$7)</f>
        <v>0</v>
      </c>
      <c r="BV21" s="270">
        <f>SUMIFS('Monthly Cashflow'!21:21,'Monthly Cashflow'!$3:$3,BV$7)</f>
        <v>0</v>
      </c>
      <c r="BW21" s="270">
        <f>SUMIFS('Monthly Cashflow'!21:21,'Monthly Cashflow'!$3:$3,BW$7)</f>
        <v>0</v>
      </c>
      <c r="BX21" s="270">
        <f>SUMIFS('Monthly Cashflow'!21:21,'Monthly Cashflow'!$3:$3,BX$7)</f>
        <v>0</v>
      </c>
      <c r="BY21" s="270">
        <f>SUMIFS('Monthly Cashflow'!21:21,'Monthly Cashflow'!$3:$3,BY$7)</f>
        <v>0</v>
      </c>
      <c r="BZ21" s="270">
        <f>SUMIFS('Monthly Cashflow'!21:21,'Monthly Cashflow'!$3:$3,BZ$7)</f>
        <v>0</v>
      </c>
      <c r="CA21" s="270">
        <f>SUMIFS('Monthly Cashflow'!21:21,'Monthly Cashflow'!$3:$3,CA$7)</f>
        <v>0</v>
      </c>
      <c r="CB21" s="270">
        <f>SUMIFS('Monthly Cashflow'!21:21,'Monthly Cashflow'!$3:$3,CB$7)</f>
        <v>0</v>
      </c>
      <c r="CC21" s="270">
        <f>SUMIFS('Monthly Cashflow'!21:21,'Monthly Cashflow'!$3:$3,CC$7)</f>
        <v>0</v>
      </c>
      <c r="CD21" s="270">
        <f>SUMIFS('Monthly Cashflow'!21:21,'Monthly Cashflow'!$3:$3,CD$7)</f>
        <v>0</v>
      </c>
      <c r="CE21" s="270">
        <f>SUMIFS('Monthly Cashflow'!21:21,'Monthly Cashflow'!$3:$3,CE$7)</f>
        <v>0</v>
      </c>
      <c r="CF21" s="270">
        <f>SUMIFS('Monthly Cashflow'!21:21,'Monthly Cashflow'!$3:$3,CF$7)</f>
        <v>0</v>
      </c>
      <c r="CG21" s="270">
        <f>SUMIFS('Monthly Cashflow'!21:21,'Monthly Cashflow'!$3:$3,CG$7)</f>
        <v>0</v>
      </c>
      <c r="CH21" s="270">
        <f>SUMIFS('Monthly Cashflow'!21:21,'Monthly Cashflow'!$3:$3,CH$7)</f>
        <v>0</v>
      </c>
      <c r="CI21" s="270">
        <f>SUMIFS('Monthly Cashflow'!21:21,'Monthly Cashflow'!$3:$3,CI$7)</f>
        <v>0</v>
      </c>
      <c r="CJ21" s="270">
        <f>SUMIFS('Monthly Cashflow'!21:21,'Monthly Cashflow'!$3:$3,CJ$7)</f>
        <v>0</v>
      </c>
      <c r="CK21" s="270">
        <f>SUMIFS('Monthly Cashflow'!21:21,'Monthly Cashflow'!$3:$3,CK$7)</f>
        <v>0</v>
      </c>
      <c r="CL21" s="270">
        <f>SUMIFS('Monthly Cashflow'!21:21,'Monthly Cashflow'!$3:$3,CL$7)</f>
        <v>0</v>
      </c>
      <c r="CM21" s="270">
        <f>SUMIFS('Monthly Cashflow'!21:21,'Monthly Cashflow'!$3:$3,CM$7)</f>
        <v>0</v>
      </c>
      <c r="CN21" s="270">
        <f>SUMIFS('Monthly Cashflow'!21:21,'Monthly Cashflow'!$3:$3,CN$7)</f>
        <v>0</v>
      </c>
      <c r="CO21" s="270">
        <f>SUMIFS('Monthly Cashflow'!21:21,'Monthly Cashflow'!$3:$3,CO$7)</f>
        <v>0</v>
      </c>
      <c r="CP21" s="270">
        <f>SUMIFS('Monthly Cashflow'!21:21,'Monthly Cashflow'!$3:$3,CP$7)</f>
        <v>0</v>
      </c>
      <c r="CQ21" s="270">
        <f>SUMIFS('Monthly Cashflow'!21:21,'Monthly Cashflow'!$3:$3,CQ$7)</f>
        <v>0</v>
      </c>
      <c r="CR21" s="270">
        <f>SUMIFS('Monthly Cashflow'!21:21,'Monthly Cashflow'!$3:$3,CR$7)</f>
        <v>0</v>
      </c>
      <c r="CS21" s="270">
        <f>SUMIFS('Monthly Cashflow'!21:21,'Monthly Cashflow'!$3:$3,CS$7)</f>
        <v>0</v>
      </c>
      <c r="CT21" s="270">
        <f>SUMIFS('Monthly Cashflow'!21:21,'Monthly Cashflow'!$3:$3,CT$7)</f>
        <v>0</v>
      </c>
      <c r="CU21" s="270">
        <f>SUMIFS('Monthly Cashflow'!21:21,'Monthly Cashflow'!$3:$3,CU$7)</f>
        <v>0</v>
      </c>
      <c r="CV21" s="270">
        <f>SUMIFS('Monthly Cashflow'!21:21,'Monthly Cashflow'!$3:$3,CV$7)</f>
        <v>0</v>
      </c>
      <c r="CW21" s="270">
        <f>SUMIFS('Monthly Cashflow'!21:21,'Monthly Cashflow'!$3:$3,CW$7)</f>
        <v>0</v>
      </c>
      <c r="CX21" s="270">
        <f>SUMIFS('Monthly Cashflow'!21:21,'Monthly Cashflow'!$3:$3,CX$7)</f>
        <v>0</v>
      </c>
    </row>
    <row r="22" spans="1:102" x14ac:dyDescent="0.3">
      <c r="A22" s="1" t="s">
        <v>235</v>
      </c>
      <c r="B22" s="257">
        <f t="shared" si="15"/>
        <v>-24.94286038622694</v>
      </c>
      <c r="C22" s="270">
        <f>SUMIFS('Monthly Cashflow'!22:22,'Monthly Cashflow'!$3:$3,C$7)</f>
        <v>0</v>
      </c>
      <c r="D22" s="270">
        <f>SUMIFS('Monthly Cashflow'!22:22,'Monthly Cashflow'!$3:$3,D$7)</f>
        <v>-1.1964191441981464</v>
      </c>
      <c r="E22" s="270">
        <f>SUMIFS('Monthly Cashflow'!22:22,'Monthly Cashflow'!$3:$3,E$7)</f>
        <v>-1.025502123598411</v>
      </c>
      <c r="F22" s="270">
        <f>SUMIFS('Monthly Cashflow'!22:22,'Monthly Cashflow'!$3:$3,F$7)</f>
        <v>-1.025502123598411</v>
      </c>
      <c r="G22" s="270">
        <f>SUMIFS('Monthly Cashflow'!22:22,'Monthly Cashflow'!$3:$3,G$7)</f>
        <v>-1.025502123598411</v>
      </c>
      <c r="H22" s="270">
        <f>SUMIFS('Monthly Cashflow'!22:22,'Monthly Cashflow'!$3:$3,H$7)</f>
        <v>-2.3174008398124029</v>
      </c>
      <c r="I22" s="270">
        <f>SUMIFS('Monthly Cashflow'!22:22,'Monthly Cashflow'!$3:$3,I$7)</f>
        <v>-1.9863435769820597</v>
      </c>
      <c r="J22" s="270">
        <f>SUMIFS('Monthly Cashflow'!22:22,'Monthly Cashflow'!$3:$3,J$7)</f>
        <v>-1.9863435769820597</v>
      </c>
      <c r="K22" s="270">
        <f>SUMIFS('Monthly Cashflow'!22:22,'Monthly Cashflow'!$3:$3,K$7)</f>
        <v>-2.9523515796572481</v>
      </c>
      <c r="L22" s="270">
        <f>SUMIFS('Monthly Cashflow'!22:22,'Monthly Cashflow'!$3:$3,L$7)</f>
        <v>-0.82800685943587571</v>
      </c>
      <c r="M22" s="270">
        <f>SUMIFS('Monthly Cashflow'!22:22,'Monthly Cashflow'!$3:$3,M$7)</f>
        <v>-0.82800685943587571</v>
      </c>
      <c r="N22" s="270">
        <f>SUMIFS('Monthly Cashflow'!22:22,'Monthly Cashflow'!$3:$3,N$7)</f>
        <v>-2.9003966842811661</v>
      </c>
      <c r="O22" s="270">
        <f>SUMIFS('Monthly Cashflow'!22:22,'Monthly Cashflow'!$3:$3,O$7)</f>
        <v>-1.7763341355816773</v>
      </c>
      <c r="P22" s="270">
        <f>SUMIFS('Monthly Cashflow'!22:22,'Monthly Cashflow'!$3:$3,P$7)</f>
        <v>-1.7763341355816773</v>
      </c>
      <c r="Q22" s="270">
        <f>SUMIFS('Monthly Cashflow'!22:22,'Monthly Cashflow'!$3:$3,Q$7)</f>
        <v>-2.0847506331620433</v>
      </c>
      <c r="R22" s="270">
        <f>SUMIFS('Monthly Cashflow'!22:22,'Monthly Cashflow'!$3:$3,R$7)</f>
        <v>-0.30841649758036599</v>
      </c>
      <c r="S22" s="270">
        <f>SUMIFS('Monthly Cashflow'!22:22,'Monthly Cashflow'!$3:$3,S$7)</f>
        <v>-0.30841649758036599</v>
      </c>
      <c r="T22" s="270">
        <f>SUMIFS('Monthly Cashflow'!22:22,'Monthly Cashflow'!$3:$3,T$7)</f>
        <v>-0.30841649758036599</v>
      </c>
      <c r="U22" s="270">
        <f>SUMIFS('Monthly Cashflow'!22:22,'Monthly Cashflow'!$3:$3,U$7)</f>
        <v>-0.30841649758036599</v>
      </c>
      <c r="V22" s="270">
        <f>SUMIFS('Monthly Cashflow'!22:22,'Monthly Cashflow'!$3:$3,V$7)</f>
        <v>0</v>
      </c>
      <c r="W22" s="270">
        <f>SUMIFS('Monthly Cashflow'!22:22,'Monthly Cashflow'!$3:$3,W$7)</f>
        <v>0</v>
      </c>
      <c r="X22" s="270">
        <f>SUMIFS('Monthly Cashflow'!22:22,'Monthly Cashflow'!$3:$3,X$7)</f>
        <v>0</v>
      </c>
      <c r="Y22" s="270">
        <f>SUMIFS('Monthly Cashflow'!22:22,'Monthly Cashflow'!$3:$3,Y$7)</f>
        <v>0</v>
      </c>
      <c r="Z22" s="270">
        <f>SUMIFS('Monthly Cashflow'!22:22,'Monthly Cashflow'!$3:$3,Z$7)</f>
        <v>0</v>
      </c>
      <c r="AA22" s="270">
        <f>SUMIFS('Monthly Cashflow'!22:22,'Monthly Cashflow'!$3:$3,AA$7)</f>
        <v>0</v>
      </c>
      <c r="AB22" s="270">
        <f>SUMIFS('Monthly Cashflow'!22:22,'Monthly Cashflow'!$3:$3,AB$7)</f>
        <v>0</v>
      </c>
      <c r="AC22" s="270">
        <f>SUMIFS('Monthly Cashflow'!22:22,'Monthly Cashflow'!$3:$3,AC$7)</f>
        <v>0</v>
      </c>
      <c r="AD22" s="270">
        <f>SUMIFS('Monthly Cashflow'!22:22,'Monthly Cashflow'!$3:$3,AD$7)</f>
        <v>0</v>
      </c>
      <c r="AE22" s="270">
        <f>SUMIFS('Monthly Cashflow'!22:22,'Monthly Cashflow'!$3:$3,AE$7)</f>
        <v>0</v>
      </c>
      <c r="AF22" s="270">
        <f>SUMIFS('Monthly Cashflow'!22:22,'Monthly Cashflow'!$3:$3,AF$7)</f>
        <v>0</v>
      </c>
      <c r="AG22" s="270">
        <f>SUMIFS('Monthly Cashflow'!22:22,'Monthly Cashflow'!$3:$3,AG$7)</f>
        <v>0</v>
      </c>
      <c r="AH22" s="270">
        <f>SUMIFS('Monthly Cashflow'!22:22,'Monthly Cashflow'!$3:$3,AH$7)</f>
        <v>0</v>
      </c>
      <c r="AI22" s="270">
        <f>SUMIFS('Monthly Cashflow'!22:22,'Monthly Cashflow'!$3:$3,AI$7)</f>
        <v>0</v>
      </c>
      <c r="AJ22" s="270">
        <f>SUMIFS('Monthly Cashflow'!22:22,'Monthly Cashflow'!$3:$3,AJ$7)</f>
        <v>0</v>
      </c>
      <c r="AK22" s="270">
        <f>SUMIFS('Monthly Cashflow'!22:22,'Monthly Cashflow'!$3:$3,AK$7)</f>
        <v>0</v>
      </c>
      <c r="AL22" s="270">
        <f>SUMIFS('Monthly Cashflow'!22:22,'Monthly Cashflow'!$3:$3,AL$7)</f>
        <v>0</v>
      </c>
      <c r="AM22" s="270">
        <f>SUMIFS('Monthly Cashflow'!22:22,'Monthly Cashflow'!$3:$3,AM$7)</f>
        <v>0</v>
      </c>
      <c r="AN22" s="270">
        <f>SUMIFS('Monthly Cashflow'!22:22,'Monthly Cashflow'!$3:$3,AN$7)</f>
        <v>0</v>
      </c>
      <c r="AO22" s="270">
        <f>SUMIFS('Monthly Cashflow'!22:22,'Monthly Cashflow'!$3:$3,AO$7)</f>
        <v>0</v>
      </c>
      <c r="AP22" s="270">
        <f>SUMIFS('Monthly Cashflow'!22:22,'Monthly Cashflow'!$3:$3,AP$7)</f>
        <v>0</v>
      </c>
      <c r="AQ22" s="270">
        <f>SUMIFS('Monthly Cashflow'!22:22,'Monthly Cashflow'!$3:$3,AQ$7)</f>
        <v>0</v>
      </c>
      <c r="AR22" s="270">
        <f>SUMIFS('Monthly Cashflow'!22:22,'Monthly Cashflow'!$3:$3,AR$7)</f>
        <v>0</v>
      </c>
      <c r="AS22" s="270">
        <f>SUMIFS('Monthly Cashflow'!22:22,'Monthly Cashflow'!$3:$3,AS$7)</f>
        <v>0</v>
      </c>
      <c r="AT22" s="270">
        <f>SUMIFS('Monthly Cashflow'!22:22,'Monthly Cashflow'!$3:$3,AT$7)</f>
        <v>0</v>
      </c>
      <c r="AU22" s="270">
        <f>SUMIFS('Monthly Cashflow'!22:22,'Monthly Cashflow'!$3:$3,AU$7)</f>
        <v>0</v>
      </c>
      <c r="AV22" s="270">
        <f>SUMIFS('Monthly Cashflow'!22:22,'Monthly Cashflow'!$3:$3,AV$7)</f>
        <v>0</v>
      </c>
      <c r="AW22" s="270">
        <f>SUMIFS('Monthly Cashflow'!22:22,'Monthly Cashflow'!$3:$3,AW$7)</f>
        <v>0</v>
      </c>
      <c r="AX22" s="270">
        <f>SUMIFS('Monthly Cashflow'!22:22,'Monthly Cashflow'!$3:$3,AX$7)</f>
        <v>0</v>
      </c>
      <c r="AY22" s="270">
        <f>SUMIFS('Monthly Cashflow'!22:22,'Monthly Cashflow'!$3:$3,AY$7)</f>
        <v>0</v>
      </c>
      <c r="AZ22" s="270">
        <f>SUMIFS('Monthly Cashflow'!22:22,'Monthly Cashflow'!$3:$3,AZ$7)</f>
        <v>0</v>
      </c>
      <c r="BA22" s="270">
        <f>SUMIFS('Monthly Cashflow'!22:22,'Monthly Cashflow'!$3:$3,BA$7)</f>
        <v>0</v>
      </c>
      <c r="BB22" s="270">
        <f>SUMIFS('Monthly Cashflow'!22:22,'Monthly Cashflow'!$3:$3,BB$7)</f>
        <v>0</v>
      </c>
      <c r="BC22" s="270">
        <f>SUMIFS('Monthly Cashflow'!22:22,'Monthly Cashflow'!$3:$3,BC$7)</f>
        <v>0</v>
      </c>
      <c r="BD22" s="270">
        <f>SUMIFS('Monthly Cashflow'!22:22,'Monthly Cashflow'!$3:$3,BD$7)</f>
        <v>0</v>
      </c>
      <c r="BE22" s="270">
        <f>SUMIFS('Monthly Cashflow'!22:22,'Monthly Cashflow'!$3:$3,BE$7)</f>
        <v>0</v>
      </c>
      <c r="BF22" s="270">
        <f>SUMIFS('Monthly Cashflow'!22:22,'Monthly Cashflow'!$3:$3,BF$7)</f>
        <v>0</v>
      </c>
      <c r="BG22" s="270">
        <f>SUMIFS('Monthly Cashflow'!22:22,'Monthly Cashflow'!$3:$3,BG$7)</f>
        <v>0</v>
      </c>
      <c r="BH22" s="270">
        <f>SUMIFS('Monthly Cashflow'!22:22,'Monthly Cashflow'!$3:$3,BH$7)</f>
        <v>0</v>
      </c>
      <c r="BI22" s="270">
        <f>SUMIFS('Monthly Cashflow'!22:22,'Monthly Cashflow'!$3:$3,BI$7)</f>
        <v>0</v>
      </c>
      <c r="BJ22" s="270">
        <f>SUMIFS('Monthly Cashflow'!22:22,'Monthly Cashflow'!$3:$3,BJ$7)</f>
        <v>0</v>
      </c>
      <c r="BK22" s="270">
        <f>SUMIFS('Monthly Cashflow'!22:22,'Monthly Cashflow'!$3:$3,BK$7)</f>
        <v>0</v>
      </c>
      <c r="BL22" s="270">
        <f>SUMIFS('Monthly Cashflow'!22:22,'Monthly Cashflow'!$3:$3,BL$7)</f>
        <v>0</v>
      </c>
      <c r="BM22" s="270">
        <f>SUMIFS('Monthly Cashflow'!22:22,'Monthly Cashflow'!$3:$3,BM$7)</f>
        <v>0</v>
      </c>
      <c r="BN22" s="270">
        <f>SUMIFS('Monthly Cashflow'!22:22,'Monthly Cashflow'!$3:$3,BN$7)</f>
        <v>0</v>
      </c>
      <c r="BO22" s="270">
        <f>SUMIFS('Monthly Cashflow'!22:22,'Monthly Cashflow'!$3:$3,BO$7)</f>
        <v>0</v>
      </c>
      <c r="BP22" s="270">
        <f>SUMIFS('Monthly Cashflow'!22:22,'Monthly Cashflow'!$3:$3,BP$7)</f>
        <v>0</v>
      </c>
      <c r="BQ22" s="270">
        <f>SUMIFS('Monthly Cashflow'!22:22,'Monthly Cashflow'!$3:$3,BQ$7)</f>
        <v>0</v>
      </c>
      <c r="BR22" s="270">
        <f>SUMIFS('Monthly Cashflow'!22:22,'Monthly Cashflow'!$3:$3,BR$7)</f>
        <v>0</v>
      </c>
      <c r="BS22" s="270">
        <f>SUMIFS('Monthly Cashflow'!22:22,'Monthly Cashflow'!$3:$3,BS$7)</f>
        <v>0</v>
      </c>
      <c r="BT22" s="270">
        <f>SUMIFS('Monthly Cashflow'!22:22,'Monthly Cashflow'!$3:$3,BT$7)</f>
        <v>0</v>
      </c>
      <c r="BU22" s="270">
        <f>SUMIFS('Monthly Cashflow'!22:22,'Monthly Cashflow'!$3:$3,BU$7)</f>
        <v>0</v>
      </c>
      <c r="BV22" s="270">
        <f>SUMIFS('Monthly Cashflow'!22:22,'Monthly Cashflow'!$3:$3,BV$7)</f>
        <v>0</v>
      </c>
      <c r="BW22" s="270">
        <f>SUMIFS('Monthly Cashflow'!22:22,'Monthly Cashflow'!$3:$3,BW$7)</f>
        <v>0</v>
      </c>
      <c r="BX22" s="270">
        <f>SUMIFS('Monthly Cashflow'!22:22,'Monthly Cashflow'!$3:$3,BX$7)</f>
        <v>0</v>
      </c>
      <c r="BY22" s="270">
        <f>SUMIFS('Monthly Cashflow'!22:22,'Monthly Cashflow'!$3:$3,BY$7)</f>
        <v>0</v>
      </c>
      <c r="BZ22" s="270">
        <f>SUMIFS('Monthly Cashflow'!22:22,'Monthly Cashflow'!$3:$3,BZ$7)</f>
        <v>0</v>
      </c>
      <c r="CA22" s="270">
        <f>SUMIFS('Monthly Cashflow'!22:22,'Monthly Cashflow'!$3:$3,CA$7)</f>
        <v>0</v>
      </c>
      <c r="CB22" s="270">
        <f>SUMIFS('Monthly Cashflow'!22:22,'Monthly Cashflow'!$3:$3,CB$7)</f>
        <v>0</v>
      </c>
      <c r="CC22" s="270">
        <f>SUMIFS('Monthly Cashflow'!22:22,'Monthly Cashflow'!$3:$3,CC$7)</f>
        <v>0</v>
      </c>
      <c r="CD22" s="270">
        <f>SUMIFS('Monthly Cashflow'!22:22,'Monthly Cashflow'!$3:$3,CD$7)</f>
        <v>0</v>
      </c>
      <c r="CE22" s="270">
        <f>SUMIFS('Monthly Cashflow'!22:22,'Monthly Cashflow'!$3:$3,CE$7)</f>
        <v>0</v>
      </c>
      <c r="CF22" s="270">
        <f>SUMIFS('Monthly Cashflow'!22:22,'Monthly Cashflow'!$3:$3,CF$7)</f>
        <v>0</v>
      </c>
      <c r="CG22" s="270">
        <f>SUMIFS('Monthly Cashflow'!22:22,'Monthly Cashflow'!$3:$3,CG$7)</f>
        <v>0</v>
      </c>
      <c r="CH22" s="270">
        <f>SUMIFS('Monthly Cashflow'!22:22,'Monthly Cashflow'!$3:$3,CH$7)</f>
        <v>0</v>
      </c>
      <c r="CI22" s="270">
        <f>SUMIFS('Monthly Cashflow'!22:22,'Monthly Cashflow'!$3:$3,CI$7)</f>
        <v>0</v>
      </c>
      <c r="CJ22" s="270">
        <f>SUMIFS('Monthly Cashflow'!22:22,'Monthly Cashflow'!$3:$3,CJ$7)</f>
        <v>0</v>
      </c>
      <c r="CK22" s="270">
        <f>SUMIFS('Monthly Cashflow'!22:22,'Monthly Cashflow'!$3:$3,CK$7)</f>
        <v>0</v>
      </c>
      <c r="CL22" s="270">
        <f>SUMIFS('Monthly Cashflow'!22:22,'Monthly Cashflow'!$3:$3,CL$7)</f>
        <v>0</v>
      </c>
      <c r="CM22" s="270">
        <f>SUMIFS('Monthly Cashflow'!22:22,'Monthly Cashflow'!$3:$3,CM$7)</f>
        <v>0</v>
      </c>
      <c r="CN22" s="270">
        <f>SUMIFS('Monthly Cashflow'!22:22,'Monthly Cashflow'!$3:$3,CN$7)</f>
        <v>0</v>
      </c>
      <c r="CO22" s="270">
        <f>SUMIFS('Monthly Cashflow'!22:22,'Monthly Cashflow'!$3:$3,CO$7)</f>
        <v>0</v>
      </c>
      <c r="CP22" s="270">
        <f>SUMIFS('Monthly Cashflow'!22:22,'Monthly Cashflow'!$3:$3,CP$7)</f>
        <v>0</v>
      </c>
      <c r="CQ22" s="270">
        <f>SUMIFS('Monthly Cashflow'!22:22,'Monthly Cashflow'!$3:$3,CQ$7)</f>
        <v>0</v>
      </c>
      <c r="CR22" s="270">
        <f>SUMIFS('Monthly Cashflow'!22:22,'Monthly Cashflow'!$3:$3,CR$7)</f>
        <v>0</v>
      </c>
      <c r="CS22" s="270">
        <f>SUMIFS('Monthly Cashflow'!22:22,'Monthly Cashflow'!$3:$3,CS$7)</f>
        <v>0</v>
      </c>
      <c r="CT22" s="270">
        <f>SUMIFS('Monthly Cashflow'!22:22,'Monthly Cashflow'!$3:$3,CT$7)</f>
        <v>0</v>
      </c>
      <c r="CU22" s="270">
        <f>SUMIFS('Monthly Cashflow'!22:22,'Monthly Cashflow'!$3:$3,CU$7)</f>
        <v>0</v>
      </c>
      <c r="CV22" s="270">
        <f>SUMIFS('Monthly Cashflow'!22:22,'Monthly Cashflow'!$3:$3,CV$7)</f>
        <v>0</v>
      </c>
      <c r="CW22" s="270">
        <f>SUMIFS('Monthly Cashflow'!22:22,'Monthly Cashflow'!$3:$3,CW$7)</f>
        <v>0</v>
      </c>
      <c r="CX22" s="270">
        <f>SUMIFS('Monthly Cashflow'!22:22,'Monthly Cashflow'!$3:$3,CX$7)</f>
        <v>0</v>
      </c>
    </row>
    <row r="23" spans="1:102" x14ac:dyDescent="0.3">
      <c r="A23" s="1" t="s">
        <v>114</v>
      </c>
      <c r="B23" s="257">
        <f t="shared" si="15"/>
        <v>-18.221680221750336</v>
      </c>
      <c r="C23" s="270">
        <f>SUMIFS('Monthly Cashflow'!23:23,'Monthly Cashflow'!$3:$3,C$7)</f>
        <v>0</v>
      </c>
      <c r="D23" s="270">
        <f>SUMIFS('Monthly Cashflow'!23:23,'Monthly Cashflow'!$3:$3,D$7)</f>
        <v>-0.82606547598752877</v>
      </c>
      <c r="E23" s="270">
        <f>SUMIFS('Monthly Cashflow'!23:23,'Monthly Cashflow'!$3:$3,E$7)</f>
        <v>-0.76515477938453591</v>
      </c>
      <c r="F23" s="270">
        <f>SUMIFS('Monthly Cashflow'!23:23,'Monthly Cashflow'!$3:$3,F$7)</f>
        <v>-0.76515477938453591</v>
      </c>
      <c r="G23" s="270">
        <f>SUMIFS('Monthly Cashflow'!23:23,'Monthly Cashflow'!$3:$3,G$7)</f>
        <v>-0.76515477938453591</v>
      </c>
      <c r="H23" s="270">
        <f>SUMIFS('Monthly Cashflow'!23:23,'Monthly Cashflow'!$3:$3,H$7)</f>
        <v>-1.6000452994059482</v>
      </c>
      <c r="I23" s="270">
        <f>SUMIFS('Monthly Cashflow'!23:23,'Monthly Cashflow'!$3:$3,I$7)</f>
        <v>-1.4820644896321815</v>
      </c>
      <c r="J23" s="270">
        <f>SUMIFS('Monthly Cashflow'!23:23,'Monthly Cashflow'!$3:$3,J$7)</f>
        <v>-1.4820644896321815</v>
      </c>
      <c r="K23" s="270">
        <f>SUMIFS('Monthly Cashflow'!23:23,'Monthly Cashflow'!$3:$3,K$7)</f>
        <v>-2.1490430016422519</v>
      </c>
      <c r="L23" s="270">
        <f>SUMIFS('Monthly Cashflow'!23:23,'Monthly Cashflow'!$3:$3,L$7)</f>
        <v>-0.61779823881538931</v>
      </c>
      <c r="M23" s="270">
        <f>SUMIFS('Monthly Cashflow'!23:23,'Monthly Cashflow'!$3:$3,M$7)</f>
        <v>-0.61779823881538931</v>
      </c>
      <c r="N23" s="270">
        <f>SUMIFS('Monthly Cashflow'!23:23,'Monthly Cashflow'!$3:$3,N$7)</f>
        <v>-2.048676117520591</v>
      </c>
      <c r="O23" s="270">
        <f>SUMIFS('Monthly Cashflow'!23:23,'Monthly Cashflow'!$3:$3,O$7)</f>
        <v>-1.3253707840750144</v>
      </c>
      <c r="P23" s="270">
        <f>SUMIFS('Monthly Cashflow'!23:23,'Monthly Cashflow'!$3:$3,P$7)</f>
        <v>-1.3253707840750144</v>
      </c>
      <c r="Q23" s="270">
        <f>SUMIFS('Monthly Cashflow'!23:23,'Monthly Cashflow'!$3:$3,Q$7)</f>
        <v>-1.5584425802330628</v>
      </c>
      <c r="R23" s="270">
        <f>SUMIFS('Monthly Cashflow'!23:23,'Monthly Cashflow'!$3:$3,R$7)</f>
        <v>-0.2233690959405453</v>
      </c>
      <c r="S23" s="270">
        <f>SUMIFS('Monthly Cashflow'!23:23,'Monthly Cashflow'!$3:$3,S$7)</f>
        <v>-0.2233690959405453</v>
      </c>
      <c r="T23" s="270">
        <f>SUMIFS('Monthly Cashflow'!23:23,'Monthly Cashflow'!$3:$3,T$7)</f>
        <v>-0.2233690959405453</v>
      </c>
      <c r="U23" s="270">
        <f>SUMIFS('Monthly Cashflow'!23:23,'Monthly Cashflow'!$3:$3,U$7)</f>
        <v>-0.2233690959405453</v>
      </c>
      <c r="V23" s="270">
        <f>SUMIFS('Monthly Cashflow'!23:23,'Monthly Cashflow'!$3:$3,V$7)</f>
        <v>0</v>
      </c>
      <c r="W23" s="270">
        <f>SUMIFS('Monthly Cashflow'!23:23,'Monthly Cashflow'!$3:$3,W$7)</f>
        <v>0</v>
      </c>
      <c r="X23" s="270">
        <f>SUMIFS('Monthly Cashflow'!23:23,'Monthly Cashflow'!$3:$3,X$7)</f>
        <v>0</v>
      </c>
      <c r="Y23" s="270">
        <f>SUMIFS('Monthly Cashflow'!23:23,'Monthly Cashflow'!$3:$3,Y$7)</f>
        <v>0</v>
      </c>
      <c r="Z23" s="270">
        <f>SUMIFS('Monthly Cashflow'!23:23,'Monthly Cashflow'!$3:$3,Z$7)</f>
        <v>0</v>
      </c>
      <c r="AA23" s="270">
        <f>SUMIFS('Monthly Cashflow'!23:23,'Monthly Cashflow'!$3:$3,AA$7)</f>
        <v>0</v>
      </c>
      <c r="AB23" s="270">
        <f>SUMIFS('Monthly Cashflow'!23:23,'Monthly Cashflow'!$3:$3,AB$7)</f>
        <v>0</v>
      </c>
      <c r="AC23" s="270">
        <f>SUMIFS('Monthly Cashflow'!23:23,'Monthly Cashflow'!$3:$3,AC$7)</f>
        <v>0</v>
      </c>
      <c r="AD23" s="270">
        <f>SUMIFS('Monthly Cashflow'!23:23,'Monthly Cashflow'!$3:$3,AD$7)</f>
        <v>0</v>
      </c>
      <c r="AE23" s="270">
        <f>SUMIFS('Monthly Cashflow'!23:23,'Monthly Cashflow'!$3:$3,AE$7)</f>
        <v>0</v>
      </c>
      <c r="AF23" s="270">
        <f>SUMIFS('Monthly Cashflow'!23:23,'Monthly Cashflow'!$3:$3,AF$7)</f>
        <v>0</v>
      </c>
      <c r="AG23" s="270">
        <f>SUMIFS('Monthly Cashflow'!23:23,'Monthly Cashflow'!$3:$3,AG$7)</f>
        <v>0</v>
      </c>
      <c r="AH23" s="270">
        <f>SUMIFS('Monthly Cashflow'!23:23,'Monthly Cashflow'!$3:$3,AH$7)</f>
        <v>0</v>
      </c>
      <c r="AI23" s="270">
        <f>SUMIFS('Monthly Cashflow'!23:23,'Monthly Cashflow'!$3:$3,AI$7)</f>
        <v>0</v>
      </c>
      <c r="AJ23" s="270">
        <f>SUMIFS('Monthly Cashflow'!23:23,'Monthly Cashflow'!$3:$3,AJ$7)</f>
        <v>0</v>
      </c>
      <c r="AK23" s="270">
        <f>SUMIFS('Monthly Cashflow'!23:23,'Monthly Cashflow'!$3:$3,AK$7)</f>
        <v>0</v>
      </c>
      <c r="AL23" s="270">
        <f>SUMIFS('Monthly Cashflow'!23:23,'Monthly Cashflow'!$3:$3,AL$7)</f>
        <v>0</v>
      </c>
      <c r="AM23" s="270">
        <f>SUMIFS('Monthly Cashflow'!23:23,'Monthly Cashflow'!$3:$3,AM$7)</f>
        <v>0</v>
      </c>
      <c r="AN23" s="270">
        <f>SUMIFS('Monthly Cashflow'!23:23,'Monthly Cashflow'!$3:$3,AN$7)</f>
        <v>0</v>
      </c>
      <c r="AO23" s="270">
        <f>SUMIFS('Monthly Cashflow'!23:23,'Monthly Cashflow'!$3:$3,AO$7)</f>
        <v>0</v>
      </c>
      <c r="AP23" s="270">
        <f>SUMIFS('Monthly Cashflow'!23:23,'Monthly Cashflow'!$3:$3,AP$7)</f>
        <v>0</v>
      </c>
      <c r="AQ23" s="270">
        <f>SUMIFS('Monthly Cashflow'!23:23,'Monthly Cashflow'!$3:$3,AQ$7)</f>
        <v>0</v>
      </c>
      <c r="AR23" s="270">
        <f>SUMIFS('Monthly Cashflow'!23:23,'Monthly Cashflow'!$3:$3,AR$7)</f>
        <v>0</v>
      </c>
      <c r="AS23" s="270">
        <f>SUMIFS('Monthly Cashflow'!23:23,'Monthly Cashflow'!$3:$3,AS$7)</f>
        <v>0</v>
      </c>
      <c r="AT23" s="270">
        <f>SUMIFS('Monthly Cashflow'!23:23,'Monthly Cashflow'!$3:$3,AT$7)</f>
        <v>0</v>
      </c>
      <c r="AU23" s="270">
        <f>SUMIFS('Monthly Cashflow'!23:23,'Monthly Cashflow'!$3:$3,AU$7)</f>
        <v>0</v>
      </c>
      <c r="AV23" s="270">
        <f>SUMIFS('Monthly Cashflow'!23:23,'Monthly Cashflow'!$3:$3,AV$7)</f>
        <v>0</v>
      </c>
      <c r="AW23" s="270">
        <f>SUMIFS('Monthly Cashflow'!23:23,'Monthly Cashflow'!$3:$3,AW$7)</f>
        <v>0</v>
      </c>
      <c r="AX23" s="270">
        <f>SUMIFS('Monthly Cashflow'!23:23,'Monthly Cashflow'!$3:$3,AX$7)</f>
        <v>0</v>
      </c>
      <c r="AY23" s="270">
        <f>SUMIFS('Monthly Cashflow'!23:23,'Monthly Cashflow'!$3:$3,AY$7)</f>
        <v>0</v>
      </c>
      <c r="AZ23" s="270">
        <f>SUMIFS('Monthly Cashflow'!23:23,'Monthly Cashflow'!$3:$3,AZ$7)</f>
        <v>0</v>
      </c>
      <c r="BA23" s="270">
        <f>SUMIFS('Monthly Cashflow'!23:23,'Monthly Cashflow'!$3:$3,BA$7)</f>
        <v>0</v>
      </c>
      <c r="BB23" s="270">
        <f>SUMIFS('Monthly Cashflow'!23:23,'Monthly Cashflow'!$3:$3,BB$7)</f>
        <v>0</v>
      </c>
      <c r="BC23" s="270">
        <f>SUMIFS('Monthly Cashflow'!23:23,'Monthly Cashflow'!$3:$3,BC$7)</f>
        <v>0</v>
      </c>
      <c r="BD23" s="270">
        <f>SUMIFS('Monthly Cashflow'!23:23,'Monthly Cashflow'!$3:$3,BD$7)</f>
        <v>0</v>
      </c>
      <c r="BE23" s="270">
        <f>SUMIFS('Monthly Cashflow'!23:23,'Monthly Cashflow'!$3:$3,BE$7)</f>
        <v>0</v>
      </c>
      <c r="BF23" s="270">
        <f>SUMIFS('Monthly Cashflow'!23:23,'Monthly Cashflow'!$3:$3,BF$7)</f>
        <v>0</v>
      </c>
      <c r="BG23" s="270">
        <f>SUMIFS('Monthly Cashflow'!23:23,'Monthly Cashflow'!$3:$3,BG$7)</f>
        <v>0</v>
      </c>
      <c r="BH23" s="270">
        <f>SUMIFS('Monthly Cashflow'!23:23,'Monthly Cashflow'!$3:$3,BH$7)</f>
        <v>0</v>
      </c>
      <c r="BI23" s="270">
        <f>SUMIFS('Monthly Cashflow'!23:23,'Monthly Cashflow'!$3:$3,BI$7)</f>
        <v>0</v>
      </c>
      <c r="BJ23" s="270">
        <f>SUMIFS('Monthly Cashflow'!23:23,'Monthly Cashflow'!$3:$3,BJ$7)</f>
        <v>0</v>
      </c>
      <c r="BK23" s="270">
        <f>SUMIFS('Monthly Cashflow'!23:23,'Monthly Cashflow'!$3:$3,BK$7)</f>
        <v>0</v>
      </c>
      <c r="BL23" s="270">
        <f>SUMIFS('Monthly Cashflow'!23:23,'Monthly Cashflow'!$3:$3,BL$7)</f>
        <v>0</v>
      </c>
      <c r="BM23" s="270">
        <f>SUMIFS('Monthly Cashflow'!23:23,'Monthly Cashflow'!$3:$3,BM$7)</f>
        <v>0</v>
      </c>
      <c r="BN23" s="270">
        <f>SUMIFS('Monthly Cashflow'!23:23,'Monthly Cashflow'!$3:$3,BN$7)</f>
        <v>0</v>
      </c>
      <c r="BO23" s="270">
        <f>SUMIFS('Monthly Cashflow'!23:23,'Monthly Cashflow'!$3:$3,BO$7)</f>
        <v>0</v>
      </c>
      <c r="BP23" s="270">
        <f>SUMIFS('Monthly Cashflow'!23:23,'Monthly Cashflow'!$3:$3,BP$7)</f>
        <v>0</v>
      </c>
      <c r="BQ23" s="270">
        <f>SUMIFS('Monthly Cashflow'!23:23,'Monthly Cashflow'!$3:$3,BQ$7)</f>
        <v>0</v>
      </c>
      <c r="BR23" s="270">
        <f>SUMIFS('Monthly Cashflow'!23:23,'Monthly Cashflow'!$3:$3,BR$7)</f>
        <v>0</v>
      </c>
      <c r="BS23" s="270">
        <f>SUMIFS('Monthly Cashflow'!23:23,'Monthly Cashflow'!$3:$3,BS$7)</f>
        <v>0</v>
      </c>
      <c r="BT23" s="270">
        <f>SUMIFS('Monthly Cashflow'!23:23,'Monthly Cashflow'!$3:$3,BT$7)</f>
        <v>0</v>
      </c>
      <c r="BU23" s="270">
        <f>SUMIFS('Monthly Cashflow'!23:23,'Monthly Cashflow'!$3:$3,BU$7)</f>
        <v>0</v>
      </c>
      <c r="BV23" s="270">
        <f>SUMIFS('Monthly Cashflow'!23:23,'Monthly Cashflow'!$3:$3,BV$7)</f>
        <v>0</v>
      </c>
      <c r="BW23" s="270">
        <f>SUMIFS('Monthly Cashflow'!23:23,'Monthly Cashflow'!$3:$3,BW$7)</f>
        <v>0</v>
      </c>
      <c r="BX23" s="270">
        <f>SUMIFS('Monthly Cashflow'!23:23,'Monthly Cashflow'!$3:$3,BX$7)</f>
        <v>0</v>
      </c>
      <c r="BY23" s="270">
        <f>SUMIFS('Monthly Cashflow'!23:23,'Monthly Cashflow'!$3:$3,BY$7)</f>
        <v>0</v>
      </c>
      <c r="BZ23" s="270">
        <f>SUMIFS('Monthly Cashflow'!23:23,'Monthly Cashflow'!$3:$3,BZ$7)</f>
        <v>0</v>
      </c>
      <c r="CA23" s="270">
        <f>SUMIFS('Monthly Cashflow'!23:23,'Monthly Cashflow'!$3:$3,CA$7)</f>
        <v>0</v>
      </c>
      <c r="CB23" s="270">
        <f>SUMIFS('Monthly Cashflow'!23:23,'Monthly Cashflow'!$3:$3,CB$7)</f>
        <v>0</v>
      </c>
      <c r="CC23" s="270">
        <f>SUMIFS('Monthly Cashflow'!23:23,'Monthly Cashflow'!$3:$3,CC$7)</f>
        <v>0</v>
      </c>
      <c r="CD23" s="270">
        <f>SUMIFS('Monthly Cashflow'!23:23,'Monthly Cashflow'!$3:$3,CD$7)</f>
        <v>0</v>
      </c>
      <c r="CE23" s="270">
        <f>SUMIFS('Monthly Cashflow'!23:23,'Monthly Cashflow'!$3:$3,CE$7)</f>
        <v>0</v>
      </c>
      <c r="CF23" s="270">
        <f>SUMIFS('Monthly Cashflow'!23:23,'Monthly Cashflow'!$3:$3,CF$7)</f>
        <v>0</v>
      </c>
      <c r="CG23" s="270">
        <f>SUMIFS('Monthly Cashflow'!23:23,'Monthly Cashflow'!$3:$3,CG$7)</f>
        <v>0</v>
      </c>
      <c r="CH23" s="270">
        <f>SUMIFS('Monthly Cashflow'!23:23,'Monthly Cashflow'!$3:$3,CH$7)</f>
        <v>0</v>
      </c>
      <c r="CI23" s="270">
        <f>SUMIFS('Monthly Cashflow'!23:23,'Monthly Cashflow'!$3:$3,CI$7)</f>
        <v>0</v>
      </c>
      <c r="CJ23" s="270">
        <f>SUMIFS('Monthly Cashflow'!23:23,'Monthly Cashflow'!$3:$3,CJ$7)</f>
        <v>0</v>
      </c>
      <c r="CK23" s="270">
        <f>SUMIFS('Monthly Cashflow'!23:23,'Monthly Cashflow'!$3:$3,CK$7)</f>
        <v>0</v>
      </c>
      <c r="CL23" s="270">
        <f>SUMIFS('Monthly Cashflow'!23:23,'Monthly Cashflow'!$3:$3,CL$7)</f>
        <v>0</v>
      </c>
      <c r="CM23" s="270">
        <f>SUMIFS('Monthly Cashflow'!23:23,'Monthly Cashflow'!$3:$3,CM$7)</f>
        <v>0</v>
      </c>
      <c r="CN23" s="270">
        <f>SUMIFS('Monthly Cashflow'!23:23,'Monthly Cashflow'!$3:$3,CN$7)</f>
        <v>0</v>
      </c>
      <c r="CO23" s="270">
        <f>SUMIFS('Monthly Cashflow'!23:23,'Monthly Cashflow'!$3:$3,CO$7)</f>
        <v>0</v>
      </c>
      <c r="CP23" s="270">
        <f>SUMIFS('Monthly Cashflow'!23:23,'Monthly Cashflow'!$3:$3,CP$7)</f>
        <v>0</v>
      </c>
      <c r="CQ23" s="270">
        <f>SUMIFS('Monthly Cashflow'!23:23,'Monthly Cashflow'!$3:$3,CQ$7)</f>
        <v>0</v>
      </c>
      <c r="CR23" s="270">
        <f>SUMIFS('Monthly Cashflow'!23:23,'Monthly Cashflow'!$3:$3,CR$7)</f>
        <v>0</v>
      </c>
      <c r="CS23" s="270">
        <f>SUMIFS('Monthly Cashflow'!23:23,'Monthly Cashflow'!$3:$3,CS$7)</f>
        <v>0</v>
      </c>
      <c r="CT23" s="270">
        <f>SUMIFS('Monthly Cashflow'!23:23,'Monthly Cashflow'!$3:$3,CT$7)</f>
        <v>0</v>
      </c>
      <c r="CU23" s="270">
        <f>SUMIFS('Monthly Cashflow'!23:23,'Monthly Cashflow'!$3:$3,CU$7)</f>
        <v>0</v>
      </c>
      <c r="CV23" s="270">
        <f>SUMIFS('Monthly Cashflow'!23:23,'Monthly Cashflow'!$3:$3,CV$7)</f>
        <v>0</v>
      </c>
      <c r="CW23" s="270">
        <f>SUMIFS('Monthly Cashflow'!23:23,'Monthly Cashflow'!$3:$3,CW$7)</f>
        <v>0</v>
      </c>
      <c r="CX23" s="270">
        <f>SUMIFS('Monthly Cashflow'!23:23,'Monthly Cashflow'!$3:$3,CX$7)</f>
        <v>0</v>
      </c>
    </row>
    <row r="24" spans="1:102" x14ac:dyDescent="0.3">
      <c r="A24" s="39" t="s">
        <v>293</v>
      </c>
      <c r="B24" s="257">
        <f t="shared" si="15"/>
        <v>-416.75502063443798</v>
      </c>
      <c r="C24" s="259">
        <f>SUM(C17:C23)</f>
        <v>0</v>
      </c>
      <c r="D24" s="259">
        <f t="shared" ref="D24:BO24" si="16">SUM(D17:D23)</f>
        <v>-18.852247742884362</v>
      </c>
      <c r="E24" s="259">
        <f t="shared" si="16"/>
        <v>-17.513818349355692</v>
      </c>
      <c r="F24" s="259">
        <f t="shared" si="16"/>
        <v>-17.513818349355692</v>
      </c>
      <c r="G24" s="259">
        <f t="shared" si="16"/>
        <v>-17.513818349355692</v>
      </c>
      <c r="H24" s="259">
        <f t="shared" si="16"/>
        <v>-36.515810503008986</v>
      </c>
      <c r="I24" s="259">
        <f t="shared" si="16"/>
        <v>-33.923343293140235</v>
      </c>
      <c r="J24" s="259">
        <f t="shared" si="16"/>
        <v>-33.923343293140235</v>
      </c>
      <c r="K24" s="259">
        <f t="shared" si="16"/>
        <v>-49.144950433376231</v>
      </c>
      <c r="L24" s="259">
        <f t="shared" si="16"/>
        <v>-14.140937784990163</v>
      </c>
      <c r="M24" s="259">
        <f t="shared" si="16"/>
        <v>-14.140937784990163</v>
      </c>
      <c r="N24" s="259">
        <f t="shared" si="16"/>
        <v>-46.796054168973455</v>
      </c>
      <c r="O24" s="259">
        <f t="shared" si="16"/>
        <v>-30.33674203342769</v>
      </c>
      <c r="P24" s="259">
        <f t="shared" si="16"/>
        <v>-30.33674203342769</v>
      </c>
      <c r="Q24" s="259">
        <f t="shared" si="16"/>
        <v>-35.652890293398521</v>
      </c>
      <c r="R24" s="259">
        <f t="shared" si="16"/>
        <v>-5.1123915554032662</v>
      </c>
      <c r="S24" s="259">
        <f t="shared" si="16"/>
        <v>-5.1123915554032662</v>
      </c>
      <c r="T24" s="259">
        <f t="shared" si="16"/>
        <v>-5.1123915554032662</v>
      </c>
      <c r="U24" s="259">
        <f t="shared" si="16"/>
        <v>-5.1123915554032662</v>
      </c>
      <c r="V24" s="259">
        <f t="shared" si="16"/>
        <v>0</v>
      </c>
      <c r="W24" s="259">
        <f t="shared" si="16"/>
        <v>0</v>
      </c>
      <c r="X24" s="259">
        <f t="shared" si="16"/>
        <v>0</v>
      </c>
      <c r="Y24" s="259">
        <f t="shared" si="16"/>
        <v>0</v>
      </c>
      <c r="Z24" s="259">
        <f t="shared" si="16"/>
        <v>0</v>
      </c>
      <c r="AA24" s="259">
        <f t="shared" si="16"/>
        <v>0</v>
      </c>
      <c r="AB24" s="259">
        <f t="shared" si="16"/>
        <v>0</v>
      </c>
      <c r="AC24" s="259">
        <f t="shared" si="16"/>
        <v>0</v>
      </c>
      <c r="AD24" s="259">
        <f t="shared" si="16"/>
        <v>0</v>
      </c>
      <c r="AE24" s="259">
        <f t="shared" si="16"/>
        <v>0</v>
      </c>
      <c r="AF24" s="259">
        <f t="shared" si="16"/>
        <v>0</v>
      </c>
      <c r="AG24" s="259">
        <f t="shared" si="16"/>
        <v>0</v>
      </c>
      <c r="AH24" s="259">
        <f t="shared" si="16"/>
        <v>0</v>
      </c>
      <c r="AI24" s="259">
        <f t="shared" si="16"/>
        <v>0</v>
      </c>
      <c r="AJ24" s="259">
        <f t="shared" si="16"/>
        <v>0</v>
      </c>
      <c r="AK24" s="259">
        <f t="shared" si="16"/>
        <v>0</v>
      </c>
      <c r="AL24" s="259">
        <f t="shared" si="16"/>
        <v>0</v>
      </c>
      <c r="AM24" s="259">
        <f t="shared" si="16"/>
        <v>0</v>
      </c>
      <c r="AN24" s="259">
        <f t="shared" si="16"/>
        <v>0</v>
      </c>
      <c r="AO24" s="259">
        <f t="shared" si="16"/>
        <v>0</v>
      </c>
      <c r="AP24" s="259">
        <f t="shared" si="16"/>
        <v>0</v>
      </c>
      <c r="AQ24" s="259">
        <f t="shared" si="16"/>
        <v>0</v>
      </c>
      <c r="AR24" s="259">
        <f t="shared" si="16"/>
        <v>0</v>
      </c>
      <c r="AS24" s="259">
        <f t="shared" si="16"/>
        <v>0</v>
      </c>
      <c r="AT24" s="259">
        <f t="shared" si="16"/>
        <v>0</v>
      </c>
      <c r="AU24" s="259">
        <f t="shared" si="16"/>
        <v>0</v>
      </c>
      <c r="AV24" s="259">
        <f t="shared" si="16"/>
        <v>0</v>
      </c>
      <c r="AW24" s="259">
        <f t="shared" si="16"/>
        <v>0</v>
      </c>
      <c r="AX24" s="259">
        <f t="shared" si="16"/>
        <v>0</v>
      </c>
      <c r="AY24" s="259">
        <f t="shared" si="16"/>
        <v>0</v>
      </c>
      <c r="AZ24" s="259">
        <f t="shared" si="16"/>
        <v>0</v>
      </c>
      <c r="BA24" s="259">
        <f t="shared" si="16"/>
        <v>0</v>
      </c>
      <c r="BB24" s="259">
        <f t="shared" si="16"/>
        <v>0</v>
      </c>
      <c r="BC24" s="259">
        <f t="shared" si="16"/>
        <v>0</v>
      </c>
      <c r="BD24" s="259">
        <f t="shared" si="16"/>
        <v>0</v>
      </c>
      <c r="BE24" s="259">
        <f t="shared" si="16"/>
        <v>0</v>
      </c>
      <c r="BF24" s="259">
        <f t="shared" si="16"/>
        <v>0</v>
      </c>
      <c r="BG24" s="259">
        <f t="shared" si="16"/>
        <v>0</v>
      </c>
      <c r="BH24" s="259">
        <f t="shared" si="16"/>
        <v>0</v>
      </c>
      <c r="BI24" s="259">
        <f t="shared" si="16"/>
        <v>0</v>
      </c>
      <c r="BJ24" s="259">
        <f t="shared" si="16"/>
        <v>0</v>
      </c>
      <c r="BK24" s="259">
        <f t="shared" si="16"/>
        <v>0</v>
      </c>
      <c r="BL24" s="259">
        <f t="shared" si="16"/>
        <v>0</v>
      </c>
      <c r="BM24" s="259">
        <f t="shared" si="16"/>
        <v>0</v>
      </c>
      <c r="BN24" s="259">
        <f t="shared" si="16"/>
        <v>0</v>
      </c>
      <c r="BO24" s="259">
        <f t="shared" si="16"/>
        <v>0</v>
      </c>
      <c r="BP24" s="259">
        <f t="shared" ref="BP24:CX24" si="17">SUM(BP17:BP23)</f>
        <v>0</v>
      </c>
      <c r="BQ24" s="259">
        <f t="shared" si="17"/>
        <v>0</v>
      </c>
      <c r="BR24" s="259">
        <f t="shared" si="17"/>
        <v>0</v>
      </c>
      <c r="BS24" s="259">
        <f t="shared" si="17"/>
        <v>0</v>
      </c>
      <c r="BT24" s="259">
        <f t="shared" si="17"/>
        <v>0</v>
      </c>
      <c r="BU24" s="259">
        <f t="shared" si="17"/>
        <v>0</v>
      </c>
      <c r="BV24" s="259">
        <f t="shared" si="17"/>
        <v>0</v>
      </c>
      <c r="BW24" s="259">
        <f t="shared" si="17"/>
        <v>0</v>
      </c>
      <c r="BX24" s="259">
        <f t="shared" si="17"/>
        <v>0</v>
      </c>
      <c r="BY24" s="259">
        <f t="shared" si="17"/>
        <v>0</v>
      </c>
      <c r="BZ24" s="259">
        <f t="shared" si="17"/>
        <v>0</v>
      </c>
      <c r="CA24" s="259">
        <f t="shared" si="17"/>
        <v>0</v>
      </c>
      <c r="CB24" s="259">
        <f t="shared" si="17"/>
        <v>0</v>
      </c>
      <c r="CC24" s="259">
        <f t="shared" si="17"/>
        <v>0</v>
      </c>
      <c r="CD24" s="259">
        <f t="shared" si="17"/>
        <v>0</v>
      </c>
      <c r="CE24" s="259">
        <f t="shared" si="17"/>
        <v>0</v>
      </c>
      <c r="CF24" s="259">
        <f t="shared" si="17"/>
        <v>0</v>
      </c>
      <c r="CG24" s="259">
        <f t="shared" si="17"/>
        <v>0</v>
      </c>
      <c r="CH24" s="259">
        <f t="shared" si="17"/>
        <v>0</v>
      </c>
      <c r="CI24" s="259">
        <f t="shared" si="17"/>
        <v>0</v>
      </c>
      <c r="CJ24" s="259">
        <f t="shared" si="17"/>
        <v>0</v>
      </c>
      <c r="CK24" s="259">
        <f t="shared" si="17"/>
        <v>0</v>
      </c>
      <c r="CL24" s="259">
        <f t="shared" si="17"/>
        <v>0</v>
      </c>
      <c r="CM24" s="259">
        <f t="shared" si="17"/>
        <v>0</v>
      </c>
      <c r="CN24" s="259">
        <f t="shared" si="17"/>
        <v>0</v>
      </c>
      <c r="CO24" s="259">
        <f t="shared" si="17"/>
        <v>0</v>
      </c>
      <c r="CP24" s="259">
        <f t="shared" si="17"/>
        <v>0</v>
      </c>
      <c r="CQ24" s="259">
        <f t="shared" si="17"/>
        <v>0</v>
      </c>
      <c r="CR24" s="259">
        <f t="shared" si="17"/>
        <v>0</v>
      </c>
      <c r="CS24" s="259">
        <f t="shared" si="17"/>
        <v>0</v>
      </c>
      <c r="CT24" s="259">
        <f t="shared" si="17"/>
        <v>0</v>
      </c>
      <c r="CU24" s="259">
        <f t="shared" si="17"/>
        <v>0</v>
      </c>
      <c r="CV24" s="259">
        <f t="shared" si="17"/>
        <v>0</v>
      </c>
      <c r="CW24" s="259">
        <f t="shared" si="17"/>
        <v>0</v>
      </c>
      <c r="CX24" s="259">
        <f t="shared" si="17"/>
        <v>0</v>
      </c>
    </row>
    <row r="25" spans="1:102" x14ac:dyDescent="0.3">
      <c r="A25" s="1" t="s">
        <v>36</v>
      </c>
      <c r="B25" s="257">
        <f t="shared" si="15"/>
        <v>-0.7093294388075001</v>
      </c>
      <c r="C25" s="270">
        <f>SUMIFS('Monthly Cashflow'!25:25,'Monthly Cashflow'!$3:$3,C$7)</f>
        <v>0</v>
      </c>
      <c r="D25" s="270">
        <f>SUMIFS('Monthly Cashflow'!25:25,'Monthly Cashflow'!$3:$3,D$7)</f>
        <v>0</v>
      </c>
      <c r="E25" s="270">
        <f>SUMIFS('Monthly Cashflow'!25:25,'Monthly Cashflow'!$3:$3,E$7)</f>
        <v>0</v>
      </c>
      <c r="F25" s="270">
        <f>SUMIFS('Monthly Cashflow'!25:25,'Monthly Cashflow'!$3:$3,F$7)</f>
        <v>-4.8605682117999996E-2</v>
      </c>
      <c r="G25" s="270">
        <f>SUMIFS('Monthly Cashflow'!25:25,'Monthly Cashflow'!$3:$3,G$7)</f>
        <v>-7.2908523177000001E-2</v>
      </c>
      <c r="H25" s="270">
        <f>SUMIFS('Monthly Cashflow'!25:25,'Monthly Cashflow'!$3:$3,H$7)</f>
        <v>0</v>
      </c>
      <c r="I25" s="270">
        <f>SUMIFS('Monthly Cashflow'!25:25,'Monthly Cashflow'!$3:$3,I$7)</f>
        <v>0</v>
      </c>
      <c r="J25" s="270">
        <f>SUMIFS('Monthly Cashflow'!25:25,'Monthly Cashflow'!$3:$3,J$7)</f>
        <v>-9.4146645100199988E-2</v>
      </c>
      <c r="K25" s="270">
        <f>SUMIFS('Monthly Cashflow'!25:25,'Monthly Cashflow'!$3:$3,K$7)</f>
        <v>-0.14121996765029998</v>
      </c>
      <c r="L25" s="270">
        <f>SUMIFS('Monthly Cashflow'!25:25,'Monthly Cashflow'!$3:$3,L$7)</f>
        <v>0</v>
      </c>
      <c r="M25" s="270">
        <f>SUMIFS('Monthly Cashflow'!25:25,'Monthly Cashflow'!$3:$3,M$7)</f>
        <v>-3.9245007177599996E-2</v>
      </c>
      <c r="N25" s="270">
        <f>SUMIFS('Monthly Cashflow'!25:25,'Monthly Cashflow'!$3:$3,N$7)</f>
        <v>-5.8867510766399997E-2</v>
      </c>
      <c r="O25" s="270">
        <f>SUMIFS('Monthly Cashflow'!25:25,'Monthly Cashflow'!$3:$3,O$7)</f>
        <v>0</v>
      </c>
      <c r="P25" s="270">
        <f>SUMIFS('Monthly Cashflow'!25:25,'Monthly Cashflow'!$3:$3,P$7)</f>
        <v>-8.4192836214199998E-2</v>
      </c>
      <c r="Q25" s="270">
        <f>SUMIFS('Monthly Cashflow'!25:25,'Monthly Cashflow'!$3:$3,Q$7)</f>
        <v>-0.1262892543213</v>
      </c>
      <c r="R25" s="270">
        <f>SUMIFS('Monthly Cashflow'!25:25,'Monthly Cashflow'!$3:$3,R$7)</f>
        <v>0</v>
      </c>
      <c r="S25" s="270">
        <f>SUMIFS('Monthly Cashflow'!25:25,'Monthly Cashflow'!$3:$3,S$7)</f>
        <v>0</v>
      </c>
      <c r="T25" s="270">
        <f>SUMIFS('Monthly Cashflow'!25:25,'Monthly Cashflow'!$3:$3,T$7)</f>
        <v>-1.7541604913000001E-2</v>
      </c>
      <c r="U25" s="270">
        <f>SUMIFS('Monthly Cashflow'!25:25,'Monthly Cashflow'!$3:$3,U$7)</f>
        <v>-2.6312407369500003E-2</v>
      </c>
      <c r="V25" s="270">
        <f>SUMIFS('Monthly Cashflow'!25:25,'Monthly Cashflow'!$3:$3,V$7)</f>
        <v>0</v>
      </c>
      <c r="W25" s="270">
        <f>SUMIFS('Monthly Cashflow'!25:25,'Monthly Cashflow'!$3:$3,W$7)</f>
        <v>0</v>
      </c>
      <c r="X25" s="270">
        <f>SUMIFS('Monthly Cashflow'!25:25,'Monthly Cashflow'!$3:$3,X$7)</f>
        <v>0</v>
      </c>
      <c r="Y25" s="270">
        <f>SUMIFS('Monthly Cashflow'!25:25,'Monthly Cashflow'!$3:$3,Y$7)</f>
        <v>0</v>
      </c>
      <c r="Z25" s="270">
        <f>SUMIFS('Monthly Cashflow'!25:25,'Monthly Cashflow'!$3:$3,Z$7)</f>
        <v>0</v>
      </c>
      <c r="AA25" s="270">
        <f>SUMIFS('Monthly Cashflow'!25:25,'Monthly Cashflow'!$3:$3,AA$7)</f>
        <v>0</v>
      </c>
      <c r="AB25" s="270">
        <f>SUMIFS('Monthly Cashflow'!25:25,'Monthly Cashflow'!$3:$3,AB$7)</f>
        <v>0</v>
      </c>
      <c r="AC25" s="270">
        <f>SUMIFS('Monthly Cashflow'!25:25,'Monthly Cashflow'!$3:$3,AC$7)</f>
        <v>0</v>
      </c>
      <c r="AD25" s="270">
        <f>SUMIFS('Monthly Cashflow'!25:25,'Monthly Cashflow'!$3:$3,AD$7)</f>
        <v>0</v>
      </c>
      <c r="AE25" s="270">
        <f>SUMIFS('Monthly Cashflow'!25:25,'Monthly Cashflow'!$3:$3,AE$7)</f>
        <v>0</v>
      </c>
      <c r="AF25" s="270">
        <f>SUMIFS('Monthly Cashflow'!25:25,'Monthly Cashflow'!$3:$3,AF$7)</f>
        <v>0</v>
      </c>
      <c r="AG25" s="270">
        <f>SUMIFS('Monthly Cashflow'!25:25,'Monthly Cashflow'!$3:$3,AG$7)</f>
        <v>0</v>
      </c>
      <c r="AH25" s="270">
        <f>SUMIFS('Monthly Cashflow'!25:25,'Monthly Cashflow'!$3:$3,AH$7)</f>
        <v>0</v>
      </c>
      <c r="AI25" s="270">
        <f>SUMIFS('Monthly Cashflow'!25:25,'Monthly Cashflow'!$3:$3,AI$7)</f>
        <v>0</v>
      </c>
      <c r="AJ25" s="270">
        <f>SUMIFS('Monthly Cashflow'!25:25,'Monthly Cashflow'!$3:$3,AJ$7)</f>
        <v>0</v>
      </c>
      <c r="AK25" s="270">
        <f>SUMIFS('Monthly Cashflow'!25:25,'Monthly Cashflow'!$3:$3,AK$7)</f>
        <v>0</v>
      </c>
      <c r="AL25" s="270">
        <f>SUMIFS('Monthly Cashflow'!25:25,'Monthly Cashflow'!$3:$3,AL$7)</f>
        <v>0</v>
      </c>
      <c r="AM25" s="270">
        <f>SUMIFS('Monthly Cashflow'!25:25,'Monthly Cashflow'!$3:$3,AM$7)</f>
        <v>0</v>
      </c>
      <c r="AN25" s="270">
        <f>SUMIFS('Monthly Cashflow'!25:25,'Monthly Cashflow'!$3:$3,AN$7)</f>
        <v>0</v>
      </c>
      <c r="AO25" s="270">
        <f>SUMIFS('Monthly Cashflow'!25:25,'Monthly Cashflow'!$3:$3,AO$7)</f>
        <v>0</v>
      </c>
      <c r="AP25" s="270">
        <f>SUMIFS('Monthly Cashflow'!25:25,'Monthly Cashflow'!$3:$3,AP$7)</f>
        <v>0</v>
      </c>
      <c r="AQ25" s="270">
        <f>SUMIFS('Monthly Cashflow'!25:25,'Monthly Cashflow'!$3:$3,AQ$7)</f>
        <v>0</v>
      </c>
      <c r="AR25" s="270">
        <f>SUMIFS('Monthly Cashflow'!25:25,'Monthly Cashflow'!$3:$3,AR$7)</f>
        <v>0</v>
      </c>
      <c r="AS25" s="270">
        <f>SUMIFS('Monthly Cashflow'!25:25,'Monthly Cashflow'!$3:$3,AS$7)</f>
        <v>0</v>
      </c>
      <c r="AT25" s="270">
        <f>SUMIFS('Monthly Cashflow'!25:25,'Monthly Cashflow'!$3:$3,AT$7)</f>
        <v>0</v>
      </c>
      <c r="AU25" s="270">
        <f>SUMIFS('Monthly Cashflow'!25:25,'Monthly Cashflow'!$3:$3,AU$7)</f>
        <v>0</v>
      </c>
      <c r="AV25" s="270">
        <f>SUMIFS('Monthly Cashflow'!25:25,'Monthly Cashflow'!$3:$3,AV$7)</f>
        <v>0</v>
      </c>
      <c r="AW25" s="270">
        <f>SUMIFS('Monthly Cashflow'!25:25,'Monthly Cashflow'!$3:$3,AW$7)</f>
        <v>0</v>
      </c>
      <c r="AX25" s="270">
        <f>SUMIFS('Monthly Cashflow'!25:25,'Monthly Cashflow'!$3:$3,AX$7)</f>
        <v>0</v>
      </c>
      <c r="AY25" s="270">
        <f>SUMIFS('Monthly Cashflow'!25:25,'Monthly Cashflow'!$3:$3,AY$7)</f>
        <v>0</v>
      </c>
      <c r="AZ25" s="270">
        <f>SUMIFS('Monthly Cashflow'!25:25,'Monthly Cashflow'!$3:$3,AZ$7)</f>
        <v>0</v>
      </c>
      <c r="BA25" s="270">
        <f>SUMIFS('Monthly Cashflow'!25:25,'Monthly Cashflow'!$3:$3,BA$7)</f>
        <v>0</v>
      </c>
      <c r="BB25" s="270">
        <f>SUMIFS('Monthly Cashflow'!25:25,'Monthly Cashflow'!$3:$3,BB$7)</f>
        <v>0</v>
      </c>
      <c r="BC25" s="270">
        <f>SUMIFS('Monthly Cashflow'!25:25,'Monthly Cashflow'!$3:$3,BC$7)</f>
        <v>0</v>
      </c>
      <c r="BD25" s="270">
        <f>SUMIFS('Monthly Cashflow'!25:25,'Monthly Cashflow'!$3:$3,BD$7)</f>
        <v>0</v>
      </c>
      <c r="BE25" s="270">
        <f>SUMIFS('Monthly Cashflow'!25:25,'Monthly Cashflow'!$3:$3,BE$7)</f>
        <v>0</v>
      </c>
      <c r="BF25" s="270">
        <f>SUMIFS('Monthly Cashflow'!25:25,'Monthly Cashflow'!$3:$3,BF$7)</f>
        <v>0</v>
      </c>
      <c r="BG25" s="270">
        <f>SUMIFS('Monthly Cashflow'!25:25,'Monthly Cashflow'!$3:$3,BG$7)</f>
        <v>0</v>
      </c>
      <c r="BH25" s="270">
        <f>SUMIFS('Monthly Cashflow'!25:25,'Monthly Cashflow'!$3:$3,BH$7)</f>
        <v>0</v>
      </c>
      <c r="BI25" s="270">
        <f>SUMIFS('Monthly Cashflow'!25:25,'Monthly Cashflow'!$3:$3,BI$7)</f>
        <v>0</v>
      </c>
      <c r="BJ25" s="270">
        <f>SUMIFS('Monthly Cashflow'!25:25,'Monthly Cashflow'!$3:$3,BJ$7)</f>
        <v>0</v>
      </c>
      <c r="BK25" s="270">
        <f>SUMIFS('Monthly Cashflow'!25:25,'Monthly Cashflow'!$3:$3,BK$7)</f>
        <v>0</v>
      </c>
      <c r="BL25" s="270">
        <f>SUMIFS('Monthly Cashflow'!25:25,'Monthly Cashflow'!$3:$3,BL$7)</f>
        <v>0</v>
      </c>
      <c r="BM25" s="270">
        <f>SUMIFS('Monthly Cashflow'!25:25,'Monthly Cashflow'!$3:$3,BM$7)</f>
        <v>0</v>
      </c>
      <c r="BN25" s="270">
        <f>SUMIFS('Monthly Cashflow'!25:25,'Monthly Cashflow'!$3:$3,BN$7)</f>
        <v>0</v>
      </c>
      <c r="BO25" s="270">
        <f>SUMIFS('Monthly Cashflow'!25:25,'Monthly Cashflow'!$3:$3,BO$7)</f>
        <v>0</v>
      </c>
      <c r="BP25" s="270">
        <f>SUMIFS('Monthly Cashflow'!25:25,'Monthly Cashflow'!$3:$3,BP$7)</f>
        <v>0</v>
      </c>
      <c r="BQ25" s="270">
        <f>SUMIFS('Monthly Cashflow'!25:25,'Monthly Cashflow'!$3:$3,BQ$7)</f>
        <v>0</v>
      </c>
      <c r="BR25" s="270">
        <f>SUMIFS('Monthly Cashflow'!25:25,'Monthly Cashflow'!$3:$3,BR$7)</f>
        <v>0</v>
      </c>
      <c r="BS25" s="270">
        <f>SUMIFS('Monthly Cashflow'!25:25,'Monthly Cashflow'!$3:$3,BS$7)</f>
        <v>0</v>
      </c>
      <c r="BT25" s="270">
        <f>SUMIFS('Monthly Cashflow'!25:25,'Monthly Cashflow'!$3:$3,BT$7)</f>
        <v>0</v>
      </c>
      <c r="BU25" s="270">
        <f>SUMIFS('Monthly Cashflow'!25:25,'Monthly Cashflow'!$3:$3,BU$7)</f>
        <v>0</v>
      </c>
      <c r="BV25" s="270">
        <f>SUMIFS('Monthly Cashflow'!25:25,'Monthly Cashflow'!$3:$3,BV$7)</f>
        <v>0</v>
      </c>
      <c r="BW25" s="270">
        <f>SUMIFS('Monthly Cashflow'!25:25,'Monthly Cashflow'!$3:$3,BW$7)</f>
        <v>0</v>
      </c>
      <c r="BX25" s="270">
        <f>SUMIFS('Monthly Cashflow'!25:25,'Monthly Cashflow'!$3:$3,BX$7)</f>
        <v>0</v>
      </c>
      <c r="BY25" s="270">
        <f>SUMIFS('Monthly Cashflow'!25:25,'Monthly Cashflow'!$3:$3,BY$7)</f>
        <v>0</v>
      </c>
      <c r="BZ25" s="270">
        <f>SUMIFS('Monthly Cashflow'!25:25,'Monthly Cashflow'!$3:$3,BZ$7)</f>
        <v>0</v>
      </c>
      <c r="CA25" s="270">
        <f>SUMIFS('Monthly Cashflow'!25:25,'Monthly Cashflow'!$3:$3,CA$7)</f>
        <v>0</v>
      </c>
      <c r="CB25" s="270">
        <f>SUMIFS('Monthly Cashflow'!25:25,'Monthly Cashflow'!$3:$3,CB$7)</f>
        <v>0</v>
      </c>
      <c r="CC25" s="270">
        <f>SUMIFS('Monthly Cashflow'!25:25,'Monthly Cashflow'!$3:$3,CC$7)</f>
        <v>0</v>
      </c>
      <c r="CD25" s="270">
        <f>SUMIFS('Monthly Cashflow'!25:25,'Monthly Cashflow'!$3:$3,CD$7)</f>
        <v>0</v>
      </c>
      <c r="CE25" s="270">
        <f>SUMIFS('Monthly Cashflow'!25:25,'Monthly Cashflow'!$3:$3,CE$7)</f>
        <v>0</v>
      </c>
      <c r="CF25" s="270">
        <f>SUMIFS('Monthly Cashflow'!25:25,'Monthly Cashflow'!$3:$3,CF$7)</f>
        <v>0</v>
      </c>
      <c r="CG25" s="270">
        <f>SUMIFS('Monthly Cashflow'!25:25,'Monthly Cashflow'!$3:$3,CG$7)</f>
        <v>0</v>
      </c>
      <c r="CH25" s="270">
        <f>SUMIFS('Monthly Cashflow'!25:25,'Monthly Cashflow'!$3:$3,CH$7)</f>
        <v>0</v>
      </c>
      <c r="CI25" s="270">
        <f>SUMIFS('Monthly Cashflow'!25:25,'Monthly Cashflow'!$3:$3,CI$7)</f>
        <v>0</v>
      </c>
      <c r="CJ25" s="270">
        <f>SUMIFS('Monthly Cashflow'!25:25,'Monthly Cashflow'!$3:$3,CJ$7)</f>
        <v>0</v>
      </c>
      <c r="CK25" s="270">
        <f>SUMIFS('Monthly Cashflow'!25:25,'Monthly Cashflow'!$3:$3,CK$7)</f>
        <v>0</v>
      </c>
      <c r="CL25" s="270">
        <f>SUMIFS('Monthly Cashflow'!25:25,'Monthly Cashflow'!$3:$3,CL$7)</f>
        <v>0</v>
      </c>
      <c r="CM25" s="270">
        <f>SUMIFS('Monthly Cashflow'!25:25,'Monthly Cashflow'!$3:$3,CM$7)</f>
        <v>0</v>
      </c>
      <c r="CN25" s="270">
        <f>SUMIFS('Monthly Cashflow'!25:25,'Monthly Cashflow'!$3:$3,CN$7)</f>
        <v>0</v>
      </c>
      <c r="CO25" s="270">
        <f>SUMIFS('Monthly Cashflow'!25:25,'Monthly Cashflow'!$3:$3,CO$7)</f>
        <v>0</v>
      </c>
      <c r="CP25" s="270">
        <f>SUMIFS('Monthly Cashflow'!25:25,'Monthly Cashflow'!$3:$3,CP$7)</f>
        <v>0</v>
      </c>
      <c r="CQ25" s="270">
        <f>SUMIFS('Monthly Cashflow'!25:25,'Monthly Cashflow'!$3:$3,CQ$7)</f>
        <v>0</v>
      </c>
      <c r="CR25" s="270">
        <f>SUMIFS('Monthly Cashflow'!25:25,'Monthly Cashflow'!$3:$3,CR$7)</f>
        <v>0</v>
      </c>
      <c r="CS25" s="270">
        <f>SUMIFS('Monthly Cashflow'!25:25,'Monthly Cashflow'!$3:$3,CS$7)</f>
        <v>0</v>
      </c>
      <c r="CT25" s="270">
        <f>SUMIFS('Monthly Cashflow'!25:25,'Monthly Cashflow'!$3:$3,CT$7)</f>
        <v>0</v>
      </c>
      <c r="CU25" s="270">
        <f>SUMIFS('Monthly Cashflow'!25:25,'Monthly Cashflow'!$3:$3,CU$7)</f>
        <v>0</v>
      </c>
      <c r="CV25" s="270">
        <f>SUMIFS('Monthly Cashflow'!25:25,'Monthly Cashflow'!$3:$3,CV$7)</f>
        <v>0</v>
      </c>
      <c r="CW25" s="270">
        <f>SUMIFS('Monthly Cashflow'!25:25,'Monthly Cashflow'!$3:$3,CW$7)</f>
        <v>0</v>
      </c>
      <c r="CX25" s="270">
        <f>SUMIFS('Monthly Cashflow'!25:25,'Monthly Cashflow'!$3:$3,CX$7)</f>
        <v>0</v>
      </c>
    </row>
    <row r="26" spans="1:102" x14ac:dyDescent="0.3">
      <c r="A26" s="1" t="s">
        <v>44</v>
      </c>
      <c r="B26" s="257">
        <f t="shared" si="15"/>
        <v>-5.7297434223802499</v>
      </c>
      <c r="C26" s="270">
        <f>SUMIFS('Monthly Cashflow'!26:26,'Monthly Cashflow'!$3:$3,C$7)</f>
        <v>0</v>
      </c>
      <c r="D26" s="270">
        <f>SUMIFS('Monthly Cashflow'!26:26,'Monthly Cashflow'!$3:$3,D$7)</f>
        <v>0</v>
      </c>
      <c r="E26" s="270">
        <f>SUMIFS('Monthly Cashflow'!26:26,'Monthly Cashflow'!$3:$3,E$7)</f>
        <v>0</v>
      </c>
      <c r="F26" s="270">
        <f>SUMIFS('Monthly Cashflow'!26:26,'Monthly Cashflow'!$3:$3,F$7)</f>
        <v>0</v>
      </c>
      <c r="G26" s="270">
        <f>SUMIFS('Monthly Cashflow'!26:26,'Monthly Cashflow'!$3:$3,G$7)</f>
        <v>0</v>
      </c>
      <c r="H26" s="270">
        <f>SUMIFS('Monthly Cashflow'!26:26,'Monthly Cashflow'!$3:$3,H$7)</f>
        <v>0</v>
      </c>
      <c r="I26" s="270">
        <f>SUMIFS('Monthly Cashflow'!26:26,'Monthly Cashflow'!$3:$3,I$7)</f>
        <v>0</v>
      </c>
      <c r="J26" s="270">
        <f>SUMIFS('Monthly Cashflow'!26:26,'Monthly Cashflow'!$3:$3,J$7)</f>
        <v>-1.0462373075899498</v>
      </c>
      <c r="K26" s="270">
        <f>SUMIFS('Monthly Cashflow'!26:26,'Monthly Cashflow'!$3:$3,K$7)</f>
        <v>0</v>
      </c>
      <c r="L26" s="270">
        <f>SUMIFS('Monthly Cashflow'!26:26,'Monthly Cashflow'!$3:$3,L$7)</f>
        <v>0</v>
      </c>
      <c r="M26" s="270">
        <f>SUMIFS('Monthly Cashflow'!26:26,'Monthly Cashflow'!$3:$3,M$7)</f>
        <v>0</v>
      </c>
      <c r="N26" s="270">
        <f>SUMIFS('Monthly Cashflow'!26:26,'Monthly Cashflow'!$3:$3,N$7)</f>
        <v>-2.0265065357818051</v>
      </c>
      <c r="O26" s="270">
        <f>SUMIFS('Monthly Cashflow'!26:26,'Monthly Cashflow'!$3:$3,O$7)</f>
        <v>0</v>
      </c>
      <c r="P26" s="270">
        <f>SUMIFS('Monthly Cashflow'!26:26,'Monthly Cashflow'!$3:$3,P$7)</f>
        <v>0</v>
      </c>
      <c r="Q26" s="270">
        <f>SUMIFS('Monthly Cashflow'!26:26,'Monthly Cashflow'!$3:$3,Q$7)</f>
        <v>-0.84474877949784011</v>
      </c>
      <c r="R26" s="270">
        <f>SUMIFS('Monthly Cashflow'!26:26,'Monthly Cashflow'!$3:$3,R$7)</f>
        <v>0</v>
      </c>
      <c r="S26" s="270">
        <f>SUMIFS('Monthly Cashflow'!26:26,'Monthly Cashflow'!$3:$3,S$7)</f>
        <v>0</v>
      </c>
      <c r="T26" s="270">
        <f>SUMIFS('Monthly Cashflow'!26:26,'Monthly Cashflow'!$3:$3,T$7)</f>
        <v>-1.8122507995106552</v>
      </c>
      <c r="U26" s="270">
        <f>SUMIFS('Monthly Cashflow'!26:26,'Monthly Cashflow'!$3:$3,U$7)</f>
        <v>0</v>
      </c>
      <c r="V26" s="270">
        <f>SUMIFS('Monthly Cashflow'!26:26,'Monthly Cashflow'!$3:$3,V$7)</f>
        <v>0</v>
      </c>
      <c r="W26" s="270">
        <f>SUMIFS('Monthly Cashflow'!26:26,'Monthly Cashflow'!$3:$3,W$7)</f>
        <v>-0.37758304575232499</v>
      </c>
      <c r="X26" s="270">
        <f>SUMIFS('Monthly Cashflow'!26:26,'Monthly Cashflow'!$3:$3,X$7)</f>
        <v>0</v>
      </c>
      <c r="Y26" s="270">
        <f>SUMIFS('Monthly Cashflow'!26:26,'Monthly Cashflow'!$3:$3,Y$7)</f>
        <v>0</v>
      </c>
      <c r="Z26" s="270">
        <f>SUMIFS('Monthly Cashflow'!26:26,'Monthly Cashflow'!$3:$3,Z$7)</f>
        <v>0</v>
      </c>
      <c r="AA26" s="270">
        <f>SUMIFS('Monthly Cashflow'!26:26,'Monthly Cashflow'!$3:$3,AA$7)</f>
        <v>0</v>
      </c>
      <c r="AB26" s="270">
        <f>SUMIFS('Monthly Cashflow'!26:26,'Monthly Cashflow'!$3:$3,AB$7)</f>
        <v>0</v>
      </c>
      <c r="AC26" s="270">
        <f>SUMIFS('Monthly Cashflow'!26:26,'Monthly Cashflow'!$3:$3,AC$7)</f>
        <v>0</v>
      </c>
      <c r="AD26" s="270">
        <f>SUMIFS('Monthly Cashflow'!26:26,'Monthly Cashflow'!$3:$3,AD$7)</f>
        <v>0</v>
      </c>
      <c r="AE26" s="270">
        <f>SUMIFS('Monthly Cashflow'!26:26,'Monthly Cashflow'!$3:$3,AE$7)</f>
        <v>0</v>
      </c>
      <c r="AF26" s="270">
        <f>SUMIFS('Monthly Cashflow'!26:26,'Monthly Cashflow'!$3:$3,AF$7)</f>
        <v>0</v>
      </c>
      <c r="AG26" s="270">
        <f>SUMIFS('Monthly Cashflow'!26:26,'Monthly Cashflow'!$3:$3,AG$7)</f>
        <v>0</v>
      </c>
      <c r="AH26" s="270">
        <f>SUMIFS('Monthly Cashflow'!26:26,'Monthly Cashflow'!$3:$3,AH$7)</f>
        <v>0</v>
      </c>
      <c r="AI26" s="270">
        <f>SUMIFS('Monthly Cashflow'!26:26,'Monthly Cashflow'!$3:$3,AI$7)</f>
        <v>0</v>
      </c>
      <c r="AJ26" s="270">
        <f>SUMIFS('Monthly Cashflow'!26:26,'Monthly Cashflow'!$3:$3,AJ$7)</f>
        <v>0</v>
      </c>
      <c r="AK26" s="270">
        <f>SUMIFS('Monthly Cashflow'!26:26,'Monthly Cashflow'!$3:$3,AK$7)</f>
        <v>0</v>
      </c>
      <c r="AL26" s="270">
        <f>SUMIFS('Monthly Cashflow'!26:26,'Monthly Cashflow'!$3:$3,AL$7)</f>
        <v>0</v>
      </c>
      <c r="AM26" s="270">
        <f>SUMIFS('Monthly Cashflow'!26:26,'Monthly Cashflow'!$3:$3,AM$7)</f>
        <v>0</v>
      </c>
      <c r="AN26" s="270">
        <f>SUMIFS('Monthly Cashflow'!26:26,'Monthly Cashflow'!$3:$3,AN$7)</f>
        <v>0</v>
      </c>
      <c r="AO26" s="270">
        <f>SUMIFS('Monthly Cashflow'!26:26,'Monthly Cashflow'!$3:$3,AO$7)</f>
        <v>0</v>
      </c>
      <c r="AP26" s="270">
        <f>SUMIFS('Monthly Cashflow'!26:26,'Monthly Cashflow'!$3:$3,AP$7)</f>
        <v>0</v>
      </c>
      <c r="AQ26" s="270">
        <f>SUMIFS('Monthly Cashflow'!26:26,'Monthly Cashflow'!$3:$3,AQ$7)</f>
        <v>0</v>
      </c>
      <c r="AR26" s="270">
        <f>SUMIFS('Monthly Cashflow'!26:26,'Monthly Cashflow'!$3:$3,AR$7)</f>
        <v>0</v>
      </c>
      <c r="AS26" s="270">
        <f>SUMIFS('Monthly Cashflow'!26:26,'Monthly Cashflow'!$3:$3,AS$7)</f>
        <v>0</v>
      </c>
      <c r="AT26" s="270">
        <f>SUMIFS('Monthly Cashflow'!26:26,'Monthly Cashflow'!$3:$3,AT$7)</f>
        <v>0</v>
      </c>
      <c r="AU26" s="270">
        <f>SUMIFS('Monthly Cashflow'!26:26,'Monthly Cashflow'!$3:$3,AU$7)</f>
        <v>0</v>
      </c>
      <c r="AV26" s="270">
        <f>SUMIFS('Monthly Cashflow'!26:26,'Monthly Cashflow'!$3:$3,AV$7)</f>
        <v>0</v>
      </c>
      <c r="AW26" s="270">
        <f>SUMIFS('Monthly Cashflow'!26:26,'Monthly Cashflow'!$3:$3,AW$7)</f>
        <v>0</v>
      </c>
      <c r="AX26" s="270">
        <f>SUMIFS('Monthly Cashflow'!26:26,'Monthly Cashflow'!$3:$3,AX$7)</f>
        <v>0</v>
      </c>
      <c r="AY26" s="270">
        <f>SUMIFS('Monthly Cashflow'!26:26,'Monthly Cashflow'!$3:$3,AY$7)</f>
        <v>0</v>
      </c>
      <c r="AZ26" s="270">
        <f>SUMIFS('Monthly Cashflow'!26:26,'Monthly Cashflow'!$3:$3,AZ$7)</f>
        <v>0</v>
      </c>
      <c r="BA26" s="270">
        <f>SUMIFS('Monthly Cashflow'!26:26,'Monthly Cashflow'!$3:$3,BA$7)</f>
        <v>0</v>
      </c>
      <c r="BB26" s="270">
        <f>SUMIFS('Monthly Cashflow'!26:26,'Monthly Cashflow'!$3:$3,BB$7)</f>
        <v>0</v>
      </c>
      <c r="BC26" s="270">
        <f>SUMIFS('Monthly Cashflow'!26:26,'Monthly Cashflow'!$3:$3,BC$7)</f>
        <v>0</v>
      </c>
      <c r="BD26" s="270">
        <f>SUMIFS('Monthly Cashflow'!26:26,'Monthly Cashflow'!$3:$3,BD$7)</f>
        <v>0</v>
      </c>
      <c r="BE26" s="270">
        <f>SUMIFS('Monthly Cashflow'!26:26,'Monthly Cashflow'!$3:$3,BE$7)</f>
        <v>0</v>
      </c>
      <c r="BF26" s="270">
        <f>SUMIFS('Monthly Cashflow'!26:26,'Monthly Cashflow'!$3:$3,BF$7)</f>
        <v>0</v>
      </c>
      <c r="BG26" s="270">
        <f>SUMIFS('Monthly Cashflow'!26:26,'Monthly Cashflow'!$3:$3,BG$7)</f>
        <v>0</v>
      </c>
      <c r="BH26" s="270">
        <f>SUMIFS('Monthly Cashflow'!26:26,'Monthly Cashflow'!$3:$3,BH$7)</f>
        <v>0</v>
      </c>
      <c r="BI26" s="270">
        <f>SUMIFS('Monthly Cashflow'!26:26,'Monthly Cashflow'!$3:$3,BI$7)</f>
        <v>0</v>
      </c>
      <c r="BJ26" s="270">
        <f>SUMIFS('Monthly Cashflow'!26:26,'Monthly Cashflow'!$3:$3,BJ$7)</f>
        <v>0</v>
      </c>
      <c r="BK26" s="270">
        <f>SUMIFS('Monthly Cashflow'!26:26,'Monthly Cashflow'!$3:$3,BK$7)</f>
        <v>0</v>
      </c>
      <c r="BL26" s="270">
        <f>SUMIFS('Monthly Cashflow'!26:26,'Monthly Cashflow'!$3:$3,BL$7)</f>
        <v>0</v>
      </c>
      <c r="BM26" s="270">
        <f>SUMIFS('Monthly Cashflow'!26:26,'Monthly Cashflow'!$3:$3,BM$7)</f>
        <v>0</v>
      </c>
      <c r="BN26" s="270">
        <f>SUMIFS('Monthly Cashflow'!26:26,'Monthly Cashflow'!$3:$3,BN$7)</f>
        <v>0</v>
      </c>
      <c r="BO26" s="270">
        <f>SUMIFS('Monthly Cashflow'!26:26,'Monthly Cashflow'!$3:$3,BO$7)</f>
        <v>0</v>
      </c>
      <c r="BP26" s="270">
        <f>SUMIFS('Monthly Cashflow'!26:26,'Monthly Cashflow'!$3:$3,BP$7)</f>
        <v>0</v>
      </c>
      <c r="BQ26" s="270">
        <f>SUMIFS('Monthly Cashflow'!26:26,'Monthly Cashflow'!$3:$3,BQ$7)</f>
        <v>0</v>
      </c>
      <c r="BR26" s="270">
        <f>SUMIFS('Monthly Cashflow'!26:26,'Monthly Cashflow'!$3:$3,BR$7)</f>
        <v>0</v>
      </c>
      <c r="BS26" s="270">
        <f>SUMIFS('Monthly Cashflow'!26:26,'Monthly Cashflow'!$3:$3,BS$7)</f>
        <v>0</v>
      </c>
      <c r="BT26" s="270">
        <f>SUMIFS('Monthly Cashflow'!26:26,'Monthly Cashflow'!$3:$3,BT$7)</f>
        <v>0</v>
      </c>
      <c r="BU26" s="270">
        <f>SUMIFS('Monthly Cashflow'!26:26,'Monthly Cashflow'!$3:$3,BU$7)</f>
        <v>0</v>
      </c>
      <c r="BV26" s="270">
        <f>SUMIFS('Monthly Cashflow'!26:26,'Monthly Cashflow'!$3:$3,BV$7)</f>
        <v>0</v>
      </c>
      <c r="BW26" s="270">
        <f>SUMIFS('Monthly Cashflow'!26:26,'Monthly Cashflow'!$3:$3,BW$7)</f>
        <v>0</v>
      </c>
      <c r="BX26" s="270">
        <f>SUMIFS('Monthly Cashflow'!26:26,'Monthly Cashflow'!$3:$3,BX$7)</f>
        <v>0</v>
      </c>
      <c r="BY26" s="270">
        <f>SUMIFS('Monthly Cashflow'!26:26,'Monthly Cashflow'!$3:$3,BY$7)</f>
        <v>0</v>
      </c>
      <c r="BZ26" s="270">
        <f>SUMIFS('Monthly Cashflow'!26:26,'Monthly Cashflow'!$3:$3,BZ$7)</f>
        <v>0</v>
      </c>
      <c r="CA26" s="270">
        <f>SUMIFS('Monthly Cashflow'!26:26,'Monthly Cashflow'!$3:$3,CA$7)</f>
        <v>0</v>
      </c>
      <c r="CB26" s="270">
        <f>SUMIFS('Monthly Cashflow'!26:26,'Monthly Cashflow'!$3:$3,CB$7)</f>
        <v>0</v>
      </c>
      <c r="CC26" s="270">
        <f>SUMIFS('Monthly Cashflow'!26:26,'Monthly Cashflow'!$3:$3,CC$7)</f>
        <v>0</v>
      </c>
      <c r="CD26" s="270">
        <f>SUMIFS('Monthly Cashflow'!26:26,'Monthly Cashflow'!$3:$3,CD$7)</f>
        <v>0</v>
      </c>
      <c r="CE26" s="270">
        <f>SUMIFS('Monthly Cashflow'!26:26,'Monthly Cashflow'!$3:$3,CE$7)</f>
        <v>0</v>
      </c>
      <c r="CF26" s="270">
        <f>SUMIFS('Monthly Cashflow'!26:26,'Monthly Cashflow'!$3:$3,CF$7)</f>
        <v>0</v>
      </c>
      <c r="CG26" s="270">
        <f>SUMIFS('Monthly Cashflow'!26:26,'Monthly Cashflow'!$3:$3,CG$7)</f>
        <v>0</v>
      </c>
      <c r="CH26" s="270">
        <f>SUMIFS('Monthly Cashflow'!26:26,'Monthly Cashflow'!$3:$3,CH$7)</f>
        <v>0</v>
      </c>
      <c r="CI26" s="270">
        <f>SUMIFS('Monthly Cashflow'!26:26,'Monthly Cashflow'!$3:$3,CI$7)</f>
        <v>0</v>
      </c>
      <c r="CJ26" s="270">
        <f>SUMIFS('Monthly Cashflow'!26:26,'Monthly Cashflow'!$3:$3,CJ$7)</f>
        <v>0</v>
      </c>
      <c r="CK26" s="270">
        <f>SUMIFS('Monthly Cashflow'!26:26,'Monthly Cashflow'!$3:$3,CK$7)</f>
        <v>0</v>
      </c>
      <c r="CL26" s="270">
        <f>SUMIFS('Monthly Cashflow'!26:26,'Monthly Cashflow'!$3:$3,CL$7)</f>
        <v>0</v>
      </c>
      <c r="CM26" s="270">
        <f>SUMIFS('Monthly Cashflow'!26:26,'Monthly Cashflow'!$3:$3,CM$7)</f>
        <v>0</v>
      </c>
      <c r="CN26" s="270">
        <f>SUMIFS('Monthly Cashflow'!26:26,'Monthly Cashflow'!$3:$3,CN$7)</f>
        <v>0</v>
      </c>
      <c r="CO26" s="270">
        <f>SUMIFS('Monthly Cashflow'!26:26,'Monthly Cashflow'!$3:$3,CO$7)</f>
        <v>0</v>
      </c>
      <c r="CP26" s="270">
        <f>SUMIFS('Monthly Cashflow'!26:26,'Monthly Cashflow'!$3:$3,CP$7)</f>
        <v>0</v>
      </c>
      <c r="CQ26" s="270">
        <f>SUMIFS('Monthly Cashflow'!26:26,'Monthly Cashflow'!$3:$3,CQ$7)</f>
        <v>0</v>
      </c>
      <c r="CR26" s="270">
        <f>SUMIFS('Monthly Cashflow'!26:26,'Monthly Cashflow'!$3:$3,CR$7)</f>
        <v>0</v>
      </c>
      <c r="CS26" s="270">
        <f>SUMIFS('Monthly Cashflow'!26:26,'Monthly Cashflow'!$3:$3,CS$7)</f>
        <v>0</v>
      </c>
      <c r="CT26" s="270">
        <f>SUMIFS('Monthly Cashflow'!26:26,'Monthly Cashflow'!$3:$3,CT$7)</f>
        <v>0</v>
      </c>
      <c r="CU26" s="270">
        <f>SUMIFS('Monthly Cashflow'!26:26,'Monthly Cashflow'!$3:$3,CU$7)</f>
        <v>0</v>
      </c>
      <c r="CV26" s="270">
        <f>SUMIFS('Monthly Cashflow'!26:26,'Monthly Cashflow'!$3:$3,CV$7)</f>
        <v>0</v>
      </c>
      <c r="CW26" s="270">
        <f>SUMIFS('Monthly Cashflow'!26:26,'Monthly Cashflow'!$3:$3,CW$7)</f>
        <v>0</v>
      </c>
      <c r="CX26" s="270">
        <f>SUMIFS('Monthly Cashflow'!26:26,'Monthly Cashflow'!$3:$3,CX$7)</f>
        <v>0</v>
      </c>
    </row>
    <row r="27" spans="1:102" x14ac:dyDescent="0.3">
      <c r="A27" s="39" t="s">
        <v>292</v>
      </c>
      <c r="B27" s="257">
        <f t="shared" si="15"/>
        <v>-6.4390728611877499</v>
      </c>
      <c r="C27" s="259">
        <f>SUM(C25:C26)</f>
        <v>0</v>
      </c>
      <c r="D27" s="259">
        <f t="shared" ref="D27:BO27" si="18">SUM(D25:D26)</f>
        <v>0</v>
      </c>
      <c r="E27" s="259">
        <f t="shared" si="18"/>
        <v>0</v>
      </c>
      <c r="F27" s="259">
        <f t="shared" si="18"/>
        <v>-4.8605682117999996E-2</v>
      </c>
      <c r="G27" s="259">
        <f t="shared" si="18"/>
        <v>-7.2908523177000001E-2</v>
      </c>
      <c r="H27" s="259">
        <f t="shared" si="18"/>
        <v>0</v>
      </c>
      <c r="I27" s="259">
        <f t="shared" si="18"/>
        <v>0</v>
      </c>
      <c r="J27" s="259">
        <f t="shared" si="18"/>
        <v>-1.1403839526901498</v>
      </c>
      <c r="K27" s="259">
        <f t="shared" si="18"/>
        <v>-0.14121996765029998</v>
      </c>
      <c r="L27" s="259">
        <f t="shared" si="18"/>
        <v>0</v>
      </c>
      <c r="M27" s="259">
        <f t="shared" si="18"/>
        <v>-3.9245007177599996E-2</v>
      </c>
      <c r="N27" s="259">
        <f t="shared" si="18"/>
        <v>-2.0853740465482051</v>
      </c>
      <c r="O27" s="259">
        <f t="shared" si="18"/>
        <v>0</v>
      </c>
      <c r="P27" s="259">
        <f t="shared" si="18"/>
        <v>-8.4192836214199998E-2</v>
      </c>
      <c r="Q27" s="259">
        <f t="shared" si="18"/>
        <v>-0.97103803381914011</v>
      </c>
      <c r="R27" s="259">
        <f t="shared" si="18"/>
        <v>0</v>
      </c>
      <c r="S27" s="259">
        <f t="shared" si="18"/>
        <v>0</v>
      </c>
      <c r="T27" s="259">
        <f t="shared" si="18"/>
        <v>-1.8297924044236551</v>
      </c>
      <c r="U27" s="259">
        <f t="shared" si="18"/>
        <v>-2.6312407369500003E-2</v>
      </c>
      <c r="V27" s="259">
        <f t="shared" si="18"/>
        <v>0</v>
      </c>
      <c r="W27" s="259">
        <f t="shared" si="18"/>
        <v>-0.37758304575232499</v>
      </c>
      <c r="X27" s="259">
        <f t="shared" si="18"/>
        <v>0</v>
      </c>
      <c r="Y27" s="259">
        <f t="shared" si="18"/>
        <v>0</v>
      </c>
      <c r="Z27" s="259">
        <f t="shared" si="18"/>
        <v>0</v>
      </c>
      <c r="AA27" s="259">
        <f t="shared" si="18"/>
        <v>0</v>
      </c>
      <c r="AB27" s="259">
        <f t="shared" si="18"/>
        <v>0</v>
      </c>
      <c r="AC27" s="259">
        <f t="shared" si="18"/>
        <v>0</v>
      </c>
      <c r="AD27" s="259">
        <f t="shared" si="18"/>
        <v>0</v>
      </c>
      <c r="AE27" s="259">
        <f t="shared" si="18"/>
        <v>0</v>
      </c>
      <c r="AF27" s="259">
        <f t="shared" si="18"/>
        <v>0</v>
      </c>
      <c r="AG27" s="259">
        <f t="shared" si="18"/>
        <v>0</v>
      </c>
      <c r="AH27" s="259">
        <f t="shared" si="18"/>
        <v>0</v>
      </c>
      <c r="AI27" s="259">
        <f t="shared" si="18"/>
        <v>0</v>
      </c>
      <c r="AJ27" s="259">
        <f t="shared" si="18"/>
        <v>0</v>
      </c>
      <c r="AK27" s="259">
        <f t="shared" si="18"/>
        <v>0</v>
      </c>
      <c r="AL27" s="259">
        <f t="shared" si="18"/>
        <v>0</v>
      </c>
      <c r="AM27" s="259">
        <f t="shared" si="18"/>
        <v>0</v>
      </c>
      <c r="AN27" s="259">
        <f t="shared" si="18"/>
        <v>0</v>
      </c>
      <c r="AO27" s="259">
        <f t="shared" si="18"/>
        <v>0</v>
      </c>
      <c r="AP27" s="259">
        <f t="shared" si="18"/>
        <v>0</v>
      </c>
      <c r="AQ27" s="259">
        <f t="shared" si="18"/>
        <v>0</v>
      </c>
      <c r="AR27" s="259">
        <f t="shared" si="18"/>
        <v>0</v>
      </c>
      <c r="AS27" s="259">
        <f t="shared" si="18"/>
        <v>0</v>
      </c>
      <c r="AT27" s="259">
        <f t="shared" si="18"/>
        <v>0</v>
      </c>
      <c r="AU27" s="259">
        <f t="shared" si="18"/>
        <v>0</v>
      </c>
      <c r="AV27" s="259">
        <f t="shared" si="18"/>
        <v>0</v>
      </c>
      <c r="AW27" s="259">
        <f t="shared" si="18"/>
        <v>0</v>
      </c>
      <c r="AX27" s="259">
        <f t="shared" si="18"/>
        <v>0</v>
      </c>
      <c r="AY27" s="259">
        <f t="shared" si="18"/>
        <v>0</v>
      </c>
      <c r="AZ27" s="259">
        <f t="shared" si="18"/>
        <v>0</v>
      </c>
      <c r="BA27" s="259">
        <f t="shared" si="18"/>
        <v>0</v>
      </c>
      <c r="BB27" s="259">
        <f t="shared" si="18"/>
        <v>0</v>
      </c>
      <c r="BC27" s="259">
        <f t="shared" si="18"/>
        <v>0</v>
      </c>
      <c r="BD27" s="259">
        <f t="shared" si="18"/>
        <v>0</v>
      </c>
      <c r="BE27" s="259">
        <f t="shared" si="18"/>
        <v>0</v>
      </c>
      <c r="BF27" s="259">
        <f t="shared" si="18"/>
        <v>0</v>
      </c>
      <c r="BG27" s="259">
        <f t="shared" si="18"/>
        <v>0</v>
      </c>
      <c r="BH27" s="259">
        <f t="shared" si="18"/>
        <v>0</v>
      </c>
      <c r="BI27" s="259">
        <f t="shared" si="18"/>
        <v>0</v>
      </c>
      <c r="BJ27" s="259">
        <f t="shared" si="18"/>
        <v>0</v>
      </c>
      <c r="BK27" s="259">
        <f t="shared" si="18"/>
        <v>0</v>
      </c>
      <c r="BL27" s="259">
        <f t="shared" si="18"/>
        <v>0</v>
      </c>
      <c r="BM27" s="259">
        <f t="shared" si="18"/>
        <v>0</v>
      </c>
      <c r="BN27" s="259">
        <f t="shared" si="18"/>
        <v>0</v>
      </c>
      <c r="BO27" s="259">
        <f t="shared" si="18"/>
        <v>0</v>
      </c>
      <c r="BP27" s="259">
        <f t="shared" ref="BP27:CX27" si="19">SUM(BP25:BP26)</f>
        <v>0</v>
      </c>
      <c r="BQ27" s="259">
        <f t="shared" si="19"/>
        <v>0</v>
      </c>
      <c r="BR27" s="259">
        <f t="shared" si="19"/>
        <v>0</v>
      </c>
      <c r="BS27" s="259">
        <f t="shared" si="19"/>
        <v>0</v>
      </c>
      <c r="BT27" s="259">
        <f t="shared" si="19"/>
        <v>0</v>
      </c>
      <c r="BU27" s="259">
        <f t="shared" si="19"/>
        <v>0</v>
      </c>
      <c r="BV27" s="259">
        <f t="shared" si="19"/>
        <v>0</v>
      </c>
      <c r="BW27" s="259">
        <f t="shared" si="19"/>
        <v>0</v>
      </c>
      <c r="BX27" s="259">
        <f t="shared" si="19"/>
        <v>0</v>
      </c>
      <c r="BY27" s="259">
        <f t="shared" si="19"/>
        <v>0</v>
      </c>
      <c r="BZ27" s="259">
        <f t="shared" si="19"/>
        <v>0</v>
      </c>
      <c r="CA27" s="259">
        <f t="shared" si="19"/>
        <v>0</v>
      </c>
      <c r="CB27" s="259">
        <f t="shared" si="19"/>
        <v>0</v>
      </c>
      <c r="CC27" s="259">
        <f t="shared" si="19"/>
        <v>0</v>
      </c>
      <c r="CD27" s="259">
        <f t="shared" si="19"/>
        <v>0</v>
      </c>
      <c r="CE27" s="259">
        <f t="shared" si="19"/>
        <v>0</v>
      </c>
      <c r="CF27" s="259">
        <f t="shared" si="19"/>
        <v>0</v>
      </c>
      <c r="CG27" s="259">
        <f t="shared" si="19"/>
        <v>0</v>
      </c>
      <c r="CH27" s="259">
        <f t="shared" si="19"/>
        <v>0</v>
      </c>
      <c r="CI27" s="259">
        <f t="shared" si="19"/>
        <v>0</v>
      </c>
      <c r="CJ27" s="259">
        <f t="shared" si="19"/>
        <v>0</v>
      </c>
      <c r="CK27" s="259">
        <f t="shared" si="19"/>
        <v>0</v>
      </c>
      <c r="CL27" s="259">
        <f t="shared" si="19"/>
        <v>0</v>
      </c>
      <c r="CM27" s="259">
        <f t="shared" si="19"/>
        <v>0</v>
      </c>
      <c r="CN27" s="259">
        <f t="shared" si="19"/>
        <v>0</v>
      </c>
      <c r="CO27" s="259">
        <f t="shared" si="19"/>
        <v>0</v>
      </c>
      <c r="CP27" s="259">
        <f t="shared" si="19"/>
        <v>0</v>
      </c>
      <c r="CQ27" s="259">
        <f t="shared" si="19"/>
        <v>0</v>
      </c>
      <c r="CR27" s="259">
        <f t="shared" si="19"/>
        <v>0</v>
      </c>
      <c r="CS27" s="259">
        <f t="shared" si="19"/>
        <v>0</v>
      </c>
      <c r="CT27" s="259">
        <f t="shared" si="19"/>
        <v>0</v>
      </c>
      <c r="CU27" s="259">
        <f t="shared" si="19"/>
        <v>0</v>
      </c>
      <c r="CV27" s="259">
        <f t="shared" si="19"/>
        <v>0</v>
      </c>
      <c r="CW27" s="259">
        <f t="shared" si="19"/>
        <v>0</v>
      </c>
      <c r="CX27" s="259">
        <f t="shared" si="19"/>
        <v>0</v>
      </c>
    </row>
    <row r="28" spans="1:102" x14ac:dyDescent="0.3">
      <c r="B28" s="257"/>
      <c r="C28" s="258"/>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row>
    <row r="29" spans="1:102" x14ac:dyDescent="0.3">
      <c r="A29" s="262" t="s">
        <v>37</v>
      </c>
      <c r="B29" s="257"/>
      <c r="C29" s="258"/>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c r="BK29" s="258"/>
      <c r="BL29" s="258"/>
      <c r="BM29" s="258"/>
      <c r="BN29" s="258"/>
      <c r="BO29" s="258"/>
      <c r="BP29" s="258"/>
      <c r="BQ29" s="258"/>
      <c r="BR29" s="258"/>
      <c r="BS29" s="258"/>
      <c r="BT29" s="258"/>
      <c r="BU29" s="258"/>
      <c r="BV29" s="258"/>
      <c r="BW29" s="258"/>
      <c r="BX29" s="258"/>
      <c r="BY29" s="258"/>
      <c r="BZ29" s="258"/>
      <c r="CA29" s="258"/>
      <c r="CB29" s="258"/>
      <c r="CC29" s="258"/>
      <c r="CD29" s="258"/>
      <c r="CE29" s="258"/>
      <c r="CF29" s="258"/>
      <c r="CG29" s="258"/>
      <c r="CH29" s="258"/>
      <c r="CI29" s="258"/>
      <c r="CJ29" s="258"/>
      <c r="CK29" s="258"/>
      <c r="CL29" s="258"/>
      <c r="CM29" s="258"/>
      <c r="CN29" s="258"/>
      <c r="CO29" s="258"/>
      <c r="CP29" s="258"/>
      <c r="CQ29" s="258"/>
      <c r="CR29" s="258"/>
      <c r="CS29" s="258"/>
      <c r="CT29" s="258"/>
      <c r="CU29" s="258"/>
      <c r="CV29" s="258"/>
      <c r="CW29" s="258"/>
      <c r="CX29" s="258"/>
    </row>
    <row r="30" spans="1:102" x14ac:dyDescent="0.3">
      <c r="A30" s="1" t="s">
        <v>68</v>
      </c>
      <c r="B30" s="257">
        <f t="shared" ref="B30:B35" ca="1" si="20">SUM(C30:U30)</f>
        <v>-7.1625106833256815</v>
      </c>
      <c r="C30" s="270">
        <f>SUMIFS('Monthly Cashflow'!30:30,'Monthly Cashflow'!$3:$3,C$7)</f>
        <v>0</v>
      </c>
      <c r="D30" s="270">
        <f>SUMIFS('Monthly Cashflow'!30:30,'Monthly Cashflow'!$3:$3,D$7)</f>
        <v>0</v>
      </c>
      <c r="E30" s="270">
        <f>SUMIFS('Monthly Cashflow'!30:30,'Monthly Cashflow'!$3:$3,E$7)</f>
        <v>0</v>
      </c>
      <c r="F30" s="270">
        <f>SUMIFS('Monthly Cashflow'!30:30,'Monthly Cashflow'!$3:$3,F$7)</f>
        <v>0</v>
      </c>
      <c r="G30" s="270">
        <f>SUMIFS('Monthly Cashflow'!30:30,'Monthly Cashflow'!$3:$3,G$7)</f>
        <v>0</v>
      </c>
      <c r="H30" s="270">
        <f>SUMIFS('Monthly Cashflow'!30:30,'Monthly Cashflow'!$3:$3,H$7)</f>
        <v>0</v>
      </c>
      <c r="I30" s="270">
        <f>SUMIFS('Monthly Cashflow'!30:30,'Monthly Cashflow'!$3:$3,I$7)</f>
        <v>0</v>
      </c>
      <c r="J30" s="270">
        <f>SUMIFS('Monthly Cashflow'!30:30,'Monthly Cashflow'!$3:$3,J$7)</f>
        <v>0</v>
      </c>
      <c r="K30" s="270">
        <f>SUMIFS('Monthly Cashflow'!30:30,'Monthly Cashflow'!$3:$3,K$7)</f>
        <v>0</v>
      </c>
      <c r="L30" s="270">
        <f>SUMIFS('Monthly Cashflow'!30:30,'Monthly Cashflow'!$3:$3,L$7)</f>
        <v>0</v>
      </c>
      <c r="M30" s="270">
        <f>SUMIFS('Monthly Cashflow'!30:30,'Monthly Cashflow'!$3:$3,M$7)</f>
        <v>0</v>
      </c>
      <c r="N30" s="270">
        <f>SUMIFS('Monthly Cashflow'!30:30,'Monthly Cashflow'!$3:$3,N$7)</f>
        <v>0</v>
      </c>
      <c r="O30" s="270">
        <f>SUMIFS('Monthly Cashflow'!30:30,'Monthly Cashflow'!$3:$3,O$7)</f>
        <v>0</v>
      </c>
      <c r="P30" s="270">
        <f>SUMIFS('Monthly Cashflow'!30:30,'Monthly Cashflow'!$3:$3,P$7)</f>
        <v>0</v>
      </c>
      <c r="Q30" s="270">
        <f>SUMIFS('Monthly Cashflow'!30:30,'Monthly Cashflow'!$3:$3,Q$7)</f>
        <v>0</v>
      </c>
      <c r="R30" s="270">
        <f>SUMIFS('Monthly Cashflow'!30:30,'Monthly Cashflow'!$3:$3,R$7)</f>
        <v>0</v>
      </c>
      <c r="S30" s="270">
        <f>SUMIFS('Monthly Cashflow'!30:30,'Monthly Cashflow'!$3:$3,S$7)</f>
        <v>0</v>
      </c>
      <c r="T30" s="270">
        <f>SUMIFS('Monthly Cashflow'!30:30,'Monthly Cashflow'!$3:$3,T$7)</f>
        <v>0</v>
      </c>
      <c r="U30" s="270">
        <f ca="1">SUMIFS('Monthly Cashflow'!30:30,'Monthly Cashflow'!$3:$3,U$7)</f>
        <v>-7.1625106833256815</v>
      </c>
      <c r="V30" s="270">
        <f ca="1">SUMIFS('Monthly Cashflow'!30:30,'Monthly Cashflow'!$3:$3,V$7)</f>
        <v>-21.487532049977045</v>
      </c>
      <c r="W30" s="270">
        <f ca="1">SUMIFS('Monthly Cashflow'!30:30,'Monthly Cashflow'!$3:$3,W$7)</f>
        <v>-7.1625106833256815</v>
      </c>
      <c r="X30" s="270">
        <f ca="1">SUMIFS('Monthly Cashflow'!30:30,'Monthly Cashflow'!$3:$3,X$7)</f>
        <v>0</v>
      </c>
      <c r="Y30" s="270">
        <f ca="1">SUMIFS('Monthly Cashflow'!30:30,'Monthly Cashflow'!$3:$3,Y$7)</f>
        <v>0</v>
      </c>
      <c r="Z30" s="270">
        <f ca="1">SUMIFS('Monthly Cashflow'!30:30,'Monthly Cashflow'!$3:$3,Z$7)</f>
        <v>0</v>
      </c>
      <c r="AA30" s="270">
        <f ca="1">SUMIFS('Monthly Cashflow'!30:30,'Monthly Cashflow'!$3:$3,AA$7)</f>
        <v>0</v>
      </c>
      <c r="AB30" s="270">
        <f ca="1">SUMIFS('Monthly Cashflow'!30:30,'Monthly Cashflow'!$3:$3,AB$7)</f>
        <v>0</v>
      </c>
      <c r="AC30" s="270">
        <f ca="1">SUMIFS('Monthly Cashflow'!30:30,'Monthly Cashflow'!$3:$3,AC$7)</f>
        <v>0</v>
      </c>
      <c r="AD30" s="270">
        <f ca="1">SUMIFS('Monthly Cashflow'!30:30,'Monthly Cashflow'!$3:$3,AD$7)</f>
        <v>0</v>
      </c>
      <c r="AE30" s="270">
        <f ca="1">SUMIFS('Monthly Cashflow'!30:30,'Monthly Cashflow'!$3:$3,AE$7)</f>
        <v>0</v>
      </c>
      <c r="AF30" s="270">
        <f ca="1">SUMIFS('Monthly Cashflow'!30:30,'Monthly Cashflow'!$3:$3,AF$7)</f>
        <v>0</v>
      </c>
      <c r="AG30" s="270">
        <f ca="1">SUMIFS('Monthly Cashflow'!30:30,'Monthly Cashflow'!$3:$3,AG$7)</f>
        <v>0</v>
      </c>
      <c r="AH30" s="270">
        <f ca="1">SUMIFS('Monthly Cashflow'!30:30,'Monthly Cashflow'!$3:$3,AH$7)</f>
        <v>0</v>
      </c>
      <c r="AI30" s="270">
        <f ca="1">SUMIFS('Monthly Cashflow'!30:30,'Monthly Cashflow'!$3:$3,AI$7)</f>
        <v>0</v>
      </c>
      <c r="AJ30" s="270">
        <f ca="1">SUMIFS('Monthly Cashflow'!30:30,'Monthly Cashflow'!$3:$3,AJ$7)</f>
        <v>0</v>
      </c>
      <c r="AK30" s="270">
        <f ca="1">SUMIFS('Monthly Cashflow'!30:30,'Monthly Cashflow'!$3:$3,AK$7)</f>
        <v>0</v>
      </c>
      <c r="AL30" s="270">
        <f ca="1">SUMIFS('Monthly Cashflow'!30:30,'Monthly Cashflow'!$3:$3,AL$7)</f>
        <v>0</v>
      </c>
      <c r="AM30" s="270">
        <f ca="1">SUMIFS('Monthly Cashflow'!30:30,'Monthly Cashflow'!$3:$3,AM$7)</f>
        <v>0</v>
      </c>
      <c r="AN30" s="270">
        <f ca="1">SUMIFS('Monthly Cashflow'!30:30,'Monthly Cashflow'!$3:$3,AN$7)</f>
        <v>0</v>
      </c>
      <c r="AO30" s="270">
        <f ca="1">SUMIFS('Monthly Cashflow'!30:30,'Monthly Cashflow'!$3:$3,AO$7)</f>
        <v>0</v>
      </c>
      <c r="AP30" s="270">
        <f ca="1">SUMIFS('Monthly Cashflow'!30:30,'Monthly Cashflow'!$3:$3,AP$7)</f>
        <v>0</v>
      </c>
      <c r="AQ30" s="270">
        <f ca="1">SUMIFS('Monthly Cashflow'!30:30,'Monthly Cashflow'!$3:$3,AQ$7)</f>
        <v>0</v>
      </c>
      <c r="AR30" s="270">
        <f ca="1">SUMIFS('Monthly Cashflow'!30:30,'Monthly Cashflow'!$3:$3,AR$7)</f>
        <v>0</v>
      </c>
      <c r="AS30" s="270">
        <f ca="1">SUMIFS('Monthly Cashflow'!30:30,'Monthly Cashflow'!$3:$3,AS$7)</f>
        <v>0</v>
      </c>
      <c r="AT30" s="270">
        <f ca="1">SUMIFS('Monthly Cashflow'!30:30,'Monthly Cashflow'!$3:$3,AT$7)</f>
        <v>0</v>
      </c>
      <c r="AU30" s="270">
        <f>SUMIFS('Monthly Cashflow'!30:30,'Monthly Cashflow'!$3:$3,AU$7)</f>
        <v>0</v>
      </c>
      <c r="AV30" s="270">
        <f>SUMIFS('Monthly Cashflow'!30:30,'Monthly Cashflow'!$3:$3,AV$7)</f>
        <v>0</v>
      </c>
      <c r="AW30" s="270">
        <f>SUMIFS('Monthly Cashflow'!30:30,'Monthly Cashflow'!$3:$3,AW$7)</f>
        <v>0</v>
      </c>
      <c r="AX30" s="270">
        <f>SUMIFS('Monthly Cashflow'!30:30,'Monthly Cashflow'!$3:$3,AX$7)</f>
        <v>0</v>
      </c>
      <c r="AY30" s="270">
        <f>SUMIFS('Monthly Cashflow'!30:30,'Monthly Cashflow'!$3:$3,AY$7)</f>
        <v>0</v>
      </c>
      <c r="AZ30" s="270">
        <f>SUMIFS('Monthly Cashflow'!30:30,'Monthly Cashflow'!$3:$3,AZ$7)</f>
        <v>0</v>
      </c>
      <c r="BA30" s="270">
        <f>SUMIFS('Monthly Cashflow'!30:30,'Monthly Cashflow'!$3:$3,BA$7)</f>
        <v>0</v>
      </c>
      <c r="BB30" s="270">
        <f>SUMIFS('Monthly Cashflow'!30:30,'Monthly Cashflow'!$3:$3,BB$7)</f>
        <v>0</v>
      </c>
      <c r="BC30" s="270">
        <f>SUMIFS('Monthly Cashflow'!30:30,'Monthly Cashflow'!$3:$3,BC$7)</f>
        <v>0</v>
      </c>
      <c r="BD30" s="270">
        <f>SUMIFS('Monthly Cashflow'!30:30,'Monthly Cashflow'!$3:$3,BD$7)</f>
        <v>0</v>
      </c>
      <c r="BE30" s="270">
        <f>SUMIFS('Monthly Cashflow'!30:30,'Monthly Cashflow'!$3:$3,BE$7)</f>
        <v>0</v>
      </c>
      <c r="BF30" s="270">
        <f>SUMIFS('Monthly Cashflow'!30:30,'Monthly Cashflow'!$3:$3,BF$7)</f>
        <v>0</v>
      </c>
      <c r="BG30" s="270">
        <f>SUMIFS('Monthly Cashflow'!30:30,'Monthly Cashflow'!$3:$3,BG$7)</f>
        <v>0</v>
      </c>
      <c r="BH30" s="270">
        <f>SUMIFS('Monthly Cashflow'!30:30,'Monthly Cashflow'!$3:$3,BH$7)</f>
        <v>0</v>
      </c>
      <c r="BI30" s="270">
        <f>SUMIFS('Monthly Cashflow'!30:30,'Monthly Cashflow'!$3:$3,BI$7)</f>
        <v>0</v>
      </c>
      <c r="BJ30" s="270">
        <f>SUMIFS('Monthly Cashflow'!30:30,'Monthly Cashflow'!$3:$3,BJ$7)</f>
        <v>0</v>
      </c>
      <c r="BK30" s="270">
        <f>SUMIFS('Monthly Cashflow'!30:30,'Monthly Cashflow'!$3:$3,BK$7)</f>
        <v>0</v>
      </c>
      <c r="BL30" s="270">
        <f>SUMIFS('Monthly Cashflow'!30:30,'Monthly Cashflow'!$3:$3,BL$7)</f>
        <v>0</v>
      </c>
      <c r="BM30" s="270">
        <f>SUMIFS('Monthly Cashflow'!30:30,'Monthly Cashflow'!$3:$3,BM$7)</f>
        <v>0</v>
      </c>
      <c r="BN30" s="270">
        <f>SUMIFS('Monthly Cashflow'!30:30,'Monthly Cashflow'!$3:$3,BN$7)</f>
        <v>0</v>
      </c>
      <c r="BO30" s="270">
        <f>SUMIFS('Monthly Cashflow'!30:30,'Monthly Cashflow'!$3:$3,BO$7)</f>
        <v>0</v>
      </c>
      <c r="BP30" s="270">
        <f>SUMIFS('Monthly Cashflow'!30:30,'Monthly Cashflow'!$3:$3,BP$7)</f>
        <v>0</v>
      </c>
      <c r="BQ30" s="270">
        <f>SUMIFS('Monthly Cashflow'!30:30,'Monthly Cashflow'!$3:$3,BQ$7)</f>
        <v>0</v>
      </c>
      <c r="BR30" s="270">
        <f>SUMIFS('Monthly Cashflow'!30:30,'Monthly Cashflow'!$3:$3,BR$7)</f>
        <v>0</v>
      </c>
      <c r="BS30" s="270">
        <f>SUMIFS('Monthly Cashflow'!30:30,'Monthly Cashflow'!$3:$3,BS$7)</f>
        <v>0</v>
      </c>
      <c r="BT30" s="270">
        <f>SUMIFS('Monthly Cashflow'!30:30,'Monthly Cashflow'!$3:$3,BT$7)</f>
        <v>0</v>
      </c>
      <c r="BU30" s="270">
        <f>SUMIFS('Monthly Cashflow'!30:30,'Monthly Cashflow'!$3:$3,BU$7)</f>
        <v>0</v>
      </c>
      <c r="BV30" s="270">
        <f>SUMIFS('Monthly Cashflow'!30:30,'Monthly Cashflow'!$3:$3,BV$7)</f>
        <v>0</v>
      </c>
      <c r="BW30" s="270">
        <f>SUMIFS('Monthly Cashflow'!30:30,'Monthly Cashflow'!$3:$3,BW$7)</f>
        <v>0</v>
      </c>
      <c r="BX30" s="270">
        <f>SUMIFS('Monthly Cashflow'!30:30,'Monthly Cashflow'!$3:$3,BX$7)</f>
        <v>0</v>
      </c>
      <c r="BY30" s="270">
        <f>SUMIFS('Monthly Cashflow'!30:30,'Monthly Cashflow'!$3:$3,BY$7)</f>
        <v>0</v>
      </c>
      <c r="BZ30" s="270">
        <f>SUMIFS('Monthly Cashflow'!30:30,'Monthly Cashflow'!$3:$3,BZ$7)</f>
        <v>0</v>
      </c>
      <c r="CA30" s="270">
        <f>SUMIFS('Monthly Cashflow'!30:30,'Monthly Cashflow'!$3:$3,CA$7)</f>
        <v>0</v>
      </c>
      <c r="CB30" s="270">
        <f>SUMIFS('Monthly Cashflow'!30:30,'Monthly Cashflow'!$3:$3,CB$7)</f>
        <v>0</v>
      </c>
      <c r="CC30" s="270">
        <f>SUMIFS('Monthly Cashflow'!30:30,'Monthly Cashflow'!$3:$3,CC$7)</f>
        <v>0</v>
      </c>
      <c r="CD30" s="270">
        <f>SUMIFS('Monthly Cashflow'!30:30,'Monthly Cashflow'!$3:$3,CD$7)</f>
        <v>0</v>
      </c>
      <c r="CE30" s="270">
        <f>SUMIFS('Monthly Cashflow'!30:30,'Monthly Cashflow'!$3:$3,CE$7)</f>
        <v>0</v>
      </c>
      <c r="CF30" s="270">
        <f>SUMIFS('Monthly Cashflow'!30:30,'Monthly Cashflow'!$3:$3,CF$7)</f>
        <v>0</v>
      </c>
      <c r="CG30" s="270">
        <f>SUMIFS('Monthly Cashflow'!30:30,'Monthly Cashflow'!$3:$3,CG$7)</f>
        <v>0</v>
      </c>
      <c r="CH30" s="270">
        <f>SUMIFS('Monthly Cashflow'!30:30,'Monthly Cashflow'!$3:$3,CH$7)</f>
        <v>0</v>
      </c>
      <c r="CI30" s="270">
        <f>SUMIFS('Monthly Cashflow'!30:30,'Monthly Cashflow'!$3:$3,CI$7)</f>
        <v>0</v>
      </c>
      <c r="CJ30" s="270">
        <f>SUMIFS('Monthly Cashflow'!30:30,'Monthly Cashflow'!$3:$3,CJ$7)</f>
        <v>0</v>
      </c>
      <c r="CK30" s="270">
        <f>SUMIFS('Monthly Cashflow'!30:30,'Monthly Cashflow'!$3:$3,CK$7)</f>
        <v>0</v>
      </c>
      <c r="CL30" s="270">
        <f>SUMIFS('Monthly Cashflow'!30:30,'Monthly Cashflow'!$3:$3,CL$7)</f>
        <v>0</v>
      </c>
      <c r="CM30" s="270">
        <f>SUMIFS('Monthly Cashflow'!30:30,'Monthly Cashflow'!$3:$3,CM$7)</f>
        <v>0</v>
      </c>
      <c r="CN30" s="270">
        <f>SUMIFS('Monthly Cashflow'!30:30,'Monthly Cashflow'!$3:$3,CN$7)</f>
        <v>0</v>
      </c>
      <c r="CO30" s="270">
        <f>SUMIFS('Monthly Cashflow'!30:30,'Monthly Cashflow'!$3:$3,CO$7)</f>
        <v>0</v>
      </c>
      <c r="CP30" s="270">
        <f>SUMIFS('Monthly Cashflow'!30:30,'Monthly Cashflow'!$3:$3,CP$7)</f>
        <v>0</v>
      </c>
      <c r="CQ30" s="270">
        <f>SUMIFS('Monthly Cashflow'!30:30,'Monthly Cashflow'!$3:$3,CQ$7)</f>
        <v>0</v>
      </c>
      <c r="CR30" s="270">
        <f>SUMIFS('Monthly Cashflow'!30:30,'Monthly Cashflow'!$3:$3,CR$7)</f>
        <v>0</v>
      </c>
      <c r="CS30" s="270">
        <f>SUMIFS('Monthly Cashflow'!30:30,'Monthly Cashflow'!$3:$3,CS$7)</f>
        <v>0</v>
      </c>
      <c r="CT30" s="270">
        <f>SUMIFS('Monthly Cashflow'!30:30,'Monthly Cashflow'!$3:$3,CT$7)</f>
        <v>0</v>
      </c>
      <c r="CU30" s="270">
        <f>SUMIFS('Monthly Cashflow'!30:30,'Monthly Cashflow'!$3:$3,CU$7)</f>
        <v>0</v>
      </c>
      <c r="CV30" s="270">
        <f>SUMIFS('Monthly Cashflow'!30:30,'Monthly Cashflow'!$3:$3,CV$7)</f>
        <v>0</v>
      </c>
      <c r="CW30" s="270">
        <f>SUMIFS('Monthly Cashflow'!30:30,'Monthly Cashflow'!$3:$3,CW$7)</f>
        <v>0</v>
      </c>
      <c r="CX30" s="270">
        <f>SUMIFS('Monthly Cashflow'!30:30,'Monthly Cashflow'!$3:$3,CX$7)</f>
        <v>0</v>
      </c>
    </row>
    <row r="31" spans="1:102" x14ac:dyDescent="0.3">
      <c r="A31" s="1" t="s">
        <v>146</v>
      </c>
      <c r="B31" s="257">
        <f t="shared" ca="1" si="20"/>
        <v>-2.1240031680815004</v>
      </c>
      <c r="C31" s="270">
        <f>SUMIFS('Monthly Cashflow'!31:31,'Monthly Cashflow'!$3:$3,C$7)</f>
        <v>0</v>
      </c>
      <c r="D31" s="270">
        <f ca="1">SUMIFS('Monthly Cashflow'!31:31,'Monthly Cashflow'!$3:$3,D$7)</f>
        <v>-2.1240031680815004</v>
      </c>
      <c r="E31" s="270">
        <f>SUMIFS('Monthly Cashflow'!31:31,'Monthly Cashflow'!$3:$3,E$7)</f>
        <v>0</v>
      </c>
      <c r="F31" s="270">
        <f>SUMIFS('Monthly Cashflow'!31:31,'Monthly Cashflow'!$3:$3,F$7)</f>
        <v>0</v>
      </c>
      <c r="G31" s="270">
        <f>SUMIFS('Monthly Cashflow'!31:31,'Monthly Cashflow'!$3:$3,G$7)</f>
        <v>0</v>
      </c>
      <c r="H31" s="270">
        <f>SUMIFS('Monthly Cashflow'!31:31,'Monthly Cashflow'!$3:$3,H$7)</f>
        <v>0</v>
      </c>
      <c r="I31" s="270">
        <f>SUMIFS('Monthly Cashflow'!31:31,'Monthly Cashflow'!$3:$3,I$7)</f>
        <v>0</v>
      </c>
      <c r="J31" s="270">
        <f>SUMIFS('Monthly Cashflow'!31:31,'Monthly Cashflow'!$3:$3,J$7)</f>
        <v>0</v>
      </c>
      <c r="K31" s="270">
        <f>SUMIFS('Monthly Cashflow'!31:31,'Monthly Cashflow'!$3:$3,K$7)</f>
        <v>0</v>
      </c>
      <c r="L31" s="270">
        <f>SUMIFS('Monthly Cashflow'!31:31,'Monthly Cashflow'!$3:$3,L$7)</f>
        <v>0</v>
      </c>
      <c r="M31" s="270">
        <f>SUMIFS('Monthly Cashflow'!31:31,'Monthly Cashflow'!$3:$3,M$7)</f>
        <v>0</v>
      </c>
      <c r="N31" s="270">
        <f>SUMIFS('Monthly Cashflow'!31:31,'Monthly Cashflow'!$3:$3,N$7)</f>
        <v>0</v>
      </c>
      <c r="O31" s="270">
        <f>SUMIFS('Monthly Cashflow'!31:31,'Monthly Cashflow'!$3:$3,O$7)</f>
        <v>0</v>
      </c>
      <c r="P31" s="270">
        <f>SUMIFS('Monthly Cashflow'!31:31,'Monthly Cashflow'!$3:$3,P$7)</f>
        <v>0</v>
      </c>
      <c r="Q31" s="270">
        <f>SUMIFS('Monthly Cashflow'!31:31,'Monthly Cashflow'!$3:$3,Q$7)</f>
        <v>0</v>
      </c>
      <c r="R31" s="270">
        <f>SUMIFS('Monthly Cashflow'!31:31,'Monthly Cashflow'!$3:$3,R$7)</f>
        <v>0</v>
      </c>
      <c r="S31" s="270">
        <f>SUMIFS('Monthly Cashflow'!31:31,'Monthly Cashflow'!$3:$3,S$7)</f>
        <v>0</v>
      </c>
      <c r="T31" s="270">
        <f>SUMIFS('Monthly Cashflow'!31:31,'Monthly Cashflow'!$3:$3,T$7)</f>
        <v>0</v>
      </c>
      <c r="U31" s="270">
        <f>SUMIFS('Monthly Cashflow'!31:31,'Monthly Cashflow'!$3:$3,U$7)</f>
        <v>0</v>
      </c>
      <c r="V31" s="270">
        <f>SUMIFS('Monthly Cashflow'!31:31,'Monthly Cashflow'!$3:$3,V$7)</f>
        <v>0</v>
      </c>
      <c r="W31" s="270">
        <f>SUMIFS('Monthly Cashflow'!31:31,'Monthly Cashflow'!$3:$3,W$7)</f>
        <v>0</v>
      </c>
      <c r="X31" s="270">
        <f>SUMIFS('Monthly Cashflow'!31:31,'Monthly Cashflow'!$3:$3,X$7)</f>
        <v>0</v>
      </c>
      <c r="Y31" s="270">
        <f>SUMIFS('Monthly Cashflow'!31:31,'Monthly Cashflow'!$3:$3,Y$7)</f>
        <v>0</v>
      </c>
      <c r="Z31" s="270">
        <f>SUMIFS('Monthly Cashflow'!31:31,'Monthly Cashflow'!$3:$3,Z$7)</f>
        <v>0</v>
      </c>
      <c r="AA31" s="270">
        <f>SUMIFS('Monthly Cashflow'!31:31,'Monthly Cashflow'!$3:$3,AA$7)</f>
        <v>0</v>
      </c>
      <c r="AB31" s="270">
        <f>SUMIFS('Monthly Cashflow'!31:31,'Monthly Cashflow'!$3:$3,AB$7)</f>
        <v>0</v>
      </c>
      <c r="AC31" s="270">
        <f>SUMIFS('Monthly Cashflow'!31:31,'Monthly Cashflow'!$3:$3,AC$7)</f>
        <v>0</v>
      </c>
      <c r="AD31" s="270">
        <f>SUMIFS('Monthly Cashflow'!31:31,'Monthly Cashflow'!$3:$3,AD$7)</f>
        <v>0</v>
      </c>
      <c r="AE31" s="270">
        <f>SUMIFS('Monthly Cashflow'!31:31,'Monthly Cashflow'!$3:$3,AE$7)</f>
        <v>0</v>
      </c>
      <c r="AF31" s="270">
        <f>SUMIFS('Monthly Cashflow'!31:31,'Monthly Cashflow'!$3:$3,AF$7)</f>
        <v>0</v>
      </c>
      <c r="AG31" s="270">
        <f>SUMIFS('Monthly Cashflow'!31:31,'Monthly Cashflow'!$3:$3,AG$7)</f>
        <v>0</v>
      </c>
      <c r="AH31" s="270">
        <f>SUMIFS('Monthly Cashflow'!31:31,'Monthly Cashflow'!$3:$3,AH$7)</f>
        <v>0</v>
      </c>
      <c r="AI31" s="270">
        <f>SUMIFS('Monthly Cashflow'!31:31,'Monthly Cashflow'!$3:$3,AI$7)</f>
        <v>0</v>
      </c>
      <c r="AJ31" s="270">
        <f>SUMIFS('Monthly Cashflow'!31:31,'Monthly Cashflow'!$3:$3,AJ$7)</f>
        <v>0</v>
      </c>
      <c r="AK31" s="270">
        <f>SUMIFS('Monthly Cashflow'!31:31,'Monthly Cashflow'!$3:$3,AK$7)</f>
        <v>0</v>
      </c>
      <c r="AL31" s="270">
        <f>SUMIFS('Monthly Cashflow'!31:31,'Monthly Cashflow'!$3:$3,AL$7)</f>
        <v>0</v>
      </c>
      <c r="AM31" s="270">
        <f>SUMIFS('Monthly Cashflow'!31:31,'Monthly Cashflow'!$3:$3,AM$7)</f>
        <v>0</v>
      </c>
      <c r="AN31" s="270">
        <f>SUMIFS('Monthly Cashflow'!31:31,'Monthly Cashflow'!$3:$3,AN$7)</f>
        <v>0</v>
      </c>
      <c r="AO31" s="270">
        <f>SUMIFS('Monthly Cashflow'!31:31,'Monthly Cashflow'!$3:$3,AO$7)</f>
        <v>0</v>
      </c>
      <c r="AP31" s="270">
        <f>SUMIFS('Monthly Cashflow'!31:31,'Monthly Cashflow'!$3:$3,AP$7)</f>
        <v>0</v>
      </c>
      <c r="AQ31" s="270">
        <f>SUMIFS('Monthly Cashflow'!31:31,'Monthly Cashflow'!$3:$3,AQ$7)</f>
        <v>0</v>
      </c>
      <c r="AR31" s="270">
        <f>SUMIFS('Monthly Cashflow'!31:31,'Monthly Cashflow'!$3:$3,AR$7)</f>
        <v>0</v>
      </c>
      <c r="AS31" s="270">
        <f>SUMIFS('Monthly Cashflow'!31:31,'Monthly Cashflow'!$3:$3,AS$7)</f>
        <v>0</v>
      </c>
      <c r="AT31" s="270">
        <f>SUMIFS('Monthly Cashflow'!31:31,'Monthly Cashflow'!$3:$3,AT$7)</f>
        <v>0</v>
      </c>
      <c r="AU31" s="270">
        <f>SUMIFS('Monthly Cashflow'!31:31,'Monthly Cashflow'!$3:$3,AU$7)</f>
        <v>0</v>
      </c>
      <c r="AV31" s="270">
        <f>SUMIFS('Monthly Cashflow'!31:31,'Monthly Cashflow'!$3:$3,AV$7)</f>
        <v>0</v>
      </c>
      <c r="AW31" s="270">
        <f>SUMIFS('Monthly Cashflow'!31:31,'Monthly Cashflow'!$3:$3,AW$7)</f>
        <v>0</v>
      </c>
      <c r="AX31" s="270">
        <f>SUMIFS('Monthly Cashflow'!31:31,'Monthly Cashflow'!$3:$3,AX$7)</f>
        <v>0</v>
      </c>
      <c r="AY31" s="270">
        <f>SUMIFS('Monthly Cashflow'!31:31,'Monthly Cashflow'!$3:$3,AY$7)</f>
        <v>0</v>
      </c>
      <c r="AZ31" s="270">
        <f>SUMIFS('Monthly Cashflow'!31:31,'Monthly Cashflow'!$3:$3,AZ$7)</f>
        <v>0</v>
      </c>
      <c r="BA31" s="270">
        <f>SUMIFS('Monthly Cashflow'!31:31,'Monthly Cashflow'!$3:$3,BA$7)</f>
        <v>0</v>
      </c>
      <c r="BB31" s="270">
        <f>SUMIFS('Monthly Cashflow'!31:31,'Monthly Cashflow'!$3:$3,BB$7)</f>
        <v>0</v>
      </c>
      <c r="BC31" s="270">
        <f>SUMIFS('Monthly Cashflow'!31:31,'Monthly Cashflow'!$3:$3,BC$7)</f>
        <v>0</v>
      </c>
      <c r="BD31" s="270">
        <f>SUMIFS('Monthly Cashflow'!31:31,'Monthly Cashflow'!$3:$3,BD$7)</f>
        <v>0</v>
      </c>
      <c r="BE31" s="270">
        <f>SUMIFS('Monthly Cashflow'!31:31,'Monthly Cashflow'!$3:$3,BE$7)</f>
        <v>0</v>
      </c>
      <c r="BF31" s="270">
        <f>SUMIFS('Monthly Cashflow'!31:31,'Monthly Cashflow'!$3:$3,BF$7)</f>
        <v>0</v>
      </c>
      <c r="BG31" s="270">
        <f>SUMIFS('Monthly Cashflow'!31:31,'Monthly Cashflow'!$3:$3,BG$7)</f>
        <v>0</v>
      </c>
      <c r="BH31" s="270">
        <f>SUMIFS('Monthly Cashflow'!31:31,'Monthly Cashflow'!$3:$3,BH$7)</f>
        <v>0</v>
      </c>
      <c r="BI31" s="270">
        <f>SUMIFS('Monthly Cashflow'!31:31,'Monthly Cashflow'!$3:$3,BI$7)</f>
        <v>0</v>
      </c>
      <c r="BJ31" s="270">
        <f>SUMIFS('Monthly Cashflow'!31:31,'Monthly Cashflow'!$3:$3,BJ$7)</f>
        <v>0</v>
      </c>
      <c r="BK31" s="270">
        <f>SUMIFS('Monthly Cashflow'!31:31,'Monthly Cashflow'!$3:$3,BK$7)</f>
        <v>0</v>
      </c>
      <c r="BL31" s="270">
        <f>SUMIFS('Monthly Cashflow'!31:31,'Monthly Cashflow'!$3:$3,BL$7)</f>
        <v>0</v>
      </c>
      <c r="BM31" s="270">
        <f>SUMIFS('Monthly Cashflow'!31:31,'Monthly Cashflow'!$3:$3,BM$7)</f>
        <v>0</v>
      </c>
      <c r="BN31" s="270">
        <f>SUMIFS('Monthly Cashflow'!31:31,'Monthly Cashflow'!$3:$3,BN$7)</f>
        <v>0</v>
      </c>
      <c r="BO31" s="270">
        <f>SUMIFS('Monthly Cashflow'!31:31,'Monthly Cashflow'!$3:$3,BO$7)</f>
        <v>0</v>
      </c>
      <c r="BP31" s="270">
        <f>SUMIFS('Monthly Cashflow'!31:31,'Monthly Cashflow'!$3:$3,BP$7)</f>
        <v>0</v>
      </c>
      <c r="BQ31" s="270">
        <f>SUMIFS('Monthly Cashflow'!31:31,'Monthly Cashflow'!$3:$3,BQ$7)</f>
        <v>0</v>
      </c>
      <c r="BR31" s="270">
        <f>SUMIFS('Monthly Cashflow'!31:31,'Monthly Cashflow'!$3:$3,BR$7)</f>
        <v>0</v>
      </c>
      <c r="BS31" s="270">
        <f>SUMIFS('Monthly Cashflow'!31:31,'Monthly Cashflow'!$3:$3,BS$7)</f>
        <v>0</v>
      </c>
      <c r="BT31" s="270">
        <f>SUMIFS('Monthly Cashflow'!31:31,'Monthly Cashflow'!$3:$3,BT$7)</f>
        <v>0</v>
      </c>
      <c r="BU31" s="270">
        <f>SUMIFS('Monthly Cashflow'!31:31,'Monthly Cashflow'!$3:$3,BU$7)</f>
        <v>0</v>
      </c>
      <c r="BV31" s="270">
        <f>SUMIFS('Monthly Cashflow'!31:31,'Monthly Cashflow'!$3:$3,BV$7)</f>
        <v>0</v>
      </c>
      <c r="BW31" s="270">
        <f>SUMIFS('Monthly Cashflow'!31:31,'Monthly Cashflow'!$3:$3,BW$7)</f>
        <v>0</v>
      </c>
      <c r="BX31" s="270">
        <f>SUMIFS('Monthly Cashflow'!31:31,'Monthly Cashflow'!$3:$3,BX$7)</f>
        <v>0</v>
      </c>
      <c r="BY31" s="270">
        <f>SUMIFS('Monthly Cashflow'!31:31,'Monthly Cashflow'!$3:$3,BY$7)</f>
        <v>0</v>
      </c>
      <c r="BZ31" s="270">
        <f>SUMIFS('Monthly Cashflow'!31:31,'Monthly Cashflow'!$3:$3,BZ$7)</f>
        <v>0</v>
      </c>
      <c r="CA31" s="270">
        <f>SUMIFS('Monthly Cashflow'!31:31,'Monthly Cashflow'!$3:$3,CA$7)</f>
        <v>0</v>
      </c>
      <c r="CB31" s="270">
        <f>SUMIFS('Monthly Cashflow'!31:31,'Monthly Cashflow'!$3:$3,CB$7)</f>
        <v>0</v>
      </c>
      <c r="CC31" s="270">
        <f>SUMIFS('Monthly Cashflow'!31:31,'Monthly Cashflow'!$3:$3,CC$7)</f>
        <v>0</v>
      </c>
      <c r="CD31" s="270">
        <f>SUMIFS('Monthly Cashflow'!31:31,'Monthly Cashflow'!$3:$3,CD$7)</f>
        <v>0</v>
      </c>
      <c r="CE31" s="270">
        <f>SUMIFS('Monthly Cashflow'!31:31,'Monthly Cashflow'!$3:$3,CE$7)</f>
        <v>0</v>
      </c>
      <c r="CF31" s="270">
        <f>SUMIFS('Monthly Cashflow'!31:31,'Monthly Cashflow'!$3:$3,CF$7)</f>
        <v>0</v>
      </c>
      <c r="CG31" s="270">
        <f>SUMIFS('Monthly Cashflow'!31:31,'Monthly Cashflow'!$3:$3,CG$7)</f>
        <v>0</v>
      </c>
      <c r="CH31" s="270">
        <f>SUMIFS('Monthly Cashflow'!31:31,'Monthly Cashflow'!$3:$3,CH$7)</f>
        <v>0</v>
      </c>
      <c r="CI31" s="270">
        <f>SUMIFS('Monthly Cashflow'!31:31,'Monthly Cashflow'!$3:$3,CI$7)</f>
        <v>0</v>
      </c>
      <c r="CJ31" s="270">
        <f>SUMIFS('Monthly Cashflow'!31:31,'Monthly Cashflow'!$3:$3,CJ$7)</f>
        <v>0</v>
      </c>
      <c r="CK31" s="270">
        <f>SUMIFS('Monthly Cashflow'!31:31,'Monthly Cashflow'!$3:$3,CK$7)</f>
        <v>0</v>
      </c>
      <c r="CL31" s="270">
        <f>SUMIFS('Monthly Cashflow'!31:31,'Monthly Cashflow'!$3:$3,CL$7)</f>
        <v>0</v>
      </c>
      <c r="CM31" s="270">
        <f>SUMIFS('Monthly Cashflow'!31:31,'Monthly Cashflow'!$3:$3,CM$7)</f>
        <v>0</v>
      </c>
      <c r="CN31" s="270">
        <f>SUMIFS('Monthly Cashflow'!31:31,'Monthly Cashflow'!$3:$3,CN$7)</f>
        <v>0</v>
      </c>
      <c r="CO31" s="270">
        <f>SUMIFS('Monthly Cashflow'!31:31,'Monthly Cashflow'!$3:$3,CO$7)</f>
        <v>0</v>
      </c>
      <c r="CP31" s="270">
        <f>SUMIFS('Monthly Cashflow'!31:31,'Monthly Cashflow'!$3:$3,CP$7)</f>
        <v>0</v>
      </c>
      <c r="CQ31" s="270">
        <f>SUMIFS('Monthly Cashflow'!31:31,'Monthly Cashflow'!$3:$3,CQ$7)</f>
        <v>0</v>
      </c>
      <c r="CR31" s="270">
        <f>SUMIFS('Monthly Cashflow'!31:31,'Monthly Cashflow'!$3:$3,CR$7)</f>
        <v>0</v>
      </c>
      <c r="CS31" s="270">
        <f>SUMIFS('Monthly Cashflow'!31:31,'Monthly Cashflow'!$3:$3,CS$7)</f>
        <v>0</v>
      </c>
      <c r="CT31" s="270">
        <f>SUMIFS('Monthly Cashflow'!31:31,'Monthly Cashflow'!$3:$3,CT$7)</f>
        <v>0</v>
      </c>
      <c r="CU31" s="270">
        <f>SUMIFS('Monthly Cashflow'!31:31,'Monthly Cashflow'!$3:$3,CU$7)</f>
        <v>0</v>
      </c>
      <c r="CV31" s="270">
        <f>SUMIFS('Monthly Cashflow'!31:31,'Monthly Cashflow'!$3:$3,CV$7)</f>
        <v>0</v>
      </c>
      <c r="CW31" s="270">
        <f>SUMIFS('Monthly Cashflow'!31:31,'Monthly Cashflow'!$3:$3,CW$7)</f>
        <v>0</v>
      </c>
      <c r="CX31" s="270">
        <f>SUMIFS('Monthly Cashflow'!31:31,'Monthly Cashflow'!$3:$3,CX$7)</f>
        <v>0</v>
      </c>
    </row>
    <row r="32" spans="1:102" x14ac:dyDescent="0.3">
      <c r="A32" s="1" t="s">
        <v>38</v>
      </c>
      <c r="B32" s="257">
        <f t="shared" ca="1" si="20"/>
        <v>-71.477443382360917</v>
      </c>
      <c r="C32" s="270">
        <f>SUMIFS('Monthly Cashflow'!32:32,'Monthly Cashflow'!$3:$3,C$7)</f>
        <v>0</v>
      </c>
      <c r="D32" s="270">
        <f ca="1">SUMIFS('Monthly Cashflow'!32:32,'Monthly Cashflow'!$3:$3,D$7)</f>
        <v>-0.28751019926803567</v>
      </c>
      <c r="E32" s="270">
        <f ca="1">SUMIFS('Monthly Cashflow'!32:32,'Monthly Cashflow'!$3:$3,E$7)</f>
        <v>-0.72462361283612342</v>
      </c>
      <c r="F32" s="270">
        <f ca="1">SUMIFS('Monthly Cashflow'!32:32,'Monthly Cashflow'!$3:$3,F$7)</f>
        <v>-1.157212096645261</v>
      </c>
      <c r="G32" s="270">
        <f ca="1">SUMIFS('Monthly Cashflow'!32:32,'Monthly Cashflow'!$3:$3,G$7)</f>
        <v>-1.5060570186986002</v>
      </c>
      <c r="H32" s="270">
        <f ca="1">SUMIFS('Monthly Cashflow'!32:32,'Monthly Cashflow'!$3:$3,H$7)</f>
        <v>-1.8995329057311201</v>
      </c>
      <c r="I32" s="270">
        <f ca="1">SUMIFS('Monthly Cashflow'!32:32,'Monthly Cashflow'!$3:$3,I$7)</f>
        <v>-2.3823699797082449</v>
      </c>
      <c r="J32" s="270">
        <f ca="1">SUMIFS('Monthly Cashflow'!32:32,'Monthly Cashflow'!$3:$3,J$7)</f>
        <v>-2.8741815208721286</v>
      </c>
      <c r="K32" s="270">
        <f ca="1">SUMIFS('Monthly Cashflow'!32:32,'Monthly Cashflow'!$3:$3,K$7)</f>
        <v>-3.4683111129197073</v>
      </c>
      <c r="L32" s="270">
        <f ca="1">SUMIFS('Monthly Cashflow'!32:32,'Monthly Cashflow'!$3:$3,L$7)</f>
        <v>-3.9305274903663117</v>
      </c>
      <c r="M32" s="270">
        <f ca="1">SUMIFS('Monthly Cashflow'!32:32,'Monthly Cashflow'!$3:$3,M$7)</f>
        <v>-4.1695660178510519</v>
      </c>
      <c r="N32" s="270">
        <f ca="1">SUMIFS('Monthly Cashflow'!32:32,'Monthly Cashflow'!$3:$3,N$7)</f>
        <v>-4.6570278833811054</v>
      </c>
      <c r="O32" s="270">
        <f ca="1">SUMIFS('Monthly Cashflow'!32:32,'Monthly Cashflow'!$3:$3,O$7)</f>
        <v>-5.2264309894073282</v>
      </c>
      <c r="P32" s="270">
        <f ca="1">SUMIFS('Monthly Cashflow'!32:32,'Monthly Cashflow'!$3:$3,P$7)</f>
        <v>-5.6968699317155114</v>
      </c>
      <c r="Q32" s="270">
        <f ca="1">SUMIFS('Monthly Cashflow'!32:32,'Monthly Cashflow'!$3:$3,Q$7)</f>
        <v>-6.2199222670415475</v>
      </c>
      <c r="R32" s="270">
        <f ca="1">SUMIFS('Monthly Cashflow'!32:32,'Monthly Cashflow'!$3:$3,R$7)</f>
        <v>-6.5738229565469766</v>
      </c>
      <c r="S32" s="270">
        <f ca="1">SUMIFS('Monthly Cashflow'!32:32,'Monthly Cashflow'!$3:$3,S$7)</f>
        <v>-6.7282897590217612</v>
      </c>
      <c r="T32" s="270">
        <f ca="1">SUMIFS('Monthly Cashflow'!32:32,'Monthly Cashflow'!$3:$3,T$7)</f>
        <v>-6.9048195673495218</v>
      </c>
      <c r="U32" s="270">
        <f ca="1">SUMIFS('Monthly Cashflow'!32:32,'Monthly Cashflow'!$3:$3,U$7)</f>
        <v>-7.07036807300058</v>
      </c>
      <c r="V32" s="270">
        <f ca="1">SUMIFS('Monthly Cashflow'!32:32,'Monthly Cashflow'!$3:$3,V$7)</f>
        <v>-7.1625106833256815</v>
      </c>
      <c r="W32" s="270">
        <f ca="1">SUMIFS('Monthly Cashflow'!32:32,'Monthly Cashflow'!$3:$3,W$7)</f>
        <v>-7.1625106833256815</v>
      </c>
      <c r="X32" s="270">
        <f ca="1">SUMIFS('Monthly Cashflow'!32:32,'Monthly Cashflow'!$3:$3,X$7)</f>
        <v>0</v>
      </c>
      <c r="Y32" s="270">
        <f ca="1">SUMIFS('Monthly Cashflow'!32:32,'Monthly Cashflow'!$3:$3,Y$7)</f>
        <v>0</v>
      </c>
      <c r="Z32" s="270">
        <f ca="1">SUMIFS('Monthly Cashflow'!32:32,'Monthly Cashflow'!$3:$3,Z$7)</f>
        <v>0</v>
      </c>
      <c r="AA32" s="270">
        <f ca="1">SUMIFS('Monthly Cashflow'!32:32,'Monthly Cashflow'!$3:$3,AA$7)</f>
        <v>0</v>
      </c>
      <c r="AB32" s="270">
        <f ca="1">SUMIFS('Monthly Cashflow'!32:32,'Monthly Cashflow'!$3:$3,AB$7)</f>
        <v>0</v>
      </c>
      <c r="AC32" s="270">
        <f ca="1">SUMIFS('Monthly Cashflow'!32:32,'Monthly Cashflow'!$3:$3,AC$7)</f>
        <v>0</v>
      </c>
      <c r="AD32" s="270">
        <f ca="1">SUMIFS('Monthly Cashflow'!32:32,'Monthly Cashflow'!$3:$3,AD$7)</f>
        <v>0</v>
      </c>
      <c r="AE32" s="270">
        <f ca="1">SUMIFS('Monthly Cashflow'!32:32,'Monthly Cashflow'!$3:$3,AE$7)</f>
        <v>0</v>
      </c>
      <c r="AF32" s="270">
        <f ca="1">SUMIFS('Monthly Cashflow'!32:32,'Monthly Cashflow'!$3:$3,AF$7)</f>
        <v>0</v>
      </c>
      <c r="AG32" s="270">
        <f ca="1">SUMIFS('Monthly Cashflow'!32:32,'Monthly Cashflow'!$3:$3,AG$7)</f>
        <v>0</v>
      </c>
      <c r="AH32" s="270">
        <f ca="1">SUMIFS('Monthly Cashflow'!32:32,'Monthly Cashflow'!$3:$3,AH$7)</f>
        <v>0</v>
      </c>
      <c r="AI32" s="270">
        <f ca="1">SUMIFS('Monthly Cashflow'!32:32,'Monthly Cashflow'!$3:$3,AI$7)</f>
        <v>0</v>
      </c>
      <c r="AJ32" s="270">
        <f ca="1">SUMIFS('Monthly Cashflow'!32:32,'Monthly Cashflow'!$3:$3,AJ$7)</f>
        <v>0</v>
      </c>
      <c r="AK32" s="270">
        <f ca="1">SUMIFS('Monthly Cashflow'!32:32,'Monthly Cashflow'!$3:$3,AK$7)</f>
        <v>0</v>
      </c>
      <c r="AL32" s="270">
        <f ca="1">SUMIFS('Monthly Cashflow'!32:32,'Monthly Cashflow'!$3:$3,AL$7)</f>
        <v>0</v>
      </c>
      <c r="AM32" s="270">
        <f ca="1">SUMIFS('Monthly Cashflow'!32:32,'Monthly Cashflow'!$3:$3,AM$7)</f>
        <v>0</v>
      </c>
      <c r="AN32" s="270">
        <f ca="1">SUMIFS('Monthly Cashflow'!32:32,'Monthly Cashflow'!$3:$3,AN$7)</f>
        <v>0</v>
      </c>
      <c r="AO32" s="270">
        <f ca="1">SUMIFS('Monthly Cashflow'!32:32,'Monthly Cashflow'!$3:$3,AO$7)</f>
        <v>0</v>
      </c>
      <c r="AP32" s="270">
        <f ca="1">SUMIFS('Monthly Cashflow'!32:32,'Monthly Cashflow'!$3:$3,AP$7)</f>
        <v>0</v>
      </c>
      <c r="AQ32" s="270">
        <f ca="1">SUMIFS('Monthly Cashflow'!32:32,'Monthly Cashflow'!$3:$3,AQ$7)</f>
        <v>0</v>
      </c>
      <c r="AR32" s="270">
        <f ca="1">SUMIFS('Monthly Cashflow'!32:32,'Monthly Cashflow'!$3:$3,AR$7)</f>
        <v>0</v>
      </c>
      <c r="AS32" s="270">
        <f ca="1">SUMIFS('Monthly Cashflow'!32:32,'Monthly Cashflow'!$3:$3,AS$7)</f>
        <v>0</v>
      </c>
      <c r="AT32" s="270">
        <f ca="1">SUMIFS('Monthly Cashflow'!32:32,'Monthly Cashflow'!$3:$3,AT$7)</f>
        <v>0</v>
      </c>
      <c r="AU32" s="270">
        <f>SUMIFS('Monthly Cashflow'!32:32,'Monthly Cashflow'!$3:$3,AU$7)</f>
        <v>0</v>
      </c>
      <c r="AV32" s="270">
        <f>SUMIFS('Monthly Cashflow'!32:32,'Monthly Cashflow'!$3:$3,AV$7)</f>
        <v>0</v>
      </c>
      <c r="AW32" s="270">
        <f>SUMIFS('Monthly Cashflow'!32:32,'Monthly Cashflow'!$3:$3,AW$7)</f>
        <v>0</v>
      </c>
      <c r="AX32" s="270">
        <f>SUMIFS('Monthly Cashflow'!32:32,'Monthly Cashflow'!$3:$3,AX$7)</f>
        <v>0</v>
      </c>
      <c r="AY32" s="270">
        <f>SUMIFS('Monthly Cashflow'!32:32,'Monthly Cashflow'!$3:$3,AY$7)</f>
        <v>0</v>
      </c>
      <c r="AZ32" s="270">
        <f>SUMIFS('Monthly Cashflow'!32:32,'Monthly Cashflow'!$3:$3,AZ$7)</f>
        <v>0</v>
      </c>
      <c r="BA32" s="270">
        <f>SUMIFS('Monthly Cashflow'!32:32,'Monthly Cashflow'!$3:$3,BA$7)</f>
        <v>0</v>
      </c>
      <c r="BB32" s="270">
        <f>SUMIFS('Monthly Cashflow'!32:32,'Monthly Cashflow'!$3:$3,BB$7)</f>
        <v>0</v>
      </c>
      <c r="BC32" s="270">
        <f>SUMIFS('Monthly Cashflow'!32:32,'Monthly Cashflow'!$3:$3,BC$7)</f>
        <v>0</v>
      </c>
      <c r="BD32" s="270">
        <f>SUMIFS('Monthly Cashflow'!32:32,'Monthly Cashflow'!$3:$3,BD$7)</f>
        <v>0</v>
      </c>
      <c r="BE32" s="270">
        <f>SUMIFS('Monthly Cashflow'!32:32,'Monthly Cashflow'!$3:$3,BE$7)</f>
        <v>0</v>
      </c>
      <c r="BF32" s="270">
        <f>SUMIFS('Monthly Cashflow'!32:32,'Monthly Cashflow'!$3:$3,BF$7)</f>
        <v>0</v>
      </c>
      <c r="BG32" s="270">
        <f>SUMIFS('Monthly Cashflow'!32:32,'Monthly Cashflow'!$3:$3,BG$7)</f>
        <v>0</v>
      </c>
      <c r="BH32" s="270">
        <f>SUMIFS('Monthly Cashflow'!32:32,'Monthly Cashflow'!$3:$3,BH$7)</f>
        <v>0</v>
      </c>
      <c r="BI32" s="270">
        <f>SUMIFS('Monthly Cashflow'!32:32,'Monthly Cashflow'!$3:$3,BI$7)</f>
        <v>0</v>
      </c>
      <c r="BJ32" s="270">
        <f>SUMIFS('Monthly Cashflow'!32:32,'Monthly Cashflow'!$3:$3,BJ$7)</f>
        <v>0</v>
      </c>
      <c r="BK32" s="270">
        <f>SUMIFS('Monthly Cashflow'!32:32,'Monthly Cashflow'!$3:$3,BK$7)</f>
        <v>0</v>
      </c>
      <c r="BL32" s="270">
        <f>SUMIFS('Monthly Cashflow'!32:32,'Monthly Cashflow'!$3:$3,BL$7)</f>
        <v>0</v>
      </c>
      <c r="BM32" s="270">
        <f>SUMIFS('Monthly Cashflow'!32:32,'Monthly Cashflow'!$3:$3,BM$7)</f>
        <v>0</v>
      </c>
      <c r="BN32" s="270">
        <f>SUMIFS('Monthly Cashflow'!32:32,'Monthly Cashflow'!$3:$3,BN$7)</f>
        <v>0</v>
      </c>
      <c r="BO32" s="270">
        <f>SUMIFS('Monthly Cashflow'!32:32,'Monthly Cashflow'!$3:$3,BO$7)</f>
        <v>0</v>
      </c>
      <c r="BP32" s="270">
        <f>SUMIFS('Monthly Cashflow'!32:32,'Monthly Cashflow'!$3:$3,BP$7)</f>
        <v>0</v>
      </c>
      <c r="BQ32" s="270">
        <f>SUMIFS('Monthly Cashflow'!32:32,'Monthly Cashflow'!$3:$3,BQ$7)</f>
        <v>0</v>
      </c>
      <c r="BR32" s="270">
        <f>SUMIFS('Monthly Cashflow'!32:32,'Monthly Cashflow'!$3:$3,BR$7)</f>
        <v>0</v>
      </c>
      <c r="BS32" s="270">
        <f>SUMIFS('Monthly Cashflow'!32:32,'Monthly Cashflow'!$3:$3,BS$7)</f>
        <v>0</v>
      </c>
      <c r="BT32" s="270">
        <f>SUMIFS('Monthly Cashflow'!32:32,'Monthly Cashflow'!$3:$3,BT$7)</f>
        <v>0</v>
      </c>
      <c r="BU32" s="270">
        <f>SUMIFS('Monthly Cashflow'!32:32,'Monthly Cashflow'!$3:$3,BU$7)</f>
        <v>0</v>
      </c>
      <c r="BV32" s="270">
        <f>SUMIFS('Monthly Cashflow'!32:32,'Monthly Cashflow'!$3:$3,BV$7)</f>
        <v>0</v>
      </c>
      <c r="BW32" s="270">
        <f>SUMIFS('Monthly Cashflow'!32:32,'Monthly Cashflow'!$3:$3,BW$7)</f>
        <v>0</v>
      </c>
      <c r="BX32" s="270">
        <f>SUMIFS('Monthly Cashflow'!32:32,'Monthly Cashflow'!$3:$3,BX$7)</f>
        <v>0</v>
      </c>
      <c r="BY32" s="270">
        <f>SUMIFS('Monthly Cashflow'!32:32,'Monthly Cashflow'!$3:$3,BY$7)</f>
        <v>0</v>
      </c>
      <c r="BZ32" s="270">
        <f>SUMIFS('Monthly Cashflow'!32:32,'Monthly Cashflow'!$3:$3,BZ$7)</f>
        <v>0</v>
      </c>
      <c r="CA32" s="270">
        <f>SUMIFS('Monthly Cashflow'!32:32,'Monthly Cashflow'!$3:$3,CA$7)</f>
        <v>0</v>
      </c>
      <c r="CB32" s="270">
        <f>SUMIFS('Monthly Cashflow'!32:32,'Monthly Cashflow'!$3:$3,CB$7)</f>
        <v>0</v>
      </c>
      <c r="CC32" s="270">
        <f>SUMIFS('Monthly Cashflow'!32:32,'Monthly Cashflow'!$3:$3,CC$7)</f>
        <v>0</v>
      </c>
      <c r="CD32" s="270">
        <f>SUMIFS('Monthly Cashflow'!32:32,'Monthly Cashflow'!$3:$3,CD$7)</f>
        <v>0</v>
      </c>
      <c r="CE32" s="270">
        <f>SUMIFS('Monthly Cashflow'!32:32,'Monthly Cashflow'!$3:$3,CE$7)</f>
        <v>0</v>
      </c>
      <c r="CF32" s="270">
        <f>SUMIFS('Monthly Cashflow'!32:32,'Monthly Cashflow'!$3:$3,CF$7)</f>
        <v>0</v>
      </c>
      <c r="CG32" s="270">
        <f>SUMIFS('Monthly Cashflow'!32:32,'Monthly Cashflow'!$3:$3,CG$7)</f>
        <v>0</v>
      </c>
      <c r="CH32" s="270">
        <f>SUMIFS('Monthly Cashflow'!32:32,'Monthly Cashflow'!$3:$3,CH$7)</f>
        <v>0</v>
      </c>
      <c r="CI32" s="270">
        <f>SUMIFS('Monthly Cashflow'!32:32,'Monthly Cashflow'!$3:$3,CI$7)</f>
        <v>0</v>
      </c>
      <c r="CJ32" s="270">
        <f>SUMIFS('Monthly Cashflow'!32:32,'Monthly Cashflow'!$3:$3,CJ$7)</f>
        <v>0</v>
      </c>
      <c r="CK32" s="270">
        <f>SUMIFS('Monthly Cashflow'!32:32,'Monthly Cashflow'!$3:$3,CK$7)</f>
        <v>0</v>
      </c>
      <c r="CL32" s="270">
        <f>SUMIFS('Monthly Cashflow'!32:32,'Monthly Cashflow'!$3:$3,CL$7)</f>
        <v>0</v>
      </c>
      <c r="CM32" s="270">
        <f>SUMIFS('Monthly Cashflow'!32:32,'Monthly Cashflow'!$3:$3,CM$7)</f>
        <v>0</v>
      </c>
      <c r="CN32" s="270">
        <f>SUMIFS('Monthly Cashflow'!32:32,'Monthly Cashflow'!$3:$3,CN$7)</f>
        <v>0</v>
      </c>
      <c r="CO32" s="270">
        <f>SUMIFS('Monthly Cashflow'!32:32,'Monthly Cashflow'!$3:$3,CO$7)</f>
        <v>0</v>
      </c>
      <c r="CP32" s="270">
        <f>SUMIFS('Monthly Cashflow'!32:32,'Monthly Cashflow'!$3:$3,CP$7)</f>
        <v>0</v>
      </c>
      <c r="CQ32" s="270">
        <f>SUMIFS('Monthly Cashflow'!32:32,'Monthly Cashflow'!$3:$3,CQ$7)</f>
        <v>0</v>
      </c>
      <c r="CR32" s="270">
        <f>SUMIFS('Monthly Cashflow'!32:32,'Monthly Cashflow'!$3:$3,CR$7)</f>
        <v>0</v>
      </c>
      <c r="CS32" s="270">
        <f>SUMIFS('Monthly Cashflow'!32:32,'Monthly Cashflow'!$3:$3,CS$7)</f>
        <v>0</v>
      </c>
      <c r="CT32" s="270">
        <f>SUMIFS('Monthly Cashflow'!32:32,'Monthly Cashflow'!$3:$3,CT$7)</f>
        <v>0</v>
      </c>
      <c r="CU32" s="270">
        <f>SUMIFS('Monthly Cashflow'!32:32,'Monthly Cashflow'!$3:$3,CU$7)</f>
        <v>0</v>
      </c>
      <c r="CV32" s="270">
        <f>SUMIFS('Monthly Cashflow'!32:32,'Monthly Cashflow'!$3:$3,CV$7)</f>
        <v>0</v>
      </c>
      <c r="CW32" s="270">
        <f>SUMIFS('Monthly Cashflow'!32:32,'Monthly Cashflow'!$3:$3,CW$7)</f>
        <v>0</v>
      </c>
      <c r="CX32" s="270">
        <f>SUMIFS('Monthly Cashflow'!32:32,'Monthly Cashflow'!$3:$3,CX$7)</f>
        <v>0</v>
      </c>
    </row>
    <row r="33" spans="1:102" x14ac:dyDescent="0.3">
      <c r="A33" s="1" t="s">
        <v>39</v>
      </c>
      <c r="B33" s="257">
        <f t="shared" si="20"/>
        <v>0</v>
      </c>
      <c r="C33" s="270">
        <f>SUMIFS('Monthly Cashflow'!33:33,'Monthly Cashflow'!$3:$3,C$7)</f>
        <v>0</v>
      </c>
      <c r="D33" s="270">
        <f>SUMIFS('Monthly Cashflow'!33:33,'Monthly Cashflow'!$3:$3,D$7)</f>
        <v>0</v>
      </c>
      <c r="E33" s="270">
        <f>SUMIFS('Monthly Cashflow'!33:33,'Monthly Cashflow'!$3:$3,E$7)</f>
        <v>0</v>
      </c>
      <c r="F33" s="270">
        <f>SUMIFS('Monthly Cashflow'!33:33,'Monthly Cashflow'!$3:$3,F$7)</f>
        <v>0</v>
      </c>
      <c r="G33" s="270">
        <f>SUMIFS('Monthly Cashflow'!33:33,'Monthly Cashflow'!$3:$3,G$7)</f>
        <v>0</v>
      </c>
      <c r="H33" s="270">
        <f>SUMIFS('Monthly Cashflow'!33:33,'Monthly Cashflow'!$3:$3,H$7)</f>
        <v>0</v>
      </c>
      <c r="I33" s="270">
        <f>SUMIFS('Monthly Cashflow'!33:33,'Monthly Cashflow'!$3:$3,I$7)</f>
        <v>0</v>
      </c>
      <c r="J33" s="270">
        <f>SUMIFS('Monthly Cashflow'!33:33,'Monthly Cashflow'!$3:$3,J$7)</f>
        <v>0</v>
      </c>
      <c r="K33" s="270">
        <f>SUMIFS('Monthly Cashflow'!33:33,'Monthly Cashflow'!$3:$3,K$7)</f>
        <v>0</v>
      </c>
      <c r="L33" s="270">
        <f>SUMIFS('Monthly Cashflow'!33:33,'Monthly Cashflow'!$3:$3,L$7)</f>
        <v>0</v>
      </c>
      <c r="M33" s="270">
        <f>SUMIFS('Monthly Cashflow'!33:33,'Monthly Cashflow'!$3:$3,M$7)</f>
        <v>0</v>
      </c>
      <c r="N33" s="270">
        <f>SUMIFS('Monthly Cashflow'!33:33,'Monthly Cashflow'!$3:$3,N$7)</f>
        <v>0</v>
      </c>
      <c r="O33" s="270">
        <f>SUMIFS('Monthly Cashflow'!33:33,'Monthly Cashflow'!$3:$3,O$7)</f>
        <v>0</v>
      </c>
      <c r="P33" s="270">
        <f>SUMIFS('Monthly Cashflow'!33:33,'Monthly Cashflow'!$3:$3,P$7)</f>
        <v>0</v>
      </c>
      <c r="Q33" s="270">
        <f>SUMIFS('Monthly Cashflow'!33:33,'Monthly Cashflow'!$3:$3,Q$7)</f>
        <v>0</v>
      </c>
      <c r="R33" s="270">
        <f>SUMIFS('Monthly Cashflow'!33:33,'Monthly Cashflow'!$3:$3,R$7)</f>
        <v>0</v>
      </c>
      <c r="S33" s="270">
        <f>SUMIFS('Monthly Cashflow'!33:33,'Monthly Cashflow'!$3:$3,S$7)</f>
        <v>0</v>
      </c>
      <c r="T33" s="270">
        <f>SUMIFS('Monthly Cashflow'!33:33,'Monthly Cashflow'!$3:$3,T$7)</f>
        <v>0</v>
      </c>
      <c r="U33" s="270">
        <f>SUMIFS('Monthly Cashflow'!33:33,'Monthly Cashflow'!$3:$3,U$7)</f>
        <v>0</v>
      </c>
      <c r="V33" s="270">
        <f>SUMIFS('Monthly Cashflow'!33:33,'Monthly Cashflow'!$3:$3,V$7)</f>
        <v>0</v>
      </c>
      <c r="W33" s="270">
        <f>SUMIFS('Monthly Cashflow'!33:33,'Monthly Cashflow'!$3:$3,W$7)</f>
        <v>0</v>
      </c>
      <c r="X33" s="270">
        <f>SUMIFS('Monthly Cashflow'!33:33,'Monthly Cashflow'!$3:$3,X$7)</f>
        <v>0</v>
      </c>
      <c r="Y33" s="270">
        <f>SUMIFS('Monthly Cashflow'!33:33,'Monthly Cashflow'!$3:$3,Y$7)</f>
        <v>0</v>
      </c>
      <c r="Z33" s="270">
        <f>SUMIFS('Monthly Cashflow'!33:33,'Monthly Cashflow'!$3:$3,Z$7)</f>
        <v>0</v>
      </c>
      <c r="AA33" s="270">
        <f>SUMIFS('Monthly Cashflow'!33:33,'Monthly Cashflow'!$3:$3,AA$7)</f>
        <v>0</v>
      </c>
      <c r="AB33" s="270">
        <f>SUMIFS('Monthly Cashflow'!33:33,'Monthly Cashflow'!$3:$3,AB$7)</f>
        <v>0</v>
      </c>
      <c r="AC33" s="270">
        <f>SUMIFS('Monthly Cashflow'!33:33,'Monthly Cashflow'!$3:$3,AC$7)</f>
        <v>0</v>
      </c>
      <c r="AD33" s="270">
        <f>SUMIFS('Monthly Cashflow'!33:33,'Monthly Cashflow'!$3:$3,AD$7)</f>
        <v>0</v>
      </c>
      <c r="AE33" s="270">
        <f>SUMIFS('Monthly Cashflow'!33:33,'Monthly Cashflow'!$3:$3,AE$7)</f>
        <v>0</v>
      </c>
      <c r="AF33" s="270">
        <f>SUMIFS('Monthly Cashflow'!33:33,'Monthly Cashflow'!$3:$3,AF$7)</f>
        <v>0</v>
      </c>
      <c r="AG33" s="270">
        <f>SUMIFS('Monthly Cashflow'!33:33,'Monthly Cashflow'!$3:$3,AG$7)</f>
        <v>0</v>
      </c>
      <c r="AH33" s="270">
        <f>SUMIFS('Monthly Cashflow'!33:33,'Monthly Cashflow'!$3:$3,AH$7)</f>
        <v>0</v>
      </c>
      <c r="AI33" s="270">
        <f>SUMIFS('Monthly Cashflow'!33:33,'Monthly Cashflow'!$3:$3,AI$7)</f>
        <v>0</v>
      </c>
      <c r="AJ33" s="270">
        <f>SUMIFS('Monthly Cashflow'!33:33,'Monthly Cashflow'!$3:$3,AJ$7)</f>
        <v>0</v>
      </c>
      <c r="AK33" s="270">
        <f>SUMIFS('Monthly Cashflow'!33:33,'Monthly Cashflow'!$3:$3,AK$7)</f>
        <v>0</v>
      </c>
      <c r="AL33" s="270">
        <f>SUMIFS('Monthly Cashflow'!33:33,'Monthly Cashflow'!$3:$3,AL$7)</f>
        <v>0</v>
      </c>
      <c r="AM33" s="270">
        <f>SUMIFS('Monthly Cashflow'!33:33,'Monthly Cashflow'!$3:$3,AM$7)</f>
        <v>0</v>
      </c>
      <c r="AN33" s="270">
        <f>SUMIFS('Monthly Cashflow'!33:33,'Monthly Cashflow'!$3:$3,AN$7)</f>
        <v>0</v>
      </c>
      <c r="AO33" s="270">
        <f>SUMIFS('Monthly Cashflow'!33:33,'Monthly Cashflow'!$3:$3,AO$7)</f>
        <v>0</v>
      </c>
      <c r="AP33" s="270">
        <f>SUMIFS('Monthly Cashflow'!33:33,'Monthly Cashflow'!$3:$3,AP$7)</f>
        <v>0</v>
      </c>
      <c r="AQ33" s="270">
        <f>SUMIFS('Monthly Cashflow'!33:33,'Monthly Cashflow'!$3:$3,AQ$7)</f>
        <v>0</v>
      </c>
      <c r="AR33" s="270">
        <f>SUMIFS('Monthly Cashflow'!33:33,'Monthly Cashflow'!$3:$3,AR$7)</f>
        <v>0</v>
      </c>
      <c r="AS33" s="270">
        <f>SUMIFS('Monthly Cashflow'!33:33,'Monthly Cashflow'!$3:$3,AS$7)</f>
        <v>0</v>
      </c>
      <c r="AT33" s="270">
        <f>SUMIFS('Monthly Cashflow'!33:33,'Monthly Cashflow'!$3:$3,AT$7)</f>
        <v>0</v>
      </c>
      <c r="AU33" s="270">
        <f>SUMIFS('Monthly Cashflow'!33:33,'Monthly Cashflow'!$3:$3,AU$7)</f>
        <v>0</v>
      </c>
      <c r="AV33" s="270">
        <f>SUMIFS('Monthly Cashflow'!33:33,'Monthly Cashflow'!$3:$3,AV$7)</f>
        <v>0</v>
      </c>
      <c r="AW33" s="270">
        <f>SUMIFS('Monthly Cashflow'!33:33,'Monthly Cashflow'!$3:$3,AW$7)</f>
        <v>0</v>
      </c>
      <c r="AX33" s="270">
        <f>SUMIFS('Monthly Cashflow'!33:33,'Monthly Cashflow'!$3:$3,AX$7)</f>
        <v>0</v>
      </c>
      <c r="AY33" s="270">
        <f>SUMIFS('Monthly Cashflow'!33:33,'Monthly Cashflow'!$3:$3,AY$7)</f>
        <v>0</v>
      </c>
      <c r="AZ33" s="270">
        <f>SUMIFS('Monthly Cashflow'!33:33,'Monthly Cashflow'!$3:$3,AZ$7)</f>
        <v>0</v>
      </c>
      <c r="BA33" s="270">
        <f>SUMIFS('Monthly Cashflow'!33:33,'Monthly Cashflow'!$3:$3,BA$7)</f>
        <v>0</v>
      </c>
      <c r="BB33" s="270">
        <f>SUMIFS('Monthly Cashflow'!33:33,'Monthly Cashflow'!$3:$3,BB$7)</f>
        <v>0</v>
      </c>
      <c r="BC33" s="270">
        <f>SUMIFS('Monthly Cashflow'!33:33,'Monthly Cashflow'!$3:$3,BC$7)</f>
        <v>0</v>
      </c>
      <c r="BD33" s="270">
        <f>SUMIFS('Monthly Cashflow'!33:33,'Monthly Cashflow'!$3:$3,BD$7)</f>
        <v>0</v>
      </c>
      <c r="BE33" s="270">
        <f>SUMIFS('Monthly Cashflow'!33:33,'Monthly Cashflow'!$3:$3,BE$7)</f>
        <v>0</v>
      </c>
      <c r="BF33" s="270">
        <f>SUMIFS('Monthly Cashflow'!33:33,'Monthly Cashflow'!$3:$3,BF$7)</f>
        <v>0</v>
      </c>
      <c r="BG33" s="270">
        <f>SUMIFS('Monthly Cashflow'!33:33,'Monthly Cashflow'!$3:$3,BG$7)</f>
        <v>0</v>
      </c>
      <c r="BH33" s="270">
        <f>SUMIFS('Monthly Cashflow'!33:33,'Monthly Cashflow'!$3:$3,BH$7)</f>
        <v>0</v>
      </c>
      <c r="BI33" s="270">
        <f>SUMIFS('Monthly Cashflow'!33:33,'Monthly Cashflow'!$3:$3,BI$7)</f>
        <v>0</v>
      </c>
      <c r="BJ33" s="270">
        <f>SUMIFS('Monthly Cashflow'!33:33,'Monthly Cashflow'!$3:$3,BJ$7)</f>
        <v>0</v>
      </c>
      <c r="BK33" s="270">
        <f>SUMIFS('Monthly Cashflow'!33:33,'Monthly Cashflow'!$3:$3,BK$7)</f>
        <v>0</v>
      </c>
      <c r="BL33" s="270">
        <f>SUMIFS('Monthly Cashflow'!33:33,'Monthly Cashflow'!$3:$3,BL$7)</f>
        <v>0</v>
      </c>
      <c r="BM33" s="270">
        <f>SUMIFS('Monthly Cashflow'!33:33,'Monthly Cashflow'!$3:$3,BM$7)</f>
        <v>0</v>
      </c>
      <c r="BN33" s="270">
        <f>SUMIFS('Monthly Cashflow'!33:33,'Monthly Cashflow'!$3:$3,BN$7)</f>
        <v>0</v>
      </c>
      <c r="BO33" s="270">
        <f>SUMIFS('Monthly Cashflow'!33:33,'Monthly Cashflow'!$3:$3,BO$7)</f>
        <v>0</v>
      </c>
      <c r="BP33" s="270">
        <f>SUMIFS('Monthly Cashflow'!33:33,'Monthly Cashflow'!$3:$3,BP$7)</f>
        <v>0</v>
      </c>
      <c r="BQ33" s="270">
        <f>SUMIFS('Monthly Cashflow'!33:33,'Monthly Cashflow'!$3:$3,BQ$7)</f>
        <v>0</v>
      </c>
      <c r="BR33" s="270">
        <f>SUMIFS('Monthly Cashflow'!33:33,'Monthly Cashflow'!$3:$3,BR$7)</f>
        <v>0</v>
      </c>
      <c r="BS33" s="270">
        <f>SUMIFS('Monthly Cashflow'!33:33,'Monthly Cashflow'!$3:$3,BS$7)</f>
        <v>0</v>
      </c>
      <c r="BT33" s="270">
        <f>SUMIFS('Monthly Cashflow'!33:33,'Monthly Cashflow'!$3:$3,BT$7)</f>
        <v>0</v>
      </c>
      <c r="BU33" s="270">
        <f>SUMIFS('Monthly Cashflow'!33:33,'Monthly Cashflow'!$3:$3,BU$7)</f>
        <v>0</v>
      </c>
      <c r="BV33" s="270">
        <f>SUMIFS('Monthly Cashflow'!33:33,'Monthly Cashflow'!$3:$3,BV$7)</f>
        <v>0</v>
      </c>
      <c r="BW33" s="270">
        <f>SUMIFS('Monthly Cashflow'!33:33,'Monthly Cashflow'!$3:$3,BW$7)</f>
        <v>0</v>
      </c>
      <c r="BX33" s="270">
        <f>SUMIFS('Monthly Cashflow'!33:33,'Monthly Cashflow'!$3:$3,BX$7)</f>
        <v>0</v>
      </c>
      <c r="BY33" s="270">
        <f>SUMIFS('Monthly Cashflow'!33:33,'Monthly Cashflow'!$3:$3,BY$7)</f>
        <v>0</v>
      </c>
      <c r="BZ33" s="270">
        <f>SUMIFS('Monthly Cashflow'!33:33,'Monthly Cashflow'!$3:$3,BZ$7)</f>
        <v>0</v>
      </c>
      <c r="CA33" s="270">
        <f>SUMIFS('Monthly Cashflow'!33:33,'Monthly Cashflow'!$3:$3,CA$7)</f>
        <v>0</v>
      </c>
      <c r="CB33" s="270">
        <f>SUMIFS('Monthly Cashflow'!33:33,'Monthly Cashflow'!$3:$3,CB$7)</f>
        <v>0</v>
      </c>
      <c r="CC33" s="270">
        <f>SUMIFS('Monthly Cashflow'!33:33,'Monthly Cashflow'!$3:$3,CC$7)</f>
        <v>0</v>
      </c>
      <c r="CD33" s="270">
        <f>SUMIFS('Monthly Cashflow'!33:33,'Monthly Cashflow'!$3:$3,CD$7)</f>
        <v>0</v>
      </c>
      <c r="CE33" s="270">
        <f>SUMIFS('Monthly Cashflow'!33:33,'Monthly Cashflow'!$3:$3,CE$7)</f>
        <v>0</v>
      </c>
      <c r="CF33" s="270">
        <f>SUMIFS('Monthly Cashflow'!33:33,'Monthly Cashflow'!$3:$3,CF$7)</f>
        <v>0</v>
      </c>
      <c r="CG33" s="270">
        <f>SUMIFS('Monthly Cashflow'!33:33,'Monthly Cashflow'!$3:$3,CG$7)</f>
        <v>0</v>
      </c>
      <c r="CH33" s="270">
        <f>SUMIFS('Monthly Cashflow'!33:33,'Monthly Cashflow'!$3:$3,CH$7)</f>
        <v>0</v>
      </c>
      <c r="CI33" s="270">
        <f>SUMIFS('Monthly Cashflow'!33:33,'Monthly Cashflow'!$3:$3,CI$7)</f>
        <v>0</v>
      </c>
      <c r="CJ33" s="270">
        <f>SUMIFS('Monthly Cashflow'!33:33,'Monthly Cashflow'!$3:$3,CJ$7)</f>
        <v>0</v>
      </c>
      <c r="CK33" s="270">
        <f>SUMIFS('Monthly Cashflow'!33:33,'Monthly Cashflow'!$3:$3,CK$7)</f>
        <v>0</v>
      </c>
      <c r="CL33" s="270">
        <f>SUMIFS('Monthly Cashflow'!33:33,'Monthly Cashflow'!$3:$3,CL$7)</f>
        <v>0</v>
      </c>
      <c r="CM33" s="270">
        <f>SUMIFS('Monthly Cashflow'!33:33,'Monthly Cashflow'!$3:$3,CM$7)</f>
        <v>0</v>
      </c>
      <c r="CN33" s="270">
        <f>SUMIFS('Monthly Cashflow'!33:33,'Monthly Cashflow'!$3:$3,CN$7)</f>
        <v>0</v>
      </c>
      <c r="CO33" s="270">
        <f>SUMIFS('Monthly Cashflow'!33:33,'Monthly Cashflow'!$3:$3,CO$7)</f>
        <v>0</v>
      </c>
      <c r="CP33" s="270">
        <f>SUMIFS('Monthly Cashflow'!33:33,'Monthly Cashflow'!$3:$3,CP$7)</f>
        <v>0</v>
      </c>
      <c r="CQ33" s="270">
        <f>SUMIFS('Monthly Cashflow'!33:33,'Monthly Cashflow'!$3:$3,CQ$7)</f>
        <v>0</v>
      </c>
      <c r="CR33" s="270">
        <f>SUMIFS('Monthly Cashflow'!33:33,'Monthly Cashflow'!$3:$3,CR$7)</f>
        <v>0</v>
      </c>
      <c r="CS33" s="270">
        <f>SUMIFS('Monthly Cashflow'!33:33,'Monthly Cashflow'!$3:$3,CS$7)</f>
        <v>0</v>
      </c>
      <c r="CT33" s="270">
        <f>SUMIFS('Monthly Cashflow'!33:33,'Monthly Cashflow'!$3:$3,CT$7)</f>
        <v>0</v>
      </c>
      <c r="CU33" s="270">
        <f>SUMIFS('Monthly Cashflow'!33:33,'Monthly Cashflow'!$3:$3,CU$7)</f>
        <v>0</v>
      </c>
      <c r="CV33" s="270">
        <f>SUMIFS('Monthly Cashflow'!33:33,'Monthly Cashflow'!$3:$3,CV$7)</f>
        <v>0</v>
      </c>
      <c r="CW33" s="270">
        <f>SUMIFS('Monthly Cashflow'!33:33,'Monthly Cashflow'!$3:$3,CW$7)</f>
        <v>0</v>
      </c>
      <c r="CX33" s="270">
        <f>SUMIFS('Monthly Cashflow'!33:33,'Monthly Cashflow'!$3:$3,CX$7)</f>
        <v>0</v>
      </c>
    </row>
    <row r="34" spans="1:102" x14ac:dyDescent="0.3">
      <c r="A34" s="1" t="s">
        <v>40</v>
      </c>
      <c r="B34" s="257">
        <f t="shared" si="20"/>
        <v>0</v>
      </c>
      <c r="C34" s="270">
        <f>SUMIFS('Monthly Cashflow'!34:34,'Monthly Cashflow'!$3:$3,C$7)</f>
        <v>0</v>
      </c>
      <c r="D34" s="270">
        <f>SUMIFS('Monthly Cashflow'!34:34,'Monthly Cashflow'!$3:$3,D$7)</f>
        <v>0</v>
      </c>
      <c r="E34" s="270">
        <f>SUMIFS('Monthly Cashflow'!34:34,'Monthly Cashflow'!$3:$3,E$7)</f>
        <v>0</v>
      </c>
      <c r="F34" s="270">
        <f>SUMIFS('Monthly Cashflow'!34:34,'Monthly Cashflow'!$3:$3,F$7)</f>
        <v>0</v>
      </c>
      <c r="G34" s="270">
        <f>SUMIFS('Monthly Cashflow'!34:34,'Monthly Cashflow'!$3:$3,G$7)</f>
        <v>0</v>
      </c>
      <c r="H34" s="270">
        <f>SUMIFS('Monthly Cashflow'!34:34,'Monthly Cashflow'!$3:$3,H$7)</f>
        <v>0</v>
      </c>
      <c r="I34" s="270">
        <f>SUMIFS('Monthly Cashflow'!34:34,'Monthly Cashflow'!$3:$3,I$7)</f>
        <v>0</v>
      </c>
      <c r="J34" s="270">
        <f>SUMIFS('Monthly Cashflow'!34:34,'Monthly Cashflow'!$3:$3,J$7)</f>
        <v>0</v>
      </c>
      <c r="K34" s="270">
        <f>SUMIFS('Monthly Cashflow'!34:34,'Monthly Cashflow'!$3:$3,K$7)</f>
        <v>0</v>
      </c>
      <c r="L34" s="270">
        <f>SUMIFS('Monthly Cashflow'!34:34,'Monthly Cashflow'!$3:$3,L$7)</f>
        <v>0</v>
      </c>
      <c r="M34" s="270">
        <f>SUMIFS('Monthly Cashflow'!34:34,'Monthly Cashflow'!$3:$3,M$7)</f>
        <v>0</v>
      </c>
      <c r="N34" s="270">
        <f>SUMIFS('Monthly Cashflow'!34:34,'Monthly Cashflow'!$3:$3,N$7)</f>
        <v>0</v>
      </c>
      <c r="O34" s="270">
        <f>SUMIFS('Monthly Cashflow'!34:34,'Monthly Cashflow'!$3:$3,O$7)</f>
        <v>0</v>
      </c>
      <c r="P34" s="270">
        <f>SUMIFS('Monthly Cashflow'!34:34,'Monthly Cashflow'!$3:$3,P$7)</f>
        <v>0</v>
      </c>
      <c r="Q34" s="270">
        <f>SUMIFS('Monthly Cashflow'!34:34,'Monthly Cashflow'!$3:$3,Q$7)</f>
        <v>0</v>
      </c>
      <c r="R34" s="270">
        <f>SUMIFS('Monthly Cashflow'!34:34,'Monthly Cashflow'!$3:$3,R$7)</f>
        <v>0</v>
      </c>
      <c r="S34" s="270">
        <f>SUMIFS('Monthly Cashflow'!34:34,'Monthly Cashflow'!$3:$3,S$7)</f>
        <v>0</v>
      </c>
      <c r="T34" s="270">
        <f>SUMIFS('Monthly Cashflow'!34:34,'Monthly Cashflow'!$3:$3,T$7)</f>
        <v>0</v>
      </c>
      <c r="U34" s="270">
        <f>SUMIFS('Monthly Cashflow'!34:34,'Monthly Cashflow'!$3:$3,U$7)</f>
        <v>0</v>
      </c>
      <c r="V34" s="270">
        <f>SUMIFS('Monthly Cashflow'!34:34,'Monthly Cashflow'!$3:$3,V$7)</f>
        <v>0</v>
      </c>
      <c r="W34" s="270">
        <f>SUMIFS('Monthly Cashflow'!34:34,'Monthly Cashflow'!$3:$3,W$7)</f>
        <v>0</v>
      </c>
      <c r="X34" s="270">
        <f>SUMIFS('Monthly Cashflow'!34:34,'Monthly Cashflow'!$3:$3,X$7)</f>
        <v>0</v>
      </c>
      <c r="Y34" s="270">
        <f>SUMIFS('Monthly Cashflow'!34:34,'Monthly Cashflow'!$3:$3,Y$7)</f>
        <v>0</v>
      </c>
      <c r="Z34" s="270">
        <f>SUMIFS('Monthly Cashflow'!34:34,'Monthly Cashflow'!$3:$3,Z$7)</f>
        <v>0</v>
      </c>
      <c r="AA34" s="270">
        <f>SUMIFS('Monthly Cashflow'!34:34,'Monthly Cashflow'!$3:$3,AA$7)</f>
        <v>0</v>
      </c>
      <c r="AB34" s="270">
        <f>SUMIFS('Monthly Cashflow'!34:34,'Monthly Cashflow'!$3:$3,AB$7)</f>
        <v>0</v>
      </c>
      <c r="AC34" s="270">
        <f>SUMIFS('Monthly Cashflow'!34:34,'Monthly Cashflow'!$3:$3,AC$7)</f>
        <v>0</v>
      </c>
      <c r="AD34" s="270">
        <f>SUMIFS('Monthly Cashflow'!34:34,'Monthly Cashflow'!$3:$3,AD$7)</f>
        <v>0</v>
      </c>
      <c r="AE34" s="270">
        <f>SUMIFS('Monthly Cashflow'!34:34,'Monthly Cashflow'!$3:$3,AE$7)</f>
        <v>0</v>
      </c>
      <c r="AF34" s="270">
        <f>SUMIFS('Monthly Cashflow'!34:34,'Monthly Cashflow'!$3:$3,AF$7)</f>
        <v>0</v>
      </c>
      <c r="AG34" s="270">
        <f>SUMIFS('Monthly Cashflow'!34:34,'Monthly Cashflow'!$3:$3,AG$7)</f>
        <v>0</v>
      </c>
      <c r="AH34" s="270">
        <f>SUMIFS('Monthly Cashflow'!34:34,'Monthly Cashflow'!$3:$3,AH$7)</f>
        <v>0</v>
      </c>
      <c r="AI34" s="270">
        <f>SUMIFS('Monthly Cashflow'!34:34,'Monthly Cashflow'!$3:$3,AI$7)</f>
        <v>0</v>
      </c>
      <c r="AJ34" s="270">
        <f>SUMIFS('Monthly Cashflow'!34:34,'Monthly Cashflow'!$3:$3,AJ$7)</f>
        <v>0</v>
      </c>
      <c r="AK34" s="270">
        <f>SUMIFS('Monthly Cashflow'!34:34,'Monthly Cashflow'!$3:$3,AK$7)</f>
        <v>0</v>
      </c>
      <c r="AL34" s="270">
        <f>SUMIFS('Monthly Cashflow'!34:34,'Monthly Cashflow'!$3:$3,AL$7)</f>
        <v>0</v>
      </c>
      <c r="AM34" s="270">
        <f>SUMIFS('Monthly Cashflow'!34:34,'Monthly Cashflow'!$3:$3,AM$7)</f>
        <v>0</v>
      </c>
      <c r="AN34" s="270">
        <f>SUMIFS('Monthly Cashflow'!34:34,'Monthly Cashflow'!$3:$3,AN$7)</f>
        <v>0</v>
      </c>
      <c r="AO34" s="270">
        <f>SUMIFS('Monthly Cashflow'!34:34,'Monthly Cashflow'!$3:$3,AO$7)</f>
        <v>0</v>
      </c>
      <c r="AP34" s="270">
        <f>SUMIFS('Monthly Cashflow'!34:34,'Monthly Cashflow'!$3:$3,AP$7)</f>
        <v>0</v>
      </c>
      <c r="AQ34" s="270">
        <f>SUMIFS('Monthly Cashflow'!34:34,'Monthly Cashflow'!$3:$3,AQ$7)</f>
        <v>0</v>
      </c>
      <c r="AR34" s="270">
        <f>SUMIFS('Monthly Cashflow'!34:34,'Monthly Cashflow'!$3:$3,AR$7)</f>
        <v>0</v>
      </c>
      <c r="AS34" s="270">
        <f>SUMIFS('Monthly Cashflow'!34:34,'Monthly Cashflow'!$3:$3,AS$7)</f>
        <v>0</v>
      </c>
      <c r="AT34" s="270">
        <f>SUMIFS('Monthly Cashflow'!34:34,'Monthly Cashflow'!$3:$3,AT$7)</f>
        <v>0</v>
      </c>
      <c r="AU34" s="270">
        <f>SUMIFS('Monthly Cashflow'!34:34,'Monthly Cashflow'!$3:$3,AU$7)</f>
        <v>0</v>
      </c>
      <c r="AV34" s="270">
        <f>SUMIFS('Monthly Cashflow'!34:34,'Monthly Cashflow'!$3:$3,AV$7)</f>
        <v>0</v>
      </c>
      <c r="AW34" s="270">
        <f>SUMIFS('Monthly Cashflow'!34:34,'Monthly Cashflow'!$3:$3,AW$7)</f>
        <v>0</v>
      </c>
      <c r="AX34" s="270">
        <f>SUMIFS('Monthly Cashflow'!34:34,'Monthly Cashflow'!$3:$3,AX$7)</f>
        <v>0</v>
      </c>
      <c r="AY34" s="270">
        <f>SUMIFS('Monthly Cashflow'!34:34,'Monthly Cashflow'!$3:$3,AY$7)</f>
        <v>0</v>
      </c>
      <c r="AZ34" s="270">
        <f>SUMIFS('Monthly Cashflow'!34:34,'Monthly Cashflow'!$3:$3,AZ$7)</f>
        <v>0</v>
      </c>
      <c r="BA34" s="270">
        <f>SUMIFS('Monthly Cashflow'!34:34,'Monthly Cashflow'!$3:$3,BA$7)</f>
        <v>0</v>
      </c>
      <c r="BB34" s="270">
        <f>SUMIFS('Monthly Cashflow'!34:34,'Monthly Cashflow'!$3:$3,BB$7)</f>
        <v>0</v>
      </c>
      <c r="BC34" s="270">
        <f>SUMIFS('Monthly Cashflow'!34:34,'Monthly Cashflow'!$3:$3,BC$7)</f>
        <v>0</v>
      </c>
      <c r="BD34" s="270">
        <f>SUMIFS('Monthly Cashflow'!34:34,'Monthly Cashflow'!$3:$3,BD$7)</f>
        <v>0</v>
      </c>
      <c r="BE34" s="270">
        <f>SUMIFS('Monthly Cashflow'!34:34,'Monthly Cashflow'!$3:$3,BE$7)</f>
        <v>0</v>
      </c>
      <c r="BF34" s="270">
        <f>SUMIFS('Monthly Cashflow'!34:34,'Monthly Cashflow'!$3:$3,BF$7)</f>
        <v>0</v>
      </c>
      <c r="BG34" s="270">
        <f>SUMIFS('Monthly Cashflow'!34:34,'Monthly Cashflow'!$3:$3,BG$7)</f>
        <v>0</v>
      </c>
      <c r="BH34" s="270">
        <f>SUMIFS('Monthly Cashflow'!34:34,'Monthly Cashflow'!$3:$3,BH$7)</f>
        <v>0</v>
      </c>
      <c r="BI34" s="270">
        <f>SUMIFS('Monthly Cashflow'!34:34,'Monthly Cashflow'!$3:$3,BI$7)</f>
        <v>0</v>
      </c>
      <c r="BJ34" s="270">
        <f>SUMIFS('Monthly Cashflow'!34:34,'Monthly Cashflow'!$3:$3,BJ$7)</f>
        <v>0</v>
      </c>
      <c r="BK34" s="270">
        <f>SUMIFS('Monthly Cashflow'!34:34,'Monthly Cashflow'!$3:$3,BK$7)</f>
        <v>0</v>
      </c>
      <c r="BL34" s="270">
        <f>SUMIFS('Monthly Cashflow'!34:34,'Monthly Cashflow'!$3:$3,BL$7)</f>
        <v>0</v>
      </c>
      <c r="BM34" s="270">
        <f>SUMIFS('Monthly Cashflow'!34:34,'Monthly Cashflow'!$3:$3,BM$7)</f>
        <v>0</v>
      </c>
      <c r="BN34" s="270">
        <f>SUMIFS('Monthly Cashflow'!34:34,'Monthly Cashflow'!$3:$3,BN$7)</f>
        <v>0</v>
      </c>
      <c r="BO34" s="270">
        <f>SUMIFS('Monthly Cashflow'!34:34,'Monthly Cashflow'!$3:$3,BO$7)</f>
        <v>0</v>
      </c>
      <c r="BP34" s="270">
        <f>SUMIFS('Monthly Cashflow'!34:34,'Monthly Cashflow'!$3:$3,BP$7)</f>
        <v>0</v>
      </c>
      <c r="BQ34" s="270">
        <f>SUMIFS('Monthly Cashflow'!34:34,'Monthly Cashflow'!$3:$3,BQ$7)</f>
        <v>0</v>
      </c>
      <c r="BR34" s="270">
        <f>SUMIFS('Monthly Cashflow'!34:34,'Monthly Cashflow'!$3:$3,BR$7)</f>
        <v>0</v>
      </c>
      <c r="BS34" s="270">
        <f>SUMIFS('Monthly Cashflow'!34:34,'Monthly Cashflow'!$3:$3,BS$7)</f>
        <v>0</v>
      </c>
      <c r="BT34" s="270">
        <f>SUMIFS('Monthly Cashflow'!34:34,'Monthly Cashflow'!$3:$3,BT$7)</f>
        <v>0</v>
      </c>
      <c r="BU34" s="270">
        <f>SUMIFS('Monthly Cashflow'!34:34,'Monthly Cashflow'!$3:$3,BU$7)</f>
        <v>0</v>
      </c>
      <c r="BV34" s="270">
        <f>SUMIFS('Monthly Cashflow'!34:34,'Monthly Cashflow'!$3:$3,BV$7)</f>
        <v>0</v>
      </c>
      <c r="BW34" s="270">
        <f>SUMIFS('Monthly Cashflow'!34:34,'Monthly Cashflow'!$3:$3,BW$7)</f>
        <v>0</v>
      </c>
      <c r="BX34" s="270">
        <f>SUMIFS('Monthly Cashflow'!34:34,'Monthly Cashflow'!$3:$3,BX$7)</f>
        <v>0</v>
      </c>
      <c r="BY34" s="270">
        <f>SUMIFS('Monthly Cashflow'!34:34,'Monthly Cashflow'!$3:$3,BY$7)</f>
        <v>0</v>
      </c>
      <c r="BZ34" s="270">
        <f>SUMIFS('Monthly Cashflow'!34:34,'Monthly Cashflow'!$3:$3,BZ$7)</f>
        <v>0</v>
      </c>
      <c r="CA34" s="270">
        <f>SUMIFS('Monthly Cashflow'!34:34,'Monthly Cashflow'!$3:$3,CA$7)</f>
        <v>0</v>
      </c>
      <c r="CB34" s="270">
        <f>SUMIFS('Monthly Cashflow'!34:34,'Monthly Cashflow'!$3:$3,CB$7)</f>
        <v>0</v>
      </c>
      <c r="CC34" s="270">
        <f>SUMIFS('Monthly Cashflow'!34:34,'Monthly Cashflow'!$3:$3,CC$7)</f>
        <v>0</v>
      </c>
      <c r="CD34" s="270">
        <f>SUMIFS('Monthly Cashflow'!34:34,'Monthly Cashflow'!$3:$3,CD$7)</f>
        <v>0</v>
      </c>
      <c r="CE34" s="270">
        <f>SUMIFS('Monthly Cashflow'!34:34,'Monthly Cashflow'!$3:$3,CE$7)</f>
        <v>0</v>
      </c>
      <c r="CF34" s="270">
        <f>SUMIFS('Monthly Cashflow'!34:34,'Monthly Cashflow'!$3:$3,CF$7)</f>
        <v>0</v>
      </c>
      <c r="CG34" s="270">
        <f>SUMIFS('Monthly Cashflow'!34:34,'Monthly Cashflow'!$3:$3,CG$7)</f>
        <v>0</v>
      </c>
      <c r="CH34" s="270">
        <f>SUMIFS('Monthly Cashflow'!34:34,'Monthly Cashflow'!$3:$3,CH$7)</f>
        <v>0</v>
      </c>
      <c r="CI34" s="270">
        <f>SUMIFS('Monthly Cashflow'!34:34,'Monthly Cashflow'!$3:$3,CI$7)</f>
        <v>0</v>
      </c>
      <c r="CJ34" s="270">
        <f>SUMIFS('Monthly Cashflow'!34:34,'Monthly Cashflow'!$3:$3,CJ$7)</f>
        <v>0</v>
      </c>
      <c r="CK34" s="270">
        <f>SUMIFS('Monthly Cashflow'!34:34,'Monthly Cashflow'!$3:$3,CK$7)</f>
        <v>0</v>
      </c>
      <c r="CL34" s="270">
        <f>SUMIFS('Monthly Cashflow'!34:34,'Monthly Cashflow'!$3:$3,CL$7)</f>
        <v>0</v>
      </c>
      <c r="CM34" s="270">
        <f>SUMIFS('Monthly Cashflow'!34:34,'Monthly Cashflow'!$3:$3,CM$7)</f>
        <v>0</v>
      </c>
      <c r="CN34" s="270">
        <f>SUMIFS('Monthly Cashflow'!34:34,'Monthly Cashflow'!$3:$3,CN$7)</f>
        <v>0</v>
      </c>
      <c r="CO34" s="270">
        <f>SUMIFS('Monthly Cashflow'!34:34,'Monthly Cashflow'!$3:$3,CO$7)</f>
        <v>0</v>
      </c>
      <c r="CP34" s="270">
        <f>SUMIFS('Monthly Cashflow'!34:34,'Monthly Cashflow'!$3:$3,CP$7)</f>
        <v>0</v>
      </c>
      <c r="CQ34" s="270">
        <f>SUMIFS('Monthly Cashflow'!34:34,'Monthly Cashflow'!$3:$3,CQ$7)</f>
        <v>0</v>
      </c>
      <c r="CR34" s="270">
        <f>SUMIFS('Monthly Cashflow'!34:34,'Monthly Cashflow'!$3:$3,CR$7)</f>
        <v>0</v>
      </c>
      <c r="CS34" s="270">
        <f>SUMIFS('Monthly Cashflow'!34:34,'Monthly Cashflow'!$3:$3,CS$7)</f>
        <v>0</v>
      </c>
      <c r="CT34" s="270">
        <f>SUMIFS('Monthly Cashflow'!34:34,'Monthly Cashflow'!$3:$3,CT$7)</f>
        <v>0</v>
      </c>
      <c r="CU34" s="270">
        <f>SUMIFS('Monthly Cashflow'!34:34,'Monthly Cashflow'!$3:$3,CU$7)</f>
        <v>0</v>
      </c>
      <c r="CV34" s="270">
        <f>SUMIFS('Monthly Cashflow'!34:34,'Monthly Cashflow'!$3:$3,CV$7)</f>
        <v>0</v>
      </c>
      <c r="CW34" s="270">
        <f>SUMIFS('Monthly Cashflow'!34:34,'Monthly Cashflow'!$3:$3,CW$7)</f>
        <v>0</v>
      </c>
      <c r="CX34" s="270">
        <f>SUMIFS('Monthly Cashflow'!34:34,'Monthly Cashflow'!$3:$3,CX$7)</f>
        <v>0</v>
      </c>
    </row>
    <row r="35" spans="1:102" x14ac:dyDescent="0.3">
      <c r="A35" s="1" t="s">
        <v>129</v>
      </c>
      <c r="B35" s="257">
        <f t="shared" si="20"/>
        <v>0</v>
      </c>
      <c r="C35" s="270">
        <f>SUMIFS('Monthly Cashflow'!35:35,'Monthly Cashflow'!$3:$3,C$7)</f>
        <v>0</v>
      </c>
      <c r="D35" s="270">
        <f>SUMIFS('Monthly Cashflow'!35:35,'Monthly Cashflow'!$3:$3,D$7)</f>
        <v>0</v>
      </c>
      <c r="E35" s="270">
        <f>SUMIFS('Monthly Cashflow'!35:35,'Monthly Cashflow'!$3:$3,E$7)</f>
        <v>0</v>
      </c>
      <c r="F35" s="270">
        <f>SUMIFS('Monthly Cashflow'!35:35,'Monthly Cashflow'!$3:$3,F$7)</f>
        <v>0</v>
      </c>
      <c r="G35" s="270">
        <f>SUMIFS('Monthly Cashflow'!35:35,'Monthly Cashflow'!$3:$3,G$7)</f>
        <v>0</v>
      </c>
      <c r="H35" s="270">
        <f>SUMIFS('Monthly Cashflow'!35:35,'Monthly Cashflow'!$3:$3,H$7)</f>
        <v>0</v>
      </c>
      <c r="I35" s="270">
        <f>SUMIFS('Monthly Cashflow'!35:35,'Monthly Cashflow'!$3:$3,I$7)</f>
        <v>0</v>
      </c>
      <c r="J35" s="270">
        <f>SUMIFS('Monthly Cashflow'!35:35,'Monthly Cashflow'!$3:$3,J$7)</f>
        <v>0</v>
      </c>
      <c r="K35" s="270">
        <f>SUMIFS('Monthly Cashflow'!35:35,'Monthly Cashflow'!$3:$3,K$7)</f>
        <v>0</v>
      </c>
      <c r="L35" s="270">
        <f>SUMIFS('Monthly Cashflow'!35:35,'Monthly Cashflow'!$3:$3,L$7)</f>
        <v>0</v>
      </c>
      <c r="M35" s="270">
        <f>SUMIFS('Monthly Cashflow'!35:35,'Monthly Cashflow'!$3:$3,M$7)</f>
        <v>0</v>
      </c>
      <c r="N35" s="270">
        <f>SUMIFS('Monthly Cashflow'!35:35,'Monthly Cashflow'!$3:$3,N$7)</f>
        <v>0</v>
      </c>
      <c r="O35" s="270">
        <f>SUMIFS('Monthly Cashflow'!35:35,'Monthly Cashflow'!$3:$3,O$7)</f>
        <v>0</v>
      </c>
      <c r="P35" s="270">
        <f>SUMIFS('Monthly Cashflow'!35:35,'Monthly Cashflow'!$3:$3,P$7)</f>
        <v>0</v>
      </c>
      <c r="Q35" s="270">
        <f>SUMIFS('Monthly Cashflow'!35:35,'Monthly Cashflow'!$3:$3,Q$7)</f>
        <v>0</v>
      </c>
      <c r="R35" s="270">
        <f>SUMIFS('Monthly Cashflow'!35:35,'Monthly Cashflow'!$3:$3,R$7)</f>
        <v>0</v>
      </c>
      <c r="S35" s="270">
        <f>SUMIFS('Monthly Cashflow'!35:35,'Monthly Cashflow'!$3:$3,S$7)</f>
        <v>0</v>
      </c>
      <c r="T35" s="270">
        <f>SUMIFS('Monthly Cashflow'!35:35,'Monthly Cashflow'!$3:$3,T$7)</f>
        <v>0</v>
      </c>
      <c r="U35" s="270">
        <f>SUMIFS('Monthly Cashflow'!35:35,'Monthly Cashflow'!$3:$3,U$7)</f>
        <v>0</v>
      </c>
      <c r="V35" s="270">
        <f>SUMIFS('Monthly Cashflow'!35:35,'Monthly Cashflow'!$3:$3,V$7)</f>
        <v>0</v>
      </c>
      <c r="W35" s="270">
        <f>SUMIFS('Monthly Cashflow'!35:35,'Monthly Cashflow'!$3:$3,W$7)</f>
        <v>0</v>
      </c>
      <c r="X35" s="270">
        <f>SUMIFS('Monthly Cashflow'!35:35,'Monthly Cashflow'!$3:$3,X$7)</f>
        <v>0</v>
      </c>
      <c r="Y35" s="270">
        <f>SUMIFS('Monthly Cashflow'!35:35,'Monthly Cashflow'!$3:$3,Y$7)</f>
        <v>0</v>
      </c>
      <c r="Z35" s="270">
        <f>SUMIFS('Monthly Cashflow'!35:35,'Monthly Cashflow'!$3:$3,Z$7)</f>
        <v>0</v>
      </c>
      <c r="AA35" s="270">
        <f>SUMIFS('Monthly Cashflow'!35:35,'Monthly Cashflow'!$3:$3,AA$7)</f>
        <v>0</v>
      </c>
      <c r="AB35" s="270">
        <f>SUMIFS('Monthly Cashflow'!35:35,'Monthly Cashflow'!$3:$3,AB$7)</f>
        <v>0</v>
      </c>
      <c r="AC35" s="270">
        <f>SUMIFS('Monthly Cashflow'!35:35,'Monthly Cashflow'!$3:$3,AC$7)</f>
        <v>0</v>
      </c>
      <c r="AD35" s="270">
        <f>SUMIFS('Monthly Cashflow'!35:35,'Monthly Cashflow'!$3:$3,AD$7)</f>
        <v>0</v>
      </c>
      <c r="AE35" s="270">
        <f>SUMIFS('Monthly Cashflow'!35:35,'Monthly Cashflow'!$3:$3,AE$7)</f>
        <v>0</v>
      </c>
      <c r="AF35" s="270">
        <f>SUMIFS('Monthly Cashflow'!35:35,'Monthly Cashflow'!$3:$3,AF$7)</f>
        <v>0</v>
      </c>
      <c r="AG35" s="270">
        <f>SUMIFS('Monthly Cashflow'!35:35,'Monthly Cashflow'!$3:$3,AG$7)</f>
        <v>0</v>
      </c>
      <c r="AH35" s="270">
        <f>SUMIFS('Monthly Cashflow'!35:35,'Monthly Cashflow'!$3:$3,AH$7)</f>
        <v>0</v>
      </c>
      <c r="AI35" s="270">
        <f>SUMIFS('Monthly Cashflow'!35:35,'Monthly Cashflow'!$3:$3,AI$7)</f>
        <v>0</v>
      </c>
      <c r="AJ35" s="270">
        <f>SUMIFS('Monthly Cashflow'!35:35,'Monthly Cashflow'!$3:$3,AJ$7)</f>
        <v>0</v>
      </c>
      <c r="AK35" s="270">
        <f>SUMIFS('Monthly Cashflow'!35:35,'Monthly Cashflow'!$3:$3,AK$7)</f>
        <v>0</v>
      </c>
      <c r="AL35" s="270">
        <f>SUMIFS('Monthly Cashflow'!35:35,'Monthly Cashflow'!$3:$3,AL$7)</f>
        <v>0</v>
      </c>
      <c r="AM35" s="270">
        <f>SUMIFS('Monthly Cashflow'!35:35,'Monthly Cashflow'!$3:$3,AM$7)</f>
        <v>0</v>
      </c>
      <c r="AN35" s="270">
        <f>SUMIFS('Monthly Cashflow'!35:35,'Monthly Cashflow'!$3:$3,AN$7)</f>
        <v>0</v>
      </c>
      <c r="AO35" s="270">
        <f>SUMIFS('Monthly Cashflow'!35:35,'Monthly Cashflow'!$3:$3,AO$7)</f>
        <v>0</v>
      </c>
      <c r="AP35" s="270">
        <f>SUMIFS('Monthly Cashflow'!35:35,'Monthly Cashflow'!$3:$3,AP$7)</f>
        <v>0</v>
      </c>
      <c r="AQ35" s="270">
        <f>SUMIFS('Monthly Cashflow'!35:35,'Monthly Cashflow'!$3:$3,AQ$7)</f>
        <v>0</v>
      </c>
      <c r="AR35" s="270">
        <f>SUMIFS('Monthly Cashflow'!35:35,'Monthly Cashflow'!$3:$3,AR$7)</f>
        <v>0</v>
      </c>
      <c r="AS35" s="270">
        <f>SUMIFS('Monthly Cashflow'!35:35,'Monthly Cashflow'!$3:$3,AS$7)</f>
        <v>0</v>
      </c>
      <c r="AT35" s="270">
        <f>SUMIFS('Monthly Cashflow'!35:35,'Monthly Cashflow'!$3:$3,AT$7)</f>
        <v>0</v>
      </c>
      <c r="AU35" s="270">
        <f>SUMIFS('Monthly Cashflow'!35:35,'Monthly Cashflow'!$3:$3,AU$7)</f>
        <v>0</v>
      </c>
      <c r="AV35" s="270">
        <f>SUMIFS('Monthly Cashflow'!35:35,'Monthly Cashflow'!$3:$3,AV$7)</f>
        <v>0</v>
      </c>
      <c r="AW35" s="270">
        <f>SUMIFS('Monthly Cashflow'!35:35,'Monthly Cashflow'!$3:$3,AW$7)</f>
        <v>0</v>
      </c>
      <c r="AX35" s="270">
        <f>SUMIFS('Monthly Cashflow'!35:35,'Monthly Cashflow'!$3:$3,AX$7)</f>
        <v>0</v>
      </c>
      <c r="AY35" s="270">
        <f>SUMIFS('Monthly Cashflow'!35:35,'Monthly Cashflow'!$3:$3,AY$7)</f>
        <v>0</v>
      </c>
      <c r="AZ35" s="270">
        <f>SUMIFS('Monthly Cashflow'!35:35,'Monthly Cashflow'!$3:$3,AZ$7)</f>
        <v>0</v>
      </c>
      <c r="BA35" s="270">
        <f>SUMIFS('Monthly Cashflow'!35:35,'Monthly Cashflow'!$3:$3,BA$7)</f>
        <v>0</v>
      </c>
      <c r="BB35" s="270">
        <f>SUMIFS('Monthly Cashflow'!35:35,'Monthly Cashflow'!$3:$3,BB$7)</f>
        <v>0</v>
      </c>
      <c r="BC35" s="270">
        <f>SUMIFS('Monthly Cashflow'!35:35,'Monthly Cashflow'!$3:$3,BC$7)</f>
        <v>0</v>
      </c>
      <c r="BD35" s="270">
        <f>SUMIFS('Monthly Cashflow'!35:35,'Monthly Cashflow'!$3:$3,BD$7)</f>
        <v>0</v>
      </c>
      <c r="BE35" s="270">
        <f>SUMIFS('Monthly Cashflow'!35:35,'Monthly Cashflow'!$3:$3,BE$7)</f>
        <v>0</v>
      </c>
      <c r="BF35" s="270">
        <f>SUMIFS('Monthly Cashflow'!35:35,'Monthly Cashflow'!$3:$3,BF$7)</f>
        <v>0</v>
      </c>
      <c r="BG35" s="270">
        <f>SUMIFS('Monthly Cashflow'!35:35,'Monthly Cashflow'!$3:$3,BG$7)</f>
        <v>0</v>
      </c>
      <c r="BH35" s="270">
        <f>SUMIFS('Monthly Cashflow'!35:35,'Monthly Cashflow'!$3:$3,BH$7)</f>
        <v>0</v>
      </c>
      <c r="BI35" s="270">
        <f>SUMIFS('Monthly Cashflow'!35:35,'Monthly Cashflow'!$3:$3,BI$7)</f>
        <v>0</v>
      </c>
      <c r="BJ35" s="270">
        <f>SUMIFS('Monthly Cashflow'!35:35,'Monthly Cashflow'!$3:$3,BJ$7)</f>
        <v>0</v>
      </c>
      <c r="BK35" s="270">
        <f>SUMIFS('Monthly Cashflow'!35:35,'Monthly Cashflow'!$3:$3,BK$7)</f>
        <v>0</v>
      </c>
      <c r="BL35" s="270">
        <f>SUMIFS('Monthly Cashflow'!35:35,'Monthly Cashflow'!$3:$3,BL$7)</f>
        <v>0</v>
      </c>
      <c r="BM35" s="270">
        <f>SUMIFS('Monthly Cashflow'!35:35,'Monthly Cashflow'!$3:$3,BM$7)</f>
        <v>0</v>
      </c>
      <c r="BN35" s="270">
        <f>SUMIFS('Monthly Cashflow'!35:35,'Monthly Cashflow'!$3:$3,BN$7)</f>
        <v>0</v>
      </c>
      <c r="BO35" s="270">
        <f>SUMIFS('Monthly Cashflow'!35:35,'Monthly Cashflow'!$3:$3,BO$7)</f>
        <v>0</v>
      </c>
      <c r="BP35" s="270">
        <f>SUMIFS('Monthly Cashflow'!35:35,'Monthly Cashflow'!$3:$3,BP$7)</f>
        <v>0</v>
      </c>
      <c r="BQ35" s="270">
        <f>SUMIFS('Monthly Cashflow'!35:35,'Monthly Cashflow'!$3:$3,BQ$7)</f>
        <v>0</v>
      </c>
      <c r="BR35" s="270">
        <f>SUMIFS('Monthly Cashflow'!35:35,'Monthly Cashflow'!$3:$3,BR$7)</f>
        <v>0</v>
      </c>
      <c r="BS35" s="270">
        <f>SUMIFS('Monthly Cashflow'!35:35,'Monthly Cashflow'!$3:$3,BS$7)</f>
        <v>0</v>
      </c>
      <c r="BT35" s="270">
        <f>SUMIFS('Monthly Cashflow'!35:35,'Monthly Cashflow'!$3:$3,BT$7)</f>
        <v>0</v>
      </c>
      <c r="BU35" s="270">
        <f>SUMIFS('Monthly Cashflow'!35:35,'Monthly Cashflow'!$3:$3,BU$7)</f>
        <v>0</v>
      </c>
      <c r="BV35" s="270">
        <f>SUMIFS('Monthly Cashflow'!35:35,'Monthly Cashflow'!$3:$3,BV$7)</f>
        <v>0</v>
      </c>
      <c r="BW35" s="270">
        <f>SUMIFS('Monthly Cashflow'!35:35,'Monthly Cashflow'!$3:$3,BW$7)</f>
        <v>0</v>
      </c>
      <c r="BX35" s="270">
        <f>SUMIFS('Monthly Cashflow'!35:35,'Monthly Cashflow'!$3:$3,BX$7)</f>
        <v>0</v>
      </c>
      <c r="BY35" s="270">
        <f>SUMIFS('Monthly Cashflow'!35:35,'Monthly Cashflow'!$3:$3,BY$7)</f>
        <v>0</v>
      </c>
      <c r="BZ35" s="270">
        <f>SUMIFS('Monthly Cashflow'!35:35,'Monthly Cashflow'!$3:$3,BZ$7)</f>
        <v>0</v>
      </c>
      <c r="CA35" s="270">
        <f>SUMIFS('Monthly Cashflow'!35:35,'Monthly Cashflow'!$3:$3,CA$7)</f>
        <v>0</v>
      </c>
      <c r="CB35" s="270">
        <f>SUMIFS('Monthly Cashflow'!35:35,'Monthly Cashflow'!$3:$3,CB$7)</f>
        <v>0</v>
      </c>
      <c r="CC35" s="270">
        <f>SUMIFS('Monthly Cashflow'!35:35,'Monthly Cashflow'!$3:$3,CC$7)</f>
        <v>0</v>
      </c>
      <c r="CD35" s="270">
        <f>SUMIFS('Monthly Cashflow'!35:35,'Monthly Cashflow'!$3:$3,CD$7)</f>
        <v>0</v>
      </c>
      <c r="CE35" s="270">
        <f>SUMIFS('Monthly Cashflow'!35:35,'Monthly Cashflow'!$3:$3,CE$7)</f>
        <v>0</v>
      </c>
      <c r="CF35" s="270">
        <f>SUMIFS('Monthly Cashflow'!35:35,'Monthly Cashflow'!$3:$3,CF$7)</f>
        <v>0</v>
      </c>
      <c r="CG35" s="270">
        <f>SUMIFS('Monthly Cashflow'!35:35,'Monthly Cashflow'!$3:$3,CG$7)</f>
        <v>0</v>
      </c>
      <c r="CH35" s="270">
        <f>SUMIFS('Monthly Cashflow'!35:35,'Monthly Cashflow'!$3:$3,CH$7)</f>
        <v>0</v>
      </c>
      <c r="CI35" s="270">
        <f>SUMIFS('Monthly Cashflow'!35:35,'Monthly Cashflow'!$3:$3,CI$7)</f>
        <v>0</v>
      </c>
      <c r="CJ35" s="270">
        <f>SUMIFS('Monthly Cashflow'!35:35,'Monthly Cashflow'!$3:$3,CJ$7)</f>
        <v>0</v>
      </c>
      <c r="CK35" s="270">
        <f>SUMIFS('Monthly Cashflow'!35:35,'Monthly Cashflow'!$3:$3,CK$7)</f>
        <v>0</v>
      </c>
      <c r="CL35" s="270">
        <f>SUMIFS('Monthly Cashflow'!35:35,'Monthly Cashflow'!$3:$3,CL$7)</f>
        <v>0</v>
      </c>
      <c r="CM35" s="270">
        <f>SUMIFS('Monthly Cashflow'!35:35,'Monthly Cashflow'!$3:$3,CM$7)</f>
        <v>0</v>
      </c>
      <c r="CN35" s="270">
        <f>SUMIFS('Monthly Cashflow'!35:35,'Monthly Cashflow'!$3:$3,CN$7)</f>
        <v>0</v>
      </c>
      <c r="CO35" s="270">
        <f>SUMIFS('Monthly Cashflow'!35:35,'Monthly Cashflow'!$3:$3,CO$7)</f>
        <v>0</v>
      </c>
      <c r="CP35" s="270">
        <f>SUMIFS('Monthly Cashflow'!35:35,'Monthly Cashflow'!$3:$3,CP$7)</f>
        <v>0</v>
      </c>
      <c r="CQ35" s="270">
        <f>SUMIFS('Monthly Cashflow'!35:35,'Monthly Cashflow'!$3:$3,CQ$7)</f>
        <v>0</v>
      </c>
      <c r="CR35" s="270">
        <f>SUMIFS('Monthly Cashflow'!35:35,'Monthly Cashflow'!$3:$3,CR$7)</f>
        <v>0</v>
      </c>
      <c r="CS35" s="270">
        <f>SUMIFS('Monthly Cashflow'!35:35,'Monthly Cashflow'!$3:$3,CS$7)</f>
        <v>0</v>
      </c>
      <c r="CT35" s="270">
        <f>SUMIFS('Monthly Cashflow'!35:35,'Monthly Cashflow'!$3:$3,CT$7)</f>
        <v>0</v>
      </c>
      <c r="CU35" s="270">
        <f>SUMIFS('Monthly Cashflow'!35:35,'Monthly Cashflow'!$3:$3,CU$7)</f>
        <v>0</v>
      </c>
      <c r="CV35" s="270">
        <f>SUMIFS('Monthly Cashflow'!35:35,'Monthly Cashflow'!$3:$3,CV$7)</f>
        <v>0</v>
      </c>
      <c r="CW35" s="270">
        <f>SUMIFS('Monthly Cashflow'!35:35,'Monthly Cashflow'!$3:$3,CW$7)</f>
        <v>0</v>
      </c>
      <c r="CX35" s="270">
        <f>SUMIFS('Monthly Cashflow'!35:35,'Monthly Cashflow'!$3:$3,CX$7)</f>
        <v>0</v>
      </c>
    </row>
    <row r="36" spans="1:102" x14ac:dyDescent="0.3">
      <c r="B36" s="259"/>
      <c r="C36" s="259">
        <f>SUM(C30:C35)</f>
        <v>0</v>
      </c>
      <c r="D36" s="259">
        <f t="shared" ref="D36:BO36" ca="1" si="21">SUM(D30:D35)</f>
        <v>-2.4115133673495359</v>
      </c>
      <c r="E36" s="259">
        <f t="shared" ca="1" si="21"/>
        <v>-0.72462361283612342</v>
      </c>
      <c r="F36" s="259">
        <f t="shared" ca="1" si="21"/>
        <v>-1.157212096645261</v>
      </c>
      <c r="G36" s="259">
        <f t="shared" ca="1" si="21"/>
        <v>-1.5060570186986002</v>
      </c>
      <c r="H36" s="259">
        <f t="shared" ca="1" si="21"/>
        <v>-1.8995329057311201</v>
      </c>
      <c r="I36" s="259">
        <f t="shared" ca="1" si="21"/>
        <v>-2.3823699797082449</v>
      </c>
      <c r="J36" s="259">
        <f t="shared" ca="1" si="21"/>
        <v>-2.8741815208721286</v>
      </c>
      <c r="K36" s="259">
        <f t="shared" ca="1" si="21"/>
        <v>-3.4683111129197073</v>
      </c>
      <c r="L36" s="259">
        <f t="shared" ca="1" si="21"/>
        <v>-3.9305274903663117</v>
      </c>
      <c r="M36" s="259">
        <f t="shared" ca="1" si="21"/>
        <v>-4.1695660178510519</v>
      </c>
      <c r="N36" s="259">
        <f t="shared" ca="1" si="21"/>
        <v>-4.6570278833811054</v>
      </c>
      <c r="O36" s="259">
        <f t="shared" ca="1" si="21"/>
        <v>-5.2264309894073282</v>
      </c>
      <c r="P36" s="259">
        <f t="shared" ca="1" si="21"/>
        <v>-5.6968699317155114</v>
      </c>
      <c r="Q36" s="259">
        <f t="shared" ca="1" si="21"/>
        <v>-6.2199222670415475</v>
      </c>
      <c r="R36" s="259">
        <f t="shared" ca="1" si="21"/>
        <v>-6.5738229565469766</v>
      </c>
      <c r="S36" s="259">
        <f t="shared" ca="1" si="21"/>
        <v>-6.7282897590217612</v>
      </c>
      <c r="T36" s="259">
        <f t="shared" ca="1" si="21"/>
        <v>-6.9048195673495218</v>
      </c>
      <c r="U36" s="259">
        <f t="shared" ca="1" si="21"/>
        <v>-14.232878756326262</v>
      </c>
      <c r="V36" s="259">
        <f t="shared" ca="1" si="21"/>
        <v>-28.650042733302726</v>
      </c>
      <c r="W36" s="259">
        <f t="shared" ca="1" si="21"/>
        <v>-14.325021366651363</v>
      </c>
      <c r="X36" s="259">
        <f t="shared" ca="1" si="21"/>
        <v>0</v>
      </c>
      <c r="Y36" s="259">
        <f t="shared" ca="1" si="21"/>
        <v>0</v>
      </c>
      <c r="Z36" s="259">
        <f t="shared" ca="1" si="21"/>
        <v>0</v>
      </c>
      <c r="AA36" s="259">
        <f t="shared" ca="1" si="21"/>
        <v>0</v>
      </c>
      <c r="AB36" s="259">
        <f t="shared" ca="1" si="21"/>
        <v>0</v>
      </c>
      <c r="AC36" s="259">
        <f t="shared" ca="1" si="21"/>
        <v>0</v>
      </c>
      <c r="AD36" s="259">
        <f t="shared" ca="1" si="21"/>
        <v>0</v>
      </c>
      <c r="AE36" s="259">
        <f t="shared" ca="1" si="21"/>
        <v>0</v>
      </c>
      <c r="AF36" s="259">
        <f t="shared" ca="1" si="21"/>
        <v>0</v>
      </c>
      <c r="AG36" s="259">
        <f t="shared" ca="1" si="21"/>
        <v>0</v>
      </c>
      <c r="AH36" s="259">
        <f t="shared" ca="1" si="21"/>
        <v>0</v>
      </c>
      <c r="AI36" s="259">
        <f t="shared" ca="1" si="21"/>
        <v>0</v>
      </c>
      <c r="AJ36" s="259">
        <f t="shared" ca="1" si="21"/>
        <v>0</v>
      </c>
      <c r="AK36" s="259">
        <f t="shared" ca="1" si="21"/>
        <v>0</v>
      </c>
      <c r="AL36" s="259">
        <f t="shared" ca="1" si="21"/>
        <v>0</v>
      </c>
      <c r="AM36" s="259">
        <f t="shared" ca="1" si="21"/>
        <v>0</v>
      </c>
      <c r="AN36" s="259">
        <f t="shared" ca="1" si="21"/>
        <v>0</v>
      </c>
      <c r="AO36" s="259">
        <f t="shared" ca="1" si="21"/>
        <v>0</v>
      </c>
      <c r="AP36" s="259">
        <f t="shared" ca="1" si="21"/>
        <v>0</v>
      </c>
      <c r="AQ36" s="259">
        <f t="shared" ca="1" si="21"/>
        <v>0</v>
      </c>
      <c r="AR36" s="259">
        <f t="shared" ca="1" si="21"/>
        <v>0</v>
      </c>
      <c r="AS36" s="259">
        <f t="shared" ca="1" si="21"/>
        <v>0</v>
      </c>
      <c r="AT36" s="259">
        <f t="shared" ca="1" si="21"/>
        <v>0</v>
      </c>
      <c r="AU36" s="259">
        <f t="shared" si="21"/>
        <v>0</v>
      </c>
      <c r="AV36" s="259">
        <f t="shared" si="21"/>
        <v>0</v>
      </c>
      <c r="AW36" s="259">
        <f t="shared" si="21"/>
        <v>0</v>
      </c>
      <c r="AX36" s="259">
        <f t="shared" si="21"/>
        <v>0</v>
      </c>
      <c r="AY36" s="259">
        <f t="shared" si="21"/>
        <v>0</v>
      </c>
      <c r="AZ36" s="259">
        <f t="shared" si="21"/>
        <v>0</v>
      </c>
      <c r="BA36" s="259">
        <f t="shared" si="21"/>
        <v>0</v>
      </c>
      <c r="BB36" s="259">
        <f t="shared" si="21"/>
        <v>0</v>
      </c>
      <c r="BC36" s="259">
        <f t="shared" si="21"/>
        <v>0</v>
      </c>
      <c r="BD36" s="259">
        <f t="shared" si="21"/>
        <v>0</v>
      </c>
      <c r="BE36" s="259">
        <f t="shared" si="21"/>
        <v>0</v>
      </c>
      <c r="BF36" s="259">
        <f t="shared" si="21"/>
        <v>0</v>
      </c>
      <c r="BG36" s="259">
        <f t="shared" si="21"/>
        <v>0</v>
      </c>
      <c r="BH36" s="259">
        <f t="shared" si="21"/>
        <v>0</v>
      </c>
      <c r="BI36" s="259">
        <f t="shared" si="21"/>
        <v>0</v>
      </c>
      <c r="BJ36" s="259">
        <f t="shared" si="21"/>
        <v>0</v>
      </c>
      <c r="BK36" s="259">
        <f t="shared" si="21"/>
        <v>0</v>
      </c>
      <c r="BL36" s="259">
        <f t="shared" si="21"/>
        <v>0</v>
      </c>
      <c r="BM36" s="259">
        <f t="shared" si="21"/>
        <v>0</v>
      </c>
      <c r="BN36" s="259">
        <f t="shared" si="21"/>
        <v>0</v>
      </c>
      <c r="BO36" s="259">
        <f t="shared" si="21"/>
        <v>0</v>
      </c>
      <c r="BP36" s="259">
        <f t="shared" ref="BP36:CX36" si="22">SUM(BP30:BP35)</f>
        <v>0</v>
      </c>
      <c r="BQ36" s="259">
        <f t="shared" si="22"/>
        <v>0</v>
      </c>
      <c r="BR36" s="259">
        <f t="shared" si="22"/>
        <v>0</v>
      </c>
      <c r="BS36" s="259">
        <f t="shared" si="22"/>
        <v>0</v>
      </c>
      <c r="BT36" s="259">
        <f t="shared" si="22"/>
        <v>0</v>
      </c>
      <c r="BU36" s="259">
        <f t="shared" si="22"/>
        <v>0</v>
      </c>
      <c r="BV36" s="259">
        <f t="shared" si="22"/>
        <v>0</v>
      </c>
      <c r="BW36" s="259">
        <f t="shared" si="22"/>
        <v>0</v>
      </c>
      <c r="BX36" s="259">
        <f t="shared" si="22"/>
        <v>0</v>
      </c>
      <c r="BY36" s="259">
        <f t="shared" si="22"/>
        <v>0</v>
      </c>
      <c r="BZ36" s="259">
        <f t="shared" si="22"/>
        <v>0</v>
      </c>
      <c r="CA36" s="259">
        <f t="shared" si="22"/>
        <v>0</v>
      </c>
      <c r="CB36" s="259">
        <f t="shared" si="22"/>
        <v>0</v>
      </c>
      <c r="CC36" s="259">
        <f t="shared" si="22"/>
        <v>0</v>
      </c>
      <c r="CD36" s="259">
        <f t="shared" si="22"/>
        <v>0</v>
      </c>
      <c r="CE36" s="259">
        <f t="shared" si="22"/>
        <v>0</v>
      </c>
      <c r="CF36" s="259">
        <f t="shared" si="22"/>
        <v>0</v>
      </c>
      <c r="CG36" s="259">
        <f t="shared" si="22"/>
        <v>0</v>
      </c>
      <c r="CH36" s="259">
        <f t="shared" si="22"/>
        <v>0</v>
      </c>
      <c r="CI36" s="259">
        <f t="shared" si="22"/>
        <v>0</v>
      </c>
      <c r="CJ36" s="259">
        <f t="shared" si="22"/>
        <v>0</v>
      </c>
      <c r="CK36" s="259">
        <f t="shared" si="22"/>
        <v>0</v>
      </c>
      <c r="CL36" s="259">
        <f t="shared" si="22"/>
        <v>0</v>
      </c>
      <c r="CM36" s="259">
        <f t="shared" si="22"/>
        <v>0</v>
      </c>
      <c r="CN36" s="259">
        <f t="shared" si="22"/>
        <v>0</v>
      </c>
      <c r="CO36" s="259">
        <f t="shared" si="22"/>
        <v>0</v>
      </c>
      <c r="CP36" s="259">
        <f t="shared" si="22"/>
        <v>0</v>
      </c>
      <c r="CQ36" s="259">
        <f t="shared" si="22"/>
        <v>0</v>
      </c>
      <c r="CR36" s="259">
        <f t="shared" si="22"/>
        <v>0</v>
      </c>
      <c r="CS36" s="259">
        <f t="shared" si="22"/>
        <v>0</v>
      </c>
      <c r="CT36" s="259">
        <f t="shared" si="22"/>
        <v>0</v>
      </c>
      <c r="CU36" s="259">
        <f t="shared" si="22"/>
        <v>0</v>
      </c>
      <c r="CV36" s="259">
        <f t="shared" si="22"/>
        <v>0</v>
      </c>
      <c r="CW36" s="259">
        <f t="shared" si="22"/>
        <v>0</v>
      </c>
      <c r="CX36" s="259">
        <f t="shared" si="22"/>
        <v>0</v>
      </c>
    </row>
    <row r="37" spans="1:102" x14ac:dyDescent="0.3">
      <c r="A37" s="39" t="s">
        <v>41</v>
      </c>
      <c r="B37" s="257">
        <f ca="1">SUM(C37:CX37)</f>
        <v>507.79118372792817</v>
      </c>
      <c r="C37" s="258">
        <f>SUM(C10:C11,C14:C23,C25:C26,C30:C35)</f>
        <v>-47.58</v>
      </c>
      <c r="D37" s="258">
        <f t="shared" ref="D37:BO37" ca="1" si="23">SUM(D10:D11,D14:D23,D25:D26,D30:D35)</f>
        <v>-21.263761110233897</v>
      </c>
      <c r="E37" s="258">
        <f ca="1">SUM(E10:E11,E14:E23,E25:E26,E30:E35)</f>
        <v>-18.238441962191814</v>
      </c>
      <c r="F37" s="258">
        <f ca="1">SUM(F10:F11,F14:F23,F25:F26,F30:F35)</f>
        <v>-18.719636128118953</v>
      </c>
      <c r="G37" s="258">
        <f ca="1">SUM(G10:G11,G14:G23,G25:G26,G30:G35)</f>
        <v>-19.092783891231292</v>
      </c>
      <c r="H37" s="258">
        <f ca="1">SUM(H10:H11,H14:H23,H25:H26,H30:H35)</f>
        <v>-38.415343408740107</v>
      </c>
      <c r="I37" s="258">
        <f t="shared" ca="1" si="23"/>
        <v>-36.305713272848479</v>
      </c>
      <c r="J37" s="258">
        <f t="shared" ca="1" si="23"/>
        <v>-36.456589847053813</v>
      </c>
      <c r="K37" s="258">
        <f t="shared" ca="1" si="23"/>
        <v>-51.273162594297546</v>
      </c>
      <c r="L37" s="258">
        <f t="shared" ca="1" si="23"/>
        <v>-16.590146355707777</v>
      </c>
      <c r="M37" s="258">
        <f t="shared" ca="1" si="23"/>
        <v>-16.868429890370116</v>
      </c>
      <c r="N37" s="258">
        <f t="shared" ca="1" si="23"/>
        <v>-49.113834540536658</v>
      </c>
      <c r="O37" s="258">
        <f t="shared" ca="1" si="23"/>
        <v>-31.138551464468918</v>
      </c>
      <c r="P37" s="258">
        <f t="shared" ca="1" si="23"/>
        <v>-31.693183242991303</v>
      </c>
      <c r="Q37" s="258">
        <f t="shared" ca="1" si="23"/>
        <v>-37.223188385896769</v>
      </c>
      <c r="R37" s="258">
        <f t="shared" ca="1" si="23"/>
        <v>-5.8443212256695034</v>
      </c>
      <c r="S37" s="258">
        <f t="shared" ca="1" si="23"/>
        <v>-5.998788028144288</v>
      </c>
      <c r="T37" s="258">
        <f t="shared" ca="1" si="23"/>
        <v>-5.4392283162226907</v>
      </c>
      <c r="U37" s="258">
        <f t="shared" ca="1" si="23"/>
        <v>-10.904005475645459</v>
      </c>
      <c r="V37" s="258">
        <f t="shared" ca="1" si="23"/>
        <v>-19.950172858034939</v>
      </c>
      <c r="W37" s="258">
        <f t="shared" ca="1" si="23"/>
        <v>-5.4681322004060817</v>
      </c>
      <c r="X37" s="258">
        <f t="shared" ca="1" si="23"/>
        <v>9.3627663082312562</v>
      </c>
      <c r="Y37" s="258">
        <f t="shared" ca="1" si="23"/>
        <v>9.4255584423560634</v>
      </c>
      <c r="Z37" s="258">
        <f t="shared" ca="1" si="23"/>
        <v>9.669465705760997</v>
      </c>
      <c r="AA37" s="258">
        <f t="shared" ca="1" si="23"/>
        <v>9.6961958225974882</v>
      </c>
      <c r="AB37" s="258">
        <f t="shared" ca="1" si="23"/>
        <v>9.8309046236428195</v>
      </c>
      <c r="AC37" s="258">
        <f t="shared" ca="1" si="23"/>
        <v>9.8968363644738684</v>
      </c>
      <c r="AD37" s="258">
        <f t="shared" ca="1" si="23"/>
        <v>10.152938991049048</v>
      </c>
      <c r="AE37" s="258">
        <f t="shared" ca="1" si="23"/>
        <v>10.181005613727361</v>
      </c>
      <c r="AF37" s="258">
        <f t="shared" ca="1" si="23"/>
        <v>10.322449854824963</v>
      </c>
      <c r="AG37" s="258">
        <f t="shared" ca="1" si="23"/>
        <v>10.391678182697561</v>
      </c>
      <c r="AH37" s="258">
        <f t="shared" ca="1" si="23"/>
        <v>10.660585940601502</v>
      </c>
      <c r="AI37" s="258">
        <f t="shared" ca="1" si="23"/>
        <v>10.690055894413732</v>
      </c>
      <c r="AJ37" s="258">
        <f t="shared" ca="1" si="23"/>
        <v>10.838572347566211</v>
      </c>
      <c r="AK37" s="258">
        <f t="shared" ca="1" si="23"/>
        <v>10.911262091832441</v>
      </c>
      <c r="AL37" s="258">
        <f t="shared" ca="1" si="23"/>
        <v>11.193615237631576</v>
      </c>
      <c r="AM37" s="258">
        <f t="shared" ca="1" si="23"/>
        <v>11.224558689134417</v>
      </c>
      <c r="AN37" s="258">
        <f t="shared" ca="1" si="23"/>
        <v>11.380500964944524</v>
      </c>
      <c r="AO37" s="258">
        <f t="shared" ca="1" si="23"/>
        <v>11.456825196424065</v>
      </c>
      <c r="AP37" s="258">
        <f t="shared" ca="1" si="23"/>
        <v>11.753295999513156</v>
      </c>
      <c r="AQ37" s="258">
        <f t="shared" ca="1" si="23"/>
        <v>11.785786623591139</v>
      </c>
      <c r="AR37" s="258">
        <f t="shared" ca="1" si="23"/>
        <v>11.94952601319175</v>
      </c>
      <c r="AS37" s="258">
        <f t="shared" ca="1" si="23"/>
        <v>12.029666456245266</v>
      </c>
      <c r="AT37" s="258">
        <f t="shared" ca="1" si="23"/>
        <v>12.34096079948881</v>
      </c>
      <c r="AU37" s="258">
        <f t="shared" si="23"/>
        <v>12.375075954770693</v>
      </c>
      <c r="AV37" s="258">
        <f t="shared" si="23"/>
        <v>12.547002313851335</v>
      </c>
      <c r="AW37" s="258">
        <f t="shared" si="23"/>
        <v>12.63114977905753</v>
      </c>
      <c r="AX37" s="258">
        <f t="shared" si="23"/>
        <v>12.958008839463256</v>
      </c>
      <c r="AY37" s="258">
        <f t="shared" si="23"/>
        <v>12.993829752509233</v>
      </c>
      <c r="AZ37" s="258">
        <f t="shared" si="23"/>
        <v>13.174352429543902</v>
      </c>
      <c r="BA37" s="258">
        <f t="shared" si="23"/>
        <v>13.262707268010407</v>
      </c>
      <c r="BB37" s="258">
        <f t="shared" si="23"/>
        <v>13.605909281436416</v>
      </c>
      <c r="BC37" s="258">
        <f t="shared" si="23"/>
        <v>13.643521240134696</v>
      </c>
      <c r="BD37" s="258">
        <f t="shared" si="23"/>
        <v>13.833070051021098</v>
      </c>
      <c r="BE37" s="258">
        <f t="shared" si="23"/>
        <v>13.92584263141093</v>
      </c>
      <c r="BF37" s="258">
        <f t="shared" si="23"/>
        <v>14.28620474550824</v>
      </c>
      <c r="BG37" s="258">
        <f t="shared" si="23"/>
        <v>14.32569730214143</v>
      </c>
      <c r="BH37" s="258">
        <f t="shared" si="23"/>
        <v>14.524723553572159</v>
      </c>
      <c r="BI37" s="258">
        <f t="shared" si="23"/>
        <v>14.622134762981478</v>
      </c>
      <c r="BJ37" s="258">
        <f t="shared" si="23"/>
        <v>15.000514982783649</v>
      </c>
      <c r="BK37" s="258">
        <f t="shared" si="23"/>
        <v>15.041982167248506</v>
      </c>
      <c r="BL37" s="258">
        <f t="shared" si="23"/>
        <v>15.250959731250765</v>
      </c>
      <c r="BM37" s="258">
        <f t="shared" si="23"/>
        <v>15.353241501130555</v>
      </c>
      <c r="BN37" s="258">
        <f t="shared" si="23"/>
        <v>15.750540731922834</v>
      </c>
      <c r="BO37" s="258">
        <f t="shared" si="23"/>
        <v>15.794081275610926</v>
      </c>
      <c r="BP37" s="258">
        <f t="shared" ref="BP37:CX37" si="24">SUM(BP10:BP11,BP14:BP23,BP25:BP26,BP30:BP35)</f>
        <v>16.013507717813305</v>
      </c>
      <c r="BQ37" s="258">
        <f t="shared" si="24"/>
        <v>16.120903576187079</v>
      </c>
      <c r="BR37" s="258">
        <f t="shared" si="24"/>
        <v>16.538067768518982</v>
      </c>
      <c r="BS37" s="258">
        <f t="shared" si="24"/>
        <v>16.583785339391476</v>
      </c>
      <c r="BT37" s="258">
        <f t="shared" si="24"/>
        <v>16.814183103703972</v>
      </c>
      <c r="BU37" s="258">
        <f t="shared" si="24"/>
        <v>16.926948754996438</v>
      </c>
      <c r="BV37" s="258">
        <f t="shared" si="24"/>
        <v>17.364971156944929</v>
      </c>
      <c r="BW37" s="258">
        <f t="shared" si="24"/>
        <v>17.412974606361047</v>
      </c>
      <c r="BX37" s="258">
        <f t="shared" si="24"/>
        <v>17.654892258889163</v>
      </c>
      <c r="BY37" s="258">
        <f t="shared" si="24"/>
        <v>17.773296192746255</v>
      </c>
      <c r="BZ37" s="258">
        <f t="shared" si="24"/>
        <v>18.233219714792178</v>
      </c>
      <c r="CA37" s="258">
        <f t="shared" si="24"/>
        <v>18.283623336679106</v>
      </c>
      <c r="CB37" s="258">
        <f t="shared" si="24"/>
        <v>18.53763687183363</v>
      </c>
      <c r="CC37" s="258">
        <f t="shared" si="24"/>
        <v>18.661961002383574</v>
      </c>
      <c r="CD37" s="258">
        <f t="shared" si="24"/>
        <v>19.144880700531786</v>
      </c>
      <c r="CE37" s="258">
        <f t="shared" si="24"/>
        <v>19.197804503513062</v>
      </c>
      <c r="CF37" s="258">
        <f t="shared" si="24"/>
        <v>19.46451871542531</v>
      </c>
      <c r="CG37" s="258">
        <f t="shared" si="24"/>
        <v>19.595059052502751</v>
      </c>
      <c r="CH37" s="258">
        <f t="shared" si="24"/>
        <v>20.102124735558373</v>
      </c>
      <c r="CI37" s="258">
        <f t="shared" si="24"/>
        <v>20.157694728688714</v>
      </c>
      <c r="CJ37" s="258">
        <f t="shared" si="24"/>
        <v>16.86862873328457</v>
      </c>
      <c r="CK37" s="258">
        <f t="shared" si="24"/>
        <v>17.005696087215881</v>
      </c>
      <c r="CL37" s="258">
        <f t="shared" si="24"/>
        <v>17.359659258528687</v>
      </c>
      <c r="CM37" s="258">
        <f t="shared" si="24"/>
        <v>17.418007751315542</v>
      </c>
      <c r="CN37" s="258">
        <f t="shared" si="24"/>
        <v>10.79887070314161</v>
      </c>
      <c r="CO37" s="258">
        <f t="shared" si="24"/>
        <v>10.942791424769487</v>
      </c>
      <c r="CP37" s="258">
        <f t="shared" si="24"/>
        <v>10.968793281307571</v>
      </c>
      <c r="CQ37" s="258">
        <f t="shared" si="24"/>
        <v>8.1482977726499826</v>
      </c>
      <c r="CR37" s="258">
        <f t="shared" si="24"/>
        <v>8.4570528122148989</v>
      </c>
      <c r="CS37" s="258">
        <f t="shared" si="24"/>
        <v>8.464081498619981</v>
      </c>
      <c r="CT37" s="258">
        <f t="shared" si="24"/>
        <v>2.309102306929272</v>
      </c>
      <c r="CU37" s="258">
        <f t="shared" si="24"/>
        <v>0</v>
      </c>
      <c r="CV37" s="258">
        <f t="shared" si="24"/>
        <v>0</v>
      </c>
      <c r="CW37" s="258">
        <f t="shared" si="24"/>
        <v>0</v>
      </c>
      <c r="CX37" s="258">
        <f t="shared" si="24"/>
        <v>0</v>
      </c>
    </row>
    <row r="38" spans="1:102" x14ac:dyDescent="0.3">
      <c r="A38" s="266" t="s">
        <v>290</v>
      </c>
      <c r="B38" s="267">
        <f ca="1">SUM(B16,B24,B27,B30,B31,B32)</f>
        <v>-551.53805072939383</v>
      </c>
      <c r="C38" s="267">
        <f>IF(C7&lt;='Assumption Sheet'!$B$13,SUM(C16,C24,C27,C30,C31,C32),0)</f>
        <v>-47.58</v>
      </c>
      <c r="D38" s="267">
        <f ca="1">IF(D7&lt;='Assumption Sheet'!$B$13,SUM(D16,D24,D27,D30,D31,D32),0)</f>
        <v>-21.263761110233897</v>
      </c>
      <c r="E38" s="267">
        <f ca="1">IF(E7&lt;='Assumption Sheet'!$B$13,SUM(E16,E24,E27,E30,E31,E32),0)</f>
        <v>-18.238441962191814</v>
      </c>
      <c r="F38" s="267">
        <f ca="1">IF(F7&lt;='Assumption Sheet'!$B$13,SUM(F16,F24,F27,F30,F31,F32),0)</f>
        <v>-18.719636128118953</v>
      </c>
      <c r="G38" s="267">
        <f ca="1">IF(G7&lt;='Assumption Sheet'!$B$13,SUM(G16,G24,G27,G30,G31,G32),0)</f>
        <v>-19.092783891231292</v>
      </c>
      <c r="H38" s="267">
        <f ca="1">IF(H7&lt;='Assumption Sheet'!$B$13,SUM(H16,H24,H27,H30,H31,H32),0)</f>
        <v>-38.415343408740107</v>
      </c>
      <c r="I38" s="267">
        <f ca="1">IF(I7&lt;='Assumption Sheet'!$B$13,SUM(I16,I24,I27,I30,I31,I32),0)</f>
        <v>-36.305713272848479</v>
      </c>
      <c r="J38" s="267">
        <f ca="1">IF(J7&lt;='Assumption Sheet'!$B$13,SUM(J16,J24,J27,J30,J31,J32),0)</f>
        <v>-37.937908766702513</v>
      </c>
      <c r="K38" s="267">
        <f ca="1">IF(K7&lt;='Assumption Sheet'!$B$13,SUM(K16,K24,K27,K30,K31,K32),0)</f>
        <v>-52.754481513946239</v>
      </c>
      <c r="L38" s="267">
        <f ca="1">IF(L7&lt;='Assumption Sheet'!$B$13,SUM(L16,L24,L27,L30,L31,L32),0)</f>
        <v>-18.071465275356474</v>
      </c>
      <c r="M38" s="267">
        <f ca="1">IF(M7&lt;='Assumption Sheet'!$B$13,SUM(M16,M24,M27,M30,M31,M32),0)</f>
        <v>-18.349748810018816</v>
      </c>
      <c r="N38" s="267">
        <f ca="1">IF(N7&lt;='Assumption Sheet'!$B$13,SUM(N16,N24,N27,N30,N31,N32),0)</f>
        <v>-53.538456098902763</v>
      </c>
      <c r="O38" s="267">
        <f ca="1">IF(O7&lt;='Assumption Sheet'!$B$13,SUM(O16,O24,O27,O30,O31,O32),0)</f>
        <v>-35.563173022835016</v>
      </c>
      <c r="P38" s="267">
        <f ca="1">IF(P7&lt;='Assumption Sheet'!$B$13,SUM(P16,P24,P27,P30,P31,P32),0)</f>
        <v>-36.117804801357401</v>
      </c>
      <c r="Q38" s="267">
        <f ca="1">IF(Q7&lt;='Assumption Sheet'!$B$13,SUM(Q16,Q24,Q27,Q30,Q31,Q32),0)</f>
        <v>-42.843850594259209</v>
      </c>
      <c r="R38" s="267">
        <f ca="1">IF(R7&lt;='Assumption Sheet'!$B$13,SUM(R16,R24,R27,R30,R31,R32),0)</f>
        <v>-11.686214511950244</v>
      </c>
      <c r="S38" s="267">
        <f ca="1">IF(S7&lt;='Assumption Sheet'!$B$13,SUM(S16,S24,S27,S30,S31,S32),0)</f>
        <v>-11.840681314425026</v>
      </c>
      <c r="T38" s="267">
        <f ca="1">IF(T7&lt;='Assumption Sheet'!$B$13,SUM(T16,T24,T27,T30,T31,T32),0)</f>
        <v>-13.847003527176444</v>
      </c>
      <c r="U38" s="267">
        <f ca="1">IF(U7&lt;='Assumption Sheet'!$B$13,SUM(U16,U24,U27,U30,U31,U32),0)</f>
        <v>-19.371582719099028</v>
      </c>
      <c r="V38" s="267">
        <f>IF(V7&lt;='Assumption Sheet'!$B$13,SUM(V16,V24,V27,V30,V31,V32),0)</f>
        <v>0</v>
      </c>
      <c r="W38" s="267">
        <f>IF(W7&lt;='Assumption Sheet'!$B$13,SUM(W16,W24,W27,W30,W31,W32),0)</f>
        <v>0</v>
      </c>
      <c r="X38" s="267">
        <f>IF(X7&lt;='Assumption Sheet'!$B$13,SUM(X16,X24,X27,X30,X31,X32),0)</f>
        <v>0</v>
      </c>
      <c r="Y38" s="267">
        <f>IF(Y7&lt;='Assumption Sheet'!$B$13,SUM(Y16,Y24,Y27,Y30,Y31,Y32),0)</f>
        <v>0</v>
      </c>
      <c r="Z38" s="267">
        <f>IF(Z7&lt;='Assumption Sheet'!$B$13,SUM(Z16,Z24,Z27,Z30,Z31,Z32),0)</f>
        <v>0</v>
      </c>
      <c r="AA38" s="267">
        <f>IF(AA7&lt;='Assumption Sheet'!$B$13,SUM(AA16,AA24,AA27,AA30,AA31,AA32),0)</f>
        <v>0</v>
      </c>
      <c r="AB38" s="267">
        <f>IF(AB7&lt;='Assumption Sheet'!$B$13,SUM(AB16,AB24,AB27,AB30,AB31,AB32),0)</f>
        <v>0</v>
      </c>
      <c r="AC38" s="267">
        <f>IF(AC7&lt;='Assumption Sheet'!$B$13,SUM(AC16,AC24,AC27,AC30,AC31,AC32),0)</f>
        <v>0</v>
      </c>
      <c r="AD38" s="267">
        <f>IF(AD7&lt;='Assumption Sheet'!$B$13,SUM(AD16,AD24,AD27,AD30,AD31,AD32),0)</f>
        <v>0</v>
      </c>
      <c r="AE38" s="267">
        <f>IF(AE7&lt;='Assumption Sheet'!$B$13,SUM(AE16,AE24,AE27,AE30,AE31,AE32),0)</f>
        <v>0</v>
      </c>
      <c r="AF38" s="267">
        <f>IF(AF7&lt;='Assumption Sheet'!$B$13,SUM(AF16,AF24,AF27,AF30,AF31,AF32),0)</f>
        <v>0</v>
      </c>
      <c r="AG38" s="267">
        <f>IF(AG7&lt;='Assumption Sheet'!$B$13,SUM(AG16,AG24,AG27,AG30,AG31,AG32),0)</f>
        <v>0</v>
      </c>
      <c r="AH38" s="267">
        <f>IF(AH7&lt;='Assumption Sheet'!$B$13,SUM(AH16,AH24,AH27,AH30,AH31,AH32),0)</f>
        <v>0</v>
      </c>
      <c r="AI38" s="267">
        <f>IF(AI7&lt;='Assumption Sheet'!$B$13,SUM(AI16,AI24,AI27,AI30,AI31,AI32),0)</f>
        <v>0</v>
      </c>
      <c r="AJ38" s="267">
        <f>IF(AJ7&lt;='Assumption Sheet'!$B$13,SUM(AJ16,AJ24,AJ27,AJ30,AJ31,AJ32),0)</f>
        <v>0</v>
      </c>
      <c r="AK38" s="267">
        <f>IF(AK7&lt;='Assumption Sheet'!$B$13,SUM(AK16,AK24,AK27,AK30,AK31,AK32),0)</f>
        <v>0</v>
      </c>
      <c r="AL38" s="267">
        <f>IF(AL7&lt;='Assumption Sheet'!$B$13,SUM(AL16,AL24,AL27,AL30,AL31,AL32),0)</f>
        <v>0</v>
      </c>
      <c r="AM38" s="267">
        <f>IF(AM7&lt;='Assumption Sheet'!$B$13,SUM(AM16,AM24,AM27,AM30,AM31,AM32),0)</f>
        <v>0</v>
      </c>
      <c r="AN38" s="267">
        <f>IF(AN7&lt;='Assumption Sheet'!$B$13,SUM(AN16,AN24,AN27,AN30,AN31,AN32),0)</f>
        <v>0</v>
      </c>
      <c r="AO38" s="267">
        <f>IF(AO7&lt;='Assumption Sheet'!$B$13,SUM(AO16,AO24,AO27,AO30,AO31,AO32),0)</f>
        <v>0</v>
      </c>
      <c r="AP38" s="267">
        <f>IF(AP7&lt;='Assumption Sheet'!$B$13,SUM(AP16,AP24,AP27,AP30,AP31,AP32),0)</f>
        <v>0</v>
      </c>
      <c r="AQ38" s="267">
        <f>IF(AQ7&lt;='Assumption Sheet'!$B$13,SUM(AQ16,AQ24,AQ27,AQ30,AQ31,AQ32),0)</f>
        <v>0</v>
      </c>
      <c r="AR38" s="267">
        <f>IF(AR7&lt;='Assumption Sheet'!$B$13,SUM(AR16,AR24,AR27,AR30,AR31,AR32),0)</f>
        <v>0</v>
      </c>
      <c r="AS38" s="267">
        <f>IF(AS7&lt;='Assumption Sheet'!$B$13,SUM(AS16,AS24,AS27,AS30,AS31,AS32),0)</f>
        <v>0</v>
      </c>
      <c r="AT38" s="267">
        <f>IF(AT7&lt;='Assumption Sheet'!$B$13,SUM(AT16,AT24,AT27,AT30,AT31,AT32),0)</f>
        <v>0</v>
      </c>
      <c r="AU38" s="267">
        <f>IF(AU7&lt;='Assumption Sheet'!$B$13,SUM(AU16,AU24,AU27,AU30,AU31,AU32),0)</f>
        <v>0</v>
      </c>
      <c r="AV38" s="267">
        <f>IF(AV7&lt;='Assumption Sheet'!$B$13,SUM(AV16,AV24,AV27,AV30,AV31,AV32),0)</f>
        <v>0</v>
      </c>
      <c r="AW38" s="267">
        <f>IF(AW7&lt;='Assumption Sheet'!$B$13,SUM(AW16,AW24,AW27,AW30,AW31,AW32),0)</f>
        <v>0</v>
      </c>
      <c r="AX38" s="267">
        <f>IF(AX7&lt;='Assumption Sheet'!$B$13,SUM(AX16,AX24,AX27,AX30,AX31,AX32),0)</f>
        <v>0</v>
      </c>
      <c r="AY38" s="267">
        <f>IF(AY7&lt;='Assumption Sheet'!$B$13,SUM(AY16,AY24,AY27,AY30,AY31,AY32),0)</f>
        <v>0</v>
      </c>
      <c r="AZ38" s="267">
        <f>IF(AZ7&lt;='Assumption Sheet'!$B$13,SUM(AZ16,AZ24,AZ27,AZ30,AZ31,AZ32),0)</f>
        <v>0</v>
      </c>
      <c r="BA38" s="267">
        <f>IF(BA7&lt;='Assumption Sheet'!$B$13,SUM(BA16,BA24,BA27,BA30,BA31,BA32),0)</f>
        <v>0</v>
      </c>
      <c r="BB38" s="267">
        <f>IF(BB7&lt;='Assumption Sheet'!$B$13,SUM(BB16,BB24,BB27,BB30,BB31,BB32),0)</f>
        <v>0</v>
      </c>
      <c r="BC38" s="267">
        <f>IF(BC7&lt;='Assumption Sheet'!$B$13,SUM(BC16,BC24,BC27,BC30,BC31,BC32),0)</f>
        <v>0</v>
      </c>
      <c r="BD38" s="267">
        <f>IF(BD7&lt;='Assumption Sheet'!$B$13,SUM(BD16,BD24,BD27,BD30,BD31,BD32),0)</f>
        <v>0</v>
      </c>
      <c r="BE38" s="267">
        <f>IF(BE7&lt;='Assumption Sheet'!$B$13,SUM(BE16,BE24,BE27,BE30,BE31,BE32),0)</f>
        <v>0</v>
      </c>
      <c r="BF38" s="267">
        <f>IF(BF7&lt;='Assumption Sheet'!$B$13,SUM(BF16,BF24,BF27,BF30,BF31,BF32),0)</f>
        <v>0</v>
      </c>
      <c r="BG38" s="267">
        <f>IF(BG7&lt;='Assumption Sheet'!$B$13,SUM(BG16,BG24,BG27,BG30,BG31,BG32),0)</f>
        <v>0</v>
      </c>
      <c r="BH38" s="267">
        <f>IF(BH7&lt;='Assumption Sheet'!$B$13,SUM(BH16,BH24,BH27,BH30,BH31,BH32),0)</f>
        <v>0</v>
      </c>
      <c r="BI38" s="267">
        <f>IF(BI7&lt;='Assumption Sheet'!$B$13,SUM(BI16,BI24,BI27,BI30,BI31,BI32),0)</f>
        <v>0</v>
      </c>
      <c r="BJ38" s="267">
        <f>IF(BJ7&lt;='Assumption Sheet'!$B$13,SUM(BJ16,BJ24,BJ27,BJ30,BJ31,BJ32),0)</f>
        <v>0</v>
      </c>
      <c r="BK38" s="267">
        <f>IF(BK7&lt;='Assumption Sheet'!$B$13,SUM(BK16,BK24,BK27,BK30,BK31,BK32),0)</f>
        <v>0</v>
      </c>
      <c r="BL38" s="267">
        <f>IF(BL7&lt;='Assumption Sheet'!$B$13,SUM(BL16,BL24,BL27,BL30,BL31,BL32),0)</f>
        <v>0</v>
      </c>
      <c r="BM38" s="267">
        <f>IF(BM7&lt;='Assumption Sheet'!$B$13,SUM(BM16,BM24,BM27,BM30,BM31,BM32),0)</f>
        <v>0</v>
      </c>
      <c r="BN38" s="267">
        <f>IF(BN7&lt;='Assumption Sheet'!$B$13,SUM(BN16,BN24,BN27,BN30,BN31,BN32),0)</f>
        <v>0</v>
      </c>
      <c r="BO38" s="267">
        <f>IF(BO7&lt;='Assumption Sheet'!$B$13,SUM(BO16,BO24,BO27,BO30,BO31,BO32),0)</f>
        <v>0</v>
      </c>
      <c r="BP38" s="267">
        <f>IF(BP7&lt;='Assumption Sheet'!$B$13,SUM(BP16,BP24,BP27,BP30,BP31,BP32),0)</f>
        <v>0</v>
      </c>
      <c r="BQ38" s="267">
        <f>IF(BQ7&lt;='Assumption Sheet'!$B$13,SUM(BQ16,BQ24,BQ27,BQ30,BQ31,BQ32),0)</f>
        <v>0</v>
      </c>
      <c r="BR38" s="267">
        <f>IF(BR7&lt;='Assumption Sheet'!$B$13,SUM(BR16,BR24,BR27,BR30,BR31,BR32),0)</f>
        <v>0</v>
      </c>
      <c r="BS38" s="267">
        <f>IF(BS7&lt;='Assumption Sheet'!$B$13,SUM(BS16,BS24,BS27,BS30,BS31,BS32),0)</f>
        <v>0</v>
      </c>
      <c r="BT38" s="267">
        <f>IF(BT7&lt;='Assumption Sheet'!$B$13,SUM(BT16,BT24,BT27,BT30,BT31,BT32),0)</f>
        <v>0</v>
      </c>
      <c r="BU38" s="267">
        <f>IF(BU7&lt;='Assumption Sheet'!$B$13,SUM(BU16,BU24,BU27,BU30,BU31,BU32),0)</f>
        <v>0</v>
      </c>
      <c r="BV38" s="267">
        <f>IF(BV7&lt;='Assumption Sheet'!$B$13,SUM(BV16,BV24,BV27,BV30,BV31,BV32),0)</f>
        <v>0</v>
      </c>
      <c r="BW38" s="267">
        <f>IF(BW7&lt;='Assumption Sheet'!$B$13,SUM(BW16,BW24,BW27,BW30,BW31,BW32),0)</f>
        <v>0</v>
      </c>
      <c r="BX38" s="267">
        <f>IF(BX7&lt;='Assumption Sheet'!$B$13,SUM(BX16,BX24,BX27,BX30,BX31,BX32),0)</f>
        <v>0</v>
      </c>
      <c r="BY38" s="267">
        <f>IF(BY7&lt;='Assumption Sheet'!$B$13,SUM(BY16,BY24,BY27,BY30,BY31,BY32),0)</f>
        <v>0</v>
      </c>
      <c r="BZ38" s="267">
        <f>IF(BZ7&lt;='Assumption Sheet'!$B$13,SUM(BZ16,BZ24,BZ27,BZ30,BZ31,BZ32),0)</f>
        <v>0</v>
      </c>
      <c r="CA38" s="267">
        <f>IF(CA7&lt;='Assumption Sheet'!$B$13,SUM(CA16,CA24,CA27,CA30,CA31,CA32),0)</f>
        <v>0</v>
      </c>
      <c r="CB38" s="267">
        <f>IF(CB7&lt;='Assumption Sheet'!$B$13,SUM(CB16,CB24,CB27,CB30,CB31,CB32),0)</f>
        <v>0</v>
      </c>
      <c r="CC38" s="267">
        <f>IF(CC7&lt;='Assumption Sheet'!$B$13,SUM(CC16,CC24,CC27,CC30,CC31,CC32),0)</f>
        <v>0</v>
      </c>
      <c r="CD38" s="267">
        <f>IF(CD7&lt;='Assumption Sheet'!$B$13,SUM(CD16,CD24,CD27,CD30,CD31,CD32),0)</f>
        <v>0</v>
      </c>
      <c r="CE38" s="267">
        <f>IF(CE7&lt;='Assumption Sheet'!$B$13,SUM(CE16,CE24,CE27,CE30,CE31,CE32),0)</f>
        <v>0</v>
      </c>
      <c r="CF38" s="267">
        <f>IF(CF7&lt;='Assumption Sheet'!$B$13,SUM(CF16,CF24,CF27,CF30,CF31,CF32),0)</f>
        <v>0</v>
      </c>
      <c r="CG38" s="267">
        <f>IF(CG7&lt;='Assumption Sheet'!$B$13,SUM(CG16,CG24,CG27,CG30,CG31,CG32),0)</f>
        <v>0</v>
      </c>
      <c r="CH38" s="267">
        <f>IF(CH7&lt;='Assumption Sheet'!$B$13,SUM(CH16,CH24,CH27,CH30,CH31,CH32),0)</f>
        <v>0</v>
      </c>
      <c r="CI38" s="267">
        <f>IF(CI7&lt;='Assumption Sheet'!$B$13,SUM(CI16,CI24,CI27,CI30,CI31,CI32),0)</f>
        <v>0</v>
      </c>
      <c r="CJ38" s="267">
        <f>IF(CJ7&lt;='Assumption Sheet'!$B$13,SUM(CJ16,CJ24,CJ27,CJ30,CJ31,CJ32),0)</f>
        <v>0</v>
      </c>
      <c r="CK38" s="267">
        <f>IF(CK7&lt;='Assumption Sheet'!$B$13,SUM(CK16,CK24,CK27,CK30,CK31,CK32),0)</f>
        <v>0</v>
      </c>
      <c r="CL38" s="267">
        <f>IF(CL7&lt;='Assumption Sheet'!$B$13,SUM(CL16,CL24,CL27,CL30,CL31,CL32),0)</f>
        <v>0</v>
      </c>
      <c r="CM38" s="267">
        <f>IF(CM7&lt;='Assumption Sheet'!$B$13,SUM(CM16,CM24,CM27,CM30,CM31,CM32),0)</f>
        <v>0</v>
      </c>
      <c r="CN38" s="267">
        <f>IF(CN7&lt;='Assumption Sheet'!$B$13,SUM(CN16,CN24,CN27,CN30,CN31,CN32),0)</f>
        <v>0</v>
      </c>
      <c r="CO38" s="267">
        <f>IF(CO7&lt;='Assumption Sheet'!$B$13,SUM(CO16,CO24,CO27,CO30,CO31,CO32),0)</f>
        <v>0</v>
      </c>
      <c r="CP38" s="267">
        <f>IF(CP7&lt;='Assumption Sheet'!$B$13,SUM(CP16,CP24,CP27,CP30,CP31,CP32),0)</f>
        <v>0</v>
      </c>
      <c r="CQ38" s="267">
        <f>IF(CQ7&lt;='Assumption Sheet'!$B$13,SUM(CQ16,CQ24,CQ27,CQ30,CQ31,CQ32),0)</f>
        <v>0</v>
      </c>
      <c r="CR38" s="267">
        <f>IF(CR7&lt;='Assumption Sheet'!$B$13,SUM(CR16,CR24,CR27,CR30,CR31,CR32),0)</f>
        <v>0</v>
      </c>
      <c r="CS38" s="267">
        <f>IF(CS7&lt;='Assumption Sheet'!$B$13,SUM(CS16,CS24,CS27,CS30,CS31,CS32),0)</f>
        <v>0</v>
      </c>
      <c r="CT38" s="267">
        <f>IF(CT7&lt;='Assumption Sheet'!$B$13,SUM(CT16,CT24,CT27,CT30,CT31,CT32),0)</f>
        <v>0</v>
      </c>
      <c r="CU38" s="267">
        <f>IF(CU7&lt;='Assumption Sheet'!$B$13,SUM(CU16,CU24,CU27,CU30,CU31,CU32),0)</f>
        <v>0</v>
      </c>
      <c r="CV38" s="267">
        <f>IF(CV7&lt;='Assumption Sheet'!$B$13,SUM(CV16,CV24,CV27,CV30,CV31,CV32),0)</f>
        <v>0</v>
      </c>
      <c r="CW38" s="267">
        <f>IF(CW7&lt;='Assumption Sheet'!$B$13,SUM(CW16,CW24,CW27,CW30,CW31,CW32),0)</f>
        <v>0</v>
      </c>
      <c r="CX38" s="267">
        <f>IF(CX7&lt;='Assumption Sheet'!$B$13,SUM(CX16,CX24,CX27,CX30,CX31,CX32),0)</f>
        <v>0</v>
      </c>
    </row>
    <row r="39" spans="1:102" x14ac:dyDescent="0.3">
      <c r="A39" s="266" t="s">
        <v>289</v>
      </c>
      <c r="B39" s="267"/>
      <c r="C39" s="267">
        <f>C38</f>
        <v>-47.58</v>
      </c>
      <c r="D39" s="267">
        <f ca="1">C39+D38</f>
        <v>-68.843761110233899</v>
      </c>
      <c r="E39" s="267">
        <f t="shared" ref="E39:BP39" ca="1" si="25">D39+E38</f>
        <v>-87.082203072425713</v>
      </c>
      <c r="F39" s="267">
        <f t="shared" ca="1" si="25"/>
        <v>-105.80183920054466</v>
      </c>
      <c r="G39" s="267">
        <f t="shared" ca="1" si="25"/>
        <v>-124.89462309177596</v>
      </c>
      <c r="H39" s="267">
        <f t="shared" ca="1" si="25"/>
        <v>-163.30996650051605</v>
      </c>
      <c r="I39" s="267">
        <f t="shared" ca="1" si="25"/>
        <v>-199.61567977336455</v>
      </c>
      <c r="J39" s="267">
        <f t="shared" ca="1" si="25"/>
        <v>-237.55358854006707</v>
      </c>
      <c r="K39" s="267">
        <f t="shared" ca="1" si="25"/>
        <v>-290.30807005401329</v>
      </c>
      <c r="L39" s="267">
        <f t="shared" ca="1" si="25"/>
        <v>-308.37953532936979</v>
      </c>
      <c r="M39" s="267">
        <f t="shared" ca="1" si="25"/>
        <v>-326.7292841393886</v>
      </c>
      <c r="N39" s="267">
        <f t="shared" ca="1" si="25"/>
        <v>-380.26774023829137</v>
      </c>
      <c r="O39" s="267">
        <f t="shared" ca="1" si="25"/>
        <v>-415.8309132611264</v>
      </c>
      <c r="P39" s="267">
        <f t="shared" ca="1" si="25"/>
        <v>-451.94871806248381</v>
      </c>
      <c r="Q39" s="267">
        <f t="shared" ca="1" si="25"/>
        <v>-494.79256865674301</v>
      </c>
      <c r="R39" s="267">
        <f t="shared" ca="1" si="25"/>
        <v>-506.47878316869327</v>
      </c>
      <c r="S39" s="267">
        <f t="shared" ca="1" si="25"/>
        <v>-518.31946448311828</v>
      </c>
      <c r="T39" s="267">
        <f t="shared" ca="1" si="25"/>
        <v>-532.16646801029469</v>
      </c>
      <c r="U39" s="267">
        <f t="shared" ca="1" si="25"/>
        <v>-551.53805072939372</v>
      </c>
      <c r="V39" s="267">
        <f t="shared" ca="1" si="25"/>
        <v>-551.53805072939372</v>
      </c>
      <c r="W39" s="267">
        <f t="shared" ca="1" si="25"/>
        <v>-551.53805072939372</v>
      </c>
      <c r="X39" s="267">
        <f t="shared" ca="1" si="25"/>
        <v>-551.53805072939372</v>
      </c>
      <c r="Y39" s="267">
        <f t="shared" ca="1" si="25"/>
        <v>-551.53805072939372</v>
      </c>
      <c r="Z39" s="267">
        <f t="shared" ca="1" si="25"/>
        <v>-551.53805072939372</v>
      </c>
      <c r="AA39" s="267">
        <f t="shared" ca="1" si="25"/>
        <v>-551.53805072939372</v>
      </c>
      <c r="AB39" s="267">
        <f t="shared" ca="1" si="25"/>
        <v>-551.53805072939372</v>
      </c>
      <c r="AC39" s="267">
        <f t="shared" ca="1" si="25"/>
        <v>-551.53805072939372</v>
      </c>
      <c r="AD39" s="267">
        <f t="shared" ca="1" si="25"/>
        <v>-551.53805072939372</v>
      </c>
      <c r="AE39" s="267">
        <f t="shared" ca="1" si="25"/>
        <v>-551.53805072939372</v>
      </c>
      <c r="AF39" s="267">
        <f t="shared" ca="1" si="25"/>
        <v>-551.53805072939372</v>
      </c>
      <c r="AG39" s="267">
        <f t="shared" ca="1" si="25"/>
        <v>-551.53805072939372</v>
      </c>
      <c r="AH39" s="267">
        <f t="shared" ca="1" si="25"/>
        <v>-551.53805072939372</v>
      </c>
      <c r="AI39" s="267">
        <f t="shared" ca="1" si="25"/>
        <v>-551.53805072939372</v>
      </c>
      <c r="AJ39" s="267">
        <f t="shared" ca="1" si="25"/>
        <v>-551.53805072939372</v>
      </c>
      <c r="AK39" s="267">
        <f t="shared" ca="1" si="25"/>
        <v>-551.53805072939372</v>
      </c>
      <c r="AL39" s="267">
        <f t="shared" ca="1" si="25"/>
        <v>-551.53805072939372</v>
      </c>
      <c r="AM39" s="267">
        <f t="shared" ca="1" si="25"/>
        <v>-551.53805072939372</v>
      </c>
      <c r="AN39" s="267">
        <f t="shared" ca="1" si="25"/>
        <v>-551.53805072939372</v>
      </c>
      <c r="AO39" s="267">
        <f t="shared" ca="1" si="25"/>
        <v>-551.53805072939372</v>
      </c>
      <c r="AP39" s="267">
        <f t="shared" ca="1" si="25"/>
        <v>-551.53805072939372</v>
      </c>
      <c r="AQ39" s="267">
        <f t="shared" ca="1" si="25"/>
        <v>-551.53805072939372</v>
      </c>
      <c r="AR39" s="267">
        <f t="shared" ca="1" si="25"/>
        <v>-551.53805072939372</v>
      </c>
      <c r="AS39" s="267">
        <f t="shared" ca="1" si="25"/>
        <v>-551.53805072939372</v>
      </c>
      <c r="AT39" s="267">
        <f t="shared" ca="1" si="25"/>
        <v>-551.53805072939372</v>
      </c>
      <c r="AU39" s="267">
        <f t="shared" ca="1" si="25"/>
        <v>-551.53805072939372</v>
      </c>
      <c r="AV39" s="267">
        <f t="shared" ca="1" si="25"/>
        <v>-551.53805072939372</v>
      </c>
      <c r="AW39" s="267">
        <f t="shared" ca="1" si="25"/>
        <v>-551.53805072939372</v>
      </c>
      <c r="AX39" s="267">
        <f t="shared" ca="1" si="25"/>
        <v>-551.53805072939372</v>
      </c>
      <c r="AY39" s="267">
        <f t="shared" ca="1" si="25"/>
        <v>-551.53805072939372</v>
      </c>
      <c r="AZ39" s="267">
        <f t="shared" ca="1" si="25"/>
        <v>-551.53805072939372</v>
      </c>
      <c r="BA39" s="267">
        <f t="shared" ca="1" si="25"/>
        <v>-551.53805072939372</v>
      </c>
      <c r="BB39" s="267">
        <f t="shared" ca="1" si="25"/>
        <v>-551.53805072939372</v>
      </c>
      <c r="BC39" s="267">
        <f t="shared" ca="1" si="25"/>
        <v>-551.53805072939372</v>
      </c>
      <c r="BD39" s="267">
        <f t="shared" ca="1" si="25"/>
        <v>-551.53805072939372</v>
      </c>
      <c r="BE39" s="267">
        <f t="shared" ca="1" si="25"/>
        <v>-551.53805072939372</v>
      </c>
      <c r="BF39" s="267">
        <f t="shared" ca="1" si="25"/>
        <v>-551.53805072939372</v>
      </c>
      <c r="BG39" s="267">
        <f t="shared" ca="1" si="25"/>
        <v>-551.53805072939372</v>
      </c>
      <c r="BH39" s="267">
        <f t="shared" ca="1" si="25"/>
        <v>-551.53805072939372</v>
      </c>
      <c r="BI39" s="267">
        <f t="shared" ca="1" si="25"/>
        <v>-551.53805072939372</v>
      </c>
      <c r="BJ39" s="267">
        <f t="shared" ca="1" si="25"/>
        <v>-551.53805072939372</v>
      </c>
      <c r="BK39" s="267">
        <f t="shared" ca="1" si="25"/>
        <v>-551.53805072939372</v>
      </c>
      <c r="BL39" s="267">
        <f t="shared" ca="1" si="25"/>
        <v>-551.53805072939372</v>
      </c>
      <c r="BM39" s="267">
        <f t="shared" ca="1" si="25"/>
        <v>-551.53805072939372</v>
      </c>
      <c r="BN39" s="267">
        <f t="shared" ca="1" si="25"/>
        <v>-551.53805072939372</v>
      </c>
      <c r="BO39" s="267">
        <f t="shared" ca="1" si="25"/>
        <v>-551.53805072939372</v>
      </c>
      <c r="BP39" s="267">
        <f t="shared" ca="1" si="25"/>
        <v>-551.53805072939372</v>
      </c>
      <c r="BQ39" s="267">
        <f t="shared" ref="BQ39:CX39" ca="1" si="26">BP39+BQ38</f>
        <v>-551.53805072939372</v>
      </c>
      <c r="BR39" s="267">
        <f t="shared" ca="1" si="26"/>
        <v>-551.53805072939372</v>
      </c>
      <c r="BS39" s="267">
        <f t="shared" ca="1" si="26"/>
        <v>-551.53805072939372</v>
      </c>
      <c r="BT39" s="267">
        <f t="shared" ca="1" si="26"/>
        <v>-551.53805072939372</v>
      </c>
      <c r="BU39" s="267">
        <f t="shared" ca="1" si="26"/>
        <v>-551.53805072939372</v>
      </c>
      <c r="BV39" s="267">
        <f t="shared" ca="1" si="26"/>
        <v>-551.53805072939372</v>
      </c>
      <c r="BW39" s="267">
        <f t="shared" ca="1" si="26"/>
        <v>-551.53805072939372</v>
      </c>
      <c r="BX39" s="267">
        <f t="shared" ca="1" si="26"/>
        <v>-551.53805072939372</v>
      </c>
      <c r="BY39" s="267">
        <f t="shared" ca="1" si="26"/>
        <v>-551.53805072939372</v>
      </c>
      <c r="BZ39" s="267">
        <f t="shared" ca="1" si="26"/>
        <v>-551.53805072939372</v>
      </c>
      <c r="CA39" s="267">
        <f t="shared" ca="1" si="26"/>
        <v>-551.53805072939372</v>
      </c>
      <c r="CB39" s="267">
        <f t="shared" ca="1" si="26"/>
        <v>-551.53805072939372</v>
      </c>
      <c r="CC39" s="267">
        <f t="shared" ca="1" si="26"/>
        <v>-551.53805072939372</v>
      </c>
      <c r="CD39" s="267">
        <f t="shared" ca="1" si="26"/>
        <v>-551.53805072939372</v>
      </c>
      <c r="CE39" s="267">
        <f t="shared" ca="1" si="26"/>
        <v>-551.53805072939372</v>
      </c>
      <c r="CF39" s="267">
        <f t="shared" ca="1" si="26"/>
        <v>-551.53805072939372</v>
      </c>
      <c r="CG39" s="267">
        <f t="shared" ca="1" si="26"/>
        <v>-551.53805072939372</v>
      </c>
      <c r="CH39" s="267">
        <f t="shared" ca="1" si="26"/>
        <v>-551.53805072939372</v>
      </c>
      <c r="CI39" s="267">
        <f t="shared" ca="1" si="26"/>
        <v>-551.53805072939372</v>
      </c>
      <c r="CJ39" s="267">
        <f t="shared" ca="1" si="26"/>
        <v>-551.53805072939372</v>
      </c>
      <c r="CK39" s="267">
        <f t="shared" ca="1" si="26"/>
        <v>-551.53805072939372</v>
      </c>
      <c r="CL39" s="267">
        <f t="shared" ca="1" si="26"/>
        <v>-551.53805072939372</v>
      </c>
      <c r="CM39" s="267">
        <f t="shared" ca="1" si="26"/>
        <v>-551.53805072939372</v>
      </c>
      <c r="CN39" s="267">
        <f t="shared" ca="1" si="26"/>
        <v>-551.53805072939372</v>
      </c>
      <c r="CO39" s="267">
        <f t="shared" ca="1" si="26"/>
        <v>-551.53805072939372</v>
      </c>
      <c r="CP39" s="267">
        <f t="shared" ca="1" si="26"/>
        <v>-551.53805072939372</v>
      </c>
      <c r="CQ39" s="267">
        <f t="shared" ca="1" si="26"/>
        <v>-551.53805072939372</v>
      </c>
      <c r="CR39" s="267">
        <f t="shared" ca="1" si="26"/>
        <v>-551.53805072939372</v>
      </c>
      <c r="CS39" s="267">
        <f t="shared" ca="1" si="26"/>
        <v>-551.53805072939372</v>
      </c>
      <c r="CT39" s="267">
        <f t="shared" ca="1" si="26"/>
        <v>-551.53805072939372</v>
      </c>
      <c r="CU39" s="267">
        <f t="shared" ca="1" si="26"/>
        <v>-551.53805072939372</v>
      </c>
      <c r="CV39" s="267">
        <f t="shared" ca="1" si="26"/>
        <v>-551.53805072939372</v>
      </c>
      <c r="CW39" s="267">
        <f t="shared" ca="1" si="26"/>
        <v>-551.53805072939372</v>
      </c>
      <c r="CX39" s="267">
        <f t="shared" ca="1" si="26"/>
        <v>-551.53805072939372</v>
      </c>
    </row>
    <row r="40" spans="1:102" x14ac:dyDescent="0.3">
      <c r="A40" s="39" t="s">
        <v>31</v>
      </c>
      <c r="B40" s="269"/>
      <c r="C40" s="242"/>
      <c r="D40" s="242"/>
      <c r="E40" s="242"/>
      <c r="F40" s="242"/>
      <c r="G40" s="242"/>
      <c r="H40" s="242"/>
      <c r="I40" s="242"/>
      <c r="J40" s="242"/>
      <c r="K40" s="242"/>
      <c r="L40" s="258"/>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2"/>
      <c r="AX40" s="242"/>
      <c r="AY40" s="242"/>
      <c r="AZ40" s="242"/>
      <c r="BA40" s="242"/>
      <c r="BB40" s="242"/>
      <c r="BC40" s="242"/>
      <c r="BD40" s="242"/>
      <c r="BE40" s="242"/>
      <c r="BF40" s="242"/>
      <c r="BG40" s="242"/>
      <c r="BH40" s="242"/>
      <c r="BI40" s="242"/>
      <c r="BJ40" s="242"/>
      <c r="BK40" s="242"/>
      <c r="BL40" s="242"/>
      <c r="BM40" s="242"/>
      <c r="BN40" s="242"/>
      <c r="BO40" s="242"/>
      <c r="BP40" s="242"/>
      <c r="BQ40" s="242"/>
      <c r="BR40" s="242"/>
      <c r="BS40" s="242"/>
      <c r="BT40" s="242"/>
      <c r="BU40" s="242"/>
      <c r="BV40" s="242"/>
      <c r="BW40" s="242"/>
      <c r="BX40" s="242"/>
      <c r="BY40" s="242"/>
      <c r="BZ40" s="242"/>
      <c r="CA40" s="242"/>
      <c r="CB40" s="242"/>
      <c r="CC40" s="242"/>
      <c r="CD40" s="242"/>
      <c r="CE40" s="242"/>
      <c r="CF40" s="242"/>
      <c r="CG40" s="242"/>
      <c r="CH40" s="242"/>
      <c r="CI40" s="242"/>
      <c r="CJ40" s="242"/>
      <c r="CK40" s="242"/>
      <c r="CL40" s="242"/>
      <c r="CM40" s="242"/>
      <c r="CN40" s="242"/>
      <c r="CO40" s="242"/>
      <c r="CP40" s="242"/>
      <c r="CQ40" s="242"/>
      <c r="CR40" s="242"/>
      <c r="CS40" s="242"/>
      <c r="CT40" s="242"/>
      <c r="CU40" s="242"/>
      <c r="CV40" s="242"/>
      <c r="CW40" s="242"/>
      <c r="CX40" s="242"/>
    </row>
    <row r="41" spans="1:102" x14ac:dyDescent="0.3">
      <c r="A41" s="1" t="s">
        <v>30</v>
      </c>
      <c r="B41" s="257">
        <f>SUM(C41:CX41)</f>
        <v>1.1327491372569769</v>
      </c>
      <c r="C41" s="270">
        <f>SUMIFS('Monthly Cashflow'!41:41,'Monthly Cashflow'!$3:$3,C$7)</f>
        <v>0</v>
      </c>
      <c r="D41" s="270">
        <f>SUMIFS('Monthly Cashflow'!41:41,'Monthly Cashflow'!$3:$3,D$7)</f>
        <v>0</v>
      </c>
      <c r="E41" s="270">
        <f>SUMIFS('Monthly Cashflow'!41:41,'Monthly Cashflow'!$3:$3,E$7)</f>
        <v>0</v>
      </c>
      <c r="F41" s="270">
        <f>SUMIFS('Monthly Cashflow'!41:41,'Monthly Cashflow'!$3:$3,F$7)</f>
        <v>0</v>
      </c>
      <c r="G41" s="270">
        <f>SUMIFS('Monthly Cashflow'!41:41,'Monthly Cashflow'!$3:$3,G$7)</f>
        <v>0</v>
      </c>
      <c r="H41" s="270">
        <f>SUMIFS('Monthly Cashflow'!41:41,'Monthly Cashflow'!$3:$3,H$7)</f>
        <v>0</v>
      </c>
      <c r="I41" s="270">
        <f>SUMIFS('Monthly Cashflow'!41:41,'Monthly Cashflow'!$3:$3,I$7)</f>
        <v>0</v>
      </c>
      <c r="J41" s="270">
        <f>SUMIFS('Monthly Cashflow'!41:41,'Monthly Cashflow'!$3:$3,J$7)</f>
        <v>3.1387119227698497</v>
      </c>
      <c r="K41" s="270">
        <f>SUMIFS('Monthly Cashflow'!41:41,'Monthly Cashflow'!$3:$3,K$7)</f>
        <v>0</v>
      </c>
      <c r="L41" s="270">
        <f>SUMIFS('Monthly Cashflow'!41:41,'Monthly Cashflow'!$3:$3,L$7)</f>
        <v>0</v>
      </c>
      <c r="M41" s="270">
        <f>SUMIFS('Monthly Cashflow'!41:41,'Monthly Cashflow'!$3:$3,M$7)</f>
        <v>0</v>
      </c>
      <c r="N41" s="270">
        <f>SUMIFS('Monthly Cashflow'!41:41,'Monthly Cashflow'!$3:$3,N$7)</f>
        <v>6.0795196073454152</v>
      </c>
      <c r="O41" s="270">
        <f>SUMIFS('Monthly Cashflow'!41:41,'Monthly Cashflow'!$3:$3,O$7)</f>
        <v>0</v>
      </c>
      <c r="P41" s="270">
        <f>SUMIFS('Monthly Cashflow'!41:41,'Monthly Cashflow'!$3:$3,P$7)</f>
        <v>0</v>
      </c>
      <c r="Q41" s="270">
        <f>SUMIFS('Monthly Cashflow'!41:41,'Monthly Cashflow'!$3:$3,Q$7)</f>
        <v>2.5342463384935199</v>
      </c>
      <c r="R41" s="270">
        <f>SUMIFS('Monthly Cashflow'!41:41,'Monthly Cashflow'!$3:$3,R$7)</f>
        <v>0</v>
      </c>
      <c r="S41" s="270">
        <f>SUMIFS('Monthly Cashflow'!41:41,'Monthly Cashflow'!$3:$3,S$7)</f>
        <v>0</v>
      </c>
      <c r="T41" s="270">
        <f>SUMIFS('Monthly Cashflow'!41:41,'Monthly Cashflow'!$3:$3,T$7)</f>
        <v>5.436752398531965</v>
      </c>
      <c r="U41" s="270">
        <f>SUMIFS('Monthly Cashflow'!41:41,'Monthly Cashflow'!$3:$3,U$7)</f>
        <v>0</v>
      </c>
      <c r="V41" s="270">
        <f>SUMIFS('Monthly Cashflow'!41:41,'Monthly Cashflow'!$3:$3,V$7)</f>
        <v>0</v>
      </c>
      <c r="W41" s="270">
        <f>SUMIFS('Monthly Cashflow'!41:41,'Monthly Cashflow'!$3:$3,W$7)</f>
        <v>1.1327491372569751</v>
      </c>
      <c r="X41" s="270">
        <f>SUMIFS('Monthly Cashflow'!41:41,'Monthly Cashflow'!$3:$3,X$7)</f>
        <v>0</v>
      </c>
      <c r="Y41" s="270">
        <f>SUMIFS('Monthly Cashflow'!41:41,'Monthly Cashflow'!$3:$3,Y$7)</f>
        <v>0</v>
      </c>
      <c r="Z41" s="270">
        <f>SUMIFS('Monthly Cashflow'!41:41,'Monthly Cashflow'!$3:$3,Z$7)</f>
        <v>0</v>
      </c>
      <c r="AA41" s="270">
        <f>SUMIFS('Monthly Cashflow'!41:41,'Monthly Cashflow'!$3:$3,AA$7)</f>
        <v>0</v>
      </c>
      <c r="AB41" s="270">
        <f>SUMIFS('Monthly Cashflow'!41:41,'Monthly Cashflow'!$3:$3,AB$7)</f>
        <v>0</v>
      </c>
      <c r="AC41" s="270">
        <f>SUMIFS('Monthly Cashflow'!41:41,'Monthly Cashflow'!$3:$3,AC$7)</f>
        <v>0</v>
      </c>
      <c r="AD41" s="270">
        <f>SUMIFS('Monthly Cashflow'!41:41,'Monthly Cashflow'!$3:$3,AD$7)</f>
        <v>0</v>
      </c>
      <c r="AE41" s="270">
        <f>SUMIFS('Monthly Cashflow'!41:41,'Monthly Cashflow'!$3:$3,AE$7)</f>
        <v>0</v>
      </c>
      <c r="AF41" s="270">
        <f>SUMIFS('Monthly Cashflow'!41:41,'Monthly Cashflow'!$3:$3,AF$7)</f>
        <v>0</v>
      </c>
      <c r="AG41" s="270">
        <f>SUMIFS('Monthly Cashflow'!41:41,'Monthly Cashflow'!$3:$3,AG$7)</f>
        <v>0</v>
      </c>
      <c r="AH41" s="270">
        <f>SUMIFS('Monthly Cashflow'!41:41,'Monthly Cashflow'!$3:$3,AH$7)</f>
        <v>0</v>
      </c>
      <c r="AI41" s="270">
        <f>SUMIFS('Monthly Cashflow'!41:41,'Monthly Cashflow'!$3:$3,AI$7)</f>
        <v>0</v>
      </c>
      <c r="AJ41" s="270">
        <f>SUMIFS('Monthly Cashflow'!41:41,'Monthly Cashflow'!$3:$3,AJ$7)</f>
        <v>0</v>
      </c>
      <c r="AK41" s="270">
        <f>SUMIFS('Monthly Cashflow'!41:41,'Monthly Cashflow'!$3:$3,AK$7)</f>
        <v>0</v>
      </c>
      <c r="AL41" s="270">
        <f>SUMIFS('Monthly Cashflow'!41:41,'Monthly Cashflow'!$3:$3,AL$7)</f>
        <v>0</v>
      </c>
      <c r="AM41" s="270">
        <f>SUMIFS('Monthly Cashflow'!41:41,'Monthly Cashflow'!$3:$3,AM$7)</f>
        <v>0</v>
      </c>
      <c r="AN41" s="270">
        <f>SUMIFS('Monthly Cashflow'!41:41,'Monthly Cashflow'!$3:$3,AN$7)</f>
        <v>0</v>
      </c>
      <c r="AO41" s="270">
        <f>SUMIFS('Monthly Cashflow'!41:41,'Monthly Cashflow'!$3:$3,AO$7)</f>
        <v>0</v>
      </c>
      <c r="AP41" s="270">
        <f>SUMIFS('Monthly Cashflow'!41:41,'Monthly Cashflow'!$3:$3,AP$7)</f>
        <v>0</v>
      </c>
      <c r="AQ41" s="270">
        <f>SUMIFS('Monthly Cashflow'!41:41,'Monthly Cashflow'!$3:$3,AQ$7)</f>
        <v>0</v>
      </c>
      <c r="AR41" s="270">
        <f>SUMIFS('Monthly Cashflow'!41:41,'Monthly Cashflow'!$3:$3,AR$7)</f>
        <v>0</v>
      </c>
      <c r="AS41" s="270">
        <f>SUMIFS('Monthly Cashflow'!41:41,'Monthly Cashflow'!$3:$3,AS$7)</f>
        <v>0</v>
      </c>
      <c r="AT41" s="270">
        <f>SUMIFS('Monthly Cashflow'!41:41,'Monthly Cashflow'!$3:$3,AT$7)</f>
        <v>0</v>
      </c>
      <c r="AU41" s="270">
        <f>SUMIFS('Monthly Cashflow'!41:41,'Monthly Cashflow'!$3:$3,AU$7)</f>
        <v>0</v>
      </c>
      <c r="AV41" s="270">
        <f>SUMIFS('Monthly Cashflow'!41:41,'Monthly Cashflow'!$3:$3,AV$7)</f>
        <v>0</v>
      </c>
      <c r="AW41" s="270">
        <f>SUMIFS('Monthly Cashflow'!41:41,'Monthly Cashflow'!$3:$3,AW$7)</f>
        <v>0</v>
      </c>
      <c r="AX41" s="270">
        <f>SUMIFS('Monthly Cashflow'!41:41,'Monthly Cashflow'!$3:$3,AX$7)</f>
        <v>0</v>
      </c>
      <c r="AY41" s="270">
        <f>SUMIFS('Monthly Cashflow'!41:41,'Monthly Cashflow'!$3:$3,AY$7)</f>
        <v>0</v>
      </c>
      <c r="AZ41" s="270">
        <f>SUMIFS('Monthly Cashflow'!41:41,'Monthly Cashflow'!$3:$3,AZ$7)</f>
        <v>0</v>
      </c>
      <c r="BA41" s="270">
        <f>SUMIFS('Monthly Cashflow'!41:41,'Monthly Cashflow'!$3:$3,BA$7)</f>
        <v>0</v>
      </c>
      <c r="BB41" s="270">
        <f>SUMIFS('Monthly Cashflow'!41:41,'Monthly Cashflow'!$3:$3,BB$7)</f>
        <v>0</v>
      </c>
      <c r="BC41" s="270">
        <f>SUMIFS('Monthly Cashflow'!41:41,'Monthly Cashflow'!$3:$3,BC$7)</f>
        <v>0</v>
      </c>
      <c r="BD41" s="270">
        <f>SUMIFS('Monthly Cashflow'!41:41,'Monthly Cashflow'!$3:$3,BD$7)</f>
        <v>0</v>
      </c>
      <c r="BE41" s="270">
        <f>SUMIFS('Monthly Cashflow'!41:41,'Monthly Cashflow'!$3:$3,BE$7)</f>
        <v>0</v>
      </c>
      <c r="BF41" s="270">
        <f>SUMIFS('Monthly Cashflow'!41:41,'Monthly Cashflow'!$3:$3,BF$7)</f>
        <v>0</v>
      </c>
      <c r="BG41" s="270">
        <f>SUMIFS('Monthly Cashflow'!41:41,'Monthly Cashflow'!$3:$3,BG$7)</f>
        <v>0</v>
      </c>
      <c r="BH41" s="270">
        <f>SUMIFS('Monthly Cashflow'!41:41,'Monthly Cashflow'!$3:$3,BH$7)</f>
        <v>0</v>
      </c>
      <c r="BI41" s="270">
        <f>SUMIFS('Monthly Cashflow'!41:41,'Monthly Cashflow'!$3:$3,BI$7)</f>
        <v>0</v>
      </c>
      <c r="BJ41" s="270">
        <f>SUMIFS('Monthly Cashflow'!41:41,'Monthly Cashflow'!$3:$3,BJ$7)</f>
        <v>0</v>
      </c>
      <c r="BK41" s="270">
        <f>SUMIFS('Monthly Cashflow'!41:41,'Monthly Cashflow'!$3:$3,BK$7)</f>
        <v>0</v>
      </c>
      <c r="BL41" s="270">
        <f>SUMIFS('Monthly Cashflow'!41:41,'Monthly Cashflow'!$3:$3,BL$7)</f>
        <v>0</v>
      </c>
      <c r="BM41" s="270">
        <f>SUMIFS('Monthly Cashflow'!41:41,'Monthly Cashflow'!$3:$3,BM$7)</f>
        <v>0</v>
      </c>
      <c r="BN41" s="270">
        <f>SUMIFS('Monthly Cashflow'!41:41,'Monthly Cashflow'!$3:$3,BN$7)</f>
        <v>0</v>
      </c>
      <c r="BO41" s="270">
        <f>SUMIFS('Monthly Cashflow'!41:41,'Monthly Cashflow'!$3:$3,BO$7)</f>
        <v>0</v>
      </c>
      <c r="BP41" s="270">
        <f>SUMIFS('Monthly Cashflow'!41:41,'Monthly Cashflow'!$3:$3,BP$7)</f>
        <v>0</v>
      </c>
      <c r="BQ41" s="270">
        <f>SUMIFS('Monthly Cashflow'!41:41,'Monthly Cashflow'!$3:$3,BQ$7)</f>
        <v>0</v>
      </c>
      <c r="BR41" s="270">
        <f>SUMIFS('Monthly Cashflow'!41:41,'Monthly Cashflow'!$3:$3,BR$7)</f>
        <v>0</v>
      </c>
      <c r="BS41" s="270">
        <f>SUMIFS('Monthly Cashflow'!41:41,'Monthly Cashflow'!$3:$3,BS$7)</f>
        <v>0</v>
      </c>
      <c r="BT41" s="270">
        <f>SUMIFS('Monthly Cashflow'!41:41,'Monthly Cashflow'!$3:$3,BT$7)</f>
        <v>0</v>
      </c>
      <c r="BU41" s="270">
        <f>SUMIFS('Monthly Cashflow'!41:41,'Monthly Cashflow'!$3:$3,BU$7)</f>
        <v>0</v>
      </c>
      <c r="BV41" s="270">
        <f>SUMIFS('Monthly Cashflow'!41:41,'Monthly Cashflow'!$3:$3,BV$7)</f>
        <v>0</v>
      </c>
      <c r="BW41" s="270">
        <f>SUMIFS('Monthly Cashflow'!41:41,'Monthly Cashflow'!$3:$3,BW$7)</f>
        <v>0</v>
      </c>
      <c r="BX41" s="270">
        <f>SUMIFS('Monthly Cashflow'!41:41,'Monthly Cashflow'!$3:$3,BX$7)</f>
        <v>0</v>
      </c>
      <c r="BY41" s="270">
        <f>SUMIFS('Monthly Cashflow'!41:41,'Monthly Cashflow'!$3:$3,BY$7)</f>
        <v>0</v>
      </c>
      <c r="BZ41" s="270">
        <f>SUMIFS('Monthly Cashflow'!41:41,'Monthly Cashflow'!$3:$3,BZ$7)</f>
        <v>0</v>
      </c>
      <c r="CA41" s="270">
        <f>SUMIFS('Monthly Cashflow'!41:41,'Monthly Cashflow'!$3:$3,CA$7)</f>
        <v>0</v>
      </c>
      <c r="CB41" s="270">
        <f>SUMIFS('Monthly Cashflow'!41:41,'Monthly Cashflow'!$3:$3,CB$7)</f>
        <v>0</v>
      </c>
      <c r="CC41" s="270">
        <f>SUMIFS('Monthly Cashflow'!41:41,'Monthly Cashflow'!$3:$3,CC$7)</f>
        <v>0</v>
      </c>
      <c r="CD41" s="270">
        <f>SUMIFS('Monthly Cashflow'!41:41,'Monthly Cashflow'!$3:$3,CD$7)</f>
        <v>0</v>
      </c>
      <c r="CE41" s="270">
        <f>SUMIFS('Monthly Cashflow'!41:41,'Monthly Cashflow'!$3:$3,CE$7)</f>
        <v>0</v>
      </c>
      <c r="CF41" s="270">
        <f>SUMIFS('Monthly Cashflow'!41:41,'Monthly Cashflow'!$3:$3,CF$7)</f>
        <v>0</v>
      </c>
      <c r="CG41" s="270">
        <f>SUMIFS('Monthly Cashflow'!41:41,'Monthly Cashflow'!$3:$3,CG$7)</f>
        <v>0</v>
      </c>
      <c r="CH41" s="270">
        <f>SUMIFS('Monthly Cashflow'!41:41,'Monthly Cashflow'!$3:$3,CH$7)</f>
        <v>0</v>
      </c>
      <c r="CI41" s="270">
        <f>SUMIFS('Monthly Cashflow'!41:41,'Monthly Cashflow'!$3:$3,CI$7)</f>
        <v>-3.1387119227698497</v>
      </c>
      <c r="CJ41" s="270">
        <f>SUMIFS('Monthly Cashflow'!41:41,'Monthly Cashflow'!$3:$3,CJ$7)</f>
        <v>0</v>
      </c>
      <c r="CK41" s="270">
        <f>SUMIFS('Monthly Cashflow'!41:41,'Monthly Cashflow'!$3:$3,CK$7)</f>
        <v>0</v>
      </c>
      <c r="CL41" s="270">
        <f>SUMIFS('Monthly Cashflow'!41:41,'Monthly Cashflow'!$3:$3,CL$7)</f>
        <v>0</v>
      </c>
      <c r="CM41" s="270">
        <f>SUMIFS('Monthly Cashflow'!41:41,'Monthly Cashflow'!$3:$3,CM$7)</f>
        <v>-6.0795196073454152</v>
      </c>
      <c r="CN41" s="270">
        <f>SUMIFS('Monthly Cashflow'!41:41,'Monthly Cashflow'!$3:$3,CN$7)</f>
        <v>0</v>
      </c>
      <c r="CO41" s="270">
        <f>SUMIFS('Monthly Cashflow'!41:41,'Monthly Cashflow'!$3:$3,CO$7)</f>
        <v>0</v>
      </c>
      <c r="CP41" s="270">
        <f>SUMIFS('Monthly Cashflow'!41:41,'Monthly Cashflow'!$3:$3,CP$7)</f>
        <v>-2.5342463384935199</v>
      </c>
      <c r="CQ41" s="270">
        <f>SUMIFS('Monthly Cashflow'!41:41,'Monthly Cashflow'!$3:$3,CQ$7)</f>
        <v>0</v>
      </c>
      <c r="CR41" s="270">
        <f>SUMIFS('Monthly Cashflow'!41:41,'Monthly Cashflow'!$3:$3,CR$7)</f>
        <v>0</v>
      </c>
      <c r="CS41" s="270">
        <f>SUMIFS('Monthly Cashflow'!41:41,'Monthly Cashflow'!$3:$3,CS$7)</f>
        <v>-5.436752398531965</v>
      </c>
      <c r="CT41" s="270">
        <f>SUMIFS('Monthly Cashflow'!41:41,'Monthly Cashflow'!$3:$3,CT$7)</f>
        <v>0</v>
      </c>
      <c r="CU41" s="270">
        <f>SUMIFS('Monthly Cashflow'!41:41,'Monthly Cashflow'!$3:$3,CU$7)</f>
        <v>0</v>
      </c>
      <c r="CV41" s="270">
        <f>SUMIFS('Monthly Cashflow'!41:41,'Monthly Cashflow'!$3:$3,CV$7)</f>
        <v>0</v>
      </c>
      <c r="CW41" s="270">
        <f>SUMIFS('Monthly Cashflow'!41:41,'Monthly Cashflow'!$3:$3,CW$7)</f>
        <v>0</v>
      </c>
      <c r="CX41" s="270">
        <f>SUMIFS('Monthly Cashflow'!41:41,'Monthly Cashflow'!$3:$3,CX$7)</f>
        <v>0</v>
      </c>
    </row>
    <row r="42" spans="1:102" x14ac:dyDescent="0.3">
      <c r="A42" s="302"/>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271"/>
      <c r="AN42" s="271"/>
      <c r="AO42" s="271"/>
      <c r="AP42" s="271"/>
      <c r="AQ42" s="271"/>
      <c r="AR42" s="271"/>
      <c r="AS42" s="271"/>
      <c r="AT42" s="271"/>
      <c r="AU42" s="271"/>
      <c r="AV42" s="271"/>
      <c r="AW42" s="271"/>
      <c r="AX42" s="271"/>
      <c r="AY42" s="271"/>
      <c r="AZ42" s="271"/>
      <c r="BA42" s="271"/>
      <c r="BB42" s="271"/>
      <c r="BC42" s="271"/>
      <c r="BD42" s="271"/>
      <c r="BE42" s="271"/>
      <c r="BF42" s="271"/>
      <c r="BG42" s="271"/>
      <c r="BH42" s="271"/>
      <c r="BI42" s="271"/>
      <c r="BJ42" s="271"/>
      <c r="BK42" s="271"/>
      <c r="BL42" s="271"/>
      <c r="BM42" s="271"/>
      <c r="BN42" s="271"/>
      <c r="BO42" s="271"/>
      <c r="BP42" s="271"/>
      <c r="BQ42" s="271"/>
      <c r="BR42" s="271"/>
      <c r="BS42" s="271"/>
      <c r="BT42" s="271"/>
      <c r="BU42" s="271"/>
      <c r="BV42" s="271"/>
      <c r="BW42" s="271"/>
      <c r="BX42" s="271"/>
      <c r="BY42" s="271"/>
      <c r="BZ42" s="271"/>
      <c r="CA42" s="271"/>
      <c r="CB42" s="271"/>
      <c r="CC42" s="271"/>
      <c r="CD42" s="271"/>
      <c r="CE42" s="271"/>
      <c r="CF42" s="271"/>
      <c r="CG42" s="271"/>
      <c r="CH42" s="271"/>
      <c r="CI42" s="271"/>
      <c r="CJ42" s="271"/>
      <c r="CK42" s="271"/>
      <c r="CL42" s="271"/>
      <c r="CM42" s="271"/>
      <c r="CN42" s="271"/>
      <c r="CO42" s="271"/>
      <c r="CP42" s="271"/>
      <c r="CQ42" s="271"/>
      <c r="CR42" s="271"/>
      <c r="CS42" s="271"/>
      <c r="CT42" s="271"/>
      <c r="CU42" s="271"/>
      <c r="CV42" s="271"/>
      <c r="CW42" s="271"/>
      <c r="CX42" s="271"/>
    </row>
    <row r="43" spans="1:102" x14ac:dyDescent="0.3">
      <c r="A43" s="1" t="s">
        <v>305</v>
      </c>
      <c r="B43" s="272"/>
      <c r="C43" s="33"/>
      <c r="D43" s="33">
        <f ca="1">-D38</f>
        <v>21.263761110233897</v>
      </c>
      <c r="E43" s="33">
        <f t="shared" ref="E43:BP43" ca="1" si="27">-E38</f>
        <v>18.238441962191814</v>
      </c>
      <c r="F43" s="33">
        <f t="shared" ca="1" si="27"/>
        <v>18.719636128118953</v>
      </c>
      <c r="G43" s="33">
        <f t="shared" ca="1" si="27"/>
        <v>19.092783891231292</v>
      </c>
      <c r="H43" s="33">
        <f t="shared" ca="1" si="27"/>
        <v>38.415343408740107</v>
      </c>
      <c r="I43" s="33">
        <f t="shared" ca="1" si="27"/>
        <v>36.305713272848479</v>
      </c>
      <c r="J43" s="33">
        <f t="shared" ca="1" si="27"/>
        <v>37.937908766702513</v>
      </c>
      <c r="K43" s="33">
        <f t="shared" ca="1" si="27"/>
        <v>52.754481513946239</v>
      </c>
      <c r="L43" s="33">
        <f t="shared" ca="1" si="27"/>
        <v>18.071465275356474</v>
      </c>
      <c r="M43" s="33">
        <f t="shared" ca="1" si="27"/>
        <v>18.349748810018816</v>
      </c>
      <c r="N43" s="33">
        <f t="shared" ca="1" si="27"/>
        <v>53.538456098902763</v>
      </c>
      <c r="O43" s="33">
        <f t="shared" ca="1" si="27"/>
        <v>35.563173022835016</v>
      </c>
      <c r="P43" s="33">
        <f t="shared" ca="1" si="27"/>
        <v>36.117804801357401</v>
      </c>
      <c r="Q43" s="33">
        <f t="shared" ca="1" si="27"/>
        <v>42.843850594259209</v>
      </c>
      <c r="R43" s="33">
        <f t="shared" ca="1" si="27"/>
        <v>11.686214511950244</v>
      </c>
      <c r="S43" s="33">
        <f t="shared" ca="1" si="27"/>
        <v>11.840681314425026</v>
      </c>
      <c r="T43" s="33">
        <f t="shared" ca="1" si="27"/>
        <v>13.847003527176444</v>
      </c>
      <c r="U43" s="33">
        <f t="shared" ca="1" si="27"/>
        <v>19.371582719099028</v>
      </c>
      <c r="V43" s="33">
        <f t="shared" si="27"/>
        <v>0</v>
      </c>
      <c r="W43" s="33">
        <f t="shared" si="27"/>
        <v>0</v>
      </c>
      <c r="X43" s="33">
        <f t="shared" si="27"/>
        <v>0</v>
      </c>
      <c r="Y43" s="33">
        <f t="shared" si="27"/>
        <v>0</v>
      </c>
      <c r="Z43" s="33">
        <f t="shared" si="27"/>
        <v>0</v>
      </c>
      <c r="AA43" s="33">
        <f t="shared" si="27"/>
        <v>0</v>
      </c>
      <c r="AB43" s="33">
        <f t="shared" si="27"/>
        <v>0</v>
      </c>
      <c r="AC43" s="33">
        <f t="shared" si="27"/>
        <v>0</v>
      </c>
      <c r="AD43" s="33">
        <f t="shared" si="27"/>
        <v>0</v>
      </c>
      <c r="AE43" s="33">
        <f t="shared" si="27"/>
        <v>0</v>
      </c>
      <c r="AF43" s="33">
        <f t="shared" si="27"/>
        <v>0</v>
      </c>
      <c r="AG43" s="33">
        <f t="shared" si="27"/>
        <v>0</v>
      </c>
      <c r="AH43" s="33">
        <f t="shared" si="27"/>
        <v>0</v>
      </c>
      <c r="AI43" s="33">
        <f t="shared" si="27"/>
        <v>0</v>
      </c>
      <c r="AJ43" s="33">
        <f t="shared" si="27"/>
        <v>0</v>
      </c>
      <c r="AK43" s="33">
        <f t="shared" si="27"/>
        <v>0</v>
      </c>
      <c r="AL43" s="33">
        <f t="shared" si="27"/>
        <v>0</v>
      </c>
      <c r="AM43" s="33">
        <f t="shared" si="27"/>
        <v>0</v>
      </c>
      <c r="AN43" s="33">
        <f t="shared" si="27"/>
        <v>0</v>
      </c>
      <c r="AO43" s="33">
        <f t="shared" si="27"/>
        <v>0</v>
      </c>
      <c r="AP43" s="33">
        <f t="shared" si="27"/>
        <v>0</v>
      </c>
      <c r="AQ43" s="33">
        <f t="shared" si="27"/>
        <v>0</v>
      </c>
      <c r="AR43" s="33">
        <f t="shared" si="27"/>
        <v>0</v>
      </c>
      <c r="AS43" s="33">
        <f t="shared" si="27"/>
        <v>0</v>
      </c>
      <c r="AT43" s="33">
        <f t="shared" si="27"/>
        <v>0</v>
      </c>
      <c r="AU43" s="33">
        <f t="shared" si="27"/>
        <v>0</v>
      </c>
      <c r="AV43" s="33">
        <f t="shared" si="27"/>
        <v>0</v>
      </c>
      <c r="AW43" s="33">
        <f t="shared" si="27"/>
        <v>0</v>
      </c>
      <c r="AX43" s="33">
        <f t="shared" si="27"/>
        <v>0</v>
      </c>
      <c r="AY43" s="33">
        <f t="shared" si="27"/>
        <v>0</v>
      </c>
      <c r="AZ43" s="33">
        <f t="shared" si="27"/>
        <v>0</v>
      </c>
      <c r="BA43" s="33">
        <f t="shared" si="27"/>
        <v>0</v>
      </c>
      <c r="BB43" s="33">
        <f t="shared" si="27"/>
        <v>0</v>
      </c>
      <c r="BC43" s="33">
        <f t="shared" si="27"/>
        <v>0</v>
      </c>
      <c r="BD43" s="33">
        <f t="shared" si="27"/>
        <v>0</v>
      </c>
      <c r="BE43" s="33">
        <f t="shared" si="27"/>
        <v>0</v>
      </c>
      <c r="BF43" s="33">
        <f t="shared" si="27"/>
        <v>0</v>
      </c>
      <c r="BG43" s="33">
        <f t="shared" si="27"/>
        <v>0</v>
      </c>
      <c r="BH43" s="33">
        <f t="shared" si="27"/>
        <v>0</v>
      </c>
      <c r="BI43" s="33">
        <f t="shared" si="27"/>
        <v>0</v>
      </c>
      <c r="BJ43" s="33">
        <f t="shared" si="27"/>
        <v>0</v>
      </c>
      <c r="BK43" s="33">
        <f t="shared" si="27"/>
        <v>0</v>
      </c>
      <c r="BL43" s="33">
        <f t="shared" si="27"/>
        <v>0</v>
      </c>
      <c r="BM43" s="33">
        <f t="shared" si="27"/>
        <v>0</v>
      </c>
      <c r="BN43" s="33">
        <f t="shared" si="27"/>
        <v>0</v>
      </c>
      <c r="BO43" s="33">
        <f t="shared" si="27"/>
        <v>0</v>
      </c>
      <c r="BP43" s="33">
        <f t="shared" si="27"/>
        <v>0</v>
      </c>
      <c r="BQ43" s="33">
        <f t="shared" ref="BQ43:CX43" si="28">-BQ38</f>
        <v>0</v>
      </c>
      <c r="BR43" s="33">
        <f t="shared" si="28"/>
        <v>0</v>
      </c>
      <c r="BS43" s="33">
        <f t="shared" si="28"/>
        <v>0</v>
      </c>
      <c r="BT43" s="33">
        <f t="shared" si="28"/>
        <v>0</v>
      </c>
      <c r="BU43" s="33">
        <f t="shared" si="28"/>
        <v>0</v>
      </c>
      <c r="BV43" s="33">
        <f t="shared" si="28"/>
        <v>0</v>
      </c>
      <c r="BW43" s="33">
        <f t="shared" si="28"/>
        <v>0</v>
      </c>
      <c r="BX43" s="33">
        <f t="shared" si="28"/>
        <v>0</v>
      </c>
      <c r="BY43" s="33">
        <f t="shared" si="28"/>
        <v>0</v>
      </c>
      <c r="BZ43" s="33">
        <f t="shared" si="28"/>
        <v>0</v>
      </c>
      <c r="CA43" s="33">
        <f t="shared" si="28"/>
        <v>0</v>
      </c>
      <c r="CB43" s="33">
        <f t="shared" si="28"/>
        <v>0</v>
      </c>
      <c r="CC43" s="33">
        <f t="shared" si="28"/>
        <v>0</v>
      </c>
      <c r="CD43" s="33">
        <f t="shared" si="28"/>
        <v>0</v>
      </c>
      <c r="CE43" s="33">
        <f t="shared" si="28"/>
        <v>0</v>
      </c>
      <c r="CF43" s="33">
        <f t="shared" si="28"/>
        <v>0</v>
      </c>
      <c r="CG43" s="33">
        <f t="shared" si="28"/>
        <v>0</v>
      </c>
      <c r="CH43" s="33">
        <f t="shared" si="28"/>
        <v>0</v>
      </c>
      <c r="CI43" s="33">
        <f t="shared" si="28"/>
        <v>0</v>
      </c>
      <c r="CJ43" s="33">
        <f t="shared" si="28"/>
        <v>0</v>
      </c>
      <c r="CK43" s="33">
        <f t="shared" si="28"/>
        <v>0</v>
      </c>
      <c r="CL43" s="33">
        <f t="shared" si="28"/>
        <v>0</v>
      </c>
      <c r="CM43" s="33">
        <f t="shared" si="28"/>
        <v>0</v>
      </c>
      <c r="CN43" s="33">
        <f t="shared" si="28"/>
        <v>0</v>
      </c>
      <c r="CO43" s="33">
        <f t="shared" si="28"/>
        <v>0</v>
      </c>
      <c r="CP43" s="33">
        <f t="shared" si="28"/>
        <v>0</v>
      </c>
      <c r="CQ43" s="33">
        <f t="shared" si="28"/>
        <v>0</v>
      </c>
      <c r="CR43" s="33">
        <f t="shared" si="28"/>
        <v>0</v>
      </c>
      <c r="CS43" s="33">
        <f t="shared" si="28"/>
        <v>0</v>
      </c>
      <c r="CT43" s="33">
        <f t="shared" si="28"/>
        <v>0</v>
      </c>
      <c r="CU43" s="33">
        <f t="shared" si="28"/>
        <v>0</v>
      </c>
      <c r="CV43" s="33">
        <f t="shared" si="28"/>
        <v>0</v>
      </c>
      <c r="CW43" s="33">
        <f t="shared" si="28"/>
        <v>0</v>
      </c>
      <c r="CX43" s="33">
        <f t="shared" si="28"/>
        <v>0</v>
      </c>
    </row>
    <row r="44" spans="1:102" hidden="1" x14ac:dyDescent="0.3">
      <c r="A44" s="39" t="s">
        <v>46</v>
      </c>
      <c r="B44" s="272"/>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row>
    <row r="45" spans="1:102" hidden="1" x14ac:dyDescent="0.3">
      <c r="A45" s="39" t="s">
        <v>48</v>
      </c>
      <c r="B45" s="272"/>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row>
    <row r="46" spans="1:102" hidden="1" x14ac:dyDescent="0.3">
      <c r="A46" s="1" t="s">
        <v>32</v>
      </c>
      <c r="B46" s="257">
        <f ca="1">SUM(C46:CX46)</f>
        <v>0</v>
      </c>
      <c r="C46" s="258">
        <f>C110</f>
        <v>0</v>
      </c>
      <c r="D46" s="258">
        <f t="shared" ref="D46:BO46" ca="1" si="29">D110</f>
        <v>21.263761110233901</v>
      </c>
      <c r="E46" s="258">
        <f t="shared" ca="1" si="29"/>
        <v>18.238441962191828</v>
      </c>
      <c r="F46" s="258">
        <f t="shared" ca="1" si="29"/>
        <v>16.595632960037449</v>
      </c>
      <c r="G46" s="258">
        <f t="shared" ca="1" si="29"/>
        <v>12.594206668013598</v>
      </c>
      <c r="H46" s="258">
        <f t="shared" ca="1" si="29"/>
        <v>21.128438874807046</v>
      </c>
      <c r="I46" s="258">
        <f t="shared" ca="1" si="29"/>
        <v>19.968142300066674</v>
      </c>
      <c r="J46" s="258">
        <f t="shared" ca="1" si="29"/>
        <v>20.86584982168641</v>
      </c>
      <c r="K46" s="258">
        <f t="shared" ca="1" si="29"/>
        <v>29.014964832670444</v>
      </c>
      <c r="L46" s="258">
        <f t="shared" ca="1" si="29"/>
        <v>9.9393059014460903</v>
      </c>
      <c r="M46" s="258">
        <f t="shared" ca="1" si="29"/>
        <v>10.092361845510311</v>
      </c>
      <c r="N46" s="258">
        <f t="shared" ca="1" si="29"/>
        <v>29.446150854396478</v>
      </c>
      <c r="O46" s="258">
        <f t="shared" ca="1" si="29"/>
        <v>19.559745162559295</v>
      </c>
      <c r="P46" s="258">
        <f t="shared" ca="1" si="29"/>
        <v>19.864792640746572</v>
      </c>
      <c r="Q46" s="258">
        <f t="shared" ca="1" si="29"/>
        <v>23.564117826842562</v>
      </c>
      <c r="R46" s="258">
        <f t="shared" ca="1" si="29"/>
        <v>6.4274179815725461</v>
      </c>
      <c r="S46" s="258">
        <f t="shared" ca="1" si="29"/>
        <v>6.5123747229337141</v>
      </c>
      <c r="T46" s="258">
        <f t="shared" ca="1" si="29"/>
        <v>7.6158519399469924</v>
      </c>
      <c r="U46" s="258">
        <f t="shared" ca="1" si="29"/>
        <v>7.3088900634766105</v>
      </c>
      <c r="V46" s="258">
        <f t="shared" ca="1" si="29"/>
        <v>0</v>
      </c>
      <c r="W46" s="258">
        <f t="shared" ca="1" si="29"/>
        <v>0</v>
      </c>
      <c r="X46" s="258">
        <f t="shared" ca="1" si="29"/>
        <v>0</v>
      </c>
      <c r="Y46" s="258">
        <f t="shared" ca="1" si="29"/>
        <v>0</v>
      </c>
      <c r="Z46" s="258">
        <f t="shared" ca="1" si="29"/>
        <v>0</v>
      </c>
      <c r="AA46" s="258">
        <f t="shared" ca="1" si="29"/>
        <v>0</v>
      </c>
      <c r="AB46" s="258">
        <f t="shared" ca="1" si="29"/>
        <v>0</v>
      </c>
      <c r="AC46" s="258">
        <f t="shared" ca="1" si="29"/>
        <v>0</v>
      </c>
      <c r="AD46" s="258">
        <f t="shared" ca="1" si="29"/>
        <v>0</v>
      </c>
      <c r="AE46" s="258">
        <f t="shared" ca="1" si="29"/>
        <v>0</v>
      </c>
      <c r="AF46" s="258">
        <f t="shared" ca="1" si="29"/>
        <v>0</v>
      </c>
      <c r="AG46" s="258">
        <f t="shared" ca="1" si="29"/>
        <v>0</v>
      </c>
      <c r="AH46" s="258">
        <f t="shared" ca="1" si="29"/>
        <v>0</v>
      </c>
      <c r="AI46" s="258">
        <f t="shared" ca="1" si="29"/>
        <v>0</v>
      </c>
      <c r="AJ46" s="258">
        <f t="shared" ca="1" si="29"/>
        <v>0</v>
      </c>
      <c r="AK46" s="258">
        <f t="shared" ca="1" si="29"/>
        <v>0</v>
      </c>
      <c r="AL46" s="258">
        <f t="shared" ca="1" si="29"/>
        <v>0</v>
      </c>
      <c r="AM46" s="258">
        <f t="shared" ca="1" si="29"/>
        <v>0</v>
      </c>
      <c r="AN46" s="258">
        <f t="shared" ca="1" si="29"/>
        <v>0</v>
      </c>
      <c r="AO46" s="258">
        <f t="shared" ca="1" si="29"/>
        <v>0</v>
      </c>
      <c r="AP46" s="258">
        <f t="shared" ca="1" si="29"/>
        <v>0</v>
      </c>
      <c r="AQ46" s="258">
        <f t="shared" ca="1" si="29"/>
        <v>0</v>
      </c>
      <c r="AR46" s="258">
        <f t="shared" ca="1" si="29"/>
        <v>0</v>
      </c>
      <c r="AS46" s="258">
        <f t="shared" ca="1" si="29"/>
        <v>0</v>
      </c>
      <c r="AT46" s="258">
        <f t="shared" ca="1" si="29"/>
        <v>0</v>
      </c>
      <c r="AU46" s="258">
        <f t="shared" ca="1" si="29"/>
        <v>0</v>
      </c>
      <c r="AV46" s="258">
        <f t="shared" ca="1" si="29"/>
        <v>0</v>
      </c>
      <c r="AW46" s="258">
        <f t="shared" ca="1" si="29"/>
        <v>0</v>
      </c>
      <c r="AX46" s="258">
        <f t="shared" ca="1" si="29"/>
        <v>0</v>
      </c>
      <c r="AY46" s="258">
        <f t="shared" ca="1" si="29"/>
        <v>0</v>
      </c>
      <c r="AZ46" s="258">
        <f t="shared" ca="1" si="29"/>
        <v>0</v>
      </c>
      <c r="BA46" s="258">
        <f t="shared" ca="1" si="29"/>
        <v>0</v>
      </c>
      <c r="BB46" s="258">
        <f t="shared" ca="1" si="29"/>
        <v>0</v>
      </c>
      <c r="BC46" s="258">
        <f t="shared" ca="1" si="29"/>
        <v>0</v>
      </c>
      <c r="BD46" s="258">
        <f t="shared" ca="1" si="29"/>
        <v>0</v>
      </c>
      <c r="BE46" s="258">
        <f t="shared" ca="1" si="29"/>
        <v>0</v>
      </c>
      <c r="BF46" s="258">
        <f t="shared" ca="1" si="29"/>
        <v>0</v>
      </c>
      <c r="BG46" s="258">
        <f t="shared" ca="1" si="29"/>
        <v>0</v>
      </c>
      <c r="BH46" s="258">
        <f t="shared" ca="1" si="29"/>
        <v>0</v>
      </c>
      <c r="BI46" s="258">
        <f t="shared" ca="1" si="29"/>
        <v>0</v>
      </c>
      <c r="BJ46" s="258">
        <f t="shared" ca="1" si="29"/>
        <v>0</v>
      </c>
      <c r="BK46" s="258">
        <f t="shared" ca="1" si="29"/>
        <v>0</v>
      </c>
      <c r="BL46" s="258">
        <f t="shared" ca="1" si="29"/>
        <v>0</v>
      </c>
      <c r="BM46" s="258">
        <f t="shared" ca="1" si="29"/>
        <v>0</v>
      </c>
      <c r="BN46" s="258">
        <f t="shared" ca="1" si="29"/>
        <v>0</v>
      </c>
      <c r="BO46" s="258">
        <f t="shared" ca="1" si="29"/>
        <v>0</v>
      </c>
      <c r="BP46" s="258">
        <f t="shared" ref="BP46:CX46" ca="1" si="30">BP110</f>
        <v>0</v>
      </c>
      <c r="BQ46" s="258">
        <f t="shared" ca="1" si="30"/>
        <v>0</v>
      </c>
      <c r="BR46" s="258">
        <f t="shared" ca="1" si="30"/>
        <v>0</v>
      </c>
      <c r="BS46" s="258">
        <f t="shared" ca="1" si="30"/>
        <v>0</v>
      </c>
      <c r="BT46" s="258">
        <f t="shared" ca="1" si="30"/>
        <v>0</v>
      </c>
      <c r="BU46" s="258">
        <f t="shared" ca="1" si="30"/>
        <v>0</v>
      </c>
      <c r="BV46" s="258">
        <f t="shared" ca="1" si="30"/>
        <v>0</v>
      </c>
      <c r="BW46" s="258">
        <f t="shared" ca="1" si="30"/>
        <v>0</v>
      </c>
      <c r="BX46" s="258">
        <f t="shared" ca="1" si="30"/>
        <v>0</v>
      </c>
      <c r="BY46" s="258">
        <f t="shared" ca="1" si="30"/>
        <v>0</v>
      </c>
      <c r="BZ46" s="258">
        <f t="shared" ca="1" si="30"/>
        <v>0</v>
      </c>
      <c r="CA46" s="258">
        <f t="shared" ca="1" si="30"/>
        <v>0</v>
      </c>
      <c r="CB46" s="258">
        <f t="shared" ca="1" si="30"/>
        <v>0</v>
      </c>
      <c r="CC46" s="258">
        <f t="shared" ca="1" si="30"/>
        <v>0</v>
      </c>
      <c r="CD46" s="258">
        <f t="shared" ca="1" si="30"/>
        <v>0</v>
      </c>
      <c r="CE46" s="258">
        <f t="shared" ca="1" si="30"/>
        <v>0</v>
      </c>
      <c r="CF46" s="258">
        <f t="shared" ca="1" si="30"/>
        <v>0</v>
      </c>
      <c r="CG46" s="258">
        <f t="shared" ca="1" si="30"/>
        <v>0</v>
      </c>
      <c r="CH46" s="258">
        <f t="shared" ca="1" si="30"/>
        <v>0</v>
      </c>
      <c r="CI46" s="258">
        <f t="shared" ca="1" si="30"/>
        <v>0</v>
      </c>
      <c r="CJ46" s="258">
        <f t="shared" ca="1" si="30"/>
        <v>0</v>
      </c>
      <c r="CK46" s="258">
        <f t="shared" ca="1" si="30"/>
        <v>0</v>
      </c>
      <c r="CL46" s="258">
        <f t="shared" ca="1" si="30"/>
        <v>0</v>
      </c>
      <c r="CM46" s="258">
        <f t="shared" ca="1" si="30"/>
        <v>0</v>
      </c>
      <c r="CN46" s="258">
        <f t="shared" ca="1" si="30"/>
        <v>0</v>
      </c>
      <c r="CO46" s="258">
        <f t="shared" ca="1" si="30"/>
        <v>0</v>
      </c>
      <c r="CP46" s="258">
        <f t="shared" ca="1" si="30"/>
        <v>0</v>
      </c>
      <c r="CQ46" s="258">
        <f t="shared" ca="1" si="30"/>
        <v>0</v>
      </c>
      <c r="CR46" s="258">
        <f t="shared" ca="1" si="30"/>
        <v>0</v>
      </c>
      <c r="CS46" s="258">
        <f t="shared" ca="1" si="30"/>
        <v>0</v>
      </c>
      <c r="CT46" s="258">
        <f t="shared" ca="1" si="30"/>
        <v>0</v>
      </c>
      <c r="CU46" s="258">
        <f t="shared" ca="1" si="30"/>
        <v>-300.00044746913852</v>
      </c>
      <c r="CV46" s="258">
        <f t="shared" si="30"/>
        <v>0</v>
      </c>
      <c r="CW46" s="258">
        <f t="shared" si="30"/>
        <v>0</v>
      </c>
      <c r="CX46" s="258">
        <f t="shared" si="30"/>
        <v>0</v>
      </c>
    </row>
    <row r="47" spans="1:102" hidden="1" x14ac:dyDescent="0.3">
      <c r="A47" s="1" t="s">
        <v>42</v>
      </c>
      <c r="B47" s="257">
        <f>SUM(C47:CX47)</f>
        <v>0</v>
      </c>
      <c r="C47" s="258">
        <f>IFERROR(_xlfn.XLOOKUP(C$7,#REF!,#REF!),0)</f>
        <v>0</v>
      </c>
      <c r="D47" s="258">
        <f>IFERROR(_xlfn.XLOOKUP(D$7,#REF!,#REF!),0)</f>
        <v>0</v>
      </c>
      <c r="E47" s="258">
        <f>IFERROR(_xlfn.XLOOKUP(E$7,#REF!,#REF!),0)</f>
        <v>0</v>
      </c>
      <c r="F47" s="258">
        <f>IFERROR(_xlfn.XLOOKUP(F$7,#REF!,#REF!),0)</f>
        <v>0</v>
      </c>
      <c r="G47" s="258">
        <f>IFERROR(_xlfn.XLOOKUP(G$7,#REF!,#REF!),0)</f>
        <v>0</v>
      </c>
      <c r="H47" s="258">
        <f>IFERROR(_xlfn.XLOOKUP(H$7,#REF!,#REF!),0)</f>
        <v>0</v>
      </c>
      <c r="I47" s="258">
        <f>IFERROR(_xlfn.XLOOKUP(I$7,#REF!,#REF!),0)</f>
        <v>0</v>
      </c>
      <c r="J47" s="258"/>
      <c r="K47" s="258"/>
      <c r="L47" s="258"/>
      <c r="M47" s="258"/>
      <c r="N47" s="258"/>
      <c r="O47" s="258">
        <f>IFERROR(_xlfn.XLOOKUP(O$7,#REF!,#REF!),0)</f>
        <v>0</v>
      </c>
      <c r="P47" s="258">
        <f>IFERROR(_xlfn.XLOOKUP(P$7,#REF!,#REF!),0)</f>
        <v>0</v>
      </c>
      <c r="Q47" s="258">
        <f>IFERROR(_xlfn.XLOOKUP(Q$7,#REF!,#REF!),0)</f>
        <v>0</v>
      </c>
      <c r="R47" s="258">
        <f>IFERROR(_xlfn.XLOOKUP(R$7,#REF!,#REF!),0)</f>
        <v>0</v>
      </c>
      <c r="S47" s="258">
        <f>IFERROR(_xlfn.XLOOKUP(S$7,#REF!,#REF!),0)</f>
        <v>0</v>
      </c>
      <c r="T47" s="258">
        <f>IFERROR(_xlfn.XLOOKUP(T$7,#REF!,#REF!),0)</f>
        <v>0</v>
      </c>
      <c r="U47" s="258">
        <f>IFERROR(_xlfn.XLOOKUP(U$7,#REF!,#REF!),0)</f>
        <v>0</v>
      </c>
      <c r="V47" s="258">
        <f>IFERROR(_xlfn.XLOOKUP(V$7,#REF!,#REF!),0)</f>
        <v>0</v>
      </c>
      <c r="W47" s="258">
        <f>IFERROR(_xlfn.XLOOKUP(W$7,#REF!,#REF!),0)</f>
        <v>0</v>
      </c>
      <c r="X47" s="258">
        <f>IFERROR(_xlfn.XLOOKUP(X$7,#REF!,#REF!),0)</f>
        <v>0</v>
      </c>
      <c r="Y47" s="258">
        <f>IFERROR(_xlfn.XLOOKUP(Y$7,#REF!,#REF!),0)</f>
        <v>0</v>
      </c>
      <c r="Z47" s="258">
        <f>IFERROR(_xlfn.XLOOKUP(Z$7,#REF!,#REF!),0)</f>
        <v>0</v>
      </c>
      <c r="AA47" s="258">
        <f>IFERROR(_xlfn.XLOOKUP(AA$7,#REF!,#REF!),0)</f>
        <v>0</v>
      </c>
      <c r="AB47" s="258">
        <f>IFERROR(_xlfn.XLOOKUP(AB$7,#REF!,#REF!),0)</f>
        <v>0</v>
      </c>
      <c r="AC47" s="258">
        <f>IFERROR(_xlfn.XLOOKUP(AC$7,#REF!,#REF!),0)</f>
        <v>0</v>
      </c>
      <c r="AD47" s="258">
        <f>IFERROR(_xlfn.XLOOKUP(AD$7,#REF!,#REF!),0)</f>
        <v>0</v>
      </c>
      <c r="AE47" s="258">
        <f>IFERROR(_xlfn.XLOOKUP(AE$7,#REF!,#REF!),0)</f>
        <v>0</v>
      </c>
      <c r="AF47" s="258">
        <f>IFERROR(_xlfn.XLOOKUP(AF$7,#REF!,#REF!),0)</f>
        <v>0</v>
      </c>
      <c r="AG47" s="258">
        <f>IFERROR(_xlfn.XLOOKUP(AG$7,#REF!,#REF!),0)</f>
        <v>0</v>
      </c>
      <c r="AH47" s="258">
        <f>IFERROR(_xlfn.XLOOKUP(AH$7,#REF!,#REF!),0)</f>
        <v>0</v>
      </c>
      <c r="AI47" s="258">
        <f>IFERROR(_xlfn.XLOOKUP(AI$7,#REF!,#REF!),0)</f>
        <v>0</v>
      </c>
      <c r="AJ47" s="258">
        <f>IFERROR(_xlfn.XLOOKUP(AJ$7,#REF!,#REF!),0)</f>
        <v>0</v>
      </c>
      <c r="AK47" s="258">
        <f>IFERROR(_xlfn.XLOOKUP(AK$7,#REF!,#REF!),0)</f>
        <v>0</v>
      </c>
      <c r="AL47" s="258">
        <f>IFERROR(_xlfn.XLOOKUP(AL$7,#REF!,#REF!),0)</f>
        <v>0</v>
      </c>
      <c r="AM47" s="258">
        <f>IFERROR(_xlfn.XLOOKUP(AM$7,#REF!,#REF!),0)</f>
        <v>0</v>
      </c>
      <c r="AN47" s="258">
        <f>IFERROR(_xlfn.XLOOKUP(AN$7,#REF!,#REF!),0)</f>
        <v>0</v>
      </c>
      <c r="AO47" s="258">
        <f>IFERROR(_xlfn.XLOOKUP(AO$7,#REF!,#REF!),0)</f>
        <v>0</v>
      </c>
      <c r="AP47" s="258">
        <f>IFERROR(_xlfn.XLOOKUP(AP$7,#REF!,#REF!),0)</f>
        <v>0</v>
      </c>
      <c r="AQ47" s="258">
        <f>IFERROR(_xlfn.XLOOKUP(AQ$7,#REF!,#REF!),0)</f>
        <v>0</v>
      </c>
      <c r="AR47" s="258">
        <f>IFERROR(_xlfn.XLOOKUP(AR$7,#REF!,#REF!),0)</f>
        <v>0</v>
      </c>
      <c r="AS47" s="258">
        <f>IFERROR(_xlfn.XLOOKUP(AS$7,#REF!,#REF!),0)</f>
        <v>0</v>
      </c>
      <c r="AT47" s="258">
        <f>IFERROR(_xlfn.XLOOKUP(AT$7,#REF!,#REF!),0)</f>
        <v>0</v>
      </c>
      <c r="AU47" s="258">
        <f>IFERROR(_xlfn.XLOOKUP(AU$7,#REF!,#REF!),0)</f>
        <v>0</v>
      </c>
      <c r="AV47" s="258">
        <f>IFERROR(_xlfn.XLOOKUP(AV$7,#REF!,#REF!),0)</f>
        <v>0</v>
      </c>
      <c r="AW47" s="258">
        <f>IFERROR(_xlfn.XLOOKUP(AW$7,#REF!,#REF!),0)</f>
        <v>0</v>
      </c>
      <c r="AX47" s="258">
        <f>IFERROR(_xlfn.XLOOKUP(AX$7,#REF!,#REF!),0)</f>
        <v>0</v>
      </c>
      <c r="AY47" s="258">
        <f>IFERROR(_xlfn.XLOOKUP(AY$7,#REF!,#REF!),0)</f>
        <v>0</v>
      </c>
      <c r="AZ47" s="258">
        <f>IFERROR(_xlfn.XLOOKUP(AZ$7,#REF!,#REF!),0)</f>
        <v>0</v>
      </c>
      <c r="BA47" s="258">
        <f>IFERROR(_xlfn.XLOOKUP(BA$7,#REF!,#REF!),0)</f>
        <v>0</v>
      </c>
      <c r="BB47" s="258">
        <f>IFERROR(_xlfn.XLOOKUP(BB$7,#REF!,#REF!),0)</f>
        <v>0</v>
      </c>
      <c r="BC47" s="258">
        <f>IFERROR(_xlfn.XLOOKUP(BC$7,#REF!,#REF!),0)</f>
        <v>0</v>
      </c>
      <c r="BD47" s="258">
        <f>IFERROR(_xlfn.XLOOKUP(BD$7,#REF!,#REF!),0)</f>
        <v>0</v>
      </c>
      <c r="BE47" s="258">
        <f>IFERROR(_xlfn.XLOOKUP(BE$7,#REF!,#REF!),0)</f>
        <v>0</v>
      </c>
      <c r="BF47" s="258">
        <f>IFERROR(_xlfn.XLOOKUP(BF$7,#REF!,#REF!),0)</f>
        <v>0</v>
      </c>
      <c r="BG47" s="258">
        <f>IFERROR(_xlfn.XLOOKUP(BG$7,#REF!,#REF!),0)</f>
        <v>0</v>
      </c>
      <c r="BH47" s="258">
        <f>IFERROR(_xlfn.XLOOKUP(BH$7,#REF!,#REF!),0)</f>
        <v>0</v>
      </c>
      <c r="BI47" s="258">
        <f>IFERROR(_xlfn.XLOOKUP(BI$7,#REF!,#REF!),0)</f>
        <v>0</v>
      </c>
      <c r="BJ47" s="258">
        <f>IFERROR(_xlfn.XLOOKUP(BJ$7,#REF!,#REF!),0)</f>
        <v>0</v>
      </c>
      <c r="BK47" s="258">
        <f>IFERROR(_xlfn.XLOOKUP(BK$7,#REF!,#REF!),0)</f>
        <v>0</v>
      </c>
      <c r="BL47" s="258">
        <f>IFERROR(_xlfn.XLOOKUP(BL$7,#REF!,#REF!),0)</f>
        <v>0</v>
      </c>
      <c r="BM47" s="258">
        <f>IFERROR(_xlfn.XLOOKUP(BM$7,#REF!,#REF!),0)</f>
        <v>0</v>
      </c>
      <c r="BN47" s="258">
        <f>IFERROR(_xlfn.XLOOKUP(BN$7,#REF!,#REF!),0)</f>
        <v>0</v>
      </c>
      <c r="BO47" s="258">
        <f>IFERROR(_xlfn.XLOOKUP(BO$7,#REF!,#REF!),0)</f>
        <v>0</v>
      </c>
      <c r="BP47" s="258">
        <f>IFERROR(_xlfn.XLOOKUP(BP$7,#REF!,#REF!),0)</f>
        <v>0</v>
      </c>
      <c r="BQ47" s="258">
        <f>IFERROR(_xlfn.XLOOKUP(BQ$7,#REF!,#REF!),0)</f>
        <v>0</v>
      </c>
      <c r="BR47" s="258">
        <f>IFERROR(_xlfn.XLOOKUP(BR$7,#REF!,#REF!),0)</f>
        <v>0</v>
      </c>
      <c r="BS47" s="258">
        <f>IFERROR(_xlfn.XLOOKUP(BS$7,#REF!,#REF!),0)</f>
        <v>0</v>
      </c>
      <c r="BT47" s="258">
        <f>IFERROR(_xlfn.XLOOKUP(BT$7,#REF!,#REF!),0)</f>
        <v>0</v>
      </c>
      <c r="BU47" s="258">
        <f>IFERROR(_xlfn.XLOOKUP(BU$7,#REF!,#REF!),0)</f>
        <v>0</v>
      </c>
      <c r="BV47" s="258">
        <f>IFERROR(_xlfn.XLOOKUP(BV$7,#REF!,#REF!),0)</f>
        <v>0</v>
      </c>
      <c r="BW47" s="258">
        <f>IFERROR(_xlfn.XLOOKUP(BW$7,#REF!,#REF!),0)</f>
        <v>0</v>
      </c>
      <c r="BX47" s="258">
        <f>IFERROR(_xlfn.XLOOKUP(BX$7,#REF!,#REF!),0)</f>
        <v>0</v>
      </c>
      <c r="BY47" s="258">
        <f>IFERROR(_xlfn.XLOOKUP(BY$7,#REF!,#REF!),0)</f>
        <v>0</v>
      </c>
      <c r="BZ47" s="258">
        <f>IFERROR(_xlfn.XLOOKUP(BZ$7,#REF!,#REF!),0)</f>
        <v>0</v>
      </c>
      <c r="CA47" s="258">
        <f>IFERROR(_xlfn.XLOOKUP(CA$7,#REF!,#REF!),0)</f>
        <v>0</v>
      </c>
      <c r="CB47" s="258">
        <f>IFERROR(_xlfn.XLOOKUP(CB$7,#REF!,#REF!),0)</f>
        <v>0</v>
      </c>
      <c r="CC47" s="258">
        <f>IFERROR(_xlfn.XLOOKUP(CC$7,#REF!,#REF!),0)</f>
        <v>0</v>
      </c>
      <c r="CD47" s="258">
        <f>IFERROR(_xlfn.XLOOKUP(CD$7,#REF!,#REF!),0)</f>
        <v>0</v>
      </c>
      <c r="CE47" s="258">
        <f>IFERROR(_xlfn.XLOOKUP(CE$7,#REF!,#REF!),0)</f>
        <v>0</v>
      </c>
      <c r="CF47" s="258">
        <f>IFERROR(_xlfn.XLOOKUP(CF$7,#REF!,#REF!),0)</f>
        <v>0</v>
      </c>
      <c r="CG47" s="258">
        <f>IFERROR(_xlfn.XLOOKUP(CG$7,#REF!,#REF!),0)</f>
        <v>0</v>
      </c>
      <c r="CH47" s="258">
        <f>IFERROR(_xlfn.XLOOKUP(CH$7,#REF!,#REF!),0)</f>
        <v>0</v>
      </c>
      <c r="CI47" s="258">
        <f>IFERROR(_xlfn.XLOOKUP(CI$7,#REF!,#REF!),0)</f>
        <v>0</v>
      </c>
      <c r="CJ47" s="258">
        <f>IFERROR(_xlfn.XLOOKUP(CJ$7,#REF!,#REF!),0)</f>
        <v>0</v>
      </c>
      <c r="CK47" s="258">
        <f>IFERROR(_xlfn.XLOOKUP(CK$7,#REF!,#REF!),0)</f>
        <v>0</v>
      </c>
      <c r="CL47" s="258">
        <f>IFERROR(_xlfn.XLOOKUP(CL$7,#REF!,#REF!),0)</f>
        <v>0</v>
      </c>
      <c r="CM47" s="258">
        <f>IFERROR(_xlfn.XLOOKUP(CM$7,#REF!,#REF!),0)</f>
        <v>0</v>
      </c>
      <c r="CN47" s="258">
        <f>IFERROR(_xlfn.XLOOKUP(CN$7,#REF!,#REF!),0)</f>
        <v>0</v>
      </c>
      <c r="CO47" s="258">
        <f>IFERROR(_xlfn.XLOOKUP(CO$7,#REF!,#REF!),0)</f>
        <v>0</v>
      </c>
      <c r="CP47" s="258">
        <f>IFERROR(_xlfn.XLOOKUP(CP$7,#REF!,#REF!),0)</f>
        <v>0</v>
      </c>
      <c r="CQ47" s="258">
        <f>IFERROR(_xlfn.XLOOKUP(CQ$7,#REF!,#REF!),0)</f>
        <v>0</v>
      </c>
      <c r="CR47" s="258">
        <f>IFERROR(_xlfn.XLOOKUP(CR$7,#REF!,#REF!),0)</f>
        <v>0</v>
      </c>
      <c r="CS47" s="258">
        <f>IFERROR(_xlfn.XLOOKUP(CS$7,#REF!,#REF!),0)</f>
        <v>0</v>
      </c>
      <c r="CT47" s="258">
        <f>IFERROR(_xlfn.XLOOKUP(CT$7,#REF!,#REF!),0)</f>
        <v>0</v>
      </c>
      <c r="CU47" s="258">
        <f>IFERROR(_xlfn.XLOOKUP(CU$7,#REF!,#REF!),0)</f>
        <v>0</v>
      </c>
      <c r="CV47" s="258">
        <f>IFERROR(_xlfn.XLOOKUP(CV$7,#REF!,#REF!),0)</f>
        <v>0</v>
      </c>
      <c r="CW47" s="258">
        <f>IFERROR(_xlfn.XLOOKUP(CW$7,#REF!,#REF!),0)</f>
        <v>0</v>
      </c>
      <c r="CX47" s="258">
        <f>IFERROR(_xlfn.XLOOKUP(CX$7,#REF!,#REF!),0)</f>
        <v>0</v>
      </c>
    </row>
    <row r="48" spans="1:102" hidden="1" x14ac:dyDescent="0.3">
      <c r="A48" s="39" t="s">
        <v>49</v>
      </c>
      <c r="B48" s="257"/>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row>
    <row r="49" spans="1:102" hidden="1" x14ac:dyDescent="0.3">
      <c r="A49" s="1" t="s">
        <v>47</v>
      </c>
      <c r="B49" s="257">
        <f ca="1">SUM(C49:CX49)</f>
        <v>-300.00044746913846</v>
      </c>
      <c r="C49" s="258">
        <f>IFERROR(_xlfn.XLOOKUP(C$7,'CF_Debt Schedule'!$16:$16,'CF_Debt Schedule'!27:27),0)</f>
        <v>0</v>
      </c>
      <c r="D49" s="258">
        <f>IFERROR(_xlfn.XLOOKUP(D$7,'CF_Debt Schedule'!$16:$16,'CF_Debt Schedule'!27:27),0)</f>
        <v>0</v>
      </c>
      <c r="E49" s="258">
        <f>IFERROR(_xlfn.XLOOKUP(E$7,'CF_Debt Schedule'!$16:$16,'CF_Debt Schedule'!27:27),0)</f>
        <v>0</v>
      </c>
      <c r="F49" s="258">
        <f>IFERROR(_xlfn.XLOOKUP(F$7,'CF_Debt Schedule'!$16:$16,'CF_Debt Schedule'!27:27),0)</f>
        <v>0</v>
      </c>
      <c r="G49" s="258">
        <f>IFERROR(_xlfn.XLOOKUP(G$7,'CF_Debt Schedule'!$16:$16,'CF_Debt Schedule'!27:27),0)</f>
        <v>0</v>
      </c>
      <c r="H49" s="258">
        <f>IFERROR(_xlfn.XLOOKUP(H$7,'CF_Debt Schedule'!$16:$16,'CF_Debt Schedule'!27:27),0)</f>
        <v>0</v>
      </c>
      <c r="I49" s="258">
        <f>IFERROR(_xlfn.XLOOKUP(I$7,'CF_Debt Schedule'!$16:$16,'CF_Debt Schedule'!27:27),0)</f>
        <v>0</v>
      </c>
      <c r="J49" s="258"/>
      <c r="K49" s="258"/>
      <c r="L49" s="258"/>
      <c r="M49" s="258"/>
      <c r="N49" s="258"/>
      <c r="O49" s="258">
        <f>IFERROR(_xlfn.XLOOKUP(O$7,'CF_Debt Schedule'!$16:$16,'CF_Debt Schedule'!27:27),0)</f>
        <v>0</v>
      </c>
      <c r="P49" s="258">
        <f>IFERROR(_xlfn.XLOOKUP(P$7,'CF_Debt Schedule'!$16:$16,'CF_Debt Schedule'!27:27),0)</f>
        <v>0</v>
      </c>
      <c r="Q49" s="258">
        <f>IFERROR(_xlfn.XLOOKUP(Q$7,'CF_Debt Schedule'!$16:$16,'CF_Debt Schedule'!27:27),0)</f>
        <v>0</v>
      </c>
      <c r="R49" s="258">
        <f>IFERROR(_xlfn.XLOOKUP(R$7,'CF_Debt Schedule'!$16:$16,'CF_Debt Schedule'!27:27),0)</f>
        <v>0</v>
      </c>
      <c r="S49" s="258">
        <f>IFERROR(_xlfn.XLOOKUP(S$7,'CF_Debt Schedule'!$16:$16,'CF_Debt Schedule'!27:27),0)</f>
        <v>0</v>
      </c>
      <c r="T49" s="258">
        <f>IFERROR(_xlfn.XLOOKUP(T$7,'CF_Debt Schedule'!$16:$16,'CF_Debt Schedule'!27:27),0)</f>
        <v>0</v>
      </c>
      <c r="U49" s="258">
        <f>IFERROR(_xlfn.XLOOKUP(U$7,'CF_Debt Schedule'!$16:$16,'CF_Debt Schedule'!27:27),0)</f>
        <v>0</v>
      </c>
      <c r="V49" s="258">
        <f>IFERROR(_xlfn.XLOOKUP(V$7,'CF_Debt Schedule'!$16:$16,'CF_Debt Schedule'!27:27),0)</f>
        <v>0</v>
      </c>
      <c r="W49" s="258">
        <f ca="1">IFERROR(_xlfn.XLOOKUP(W$7,'CF_Debt Schedule'!$16:$16,'CF_Debt Schedule'!27:27),0)</f>
        <v>-300.00044746913852</v>
      </c>
      <c r="X49" s="258">
        <f ca="1">IFERROR(_xlfn.XLOOKUP(X$7,'CF_Debt Schedule'!$16:$16,'CF_Debt Schedule'!27:27),0)</f>
        <v>0</v>
      </c>
      <c r="Y49" s="258">
        <f ca="1">IFERROR(_xlfn.XLOOKUP(Y$7,'CF_Debt Schedule'!$16:$16,'CF_Debt Schedule'!27:27),0)</f>
        <v>0</v>
      </c>
      <c r="Z49" s="258">
        <f ca="1">IFERROR(_xlfn.XLOOKUP(Z$7,'CF_Debt Schedule'!$16:$16,'CF_Debt Schedule'!27:27),0)</f>
        <v>0</v>
      </c>
      <c r="AA49" s="258">
        <f ca="1">IFERROR(_xlfn.XLOOKUP(AA$7,'CF_Debt Schedule'!$16:$16,'CF_Debt Schedule'!27:27),0)</f>
        <v>0</v>
      </c>
      <c r="AB49" s="258">
        <f ca="1">IFERROR(_xlfn.XLOOKUP(AB$7,'CF_Debt Schedule'!$16:$16,'CF_Debt Schedule'!27:27),0)</f>
        <v>0</v>
      </c>
      <c r="AC49" s="258">
        <f ca="1">IFERROR(_xlfn.XLOOKUP(AC$7,'CF_Debt Schedule'!$16:$16,'CF_Debt Schedule'!27:27),0)</f>
        <v>0</v>
      </c>
      <c r="AD49" s="258">
        <f ca="1">IFERROR(_xlfn.XLOOKUP(AD$7,'CF_Debt Schedule'!$16:$16,'CF_Debt Schedule'!27:27),0)</f>
        <v>0</v>
      </c>
      <c r="AE49" s="258">
        <f ca="1">IFERROR(_xlfn.XLOOKUP(AE$7,'CF_Debt Schedule'!$16:$16,'CF_Debt Schedule'!27:27),0)</f>
        <v>0</v>
      </c>
      <c r="AF49" s="258">
        <f ca="1">IFERROR(_xlfn.XLOOKUP(AF$7,'CF_Debt Schedule'!$16:$16,'CF_Debt Schedule'!27:27),0)</f>
        <v>0</v>
      </c>
      <c r="AG49" s="258">
        <f ca="1">IFERROR(_xlfn.XLOOKUP(AG$7,'CF_Debt Schedule'!$16:$16,'CF_Debt Schedule'!27:27),0)</f>
        <v>0</v>
      </c>
      <c r="AH49" s="258">
        <f ca="1">IFERROR(_xlfn.XLOOKUP(AH$7,'CF_Debt Schedule'!$16:$16,'CF_Debt Schedule'!27:27),0)</f>
        <v>0</v>
      </c>
      <c r="AI49" s="258">
        <f ca="1">IFERROR(_xlfn.XLOOKUP(AI$7,'CF_Debt Schedule'!$16:$16,'CF_Debt Schedule'!27:27),0)</f>
        <v>0</v>
      </c>
      <c r="AJ49" s="258">
        <f ca="1">IFERROR(_xlfn.XLOOKUP(AJ$7,'CF_Debt Schedule'!$16:$16,'CF_Debt Schedule'!27:27),0)</f>
        <v>0</v>
      </c>
      <c r="AK49" s="258">
        <f ca="1">IFERROR(_xlfn.XLOOKUP(AK$7,'CF_Debt Schedule'!$16:$16,'CF_Debt Schedule'!27:27),0)</f>
        <v>0</v>
      </c>
      <c r="AL49" s="258">
        <f ca="1">IFERROR(_xlfn.XLOOKUP(AL$7,'CF_Debt Schedule'!$16:$16,'CF_Debt Schedule'!27:27),0)</f>
        <v>0</v>
      </c>
      <c r="AM49" s="258">
        <f ca="1">IFERROR(_xlfn.XLOOKUP(AM$7,'CF_Debt Schedule'!$16:$16,'CF_Debt Schedule'!27:27),0)</f>
        <v>0</v>
      </c>
      <c r="AN49" s="258">
        <f ca="1">IFERROR(_xlfn.XLOOKUP(AN$7,'CF_Debt Schedule'!$16:$16,'CF_Debt Schedule'!27:27),0)</f>
        <v>0</v>
      </c>
      <c r="AO49" s="258">
        <f ca="1">IFERROR(_xlfn.XLOOKUP(AO$7,'CF_Debt Schedule'!$16:$16,'CF_Debt Schedule'!27:27),0)</f>
        <v>0</v>
      </c>
      <c r="AP49" s="258">
        <f ca="1">IFERROR(_xlfn.XLOOKUP(AP$7,'CF_Debt Schedule'!$16:$16,'CF_Debt Schedule'!27:27),0)</f>
        <v>0</v>
      </c>
      <c r="AQ49" s="258">
        <f ca="1">IFERROR(_xlfn.XLOOKUP(AQ$7,'CF_Debt Schedule'!$16:$16,'CF_Debt Schedule'!27:27),0)</f>
        <v>0</v>
      </c>
      <c r="AR49" s="258">
        <f ca="1">IFERROR(_xlfn.XLOOKUP(AR$7,'CF_Debt Schedule'!$16:$16,'CF_Debt Schedule'!27:27),0)</f>
        <v>0</v>
      </c>
      <c r="AS49" s="258">
        <f ca="1">IFERROR(_xlfn.XLOOKUP(AS$7,'CF_Debt Schedule'!$16:$16,'CF_Debt Schedule'!27:27),0)</f>
        <v>0</v>
      </c>
      <c r="AT49" s="258">
        <f ca="1">IFERROR(_xlfn.XLOOKUP(AT$7,'CF_Debt Schedule'!$16:$16,'CF_Debt Schedule'!27:27),0)</f>
        <v>0</v>
      </c>
      <c r="AU49" s="258">
        <f>IFERROR(_xlfn.XLOOKUP(AU$7,'CF_Debt Schedule'!$16:$16,'CF_Debt Schedule'!27:27),0)</f>
        <v>0</v>
      </c>
      <c r="AV49" s="258">
        <f>IFERROR(_xlfn.XLOOKUP(AV$7,'CF_Debt Schedule'!$16:$16,'CF_Debt Schedule'!27:27),0)</f>
        <v>0</v>
      </c>
      <c r="AW49" s="258">
        <f>IFERROR(_xlfn.XLOOKUP(AW$7,'CF_Debt Schedule'!$16:$16,'CF_Debt Schedule'!27:27),0)</f>
        <v>0</v>
      </c>
      <c r="AX49" s="258">
        <f>IFERROR(_xlfn.XLOOKUP(AX$7,'CF_Debt Schedule'!$16:$16,'CF_Debt Schedule'!27:27),0)</f>
        <v>0</v>
      </c>
      <c r="AY49" s="258">
        <f>IFERROR(_xlfn.XLOOKUP(AY$7,'CF_Debt Schedule'!$16:$16,'CF_Debt Schedule'!27:27),0)</f>
        <v>0</v>
      </c>
      <c r="AZ49" s="258">
        <f>IFERROR(_xlfn.XLOOKUP(AZ$7,'CF_Debt Schedule'!$16:$16,'CF_Debt Schedule'!27:27),0)</f>
        <v>0</v>
      </c>
      <c r="BA49" s="258">
        <f>IFERROR(_xlfn.XLOOKUP(BA$7,'CF_Debt Schedule'!$16:$16,'CF_Debt Schedule'!27:27),0)</f>
        <v>0</v>
      </c>
      <c r="BB49" s="258">
        <f>IFERROR(_xlfn.XLOOKUP(BB$7,'CF_Debt Schedule'!$16:$16,'CF_Debt Schedule'!27:27),0)</f>
        <v>0</v>
      </c>
      <c r="BC49" s="258">
        <f>IFERROR(_xlfn.XLOOKUP(BC$7,'CF_Debt Schedule'!$16:$16,'CF_Debt Schedule'!27:27),0)</f>
        <v>0</v>
      </c>
      <c r="BD49" s="258">
        <f>IFERROR(_xlfn.XLOOKUP(BD$7,'CF_Debt Schedule'!$16:$16,'CF_Debt Schedule'!27:27),0)</f>
        <v>0</v>
      </c>
      <c r="BE49" s="258">
        <f>IFERROR(_xlfn.XLOOKUP(BE$7,'CF_Debt Schedule'!$16:$16,'CF_Debt Schedule'!27:27),0)</f>
        <v>0</v>
      </c>
      <c r="BF49" s="258">
        <f>IFERROR(_xlfn.XLOOKUP(BF$7,'CF_Debt Schedule'!$16:$16,'CF_Debt Schedule'!27:27),0)</f>
        <v>0</v>
      </c>
      <c r="BG49" s="258">
        <f>IFERROR(_xlfn.XLOOKUP(BG$7,'CF_Debt Schedule'!$16:$16,'CF_Debt Schedule'!27:27),0)</f>
        <v>0</v>
      </c>
      <c r="BH49" s="258">
        <f>IFERROR(_xlfn.XLOOKUP(BH$7,'CF_Debt Schedule'!$16:$16,'CF_Debt Schedule'!27:27),0)</f>
        <v>0</v>
      </c>
      <c r="BI49" s="258">
        <f>IFERROR(_xlfn.XLOOKUP(BI$7,'CF_Debt Schedule'!$16:$16,'CF_Debt Schedule'!27:27),0)</f>
        <v>0</v>
      </c>
      <c r="BJ49" s="258">
        <f>IFERROR(_xlfn.XLOOKUP(BJ$7,'CF_Debt Schedule'!$16:$16,'CF_Debt Schedule'!27:27),0)</f>
        <v>0</v>
      </c>
      <c r="BK49" s="258">
        <f>IFERROR(_xlfn.XLOOKUP(BK$7,'CF_Debt Schedule'!$16:$16,'CF_Debt Schedule'!27:27),0)</f>
        <v>0</v>
      </c>
      <c r="BL49" s="258">
        <f>IFERROR(_xlfn.XLOOKUP(BL$7,'CF_Debt Schedule'!$16:$16,'CF_Debt Schedule'!27:27),0)</f>
        <v>0</v>
      </c>
      <c r="BM49" s="258">
        <f>IFERROR(_xlfn.XLOOKUP(BM$7,'CF_Debt Schedule'!$16:$16,'CF_Debt Schedule'!27:27),0)</f>
        <v>0</v>
      </c>
      <c r="BN49" s="258">
        <f>IFERROR(_xlfn.XLOOKUP(BN$7,'CF_Debt Schedule'!$16:$16,'CF_Debt Schedule'!27:27),0)</f>
        <v>0</v>
      </c>
      <c r="BO49" s="258">
        <f>IFERROR(_xlfn.XLOOKUP(BO$7,'CF_Debt Schedule'!$16:$16,'CF_Debt Schedule'!27:27),0)</f>
        <v>0</v>
      </c>
      <c r="BP49" s="258">
        <f>IFERROR(_xlfn.XLOOKUP(BP$7,'CF_Debt Schedule'!$16:$16,'CF_Debt Schedule'!27:27),0)</f>
        <v>0</v>
      </c>
      <c r="BQ49" s="258">
        <f>IFERROR(_xlfn.XLOOKUP(BQ$7,'CF_Debt Schedule'!$16:$16,'CF_Debt Schedule'!27:27),0)</f>
        <v>0</v>
      </c>
      <c r="BR49" s="258">
        <f>IFERROR(_xlfn.XLOOKUP(BR$7,'CF_Debt Schedule'!$16:$16,'CF_Debt Schedule'!27:27),0)</f>
        <v>0</v>
      </c>
      <c r="BS49" s="258">
        <f>IFERROR(_xlfn.XLOOKUP(BS$7,'CF_Debt Schedule'!$16:$16,'CF_Debt Schedule'!27:27),0)</f>
        <v>0</v>
      </c>
      <c r="BT49" s="258">
        <f>IFERROR(_xlfn.XLOOKUP(BT$7,'CF_Debt Schedule'!$16:$16,'CF_Debt Schedule'!27:27),0)</f>
        <v>0</v>
      </c>
      <c r="BU49" s="258">
        <f>IFERROR(_xlfn.XLOOKUP(BU$7,'CF_Debt Schedule'!$16:$16,'CF_Debt Schedule'!27:27),0)</f>
        <v>0</v>
      </c>
      <c r="BV49" s="258">
        <f>IFERROR(_xlfn.XLOOKUP(BV$7,'CF_Debt Schedule'!$16:$16,'CF_Debt Schedule'!27:27),0)</f>
        <v>0</v>
      </c>
      <c r="BW49" s="258">
        <f>IFERROR(_xlfn.XLOOKUP(BW$7,'CF_Debt Schedule'!$16:$16,'CF_Debt Schedule'!27:27),0)</f>
        <v>0</v>
      </c>
      <c r="BX49" s="258">
        <f>IFERROR(_xlfn.XLOOKUP(BX$7,'CF_Debt Schedule'!$16:$16,'CF_Debt Schedule'!27:27),0)</f>
        <v>0</v>
      </c>
      <c r="BY49" s="258">
        <f>IFERROR(_xlfn.XLOOKUP(BY$7,'CF_Debt Schedule'!$16:$16,'CF_Debt Schedule'!27:27),0)</f>
        <v>0</v>
      </c>
      <c r="BZ49" s="258">
        <f>IFERROR(_xlfn.XLOOKUP(BZ$7,'CF_Debt Schedule'!$16:$16,'CF_Debt Schedule'!27:27),0)</f>
        <v>0</v>
      </c>
      <c r="CA49" s="258">
        <f>IFERROR(_xlfn.XLOOKUP(CA$7,'CF_Debt Schedule'!$16:$16,'CF_Debt Schedule'!27:27),0)</f>
        <v>0</v>
      </c>
      <c r="CB49" s="258">
        <f>IFERROR(_xlfn.XLOOKUP(CB$7,'CF_Debt Schedule'!$16:$16,'CF_Debt Schedule'!27:27),0)</f>
        <v>0</v>
      </c>
      <c r="CC49" s="258">
        <f>IFERROR(_xlfn.XLOOKUP(CC$7,'CF_Debt Schedule'!$16:$16,'CF_Debt Schedule'!27:27),0)</f>
        <v>0</v>
      </c>
      <c r="CD49" s="258">
        <f>IFERROR(_xlfn.XLOOKUP(CD$7,'CF_Debt Schedule'!$16:$16,'CF_Debt Schedule'!27:27),0)</f>
        <v>0</v>
      </c>
      <c r="CE49" s="258">
        <f>IFERROR(_xlfn.XLOOKUP(CE$7,'CF_Debt Schedule'!$16:$16,'CF_Debt Schedule'!27:27),0)</f>
        <v>0</v>
      </c>
      <c r="CF49" s="258">
        <f>IFERROR(_xlfn.XLOOKUP(CF$7,'CF_Debt Schedule'!$16:$16,'CF_Debt Schedule'!27:27),0)</f>
        <v>0</v>
      </c>
      <c r="CG49" s="258">
        <f>IFERROR(_xlfn.XLOOKUP(CG$7,'CF_Debt Schedule'!$16:$16,'CF_Debt Schedule'!27:27),0)</f>
        <v>0</v>
      </c>
      <c r="CH49" s="258">
        <f>IFERROR(_xlfn.XLOOKUP(CH$7,'CF_Debt Schedule'!$16:$16,'CF_Debt Schedule'!27:27),0)</f>
        <v>0</v>
      </c>
      <c r="CI49" s="258">
        <f>IFERROR(_xlfn.XLOOKUP(CI$7,'CF_Debt Schedule'!$16:$16,'CF_Debt Schedule'!27:27),0)</f>
        <v>0</v>
      </c>
      <c r="CJ49" s="258">
        <f>IFERROR(_xlfn.XLOOKUP(CJ$7,'CF_Debt Schedule'!$16:$16,'CF_Debt Schedule'!27:27),0)</f>
        <v>0</v>
      </c>
      <c r="CK49" s="258">
        <f>IFERROR(_xlfn.XLOOKUP(CK$7,'CF_Debt Schedule'!$16:$16,'CF_Debt Schedule'!27:27),0)</f>
        <v>0</v>
      </c>
      <c r="CL49" s="258">
        <f>IFERROR(_xlfn.XLOOKUP(CL$7,'CF_Debt Schedule'!$16:$16,'CF_Debt Schedule'!27:27),0)</f>
        <v>0</v>
      </c>
      <c r="CM49" s="258">
        <f>IFERROR(_xlfn.XLOOKUP(CM$7,'CF_Debt Schedule'!$16:$16,'CF_Debt Schedule'!27:27),0)</f>
        <v>0</v>
      </c>
      <c r="CN49" s="258">
        <f>IFERROR(_xlfn.XLOOKUP(CN$7,'CF_Debt Schedule'!$16:$16,'CF_Debt Schedule'!27:27),0)</f>
        <v>0</v>
      </c>
      <c r="CO49" s="258">
        <f>IFERROR(_xlfn.XLOOKUP(CO$7,'CF_Debt Schedule'!$16:$16,'CF_Debt Schedule'!27:27),0)</f>
        <v>0</v>
      </c>
      <c r="CP49" s="258">
        <f>IFERROR(_xlfn.XLOOKUP(CP$7,'CF_Debt Schedule'!$16:$16,'CF_Debt Schedule'!27:27),0)</f>
        <v>0</v>
      </c>
      <c r="CQ49" s="258">
        <f>IFERROR(_xlfn.XLOOKUP(CQ$7,'CF_Debt Schedule'!$16:$16,'CF_Debt Schedule'!27:27),0)</f>
        <v>0</v>
      </c>
      <c r="CR49" s="258">
        <f>IFERROR(_xlfn.XLOOKUP(CR$7,'CF_Debt Schedule'!$16:$16,'CF_Debt Schedule'!27:27),0)</f>
        <v>0</v>
      </c>
      <c r="CS49" s="258">
        <f>IFERROR(_xlfn.XLOOKUP(CS$7,'CF_Debt Schedule'!$16:$16,'CF_Debt Schedule'!27:27),0)</f>
        <v>0</v>
      </c>
      <c r="CT49" s="258">
        <f>IFERROR(_xlfn.XLOOKUP(CT$7,'CF_Debt Schedule'!$16:$16,'CF_Debt Schedule'!27:27),0)</f>
        <v>0</v>
      </c>
      <c r="CU49" s="258">
        <f>IFERROR(_xlfn.XLOOKUP(CU$7,'CF_Debt Schedule'!$16:$16,'CF_Debt Schedule'!27:27),0)</f>
        <v>0</v>
      </c>
      <c r="CV49" s="258">
        <f>IFERROR(_xlfn.XLOOKUP(CV$7,'CF_Debt Schedule'!$16:$16,'CF_Debt Schedule'!27:27),0)</f>
        <v>0</v>
      </c>
      <c r="CW49" s="258">
        <f>IFERROR(_xlfn.XLOOKUP(CW$7,'CF_Debt Schedule'!$16:$16,'CF_Debt Schedule'!27:27),0)</f>
        <v>0</v>
      </c>
      <c r="CX49" s="258">
        <f>IFERROR(_xlfn.XLOOKUP(CX$7,'CF_Debt Schedule'!$16:$16,'CF_Debt Schedule'!27:27),0)</f>
        <v>0</v>
      </c>
    </row>
    <row r="50" spans="1:102" hidden="1" x14ac:dyDescent="0.3">
      <c r="B50" s="39"/>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row>
    <row r="51" spans="1:102" hidden="1" x14ac:dyDescent="0.3">
      <c r="B51" s="39"/>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row>
    <row r="52" spans="1:102" hidden="1" x14ac:dyDescent="0.3">
      <c r="D52" s="46"/>
      <c r="E52" s="46"/>
      <c r="F52" s="46"/>
      <c r="G52" s="46"/>
      <c r="H52" s="46"/>
      <c r="I52" s="46"/>
      <c r="J52" s="46"/>
      <c r="K52" s="273"/>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row>
    <row r="53" spans="1:102" hidden="1" x14ac:dyDescent="0.3">
      <c r="A53" s="39" t="s">
        <v>43</v>
      </c>
    </row>
    <row r="54" spans="1:102" hidden="1" x14ac:dyDescent="0.3">
      <c r="A54" s="39" t="s">
        <v>50</v>
      </c>
      <c r="B54" s="272">
        <f>SUM(C54:CX54)</f>
        <v>-47.58</v>
      </c>
      <c r="C54" s="33">
        <f>SUM(C37,C41:C42,C46:C47,C49:C49)</f>
        <v>-47.58</v>
      </c>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row>
    <row r="55" spans="1:102" hidden="1" x14ac:dyDescent="0.3">
      <c r="A55" s="39" t="s">
        <v>253</v>
      </c>
      <c r="B55" s="272">
        <f>SUM(C55:CX55)</f>
        <v>47.58</v>
      </c>
      <c r="C55" s="33">
        <f>MIN(0,C54)*-1</f>
        <v>47.58</v>
      </c>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row>
    <row r="56" spans="1:102" hidden="1" x14ac:dyDescent="0.3">
      <c r="A56" s="39"/>
      <c r="B56" s="27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row>
    <row r="57" spans="1:102" hidden="1" x14ac:dyDescent="0.3">
      <c r="A57" s="39" t="s">
        <v>45</v>
      </c>
      <c r="B57" s="272"/>
      <c r="C57" s="33">
        <v>0</v>
      </c>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row>
    <row r="58" spans="1:102" hidden="1" x14ac:dyDescent="0.3">
      <c r="A58" s="39" t="s">
        <v>159</v>
      </c>
      <c r="B58" s="275">
        <f>MIN(C58:CX58)</f>
        <v>-47.58</v>
      </c>
      <c r="C58" s="33">
        <f t="shared" ref="C58" si="31">C57+C54</f>
        <v>-47.58</v>
      </c>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row>
    <row r="59" spans="1:102" x14ac:dyDescent="0.3">
      <c r="A59" s="39"/>
      <c r="B59" s="274"/>
      <c r="C59" s="33">
        <f>B62</f>
        <v>47.58</v>
      </c>
      <c r="D59" s="33">
        <f t="shared" ref="D59:AI59" ca="1" si="32">C59+D43</f>
        <v>68.843761110233899</v>
      </c>
      <c r="E59" s="33">
        <f t="shared" ca="1" si="32"/>
        <v>87.082203072425713</v>
      </c>
      <c r="F59" s="33">
        <f t="shared" ca="1" si="32"/>
        <v>105.80183920054466</v>
      </c>
      <c r="G59" s="33">
        <f t="shared" ca="1" si="32"/>
        <v>124.89462309177596</v>
      </c>
      <c r="H59" s="33">
        <f t="shared" ca="1" si="32"/>
        <v>163.30996650051605</v>
      </c>
      <c r="I59" s="33">
        <f t="shared" ca="1" si="32"/>
        <v>199.61567977336455</v>
      </c>
      <c r="J59" s="33">
        <f t="shared" ca="1" si="32"/>
        <v>237.55358854006707</v>
      </c>
      <c r="K59" s="33">
        <f t="shared" ca="1" si="32"/>
        <v>290.30807005401329</v>
      </c>
      <c r="L59" s="33">
        <f t="shared" ca="1" si="32"/>
        <v>308.37953532936979</v>
      </c>
      <c r="M59" s="33">
        <f t="shared" ca="1" si="32"/>
        <v>326.7292841393886</v>
      </c>
      <c r="N59" s="33">
        <f t="shared" ca="1" si="32"/>
        <v>380.26774023829137</v>
      </c>
      <c r="O59" s="33">
        <f t="shared" ca="1" si="32"/>
        <v>415.8309132611264</v>
      </c>
      <c r="P59" s="33">
        <f t="shared" ca="1" si="32"/>
        <v>451.94871806248381</v>
      </c>
      <c r="Q59" s="33">
        <f t="shared" ca="1" si="32"/>
        <v>494.79256865674301</v>
      </c>
      <c r="R59" s="33">
        <f t="shared" ca="1" si="32"/>
        <v>506.47878316869327</v>
      </c>
      <c r="S59" s="33">
        <f t="shared" ca="1" si="32"/>
        <v>518.31946448311828</v>
      </c>
      <c r="T59" s="33">
        <f t="shared" ca="1" si="32"/>
        <v>532.16646801029469</v>
      </c>
      <c r="U59" s="33">
        <f t="shared" ca="1" si="32"/>
        <v>551.53805072939372</v>
      </c>
      <c r="V59" s="33">
        <f t="shared" ca="1" si="32"/>
        <v>551.53805072939372</v>
      </c>
      <c r="W59" s="33">
        <f t="shared" ca="1" si="32"/>
        <v>551.53805072939372</v>
      </c>
      <c r="X59" s="33">
        <f t="shared" ca="1" si="32"/>
        <v>551.53805072939372</v>
      </c>
      <c r="Y59" s="33">
        <f t="shared" ca="1" si="32"/>
        <v>551.53805072939372</v>
      </c>
      <c r="Z59" s="33">
        <f t="shared" ca="1" si="32"/>
        <v>551.53805072939372</v>
      </c>
      <c r="AA59" s="33">
        <f t="shared" ca="1" si="32"/>
        <v>551.53805072939372</v>
      </c>
      <c r="AB59" s="33">
        <f t="shared" ca="1" si="32"/>
        <v>551.53805072939372</v>
      </c>
      <c r="AC59" s="33">
        <f t="shared" ca="1" si="32"/>
        <v>551.53805072939372</v>
      </c>
      <c r="AD59" s="33">
        <f t="shared" ca="1" si="32"/>
        <v>551.53805072939372</v>
      </c>
      <c r="AE59" s="33">
        <f t="shared" ca="1" si="32"/>
        <v>551.53805072939372</v>
      </c>
      <c r="AF59" s="33">
        <f t="shared" ca="1" si="32"/>
        <v>551.53805072939372</v>
      </c>
      <c r="AG59" s="33">
        <f t="shared" ca="1" si="32"/>
        <v>551.53805072939372</v>
      </c>
      <c r="AH59" s="33">
        <f t="shared" ca="1" si="32"/>
        <v>551.53805072939372</v>
      </c>
      <c r="AI59" s="33">
        <f t="shared" ca="1" si="32"/>
        <v>551.53805072939372</v>
      </c>
      <c r="AJ59" s="33">
        <f t="shared" ref="AJ59:BO59" ca="1" si="33">AI59+AJ43</f>
        <v>551.53805072939372</v>
      </c>
      <c r="AK59" s="33">
        <f t="shared" ca="1" si="33"/>
        <v>551.53805072939372</v>
      </c>
      <c r="AL59" s="33">
        <f t="shared" ca="1" si="33"/>
        <v>551.53805072939372</v>
      </c>
      <c r="AM59" s="33">
        <f t="shared" ca="1" si="33"/>
        <v>551.53805072939372</v>
      </c>
      <c r="AN59" s="33">
        <f t="shared" ca="1" si="33"/>
        <v>551.53805072939372</v>
      </c>
      <c r="AO59" s="33">
        <f t="shared" ca="1" si="33"/>
        <v>551.53805072939372</v>
      </c>
      <c r="AP59" s="33">
        <f t="shared" ca="1" si="33"/>
        <v>551.53805072939372</v>
      </c>
      <c r="AQ59" s="33">
        <f t="shared" ca="1" si="33"/>
        <v>551.53805072939372</v>
      </c>
      <c r="AR59" s="33">
        <f t="shared" ca="1" si="33"/>
        <v>551.53805072939372</v>
      </c>
      <c r="AS59" s="33">
        <f t="shared" ca="1" si="33"/>
        <v>551.53805072939372</v>
      </c>
      <c r="AT59" s="33">
        <f t="shared" ca="1" si="33"/>
        <v>551.53805072939372</v>
      </c>
      <c r="AU59" s="33">
        <f t="shared" ca="1" si="33"/>
        <v>551.53805072939372</v>
      </c>
      <c r="AV59" s="33">
        <f t="shared" ca="1" si="33"/>
        <v>551.53805072939372</v>
      </c>
      <c r="AW59" s="33">
        <f t="shared" ca="1" si="33"/>
        <v>551.53805072939372</v>
      </c>
      <c r="AX59" s="33">
        <f t="shared" ca="1" si="33"/>
        <v>551.53805072939372</v>
      </c>
      <c r="AY59" s="33">
        <f t="shared" ca="1" si="33"/>
        <v>551.53805072939372</v>
      </c>
      <c r="AZ59" s="33">
        <f t="shared" ca="1" si="33"/>
        <v>551.53805072939372</v>
      </c>
      <c r="BA59" s="33">
        <f t="shared" ca="1" si="33"/>
        <v>551.53805072939372</v>
      </c>
      <c r="BB59" s="33">
        <f t="shared" ca="1" si="33"/>
        <v>551.53805072939372</v>
      </c>
      <c r="BC59" s="33">
        <f t="shared" ca="1" si="33"/>
        <v>551.53805072939372</v>
      </c>
      <c r="BD59" s="33">
        <f t="shared" ca="1" si="33"/>
        <v>551.53805072939372</v>
      </c>
      <c r="BE59" s="33">
        <f t="shared" ca="1" si="33"/>
        <v>551.53805072939372</v>
      </c>
      <c r="BF59" s="33">
        <f t="shared" ca="1" si="33"/>
        <v>551.53805072939372</v>
      </c>
      <c r="BG59" s="33">
        <f t="shared" ca="1" si="33"/>
        <v>551.53805072939372</v>
      </c>
      <c r="BH59" s="33">
        <f t="shared" ca="1" si="33"/>
        <v>551.53805072939372</v>
      </c>
      <c r="BI59" s="33">
        <f t="shared" ca="1" si="33"/>
        <v>551.53805072939372</v>
      </c>
      <c r="BJ59" s="33">
        <f t="shared" ca="1" si="33"/>
        <v>551.53805072939372</v>
      </c>
      <c r="BK59" s="33">
        <f t="shared" ca="1" si="33"/>
        <v>551.53805072939372</v>
      </c>
      <c r="BL59" s="33">
        <f t="shared" ca="1" si="33"/>
        <v>551.53805072939372</v>
      </c>
      <c r="BM59" s="33">
        <f t="shared" ca="1" si="33"/>
        <v>551.53805072939372</v>
      </c>
      <c r="BN59" s="33">
        <f t="shared" ca="1" si="33"/>
        <v>551.53805072939372</v>
      </c>
      <c r="BO59" s="33">
        <f t="shared" ca="1" si="33"/>
        <v>551.53805072939372</v>
      </c>
      <c r="BP59" s="33">
        <f t="shared" ref="BP59:CX59" ca="1" si="34">BO59+BP43</f>
        <v>551.53805072939372</v>
      </c>
      <c r="BQ59" s="33">
        <f t="shared" ca="1" si="34"/>
        <v>551.53805072939372</v>
      </c>
      <c r="BR59" s="33">
        <f t="shared" ca="1" si="34"/>
        <v>551.53805072939372</v>
      </c>
      <c r="BS59" s="33">
        <f t="shared" ca="1" si="34"/>
        <v>551.53805072939372</v>
      </c>
      <c r="BT59" s="33">
        <f t="shared" ca="1" si="34"/>
        <v>551.53805072939372</v>
      </c>
      <c r="BU59" s="33">
        <f t="shared" ca="1" si="34"/>
        <v>551.53805072939372</v>
      </c>
      <c r="BV59" s="33">
        <f t="shared" ca="1" si="34"/>
        <v>551.53805072939372</v>
      </c>
      <c r="BW59" s="33">
        <f t="shared" ca="1" si="34"/>
        <v>551.53805072939372</v>
      </c>
      <c r="BX59" s="33">
        <f t="shared" ca="1" si="34"/>
        <v>551.53805072939372</v>
      </c>
      <c r="BY59" s="33">
        <f t="shared" ca="1" si="34"/>
        <v>551.53805072939372</v>
      </c>
      <c r="BZ59" s="33">
        <f t="shared" ca="1" si="34"/>
        <v>551.53805072939372</v>
      </c>
      <c r="CA59" s="33">
        <f t="shared" ca="1" si="34"/>
        <v>551.53805072939372</v>
      </c>
      <c r="CB59" s="33">
        <f t="shared" ca="1" si="34"/>
        <v>551.53805072939372</v>
      </c>
      <c r="CC59" s="33">
        <f t="shared" ca="1" si="34"/>
        <v>551.53805072939372</v>
      </c>
      <c r="CD59" s="33">
        <f t="shared" ca="1" si="34"/>
        <v>551.53805072939372</v>
      </c>
      <c r="CE59" s="33">
        <f t="shared" ca="1" si="34"/>
        <v>551.53805072939372</v>
      </c>
      <c r="CF59" s="33">
        <f t="shared" ca="1" si="34"/>
        <v>551.53805072939372</v>
      </c>
      <c r="CG59" s="33">
        <f t="shared" ca="1" si="34"/>
        <v>551.53805072939372</v>
      </c>
      <c r="CH59" s="33">
        <f t="shared" ca="1" si="34"/>
        <v>551.53805072939372</v>
      </c>
      <c r="CI59" s="33">
        <f t="shared" ca="1" si="34"/>
        <v>551.53805072939372</v>
      </c>
      <c r="CJ59" s="33">
        <f t="shared" ca="1" si="34"/>
        <v>551.53805072939372</v>
      </c>
      <c r="CK59" s="33">
        <f t="shared" ca="1" si="34"/>
        <v>551.53805072939372</v>
      </c>
      <c r="CL59" s="33">
        <f t="shared" ca="1" si="34"/>
        <v>551.53805072939372</v>
      </c>
      <c r="CM59" s="33">
        <f t="shared" ca="1" si="34"/>
        <v>551.53805072939372</v>
      </c>
      <c r="CN59" s="33">
        <f t="shared" ca="1" si="34"/>
        <v>551.53805072939372</v>
      </c>
      <c r="CO59" s="33">
        <f t="shared" ca="1" si="34"/>
        <v>551.53805072939372</v>
      </c>
      <c r="CP59" s="33">
        <f t="shared" ca="1" si="34"/>
        <v>551.53805072939372</v>
      </c>
      <c r="CQ59" s="33">
        <f t="shared" ca="1" si="34"/>
        <v>551.53805072939372</v>
      </c>
      <c r="CR59" s="33">
        <f t="shared" ca="1" si="34"/>
        <v>551.53805072939372</v>
      </c>
      <c r="CS59" s="33">
        <f t="shared" ca="1" si="34"/>
        <v>551.53805072939372</v>
      </c>
      <c r="CT59" s="33">
        <f t="shared" ca="1" si="34"/>
        <v>551.53805072939372</v>
      </c>
      <c r="CU59" s="33">
        <f t="shared" ca="1" si="34"/>
        <v>551.53805072939372</v>
      </c>
      <c r="CV59" s="33">
        <f t="shared" ca="1" si="34"/>
        <v>551.53805072939372</v>
      </c>
      <c r="CW59" s="33">
        <f t="shared" ca="1" si="34"/>
        <v>551.53805072939372</v>
      </c>
      <c r="CX59" s="33">
        <f t="shared" ca="1" si="34"/>
        <v>551.53805072939372</v>
      </c>
    </row>
    <row r="60" spans="1:102" x14ac:dyDescent="0.3">
      <c r="A60" s="39" t="s">
        <v>304</v>
      </c>
      <c r="B60" s="274"/>
      <c r="C60" s="44"/>
      <c r="D60" s="33">
        <f ca="1">IF(SUM($D$43:D43)&gt;$B$82,1,0)</f>
        <v>0</v>
      </c>
      <c r="E60" s="33">
        <f ca="1">IF(SUM($D$43:E43)&gt;$B$82,1,0)</f>
        <v>0</v>
      </c>
      <c r="F60" s="33">
        <f ca="1">IF(SUM($D$43:F43)&gt;$B$82,1,0)</f>
        <v>1</v>
      </c>
      <c r="G60" s="33">
        <f ca="1">IF(SUM($D$43:G43)&gt;$B$82,1,0)</f>
        <v>1</v>
      </c>
      <c r="H60" s="33">
        <f ca="1">IF(SUM($D$43:H43)&gt;$B$82,1,0)</f>
        <v>1</v>
      </c>
      <c r="I60" s="33">
        <f ca="1">IF(SUM($D$43:I43)&gt;$B$82,1,0)</f>
        <v>1</v>
      </c>
      <c r="J60" s="33">
        <f ca="1">IF(AND(SUM($D$43:J43)&gt;$B$82,SUM($D$43:J43)&lt;$B$82+I43),1,0)</f>
        <v>0</v>
      </c>
      <c r="K60" s="33">
        <f ca="1">IF(AND(SUM($D$43:K43)&gt;$B$82,SUM($D$43:K43)&lt;$B$82+J43),1,0)</f>
        <v>0</v>
      </c>
      <c r="L60" s="33">
        <f ca="1">IF(AND(SUM($D$43:L43)&gt;$B$82,SUM($D$43:L43)&lt;$B$82+K43),1,0)</f>
        <v>0</v>
      </c>
      <c r="M60" s="33">
        <f ca="1">IF(AND(SUM($D$43:M43)&gt;$B$82,SUM($D$43:M43)&lt;$B$82+L43),1,0)</f>
        <v>0</v>
      </c>
      <c r="N60" s="33">
        <f ca="1">IF(AND(SUM($D$43:N43)&gt;$B$82,SUM($D$43:N43)&lt;$B$82+M43),1,0)</f>
        <v>0</v>
      </c>
      <c r="O60" s="33">
        <f ca="1">IF(AND(SUM($D$43:O43)&gt;$B$82,SUM($D$43:O43)&lt;$B$82+N43),1,0)</f>
        <v>0</v>
      </c>
      <c r="P60" s="33">
        <f ca="1">IF(AND(SUM($D$43:P43)&gt;$B$82,SUM($D$43:P43)&lt;$B$82+O43),1,0)</f>
        <v>0</v>
      </c>
      <c r="Q60" s="33">
        <f ca="1">IF(AND(SUM($D$43:Q43)&gt;$B$82,SUM($D$43:Q43)&lt;$B$82+P43),1,0)</f>
        <v>0</v>
      </c>
      <c r="R60" s="33">
        <f ca="1">IF(AND(SUM($D$43:R43)&gt;$B$82,SUM($D$43:R43)&lt;$B$82+Q43),1,0)</f>
        <v>0</v>
      </c>
      <c r="S60" s="33">
        <f ca="1">IF(AND(SUM($D$43:S43)&gt;$B$82,SUM($D$43:S43)&lt;$B$82+R43),1,0)</f>
        <v>0</v>
      </c>
      <c r="T60" s="33">
        <f ca="1">IF(AND(SUM($D$43:T43)&gt;$B$82,SUM($D$43:T43)&lt;$B$82+S43),1,0)</f>
        <v>0</v>
      </c>
      <c r="U60" s="33">
        <f ca="1">IF(AND(SUM($D$43:U43)&gt;$B$82,SUM($D$43:U43)&lt;$B$82+T43),1,0)</f>
        <v>0</v>
      </c>
      <c r="V60" s="33">
        <f ca="1">IF(AND(SUM($D$43:V43)&gt;$B$82,SUM($D$43:V43)&lt;$B$82+U43),1,0)</f>
        <v>0</v>
      </c>
      <c r="W60" s="33">
        <f ca="1">IF(AND(SUM($D$43:W43)&gt;$B$82,SUM($D$43:W43)&lt;$B$82+V43),1,0)</f>
        <v>0</v>
      </c>
      <c r="X60" s="33">
        <f ca="1">IF(AND(SUM($D$43:X43)&gt;$B$82,SUM($D$43:X43)&lt;$B$82+W43),1,0)</f>
        <v>0</v>
      </c>
      <c r="Y60" s="33">
        <f ca="1">IF(AND(SUM($D$43:Y43)&gt;$B$82,SUM($D$43:Y43)&lt;$B$82+X43),1,0)</f>
        <v>0</v>
      </c>
      <c r="Z60" s="33">
        <f ca="1">IF(AND(SUM($D$43:Z43)&gt;$B$82,SUM($D$43:Z43)&lt;$B$82+Y43),1,0)</f>
        <v>0</v>
      </c>
      <c r="AA60" s="33">
        <f ca="1">IF(AND(SUM($D$43:AA43)&gt;$B$82,SUM($D$43:AA43)&lt;$B$82+Z43),1,0)</f>
        <v>0</v>
      </c>
      <c r="AB60" s="33">
        <f ca="1">IF(AND(SUM($D$43:AB43)&gt;$B$82,SUM($D$43:AB43)&lt;$B$82+AA43),1,0)</f>
        <v>0</v>
      </c>
      <c r="AC60" s="33">
        <f ca="1">IF(AND(SUM($D$43:AC43)&gt;$B$82,SUM($D$43:AC43)&lt;$B$82+AB43),1,0)</f>
        <v>0</v>
      </c>
      <c r="AD60" s="33">
        <f ca="1">IF(AND(SUM($D$43:AD43)&gt;$B$82,SUM($D$43:AD43)&lt;$B$82+AC43),1,0)</f>
        <v>0</v>
      </c>
      <c r="AE60" s="33">
        <f ca="1">IF(AND(SUM($D$43:AE43)&gt;$B$82,SUM($D$43:AE43)&lt;$B$82+AD43),1,0)</f>
        <v>0</v>
      </c>
      <c r="AF60" s="33">
        <f ca="1">IF(AND(SUM($D$43:AF43)&gt;$B$82,SUM($D$43:AF43)&lt;$B$82+AE43),1,0)</f>
        <v>0</v>
      </c>
      <c r="AG60" s="33">
        <f ca="1">IF(AND(SUM($D$43:AG43)&gt;$B$82,SUM($D$43:AG43)&lt;$B$82+AF43),1,0)</f>
        <v>0</v>
      </c>
      <c r="AH60" s="33">
        <f ca="1">IF(AND(SUM($D$43:AH43)&gt;$B$82,SUM($D$43:AH43)&lt;$B$82+AG43),1,0)</f>
        <v>0</v>
      </c>
      <c r="AI60" s="33">
        <f ca="1">IF(AND(SUM($D$43:AI43)&gt;$B$82,SUM($D$43:AI43)&lt;$B$82+AH43),1,0)</f>
        <v>0</v>
      </c>
      <c r="AJ60" s="33">
        <f ca="1">IF(AND(SUM($D$43:AJ43)&gt;$B$82,SUM($D$43:AJ43)&lt;$B$82+AI43),1,0)</f>
        <v>0</v>
      </c>
      <c r="AK60" s="33">
        <f ca="1">IF(AND(SUM($D$43:AK43)&gt;$B$82,SUM($D$43:AK43)&lt;$B$82+AJ43),1,0)</f>
        <v>0</v>
      </c>
      <c r="AL60" s="33">
        <f ca="1">IF(AND(SUM($D$43:AL43)&gt;$B$82,SUM($D$43:AL43)&lt;$B$82+AK43),1,0)</f>
        <v>0</v>
      </c>
      <c r="AM60" s="33">
        <f ca="1">IF(AND(SUM($D$43:AM43)&gt;$B$82,SUM($D$43:AM43)&lt;$B$82+AL43),1,0)</f>
        <v>0</v>
      </c>
      <c r="AN60" s="33">
        <f ca="1">IF(AND(SUM($D$43:AN43)&gt;$B$82,SUM($D$43:AN43)&lt;$B$82+AM43),1,0)</f>
        <v>0</v>
      </c>
      <c r="AO60" s="33">
        <f ca="1">IF(AND(SUM($D$43:AO43)&gt;$B$82,SUM($D$43:AO43)&lt;$B$82+AN43),1,0)</f>
        <v>0</v>
      </c>
      <c r="AP60" s="33">
        <f ca="1">IF(AND(SUM($D$43:AP43)&gt;$B$82,SUM($D$43:AP43)&lt;$B$82+AO43),1,0)</f>
        <v>0</v>
      </c>
      <c r="AQ60" s="33">
        <f ca="1">IF(AND(SUM($D$43:AQ43)&gt;$B$82,SUM($D$43:AQ43)&lt;$B$82+AP43),1,0)</f>
        <v>0</v>
      </c>
      <c r="AR60" s="33">
        <f ca="1">IF(AND(SUM($D$43:AR43)&gt;$B$82,SUM($D$43:AR43)&lt;$B$82+AQ43),1,0)</f>
        <v>0</v>
      </c>
      <c r="AS60" s="33">
        <f ca="1">IF(AND(SUM($D$43:AS43)&gt;$B$82,SUM($D$43:AS43)&lt;$B$82+AR43),1,0)</f>
        <v>0</v>
      </c>
      <c r="AT60" s="33">
        <f ca="1">IF(AND(SUM($D$43:AT43)&gt;$B$82,SUM($D$43:AT43)&lt;$B$82+AS43),1,0)</f>
        <v>0</v>
      </c>
      <c r="AU60" s="33">
        <f ca="1">IF(AND(SUM($D$43:AU43)&gt;$B$82,SUM($D$43:AU43)&lt;$B$82+AT43),1,0)</f>
        <v>0</v>
      </c>
      <c r="AV60" s="33">
        <f ca="1">IF(AND(SUM($D$43:AV43)&gt;$B$82,SUM($D$43:AV43)&lt;$B$82+AU43),1,0)</f>
        <v>0</v>
      </c>
      <c r="AW60" s="33">
        <f ca="1">IF(AND(SUM($D$43:AW43)&gt;$B$82,SUM($D$43:AW43)&lt;$B$82+AV43),1,0)</f>
        <v>0</v>
      </c>
      <c r="AX60" s="33">
        <f ca="1">IF(AND(SUM($D$43:AX43)&gt;$B$82,SUM($D$43:AX43)&lt;$B$82+AW43),1,0)</f>
        <v>0</v>
      </c>
      <c r="AY60" s="33">
        <f ca="1">IF(AND(SUM($D$43:AY43)&gt;$B$82,SUM($D$43:AY43)&lt;$B$82+AX43),1,0)</f>
        <v>0</v>
      </c>
      <c r="AZ60" s="33">
        <f ca="1">IF(AND(SUM($D$43:AZ43)&gt;$B$82,SUM($D$43:AZ43)&lt;$B$82+AY43),1,0)</f>
        <v>0</v>
      </c>
      <c r="BA60" s="33">
        <f ca="1">IF(AND(SUM($D$43:BA43)&gt;$B$82,SUM($D$43:BA43)&lt;$B$82+AZ43),1,0)</f>
        <v>0</v>
      </c>
      <c r="BB60" s="33">
        <f ca="1">IF(AND(SUM($D$43:BB43)&gt;$B$82,SUM($D$43:BB43)&lt;$B$82+BA43),1,0)</f>
        <v>0</v>
      </c>
      <c r="BC60" s="33">
        <f ca="1">IF(AND(SUM($D$43:BC43)&gt;$B$82,SUM($D$43:BC43)&lt;$B$82+BB43),1,0)</f>
        <v>0</v>
      </c>
      <c r="BD60" s="33">
        <f ca="1">IF(AND(SUM($D$43:BD43)&gt;$B$82,SUM($D$43:BD43)&lt;$B$82+BC43),1,0)</f>
        <v>0</v>
      </c>
      <c r="BE60" s="33">
        <f ca="1">IF(AND(SUM($D$43:BE43)&gt;$B$82,SUM($D$43:BE43)&lt;$B$82+BD43),1,0)</f>
        <v>0</v>
      </c>
      <c r="BF60" s="33">
        <f ca="1">IF(AND(SUM($D$43:BF43)&gt;$B$82,SUM($D$43:BF43)&lt;$B$82+BE43),1,0)</f>
        <v>0</v>
      </c>
      <c r="BG60" s="33">
        <f ca="1">IF(AND(SUM($D$43:BG43)&gt;$B$82,SUM($D$43:BG43)&lt;$B$82+BF43),1,0)</f>
        <v>0</v>
      </c>
      <c r="BH60" s="33">
        <f ca="1">IF(AND(SUM($D$43:BH43)&gt;$B$82,SUM($D$43:BH43)&lt;$B$82+BG43),1,0)</f>
        <v>0</v>
      </c>
      <c r="BI60" s="33">
        <f ca="1">IF(AND(SUM($D$43:BI43)&gt;$B$82,SUM($D$43:BI43)&lt;$B$82+BH43),1,0)</f>
        <v>0</v>
      </c>
      <c r="BJ60" s="33">
        <f ca="1">IF(AND(SUM($D$43:BJ43)&gt;$B$82,SUM($D$43:BJ43)&lt;$B$82+BI43),1,0)</f>
        <v>0</v>
      </c>
      <c r="BK60" s="33">
        <f ca="1">IF(AND(SUM($D$43:BK43)&gt;$B$82,SUM($D$43:BK43)&lt;$B$82+BJ43),1,0)</f>
        <v>0</v>
      </c>
      <c r="BL60" s="33">
        <f ca="1">IF(AND(SUM($D$43:BL43)&gt;$B$82,SUM($D$43:BL43)&lt;$B$82+BK43),1,0)</f>
        <v>0</v>
      </c>
      <c r="BM60" s="33">
        <f ca="1">IF(AND(SUM($D$43:BM43)&gt;$B$82,SUM($D$43:BM43)&lt;$B$82+BL43),1,0)</f>
        <v>0</v>
      </c>
      <c r="BN60" s="33">
        <f ca="1">IF(AND(SUM($D$43:BN43)&gt;$B$82,SUM($D$43:BN43)&lt;$B$82+BM43),1,0)</f>
        <v>0</v>
      </c>
      <c r="BO60" s="33">
        <f ca="1">IF(AND(SUM($D$43:BO43)&gt;$B$82,SUM($D$43:BO43)&lt;$B$82+BN43),1,0)</f>
        <v>0</v>
      </c>
      <c r="BP60" s="33">
        <f ca="1">IF(AND(SUM($D$43:BP43)&gt;$B$82,SUM($D$43:BP43)&lt;$B$82+BO43),1,0)</f>
        <v>0</v>
      </c>
      <c r="BQ60" s="33">
        <f ca="1">IF(AND(SUM($D$43:BQ43)&gt;$B$82,SUM($D$43:BQ43)&lt;$B$82+BP43),1,0)</f>
        <v>0</v>
      </c>
      <c r="BR60" s="33">
        <f ca="1">IF(AND(SUM($D$43:BR43)&gt;$B$82,SUM($D$43:BR43)&lt;$B$82+BQ43),1,0)</f>
        <v>0</v>
      </c>
      <c r="BS60" s="33">
        <f ca="1">IF(AND(SUM($D$43:BS43)&gt;$B$82,SUM($D$43:BS43)&lt;$B$82+BR43),1,0)</f>
        <v>0</v>
      </c>
      <c r="BT60" s="33">
        <f ca="1">IF(AND(SUM($D$43:BT43)&gt;$B$82,SUM($D$43:BT43)&lt;$B$82+BS43),1,0)</f>
        <v>0</v>
      </c>
      <c r="BU60" s="33">
        <f ca="1">IF(AND(SUM($D$43:BU43)&gt;$B$82,SUM($D$43:BU43)&lt;$B$82+BT43),1,0)</f>
        <v>0</v>
      </c>
      <c r="BV60" s="33">
        <f ca="1">IF(AND(SUM($D$43:BV43)&gt;$B$82,SUM($D$43:BV43)&lt;$B$82+BU43),1,0)</f>
        <v>0</v>
      </c>
      <c r="BW60" s="33">
        <f ca="1">IF(AND(SUM($D$43:BW43)&gt;$B$82,SUM($D$43:BW43)&lt;$B$82+BV43),1,0)</f>
        <v>0</v>
      </c>
      <c r="BX60" s="33">
        <f ca="1">IF(AND(SUM($D$43:BX43)&gt;$B$82,SUM($D$43:BX43)&lt;$B$82+BW43),1,0)</f>
        <v>0</v>
      </c>
      <c r="BY60" s="33">
        <f ca="1">IF(AND(SUM($D$43:BY43)&gt;$B$82,SUM($D$43:BY43)&lt;$B$82+BX43),1,0)</f>
        <v>0</v>
      </c>
      <c r="BZ60" s="33">
        <f ca="1">IF(AND(SUM($D$43:BZ43)&gt;$B$82,SUM($D$43:BZ43)&lt;$B$82+BY43),1,0)</f>
        <v>0</v>
      </c>
      <c r="CA60" s="33">
        <f ca="1">IF(AND(SUM($D$43:CA43)&gt;$B$82,SUM($D$43:CA43)&lt;$B$82+BZ43),1,0)</f>
        <v>0</v>
      </c>
      <c r="CB60" s="33">
        <f ca="1">IF(AND(SUM($D$43:CB43)&gt;$B$82,SUM($D$43:CB43)&lt;$B$82+CA43),1,0)</f>
        <v>0</v>
      </c>
      <c r="CC60" s="33">
        <f ca="1">IF(AND(SUM($D$43:CC43)&gt;$B$82,SUM($D$43:CC43)&lt;$B$82+CB43),1,0)</f>
        <v>0</v>
      </c>
      <c r="CD60" s="33">
        <f ca="1">IF(AND(SUM($D$43:CD43)&gt;$B$82,SUM($D$43:CD43)&lt;$B$82+CC43),1,0)</f>
        <v>0</v>
      </c>
      <c r="CE60" s="33">
        <f ca="1">IF(AND(SUM($D$43:CE43)&gt;$B$82,SUM($D$43:CE43)&lt;$B$82+CD43),1,0)</f>
        <v>0</v>
      </c>
      <c r="CF60" s="33">
        <f ca="1">IF(AND(SUM($D$43:CF43)&gt;$B$82,SUM($D$43:CF43)&lt;$B$82+CE43),1,0)</f>
        <v>0</v>
      </c>
      <c r="CG60" s="33">
        <f ca="1">IF(AND(SUM($D$43:CG43)&gt;$B$82,SUM($D$43:CG43)&lt;$B$82+CF43),1,0)</f>
        <v>0</v>
      </c>
      <c r="CH60" s="33">
        <f ca="1">IF(AND(SUM($D$43:CH43)&gt;$B$82,SUM($D$43:CH43)&lt;$B$82+CG43),1,0)</f>
        <v>0</v>
      </c>
      <c r="CI60" s="33">
        <f ca="1">IF(AND(SUM($D$43:CI43)&gt;$B$82,SUM($D$43:CI43)&lt;$B$82+CH43),1,0)</f>
        <v>0</v>
      </c>
      <c r="CJ60" s="33">
        <f ca="1">IF(AND(SUM($D$43:CJ43)&gt;$B$82,SUM($D$43:CJ43)&lt;$B$82+CI43),1,0)</f>
        <v>0</v>
      </c>
      <c r="CK60" s="33">
        <f ca="1">IF(AND(SUM($D$43:CK43)&gt;$B$82,SUM($D$43:CK43)&lt;$B$82+CJ43),1,0)</f>
        <v>0</v>
      </c>
      <c r="CL60" s="33">
        <f ca="1">IF(AND(SUM($D$43:CL43)&gt;$B$82,SUM($D$43:CL43)&lt;$B$82+CK43),1,0)</f>
        <v>0</v>
      </c>
      <c r="CM60" s="33">
        <f ca="1">IF(AND(SUM($D$43:CM43)&gt;$B$82,SUM($D$43:CM43)&lt;$B$82+CL43),1,0)</f>
        <v>0</v>
      </c>
      <c r="CN60" s="33">
        <f ca="1">IF(AND(SUM($D$43:CN43)&gt;$B$82,SUM($D$43:CN43)&lt;$B$82+CM43),1,0)</f>
        <v>0</v>
      </c>
      <c r="CO60" s="33">
        <f ca="1">IF(AND(SUM($D$43:CO43)&gt;$B$82,SUM($D$43:CO43)&lt;$B$82+CN43),1,0)</f>
        <v>0</v>
      </c>
      <c r="CP60" s="33">
        <f ca="1">IF(AND(SUM($D$43:CP43)&gt;$B$82,SUM($D$43:CP43)&lt;$B$82+CO43),1,0)</f>
        <v>0</v>
      </c>
      <c r="CQ60" s="33">
        <f ca="1">IF(AND(SUM($D$43:CQ43)&gt;$B$82,SUM($D$43:CQ43)&lt;$B$82+CP43),1,0)</f>
        <v>0</v>
      </c>
      <c r="CR60" s="33">
        <f ca="1">IF(AND(SUM($D$43:CR43)&gt;$B$82,SUM($D$43:CR43)&lt;$B$82+CQ43),1,0)</f>
        <v>0</v>
      </c>
      <c r="CS60" s="33">
        <f ca="1">IF(AND(SUM($D$43:CS43)&gt;$B$82,SUM($D$43:CS43)&lt;$B$82+CR43),1,0)</f>
        <v>0</v>
      </c>
      <c r="CT60" s="33">
        <f ca="1">IF(AND(SUM($D$43:CT43)&gt;$B$82,SUM($D$43:CT43)&lt;$B$82+CS43),1,0)</f>
        <v>0</v>
      </c>
      <c r="CU60" s="33">
        <f ca="1">IF(AND(SUM($D$43:CU43)&gt;$B$82,SUM($D$43:CU43)&lt;$B$82+CT43),1,0)</f>
        <v>0</v>
      </c>
      <c r="CV60" s="33">
        <f ca="1">IF(AND(SUM($D$43:CV43)&gt;$B$82,SUM($D$43:CV43)&lt;$B$82+CU43),1,0)</f>
        <v>0</v>
      </c>
      <c r="CW60" s="33">
        <f ca="1">IF(AND(SUM($D$43:CW43)&gt;$B$82,SUM($D$43:CW43)&lt;$B$82+CV43),1,0)</f>
        <v>0</v>
      </c>
      <c r="CX60" s="33">
        <f ca="1">IF(AND(SUM($D$43:CX43)&gt;$B$82,SUM($D$43:CX43)&lt;$B$82+CW43),1,0)</f>
        <v>0</v>
      </c>
    </row>
    <row r="61" spans="1:102" x14ac:dyDescent="0.3">
      <c r="A61" s="276" t="s">
        <v>303</v>
      </c>
      <c r="B61" s="277">
        <v>0.55000000000000004</v>
      </c>
      <c r="C61" s="44"/>
      <c r="D61" s="44"/>
      <c r="E61" s="44"/>
      <c r="F61" s="44"/>
      <c r="G61" s="44"/>
      <c r="H61" s="44"/>
      <c r="I61" s="44"/>
      <c r="J61" s="44"/>
      <c r="K61" s="44"/>
      <c r="L61" s="44"/>
      <c r="M61" s="44"/>
      <c r="N61" s="44">
        <f ca="1">N59-SUM(B62,B82)</f>
        <v>274.53440690495802</v>
      </c>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row>
    <row r="62" spans="1:102" x14ac:dyDescent="0.3">
      <c r="A62" s="1" t="s">
        <v>301</v>
      </c>
      <c r="B62" s="33">
        <f>-(SUM(C16:H16))</f>
        <v>47.58</v>
      </c>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row>
    <row r="63" spans="1:102" hidden="1" x14ac:dyDescent="0.3">
      <c r="A63" s="56" t="s">
        <v>144</v>
      </c>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row>
    <row r="64" spans="1:102" hidden="1" x14ac:dyDescent="0.3">
      <c r="A64" s="39" t="s">
        <v>53</v>
      </c>
      <c r="C64" s="278">
        <f>C46+C49</f>
        <v>0</v>
      </c>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278"/>
      <c r="CH64" s="278"/>
      <c r="CI64" s="278"/>
      <c r="CJ64" s="278"/>
      <c r="CK64" s="278"/>
      <c r="CL64" s="278"/>
      <c r="CM64" s="278"/>
      <c r="CN64" s="278"/>
      <c r="CO64" s="278"/>
      <c r="CP64" s="278"/>
      <c r="CQ64" s="278"/>
      <c r="CR64" s="278"/>
      <c r="CS64" s="278"/>
      <c r="CT64" s="278"/>
      <c r="CU64" s="278"/>
      <c r="CV64" s="278"/>
      <c r="CW64" s="278"/>
      <c r="CX64" s="278"/>
    </row>
    <row r="65" spans="1:102" hidden="1" x14ac:dyDescent="0.3">
      <c r="A65" s="39" t="s">
        <v>42</v>
      </c>
      <c r="C65" s="278" t="e">
        <f>C47+#REF!</f>
        <v>#REF!</v>
      </c>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278"/>
      <c r="CB65" s="278"/>
      <c r="CC65" s="278"/>
      <c r="CD65" s="278"/>
      <c r="CE65" s="278"/>
      <c r="CF65" s="278"/>
      <c r="CG65" s="278"/>
      <c r="CH65" s="278"/>
      <c r="CI65" s="278"/>
      <c r="CJ65" s="278"/>
      <c r="CK65" s="278"/>
      <c r="CL65" s="278"/>
      <c r="CM65" s="278"/>
      <c r="CN65" s="278"/>
      <c r="CO65" s="278"/>
      <c r="CP65" s="278"/>
      <c r="CQ65" s="278"/>
      <c r="CR65" s="278"/>
      <c r="CS65" s="278"/>
      <c r="CT65" s="278"/>
      <c r="CU65" s="278"/>
      <c r="CV65" s="278"/>
      <c r="CW65" s="278"/>
      <c r="CX65" s="278"/>
    </row>
    <row r="66" spans="1:102" hidden="1" x14ac:dyDescent="0.3">
      <c r="A66" s="39" t="s">
        <v>67</v>
      </c>
      <c r="C66" s="279">
        <f>SUM($C$42:C42)</f>
        <v>0</v>
      </c>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row>
    <row r="67" spans="1:102" hidden="1" x14ac:dyDescent="0.3">
      <c r="A67" s="39" t="s">
        <v>155</v>
      </c>
      <c r="C67" s="279">
        <f>SUM(C10,C14,C26,C33,C34)</f>
        <v>0</v>
      </c>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79"/>
      <c r="CQ67" s="279"/>
      <c r="CR67" s="279"/>
      <c r="CS67" s="279"/>
      <c r="CT67" s="279"/>
      <c r="CU67" s="279"/>
      <c r="CV67" s="279"/>
      <c r="CW67" s="279"/>
      <c r="CX67" s="279"/>
    </row>
    <row r="68" spans="1:102" hidden="1" x14ac:dyDescent="0.3">
      <c r="A68" s="39" t="s">
        <v>141</v>
      </c>
      <c r="C68" s="279">
        <f>C41+C26</f>
        <v>0</v>
      </c>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row>
    <row r="69" spans="1:102" ht="13.8" hidden="1" customHeight="1" x14ac:dyDescent="0.3">
      <c r="A69" s="3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79"/>
      <c r="CQ69" s="279"/>
      <c r="CR69" s="279"/>
      <c r="CS69" s="279"/>
      <c r="CT69" s="279"/>
      <c r="CU69" s="279"/>
      <c r="CV69" s="279"/>
      <c r="CW69" s="279"/>
      <c r="CX69" s="279"/>
    </row>
    <row r="70" spans="1:102" ht="13.8" hidden="1" customHeight="1" x14ac:dyDescent="0.3">
      <c r="A70" s="39"/>
      <c r="B70" s="280" t="s">
        <v>143</v>
      </c>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79"/>
      <c r="CO70" s="279"/>
      <c r="CP70" s="279"/>
      <c r="CQ70" s="279"/>
      <c r="CR70" s="279"/>
      <c r="CS70" s="279"/>
      <c r="CT70" s="279"/>
      <c r="CU70" s="279"/>
      <c r="CV70" s="279"/>
      <c r="CW70" s="279"/>
      <c r="CX70" s="279"/>
    </row>
    <row r="71" spans="1:102" ht="13.8" hidden="1" customHeight="1" x14ac:dyDescent="0.3">
      <c r="A71" s="39" t="s">
        <v>142</v>
      </c>
      <c r="B71" s="281">
        <f>MAX(C71:CN71)</f>
        <v>0.61590982096452807</v>
      </c>
      <c r="C71" s="282">
        <v>0.61590982096452807</v>
      </c>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c r="AL71" s="282"/>
      <c r="AM71" s="282"/>
      <c r="AN71" s="282"/>
      <c r="AO71" s="282"/>
      <c r="AP71" s="282"/>
      <c r="AQ71" s="282"/>
      <c r="AR71" s="282"/>
      <c r="AS71" s="282"/>
      <c r="AT71" s="282"/>
      <c r="AU71" s="282"/>
      <c r="AV71" s="282"/>
      <c r="AW71" s="282"/>
      <c r="AX71" s="282"/>
      <c r="AY71" s="282"/>
      <c r="AZ71" s="282"/>
      <c r="BA71" s="282"/>
      <c r="BB71" s="282"/>
      <c r="BC71" s="282"/>
      <c r="BD71" s="282"/>
      <c r="BE71" s="282"/>
      <c r="BF71" s="282"/>
      <c r="BG71" s="282"/>
      <c r="BH71" s="282"/>
      <c r="BI71" s="282"/>
      <c r="BJ71" s="282"/>
      <c r="BK71" s="282"/>
      <c r="BL71" s="282"/>
      <c r="BM71" s="282"/>
      <c r="BN71" s="282"/>
      <c r="BO71" s="282"/>
      <c r="BP71" s="282"/>
      <c r="BQ71" s="282"/>
      <c r="BR71" s="282"/>
      <c r="BS71" s="282"/>
      <c r="BT71" s="282"/>
      <c r="BU71" s="282"/>
      <c r="BV71" s="282"/>
      <c r="BW71" s="282"/>
      <c r="BX71" s="282"/>
      <c r="BY71" s="282"/>
      <c r="BZ71" s="282"/>
      <c r="CA71" s="282"/>
      <c r="CB71" s="282"/>
      <c r="CC71" s="282"/>
      <c r="CD71" s="282"/>
      <c r="CE71" s="282"/>
      <c r="CF71" s="282"/>
      <c r="CG71" s="282"/>
      <c r="CH71" s="282"/>
      <c r="CI71" s="282"/>
      <c r="CJ71" s="282"/>
      <c r="CK71" s="282"/>
      <c r="CL71" s="282"/>
      <c r="CM71" s="282"/>
      <c r="CN71" s="282"/>
      <c r="CO71" s="282"/>
      <c r="CP71" s="282"/>
      <c r="CQ71" s="282"/>
      <c r="CR71" s="282"/>
      <c r="CS71" s="282"/>
      <c r="CT71" s="282"/>
      <c r="CU71" s="282"/>
      <c r="CV71" s="282"/>
      <c r="CW71" s="282"/>
      <c r="CX71" s="282"/>
    </row>
    <row r="72" spans="1:102" ht="13.8" hidden="1" customHeight="1" x14ac:dyDescent="0.3">
      <c r="A72" s="39" t="s">
        <v>145</v>
      </c>
      <c r="B72" s="283">
        <f>MAX(C72:CN72)</f>
        <v>0.38115358479404177</v>
      </c>
      <c r="C72" s="284">
        <v>0.38115358479404177</v>
      </c>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row>
    <row r="73" spans="1:102" ht="13.8" hidden="1" customHeight="1" x14ac:dyDescent="0.3">
      <c r="A73" s="39"/>
      <c r="B73" s="285" t="s">
        <v>148</v>
      </c>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c r="BC73" s="284"/>
      <c r="BD73" s="284"/>
      <c r="BE73" s="284"/>
      <c r="BF73" s="284"/>
      <c r="BG73" s="284"/>
      <c r="BH73" s="284"/>
      <c r="BI73" s="284"/>
      <c r="BJ73" s="284"/>
      <c r="BK73" s="284"/>
      <c r="BL73" s="284"/>
      <c r="BM73" s="284"/>
      <c r="BN73" s="284"/>
      <c r="BO73" s="284"/>
      <c r="BP73" s="284"/>
      <c r="BQ73" s="284"/>
      <c r="BR73" s="284"/>
      <c r="BS73" s="284"/>
      <c r="BT73" s="284"/>
      <c r="BU73" s="284"/>
      <c r="BV73" s="284"/>
      <c r="BW73" s="284"/>
      <c r="BX73" s="284"/>
      <c r="BY73" s="284"/>
      <c r="BZ73" s="284"/>
      <c r="CA73" s="284"/>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row>
    <row r="74" spans="1:102" ht="13.8" hidden="1" customHeight="1" x14ac:dyDescent="0.3">
      <c r="A74" s="39" t="s">
        <v>147</v>
      </c>
      <c r="B74" s="283">
        <f>MIN(C74:AC74)</f>
        <v>0.61884641520595829</v>
      </c>
      <c r="C74" s="50">
        <v>0.61884641520595829</v>
      </c>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row>
    <row r="75" spans="1:102" hidden="1" x14ac:dyDescent="0.3">
      <c r="A75" s="39"/>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row>
    <row r="76" spans="1:102" hidden="1" x14ac:dyDescent="0.3">
      <c r="A76" s="39" t="s">
        <v>149</v>
      </c>
      <c r="B76" s="283" t="e">
        <f ca="1">-B49/B46</f>
        <v>#DIV/0!</v>
      </c>
    </row>
    <row r="77" spans="1:102" hidden="1" x14ac:dyDescent="0.3">
      <c r="A77" s="1" t="s">
        <v>150</v>
      </c>
      <c r="B77" s="283" t="e">
        <f ca="1">B46/$B$47</f>
        <v>#DIV/0!</v>
      </c>
    </row>
    <row r="78" spans="1:102" hidden="1" x14ac:dyDescent="0.3">
      <c r="A78" s="1" t="s">
        <v>209</v>
      </c>
      <c r="B78" s="286">
        <f>SUM(C78:CX78)</f>
        <v>0</v>
      </c>
      <c r="C78" s="258">
        <f>IFERROR(_xlfn.XLOOKUP(C7,#REF!,#REF!)/#REF!*(#REF!-'CF_Debt Schedule'!$B$19),0)</f>
        <v>0</v>
      </c>
      <c r="D78" s="258"/>
      <c r="E78" s="258"/>
      <c r="F78" s="258"/>
      <c r="G78" s="258"/>
      <c r="H78" s="258"/>
      <c r="I78" s="258"/>
      <c r="J78" s="258"/>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258"/>
      <c r="BU78" s="258"/>
      <c r="BV78" s="258"/>
      <c r="BW78" s="258"/>
      <c r="BX78" s="258"/>
      <c r="BY78" s="258"/>
      <c r="BZ78" s="258"/>
      <c r="CA78" s="258"/>
      <c r="CB78" s="258"/>
      <c r="CC78" s="258"/>
      <c r="CD78" s="258"/>
      <c r="CE78" s="258"/>
      <c r="CF78" s="258"/>
      <c r="CG78" s="258"/>
      <c r="CH78" s="258"/>
      <c r="CI78" s="258"/>
      <c r="CJ78" s="258"/>
      <c r="CK78" s="258"/>
      <c r="CL78" s="258"/>
      <c r="CM78" s="258"/>
      <c r="CN78" s="258"/>
      <c r="CO78" s="258"/>
      <c r="CP78" s="258"/>
      <c r="CQ78" s="258"/>
      <c r="CR78" s="258"/>
      <c r="CS78" s="258"/>
      <c r="CT78" s="258"/>
      <c r="CU78" s="258"/>
      <c r="CV78" s="258"/>
      <c r="CW78" s="258"/>
      <c r="CX78" s="258"/>
    </row>
    <row r="79" spans="1:102" hidden="1" x14ac:dyDescent="0.3"/>
    <row r="80" spans="1:102" hidden="1" x14ac:dyDescent="0.3">
      <c r="B80" s="46"/>
      <c r="U80" s="258"/>
    </row>
    <row r="81" spans="1:102" hidden="1" x14ac:dyDescent="0.3"/>
    <row r="82" spans="1:102" x14ac:dyDescent="0.3">
      <c r="A82" s="1" t="s">
        <v>302</v>
      </c>
      <c r="B82" s="52">
        <f>B62/B86*B61</f>
        <v>58.153333333333336</v>
      </c>
      <c r="H82" s="52"/>
      <c r="I82" s="44"/>
      <c r="K82" s="52"/>
      <c r="L82" s="44"/>
      <c r="M82" s="33"/>
    </row>
    <row r="83" spans="1:102" x14ac:dyDescent="0.3">
      <c r="A83" s="1" t="s">
        <v>302</v>
      </c>
      <c r="B83" s="52">
        <f>B62/B86*B61</f>
        <v>58.153333333333336</v>
      </c>
    </row>
    <row r="86" spans="1:102" x14ac:dyDescent="0.3">
      <c r="A86" s="276" t="s">
        <v>266</v>
      </c>
      <c r="B86" s="51">
        <f>1-B61</f>
        <v>0.44999999999999996</v>
      </c>
      <c r="E86" s="33">
        <f ca="1">IF(SUM($D$43:E43)&lt;$B$82,E43,IF(E60=1,(($B$82-SUM($D$43:D43))+(SUM($D$43:E43)-$B$82)*$B$61),E43*$B$61))</f>
        <v>18.238441962191814</v>
      </c>
      <c r="F86" s="33">
        <f ca="1">IF(SUM($D$43:F43)&lt;$B$82,F43,IF(F60=1,(($B$82-SUM($D$43:E43))+(SUM($D$43:F43)-$B$82)*$B$61),F43*$B$61))</f>
        <v>18.688808487873853</v>
      </c>
      <c r="G86" s="33">
        <f ca="1">IF(SUM($D$43:G43)&lt;$B$82,G43,IF(G60=1,(($B$82-SUM($D$43:F43))+(SUM($D$43:G43)-$B$82)*$B$61),G43*$B$61))</f>
        <v>10.470203499932113</v>
      </c>
      <c r="H86" s="33">
        <f ca="1">IF(SUM($D$43:H43)&lt;$B$82,H43,IF(H60=1,(($B$82-SUM($D$43:G43))+(SUM($D$43:H43)-$B$82)*$B$61),H43*$B$61))</f>
        <v>12.505858483507886</v>
      </c>
      <c r="I86" s="33">
        <f ca="1">IF(SUM($D$43:I43)&lt;$B$82,I43,IF(I60=1,(($B$82-SUM($D$43:H43))+(SUM($D$43:I43)-$B$82)*$B$61),I43*$B$61))</f>
        <v>-5.9413426251655537</v>
      </c>
      <c r="J86" s="33">
        <f ca="1">IF(SUM($D$43:J43)&lt;$B$82,J43,IF(J60=1,(($B$82-SUM($D$43:I43))+(SUM($D$43:J43)-$B$82)*$B$61),J43*$B$61))</f>
        <v>20.865849821686385</v>
      </c>
      <c r="K86" s="33">
        <f ca="1">IF(SUM($D$43:K43)&lt;$B$82,K43,IF(K60=1,(($B$82-SUM($D$43:J43))+(SUM($D$43:K43)-$B$82)*$B$61),K43*$B$61))</f>
        <v>29.014964832670433</v>
      </c>
      <c r="L86" s="33">
        <f ca="1">IF(SUM($D$43:L43)&lt;$B$82,L43,IF(L60=1,(($B$82-SUM($D$43:K43))+(SUM($D$43:L43)-$B$82)*$B$61),L43*$B$61))</f>
        <v>9.9393059014460619</v>
      </c>
      <c r="M86" s="33">
        <f ca="1">IF(SUM($D$43:M43)&lt;$B$82,M43,IF(M60=1,(($B$82-SUM($D$43:L43))+(SUM($D$43:M43)-$B$82)*$B$61),M43*$B$61))</f>
        <v>10.09236184551035</v>
      </c>
      <c r="N86" s="33">
        <f ca="1">IF(SUM($D$43:N43)&lt;$B$82,N43,IF(N60=1,(($B$82-SUM($D$43:M43))+(SUM($D$43:N43)-$B$82)*$B$61),N43*$B$61))</f>
        <v>29.446150854396521</v>
      </c>
      <c r="O86" s="33">
        <f ca="1">IF(SUM($D$43:O43)&lt;$B$82,O43,IF(O60=1,(($B$82-SUM($D$43:N43))+(SUM($D$43:O43)-$B$82)*$B$61),O43*$B$61))</f>
        <v>19.55974516255926</v>
      </c>
      <c r="P86" s="33">
        <f ca="1">IF(SUM($D$43:P43)&lt;$B$82,P43,IF(P60=1,(($B$82-SUM($D$43:O43))+(SUM($D$43:P43)-$B$82)*$B$61),P43*$B$61))</f>
        <v>19.864792640746572</v>
      </c>
      <c r="Q86" s="33">
        <f ca="1">IF(SUM($D$43:Q43)&lt;$B$82,Q43,IF(Q60=1,(($B$82-SUM($D$43:P43))+(SUM($D$43:Q43)-$B$82)*$B$61),Q43*$B$61))</f>
        <v>23.564117826842566</v>
      </c>
      <c r="R86" s="33">
        <f ca="1">IF(SUM($D$43:R43)&lt;$B$82,R43,IF(R60=1,(($B$82-SUM($D$43:Q43))+(SUM($D$43:R43)-$B$82)*$B$61),R43*$B$61))</f>
        <v>6.4274179815726349</v>
      </c>
      <c r="S86" s="33">
        <f ca="1">IF(SUM($D$43:S43)&lt;$B$82,S43,IF(S60=1,(($B$82-SUM($D$43:R43))+(SUM($D$43:S43)-$B$82)*$B$61),S43*$B$61))</f>
        <v>6.5123747229337647</v>
      </c>
      <c r="T86" s="33">
        <f ca="1">IF(SUM($D$43:T43)&lt;$B$82,T43,IF(T60=1,(($B$82-SUM($D$43:S43))+(SUM($D$43:T43)-$B$82)*$B$61),T43*$B$61))</f>
        <v>7.6158519399470448</v>
      </c>
      <c r="U86" s="33">
        <f ca="1">IF(SUM($D$43:U43)&lt;$B$82,U43,IF(U60=1,(($B$82-SUM($D$43:T43))+(SUM($D$43:U43)-$B$82)*$B$61),U43*$B$61))</f>
        <v>10.654370495504466</v>
      </c>
      <c r="V86" s="33">
        <f ca="1">IF(SUM($D$43:V43)&lt;$B$82,V43,IF(V60=1,(($B$82-SUM($D$43:U43))+(SUM($D$43:V43)-$B$82)*$B$61),V43*$B$61))</f>
        <v>0</v>
      </c>
      <c r="W86" s="33">
        <f ca="1">IF(SUM($D$43:W43)&lt;$B$82,W43,IF(W60=1,(($B$82-SUM($D$43:V43))+(SUM($D$43:W43)-$B$82)*$B$61),W43*$B$61))</f>
        <v>0</v>
      </c>
      <c r="X86" s="33">
        <f ca="1">IF(SUM($D$43:X43)&lt;$B$82,X43,IF(X60=1,(($B$82-SUM($D$43:W43))+(SUM($D$43:X43)-$B$82)*$B$61),X43*$B$61))</f>
        <v>0</v>
      </c>
      <c r="Y86" s="33">
        <f ca="1">IF(SUM($D$43:Y43)&lt;$B$82,Y43,IF(Y60=1,(($B$82-SUM($D$43:X43))+(SUM($D$43:Y43)-$B$82)*$B$61),Y43*$B$61))</f>
        <v>0</v>
      </c>
      <c r="Z86" s="33">
        <f ca="1">IF(SUM($D$43:Z43)&lt;$B$82,Z43,IF(Z60=1,(($B$82-SUM($D$43:Y43))+(SUM($D$43:Z43)-$B$82)*$B$61),Z43*$B$61))</f>
        <v>0</v>
      </c>
      <c r="AA86" s="33">
        <f ca="1">IF(SUM($D$43:AA43)&lt;$B$82,AA43,IF(AA60=1,(($B$82-SUM($D$43:Z43))+(SUM($D$43:AA43)-$B$82)*$B$61),AA43*$B$61))</f>
        <v>0</v>
      </c>
      <c r="AB86" s="33">
        <f ca="1">IF(SUM($D$43:AB43)&lt;$B$82,AB43,IF(AB60=1,(($B$82-SUM($D$43:AA43))+(SUM($D$43:AB43)-$B$82)*$B$61),AB43*$B$61))</f>
        <v>0</v>
      </c>
      <c r="AC86" s="33">
        <f ca="1">IF(SUM($D$43:AC43)&lt;$B$82,AC43,IF(AC60=1,(($B$82-SUM($D$43:AB43))+(SUM($D$43:AC43)-$B$82)*$B$61),AC43*$B$61))</f>
        <v>0</v>
      </c>
      <c r="AD86" s="33">
        <f ca="1">IF(SUM($D$43:AD43)&lt;$B$82,AD43,IF(AD60=1,(($B$82-SUM($D$43:AC43))+(SUM($D$43:AD43)-$B$82)*$B$61),AD43*$B$61))</f>
        <v>0</v>
      </c>
      <c r="AE86" s="33">
        <f ca="1">IF(SUM($D$43:AE43)&lt;$B$82,AE43,IF(AE60=1,(($B$82-SUM($D$43:AD43))+(SUM($D$43:AE43)-$B$82)*$B$61),AE43*$B$61))</f>
        <v>0</v>
      </c>
      <c r="AF86" s="33">
        <f ca="1">IF(SUM($D$43:AF43)&lt;$B$82,AF43,IF(AF60=1,(($B$82-SUM($D$43:AE43))+(SUM($D$43:AF43)-$B$82)*$B$61),AF43*$B$61))</f>
        <v>0</v>
      </c>
      <c r="AG86" s="33">
        <f ca="1">IF(SUM($D$43:AG43)&lt;$B$82,AG43,IF(AG60=1,(($B$82-SUM($D$43:AF43))+(SUM($D$43:AG43)-$B$82)*$B$61),AG43*$B$61))</f>
        <v>0</v>
      </c>
      <c r="AH86" s="33">
        <f ca="1">IF(SUM($D$43:AH43)&lt;$B$82,AH43,IF(AH60=1,(($B$82-SUM($D$43:AG43))+(SUM($D$43:AH43)-$B$82)*$B$61),AH43*$B$61))</f>
        <v>0</v>
      </c>
      <c r="AI86" s="33">
        <f ca="1">IF(SUM($D$43:AI43)&lt;$B$82,AI43,IF(AI60=1,(($B$82-SUM($D$43:AH43))+(SUM($D$43:AI43)-$B$82)*$B$61),AI43*$B$61))</f>
        <v>0</v>
      </c>
      <c r="AJ86" s="33">
        <f ca="1">IF(SUM($D$43:AJ43)&lt;$B$82,AJ43,IF(AJ60=1,(($B$82-SUM($D$43:AI43))+(SUM($D$43:AJ43)-$B$82)*$B$61),AJ43*$B$61))</f>
        <v>0</v>
      </c>
      <c r="AK86" s="33">
        <f ca="1">IF(SUM($D$43:AK43)&lt;$B$82,AK43,IF(AK60=1,(($B$82-SUM($D$43:AJ43))+(SUM($D$43:AK43)-$B$82)*$B$61),AK43*$B$61))</f>
        <v>0</v>
      </c>
      <c r="AL86" s="33">
        <f ca="1">IF(SUM($D$43:AL43)&lt;$B$82,AL43,IF(AL60=1,(($B$82-SUM($D$43:AK43))+(SUM($D$43:AL43)-$B$82)*$B$61),AL43*$B$61))</f>
        <v>0</v>
      </c>
      <c r="AM86" s="33">
        <f ca="1">IF(SUM($D$43:AM43)&lt;$B$82,AM43,IF(AM60=1,(($B$82-SUM($D$43:AL43))+(SUM($D$43:AM43)-$B$82)*$B$61),AM43*$B$61))</f>
        <v>0</v>
      </c>
      <c r="AN86" s="33">
        <f ca="1">IF(SUM($D$43:AN43)&lt;$B$82,AN43,IF(AN60=1,(($B$82-SUM($D$43:AM43))+(SUM($D$43:AN43)-$B$82)*$B$61),AN43*$B$61))</f>
        <v>0</v>
      </c>
      <c r="AO86" s="33">
        <f ca="1">IF(SUM($D$43:AO43)&lt;$B$82,AO43,IF(AO60=1,(($B$82-SUM($D$43:AN43))+(SUM($D$43:AO43)-$B$82)*$B$61),AO43*$B$61))</f>
        <v>0</v>
      </c>
      <c r="AP86" s="33">
        <f ca="1">IF(SUM($D$43:AP43)&lt;$B$82,AP43,IF(AP60=1,(($B$82-SUM($D$43:AO43))+(SUM($D$43:AP43)-$B$82)*$B$61),AP43*$B$61))</f>
        <v>0</v>
      </c>
      <c r="AQ86" s="33">
        <f ca="1">IF(SUM($D$43:AQ43)&lt;$B$82,AQ43,IF(AQ60=1,(($B$82-SUM($D$43:AP43))+(SUM($D$43:AQ43)-$B$82)*$B$61),AQ43*$B$61))</f>
        <v>0</v>
      </c>
      <c r="AR86" s="33">
        <f ca="1">IF(SUM($D$43:AR43)&lt;$B$82,AR43,IF(AR60=1,(($B$82-SUM($D$43:AQ43))+(SUM($D$43:AR43)-$B$82)*$B$61),AR43*$B$61))</f>
        <v>0</v>
      </c>
      <c r="AS86" s="33">
        <f ca="1">IF(SUM($D$43:AS43)&lt;$B$82,AS43,IF(AS60=1,(($B$82-SUM($D$43:AR43))+(SUM($D$43:AS43)-$B$82)*$B$61),AS43*$B$61))</f>
        <v>0</v>
      </c>
      <c r="AT86" s="33">
        <f ca="1">IF(SUM($D$43:AT43)&lt;$B$82,AT43,IF(AT60=1,(($B$82-SUM($D$43:AS43))+(SUM($D$43:AT43)-$B$82)*$B$61),AT43*$B$61))</f>
        <v>0</v>
      </c>
      <c r="AU86" s="33">
        <f ca="1">IF(SUM($D$43:AU43)&lt;$B$82,AU43,IF(AU60=1,(($B$82-SUM($D$43:AT43))+(SUM($D$43:AU43)-$B$82)*$B$61),AU43*$B$61))</f>
        <v>0</v>
      </c>
      <c r="AV86" s="33">
        <f ca="1">IF(SUM($D$43:AV43)&lt;$B$82,AV43,IF(AV60=1,(($B$82-SUM($D$43:AU43))+(SUM($D$43:AV43)-$B$82)*$B$61),AV43*$B$61))</f>
        <v>0</v>
      </c>
      <c r="AW86" s="33">
        <f ca="1">IF(SUM($D$43:AW43)&lt;$B$82,AW43,IF(AW60=1,(($B$82-SUM($D$43:AV43))+(SUM($D$43:AW43)-$B$82)*$B$61),AW43*$B$61))</f>
        <v>0</v>
      </c>
      <c r="AX86" s="33">
        <f ca="1">IF(SUM($D$43:AX43)&lt;$B$82,AX43,IF(AX60=1,(($B$82-SUM($D$43:AW43))+(SUM($D$43:AX43)-$B$82)*$B$61),AX43*$B$61))</f>
        <v>0</v>
      </c>
      <c r="AY86" s="33">
        <f ca="1">IF(SUM($D$43:AY43)&lt;$B$82,AY43,IF(AY60=1,(($B$82-SUM($D$43:AX43))+(SUM($D$43:AY43)-$B$82)*$B$61),AY43*$B$61))</f>
        <v>0</v>
      </c>
      <c r="AZ86" s="33">
        <f ca="1">IF(SUM($D$43:AZ43)&lt;$B$82,AZ43,IF(AZ60=1,(($B$82-SUM($D$43:AY43))+(SUM($D$43:AZ43)-$B$82)*$B$61),AZ43*$B$61))</f>
        <v>0</v>
      </c>
      <c r="BA86" s="33">
        <f ca="1">IF(SUM($D$43:BA43)&lt;$B$82,BA43,IF(BA60=1,(($B$82-SUM($D$43:AZ43))+(SUM($D$43:BA43)-$B$82)*$B$61),BA43*$B$61))</f>
        <v>0</v>
      </c>
      <c r="BB86" s="33">
        <f ca="1">IF(SUM($D$43:BB43)&lt;$B$82,BB43,IF(BB60=1,(($B$82-SUM($D$43:BA43))+(SUM($D$43:BB43)-$B$82)*$B$61),BB43*$B$61))</f>
        <v>0</v>
      </c>
      <c r="BC86" s="33">
        <f ca="1">IF(SUM($D$43:BC43)&lt;$B$82,BC43,IF(BC60=1,(($B$82-SUM($D$43:BB43))+(SUM($D$43:BC43)-$B$82)*$B$61),BC43*$B$61))</f>
        <v>0</v>
      </c>
      <c r="BD86" s="33">
        <f ca="1">IF(SUM($D$43:BD43)&lt;$B$82,BD43,IF(BD60=1,(($B$82-SUM($D$43:BC43))+(SUM($D$43:BD43)-$B$82)*$B$61),BD43*$B$61))</f>
        <v>0</v>
      </c>
      <c r="BE86" s="33">
        <f ca="1">IF(SUM($D$43:BE43)&lt;$B$82,BE43,IF(BE60=1,(($B$82-SUM($D$43:BD43))+(SUM($D$43:BE43)-$B$82)*$B$61),BE43*$B$61))</f>
        <v>0</v>
      </c>
      <c r="BF86" s="33">
        <f ca="1">IF(SUM($D$43:BF43)&lt;$B$82,BF43,IF(BF60=1,(($B$82-SUM($D$43:BE43))+(SUM($D$43:BF43)-$B$82)*$B$61),BF43*$B$61))</f>
        <v>0</v>
      </c>
      <c r="BG86" s="33">
        <f ca="1">IF(SUM($D$43:BG43)&lt;$B$82,BG43,IF(BG60=1,(($B$82-SUM($D$43:BF43))+(SUM($D$43:BG43)-$B$82)*$B$61),BG43*$B$61))</f>
        <v>0</v>
      </c>
      <c r="BH86" s="33">
        <f ca="1">IF(SUM($D$43:BH43)&lt;$B$82,BH43,IF(BH60=1,(($B$82-SUM($D$43:BG43))+(SUM($D$43:BH43)-$B$82)*$B$61),BH43*$B$61))</f>
        <v>0</v>
      </c>
      <c r="BI86" s="33">
        <f ca="1">IF(SUM($D$43:BI43)&lt;$B$82,BI43,IF(BI60=1,(($B$82-SUM($D$43:BH43))+(SUM($D$43:BI43)-$B$82)*$B$61),BI43*$B$61))</f>
        <v>0</v>
      </c>
      <c r="BJ86" s="33">
        <f ca="1">IF(SUM($D$43:BJ43)&lt;$B$82,BJ43,IF(BJ60=1,(($B$82-SUM($D$43:BI43))+(SUM($D$43:BJ43)-$B$82)*$B$61),BJ43*$B$61))</f>
        <v>0</v>
      </c>
      <c r="BK86" s="33">
        <f ca="1">IF(SUM($D$43:BK43)&lt;$B$82,BK43,IF(BK60=1,(($B$82-SUM($D$43:BJ43))+(SUM($D$43:BK43)-$B$82)*$B$61),BK43*$B$61))</f>
        <v>0</v>
      </c>
      <c r="BL86" s="33">
        <f ca="1">IF(SUM($D$43:BL43)&lt;$B$82,BL43,IF(BL60=1,(($B$82-SUM($D$43:BK43))+(SUM($D$43:BL43)-$B$82)*$B$61),BL43*$B$61))</f>
        <v>0</v>
      </c>
      <c r="BM86" s="33">
        <f ca="1">IF(SUM($D$43:BM43)&lt;$B$82,BM43,IF(BM60=1,(($B$82-SUM($D$43:BL43))+(SUM($D$43:BM43)-$B$82)*$B$61),BM43*$B$61))</f>
        <v>0</v>
      </c>
      <c r="BN86" s="33">
        <f ca="1">IF(SUM($D$43:BN43)&lt;$B$82,BN43,IF(BN60=1,(($B$82-SUM($D$43:BM43))+(SUM($D$43:BN43)-$B$82)*$B$61),BN43*$B$61))</f>
        <v>0</v>
      </c>
      <c r="BO86" s="33">
        <f ca="1">IF(SUM($D$43:BO43)&lt;$B$82,BO43,IF(BO60=1,(($B$82-SUM($D$43:BN43))+(SUM($D$43:BO43)-$B$82)*$B$61),BO43*$B$61))</f>
        <v>0</v>
      </c>
      <c r="BP86" s="33">
        <f ca="1">IF(SUM($D$43:BP43)&lt;$B$82,BP43,IF(BP60=1,(($B$82-SUM($D$43:BO43))+(SUM($D$43:BP43)-$B$82)*$B$61),BP43*$B$61))</f>
        <v>0</v>
      </c>
      <c r="BQ86" s="33">
        <f ca="1">IF(SUM($D$43:BQ43)&lt;$B$82,BQ43,IF(BQ60=1,(($B$82-SUM($D$43:BP43))+(SUM($D$43:BQ43)-$B$82)*$B$61),BQ43*$B$61))</f>
        <v>0</v>
      </c>
      <c r="BR86" s="33">
        <f ca="1">IF(SUM($D$43:BR43)&lt;$B$82,BR43,IF(BR60=1,(($B$82-SUM($D$43:BQ43))+(SUM($D$43:BR43)-$B$82)*$B$61),BR43*$B$61))</f>
        <v>0</v>
      </c>
      <c r="BS86" s="33">
        <f ca="1">IF(SUM($D$43:BS43)&lt;$B$82,BS43,IF(BS60=1,(($B$82-SUM($D$43:BR43))+(SUM($D$43:BS43)-$B$82)*$B$61),BS43*$B$61))</f>
        <v>0</v>
      </c>
      <c r="BT86" s="33">
        <f ca="1">IF(SUM($D$43:BT43)&lt;$B$82,BT43,IF(BT60=1,(($B$82-SUM($D$43:BS43))+(SUM($D$43:BT43)-$B$82)*$B$61),BT43*$B$61))</f>
        <v>0</v>
      </c>
      <c r="BU86" s="33">
        <f ca="1">IF(SUM($D$43:BU43)&lt;$B$82,BU43,IF(BU60=1,(($B$82-SUM($D$43:BT43))+(SUM($D$43:BU43)-$B$82)*$B$61),BU43*$B$61))</f>
        <v>0</v>
      </c>
      <c r="BV86" s="33">
        <f ca="1">IF(SUM($D$43:BV43)&lt;$B$82,BV43,IF(BV60=1,(($B$82-SUM($D$43:BU43))+(SUM($D$43:BV43)-$B$82)*$B$61),BV43*$B$61))</f>
        <v>0</v>
      </c>
      <c r="BW86" s="33">
        <f ca="1">IF(SUM($D$43:BW43)&lt;$B$82,BW43,IF(BW60=1,(($B$82-SUM($D$43:BV43))+(SUM($D$43:BW43)-$B$82)*$B$61),BW43*$B$61))</f>
        <v>0</v>
      </c>
      <c r="BX86" s="33">
        <f ca="1">IF(SUM($D$43:BX43)&lt;$B$82,BX43,IF(BX60=1,(($B$82-SUM($D$43:BW43))+(SUM($D$43:BX43)-$B$82)*$B$61),BX43*$B$61))</f>
        <v>0</v>
      </c>
      <c r="BY86" s="33">
        <f ca="1">IF(SUM($D$43:BY43)&lt;$B$82,BY43,IF(BY60=1,(($B$82-SUM($D$43:BX43))+(SUM($D$43:BY43)-$B$82)*$B$61),BY43*$B$61))</f>
        <v>0</v>
      </c>
      <c r="BZ86" s="33">
        <f ca="1">IF(SUM($D$43:BZ43)&lt;$B$82,BZ43,IF(BZ60=1,(($B$82-SUM($D$43:BY43))+(SUM($D$43:BZ43)-$B$82)*$B$61),BZ43*$B$61))</f>
        <v>0</v>
      </c>
      <c r="CA86" s="33">
        <f ca="1">IF(SUM($D$43:CA43)&lt;$B$82,CA43,IF(CA60=1,(($B$82-SUM($D$43:BZ43))+(SUM($D$43:CA43)-$B$82)*$B$61),CA43*$B$61))</f>
        <v>0</v>
      </c>
      <c r="CB86" s="33">
        <f ca="1">IF(SUM($D$43:CB43)&lt;$B$82,CB43,IF(CB60=1,(($B$82-SUM($D$43:CA43))+(SUM($D$43:CB43)-$B$82)*$B$61),CB43*$B$61))</f>
        <v>0</v>
      </c>
      <c r="CC86" s="33">
        <f ca="1">IF(SUM($D$43:CC43)&lt;$B$82,CC43,IF(CC60=1,(($B$82-SUM($D$43:CB43))+(SUM($D$43:CC43)-$B$82)*$B$61),CC43*$B$61))</f>
        <v>0</v>
      </c>
      <c r="CD86" s="33">
        <f ca="1">IF(SUM($D$43:CD43)&lt;$B$82,CD43,IF(CD60=1,(($B$82-SUM($D$43:CC43))+(SUM($D$43:CD43)-$B$82)*$B$61),CD43*$B$61))</f>
        <v>0</v>
      </c>
      <c r="CE86" s="33">
        <f ca="1">IF(SUM($D$43:CE43)&lt;$B$82,CE43,IF(CE60=1,(($B$82-SUM($D$43:CD43))+(SUM($D$43:CE43)-$B$82)*$B$61),CE43*$B$61))</f>
        <v>0</v>
      </c>
      <c r="CF86" s="33">
        <f ca="1">IF(SUM($D$43:CF43)&lt;$B$82,CF43,IF(CF60=1,(($B$82-SUM($D$43:CE43))+(SUM($D$43:CF43)-$B$82)*$B$61),CF43*$B$61))</f>
        <v>0</v>
      </c>
      <c r="CG86" s="33">
        <f ca="1">IF(SUM($D$43:CG43)&lt;$B$82,CG43,IF(CG60=1,(($B$82-SUM($D$43:CF43))+(SUM($D$43:CG43)-$B$82)*$B$61),CG43*$B$61))</f>
        <v>0</v>
      </c>
      <c r="CH86" s="33">
        <f ca="1">IF(SUM($D$43:CH43)&lt;$B$82,CH43,IF(CH60=1,(($B$82-SUM($D$43:CG43))+(SUM($D$43:CH43)-$B$82)*$B$61),CH43*$B$61))</f>
        <v>0</v>
      </c>
      <c r="CI86" s="33">
        <f ca="1">IF(SUM($D$43:CI43)&lt;$B$82,CI43,IF(CI60=1,(($B$82-SUM($D$43:CH43))+(SUM($D$43:CI43)-$B$82)*$B$61),CI43*$B$61))</f>
        <v>0</v>
      </c>
      <c r="CJ86" s="33">
        <f ca="1">IF(SUM($D$43:CJ43)&lt;$B$82,CJ43,IF(CJ60=1,(($B$82-SUM($D$43:CI43))+(SUM($D$43:CJ43)-$B$82)*$B$61),CJ43*$B$61))</f>
        <v>0</v>
      </c>
      <c r="CK86" s="33">
        <f ca="1">IF(SUM($D$43:CK43)&lt;$B$82,CK43,IF(CK60=1,(($B$82-SUM($D$43:CJ43))+(SUM($D$43:CK43)-$B$82)*$B$61),CK43*$B$61))</f>
        <v>0</v>
      </c>
      <c r="CL86" s="33">
        <f ca="1">IF(SUM($D$43:CL43)&lt;$B$82,CL43,IF(CL60=1,(($B$82-SUM($D$43:CK43))+(SUM($D$43:CL43)-$B$82)*$B$61),CL43*$B$61))</f>
        <v>0</v>
      </c>
      <c r="CM86" s="33">
        <f ca="1">IF(SUM($D$43:CM43)&lt;$B$82,CM43,IF(CM60=1,(($B$82-SUM($D$43:CL43))+(SUM($D$43:CM43)-$B$82)*$B$61),CM43*$B$61))</f>
        <v>0</v>
      </c>
      <c r="CN86" s="33">
        <f ca="1">IF(SUM($D$43:CN43)&lt;$B$82,CN43,IF(CN60=1,(($B$82-SUM($D$43:CM43))+(SUM($D$43:CN43)-$B$82)*$B$61),CN43*$B$61))</f>
        <v>0</v>
      </c>
      <c r="CO86" s="33">
        <f ca="1">IF(SUM($D$43:CO43)&lt;$B$82,CO43,IF(CO60=1,(($B$82-SUM($D$43:CN43))+(SUM($D$43:CO43)-$B$82)*$B$61),CO43*$B$61))</f>
        <v>0</v>
      </c>
      <c r="CP86" s="33">
        <f ca="1">IF(SUM($D$43:CP43)&lt;$B$82,CP43,IF(CP60=1,(($B$82-SUM($D$43:CO43))+(SUM($D$43:CP43)-$B$82)*$B$61),CP43*$B$61))</f>
        <v>0</v>
      </c>
      <c r="CQ86" s="33">
        <f ca="1">IF(SUM($D$43:CQ43)&lt;$B$82,CQ43,IF(CQ60=1,(($B$82-SUM($D$43:CP43))+(SUM($D$43:CQ43)-$B$82)*$B$61),CQ43*$B$61))</f>
        <v>0</v>
      </c>
      <c r="CR86" s="33">
        <f ca="1">IF(SUM($D$43:CR43)&lt;$B$82,CR43,IF(CR60=1,(($B$82-SUM($D$43:CQ43))+(SUM($D$43:CR43)-$B$82)*$B$61),CR43*$B$61))</f>
        <v>0</v>
      </c>
      <c r="CS86" s="33">
        <f ca="1">IF(SUM($D$43:CS43)&lt;$B$82,CS43,IF(CS60=1,(($B$82-SUM($D$43:CR43))+(SUM($D$43:CS43)-$B$82)*$B$61),CS43*$B$61))</f>
        <v>0</v>
      </c>
      <c r="CT86" s="33">
        <f ca="1">IF(SUM($D$43:CT43)&lt;$B$82,CT43,IF(CT60=1,(($B$82-SUM($D$43:CS43))+(SUM($D$43:CT43)-$B$82)*$B$61),CT43*$B$61))</f>
        <v>0</v>
      </c>
      <c r="CU86" s="33">
        <f ca="1">IF(SUM($D$43:CU43)&lt;$B$82,CU43,IF(CU60=1,(($B$82-SUM($D$43:CT43))+(SUM($D$43:CU43)-$B$82)*$B$61),CU43*$B$61))</f>
        <v>0</v>
      </c>
      <c r="CV86" s="33">
        <f ca="1">IF(SUM($D$43:CV43)&lt;$B$82,CV43,IF(CV60=1,(($B$82-SUM($D$43:CU43))+(SUM($D$43:CV43)-$B$82)*$B$61),CV43*$B$61))</f>
        <v>0</v>
      </c>
      <c r="CW86" s="33">
        <f ca="1">IF(SUM($D$43:CW43)&lt;$B$82,CW43,IF(CW60=1,(($B$82-SUM($D$43:CV43))+(SUM($D$43:CW43)-$B$82)*$B$61),CW43*$B$61))</f>
        <v>0</v>
      </c>
      <c r="CX86" s="33">
        <f ca="1">IF(SUM($D$43:CX43)&lt;$B$82,CX43,IF(CX60=1,(($B$82-SUM($D$43:CW43))+(SUM($D$43:CX43)-$B$82)*$B$61),CX43*$B$61))</f>
        <v>0</v>
      </c>
    </row>
    <row r="87" spans="1:102" x14ac:dyDescent="0.3">
      <c r="A87" s="276" t="s">
        <v>267</v>
      </c>
      <c r="B87" s="57">
        <f ca="1">B62/B90</f>
        <v>0.189156608726891</v>
      </c>
      <c r="D87" s="33"/>
      <c r="E87" s="33">
        <f ca="1">E86-E92</f>
        <v>8.2072988829863132</v>
      </c>
      <c r="F87" s="33">
        <f t="shared" ref="F87:BQ87" ca="1" si="35">F86-F92</f>
        <v>8.3930086174084266</v>
      </c>
      <c r="G87" s="33">
        <f t="shared" ca="1" si="35"/>
        <v>-3.0827640245099985E-2</v>
      </c>
      <c r="H87" s="33">
        <f t="shared" ca="1" si="35"/>
        <v>-8.6225803912991736</v>
      </c>
      <c r="I87" s="33">
        <f t="shared" ca="1" si="35"/>
        <v>-25.909484925232217</v>
      </c>
      <c r="J87" s="33">
        <f t="shared" ca="1" si="35"/>
        <v>0</v>
      </c>
      <c r="K87" s="33">
        <f t="shared" ca="1" si="35"/>
        <v>0</v>
      </c>
      <c r="L87" s="33">
        <f t="shared" ca="1" si="35"/>
        <v>0</v>
      </c>
      <c r="M87" s="33">
        <f t="shared" ca="1" si="35"/>
        <v>0</v>
      </c>
      <c r="N87" s="33">
        <f t="shared" ca="1" si="35"/>
        <v>0</v>
      </c>
      <c r="O87" s="33">
        <f t="shared" ca="1" si="35"/>
        <v>0</v>
      </c>
      <c r="P87" s="33">
        <f t="shared" ca="1" si="35"/>
        <v>0</v>
      </c>
      <c r="Q87" s="33">
        <f t="shared" ca="1" si="35"/>
        <v>0</v>
      </c>
      <c r="R87" s="33">
        <f t="shared" ca="1" si="35"/>
        <v>0</v>
      </c>
      <c r="S87" s="33">
        <f t="shared" ca="1" si="35"/>
        <v>0</v>
      </c>
      <c r="T87" s="33">
        <f t="shared" ca="1" si="35"/>
        <v>0</v>
      </c>
      <c r="U87" s="33">
        <f t="shared" ca="1" si="35"/>
        <v>3.3454804320278537</v>
      </c>
      <c r="V87" s="33">
        <f t="shared" ca="1" si="35"/>
        <v>0</v>
      </c>
      <c r="W87" s="33">
        <f t="shared" ca="1" si="35"/>
        <v>0</v>
      </c>
      <c r="X87" s="33">
        <f t="shared" ca="1" si="35"/>
        <v>0</v>
      </c>
      <c r="Y87" s="33">
        <f t="shared" ca="1" si="35"/>
        <v>0</v>
      </c>
      <c r="Z87" s="33">
        <f t="shared" ca="1" si="35"/>
        <v>0</v>
      </c>
      <c r="AA87" s="33">
        <f t="shared" ca="1" si="35"/>
        <v>0</v>
      </c>
      <c r="AB87" s="33">
        <f t="shared" ca="1" si="35"/>
        <v>0</v>
      </c>
      <c r="AC87" s="33">
        <f t="shared" ca="1" si="35"/>
        <v>0</v>
      </c>
      <c r="AD87" s="33">
        <f t="shared" ca="1" si="35"/>
        <v>0</v>
      </c>
      <c r="AE87" s="33">
        <f t="shared" ca="1" si="35"/>
        <v>0</v>
      </c>
      <c r="AF87" s="33">
        <f t="shared" ca="1" si="35"/>
        <v>0</v>
      </c>
      <c r="AG87" s="33">
        <f t="shared" ca="1" si="35"/>
        <v>0</v>
      </c>
      <c r="AH87" s="33">
        <f t="shared" ca="1" si="35"/>
        <v>0</v>
      </c>
      <c r="AI87" s="33">
        <f t="shared" ca="1" si="35"/>
        <v>0</v>
      </c>
      <c r="AJ87" s="33">
        <f t="shared" ca="1" si="35"/>
        <v>0</v>
      </c>
      <c r="AK87" s="33">
        <f t="shared" ca="1" si="35"/>
        <v>0</v>
      </c>
      <c r="AL87" s="33">
        <f t="shared" ca="1" si="35"/>
        <v>0</v>
      </c>
      <c r="AM87" s="33">
        <f t="shared" ca="1" si="35"/>
        <v>0</v>
      </c>
      <c r="AN87" s="33">
        <f t="shared" ca="1" si="35"/>
        <v>0</v>
      </c>
      <c r="AO87" s="33">
        <f t="shared" ca="1" si="35"/>
        <v>0</v>
      </c>
      <c r="AP87" s="33">
        <f t="shared" ca="1" si="35"/>
        <v>0</v>
      </c>
      <c r="AQ87" s="33">
        <f t="shared" ca="1" si="35"/>
        <v>0</v>
      </c>
      <c r="AR87" s="33">
        <f t="shared" ca="1" si="35"/>
        <v>0</v>
      </c>
      <c r="AS87" s="33">
        <f t="shared" ca="1" si="35"/>
        <v>0</v>
      </c>
      <c r="AT87" s="33">
        <f t="shared" ca="1" si="35"/>
        <v>0</v>
      </c>
      <c r="AU87" s="33">
        <f t="shared" ca="1" si="35"/>
        <v>0</v>
      </c>
      <c r="AV87" s="33">
        <f t="shared" ca="1" si="35"/>
        <v>0</v>
      </c>
      <c r="AW87" s="33">
        <f t="shared" ca="1" si="35"/>
        <v>0</v>
      </c>
      <c r="AX87" s="33">
        <f t="shared" ca="1" si="35"/>
        <v>0</v>
      </c>
      <c r="AY87" s="33">
        <f t="shared" ca="1" si="35"/>
        <v>0</v>
      </c>
      <c r="AZ87" s="33">
        <f t="shared" ca="1" si="35"/>
        <v>0</v>
      </c>
      <c r="BA87" s="33">
        <f t="shared" ca="1" si="35"/>
        <v>0</v>
      </c>
      <c r="BB87" s="33">
        <f t="shared" ca="1" si="35"/>
        <v>0</v>
      </c>
      <c r="BC87" s="33">
        <f t="shared" ca="1" si="35"/>
        <v>0</v>
      </c>
      <c r="BD87" s="33">
        <f t="shared" ca="1" si="35"/>
        <v>0</v>
      </c>
      <c r="BE87" s="33">
        <f t="shared" ca="1" si="35"/>
        <v>0</v>
      </c>
      <c r="BF87" s="33">
        <f t="shared" ca="1" si="35"/>
        <v>0</v>
      </c>
      <c r="BG87" s="33">
        <f t="shared" ca="1" si="35"/>
        <v>0</v>
      </c>
      <c r="BH87" s="33">
        <f t="shared" ca="1" si="35"/>
        <v>0</v>
      </c>
      <c r="BI87" s="33">
        <f t="shared" ca="1" si="35"/>
        <v>0</v>
      </c>
      <c r="BJ87" s="33">
        <f t="shared" ca="1" si="35"/>
        <v>0</v>
      </c>
      <c r="BK87" s="33">
        <f t="shared" ca="1" si="35"/>
        <v>0</v>
      </c>
      <c r="BL87" s="33">
        <f t="shared" ca="1" si="35"/>
        <v>0</v>
      </c>
      <c r="BM87" s="33">
        <f t="shared" ca="1" si="35"/>
        <v>0</v>
      </c>
      <c r="BN87" s="33">
        <f t="shared" ca="1" si="35"/>
        <v>0</v>
      </c>
      <c r="BO87" s="33">
        <f t="shared" ca="1" si="35"/>
        <v>0</v>
      </c>
      <c r="BP87" s="33">
        <f t="shared" ca="1" si="35"/>
        <v>0</v>
      </c>
      <c r="BQ87" s="33">
        <f t="shared" ca="1" si="35"/>
        <v>0</v>
      </c>
      <c r="BR87" s="33">
        <f t="shared" ref="BR87:CX87" ca="1" si="36">BR86-BR92</f>
        <v>0</v>
      </c>
      <c r="BS87" s="33">
        <f t="shared" ca="1" si="36"/>
        <v>0</v>
      </c>
      <c r="BT87" s="33">
        <f t="shared" ca="1" si="36"/>
        <v>0</v>
      </c>
      <c r="BU87" s="33">
        <f t="shared" ca="1" si="36"/>
        <v>0</v>
      </c>
      <c r="BV87" s="33">
        <f t="shared" ca="1" si="36"/>
        <v>0</v>
      </c>
      <c r="BW87" s="33">
        <f t="shared" ca="1" si="36"/>
        <v>0</v>
      </c>
      <c r="BX87" s="33">
        <f t="shared" ca="1" si="36"/>
        <v>0</v>
      </c>
      <c r="BY87" s="33">
        <f t="shared" ca="1" si="36"/>
        <v>0</v>
      </c>
      <c r="BZ87" s="33">
        <f t="shared" ca="1" si="36"/>
        <v>0</v>
      </c>
      <c r="CA87" s="33">
        <f t="shared" ca="1" si="36"/>
        <v>0</v>
      </c>
      <c r="CB87" s="33">
        <f t="shared" ca="1" si="36"/>
        <v>0</v>
      </c>
      <c r="CC87" s="33">
        <f t="shared" ca="1" si="36"/>
        <v>0</v>
      </c>
      <c r="CD87" s="33">
        <f t="shared" ca="1" si="36"/>
        <v>0</v>
      </c>
      <c r="CE87" s="33">
        <f t="shared" ca="1" si="36"/>
        <v>0</v>
      </c>
      <c r="CF87" s="33">
        <f t="shared" ca="1" si="36"/>
        <v>0</v>
      </c>
      <c r="CG87" s="33">
        <f t="shared" ca="1" si="36"/>
        <v>0</v>
      </c>
      <c r="CH87" s="33">
        <f t="shared" ca="1" si="36"/>
        <v>0</v>
      </c>
      <c r="CI87" s="33">
        <f t="shared" ca="1" si="36"/>
        <v>0</v>
      </c>
      <c r="CJ87" s="33">
        <f t="shared" ca="1" si="36"/>
        <v>0</v>
      </c>
      <c r="CK87" s="33">
        <f t="shared" ca="1" si="36"/>
        <v>0</v>
      </c>
      <c r="CL87" s="33">
        <f t="shared" ca="1" si="36"/>
        <v>0</v>
      </c>
      <c r="CM87" s="33">
        <f t="shared" ca="1" si="36"/>
        <v>0</v>
      </c>
      <c r="CN87" s="33">
        <f t="shared" ca="1" si="36"/>
        <v>0</v>
      </c>
      <c r="CO87" s="33">
        <f t="shared" ca="1" si="36"/>
        <v>0</v>
      </c>
      <c r="CP87" s="33">
        <f t="shared" ca="1" si="36"/>
        <v>0</v>
      </c>
      <c r="CQ87" s="33">
        <f t="shared" ca="1" si="36"/>
        <v>0</v>
      </c>
      <c r="CR87" s="33">
        <f t="shared" ca="1" si="36"/>
        <v>0</v>
      </c>
      <c r="CS87" s="33">
        <f t="shared" ca="1" si="36"/>
        <v>0</v>
      </c>
      <c r="CT87" s="33">
        <f t="shared" ca="1" si="36"/>
        <v>0</v>
      </c>
      <c r="CU87" s="33">
        <f t="shared" ca="1" si="36"/>
        <v>0</v>
      </c>
      <c r="CV87" s="33">
        <f t="shared" ca="1" si="36"/>
        <v>0</v>
      </c>
      <c r="CW87" s="33">
        <f t="shared" ca="1" si="36"/>
        <v>0</v>
      </c>
      <c r="CX87" s="33">
        <f t="shared" ca="1" si="36"/>
        <v>0</v>
      </c>
    </row>
    <row r="88" spans="1:102" x14ac:dyDescent="0.3">
      <c r="A88" s="287" t="s">
        <v>295</v>
      </c>
      <c r="B88" s="52"/>
    </row>
    <row r="89" spans="1:102" x14ac:dyDescent="0.3">
      <c r="A89" s="288" t="s">
        <v>294</v>
      </c>
      <c r="B89" s="289"/>
      <c r="C89" s="289">
        <f t="shared" ref="C89:AH89" si="37">C7</f>
        <v>45473</v>
      </c>
      <c r="D89" s="289">
        <f t="shared" si="37"/>
        <v>45565</v>
      </c>
      <c r="E89" s="289">
        <f t="shared" si="37"/>
        <v>45657</v>
      </c>
      <c r="F89" s="289">
        <f t="shared" si="37"/>
        <v>45747</v>
      </c>
      <c r="G89" s="289">
        <f t="shared" si="37"/>
        <v>45838</v>
      </c>
      <c r="H89" s="289">
        <f t="shared" si="37"/>
        <v>45930</v>
      </c>
      <c r="I89" s="289">
        <f t="shared" si="37"/>
        <v>46022</v>
      </c>
      <c r="J89" s="289">
        <f t="shared" si="37"/>
        <v>46112</v>
      </c>
      <c r="K89" s="289">
        <f t="shared" si="37"/>
        <v>46203</v>
      </c>
      <c r="L89" s="289">
        <f t="shared" si="37"/>
        <v>46295</v>
      </c>
      <c r="M89" s="289">
        <f t="shared" si="37"/>
        <v>46387</v>
      </c>
      <c r="N89" s="289">
        <f t="shared" si="37"/>
        <v>46477</v>
      </c>
      <c r="O89" s="289">
        <f t="shared" si="37"/>
        <v>46568</v>
      </c>
      <c r="P89" s="289">
        <f t="shared" si="37"/>
        <v>46660</v>
      </c>
      <c r="Q89" s="289">
        <f t="shared" si="37"/>
        <v>46752</v>
      </c>
      <c r="R89" s="289">
        <f t="shared" si="37"/>
        <v>46843</v>
      </c>
      <c r="S89" s="289">
        <f t="shared" si="37"/>
        <v>46934</v>
      </c>
      <c r="T89" s="289">
        <f t="shared" si="37"/>
        <v>47026</v>
      </c>
      <c r="U89" s="289">
        <f t="shared" si="37"/>
        <v>47118</v>
      </c>
      <c r="V89" s="289">
        <f t="shared" si="37"/>
        <v>47208</v>
      </c>
      <c r="W89" s="289">
        <f t="shared" si="37"/>
        <v>47299</v>
      </c>
      <c r="X89" s="289">
        <f t="shared" si="37"/>
        <v>47391</v>
      </c>
      <c r="Y89" s="289">
        <f t="shared" si="37"/>
        <v>47483</v>
      </c>
      <c r="Z89" s="289">
        <f t="shared" si="37"/>
        <v>47573</v>
      </c>
      <c r="AA89" s="289">
        <f t="shared" si="37"/>
        <v>47664</v>
      </c>
      <c r="AB89" s="289">
        <f t="shared" si="37"/>
        <v>47756</v>
      </c>
      <c r="AC89" s="289">
        <f t="shared" si="37"/>
        <v>47848</v>
      </c>
      <c r="AD89" s="289">
        <f t="shared" si="37"/>
        <v>47938</v>
      </c>
      <c r="AE89" s="289">
        <f t="shared" si="37"/>
        <v>48029</v>
      </c>
      <c r="AF89" s="289">
        <f t="shared" si="37"/>
        <v>48121</v>
      </c>
      <c r="AG89" s="289">
        <f t="shared" si="37"/>
        <v>48213</v>
      </c>
      <c r="AH89" s="289">
        <f t="shared" si="37"/>
        <v>48304</v>
      </c>
      <c r="AI89" s="289">
        <f t="shared" ref="AI89:BN89" si="38">AI7</f>
        <v>48395</v>
      </c>
      <c r="AJ89" s="289">
        <f t="shared" si="38"/>
        <v>48487</v>
      </c>
      <c r="AK89" s="289">
        <f t="shared" si="38"/>
        <v>48579</v>
      </c>
      <c r="AL89" s="289">
        <f t="shared" si="38"/>
        <v>48669</v>
      </c>
      <c r="AM89" s="289">
        <f t="shared" si="38"/>
        <v>48760</v>
      </c>
      <c r="AN89" s="289">
        <f t="shared" si="38"/>
        <v>48852</v>
      </c>
      <c r="AO89" s="289">
        <f t="shared" si="38"/>
        <v>48944</v>
      </c>
      <c r="AP89" s="289">
        <f t="shared" si="38"/>
        <v>49034</v>
      </c>
      <c r="AQ89" s="289">
        <f t="shared" si="38"/>
        <v>49125</v>
      </c>
      <c r="AR89" s="289">
        <f t="shared" si="38"/>
        <v>49217</v>
      </c>
      <c r="AS89" s="289">
        <f t="shared" si="38"/>
        <v>49309</v>
      </c>
      <c r="AT89" s="289">
        <f t="shared" si="38"/>
        <v>49399</v>
      </c>
      <c r="AU89" s="289">
        <f t="shared" si="38"/>
        <v>49490</v>
      </c>
      <c r="AV89" s="289">
        <f t="shared" si="38"/>
        <v>49582</v>
      </c>
      <c r="AW89" s="289">
        <f t="shared" si="38"/>
        <v>49674</v>
      </c>
      <c r="AX89" s="289">
        <f t="shared" si="38"/>
        <v>49765</v>
      </c>
      <c r="AY89" s="289">
        <f t="shared" si="38"/>
        <v>49856</v>
      </c>
      <c r="AZ89" s="289">
        <f t="shared" si="38"/>
        <v>49948</v>
      </c>
      <c r="BA89" s="289">
        <f t="shared" si="38"/>
        <v>50040</v>
      </c>
      <c r="BB89" s="289">
        <f t="shared" si="38"/>
        <v>50130</v>
      </c>
      <c r="BC89" s="289">
        <f t="shared" si="38"/>
        <v>50221</v>
      </c>
      <c r="BD89" s="289">
        <f t="shared" si="38"/>
        <v>50313</v>
      </c>
      <c r="BE89" s="289">
        <f t="shared" si="38"/>
        <v>50405</v>
      </c>
      <c r="BF89" s="289">
        <f t="shared" si="38"/>
        <v>50495</v>
      </c>
      <c r="BG89" s="289">
        <f t="shared" si="38"/>
        <v>50586</v>
      </c>
      <c r="BH89" s="289">
        <f t="shared" si="38"/>
        <v>50678</v>
      </c>
      <c r="BI89" s="289">
        <f t="shared" si="38"/>
        <v>50770</v>
      </c>
      <c r="BJ89" s="289">
        <f t="shared" si="38"/>
        <v>50860</v>
      </c>
      <c r="BK89" s="289">
        <f t="shared" si="38"/>
        <v>50951</v>
      </c>
      <c r="BL89" s="289">
        <f t="shared" si="38"/>
        <v>51043</v>
      </c>
      <c r="BM89" s="289">
        <f t="shared" si="38"/>
        <v>51135</v>
      </c>
      <c r="BN89" s="289">
        <f t="shared" si="38"/>
        <v>51226</v>
      </c>
      <c r="BO89" s="289">
        <f t="shared" ref="BO89:CX89" si="39">BO7</f>
        <v>51317</v>
      </c>
      <c r="BP89" s="289">
        <f t="shared" si="39"/>
        <v>51409</v>
      </c>
      <c r="BQ89" s="289">
        <f t="shared" si="39"/>
        <v>51501</v>
      </c>
      <c r="BR89" s="289">
        <f t="shared" si="39"/>
        <v>51591</v>
      </c>
      <c r="BS89" s="289">
        <f t="shared" si="39"/>
        <v>51682</v>
      </c>
      <c r="BT89" s="289">
        <f t="shared" si="39"/>
        <v>51774</v>
      </c>
      <c r="BU89" s="289">
        <f t="shared" si="39"/>
        <v>51866</v>
      </c>
      <c r="BV89" s="289">
        <f t="shared" si="39"/>
        <v>51956</v>
      </c>
      <c r="BW89" s="289">
        <f t="shared" si="39"/>
        <v>52047</v>
      </c>
      <c r="BX89" s="289">
        <f t="shared" si="39"/>
        <v>52139</v>
      </c>
      <c r="BY89" s="289">
        <f t="shared" si="39"/>
        <v>52231</v>
      </c>
      <c r="BZ89" s="289">
        <f t="shared" si="39"/>
        <v>52321</v>
      </c>
      <c r="CA89" s="289">
        <f t="shared" si="39"/>
        <v>52412</v>
      </c>
      <c r="CB89" s="289">
        <f t="shared" si="39"/>
        <v>52504</v>
      </c>
      <c r="CC89" s="289">
        <f t="shared" si="39"/>
        <v>52596</v>
      </c>
      <c r="CD89" s="289">
        <f t="shared" si="39"/>
        <v>52687</v>
      </c>
      <c r="CE89" s="289">
        <f t="shared" si="39"/>
        <v>52778</v>
      </c>
      <c r="CF89" s="289">
        <f t="shared" si="39"/>
        <v>52870</v>
      </c>
      <c r="CG89" s="289">
        <f t="shared" si="39"/>
        <v>52962</v>
      </c>
      <c r="CH89" s="289">
        <f t="shared" si="39"/>
        <v>53052</v>
      </c>
      <c r="CI89" s="289">
        <f t="shared" si="39"/>
        <v>53143</v>
      </c>
      <c r="CJ89" s="289">
        <f t="shared" si="39"/>
        <v>53235</v>
      </c>
      <c r="CK89" s="289">
        <f t="shared" si="39"/>
        <v>53327</v>
      </c>
      <c r="CL89" s="289">
        <f t="shared" si="39"/>
        <v>53417</v>
      </c>
      <c r="CM89" s="289">
        <f t="shared" si="39"/>
        <v>53508</v>
      </c>
      <c r="CN89" s="289">
        <f t="shared" si="39"/>
        <v>53600</v>
      </c>
      <c r="CO89" s="289">
        <f t="shared" si="39"/>
        <v>53692</v>
      </c>
      <c r="CP89" s="289">
        <f t="shared" si="39"/>
        <v>53782</v>
      </c>
      <c r="CQ89" s="289">
        <f t="shared" si="39"/>
        <v>53873</v>
      </c>
      <c r="CR89" s="289">
        <f t="shared" si="39"/>
        <v>53965</v>
      </c>
      <c r="CS89" s="289">
        <f t="shared" si="39"/>
        <v>54057</v>
      </c>
      <c r="CT89" s="289">
        <f t="shared" si="39"/>
        <v>54148</v>
      </c>
      <c r="CU89" s="289">
        <f t="shared" si="39"/>
        <v>54239</v>
      </c>
      <c r="CV89" s="289">
        <f t="shared" si="39"/>
        <v>54331</v>
      </c>
      <c r="CW89" s="289">
        <f t="shared" si="39"/>
        <v>54423</v>
      </c>
      <c r="CX89" s="289">
        <f t="shared" si="39"/>
        <v>54513</v>
      </c>
    </row>
    <row r="90" spans="1:102" x14ac:dyDescent="0.3">
      <c r="A90" s="169" t="s">
        <v>268</v>
      </c>
      <c r="B90" s="259">
        <f ca="1">SUM(C90:CX90)</f>
        <v>251.53760326025503</v>
      </c>
      <c r="C90" s="52">
        <f>SUMIFS('Monthly Cashflow'!90:90,'Monthly Cashflow'!$3:$3,C$89)</f>
        <v>21.410999999999998</v>
      </c>
      <c r="D90" s="52">
        <f ca="1">SUMIFS('Monthly Cashflow'!90:90,'Monthly Cashflow'!$3:$3,D$89)</f>
        <v>9.5686924996052536</v>
      </c>
      <c r="E90" s="52">
        <f ca="1">SUMIFS('Monthly Cashflow'!90:90,'Monthly Cashflow'!$3:$3,E$89)</f>
        <v>8.2072988829863185</v>
      </c>
      <c r="F90" s="52">
        <f ca="1">SUMIFS('Monthly Cashflow'!90:90,'Monthly Cashflow'!$3:$3,F$89)</f>
        <v>8.4238362576535302</v>
      </c>
      <c r="G90" s="52">
        <f ca="1">SUMIFS('Monthly Cashflow'!90:90,'Monthly Cashflow'!$3:$3,G$89)</f>
        <v>8.5917527510540808</v>
      </c>
      <c r="H90" s="52">
        <f ca="1">SUMIFS('Monthly Cashflow'!90:90,'Monthly Cashflow'!$3:$3,H$89)</f>
        <v>17.286904533933043</v>
      </c>
      <c r="I90" s="52">
        <f ca="1">SUMIFS('Monthly Cashflow'!90:90,'Monthly Cashflow'!$3:$3,I$89)</f>
        <v>16.337570972781815</v>
      </c>
      <c r="J90" s="52">
        <f ca="1">SUMIFS('Monthly Cashflow'!90:90,'Monthly Cashflow'!$3:$3,J$89)</f>
        <v>17.072058945016128</v>
      </c>
      <c r="K90" s="52">
        <f ca="1">SUMIFS('Monthly Cashflow'!90:90,'Monthly Cashflow'!$3:$3,K$89)</f>
        <v>23.739516681275809</v>
      </c>
      <c r="L90" s="52">
        <f ca="1">SUMIFS('Monthly Cashflow'!90:90,'Monthly Cashflow'!$3:$3,L$89)</f>
        <v>8.1321593739104117</v>
      </c>
      <c r="M90" s="52">
        <f ca="1">SUMIFS('Monthly Cashflow'!90:90,'Monthly Cashflow'!$3:$3,M$89)</f>
        <v>8.2573869645084663</v>
      </c>
      <c r="N90" s="52">
        <f ca="1">SUMIFS('Monthly Cashflow'!90:90,'Monthly Cashflow'!$3:$3,N$89)</f>
        <v>24.092305244506239</v>
      </c>
      <c r="O90" s="52">
        <f ca="1">SUMIFS('Monthly Cashflow'!90:90,'Monthly Cashflow'!$3:$3,O$89)</f>
        <v>16.003427860275757</v>
      </c>
      <c r="P90" s="52">
        <f ca="1">SUMIFS('Monthly Cashflow'!90:90,'Monthly Cashflow'!$3:$3,P$89)</f>
        <v>16.25301216061083</v>
      </c>
      <c r="Q90" s="52">
        <f ca="1">SUMIFS('Monthly Cashflow'!90:90,'Monthly Cashflow'!$3:$3,Q$89)</f>
        <v>19.279732767416643</v>
      </c>
      <c r="R90" s="52">
        <f ca="1">SUMIFS('Monthly Cashflow'!90:90,'Monthly Cashflow'!$3:$3,R$89)</f>
        <v>5.2587965303776087</v>
      </c>
      <c r="S90" s="52">
        <f ca="1">SUMIFS('Monthly Cashflow'!90:90,'Monthly Cashflow'!$3:$3,S$89)</f>
        <v>5.3283065914912626</v>
      </c>
      <c r="T90" s="52">
        <f ca="1">SUMIFS('Monthly Cashflow'!90:90,'Monthly Cashflow'!$3:$3,T$89)</f>
        <v>6.2311515872293999</v>
      </c>
      <c r="U90" s="52">
        <f ca="1">SUMIFS('Monthly Cashflow'!90:90,'Monthly Cashflow'!$3:$3,U$89)</f>
        <v>12.062692655622417</v>
      </c>
      <c r="V90" s="52">
        <f>SUMIFS('Monthly Cashflow'!90:90,'Monthly Cashflow'!$3:$3,V$89)</f>
        <v>0</v>
      </c>
      <c r="W90" s="52">
        <f>SUMIFS('Monthly Cashflow'!90:90,'Monthly Cashflow'!$3:$3,W$89)</f>
        <v>0</v>
      </c>
      <c r="X90" s="52">
        <f>SUMIFS('Monthly Cashflow'!90:90,'Monthly Cashflow'!$3:$3,X$89)</f>
        <v>0</v>
      </c>
      <c r="Y90" s="52">
        <f>SUMIFS('Monthly Cashflow'!90:90,'Monthly Cashflow'!$3:$3,Y$89)</f>
        <v>0</v>
      </c>
      <c r="Z90" s="52">
        <f>SUMIFS('Monthly Cashflow'!90:90,'Monthly Cashflow'!$3:$3,Z$89)</f>
        <v>0</v>
      </c>
      <c r="AA90" s="52">
        <f>SUMIFS('Monthly Cashflow'!90:90,'Monthly Cashflow'!$3:$3,AA$89)</f>
        <v>0</v>
      </c>
      <c r="AB90" s="52">
        <f>SUMIFS('Monthly Cashflow'!90:90,'Monthly Cashflow'!$3:$3,AB$89)</f>
        <v>0</v>
      </c>
      <c r="AC90" s="52">
        <f>SUMIFS('Monthly Cashflow'!90:90,'Monthly Cashflow'!$3:$3,AC$89)</f>
        <v>0</v>
      </c>
      <c r="AD90" s="52">
        <f>SUMIFS('Monthly Cashflow'!90:90,'Monthly Cashflow'!$3:$3,AD$89)</f>
        <v>0</v>
      </c>
      <c r="AE90" s="52">
        <f>SUMIFS('Monthly Cashflow'!90:90,'Monthly Cashflow'!$3:$3,AE$89)</f>
        <v>0</v>
      </c>
      <c r="AF90" s="52">
        <f>SUMIFS('Monthly Cashflow'!90:90,'Monthly Cashflow'!$3:$3,AF$89)</f>
        <v>0</v>
      </c>
      <c r="AG90" s="52">
        <f>SUMIFS('Monthly Cashflow'!90:90,'Monthly Cashflow'!$3:$3,AG$89)</f>
        <v>0</v>
      </c>
      <c r="AH90" s="52">
        <f>SUMIFS('Monthly Cashflow'!90:90,'Monthly Cashflow'!$3:$3,AH$89)</f>
        <v>0</v>
      </c>
      <c r="AI90" s="52">
        <f>SUMIFS('Monthly Cashflow'!90:90,'Monthly Cashflow'!$3:$3,AI$89)</f>
        <v>0</v>
      </c>
      <c r="AJ90" s="52">
        <f>SUMIFS('Monthly Cashflow'!90:90,'Monthly Cashflow'!$3:$3,AJ$89)</f>
        <v>0</v>
      </c>
      <c r="AK90" s="52">
        <f>SUMIFS('Monthly Cashflow'!90:90,'Monthly Cashflow'!$3:$3,AK$89)</f>
        <v>0</v>
      </c>
      <c r="AL90" s="52">
        <f>SUMIFS('Monthly Cashflow'!90:90,'Monthly Cashflow'!$3:$3,AL$89)</f>
        <v>0</v>
      </c>
      <c r="AM90" s="52">
        <f>SUMIFS('Monthly Cashflow'!90:90,'Monthly Cashflow'!$3:$3,AM$89)</f>
        <v>0</v>
      </c>
      <c r="AN90" s="52">
        <f>SUMIFS('Monthly Cashflow'!90:90,'Monthly Cashflow'!$3:$3,AN$89)</f>
        <v>0</v>
      </c>
      <c r="AO90" s="52">
        <f>SUMIFS('Monthly Cashflow'!90:90,'Monthly Cashflow'!$3:$3,AO$89)</f>
        <v>0</v>
      </c>
      <c r="AP90" s="52">
        <f>SUMIFS('Monthly Cashflow'!90:90,'Monthly Cashflow'!$3:$3,AP$89)</f>
        <v>0</v>
      </c>
      <c r="AQ90" s="52">
        <f>SUMIFS('Monthly Cashflow'!90:90,'Monthly Cashflow'!$3:$3,AQ$89)</f>
        <v>0</v>
      </c>
      <c r="AR90" s="52">
        <f>SUMIFS('Monthly Cashflow'!90:90,'Monthly Cashflow'!$3:$3,AR$89)</f>
        <v>0</v>
      </c>
      <c r="AS90" s="52">
        <f>SUMIFS('Monthly Cashflow'!90:90,'Monthly Cashflow'!$3:$3,AS$89)</f>
        <v>0</v>
      </c>
      <c r="AT90" s="52">
        <f>SUMIFS('Monthly Cashflow'!90:90,'Monthly Cashflow'!$3:$3,AT$89)</f>
        <v>0</v>
      </c>
      <c r="AU90" s="52">
        <f>SUMIFS('Monthly Cashflow'!90:90,'Monthly Cashflow'!$3:$3,AU$89)</f>
        <v>0</v>
      </c>
      <c r="AV90" s="52">
        <f>SUMIFS('Monthly Cashflow'!90:90,'Monthly Cashflow'!$3:$3,AV$89)</f>
        <v>0</v>
      </c>
      <c r="AW90" s="52">
        <f>SUMIFS('Monthly Cashflow'!90:90,'Monthly Cashflow'!$3:$3,AW$89)</f>
        <v>0</v>
      </c>
      <c r="AX90" s="52">
        <f>SUMIFS('Monthly Cashflow'!90:90,'Monthly Cashflow'!$3:$3,AX$89)</f>
        <v>0</v>
      </c>
      <c r="AY90" s="52">
        <f>SUMIFS('Monthly Cashflow'!90:90,'Monthly Cashflow'!$3:$3,AY$89)</f>
        <v>0</v>
      </c>
      <c r="AZ90" s="52">
        <f>SUMIFS('Monthly Cashflow'!90:90,'Monthly Cashflow'!$3:$3,AZ$89)</f>
        <v>0</v>
      </c>
      <c r="BA90" s="52">
        <f>SUMIFS('Monthly Cashflow'!90:90,'Monthly Cashflow'!$3:$3,BA$89)</f>
        <v>0</v>
      </c>
      <c r="BB90" s="52">
        <f>SUMIFS('Monthly Cashflow'!90:90,'Monthly Cashflow'!$3:$3,BB$89)</f>
        <v>0</v>
      </c>
      <c r="BC90" s="52">
        <f>SUMIFS('Monthly Cashflow'!90:90,'Monthly Cashflow'!$3:$3,BC$89)</f>
        <v>0</v>
      </c>
      <c r="BD90" s="52">
        <f>SUMIFS('Monthly Cashflow'!90:90,'Monthly Cashflow'!$3:$3,BD$89)</f>
        <v>0</v>
      </c>
      <c r="BE90" s="52">
        <f>SUMIFS('Monthly Cashflow'!90:90,'Monthly Cashflow'!$3:$3,BE$89)</f>
        <v>0</v>
      </c>
      <c r="BF90" s="52">
        <f>SUMIFS('Monthly Cashflow'!90:90,'Monthly Cashflow'!$3:$3,BF$89)</f>
        <v>0</v>
      </c>
      <c r="BG90" s="52">
        <f>SUMIFS('Monthly Cashflow'!90:90,'Monthly Cashflow'!$3:$3,BG$89)</f>
        <v>0</v>
      </c>
      <c r="BH90" s="52">
        <f>SUMIFS('Monthly Cashflow'!90:90,'Monthly Cashflow'!$3:$3,BH$89)</f>
        <v>0</v>
      </c>
      <c r="BI90" s="52">
        <f>SUMIFS('Monthly Cashflow'!90:90,'Monthly Cashflow'!$3:$3,BI$89)</f>
        <v>0</v>
      </c>
      <c r="BJ90" s="52">
        <f>SUMIFS('Monthly Cashflow'!90:90,'Monthly Cashflow'!$3:$3,BJ$89)</f>
        <v>0</v>
      </c>
      <c r="BK90" s="52">
        <f>SUMIFS('Monthly Cashflow'!90:90,'Monthly Cashflow'!$3:$3,BK$89)</f>
        <v>0</v>
      </c>
      <c r="BL90" s="52">
        <f>SUMIFS('Monthly Cashflow'!90:90,'Monthly Cashflow'!$3:$3,BL$89)</f>
        <v>0</v>
      </c>
      <c r="BM90" s="52">
        <f>SUMIFS('Monthly Cashflow'!90:90,'Monthly Cashflow'!$3:$3,BM$89)</f>
        <v>0</v>
      </c>
      <c r="BN90" s="52">
        <f>SUMIFS('Monthly Cashflow'!90:90,'Monthly Cashflow'!$3:$3,BN$89)</f>
        <v>0</v>
      </c>
      <c r="BO90" s="52">
        <f>SUMIFS('Monthly Cashflow'!90:90,'Monthly Cashflow'!$3:$3,BO$89)</f>
        <v>0</v>
      </c>
      <c r="BP90" s="52">
        <f>SUMIFS('Monthly Cashflow'!90:90,'Monthly Cashflow'!$3:$3,BP$89)</f>
        <v>0</v>
      </c>
      <c r="BQ90" s="52">
        <f>SUMIFS('Monthly Cashflow'!90:90,'Monthly Cashflow'!$3:$3,BQ$89)</f>
        <v>0</v>
      </c>
      <c r="BR90" s="52">
        <f>SUMIFS('Monthly Cashflow'!90:90,'Monthly Cashflow'!$3:$3,BR$89)</f>
        <v>0</v>
      </c>
      <c r="BS90" s="52">
        <f>SUMIFS('Monthly Cashflow'!90:90,'Monthly Cashflow'!$3:$3,BS$89)</f>
        <v>0</v>
      </c>
      <c r="BT90" s="52">
        <f>SUMIFS('Monthly Cashflow'!90:90,'Monthly Cashflow'!$3:$3,BT$89)</f>
        <v>0</v>
      </c>
      <c r="BU90" s="52">
        <f>SUMIFS('Monthly Cashflow'!90:90,'Monthly Cashflow'!$3:$3,BU$89)</f>
        <v>0</v>
      </c>
      <c r="BV90" s="52">
        <f>SUMIFS('Monthly Cashflow'!90:90,'Monthly Cashflow'!$3:$3,BV$89)</f>
        <v>0</v>
      </c>
      <c r="BW90" s="52">
        <f>SUMIFS('Monthly Cashflow'!90:90,'Monthly Cashflow'!$3:$3,BW$89)</f>
        <v>0</v>
      </c>
      <c r="BX90" s="52">
        <f>SUMIFS('Monthly Cashflow'!90:90,'Monthly Cashflow'!$3:$3,BX$89)</f>
        <v>0</v>
      </c>
      <c r="BY90" s="52">
        <f>SUMIFS('Monthly Cashflow'!90:90,'Monthly Cashflow'!$3:$3,BY$89)</f>
        <v>0</v>
      </c>
      <c r="BZ90" s="52">
        <f>SUMIFS('Monthly Cashflow'!90:90,'Monthly Cashflow'!$3:$3,BZ$89)</f>
        <v>0</v>
      </c>
      <c r="CA90" s="52">
        <f>SUMIFS('Monthly Cashflow'!90:90,'Monthly Cashflow'!$3:$3,CA$89)</f>
        <v>0</v>
      </c>
      <c r="CB90" s="52">
        <f>SUMIFS('Monthly Cashflow'!90:90,'Monthly Cashflow'!$3:$3,CB$89)</f>
        <v>0</v>
      </c>
      <c r="CC90" s="52">
        <f>SUMIFS('Monthly Cashflow'!90:90,'Monthly Cashflow'!$3:$3,CC$89)</f>
        <v>0</v>
      </c>
      <c r="CD90" s="52">
        <f>SUMIFS('Monthly Cashflow'!90:90,'Monthly Cashflow'!$3:$3,CD$89)</f>
        <v>0</v>
      </c>
      <c r="CE90" s="52">
        <f>SUMIFS('Monthly Cashflow'!90:90,'Monthly Cashflow'!$3:$3,CE$89)</f>
        <v>0</v>
      </c>
      <c r="CF90" s="52">
        <f>SUMIFS('Monthly Cashflow'!90:90,'Monthly Cashflow'!$3:$3,CF$89)</f>
        <v>0</v>
      </c>
      <c r="CG90" s="52">
        <f>SUMIFS('Monthly Cashflow'!90:90,'Monthly Cashflow'!$3:$3,CG$89)</f>
        <v>0</v>
      </c>
      <c r="CH90" s="52">
        <f>SUMIFS('Monthly Cashflow'!90:90,'Monthly Cashflow'!$3:$3,CH$89)</f>
        <v>0</v>
      </c>
      <c r="CI90" s="52">
        <f>SUMIFS('Monthly Cashflow'!90:90,'Monthly Cashflow'!$3:$3,CI$89)</f>
        <v>0</v>
      </c>
      <c r="CJ90" s="52">
        <f>SUMIFS('Monthly Cashflow'!90:90,'Monthly Cashflow'!$3:$3,CJ$89)</f>
        <v>0</v>
      </c>
      <c r="CK90" s="52">
        <f>SUMIFS('Monthly Cashflow'!90:90,'Monthly Cashflow'!$3:$3,CK$89)</f>
        <v>0</v>
      </c>
      <c r="CL90" s="52">
        <f>SUMIFS('Monthly Cashflow'!90:90,'Monthly Cashflow'!$3:$3,CL$89)</f>
        <v>0</v>
      </c>
      <c r="CM90" s="52">
        <f>SUMIFS('Monthly Cashflow'!90:90,'Monthly Cashflow'!$3:$3,CM$89)</f>
        <v>0</v>
      </c>
      <c r="CN90" s="52">
        <f>SUMIFS('Monthly Cashflow'!90:90,'Monthly Cashflow'!$3:$3,CN$89)</f>
        <v>0</v>
      </c>
      <c r="CO90" s="52">
        <f>SUMIFS('Monthly Cashflow'!90:90,'Monthly Cashflow'!$3:$3,CO$89)</f>
        <v>0</v>
      </c>
      <c r="CP90" s="52">
        <f>SUMIFS('Monthly Cashflow'!90:90,'Monthly Cashflow'!$3:$3,CP$89)</f>
        <v>0</v>
      </c>
      <c r="CQ90" s="52">
        <f>SUMIFS('Monthly Cashflow'!90:90,'Monthly Cashflow'!$3:$3,CQ$89)</f>
        <v>0</v>
      </c>
      <c r="CR90" s="52">
        <f>SUMIFS('Monthly Cashflow'!90:90,'Monthly Cashflow'!$3:$3,CR$89)</f>
        <v>0</v>
      </c>
      <c r="CS90" s="52">
        <f>SUMIFS('Monthly Cashflow'!90:90,'Monthly Cashflow'!$3:$3,CS$89)</f>
        <v>0</v>
      </c>
      <c r="CT90" s="52">
        <f>SUMIFS('Monthly Cashflow'!90:90,'Monthly Cashflow'!$3:$3,CT$89)</f>
        <v>0</v>
      </c>
      <c r="CU90" s="52">
        <f>SUMIFS('Monthly Cashflow'!90:90,'Monthly Cashflow'!$3:$3,CU$89)</f>
        <v>0</v>
      </c>
      <c r="CV90" s="52">
        <f>SUMIFS('Monthly Cashflow'!90:90,'Monthly Cashflow'!$3:$3,CV$89)</f>
        <v>0</v>
      </c>
      <c r="CW90" s="52">
        <f>SUMIFS('Monthly Cashflow'!90:90,'Monthly Cashflow'!$3:$3,CW$89)</f>
        <v>0</v>
      </c>
      <c r="CX90" s="52">
        <f>SUMIFS('Monthly Cashflow'!90:90,'Monthly Cashflow'!$3:$3,CX$89)</f>
        <v>0</v>
      </c>
    </row>
    <row r="91" spans="1:102" x14ac:dyDescent="0.3">
      <c r="A91" s="290" t="s">
        <v>269</v>
      </c>
      <c r="B91" s="259"/>
      <c r="C91" s="54">
        <f>SUMIFS('Monthly Cashflow'!91:91,'Monthly Cashflow'!$3:$3,C$89)</f>
        <v>21.410999999999998</v>
      </c>
      <c r="D91" s="54">
        <f ca="1">C91+D90</f>
        <v>30.97969249960525</v>
      </c>
      <c r="E91" s="54">
        <f t="shared" ref="E91:BP91" ca="1" si="40">D91+E90</f>
        <v>39.186991382591572</v>
      </c>
      <c r="F91" s="54">
        <f t="shared" ca="1" si="40"/>
        <v>47.610827640245105</v>
      </c>
      <c r="G91" s="54">
        <f t="shared" ca="1" si="40"/>
        <v>56.202580391299186</v>
      </c>
      <c r="H91" s="54">
        <f t="shared" ca="1" si="40"/>
        <v>73.489484925232233</v>
      </c>
      <c r="I91" s="54">
        <f t="shared" ca="1" si="40"/>
        <v>89.827055898014052</v>
      </c>
      <c r="J91" s="54">
        <f t="shared" ca="1" si="40"/>
        <v>106.89911484303018</v>
      </c>
      <c r="K91" s="54">
        <f t="shared" ca="1" si="40"/>
        <v>130.63863152430599</v>
      </c>
      <c r="L91" s="54">
        <f t="shared" ca="1" si="40"/>
        <v>138.7707908982164</v>
      </c>
      <c r="M91" s="54">
        <f t="shared" ca="1" si="40"/>
        <v>147.02817786272487</v>
      </c>
      <c r="N91" s="54">
        <f t="shared" ca="1" si="40"/>
        <v>171.12048310723111</v>
      </c>
      <c r="O91" s="54">
        <f t="shared" ca="1" si="40"/>
        <v>187.12391096750687</v>
      </c>
      <c r="P91" s="54">
        <f t="shared" ca="1" si="40"/>
        <v>203.37692312811771</v>
      </c>
      <c r="Q91" s="54">
        <f t="shared" ca="1" si="40"/>
        <v>222.65665589553436</v>
      </c>
      <c r="R91" s="54">
        <f t="shared" ca="1" si="40"/>
        <v>227.91545242591195</v>
      </c>
      <c r="S91" s="54">
        <f t="shared" ca="1" si="40"/>
        <v>233.24375901740322</v>
      </c>
      <c r="T91" s="54">
        <f t="shared" ca="1" si="40"/>
        <v>239.47491060463261</v>
      </c>
      <c r="U91" s="54">
        <f t="shared" ca="1" si="40"/>
        <v>251.53760326025503</v>
      </c>
      <c r="V91" s="54">
        <f t="shared" ca="1" si="40"/>
        <v>251.53760326025503</v>
      </c>
      <c r="W91" s="54">
        <f t="shared" ca="1" si="40"/>
        <v>251.53760326025503</v>
      </c>
      <c r="X91" s="54">
        <f t="shared" ca="1" si="40"/>
        <v>251.53760326025503</v>
      </c>
      <c r="Y91" s="54">
        <f t="shared" ca="1" si="40"/>
        <v>251.53760326025503</v>
      </c>
      <c r="Z91" s="54">
        <f t="shared" ca="1" si="40"/>
        <v>251.53760326025503</v>
      </c>
      <c r="AA91" s="54">
        <f t="shared" ca="1" si="40"/>
        <v>251.53760326025503</v>
      </c>
      <c r="AB91" s="54">
        <f t="shared" ca="1" si="40"/>
        <v>251.53760326025503</v>
      </c>
      <c r="AC91" s="54">
        <f t="shared" ca="1" si="40"/>
        <v>251.53760326025503</v>
      </c>
      <c r="AD91" s="54">
        <f t="shared" ca="1" si="40"/>
        <v>251.53760326025503</v>
      </c>
      <c r="AE91" s="54">
        <f t="shared" ca="1" si="40"/>
        <v>251.53760326025503</v>
      </c>
      <c r="AF91" s="54">
        <f t="shared" ca="1" si="40"/>
        <v>251.53760326025503</v>
      </c>
      <c r="AG91" s="54">
        <f t="shared" ca="1" si="40"/>
        <v>251.53760326025503</v>
      </c>
      <c r="AH91" s="54">
        <f t="shared" ca="1" si="40"/>
        <v>251.53760326025503</v>
      </c>
      <c r="AI91" s="54">
        <f t="shared" ca="1" si="40"/>
        <v>251.53760326025503</v>
      </c>
      <c r="AJ91" s="54">
        <f t="shared" ca="1" si="40"/>
        <v>251.53760326025503</v>
      </c>
      <c r="AK91" s="54">
        <f t="shared" ca="1" si="40"/>
        <v>251.53760326025503</v>
      </c>
      <c r="AL91" s="54">
        <f t="shared" ca="1" si="40"/>
        <v>251.53760326025503</v>
      </c>
      <c r="AM91" s="54">
        <f t="shared" ca="1" si="40"/>
        <v>251.53760326025503</v>
      </c>
      <c r="AN91" s="54">
        <f t="shared" ca="1" si="40"/>
        <v>251.53760326025503</v>
      </c>
      <c r="AO91" s="54">
        <f t="shared" ca="1" si="40"/>
        <v>251.53760326025503</v>
      </c>
      <c r="AP91" s="54">
        <f t="shared" ca="1" si="40"/>
        <v>251.53760326025503</v>
      </c>
      <c r="AQ91" s="54">
        <f t="shared" ca="1" si="40"/>
        <v>251.53760326025503</v>
      </c>
      <c r="AR91" s="54">
        <f t="shared" ca="1" si="40"/>
        <v>251.53760326025503</v>
      </c>
      <c r="AS91" s="54">
        <f t="shared" ca="1" si="40"/>
        <v>251.53760326025503</v>
      </c>
      <c r="AT91" s="54">
        <f t="shared" ca="1" si="40"/>
        <v>251.53760326025503</v>
      </c>
      <c r="AU91" s="54">
        <f t="shared" ca="1" si="40"/>
        <v>251.53760326025503</v>
      </c>
      <c r="AV91" s="54">
        <f t="shared" ca="1" si="40"/>
        <v>251.53760326025503</v>
      </c>
      <c r="AW91" s="54">
        <f t="shared" ca="1" si="40"/>
        <v>251.53760326025503</v>
      </c>
      <c r="AX91" s="54">
        <f t="shared" ca="1" si="40"/>
        <v>251.53760326025503</v>
      </c>
      <c r="AY91" s="54">
        <f t="shared" ca="1" si="40"/>
        <v>251.53760326025503</v>
      </c>
      <c r="AZ91" s="54">
        <f t="shared" ca="1" si="40"/>
        <v>251.53760326025503</v>
      </c>
      <c r="BA91" s="54">
        <f t="shared" ca="1" si="40"/>
        <v>251.53760326025503</v>
      </c>
      <c r="BB91" s="54">
        <f t="shared" ca="1" si="40"/>
        <v>251.53760326025503</v>
      </c>
      <c r="BC91" s="54">
        <f t="shared" ca="1" si="40"/>
        <v>251.53760326025503</v>
      </c>
      <c r="BD91" s="54">
        <f t="shared" ca="1" si="40"/>
        <v>251.53760326025503</v>
      </c>
      <c r="BE91" s="54">
        <f t="shared" ca="1" si="40"/>
        <v>251.53760326025503</v>
      </c>
      <c r="BF91" s="54">
        <f t="shared" ca="1" si="40"/>
        <v>251.53760326025503</v>
      </c>
      <c r="BG91" s="54">
        <f t="shared" ca="1" si="40"/>
        <v>251.53760326025503</v>
      </c>
      <c r="BH91" s="54">
        <f t="shared" ca="1" si="40"/>
        <v>251.53760326025503</v>
      </c>
      <c r="BI91" s="54">
        <f t="shared" ca="1" si="40"/>
        <v>251.53760326025503</v>
      </c>
      <c r="BJ91" s="54">
        <f t="shared" ca="1" si="40"/>
        <v>251.53760326025503</v>
      </c>
      <c r="BK91" s="54">
        <f t="shared" ca="1" si="40"/>
        <v>251.53760326025503</v>
      </c>
      <c r="BL91" s="54">
        <f t="shared" ca="1" si="40"/>
        <v>251.53760326025503</v>
      </c>
      <c r="BM91" s="54">
        <f t="shared" ca="1" si="40"/>
        <v>251.53760326025503</v>
      </c>
      <c r="BN91" s="54">
        <f t="shared" ca="1" si="40"/>
        <v>251.53760326025503</v>
      </c>
      <c r="BO91" s="54">
        <f t="shared" ca="1" si="40"/>
        <v>251.53760326025503</v>
      </c>
      <c r="BP91" s="54">
        <f t="shared" ca="1" si="40"/>
        <v>251.53760326025503</v>
      </c>
      <c r="BQ91" s="54">
        <f t="shared" ref="BQ91:CX91" ca="1" si="41">BP91+BQ90</f>
        <v>251.53760326025503</v>
      </c>
      <c r="BR91" s="54">
        <f t="shared" ca="1" si="41"/>
        <v>251.53760326025503</v>
      </c>
      <c r="BS91" s="54">
        <f t="shared" ca="1" si="41"/>
        <v>251.53760326025503</v>
      </c>
      <c r="BT91" s="54">
        <f t="shared" ca="1" si="41"/>
        <v>251.53760326025503</v>
      </c>
      <c r="BU91" s="54">
        <f t="shared" ca="1" si="41"/>
        <v>251.53760326025503</v>
      </c>
      <c r="BV91" s="54">
        <f t="shared" ca="1" si="41"/>
        <v>251.53760326025503</v>
      </c>
      <c r="BW91" s="54">
        <f t="shared" ca="1" si="41"/>
        <v>251.53760326025503</v>
      </c>
      <c r="BX91" s="54">
        <f t="shared" ca="1" si="41"/>
        <v>251.53760326025503</v>
      </c>
      <c r="BY91" s="54">
        <f t="shared" ca="1" si="41"/>
        <v>251.53760326025503</v>
      </c>
      <c r="BZ91" s="54">
        <f t="shared" ca="1" si="41"/>
        <v>251.53760326025503</v>
      </c>
      <c r="CA91" s="54">
        <f t="shared" ca="1" si="41"/>
        <v>251.53760326025503</v>
      </c>
      <c r="CB91" s="54">
        <f t="shared" ca="1" si="41"/>
        <v>251.53760326025503</v>
      </c>
      <c r="CC91" s="54">
        <f t="shared" ca="1" si="41"/>
        <v>251.53760326025503</v>
      </c>
      <c r="CD91" s="54">
        <f t="shared" ca="1" si="41"/>
        <v>251.53760326025503</v>
      </c>
      <c r="CE91" s="54">
        <f t="shared" ca="1" si="41"/>
        <v>251.53760326025503</v>
      </c>
      <c r="CF91" s="54">
        <f t="shared" ca="1" si="41"/>
        <v>251.53760326025503</v>
      </c>
      <c r="CG91" s="54">
        <f t="shared" ca="1" si="41"/>
        <v>251.53760326025503</v>
      </c>
      <c r="CH91" s="54">
        <f t="shared" ca="1" si="41"/>
        <v>251.53760326025503</v>
      </c>
      <c r="CI91" s="54">
        <f t="shared" ca="1" si="41"/>
        <v>251.53760326025503</v>
      </c>
      <c r="CJ91" s="54">
        <f t="shared" ca="1" si="41"/>
        <v>251.53760326025503</v>
      </c>
      <c r="CK91" s="54">
        <f t="shared" ca="1" si="41"/>
        <v>251.53760326025503</v>
      </c>
      <c r="CL91" s="54">
        <f t="shared" ca="1" si="41"/>
        <v>251.53760326025503</v>
      </c>
      <c r="CM91" s="54">
        <f t="shared" ca="1" si="41"/>
        <v>251.53760326025503</v>
      </c>
      <c r="CN91" s="54">
        <f t="shared" ca="1" si="41"/>
        <v>251.53760326025503</v>
      </c>
      <c r="CO91" s="54">
        <f t="shared" ca="1" si="41"/>
        <v>251.53760326025503</v>
      </c>
      <c r="CP91" s="54">
        <f t="shared" ca="1" si="41"/>
        <v>251.53760326025503</v>
      </c>
      <c r="CQ91" s="54">
        <f t="shared" ca="1" si="41"/>
        <v>251.53760326025503</v>
      </c>
      <c r="CR91" s="54">
        <f t="shared" ca="1" si="41"/>
        <v>251.53760326025503</v>
      </c>
      <c r="CS91" s="54">
        <f t="shared" ca="1" si="41"/>
        <v>251.53760326025503</v>
      </c>
      <c r="CT91" s="54">
        <f t="shared" ca="1" si="41"/>
        <v>251.53760326025503</v>
      </c>
      <c r="CU91" s="54">
        <f t="shared" ca="1" si="41"/>
        <v>251.53760326025503</v>
      </c>
      <c r="CV91" s="54">
        <f t="shared" ca="1" si="41"/>
        <v>251.53760326025503</v>
      </c>
      <c r="CW91" s="54">
        <f t="shared" ca="1" si="41"/>
        <v>251.53760326025503</v>
      </c>
      <c r="CX91" s="54">
        <f t="shared" ca="1" si="41"/>
        <v>251.53760326025503</v>
      </c>
    </row>
    <row r="92" spans="1:102" x14ac:dyDescent="0.3">
      <c r="A92" s="169" t="s">
        <v>270</v>
      </c>
      <c r="B92" s="259">
        <f ca="1">SUM(C92:CX92)</f>
        <v>300.00044746913875</v>
      </c>
      <c r="C92" s="52">
        <f>SUMIFS('Monthly Cashflow'!92:92,'Monthly Cashflow'!$3:$3,C$89)</f>
        <v>26.169</v>
      </c>
      <c r="D92" s="52">
        <f ca="1">SUMIFS('Monthly Cashflow'!92:92,'Monthly Cashflow'!$3:$3,D$89)</f>
        <v>11.695068610628645</v>
      </c>
      <c r="E92" s="52">
        <f ca="1">SUMIFS('Monthly Cashflow'!92:92,'Monthly Cashflow'!$3:$3,E$89)</f>
        <v>10.031143079205501</v>
      </c>
      <c r="F92" s="52">
        <f ca="1">SUMIFS('Monthly Cashflow'!92:92,'Monthly Cashflow'!$3:$3,F$89)</f>
        <v>10.295799870465427</v>
      </c>
      <c r="G92" s="52">
        <f ca="1">SUMIFS('Monthly Cashflow'!92:92,'Monthly Cashflow'!$3:$3,G$89)</f>
        <v>10.501031140177213</v>
      </c>
      <c r="H92" s="52">
        <f ca="1">SUMIFS('Monthly Cashflow'!92:92,'Monthly Cashflow'!$3:$3,H$89)</f>
        <v>21.12843887480706</v>
      </c>
      <c r="I92" s="52">
        <f ca="1">SUMIFS('Monthly Cashflow'!92:92,'Monthly Cashflow'!$3:$3,I$89)</f>
        <v>19.968142300066663</v>
      </c>
      <c r="J92" s="52">
        <f ca="1">SUMIFS('Monthly Cashflow'!92:92,'Monthly Cashflow'!$3:$3,J$89)</f>
        <v>20.865849821686382</v>
      </c>
      <c r="K92" s="52">
        <f ca="1">SUMIFS('Monthly Cashflow'!92:92,'Monthly Cashflow'!$3:$3,K$89)</f>
        <v>29.014964832670437</v>
      </c>
      <c r="L92" s="52">
        <f ca="1">SUMIFS('Monthly Cashflow'!92:92,'Monthly Cashflow'!$3:$3,L$89)</f>
        <v>9.9393059014460619</v>
      </c>
      <c r="M92" s="52">
        <f ca="1">SUMIFS('Monthly Cashflow'!92:92,'Monthly Cashflow'!$3:$3,M$89)</f>
        <v>10.09236184551035</v>
      </c>
      <c r="N92" s="52">
        <f ca="1">SUMIFS('Monthly Cashflow'!92:92,'Monthly Cashflow'!$3:$3,N$89)</f>
        <v>29.446150854396514</v>
      </c>
      <c r="O92" s="52">
        <f ca="1">SUMIFS('Monthly Cashflow'!92:92,'Monthly Cashflow'!$3:$3,O$89)</f>
        <v>19.559745162559263</v>
      </c>
      <c r="P92" s="52">
        <f ca="1">SUMIFS('Monthly Cashflow'!92:92,'Monthly Cashflow'!$3:$3,P$89)</f>
        <v>19.864792640746572</v>
      </c>
      <c r="Q92" s="52">
        <f ca="1">SUMIFS('Monthly Cashflow'!92:92,'Monthly Cashflow'!$3:$3,Q$89)</f>
        <v>23.564117826842569</v>
      </c>
      <c r="R92" s="52">
        <f ca="1">SUMIFS('Monthly Cashflow'!92:92,'Monthly Cashflow'!$3:$3,R$89)</f>
        <v>6.427417981572634</v>
      </c>
      <c r="S92" s="52">
        <f ca="1">SUMIFS('Monthly Cashflow'!92:92,'Monthly Cashflow'!$3:$3,S$89)</f>
        <v>6.5123747229337656</v>
      </c>
      <c r="T92" s="52">
        <f ca="1">SUMIFS('Monthly Cashflow'!92:92,'Monthly Cashflow'!$3:$3,T$89)</f>
        <v>7.6158519399470448</v>
      </c>
      <c r="U92" s="52">
        <f ca="1">SUMIFS('Monthly Cashflow'!92:92,'Monthly Cashflow'!$3:$3,U$89)</f>
        <v>7.3088900634766123</v>
      </c>
      <c r="V92" s="52">
        <f>SUMIFS('Monthly Cashflow'!92:92,'Monthly Cashflow'!$3:$3,V$89)</f>
        <v>0</v>
      </c>
      <c r="W92" s="52">
        <f>SUMIFS('Monthly Cashflow'!92:92,'Monthly Cashflow'!$3:$3,W$89)</f>
        <v>0</v>
      </c>
      <c r="X92" s="52">
        <f>SUMIFS('Monthly Cashflow'!92:92,'Monthly Cashflow'!$3:$3,X$89)</f>
        <v>0</v>
      </c>
      <c r="Y92" s="52">
        <f>SUMIFS('Monthly Cashflow'!92:92,'Monthly Cashflow'!$3:$3,Y$89)</f>
        <v>0</v>
      </c>
      <c r="Z92" s="52">
        <f>SUMIFS('Monthly Cashflow'!92:92,'Monthly Cashflow'!$3:$3,Z$89)</f>
        <v>0</v>
      </c>
      <c r="AA92" s="52">
        <f>SUMIFS('Monthly Cashflow'!92:92,'Monthly Cashflow'!$3:$3,AA$89)</f>
        <v>0</v>
      </c>
      <c r="AB92" s="52">
        <f>SUMIFS('Monthly Cashflow'!92:92,'Monthly Cashflow'!$3:$3,AB$89)</f>
        <v>0</v>
      </c>
      <c r="AC92" s="52">
        <f>SUMIFS('Monthly Cashflow'!92:92,'Monthly Cashflow'!$3:$3,AC$89)</f>
        <v>0</v>
      </c>
      <c r="AD92" s="52">
        <f>SUMIFS('Monthly Cashflow'!92:92,'Monthly Cashflow'!$3:$3,AD$89)</f>
        <v>0</v>
      </c>
      <c r="AE92" s="52">
        <f>SUMIFS('Monthly Cashflow'!92:92,'Monthly Cashflow'!$3:$3,AE$89)</f>
        <v>0</v>
      </c>
      <c r="AF92" s="52">
        <f>SUMIFS('Monthly Cashflow'!92:92,'Monthly Cashflow'!$3:$3,AF$89)</f>
        <v>0</v>
      </c>
      <c r="AG92" s="52">
        <f>SUMIFS('Monthly Cashflow'!92:92,'Monthly Cashflow'!$3:$3,AG$89)</f>
        <v>0</v>
      </c>
      <c r="AH92" s="52">
        <f>SUMIFS('Monthly Cashflow'!92:92,'Monthly Cashflow'!$3:$3,AH$89)</f>
        <v>0</v>
      </c>
      <c r="AI92" s="52">
        <f>SUMIFS('Monthly Cashflow'!92:92,'Monthly Cashflow'!$3:$3,AI$89)</f>
        <v>0</v>
      </c>
      <c r="AJ92" s="52">
        <f>SUMIFS('Monthly Cashflow'!92:92,'Monthly Cashflow'!$3:$3,AJ$89)</f>
        <v>0</v>
      </c>
      <c r="AK92" s="52">
        <f>SUMIFS('Monthly Cashflow'!92:92,'Monthly Cashflow'!$3:$3,AK$89)</f>
        <v>0</v>
      </c>
      <c r="AL92" s="52">
        <f>SUMIFS('Monthly Cashflow'!92:92,'Monthly Cashflow'!$3:$3,AL$89)</f>
        <v>0</v>
      </c>
      <c r="AM92" s="52">
        <f>SUMIFS('Monthly Cashflow'!92:92,'Monthly Cashflow'!$3:$3,AM$89)</f>
        <v>0</v>
      </c>
      <c r="AN92" s="52">
        <f>SUMIFS('Monthly Cashflow'!92:92,'Monthly Cashflow'!$3:$3,AN$89)</f>
        <v>0</v>
      </c>
      <c r="AO92" s="52">
        <f>SUMIFS('Monthly Cashflow'!92:92,'Monthly Cashflow'!$3:$3,AO$89)</f>
        <v>0</v>
      </c>
      <c r="AP92" s="52">
        <f>SUMIFS('Monthly Cashflow'!92:92,'Monthly Cashflow'!$3:$3,AP$89)</f>
        <v>0</v>
      </c>
      <c r="AQ92" s="52">
        <f>SUMIFS('Monthly Cashflow'!92:92,'Monthly Cashflow'!$3:$3,AQ$89)</f>
        <v>0</v>
      </c>
      <c r="AR92" s="52">
        <f>SUMIFS('Monthly Cashflow'!92:92,'Monthly Cashflow'!$3:$3,AR$89)</f>
        <v>0</v>
      </c>
      <c r="AS92" s="52">
        <f>SUMIFS('Monthly Cashflow'!92:92,'Monthly Cashflow'!$3:$3,AS$89)</f>
        <v>0</v>
      </c>
      <c r="AT92" s="52">
        <f>SUMIFS('Monthly Cashflow'!92:92,'Monthly Cashflow'!$3:$3,AT$89)</f>
        <v>0</v>
      </c>
      <c r="AU92" s="52">
        <f>SUMIFS('Monthly Cashflow'!92:92,'Monthly Cashflow'!$3:$3,AU$89)</f>
        <v>0</v>
      </c>
      <c r="AV92" s="52">
        <f>SUMIFS('Monthly Cashflow'!92:92,'Monthly Cashflow'!$3:$3,AV$89)</f>
        <v>0</v>
      </c>
      <c r="AW92" s="52">
        <f>SUMIFS('Monthly Cashflow'!92:92,'Monthly Cashflow'!$3:$3,AW$89)</f>
        <v>0</v>
      </c>
      <c r="AX92" s="52">
        <f>SUMIFS('Monthly Cashflow'!92:92,'Monthly Cashflow'!$3:$3,AX$89)</f>
        <v>0</v>
      </c>
      <c r="AY92" s="52">
        <f>SUMIFS('Monthly Cashflow'!92:92,'Monthly Cashflow'!$3:$3,AY$89)</f>
        <v>0</v>
      </c>
      <c r="AZ92" s="52">
        <f>SUMIFS('Monthly Cashflow'!92:92,'Monthly Cashflow'!$3:$3,AZ$89)</f>
        <v>0</v>
      </c>
      <c r="BA92" s="52">
        <f>SUMIFS('Monthly Cashflow'!92:92,'Monthly Cashflow'!$3:$3,BA$89)</f>
        <v>0</v>
      </c>
      <c r="BB92" s="52">
        <f>SUMIFS('Monthly Cashflow'!92:92,'Monthly Cashflow'!$3:$3,BB$89)</f>
        <v>0</v>
      </c>
      <c r="BC92" s="52">
        <f>SUMIFS('Monthly Cashflow'!92:92,'Monthly Cashflow'!$3:$3,BC$89)</f>
        <v>0</v>
      </c>
      <c r="BD92" s="52">
        <f>SUMIFS('Monthly Cashflow'!92:92,'Monthly Cashflow'!$3:$3,BD$89)</f>
        <v>0</v>
      </c>
      <c r="BE92" s="52">
        <f>SUMIFS('Monthly Cashflow'!92:92,'Monthly Cashflow'!$3:$3,BE$89)</f>
        <v>0</v>
      </c>
      <c r="BF92" s="52">
        <f>SUMIFS('Monthly Cashflow'!92:92,'Monthly Cashflow'!$3:$3,BF$89)</f>
        <v>0</v>
      </c>
      <c r="BG92" s="52">
        <f>SUMIFS('Monthly Cashflow'!92:92,'Monthly Cashflow'!$3:$3,BG$89)</f>
        <v>0</v>
      </c>
      <c r="BH92" s="52">
        <f>SUMIFS('Monthly Cashflow'!92:92,'Monthly Cashflow'!$3:$3,BH$89)</f>
        <v>0</v>
      </c>
      <c r="BI92" s="52">
        <f>SUMIFS('Monthly Cashflow'!92:92,'Monthly Cashflow'!$3:$3,BI$89)</f>
        <v>0</v>
      </c>
      <c r="BJ92" s="52">
        <f>SUMIFS('Monthly Cashflow'!92:92,'Monthly Cashflow'!$3:$3,BJ$89)</f>
        <v>0</v>
      </c>
      <c r="BK92" s="52">
        <f>SUMIFS('Monthly Cashflow'!92:92,'Monthly Cashflow'!$3:$3,BK$89)</f>
        <v>0</v>
      </c>
      <c r="BL92" s="52">
        <f>SUMIFS('Monthly Cashflow'!92:92,'Monthly Cashflow'!$3:$3,BL$89)</f>
        <v>0</v>
      </c>
      <c r="BM92" s="52">
        <f>SUMIFS('Monthly Cashflow'!92:92,'Monthly Cashflow'!$3:$3,BM$89)</f>
        <v>0</v>
      </c>
      <c r="BN92" s="52">
        <f>SUMIFS('Monthly Cashflow'!92:92,'Monthly Cashflow'!$3:$3,BN$89)</f>
        <v>0</v>
      </c>
      <c r="BO92" s="52">
        <f>SUMIFS('Monthly Cashflow'!92:92,'Monthly Cashflow'!$3:$3,BO$89)</f>
        <v>0</v>
      </c>
      <c r="BP92" s="52">
        <f>SUMIFS('Monthly Cashflow'!92:92,'Monthly Cashflow'!$3:$3,BP$89)</f>
        <v>0</v>
      </c>
      <c r="BQ92" s="52">
        <f>SUMIFS('Monthly Cashflow'!92:92,'Monthly Cashflow'!$3:$3,BQ$89)</f>
        <v>0</v>
      </c>
      <c r="BR92" s="52">
        <f>SUMIFS('Monthly Cashflow'!92:92,'Monthly Cashflow'!$3:$3,BR$89)</f>
        <v>0</v>
      </c>
      <c r="BS92" s="52">
        <f>SUMIFS('Monthly Cashflow'!92:92,'Monthly Cashflow'!$3:$3,BS$89)</f>
        <v>0</v>
      </c>
      <c r="BT92" s="52">
        <f>SUMIFS('Monthly Cashflow'!92:92,'Monthly Cashflow'!$3:$3,BT$89)</f>
        <v>0</v>
      </c>
      <c r="BU92" s="52">
        <f>SUMIFS('Monthly Cashflow'!92:92,'Monthly Cashflow'!$3:$3,BU$89)</f>
        <v>0</v>
      </c>
      <c r="BV92" s="52">
        <f>SUMIFS('Monthly Cashflow'!92:92,'Monthly Cashflow'!$3:$3,BV$89)</f>
        <v>0</v>
      </c>
      <c r="BW92" s="52">
        <f>SUMIFS('Monthly Cashflow'!92:92,'Monthly Cashflow'!$3:$3,BW$89)</f>
        <v>0</v>
      </c>
      <c r="BX92" s="52">
        <f>SUMIFS('Monthly Cashflow'!92:92,'Monthly Cashflow'!$3:$3,BX$89)</f>
        <v>0</v>
      </c>
      <c r="BY92" s="52">
        <f>SUMIFS('Monthly Cashflow'!92:92,'Monthly Cashflow'!$3:$3,BY$89)</f>
        <v>0</v>
      </c>
      <c r="BZ92" s="52">
        <f>SUMIFS('Monthly Cashflow'!92:92,'Monthly Cashflow'!$3:$3,BZ$89)</f>
        <v>0</v>
      </c>
      <c r="CA92" s="52">
        <f>SUMIFS('Monthly Cashflow'!92:92,'Monthly Cashflow'!$3:$3,CA$89)</f>
        <v>0</v>
      </c>
      <c r="CB92" s="52">
        <f>SUMIFS('Monthly Cashflow'!92:92,'Monthly Cashflow'!$3:$3,CB$89)</f>
        <v>0</v>
      </c>
      <c r="CC92" s="52">
        <f>SUMIFS('Monthly Cashflow'!92:92,'Monthly Cashflow'!$3:$3,CC$89)</f>
        <v>0</v>
      </c>
      <c r="CD92" s="52">
        <f>SUMIFS('Monthly Cashflow'!92:92,'Monthly Cashflow'!$3:$3,CD$89)</f>
        <v>0</v>
      </c>
      <c r="CE92" s="52">
        <f>SUMIFS('Monthly Cashflow'!92:92,'Monthly Cashflow'!$3:$3,CE$89)</f>
        <v>0</v>
      </c>
      <c r="CF92" s="52">
        <f>SUMIFS('Monthly Cashflow'!92:92,'Monthly Cashflow'!$3:$3,CF$89)</f>
        <v>0</v>
      </c>
      <c r="CG92" s="52">
        <f>SUMIFS('Monthly Cashflow'!92:92,'Monthly Cashflow'!$3:$3,CG$89)</f>
        <v>0</v>
      </c>
      <c r="CH92" s="52">
        <f>SUMIFS('Monthly Cashflow'!92:92,'Monthly Cashflow'!$3:$3,CH$89)</f>
        <v>0</v>
      </c>
      <c r="CI92" s="52">
        <f>SUMIFS('Monthly Cashflow'!92:92,'Monthly Cashflow'!$3:$3,CI$89)</f>
        <v>0</v>
      </c>
      <c r="CJ92" s="52">
        <f>SUMIFS('Monthly Cashflow'!92:92,'Monthly Cashflow'!$3:$3,CJ$89)</f>
        <v>0</v>
      </c>
      <c r="CK92" s="52">
        <f>SUMIFS('Monthly Cashflow'!92:92,'Monthly Cashflow'!$3:$3,CK$89)</f>
        <v>0</v>
      </c>
      <c r="CL92" s="52">
        <f>SUMIFS('Monthly Cashflow'!92:92,'Monthly Cashflow'!$3:$3,CL$89)</f>
        <v>0</v>
      </c>
      <c r="CM92" s="52">
        <f>SUMIFS('Monthly Cashflow'!92:92,'Monthly Cashflow'!$3:$3,CM$89)</f>
        <v>0</v>
      </c>
      <c r="CN92" s="52">
        <f>SUMIFS('Monthly Cashflow'!92:92,'Monthly Cashflow'!$3:$3,CN$89)</f>
        <v>0</v>
      </c>
      <c r="CO92" s="52">
        <f>SUMIFS('Monthly Cashflow'!92:92,'Monthly Cashflow'!$3:$3,CO$89)</f>
        <v>0</v>
      </c>
      <c r="CP92" s="52">
        <f>SUMIFS('Monthly Cashflow'!92:92,'Monthly Cashflow'!$3:$3,CP$89)</f>
        <v>0</v>
      </c>
      <c r="CQ92" s="52">
        <f>SUMIFS('Monthly Cashflow'!92:92,'Monthly Cashflow'!$3:$3,CQ$89)</f>
        <v>0</v>
      </c>
      <c r="CR92" s="52">
        <f>SUMIFS('Monthly Cashflow'!92:92,'Monthly Cashflow'!$3:$3,CR$89)</f>
        <v>0</v>
      </c>
      <c r="CS92" s="52">
        <f>SUMIFS('Monthly Cashflow'!92:92,'Monthly Cashflow'!$3:$3,CS$89)</f>
        <v>0</v>
      </c>
      <c r="CT92" s="52">
        <f>SUMIFS('Monthly Cashflow'!92:92,'Monthly Cashflow'!$3:$3,CT$89)</f>
        <v>0</v>
      </c>
      <c r="CU92" s="52">
        <f>SUMIFS('Monthly Cashflow'!92:92,'Monthly Cashflow'!$3:$3,CU$89)</f>
        <v>0</v>
      </c>
      <c r="CV92" s="52">
        <f>SUMIFS('Monthly Cashflow'!92:92,'Monthly Cashflow'!$3:$3,CV$89)</f>
        <v>0</v>
      </c>
      <c r="CW92" s="52">
        <f>SUMIFS('Monthly Cashflow'!92:92,'Monthly Cashflow'!$3:$3,CW$89)</f>
        <v>0</v>
      </c>
      <c r="CX92" s="52">
        <f>SUMIFS('Monthly Cashflow'!92:92,'Monthly Cashflow'!$3:$3,CX$89)</f>
        <v>0</v>
      </c>
    </row>
    <row r="93" spans="1:102" x14ac:dyDescent="0.3">
      <c r="A93" s="290" t="s">
        <v>271</v>
      </c>
      <c r="B93" s="54"/>
      <c r="C93" s="54">
        <f>C92</f>
        <v>26.169</v>
      </c>
      <c r="D93" s="54">
        <f t="shared" ref="D93:BO93" ca="1" si="42">C93+D92</f>
        <v>37.864068610628649</v>
      </c>
      <c r="E93" s="54">
        <f t="shared" ca="1" si="42"/>
        <v>47.895211689834149</v>
      </c>
      <c r="F93" s="54">
        <f t="shared" ca="1" si="42"/>
        <v>58.191011560299572</v>
      </c>
      <c r="G93" s="54">
        <f t="shared" ca="1" si="42"/>
        <v>68.69204270047679</v>
      </c>
      <c r="H93" s="54">
        <f t="shared" ca="1" si="42"/>
        <v>89.82048157528385</v>
      </c>
      <c r="I93" s="54">
        <f t="shared" ca="1" si="42"/>
        <v>109.78862387535051</v>
      </c>
      <c r="J93" s="54">
        <f t="shared" ca="1" si="42"/>
        <v>130.65447369703691</v>
      </c>
      <c r="K93" s="54">
        <f t="shared" ca="1" si="42"/>
        <v>159.66943852970735</v>
      </c>
      <c r="L93" s="54">
        <f t="shared" ca="1" si="42"/>
        <v>169.60874443115341</v>
      </c>
      <c r="M93" s="54">
        <f t="shared" ca="1" si="42"/>
        <v>179.70110627666375</v>
      </c>
      <c r="N93" s="54">
        <f t="shared" ca="1" si="42"/>
        <v>209.14725713106026</v>
      </c>
      <c r="O93" s="54">
        <f t="shared" ca="1" si="42"/>
        <v>228.70700229361952</v>
      </c>
      <c r="P93" s="54">
        <f t="shared" ca="1" si="42"/>
        <v>248.5717949343661</v>
      </c>
      <c r="Q93" s="54">
        <f t="shared" ca="1" si="42"/>
        <v>272.13591276120866</v>
      </c>
      <c r="R93" s="54">
        <f t="shared" ca="1" si="42"/>
        <v>278.56333074278132</v>
      </c>
      <c r="S93" s="54">
        <f t="shared" ca="1" si="42"/>
        <v>285.07570546571509</v>
      </c>
      <c r="T93" s="54">
        <f t="shared" ca="1" si="42"/>
        <v>292.69155740566214</v>
      </c>
      <c r="U93" s="54">
        <f t="shared" ca="1" si="42"/>
        <v>300.00044746913875</v>
      </c>
      <c r="V93" s="54">
        <f t="shared" ca="1" si="42"/>
        <v>300.00044746913875</v>
      </c>
      <c r="W93" s="54">
        <f t="shared" ca="1" si="42"/>
        <v>300.00044746913875</v>
      </c>
      <c r="X93" s="54">
        <f t="shared" ca="1" si="42"/>
        <v>300.00044746913875</v>
      </c>
      <c r="Y93" s="54">
        <f t="shared" ca="1" si="42"/>
        <v>300.00044746913875</v>
      </c>
      <c r="Z93" s="54">
        <f t="shared" ca="1" si="42"/>
        <v>300.00044746913875</v>
      </c>
      <c r="AA93" s="54">
        <f t="shared" ca="1" si="42"/>
        <v>300.00044746913875</v>
      </c>
      <c r="AB93" s="54">
        <f t="shared" ca="1" si="42"/>
        <v>300.00044746913875</v>
      </c>
      <c r="AC93" s="54">
        <f t="shared" ca="1" si="42"/>
        <v>300.00044746913875</v>
      </c>
      <c r="AD93" s="54">
        <f t="shared" ca="1" si="42"/>
        <v>300.00044746913875</v>
      </c>
      <c r="AE93" s="54">
        <f t="shared" ca="1" si="42"/>
        <v>300.00044746913875</v>
      </c>
      <c r="AF93" s="54">
        <f t="shared" ca="1" si="42"/>
        <v>300.00044746913875</v>
      </c>
      <c r="AG93" s="54">
        <f t="shared" ca="1" si="42"/>
        <v>300.00044746913875</v>
      </c>
      <c r="AH93" s="54">
        <f t="shared" ca="1" si="42"/>
        <v>300.00044746913875</v>
      </c>
      <c r="AI93" s="54">
        <f t="shared" ca="1" si="42"/>
        <v>300.00044746913875</v>
      </c>
      <c r="AJ93" s="54">
        <f t="shared" ca="1" si="42"/>
        <v>300.00044746913875</v>
      </c>
      <c r="AK93" s="54">
        <f t="shared" ca="1" si="42"/>
        <v>300.00044746913875</v>
      </c>
      <c r="AL93" s="54">
        <f t="shared" ca="1" si="42"/>
        <v>300.00044746913875</v>
      </c>
      <c r="AM93" s="54">
        <f t="shared" ca="1" si="42"/>
        <v>300.00044746913875</v>
      </c>
      <c r="AN93" s="54">
        <f t="shared" ca="1" si="42"/>
        <v>300.00044746913875</v>
      </c>
      <c r="AO93" s="54">
        <f t="shared" ca="1" si="42"/>
        <v>300.00044746913875</v>
      </c>
      <c r="AP93" s="54">
        <f t="shared" ca="1" si="42"/>
        <v>300.00044746913875</v>
      </c>
      <c r="AQ93" s="54">
        <f t="shared" ca="1" si="42"/>
        <v>300.00044746913875</v>
      </c>
      <c r="AR93" s="54">
        <f t="shared" ca="1" si="42"/>
        <v>300.00044746913875</v>
      </c>
      <c r="AS93" s="54">
        <f t="shared" ca="1" si="42"/>
        <v>300.00044746913875</v>
      </c>
      <c r="AT93" s="54">
        <f t="shared" ca="1" si="42"/>
        <v>300.00044746913875</v>
      </c>
      <c r="AU93" s="54">
        <f t="shared" ca="1" si="42"/>
        <v>300.00044746913875</v>
      </c>
      <c r="AV93" s="54">
        <f t="shared" ca="1" si="42"/>
        <v>300.00044746913875</v>
      </c>
      <c r="AW93" s="54">
        <f t="shared" ca="1" si="42"/>
        <v>300.00044746913875</v>
      </c>
      <c r="AX93" s="54">
        <f t="shared" ca="1" si="42"/>
        <v>300.00044746913875</v>
      </c>
      <c r="AY93" s="54">
        <f t="shared" ca="1" si="42"/>
        <v>300.00044746913875</v>
      </c>
      <c r="AZ93" s="54">
        <f t="shared" ca="1" si="42"/>
        <v>300.00044746913875</v>
      </c>
      <c r="BA93" s="54">
        <f t="shared" ca="1" si="42"/>
        <v>300.00044746913875</v>
      </c>
      <c r="BB93" s="54">
        <f t="shared" ca="1" si="42"/>
        <v>300.00044746913875</v>
      </c>
      <c r="BC93" s="54">
        <f t="shared" ca="1" si="42"/>
        <v>300.00044746913875</v>
      </c>
      <c r="BD93" s="54">
        <f t="shared" ca="1" si="42"/>
        <v>300.00044746913875</v>
      </c>
      <c r="BE93" s="54">
        <f t="shared" ca="1" si="42"/>
        <v>300.00044746913875</v>
      </c>
      <c r="BF93" s="54">
        <f t="shared" ca="1" si="42"/>
        <v>300.00044746913875</v>
      </c>
      <c r="BG93" s="54">
        <f t="shared" ca="1" si="42"/>
        <v>300.00044746913875</v>
      </c>
      <c r="BH93" s="54">
        <f t="shared" ca="1" si="42"/>
        <v>300.00044746913875</v>
      </c>
      <c r="BI93" s="54">
        <f t="shared" ca="1" si="42"/>
        <v>300.00044746913875</v>
      </c>
      <c r="BJ93" s="54">
        <f t="shared" ca="1" si="42"/>
        <v>300.00044746913875</v>
      </c>
      <c r="BK93" s="54">
        <f t="shared" ca="1" si="42"/>
        <v>300.00044746913875</v>
      </c>
      <c r="BL93" s="54">
        <f t="shared" ca="1" si="42"/>
        <v>300.00044746913875</v>
      </c>
      <c r="BM93" s="54">
        <f t="shared" ca="1" si="42"/>
        <v>300.00044746913875</v>
      </c>
      <c r="BN93" s="54">
        <f t="shared" ca="1" si="42"/>
        <v>300.00044746913875</v>
      </c>
      <c r="BO93" s="54">
        <f t="shared" ca="1" si="42"/>
        <v>300.00044746913875</v>
      </c>
      <c r="BP93" s="54">
        <f t="shared" ref="BP93:CX93" ca="1" si="43">BO93+BP92</f>
        <v>300.00044746913875</v>
      </c>
      <c r="BQ93" s="54">
        <f t="shared" ca="1" si="43"/>
        <v>300.00044746913875</v>
      </c>
      <c r="BR93" s="54">
        <f t="shared" ca="1" si="43"/>
        <v>300.00044746913875</v>
      </c>
      <c r="BS93" s="54">
        <f t="shared" ca="1" si="43"/>
        <v>300.00044746913875</v>
      </c>
      <c r="BT93" s="54">
        <f t="shared" ca="1" si="43"/>
        <v>300.00044746913875</v>
      </c>
      <c r="BU93" s="54">
        <f t="shared" ca="1" si="43"/>
        <v>300.00044746913875</v>
      </c>
      <c r="BV93" s="54">
        <f t="shared" ca="1" si="43"/>
        <v>300.00044746913875</v>
      </c>
      <c r="BW93" s="54">
        <f t="shared" ca="1" si="43"/>
        <v>300.00044746913875</v>
      </c>
      <c r="BX93" s="54">
        <f t="shared" ca="1" si="43"/>
        <v>300.00044746913875</v>
      </c>
      <c r="BY93" s="54">
        <f t="shared" ca="1" si="43"/>
        <v>300.00044746913875</v>
      </c>
      <c r="BZ93" s="54">
        <f t="shared" ca="1" si="43"/>
        <v>300.00044746913875</v>
      </c>
      <c r="CA93" s="54">
        <f t="shared" ca="1" si="43"/>
        <v>300.00044746913875</v>
      </c>
      <c r="CB93" s="54">
        <f t="shared" ca="1" si="43"/>
        <v>300.00044746913875</v>
      </c>
      <c r="CC93" s="54">
        <f t="shared" ca="1" si="43"/>
        <v>300.00044746913875</v>
      </c>
      <c r="CD93" s="54">
        <f t="shared" ca="1" si="43"/>
        <v>300.00044746913875</v>
      </c>
      <c r="CE93" s="54">
        <f t="shared" ca="1" si="43"/>
        <v>300.00044746913875</v>
      </c>
      <c r="CF93" s="54">
        <f t="shared" ca="1" si="43"/>
        <v>300.00044746913875</v>
      </c>
      <c r="CG93" s="54">
        <f t="shared" ca="1" si="43"/>
        <v>300.00044746913875</v>
      </c>
      <c r="CH93" s="54">
        <f t="shared" ca="1" si="43"/>
        <v>300.00044746913875</v>
      </c>
      <c r="CI93" s="54">
        <f t="shared" ca="1" si="43"/>
        <v>300.00044746913875</v>
      </c>
      <c r="CJ93" s="54">
        <f t="shared" ca="1" si="43"/>
        <v>300.00044746913875</v>
      </c>
      <c r="CK93" s="54">
        <f t="shared" ca="1" si="43"/>
        <v>300.00044746913875</v>
      </c>
      <c r="CL93" s="54">
        <f t="shared" ca="1" si="43"/>
        <v>300.00044746913875</v>
      </c>
      <c r="CM93" s="54">
        <f t="shared" ca="1" si="43"/>
        <v>300.00044746913875</v>
      </c>
      <c r="CN93" s="54">
        <f t="shared" ca="1" si="43"/>
        <v>300.00044746913875</v>
      </c>
      <c r="CO93" s="54">
        <f t="shared" ca="1" si="43"/>
        <v>300.00044746913875</v>
      </c>
      <c r="CP93" s="54">
        <f t="shared" ca="1" si="43"/>
        <v>300.00044746913875</v>
      </c>
      <c r="CQ93" s="54">
        <f t="shared" ca="1" si="43"/>
        <v>300.00044746913875</v>
      </c>
      <c r="CR93" s="54">
        <f t="shared" ca="1" si="43"/>
        <v>300.00044746913875</v>
      </c>
      <c r="CS93" s="54">
        <f t="shared" ca="1" si="43"/>
        <v>300.00044746913875</v>
      </c>
      <c r="CT93" s="54">
        <f t="shared" ca="1" si="43"/>
        <v>300.00044746913875</v>
      </c>
      <c r="CU93" s="54">
        <f t="shared" ca="1" si="43"/>
        <v>300.00044746913875</v>
      </c>
      <c r="CV93" s="54">
        <f t="shared" ca="1" si="43"/>
        <v>300.00044746913875</v>
      </c>
      <c r="CW93" s="54">
        <f t="shared" ca="1" si="43"/>
        <v>300.00044746913875</v>
      </c>
      <c r="CX93" s="54">
        <f t="shared" ca="1" si="43"/>
        <v>300.00044746913875</v>
      </c>
    </row>
    <row r="94" spans="1:102" x14ac:dyDescent="0.3">
      <c r="A94" s="169"/>
      <c r="B94" s="39"/>
      <c r="K94" s="52"/>
    </row>
    <row r="95" spans="1:102" x14ac:dyDescent="0.3">
      <c r="A95" s="303" t="s">
        <v>272</v>
      </c>
      <c r="B95" s="259">
        <f ca="1">B90*B87</f>
        <v>47.58</v>
      </c>
      <c r="C95" s="259">
        <f t="shared" ref="C95:AH95" ca="1" si="44">IF((-C39)&gt;$B$95,$B$95,(-C39))</f>
        <v>47.58</v>
      </c>
      <c r="D95" s="259">
        <f t="shared" ca="1" si="44"/>
        <v>47.58</v>
      </c>
      <c r="E95" s="259">
        <f t="shared" ca="1" si="44"/>
        <v>47.58</v>
      </c>
      <c r="F95" s="259">
        <f t="shared" ca="1" si="44"/>
        <v>47.58</v>
      </c>
      <c r="G95" s="259">
        <f t="shared" ca="1" si="44"/>
        <v>47.58</v>
      </c>
      <c r="H95" s="259">
        <f t="shared" ca="1" si="44"/>
        <v>47.58</v>
      </c>
      <c r="I95" s="259">
        <f t="shared" ca="1" si="44"/>
        <v>47.58</v>
      </c>
      <c r="J95" s="259">
        <f t="shared" ca="1" si="44"/>
        <v>47.58</v>
      </c>
      <c r="K95" s="259">
        <f t="shared" ca="1" si="44"/>
        <v>47.58</v>
      </c>
      <c r="L95" s="259">
        <f t="shared" ca="1" si="44"/>
        <v>47.58</v>
      </c>
      <c r="M95" s="259">
        <f t="shared" ca="1" si="44"/>
        <v>47.58</v>
      </c>
      <c r="N95" s="259">
        <f t="shared" ca="1" si="44"/>
        <v>47.58</v>
      </c>
      <c r="O95" s="259">
        <f t="shared" ca="1" si="44"/>
        <v>47.58</v>
      </c>
      <c r="P95" s="259">
        <f t="shared" ca="1" si="44"/>
        <v>47.58</v>
      </c>
      <c r="Q95" s="259">
        <f t="shared" ca="1" si="44"/>
        <v>47.58</v>
      </c>
      <c r="R95" s="259">
        <f t="shared" ca="1" si="44"/>
        <v>47.58</v>
      </c>
      <c r="S95" s="259">
        <f t="shared" ca="1" si="44"/>
        <v>47.58</v>
      </c>
      <c r="T95" s="259">
        <f t="shared" ca="1" si="44"/>
        <v>47.58</v>
      </c>
      <c r="U95" s="259">
        <f t="shared" ca="1" si="44"/>
        <v>47.58</v>
      </c>
      <c r="V95" s="259">
        <f t="shared" ca="1" si="44"/>
        <v>47.58</v>
      </c>
      <c r="W95" s="259">
        <f t="shared" ca="1" si="44"/>
        <v>47.58</v>
      </c>
      <c r="X95" s="259">
        <f t="shared" ca="1" si="44"/>
        <v>47.58</v>
      </c>
      <c r="Y95" s="259">
        <f t="shared" ca="1" si="44"/>
        <v>47.58</v>
      </c>
      <c r="Z95" s="259">
        <f t="shared" ca="1" si="44"/>
        <v>47.58</v>
      </c>
      <c r="AA95" s="259">
        <f t="shared" ca="1" si="44"/>
        <v>47.58</v>
      </c>
      <c r="AB95" s="259">
        <f t="shared" ca="1" si="44"/>
        <v>47.58</v>
      </c>
      <c r="AC95" s="259">
        <f t="shared" ca="1" si="44"/>
        <v>47.58</v>
      </c>
      <c r="AD95" s="259">
        <f t="shared" ca="1" si="44"/>
        <v>47.58</v>
      </c>
      <c r="AE95" s="259">
        <f t="shared" ca="1" si="44"/>
        <v>47.58</v>
      </c>
      <c r="AF95" s="259">
        <f t="shared" ca="1" si="44"/>
        <v>47.58</v>
      </c>
      <c r="AG95" s="259">
        <f t="shared" ca="1" si="44"/>
        <v>47.58</v>
      </c>
      <c r="AH95" s="259">
        <f t="shared" ca="1" si="44"/>
        <v>47.58</v>
      </c>
      <c r="AI95" s="259">
        <f t="shared" ref="AI95:BN95" ca="1" si="45">IF((-AI39)&gt;$B$95,$B$95,(-AI39))</f>
        <v>47.58</v>
      </c>
      <c r="AJ95" s="259">
        <f t="shared" ca="1" si="45"/>
        <v>47.58</v>
      </c>
      <c r="AK95" s="259">
        <f t="shared" ca="1" si="45"/>
        <v>47.58</v>
      </c>
      <c r="AL95" s="259">
        <f t="shared" ca="1" si="45"/>
        <v>47.58</v>
      </c>
      <c r="AM95" s="259">
        <f t="shared" ca="1" si="45"/>
        <v>47.58</v>
      </c>
      <c r="AN95" s="259">
        <f t="shared" ca="1" si="45"/>
        <v>47.58</v>
      </c>
      <c r="AO95" s="259">
        <f t="shared" ca="1" si="45"/>
        <v>47.58</v>
      </c>
      <c r="AP95" s="259">
        <f t="shared" ca="1" si="45"/>
        <v>47.58</v>
      </c>
      <c r="AQ95" s="259">
        <f t="shared" ca="1" si="45"/>
        <v>47.58</v>
      </c>
      <c r="AR95" s="259">
        <f t="shared" ca="1" si="45"/>
        <v>47.58</v>
      </c>
      <c r="AS95" s="259">
        <f t="shared" ca="1" si="45"/>
        <v>47.58</v>
      </c>
      <c r="AT95" s="259">
        <f t="shared" ca="1" si="45"/>
        <v>47.58</v>
      </c>
      <c r="AU95" s="259">
        <f t="shared" ca="1" si="45"/>
        <v>47.58</v>
      </c>
      <c r="AV95" s="259">
        <f t="shared" ca="1" si="45"/>
        <v>47.58</v>
      </c>
      <c r="AW95" s="259">
        <f t="shared" ca="1" si="45"/>
        <v>47.58</v>
      </c>
      <c r="AX95" s="259">
        <f t="shared" ca="1" si="45"/>
        <v>47.58</v>
      </c>
      <c r="AY95" s="259">
        <f t="shared" ca="1" si="45"/>
        <v>47.58</v>
      </c>
      <c r="AZ95" s="259">
        <f t="shared" ca="1" si="45"/>
        <v>47.58</v>
      </c>
      <c r="BA95" s="259">
        <f t="shared" ca="1" si="45"/>
        <v>47.58</v>
      </c>
      <c r="BB95" s="259">
        <f t="shared" ca="1" si="45"/>
        <v>47.58</v>
      </c>
      <c r="BC95" s="259">
        <f t="shared" ca="1" si="45"/>
        <v>47.58</v>
      </c>
      <c r="BD95" s="259">
        <f t="shared" ca="1" si="45"/>
        <v>47.58</v>
      </c>
      <c r="BE95" s="259">
        <f t="shared" ca="1" si="45"/>
        <v>47.58</v>
      </c>
      <c r="BF95" s="259">
        <f t="shared" ca="1" si="45"/>
        <v>47.58</v>
      </c>
      <c r="BG95" s="259">
        <f t="shared" ca="1" si="45"/>
        <v>47.58</v>
      </c>
      <c r="BH95" s="259">
        <f t="shared" ca="1" si="45"/>
        <v>47.58</v>
      </c>
      <c r="BI95" s="259">
        <f t="shared" ca="1" si="45"/>
        <v>47.58</v>
      </c>
      <c r="BJ95" s="259">
        <f t="shared" ca="1" si="45"/>
        <v>47.58</v>
      </c>
      <c r="BK95" s="259">
        <f t="shared" ca="1" si="45"/>
        <v>47.58</v>
      </c>
      <c r="BL95" s="259">
        <f t="shared" ca="1" si="45"/>
        <v>47.58</v>
      </c>
      <c r="BM95" s="259">
        <f t="shared" ca="1" si="45"/>
        <v>47.58</v>
      </c>
      <c r="BN95" s="259">
        <f t="shared" ca="1" si="45"/>
        <v>47.58</v>
      </c>
      <c r="BO95" s="259">
        <f t="shared" ref="BO95:CX95" ca="1" si="46">IF((-BO39)&gt;$B$95,$B$95,(-BO39))</f>
        <v>47.58</v>
      </c>
      <c r="BP95" s="259">
        <f t="shared" ca="1" si="46"/>
        <v>47.58</v>
      </c>
      <c r="BQ95" s="259">
        <f t="shared" ca="1" si="46"/>
        <v>47.58</v>
      </c>
      <c r="BR95" s="259">
        <f t="shared" ca="1" si="46"/>
        <v>47.58</v>
      </c>
      <c r="BS95" s="259">
        <f t="shared" ca="1" si="46"/>
        <v>47.58</v>
      </c>
      <c r="BT95" s="259">
        <f t="shared" ca="1" si="46"/>
        <v>47.58</v>
      </c>
      <c r="BU95" s="259">
        <f t="shared" ca="1" si="46"/>
        <v>47.58</v>
      </c>
      <c r="BV95" s="259">
        <f t="shared" ca="1" si="46"/>
        <v>47.58</v>
      </c>
      <c r="BW95" s="259">
        <f t="shared" ca="1" si="46"/>
        <v>47.58</v>
      </c>
      <c r="BX95" s="259">
        <f t="shared" ca="1" si="46"/>
        <v>47.58</v>
      </c>
      <c r="BY95" s="259">
        <f t="shared" ca="1" si="46"/>
        <v>47.58</v>
      </c>
      <c r="BZ95" s="259">
        <f t="shared" ca="1" si="46"/>
        <v>47.58</v>
      </c>
      <c r="CA95" s="259">
        <f t="shared" ca="1" si="46"/>
        <v>47.58</v>
      </c>
      <c r="CB95" s="259">
        <f t="shared" ca="1" si="46"/>
        <v>47.58</v>
      </c>
      <c r="CC95" s="259">
        <f t="shared" ca="1" si="46"/>
        <v>47.58</v>
      </c>
      <c r="CD95" s="259">
        <f t="shared" ca="1" si="46"/>
        <v>47.58</v>
      </c>
      <c r="CE95" s="259">
        <f t="shared" ca="1" si="46"/>
        <v>47.58</v>
      </c>
      <c r="CF95" s="259">
        <f t="shared" ca="1" si="46"/>
        <v>47.58</v>
      </c>
      <c r="CG95" s="259">
        <f t="shared" ca="1" si="46"/>
        <v>47.58</v>
      </c>
      <c r="CH95" s="259">
        <f t="shared" ca="1" si="46"/>
        <v>47.58</v>
      </c>
      <c r="CI95" s="259">
        <f t="shared" ca="1" si="46"/>
        <v>47.58</v>
      </c>
      <c r="CJ95" s="259">
        <f t="shared" ca="1" si="46"/>
        <v>47.58</v>
      </c>
      <c r="CK95" s="259">
        <f t="shared" ca="1" si="46"/>
        <v>47.58</v>
      </c>
      <c r="CL95" s="259">
        <f t="shared" ca="1" si="46"/>
        <v>47.58</v>
      </c>
      <c r="CM95" s="259">
        <f t="shared" ca="1" si="46"/>
        <v>47.58</v>
      </c>
      <c r="CN95" s="259">
        <f t="shared" ca="1" si="46"/>
        <v>47.58</v>
      </c>
      <c r="CO95" s="259">
        <f t="shared" ca="1" si="46"/>
        <v>47.58</v>
      </c>
      <c r="CP95" s="259">
        <f t="shared" ca="1" si="46"/>
        <v>47.58</v>
      </c>
      <c r="CQ95" s="259">
        <f t="shared" ca="1" si="46"/>
        <v>47.58</v>
      </c>
      <c r="CR95" s="259">
        <f t="shared" ca="1" si="46"/>
        <v>47.58</v>
      </c>
      <c r="CS95" s="259">
        <f t="shared" ca="1" si="46"/>
        <v>47.58</v>
      </c>
      <c r="CT95" s="259">
        <f t="shared" ca="1" si="46"/>
        <v>47.58</v>
      </c>
      <c r="CU95" s="259">
        <f t="shared" ca="1" si="46"/>
        <v>47.58</v>
      </c>
      <c r="CV95" s="259">
        <f t="shared" ca="1" si="46"/>
        <v>47.58</v>
      </c>
      <c r="CW95" s="259">
        <f t="shared" ca="1" si="46"/>
        <v>47.58</v>
      </c>
      <c r="CX95" s="259">
        <f t="shared" ca="1" si="46"/>
        <v>47.58</v>
      </c>
    </row>
    <row r="96" spans="1:102" x14ac:dyDescent="0.3">
      <c r="A96" s="169" t="s">
        <v>273</v>
      </c>
      <c r="B96" s="39"/>
      <c r="C96" s="52">
        <f ca="1">C95</f>
        <v>47.58</v>
      </c>
      <c r="D96" s="52">
        <f ca="1">D95-C95</f>
        <v>0</v>
      </c>
      <c r="E96" s="52">
        <f t="shared" ref="E96:BP96" ca="1" si="47">E95-D95</f>
        <v>0</v>
      </c>
      <c r="F96" s="52">
        <f t="shared" ca="1" si="47"/>
        <v>0</v>
      </c>
      <c r="G96" s="52">
        <f t="shared" ca="1" si="47"/>
        <v>0</v>
      </c>
      <c r="H96" s="52">
        <f t="shared" ca="1" si="47"/>
        <v>0</v>
      </c>
      <c r="I96" s="52">
        <f t="shared" ca="1" si="47"/>
        <v>0</v>
      </c>
      <c r="J96" s="52">
        <f t="shared" ca="1" si="47"/>
        <v>0</v>
      </c>
      <c r="K96" s="52">
        <f t="shared" ca="1" si="47"/>
        <v>0</v>
      </c>
      <c r="L96" s="52">
        <f t="shared" ca="1" si="47"/>
        <v>0</v>
      </c>
      <c r="M96" s="52">
        <f t="shared" ca="1" si="47"/>
        <v>0</v>
      </c>
      <c r="N96" s="52">
        <f t="shared" ca="1" si="47"/>
        <v>0</v>
      </c>
      <c r="O96" s="52">
        <f t="shared" ca="1" si="47"/>
        <v>0</v>
      </c>
      <c r="P96" s="52">
        <f t="shared" ca="1" si="47"/>
        <v>0</v>
      </c>
      <c r="Q96" s="52">
        <f t="shared" ca="1" si="47"/>
        <v>0</v>
      </c>
      <c r="R96" s="52">
        <f t="shared" ca="1" si="47"/>
        <v>0</v>
      </c>
      <c r="S96" s="52">
        <f t="shared" ca="1" si="47"/>
        <v>0</v>
      </c>
      <c r="T96" s="52">
        <f t="shared" ca="1" si="47"/>
        <v>0</v>
      </c>
      <c r="U96" s="52">
        <f t="shared" ca="1" si="47"/>
        <v>0</v>
      </c>
      <c r="V96" s="52">
        <f t="shared" ca="1" si="47"/>
        <v>0</v>
      </c>
      <c r="W96" s="52">
        <f t="shared" ca="1" si="47"/>
        <v>0</v>
      </c>
      <c r="X96" s="52">
        <f t="shared" ca="1" si="47"/>
        <v>0</v>
      </c>
      <c r="Y96" s="52">
        <f t="shared" ca="1" si="47"/>
        <v>0</v>
      </c>
      <c r="Z96" s="52">
        <f t="shared" ca="1" si="47"/>
        <v>0</v>
      </c>
      <c r="AA96" s="52">
        <f t="shared" ca="1" si="47"/>
        <v>0</v>
      </c>
      <c r="AB96" s="52">
        <f t="shared" ca="1" si="47"/>
        <v>0</v>
      </c>
      <c r="AC96" s="52">
        <f t="shared" ca="1" si="47"/>
        <v>0</v>
      </c>
      <c r="AD96" s="52">
        <f t="shared" ca="1" si="47"/>
        <v>0</v>
      </c>
      <c r="AE96" s="52">
        <f t="shared" ca="1" si="47"/>
        <v>0</v>
      </c>
      <c r="AF96" s="52">
        <f t="shared" ca="1" si="47"/>
        <v>0</v>
      </c>
      <c r="AG96" s="52">
        <f t="shared" ca="1" si="47"/>
        <v>0</v>
      </c>
      <c r="AH96" s="52">
        <f t="shared" ca="1" si="47"/>
        <v>0</v>
      </c>
      <c r="AI96" s="52">
        <f t="shared" ca="1" si="47"/>
        <v>0</v>
      </c>
      <c r="AJ96" s="52">
        <f t="shared" ca="1" si="47"/>
        <v>0</v>
      </c>
      <c r="AK96" s="52">
        <f t="shared" ca="1" si="47"/>
        <v>0</v>
      </c>
      <c r="AL96" s="52">
        <f t="shared" ca="1" si="47"/>
        <v>0</v>
      </c>
      <c r="AM96" s="52">
        <f t="shared" ca="1" si="47"/>
        <v>0</v>
      </c>
      <c r="AN96" s="52">
        <f t="shared" ca="1" si="47"/>
        <v>0</v>
      </c>
      <c r="AO96" s="52">
        <f t="shared" ca="1" si="47"/>
        <v>0</v>
      </c>
      <c r="AP96" s="52">
        <f t="shared" ca="1" si="47"/>
        <v>0</v>
      </c>
      <c r="AQ96" s="52">
        <f t="shared" ca="1" si="47"/>
        <v>0</v>
      </c>
      <c r="AR96" s="52">
        <f t="shared" ca="1" si="47"/>
        <v>0</v>
      </c>
      <c r="AS96" s="52">
        <f t="shared" ca="1" si="47"/>
        <v>0</v>
      </c>
      <c r="AT96" s="52">
        <f t="shared" ca="1" si="47"/>
        <v>0</v>
      </c>
      <c r="AU96" s="52">
        <f t="shared" ca="1" si="47"/>
        <v>0</v>
      </c>
      <c r="AV96" s="52">
        <f t="shared" ca="1" si="47"/>
        <v>0</v>
      </c>
      <c r="AW96" s="52">
        <f t="shared" ca="1" si="47"/>
        <v>0</v>
      </c>
      <c r="AX96" s="52">
        <f t="shared" ca="1" si="47"/>
        <v>0</v>
      </c>
      <c r="AY96" s="52">
        <f t="shared" ca="1" si="47"/>
        <v>0</v>
      </c>
      <c r="AZ96" s="52">
        <f t="shared" ca="1" si="47"/>
        <v>0</v>
      </c>
      <c r="BA96" s="52">
        <f t="shared" ca="1" si="47"/>
        <v>0</v>
      </c>
      <c r="BB96" s="52">
        <f t="shared" ca="1" si="47"/>
        <v>0</v>
      </c>
      <c r="BC96" s="52">
        <f t="shared" ca="1" si="47"/>
        <v>0</v>
      </c>
      <c r="BD96" s="52">
        <f t="shared" ca="1" si="47"/>
        <v>0</v>
      </c>
      <c r="BE96" s="52">
        <f t="shared" ca="1" si="47"/>
        <v>0</v>
      </c>
      <c r="BF96" s="52">
        <f t="shared" ca="1" si="47"/>
        <v>0</v>
      </c>
      <c r="BG96" s="52">
        <f t="shared" ca="1" si="47"/>
        <v>0</v>
      </c>
      <c r="BH96" s="52">
        <f t="shared" ca="1" si="47"/>
        <v>0</v>
      </c>
      <c r="BI96" s="52">
        <f t="shared" ca="1" si="47"/>
        <v>0</v>
      </c>
      <c r="BJ96" s="52">
        <f t="shared" ca="1" si="47"/>
        <v>0</v>
      </c>
      <c r="BK96" s="52">
        <f t="shared" ca="1" si="47"/>
        <v>0</v>
      </c>
      <c r="BL96" s="52">
        <f t="shared" ca="1" si="47"/>
        <v>0</v>
      </c>
      <c r="BM96" s="52">
        <f t="shared" ca="1" si="47"/>
        <v>0</v>
      </c>
      <c r="BN96" s="52">
        <f t="shared" ca="1" si="47"/>
        <v>0</v>
      </c>
      <c r="BO96" s="52">
        <f t="shared" ca="1" si="47"/>
        <v>0</v>
      </c>
      <c r="BP96" s="52">
        <f t="shared" ca="1" si="47"/>
        <v>0</v>
      </c>
      <c r="BQ96" s="52">
        <f t="shared" ref="BQ96:CX96" ca="1" si="48">BQ95-BP95</f>
        <v>0</v>
      </c>
      <c r="BR96" s="52">
        <f t="shared" ca="1" si="48"/>
        <v>0</v>
      </c>
      <c r="BS96" s="52">
        <f t="shared" ca="1" si="48"/>
        <v>0</v>
      </c>
      <c r="BT96" s="52">
        <f t="shared" ca="1" si="48"/>
        <v>0</v>
      </c>
      <c r="BU96" s="52">
        <f t="shared" ca="1" si="48"/>
        <v>0</v>
      </c>
      <c r="BV96" s="52">
        <f t="shared" ca="1" si="48"/>
        <v>0</v>
      </c>
      <c r="BW96" s="52">
        <f t="shared" ca="1" si="48"/>
        <v>0</v>
      </c>
      <c r="BX96" s="52">
        <f t="shared" ca="1" si="48"/>
        <v>0</v>
      </c>
      <c r="BY96" s="52">
        <f t="shared" ca="1" si="48"/>
        <v>0</v>
      </c>
      <c r="BZ96" s="52">
        <f t="shared" ca="1" si="48"/>
        <v>0</v>
      </c>
      <c r="CA96" s="52">
        <f t="shared" ca="1" si="48"/>
        <v>0</v>
      </c>
      <c r="CB96" s="52">
        <f t="shared" ca="1" si="48"/>
        <v>0</v>
      </c>
      <c r="CC96" s="52">
        <f t="shared" ca="1" si="48"/>
        <v>0</v>
      </c>
      <c r="CD96" s="52">
        <f t="shared" ca="1" si="48"/>
        <v>0</v>
      </c>
      <c r="CE96" s="52">
        <f t="shared" ca="1" si="48"/>
        <v>0</v>
      </c>
      <c r="CF96" s="52">
        <f t="shared" ca="1" si="48"/>
        <v>0</v>
      </c>
      <c r="CG96" s="52">
        <f t="shared" ca="1" si="48"/>
        <v>0</v>
      </c>
      <c r="CH96" s="52">
        <f t="shared" ca="1" si="48"/>
        <v>0</v>
      </c>
      <c r="CI96" s="52">
        <f t="shared" ca="1" si="48"/>
        <v>0</v>
      </c>
      <c r="CJ96" s="52">
        <f t="shared" ca="1" si="48"/>
        <v>0</v>
      </c>
      <c r="CK96" s="52">
        <f t="shared" ca="1" si="48"/>
        <v>0</v>
      </c>
      <c r="CL96" s="52">
        <f t="shared" ca="1" si="48"/>
        <v>0</v>
      </c>
      <c r="CM96" s="52">
        <f t="shared" ca="1" si="48"/>
        <v>0</v>
      </c>
      <c r="CN96" s="52">
        <f t="shared" ca="1" si="48"/>
        <v>0</v>
      </c>
      <c r="CO96" s="52">
        <f t="shared" ca="1" si="48"/>
        <v>0</v>
      </c>
      <c r="CP96" s="52">
        <f t="shared" ca="1" si="48"/>
        <v>0</v>
      </c>
      <c r="CQ96" s="52">
        <f t="shared" ca="1" si="48"/>
        <v>0</v>
      </c>
      <c r="CR96" s="52">
        <f t="shared" ca="1" si="48"/>
        <v>0</v>
      </c>
      <c r="CS96" s="52">
        <f t="shared" ca="1" si="48"/>
        <v>0</v>
      </c>
      <c r="CT96" s="52">
        <f t="shared" ca="1" si="48"/>
        <v>0</v>
      </c>
      <c r="CU96" s="52">
        <f t="shared" ca="1" si="48"/>
        <v>0</v>
      </c>
      <c r="CV96" s="52">
        <f t="shared" ca="1" si="48"/>
        <v>0</v>
      </c>
      <c r="CW96" s="52">
        <f t="shared" ca="1" si="48"/>
        <v>0</v>
      </c>
      <c r="CX96" s="52">
        <f t="shared" ca="1" si="48"/>
        <v>0</v>
      </c>
    </row>
    <row r="97" spans="1:102" x14ac:dyDescent="0.3">
      <c r="A97" s="169"/>
      <c r="B97" s="39"/>
    </row>
    <row r="98" spans="1:102" x14ac:dyDescent="0.3">
      <c r="A98" s="169" t="s">
        <v>274</v>
      </c>
      <c r="B98" s="259">
        <f ca="1">SUM(C98:CX98)</f>
        <v>49.704003168081499</v>
      </c>
      <c r="C98" s="258">
        <f t="shared" ref="C98:U98" si="49">(-C16-C31)</f>
        <v>47.58</v>
      </c>
      <c r="D98" s="258">
        <f t="shared" ca="1" si="49"/>
        <v>2.1240031680815004</v>
      </c>
      <c r="E98" s="258">
        <f t="shared" si="49"/>
        <v>0</v>
      </c>
      <c r="F98" s="258">
        <f t="shared" si="49"/>
        <v>0</v>
      </c>
      <c r="G98" s="258">
        <f t="shared" si="49"/>
        <v>0</v>
      </c>
      <c r="H98" s="258">
        <f t="shared" si="49"/>
        <v>0</v>
      </c>
      <c r="I98" s="258">
        <f t="shared" si="49"/>
        <v>0</v>
      </c>
      <c r="J98" s="258">
        <f t="shared" si="49"/>
        <v>0</v>
      </c>
      <c r="K98" s="258">
        <f t="shared" si="49"/>
        <v>0</v>
      </c>
      <c r="L98" s="258">
        <f t="shared" si="49"/>
        <v>0</v>
      </c>
      <c r="M98" s="258">
        <f t="shared" si="49"/>
        <v>0</v>
      </c>
      <c r="N98" s="258">
        <f t="shared" si="49"/>
        <v>0</v>
      </c>
      <c r="O98" s="258">
        <f t="shared" si="49"/>
        <v>0</v>
      </c>
      <c r="P98" s="258">
        <f t="shared" si="49"/>
        <v>0</v>
      </c>
      <c r="Q98" s="258">
        <f t="shared" si="49"/>
        <v>0</v>
      </c>
      <c r="R98" s="258">
        <f t="shared" si="49"/>
        <v>0</v>
      </c>
      <c r="S98" s="258">
        <f t="shared" si="49"/>
        <v>0</v>
      </c>
      <c r="T98" s="258">
        <f t="shared" si="49"/>
        <v>0</v>
      </c>
      <c r="U98" s="258">
        <f t="shared" si="49"/>
        <v>0</v>
      </c>
      <c r="V98" s="258"/>
      <c r="W98" s="258"/>
      <c r="X98" s="258">
        <f t="shared" ref="X98:BC98" si="50">(-X16-X31)</f>
        <v>0</v>
      </c>
      <c r="Y98" s="258">
        <f t="shared" si="50"/>
        <v>0</v>
      </c>
      <c r="Z98" s="258">
        <f t="shared" si="50"/>
        <v>0</v>
      </c>
      <c r="AA98" s="258">
        <f t="shared" si="50"/>
        <v>0</v>
      </c>
      <c r="AB98" s="258">
        <f t="shared" si="50"/>
        <v>0</v>
      </c>
      <c r="AC98" s="258">
        <f t="shared" si="50"/>
        <v>0</v>
      </c>
      <c r="AD98" s="258">
        <f t="shared" si="50"/>
        <v>0</v>
      </c>
      <c r="AE98" s="258">
        <f t="shared" si="50"/>
        <v>0</v>
      </c>
      <c r="AF98" s="258">
        <f t="shared" si="50"/>
        <v>0</v>
      </c>
      <c r="AG98" s="258">
        <f t="shared" si="50"/>
        <v>0</v>
      </c>
      <c r="AH98" s="258">
        <f t="shared" si="50"/>
        <v>0</v>
      </c>
      <c r="AI98" s="258">
        <f t="shared" si="50"/>
        <v>0</v>
      </c>
      <c r="AJ98" s="258">
        <f t="shared" si="50"/>
        <v>0</v>
      </c>
      <c r="AK98" s="258">
        <f t="shared" si="50"/>
        <v>0</v>
      </c>
      <c r="AL98" s="258">
        <f t="shared" si="50"/>
        <v>0</v>
      </c>
      <c r="AM98" s="258">
        <f t="shared" si="50"/>
        <v>0</v>
      </c>
      <c r="AN98" s="258">
        <f t="shared" si="50"/>
        <v>0</v>
      </c>
      <c r="AO98" s="258">
        <f t="shared" si="50"/>
        <v>0</v>
      </c>
      <c r="AP98" s="258">
        <f t="shared" si="50"/>
        <v>0</v>
      </c>
      <c r="AQ98" s="258">
        <f t="shared" si="50"/>
        <v>0</v>
      </c>
      <c r="AR98" s="258">
        <f t="shared" si="50"/>
        <v>0</v>
      </c>
      <c r="AS98" s="258">
        <f t="shared" si="50"/>
        <v>0</v>
      </c>
      <c r="AT98" s="258">
        <f t="shared" si="50"/>
        <v>0</v>
      </c>
      <c r="AU98" s="258">
        <f t="shared" si="50"/>
        <v>0</v>
      </c>
      <c r="AV98" s="258">
        <f t="shared" si="50"/>
        <v>0</v>
      </c>
      <c r="AW98" s="258">
        <f t="shared" si="50"/>
        <v>0</v>
      </c>
      <c r="AX98" s="258">
        <f t="shared" si="50"/>
        <v>0</v>
      </c>
      <c r="AY98" s="258">
        <f t="shared" si="50"/>
        <v>0</v>
      </c>
      <c r="AZ98" s="258">
        <f t="shared" si="50"/>
        <v>0</v>
      </c>
      <c r="BA98" s="258">
        <f t="shared" si="50"/>
        <v>0</v>
      </c>
      <c r="BB98" s="258">
        <f t="shared" si="50"/>
        <v>0</v>
      </c>
      <c r="BC98" s="258">
        <f t="shared" si="50"/>
        <v>0</v>
      </c>
      <c r="BD98" s="258">
        <f t="shared" ref="BD98:CI98" si="51">(-BD16-BD31)</f>
        <v>0</v>
      </c>
      <c r="BE98" s="258">
        <f t="shared" si="51"/>
        <v>0</v>
      </c>
      <c r="BF98" s="258">
        <f t="shared" si="51"/>
        <v>0</v>
      </c>
      <c r="BG98" s="258">
        <f t="shared" si="51"/>
        <v>0</v>
      </c>
      <c r="BH98" s="258">
        <f t="shared" si="51"/>
        <v>0</v>
      </c>
      <c r="BI98" s="258">
        <f t="shared" si="51"/>
        <v>0</v>
      </c>
      <c r="BJ98" s="258">
        <f t="shared" si="51"/>
        <v>0</v>
      </c>
      <c r="BK98" s="258">
        <f t="shared" si="51"/>
        <v>0</v>
      </c>
      <c r="BL98" s="258">
        <f t="shared" si="51"/>
        <v>0</v>
      </c>
      <c r="BM98" s="258">
        <f t="shared" si="51"/>
        <v>0</v>
      </c>
      <c r="BN98" s="258">
        <f t="shared" si="51"/>
        <v>0</v>
      </c>
      <c r="BO98" s="258">
        <f t="shared" si="51"/>
        <v>0</v>
      </c>
      <c r="BP98" s="258">
        <f t="shared" si="51"/>
        <v>0</v>
      </c>
      <c r="BQ98" s="258">
        <f t="shared" si="51"/>
        <v>0</v>
      </c>
      <c r="BR98" s="258">
        <f t="shared" si="51"/>
        <v>0</v>
      </c>
      <c r="BS98" s="258">
        <f t="shared" si="51"/>
        <v>0</v>
      </c>
      <c r="BT98" s="258">
        <f t="shared" si="51"/>
        <v>0</v>
      </c>
      <c r="BU98" s="258">
        <f t="shared" si="51"/>
        <v>0</v>
      </c>
      <c r="BV98" s="258">
        <f t="shared" si="51"/>
        <v>0</v>
      </c>
      <c r="BW98" s="258">
        <f t="shared" si="51"/>
        <v>0</v>
      </c>
      <c r="BX98" s="258">
        <f t="shared" si="51"/>
        <v>0</v>
      </c>
      <c r="BY98" s="258">
        <f t="shared" si="51"/>
        <v>0</v>
      </c>
      <c r="BZ98" s="258">
        <f t="shared" si="51"/>
        <v>0</v>
      </c>
      <c r="CA98" s="258">
        <f t="shared" si="51"/>
        <v>0</v>
      </c>
      <c r="CB98" s="258">
        <f t="shared" si="51"/>
        <v>0</v>
      </c>
      <c r="CC98" s="258">
        <f t="shared" si="51"/>
        <v>0</v>
      </c>
      <c r="CD98" s="258">
        <f t="shared" si="51"/>
        <v>0</v>
      </c>
      <c r="CE98" s="258">
        <f t="shared" si="51"/>
        <v>0</v>
      </c>
      <c r="CF98" s="258">
        <f t="shared" si="51"/>
        <v>0</v>
      </c>
      <c r="CG98" s="258">
        <f t="shared" si="51"/>
        <v>0</v>
      </c>
      <c r="CH98" s="258">
        <f t="shared" si="51"/>
        <v>0</v>
      </c>
      <c r="CI98" s="258">
        <f t="shared" si="51"/>
        <v>0</v>
      </c>
      <c r="CJ98" s="258">
        <f t="shared" ref="CJ98:CX98" si="52">(-CJ16-CJ31)</f>
        <v>0</v>
      </c>
      <c r="CK98" s="258">
        <f t="shared" si="52"/>
        <v>0</v>
      </c>
      <c r="CL98" s="258">
        <f t="shared" si="52"/>
        <v>0</v>
      </c>
      <c r="CM98" s="258">
        <f t="shared" si="52"/>
        <v>0</v>
      </c>
      <c r="CN98" s="258">
        <f t="shared" si="52"/>
        <v>0</v>
      </c>
      <c r="CO98" s="258">
        <f t="shared" si="52"/>
        <v>0</v>
      </c>
      <c r="CP98" s="258">
        <f t="shared" si="52"/>
        <v>0</v>
      </c>
      <c r="CQ98" s="258">
        <f t="shared" si="52"/>
        <v>0</v>
      </c>
      <c r="CR98" s="258">
        <f t="shared" si="52"/>
        <v>0</v>
      </c>
      <c r="CS98" s="258">
        <f t="shared" si="52"/>
        <v>0</v>
      </c>
      <c r="CT98" s="258">
        <f t="shared" si="52"/>
        <v>0</v>
      </c>
      <c r="CU98" s="258">
        <f t="shared" si="52"/>
        <v>0</v>
      </c>
      <c r="CV98" s="258">
        <f t="shared" si="52"/>
        <v>0</v>
      </c>
      <c r="CW98" s="258">
        <f t="shared" si="52"/>
        <v>0</v>
      </c>
      <c r="CX98" s="258">
        <f t="shared" si="52"/>
        <v>0</v>
      </c>
    </row>
    <row r="99" spans="1:102" x14ac:dyDescent="0.3">
      <c r="A99" s="169" t="s">
        <v>275</v>
      </c>
      <c r="B99" s="39"/>
      <c r="C99" s="258">
        <f ca="1">SUMIFS('Monthly Cashflow'!99:99,'Monthly Cashflow'!7:7,C89)</f>
        <v>47.58</v>
      </c>
      <c r="D99" s="258">
        <f ca="1">SUMIFS('Monthly Cashflow'!99:99,'Monthly Cashflow'!7:7,D89)</f>
        <v>49.704003168081499</v>
      </c>
      <c r="E99" s="258">
        <f ca="1">SUMIFS('Monthly Cashflow'!99:99,'Monthly Cashflow'!7:7,E89)</f>
        <v>49.704003168081499</v>
      </c>
      <c r="F99" s="258">
        <f ca="1">SUMIFS('Monthly Cashflow'!99:99,'Monthly Cashflow'!7:7,F89)</f>
        <v>49.704003168081499</v>
      </c>
      <c r="G99" s="258">
        <f ca="1">SUMIFS('Monthly Cashflow'!99:99,'Monthly Cashflow'!7:7,G89)</f>
        <v>56.202580391299193</v>
      </c>
      <c r="H99" s="258">
        <f ca="1">SUMIFS('Monthly Cashflow'!99:99,'Monthly Cashflow'!7:7,H89)</f>
        <v>73.489484925232233</v>
      </c>
      <c r="I99" s="258">
        <f ca="1">SUMIFS('Monthly Cashflow'!99:99,'Monthly Cashflow'!7:7,I89)</f>
        <v>89.827055898014052</v>
      </c>
      <c r="J99" s="258">
        <f ca="1">SUMIFS('Monthly Cashflow'!99:99,'Monthly Cashflow'!7:7,J89)</f>
        <v>106.89911484303018</v>
      </c>
      <c r="K99" s="258">
        <f ca="1">SUMIFS('Monthly Cashflow'!99:99,'Monthly Cashflow'!7:7,K89)</f>
        <v>130.63863152430599</v>
      </c>
      <c r="L99" s="258">
        <f ca="1">SUMIFS('Monthly Cashflow'!99:99,'Monthly Cashflow'!7:7,L89)</f>
        <v>138.7707908982164</v>
      </c>
      <c r="M99" s="258">
        <f ca="1">SUMIFS('Monthly Cashflow'!99:99,'Monthly Cashflow'!7:7,M89)</f>
        <v>147.0281778627249</v>
      </c>
      <c r="N99" s="258">
        <f ca="1">SUMIFS('Monthly Cashflow'!99:99,'Monthly Cashflow'!7:7,N89)</f>
        <v>171.12048310723114</v>
      </c>
      <c r="O99" s="258">
        <f ca="1">SUMIFS('Monthly Cashflow'!99:99,'Monthly Cashflow'!7:7,O89)</f>
        <v>187.12391096750687</v>
      </c>
      <c r="P99" s="258">
        <f ca="1">SUMIFS('Monthly Cashflow'!99:99,'Monthly Cashflow'!7:7,P89)</f>
        <v>203.37692312811771</v>
      </c>
      <c r="Q99" s="258">
        <f ca="1">SUMIFS('Monthly Cashflow'!99:99,'Monthly Cashflow'!7:7,Q89)</f>
        <v>222.65665589553436</v>
      </c>
      <c r="R99" s="258">
        <f ca="1">SUMIFS('Monthly Cashflow'!99:99,'Monthly Cashflow'!7:7,R89)</f>
        <v>227.91545242591198</v>
      </c>
      <c r="S99" s="258">
        <f ca="1">SUMIFS('Monthly Cashflow'!99:99,'Monthly Cashflow'!7:7,S89)</f>
        <v>233.24375901740325</v>
      </c>
      <c r="T99" s="258">
        <f ca="1">SUMIFS('Monthly Cashflow'!99:99,'Monthly Cashflow'!7:7,T89)</f>
        <v>239.47491060463264</v>
      </c>
      <c r="U99" s="258">
        <f ca="1">SUMIFS('Monthly Cashflow'!99:99,'Monthly Cashflow'!7:7,U89)</f>
        <v>251.53760326025505</v>
      </c>
      <c r="V99" s="258">
        <f ca="1">SUMIFS('Monthly Cashflow'!99:99,'Monthly Cashflow'!7:7,V89)</f>
        <v>251.53760326025505</v>
      </c>
      <c r="W99" s="258">
        <f ca="1">SUMIFS('Monthly Cashflow'!99:99,'Monthly Cashflow'!7:7,W89)</f>
        <v>251.53760326025505</v>
      </c>
      <c r="X99" s="258">
        <f ca="1">SUMIFS('Monthly Cashflow'!99:99,'Monthly Cashflow'!7:7,X89)</f>
        <v>251.53760326025505</v>
      </c>
      <c r="Y99" s="258">
        <f ca="1">SUMIFS('Monthly Cashflow'!99:99,'Monthly Cashflow'!7:7,Y89)</f>
        <v>251.53760326025505</v>
      </c>
      <c r="Z99" s="258">
        <f ca="1">SUMIFS('Monthly Cashflow'!99:99,'Monthly Cashflow'!7:7,Z89)</f>
        <v>251.53760326025505</v>
      </c>
      <c r="AA99" s="258">
        <f ca="1">SUMIFS('Monthly Cashflow'!99:99,'Monthly Cashflow'!7:7,AA89)</f>
        <v>251.53760326025505</v>
      </c>
      <c r="AB99" s="258">
        <f ca="1">SUMIFS('Monthly Cashflow'!99:99,'Monthly Cashflow'!7:7,AB89)</f>
        <v>251.53760326025505</v>
      </c>
      <c r="AC99" s="258">
        <f ca="1">SUMIFS('Monthly Cashflow'!99:99,'Monthly Cashflow'!7:7,AC89)</f>
        <v>251.53760326025505</v>
      </c>
      <c r="AD99" s="258">
        <f ca="1">SUMIFS('Monthly Cashflow'!99:99,'Monthly Cashflow'!7:7,AD89)</f>
        <v>251.53760326025505</v>
      </c>
      <c r="AE99" s="258">
        <f ca="1">SUMIFS('Monthly Cashflow'!99:99,'Monthly Cashflow'!7:7,AE89)</f>
        <v>251.53760326025505</v>
      </c>
      <c r="AF99" s="258">
        <f ca="1">SUMIFS('Monthly Cashflow'!99:99,'Monthly Cashflow'!7:7,AF89)</f>
        <v>251.53760326025505</v>
      </c>
      <c r="AG99" s="258">
        <f ca="1">SUMIFS('Monthly Cashflow'!99:99,'Monthly Cashflow'!7:7,AG89)</f>
        <v>251.53760326025505</v>
      </c>
      <c r="AH99" s="258">
        <f ca="1">SUMIFS('Monthly Cashflow'!99:99,'Monthly Cashflow'!7:7,AH89)</f>
        <v>251.53760326025505</v>
      </c>
      <c r="AI99" s="258">
        <f ca="1">SUMIFS('Monthly Cashflow'!99:99,'Monthly Cashflow'!7:7,AI89)</f>
        <v>251.53760326025505</v>
      </c>
      <c r="AJ99" s="258">
        <f ca="1">SUMIFS('Monthly Cashflow'!99:99,'Monthly Cashflow'!7:7,AJ89)</f>
        <v>251.53760326025505</v>
      </c>
      <c r="AK99" s="258">
        <f ca="1">SUMIFS('Monthly Cashflow'!99:99,'Monthly Cashflow'!7:7,AK89)</f>
        <v>251.53760326025505</v>
      </c>
      <c r="AL99" s="258">
        <f ca="1">SUMIFS('Monthly Cashflow'!99:99,'Monthly Cashflow'!7:7,AL89)</f>
        <v>251.53760326025505</v>
      </c>
      <c r="AM99" s="258">
        <f ca="1">SUMIFS('Monthly Cashflow'!99:99,'Monthly Cashflow'!7:7,AM89)</f>
        <v>251.53760326025505</v>
      </c>
      <c r="AN99" s="258">
        <f ca="1">SUMIFS('Monthly Cashflow'!99:99,'Monthly Cashflow'!7:7,AN89)</f>
        <v>251.53760326025505</v>
      </c>
      <c r="AO99" s="258">
        <f ca="1">SUMIFS('Monthly Cashflow'!99:99,'Monthly Cashflow'!7:7,AO89)</f>
        <v>251.53760326025505</v>
      </c>
      <c r="AP99" s="258">
        <f ca="1">SUMIFS('Monthly Cashflow'!99:99,'Monthly Cashflow'!7:7,AP89)</f>
        <v>251.53760326025505</v>
      </c>
      <c r="AQ99" s="258">
        <f ca="1">SUMIFS('Monthly Cashflow'!99:99,'Monthly Cashflow'!7:7,AQ89)</f>
        <v>251.53760326025505</v>
      </c>
      <c r="AR99" s="258">
        <f ca="1">SUMIFS('Monthly Cashflow'!99:99,'Monthly Cashflow'!7:7,AR89)</f>
        <v>251.53760326025505</v>
      </c>
      <c r="AS99" s="258">
        <f ca="1">SUMIFS('Monthly Cashflow'!99:99,'Monthly Cashflow'!7:7,AS89)</f>
        <v>251.53760326025505</v>
      </c>
      <c r="AT99" s="258">
        <f ca="1">SUMIFS('Monthly Cashflow'!99:99,'Monthly Cashflow'!7:7,AT89)</f>
        <v>251.53760326025505</v>
      </c>
      <c r="AU99" s="258">
        <f ca="1">SUMIFS('Monthly Cashflow'!99:99,'Monthly Cashflow'!7:7,AU89)</f>
        <v>251.53760326025505</v>
      </c>
      <c r="AV99" s="258">
        <f ca="1">SUMIFS('Monthly Cashflow'!99:99,'Monthly Cashflow'!7:7,AV89)</f>
        <v>251.53760326025505</v>
      </c>
      <c r="AW99" s="258">
        <f ca="1">SUMIFS('Monthly Cashflow'!99:99,'Monthly Cashflow'!7:7,AW89)</f>
        <v>251.53760326025505</v>
      </c>
      <c r="AX99" s="258">
        <f ca="1">SUMIFS('Monthly Cashflow'!99:99,'Monthly Cashflow'!7:7,AX89)</f>
        <v>251.53760326025505</v>
      </c>
      <c r="AY99" s="258">
        <f ca="1">SUMIFS('Monthly Cashflow'!99:99,'Monthly Cashflow'!7:7,AY89)</f>
        <v>251.53760326025505</v>
      </c>
      <c r="AZ99" s="258">
        <f ca="1">SUMIFS('Monthly Cashflow'!99:99,'Monthly Cashflow'!7:7,AZ89)</f>
        <v>251.53760326025505</v>
      </c>
      <c r="BA99" s="258">
        <f ca="1">SUMIFS('Monthly Cashflow'!99:99,'Monthly Cashflow'!7:7,BA89)</f>
        <v>251.53760326025505</v>
      </c>
      <c r="BB99" s="258">
        <f ca="1">SUMIFS('Monthly Cashflow'!99:99,'Monthly Cashflow'!7:7,BB89)</f>
        <v>251.53760326025505</v>
      </c>
      <c r="BC99" s="258">
        <f ca="1">SUMIFS('Monthly Cashflow'!99:99,'Monthly Cashflow'!7:7,BC89)</f>
        <v>251.53760326025505</v>
      </c>
      <c r="BD99" s="258">
        <f ca="1">SUMIFS('Monthly Cashflow'!99:99,'Monthly Cashflow'!7:7,BD89)</f>
        <v>251.53760326025505</v>
      </c>
      <c r="BE99" s="258">
        <f ca="1">SUMIFS('Monthly Cashflow'!99:99,'Monthly Cashflow'!7:7,BE89)</f>
        <v>251.53760326025505</v>
      </c>
      <c r="BF99" s="258">
        <f ca="1">SUMIFS('Monthly Cashflow'!99:99,'Monthly Cashflow'!7:7,BF89)</f>
        <v>251.53760326025505</v>
      </c>
      <c r="BG99" s="258">
        <f ca="1">SUMIFS('Monthly Cashflow'!99:99,'Monthly Cashflow'!7:7,BG89)</f>
        <v>251.53760326025505</v>
      </c>
      <c r="BH99" s="258">
        <f ca="1">SUMIFS('Monthly Cashflow'!99:99,'Monthly Cashflow'!7:7,BH89)</f>
        <v>251.53760326025505</v>
      </c>
      <c r="BI99" s="258">
        <f ca="1">SUMIFS('Monthly Cashflow'!99:99,'Monthly Cashflow'!7:7,BI89)</f>
        <v>251.53760326025505</v>
      </c>
      <c r="BJ99" s="258">
        <f ca="1">SUMIFS('Monthly Cashflow'!99:99,'Monthly Cashflow'!7:7,BJ89)</f>
        <v>251.53760326025505</v>
      </c>
      <c r="BK99" s="258">
        <f ca="1">SUMIFS('Monthly Cashflow'!99:99,'Monthly Cashflow'!7:7,BK89)</f>
        <v>251.53760326025505</v>
      </c>
      <c r="BL99" s="258">
        <f ca="1">SUMIFS('Monthly Cashflow'!99:99,'Monthly Cashflow'!7:7,BL89)</f>
        <v>251.53760326025505</v>
      </c>
      <c r="BM99" s="258">
        <f ca="1">SUMIFS('Monthly Cashflow'!99:99,'Monthly Cashflow'!7:7,BM89)</f>
        <v>251.53760326025505</v>
      </c>
      <c r="BN99" s="258">
        <f ca="1">SUMIFS('Monthly Cashflow'!99:99,'Monthly Cashflow'!7:7,BN89)</f>
        <v>251.53760326025505</v>
      </c>
      <c r="BO99" s="258">
        <f ca="1">SUMIFS('Monthly Cashflow'!99:99,'Monthly Cashflow'!7:7,BO89)</f>
        <v>251.53760326025505</v>
      </c>
      <c r="BP99" s="258">
        <f ca="1">SUMIFS('Monthly Cashflow'!99:99,'Monthly Cashflow'!7:7,BP89)</f>
        <v>251.53760326025505</v>
      </c>
      <c r="BQ99" s="258">
        <f ca="1">SUMIFS('Monthly Cashflow'!99:99,'Monthly Cashflow'!7:7,BQ89)</f>
        <v>251.53760326025505</v>
      </c>
      <c r="BR99" s="258">
        <f ca="1">SUMIFS('Monthly Cashflow'!99:99,'Monthly Cashflow'!7:7,BR89)</f>
        <v>251.53760326025505</v>
      </c>
      <c r="BS99" s="258">
        <f ca="1">SUMIFS('Monthly Cashflow'!99:99,'Monthly Cashflow'!7:7,BS89)</f>
        <v>251.53760326025505</v>
      </c>
      <c r="BT99" s="258">
        <f ca="1">SUMIFS('Monthly Cashflow'!99:99,'Monthly Cashflow'!7:7,BT89)</f>
        <v>251.53760326025505</v>
      </c>
      <c r="BU99" s="258">
        <f ca="1">SUMIFS('Monthly Cashflow'!99:99,'Monthly Cashflow'!7:7,BU89)</f>
        <v>251.53760326025505</v>
      </c>
      <c r="BV99" s="258">
        <f ca="1">SUMIFS('Monthly Cashflow'!99:99,'Monthly Cashflow'!7:7,BV89)</f>
        <v>251.53760326025505</v>
      </c>
      <c r="BW99" s="258">
        <f ca="1">SUMIFS('Monthly Cashflow'!99:99,'Monthly Cashflow'!7:7,BW89)</f>
        <v>251.53760326025505</v>
      </c>
      <c r="BX99" s="258">
        <f ca="1">SUMIFS('Monthly Cashflow'!99:99,'Monthly Cashflow'!7:7,BX89)</f>
        <v>251.53760326025505</v>
      </c>
      <c r="BY99" s="258">
        <f ca="1">SUMIFS('Monthly Cashflow'!99:99,'Monthly Cashflow'!7:7,BY89)</f>
        <v>251.53760326025505</v>
      </c>
      <c r="BZ99" s="258">
        <f ca="1">SUMIFS('Monthly Cashflow'!99:99,'Monthly Cashflow'!7:7,BZ89)</f>
        <v>251.53760326025505</v>
      </c>
      <c r="CA99" s="258">
        <f ca="1">SUMIFS('Monthly Cashflow'!99:99,'Monthly Cashflow'!7:7,CA89)</f>
        <v>251.53760326025505</v>
      </c>
      <c r="CB99" s="258">
        <f ca="1">SUMIFS('Monthly Cashflow'!99:99,'Monthly Cashflow'!7:7,CB89)</f>
        <v>251.53760326025505</v>
      </c>
      <c r="CC99" s="258">
        <f ca="1">SUMIFS('Monthly Cashflow'!99:99,'Monthly Cashflow'!7:7,CC89)</f>
        <v>251.53760326025505</v>
      </c>
      <c r="CD99" s="258">
        <f ca="1">SUMIFS('Monthly Cashflow'!99:99,'Monthly Cashflow'!7:7,CD89)</f>
        <v>251.53760326025505</v>
      </c>
      <c r="CE99" s="258">
        <f ca="1">SUMIFS('Monthly Cashflow'!99:99,'Monthly Cashflow'!7:7,CE89)</f>
        <v>251.53760326025505</v>
      </c>
      <c r="CF99" s="258">
        <f ca="1">SUMIFS('Monthly Cashflow'!99:99,'Monthly Cashflow'!7:7,CF89)</f>
        <v>251.53760326025505</v>
      </c>
      <c r="CG99" s="258">
        <f ca="1">SUMIFS('Monthly Cashflow'!99:99,'Monthly Cashflow'!7:7,CG89)</f>
        <v>251.53760326025505</v>
      </c>
      <c r="CH99" s="258">
        <f ca="1">SUMIFS('Monthly Cashflow'!99:99,'Monthly Cashflow'!7:7,CH89)</f>
        <v>251.53760326025505</v>
      </c>
      <c r="CI99" s="258">
        <f ca="1">SUMIFS('Monthly Cashflow'!99:99,'Monthly Cashflow'!7:7,CI89)</f>
        <v>251.53760326025505</v>
      </c>
      <c r="CJ99" s="258">
        <f ca="1">SUMIFS('Monthly Cashflow'!99:99,'Monthly Cashflow'!7:7,CJ89)</f>
        <v>251.53760326025505</v>
      </c>
      <c r="CK99" s="258">
        <f ca="1">SUMIFS('Monthly Cashflow'!99:99,'Monthly Cashflow'!7:7,CK89)</f>
        <v>251.53760326025505</v>
      </c>
      <c r="CL99" s="258">
        <f ca="1">SUMIFS('Monthly Cashflow'!99:99,'Monthly Cashflow'!7:7,CL89)</f>
        <v>251.53760326025505</v>
      </c>
      <c r="CM99" s="258">
        <f ca="1">SUMIFS('Monthly Cashflow'!99:99,'Monthly Cashflow'!7:7,CM89)</f>
        <v>251.53760326025505</v>
      </c>
      <c r="CN99" s="258">
        <f ca="1">SUMIFS('Monthly Cashflow'!99:99,'Monthly Cashflow'!7:7,CN89)</f>
        <v>251.53760326025505</v>
      </c>
      <c r="CO99" s="258">
        <f ca="1">SUMIFS('Monthly Cashflow'!99:99,'Monthly Cashflow'!7:7,CO89)</f>
        <v>251.53760326025505</v>
      </c>
      <c r="CP99" s="258">
        <f ca="1">SUMIFS('Monthly Cashflow'!99:99,'Monthly Cashflow'!7:7,CP89)</f>
        <v>251.53760326025505</v>
      </c>
      <c r="CQ99" s="258">
        <f ca="1">SUMIFS('Monthly Cashflow'!99:99,'Monthly Cashflow'!7:7,CQ89)</f>
        <v>251.53760326025505</v>
      </c>
      <c r="CR99" s="258">
        <f ca="1">SUMIFS('Monthly Cashflow'!99:99,'Monthly Cashflow'!7:7,CR89)</f>
        <v>251.53760326025505</v>
      </c>
      <c r="CS99" s="258">
        <f ca="1">SUMIFS('Monthly Cashflow'!99:99,'Monthly Cashflow'!7:7,CS89)</f>
        <v>251.53760326025505</v>
      </c>
      <c r="CT99" s="258">
        <f ca="1">SUMIFS('Monthly Cashflow'!99:99,'Monthly Cashflow'!7:7,CT89)</f>
        <v>251.53760326025505</v>
      </c>
      <c r="CU99" s="258">
        <f>SUMIFS('Monthly Cashflow'!99:99,'Monthly Cashflow'!7:7,CU89)</f>
        <v>0</v>
      </c>
      <c r="CV99" s="258">
        <f>SUMIFS('Monthly Cashflow'!99:99,'Monthly Cashflow'!7:7,CV89)</f>
        <v>0</v>
      </c>
      <c r="CW99" s="258">
        <f>SUMIFS('Monthly Cashflow'!99:99,'Monthly Cashflow'!7:7,CW89)</f>
        <v>0</v>
      </c>
      <c r="CX99" s="258">
        <f>SUMIFS('Monthly Cashflow'!99:99,'Monthly Cashflow'!7:7,CX89)</f>
        <v>0</v>
      </c>
    </row>
    <row r="100" spans="1:102" x14ac:dyDescent="0.3">
      <c r="A100" s="290" t="s">
        <v>276</v>
      </c>
      <c r="B100" s="39"/>
      <c r="C100" s="54">
        <f ca="1">C99-B99</f>
        <v>47.58</v>
      </c>
      <c r="D100" s="54">
        <f ca="1">D99-C99</f>
        <v>2.1240031680815008</v>
      </c>
      <c r="E100" s="54">
        <f t="shared" ref="E100:BP100" ca="1" si="53">E99-D99</f>
        <v>0</v>
      </c>
      <c r="F100" s="54">
        <f t="shared" ca="1" si="53"/>
        <v>0</v>
      </c>
      <c r="G100" s="54">
        <f t="shared" ca="1" si="53"/>
        <v>6.4985772232176942</v>
      </c>
      <c r="H100" s="54">
        <f t="shared" ca="1" si="53"/>
        <v>17.28690453393304</v>
      </c>
      <c r="I100" s="54">
        <f t="shared" ca="1" si="53"/>
        <v>16.337570972781819</v>
      </c>
      <c r="J100" s="54">
        <f t="shared" ca="1" si="53"/>
        <v>17.072058945016124</v>
      </c>
      <c r="K100" s="54">
        <f t="shared" ca="1" si="53"/>
        <v>23.739516681275816</v>
      </c>
      <c r="L100" s="54">
        <f t="shared" ca="1" si="53"/>
        <v>8.1321593739104117</v>
      </c>
      <c r="M100" s="54">
        <f t="shared" ca="1" si="53"/>
        <v>8.2573869645084983</v>
      </c>
      <c r="N100" s="54">
        <f t="shared" ca="1" si="53"/>
        <v>24.092305244506235</v>
      </c>
      <c r="O100" s="54">
        <f t="shared" ca="1" si="53"/>
        <v>16.003427860275735</v>
      </c>
      <c r="P100" s="54">
        <f t="shared" ca="1" si="53"/>
        <v>16.253012160610837</v>
      </c>
      <c r="Q100" s="54">
        <f t="shared" ca="1" si="53"/>
        <v>19.279732767416647</v>
      </c>
      <c r="R100" s="54">
        <f t="shared" ca="1" si="53"/>
        <v>5.258796530377623</v>
      </c>
      <c r="S100" s="54">
        <f t="shared" ca="1" si="53"/>
        <v>5.3283065914912697</v>
      </c>
      <c r="T100" s="54">
        <f t="shared" ca="1" si="53"/>
        <v>6.231151587229391</v>
      </c>
      <c r="U100" s="54">
        <f t="shared" ca="1" si="53"/>
        <v>12.062692655622413</v>
      </c>
      <c r="V100" s="54">
        <f t="shared" ca="1" si="53"/>
        <v>0</v>
      </c>
      <c r="W100" s="54">
        <f t="shared" ca="1" si="53"/>
        <v>0</v>
      </c>
      <c r="X100" s="54">
        <f t="shared" ca="1" si="53"/>
        <v>0</v>
      </c>
      <c r="Y100" s="54">
        <f t="shared" ca="1" si="53"/>
        <v>0</v>
      </c>
      <c r="Z100" s="54">
        <f t="shared" ca="1" si="53"/>
        <v>0</v>
      </c>
      <c r="AA100" s="54">
        <f t="shared" ca="1" si="53"/>
        <v>0</v>
      </c>
      <c r="AB100" s="54">
        <f t="shared" ca="1" si="53"/>
        <v>0</v>
      </c>
      <c r="AC100" s="54">
        <f t="shared" ca="1" si="53"/>
        <v>0</v>
      </c>
      <c r="AD100" s="54">
        <f t="shared" ca="1" si="53"/>
        <v>0</v>
      </c>
      <c r="AE100" s="54">
        <f t="shared" ca="1" si="53"/>
        <v>0</v>
      </c>
      <c r="AF100" s="54">
        <f t="shared" ca="1" si="53"/>
        <v>0</v>
      </c>
      <c r="AG100" s="54">
        <f t="shared" ca="1" si="53"/>
        <v>0</v>
      </c>
      <c r="AH100" s="54">
        <f t="shared" ca="1" si="53"/>
        <v>0</v>
      </c>
      <c r="AI100" s="54">
        <f t="shared" ca="1" si="53"/>
        <v>0</v>
      </c>
      <c r="AJ100" s="54">
        <f t="shared" ca="1" si="53"/>
        <v>0</v>
      </c>
      <c r="AK100" s="54">
        <f t="shared" ca="1" si="53"/>
        <v>0</v>
      </c>
      <c r="AL100" s="54">
        <f t="shared" ca="1" si="53"/>
        <v>0</v>
      </c>
      <c r="AM100" s="54">
        <f t="shared" ca="1" si="53"/>
        <v>0</v>
      </c>
      <c r="AN100" s="54">
        <f t="shared" ca="1" si="53"/>
        <v>0</v>
      </c>
      <c r="AO100" s="54">
        <f t="shared" ca="1" si="53"/>
        <v>0</v>
      </c>
      <c r="AP100" s="54">
        <f t="shared" ca="1" si="53"/>
        <v>0</v>
      </c>
      <c r="AQ100" s="54">
        <f t="shared" ca="1" si="53"/>
        <v>0</v>
      </c>
      <c r="AR100" s="54">
        <f t="shared" ca="1" si="53"/>
        <v>0</v>
      </c>
      <c r="AS100" s="54">
        <f t="shared" ca="1" si="53"/>
        <v>0</v>
      </c>
      <c r="AT100" s="54">
        <f t="shared" ca="1" si="53"/>
        <v>0</v>
      </c>
      <c r="AU100" s="54">
        <f t="shared" ca="1" si="53"/>
        <v>0</v>
      </c>
      <c r="AV100" s="54">
        <f t="shared" ca="1" si="53"/>
        <v>0</v>
      </c>
      <c r="AW100" s="54">
        <f t="shared" ca="1" si="53"/>
        <v>0</v>
      </c>
      <c r="AX100" s="54">
        <f t="shared" ca="1" si="53"/>
        <v>0</v>
      </c>
      <c r="AY100" s="54">
        <f t="shared" ca="1" si="53"/>
        <v>0</v>
      </c>
      <c r="AZ100" s="54">
        <f t="shared" ca="1" si="53"/>
        <v>0</v>
      </c>
      <c r="BA100" s="54">
        <f t="shared" ca="1" si="53"/>
        <v>0</v>
      </c>
      <c r="BB100" s="54">
        <f t="shared" ca="1" si="53"/>
        <v>0</v>
      </c>
      <c r="BC100" s="54">
        <f t="shared" ca="1" si="53"/>
        <v>0</v>
      </c>
      <c r="BD100" s="54">
        <f t="shared" ca="1" si="53"/>
        <v>0</v>
      </c>
      <c r="BE100" s="54">
        <f t="shared" ca="1" si="53"/>
        <v>0</v>
      </c>
      <c r="BF100" s="54">
        <f t="shared" ca="1" si="53"/>
        <v>0</v>
      </c>
      <c r="BG100" s="54">
        <f t="shared" ca="1" si="53"/>
        <v>0</v>
      </c>
      <c r="BH100" s="54">
        <f t="shared" ca="1" si="53"/>
        <v>0</v>
      </c>
      <c r="BI100" s="54">
        <f t="shared" ca="1" si="53"/>
        <v>0</v>
      </c>
      <c r="BJ100" s="54">
        <f t="shared" ca="1" si="53"/>
        <v>0</v>
      </c>
      <c r="BK100" s="54">
        <f t="shared" ca="1" si="53"/>
        <v>0</v>
      </c>
      <c r="BL100" s="54">
        <f t="shared" ca="1" si="53"/>
        <v>0</v>
      </c>
      <c r="BM100" s="54">
        <f t="shared" ca="1" si="53"/>
        <v>0</v>
      </c>
      <c r="BN100" s="54">
        <f t="shared" ca="1" si="53"/>
        <v>0</v>
      </c>
      <c r="BO100" s="54">
        <f t="shared" ca="1" si="53"/>
        <v>0</v>
      </c>
      <c r="BP100" s="54">
        <f t="shared" ca="1" si="53"/>
        <v>0</v>
      </c>
      <c r="BQ100" s="54">
        <f t="shared" ref="BQ100:CX100" ca="1" si="54">BQ99-BP99</f>
        <v>0</v>
      </c>
      <c r="BR100" s="54">
        <f t="shared" ca="1" si="54"/>
        <v>0</v>
      </c>
      <c r="BS100" s="54">
        <f t="shared" ca="1" si="54"/>
        <v>0</v>
      </c>
      <c r="BT100" s="54">
        <f t="shared" ca="1" si="54"/>
        <v>0</v>
      </c>
      <c r="BU100" s="54">
        <f t="shared" ca="1" si="54"/>
        <v>0</v>
      </c>
      <c r="BV100" s="54">
        <f t="shared" ca="1" si="54"/>
        <v>0</v>
      </c>
      <c r="BW100" s="54">
        <f t="shared" ca="1" si="54"/>
        <v>0</v>
      </c>
      <c r="BX100" s="54">
        <f t="shared" ca="1" si="54"/>
        <v>0</v>
      </c>
      <c r="BY100" s="54">
        <f t="shared" ca="1" si="54"/>
        <v>0</v>
      </c>
      <c r="BZ100" s="54">
        <f t="shared" ca="1" si="54"/>
        <v>0</v>
      </c>
      <c r="CA100" s="54">
        <f t="shared" ca="1" si="54"/>
        <v>0</v>
      </c>
      <c r="CB100" s="54">
        <f t="shared" ca="1" si="54"/>
        <v>0</v>
      </c>
      <c r="CC100" s="54">
        <f t="shared" ca="1" si="54"/>
        <v>0</v>
      </c>
      <c r="CD100" s="54">
        <f t="shared" ca="1" si="54"/>
        <v>0</v>
      </c>
      <c r="CE100" s="54">
        <f t="shared" ca="1" si="54"/>
        <v>0</v>
      </c>
      <c r="CF100" s="54">
        <f t="shared" ca="1" si="54"/>
        <v>0</v>
      </c>
      <c r="CG100" s="54">
        <f t="shared" ca="1" si="54"/>
        <v>0</v>
      </c>
      <c r="CH100" s="54">
        <f t="shared" ca="1" si="54"/>
        <v>0</v>
      </c>
      <c r="CI100" s="54">
        <f t="shared" ca="1" si="54"/>
        <v>0</v>
      </c>
      <c r="CJ100" s="54">
        <f t="shared" ca="1" si="54"/>
        <v>0</v>
      </c>
      <c r="CK100" s="54">
        <f t="shared" ca="1" si="54"/>
        <v>0</v>
      </c>
      <c r="CL100" s="54">
        <f t="shared" ca="1" si="54"/>
        <v>0</v>
      </c>
      <c r="CM100" s="54">
        <f t="shared" ca="1" si="54"/>
        <v>0</v>
      </c>
      <c r="CN100" s="54">
        <f t="shared" ca="1" si="54"/>
        <v>0</v>
      </c>
      <c r="CO100" s="54">
        <f t="shared" ca="1" si="54"/>
        <v>0</v>
      </c>
      <c r="CP100" s="54">
        <f t="shared" ca="1" si="54"/>
        <v>0</v>
      </c>
      <c r="CQ100" s="54">
        <f t="shared" ca="1" si="54"/>
        <v>0</v>
      </c>
      <c r="CR100" s="54">
        <f t="shared" ca="1" si="54"/>
        <v>0</v>
      </c>
      <c r="CS100" s="54">
        <f t="shared" ca="1" si="54"/>
        <v>0</v>
      </c>
      <c r="CT100" s="54">
        <f t="shared" ca="1" si="54"/>
        <v>0</v>
      </c>
      <c r="CU100" s="54">
        <f t="shared" ca="1" si="54"/>
        <v>-251.53760326025505</v>
      </c>
      <c r="CV100" s="54">
        <f t="shared" si="54"/>
        <v>0</v>
      </c>
      <c r="CW100" s="54">
        <f t="shared" si="54"/>
        <v>0</v>
      </c>
      <c r="CX100" s="54">
        <f t="shared" si="54"/>
        <v>0</v>
      </c>
    </row>
    <row r="101" spans="1:102" x14ac:dyDescent="0.3">
      <c r="A101" s="169" t="s">
        <v>12</v>
      </c>
      <c r="B101" s="39"/>
      <c r="C101" s="258">
        <f ca="1">IF(C100&lt;C98,1,0)</f>
        <v>0</v>
      </c>
      <c r="D101" s="258">
        <f ca="1">IF(D100&lt;D98,1,0)</f>
        <v>0</v>
      </c>
      <c r="E101" s="258">
        <f t="shared" ref="E101:BP101" ca="1" si="55">IF(E100&lt;E98,1,0)</f>
        <v>0</v>
      </c>
      <c r="F101" s="258">
        <f t="shared" ca="1" si="55"/>
        <v>0</v>
      </c>
      <c r="G101" s="258">
        <f t="shared" ca="1" si="55"/>
        <v>0</v>
      </c>
      <c r="H101" s="258">
        <f t="shared" ca="1" si="55"/>
        <v>0</v>
      </c>
      <c r="I101" s="258">
        <f t="shared" ca="1" si="55"/>
        <v>0</v>
      </c>
      <c r="J101" s="258">
        <f t="shared" ca="1" si="55"/>
        <v>0</v>
      </c>
      <c r="K101" s="258">
        <f t="shared" ca="1" si="55"/>
        <v>0</v>
      </c>
      <c r="L101" s="258">
        <f t="shared" ca="1" si="55"/>
        <v>0</v>
      </c>
      <c r="M101" s="258">
        <f t="shared" ca="1" si="55"/>
        <v>0</v>
      </c>
      <c r="N101" s="258">
        <f t="shared" ca="1" si="55"/>
        <v>0</v>
      </c>
      <c r="O101" s="258">
        <f t="shared" ca="1" si="55"/>
        <v>0</v>
      </c>
      <c r="P101" s="258">
        <f t="shared" ca="1" si="55"/>
        <v>0</v>
      </c>
      <c r="Q101" s="258">
        <f t="shared" ca="1" si="55"/>
        <v>0</v>
      </c>
      <c r="R101" s="258">
        <f t="shared" ca="1" si="55"/>
        <v>0</v>
      </c>
      <c r="S101" s="258">
        <f t="shared" ca="1" si="55"/>
        <v>0</v>
      </c>
      <c r="T101" s="258">
        <f t="shared" ca="1" si="55"/>
        <v>0</v>
      </c>
      <c r="U101" s="258">
        <f t="shared" ca="1" si="55"/>
        <v>0</v>
      </c>
      <c r="V101" s="258">
        <f t="shared" ca="1" si="55"/>
        <v>0</v>
      </c>
      <c r="W101" s="258">
        <f t="shared" ca="1" si="55"/>
        <v>0</v>
      </c>
      <c r="X101" s="258">
        <f t="shared" ca="1" si="55"/>
        <v>0</v>
      </c>
      <c r="Y101" s="258">
        <f t="shared" ca="1" si="55"/>
        <v>0</v>
      </c>
      <c r="Z101" s="258">
        <f t="shared" ca="1" si="55"/>
        <v>0</v>
      </c>
      <c r="AA101" s="258">
        <f t="shared" ca="1" si="55"/>
        <v>0</v>
      </c>
      <c r="AB101" s="258">
        <f t="shared" ca="1" si="55"/>
        <v>0</v>
      </c>
      <c r="AC101" s="258">
        <f t="shared" ca="1" si="55"/>
        <v>0</v>
      </c>
      <c r="AD101" s="258">
        <f t="shared" ca="1" si="55"/>
        <v>0</v>
      </c>
      <c r="AE101" s="258">
        <f t="shared" ca="1" si="55"/>
        <v>0</v>
      </c>
      <c r="AF101" s="258">
        <f t="shared" ca="1" si="55"/>
        <v>0</v>
      </c>
      <c r="AG101" s="258">
        <f t="shared" ca="1" si="55"/>
        <v>0</v>
      </c>
      <c r="AH101" s="258">
        <f t="shared" ca="1" si="55"/>
        <v>0</v>
      </c>
      <c r="AI101" s="258">
        <f t="shared" ca="1" si="55"/>
        <v>0</v>
      </c>
      <c r="AJ101" s="258">
        <f t="shared" ca="1" si="55"/>
        <v>0</v>
      </c>
      <c r="AK101" s="258">
        <f t="shared" ca="1" si="55"/>
        <v>0</v>
      </c>
      <c r="AL101" s="258">
        <f t="shared" ca="1" si="55"/>
        <v>0</v>
      </c>
      <c r="AM101" s="258">
        <f t="shared" ca="1" si="55"/>
        <v>0</v>
      </c>
      <c r="AN101" s="258">
        <f t="shared" ca="1" si="55"/>
        <v>0</v>
      </c>
      <c r="AO101" s="258">
        <f t="shared" ca="1" si="55"/>
        <v>0</v>
      </c>
      <c r="AP101" s="258">
        <f t="shared" ca="1" si="55"/>
        <v>0</v>
      </c>
      <c r="AQ101" s="258">
        <f t="shared" ca="1" si="55"/>
        <v>0</v>
      </c>
      <c r="AR101" s="258">
        <f t="shared" ca="1" si="55"/>
        <v>0</v>
      </c>
      <c r="AS101" s="258">
        <f t="shared" ca="1" si="55"/>
        <v>0</v>
      </c>
      <c r="AT101" s="258">
        <f t="shared" ca="1" si="55"/>
        <v>0</v>
      </c>
      <c r="AU101" s="258">
        <f t="shared" ca="1" si="55"/>
        <v>0</v>
      </c>
      <c r="AV101" s="258">
        <f t="shared" ca="1" si="55"/>
        <v>0</v>
      </c>
      <c r="AW101" s="258">
        <f t="shared" ca="1" si="55"/>
        <v>0</v>
      </c>
      <c r="AX101" s="258">
        <f t="shared" ca="1" si="55"/>
        <v>0</v>
      </c>
      <c r="AY101" s="258">
        <f t="shared" ca="1" si="55"/>
        <v>0</v>
      </c>
      <c r="AZ101" s="258">
        <f t="shared" ca="1" si="55"/>
        <v>0</v>
      </c>
      <c r="BA101" s="258">
        <f t="shared" ca="1" si="55"/>
        <v>0</v>
      </c>
      <c r="BB101" s="258">
        <f t="shared" ca="1" si="55"/>
        <v>0</v>
      </c>
      <c r="BC101" s="258">
        <f t="shared" ca="1" si="55"/>
        <v>0</v>
      </c>
      <c r="BD101" s="258">
        <f t="shared" ca="1" si="55"/>
        <v>0</v>
      </c>
      <c r="BE101" s="258">
        <f t="shared" ca="1" si="55"/>
        <v>0</v>
      </c>
      <c r="BF101" s="258">
        <f t="shared" ca="1" si="55"/>
        <v>0</v>
      </c>
      <c r="BG101" s="258">
        <f t="shared" ca="1" si="55"/>
        <v>0</v>
      </c>
      <c r="BH101" s="258">
        <f t="shared" ca="1" si="55"/>
        <v>0</v>
      </c>
      <c r="BI101" s="258">
        <f t="shared" ca="1" si="55"/>
        <v>0</v>
      </c>
      <c r="BJ101" s="258">
        <f t="shared" ca="1" si="55"/>
        <v>0</v>
      </c>
      <c r="BK101" s="258">
        <f t="shared" ca="1" si="55"/>
        <v>0</v>
      </c>
      <c r="BL101" s="258">
        <f t="shared" ca="1" si="55"/>
        <v>0</v>
      </c>
      <c r="BM101" s="258">
        <f t="shared" ca="1" si="55"/>
        <v>0</v>
      </c>
      <c r="BN101" s="258">
        <f t="shared" ca="1" si="55"/>
        <v>0</v>
      </c>
      <c r="BO101" s="258">
        <f t="shared" ca="1" si="55"/>
        <v>0</v>
      </c>
      <c r="BP101" s="258">
        <f t="shared" ca="1" si="55"/>
        <v>0</v>
      </c>
      <c r="BQ101" s="258">
        <f t="shared" ref="BQ101:CX101" ca="1" si="56">IF(BQ100&lt;BQ98,1,0)</f>
        <v>0</v>
      </c>
      <c r="BR101" s="258">
        <f t="shared" ca="1" si="56"/>
        <v>0</v>
      </c>
      <c r="BS101" s="258">
        <f t="shared" ca="1" si="56"/>
        <v>0</v>
      </c>
      <c r="BT101" s="258">
        <f t="shared" ca="1" si="56"/>
        <v>0</v>
      </c>
      <c r="BU101" s="258">
        <f t="shared" ca="1" si="56"/>
        <v>0</v>
      </c>
      <c r="BV101" s="258">
        <f t="shared" ca="1" si="56"/>
        <v>0</v>
      </c>
      <c r="BW101" s="258">
        <f t="shared" ca="1" si="56"/>
        <v>0</v>
      </c>
      <c r="BX101" s="258">
        <f t="shared" ca="1" si="56"/>
        <v>0</v>
      </c>
      <c r="BY101" s="258">
        <f t="shared" ca="1" si="56"/>
        <v>0</v>
      </c>
      <c r="BZ101" s="258">
        <f t="shared" ca="1" si="56"/>
        <v>0</v>
      </c>
      <c r="CA101" s="258">
        <f t="shared" ca="1" si="56"/>
        <v>0</v>
      </c>
      <c r="CB101" s="258">
        <f t="shared" ca="1" si="56"/>
        <v>0</v>
      </c>
      <c r="CC101" s="258">
        <f t="shared" ca="1" si="56"/>
        <v>0</v>
      </c>
      <c r="CD101" s="258">
        <f t="shared" ca="1" si="56"/>
        <v>0</v>
      </c>
      <c r="CE101" s="258">
        <f t="shared" ca="1" si="56"/>
        <v>0</v>
      </c>
      <c r="CF101" s="258">
        <f t="shared" ca="1" si="56"/>
        <v>0</v>
      </c>
      <c r="CG101" s="258">
        <f t="shared" ca="1" si="56"/>
        <v>0</v>
      </c>
      <c r="CH101" s="258">
        <f t="shared" ca="1" si="56"/>
        <v>0</v>
      </c>
      <c r="CI101" s="258">
        <f t="shared" ca="1" si="56"/>
        <v>0</v>
      </c>
      <c r="CJ101" s="258">
        <f t="shared" ca="1" si="56"/>
        <v>0</v>
      </c>
      <c r="CK101" s="258">
        <f t="shared" ca="1" si="56"/>
        <v>0</v>
      </c>
      <c r="CL101" s="258">
        <f t="shared" ca="1" si="56"/>
        <v>0</v>
      </c>
      <c r="CM101" s="258">
        <f t="shared" ca="1" si="56"/>
        <v>0</v>
      </c>
      <c r="CN101" s="258">
        <f t="shared" ca="1" si="56"/>
        <v>0</v>
      </c>
      <c r="CO101" s="258">
        <f t="shared" ca="1" si="56"/>
        <v>0</v>
      </c>
      <c r="CP101" s="258">
        <f t="shared" ca="1" si="56"/>
        <v>0</v>
      </c>
      <c r="CQ101" s="258">
        <f t="shared" ca="1" si="56"/>
        <v>0</v>
      </c>
      <c r="CR101" s="258">
        <f t="shared" ca="1" si="56"/>
        <v>0</v>
      </c>
      <c r="CS101" s="258">
        <f t="shared" ca="1" si="56"/>
        <v>0</v>
      </c>
      <c r="CT101" s="258">
        <f t="shared" ca="1" si="56"/>
        <v>0</v>
      </c>
      <c r="CU101" s="258">
        <f t="shared" ca="1" si="56"/>
        <v>1</v>
      </c>
      <c r="CV101" s="258">
        <f t="shared" si="56"/>
        <v>0</v>
      </c>
      <c r="CW101" s="258">
        <f t="shared" si="56"/>
        <v>0</v>
      </c>
      <c r="CX101" s="258">
        <f t="shared" si="56"/>
        <v>0</v>
      </c>
    </row>
    <row r="102" spans="1:102" x14ac:dyDescent="0.3">
      <c r="A102" s="169"/>
      <c r="B102" s="39"/>
    </row>
    <row r="103" spans="1:102" x14ac:dyDescent="0.3">
      <c r="A103" s="303" t="s">
        <v>277</v>
      </c>
      <c r="B103" s="39"/>
      <c r="C103" s="258">
        <f ca="1">IF((-C39-$B$95)&gt;$B$104,$B$104,-C39-$B$95)</f>
        <v>0</v>
      </c>
      <c r="D103" s="258">
        <f t="shared" ref="D103:BO103" ca="1" si="57">IF((-D39-$B$95)&gt;$B$104,$B$104,-D39-$B$95)</f>
        <v>21.263761110233901</v>
      </c>
      <c r="E103" s="258">
        <f t="shared" ca="1" si="57"/>
        <v>39.502203072425715</v>
      </c>
      <c r="F103" s="258">
        <f t="shared" ca="1" si="57"/>
        <v>58.153333333333343</v>
      </c>
      <c r="G103" s="258">
        <f t="shared" ca="1" si="57"/>
        <v>58.153333333333343</v>
      </c>
      <c r="H103" s="258">
        <f t="shared" ca="1" si="57"/>
        <v>58.153333333333343</v>
      </c>
      <c r="I103" s="258">
        <f t="shared" ca="1" si="57"/>
        <v>58.153333333333343</v>
      </c>
      <c r="J103" s="258">
        <f t="shared" ca="1" si="57"/>
        <v>58.153333333333343</v>
      </c>
      <c r="K103" s="258">
        <f t="shared" ca="1" si="57"/>
        <v>58.153333333333343</v>
      </c>
      <c r="L103" s="258">
        <f t="shared" ca="1" si="57"/>
        <v>58.153333333333343</v>
      </c>
      <c r="M103" s="258">
        <f t="shared" ca="1" si="57"/>
        <v>58.153333333333343</v>
      </c>
      <c r="N103" s="258">
        <f t="shared" ca="1" si="57"/>
        <v>58.153333333333343</v>
      </c>
      <c r="O103" s="258">
        <f t="shared" ca="1" si="57"/>
        <v>58.153333333333343</v>
      </c>
      <c r="P103" s="258">
        <f t="shared" ca="1" si="57"/>
        <v>58.153333333333343</v>
      </c>
      <c r="Q103" s="258">
        <f t="shared" ca="1" si="57"/>
        <v>58.153333333333343</v>
      </c>
      <c r="R103" s="258">
        <f t="shared" ca="1" si="57"/>
        <v>58.153333333333343</v>
      </c>
      <c r="S103" s="258">
        <f t="shared" ca="1" si="57"/>
        <v>58.153333333333343</v>
      </c>
      <c r="T103" s="258">
        <f t="shared" ca="1" si="57"/>
        <v>58.153333333333343</v>
      </c>
      <c r="U103" s="258">
        <f t="shared" ca="1" si="57"/>
        <v>58.153333333333343</v>
      </c>
      <c r="V103" s="258">
        <f t="shared" ca="1" si="57"/>
        <v>58.153333333333343</v>
      </c>
      <c r="W103" s="258">
        <f t="shared" ca="1" si="57"/>
        <v>58.153333333333343</v>
      </c>
      <c r="X103" s="258">
        <f t="shared" ca="1" si="57"/>
        <v>58.153333333333343</v>
      </c>
      <c r="Y103" s="258">
        <f t="shared" ca="1" si="57"/>
        <v>58.153333333333343</v>
      </c>
      <c r="Z103" s="258">
        <f t="shared" ca="1" si="57"/>
        <v>58.153333333333343</v>
      </c>
      <c r="AA103" s="258">
        <f t="shared" ca="1" si="57"/>
        <v>58.153333333333343</v>
      </c>
      <c r="AB103" s="258">
        <f t="shared" ca="1" si="57"/>
        <v>58.153333333333343</v>
      </c>
      <c r="AC103" s="258">
        <f t="shared" ca="1" si="57"/>
        <v>58.153333333333343</v>
      </c>
      <c r="AD103" s="258">
        <f t="shared" ca="1" si="57"/>
        <v>58.153333333333343</v>
      </c>
      <c r="AE103" s="258">
        <f t="shared" ca="1" si="57"/>
        <v>58.153333333333343</v>
      </c>
      <c r="AF103" s="258">
        <f t="shared" ca="1" si="57"/>
        <v>58.153333333333343</v>
      </c>
      <c r="AG103" s="258">
        <f t="shared" ca="1" si="57"/>
        <v>58.153333333333343</v>
      </c>
      <c r="AH103" s="258">
        <f t="shared" ca="1" si="57"/>
        <v>58.153333333333343</v>
      </c>
      <c r="AI103" s="258">
        <f t="shared" ca="1" si="57"/>
        <v>58.153333333333343</v>
      </c>
      <c r="AJ103" s="258">
        <f t="shared" ca="1" si="57"/>
        <v>58.153333333333343</v>
      </c>
      <c r="AK103" s="258">
        <f t="shared" ca="1" si="57"/>
        <v>58.153333333333343</v>
      </c>
      <c r="AL103" s="258">
        <f t="shared" ca="1" si="57"/>
        <v>58.153333333333343</v>
      </c>
      <c r="AM103" s="258">
        <f t="shared" ca="1" si="57"/>
        <v>58.153333333333343</v>
      </c>
      <c r="AN103" s="258">
        <f t="shared" ca="1" si="57"/>
        <v>58.153333333333343</v>
      </c>
      <c r="AO103" s="258">
        <f t="shared" ca="1" si="57"/>
        <v>58.153333333333343</v>
      </c>
      <c r="AP103" s="258">
        <f t="shared" ca="1" si="57"/>
        <v>58.153333333333343</v>
      </c>
      <c r="AQ103" s="258">
        <f t="shared" ca="1" si="57"/>
        <v>58.153333333333343</v>
      </c>
      <c r="AR103" s="258">
        <f t="shared" ca="1" si="57"/>
        <v>58.153333333333343</v>
      </c>
      <c r="AS103" s="258">
        <f t="shared" ca="1" si="57"/>
        <v>58.153333333333343</v>
      </c>
      <c r="AT103" s="258">
        <f t="shared" ca="1" si="57"/>
        <v>58.153333333333343</v>
      </c>
      <c r="AU103" s="258">
        <f t="shared" ca="1" si="57"/>
        <v>58.153333333333343</v>
      </c>
      <c r="AV103" s="258">
        <f t="shared" ca="1" si="57"/>
        <v>58.153333333333343</v>
      </c>
      <c r="AW103" s="258">
        <f t="shared" ca="1" si="57"/>
        <v>58.153333333333343</v>
      </c>
      <c r="AX103" s="258">
        <f t="shared" ca="1" si="57"/>
        <v>58.153333333333343</v>
      </c>
      <c r="AY103" s="258">
        <f t="shared" ca="1" si="57"/>
        <v>58.153333333333343</v>
      </c>
      <c r="AZ103" s="258">
        <f t="shared" ca="1" si="57"/>
        <v>58.153333333333343</v>
      </c>
      <c r="BA103" s="258">
        <f t="shared" ca="1" si="57"/>
        <v>58.153333333333343</v>
      </c>
      <c r="BB103" s="258">
        <f t="shared" ca="1" si="57"/>
        <v>58.153333333333343</v>
      </c>
      <c r="BC103" s="258">
        <f t="shared" ca="1" si="57"/>
        <v>58.153333333333343</v>
      </c>
      <c r="BD103" s="258">
        <f t="shared" ca="1" si="57"/>
        <v>58.153333333333343</v>
      </c>
      <c r="BE103" s="258">
        <f t="shared" ca="1" si="57"/>
        <v>58.153333333333343</v>
      </c>
      <c r="BF103" s="258">
        <f t="shared" ca="1" si="57"/>
        <v>58.153333333333343</v>
      </c>
      <c r="BG103" s="258">
        <f t="shared" ca="1" si="57"/>
        <v>58.153333333333343</v>
      </c>
      <c r="BH103" s="258">
        <f t="shared" ca="1" si="57"/>
        <v>58.153333333333343</v>
      </c>
      <c r="BI103" s="258">
        <f t="shared" ca="1" si="57"/>
        <v>58.153333333333343</v>
      </c>
      <c r="BJ103" s="258">
        <f t="shared" ca="1" si="57"/>
        <v>58.153333333333343</v>
      </c>
      <c r="BK103" s="258">
        <f t="shared" ca="1" si="57"/>
        <v>58.153333333333343</v>
      </c>
      <c r="BL103" s="258">
        <f t="shared" ca="1" si="57"/>
        <v>58.153333333333343</v>
      </c>
      <c r="BM103" s="258">
        <f t="shared" ca="1" si="57"/>
        <v>58.153333333333343</v>
      </c>
      <c r="BN103" s="258">
        <f t="shared" ca="1" si="57"/>
        <v>58.153333333333343</v>
      </c>
      <c r="BO103" s="258">
        <f t="shared" ca="1" si="57"/>
        <v>58.153333333333343</v>
      </c>
      <c r="BP103" s="258">
        <f t="shared" ref="BP103:CX103" ca="1" si="58">IF((-BP39-$B$95)&gt;$B$104,$B$104,-BP39-$B$95)</f>
        <v>58.153333333333343</v>
      </c>
      <c r="BQ103" s="258">
        <f t="shared" ca="1" si="58"/>
        <v>58.153333333333343</v>
      </c>
      <c r="BR103" s="258">
        <f t="shared" ca="1" si="58"/>
        <v>58.153333333333343</v>
      </c>
      <c r="BS103" s="258">
        <f t="shared" ca="1" si="58"/>
        <v>58.153333333333343</v>
      </c>
      <c r="BT103" s="258">
        <f t="shared" ca="1" si="58"/>
        <v>58.153333333333343</v>
      </c>
      <c r="BU103" s="258">
        <f t="shared" ca="1" si="58"/>
        <v>58.153333333333343</v>
      </c>
      <c r="BV103" s="258">
        <f t="shared" ca="1" si="58"/>
        <v>58.153333333333343</v>
      </c>
      <c r="BW103" s="258">
        <f t="shared" ca="1" si="58"/>
        <v>58.153333333333343</v>
      </c>
      <c r="BX103" s="258">
        <f t="shared" ca="1" si="58"/>
        <v>58.153333333333343</v>
      </c>
      <c r="BY103" s="258">
        <f t="shared" ca="1" si="58"/>
        <v>58.153333333333343</v>
      </c>
      <c r="BZ103" s="258">
        <f t="shared" ca="1" si="58"/>
        <v>58.153333333333343</v>
      </c>
      <c r="CA103" s="258">
        <f t="shared" ca="1" si="58"/>
        <v>58.153333333333343</v>
      </c>
      <c r="CB103" s="258">
        <f t="shared" ca="1" si="58"/>
        <v>58.153333333333343</v>
      </c>
      <c r="CC103" s="258">
        <f t="shared" ca="1" si="58"/>
        <v>58.153333333333343</v>
      </c>
      <c r="CD103" s="258">
        <f t="shared" ca="1" si="58"/>
        <v>58.153333333333343</v>
      </c>
      <c r="CE103" s="258">
        <f t="shared" ca="1" si="58"/>
        <v>58.153333333333343</v>
      </c>
      <c r="CF103" s="258">
        <f t="shared" ca="1" si="58"/>
        <v>58.153333333333343</v>
      </c>
      <c r="CG103" s="258">
        <f t="shared" ca="1" si="58"/>
        <v>58.153333333333343</v>
      </c>
      <c r="CH103" s="258">
        <f t="shared" ca="1" si="58"/>
        <v>58.153333333333343</v>
      </c>
      <c r="CI103" s="258">
        <f t="shared" ca="1" si="58"/>
        <v>58.153333333333343</v>
      </c>
      <c r="CJ103" s="258">
        <f t="shared" ca="1" si="58"/>
        <v>58.153333333333343</v>
      </c>
      <c r="CK103" s="258">
        <f t="shared" ca="1" si="58"/>
        <v>58.153333333333343</v>
      </c>
      <c r="CL103" s="258">
        <f t="shared" ca="1" si="58"/>
        <v>58.153333333333343</v>
      </c>
      <c r="CM103" s="258">
        <f t="shared" ca="1" si="58"/>
        <v>58.153333333333343</v>
      </c>
      <c r="CN103" s="258">
        <f t="shared" ca="1" si="58"/>
        <v>58.153333333333343</v>
      </c>
      <c r="CO103" s="258">
        <f t="shared" ca="1" si="58"/>
        <v>58.153333333333343</v>
      </c>
      <c r="CP103" s="258">
        <f t="shared" ca="1" si="58"/>
        <v>58.153333333333343</v>
      </c>
      <c r="CQ103" s="258">
        <f t="shared" ca="1" si="58"/>
        <v>58.153333333333343</v>
      </c>
      <c r="CR103" s="258">
        <f t="shared" ca="1" si="58"/>
        <v>58.153333333333343</v>
      </c>
      <c r="CS103" s="258">
        <f t="shared" ca="1" si="58"/>
        <v>58.153333333333343</v>
      </c>
      <c r="CT103" s="258">
        <f t="shared" ca="1" si="58"/>
        <v>58.153333333333343</v>
      </c>
      <c r="CU103" s="258">
        <f t="shared" ca="1" si="58"/>
        <v>58.153333333333343</v>
      </c>
      <c r="CV103" s="258">
        <f t="shared" ca="1" si="58"/>
        <v>58.153333333333343</v>
      </c>
      <c r="CW103" s="258">
        <f t="shared" ca="1" si="58"/>
        <v>58.153333333333343</v>
      </c>
      <c r="CX103" s="258">
        <f t="shared" ca="1" si="58"/>
        <v>58.153333333333343</v>
      </c>
    </row>
    <row r="104" spans="1:102" x14ac:dyDescent="0.3">
      <c r="A104" s="169" t="s">
        <v>278</v>
      </c>
      <c r="B104" s="259">
        <f ca="1">B95*(1-B86)/B86</f>
        <v>58.153333333333343</v>
      </c>
      <c r="C104" s="258">
        <f ca="1">SUMIFS('Monthly Cashflow'!104:104,'Monthly Cashflow'!3:3,C89)</f>
        <v>0</v>
      </c>
      <c r="D104" s="258">
        <f ca="1">SUMIFS('Monthly Cashflow'!104:104,'Monthly Cashflow'!3:3,D89)</f>
        <v>21.263761110233901</v>
      </c>
      <c r="E104" s="258">
        <f ca="1">SUMIFS('Monthly Cashflow'!104:104,'Monthly Cashflow'!3:3,E89)</f>
        <v>18.238441962191828</v>
      </c>
      <c r="F104" s="258">
        <f ca="1">SUMIFS('Monthly Cashflow'!104:104,'Monthly Cashflow'!3:3,F89)</f>
        <v>18.651130260907614</v>
      </c>
      <c r="G104" s="258">
        <f ca="1">SUMIFS('Monthly Cashflow'!104:104,'Monthly Cashflow'!3:3,G89)</f>
        <v>0</v>
      </c>
      <c r="H104" s="258">
        <f ca="1">SUMIFS('Monthly Cashflow'!104:104,'Monthly Cashflow'!3:3,H89)</f>
        <v>0</v>
      </c>
      <c r="I104" s="258">
        <f ca="1">SUMIFS('Monthly Cashflow'!104:104,'Monthly Cashflow'!3:3,I89)</f>
        <v>0</v>
      </c>
      <c r="J104" s="258">
        <f ca="1">SUMIFS('Monthly Cashflow'!104:104,'Monthly Cashflow'!3:3,J89)</f>
        <v>0</v>
      </c>
      <c r="K104" s="258">
        <f ca="1">SUMIFS('Monthly Cashflow'!104:104,'Monthly Cashflow'!3:3,K89)</f>
        <v>0</v>
      </c>
      <c r="L104" s="258">
        <f ca="1">SUMIFS('Monthly Cashflow'!104:104,'Monthly Cashflow'!3:3,L89)</f>
        <v>0</v>
      </c>
      <c r="M104" s="258">
        <f ca="1">SUMIFS('Monthly Cashflow'!104:104,'Monthly Cashflow'!3:3,M89)</f>
        <v>0</v>
      </c>
      <c r="N104" s="258">
        <f ca="1">SUMIFS('Monthly Cashflow'!104:104,'Monthly Cashflow'!3:3,N89)</f>
        <v>0</v>
      </c>
      <c r="O104" s="258">
        <f ca="1">SUMIFS('Monthly Cashflow'!104:104,'Monthly Cashflow'!3:3,O89)</f>
        <v>0</v>
      </c>
      <c r="P104" s="258">
        <f ca="1">SUMIFS('Monthly Cashflow'!104:104,'Monthly Cashflow'!3:3,P89)</f>
        <v>0</v>
      </c>
      <c r="Q104" s="258">
        <f ca="1">SUMIFS('Monthly Cashflow'!104:104,'Monthly Cashflow'!3:3,Q89)</f>
        <v>0</v>
      </c>
      <c r="R104" s="258">
        <f ca="1">SUMIFS('Monthly Cashflow'!104:104,'Monthly Cashflow'!3:3,R89)</f>
        <v>0</v>
      </c>
      <c r="S104" s="258">
        <f ca="1">SUMIFS('Monthly Cashflow'!104:104,'Monthly Cashflow'!3:3,S89)</f>
        <v>0</v>
      </c>
      <c r="T104" s="258">
        <f ca="1">SUMIFS('Monthly Cashflow'!104:104,'Monthly Cashflow'!3:3,T89)</f>
        <v>0</v>
      </c>
      <c r="U104" s="258">
        <f ca="1">SUMIFS('Monthly Cashflow'!104:104,'Monthly Cashflow'!3:3,U89)</f>
        <v>0</v>
      </c>
      <c r="V104" s="258">
        <f ca="1">SUMIFS('Monthly Cashflow'!104:104,'Monthly Cashflow'!3:3,V89)</f>
        <v>0</v>
      </c>
      <c r="W104" s="258">
        <f ca="1">SUMIFS('Monthly Cashflow'!104:104,'Monthly Cashflow'!3:3,W89)</f>
        <v>0</v>
      </c>
      <c r="X104" s="258">
        <f ca="1">SUMIFS('Monthly Cashflow'!104:104,'Monthly Cashflow'!3:3,X89)</f>
        <v>0</v>
      </c>
      <c r="Y104" s="258">
        <f ca="1">SUMIFS('Monthly Cashflow'!104:104,'Monthly Cashflow'!3:3,Y89)</f>
        <v>0</v>
      </c>
      <c r="Z104" s="258">
        <f ca="1">SUMIFS('Monthly Cashflow'!104:104,'Monthly Cashflow'!3:3,Z89)</f>
        <v>0</v>
      </c>
      <c r="AA104" s="258">
        <f ca="1">SUMIFS('Monthly Cashflow'!104:104,'Monthly Cashflow'!3:3,AA89)</f>
        <v>0</v>
      </c>
      <c r="AB104" s="258">
        <f ca="1">SUMIFS('Monthly Cashflow'!104:104,'Monthly Cashflow'!3:3,AB89)</f>
        <v>0</v>
      </c>
      <c r="AC104" s="258">
        <f ca="1">SUMIFS('Monthly Cashflow'!104:104,'Monthly Cashflow'!3:3,AC89)</f>
        <v>0</v>
      </c>
      <c r="AD104" s="258">
        <f ca="1">SUMIFS('Monthly Cashflow'!104:104,'Monthly Cashflow'!3:3,AD89)</f>
        <v>0</v>
      </c>
      <c r="AE104" s="258">
        <f ca="1">SUMIFS('Monthly Cashflow'!104:104,'Monthly Cashflow'!3:3,AE89)</f>
        <v>0</v>
      </c>
      <c r="AF104" s="258">
        <f ca="1">SUMIFS('Monthly Cashflow'!104:104,'Monthly Cashflow'!3:3,AF89)</f>
        <v>0</v>
      </c>
      <c r="AG104" s="258">
        <f ca="1">SUMIFS('Monthly Cashflow'!104:104,'Monthly Cashflow'!3:3,AG89)</f>
        <v>0</v>
      </c>
      <c r="AH104" s="258">
        <f ca="1">SUMIFS('Monthly Cashflow'!104:104,'Monthly Cashflow'!3:3,AH89)</f>
        <v>0</v>
      </c>
      <c r="AI104" s="258">
        <f ca="1">SUMIFS('Monthly Cashflow'!104:104,'Monthly Cashflow'!3:3,AI89)</f>
        <v>0</v>
      </c>
      <c r="AJ104" s="258">
        <f ca="1">SUMIFS('Monthly Cashflow'!104:104,'Monthly Cashflow'!3:3,AJ89)</f>
        <v>0</v>
      </c>
      <c r="AK104" s="258">
        <f ca="1">SUMIFS('Monthly Cashflow'!104:104,'Monthly Cashflow'!3:3,AK89)</f>
        <v>0</v>
      </c>
      <c r="AL104" s="258">
        <f ca="1">SUMIFS('Monthly Cashflow'!104:104,'Monthly Cashflow'!3:3,AL89)</f>
        <v>0</v>
      </c>
      <c r="AM104" s="258">
        <f ca="1">SUMIFS('Monthly Cashflow'!104:104,'Monthly Cashflow'!3:3,AM89)</f>
        <v>0</v>
      </c>
      <c r="AN104" s="258">
        <f ca="1">SUMIFS('Monthly Cashflow'!104:104,'Monthly Cashflow'!3:3,AN89)</f>
        <v>0</v>
      </c>
      <c r="AO104" s="258">
        <f ca="1">SUMIFS('Monthly Cashflow'!104:104,'Monthly Cashflow'!3:3,AO89)</f>
        <v>0</v>
      </c>
      <c r="AP104" s="258">
        <f ca="1">SUMIFS('Monthly Cashflow'!104:104,'Monthly Cashflow'!3:3,AP89)</f>
        <v>0</v>
      </c>
      <c r="AQ104" s="258">
        <f ca="1">SUMIFS('Monthly Cashflow'!104:104,'Monthly Cashflow'!3:3,AQ89)</f>
        <v>0</v>
      </c>
      <c r="AR104" s="258">
        <f ca="1">SUMIFS('Monthly Cashflow'!104:104,'Monthly Cashflow'!3:3,AR89)</f>
        <v>0</v>
      </c>
      <c r="AS104" s="258">
        <f ca="1">SUMIFS('Monthly Cashflow'!104:104,'Monthly Cashflow'!3:3,AS89)</f>
        <v>0</v>
      </c>
      <c r="AT104" s="258">
        <f ca="1">SUMIFS('Monthly Cashflow'!104:104,'Monthly Cashflow'!3:3,AT89)</f>
        <v>0</v>
      </c>
      <c r="AU104" s="258">
        <f ca="1">SUMIFS('Monthly Cashflow'!104:104,'Monthly Cashflow'!3:3,AU89)</f>
        <v>0</v>
      </c>
      <c r="AV104" s="258">
        <f ca="1">SUMIFS('Monthly Cashflow'!104:104,'Monthly Cashflow'!3:3,AV89)</f>
        <v>0</v>
      </c>
      <c r="AW104" s="258">
        <f ca="1">SUMIFS('Monthly Cashflow'!104:104,'Monthly Cashflow'!3:3,AW89)</f>
        <v>0</v>
      </c>
      <c r="AX104" s="258">
        <f ca="1">SUMIFS('Monthly Cashflow'!104:104,'Monthly Cashflow'!3:3,AX89)</f>
        <v>0</v>
      </c>
      <c r="AY104" s="258">
        <f ca="1">SUMIFS('Monthly Cashflow'!104:104,'Monthly Cashflow'!3:3,AY89)</f>
        <v>0</v>
      </c>
      <c r="AZ104" s="258">
        <f ca="1">SUMIFS('Monthly Cashflow'!104:104,'Monthly Cashflow'!3:3,AZ89)</f>
        <v>0</v>
      </c>
      <c r="BA104" s="258">
        <f ca="1">SUMIFS('Monthly Cashflow'!104:104,'Monthly Cashflow'!3:3,BA89)</f>
        <v>0</v>
      </c>
      <c r="BB104" s="258">
        <f ca="1">SUMIFS('Monthly Cashflow'!104:104,'Monthly Cashflow'!3:3,BB89)</f>
        <v>0</v>
      </c>
      <c r="BC104" s="258">
        <f ca="1">SUMIFS('Monthly Cashflow'!104:104,'Monthly Cashflow'!3:3,BC89)</f>
        <v>0</v>
      </c>
      <c r="BD104" s="258">
        <f ca="1">SUMIFS('Monthly Cashflow'!104:104,'Monthly Cashflow'!3:3,BD89)</f>
        <v>0</v>
      </c>
      <c r="BE104" s="258">
        <f ca="1">SUMIFS('Monthly Cashflow'!104:104,'Monthly Cashflow'!3:3,BE89)</f>
        <v>0</v>
      </c>
      <c r="BF104" s="258">
        <f ca="1">SUMIFS('Monthly Cashflow'!104:104,'Monthly Cashflow'!3:3,BF89)</f>
        <v>0</v>
      </c>
      <c r="BG104" s="258">
        <f ca="1">SUMIFS('Monthly Cashflow'!104:104,'Monthly Cashflow'!3:3,BG89)</f>
        <v>0</v>
      </c>
      <c r="BH104" s="258">
        <f ca="1">SUMIFS('Monthly Cashflow'!104:104,'Monthly Cashflow'!3:3,BH89)</f>
        <v>0</v>
      </c>
      <c r="BI104" s="258">
        <f ca="1">SUMIFS('Monthly Cashflow'!104:104,'Monthly Cashflow'!3:3,BI89)</f>
        <v>0</v>
      </c>
      <c r="BJ104" s="258">
        <f ca="1">SUMIFS('Monthly Cashflow'!104:104,'Monthly Cashflow'!3:3,BJ89)</f>
        <v>0</v>
      </c>
      <c r="BK104" s="258">
        <f ca="1">SUMIFS('Monthly Cashflow'!104:104,'Monthly Cashflow'!3:3,BK89)</f>
        <v>0</v>
      </c>
      <c r="BL104" s="258">
        <f ca="1">SUMIFS('Monthly Cashflow'!104:104,'Monthly Cashflow'!3:3,BL89)</f>
        <v>0</v>
      </c>
      <c r="BM104" s="258">
        <f ca="1">SUMIFS('Monthly Cashflow'!104:104,'Monthly Cashflow'!3:3,BM89)</f>
        <v>0</v>
      </c>
      <c r="BN104" s="258">
        <f ca="1">SUMIFS('Monthly Cashflow'!104:104,'Monthly Cashflow'!3:3,BN89)</f>
        <v>0</v>
      </c>
      <c r="BO104" s="258">
        <f ca="1">SUMIFS('Monthly Cashflow'!104:104,'Monthly Cashflow'!3:3,BO89)</f>
        <v>0</v>
      </c>
      <c r="BP104" s="258">
        <f ca="1">SUMIFS('Monthly Cashflow'!104:104,'Monthly Cashflow'!3:3,BP89)</f>
        <v>0</v>
      </c>
      <c r="BQ104" s="258">
        <f ca="1">SUMIFS('Monthly Cashflow'!104:104,'Monthly Cashflow'!3:3,BQ89)</f>
        <v>0</v>
      </c>
      <c r="BR104" s="258">
        <f ca="1">SUMIFS('Monthly Cashflow'!104:104,'Monthly Cashflow'!3:3,BR89)</f>
        <v>0</v>
      </c>
      <c r="BS104" s="258">
        <f ca="1">SUMIFS('Monthly Cashflow'!104:104,'Monthly Cashflow'!3:3,BS89)</f>
        <v>0</v>
      </c>
      <c r="BT104" s="258">
        <f ca="1">SUMIFS('Monthly Cashflow'!104:104,'Monthly Cashflow'!3:3,BT89)</f>
        <v>0</v>
      </c>
      <c r="BU104" s="258">
        <f ca="1">SUMIFS('Monthly Cashflow'!104:104,'Monthly Cashflow'!3:3,BU89)</f>
        <v>0</v>
      </c>
      <c r="BV104" s="258">
        <f ca="1">SUMIFS('Monthly Cashflow'!104:104,'Monthly Cashflow'!3:3,BV89)</f>
        <v>0</v>
      </c>
      <c r="BW104" s="258">
        <f ca="1">SUMIFS('Monthly Cashflow'!104:104,'Monthly Cashflow'!3:3,BW89)</f>
        <v>0</v>
      </c>
      <c r="BX104" s="258">
        <f ca="1">SUMIFS('Monthly Cashflow'!104:104,'Monthly Cashflow'!3:3,BX89)</f>
        <v>0</v>
      </c>
      <c r="BY104" s="258">
        <f ca="1">SUMIFS('Monthly Cashflow'!104:104,'Monthly Cashflow'!3:3,BY89)</f>
        <v>0</v>
      </c>
      <c r="BZ104" s="258">
        <f ca="1">SUMIFS('Monthly Cashflow'!104:104,'Monthly Cashflow'!3:3,BZ89)</f>
        <v>0</v>
      </c>
      <c r="CA104" s="258">
        <f ca="1">SUMIFS('Monthly Cashflow'!104:104,'Monthly Cashflow'!3:3,CA89)</f>
        <v>0</v>
      </c>
      <c r="CB104" s="258">
        <f ca="1">SUMIFS('Monthly Cashflow'!104:104,'Monthly Cashflow'!3:3,CB89)</f>
        <v>0</v>
      </c>
      <c r="CC104" s="258">
        <f ca="1">SUMIFS('Monthly Cashflow'!104:104,'Monthly Cashflow'!3:3,CC89)</f>
        <v>0</v>
      </c>
      <c r="CD104" s="258">
        <f ca="1">SUMIFS('Monthly Cashflow'!104:104,'Monthly Cashflow'!3:3,CD89)</f>
        <v>0</v>
      </c>
      <c r="CE104" s="258">
        <f ca="1">SUMIFS('Monthly Cashflow'!104:104,'Monthly Cashflow'!3:3,CE89)</f>
        <v>0</v>
      </c>
      <c r="CF104" s="258">
        <f ca="1">SUMIFS('Monthly Cashflow'!104:104,'Monthly Cashflow'!3:3,CF89)</f>
        <v>0</v>
      </c>
      <c r="CG104" s="258">
        <f ca="1">SUMIFS('Monthly Cashflow'!104:104,'Monthly Cashflow'!3:3,CG89)</f>
        <v>0</v>
      </c>
      <c r="CH104" s="258">
        <f ca="1">SUMIFS('Monthly Cashflow'!104:104,'Monthly Cashflow'!3:3,CH89)</f>
        <v>0</v>
      </c>
      <c r="CI104" s="258">
        <f ca="1">SUMIFS('Monthly Cashflow'!104:104,'Monthly Cashflow'!3:3,CI89)</f>
        <v>0</v>
      </c>
      <c r="CJ104" s="258">
        <f ca="1">SUMIFS('Monthly Cashflow'!104:104,'Monthly Cashflow'!3:3,CJ89)</f>
        <v>0</v>
      </c>
      <c r="CK104" s="258">
        <f ca="1">SUMIFS('Monthly Cashflow'!104:104,'Monthly Cashflow'!3:3,CK89)</f>
        <v>0</v>
      </c>
      <c r="CL104" s="258">
        <f ca="1">SUMIFS('Monthly Cashflow'!104:104,'Monthly Cashflow'!3:3,CL89)</f>
        <v>0</v>
      </c>
      <c r="CM104" s="258">
        <f ca="1">SUMIFS('Monthly Cashflow'!104:104,'Monthly Cashflow'!3:3,CM89)</f>
        <v>0</v>
      </c>
      <c r="CN104" s="258">
        <f ca="1">SUMIFS('Monthly Cashflow'!104:104,'Monthly Cashflow'!3:3,CN89)</f>
        <v>0</v>
      </c>
      <c r="CO104" s="258">
        <f ca="1">SUMIFS('Monthly Cashflow'!104:104,'Monthly Cashflow'!3:3,CO89)</f>
        <v>0</v>
      </c>
      <c r="CP104" s="258">
        <f ca="1">SUMIFS('Monthly Cashflow'!104:104,'Monthly Cashflow'!3:3,CP89)</f>
        <v>0</v>
      </c>
      <c r="CQ104" s="258">
        <f ca="1">SUMIFS('Monthly Cashflow'!104:104,'Monthly Cashflow'!3:3,CQ89)</f>
        <v>0</v>
      </c>
      <c r="CR104" s="258">
        <f ca="1">SUMIFS('Monthly Cashflow'!104:104,'Monthly Cashflow'!3:3,CR89)</f>
        <v>0</v>
      </c>
      <c r="CS104" s="258">
        <f ca="1">SUMIFS('Monthly Cashflow'!104:104,'Monthly Cashflow'!3:3,CS89)</f>
        <v>0</v>
      </c>
      <c r="CT104" s="258">
        <f ca="1">SUMIFS('Monthly Cashflow'!104:104,'Monthly Cashflow'!3:3,CT89)</f>
        <v>0</v>
      </c>
      <c r="CU104" s="258">
        <f>SUMIFS('Monthly Cashflow'!104:104,'Monthly Cashflow'!3:3,CU89)</f>
        <v>0</v>
      </c>
      <c r="CV104" s="258">
        <f>SUMIFS('Monthly Cashflow'!104:104,'Monthly Cashflow'!3:3,CV89)</f>
        <v>0</v>
      </c>
      <c r="CW104" s="258">
        <f>SUMIFS('Monthly Cashflow'!104:104,'Monthly Cashflow'!3:3,CW89)</f>
        <v>0</v>
      </c>
      <c r="CX104" s="258">
        <f>SUMIFS('Monthly Cashflow'!104:104,'Monthly Cashflow'!3:3,CX89)</f>
        <v>0</v>
      </c>
    </row>
    <row r="105" spans="1:102" x14ac:dyDescent="0.3">
      <c r="A105" s="169" t="s">
        <v>279</v>
      </c>
      <c r="B105" s="39"/>
      <c r="C105" s="33">
        <f ca="1">SUMIFS('Monthly Cashflow'!105:105,'Monthly Cashflow'!7:7,C89)</f>
        <v>0</v>
      </c>
      <c r="D105" s="33">
        <f ca="1">SUMIFS('Monthly Cashflow'!105:105,'Monthly Cashflow'!7:7,D89)</f>
        <v>21.263761110233901</v>
      </c>
      <c r="E105" s="33">
        <f ca="1">SUMIFS('Monthly Cashflow'!105:105,'Monthly Cashflow'!7:7,E89)</f>
        <v>39.502203072425729</v>
      </c>
      <c r="F105" s="33">
        <f ca="1">SUMIFS('Monthly Cashflow'!105:105,'Monthly Cashflow'!7:7,F89)</f>
        <v>56.097836032463178</v>
      </c>
      <c r="G105" s="33">
        <f ca="1">SUMIFS('Monthly Cashflow'!105:105,'Monthly Cashflow'!7:7,G89)</f>
        <v>68.692042700476776</v>
      </c>
      <c r="H105" s="33">
        <f ca="1">SUMIFS('Monthly Cashflow'!105:105,'Monthly Cashflow'!7:7,H89)</f>
        <v>89.820481575283821</v>
      </c>
      <c r="I105" s="33">
        <f ca="1">SUMIFS('Monthly Cashflow'!105:105,'Monthly Cashflow'!7:7,I89)</f>
        <v>109.7886238753505</v>
      </c>
      <c r="J105" s="33">
        <f ca="1">SUMIFS('Monthly Cashflow'!105:105,'Monthly Cashflow'!7:7,J89)</f>
        <v>130.65447369703691</v>
      </c>
      <c r="K105" s="33">
        <f ca="1">SUMIFS('Monthly Cashflow'!105:105,'Monthly Cashflow'!7:7,K89)</f>
        <v>159.66943852970735</v>
      </c>
      <c r="L105" s="33">
        <f ca="1">SUMIFS('Monthly Cashflow'!105:105,'Monthly Cashflow'!7:7,L89)</f>
        <v>169.60874443115344</v>
      </c>
      <c r="M105" s="33">
        <f ca="1">SUMIFS('Monthly Cashflow'!105:105,'Monthly Cashflow'!7:7,M89)</f>
        <v>179.70110627666375</v>
      </c>
      <c r="N105" s="33">
        <f ca="1">SUMIFS('Monthly Cashflow'!105:105,'Monthly Cashflow'!7:7,N89)</f>
        <v>209.14725713106023</v>
      </c>
      <c r="O105" s="33">
        <f ca="1">SUMIFS('Monthly Cashflow'!105:105,'Monthly Cashflow'!7:7,O89)</f>
        <v>228.70700229361952</v>
      </c>
      <c r="P105" s="33">
        <f ca="1">SUMIFS('Monthly Cashflow'!105:105,'Monthly Cashflow'!7:7,P89)</f>
        <v>248.5717949343661</v>
      </c>
      <c r="Q105" s="33">
        <f ca="1">SUMIFS('Monthly Cashflow'!105:105,'Monthly Cashflow'!7:7,Q89)</f>
        <v>272.13591276120866</v>
      </c>
      <c r="R105" s="33">
        <f ca="1">SUMIFS('Monthly Cashflow'!105:105,'Monthly Cashflow'!7:7,R89)</f>
        <v>278.5633307427812</v>
      </c>
      <c r="S105" s="33">
        <f ca="1">SUMIFS('Monthly Cashflow'!105:105,'Monthly Cashflow'!7:7,S89)</f>
        <v>285.07570546571492</v>
      </c>
      <c r="T105" s="33">
        <f ca="1">SUMIFS('Monthly Cashflow'!105:105,'Monthly Cashflow'!7:7,T89)</f>
        <v>292.69155740566191</v>
      </c>
      <c r="U105" s="33">
        <f ca="1">SUMIFS('Monthly Cashflow'!105:105,'Monthly Cashflow'!7:7,U89)</f>
        <v>300.00044746913852</v>
      </c>
      <c r="V105" s="33">
        <f ca="1">SUMIFS('Monthly Cashflow'!105:105,'Monthly Cashflow'!7:7,V89)</f>
        <v>300.00044746913852</v>
      </c>
      <c r="W105" s="33">
        <f ca="1">SUMIFS('Monthly Cashflow'!105:105,'Monthly Cashflow'!7:7,W89)</f>
        <v>300.00044746913852</v>
      </c>
      <c r="X105" s="33">
        <f ca="1">SUMIFS('Monthly Cashflow'!105:105,'Monthly Cashflow'!7:7,X89)</f>
        <v>300.00044746913852</v>
      </c>
      <c r="Y105" s="33">
        <f ca="1">SUMIFS('Monthly Cashflow'!105:105,'Monthly Cashflow'!7:7,Y89)</f>
        <v>300.00044746913852</v>
      </c>
      <c r="Z105" s="33">
        <f ca="1">SUMIFS('Monthly Cashflow'!105:105,'Monthly Cashflow'!7:7,Z89)</f>
        <v>300.00044746913852</v>
      </c>
      <c r="AA105" s="33">
        <f ca="1">SUMIFS('Monthly Cashflow'!105:105,'Monthly Cashflow'!7:7,AA89)</f>
        <v>300.00044746913852</v>
      </c>
      <c r="AB105" s="33">
        <f ca="1">SUMIFS('Monthly Cashflow'!105:105,'Monthly Cashflow'!7:7,AB89)</f>
        <v>300.00044746913852</v>
      </c>
      <c r="AC105" s="33">
        <f ca="1">SUMIFS('Monthly Cashflow'!105:105,'Monthly Cashflow'!7:7,AC89)</f>
        <v>300.00044746913852</v>
      </c>
      <c r="AD105" s="33">
        <f ca="1">SUMIFS('Monthly Cashflow'!105:105,'Monthly Cashflow'!7:7,AD89)</f>
        <v>300.00044746913852</v>
      </c>
      <c r="AE105" s="33">
        <f ca="1">SUMIFS('Monthly Cashflow'!105:105,'Monthly Cashflow'!7:7,AE89)</f>
        <v>300.00044746913852</v>
      </c>
      <c r="AF105" s="33">
        <f ca="1">SUMIFS('Monthly Cashflow'!105:105,'Monthly Cashflow'!7:7,AF89)</f>
        <v>300.00044746913852</v>
      </c>
      <c r="AG105" s="33">
        <f ca="1">SUMIFS('Monthly Cashflow'!105:105,'Monthly Cashflow'!7:7,AG89)</f>
        <v>300.00044746913852</v>
      </c>
      <c r="AH105" s="33">
        <f ca="1">SUMIFS('Monthly Cashflow'!105:105,'Monthly Cashflow'!7:7,AH89)</f>
        <v>300.00044746913852</v>
      </c>
      <c r="AI105" s="33">
        <f ca="1">SUMIFS('Monthly Cashflow'!105:105,'Monthly Cashflow'!7:7,AI89)</f>
        <v>300.00044746913852</v>
      </c>
      <c r="AJ105" s="33">
        <f ca="1">SUMIFS('Monthly Cashflow'!105:105,'Monthly Cashflow'!7:7,AJ89)</f>
        <v>300.00044746913852</v>
      </c>
      <c r="AK105" s="33">
        <f ca="1">SUMIFS('Monthly Cashflow'!105:105,'Monthly Cashflow'!7:7,AK89)</f>
        <v>300.00044746913852</v>
      </c>
      <c r="AL105" s="33">
        <f ca="1">SUMIFS('Monthly Cashflow'!105:105,'Monthly Cashflow'!7:7,AL89)</f>
        <v>300.00044746913852</v>
      </c>
      <c r="AM105" s="33">
        <f ca="1">SUMIFS('Monthly Cashflow'!105:105,'Monthly Cashflow'!7:7,AM89)</f>
        <v>300.00044746913852</v>
      </c>
      <c r="AN105" s="33">
        <f ca="1">SUMIFS('Monthly Cashflow'!105:105,'Monthly Cashflow'!7:7,AN89)</f>
        <v>300.00044746913852</v>
      </c>
      <c r="AO105" s="33">
        <f ca="1">SUMIFS('Monthly Cashflow'!105:105,'Monthly Cashflow'!7:7,AO89)</f>
        <v>300.00044746913852</v>
      </c>
      <c r="AP105" s="33">
        <f ca="1">SUMIFS('Monthly Cashflow'!105:105,'Monthly Cashflow'!7:7,AP89)</f>
        <v>300.00044746913852</v>
      </c>
      <c r="AQ105" s="33">
        <f ca="1">SUMIFS('Monthly Cashflow'!105:105,'Monthly Cashflow'!7:7,AQ89)</f>
        <v>300.00044746913852</v>
      </c>
      <c r="AR105" s="33">
        <f ca="1">SUMIFS('Monthly Cashflow'!105:105,'Monthly Cashflow'!7:7,AR89)</f>
        <v>300.00044746913852</v>
      </c>
      <c r="AS105" s="33">
        <f ca="1">SUMIFS('Monthly Cashflow'!105:105,'Monthly Cashflow'!7:7,AS89)</f>
        <v>300.00044746913852</v>
      </c>
      <c r="AT105" s="33">
        <f ca="1">SUMIFS('Monthly Cashflow'!105:105,'Monthly Cashflow'!7:7,AT89)</f>
        <v>300.00044746913852</v>
      </c>
      <c r="AU105" s="33">
        <f ca="1">SUMIFS('Monthly Cashflow'!105:105,'Monthly Cashflow'!7:7,AU89)</f>
        <v>300.00044746913852</v>
      </c>
      <c r="AV105" s="33">
        <f ca="1">SUMIFS('Monthly Cashflow'!105:105,'Monthly Cashflow'!7:7,AV89)</f>
        <v>300.00044746913852</v>
      </c>
      <c r="AW105" s="33">
        <f ca="1">SUMIFS('Monthly Cashflow'!105:105,'Monthly Cashflow'!7:7,AW89)</f>
        <v>300.00044746913852</v>
      </c>
      <c r="AX105" s="33">
        <f ca="1">SUMIFS('Monthly Cashflow'!105:105,'Monthly Cashflow'!7:7,AX89)</f>
        <v>300.00044746913852</v>
      </c>
      <c r="AY105" s="33">
        <f ca="1">SUMIFS('Monthly Cashflow'!105:105,'Monthly Cashflow'!7:7,AY89)</f>
        <v>300.00044746913852</v>
      </c>
      <c r="AZ105" s="33">
        <f ca="1">SUMIFS('Monthly Cashflow'!105:105,'Monthly Cashflow'!7:7,AZ89)</f>
        <v>300.00044746913852</v>
      </c>
      <c r="BA105" s="33">
        <f ca="1">SUMIFS('Monthly Cashflow'!105:105,'Monthly Cashflow'!7:7,BA89)</f>
        <v>300.00044746913852</v>
      </c>
      <c r="BB105" s="33">
        <f ca="1">SUMIFS('Monthly Cashflow'!105:105,'Monthly Cashflow'!7:7,BB89)</f>
        <v>300.00044746913852</v>
      </c>
      <c r="BC105" s="33">
        <f ca="1">SUMIFS('Monthly Cashflow'!105:105,'Monthly Cashflow'!7:7,BC89)</f>
        <v>300.00044746913852</v>
      </c>
      <c r="BD105" s="33">
        <f ca="1">SUMIFS('Monthly Cashflow'!105:105,'Monthly Cashflow'!7:7,BD89)</f>
        <v>300.00044746913852</v>
      </c>
      <c r="BE105" s="33">
        <f ca="1">SUMIFS('Monthly Cashflow'!105:105,'Monthly Cashflow'!7:7,BE89)</f>
        <v>300.00044746913852</v>
      </c>
      <c r="BF105" s="33">
        <f ca="1">SUMIFS('Monthly Cashflow'!105:105,'Monthly Cashflow'!7:7,BF89)</f>
        <v>300.00044746913852</v>
      </c>
      <c r="BG105" s="33">
        <f ca="1">SUMIFS('Monthly Cashflow'!105:105,'Monthly Cashflow'!7:7,BG89)</f>
        <v>300.00044746913852</v>
      </c>
      <c r="BH105" s="33">
        <f ca="1">SUMIFS('Monthly Cashflow'!105:105,'Monthly Cashflow'!7:7,BH89)</f>
        <v>300.00044746913852</v>
      </c>
      <c r="BI105" s="33">
        <f ca="1">SUMIFS('Monthly Cashflow'!105:105,'Monthly Cashflow'!7:7,BI89)</f>
        <v>300.00044746913852</v>
      </c>
      <c r="BJ105" s="33">
        <f ca="1">SUMIFS('Monthly Cashflow'!105:105,'Monthly Cashflow'!7:7,BJ89)</f>
        <v>300.00044746913852</v>
      </c>
      <c r="BK105" s="33">
        <f ca="1">SUMIFS('Monthly Cashflow'!105:105,'Monthly Cashflow'!7:7,BK89)</f>
        <v>300.00044746913852</v>
      </c>
      <c r="BL105" s="33">
        <f ca="1">SUMIFS('Monthly Cashflow'!105:105,'Monthly Cashflow'!7:7,BL89)</f>
        <v>300.00044746913852</v>
      </c>
      <c r="BM105" s="33">
        <f ca="1">SUMIFS('Monthly Cashflow'!105:105,'Monthly Cashflow'!7:7,BM89)</f>
        <v>300.00044746913852</v>
      </c>
      <c r="BN105" s="33">
        <f ca="1">SUMIFS('Monthly Cashflow'!105:105,'Monthly Cashflow'!7:7,BN89)</f>
        <v>300.00044746913852</v>
      </c>
      <c r="BO105" s="33">
        <f ca="1">SUMIFS('Monthly Cashflow'!105:105,'Monthly Cashflow'!7:7,BO89)</f>
        <v>300.00044746913852</v>
      </c>
      <c r="BP105" s="33">
        <f ca="1">SUMIFS('Monthly Cashflow'!105:105,'Monthly Cashflow'!7:7,BP89)</f>
        <v>300.00044746913852</v>
      </c>
      <c r="BQ105" s="33">
        <f ca="1">SUMIFS('Monthly Cashflow'!105:105,'Monthly Cashflow'!7:7,BQ89)</f>
        <v>300.00044746913852</v>
      </c>
      <c r="BR105" s="33">
        <f ca="1">SUMIFS('Monthly Cashflow'!105:105,'Monthly Cashflow'!7:7,BR89)</f>
        <v>300.00044746913852</v>
      </c>
      <c r="BS105" s="33">
        <f ca="1">SUMIFS('Monthly Cashflow'!105:105,'Monthly Cashflow'!7:7,BS89)</f>
        <v>300.00044746913852</v>
      </c>
      <c r="BT105" s="33">
        <f ca="1">SUMIFS('Monthly Cashflow'!105:105,'Monthly Cashflow'!7:7,BT89)</f>
        <v>300.00044746913852</v>
      </c>
      <c r="BU105" s="33">
        <f ca="1">SUMIFS('Monthly Cashflow'!105:105,'Monthly Cashflow'!7:7,BU89)</f>
        <v>300.00044746913852</v>
      </c>
      <c r="BV105" s="33">
        <f ca="1">SUMIFS('Monthly Cashflow'!105:105,'Monthly Cashflow'!7:7,BV89)</f>
        <v>300.00044746913852</v>
      </c>
      <c r="BW105" s="33">
        <f ca="1">SUMIFS('Monthly Cashflow'!105:105,'Monthly Cashflow'!7:7,BW89)</f>
        <v>300.00044746913852</v>
      </c>
      <c r="BX105" s="33">
        <f ca="1">SUMIFS('Monthly Cashflow'!105:105,'Monthly Cashflow'!7:7,BX89)</f>
        <v>300.00044746913852</v>
      </c>
      <c r="BY105" s="33">
        <f ca="1">SUMIFS('Monthly Cashflow'!105:105,'Monthly Cashflow'!7:7,BY89)</f>
        <v>300.00044746913852</v>
      </c>
      <c r="BZ105" s="33">
        <f ca="1">SUMIFS('Monthly Cashflow'!105:105,'Monthly Cashflow'!7:7,BZ89)</f>
        <v>300.00044746913852</v>
      </c>
      <c r="CA105" s="33">
        <f ca="1">SUMIFS('Monthly Cashflow'!105:105,'Monthly Cashflow'!7:7,CA89)</f>
        <v>300.00044746913852</v>
      </c>
      <c r="CB105" s="33">
        <f ca="1">SUMIFS('Monthly Cashflow'!105:105,'Monthly Cashflow'!7:7,CB89)</f>
        <v>300.00044746913852</v>
      </c>
      <c r="CC105" s="33">
        <f ca="1">SUMIFS('Monthly Cashflow'!105:105,'Monthly Cashflow'!7:7,CC89)</f>
        <v>300.00044746913852</v>
      </c>
      <c r="CD105" s="33">
        <f ca="1">SUMIFS('Monthly Cashflow'!105:105,'Monthly Cashflow'!7:7,CD89)</f>
        <v>300.00044746913852</v>
      </c>
      <c r="CE105" s="33">
        <f ca="1">SUMIFS('Monthly Cashflow'!105:105,'Monthly Cashflow'!7:7,CE89)</f>
        <v>300.00044746913852</v>
      </c>
      <c r="CF105" s="33">
        <f ca="1">SUMIFS('Monthly Cashflow'!105:105,'Monthly Cashflow'!7:7,CF89)</f>
        <v>300.00044746913852</v>
      </c>
      <c r="CG105" s="33">
        <f ca="1">SUMIFS('Monthly Cashflow'!105:105,'Monthly Cashflow'!7:7,CG89)</f>
        <v>300.00044746913852</v>
      </c>
      <c r="CH105" s="33">
        <f ca="1">SUMIFS('Monthly Cashflow'!105:105,'Monthly Cashflow'!7:7,CH89)</f>
        <v>300.00044746913852</v>
      </c>
      <c r="CI105" s="33">
        <f ca="1">SUMIFS('Monthly Cashflow'!105:105,'Monthly Cashflow'!7:7,CI89)</f>
        <v>300.00044746913852</v>
      </c>
      <c r="CJ105" s="33">
        <f ca="1">SUMIFS('Monthly Cashflow'!105:105,'Monthly Cashflow'!7:7,CJ89)</f>
        <v>300.00044746913852</v>
      </c>
      <c r="CK105" s="33">
        <f ca="1">SUMIFS('Monthly Cashflow'!105:105,'Monthly Cashflow'!7:7,CK89)</f>
        <v>300.00044746913852</v>
      </c>
      <c r="CL105" s="33">
        <f ca="1">SUMIFS('Monthly Cashflow'!105:105,'Monthly Cashflow'!7:7,CL89)</f>
        <v>300.00044746913852</v>
      </c>
      <c r="CM105" s="33">
        <f ca="1">SUMIFS('Monthly Cashflow'!105:105,'Monthly Cashflow'!7:7,CM89)</f>
        <v>300.00044746913852</v>
      </c>
      <c r="CN105" s="33">
        <f ca="1">SUMIFS('Monthly Cashflow'!105:105,'Monthly Cashflow'!7:7,CN89)</f>
        <v>300.00044746913852</v>
      </c>
      <c r="CO105" s="33">
        <f ca="1">SUMIFS('Monthly Cashflow'!105:105,'Monthly Cashflow'!7:7,CO89)</f>
        <v>300.00044746913852</v>
      </c>
      <c r="CP105" s="33">
        <f ca="1">SUMIFS('Monthly Cashflow'!105:105,'Monthly Cashflow'!7:7,CP89)</f>
        <v>300.00044746913852</v>
      </c>
      <c r="CQ105" s="33">
        <f ca="1">SUMIFS('Monthly Cashflow'!105:105,'Monthly Cashflow'!7:7,CQ89)</f>
        <v>300.00044746913852</v>
      </c>
      <c r="CR105" s="33">
        <f ca="1">SUMIFS('Monthly Cashflow'!105:105,'Monthly Cashflow'!7:7,CR89)</f>
        <v>300.00044746913852</v>
      </c>
      <c r="CS105" s="33">
        <f ca="1">SUMIFS('Monthly Cashflow'!105:105,'Monthly Cashflow'!7:7,CS89)</f>
        <v>300.00044746913852</v>
      </c>
      <c r="CT105" s="33">
        <f ca="1">SUMIFS('Monthly Cashflow'!105:105,'Monthly Cashflow'!7:7,CT89)</f>
        <v>300.00044746913852</v>
      </c>
      <c r="CU105" s="33">
        <f>SUMIFS('Monthly Cashflow'!105:105,'Monthly Cashflow'!7:7,CU89)</f>
        <v>0</v>
      </c>
      <c r="CV105" s="33">
        <f>SUMIFS('Monthly Cashflow'!105:105,'Monthly Cashflow'!7:7,CV89)</f>
        <v>0</v>
      </c>
      <c r="CW105" s="33">
        <f>SUMIFS('Monthly Cashflow'!105:105,'Monthly Cashflow'!7:7,CW89)</f>
        <v>0</v>
      </c>
      <c r="CX105" s="33">
        <f>SUMIFS('Monthly Cashflow'!105:105,'Monthly Cashflow'!7:7,CX89)</f>
        <v>0</v>
      </c>
    </row>
    <row r="106" spans="1:102" x14ac:dyDescent="0.3">
      <c r="A106" s="290" t="s">
        <v>280</v>
      </c>
      <c r="B106" s="39"/>
      <c r="C106" s="54"/>
      <c r="D106" s="54">
        <f ca="1">D105-C105</f>
        <v>21.263761110233901</v>
      </c>
      <c r="E106" s="54">
        <f t="shared" ref="E106:BP106" ca="1" si="59">E105-D105</f>
        <v>18.238441962191828</v>
      </c>
      <c r="F106" s="54">
        <f t="shared" ca="1" si="59"/>
        <v>16.595632960037449</v>
      </c>
      <c r="G106" s="54">
        <f t="shared" ca="1" si="59"/>
        <v>12.594206668013598</v>
      </c>
      <c r="H106" s="54">
        <f t="shared" ca="1" si="59"/>
        <v>21.128438874807046</v>
      </c>
      <c r="I106" s="54">
        <f t="shared" ca="1" si="59"/>
        <v>19.968142300066674</v>
      </c>
      <c r="J106" s="54">
        <f t="shared" ca="1" si="59"/>
        <v>20.86584982168641</v>
      </c>
      <c r="K106" s="54">
        <f t="shared" ca="1" si="59"/>
        <v>29.014964832670444</v>
      </c>
      <c r="L106" s="54">
        <f t="shared" ca="1" si="59"/>
        <v>9.9393059014460903</v>
      </c>
      <c r="M106" s="54">
        <f t="shared" ca="1" si="59"/>
        <v>10.092361845510311</v>
      </c>
      <c r="N106" s="54">
        <f t="shared" ca="1" si="59"/>
        <v>29.446150854396478</v>
      </c>
      <c r="O106" s="54">
        <f t="shared" ca="1" si="59"/>
        <v>19.559745162559295</v>
      </c>
      <c r="P106" s="54">
        <f t="shared" ca="1" si="59"/>
        <v>19.864792640746572</v>
      </c>
      <c r="Q106" s="54">
        <f t="shared" ca="1" si="59"/>
        <v>23.564117826842562</v>
      </c>
      <c r="R106" s="54">
        <f t="shared" ca="1" si="59"/>
        <v>6.4274179815725461</v>
      </c>
      <c r="S106" s="54">
        <f t="shared" ca="1" si="59"/>
        <v>6.5123747229337141</v>
      </c>
      <c r="T106" s="54">
        <f t="shared" ca="1" si="59"/>
        <v>7.6158519399469924</v>
      </c>
      <c r="U106" s="54">
        <f ca="1">U105-T105</f>
        <v>7.3088900634766105</v>
      </c>
      <c r="V106" s="54">
        <f t="shared" ca="1" si="59"/>
        <v>0</v>
      </c>
      <c r="W106" s="54">
        <f t="shared" ca="1" si="59"/>
        <v>0</v>
      </c>
      <c r="X106" s="54">
        <f t="shared" ca="1" si="59"/>
        <v>0</v>
      </c>
      <c r="Y106" s="54">
        <f t="shared" ca="1" si="59"/>
        <v>0</v>
      </c>
      <c r="Z106" s="54">
        <f t="shared" ca="1" si="59"/>
        <v>0</v>
      </c>
      <c r="AA106" s="54">
        <f t="shared" ca="1" si="59"/>
        <v>0</v>
      </c>
      <c r="AB106" s="54">
        <f t="shared" ca="1" si="59"/>
        <v>0</v>
      </c>
      <c r="AC106" s="54">
        <f t="shared" ca="1" si="59"/>
        <v>0</v>
      </c>
      <c r="AD106" s="54">
        <f t="shared" ca="1" si="59"/>
        <v>0</v>
      </c>
      <c r="AE106" s="54">
        <f t="shared" ca="1" si="59"/>
        <v>0</v>
      </c>
      <c r="AF106" s="54">
        <f t="shared" ca="1" si="59"/>
        <v>0</v>
      </c>
      <c r="AG106" s="54">
        <f t="shared" ca="1" si="59"/>
        <v>0</v>
      </c>
      <c r="AH106" s="54">
        <f t="shared" ca="1" si="59"/>
        <v>0</v>
      </c>
      <c r="AI106" s="54">
        <f t="shared" ca="1" si="59"/>
        <v>0</v>
      </c>
      <c r="AJ106" s="54">
        <f t="shared" ca="1" si="59"/>
        <v>0</v>
      </c>
      <c r="AK106" s="54">
        <f t="shared" ca="1" si="59"/>
        <v>0</v>
      </c>
      <c r="AL106" s="54">
        <f t="shared" ca="1" si="59"/>
        <v>0</v>
      </c>
      <c r="AM106" s="54">
        <f t="shared" ca="1" si="59"/>
        <v>0</v>
      </c>
      <c r="AN106" s="54">
        <f t="shared" ca="1" si="59"/>
        <v>0</v>
      </c>
      <c r="AO106" s="54">
        <f t="shared" ca="1" si="59"/>
        <v>0</v>
      </c>
      <c r="AP106" s="54">
        <f t="shared" ca="1" si="59"/>
        <v>0</v>
      </c>
      <c r="AQ106" s="54">
        <f t="shared" ca="1" si="59"/>
        <v>0</v>
      </c>
      <c r="AR106" s="54">
        <f t="shared" ca="1" si="59"/>
        <v>0</v>
      </c>
      <c r="AS106" s="54">
        <f t="shared" ca="1" si="59"/>
        <v>0</v>
      </c>
      <c r="AT106" s="54">
        <f t="shared" ca="1" si="59"/>
        <v>0</v>
      </c>
      <c r="AU106" s="54">
        <f t="shared" ca="1" si="59"/>
        <v>0</v>
      </c>
      <c r="AV106" s="54">
        <f t="shared" ca="1" si="59"/>
        <v>0</v>
      </c>
      <c r="AW106" s="54">
        <f t="shared" ca="1" si="59"/>
        <v>0</v>
      </c>
      <c r="AX106" s="54">
        <f t="shared" ca="1" si="59"/>
        <v>0</v>
      </c>
      <c r="AY106" s="54">
        <f t="shared" ca="1" si="59"/>
        <v>0</v>
      </c>
      <c r="AZ106" s="54">
        <f t="shared" ca="1" si="59"/>
        <v>0</v>
      </c>
      <c r="BA106" s="54">
        <f t="shared" ca="1" si="59"/>
        <v>0</v>
      </c>
      <c r="BB106" s="54">
        <f t="shared" ca="1" si="59"/>
        <v>0</v>
      </c>
      <c r="BC106" s="54">
        <f t="shared" ca="1" si="59"/>
        <v>0</v>
      </c>
      <c r="BD106" s="54">
        <f t="shared" ca="1" si="59"/>
        <v>0</v>
      </c>
      <c r="BE106" s="54">
        <f t="shared" ca="1" si="59"/>
        <v>0</v>
      </c>
      <c r="BF106" s="54">
        <f t="shared" ca="1" si="59"/>
        <v>0</v>
      </c>
      <c r="BG106" s="54">
        <f t="shared" ca="1" si="59"/>
        <v>0</v>
      </c>
      <c r="BH106" s="54">
        <f t="shared" ca="1" si="59"/>
        <v>0</v>
      </c>
      <c r="BI106" s="54">
        <f t="shared" ca="1" si="59"/>
        <v>0</v>
      </c>
      <c r="BJ106" s="54">
        <f t="shared" ca="1" si="59"/>
        <v>0</v>
      </c>
      <c r="BK106" s="54">
        <f t="shared" ca="1" si="59"/>
        <v>0</v>
      </c>
      <c r="BL106" s="54">
        <f t="shared" ca="1" si="59"/>
        <v>0</v>
      </c>
      <c r="BM106" s="54">
        <f t="shared" ca="1" si="59"/>
        <v>0</v>
      </c>
      <c r="BN106" s="54">
        <f t="shared" ca="1" si="59"/>
        <v>0</v>
      </c>
      <c r="BO106" s="54">
        <f t="shared" ca="1" si="59"/>
        <v>0</v>
      </c>
      <c r="BP106" s="54">
        <f t="shared" ca="1" si="59"/>
        <v>0</v>
      </c>
      <c r="BQ106" s="54">
        <f t="shared" ref="BQ106:CX106" ca="1" si="60">BQ105-BP105</f>
        <v>0</v>
      </c>
      <c r="BR106" s="54">
        <f t="shared" ca="1" si="60"/>
        <v>0</v>
      </c>
      <c r="BS106" s="54">
        <f t="shared" ca="1" si="60"/>
        <v>0</v>
      </c>
      <c r="BT106" s="54">
        <f t="shared" ca="1" si="60"/>
        <v>0</v>
      </c>
      <c r="BU106" s="54">
        <f t="shared" ca="1" si="60"/>
        <v>0</v>
      </c>
      <c r="BV106" s="54">
        <f t="shared" ca="1" si="60"/>
        <v>0</v>
      </c>
      <c r="BW106" s="54">
        <f t="shared" ca="1" si="60"/>
        <v>0</v>
      </c>
      <c r="BX106" s="54">
        <f t="shared" ca="1" si="60"/>
        <v>0</v>
      </c>
      <c r="BY106" s="54">
        <f t="shared" ca="1" si="60"/>
        <v>0</v>
      </c>
      <c r="BZ106" s="54">
        <f t="shared" ca="1" si="60"/>
        <v>0</v>
      </c>
      <c r="CA106" s="54">
        <f t="shared" ca="1" si="60"/>
        <v>0</v>
      </c>
      <c r="CB106" s="54">
        <f t="shared" ca="1" si="60"/>
        <v>0</v>
      </c>
      <c r="CC106" s="54">
        <f t="shared" ca="1" si="60"/>
        <v>0</v>
      </c>
      <c r="CD106" s="54">
        <f t="shared" ca="1" si="60"/>
        <v>0</v>
      </c>
      <c r="CE106" s="54">
        <f t="shared" ca="1" si="60"/>
        <v>0</v>
      </c>
      <c r="CF106" s="54">
        <f t="shared" ca="1" si="60"/>
        <v>0</v>
      </c>
      <c r="CG106" s="54">
        <f t="shared" ca="1" si="60"/>
        <v>0</v>
      </c>
      <c r="CH106" s="54">
        <f t="shared" ca="1" si="60"/>
        <v>0</v>
      </c>
      <c r="CI106" s="54">
        <f t="shared" ca="1" si="60"/>
        <v>0</v>
      </c>
      <c r="CJ106" s="54">
        <f t="shared" ca="1" si="60"/>
        <v>0</v>
      </c>
      <c r="CK106" s="54">
        <f t="shared" ca="1" si="60"/>
        <v>0</v>
      </c>
      <c r="CL106" s="54">
        <f t="shared" ca="1" si="60"/>
        <v>0</v>
      </c>
      <c r="CM106" s="54">
        <f t="shared" ca="1" si="60"/>
        <v>0</v>
      </c>
      <c r="CN106" s="54">
        <f t="shared" ca="1" si="60"/>
        <v>0</v>
      </c>
      <c r="CO106" s="54">
        <f t="shared" ca="1" si="60"/>
        <v>0</v>
      </c>
      <c r="CP106" s="54">
        <f t="shared" ca="1" si="60"/>
        <v>0</v>
      </c>
      <c r="CQ106" s="54">
        <f t="shared" ca="1" si="60"/>
        <v>0</v>
      </c>
      <c r="CR106" s="54">
        <f t="shared" ca="1" si="60"/>
        <v>0</v>
      </c>
      <c r="CS106" s="54">
        <f t="shared" ca="1" si="60"/>
        <v>0</v>
      </c>
      <c r="CT106" s="54">
        <f t="shared" ca="1" si="60"/>
        <v>0</v>
      </c>
      <c r="CU106" s="54">
        <f t="shared" ca="1" si="60"/>
        <v>-300.00044746913852</v>
      </c>
      <c r="CV106" s="54">
        <f t="shared" si="60"/>
        <v>0</v>
      </c>
      <c r="CW106" s="54">
        <f t="shared" si="60"/>
        <v>0</v>
      </c>
      <c r="CX106" s="54">
        <f t="shared" si="60"/>
        <v>0</v>
      </c>
    </row>
    <row r="107" spans="1:102" x14ac:dyDescent="0.3">
      <c r="A107" s="169"/>
      <c r="B107" s="39"/>
      <c r="O107" s="52"/>
    </row>
    <row r="108" spans="1:102" x14ac:dyDescent="0.3">
      <c r="A108" s="292" t="s">
        <v>281</v>
      </c>
      <c r="B108" s="293"/>
      <c r="C108" s="294"/>
      <c r="D108" s="294"/>
      <c r="E108" s="294"/>
      <c r="F108" s="294"/>
      <c r="G108" s="294"/>
      <c r="H108" s="294"/>
      <c r="I108" s="294"/>
      <c r="J108" s="294"/>
      <c r="K108" s="294"/>
      <c r="L108" s="294"/>
      <c r="M108" s="294"/>
      <c r="N108" s="294"/>
      <c r="O108" s="295"/>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4"/>
      <c r="CG108" s="294"/>
      <c r="CH108" s="294"/>
      <c r="CI108" s="294"/>
      <c r="CJ108" s="294"/>
      <c r="CK108" s="294"/>
      <c r="CL108" s="294"/>
      <c r="CM108" s="294"/>
      <c r="CN108" s="294"/>
      <c r="CO108" s="294"/>
      <c r="CP108" s="294"/>
      <c r="CQ108" s="294"/>
      <c r="CR108" s="294"/>
      <c r="CS108" s="294"/>
      <c r="CT108" s="294"/>
      <c r="CU108" s="294"/>
      <c r="CV108" s="294"/>
      <c r="CW108" s="294"/>
      <c r="CX108" s="294"/>
    </row>
    <row r="109" spans="1:102" x14ac:dyDescent="0.3">
      <c r="A109" s="169" t="s">
        <v>282</v>
      </c>
      <c r="B109" s="259">
        <f ca="1">SUM(C109:CX109)</f>
        <v>0</v>
      </c>
      <c r="C109" s="52">
        <f ca="1">C100</f>
        <v>47.58</v>
      </c>
      <c r="D109" s="52">
        <f t="shared" ref="D109:BO109" ca="1" si="61">D100</f>
        <v>2.1240031680815008</v>
      </c>
      <c r="E109" s="52">
        <f t="shared" ca="1" si="61"/>
        <v>0</v>
      </c>
      <c r="F109" s="52">
        <f t="shared" ca="1" si="61"/>
        <v>0</v>
      </c>
      <c r="G109" s="52">
        <f t="shared" ca="1" si="61"/>
        <v>6.4985772232176942</v>
      </c>
      <c r="H109" s="52">
        <f t="shared" ca="1" si="61"/>
        <v>17.28690453393304</v>
      </c>
      <c r="I109" s="52">
        <f t="shared" ca="1" si="61"/>
        <v>16.337570972781819</v>
      </c>
      <c r="J109" s="52">
        <f t="shared" ca="1" si="61"/>
        <v>17.072058945016124</v>
      </c>
      <c r="K109" s="52">
        <f t="shared" ca="1" si="61"/>
        <v>23.739516681275816</v>
      </c>
      <c r="L109" s="52">
        <f t="shared" ca="1" si="61"/>
        <v>8.1321593739104117</v>
      </c>
      <c r="M109" s="52">
        <f t="shared" ca="1" si="61"/>
        <v>8.2573869645084983</v>
      </c>
      <c r="N109" s="52">
        <f t="shared" ca="1" si="61"/>
        <v>24.092305244506235</v>
      </c>
      <c r="O109" s="52">
        <f t="shared" ca="1" si="61"/>
        <v>16.003427860275735</v>
      </c>
      <c r="P109" s="52">
        <f t="shared" ca="1" si="61"/>
        <v>16.253012160610837</v>
      </c>
      <c r="Q109" s="52">
        <f t="shared" ca="1" si="61"/>
        <v>19.279732767416647</v>
      </c>
      <c r="R109" s="52">
        <f t="shared" ca="1" si="61"/>
        <v>5.258796530377623</v>
      </c>
      <c r="S109" s="52">
        <f t="shared" ca="1" si="61"/>
        <v>5.3283065914912697</v>
      </c>
      <c r="T109" s="52">
        <f t="shared" ca="1" si="61"/>
        <v>6.231151587229391</v>
      </c>
      <c r="U109" s="52">
        <f t="shared" ca="1" si="61"/>
        <v>12.062692655622413</v>
      </c>
      <c r="V109" s="52">
        <f t="shared" ca="1" si="61"/>
        <v>0</v>
      </c>
      <c r="W109" s="52">
        <f t="shared" ca="1" si="61"/>
        <v>0</v>
      </c>
      <c r="X109" s="52">
        <f t="shared" ca="1" si="61"/>
        <v>0</v>
      </c>
      <c r="Y109" s="52">
        <f t="shared" ca="1" si="61"/>
        <v>0</v>
      </c>
      <c r="Z109" s="52">
        <f t="shared" ca="1" si="61"/>
        <v>0</v>
      </c>
      <c r="AA109" s="52">
        <f t="shared" ca="1" si="61"/>
        <v>0</v>
      </c>
      <c r="AB109" s="52">
        <f t="shared" ca="1" si="61"/>
        <v>0</v>
      </c>
      <c r="AC109" s="52">
        <f t="shared" ca="1" si="61"/>
        <v>0</v>
      </c>
      <c r="AD109" s="52">
        <f t="shared" ca="1" si="61"/>
        <v>0</v>
      </c>
      <c r="AE109" s="52">
        <f t="shared" ca="1" si="61"/>
        <v>0</v>
      </c>
      <c r="AF109" s="52">
        <f t="shared" ca="1" si="61"/>
        <v>0</v>
      </c>
      <c r="AG109" s="52">
        <f t="shared" ca="1" si="61"/>
        <v>0</v>
      </c>
      <c r="AH109" s="52">
        <f t="shared" ca="1" si="61"/>
        <v>0</v>
      </c>
      <c r="AI109" s="52">
        <f t="shared" ca="1" si="61"/>
        <v>0</v>
      </c>
      <c r="AJ109" s="52">
        <f t="shared" ca="1" si="61"/>
        <v>0</v>
      </c>
      <c r="AK109" s="52">
        <f t="shared" ca="1" si="61"/>
        <v>0</v>
      </c>
      <c r="AL109" s="52">
        <f t="shared" ca="1" si="61"/>
        <v>0</v>
      </c>
      <c r="AM109" s="52">
        <f t="shared" ca="1" si="61"/>
        <v>0</v>
      </c>
      <c r="AN109" s="52">
        <f t="shared" ca="1" si="61"/>
        <v>0</v>
      </c>
      <c r="AO109" s="52">
        <f t="shared" ca="1" si="61"/>
        <v>0</v>
      </c>
      <c r="AP109" s="52">
        <f t="shared" ca="1" si="61"/>
        <v>0</v>
      </c>
      <c r="AQ109" s="52">
        <f t="shared" ca="1" si="61"/>
        <v>0</v>
      </c>
      <c r="AR109" s="52">
        <f t="shared" ca="1" si="61"/>
        <v>0</v>
      </c>
      <c r="AS109" s="52">
        <f t="shared" ca="1" si="61"/>
        <v>0</v>
      </c>
      <c r="AT109" s="52">
        <f t="shared" ca="1" si="61"/>
        <v>0</v>
      </c>
      <c r="AU109" s="52">
        <f t="shared" ca="1" si="61"/>
        <v>0</v>
      </c>
      <c r="AV109" s="52">
        <f t="shared" ca="1" si="61"/>
        <v>0</v>
      </c>
      <c r="AW109" s="52">
        <f t="shared" ca="1" si="61"/>
        <v>0</v>
      </c>
      <c r="AX109" s="52">
        <f t="shared" ca="1" si="61"/>
        <v>0</v>
      </c>
      <c r="AY109" s="52">
        <f t="shared" ca="1" si="61"/>
        <v>0</v>
      </c>
      <c r="AZ109" s="52">
        <f t="shared" ca="1" si="61"/>
        <v>0</v>
      </c>
      <c r="BA109" s="52">
        <f t="shared" ca="1" si="61"/>
        <v>0</v>
      </c>
      <c r="BB109" s="52">
        <f t="shared" ca="1" si="61"/>
        <v>0</v>
      </c>
      <c r="BC109" s="52">
        <f t="shared" ca="1" si="61"/>
        <v>0</v>
      </c>
      <c r="BD109" s="52">
        <f t="shared" ca="1" si="61"/>
        <v>0</v>
      </c>
      <c r="BE109" s="52">
        <f t="shared" ca="1" si="61"/>
        <v>0</v>
      </c>
      <c r="BF109" s="52">
        <f t="shared" ca="1" si="61"/>
        <v>0</v>
      </c>
      <c r="BG109" s="52">
        <f t="shared" ca="1" si="61"/>
        <v>0</v>
      </c>
      <c r="BH109" s="52">
        <f t="shared" ca="1" si="61"/>
        <v>0</v>
      </c>
      <c r="BI109" s="52">
        <f t="shared" ca="1" si="61"/>
        <v>0</v>
      </c>
      <c r="BJ109" s="52">
        <f t="shared" ca="1" si="61"/>
        <v>0</v>
      </c>
      <c r="BK109" s="52">
        <f t="shared" ca="1" si="61"/>
        <v>0</v>
      </c>
      <c r="BL109" s="52">
        <f t="shared" ca="1" si="61"/>
        <v>0</v>
      </c>
      <c r="BM109" s="52">
        <f t="shared" ca="1" si="61"/>
        <v>0</v>
      </c>
      <c r="BN109" s="52">
        <f t="shared" ca="1" si="61"/>
        <v>0</v>
      </c>
      <c r="BO109" s="52">
        <f t="shared" ca="1" si="61"/>
        <v>0</v>
      </c>
      <c r="BP109" s="52">
        <f t="shared" ref="BP109:CX109" ca="1" si="62">BP100</f>
        <v>0</v>
      </c>
      <c r="BQ109" s="52">
        <f t="shared" ca="1" si="62"/>
        <v>0</v>
      </c>
      <c r="BR109" s="52">
        <f t="shared" ca="1" si="62"/>
        <v>0</v>
      </c>
      <c r="BS109" s="52">
        <f t="shared" ca="1" si="62"/>
        <v>0</v>
      </c>
      <c r="BT109" s="52">
        <f t="shared" ca="1" si="62"/>
        <v>0</v>
      </c>
      <c r="BU109" s="52">
        <f t="shared" ca="1" si="62"/>
        <v>0</v>
      </c>
      <c r="BV109" s="52">
        <f t="shared" ca="1" si="62"/>
        <v>0</v>
      </c>
      <c r="BW109" s="52">
        <f t="shared" ca="1" si="62"/>
        <v>0</v>
      </c>
      <c r="BX109" s="52">
        <f t="shared" ca="1" si="62"/>
        <v>0</v>
      </c>
      <c r="BY109" s="52">
        <f t="shared" ca="1" si="62"/>
        <v>0</v>
      </c>
      <c r="BZ109" s="52">
        <f t="shared" ca="1" si="62"/>
        <v>0</v>
      </c>
      <c r="CA109" s="52">
        <f t="shared" ca="1" si="62"/>
        <v>0</v>
      </c>
      <c r="CB109" s="52">
        <f t="shared" ca="1" si="62"/>
        <v>0</v>
      </c>
      <c r="CC109" s="52">
        <f t="shared" ca="1" si="62"/>
        <v>0</v>
      </c>
      <c r="CD109" s="52">
        <f t="shared" ca="1" si="62"/>
        <v>0</v>
      </c>
      <c r="CE109" s="52">
        <f t="shared" ca="1" si="62"/>
        <v>0</v>
      </c>
      <c r="CF109" s="52">
        <f t="shared" ca="1" si="62"/>
        <v>0</v>
      </c>
      <c r="CG109" s="52">
        <f t="shared" ca="1" si="62"/>
        <v>0</v>
      </c>
      <c r="CH109" s="52">
        <f t="shared" ca="1" si="62"/>
        <v>0</v>
      </c>
      <c r="CI109" s="52">
        <f t="shared" ca="1" si="62"/>
        <v>0</v>
      </c>
      <c r="CJ109" s="52">
        <f t="shared" ca="1" si="62"/>
        <v>0</v>
      </c>
      <c r="CK109" s="52">
        <f t="shared" ca="1" si="62"/>
        <v>0</v>
      </c>
      <c r="CL109" s="52">
        <f t="shared" ca="1" si="62"/>
        <v>0</v>
      </c>
      <c r="CM109" s="52">
        <f t="shared" ca="1" si="62"/>
        <v>0</v>
      </c>
      <c r="CN109" s="52">
        <f t="shared" ca="1" si="62"/>
        <v>0</v>
      </c>
      <c r="CO109" s="52">
        <f t="shared" ca="1" si="62"/>
        <v>0</v>
      </c>
      <c r="CP109" s="52">
        <f t="shared" ca="1" si="62"/>
        <v>0</v>
      </c>
      <c r="CQ109" s="52">
        <f t="shared" ca="1" si="62"/>
        <v>0</v>
      </c>
      <c r="CR109" s="52">
        <f t="shared" ca="1" si="62"/>
        <v>0</v>
      </c>
      <c r="CS109" s="52">
        <f t="shared" ca="1" si="62"/>
        <v>0</v>
      </c>
      <c r="CT109" s="52">
        <f t="shared" ca="1" si="62"/>
        <v>0</v>
      </c>
      <c r="CU109" s="52">
        <f t="shared" ca="1" si="62"/>
        <v>-251.53760326025505</v>
      </c>
      <c r="CV109" s="52">
        <f t="shared" si="62"/>
        <v>0</v>
      </c>
      <c r="CW109" s="52">
        <f t="shared" si="62"/>
        <v>0</v>
      </c>
      <c r="CX109" s="52">
        <f t="shared" si="62"/>
        <v>0</v>
      </c>
    </row>
    <row r="110" spans="1:102" x14ac:dyDescent="0.3">
      <c r="A110" s="169" t="s">
        <v>194</v>
      </c>
      <c r="B110" s="259">
        <f ca="1">SUM(C110:CX110)</f>
        <v>0</v>
      </c>
      <c r="C110" s="52">
        <f>C106</f>
        <v>0</v>
      </c>
      <c r="D110" s="52">
        <f t="shared" ref="D110:BO110" ca="1" si="63">D106</f>
        <v>21.263761110233901</v>
      </c>
      <c r="E110" s="52">
        <f t="shared" ca="1" si="63"/>
        <v>18.238441962191828</v>
      </c>
      <c r="F110" s="52">
        <f t="shared" ca="1" si="63"/>
        <v>16.595632960037449</v>
      </c>
      <c r="G110" s="52">
        <f t="shared" ca="1" si="63"/>
        <v>12.594206668013598</v>
      </c>
      <c r="H110" s="52">
        <f t="shared" ca="1" si="63"/>
        <v>21.128438874807046</v>
      </c>
      <c r="I110" s="52">
        <f t="shared" ca="1" si="63"/>
        <v>19.968142300066674</v>
      </c>
      <c r="J110" s="52">
        <f t="shared" ca="1" si="63"/>
        <v>20.86584982168641</v>
      </c>
      <c r="K110" s="52">
        <f t="shared" ca="1" si="63"/>
        <v>29.014964832670444</v>
      </c>
      <c r="L110" s="52">
        <f t="shared" ca="1" si="63"/>
        <v>9.9393059014460903</v>
      </c>
      <c r="M110" s="52">
        <f t="shared" ca="1" si="63"/>
        <v>10.092361845510311</v>
      </c>
      <c r="N110" s="52">
        <f t="shared" ca="1" si="63"/>
        <v>29.446150854396478</v>
      </c>
      <c r="O110" s="52">
        <f t="shared" ca="1" si="63"/>
        <v>19.559745162559295</v>
      </c>
      <c r="P110" s="52">
        <f t="shared" ca="1" si="63"/>
        <v>19.864792640746572</v>
      </c>
      <c r="Q110" s="52">
        <f t="shared" ca="1" si="63"/>
        <v>23.564117826842562</v>
      </c>
      <c r="R110" s="52">
        <f t="shared" ca="1" si="63"/>
        <v>6.4274179815725461</v>
      </c>
      <c r="S110" s="52">
        <f t="shared" ca="1" si="63"/>
        <v>6.5123747229337141</v>
      </c>
      <c r="T110" s="52">
        <f t="shared" ca="1" si="63"/>
        <v>7.6158519399469924</v>
      </c>
      <c r="U110" s="52">
        <f t="shared" ca="1" si="63"/>
        <v>7.3088900634766105</v>
      </c>
      <c r="V110" s="52">
        <f t="shared" ca="1" si="63"/>
        <v>0</v>
      </c>
      <c r="W110" s="52">
        <f t="shared" ca="1" si="63"/>
        <v>0</v>
      </c>
      <c r="X110" s="52">
        <f t="shared" ca="1" si="63"/>
        <v>0</v>
      </c>
      <c r="Y110" s="52">
        <f t="shared" ca="1" si="63"/>
        <v>0</v>
      </c>
      <c r="Z110" s="52">
        <f t="shared" ca="1" si="63"/>
        <v>0</v>
      </c>
      <c r="AA110" s="52">
        <f t="shared" ca="1" si="63"/>
        <v>0</v>
      </c>
      <c r="AB110" s="52">
        <f t="shared" ca="1" si="63"/>
        <v>0</v>
      </c>
      <c r="AC110" s="52">
        <f t="shared" ca="1" si="63"/>
        <v>0</v>
      </c>
      <c r="AD110" s="52">
        <f t="shared" ca="1" si="63"/>
        <v>0</v>
      </c>
      <c r="AE110" s="52">
        <f t="shared" ca="1" si="63"/>
        <v>0</v>
      </c>
      <c r="AF110" s="52">
        <f t="shared" ca="1" si="63"/>
        <v>0</v>
      </c>
      <c r="AG110" s="52">
        <f t="shared" ca="1" si="63"/>
        <v>0</v>
      </c>
      <c r="AH110" s="52">
        <f t="shared" ca="1" si="63"/>
        <v>0</v>
      </c>
      <c r="AI110" s="52">
        <f t="shared" ca="1" si="63"/>
        <v>0</v>
      </c>
      <c r="AJ110" s="52">
        <f t="shared" ca="1" si="63"/>
        <v>0</v>
      </c>
      <c r="AK110" s="52">
        <f t="shared" ca="1" si="63"/>
        <v>0</v>
      </c>
      <c r="AL110" s="52">
        <f t="shared" ca="1" si="63"/>
        <v>0</v>
      </c>
      <c r="AM110" s="52">
        <f t="shared" ca="1" si="63"/>
        <v>0</v>
      </c>
      <c r="AN110" s="52">
        <f t="shared" ca="1" si="63"/>
        <v>0</v>
      </c>
      <c r="AO110" s="52">
        <f t="shared" ca="1" si="63"/>
        <v>0</v>
      </c>
      <c r="AP110" s="52">
        <f t="shared" ca="1" si="63"/>
        <v>0</v>
      </c>
      <c r="AQ110" s="52">
        <f t="shared" ca="1" si="63"/>
        <v>0</v>
      </c>
      <c r="AR110" s="52">
        <f t="shared" ca="1" si="63"/>
        <v>0</v>
      </c>
      <c r="AS110" s="52">
        <f t="shared" ca="1" si="63"/>
        <v>0</v>
      </c>
      <c r="AT110" s="52">
        <f t="shared" ca="1" si="63"/>
        <v>0</v>
      </c>
      <c r="AU110" s="52">
        <f t="shared" ca="1" si="63"/>
        <v>0</v>
      </c>
      <c r="AV110" s="52">
        <f t="shared" ca="1" si="63"/>
        <v>0</v>
      </c>
      <c r="AW110" s="52">
        <f t="shared" ca="1" si="63"/>
        <v>0</v>
      </c>
      <c r="AX110" s="52">
        <f t="shared" ca="1" si="63"/>
        <v>0</v>
      </c>
      <c r="AY110" s="52">
        <f t="shared" ca="1" si="63"/>
        <v>0</v>
      </c>
      <c r="AZ110" s="52">
        <f t="shared" ca="1" si="63"/>
        <v>0</v>
      </c>
      <c r="BA110" s="52">
        <f t="shared" ca="1" si="63"/>
        <v>0</v>
      </c>
      <c r="BB110" s="52">
        <f t="shared" ca="1" si="63"/>
        <v>0</v>
      </c>
      <c r="BC110" s="52">
        <f t="shared" ca="1" si="63"/>
        <v>0</v>
      </c>
      <c r="BD110" s="52">
        <f t="shared" ca="1" si="63"/>
        <v>0</v>
      </c>
      <c r="BE110" s="52">
        <f ca="1">BE106</f>
        <v>0</v>
      </c>
      <c r="BF110" s="52">
        <f t="shared" ca="1" si="63"/>
        <v>0</v>
      </c>
      <c r="BG110" s="52">
        <f t="shared" ca="1" si="63"/>
        <v>0</v>
      </c>
      <c r="BH110" s="52">
        <f t="shared" ca="1" si="63"/>
        <v>0</v>
      </c>
      <c r="BI110" s="52">
        <f t="shared" ca="1" si="63"/>
        <v>0</v>
      </c>
      <c r="BJ110" s="52">
        <f t="shared" ca="1" si="63"/>
        <v>0</v>
      </c>
      <c r="BK110" s="52">
        <f t="shared" ca="1" si="63"/>
        <v>0</v>
      </c>
      <c r="BL110" s="52">
        <f t="shared" ca="1" si="63"/>
        <v>0</v>
      </c>
      <c r="BM110" s="52">
        <f t="shared" ca="1" si="63"/>
        <v>0</v>
      </c>
      <c r="BN110" s="52">
        <f t="shared" ca="1" si="63"/>
        <v>0</v>
      </c>
      <c r="BO110" s="52">
        <f t="shared" ca="1" si="63"/>
        <v>0</v>
      </c>
      <c r="BP110" s="52">
        <f t="shared" ref="BP110:CX110" ca="1" si="64">BP106</f>
        <v>0</v>
      </c>
      <c r="BQ110" s="52">
        <f t="shared" ca="1" si="64"/>
        <v>0</v>
      </c>
      <c r="BR110" s="52">
        <f t="shared" ca="1" si="64"/>
        <v>0</v>
      </c>
      <c r="BS110" s="52">
        <f t="shared" ca="1" si="64"/>
        <v>0</v>
      </c>
      <c r="BT110" s="52">
        <f t="shared" ca="1" si="64"/>
        <v>0</v>
      </c>
      <c r="BU110" s="52">
        <f t="shared" ca="1" si="64"/>
        <v>0</v>
      </c>
      <c r="BV110" s="52">
        <f t="shared" ca="1" si="64"/>
        <v>0</v>
      </c>
      <c r="BW110" s="52">
        <f t="shared" ca="1" si="64"/>
        <v>0</v>
      </c>
      <c r="BX110" s="52">
        <f t="shared" ca="1" si="64"/>
        <v>0</v>
      </c>
      <c r="BY110" s="52">
        <f t="shared" ca="1" si="64"/>
        <v>0</v>
      </c>
      <c r="BZ110" s="52">
        <f t="shared" ca="1" si="64"/>
        <v>0</v>
      </c>
      <c r="CA110" s="52">
        <f t="shared" ca="1" si="64"/>
        <v>0</v>
      </c>
      <c r="CB110" s="52">
        <f t="shared" ca="1" si="64"/>
        <v>0</v>
      </c>
      <c r="CC110" s="52">
        <f t="shared" ca="1" si="64"/>
        <v>0</v>
      </c>
      <c r="CD110" s="52">
        <f t="shared" ca="1" si="64"/>
        <v>0</v>
      </c>
      <c r="CE110" s="52">
        <f t="shared" ca="1" si="64"/>
        <v>0</v>
      </c>
      <c r="CF110" s="52">
        <f t="shared" ca="1" si="64"/>
        <v>0</v>
      </c>
      <c r="CG110" s="52">
        <f t="shared" ca="1" si="64"/>
        <v>0</v>
      </c>
      <c r="CH110" s="52">
        <f t="shared" ca="1" si="64"/>
        <v>0</v>
      </c>
      <c r="CI110" s="52">
        <f t="shared" ca="1" si="64"/>
        <v>0</v>
      </c>
      <c r="CJ110" s="52">
        <f t="shared" ca="1" si="64"/>
        <v>0</v>
      </c>
      <c r="CK110" s="52">
        <f t="shared" ca="1" si="64"/>
        <v>0</v>
      </c>
      <c r="CL110" s="52">
        <f t="shared" ca="1" si="64"/>
        <v>0</v>
      </c>
      <c r="CM110" s="52">
        <f t="shared" ca="1" si="64"/>
        <v>0</v>
      </c>
      <c r="CN110" s="52">
        <f t="shared" ca="1" si="64"/>
        <v>0</v>
      </c>
      <c r="CO110" s="52">
        <f t="shared" ca="1" si="64"/>
        <v>0</v>
      </c>
      <c r="CP110" s="52">
        <f t="shared" ca="1" si="64"/>
        <v>0</v>
      </c>
      <c r="CQ110" s="52">
        <f t="shared" ca="1" si="64"/>
        <v>0</v>
      </c>
      <c r="CR110" s="52">
        <f t="shared" ca="1" si="64"/>
        <v>0</v>
      </c>
      <c r="CS110" s="52">
        <f t="shared" ca="1" si="64"/>
        <v>0</v>
      </c>
      <c r="CT110" s="52">
        <f t="shared" ca="1" si="64"/>
        <v>0</v>
      </c>
      <c r="CU110" s="52">
        <f t="shared" ca="1" si="64"/>
        <v>-300.00044746913852</v>
      </c>
      <c r="CV110" s="52">
        <f t="shared" si="64"/>
        <v>0</v>
      </c>
      <c r="CW110" s="52">
        <f t="shared" si="64"/>
        <v>0</v>
      </c>
      <c r="CX110" s="52">
        <f t="shared" si="64"/>
        <v>0</v>
      </c>
    </row>
    <row r="111" spans="1:102" x14ac:dyDescent="0.3">
      <c r="A111" s="296" t="s">
        <v>283</v>
      </c>
      <c r="B111" s="297">
        <f ca="1">SUM(C111:CX111)</f>
        <v>0</v>
      </c>
      <c r="C111" s="298">
        <f ca="1">SUM(C109:C110)</f>
        <v>47.58</v>
      </c>
      <c r="D111" s="298">
        <f t="shared" ref="D111:BO111" ca="1" si="65">SUM(D109:D110)</f>
        <v>23.387764278315402</v>
      </c>
      <c r="E111" s="298">
        <f t="shared" ca="1" si="65"/>
        <v>18.238441962191828</v>
      </c>
      <c r="F111" s="298">
        <f t="shared" ca="1" si="65"/>
        <v>16.595632960037449</v>
      </c>
      <c r="G111" s="298">
        <f t="shared" ca="1" si="65"/>
        <v>19.092783891231292</v>
      </c>
      <c r="H111" s="298">
        <f t="shared" ca="1" si="65"/>
        <v>38.415343408740085</v>
      </c>
      <c r="I111" s="298">
        <f t="shared" ca="1" si="65"/>
        <v>36.305713272848493</v>
      </c>
      <c r="J111" s="298">
        <f t="shared" ca="1" si="65"/>
        <v>37.937908766702535</v>
      </c>
      <c r="K111" s="298">
        <f t="shared" ca="1" si="65"/>
        <v>52.75448151394626</v>
      </c>
      <c r="L111" s="298">
        <f t="shared" ca="1" si="65"/>
        <v>18.071465275356502</v>
      </c>
      <c r="M111" s="298">
        <f t="shared" ca="1" si="65"/>
        <v>18.349748810018809</v>
      </c>
      <c r="N111" s="298">
        <f t="shared" ca="1" si="65"/>
        <v>53.538456098902714</v>
      </c>
      <c r="O111" s="298">
        <f t="shared" ca="1" si="65"/>
        <v>35.563173022835031</v>
      </c>
      <c r="P111" s="298">
        <f t="shared" ca="1" si="65"/>
        <v>36.117804801357408</v>
      </c>
      <c r="Q111" s="298">
        <f t="shared" ca="1" si="65"/>
        <v>42.843850594259209</v>
      </c>
      <c r="R111" s="298">
        <f t="shared" ca="1" si="65"/>
        <v>11.686214511950169</v>
      </c>
      <c r="S111" s="298">
        <f t="shared" ca="1" si="65"/>
        <v>11.840681314424984</v>
      </c>
      <c r="T111" s="298">
        <f t="shared" ca="1" si="65"/>
        <v>13.847003527176383</v>
      </c>
      <c r="U111" s="298">
        <f t="shared" ca="1" si="65"/>
        <v>19.371582719099024</v>
      </c>
      <c r="V111" s="298">
        <f t="shared" ca="1" si="65"/>
        <v>0</v>
      </c>
      <c r="W111" s="298">
        <f t="shared" ca="1" si="65"/>
        <v>0</v>
      </c>
      <c r="X111" s="298">
        <f t="shared" ca="1" si="65"/>
        <v>0</v>
      </c>
      <c r="Y111" s="298">
        <f t="shared" ca="1" si="65"/>
        <v>0</v>
      </c>
      <c r="Z111" s="298">
        <f t="shared" ca="1" si="65"/>
        <v>0</v>
      </c>
      <c r="AA111" s="298">
        <f t="shared" ca="1" si="65"/>
        <v>0</v>
      </c>
      <c r="AB111" s="298">
        <f t="shared" ca="1" si="65"/>
        <v>0</v>
      </c>
      <c r="AC111" s="298">
        <f t="shared" ca="1" si="65"/>
        <v>0</v>
      </c>
      <c r="AD111" s="298">
        <f t="shared" ca="1" si="65"/>
        <v>0</v>
      </c>
      <c r="AE111" s="298">
        <f t="shared" ca="1" si="65"/>
        <v>0</v>
      </c>
      <c r="AF111" s="298">
        <f t="shared" ca="1" si="65"/>
        <v>0</v>
      </c>
      <c r="AG111" s="298">
        <f t="shared" ca="1" si="65"/>
        <v>0</v>
      </c>
      <c r="AH111" s="298">
        <f t="shared" ca="1" si="65"/>
        <v>0</v>
      </c>
      <c r="AI111" s="298">
        <f t="shared" ca="1" si="65"/>
        <v>0</v>
      </c>
      <c r="AJ111" s="298">
        <f t="shared" ca="1" si="65"/>
        <v>0</v>
      </c>
      <c r="AK111" s="298">
        <f t="shared" ca="1" si="65"/>
        <v>0</v>
      </c>
      <c r="AL111" s="298">
        <f t="shared" ca="1" si="65"/>
        <v>0</v>
      </c>
      <c r="AM111" s="298">
        <f t="shared" ca="1" si="65"/>
        <v>0</v>
      </c>
      <c r="AN111" s="298">
        <f t="shared" ca="1" si="65"/>
        <v>0</v>
      </c>
      <c r="AO111" s="298">
        <f t="shared" ca="1" si="65"/>
        <v>0</v>
      </c>
      <c r="AP111" s="298">
        <f t="shared" ca="1" si="65"/>
        <v>0</v>
      </c>
      <c r="AQ111" s="298">
        <f t="shared" ca="1" si="65"/>
        <v>0</v>
      </c>
      <c r="AR111" s="298">
        <f t="shared" ca="1" si="65"/>
        <v>0</v>
      </c>
      <c r="AS111" s="298">
        <f t="shared" ca="1" si="65"/>
        <v>0</v>
      </c>
      <c r="AT111" s="298">
        <f t="shared" ca="1" si="65"/>
        <v>0</v>
      </c>
      <c r="AU111" s="298">
        <f t="shared" ca="1" si="65"/>
        <v>0</v>
      </c>
      <c r="AV111" s="298">
        <f t="shared" ca="1" si="65"/>
        <v>0</v>
      </c>
      <c r="AW111" s="298">
        <f t="shared" ca="1" si="65"/>
        <v>0</v>
      </c>
      <c r="AX111" s="298">
        <f t="shared" ca="1" si="65"/>
        <v>0</v>
      </c>
      <c r="AY111" s="298">
        <f t="shared" ca="1" si="65"/>
        <v>0</v>
      </c>
      <c r="AZ111" s="298">
        <f t="shared" ca="1" si="65"/>
        <v>0</v>
      </c>
      <c r="BA111" s="298">
        <f t="shared" ca="1" si="65"/>
        <v>0</v>
      </c>
      <c r="BB111" s="298">
        <f t="shared" ca="1" si="65"/>
        <v>0</v>
      </c>
      <c r="BC111" s="298">
        <f t="shared" ca="1" si="65"/>
        <v>0</v>
      </c>
      <c r="BD111" s="298">
        <f t="shared" ca="1" si="65"/>
        <v>0</v>
      </c>
      <c r="BE111" s="298">
        <f t="shared" ca="1" si="65"/>
        <v>0</v>
      </c>
      <c r="BF111" s="298">
        <f t="shared" ca="1" si="65"/>
        <v>0</v>
      </c>
      <c r="BG111" s="298">
        <f t="shared" ca="1" si="65"/>
        <v>0</v>
      </c>
      <c r="BH111" s="298">
        <f t="shared" ca="1" si="65"/>
        <v>0</v>
      </c>
      <c r="BI111" s="298">
        <f t="shared" ca="1" si="65"/>
        <v>0</v>
      </c>
      <c r="BJ111" s="298">
        <f t="shared" ca="1" si="65"/>
        <v>0</v>
      </c>
      <c r="BK111" s="298">
        <f t="shared" ca="1" si="65"/>
        <v>0</v>
      </c>
      <c r="BL111" s="298">
        <f t="shared" ca="1" si="65"/>
        <v>0</v>
      </c>
      <c r="BM111" s="298">
        <f t="shared" ca="1" si="65"/>
        <v>0</v>
      </c>
      <c r="BN111" s="298">
        <f t="shared" ca="1" si="65"/>
        <v>0</v>
      </c>
      <c r="BO111" s="298">
        <f t="shared" ca="1" si="65"/>
        <v>0</v>
      </c>
      <c r="BP111" s="298">
        <f t="shared" ref="BP111:CX111" ca="1" si="66">SUM(BP109:BP110)</f>
        <v>0</v>
      </c>
      <c r="BQ111" s="298">
        <f t="shared" ca="1" si="66"/>
        <v>0</v>
      </c>
      <c r="BR111" s="298">
        <f t="shared" ca="1" si="66"/>
        <v>0</v>
      </c>
      <c r="BS111" s="298">
        <f t="shared" ca="1" si="66"/>
        <v>0</v>
      </c>
      <c r="BT111" s="298">
        <f t="shared" ca="1" si="66"/>
        <v>0</v>
      </c>
      <c r="BU111" s="298">
        <f t="shared" ca="1" si="66"/>
        <v>0</v>
      </c>
      <c r="BV111" s="298">
        <f t="shared" ca="1" si="66"/>
        <v>0</v>
      </c>
      <c r="BW111" s="298">
        <f t="shared" ca="1" si="66"/>
        <v>0</v>
      </c>
      <c r="BX111" s="298">
        <f t="shared" ca="1" si="66"/>
        <v>0</v>
      </c>
      <c r="BY111" s="298">
        <f t="shared" ca="1" si="66"/>
        <v>0</v>
      </c>
      <c r="BZ111" s="298">
        <f t="shared" ca="1" si="66"/>
        <v>0</v>
      </c>
      <c r="CA111" s="298">
        <f t="shared" ca="1" si="66"/>
        <v>0</v>
      </c>
      <c r="CB111" s="298">
        <f t="shared" ca="1" si="66"/>
        <v>0</v>
      </c>
      <c r="CC111" s="298">
        <f t="shared" ca="1" si="66"/>
        <v>0</v>
      </c>
      <c r="CD111" s="298">
        <f t="shared" ca="1" si="66"/>
        <v>0</v>
      </c>
      <c r="CE111" s="298">
        <f t="shared" ca="1" si="66"/>
        <v>0</v>
      </c>
      <c r="CF111" s="298">
        <f t="shared" ca="1" si="66"/>
        <v>0</v>
      </c>
      <c r="CG111" s="298">
        <f t="shared" ca="1" si="66"/>
        <v>0</v>
      </c>
      <c r="CH111" s="298">
        <f t="shared" ca="1" si="66"/>
        <v>0</v>
      </c>
      <c r="CI111" s="298">
        <f t="shared" ca="1" si="66"/>
        <v>0</v>
      </c>
      <c r="CJ111" s="298">
        <f t="shared" ca="1" si="66"/>
        <v>0</v>
      </c>
      <c r="CK111" s="298">
        <f t="shared" ca="1" si="66"/>
        <v>0</v>
      </c>
      <c r="CL111" s="298">
        <f t="shared" ca="1" si="66"/>
        <v>0</v>
      </c>
      <c r="CM111" s="298">
        <f t="shared" ca="1" si="66"/>
        <v>0</v>
      </c>
      <c r="CN111" s="298">
        <f t="shared" ca="1" si="66"/>
        <v>0</v>
      </c>
      <c r="CO111" s="298">
        <f t="shared" ca="1" si="66"/>
        <v>0</v>
      </c>
      <c r="CP111" s="298">
        <f t="shared" ca="1" si="66"/>
        <v>0</v>
      </c>
      <c r="CQ111" s="298">
        <f t="shared" ca="1" si="66"/>
        <v>0</v>
      </c>
      <c r="CR111" s="298">
        <f t="shared" ca="1" si="66"/>
        <v>0</v>
      </c>
      <c r="CS111" s="298">
        <f t="shared" ca="1" si="66"/>
        <v>0</v>
      </c>
      <c r="CT111" s="298">
        <f t="shared" ca="1" si="66"/>
        <v>0</v>
      </c>
      <c r="CU111" s="298">
        <f t="shared" ca="1" si="66"/>
        <v>-551.5380507293936</v>
      </c>
      <c r="CV111" s="298">
        <f t="shared" si="66"/>
        <v>0</v>
      </c>
      <c r="CW111" s="298">
        <f t="shared" si="66"/>
        <v>0</v>
      </c>
      <c r="CX111" s="298">
        <f t="shared" si="66"/>
        <v>0</v>
      </c>
    </row>
    <row r="112" spans="1:102" x14ac:dyDescent="0.3">
      <c r="A112" s="169"/>
    </row>
    <row r="113" spans="1:102" x14ac:dyDescent="0.3">
      <c r="A113" s="299" t="s">
        <v>284</v>
      </c>
      <c r="B113" s="300"/>
      <c r="C113" s="301">
        <f ca="1">SUM($C$110:C110)/SUM($C$111:C111)</f>
        <v>0</v>
      </c>
      <c r="D113" s="301">
        <f ca="1">SUM($C$110:D110)/SUM($C$111:D111)</f>
        <v>0.29962563040373474</v>
      </c>
      <c r="E113" s="301">
        <f ca="1">SUM($C$110:E110)/SUM($C$111:E111)</f>
        <v>0.44281900034986982</v>
      </c>
      <c r="F113" s="301">
        <f ca="1">SUM($C$110:F110)/SUM($C$111:F111)</f>
        <v>0.53021607616982125</v>
      </c>
      <c r="G113" s="301">
        <f ca="1">SUM($C$110:G110)/SUM($C$111:G111)</f>
        <v>0.54999999999999993</v>
      </c>
      <c r="H113" s="301">
        <f ca="1">SUM($C$110:H110)/SUM($C$111:H111)</f>
        <v>0.54999999999999993</v>
      </c>
      <c r="I113" s="301">
        <f ca="1">SUM($C$110:I110)/SUM($C$111:I111)</f>
        <v>0.54999999999999993</v>
      </c>
      <c r="J113" s="301">
        <f ca="1">SUM($C$110:J110)/SUM($C$111:J111)</f>
        <v>0.55000000000000004</v>
      </c>
      <c r="K113" s="301">
        <f ca="1">SUM($C$110:K110)/SUM($C$111:K111)</f>
        <v>0.55000000000000004</v>
      </c>
      <c r="L113" s="301">
        <f ca="1">SUM($C$110:L110)/SUM($C$111:L111)</f>
        <v>0.55000000000000004</v>
      </c>
      <c r="M113" s="301">
        <f ca="1">SUM($C$110:M110)/SUM($C$111:M111)</f>
        <v>0.54999999999999993</v>
      </c>
      <c r="N113" s="301">
        <f ca="1">SUM($C$110:N110)/SUM($C$111:N111)</f>
        <v>0.54999999999999993</v>
      </c>
      <c r="O113" s="301">
        <f ca="1">SUM($C$110:O110)/SUM($C$111:O111)</f>
        <v>0.55000000000000004</v>
      </c>
      <c r="P113" s="301">
        <f ca="1">SUM($C$110:P110)/SUM($C$111:P111)</f>
        <v>0.55000000000000004</v>
      </c>
      <c r="Q113" s="301">
        <f ca="1">SUM($C$110:Q110)/SUM($C$111:Q111)</f>
        <v>0.55000000000000004</v>
      </c>
      <c r="R113" s="301">
        <f ca="1">SUM($C$110:R110)/SUM($C$111:R111)</f>
        <v>0.54999999999999982</v>
      </c>
      <c r="S113" s="301">
        <f ca="1">SUM($C$110:S110)/SUM($C$111:S111)</f>
        <v>0.54999999999999982</v>
      </c>
      <c r="T113" s="301">
        <f ca="1">SUM($C$110:T110)/SUM($C$111:T111)</f>
        <v>0.54999999999999982</v>
      </c>
      <c r="U113" s="301">
        <f ca="1">SUM($C$110:U110)/SUM($C$111:U111)</f>
        <v>0.5439342708493029</v>
      </c>
      <c r="V113" s="301">
        <f ca="1">SUM($C$110:V110)/SUM($C$111:V111)</f>
        <v>0.5439342708493029</v>
      </c>
      <c r="W113" s="301">
        <f ca="1">SUM($C$110:W110)/SUM($C$111:W111)</f>
        <v>0.5439342708493029</v>
      </c>
      <c r="X113" s="301">
        <f ca="1">SUM($C$110:X110)/SUM($C$111:X111)</f>
        <v>0.5439342708493029</v>
      </c>
      <c r="Y113" s="301">
        <f ca="1">SUM($C$110:Y110)/SUM($C$111:Y111)</f>
        <v>0.5439342708493029</v>
      </c>
      <c r="Z113" s="301">
        <f ca="1">SUM($C$110:Z110)/SUM($C$111:Z111)</f>
        <v>0.5439342708493029</v>
      </c>
      <c r="AA113" s="301">
        <f ca="1">SUM($C$110:AA110)/SUM($C$111:AA111)</f>
        <v>0.5439342708493029</v>
      </c>
      <c r="AB113" s="301">
        <f ca="1">SUM($C$110:AB110)/SUM($C$111:AB111)</f>
        <v>0.5439342708493029</v>
      </c>
      <c r="AC113" s="301">
        <f ca="1">SUM($C$110:AC110)/SUM($C$111:AC111)</f>
        <v>0.5439342708493029</v>
      </c>
      <c r="AD113" s="301">
        <f ca="1">SUM($C$110:AD110)/SUM($C$111:AD111)</f>
        <v>0.5439342708493029</v>
      </c>
      <c r="AE113" s="301">
        <f ca="1">SUM($C$110:AE110)/SUM($C$111:AE111)</f>
        <v>0.5439342708493029</v>
      </c>
      <c r="AF113" s="301">
        <f ca="1">SUM($C$110:AF110)/SUM($C$111:AF111)</f>
        <v>0.5439342708493029</v>
      </c>
      <c r="AG113" s="301">
        <f ca="1">SUM($C$110:AG110)/SUM($C$111:AG111)</f>
        <v>0.5439342708493029</v>
      </c>
      <c r="AH113" s="301">
        <f ca="1">SUM($C$110:AH110)/SUM($C$111:AH111)</f>
        <v>0.5439342708493029</v>
      </c>
      <c r="AI113" s="301">
        <f ca="1">SUM($C$110:AI110)/SUM($C$111:AI111)</f>
        <v>0.5439342708493029</v>
      </c>
      <c r="AJ113" s="301">
        <f ca="1">SUM($C$110:AJ110)/SUM($C$111:AJ111)</f>
        <v>0.5439342708493029</v>
      </c>
      <c r="AK113" s="301">
        <f ca="1">SUM($C$110:AK110)/SUM($C$111:AK111)</f>
        <v>0.5439342708493029</v>
      </c>
      <c r="AL113" s="301">
        <f ca="1">SUM($C$110:AL110)/SUM($C$111:AL111)</f>
        <v>0.5439342708493029</v>
      </c>
      <c r="AM113" s="301">
        <f ca="1">SUM($C$110:AM110)/SUM($C$111:AM111)</f>
        <v>0.5439342708493029</v>
      </c>
      <c r="AN113" s="301">
        <f ca="1">SUM($C$110:AN110)/SUM($C$111:AN111)</f>
        <v>0.5439342708493029</v>
      </c>
      <c r="AO113" s="301">
        <f ca="1">SUM($C$110:AO110)/SUM($C$111:AO111)</f>
        <v>0.5439342708493029</v>
      </c>
      <c r="AP113" s="301">
        <f ca="1">SUM($C$110:AP110)/SUM($C$111:AP111)</f>
        <v>0.5439342708493029</v>
      </c>
      <c r="AQ113" s="301">
        <f ca="1">SUM($C$110:AQ110)/SUM($C$111:AQ111)</f>
        <v>0.5439342708493029</v>
      </c>
      <c r="AR113" s="301">
        <f ca="1">SUM($C$110:AR110)/SUM($C$111:AR111)</f>
        <v>0.5439342708493029</v>
      </c>
      <c r="AS113" s="301">
        <f ca="1">SUM($C$110:AS110)/SUM($C$111:AS111)</f>
        <v>0.5439342708493029</v>
      </c>
      <c r="AT113" s="301">
        <f ca="1">SUM($C$110:AT110)/SUM($C$111:AT111)</f>
        <v>0.5439342708493029</v>
      </c>
      <c r="AU113" s="301">
        <f ca="1">SUM($C$110:AU110)/SUM($C$111:AU111)</f>
        <v>0.5439342708493029</v>
      </c>
      <c r="AV113" s="301">
        <f ca="1">SUM($C$110:AV110)/SUM($C$111:AV111)</f>
        <v>0.5439342708493029</v>
      </c>
      <c r="AW113" s="301">
        <f ca="1">SUM($C$110:AW110)/SUM($C$111:AW111)</f>
        <v>0.5439342708493029</v>
      </c>
      <c r="AX113" s="301">
        <f ca="1">SUM($C$110:AX110)/SUM($C$111:AX111)</f>
        <v>0.5439342708493029</v>
      </c>
      <c r="AY113" s="301">
        <f ca="1">SUM($C$110:AY110)/SUM($C$111:AY111)</f>
        <v>0.5439342708493029</v>
      </c>
      <c r="AZ113" s="301">
        <f ca="1">SUM($C$110:AZ110)/SUM($C$111:AZ111)</f>
        <v>0.5439342708493029</v>
      </c>
      <c r="BA113" s="301">
        <f ca="1">SUM($C$110:BA110)/SUM($C$111:BA111)</f>
        <v>0.5439342708493029</v>
      </c>
      <c r="BB113" s="301">
        <f ca="1">SUM($C$110:BB110)/SUM($C$111:BB111)</f>
        <v>0.5439342708493029</v>
      </c>
      <c r="BC113" s="301">
        <f ca="1">SUM($C$110:BC110)/SUM($C$111:BC111)</f>
        <v>0.5439342708493029</v>
      </c>
      <c r="BD113" s="301">
        <f ca="1">SUM($C$110:BD110)/SUM($C$111:BD111)</f>
        <v>0.5439342708493029</v>
      </c>
      <c r="BE113" s="301">
        <f ca="1">SUM($C$110:BE110)/SUM($C$111:BE111)</f>
        <v>0.5439342708493029</v>
      </c>
      <c r="BF113" s="301">
        <f ca="1">SUM($C$110:BF110)/SUM($C$111:BF111)</f>
        <v>0.5439342708493029</v>
      </c>
      <c r="BG113" s="301">
        <f ca="1">SUM($C$110:BG110)/SUM($C$111:BG111)</f>
        <v>0.5439342708493029</v>
      </c>
      <c r="BH113" s="301">
        <f ca="1">SUM($C$110:BH110)/SUM($C$111:BH111)</f>
        <v>0.5439342708493029</v>
      </c>
      <c r="BI113" s="301">
        <f ca="1">SUM($C$110:BI110)/SUM($C$111:BI111)</f>
        <v>0.5439342708493029</v>
      </c>
      <c r="BJ113" s="301">
        <f ca="1">SUM($C$110:BJ110)/SUM($C$111:BJ111)</f>
        <v>0.5439342708493029</v>
      </c>
      <c r="BK113" s="301">
        <f ca="1">SUM($C$110:BK110)/SUM($C$111:BK111)</f>
        <v>0.5439342708493029</v>
      </c>
      <c r="BL113" s="301">
        <f ca="1">SUM($C$110:BL110)/SUM($C$111:BL111)</f>
        <v>0.5439342708493029</v>
      </c>
      <c r="BM113" s="301">
        <f ca="1">SUM($C$110:BM110)/SUM($C$111:BM111)</f>
        <v>0.5439342708493029</v>
      </c>
      <c r="BN113" s="301">
        <f ca="1">SUM($C$110:BN110)/SUM($C$111:BN111)</f>
        <v>0.5439342708493029</v>
      </c>
      <c r="BO113" s="301">
        <f ca="1">SUM($C$110:BO110)/SUM($C$111:BO111)</f>
        <v>0.5439342708493029</v>
      </c>
      <c r="BP113" s="301">
        <f ca="1">SUM($C$110:BP110)/SUM($C$111:BP111)</f>
        <v>0.5439342708493029</v>
      </c>
      <c r="BQ113" s="301">
        <f ca="1">SUM($C$110:BQ110)/SUM($C$111:BQ111)</f>
        <v>0.5439342708493029</v>
      </c>
      <c r="BR113" s="301">
        <f ca="1">SUM($C$110:BR110)/SUM($C$111:BR111)</f>
        <v>0.5439342708493029</v>
      </c>
      <c r="BS113" s="301">
        <f ca="1">SUM($C$110:BS110)/SUM($C$111:BS111)</f>
        <v>0.5439342708493029</v>
      </c>
      <c r="BT113" s="301">
        <f ca="1">SUM($C$110:BT110)/SUM($C$111:BT111)</f>
        <v>0.5439342708493029</v>
      </c>
      <c r="BU113" s="301">
        <f ca="1">SUM($C$110:BU110)/SUM($C$111:BU111)</f>
        <v>0.5439342708493029</v>
      </c>
      <c r="BV113" s="301">
        <f ca="1">SUM($C$110:BV110)/SUM($C$111:BV111)</f>
        <v>0.5439342708493029</v>
      </c>
      <c r="BW113" s="301">
        <f ca="1">SUM($C$110:BW110)/SUM($C$111:BW111)</f>
        <v>0.5439342708493029</v>
      </c>
      <c r="BX113" s="301">
        <f ca="1">SUM($C$110:BX110)/SUM($C$111:BX111)</f>
        <v>0.5439342708493029</v>
      </c>
      <c r="BY113" s="301">
        <f ca="1">SUM($C$110:BY110)/SUM($C$111:BY111)</f>
        <v>0.5439342708493029</v>
      </c>
      <c r="BZ113" s="301">
        <f ca="1">SUM($C$110:BZ110)/SUM($C$111:BZ111)</f>
        <v>0.5439342708493029</v>
      </c>
      <c r="CA113" s="301">
        <f ca="1">SUM($C$110:CA110)/SUM($C$111:CA111)</f>
        <v>0.5439342708493029</v>
      </c>
      <c r="CB113" s="301">
        <f ca="1">SUM($C$110:CB110)/SUM($C$111:CB111)</f>
        <v>0.5439342708493029</v>
      </c>
      <c r="CC113" s="301">
        <f ca="1">SUM($C$110:CC110)/SUM($C$111:CC111)</f>
        <v>0.5439342708493029</v>
      </c>
      <c r="CD113" s="301">
        <f ca="1">SUM($C$110:CD110)/SUM($C$111:CD111)</f>
        <v>0.5439342708493029</v>
      </c>
      <c r="CE113" s="301">
        <f ca="1">SUM($C$110:CE110)/SUM($C$111:CE111)</f>
        <v>0.5439342708493029</v>
      </c>
      <c r="CF113" s="301">
        <f ca="1">SUM($C$110:CF110)/SUM($C$111:CF111)</f>
        <v>0.5439342708493029</v>
      </c>
      <c r="CG113" s="301">
        <f ca="1">SUM($C$110:CG110)/SUM($C$111:CG111)</f>
        <v>0.5439342708493029</v>
      </c>
      <c r="CH113" s="301">
        <f ca="1">SUM($C$110:CH110)/SUM($C$111:CH111)</f>
        <v>0.5439342708493029</v>
      </c>
      <c r="CI113" s="301">
        <f ca="1">SUM($C$110:CI110)/SUM($C$111:CI111)</f>
        <v>0.5439342708493029</v>
      </c>
      <c r="CJ113" s="301">
        <f ca="1">SUM($C$110:CJ110)/SUM($C$111:CJ111)</f>
        <v>0.5439342708493029</v>
      </c>
      <c r="CK113" s="301">
        <f ca="1">SUM($C$110:CK110)/SUM($C$111:CK111)</f>
        <v>0.5439342708493029</v>
      </c>
      <c r="CL113" s="301">
        <f ca="1">SUM($C$110:CL110)/SUM($C$111:CL111)</f>
        <v>0.5439342708493029</v>
      </c>
      <c r="CM113" s="301">
        <f ca="1">SUM($C$110:CM110)/SUM($C$111:CM111)</f>
        <v>0.5439342708493029</v>
      </c>
      <c r="CN113" s="301">
        <f ca="1">SUM($C$110:CN110)/SUM($C$111:CN111)</f>
        <v>0.5439342708493029</v>
      </c>
      <c r="CO113" s="301">
        <f ca="1">SUM($C$110:CO110)/SUM($C$111:CO111)</f>
        <v>0.5439342708493029</v>
      </c>
      <c r="CP113" s="301">
        <f ca="1">SUM($C$110:CP110)/SUM($C$111:CP111)</f>
        <v>0.5439342708493029</v>
      </c>
      <c r="CQ113" s="301">
        <f ca="1">SUM($C$110:CQ110)/SUM($C$111:CQ111)</f>
        <v>0.5439342708493029</v>
      </c>
      <c r="CR113" s="301">
        <f ca="1">SUM($C$110:CR110)/SUM($C$111:CR111)</f>
        <v>0.5439342708493029</v>
      </c>
      <c r="CS113" s="301">
        <f ca="1">SUM($C$110:CS110)/SUM($C$111:CS111)</f>
        <v>0.5439342708493029</v>
      </c>
      <c r="CT113" s="301">
        <f ca="1">SUM($C$110:CT110)/SUM($C$111:CT111)</f>
        <v>0.5439342708493029</v>
      </c>
      <c r="CU113" s="301" t="e">
        <f ca="1">SUM($C$110:CU110)/SUM($C$111:CU111)</f>
        <v>#DIV/0!</v>
      </c>
      <c r="CV113" s="301" t="e">
        <f ca="1">SUM($C$110:CV110)/SUM($C$111:CV111)</f>
        <v>#DIV/0!</v>
      </c>
      <c r="CW113" s="301" t="e">
        <f ca="1">SUM($C$110:CW110)/SUM($C$111:CW111)</f>
        <v>#DIV/0!</v>
      </c>
      <c r="CX113" s="301" t="e">
        <f ca="1">SUM($C$110:CX110)/SUM($C$111:CX111)</f>
        <v>#DIV/0!</v>
      </c>
    </row>
    <row r="115" spans="1:102" x14ac:dyDescent="0.3">
      <c r="D115" s="77">
        <f>D7</f>
        <v>45565</v>
      </c>
      <c r="E115" s="77">
        <f t="shared" ref="E115:U115" si="67">E7</f>
        <v>45657</v>
      </c>
      <c r="F115" s="77">
        <f t="shared" si="67"/>
        <v>45747</v>
      </c>
      <c r="G115" s="77">
        <f t="shared" si="67"/>
        <v>45838</v>
      </c>
      <c r="H115" s="77">
        <f t="shared" si="67"/>
        <v>45930</v>
      </c>
      <c r="I115" s="77">
        <f t="shared" si="67"/>
        <v>46022</v>
      </c>
      <c r="J115" s="77">
        <f t="shared" si="67"/>
        <v>46112</v>
      </c>
      <c r="K115" s="77">
        <f t="shared" si="67"/>
        <v>46203</v>
      </c>
      <c r="L115" s="77">
        <f t="shared" si="67"/>
        <v>46295</v>
      </c>
      <c r="M115" s="77">
        <f t="shared" si="67"/>
        <v>46387</v>
      </c>
      <c r="N115" s="77">
        <f t="shared" si="67"/>
        <v>46477</v>
      </c>
      <c r="O115" s="77">
        <f t="shared" si="67"/>
        <v>46568</v>
      </c>
      <c r="P115" s="77">
        <f t="shared" si="67"/>
        <v>46660</v>
      </c>
      <c r="Q115" s="77">
        <f t="shared" si="67"/>
        <v>46752</v>
      </c>
      <c r="R115" s="77">
        <f t="shared" si="67"/>
        <v>46843</v>
      </c>
      <c r="S115" s="77">
        <f t="shared" si="67"/>
        <v>46934</v>
      </c>
      <c r="T115" s="77">
        <f t="shared" si="67"/>
        <v>47026</v>
      </c>
      <c r="U115" s="77">
        <f t="shared" si="67"/>
        <v>47118</v>
      </c>
      <c r="BB115" s="52"/>
      <c r="BC115" s="52"/>
      <c r="BD115" s="52"/>
      <c r="BE115" s="52"/>
    </row>
    <row r="116" spans="1:102" x14ac:dyDescent="0.3">
      <c r="C116" s="33">
        <f t="shared" ref="C116" si="68">C17+C18+C22</f>
        <v>0</v>
      </c>
      <c r="D116" s="52">
        <f>D17</f>
        <v>-10.897393930855596</v>
      </c>
      <c r="E116" s="52">
        <f t="shared" ref="E116:U116" si="69">E17</f>
        <v>-10.897393930855596</v>
      </c>
      <c r="F116" s="52">
        <f t="shared" si="69"/>
        <v>-10.897393930855596</v>
      </c>
      <c r="G116" s="52">
        <f t="shared" si="69"/>
        <v>-10.897393930855596</v>
      </c>
      <c r="H116" s="52">
        <f t="shared" si="69"/>
        <v>-21.107677831464834</v>
      </c>
      <c r="I116" s="52">
        <f t="shared" si="69"/>
        <v>-21.107677831464834</v>
      </c>
      <c r="J116" s="52">
        <f t="shared" si="69"/>
        <v>-21.107677831464834</v>
      </c>
      <c r="K116" s="52">
        <f t="shared" si="69"/>
        <v>-29.90640844068275</v>
      </c>
      <c r="L116" s="52">
        <f t="shared" si="69"/>
        <v>-8.7987306092179178</v>
      </c>
      <c r="M116" s="52">
        <f t="shared" si="69"/>
        <v>-8.7987306092179178</v>
      </c>
      <c r="N116" s="52">
        <f t="shared" si="69"/>
        <v>-27.674764488441557</v>
      </c>
      <c r="O116" s="52">
        <f t="shared" si="69"/>
        <v>-18.876033879223638</v>
      </c>
      <c r="P116" s="52">
        <f t="shared" si="69"/>
        <v>-18.876033879223638</v>
      </c>
      <c r="Q116" s="52">
        <f t="shared" si="69"/>
        <v>-22.022296136419317</v>
      </c>
      <c r="R116" s="52">
        <f t="shared" si="69"/>
        <v>-3.14626225719568</v>
      </c>
      <c r="S116" s="52">
        <f t="shared" si="69"/>
        <v>-3.14626225719568</v>
      </c>
      <c r="T116" s="52">
        <f t="shared" si="69"/>
        <v>-3.14626225719568</v>
      </c>
      <c r="U116" s="52">
        <f t="shared" si="69"/>
        <v>-3.14626225719568</v>
      </c>
      <c r="V116" s="33">
        <f>3.15*5</f>
        <v>15.75</v>
      </c>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row>
    <row r="117" spans="1:102" x14ac:dyDescent="0.3">
      <c r="C117" s="52"/>
      <c r="D117" s="52">
        <f>D18</f>
        <v>-2.9549143964088445</v>
      </c>
      <c r="E117" s="52">
        <f t="shared" ref="E117:U117" si="70">E18</f>
        <v>-2.5327837683504382</v>
      </c>
      <c r="F117" s="52">
        <f t="shared" si="70"/>
        <v>-2.5327837683504382</v>
      </c>
      <c r="G117" s="52">
        <f t="shared" si="70"/>
        <v>-2.5327837683504382</v>
      </c>
      <c r="H117" s="52">
        <f t="shared" si="70"/>
        <v>-5.7235134835635177</v>
      </c>
      <c r="I117" s="52">
        <f t="shared" si="70"/>
        <v>-4.9058687001973009</v>
      </c>
      <c r="J117" s="52">
        <f t="shared" si="70"/>
        <v>-4.9058687001973009</v>
      </c>
      <c r="K117" s="52">
        <f t="shared" si="70"/>
        <v>-7.2917139685494439</v>
      </c>
      <c r="L117" s="52">
        <f t="shared" si="70"/>
        <v>-2.0450102300161226</v>
      </c>
      <c r="M117" s="52">
        <f t="shared" si="70"/>
        <v>-2.0450102300161226</v>
      </c>
      <c r="N117" s="52">
        <f t="shared" si="70"/>
        <v>-7.1633958376877125</v>
      </c>
      <c r="O117" s="52">
        <f t="shared" si="70"/>
        <v>-4.387187663718505</v>
      </c>
      <c r="P117" s="52">
        <f t="shared" si="70"/>
        <v>-4.387187663718505</v>
      </c>
      <c r="Q117" s="52">
        <f t="shared" si="70"/>
        <v>-5.1489143154606172</v>
      </c>
      <c r="R117" s="52">
        <f t="shared" si="70"/>
        <v>-0.76172665174211174</v>
      </c>
      <c r="S117" s="52">
        <f t="shared" si="70"/>
        <v>-0.76172665174211174</v>
      </c>
      <c r="T117" s="52">
        <f t="shared" si="70"/>
        <v>-0.76172665174211174</v>
      </c>
      <c r="U117" s="52">
        <f t="shared" si="70"/>
        <v>-0.76172665174211174</v>
      </c>
      <c r="V117" s="33">
        <f>0.76*5</f>
        <v>3.8</v>
      </c>
    </row>
    <row r="118" spans="1:102" x14ac:dyDescent="0.3">
      <c r="D118" s="52">
        <f>D22</f>
        <v>-1.1964191441981464</v>
      </c>
      <c r="E118" s="52">
        <f t="shared" ref="E118:U118" si="71">E22</f>
        <v>-1.025502123598411</v>
      </c>
      <c r="F118" s="52">
        <f t="shared" si="71"/>
        <v>-1.025502123598411</v>
      </c>
      <c r="G118" s="52">
        <f t="shared" si="71"/>
        <v>-1.025502123598411</v>
      </c>
      <c r="H118" s="52">
        <f t="shared" si="71"/>
        <v>-2.3174008398124029</v>
      </c>
      <c r="I118" s="52">
        <f t="shared" si="71"/>
        <v>-1.9863435769820597</v>
      </c>
      <c r="J118" s="52">
        <f t="shared" si="71"/>
        <v>-1.9863435769820597</v>
      </c>
      <c r="K118" s="52">
        <f t="shared" si="71"/>
        <v>-2.9523515796572481</v>
      </c>
      <c r="L118" s="52">
        <f t="shared" si="71"/>
        <v>-0.82800685943587571</v>
      </c>
      <c r="M118" s="52">
        <f t="shared" si="71"/>
        <v>-0.82800685943587571</v>
      </c>
      <c r="N118" s="52">
        <f t="shared" si="71"/>
        <v>-2.9003966842811661</v>
      </c>
      <c r="O118" s="52">
        <f t="shared" si="71"/>
        <v>-1.7763341355816773</v>
      </c>
      <c r="P118" s="52">
        <f t="shared" si="71"/>
        <v>-1.7763341355816773</v>
      </c>
      <c r="Q118" s="52">
        <f t="shared" si="71"/>
        <v>-2.0847506331620433</v>
      </c>
      <c r="R118" s="52">
        <f t="shared" si="71"/>
        <v>-0.30841649758036599</v>
      </c>
      <c r="S118" s="52">
        <f t="shared" si="71"/>
        <v>-0.30841649758036599</v>
      </c>
      <c r="T118" s="52">
        <f t="shared" si="71"/>
        <v>-0.30841649758036599</v>
      </c>
      <c r="U118" s="52">
        <f t="shared" si="71"/>
        <v>-0.30841649758036599</v>
      </c>
      <c r="V118" s="1">
        <f>0.31*5</f>
        <v>1.55</v>
      </c>
    </row>
    <row r="119" spans="1:102" x14ac:dyDescent="0.3">
      <c r="D119" s="272">
        <f>SUM(D116:D118)</f>
        <v>-15.048727471462588</v>
      </c>
      <c r="E119" s="272">
        <f t="shared" ref="E119:U119" si="72">SUM(E116:E118)</f>
        <v>-14.455679822804445</v>
      </c>
      <c r="F119" s="272">
        <f t="shared" si="72"/>
        <v>-14.455679822804445</v>
      </c>
      <c r="G119" s="272">
        <f t="shared" si="72"/>
        <v>-14.455679822804445</v>
      </c>
      <c r="H119" s="272">
        <f t="shared" si="72"/>
        <v>-29.148592154840756</v>
      </c>
      <c r="I119" s="272">
        <f t="shared" si="72"/>
        <v>-27.999890108644195</v>
      </c>
      <c r="J119" s="272">
        <f t="shared" si="72"/>
        <v>-27.999890108644195</v>
      </c>
      <c r="K119" s="272">
        <f t="shared" si="72"/>
        <v>-40.150473988889438</v>
      </c>
      <c r="L119" s="272">
        <f t="shared" si="72"/>
        <v>-11.671747698669916</v>
      </c>
      <c r="M119" s="272">
        <f t="shared" si="72"/>
        <v>-11.671747698669916</v>
      </c>
      <c r="N119" s="272">
        <f t="shared" si="72"/>
        <v>-37.738557010410439</v>
      </c>
      <c r="O119" s="272">
        <f t="shared" si="72"/>
        <v>-25.039555678523818</v>
      </c>
      <c r="P119" s="272">
        <f t="shared" si="72"/>
        <v>-25.039555678523818</v>
      </c>
      <c r="Q119" s="272">
        <f t="shared" si="72"/>
        <v>-29.255961085041982</v>
      </c>
      <c r="R119" s="272">
        <f t="shared" si="72"/>
        <v>-4.2164054065181578</v>
      </c>
      <c r="S119" s="272">
        <f t="shared" si="72"/>
        <v>-4.2164054065181578</v>
      </c>
      <c r="T119" s="272">
        <f t="shared" si="72"/>
        <v>-4.2164054065181578</v>
      </c>
      <c r="U119" s="272">
        <f t="shared" si="72"/>
        <v>-4.2164054065181578</v>
      </c>
    </row>
    <row r="120" spans="1:102" x14ac:dyDescent="0.3">
      <c r="Q120" s="52">
        <f>25.04+Q119</f>
        <v>-4.2159610850419824</v>
      </c>
    </row>
    <row r="122" spans="1:102" x14ac:dyDescent="0.3">
      <c r="R122" s="33"/>
    </row>
  </sheetData>
  <mergeCells count="2">
    <mergeCell ref="A4:B4"/>
    <mergeCell ref="A5:B5"/>
  </mergeCells>
  <conditionalFormatting sqref="C58:CX58">
    <cfRule type="cellIs" dxfId="0" priority="1" operator="lessThan">
      <formula>0</formula>
    </cfRule>
  </conditionalFormatting>
  <dataValidations disablePrompts="1" count="1">
    <dataValidation type="list" allowBlank="1" showInputMessage="1" showErrorMessage="1" sqref="A117" xr:uid="{52DCAB57-65A0-4413-BF99-CADEE4A4262D}">
      <formula1>"0,1"</formula1>
    </dataValidation>
  </dataValidations>
  <pageMargins left="0.7" right="0.7" top="0.75" bottom="0.75" header="0.3" footer="0.3"/>
  <pageSetup paperSize="9" orientation="portrait" r:id="rId1"/>
  <ignoredErrors>
    <ignoredError sqref="D92:CX92"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7" tint="0.79998168889431442"/>
  </sheetPr>
  <dimension ref="A1:EB96"/>
  <sheetViews>
    <sheetView showGridLines="0" zoomScale="90" zoomScaleNormal="90" workbookViewId="0">
      <pane xSplit="3" ySplit="17" topLeftCell="L88" activePane="bottomRight" state="frozen"/>
      <selection pane="topRight" activeCell="D1" sqref="D1"/>
      <selection pane="bottomLeft" activeCell="A12" sqref="A12"/>
      <selection pane="bottomRight" activeCell="D103" sqref="D103"/>
    </sheetView>
  </sheetViews>
  <sheetFormatPr defaultColWidth="8.5546875" defaultRowHeight="13.8" x14ac:dyDescent="0.3"/>
  <cols>
    <col min="1" max="1" width="41.44140625" style="70" customWidth="1"/>
    <col min="2" max="2" width="10" style="70" bestFit="1" customWidth="1"/>
    <col min="3" max="3" width="10" style="70" customWidth="1"/>
    <col min="4" max="4" width="14.88671875" style="70" customWidth="1"/>
    <col min="5" max="132" width="12.5546875" style="70" customWidth="1"/>
    <col min="133" max="16384" width="8.5546875" style="70"/>
  </cols>
  <sheetData>
    <row r="1" spans="1:132" ht="12.75" customHeight="1" x14ac:dyDescent="0.3">
      <c r="A1" s="304" t="s">
        <v>53</v>
      </c>
      <c r="B1" s="304"/>
      <c r="C1" s="305"/>
    </row>
    <row r="2" spans="1:132" ht="12.75" customHeight="1" x14ac:dyDescent="0.3">
      <c r="A2" s="306"/>
      <c r="B2" s="307"/>
      <c r="C2" s="308"/>
    </row>
    <row r="3" spans="1:132" ht="12.75" customHeight="1" x14ac:dyDescent="0.3">
      <c r="A3" s="306" t="s">
        <v>385</v>
      </c>
      <c r="B3" s="307"/>
      <c r="C3" s="309">
        <f>'Assumption Sheet'!B11</f>
        <v>45474</v>
      </c>
    </row>
    <row r="4" spans="1:132" ht="12.75" customHeight="1" x14ac:dyDescent="0.3">
      <c r="A4" s="306" t="s">
        <v>386</v>
      </c>
      <c r="B4" s="307"/>
      <c r="C4" s="309">
        <f>'Assumption Sheet'!B16</f>
        <v>47299</v>
      </c>
    </row>
    <row r="5" spans="1:132" ht="12.75" customHeight="1" x14ac:dyDescent="0.3">
      <c r="A5" s="306" t="s">
        <v>61</v>
      </c>
      <c r="B5" s="307" t="s">
        <v>55</v>
      </c>
      <c r="C5" s="570">
        <f>'Assumption Sheet'!$G$42</f>
        <v>9.5500000000000002E-2</v>
      </c>
    </row>
    <row r="6" spans="1:132" ht="12.75" customHeight="1" x14ac:dyDescent="0.3">
      <c r="A6" s="306" t="s">
        <v>130</v>
      </c>
      <c r="B6" s="307" t="s">
        <v>55</v>
      </c>
      <c r="C6" s="310">
        <f>C5/12</f>
        <v>7.9583333333333329E-3</v>
      </c>
    </row>
    <row r="7" spans="1:132" ht="12.75" customHeight="1" x14ac:dyDescent="0.3">
      <c r="A7" s="306" t="s">
        <v>57</v>
      </c>
      <c r="B7" s="307" t="s">
        <v>55</v>
      </c>
      <c r="C7" s="570">
        <f>'Assumption Sheet'!G46*(1+'Assumption Sheet'!F60)</f>
        <v>7.0799999999999995E-3</v>
      </c>
    </row>
    <row r="8" spans="1:132" ht="12.75" customHeight="1" x14ac:dyDescent="0.3">
      <c r="A8" s="306" t="s">
        <v>62</v>
      </c>
      <c r="B8" s="307" t="s">
        <v>59</v>
      </c>
      <c r="C8" s="571">
        <v>60</v>
      </c>
      <c r="D8" s="311"/>
    </row>
    <row r="9" spans="1:132" ht="12.75" customHeight="1" x14ac:dyDescent="0.3">
      <c r="A9" s="306" t="s">
        <v>58</v>
      </c>
      <c r="B9" s="307" t="s">
        <v>59</v>
      </c>
      <c r="C9" s="572">
        <f>'Assumption Sheet'!G48</f>
        <v>3</v>
      </c>
      <c r="E9" s="70">
        <f>300*0.6</f>
        <v>180</v>
      </c>
    </row>
    <row r="10" spans="1:132" ht="12.75" customHeight="1" x14ac:dyDescent="0.3">
      <c r="A10" s="70" t="s">
        <v>228</v>
      </c>
      <c r="B10" s="307" t="s">
        <v>55</v>
      </c>
      <c r="C10" s="573">
        <v>1</v>
      </c>
    </row>
    <row r="11" spans="1:132" ht="12.6" customHeight="1" x14ac:dyDescent="0.3">
      <c r="A11" s="312" t="s">
        <v>515</v>
      </c>
      <c r="B11" s="307"/>
      <c r="C11" s="314">
        <f ca="1">'Monthly Cashflow'!B110</f>
        <v>300.00044746913852</v>
      </c>
      <c r="D11" s="313"/>
      <c r="E11" s="313"/>
      <c r="F11" s="313"/>
    </row>
    <row r="12" spans="1:132" ht="12.6" customHeight="1" x14ac:dyDescent="0.3">
      <c r="A12" s="312"/>
      <c r="B12" s="307"/>
      <c r="C12" s="314"/>
      <c r="D12" s="313"/>
      <c r="E12" s="313"/>
      <c r="F12" s="313"/>
    </row>
    <row r="13" spans="1:132" ht="12.6" customHeight="1" x14ac:dyDescent="0.3">
      <c r="A13" s="312"/>
      <c r="B13" s="307"/>
      <c r="C13" s="314"/>
      <c r="D13" s="313"/>
      <c r="E13" s="313"/>
      <c r="F13" s="313"/>
    </row>
    <row r="14" spans="1:132" ht="12.75" customHeight="1" x14ac:dyDescent="0.3">
      <c r="A14" s="315" t="s">
        <v>160</v>
      </c>
      <c r="B14" s="315"/>
      <c r="C14" s="315"/>
      <c r="D14" s="316">
        <f>EOMONTH(D16,MOD(15-MONTH(D16),12))</f>
        <v>45747</v>
      </c>
      <c r="E14" s="316">
        <f t="shared" ref="E14:BP14" si="0">EOMONTH(E16,MOD(15-MONTH(E16),12))</f>
        <v>45747</v>
      </c>
      <c r="F14" s="316">
        <f t="shared" si="0"/>
        <v>45747</v>
      </c>
      <c r="G14" s="316">
        <f t="shared" si="0"/>
        <v>45747</v>
      </c>
      <c r="H14" s="316">
        <f t="shared" si="0"/>
        <v>45747</v>
      </c>
      <c r="I14" s="316">
        <f t="shared" si="0"/>
        <v>45747</v>
      </c>
      <c r="J14" s="316">
        <f t="shared" si="0"/>
        <v>45747</v>
      </c>
      <c r="K14" s="316">
        <f t="shared" si="0"/>
        <v>45747</v>
      </c>
      <c r="L14" s="316">
        <f t="shared" si="0"/>
        <v>45747</v>
      </c>
      <c r="M14" s="316">
        <f t="shared" si="0"/>
        <v>46112</v>
      </c>
      <c r="N14" s="316">
        <f t="shared" si="0"/>
        <v>46112</v>
      </c>
      <c r="O14" s="316">
        <f t="shared" si="0"/>
        <v>46112</v>
      </c>
      <c r="P14" s="316">
        <f t="shared" si="0"/>
        <v>46112</v>
      </c>
      <c r="Q14" s="316">
        <f t="shared" si="0"/>
        <v>46112</v>
      </c>
      <c r="R14" s="316">
        <f t="shared" si="0"/>
        <v>46112</v>
      </c>
      <c r="S14" s="316">
        <f t="shared" si="0"/>
        <v>46112</v>
      </c>
      <c r="T14" s="316">
        <f t="shared" si="0"/>
        <v>46112</v>
      </c>
      <c r="U14" s="316">
        <f t="shared" si="0"/>
        <v>46112</v>
      </c>
      <c r="V14" s="316">
        <f t="shared" si="0"/>
        <v>46112</v>
      </c>
      <c r="W14" s="316">
        <f t="shared" si="0"/>
        <v>46112</v>
      </c>
      <c r="X14" s="316">
        <f t="shared" si="0"/>
        <v>46112</v>
      </c>
      <c r="Y14" s="316">
        <f t="shared" si="0"/>
        <v>46477</v>
      </c>
      <c r="Z14" s="316">
        <f t="shared" si="0"/>
        <v>46477</v>
      </c>
      <c r="AA14" s="316">
        <f t="shared" si="0"/>
        <v>46477</v>
      </c>
      <c r="AB14" s="316">
        <f t="shared" si="0"/>
        <v>46477</v>
      </c>
      <c r="AC14" s="316">
        <f t="shared" si="0"/>
        <v>46477</v>
      </c>
      <c r="AD14" s="316">
        <f t="shared" si="0"/>
        <v>46477</v>
      </c>
      <c r="AE14" s="316">
        <f t="shared" si="0"/>
        <v>46477</v>
      </c>
      <c r="AF14" s="316">
        <f t="shared" si="0"/>
        <v>46477</v>
      </c>
      <c r="AG14" s="316">
        <f t="shared" si="0"/>
        <v>46477</v>
      </c>
      <c r="AH14" s="316">
        <f t="shared" si="0"/>
        <v>46477</v>
      </c>
      <c r="AI14" s="316">
        <f t="shared" si="0"/>
        <v>46477</v>
      </c>
      <c r="AJ14" s="316">
        <f t="shared" si="0"/>
        <v>46477</v>
      </c>
      <c r="AK14" s="316">
        <f t="shared" si="0"/>
        <v>46843</v>
      </c>
      <c r="AL14" s="316">
        <f t="shared" si="0"/>
        <v>46843</v>
      </c>
      <c r="AM14" s="316">
        <f t="shared" si="0"/>
        <v>46843</v>
      </c>
      <c r="AN14" s="316">
        <f t="shared" si="0"/>
        <v>46843</v>
      </c>
      <c r="AO14" s="316">
        <f t="shared" si="0"/>
        <v>46843</v>
      </c>
      <c r="AP14" s="316">
        <f t="shared" si="0"/>
        <v>46843</v>
      </c>
      <c r="AQ14" s="316">
        <f t="shared" si="0"/>
        <v>46843</v>
      </c>
      <c r="AR14" s="316">
        <f t="shared" si="0"/>
        <v>46843</v>
      </c>
      <c r="AS14" s="316">
        <f t="shared" si="0"/>
        <v>46843</v>
      </c>
      <c r="AT14" s="316">
        <f t="shared" si="0"/>
        <v>46843</v>
      </c>
      <c r="AU14" s="316">
        <f t="shared" si="0"/>
        <v>46843</v>
      </c>
      <c r="AV14" s="316">
        <f t="shared" si="0"/>
        <v>46843</v>
      </c>
      <c r="AW14" s="316">
        <f t="shared" si="0"/>
        <v>47208</v>
      </c>
      <c r="AX14" s="316">
        <f t="shared" si="0"/>
        <v>47208</v>
      </c>
      <c r="AY14" s="316">
        <f t="shared" si="0"/>
        <v>47208</v>
      </c>
      <c r="AZ14" s="316">
        <f t="shared" si="0"/>
        <v>47208</v>
      </c>
      <c r="BA14" s="316">
        <f t="shared" si="0"/>
        <v>47208</v>
      </c>
      <c r="BB14" s="316">
        <f t="shared" si="0"/>
        <v>47208</v>
      </c>
      <c r="BC14" s="316">
        <f t="shared" si="0"/>
        <v>47208</v>
      </c>
      <c r="BD14" s="316">
        <f t="shared" si="0"/>
        <v>47208</v>
      </c>
      <c r="BE14" s="316">
        <f t="shared" si="0"/>
        <v>47208</v>
      </c>
      <c r="BF14" s="316">
        <f t="shared" si="0"/>
        <v>47208</v>
      </c>
      <c r="BG14" s="316">
        <f t="shared" si="0"/>
        <v>47208</v>
      </c>
      <c r="BH14" s="316">
        <f t="shared" si="0"/>
        <v>47208</v>
      </c>
      <c r="BI14" s="316">
        <f t="shared" si="0"/>
        <v>47573</v>
      </c>
      <c r="BJ14" s="316">
        <f t="shared" si="0"/>
        <v>47573</v>
      </c>
      <c r="BK14" s="316">
        <f t="shared" si="0"/>
        <v>47573</v>
      </c>
      <c r="BL14" s="316">
        <f t="shared" si="0"/>
        <v>47573</v>
      </c>
      <c r="BM14" s="316">
        <f t="shared" si="0"/>
        <v>47573</v>
      </c>
      <c r="BN14" s="316">
        <f t="shared" si="0"/>
        <v>47573</v>
      </c>
      <c r="BO14" s="316">
        <f t="shared" si="0"/>
        <v>47573</v>
      </c>
      <c r="BP14" s="316">
        <f t="shared" si="0"/>
        <v>47573</v>
      </c>
      <c r="BQ14" s="316">
        <f t="shared" ref="BQ14:EB14" si="1">EOMONTH(BQ16,MOD(15-MONTH(BQ16),12))</f>
        <v>47573</v>
      </c>
      <c r="BR14" s="316">
        <f t="shared" si="1"/>
        <v>47573</v>
      </c>
      <c r="BS14" s="316">
        <f t="shared" si="1"/>
        <v>47573</v>
      </c>
      <c r="BT14" s="316">
        <f t="shared" si="1"/>
        <v>47573</v>
      </c>
      <c r="BU14" s="316">
        <f t="shared" si="1"/>
        <v>47938</v>
      </c>
      <c r="BV14" s="316">
        <f t="shared" si="1"/>
        <v>47938</v>
      </c>
      <c r="BW14" s="316">
        <f t="shared" si="1"/>
        <v>47938</v>
      </c>
      <c r="BX14" s="316">
        <f t="shared" si="1"/>
        <v>47938</v>
      </c>
      <c r="BY14" s="316">
        <f t="shared" si="1"/>
        <v>47938</v>
      </c>
      <c r="BZ14" s="316">
        <f t="shared" si="1"/>
        <v>47938</v>
      </c>
      <c r="CA14" s="316">
        <f t="shared" si="1"/>
        <v>47938</v>
      </c>
      <c r="CB14" s="316">
        <f t="shared" si="1"/>
        <v>47938</v>
      </c>
      <c r="CC14" s="316">
        <f t="shared" si="1"/>
        <v>47938</v>
      </c>
      <c r="CD14" s="316">
        <f t="shared" si="1"/>
        <v>47938</v>
      </c>
      <c r="CE14" s="316">
        <f t="shared" si="1"/>
        <v>47938</v>
      </c>
      <c r="CF14" s="316">
        <f t="shared" si="1"/>
        <v>47938</v>
      </c>
      <c r="CG14" s="316">
        <f t="shared" si="1"/>
        <v>48304</v>
      </c>
      <c r="CH14" s="316">
        <f t="shared" si="1"/>
        <v>48304</v>
      </c>
      <c r="CI14" s="316">
        <f t="shared" si="1"/>
        <v>48304</v>
      </c>
      <c r="CJ14" s="316">
        <f t="shared" si="1"/>
        <v>48304</v>
      </c>
      <c r="CK14" s="316">
        <f t="shared" si="1"/>
        <v>48304</v>
      </c>
      <c r="CL14" s="316">
        <f t="shared" si="1"/>
        <v>48304</v>
      </c>
      <c r="CM14" s="316">
        <f t="shared" si="1"/>
        <v>48304</v>
      </c>
      <c r="CN14" s="316">
        <f t="shared" si="1"/>
        <v>48304</v>
      </c>
      <c r="CO14" s="316">
        <f t="shared" si="1"/>
        <v>48304</v>
      </c>
      <c r="CP14" s="316">
        <f t="shared" si="1"/>
        <v>48304</v>
      </c>
      <c r="CQ14" s="316">
        <f t="shared" si="1"/>
        <v>48304</v>
      </c>
      <c r="CR14" s="316">
        <f t="shared" si="1"/>
        <v>48304</v>
      </c>
      <c r="CS14" s="316">
        <f t="shared" si="1"/>
        <v>48669</v>
      </c>
      <c r="CT14" s="316">
        <f t="shared" si="1"/>
        <v>48669</v>
      </c>
      <c r="CU14" s="316">
        <f t="shared" si="1"/>
        <v>48669</v>
      </c>
      <c r="CV14" s="316">
        <f t="shared" si="1"/>
        <v>48669</v>
      </c>
      <c r="CW14" s="316">
        <f t="shared" si="1"/>
        <v>48669</v>
      </c>
      <c r="CX14" s="316">
        <f t="shared" si="1"/>
        <v>48669</v>
      </c>
      <c r="CY14" s="316">
        <f t="shared" si="1"/>
        <v>48669</v>
      </c>
      <c r="CZ14" s="316">
        <f t="shared" si="1"/>
        <v>48669</v>
      </c>
      <c r="DA14" s="316">
        <f t="shared" si="1"/>
        <v>48669</v>
      </c>
      <c r="DB14" s="316">
        <f t="shared" si="1"/>
        <v>48669</v>
      </c>
      <c r="DC14" s="316">
        <f t="shared" si="1"/>
        <v>48669</v>
      </c>
      <c r="DD14" s="316">
        <f t="shared" si="1"/>
        <v>48669</v>
      </c>
      <c r="DE14" s="316">
        <f t="shared" si="1"/>
        <v>49034</v>
      </c>
      <c r="DF14" s="316">
        <f t="shared" si="1"/>
        <v>49034</v>
      </c>
      <c r="DG14" s="316">
        <f t="shared" si="1"/>
        <v>49034</v>
      </c>
      <c r="DH14" s="316">
        <f t="shared" si="1"/>
        <v>49034</v>
      </c>
      <c r="DI14" s="316">
        <f t="shared" si="1"/>
        <v>49034</v>
      </c>
      <c r="DJ14" s="316">
        <f t="shared" si="1"/>
        <v>49034</v>
      </c>
      <c r="DK14" s="316">
        <f t="shared" si="1"/>
        <v>49034</v>
      </c>
      <c r="DL14" s="316">
        <f t="shared" si="1"/>
        <v>49034</v>
      </c>
      <c r="DM14" s="316">
        <f t="shared" si="1"/>
        <v>49034</v>
      </c>
      <c r="DN14" s="316">
        <f t="shared" si="1"/>
        <v>49034</v>
      </c>
      <c r="DO14" s="316">
        <f t="shared" si="1"/>
        <v>49034</v>
      </c>
      <c r="DP14" s="316">
        <f t="shared" si="1"/>
        <v>49034</v>
      </c>
      <c r="DQ14" s="316">
        <f t="shared" si="1"/>
        <v>49399</v>
      </c>
      <c r="DR14" s="316">
        <f t="shared" si="1"/>
        <v>49399</v>
      </c>
      <c r="DS14" s="316">
        <f t="shared" si="1"/>
        <v>49399</v>
      </c>
      <c r="DT14" s="316">
        <f t="shared" si="1"/>
        <v>49399</v>
      </c>
      <c r="DU14" s="316">
        <f t="shared" si="1"/>
        <v>49399</v>
      </c>
      <c r="DV14" s="316">
        <f t="shared" si="1"/>
        <v>49399</v>
      </c>
      <c r="DW14" s="316">
        <f t="shared" si="1"/>
        <v>49399</v>
      </c>
      <c r="DX14" s="316">
        <f t="shared" si="1"/>
        <v>49399</v>
      </c>
      <c r="DY14" s="316">
        <f t="shared" si="1"/>
        <v>49399</v>
      </c>
      <c r="DZ14" s="316">
        <f t="shared" si="1"/>
        <v>49399</v>
      </c>
      <c r="EA14" s="316">
        <f t="shared" si="1"/>
        <v>49399</v>
      </c>
      <c r="EB14" s="316">
        <f t="shared" si="1"/>
        <v>49399</v>
      </c>
    </row>
    <row r="15" spans="1:132" ht="12.75" customHeight="1" x14ac:dyDescent="0.3">
      <c r="A15" s="315" t="s">
        <v>27</v>
      </c>
      <c r="B15" s="315"/>
      <c r="C15" s="315"/>
      <c r="D15" s="316">
        <v>45565</v>
      </c>
      <c r="E15" s="316">
        <f>D15</f>
        <v>45565</v>
      </c>
      <c r="F15" s="316">
        <f>E15</f>
        <v>45565</v>
      </c>
      <c r="G15" s="316">
        <f>EOMONTH(D15,3)</f>
        <v>45657</v>
      </c>
      <c r="H15" s="316">
        <f t="shared" ref="H15:BS15" si="2">EOMONTH(E15,3)</f>
        <v>45657</v>
      </c>
      <c r="I15" s="316">
        <f t="shared" si="2"/>
        <v>45657</v>
      </c>
      <c r="J15" s="316">
        <f t="shared" si="2"/>
        <v>45747</v>
      </c>
      <c r="K15" s="316">
        <f t="shared" si="2"/>
        <v>45747</v>
      </c>
      <c r="L15" s="316">
        <f t="shared" si="2"/>
        <v>45747</v>
      </c>
      <c r="M15" s="316">
        <f t="shared" si="2"/>
        <v>45838</v>
      </c>
      <c r="N15" s="316">
        <f t="shared" si="2"/>
        <v>45838</v>
      </c>
      <c r="O15" s="316">
        <f t="shared" si="2"/>
        <v>45838</v>
      </c>
      <c r="P15" s="316">
        <f t="shared" si="2"/>
        <v>45930</v>
      </c>
      <c r="Q15" s="316">
        <f t="shared" si="2"/>
        <v>45930</v>
      </c>
      <c r="R15" s="316">
        <f t="shared" si="2"/>
        <v>45930</v>
      </c>
      <c r="S15" s="316">
        <f t="shared" si="2"/>
        <v>46022</v>
      </c>
      <c r="T15" s="316">
        <f t="shared" si="2"/>
        <v>46022</v>
      </c>
      <c r="U15" s="316">
        <f t="shared" si="2"/>
        <v>46022</v>
      </c>
      <c r="V15" s="316">
        <f t="shared" si="2"/>
        <v>46112</v>
      </c>
      <c r="W15" s="316">
        <f t="shared" si="2"/>
        <v>46112</v>
      </c>
      <c r="X15" s="316">
        <f t="shared" si="2"/>
        <v>46112</v>
      </c>
      <c r="Y15" s="316">
        <f t="shared" si="2"/>
        <v>46203</v>
      </c>
      <c r="Z15" s="316">
        <f t="shared" si="2"/>
        <v>46203</v>
      </c>
      <c r="AA15" s="316">
        <f t="shared" si="2"/>
        <v>46203</v>
      </c>
      <c r="AB15" s="316">
        <f t="shared" si="2"/>
        <v>46295</v>
      </c>
      <c r="AC15" s="316">
        <f t="shared" si="2"/>
        <v>46295</v>
      </c>
      <c r="AD15" s="316">
        <f t="shared" si="2"/>
        <v>46295</v>
      </c>
      <c r="AE15" s="316">
        <f t="shared" si="2"/>
        <v>46387</v>
      </c>
      <c r="AF15" s="316">
        <f t="shared" si="2"/>
        <v>46387</v>
      </c>
      <c r="AG15" s="316">
        <f t="shared" si="2"/>
        <v>46387</v>
      </c>
      <c r="AH15" s="316">
        <f t="shared" si="2"/>
        <v>46477</v>
      </c>
      <c r="AI15" s="316">
        <f t="shared" si="2"/>
        <v>46477</v>
      </c>
      <c r="AJ15" s="316">
        <f t="shared" si="2"/>
        <v>46477</v>
      </c>
      <c r="AK15" s="316">
        <f t="shared" si="2"/>
        <v>46568</v>
      </c>
      <c r="AL15" s="316">
        <f t="shared" si="2"/>
        <v>46568</v>
      </c>
      <c r="AM15" s="316">
        <f t="shared" si="2"/>
        <v>46568</v>
      </c>
      <c r="AN15" s="316">
        <f t="shared" si="2"/>
        <v>46660</v>
      </c>
      <c r="AO15" s="316">
        <f t="shared" si="2"/>
        <v>46660</v>
      </c>
      <c r="AP15" s="316">
        <f t="shared" si="2"/>
        <v>46660</v>
      </c>
      <c r="AQ15" s="316">
        <f t="shared" si="2"/>
        <v>46752</v>
      </c>
      <c r="AR15" s="316">
        <f t="shared" si="2"/>
        <v>46752</v>
      </c>
      <c r="AS15" s="316">
        <f t="shared" si="2"/>
        <v>46752</v>
      </c>
      <c r="AT15" s="316">
        <f t="shared" si="2"/>
        <v>46843</v>
      </c>
      <c r="AU15" s="316">
        <f t="shared" si="2"/>
        <v>46843</v>
      </c>
      <c r="AV15" s="316">
        <f t="shared" si="2"/>
        <v>46843</v>
      </c>
      <c r="AW15" s="316">
        <f t="shared" si="2"/>
        <v>46934</v>
      </c>
      <c r="AX15" s="316">
        <f t="shared" si="2"/>
        <v>46934</v>
      </c>
      <c r="AY15" s="316">
        <f t="shared" si="2"/>
        <v>46934</v>
      </c>
      <c r="AZ15" s="316">
        <f t="shared" si="2"/>
        <v>47026</v>
      </c>
      <c r="BA15" s="316">
        <f t="shared" si="2"/>
        <v>47026</v>
      </c>
      <c r="BB15" s="316">
        <f t="shared" si="2"/>
        <v>47026</v>
      </c>
      <c r="BC15" s="316">
        <f t="shared" si="2"/>
        <v>47118</v>
      </c>
      <c r="BD15" s="316">
        <f t="shared" si="2"/>
        <v>47118</v>
      </c>
      <c r="BE15" s="316">
        <f t="shared" si="2"/>
        <v>47118</v>
      </c>
      <c r="BF15" s="316">
        <f t="shared" si="2"/>
        <v>47208</v>
      </c>
      <c r="BG15" s="316">
        <f t="shared" si="2"/>
        <v>47208</v>
      </c>
      <c r="BH15" s="316">
        <f t="shared" si="2"/>
        <v>47208</v>
      </c>
      <c r="BI15" s="316">
        <f t="shared" si="2"/>
        <v>47299</v>
      </c>
      <c r="BJ15" s="316">
        <f t="shared" si="2"/>
        <v>47299</v>
      </c>
      <c r="BK15" s="316">
        <f t="shared" si="2"/>
        <v>47299</v>
      </c>
      <c r="BL15" s="316">
        <f t="shared" si="2"/>
        <v>47391</v>
      </c>
      <c r="BM15" s="316">
        <f t="shared" si="2"/>
        <v>47391</v>
      </c>
      <c r="BN15" s="316">
        <f t="shared" si="2"/>
        <v>47391</v>
      </c>
      <c r="BO15" s="316">
        <f t="shared" si="2"/>
        <v>47483</v>
      </c>
      <c r="BP15" s="316">
        <f t="shared" si="2"/>
        <v>47483</v>
      </c>
      <c r="BQ15" s="316">
        <f t="shared" si="2"/>
        <v>47483</v>
      </c>
      <c r="BR15" s="316">
        <f t="shared" si="2"/>
        <v>47573</v>
      </c>
      <c r="BS15" s="316">
        <f t="shared" si="2"/>
        <v>47573</v>
      </c>
      <c r="BT15" s="316">
        <f t="shared" ref="BT15:EB15" si="3">EOMONTH(BQ15,3)</f>
        <v>47573</v>
      </c>
      <c r="BU15" s="316">
        <f t="shared" si="3"/>
        <v>47664</v>
      </c>
      <c r="BV15" s="316">
        <f t="shared" si="3"/>
        <v>47664</v>
      </c>
      <c r="BW15" s="316">
        <f t="shared" si="3"/>
        <v>47664</v>
      </c>
      <c r="BX15" s="316">
        <f t="shared" si="3"/>
        <v>47756</v>
      </c>
      <c r="BY15" s="316">
        <f t="shared" si="3"/>
        <v>47756</v>
      </c>
      <c r="BZ15" s="316">
        <f t="shared" si="3"/>
        <v>47756</v>
      </c>
      <c r="CA15" s="316">
        <f t="shared" si="3"/>
        <v>47848</v>
      </c>
      <c r="CB15" s="316">
        <f t="shared" si="3"/>
        <v>47848</v>
      </c>
      <c r="CC15" s="316">
        <f t="shared" si="3"/>
        <v>47848</v>
      </c>
      <c r="CD15" s="316">
        <f t="shared" si="3"/>
        <v>47938</v>
      </c>
      <c r="CE15" s="316">
        <f t="shared" si="3"/>
        <v>47938</v>
      </c>
      <c r="CF15" s="316">
        <f t="shared" si="3"/>
        <v>47938</v>
      </c>
      <c r="CG15" s="316">
        <f t="shared" si="3"/>
        <v>48029</v>
      </c>
      <c r="CH15" s="316">
        <f t="shared" si="3"/>
        <v>48029</v>
      </c>
      <c r="CI15" s="316">
        <f t="shared" si="3"/>
        <v>48029</v>
      </c>
      <c r="CJ15" s="316">
        <f t="shared" si="3"/>
        <v>48121</v>
      </c>
      <c r="CK15" s="316">
        <f t="shared" si="3"/>
        <v>48121</v>
      </c>
      <c r="CL15" s="316">
        <f t="shared" si="3"/>
        <v>48121</v>
      </c>
      <c r="CM15" s="316">
        <f t="shared" si="3"/>
        <v>48213</v>
      </c>
      <c r="CN15" s="316">
        <f t="shared" si="3"/>
        <v>48213</v>
      </c>
      <c r="CO15" s="316">
        <f t="shared" si="3"/>
        <v>48213</v>
      </c>
      <c r="CP15" s="316">
        <f t="shared" si="3"/>
        <v>48304</v>
      </c>
      <c r="CQ15" s="316">
        <f t="shared" si="3"/>
        <v>48304</v>
      </c>
      <c r="CR15" s="316">
        <f t="shared" si="3"/>
        <v>48304</v>
      </c>
      <c r="CS15" s="316">
        <f t="shared" si="3"/>
        <v>48395</v>
      </c>
      <c r="CT15" s="316">
        <f t="shared" si="3"/>
        <v>48395</v>
      </c>
      <c r="CU15" s="316">
        <f t="shared" si="3"/>
        <v>48395</v>
      </c>
      <c r="CV15" s="316">
        <f t="shared" si="3"/>
        <v>48487</v>
      </c>
      <c r="CW15" s="316">
        <f t="shared" si="3"/>
        <v>48487</v>
      </c>
      <c r="CX15" s="316">
        <f t="shared" si="3"/>
        <v>48487</v>
      </c>
      <c r="CY15" s="316">
        <f t="shared" si="3"/>
        <v>48579</v>
      </c>
      <c r="CZ15" s="316">
        <f t="shared" si="3"/>
        <v>48579</v>
      </c>
      <c r="DA15" s="316">
        <f t="shared" si="3"/>
        <v>48579</v>
      </c>
      <c r="DB15" s="316">
        <f t="shared" si="3"/>
        <v>48669</v>
      </c>
      <c r="DC15" s="316">
        <f t="shared" si="3"/>
        <v>48669</v>
      </c>
      <c r="DD15" s="316">
        <f t="shared" si="3"/>
        <v>48669</v>
      </c>
      <c r="DE15" s="316">
        <f t="shared" si="3"/>
        <v>48760</v>
      </c>
      <c r="DF15" s="316">
        <f t="shared" si="3"/>
        <v>48760</v>
      </c>
      <c r="DG15" s="316">
        <f t="shared" si="3"/>
        <v>48760</v>
      </c>
      <c r="DH15" s="316">
        <f t="shared" si="3"/>
        <v>48852</v>
      </c>
      <c r="DI15" s="316">
        <f t="shared" si="3"/>
        <v>48852</v>
      </c>
      <c r="DJ15" s="316">
        <f t="shared" si="3"/>
        <v>48852</v>
      </c>
      <c r="DK15" s="316">
        <f t="shared" si="3"/>
        <v>48944</v>
      </c>
      <c r="DL15" s="316">
        <f t="shared" si="3"/>
        <v>48944</v>
      </c>
      <c r="DM15" s="316">
        <f t="shared" si="3"/>
        <v>48944</v>
      </c>
      <c r="DN15" s="316">
        <f t="shared" si="3"/>
        <v>49034</v>
      </c>
      <c r="DO15" s="316">
        <f t="shared" si="3"/>
        <v>49034</v>
      </c>
      <c r="DP15" s="316">
        <f t="shared" si="3"/>
        <v>49034</v>
      </c>
      <c r="DQ15" s="316">
        <f t="shared" si="3"/>
        <v>49125</v>
      </c>
      <c r="DR15" s="316">
        <f t="shared" si="3"/>
        <v>49125</v>
      </c>
      <c r="DS15" s="316">
        <f t="shared" si="3"/>
        <v>49125</v>
      </c>
      <c r="DT15" s="316">
        <f t="shared" si="3"/>
        <v>49217</v>
      </c>
      <c r="DU15" s="316">
        <f t="shared" si="3"/>
        <v>49217</v>
      </c>
      <c r="DV15" s="316">
        <f t="shared" si="3"/>
        <v>49217</v>
      </c>
      <c r="DW15" s="316">
        <f t="shared" si="3"/>
        <v>49309</v>
      </c>
      <c r="DX15" s="316">
        <f t="shared" si="3"/>
        <v>49309</v>
      </c>
      <c r="DY15" s="316">
        <f t="shared" si="3"/>
        <v>49309</v>
      </c>
      <c r="DZ15" s="316">
        <f t="shared" si="3"/>
        <v>49399</v>
      </c>
      <c r="EA15" s="316">
        <f t="shared" si="3"/>
        <v>49399</v>
      </c>
      <c r="EB15" s="316">
        <f t="shared" si="3"/>
        <v>49399</v>
      </c>
    </row>
    <row r="16" spans="1:132" ht="12.75" customHeight="1" x14ac:dyDescent="0.3">
      <c r="A16" s="315"/>
      <c r="B16" s="315"/>
      <c r="C16" s="315"/>
      <c r="D16" s="316">
        <f>EOMONTH('Cost Phasing'!K12,0)</f>
        <v>45504</v>
      </c>
      <c r="E16" s="315">
        <f>EOMONTH(D16,1)</f>
        <v>45535</v>
      </c>
      <c r="F16" s="315">
        <f t="shared" ref="F16:BQ16" si="4">EOMONTH(E16,1)</f>
        <v>45565</v>
      </c>
      <c r="G16" s="315">
        <f t="shared" si="4"/>
        <v>45596</v>
      </c>
      <c r="H16" s="315">
        <f t="shared" si="4"/>
        <v>45626</v>
      </c>
      <c r="I16" s="315">
        <f t="shared" si="4"/>
        <v>45657</v>
      </c>
      <c r="J16" s="315">
        <f t="shared" si="4"/>
        <v>45688</v>
      </c>
      <c r="K16" s="315">
        <f t="shared" si="4"/>
        <v>45716</v>
      </c>
      <c r="L16" s="315">
        <f t="shared" si="4"/>
        <v>45747</v>
      </c>
      <c r="M16" s="315">
        <f t="shared" si="4"/>
        <v>45777</v>
      </c>
      <c r="N16" s="315">
        <f t="shared" si="4"/>
        <v>45808</v>
      </c>
      <c r="O16" s="315">
        <f t="shared" si="4"/>
        <v>45838</v>
      </c>
      <c r="P16" s="315">
        <f t="shared" si="4"/>
        <v>45869</v>
      </c>
      <c r="Q16" s="315">
        <f t="shared" si="4"/>
        <v>45900</v>
      </c>
      <c r="R16" s="315">
        <f t="shared" si="4"/>
        <v>45930</v>
      </c>
      <c r="S16" s="315">
        <f t="shared" si="4"/>
        <v>45961</v>
      </c>
      <c r="T16" s="315">
        <f t="shared" si="4"/>
        <v>45991</v>
      </c>
      <c r="U16" s="315">
        <f t="shared" si="4"/>
        <v>46022</v>
      </c>
      <c r="V16" s="315">
        <f t="shared" si="4"/>
        <v>46053</v>
      </c>
      <c r="W16" s="315">
        <f t="shared" si="4"/>
        <v>46081</v>
      </c>
      <c r="X16" s="315">
        <f t="shared" si="4"/>
        <v>46112</v>
      </c>
      <c r="Y16" s="315">
        <f t="shared" si="4"/>
        <v>46142</v>
      </c>
      <c r="Z16" s="315">
        <f t="shared" si="4"/>
        <v>46173</v>
      </c>
      <c r="AA16" s="315">
        <f t="shared" si="4"/>
        <v>46203</v>
      </c>
      <c r="AB16" s="315">
        <f t="shared" si="4"/>
        <v>46234</v>
      </c>
      <c r="AC16" s="315">
        <f t="shared" si="4"/>
        <v>46265</v>
      </c>
      <c r="AD16" s="315">
        <f t="shared" si="4"/>
        <v>46295</v>
      </c>
      <c r="AE16" s="315">
        <f t="shared" si="4"/>
        <v>46326</v>
      </c>
      <c r="AF16" s="315">
        <f t="shared" si="4"/>
        <v>46356</v>
      </c>
      <c r="AG16" s="315">
        <f t="shared" si="4"/>
        <v>46387</v>
      </c>
      <c r="AH16" s="315">
        <f t="shared" si="4"/>
        <v>46418</v>
      </c>
      <c r="AI16" s="315">
        <f t="shared" si="4"/>
        <v>46446</v>
      </c>
      <c r="AJ16" s="315">
        <f t="shared" si="4"/>
        <v>46477</v>
      </c>
      <c r="AK16" s="315">
        <f t="shared" si="4"/>
        <v>46507</v>
      </c>
      <c r="AL16" s="315">
        <f t="shared" si="4"/>
        <v>46538</v>
      </c>
      <c r="AM16" s="315">
        <f t="shared" si="4"/>
        <v>46568</v>
      </c>
      <c r="AN16" s="315">
        <f t="shared" si="4"/>
        <v>46599</v>
      </c>
      <c r="AO16" s="315">
        <f t="shared" si="4"/>
        <v>46630</v>
      </c>
      <c r="AP16" s="315">
        <f t="shared" si="4"/>
        <v>46660</v>
      </c>
      <c r="AQ16" s="315">
        <f t="shared" si="4"/>
        <v>46691</v>
      </c>
      <c r="AR16" s="315">
        <f t="shared" si="4"/>
        <v>46721</v>
      </c>
      <c r="AS16" s="315">
        <f t="shared" si="4"/>
        <v>46752</v>
      </c>
      <c r="AT16" s="315">
        <f t="shared" si="4"/>
        <v>46783</v>
      </c>
      <c r="AU16" s="315">
        <f t="shared" si="4"/>
        <v>46812</v>
      </c>
      <c r="AV16" s="315">
        <f t="shared" si="4"/>
        <v>46843</v>
      </c>
      <c r="AW16" s="315">
        <f t="shared" si="4"/>
        <v>46873</v>
      </c>
      <c r="AX16" s="315">
        <f t="shared" si="4"/>
        <v>46904</v>
      </c>
      <c r="AY16" s="315">
        <f t="shared" si="4"/>
        <v>46934</v>
      </c>
      <c r="AZ16" s="315">
        <f t="shared" si="4"/>
        <v>46965</v>
      </c>
      <c r="BA16" s="315">
        <f t="shared" si="4"/>
        <v>46996</v>
      </c>
      <c r="BB16" s="315">
        <f t="shared" si="4"/>
        <v>47026</v>
      </c>
      <c r="BC16" s="315">
        <f t="shared" si="4"/>
        <v>47057</v>
      </c>
      <c r="BD16" s="315">
        <f t="shared" si="4"/>
        <v>47087</v>
      </c>
      <c r="BE16" s="315">
        <f t="shared" si="4"/>
        <v>47118</v>
      </c>
      <c r="BF16" s="315">
        <f t="shared" si="4"/>
        <v>47149</v>
      </c>
      <c r="BG16" s="315">
        <f t="shared" si="4"/>
        <v>47177</v>
      </c>
      <c r="BH16" s="315">
        <f t="shared" si="4"/>
        <v>47208</v>
      </c>
      <c r="BI16" s="315">
        <f t="shared" si="4"/>
        <v>47238</v>
      </c>
      <c r="BJ16" s="315">
        <f t="shared" si="4"/>
        <v>47269</v>
      </c>
      <c r="BK16" s="315">
        <f t="shared" si="4"/>
        <v>47299</v>
      </c>
      <c r="BL16" s="315">
        <f t="shared" si="4"/>
        <v>47330</v>
      </c>
      <c r="BM16" s="315">
        <f t="shared" si="4"/>
        <v>47361</v>
      </c>
      <c r="BN16" s="315">
        <f t="shared" si="4"/>
        <v>47391</v>
      </c>
      <c r="BO16" s="315">
        <f t="shared" si="4"/>
        <v>47422</v>
      </c>
      <c r="BP16" s="315">
        <f t="shared" si="4"/>
        <v>47452</v>
      </c>
      <c r="BQ16" s="315">
        <f t="shared" si="4"/>
        <v>47483</v>
      </c>
      <c r="BR16" s="315">
        <f t="shared" ref="BR16:EB16" si="5">EOMONTH(BQ16,1)</f>
        <v>47514</v>
      </c>
      <c r="BS16" s="315">
        <f t="shared" si="5"/>
        <v>47542</v>
      </c>
      <c r="BT16" s="315">
        <f t="shared" si="5"/>
        <v>47573</v>
      </c>
      <c r="BU16" s="315">
        <f t="shared" si="5"/>
        <v>47603</v>
      </c>
      <c r="BV16" s="315">
        <f t="shared" si="5"/>
        <v>47634</v>
      </c>
      <c r="BW16" s="315">
        <f t="shared" si="5"/>
        <v>47664</v>
      </c>
      <c r="BX16" s="315">
        <f t="shared" si="5"/>
        <v>47695</v>
      </c>
      <c r="BY16" s="315">
        <f t="shared" si="5"/>
        <v>47726</v>
      </c>
      <c r="BZ16" s="315">
        <f t="shared" si="5"/>
        <v>47756</v>
      </c>
      <c r="CA16" s="315">
        <f t="shared" si="5"/>
        <v>47787</v>
      </c>
      <c r="CB16" s="315">
        <f t="shared" si="5"/>
        <v>47817</v>
      </c>
      <c r="CC16" s="315">
        <f t="shared" si="5"/>
        <v>47848</v>
      </c>
      <c r="CD16" s="315">
        <f t="shared" si="5"/>
        <v>47879</v>
      </c>
      <c r="CE16" s="315">
        <f t="shared" si="5"/>
        <v>47907</v>
      </c>
      <c r="CF16" s="315">
        <f t="shared" si="5"/>
        <v>47938</v>
      </c>
      <c r="CG16" s="315">
        <f t="shared" si="5"/>
        <v>47968</v>
      </c>
      <c r="CH16" s="315">
        <f t="shared" si="5"/>
        <v>47999</v>
      </c>
      <c r="CI16" s="315">
        <f t="shared" si="5"/>
        <v>48029</v>
      </c>
      <c r="CJ16" s="315">
        <f t="shared" si="5"/>
        <v>48060</v>
      </c>
      <c r="CK16" s="315">
        <f t="shared" si="5"/>
        <v>48091</v>
      </c>
      <c r="CL16" s="315">
        <f t="shared" si="5"/>
        <v>48121</v>
      </c>
      <c r="CM16" s="315">
        <f t="shared" si="5"/>
        <v>48152</v>
      </c>
      <c r="CN16" s="315">
        <f t="shared" si="5"/>
        <v>48182</v>
      </c>
      <c r="CO16" s="315">
        <f t="shared" si="5"/>
        <v>48213</v>
      </c>
      <c r="CP16" s="315">
        <f t="shared" si="5"/>
        <v>48244</v>
      </c>
      <c r="CQ16" s="315">
        <f t="shared" si="5"/>
        <v>48273</v>
      </c>
      <c r="CR16" s="315">
        <f t="shared" si="5"/>
        <v>48304</v>
      </c>
      <c r="CS16" s="315">
        <f t="shared" si="5"/>
        <v>48334</v>
      </c>
      <c r="CT16" s="315">
        <f t="shared" si="5"/>
        <v>48365</v>
      </c>
      <c r="CU16" s="315">
        <f t="shared" si="5"/>
        <v>48395</v>
      </c>
      <c r="CV16" s="315">
        <f t="shared" si="5"/>
        <v>48426</v>
      </c>
      <c r="CW16" s="315">
        <f t="shared" si="5"/>
        <v>48457</v>
      </c>
      <c r="CX16" s="315">
        <f t="shared" si="5"/>
        <v>48487</v>
      </c>
      <c r="CY16" s="315">
        <f t="shared" si="5"/>
        <v>48518</v>
      </c>
      <c r="CZ16" s="315">
        <f t="shared" si="5"/>
        <v>48548</v>
      </c>
      <c r="DA16" s="315">
        <f t="shared" si="5"/>
        <v>48579</v>
      </c>
      <c r="DB16" s="315">
        <f t="shared" si="5"/>
        <v>48610</v>
      </c>
      <c r="DC16" s="315">
        <f t="shared" si="5"/>
        <v>48638</v>
      </c>
      <c r="DD16" s="315">
        <f t="shared" si="5"/>
        <v>48669</v>
      </c>
      <c r="DE16" s="315">
        <f t="shared" si="5"/>
        <v>48699</v>
      </c>
      <c r="DF16" s="315">
        <f t="shared" si="5"/>
        <v>48730</v>
      </c>
      <c r="DG16" s="315">
        <f t="shared" si="5"/>
        <v>48760</v>
      </c>
      <c r="DH16" s="315">
        <f t="shared" si="5"/>
        <v>48791</v>
      </c>
      <c r="DI16" s="315">
        <f t="shared" si="5"/>
        <v>48822</v>
      </c>
      <c r="DJ16" s="315">
        <f t="shared" si="5"/>
        <v>48852</v>
      </c>
      <c r="DK16" s="315">
        <f t="shared" si="5"/>
        <v>48883</v>
      </c>
      <c r="DL16" s="315">
        <f t="shared" si="5"/>
        <v>48913</v>
      </c>
      <c r="DM16" s="315">
        <f t="shared" si="5"/>
        <v>48944</v>
      </c>
      <c r="DN16" s="315">
        <f t="shared" si="5"/>
        <v>48975</v>
      </c>
      <c r="DO16" s="315">
        <f t="shared" si="5"/>
        <v>49003</v>
      </c>
      <c r="DP16" s="315">
        <f t="shared" si="5"/>
        <v>49034</v>
      </c>
      <c r="DQ16" s="315">
        <f t="shared" si="5"/>
        <v>49064</v>
      </c>
      <c r="DR16" s="315">
        <f t="shared" si="5"/>
        <v>49095</v>
      </c>
      <c r="DS16" s="315">
        <f t="shared" si="5"/>
        <v>49125</v>
      </c>
      <c r="DT16" s="315">
        <f t="shared" si="5"/>
        <v>49156</v>
      </c>
      <c r="DU16" s="315">
        <f t="shared" si="5"/>
        <v>49187</v>
      </c>
      <c r="DV16" s="315">
        <f t="shared" si="5"/>
        <v>49217</v>
      </c>
      <c r="DW16" s="315">
        <f t="shared" si="5"/>
        <v>49248</v>
      </c>
      <c r="DX16" s="315">
        <f t="shared" si="5"/>
        <v>49278</v>
      </c>
      <c r="DY16" s="315">
        <f t="shared" si="5"/>
        <v>49309</v>
      </c>
      <c r="DZ16" s="315">
        <f t="shared" si="5"/>
        <v>49340</v>
      </c>
      <c r="EA16" s="315">
        <f t="shared" si="5"/>
        <v>49368</v>
      </c>
      <c r="EB16" s="315">
        <f t="shared" si="5"/>
        <v>49399</v>
      </c>
    </row>
    <row r="17" spans="1:132" ht="12.75" customHeight="1" x14ac:dyDescent="0.3">
      <c r="A17" s="317"/>
      <c r="B17" s="317" t="s">
        <v>21</v>
      </c>
      <c r="C17" s="317"/>
      <c r="D17" s="317">
        <v>1</v>
      </c>
      <c r="E17" s="317">
        <f>D17+1</f>
        <v>2</v>
      </c>
      <c r="F17" s="317">
        <f t="shared" ref="F17:BQ17" si="6">E17+1</f>
        <v>3</v>
      </c>
      <c r="G17" s="317">
        <f t="shared" si="6"/>
        <v>4</v>
      </c>
      <c r="H17" s="317">
        <f t="shared" si="6"/>
        <v>5</v>
      </c>
      <c r="I17" s="317">
        <f t="shared" si="6"/>
        <v>6</v>
      </c>
      <c r="J17" s="317">
        <f t="shared" si="6"/>
        <v>7</v>
      </c>
      <c r="K17" s="317">
        <f t="shared" si="6"/>
        <v>8</v>
      </c>
      <c r="L17" s="317">
        <f t="shared" si="6"/>
        <v>9</v>
      </c>
      <c r="M17" s="317">
        <f t="shared" si="6"/>
        <v>10</v>
      </c>
      <c r="N17" s="317">
        <f t="shared" si="6"/>
        <v>11</v>
      </c>
      <c r="O17" s="317">
        <f t="shared" si="6"/>
        <v>12</v>
      </c>
      <c r="P17" s="317">
        <f t="shared" si="6"/>
        <v>13</v>
      </c>
      <c r="Q17" s="317">
        <f t="shared" si="6"/>
        <v>14</v>
      </c>
      <c r="R17" s="317">
        <f t="shared" si="6"/>
        <v>15</v>
      </c>
      <c r="S17" s="317">
        <f t="shared" si="6"/>
        <v>16</v>
      </c>
      <c r="T17" s="317">
        <f t="shared" si="6"/>
        <v>17</v>
      </c>
      <c r="U17" s="317">
        <f t="shared" si="6"/>
        <v>18</v>
      </c>
      <c r="V17" s="317">
        <f t="shared" si="6"/>
        <v>19</v>
      </c>
      <c r="W17" s="317">
        <f t="shared" si="6"/>
        <v>20</v>
      </c>
      <c r="X17" s="317">
        <f t="shared" si="6"/>
        <v>21</v>
      </c>
      <c r="Y17" s="317">
        <f t="shared" si="6"/>
        <v>22</v>
      </c>
      <c r="Z17" s="317">
        <f t="shared" si="6"/>
        <v>23</v>
      </c>
      <c r="AA17" s="317">
        <f t="shared" si="6"/>
        <v>24</v>
      </c>
      <c r="AB17" s="317">
        <f t="shared" si="6"/>
        <v>25</v>
      </c>
      <c r="AC17" s="317">
        <f t="shared" si="6"/>
        <v>26</v>
      </c>
      <c r="AD17" s="317">
        <f t="shared" si="6"/>
        <v>27</v>
      </c>
      <c r="AE17" s="317">
        <f t="shared" si="6"/>
        <v>28</v>
      </c>
      <c r="AF17" s="317">
        <f t="shared" si="6"/>
        <v>29</v>
      </c>
      <c r="AG17" s="317">
        <f t="shared" si="6"/>
        <v>30</v>
      </c>
      <c r="AH17" s="317">
        <f t="shared" si="6"/>
        <v>31</v>
      </c>
      <c r="AI17" s="317">
        <f t="shared" si="6"/>
        <v>32</v>
      </c>
      <c r="AJ17" s="317">
        <f t="shared" si="6"/>
        <v>33</v>
      </c>
      <c r="AK17" s="317">
        <f t="shared" si="6"/>
        <v>34</v>
      </c>
      <c r="AL17" s="317">
        <f t="shared" si="6"/>
        <v>35</v>
      </c>
      <c r="AM17" s="317">
        <f t="shared" si="6"/>
        <v>36</v>
      </c>
      <c r="AN17" s="317">
        <f t="shared" si="6"/>
        <v>37</v>
      </c>
      <c r="AO17" s="317">
        <f t="shared" si="6"/>
        <v>38</v>
      </c>
      <c r="AP17" s="317">
        <f t="shared" si="6"/>
        <v>39</v>
      </c>
      <c r="AQ17" s="317">
        <f t="shared" si="6"/>
        <v>40</v>
      </c>
      <c r="AR17" s="317">
        <f t="shared" si="6"/>
        <v>41</v>
      </c>
      <c r="AS17" s="317">
        <f t="shared" si="6"/>
        <v>42</v>
      </c>
      <c r="AT17" s="317">
        <f t="shared" si="6"/>
        <v>43</v>
      </c>
      <c r="AU17" s="317">
        <f t="shared" si="6"/>
        <v>44</v>
      </c>
      <c r="AV17" s="317">
        <f t="shared" si="6"/>
        <v>45</v>
      </c>
      <c r="AW17" s="317">
        <f t="shared" si="6"/>
        <v>46</v>
      </c>
      <c r="AX17" s="317">
        <f t="shared" si="6"/>
        <v>47</v>
      </c>
      <c r="AY17" s="317">
        <f t="shared" si="6"/>
        <v>48</v>
      </c>
      <c r="AZ17" s="317">
        <f t="shared" si="6"/>
        <v>49</v>
      </c>
      <c r="BA17" s="317">
        <f t="shared" si="6"/>
        <v>50</v>
      </c>
      <c r="BB17" s="317">
        <f t="shared" si="6"/>
        <v>51</v>
      </c>
      <c r="BC17" s="317">
        <f t="shared" si="6"/>
        <v>52</v>
      </c>
      <c r="BD17" s="317">
        <f t="shared" si="6"/>
        <v>53</v>
      </c>
      <c r="BE17" s="317">
        <f t="shared" si="6"/>
        <v>54</v>
      </c>
      <c r="BF17" s="317">
        <f t="shared" si="6"/>
        <v>55</v>
      </c>
      <c r="BG17" s="317">
        <f t="shared" si="6"/>
        <v>56</v>
      </c>
      <c r="BH17" s="317">
        <f t="shared" si="6"/>
        <v>57</v>
      </c>
      <c r="BI17" s="317">
        <f t="shared" si="6"/>
        <v>58</v>
      </c>
      <c r="BJ17" s="317">
        <f t="shared" si="6"/>
        <v>59</v>
      </c>
      <c r="BK17" s="317">
        <f t="shared" si="6"/>
        <v>60</v>
      </c>
      <c r="BL17" s="317">
        <f t="shared" si="6"/>
        <v>61</v>
      </c>
      <c r="BM17" s="317">
        <f t="shared" si="6"/>
        <v>62</v>
      </c>
      <c r="BN17" s="317">
        <f t="shared" si="6"/>
        <v>63</v>
      </c>
      <c r="BO17" s="317">
        <f t="shared" si="6"/>
        <v>64</v>
      </c>
      <c r="BP17" s="317">
        <f t="shared" si="6"/>
        <v>65</v>
      </c>
      <c r="BQ17" s="317">
        <f t="shared" si="6"/>
        <v>66</v>
      </c>
      <c r="BR17" s="317">
        <f t="shared" ref="BR17:EB17" si="7">BQ17+1</f>
        <v>67</v>
      </c>
      <c r="BS17" s="317">
        <f t="shared" si="7"/>
        <v>68</v>
      </c>
      <c r="BT17" s="317">
        <f t="shared" si="7"/>
        <v>69</v>
      </c>
      <c r="BU17" s="317">
        <f t="shared" si="7"/>
        <v>70</v>
      </c>
      <c r="BV17" s="317">
        <f t="shared" si="7"/>
        <v>71</v>
      </c>
      <c r="BW17" s="317">
        <f t="shared" si="7"/>
        <v>72</v>
      </c>
      <c r="BX17" s="317">
        <f t="shared" si="7"/>
        <v>73</v>
      </c>
      <c r="BY17" s="317">
        <f t="shared" si="7"/>
        <v>74</v>
      </c>
      <c r="BZ17" s="317">
        <f t="shared" si="7"/>
        <v>75</v>
      </c>
      <c r="CA17" s="317">
        <f t="shared" si="7"/>
        <v>76</v>
      </c>
      <c r="CB17" s="317">
        <f t="shared" si="7"/>
        <v>77</v>
      </c>
      <c r="CC17" s="317">
        <f t="shared" si="7"/>
        <v>78</v>
      </c>
      <c r="CD17" s="317">
        <f t="shared" si="7"/>
        <v>79</v>
      </c>
      <c r="CE17" s="317">
        <f t="shared" si="7"/>
        <v>80</v>
      </c>
      <c r="CF17" s="317">
        <f t="shared" si="7"/>
        <v>81</v>
      </c>
      <c r="CG17" s="317">
        <f t="shared" si="7"/>
        <v>82</v>
      </c>
      <c r="CH17" s="317">
        <f t="shared" si="7"/>
        <v>83</v>
      </c>
      <c r="CI17" s="317">
        <f t="shared" si="7"/>
        <v>84</v>
      </c>
      <c r="CJ17" s="317">
        <f t="shared" si="7"/>
        <v>85</v>
      </c>
      <c r="CK17" s="317">
        <f t="shared" si="7"/>
        <v>86</v>
      </c>
      <c r="CL17" s="317">
        <f t="shared" si="7"/>
        <v>87</v>
      </c>
      <c r="CM17" s="317">
        <f t="shared" si="7"/>
        <v>88</v>
      </c>
      <c r="CN17" s="317">
        <f t="shared" si="7"/>
        <v>89</v>
      </c>
      <c r="CO17" s="317">
        <f t="shared" si="7"/>
        <v>90</v>
      </c>
      <c r="CP17" s="317">
        <f t="shared" si="7"/>
        <v>91</v>
      </c>
      <c r="CQ17" s="317">
        <f t="shared" si="7"/>
        <v>92</v>
      </c>
      <c r="CR17" s="317">
        <f t="shared" si="7"/>
        <v>93</v>
      </c>
      <c r="CS17" s="317">
        <f t="shared" si="7"/>
        <v>94</v>
      </c>
      <c r="CT17" s="317">
        <f t="shared" si="7"/>
        <v>95</v>
      </c>
      <c r="CU17" s="317">
        <f t="shared" si="7"/>
        <v>96</v>
      </c>
      <c r="CV17" s="317">
        <f t="shared" si="7"/>
        <v>97</v>
      </c>
      <c r="CW17" s="317">
        <f t="shared" si="7"/>
        <v>98</v>
      </c>
      <c r="CX17" s="317">
        <f t="shared" si="7"/>
        <v>99</v>
      </c>
      <c r="CY17" s="317">
        <f t="shared" si="7"/>
        <v>100</v>
      </c>
      <c r="CZ17" s="317">
        <f t="shared" si="7"/>
        <v>101</v>
      </c>
      <c r="DA17" s="317">
        <f t="shared" si="7"/>
        <v>102</v>
      </c>
      <c r="DB17" s="317">
        <f t="shared" si="7"/>
        <v>103</v>
      </c>
      <c r="DC17" s="317">
        <f t="shared" si="7"/>
        <v>104</v>
      </c>
      <c r="DD17" s="317">
        <f t="shared" si="7"/>
        <v>105</v>
      </c>
      <c r="DE17" s="317">
        <f t="shared" si="7"/>
        <v>106</v>
      </c>
      <c r="DF17" s="317">
        <f t="shared" si="7"/>
        <v>107</v>
      </c>
      <c r="DG17" s="317">
        <f t="shared" si="7"/>
        <v>108</v>
      </c>
      <c r="DH17" s="317">
        <f t="shared" si="7"/>
        <v>109</v>
      </c>
      <c r="DI17" s="317">
        <f t="shared" si="7"/>
        <v>110</v>
      </c>
      <c r="DJ17" s="317">
        <f t="shared" si="7"/>
        <v>111</v>
      </c>
      <c r="DK17" s="317">
        <f t="shared" si="7"/>
        <v>112</v>
      </c>
      <c r="DL17" s="317">
        <f t="shared" si="7"/>
        <v>113</v>
      </c>
      <c r="DM17" s="317">
        <f t="shared" si="7"/>
        <v>114</v>
      </c>
      <c r="DN17" s="317">
        <f t="shared" si="7"/>
        <v>115</v>
      </c>
      <c r="DO17" s="317">
        <f t="shared" si="7"/>
        <v>116</v>
      </c>
      <c r="DP17" s="317">
        <f t="shared" si="7"/>
        <v>117</v>
      </c>
      <c r="DQ17" s="317">
        <f t="shared" si="7"/>
        <v>118</v>
      </c>
      <c r="DR17" s="317">
        <f t="shared" si="7"/>
        <v>119</v>
      </c>
      <c r="DS17" s="317">
        <f t="shared" si="7"/>
        <v>120</v>
      </c>
      <c r="DT17" s="317">
        <f t="shared" si="7"/>
        <v>121</v>
      </c>
      <c r="DU17" s="317">
        <f t="shared" si="7"/>
        <v>122</v>
      </c>
      <c r="DV17" s="317">
        <f t="shared" si="7"/>
        <v>123</v>
      </c>
      <c r="DW17" s="317">
        <f t="shared" si="7"/>
        <v>124</v>
      </c>
      <c r="DX17" s="317">
        <f t="shared" si="7"/>
        <v>125</v>
      </c>
      <c r="DY17" s="317">
        <f t="shared" si="7"/>
        <v>126</v>
      </c>
      <c r="DZ17" s="317">
        <f t="shared" si="7"/>
        <v>127</v>
      </c>
      <c r="EA17" s="317">
        <f t="shared" si="7"/>
        <v>128</v>
      </c>
      <c r="EB17" s="317">
        <f t="shared" si="7"/>
        <v>129</v>
      </c>
    </row>
    <row r="18" spans="1:132" ht="12.75" customHeight="1" x14ac:dyDescent="0.3">
      <c r="A18" s="306"/>
      <c r="B18" s="318"/>
      <c r="C18" s="318"/>
      <c r="D18" s="306"/>
      <c r="E18" s="306"/>
      <c r="F18" s="306"/>
      <c r="G18" s="306"/>
      <c r="H18" s="306"/>
      <c r="I18" s="306"/>
      <c r="J18" s="306"/>
      <c r="K18" s="306"/>
      <c r="L18" s="306"/>
      <c r="M18" s="306"/>
      <c r="N18" s="306"/>
      <c r="O18" s="306"/>
      <c r="P18" s="306"/>
      <c r="Q18" s="306"/>
      <c r="R18" s="306"/>
      <c r="S18" s="306"/>
      <c r="T18" s="319"/>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D18" s="306"/>
      <c r="BE18" s="306"/>
      <c r="BF18" s="306"/>
      <c r="BG18" s="306"/>
      <c r="BH18" s="306"/>
      <c r="BI18" s="306"/>
      <c r="BJ18" s="306"/>
      <c r="BK18" s="306"/>
      <c r="BL18" s="306"/>
      <c r="BM18" s="306"/>
      <c r="BN18" s="306"/>
      <c r="BO18" s="306"/>
      <c r="BP18" s="306"/>
      <c r="BQ18" s="306"/>
      <c r="BR18" s="306"/>
      <c r="BS18" s="306"/>
      <c r="BT18" s="306"/>
      <c r="BU18" s="306"/>
      <c r="BV18" s="306"/>
      <c r="BW18" s="306"/>
      <c r="BX18" s="306"/>
      <c r="BY18" s="306"/>
      <c r="BZ18" s="306"/>
      <c r="CA18" s="306"/>
      <c r="CB18" s="306"/>
      <c r="CC18" s="306"/>
      <c r="CD18" s="306"/>
      <c r="CE18" s="306"/>
      <c r="CF18" s="306"/>
      <c r="CG18" s="306"/>
      <c r="CH18" s="306"/>
      <c r="CI18" s="306"/>
      <c r="CJ18" s="306"/>
      <c r="CK18" s="306"/>
      <c r="CL18" s="306"/>
      <c r="CM18" s="306"/>
      <c r="CN18" s="306"/>
      <c r="CO18" s="306"/>
      <c r="CP18" s="306"/>
      <c r="CQ18" s="306"/>
      <c r="CR18" s="306"/>
      <c r="CS18" s="306"/>
      <c r="CT18" s="306"/>
      <c r="CU18" s="306"/>
      <c r="CV18" s="306"/>
      <c r="CW18" s="306"/>
      <c r="CX18" s="306"/>
      <c r="CY18" s="306"/>
      <c r="CZ18" s="306"/>
      <c r="DA18" s="306"/>
      <c r="DB18" s="306"/>
      <c r="DC18" s="306"/>
      <c r="DD18" s="306"/>
      <c r="DE18" s="306"/>
      <c r="DF18" s="306"/>
      <c r="DG18" s="306"/>
      <c r="DH18" s="306"/>
      <c r="DI18" s="306"/>
      <c r="DJ18" s="306"/>
      <c r="DK18" s="306"/>
      <c r="DL18" s="306"/>
      <c r="DM18" s="306"/>
      <c r="DN18" s="306"/>
      <c r="DO18" s="306"/>
      <c r="DP18" s="306"/>
      <c r="DQ18" s="306"/>
      <c r="DR18" s="306"/>
      <c r="DS18" s="306"/>
      <c r="DT18" s="306"/>
      <c r="DU18" s="306"/>
      <c r="DV18" s="306"/>
      <c r="DW18" s="306"/>
      <c r="DX18" s="306"/>
      <c r="DY18" s="306"/>
      <c r="DZ18" s="306"/>
      <c r="EA18" s="306"/>
      <c r="EB18" s="306"/>
    </row>
    <row r="19" spans="1:132" ht="12.75" customHeight="1" x14ac:dyDescent="0.3">
      <c r="B19" s="320"/>
      <c r="C19" s="320"/>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4"/>
      <c r="BK19" s="314"/>
      <c r="BL19" s="314"/>
      <c r="BM19" s="314"/>
      <c r="BN19" s="314"/>
      <c r="BO19" s="314"/>
      <c r="BP19" s="314"/>
      <c r="BQ19" s="314"/>
      <c r="BR19" s="314"/>
      <c r="BS19" s="314"/>
      <c r="BT19" s="314"/>
      <c r="BU19" s="314"/>
      <c r="BV19" s="314"/>
      <c r="BW19" s="314"/>
      <c r="BX19" s="314"/>
      <c r="BY19" s="314"/>
      <c r="BZ19" s="314"/>
      <c r="CA19" s="314"/>
      <c r="CB19" s="314"/>
      <c r="CC19" s="314"/>
      <c r="CD19" s="314"/>
      <c r="CE19" s="314"/>
      <c r="CF19" s="314"/>
      <c r="CG19" s="314"/>
      <c r="CH19" s="314"/>
      <c r="CI19" s="314"/>
      <c r="CJ19" s="314"/>
      <c r="CK19" s="314"/>
      <c r="CL19" s="314"/>
      <c r="CM19" s="314"/>
      <c r="CN19" s="314"/>
      <c r="CO19" s="314"/>
      <c r="CP19" s="314"/>
      <c r="CQ19" s="314"/>
      <c r="CR19" s="314"/>
      <c r="CS19" s="314"/>
      <c r="CT19" s="314"/>
      <c r="CU19" s="314"/>
      <c r="CV19" s="314"/>
      <c r="CW19" s="314"/>
      <c r="CX19" s="314"/>
      <c r="CY19" s="314"/>
      <c r="CZ19" s="314"/>
      <c r="DA19" s="314"/>
      <c r="DB19" s="314"/>
      <c r="DC19" s="314"/>
      <c r="DD19" s="314"/>
      <c r="DE19" s="314"/>
      <c r="DF19" s="314"/>
      <c r="DG19" s="314"/>
      <c r="DH19" s="314"/>
      <c r="DI19" s="314"/>
      <c r="DJ19" s="314"/>
      <c r="DK19" s="314"/>
      <c r="DL19" s="314"/>
      <c r="DM19" s="314"/>
      <c r="DN19" s="314"/>
      <c r="DO19" s="314"/>
      <c r="DP19" s="314"/>
      <c r="DQ19" s="314"/>
      <c r="DR19" s="314"/>
      <c r="DS19" s="314"/>
      <c r="DT19" s="314"/>
      <c r="DU19" s="314"/>
      <c r="DV19" s="314"/>
      <c r="DW19" s="314"/>
      <c r="DX19" s="314"/>
      <c r="DY19" s="314"/>
      <c r="DZ19" s="314"/>
      <c r="EA19" s="314"/>
      <c r="EB19" s="314"/>
    </row>
    <row r="20" spans="1:132" ht="12.75" customHeight="1" x14ac:dyDescent="0.3">
      <c r="A20" s="321" t="s">
        <v>131</v>
      </c>
      <c r="B20" s="322">
        <f ca="1">SUM(D20:EB20)</f>
        <v>300.00044746913852</v>
      </c>
      <c r="C20" s="319"/>
      <c r="D20" s="322">
        <f ca="1">'Monthly Cashflow'!D110</f>
        <v>6.8097661006957679</v>
      </c>
      <c r="E20" s="322">
        <f ca="1">'Monthly Cashflow'!E110</f>
        <v>8.4706402268235053</v>
      </c>
      <c r="F20" s="322">
        <f ca="1">'Monthly Cashflow'!F110</f>
        <v>5.9833547827146276</v>
      </c>
      <c r="G20" s="322">
        <f ca="1">'Monthly Cashflow'!G110</f>
        <v>6.0311625495994576</v>
      </c>
      <c r="H20" s="322">
        <f ca="1">'Monthly Cashflow'!H110</f>
        <v>6.0793523066315487</v>
      </c>
      <c r="I20" s="322">
        <f ca="1">'Monthly Cashflow'!I110</f>
        <v>6.127927105960822</v>
      </c>
      <c r="J20" s="322">
        <f ca="1">'Monthly Cashflow'!J110</f>
        <v>6.1768900241242761</v>
      </c>
      <c r="K20" s="322">
        <f ca="1">'Monthly Cashflow'!K110</f>
        <v>6.2506440946977619</v>
      </c>
      <c r="L20" s="322">
        <f ca="1">'Monthly Cashflow'!L110</f>
        <v>4.1680988412154107</v>
      </c>
      <c r="M20" s="322">
        <f ca="1">'Monthly Cashflow'!M110</f>
        <v>5.5751551502789951</v>
      </c>
      <c r="N20" s="322">
        <f ca="1">'Monthly Cashflow'!N110</f>
        <v>3.5018450155137728</v>
      </c>
      <c r="O20" s="322">
        <f ca="1">'Monthly Cashflow'!O110</f>
        <v>3.5172065022208301</v>
      </c>
      <c r="P20" s="322">
        <f ca="1">'Monthly Cashflow'!P110</f>
        <v>7.5139679677997577</v>
      </c>
      <c r="Q20" s="322">
        <f ca="1">'Monthly Cashflow'!Q110</f>
        <v>7.0164795493722636</v>
      </c>
      <c r="R20" s="322">
        <f ca="1">'Monthly Cashflow'!R110</f>
        <v>6.5979913576350242</v>
      </c>
      <c r="S20" s="322">
        <f ca="1">'Monthly Cashflow'!S110</f>
        <v>6.6269346592616074</v>
      </c>
      <c r="T20" s="322">
        <f ca="1">'Monthly Cashflow'!T110</f>
        <v>6.6560049259997385</v>
      </c>
      <c r="U20" s="322">
        <f ca="1">'Monthly Cashflow'!U110</f>
        <v>6.6852027148053281</v>
      </c>
      <c r="V20" s="322">
        <f ca="1">'Monthly Cashflow'!V110</f>
        <v>7.2912212201123481</v>
      </c>
      <c r="W20" s="322">
        <f ca="1">'Monthly Cashflow'!W110</f>
        <v>6.7724599806349914</v>
      </c>
      <c r="X20" s="322">
        <f ca="1">'Monthly Cashflow'!X110</f>
        <v>6.8021686209390708</v>
      </c>
      <c r="Y20" s="322">
        <f ca="1">'Monthly Cashflow'!Y110</f>
        <v>9.8385939357659709</v>
      </c>
      <c r="Z20" s="322">
        <f ca="1">'Monthly Cashflow'!Z110</f>
        <v>9.6606348517706806</v>
      </c>
      <c r="AA20" s="322">
        <f ca="1">'Monthly Cashflow'!AA110</f>
        <v>9.5157360451337922</v>
      </c>
      <c r="AB20" s="322">
        <f ca="1">'Monthly Cashflow'!AB110</f>
        <v>3.2986108460914068</v>
      </c>
      <c r="AC20" s="322">
        <f ca="1">'Monthly Cashflow'!AC110</f>
        <v>3.3130808087651928</v>
      </c>
      <c r="AD20" s="322">
        <f ca="1">'Monthly Cashflow'!AD110</f>
        <v>3.3276142465894907</v>
      </c>
      <c r="AE20" s="322">
        <f ca="1">'Monthly Cashflow'!AE110</f>
        <v>3.3422114380096275</v>
      </c>
      <c r="AF20" s="322">
        <f ca="1">'Monthly Cashflow'!AF110</f>
        <v>3.3676887110387952</v>
      </c>
      <c r="AG20" s="322">
        <f ca="1">'Monthly Cashflow'!AG110</f>
        <v>3.3824616964618883</v>
      </c>
      <c r="AH20" s="322">
        <f ca="1">'Monthly Cashflow'!AH110</f>
        <v>10.964392449071937</v>
      </c>
      <c r="AI20" s="322">
        <f ca="1">'Monthly Cashflow'!AI110</f>
        <v>9.4210993847007956</v>
      </c>
      <c r="AJ20" s="322">
        <f ca="1">'Monthly Cashflow'!AJ110</f>
        <v>9.0606590206237456</v>
      </c>
      <c r="AK20" s="322">
        <f ca="1">'Monthly Cashflow'!AK110</f>
        <v>6.4913977072196758</v>
      </c>
      <c r="AL20" s="322">
        <f ca="1">'Monthly Cashflow'!AL110</f>
        <v>6.5198734162095775</v>
      </c>
      <c r="AM20" s="322">
        <f ca="1">'Monthly Cashflow'!AM110</f>
        <v>6.548474039130042</v>
      </c>
      <c r="AN20" s="322">
        <f ca="1">'Monthly Cashflow'!AN110</f>
        <v>6.5772001239390363</v>
      </c>
      <c r="AO20" s="322">
        <f ca="1">'Monthly Cashflow'!AO110</f>
        <v>6.6292560334673851</v>
      </c>
      <c r="AP20" s="322">
        <f ca="1">'Monthly Cashflow'!AP110</f>
        <v>6.6583364833401504</v>
      </c>
      <c r="AQ20" s="322">
        <f ca="1">'Monthly Cashflow'!AQ110</f>
        <v>8.1958299518994977</v>
      </c>
      <c r="AR20" s="322">
        <f ca="1">'Monthly Cashflow'!AR110</f>
        <v>7.6718095157922335</v>
      </c>
      <c r="AS20" s="322">
        <f ca="1">'Monthly Cashflow'!AS110</f>
        <v>7.6964783591508308</v>
      </c>
      <c r="AT20" s="322">
        <f ca="1">'Monthly Cashflow'!AT110</f>
        <v>2.1331017353327866</v>
      </c>
      <c r="AU20" s="322">
        <f ca="1">'Monthly Cashflow'!AU110</f>
        <v>2.1424589781025247</v>
      </c>
      <c r="AV20" s="322">
        <f ca="1">'Monthly Cashflow'!AV110</f>
        <v>2.1518572681372348</v>
      </c>
      <c r="AW20" s="322">
        <f ca="1">'Monthly Cashflow'!AW110</f>
        <v>2.1612967854983935</v>
      </c>
      <c r="AX20" s="322">
        <f ca="1">'Monthly Cashflow'!AX110</f>
        <v>2.1707777110372035</v>
      </c>
      <c r="AY20" s="322">
        <f ca="1">'Monthly Cashflow'!AY110</f>
        <v>2.180300226398117</v>
      </c>
      <c r="AZ20" s="322">
        <f ca="1">'Monthly Cashflow'!AZ110</f>
        <v>3.1887886408269424</v>
      </c>
      <c r="BA20" s="322">
        <f ca="1">'Monthly Cashflow'!BA110</f>
        <v>2.2086872433145004</v>
      </c>
      <c r="BB20" s="322">
        <f ca="1">'Monthly Cashflow'!BB110</f>
        <v>2.2183760558055496</v>
      </c>
      <c r="BC20" s="322">
        <f ca="1">'Monthly Cashflow'!BC110</f>
        <v>2.2281073700531806</v>
      </c>
      <c r="BD20" s="322">
        <f ca="1">'Monthly Cashflow'!BD110</f>
        <v>2.2378813724992028</v>
      </c>
      <c r="BE20" s="322">
        <f ca="1">'Monthly Cashflow'!BE110</f>
        <v>2.8429013209242271</v>
      </c>
      <c r="BF20" s="322">
        <f ca="1">'Monthly Cashflow'!BF110</f>
        <v>0</v>
      </c>
      <c r="BG20" s="322">
        <f ca="1">'Monthly Cashflow'!BG110</f>
        <v>0</v>
      </c>
      <c r="BH20" s="322">
        <f ca="1">'Monthly Cashflow'!BH110</f>
        <v>0</v>
      </c>
      <c r="BI20" s="322">
        <f ca="1">'Monthly Cashflow'!BI110</f>
        <v>0</v>
      </c>
      <c r="BJ20" s="322">
        <f ca="1">'Monthly Cashflow'!BJ110</f>
        <v>0</v>
      </c>
      <c r="BK20" s="322">
        <f ca="1">'Monthly Cashflow'!BK110</f>
        <v>0</v>
      </c>
      <c r="BL20" s="322">
        <f ca="1">'Monthly Cashflow'!BL110</f>
        <v>0</v>
      </c>
      <c r="BM20" s="322">
        <f ca="1">'Monthly Cashflow'!BM110</f>
        <v>0</v>
      </c>
      <c r="BN20" s="322">
        <f ca="1">'Monthly Cashflow'!BN110</f>
        <v>0</v>
      </c>
      <c r="BO20" s="322">
        <f ca="1">'Monthly Cashflow'!BO110</f>
        <v>0</v>
      </c>
      <c r="BP20" s="322">
        <f ca="1">'Monthly Cashflow'!BP110</f>
        <v>0</v>
      </c>
      <c r="BQ20" s="322">
        <f ca="1">'Monthly Cashflow'!BQ110</f>
        <v>0</v>
      </c>
      <c r="BR20" s="322">
        <f ca="1">'Monthly Cashflow'!BR110</f>
        <v>0</v>
      </c>
      <c r="BS20" s="322">
        <f ca="1">'Monthly Cashflow'!BS110</f>
        <v>0</v>
      </c>
      <c r="BT20" s="322">
        <f ca="1">'Monthly Cashflow'!BT110</f>
        <v>0</v>
      </c>
      <c r="BU20" s="322">
        <f ca="1">'Monthly Cashflow'!BU110</f>
        <v>0</v>
      </c>
      <c r="BV20" s="322">
        <f ca="1">'Monthly Cashflow'!BV110</f>
        <v>0</v>
      </c>
      <c r="BW20" s="322">
        <f ca="1">'Monthly Cashflow'!BW110</f>
        <v>0</v>
      </c>
      <c r="BX20" s="322">
        <f ca="1">'Monthly Cashflow'!BX110</f>
        <v>0</v>
      </c>
      <c r="BY20" s="322">
        <f ca="1">'Monthly Cashflow'!BY110</f>
        <v>0</v>
      </c>
      <c r="BZ20" s="322">
        <f ca="1">'Monthly Cashflow'!BZ110</f>
        <v>0</v>
      </c>
      <c r="CA20" s="322">
        <f ca="1">'Monthly Cashflow'!CA110</f>
        <v>0</v>
      </c>
      <c r="CB20" s="322">
        <f ca="1">'Monthly Cashflow'!CB110</f>
        <v>0</v>
      </c>
      <c r="CC20" s="322">
        <f ca="1">'Monthly Cashflow'!CC110</f>
        <v>0</v>
      </c>
      <c r="CD20" s="322">
        <f ca="1">'Monthly Cashflow'!CD110</f>
        <v>0</v>
      </c>
      <c r="CE20" s="322">
        <f ca="1">'Monthly Cashflow'!CE110</f>
        <v>0</v>
      </c>
      <c r="CF20" s="322">
        <f ca="1">'Monthly Cashflow'!CF110</f>
        <v>0</v>
      </c>
      <c r="CG20" s="322">
        <f ca="1">'Monthly Cashflow'!CG110</f>
        <v>0</v>
      </c>
      <c r="CH20" s="322">
        <f ca="1">'Monthly Cashflow'!CH110</f>
        <v>0</v>
      </c>
      <c r="CI20" s="322">
        <f ca="1">'Monthly Cashflow'!CI110</f>
        <v>0</v>
      </c>
      <c r="CJ20" s="322">
        <f ca="1">'Monthly Cashflow'!CJ110</f>
        <v>0</v>
      </c>
      <c r="CK20" s="322">
        <f ca="1">'Monthly Cashflow'!CK110</f>
        <v>0</v>
      </c>
      <c r="CL20" s="322">
        <f ca="1">'Monthly Cashflow'!CL110</f>
        <v>0</v>
      </c>
      <c r="CM20" s="322">
        <f ca="1">'Monthly Cashflow'!CM110</f>
        <v>0</v>
      </c>
      <c r="CN20" s="322">
        <f ca="1">'Monthly Cashflow'!CN110</f>
        <v>0</v>
      </c>
      <c r="CO20" s="322">
        <f ca="1">'Monthly Cashflow'!CO110</f>
        <v>0</v>
      </c>
      <c r="CP20" s="322">
        <f ca="1">'Monthly Cashflow'!CP110</f>
        <v>0</v>
      </c>
      <c r="CQ20" s="322">
        <f ca="1">'Monthly Cashflow'!CQ110</f>
        <v>0</v>
      </c>
      <c r="CR20" s="322">
        <f ca="1">'Monthly Cashflow'!CR110</f>
        <v>0</v>
      </c>
      <c r="CS20" s="322">
        <f ca="1">'Monthly Cashflow'!CS110</f>
        <v>0</v>
      </c>
      <c r="CT20" s="322">
        <f ca="1">'Monthly Cashflow'!CT110</f>
        <v>0</v>
      </c>
      <c r="CU20" s="322">
        <f ca="1">'Monthly Cashflow'!CU110</f>
        <v>0</v>
      </c>
      <c r="CV20" s="322">
        <f ca="1">'Monthly Cashflow'!CV110</f>
        <v>0</v>
      </c>
      <c r="CW20" s="322">
        <f ca="1">'Monthly Cashflow'!CW110</f>
        <v>0</v>
      </c>
      <c r="CX20" s="322">
        <f ca="1">'Monthly Cashflow'!CX110</f>
        <v>0</v>
      </c>
      <c r="CY20" s="322">
        <f ca="1">'Monthly Cashflow'!CY110</f>
        <v>0</v>
      </c>
      <c r="CZ20" s="322">
        <f ca="1">'Monthly Cashflow'!CZ110</f>
        <v>0</v>
      </c>
      <c r="DA20" s="322">
        <f ca="1">'Monthly Cashflow'!DA110</f>
        <v>0</v>
      </c>
      <c r="DB20" s="322">
        <f ca="1">'Monthly Cashflow'!DB110</f>
        <v>0</v>
      </c>
      <c r="DC20" s="322">
        <f ca="1">'Monthly Cashflow'!DC110</f>
        <v>0</v>
      </c>
      <c r="DD20" s="322">
        <f ca="1">'Monthly Cashflow'!DD110</f>
        <v>0</v>
      </c>
      <c r="DE20" s="322">
        <f ca="1">'Monthly Cashflow'!DE110</f>
        <v>0</v>
      </c>
      <c r="DF20" s="322">
        <f ca="1">'Monthly Cashflow'!DF110</f>
        <v>0</v>
      </c>
      <c r="DG20" s="322">
        <f ca="1">'Monthly Cashflow'!DG110</f>
        <v>0</v>
      </c>
      <c r="DH20" s="322">
        <f ca="1">'Monthly Cashflow'!DH110</f>
        <v>0</v>
      </c>
      <c r="DI20" s="322">
        <f ca="1">'Monthly Cashflow'!DI110</f>
        <v>0</v>
      </c>
      <c r="DJ20" s="322">
        <f ca="1">'Monthly Cashflow'!DJ110</f>
        <v>0</v>
      </c>
      <c r="DK20" s="322">
        <f ca="1">'Monthly Cashflow'!DK110</f>
        <v>0</v>
      </c>
      <c r="DL20" s="322">
        <f ca="1">'Monthly Cashflow'!DL110</f>
        <v>0</v>
      </c>
      <c r="DM20" s="322">
        <f ca="1">'Monthly Cashflow'!DM110</f>
        <v>0</v>
      </c>
      <c r="DN20" s="322">
        <f ca="1">'Monthly Cashflow'!DN110</f>
        <v>0</v>
      </c>
      <c r="DO20" s="322">
        <f ca="1">'Monthly Cashflow'!DO110</f>
        <v>0</v>
      </c>
      <c r="DP20" s="322">
        <f ca="1">'Monthly Cashflow'!DP110</f>
        <v>0</v>
      </c>
      <c r="DQ20" s="322">
        <f ca="1">'Monthly Cashflow'!DQ110</f>
        <v>0</v>
      </c>
      <c r="DR20" s="322">
        <f ca="1">'Monthly Cashflow'!DR110</f>
        <v>0</v>
      </c>
      <c r="DS20" s="322">
        <f ca="1">'Monthly Cashflow'!DS110</f>
        <v>0</v>
      </c>
      <c r="DT20" s="322">
        <f ca="1">'Monthly Cashflow'!DT110</f>
        <v>0</v>
      </c>
      <c r="DU20" s="322">
        <f ca="1">'Monthly Cashflow'!DU110</f>
        <v>0</v>
      </c>
      <c r="DV20" s="322">
        <f ca="1">'Monthly Cashflow'!DV110</f>
        <v>0</v>
      </c>
      <c r="DW20" s="322">
        <f ca="1">'Monthly Cashflow'!DW110</f>
        <v>0</v>
      </c>
      <c r="DX20" s="322">
        <f ca="1">'Monthly Cashflow'!DX110</f>
        <v>0</v>
      </c>
      <c r="DY20" s="322">
        <f ca="1">'Monthly Cashflow'!DY110</f>
        <v>0</v>
      </c>
      <c r="DZ20" s="322">
        <f ca="1">'Monthly Cashflow'!DZ110</f>
        <v>0</v>
      </c>
      <c r="EA20" s="322">
        <f ca="1">'Monthly Cashflow'!EA110</f>
        <v>0</v>
      </c>
      <c r="EB20" s="322">
        <f ca="1">'Monthly Cashflow'!EB110</f>
        <v>0</v>
      </c>
    </row>
    <row r="21" spans="1:132" ht="12.75" customHeight="1" x14ac:dyDescent="0.3">
      <c r="A21" s="323" t="s">
        <v>132</v>
      </c>
      <c r="B21" s="320">
        <f ca="1">($B$20)*$C$7</f>
        <v>2.1240031680815004</v>
      </c>
      <c r="C21" s="324"/>
      <c r="D21" s="322"/>
      <c r="E21" s="322"/>
      <c r="F21" s="322">
        <v>0</v>
      </c>
      <c r="G21" s="322">
        <v>0</v>
      </c>
      <c r="H21" s="322">
        <v>0</v>
      </c>
      <c r="I21" s="322">
        <v>0</v>
      </c>
      <c r="J21" s="322">
        <v>0</v>
      </c>
      <c r="K21" s="322">
        <v>0</v>
      </c>
      <c r="L21" s="322">
        <v>0</v>
      </c>
      <c r="M21" s="322">
        <v>0</v>
      </c>
      <c r="N21" s="322">
        <v>0</v>
      </c>
      <c r="O21" s="322">
        <v>0</v>
      </c>
      <c r="P21" s="322">
        <v>0</v>
      </c>
      <c r="Q21" s="322">
        <v>0</v>
      </c>
      <c r="R21" s="322">
        <v>0</v>
      </c>
      <c r="S21" s="322">
        <v>0</v>
      </c>
      <c r="T21" s="322">
        <v>0</v>
      </c>
      <c r="U21" s="322">
        <v>0</v>
      </c>
      <c r="V21" s="322">
        <v>0</v>
      </c>
      <c r="W21" s="322">
        <v>0</v>
      </c>
      <c r="X21" s="322">
        <v>0</v>
      </c>
      <c r="Y21" s="322">
        <v>0</v>
      </c>
      <c r="Z21" s="322">
        <v>0</v>
      </c>
      <c r="AA21" s="322">
        <v>0</v>
      </c>
      <c r="AB21" s="322">
        <v>0</v>
      </c>
      <c r="AC21" s="322">
        <v>0</v>
      </c>
      <c r="AD21" s="322">
        <v>0</v>
      </c>
      <c r="AE21" s="322">
        <v>0</v>
      </c>
      <c r="AF21" s="322">
        <v>0</v>
      </c>
      <c r="AG21" s="322">
        <v>0</v>
      </c>
      <c r="AH21" s="322">
        <v>0</v>
      </c>
      <c r="AI21" s="322">
        <v>0</v>
      </c>
      <c r="AJ21" s="322">
        <v>0</v>
      </c>
      <c r="AK21" s="322">
        <v>0</v>
      </c>
      <c r="AL21" s="322">
        <v>0</v>
      </c>
      <c r="AM21" s="322">
        <v>0</v>
      </c>
      <c r="AN21" s="322">
        <v>0</v>
      </c>
      <c r="AO21" s="322">
        <v>0</v>
      </c>
      <c r="AP21" s="322">
        <v>0</v>
      </c>
      <c r="AQ21" s="322">
        <v>0</v>
      </c>
      <c r="AR21" s="322">
        <v>0</v>
      </c>
      <c r="AS21" s="322">
        <v>0</v>
      </c>
      <c r="AT21" s="322">
        <v>0</v>
      </c>
      <c r="AU21" s="322">
        <v>0</v>
      </c>
      <c r="AV21" s="322">
        <v>0</v>
      </c>
      <c r="AW21" s="322">
        <v>0</v>
      </c>
      <c r="AX21" s="322">
        <v>0</v>
      </c>
      <c r="AY21" s="322">
        <v>0</v>
      </c>
      <c r="AZ21" s="322">
        <v>0</v>
      </c>
      <c r="BA21" s="322">
        <v>0</v>
      </c>
      <c r="BB21" s="322">
        <v>0</v>
      </c>
      <c r="BC21" s="322">
        <v>0</v>
      </c>
      <c r="BD21" s="322">
        <v>0</v>
      </c>
      <c r="BE21" s="322">
        <v>0</v>
      </c>
      <c r="BF21" s="322">
        <v>0</v>
      </c>
      <c r="BG21" s="322">
        <v>0</v>
      </c>
      <c r="BH21" s="322">
        <v>0</v>
      </c>
      <c r="BI21" s="322">
        <v>0</v>
      </c>
      <c r="BJ21" s="322">
        <v>0</v>
      </c>
      <c r="BK21" s="322">
        <v>0</v>
      </c>
      <c r="BL21" s="322">
        <v>0</v>
      </c>
      <c r="BM21" s="322">
        <v>0</v>
      </c>
      <c r="BN21" s="322">
        <v>0</v>
      </c>
      <c r="BO21" s="322">
        <v>0</v>
      </c>
      <c r="BP21" s="322">
        <v>0</v>
      </c>
      <c r="BQ21" s="322">
        <v>0</v>
      </c>
      <c r="BR21" s="322">
        <v>0</v>
      </c>
      <c r="BS21" s="322">
        <v>0</v>
      </c>
      <c r="BT21" s="322">
        <v>0</v>
      </c>
      <c r="BU21" s="322">
        <v>0</v>
      </c>
      <c r="BV21" s="322">
        <v>0</v>
      </c>
      <c r="BW21" s="322">
        <v>0</v>
      </c>
      <c r="BX21" s="322">
        <v>0</v>
      </c>
      <c r="BY21" s="322">
        <v>0</v>
      </c>
      <c r="BZ21" s="322">
        <v>0</v>
      </c>
      <c r="CA21" s="322">
        <v>0</v>
      </c>
      <c r="CB21" s="322">
        <v>0</v>
      </c>
      <c r="CC21" s="322">
        <v>0</v>
      </c>
      <c r="CD21" s="322">
        <v>0</v>
      </c>
      <c r="CE21" s="322">
        <v>0</v>
      </c>
      <c r="CF21" s="322">
        <v>0</v>
      </c>
      <c r="CG21" s="322">
        <v>0</v>
      </c>
      <c r="CH21" s="322">
        <v>0</v>
      </c>
      <c r="CI21" s="322">
        <v>0</v>
      </c>
      <c r="CJ21" s="322">
        <v>0</v>
      </c>
      <c r="CK21" s="322">
        <v>0</v>
      </c>
      <c r="CL21" s="322">
        <v>0</v>
      </c>
      <c r="CM21" s="322">
        <v>0</v>
      </c>
      <c r="CN21" s="322">
        <v>0</v>
      </c>
      <c r="CO21" s="322">
        <v>0</v>
      </c>
      <c r="CP21" s="322">
        <v>0</v>
      </c>
      <c r="CQ21" s="322">
        <v>0</v>
      </c>
      <c r="CR21" s="322">
        <v>0</v>
      </c>
      <c r="CS21" s="322">
        <v>0</v>
      </c>
      <c r="CT21" s="322">
        <v>0</v>
      </c>
      <c r="CU21" s="322">
        <v>0</v>
      </c>
      <c r="CV21" s="322">
        <v>0</v>
      </c>
      <c r="CW21" s="322">
        <v>0</v>
      </c>
      <c r="CX21" s="322">
        <v>0</v>
      </c>
      <c r="CY21" s="322">
        <v>0</v>
      </c>
      <c r="CZ21" s="322">
        <v>0</v>
      </c>
      <c r="DA21" s="322">
        <v>0</v>
      </c>
      <c r="DB21" s="322">
        <v>0</v>
      </c>
      <c r="DC21" s="322">
        <v>0</v>
      </c>
      <c r="DD21" s="322">
        <v>0</v>
      </c>
      <c r="DE21" s="322">
        <v>0</v>
      </c>
      <c r="DF21" s="322">
        <v>0</v>
      </c>
      <c r="DG21" s="322">
        <v>0</v>
      </c>
      <c r="DH21" s="322">
        <v>0</v>
      </c>
      <c r="DI21" s="322">
        <v>0</v>
      </c>
      <c r="DJ21" s="322">
        <v>0</v>
      </c>
      <c r="DK21" s="322">
        <v>0</v>
      </c>
      <c r="DL21" s="322">
        <v>0</v>
      </c>
      <c r="DM21" s="322">
        <v>0</v>
      </c>
      <c r="DN21" s="322">
        <v>0</v>
      </c>
      <c r="DO21" s="322">
        <v>0</v>
      </c>
      <c r="DP21" s="322">
        <v>0</v>
      </c>
      <c r="DQ21" s="322">
        <v>0</v>
      </c>
      <c r="DR21" s="322">
        <v>0</v>
      </c>
      <c r="DS21" s="322">
        <v>0</v>
      </c>
      <c r="DT21" s="322">
        <v>0</v>
      </c>
      <c r="DU21" s="322">
        <v>0</v>
      </c>
      <c r="DV21" s="322">
        <v>0</v>
      </c>
      <c r="DW21" s="322">
        <v>0</v>
      </c>
      <c r="DX21" s="322">
        <v>0</v>
      </c>
      <c r="DY21" s="322">
        <v>0</v>
      </c>
      <c r="DZ21" s="322">
        <v>0</v>
      </c>
      <c r="EA21" s="322">
        <v>0</v>
      </c>
      <c r="EB21" s="322">
        <v>0</v>
      </c>
    </row>
    <row r="22" spans="1:132" ht="12.75" customHeight="1" x14ac:dyDescent="0.3">
      <c r="A22" s="325"/>
      <c r="B22" s="324"/>
      <c r="C22" s="326"/>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c r="BG22" s="319"/>
      <c r="BH22" s="319"/>
      <c r="BI22" s="319"/>
      <c r="BJ22" s="319"/>
      <c r="BK22" s="319"/>
      <c r="BL22" s="319"/>
      <c r="BM22" s="319"/>
      <c r="BN22" s="319"/>
      <c r="BO22" s="319"/>
      <c r="BP22" s="319"/>
      <c r="BQ22" s="319"/>
      <c r="BR22" s="319"/>
      <c r="BS22" s="319"/>
      <c r="BT22" s="319"/>
      <c r="BU22" s="319"/>
      <c r="BV22" s="319"/>
      <c r="BW22" s="319"/>
      <c r="BX22" s="319"/>
      <c r="BY22" s="319"/>
      <c r="BZ22" s="319"/>
      <c r="CA22" s="319"/>
      <c r="CB22" s="319"/>
      <c r="CC22" s="319"/>
      <c r="CD22" s="319"/>
      <c r="CE22" s="319"/>
      <c r="CF22" s="319"/>
      <c r="CG22" s="319"/>
      <c r="CH22" s="319"/>
      <c r="CI22" s="319"/>
      <c r="CJ22" s="319"/>
      <c r="CK22" s="319"/>
      <c r="CL22" s="319"/>
      <c r="CM22" s="319"/>
      <c r="CN22" s="319"/>
      <c r="CO22" s="319"/>
      <c r="CP22" s="319"/>
      <c r="CQ22" s="319"/>
      <c r="CR22" s="319"/>
      <c r="CS22" s="319"/>
      <c r="CT22" s="319"/>
      <c r="CU22" s="319"/>
      <c r="CV22" s="319"/>
      <c r="CW22" s="319"/>
      <c r="CX22" s="319"/>
      <c r="CY22" s="319"/>
      <c r="CZ22" s="319"/>
      <c r="DA22" s="319"/>
      <c r="DB22" s="319"/>
      <c r="DC22" s="319"/>
      <c r="DD22" s="319"/>
      <c r="DE22" s="319"/>
      <c r="DF22" s="319"/>
      <c r="DG22" s="319"/>
      <c r="DH22" s="319"/>
      <c r="DI22" s="319"/>
      <c r="DJ22" s="319"/>
      <c r="DK22" s="319"/>
      <c r="DL22" s="319"/>
      <c r="DM22" s="319"/>
      <c r="DN22" s="319"/>
      <c r="DO22" s="319"/>
      <c r="DP22" s="319"/>
      <c r="DQ22" s="319"/>
      <c r="DR22" s="319"/>
      <c r="DS22" s="319"/>
      <c r="DT22" s="319"/>
      <c r="DU22" s="319"/>
      <c r="DV22" s="319"/>
      <c r="DW22" s="319"/>
      <c r="DX22" s="319"/>
      <c r="DY22" s="319"/>
      <c r="DZ22" s="319"/>
      <c r="EA22" s="319"/>
      <c r="EB22" s="319"/>
    </row>
    <row r="23" spans="1:132" ht="12.75" customHeight="1" x14ac:dyDescent="0.3">
      <c r="A23" s="327" t="s">
        <v>45</v>
      </c>
      <c r="B23" s="328"/>
      <c r="C23" s="329"/>
      <c r="D23" s="328">
        <v>0</v>
      </c>
      <c r="E23" s="328">
        <f ca="1">D28</f>
        <v>6.8097661006957679</v>
      </c>
      <c r="F23" s="328">
        <f t="shared" ref="F23:P23" ca="1" si="8">E28</f>
        <v>15.280406327519273</v>
      </c>
      <c r="G23" s="328">
        <f t="shared" ca="1" si="8"/>
        <v>21.263761110233901</v>
      </c>
      <c r="H23" s="328">
        <f t="shared" ca="1" si="8"/>
        <v>27.294923659833358</v>
      </c>
      <c r="I23" s="328">
        <f t="shared" ca="1" si="8"/>
        <v>33.374275966464907</v>
      </c>
      <c r="J23" s="328">
        <f t="shared" ca="1" si="8"/>
        <v>39.502203072425729</v>
      </c>
      <c r="K23" s="328">
        <f t="shared" ca="1" si="8"/>
        <v>45.679093096550005</v>
      </c>
      <c r="L23" s="328">
        <f t="shared" ca="1" si="8"/>
        <v>51.929737191247767</v>
      </c>
      <c r="M23" s="328">
        <f t="shared" ca="1" si="8"/>
        <v>56.097836032463178</v>
      </c>
      <c r="N23" s="328">
        <f t="shared" ca="1" si="8"/>
        <v>61.672991182742173</v>
      </c>
      <c r="O23" s="328">
        <f t="shared" ca="1" si="8"/>
        <v>65.174836198255946</v>
      </c>
      <c r="P23" s="328">
        <f t="shared" ca="1" si="8"/>
        <v>68.692042700476776</v>
      </c>
      <c r="Q23" s="328">
        <f t="shared" ref="Q23:AV23" ca="1" si="9">P28</f>
        <v>76.206010668276534</v>
      </c>
      <c r="R23" s="328">
        <f t="shared" ca="1" si="9"/>
        <v>83.222490217648797</v>
      </c>
      <c r="S23" s="328">
        <f t="shared" ca="1" si="9"/>
        <v>89.820481575283821</v>
      </c>
      <c r="T23" s="328">
        <f t="shared" ca="1" si="9"/>
        <v>96.447416234545429</v>
      </c>
      <c r="U23" s="328">
        <f t="shared" ca="1" si="9"/>
        <v>103.10342116054517</v>
      </c>
      <c r="V23" s="328">
        <f t="shared" ca="1" si="9"/>
        <v>109.7886238753505</v>
      </c>
      <c r="W23" s="328">
        <f t="shared" ca="1" si="9"/>
        <v>117.07984509546284</v>
      </c>
      <c r="X23" s="328">
        <f t="shared" ca="1" si="9"/>
        <v>123.85230507609784</v>
      </c>
      <c r="Y23" s="328">
        <f t="shared" ca="1" si="9"/>
        <v>130.65447369703691</v>
      </c>
      <c r="Z23" s="328">
        <f t="shared" ca="1" si="9"/>
        <v>140.49306763280288</v>
      </c>
      <c r="AA23" s="328">
        <f t="shared" ca="1" si="9"/>
        <v>150.15370248457356</v>
      </c>
      <c r="AB23" s="328">
        <f t="shared" ca="1" si="9"/>
        <v>159.66943852970735</v>
      </c>
      <c r="AC23" s="328">
        <f t="shared" ca="1" si="9"/>
        <v>162.96804937579876</v>
      </c>
      <c r="AD23" s="328">
        <f t="shared" ca="1" si="9"/>
        <v>166.28113018456395</v>
      </c>
      <c r="AE23" s="328">
        <f t="shared" ca="1" si="9"/>
        <v>169.60874443115344</v>
      </c>
      <c r="AF23" s="328">
        <f t="shared" ca="1" si="9"/>
        <v>172.95095586916307</v>
      </c>
      <c r="AG23" s="328">
        <f t="shared" ca="1" si="9"/>
        <v>176.31864458020186</v>
      </c>
      <c r="AH23" s="328">
        <f t="shared" ca="1" si="9"/>
        <v>179.70110627666375</v>
      </c>
      <c r="AI23" s="328">
        <f t="shared" ca="1" si="9"/>
        <v>190.66549872573569</v>
      </c>
      <c r="AJ23" s="328">
        <f t="shared" ca="1" si="9"/>
        <v>200.08659811043648</v>
      </c>
      <c r="AK23" s="328">
        <f t="shared" ca="1" si="9"/>
        <v>209.14725713106023</v>
      </c>
      <c r="AL23" s="328">
        <f t="shared" ca="1" si="9"/>
        <v>215.6386548382799</v>
      </c>
      <c r="AM23" s="328">
        <f t="shared" ca="1" si="9"/>
        <v>222.15852825448948</v>
      </c>
      <c r="AN23" s="328">
        <f t="shared" ca="1" si="9"/>
        <v>228.70700229361952</v>
      </c>
      <c r="AO23" s="328">
        <f t="shared" ca="1" si="9"/>
        <v>235.28420241755856</v>
      </c>
      <c r="AP23" s="328">
        <f t="shared" ca="1" si="9"/>
        <v>241.91345845102592</v>
      </c>
      <c r="AQ23" s="328">
        <f t="shared" ca="1" si="9"/>
        <v>248.5717949343661</v>
      </c>
      <c r="AR23" s="328">
        <f t="shared" ca="1" si="9"/>
        <v>256.76762488626554</v>
      </c>
      <c r="AS23" s="328">
        <f t="shared" ca="1" si="9"/>
        <v>264.43943440205783</v>
      </c>
      <c r="AT23" s="328">
        <f t="shared" ca="1" si="9"/>
        <v>272.1359127612086</v>
      </c>
      <c r="AU23" s="328">
        <f t="shared" ca="1" si="9"/>
        <v>274.26901449654144</v>
      </c>
      <c r="AV23" s="328">
        <f t="shared" ca="1" si="9"/>
        <v>276.41147347464391</v>
      </c>
      <c r="AW23" s="328">
        <f t="shared" ref="AW23:CB23" ca="1" si="10">AV28</f>
        <v>278.5633307427812</v>
      </c>
      <c r="AX23" s="328">
        <f t="shared" ca="1" si="10"/>
        <v>280.72462752827954</v>
      </c>
      <c r="AY23" s="328">
        <f t="shared" ca="1" si="10"/>
        <v>282.8954052393168</v>
      </c>
      <c r="AZ23" s="328">
        <f t="shared" ca="1" si="10"/>
        <v>285.07570546571486</v>
      </c>
      <c r="BA23" s="328">
        <f t="shared" ca="1" si="10"/>
        <v>288.26449410654186</v>
      </c>
      <c r="BB23" s="328">
        <f t="shared" ca="1" si="10"/>
        <v>290.4731813498563</v>
      </c>
      <c r="BC23" s="328">
        <f t="shared" ca="1" si="10"/>
        <v>292.69155740566191</v>
      </c>
      <c r="BD23" s="328">
        <f t="shared" ca="1" si="10"/>
        <v>294.91966477571503</v>
      </c>
      <c r="BE23" s="328">
        <f t="shared" ca="1" si="10"/>
        <v>297.15754614821429</v>
      </c>
      <c r="BF23" s="328">
        <f t="shared" ca="1" si="10"/>
        <v>300.00044746913846</v>
      </c>
      <c r="BG23" s="328">
        <f t="shared" ca="1" si="10"/>
        <v>300.00044746913852</v>
      </c>
      <c r="BH23" s="328">
        <f t="shared" ca="1" si="10"/>
        <v>300.00044746913846</v>
      </c>
      <c r="BI23" s="328">
        <f t="shared" ca="1" si="10"/>
        <v>300.00044746913852</v>
      </c>
      <c r="BJ23" s="328">
        <f t="shared" ca="1" si="10"/>
        <v>300.00044746913846</v>
      </c>
      <c r="BK23" s="328">
        <f t="shared" ca="1" si="10"/>
        <v>300.00044746913852</v>
      </c>
      <c r="BL23" s="328">
        <f t="shared" ca="1" si="10"/>
        <v>0</v>
      </c>
      <c r="BM23" s="328">
        <f t="shared" ca="1" si="10"/>
        <v>0</v>
      </c>
      <c r="BN23" s="328">
        <f t="shared" ca="1" si="10"/>
        <v>0</v>
      </c>
      <c r="BO23" s="328">
        <f t="shared" ca="1" si="10"/>
        <v>0</v>
      </c>
      <c r="BP23" s="328">
        <f t="shared" ca="1" si="10"/>
        <v>0</v>
      </c>
      <c r="BQ23" s="328">
        <f t="shared" ca="1" si="10"/>
        <v>0</v>
      </c>
      <c r="BR23" s="328">
        <f t="shared" ca="1" si="10"/>
        <v>0</v>
      </c>
      <c r="BS23" s="328">
        <f t="shared" ca="1" si="10"/>
        <v>0</v>
      </c>
      <c r="BT23" s="328">
        <f t="shared" ca="1" si="10"/>
        <v>0</v>
      </c>
      <c r="BU23" s="328">
        <f t="shared" ca="1" si="10"/>
        <v>0</v>
      </c>
      <c r="BV23" s="328">
        <f t="shared" ca="1" si="10"/>
        <v>0</v>
      </c>
      <c r="BW23" s="328">
        <f t="shared" ca="1" si="10"/>
        <v>0</v>
      </c>
      <c r="BX23" s="328">
        <f t="shared" ca="1" si="10"/>
        <v>0</v>
      </c>
      <c r="BY23" s="328">
        <f t="shared" ca="1" si="10"/>
        <v>0</v>
      </c>
      <c r="BZ23" s="328">
        <f t="shared" ca="1" si="10"/>
        <v>0</v>
      </c>
      <c r="CA23" s="328">
        <f t="shared" ca="1" si="10"/>
        <v>0</v>
      </c>
      <c r="CB23" s="328">
        <f t="shared" ca="1" si="10"/>
        <v>0</v>
      </c>
      <c r="CC23" s="328">
        <f t="shared" ref="CC23:DH23" ca="1" si="11">CB28</f>
        <v>0</v>
      </c>
      <c r="CD23" s="328">
        <f t="shared" ca="1" si="11"/>
        <v>0</v>
      </c>
      <c r="CE23" s="328">
        <f t="shared" ca="1" si="11"/>
        <v>0</v>
      </c>
      <c r="CF23" s="328">
        <f t="shared" ca="1" si="11"/>
        <v>0</v>
      </c>
      <c r="CG23" s="328">
        <f t="shared" ca="1" si="11"/>
        <v>0</v>
      </c>
      <c r="CH23" s="328">
        <f t="shared" ca="1" si="11"/>
        <v>0</v>
      </c>
      <c r="CI23" s="328">
        <f t="shared" ca="1" si="11"/>
        <v>0</v>
      </c>
      <c r="CJ23" s="328">
        <f t="shared" ca="1" si="11"/>
        <v>0</v>
      </c>
      <c r="CK23" s="328">
        <f t="shared" ca="1" si="11"/>
        <v>0</v>
      </c>
      <c r="CL23" s="328">
        <f t="shared" ca="1" si="11"/>
        <v>0</v>
      </c>
      <c r="CM23" s="328">
        <f t="shared" ca="1" si="11"/>
        <v>0</v>
      </c>
      <c r="CN23" s="328">
        <f t="shared" ca="1" si="11"/>
        <v>0</v>
      </c>
      <c r="CO23" s="328">
        <f t="shared" ca="1" si="11"/>
        <v>0</v>
      </c>
      <c r="CP23" s="328">
        <f t="shared" ca="1" si="11"/>
        <v>0</v>
      </c>
      <c r="CQ23" s="328">
        <f t="shared" ca="1" si="11"/>
        <v>0</v>
      </c>
      <c r="CR23" s="328">
        <f t="shared" ca="1" si="11"/>
        <v>0</v>
      </c>
      <c r="CS23" s="328">
        <f t="shared" ca="1" si="11"/>
        <v>0</v>
      </c>
      <c r="CT23" s="328">
        <f t="shared" ca="1" si="11"/>
        <v>0</v>
      </c>
      <c r="CU23" s="328">
        <f t="shared" ca="1" si="11"/>
        <v>0</v>
      </c>
      <c r="CV23" s="328">
        <f t="shared" ca="1" si="11"/>
        <v>0</v>
      </c>
      <c r="CW23" s="328">
        <f t="shared" ca="1" si="11"/>
        <v>0</v>
      </c>
      <c r="CX23" s="328">
        <f t="shared" ca="1" si="11"/>
        <v>0</v>
      </c>
      <c r="CY23" s="328">
        <f t="shared" ca="1" si="11"/>
        <v>0</v>
      </c>
      <c r="CZ23" s="328">
        <f t="shared" ca="1" si="11"/>
        <v>0</v>
      </c>
      <c r="DA23" s="328">
        <f t="shared" ca="1" si="11"/>
        <v>0</v>
      </c>
      <c r="DB23" s="328">
        <f t="shared" ca="1" si="11"/>
        <v>0</v>
      </c>
      <c r="DC23" s="328">
        <f t="shared" ca="1" si="11"/>
        <v>0</v>
      </c>
      <c r="DD23" s="328">
        <f t="shared" ca="1" si="11"/>
        <v>0</v>
      </c>
      <c r="DE23" s="328">
        <f t="shared" ca="1" si="11"/>
        <v>0</v>
      </c>
      <c r="DF23" s="328">
        <f t="shared" ca="1" si="11"/>
        <v>0</v>
      </c>
      <c r="DG23" s="328">
        <f t="shared" ca="1" si="11"/>
        <v>0</v>
      </c>
      <c r="DH23" s="328">
        <f t="shared" ca="1" si="11"/>
        <v>0</v>
      </c>
      <c r="DI23" s="328">
        <f t="shared" ref="DI23:EB23" ca="1" si="12">DH28</f>
        <v>0</v>
      </c>
      <c r="DJ23" s="328">
        <f t="shared" ca="1" si="12"/>
        <v>0</v>
      </c>
      <c r="DK23" s="328">
        <f t="shared" ca="1" si="12"/>
        <v>0</v>
      </c>
      <c r="DL23" s="328">
        <f t="shared" ca="1" si="12"/>
        <v>0</v>
      </c>
      <c r="DM23" s="328">
        <f t="shared" ca="1" si="12"/>
        <v>0</v>
      </c>
      <c r="DN23" s="328">
        <f t="shared" ca="1" si="12"/>
        <v>0</v>
      </c>
      <c r="DO23" s="328">
        <f t="shared" ca="1" si="12"/>
        <v>0</v>
      </c>
      <c r="DP23" s="328">
        <f t="shared" ca="1" si="12"/>
        <v>0</v>
      </c>
      <c r="DQ23" s="328">
        <f t="shared" ca="1" si="12"/>
        <v>0</v>
      </c>
      <c r="DR23" s="328">
        <f t="shared" ca="1" si="12"/>
        <v>0</v>
      </c>
      <c r="DS23" s="328">
        <f t="shared" ca="1" si="12"/>
        <v>0</v>
      </c>
      <c r="DT23" s="328">
        <f t="shared" ca="1" si="12"/>
        <v>0</v>
      </c>
      <c r="DU23" s="328">
        <f t="shared" ca="1" si="12"/>
        <v>0</v>
      </c>
      <c r="DV23" s="328">
        <f t="shared" ca="1" si="12"/>
        <v>0</v>
      </c>
      <c r="DW23" s="328">
        <f t="shared" ca="1" si="12"/>
        <v>0</v>
      </c>
      <c r="DX23" s="328">
        <f t="shared" ca="1" si="12"/>
        <v>0</v>
      </c>
      <c r="DY23" s="328">
        <f t="shared" ca="1" si="12"/>
        <v>0</v>
      </c>
      <c r="DZ23" s="328">
        <f t="shared" ca="1" si="12"/>
        <v>0</v>
      </c>
      <c r="EA23" s="328">
        <f t="shared" ca="1" si="12"/>
        <v>0</v>
      </c>
      <c r="EB23" s="328">
        <f t="shared" ca="1" si="12"/>
        <v>0</v>
      </c>
    </row>
    <row r="24" spans="1:132" ht="12.75" customHeight="1" x14ac:dyDescent="0.3">
      <c r="A24" s="330" t="s">
        <v>51</v>
      </c>
      <c r="B24" s="320">
        <f ca="1">SUM(D24:EB24)</f>
        <v>85.802464749012245</v>
      </c>
      <c r="C24" s="329"/>
      <c r="D24" s="331">
        <f ca="1">IFERROR(AVERAGE(D25,D28)*$C$5/12,0)</f>
        <v>5.4194388551370487E-2</v>
      </c>
      <c r="E24" s="331">
        <f ca="1">IFERROR(AVERAGE(E23,E28)*$C$5/12,0)</f>
        <v>8.7900477787272349E-2</v>
      </c>
      <c r="F24" s="331">
        <f t="shared" ref="F24:BP24" ca="1" si="13">IFERROR(AVERAGE(F23,F28)*$C$5/12,0)</f>
        <v>0.14541533292939285</v>
      </c>
      <c r="G24" s="331">
        <f t="shared" ca="1" si="13"/>
        <v>0.19322309981422595</v>
      </c>
      <c r="H24" s="331">
        <f t="shared" ca="1" si="13"/>
        <v>0.24141285684631186</v>
      </c>
      <c r="I24" s="331">
        <f t="shared" ca="1" si="13"/>
        <v>0.2899876561755857</v>
      </c>
      <c r="J24" s="331">
        <f t="shared" ca="1" si="13"/>
        <v>0.33895057433904929</v>
      </c>
      <c r="K24" s="331">
        <f t="shared" ca="1" si="13"/>
        <v>0.38840180385352863</v>
      </c>
      <c r="L24" s="331">
        <f t="shared" ca="1" si="13"/>
        <v>0.42985971845268311</v>
      </c>
      <c r="M24" s="331">
        <f t="shared" ca="1" si="13"/>
        <v>0.4686297499605046</v>
      </c>
      <c r="N24" s="331">
        <f t="shared" ca="1" si="13"/>
        <v>0.50474864645355499</v>
      </c>
      <c r="O24" s="331">
        <f t="shared" ca="1" si="13"/>
        <v>0.53267862228454066</v>
      </c>
      <c r="P24" s="331">
        <f t="shared" ca="1" si="13"/>
        <v>0.57657350402983087</v>
      </c>
      <c r="Q24" s="331">
        <f t="shared" ca="1" si="13"/>
        <v>0.63439257644191127</v>
      </c>
      <c r="R24" s="331">
        <f t="shared" ca="1" si="13"/>
        <v>0.68856682525937785</v>
      </c>
      <c r="S24" s="331">
        <f t="shared" ca="1" si="13"/>
        <v>0.74119101003494559</v>
      </c>
      <c r="T24" s="331">
        <f t="shared" ca="1" si="13"/>
        <v>0.79404604046796468</v>
      </c>
      <c r="U24" s="331">
        <f t="shared" ca="1" si="13"/>
        <v>0.84713292920533478</v>
      </c>
      <c r="V24" s="331">
        <f t="shared" ca="1" si="13"/>
        <v>0.90274744944636154</v>
      </c>
      <c r="W24" s="331">
        <f t="shared" ca="1" si="13"/>
        <v>0.95870918089100199</v>
      </c>
      <c r="X24" s="331">
        <f t="shared" ca="1" si="13"/>
        <v>1.0127248905347652</v>
      </c>
      <c r="Y24" s="331">
        <f t="shared" ca="1" si="13"/>
        <v>1.0789412582083209</v>
      </c>
      <c r="Z24" s="331">
        <f t="shared" ca="1" si="13"/>
        <v>1.1565319394253937</v>
      </c>
      <c r="AA24" s="331">
        <f t="shared" ca="1" si="13"/>
        <v>1.2328379152859927</v>
      </c>
      <c r="AB24" s="331">
        <f t="shared" ca="1" si="13"/>
        <v>1.2838283372906596</v>
      </c>
      <c r="AC24" s="331">
        <f t="shared" ca="1" si="13"/>
        <v>1.3101373603339432</v>
      </c>
      <c r="AD24" s="331">
        <f t="shared" ca="1" si="13"/>
        <v>1.3365617927417091</v>
      </c>
      <c r="AE24" s="331">
        <f t="shared" ca="1" si="13"/>
        <v>1.363102140778343</v>
      </c>
      <c r="AF24" s="331">
        <f t="shared" ca="1" si="13"/>
        <v>1.3898019517880982</v>
      </c>
      <c r="AG24" s="331">
        <f t="shared" ca="1" si="13"/>
        <v>1.4166619252846111</v>
      </c>
      <c r="AH24" s="331">
        <f t="shared" ca="1" si="13"/>
        <v>1.4737504490720477</v>
      </c>
      <c r="AI24" s="331">
        <f t="shared" ca="1" si="13"/>
        <v>1.5548677186606019</v>
      </c>
      <c r="AJ24" s="331">
        <f t="shared" ca="1" si="13"/>
        <v>1.6284097156484556</v>
      </c>
      <c r="AK24" s="331">
        <f t="shared" ca="1" si="13"/>
        <v>1.6902939413779994</v>
      </c>
      <c r="AL24" s="331">
        <f t="shared" ca="1" si="13"/>
        <v>1.7420679577233116</v>
      </c>
      <c r="AM24" s="331">
        <f t="shared" ca="1" si="13"/>
        <v>1.7940690903060172</v>
      </c>
      <c r="AN24" s="331">
        <f t="shared" ca="1" si="13"/>
        <v>1.8462983354132294</v>
      </c>
      <c r="AO24" s="331">
        <f t="shared" ca="1" si="13"/>
        <v>1.8988490255395758</v>
      </c>
      <c r="AP24" s="331">
        <f t="shared" ca="1" si="13"/>
        <v>1.9517225707627057</v>
      </c>
      <c r="AQ24" s="331">
        <f t="shared" ca="1" si="13"/>
        <v>2.01082977470293</v>
      </c>
      <c r="AR24" s="331">
        <f t="shared" ca="1" si="13"/>
        <v>2.073969756751453</v>
      </c>
      <c r="AS24" s="331">
        <f t="shared" ca="1" si="13"/>
        <v>2.1351227355871645</v>
      </c>
      <c r="AT24" s="331">
        <f t="shared" ca="1" si="13"/>
        <v>2.1742362730464637</v>
      </c>
      <c r="AU24" s="331">
        <f t="shared" ca="1" si="13"/>
        <v>2.191249441718675</v>
      </c>
      <c r="AV24" s="331">
        <f t="shared" ca="1" si="13"/>
        <v>2.2083372417818374</v>
      </c>
      <c r="AW24" s="331">
        <f t="shared" ca="1" si="13"/>
        <v>2.2255000006202623</v>
      </c>
      <c r="AX24" s="331">
        <f t="shared" ca="1" si="13"/>
        <v>2.2427380470543938</v>
      </c>
      <c r="AY24" s="331">
        <f t="shared" ca="1" si="13"/>
        <v>2.260051711347105</v>
      </c>
      <c r="AZ24" s="331">
        <f t="shared" ca="1" si="13"/>
        <v>2.2814162107979383</v>
      </c>
      <c r="BA24" s="331">
        <f t="shared" ca="1" si="13"/>
        <v>2.3028936669202511</v>
      </c>
      <c r="BB24" s="331">
        <f t="shared" ca="1" si="13"/>
        <v>2.3205096896313329</v>
      </c>
      <c r="BC24" s="331">
        <f t="shared" ca="1" si="13"/>
        <v>2.3382029882633955</v>
      </c>
      <c r="BD24" s="331">
        <f t="shared" ca="1" si="13"/>
        <v>2.3559739018014687</v>
      </c>
      <c r="BE24" s="331">
        <f t="shared" ca="1" si="13"/>
        <v>2.3761911829357163</v>
      </c>
      <c r="BF24" s="331">
        <f t="shared" ca="1" si="13"/>
        <v>2.3875035611085607</v>
      </c>
      <c r="BG24" s="331">
        <f t="shared" ca="1" si="13"/>
        <v>2.3875035611085607</v>
      </c>
      <c r="BH24" s="331">
        <f t="shared" ca="1" si="13"/>
        <v>2.3875035611085607</v>
      </c>
      <c r="BI24" s="331">
        <f t="shared" ca="1" si="13"/>
        <v>2.3875035611085607</v>
      </c>
      <c r="BJ24" s="331">
        <f t="shared" ca="1" si="13"/>
        <v>2.3875035611085607</v>
      </c>
      <c r="BK24" s="331">
        <f ca="1">IFERROR(AVERAGE(BK23,-BK27)*$C$5/12,0)</f>
        <v>2.3875035611085607</v>
      </c>
      <c r="BL24" s="331">
        <f t="shared" ca="1" si="13"/>
        <v>0</v>
      </c>
      <c r="BM24" s="331">
        <f t="shared" ca="1" si="13"/>
        <v>0</v>
      </c>
      <c r="BN24" s="331">
        <f t="shared" ca="1" si="13"/>
        <v>0</v>
      </c>
      <c r="BO24" s="331">
        <f t="shared" ca="1" si="13"/>
        <v>0</v>
      </c>
      <c r="BP24" s="331">
        <f t="shared" ca="1" si="13"/>
        <v>0</v>
      </c>
      <c r="BQ24" s="331">
        <f t="shared" ref="BQ24:EB24" ca="1" si="14">IFERROR(AVERAGE(BQ23,BQ28)*$C$5/12,0)</f>
        <v>0</v>
      </c>
      <c r="BR24" s="331">
        <f t="shared" ca="1" si="14"/>
        <v>0</v>
      </c>
      <c r="BS24" s="331">
        <f t="shared" ca="1" si="14"/>
        <v>0</v>
      </c>
      <c r="BT24" s="331">
        <f t="shared" ca="1" si="14"/>
        <v>0</v>
      </c>
      <c r="BU24" s="331">
        <f t="shared" ca="1" si="14"/>
        <v>0</v>
      </c>
      <c r="BV24" s="331">
        <f t="shared" ca="1" si="14"/>
        <v>0</v>
      </c>
      <c r="BW24" s="331">
        <f t="shared" ca="1" si="14"/>
        <v>0</v>
      </c>
      <c r="BX24" s="331">
        <f t="shared" ca="1" si="14"/>
        <v>0</v>
      </c>
      <c r="BY24" s="331">
        <f t="shared" ca="1" si="14"/>
        <v>0</v>
      </c>
      <c r="BZ24" s="331">
        <f t="shared" ca="1" si="14"/>
        <v>0</v>
      </c>
      <c r="CA24" s="331">
        <f t="shared" ca="1" si="14"/>
        <v>0</v>
      </c>
      <c r="CB24" s="331">
        <f t="shared" ca="1" si="14"/>
        <v>0</v>
      </c>
      <c r="CC24" s="331">
        <f t="shared" ca="1" si="14"/>
        <v>0</v>
      </c>
      <c r="CD24" s="331">
        <f t="shared" ca="1" si="14"/>
        <v>0</v>
      </c>
      <c r="CE24" s="331">
        <f t="shared" ca="1" si="14"/>
        <v>0</v>
      </c>
      <c r="CF24" s="331">
        <f t="shared" ca="1" si="14"/>
        <v>0</v>
      </c>
      <c r="CG24" s="331">
        <f t="shared" ca="1" si="14"/>
        <v>0</v>
      </c>
      <c r="CH24" s="331">
        <f t="shared" ca="1" si="14"/>
        <v>0</v>
      </c>
      <c r="CI24" s="331">
        <f t="shared" ca="1" si="14"/>
        <v>0</v>
      </c>
      <c r="CJ24" s="331">
        <f t="shared" ca="1" si="14"/>
        <v>0</v>
      </c>
      <c r="CK24" s="331">
        <f t="shared" ca="1" si="14"/>
        <v>0</v>
      </c>
      <c r="CL24" s="331">
        <f t="shared" ca="1" si="14"/>
        <v>0</v>
      </c>
      <c r="CM24" s="331">
        <f t="shared" ca="1" si="14"/>
        <v>0</v>
      </c>
      <c r="CN24" s="331">
        <f t="shared" ca="1" si="14"/>
        <v>0</v>
      </c>
      <c r="CO24" s="331">
        <f t="shared" ca="1" si="14"/>
        <v>0</v>
      </c>
      <c r="CP24" s="331">
        <f t="shared" ca="1" si="14"/>
        <v>0</v>
      </c>
      <c r="CQ24" s="331">
        <f t="shared" ca="1" si="14"/>
        <v>0</v>
      </c>
      <c r="CR24" s="331">
        <f t="shared" ca="1" si="14"/>
        <v>0</v>
      </c>
      <c r="CS24" s="331">
        <f t="shared" ca="1" si="14"/>
        <v>0</v>
      </c>
      <c r="CT24" s="331">
        <f t="shared" ca="1" si="14"/>
        <v>0</v>
      </c>
      <c r="CU24" s="331">
        <f t="shared" ca="1" si="14"/>
        <v>0</v>
      </c>
      <c r="CV24" s="331">
        <f t="shared" ca="1" si="14"/>
        <v>0</v>
      </c>
      <c r="CW24" s="331">
        <f t="shared" ca="1" si="14"/>
        <v>0</v>
      </c>
      <c r="CX24" s="331">
        <f t="shared" ca="1" si="14"/>
        <v>0</v>
      </c>
      <c r="CY24" s="331">
        <f t="shared" ca="1" si="14"/>
        <v>0</v>
      </c>
      <c r="CZ24" s="331">
        <f t="shared" ca="1" si="14"/>
        <v>0</v>
      </c>
      <c r="DA24" s="331">
        <f t="shared" ca="1" si="14"/>
        <v>0</v>
      </c>
      <c r="DB24" s="331">
        <f t="shared" ca="1" si="14"/>
        <v>0</v>
      </c>
      <c r="DC24" s="331">
        <f t="shared" ca="1" si="14"/>
        <v>0</v>
      </c>
      <c r="DD24" s="331">
        <f t="shared" ca="1" si="14"/>
        <v>0</v>
      </c>
      <c r="DE24" s="331">
        <f t="shared" ca="1" si="14"/>
        <v>0</v>
      </c>
      <c r="DF24" s="331">
        <f t="shared" ca="1" si="14"/>
        <v>0</v>
      </c>
      <c r="DG24" s="331">
        <f t="shared" ca="1" si="14"/>
        <v>0</v>
      </c>
      <c r="DH24" s="331">
        <f t="shared" ca="1" si="14"/>
        <v>0</v>
      </c>
      <c r="DI24" s="331">
        <f t="shared" ca="1" si="14"/>
        <v>0</v>
      </c>
      <c r="DJ24" s="331">
        <f t="shared" ca="1" si="14"/>
        <v>0</v>
      </c>
      <c r="DK24" s="331">
        <f t="shared" ca="1" si="14"/>
        <v>0</v>
      </c>
      <c r="DL24" s="331">
        <f t="shared" ca="1" si="14"/>
        <v>0</v>
      </c>
      <c r="DM24" s="331">
        <f t="shared" ca="1" si="14"/>
        <v>0</v>
      </c>
      <c r="DN24" s="331">
        <f t="shared" ca="1" si="14"/>
        <v>0</v>
      </c>
      <c r="DO24" s="331">
        <f t="shared" ca="1" si="14"/>
        <v>0</v>
      </c>
      <c r="DP24" s="331">
        <f t="shared" ca="1" si="14"/>
        <v>0</v>
      </c>
      <c r="DQ24" s="331">
        <f t="shared" ca="1" si="14"/>
        <v>0</v>
      </c>
      <c r="DR24" s="331">
        <f t="shared" ca="1" si="14"/>
        <v>0</v>
      </c>
      <c r="DS24" s="331">
        <f t="shared" ca="1" si="14"/>
        <v>0</v>
      </c>
      <c r="DT24" s="331">
        <f t="shared" ca="1" si="14"/>
        <v>0</v>
      </c>
      <c r="DU24" s="331">
        <f t="shared" ca="1" si="14"/>
        <v>0</v>
      </c>
      <c r="DV24" s="331">
        <f t="shared" ca="1" si="14"/>
        <v>0</v>
      </c>
      <c r="DW24" s="331">
        <f t="shared" ca="1" si="14"/>
        <v>0</v>
      </c>
      <c r="DX24" s="331">
        <f t="shared" ca="1" si="14"/>
        <v>0</v>
      </c>
      <c r="DY24" s="331">
        <f t="shared" ca="1" si="14"/>
        <v>0</v>
      </c>
      <c r="DZ24" s="331">
        <f t="shared" ca="1" si="14"/>
        <v>0</v>
      </c>
      <c r="EA24" s="331">
        <f t="shared" ca="1" si="14"/>
        <v>0</v>
      </c>
      <c r="EB24" s="331">
        <f t="shared" ca="1" si="14"/>
        <v>0</v>
      </c>
    </row>
    <row r="25" spans="1:132" ht="12.75" customHeight="1" x14ac:dyDescent="0.3">
      <c r="A25" s="330" t="s">
        <v>63</v>
      </c>
      <c r="B25" s="320">
        <f ca="1">SUM(D25:EB25)</f>
        <v>300.00044746913852</v>
      </c>
      <c r="C25" s="329"/>
      <c r="D25" s="331">
        <f ca="1">D20</f>
        <v>6.8097661006957679</v>
      </c>
      <c r="E25" s="331">
        <f t="shared" ref="E25:BP25" ca="1" si="15">E20</f>
        <v>8.4706402268235053</v>
      </c>
      <c r="F25" s="331">
        <f t="shared" ca="1" si="15"/>
        <v>5.9833547827146276</v>
      </c>
      <c r="G25" s="331">
        <f t="shared" ca="1" si="15"/>
        <v>6.0311625495994576</v>
      </c>
      <c r="H25" s="331">
        <f t="shared" ca="1" si="15"/>
        <v>6.0793523066315487</v>
      </c>
      <c r="I25" s="331">
        <f t="shared" ca="1" si="15"/>
        <v>6.127927105960822</v>
      </c>
      <c r="J25" s="331">
        <f t="shared" ca="1" si="15"/>
        <v>6.1768900241242761</v>
      </c>
      <c r="K25" s="331">
        <f t="shared" ca="1" si="15"/>
        <v>6.2506440946977619</v>
      </c>
      <c r="L25" s="331">
        <f t="shared" ca="1" si="15"/>
        <v>4.1680988412154107</v>
      </c>
      <c r="M25" s="331">
        <f t="shared" ca="1" si="15"/>
        <v>5.5751551502789951</v>
      </c>
      <c r="N25" s="331">
        <f t="shared" ca="1" si="15"/>
        <v>3.5018450155137728</v>
      </c>
      <c r="O25" s="331">
        <f t="shared" ca="1" si="15"/>
        <v>3.5172065022208301</v>
      </c>
      <c r="P25" s="331">
        <f t="shared" ca="1" si="15"/>
        <v>7.5139679677997577</v>
      </c>
      <c r="Q25" s="331">
        <f t="shared" ca="1" si="15"/>
        <v>7.0164795493722636</v>
      </c>
      <c r="R25" s="331">
        <f t="shared" ca="1" si="15"/>
        <v>6.5979913576350242</v>
      </c>
      <c r="S25" s="331">
        <f t="shared" ca="1" si="15"/>
        <v>6.6269346592616074</v>
      </c>
      <c r="T25" s="331">
        <f t="shared" ca="1" si="15"/>
        <v>6.6560049259997385</v>
      </c>
      <c r="U25" s="331">
        <f t="shared" ca="1" si="15"/>
        <v>6.6852027148053281</v>
      </c>
      <c r="V25" s="331">
        <f t="shared" ca="1" si="15"/>
        <v>7.2912212201123481</v>
      </c>
      <c r="W25" s="331">
        <f t="shared" ca="1" si="15"/>
        <v>6.7724599806349914</v>
      </c>
      <c r="X25" s="331">
        <f t="shared" ca="1" si="15"/>
        <v>6.8021686209390708</v>
      </c>
      <c r="Y25" s="331">
        <f t="shared" ca="1" si="15"/>
        <v>9.8385939357659709</v>
      </c>
      <c r="Z25" s="331">
        <f t="shared" ca="1" si="15"/>
        <v>9.6606348517706806</v>
      </c>
      <c r="AA25" s="331">
        <f t="shared" ca="1" si="15"/>
        <v>9.5157360451337922</v>
      </c>
      <c r="AB25" s="331">
        <f t="shared" ca="1" si="15"/>
        <v>3.2986108460914068</v>
      </c>
      <c r="AC25" s="331">
        <f t="shared" ca="1" si="15"/>
        <v>3.3130808087651928</v>
      </c>
      <c r="AD25" s="331">
        <f t="shared" ca="1" si="15"/>
        <v>3.3276142465894907</v>
      </c>
      <c r="AE25" s="331">
        <f t="shared" ca="1" si="15"/>
        <v>3.3422114380096275</v>
      </c>
      <c r="AF25" s="331">
        <f t="shared" ca="1" si="15"/>
        <v>3.3676887110387952</v>
      </c>
      <c r="AG25" s="331">
        <f t="shared" ca="1" si="15"/>
        <v>3.3824616964618883</v>
      </c>
      <c r="AH25" s="331">
        <f t="shared" ca="1" si="15"/>
        <v>10.964392449071937</v>
      </c>
      <c r="AI25" s="331">
        <f t="shared" ca="1" si="15"/>
        <v>9.4210993847007956</v>
      </c>
      <c r="AJ25" s="331">
        <f t="shared" ca="1" si="15"/>
        <v>9.0606590206237456</v>
      </c>
      <c r="AK25" s="331">
        <f t="shared" ca="1" si="15"/>
        <v>6.4913977072196758</v>
      </c>
      <c r="AL25" s="331">
        <f t="shared" ca="1" si="15"/>
        <v>6.5198734162095775</v>
      </c>
      <c r="AM25" s="331">
        <f t="shared" ca="1" si="15"/>
        <v>6.548474039130042</v>
      </c>
      <c r="AN25" s="331">
        <f t="shared" ca="1" si="15"/>
        <v>6.5772001239390363</v>
      </c>
      <c r="AO25" s="331">
        <f t="shared" ca="1" si="15"/>
        <v>6.6292560334673851</v>
      </c>
      <c r="AP25" s="331">
        <f t="shared" ca="1" si="15"/>
        <v>6.6583364833401504</v>
      </c>
      <c r="AQ25" s="331">
        <f t="shared" ca="1" si="15"/>
        <v>8.1958299518994977</v>
      </c>
      <c r="AR25" s="331">
        <f t="shared" ca="1" si="15"/>
        <v>7.6718095157922335</v>
      </c>
      <c r="AS25" s="331">
        <f t="shared" ca="1" si="15"/>
        <v>7.6964783591508308</v>
      </c>
      <c r="AT25" s="331">
        <f t="shared" ca="1" si="15"/>
        <v>2.1331017353327866</v>
      </c>
      <c r="AU25" s="331">
        <f t="shared" ca="1" si="15"/>
        <v>2.1424589781025247</v>
      </c>
      <c r="AV25" s="331">
        <f t="shared" ca="1" si="15"/>
        <v>2.1518572681372348</v>
      </c>
      <c r="AW25" s="331">
        <f t="shared" ca="1" si="15"/>
        <v>2.1612967854983935</v>
      </c>
      <c r="AX25" s="331">
        <f t="shared" ca="1" si="15"/>
        <v>2.1707777110372035</v>
      </c>
      <c r="AY25" s="331">
        <f t="shared" ca="1" si="15"/>
        <v>2.180300226398117</v>
      </c>
      <c r="AZ25" s="331">
        <f t="shared" ca="1" si="15"/>
        <v>3.1887886408269424</v>
      </c>
      <c r="BA25" s="331">
        <f t="shared" ca="1" si="15"/>
        <v>2.2086872433145004</v>
      </c>
      <c r="BB25" s="331">
        <f t="shared" ca="1" si="15"/>
        <v>2.2183760558055496</v>
      </c>
      <c r="BC25" s="331">
        <f t="shared" ca="1" si="15"/>
        <v>2.2281073700531806</v>
      </c>
      <c r="BD25" s="331">
        <f t="shared" ca="1" si="15"/>
        <v>2.2378813724992028</v>
      </c>
      <c r="BE25" s="331">
        <f t="shared" ca="1" si="15"/>
        <v>2.8429013209242271</v>
      </c>
      <c r="BF25" s="331">
        <f t="shared" ca="1" si="15"/>
        <v>0</v>
      </c>
      <c r="BG25" s="331">
        <f t="shared" ca="1" si="15"/>
        <v>0</v>
      </c>
      <c r="BH25" s="331">
        <f t="shared" ca="1" si="15"/>
        <v>0</v>
      </c>
      <c r="BI25" s="331">
        <f t="shared" ca="1" si="15"/>
        <v>0</v>
      </c>
      <c r="BJ25" s="331">
        <f t="shared" ca="1" si="15"/>
        <v>0</v>
      </c>
      <c r="BK25" s="331">
        <f t="shared" ca="1" si="15"/>
        <v>0</v>
      </c>
      <c r="BL25" s="331">
        <f t="shared" ca="1" si="15"/>
        <v>0</v>
      </c>
      <c r="BM25" s="331">
        <f t="shared" ca="1" si="15"/>
        <v>0</v>
      </c>
      <c r="BN25" s="331">
        <f t="shared" ca="1" si="15"/>
        <v>0</v>
      </c>
      <c r="BO25" s="331">
        <f t="shared" ca="1" si="15"/>
        <v>0</v>
      </c>
      <c r="BP25" s="331">
        <f t="shared" ca="1" si="15"/>
        <v>0</v>
      </c>
      <c r="BQ25" s="331">
        <f t="shared" ref="BQ25:EB25" ca="1" si="16">BQ20</f>
        <v>0</v>
      </c>
      <c r="BR25" s="331">
        <f t="shared" ca="1" si="16"/>
        <v>0</v>
      </c>
      <c r="BS25" s="331">
        <f t="shared" ca="1" si="16"/>
        <v>0</v>
      </c>
      <c r="BT25" s="331">
        <f t="shared" ca="1" si="16"/>
        <v>0</v>
      </c>
      <c r="BU25" s="331">
        <f t="shared" ca="1" si="16"/>
        <v>0</v>
      </c>
      <c r="BV25" s="331">
        <f t="shared" ca="1" si="16"/>
        <v>0</v>
      </c>
      <c r="BW25" s="331">
        <f t="shared" ca="1" si="16"/>
        <v>0</v>
      </c>
      <c r="BX25" s="331">
        <f t="shared" ca="1" si="16"/>
        <v>0</v>
      </c>
      <c r="BY25" s="331">
        <f t="shared" ca="1" si="16"/>
        <v>0</v>
      </c>
      <c r="BZ25" s="331">
        <f t="shared" ca="1" si="16"/>
        <v>0</v>
      </c>
      <c r="CA25" s="331">
        <f t="shared" ca="1" si="16"/>
        <v>0</v>
      </c>
      <c r="CB25" s="331">
        <f t="shared" ca="1" si="16"/>
        <v>0</v>
      </c>
      <c r="CC25" s="331">
        <f t="shared" ca="1" si="16"/>
        <v>0</v>
      </c>
      <c r="CD25" s="331">
        <f t="shared" ca="1" si="16"/>
        <v>0</v>
      </c>
      <c r="CE25" s="331">
        <f t="shared" ca="1" si="16"/>
        <v>0</v>
      </c>
      <c r="CF25" s="331">
        <f t="shared" ca="1" si="16"/>
        <v>0</v>
      </c>
      <c r="CG25" s="331">
        <f t="shared" ca="1" si="16"/>
        <v>0</v>
      </c>
      <c r="CH25" s="331">
        <f t="shared" ca="1" si="16"/>
        <v>0</v>
      </c>
      <c r="CI25" s="331">
        <f t="shared" ca="1" si="16"/>
        <v>0</v>
      </c>
      <c r="CJ25" s="331">
        <f t="shared" ca="1" si="16"/>
        <v>0</v>
      </c>
      <c r="CK25" s="331">
        <f t="shared" ca="1" si="16"/>
        <v>0</v>
      </c>
      <c r="CL25" s="331">
        <f t="shared" ca="1" si="16"/>
        <v>0</v>
      </c>
      <c r="CM25" s="331">
        <f t="shared" ca="1" si="16"/>
        <v>0</v>
      </c>
      <c r="CN25" s="331">
        <f t="shared" ca="1" si="16"/>
        <v>0</v>
      </c>
      <c r="CO25" s="331">
        <f t="shared" ca="1" si="16"/>
        <v>0</v>
      </c>
      <c r="CP25" s="331">
        <f t="shared" ca="1" si="16"/>
        <v>0</v>
      </c>
      <c r="CQ25" s="331">
        <f t="shared" ca="1" si="16"/>
        <v>0</v>
      </c>
      <c r="CR25" s="331">
        <f t="shared" ca="1" si="16"/>
        <v>0</v>
      </c>
      <c r="CS25" s="331">
        <f t="shared" ca="1" si="16"/>
        <v>0</v>
      </c>
      <c r="CT25" s="331">
        <f t="shared" ca="1" si="16"/>
        <v>0</v>
      </c>
      <c r="CU25" s="331">
        <f t="shared" ca="1" si="16"/>
        <v>0</v>
      </c>
      <c r="CV25" s="331">
        <f t="shared" ca="1" si="16"/>
        <v>0</v>
      </c>
      <c r="CW25" s="331">
        <f t="shared" ca="1" si="16"/>
        <v>0</v>
      </c>
      <c r="CX25" s="331">
        <f t="shared" ca="1" si="16"/>
        <v>0</v>
      </c>
      <c r="CY25" s="331">
        <f t="shared" ca="1" si="16"/>
        <v>0</v>
      </c>
      <c r="CZ25" s="331">
        <f t="shared" ca="1" si="16"/>
        <v>0</v>
      </c>
      <c r="DA25" s="331">
        <f t="shared" ca="1" si="16"/>
        <v>0</v>
      </c>
      <c r="DB25" s="331">
        <f t="shared" ca="1" si="16"/>
        <v>0</v>
      </c>
      <c r="DC25" s="331">
        <f t="shared" ca="1" si="16"/>
        <v>0</v>
      </c>
      <c r="DD25" s="331">
        <f t="shared" ca="1" si="16"/>
        <v>0</v>
      </c>
      <c r="DE25" s="331">
        <f t="shared" ca="1" si="16"/>
        <v>0</v>
      </c>
      <c r="DF25" s="331">
        <f t="shared" ca="1" si="16"/>
        <v>0</v>
      </c>
      <c r="DG25" s="331">
        <f t="shared" ca="1" si="16"/>
        <v>0</v>
      </c>
      <c r="DH25" s="331">
        <f t="shared" ca="1" si="16"/>
        <v>0</v>
      </c>
      <c r="DI25" s="331">
        <f t="shared" ca="1" si="16"/>
        <v>0</v>
      </c>
      <c r="DJ25" s="331">
        <f t="shared" ca="1" si="16"/>
        <v>0</v>
      </c>
      <c r="DK25" s="331">
        <f t="shared" ca="1" si="16"/>
        <v>0</v>
      </c>
      <c r="DL25" s="331">
        <f t="shared" ca="1" si="16"/>
        <v>0</v>
      </c>
      <c r="DM25" s="331">
        <f t="shared" ca="1" si="16"/>
        <v>0</v>
      </c>
      <c r="DN25" s="331">
        <f t="shared" ca="1" si="16"/>
        <v>0</v>
      </c>
      <c r="DO25" s="331">
        <f t="shared" ca="1" si="16"/>
        <v>0</v>
      </c>
      <c r="DP25" s="331">
        <f t="shared" ca="1" si="16"/>
        <v>0</v>
      </c>
      <c r="DQ25" s="331">
        <f t="shared" ca="1" si="16"/>
        <v>0</v>
      </c>
      <c r="DR25" s="331">
        <f t="shared" ca="1" si="16"/>
        <v>0</v>
      </c>
      <c r="DS25" s="331">
        <f t="shared" ca="1" si="16"/>
        <v>0</v>
      </c>
      <c r="DT25" s="331">
        <f t="shared" ca="1" si="16"/>
        <v>0</v>
      </c>
      <c r="DU25" s="331">
        <f t="shared" ca="1" si="16"/>
        <v>0</v>
      </c>
      <c r="DV25" s="331">
        <f t="shared" ca="1" si="16"/>
        <v>0</v>
      </c>
      <c r="DW25" s="331">
        <f t="shared" ca="1" si="16"/>
        <v>0</v>
      </c>
      <c r="DX25" s="331">
        <f t="shared" ca="1" si="16"/>
        <v>0</v>
      </c>
      <c r="DY25" s="331">
        <f t="shared" ca="1" si="16"/>
        <v>0</v>
      </c>
      <c r="DZ25" s="331">
        <f t="shared" ca="1" si="16"/>
        <v>0</v>
      </c>
      <c r="EA25" s="331">
        <f t="shared" ca="1" si="16"/>
        <v>0</v>
      </c>
      <c r="EB25" s="331">
        <f t="shared" ca="1" si="16"/>
        <v>0</v>
      </c>
    </row>
    <row r="26" spans="1:132" ht="12.75" customHeight="1" x14ac:dyDescent="0.3">
      <c r="A26" s="330" t="s">
        <v>64</v>
      </c>
      <c r="B26" s="320">
        <f ca="1">SUM(D26:EB26)</f>
        <v>-85.802464749012245</v>
      </c>
      <c r="C26" s="329"/>
      <c r="D26" s="332">
        <f t="shared" ref="D26:P26" ca="1" si="17">-D24</f>
        <v>-5.4194388551370487E-2</v>
      </c>
      <c r="E26" s="332">
        <f t="shared" ca="1" si="17"/>
        <v>-8.7900477787272349E-2</v>
      </c>
      <c r="F26" s="332">
        <f t="shared" ca="1" si="17"/>
        <v>-0.14541533292939285</v>
      </c>
      <c r="G26" s="332">
        <f t="shared" ca="1" si="17"/>
        <v>-0.19322309981422595</v>
      </c>
      <c r="H26" s="332">
        <f t="shared" ca="1" si="17"/>
        <v>-0.24141285684631186</v>
      </c>
      <c r="I26" s="332">
        <f t="shared" ca="1" si="17"/>
        <v>-0.2899876561755857</v>
      </c>
      <c r="J26" s="332">
        <f t="shared" ca="1" si="17"/>
        <v>-0.33895057433904929</v>
      </c>
      <c r="K26" s="332">
        <f t="shared" ca="1" si="17"/>
        <v>-0.38840180385352863</v>
      </c>
      <c r="L26" s="332">
        <f t="shared" ca="1" si="17"/>
        <v>-0.42985971845268311</v>
      </c>
      <c r="M26" s="332">
        <f t="shared" ca="1" si="17"/>
        <v>-0.4686297499605046</v>
      </c>
      <c r="N26" s="332">
        <f t="shared" ca="1" si="17"/>
        <v>-0.50474864645355499</v>
      </c>
      <c r="O26" s="332">
        <f t="shared" ca="1" si="17"/>
        <v>-0.53267862228454066</v>
      </c>
      <c r="P26" s="332">
        <f t="shared" ca="1" si="17"/>
        <v>-0.57657350402983087</v>
      </c>
      <c r="Q26" s="332">
        <f t="shared" ref="Q26:CB26" ca="1" si="18">-Q24</f>
        <v>-0.63439257644191127</v>
      </c>
      <c r="R26" s="332">
        <f t="shared" ca="1" si="18"/>
        <v>-0.68856682525937785</v>
      </c>
      <c r="S26" s="332">
        <f t="shared" ca="1" si="18"/>
        <v>-0.74119101003494559</v>
      </c>
      <c r="T26" s="332">
        <f t="shared" ca="1" si="18"/>
        <v>-0.79404604046796468</v>
      </c>
      <c r="U26" s="332">
        <f t="shared" ca="1" si="18"/>
        <v>-0.84713292920533478</v>
      </c>
      <c r="V26" s="332">
        <f t="shared" ca="1" si="18"/>
        <v>-0.90274744944636154</v>
      </c>
      <c r="W26" s="332">
        <f t="shared" ca="1" si="18"/>
        <v>-0.95870918089100199</v>
      </c>
      <c r="X26" s="332">
        <f t="shared" ca="1" si="18"/>
        <v>-1.0127248905347652</v>
      </c>
      <c r="Y26" s="332">
        <f t="shared" ca="1" si="18"/>
        <v>-1.0789412582083209</v>
      </c>
      <c r="Z26" s="332">
        <f t="shared" ca="1" si="18"/>
        <v>-1.1565319394253937</v>
      </c>
      <c r="AA26" s="332">
        <f t="shared" ca="1" si="18"/>
        <v>-1.2328379152859927</v>
      </c>
      <c r="AB26" s="332">
        <f t="shared" ca="1" si="18"/>
        <v>-1.2838283372906596</v>
      </c>
      <c r="AC26" s="332">
        <f t="shared" ca="1" si="18"/>
        <v>-1.3101373603339432</v>
      </c>
      <c r="AD26" s="332">
        <f t="shared" ca="1" si="18"/>
        <v>-1.3365617927417091</v>
      </c>
      <c r="AE26" s="332">
        <f t="shared" ca="1" si="18"/>
        <v>-1.363102140778343</v>
      </c>
      <c r="AF26" s="332">
        <f t="shared" ca="1" si="18"/>
        <v>-1.3898019517880982</v>
      </c>
      <c r="AG26" s="332">
        <f t="shared" ca="1" si="18"/>
        <v>-1.4166619252846111</v>
      </c>
      <c r="AH26" s="332">
        <f t="shared" ca="1" si="18"/>
        <v>-1.4737504490720477</v>
      </c>
      <c r="AI26" s="332">
        <f t="shared" ca="1" si="18"/>
        <v>-1.5548677186606019</v>
      </c>
      <c r="AJ26" s="332">
        <f t="shared" ca="1" si="18"/>
        <v>-1.6284097156484556</v>
      </c>
      <c r="AK26" s="332">
        <f t="shared" ca="1" si="18"/>
        <v>-1.6902939413779994</v>
      </c>
      <c r="AL26" s="332">
        <f t="shared" ca="1" si="18"/>
        <v>-1.7420679577233116</v>
      </c>
      <c r="AM26" s="332">
        <f t="shared" ca="1" si="18"/>
        <v>-1.7940690903060172</v>
      </c>
      <c r="AN26" s="332">
        <f t="shared" ca="1" si="18"/>
        <v>-1.8462983354132294</v>
      </c>
      <c r="AO26" s="332">
        <f t="shared" ca="1" si="18"/>
        <v>-1.8988490255395758</v>
      </c>
      <c r="AP26" s="332">
        <f t="shared" ca="1" si="18"/>
        <v>-1.9517225707627057</v>
      </c>
      <c r="AQ26" s="332">
        <f t="shared" ca="1" si="18"/>
        <v>-2.01082977470293</v>
      </c>
      <c r="AR26" s="332">
        <f t="shared" ca="1" si="18"/>
        <v>-2.073969756751453</v>
      </c>
      <c r="AS26" s="332">
        <f t="shared" ca="1" si="18"/>
        <v>-2.1351227355871645</v>
      </c>
      <c r="AT26" s="332">
        <f t="shared" ca="1" si="18"/>
        <v>-2.1742362730464637</v>
      </c>
      <c r="AU26" s="332">
        <f t="shared" ca="1" si="18"/>
        <v>-2.191249441718675</v>
      </c>
      <c r="AV26" s="332">
        <f t="shared" ca="1" si="18"/>
        <v>-2.2083372417818374</v>
      </c>
      <c r="AW26" s="332">
        <f t="shared" ca="1" si="18"/>
        <v>-2.2255000006202623</v>
      </c>
      <c r="AX26" s="332">
        <f t="shared" ca="1" si="18"/>
        <v>-2.2427380470543938</v>
      </c>
      <c r="AY26" s="332">
        <f t="shared" ca="1" si="18"/>
        <v>-2.260051711347105</v>
      </c>
      <c r="AZ26" s="332">
        <f t="shared" ca="1" si="18"/>
        <v>-2.2814162107979383</v>
      </c>
      <c r="BA26" s="332">
        <f t="shared" ca="1" si="18"/>
        <v>-2.3028936669202511</v>
      </c>
      <c r="BB26" s="332">
        <f t="shared" ca="1" si="18"/>
        <v>-2.3205096896313329</v>
      </c>
      <c r="BC26" s="332">
        <f t="shared" ca="1" si="18"/>
        <v>-2.3382029882633955</v>
      </c>
      <c r="BD26" s="332">
        <f t="shared" ca="1" si="18"/>
        <v>-2.3559739018014687</v>
      </c>
      <c r="BE26" s="332">
        <f t="shared" ca="1" si="18"/>
        <v>-2.3761911829357163</v>
      </c>
      <c r="BF26" s="332">
        <f t="shared" ca="1" si="18"/>
        <v>-2.3875035611085607</v>
      </c>
      <c r="BG26" s="332">
        <f t="shared" ca="1" si="18"/>
        <v>-2.3875035611085607</v>
      </c>
      <c r="BH26" s="332">
        <f t="shared" ca="1" si="18"/>
        <v>-2.3875035611085607</v>
      </c>
      <c r="BI26" s="332">
        <f t="shared" ca="1" si="18"/>
        <v>-2.3875035611085607</v>
      </c>
      <c r="BJ26" s="332">
        <f t="shared" ca="1" si="18"/>
        <v>-2.3875035611085607</v>
      </c>
      <c r="BK26" s="332">
        <f t="shared" ca="1" si="18"/>
        <v>-2.3875035611085607</v>
      </c>
      <c r="BL26" s="332">
        <f t="shared" ca="1" si="18"/>
        <v>0</v>
      </c>
      <c r="BM26" s="332">
        <f t="shared" ca="1" si="18"/>
        <v>0</v>
      </c>
      <c r="BN26" s="332">
        <f t="shared" ca="1" si="18"/>
        <v>0</v>
      </c>
      <c r="BO26" s="332">
        <f t="shared" ca="1" si="18"/>
        <v>0</v>
      </c>
      <c r="BP26" s="332">
        <f t="shared" ca="1" si="18"/>
        <v>0</v>
      </c>
      <c r="BQ26" s="332">
        <f t="shared" ca="1" si="18"/>
        <v>0</v>
      </c>
      <c r="BR26" s="332">
        <f t="shared" ca="1" si="18"/>
        <v>0</v>
      </c>
      <c r="BS26" s="332">
        <f t="shared" ca="1" si="18"/>
        <v>0</v>
      </c>
      <c r="BT26" s="332">
        <f t="shared" ca="1" si="18"/>
        <v>0</v>
      </c>
      <c r="BU26" s="332">
        <f t="shared" ca="1" si="18"/>
        <v>0</v>
      </c>
      <c r="BV26" s="332">
        <f t="shared" ca="1" si="18"/>
        <v>0</v>
      </c>
      <c r="BW26" s="332">
        <f t="shared" ca="1" si="18"/>
        <v>0</v>
      </c>
      <c r="BX26" s="332">
        <f t="shared" ca="1" si="18"/>
        <v>0</v>
      </c>
      <c r="BY26" s="332">
        <f t="shared" ca="1" si="18"/>
        <v>0</v>
      </c>
      <c r="BZ26" s="332">
        <f t="shared" ca="1" si="18"/>
        <v>0</v>
      </c>
      <c r="CA26" s="332">
        <f t="shared" ca="1" si="18"/>
        <v>0</v>
      </c>
      <c r="CB26" s="332">
        <f t="shared" ca="1" si="18"/>
        <v>0</v>
      </c>
      <c r="CC26" s="332">
        <f t="shared" ref="CC26:EB26" ca="1" si="19">-CC24</f>
        <v>0</v>
      </c>
      <c r="CD26" s="332">
        <f t="shared" ca="1" si="19"/>
        <v>0</v>
      </c>
      <c r="CE26" s="332">
        <f t="shared" ca="1" si="19"/>
        <v>0</v>
      </c>
      <c r="CF26" s="332">
        <f t="shared" ca="1" si="19"/>
        <v>0</v>
      </c>
      <c r="CG26" s="332">
        <f t="shared" ca="1" si="19"/>
        <v>0</v>
      </c>
      <c r="CH26" s="332">
        <f t="shared" ca="1" si="19"/>
        <v>0</v>
      </c>
      <c r="CI26" s="332">
        <f t="shared" ca="1" si="19"/>
        <v>0</v>
      </c>
      <c r="CJ26" s="332">
        <f t="shared" ca="1" si="19"/>
        <v>0</v>
      </c>
      <c r="CK26" s="332">
        <f t="shared" ca="1" si="19"/>
        <v>0</v>
      </c>
      <c r="CL26" s="332">
        <f t="shared" ca="1" si="19"/>
        <v>0</v>
      </c>
      <c r="CM26" s="332">
        <f t="shared" ca="1" si="19"/>
        <v>0</v>
      </c>
      <c r="CN26" s="332">
        <f t="shared" ca="1" si="19"/>
        <v>0</v>
      </c>
      <c r="CO26" s="332">
        <f t="shared" ca="1" si="19"/>
        <v>0</v>
      </c>
      <c r="CP26" s="332">
        <f t="shared" ca="1" si="19"/>
        <v>0</v>
      </c>
      <c r="CQ26" s="332">
        <f t="shared" ca="1" si="19"/>
        <v>0</v>
      </c>
      <c r="CR26" s="332">
        <f t="shared" ca="1" si="19"/>
        <v>0</v>
      </c>
      <c r="CS26" s="332">
        <f t="shared" ca="1" si="19"/>
        <v>0</v>
      </c>
      <c r="CT26" s="332">
        <f t="shared" ca="1" si="19"/>
        <v>0</v>
      </c>
      <c r="CU26" s="332">
        <f t="shared" ca="1" si="19"/>
        <v>0</v>
      </c>
      <c r="CV26" s="332">
        <f t="shared" ca="1" si="19"/>
        <v>0</v>
      </c>
      <c r="CW26" s="332">
        <f t="shared" ca="1" si="19"/>
        <v>0</v>
      </c>
      <c r="CX26" s="332">
        <f t="shared" ca="1" si="19"/>
        <v>0</v>
      </c>
      <c r="CY26" s="332">
        <f t="shared" ca="1" si="19"/>
        <v>0</v>
      </c>
      <c r="CZ26" s="332">
        <f t="shared" ca="1" si="19"/>
        <v>0</v>
      </c>
      <c r="DA26" s="332">
        <f t="shared" ca="1" si="19"/>
        <v>0</v>
      </c>
      <c r="DB26" s="332">
        <f t="shared" ca="1" si="19"/>
        <v>0</v>
      </c>
      <c r="DC26" s="332">
        <f t="shared" ca="1" si="19"/>
        <v>0</v>
      </c>
      <c r="DD26" s="332">
        <f t="shared" ca="1" si="19"/>
        <v>0</v>
      </c>
      <c r="DE26" s="332">
        <f t="shared" ca="1" si="19"/>
        <v>0</v>
      </c>
      <c r="DF26" s="332">
        <f t="shared" ca="1" si="19"/>
        <v>0</v>
      </c>
      <c r="DG26" s="332">
        <f t="shared" ca="1" si="19"/>
        <v>0</v>
      </c>
      <c r="DH26" s="332">
        <f t="shared" ca="1" si="19"/>
        <v>0</v>
      </c>
      <c r="DI26" s="332">
        <f t="shared" ca="1" si="19"/>
        <v>0</v>
      </c>
      <c r="DJ26" s="332">
        <f t="shared" ca="1" si="19"/>
        <v>0</v>
      </c>
      <c r="DK26" s="332">
        <f t="shared" ca="1" si="19"/>
        <v>0</v>
      </c>
      <c r="DL26" s="332">
        <f t="shared" ca="1" si="19"/>
        <v>0</v>
      </c>
      <c r="DM26" s="332">
        <f t="shared" ca="1" si="19"/>
        <v>0</v>
      </c>
      <c r="DN26" s="332">
        <f t="shared" ca="1" si="19"/>
        <v>0</v>
      </c>
      <c r="DO26" s="332">
        <f t="shared" ca="1" si="19"/>
        <v>0</v>
      </c>
      <c r="DP26" s="332">
        <f t="shared" ca="1" si="19"/>
        <v>0</v>
      </c>
      <c r="DQ26" s="332">
        <f t="shared" ca="1" si="19"/>
        <v>0</v>
      </c>
      <c r="DR26" s="332">
        <f t="shared" ca="1" si="19"/>
        <v>0</v>
      </c>
      <c r="DS26" s="332">
        <f t="shared" ca="1" si="19"/>
        <v>0</v>
      </c>
      <c r="DT26" s="332">
        <f t="shared" ca="1" si="19"/>
        <v>0</v>
      </c>
      <c r="DU26" s="332">
        <f t="shared" ca="1" si="19"/>
        <v>0</v>
      </c>
      <c r="DV26" s="332">
        <f t="shared" ca="1" si="19"/>
        <v>0</v>
      </c>
      <c r="DW26" s="332">
        <f t="shared" ca="1" si="19"/>
        <v>0</v>
      </c>
      <c r="DX26" s="332">
        <f t="shared" ca="1" si="19"/>
        <v>0</v>
      </c>
      <c r="DY26" s="332">
        <f t="shared" ca="1" si="19"/>
        <v>0</v>
      </c>
      <c r="DZ26" s="332">
        <f t="shared" ca="1" si="19"/>
        <v>0</v>
      </c>
      <c r="EA26" s="332">
        <f t="shared" ca="1" si="19"/>
        <v>0</v>
      </c>
      <c r="EB26" s="332">
        <f t="shared" ca="1" si="19"/>
        <v>0</v>
      </c>
    </row>
    <row r="27" spans="1:132" ht="12.75" customHeight="1" x14ac:dyDescent="0.3">
      <c r="A27" s="330" t="s">
        <v>65</v>
      </c>
      <c r="B27" s="320">
        <f ca="1">SUM(D27:EB27)</f>
        <v>-300.00044746913846</v>
      </c>
      <c r="C27" s="329"/>
      <c r="D27" s="331"/>
      <c r="E27" s="331">
        <f>IF(E16&gt;='Assumption Sheet'!$B$15,-D28,0)</f>
        <v>0</v>
      </c>
      <c r="F27" s="331">
        <f>IF(F16&gt;='Assumption Sheet'!$B$15,-E28,0)</f>
        <v>0</v>
      </c>
      <c r="G27" s="331">
        <f>IF(G16&gt;='Assumption Sheet'!$B$15,-F28,0)</f>
        <v>0</v>
      </c>
      <c r="H27" s="331">
        <f>IF(H16&gt;='Assumption Sheet'!$B$15,-G28,0)</f>
        <v>0</v>
      </c>
      <c r="I27" s="331">
        <f>IF(I16&gt;='Assumption Sheet'!$B$15,-H28,0)</f>
        <v>0</v>
      </c>
      <c r="J27" s="331">
        <f>IF(J16&gt;='Assumption Sheet'!$B$15,-I28,0)</f>
        <v>0</v>
      </c>
      <c r="K27" s="331">
        <f>IF(K16&gt;='Assumption Sheet'!$B$15,-J28,0)</f>
        <v>0</v>
      </c>
      <c r="L27" s="331">
        <f>IF(L16&gt;='Assumption Sheet'!$B$15,-K28,0)</f>
        <v>0</v>
      </c>
      <c r="M27" s="331">
        <f>IF(M16&gt;='Assumption Sheet'!$B$15,-L28,0)</f>
        <v>0</v>
      </c>
      <c r="N27" s="331">
        <f>IF(N16&gt;='Assumption Sheet'!$B$15,-M28,0)</f>
        <v>0</v>
      </c>
      <c r="O27" s="331">
        <f>IF(O16&gt;='Assumption Sheet'!$B$15,-N28,0)</f>
        <v>0</v>
      </c>
      <c r="P27" s="331">
        <f>IF(P16&gt;='Assumption Sheet'!$B$15,-O28,0)</f>
        <v>0</v>
      </c>
      <c r="Q27" s="331">
        <f>IF(Q16&gt;='Assumption Sheet'!$B$15,-P28,0)</f>
        <v>0</v>
      </c>
      <c r="R27" s="331">
        <f>IF(R16&gt;='Assumption Sheet'!$B$15,-Q28,0)</f>
        <v>0</v>
      </c>
      <c r="S27" s="331">
        <f>IF(S16&gt;='Assumption Sheet'!$B$15,-R28,0)</f>
        <v>0</v>
      </c>
      <c r="T27" s="331">
        <f>IF(T16&gt;='Assumption Sheet'!$B$15,-S28,0)</f>
        <v>0</v>
      </c>
      <c r="U27" s="331">
        <f>IF(U16&gt;='Assumption Sheet'!$B$15,-T28,0)</f>
        <v>0</v>
      </c>
      <c r="V27" s="331">
        <f>IF(V16&gt;='Assumption Sheet'!$B$15,-U28,0)</f>
        <v>0</v>
      </c>
      <c r="W27" s="331">
        <f>IF(W16&gt;='Assumption Sheet'!$B$15,-V28,0)</f>
        <v>0</v>
      </c>
      <c r="X27" s="331">
        <f>IF(X16&gt;='Assumption Sheet'!$B$15,-W28,0)</f>
        <v>0</v>
      </c>
      <c r="Y27" s="331">
        <f>IF(Y16&gt;='Assumption Sheet'!$B$15,-X28,0)</f>
        <v>0</v>
      </c>
      <c r="Z27" s="331">
        <f>IF(Z16&gt;='Assumption Sheet'!$B$15,-Y28,0)</f>
        <v>0</v>
      </c>
      <c r="AA27" s="331">
        <f>IF(AA16&gt;='Assumption Sheet'!$B$15,-Z28,0)</f>
        <v>0</v>
      </c>
      <c r="AB27" s="331">
        <f>IF(AB16&gt;='Assumption Sheet'!$B$15,-AA28,0)</f>
        <v>0</v>
      </c>
      <c r="AC27" s="331">
        <f>IF(AC16&gt;='Assumption Sheet'!$B$15,-AB28,0)</f>
        <v>0</v>
      </c>
      <c r="AD27" s="331">
        <f>IF(AD16&gt;='Assumption Sheet'!$B$15,-AC28,0)</f>
        <v>0</v>
      </c>
      <c r="AE27" s="331">
        <f>IF(AE16&gt;='Assumption Sheet'!$B$15,-AD28,0)</f>
        <v>0</v>
      </c>
      <c r="AF27" s="331">
        <f>IF(AF16&gt;='Assumption Sheet'!$B$15,-AE28,0)</f>
        <v>0</v>
      </c>
      <c r="AG27" s="331">
        <f>IF(AG16&gt;='Assumption Sheet'!$B$15,-AF28,0)</f>
        <v>0</v>
      </c>
      <c r="AH27" s="331">
        <f>IF(AH16&gt;='Assumption Sheet'!$B$15,-AG28,0)</f>
        <v>0</v>
      </c>
      <c r="AI27" s="331">
        <f>IF(AI16&gt;='Assumption Sheet'!$B$15,-AH28,0)</f>
        <v>0</v>
      </c>
      <c r="AJ27" s="331">
        <f>IF(AJ16&gt;='Assumption Sheet'!$B$15,-AI28,0)</f>
        <v>0</v>
      </c>
      <c r="AK27" s="331">
        <f>IF(AK16&gt;='Assumption Sheet'!$B$15,-AJ28,0)</f>
        <v>0</v>
      </c>
      <c r="AL27" s="331">
        <f>IF(AL16&gt;='Assumption Sheet'!$B$15,-AK28,0)</f>
        <v>0</v>
      </c>
      <c r="AM27" s="331">
        <f>IF(AM16&gt;='Assumption Sheet'!$B$15,-AL28,0)</f>
        <v>0</v>
      </c>
      <c r="AN27" s="331">
        <f>IF(AN16&gt;='Assumption Sheet'!$B$15,-AM28,0)</f>
        <v>0</v>
      </c>
      <c r="AO27" s="331">
        <f>IF(AO16&gt;='Assumption Sheet'!$B$15,-AN28,0)</f>
        <v>0</v>
      </c>
      <c r="AP27" s="331">
        <f>IF(AP16&gt;='Assumption Sheet'!$B$15,-AO28,0)</f>
        <v>0</v>
      </c>
      <c r="AQ27" s="331">
        <f>IF(AQ16&gt;='Assumption Sheet'!$B$15,-AP28,0)</f>
        <v>0</v>
      </c>
      <c r="AR27" s="331">
        <f>IF(AR16&gt;='Assumption Sheet'!$B$15,-AQ28,0)</f>
        <v>0</v>
      </c>
      <c r="AS27" s="331">
        <f>IF(AS16&gt;='Assumption Sheet'!$B$15,-AR28,0)</f>
        <v>0</v>
      </c>
      <c r="AT27" s="331">
        <f>IF(AT16&gt;='Assumption Sheet'!$B$15,-AS28,0)</f>
        <v>0</v>
      </c>
      <c r="AU27" s="331">
        <f>IF(AU16&gt;='Assumption Sheet'!$B$15,-AT28,0)</f>
        <v>0</v>
      </c>
      <c r="AV27" s="331">
        <f>IF(AV16&gt;='Assumption Sheet'!$B$15,-AU28,0)</f>
        <v>0</v>
      </c>
      <c r="AW27" s="331">
        <f>IF(AW16&gt;='Assumption Sheet'!$B$15,-AV28,0)</f>
        <v>0</v>
      </c>
      <c r="AX27" s="331">
        <f>IF(AX16&gt;='Assumption Sheet'!$B$15,-AW28,0)</f>
        <v>0</v>
      </c>
      <c r="AY27" s="331">
        <f>IF(AY16&gt;='Assumption Sheet'!$B$15,-AX28,0)</f>
        <v>0</v>
      </c>
      <c r="AZ27" s="331">
        <f>IF(AZ16&gt;='Assumption Sheet'!$B$15,-AY28,0)</f>
        <v>0</v>
      </c>
      <c r="BA27" s="331">
        <f>IF(BA16&gt;='Assumption Sheet'!$B$15,-AZ28,0)</f>
        <v>0</v>
      </c>
      <c r="BB27" s="331">
        <f>IF(BB16&gt;='Assumption Sheet'!$B$15,-BA28,0)</f>
        <v>0</v>
      </c>
      <c r="BC27" s="331">
        <f>IF(BC16&gt;='Assumption Sheet'!$B$15,-BB28,0)</f>
        <v>0</v>
      </c>
      <c r="BD27" s="331">
        <f>IF(BD16&gt;='Assumption Sheet'!$B$15,-BC28,0)</f>
        <v>0</v>
      </c>
      <c r="BE27" s="331">
        <f>IF(BE16&gt;='Assumption Sheet'!$B$15,-BD28,0)</f>
        <v>0</v>
      </c>
      <c r="BF27" s="331">
        <f>IF(BF16&gt;='Assumption Sheet'!$B$15,-BE28,0)</f>
        <v>0</v>
      </c>
      <c r="BG27" s="331">
        <f>IF(BG16&gt;='Assumption Sheet'!$B$15,-BF28,0)</f>
        <v>0</v>
      </c>
      <c r="BH27" s="331">
        <f>IF(BH16&gt;='Assumption Sheet'!$B$15,-BG28,0)</f>
        <v>0</v>
      </c>
      <c r="BI27" s="331">
        <f>IF(BI16&gt;='Assumption Sheet'!$B$15,-BH28,0)</f>
        <v>0</v>
      </c>
      <c r="BJ27" s="331">
        <f>IF(BJ16&gt;='Assumption Sheet'!$B$15,-BI28,0)</f>
        <v>0</v>
      </c>
      <c r="BK27" s="331">
        <f ca="1">IF(BK16&gt;='Assumption Sheet'!$B$15,-BJ28,0)</f>
        <v>-300.00044746913852</v>
      </c>
      <c r="BL27" s="331"/>
      <c r="BM27" s="331">
        <f ca="1">IF(BM16&gt;='Assumption Sheet'!$B$15,-BL28,0)</f>
        <v>0</v>
      </c>
      <c r="BN27" s="331">
        <f ca="1">IF(BN16&gt;='Assumption Sheet'!$B$15,-BM28,0)</f>
        <v>0</v>
      </c>
      <c r="BO27" s="331">
        <f ca="1">IF(BO16&gt;='Assumption Sheet'!$B$15,-BN28,0)</f>
        <v>0</v>
      </c>
      <c r="BP27" s="331">
        <f ca="1">IF(BP16&gt;='Assumption Sheet'!$B$15,-BO28,0)</f>
        <v>0</v>
      </c>
      <c r="BQ27" s="331">
        <f ca="1">IF(BQ16&gt;='Assumption Sheet'!$B$15,-BP28,0)</f>
        <v>0</v>
      </c>
      <c r="BR27" s="331">
        <f ca="1">IF(BR16&gt;='Assumption Sheet'!$B$15,-BQ28,0)</f>
        <v>0</v>
      </c>
      <c r="BS27" s="331">
        <f ca="1">IF(BS16&gt;='Assumption Sheet'!$B$15,-BR28,0)</f>
        <v>0</v>
      </c>
      <c r="BT27" s="331">
        <f ca="1">IF(BT16&gt;='Assumption Sheet'!$B$15,-BS28,0)</f>
        <v>0</v>
      </c>
      <c r="BU27" s="331">
        <f ca="1">IF(BU16&gt;='Assumption Sheet'!$B$15,-BT28,0)</f>
        <v>0</v>
      </c>
      <c r="BV27" s="331">
        <f ca="1">IF(BV16&gt;='Assumption Sheet'!$B$15,-BU28,0)</f>
        <v>0</v>
      </c>
      <c r="BW27" s="331">
        <f ca="1">IF(BW16&gt;='Assumption Sheet'!$B$15,-BV28,0)</f>
        <v>0</v>
      </c>
      <c r="BX27" s="331">
        <f ca="1">IF(BX16&gt;='Assumption Sheet'!$B$15,-BW28,0)</f>
        <v>0</v>
      </c>
      <c r="BY27" s="331">
        <f ca="1">IF(BY16&gt;='Assumption Sheet'!$B$15,-BX28,0)</f>
        <v>0</v>
      </c>
      <c r="BZ27" s="331">
        <f ca="1">IF(BZ16&gt;='Assumption Sheet'!$B$15,-BY28,0)</f>
        <v>0</v>
      </c>
      <c r="CA27" s="331">
        <f ca="1">IF(CA16&gt;='Assumption Sheet'!$B$15,-BZ28,0)</f>
        <v>0</v>
      </c>
      <c r="CB27" s="331">
        <f ca="1">IF(CB16&gt;='Assumption Sheet'!$B$15,-CA28,0)</f>
        <v>0</v>
      </c>
      <c r="CC27" s="331">
        <f ca="1">IF(CC16&gt;='Assumption Sheet'!$B$15,-CB28,0)</f>
        <v>0</v>
      </c>
      <c r="CD27" s="331">
        <f ca="1">IF(CD16&gt;='Assumption Sheet'!$B$15,-CC28,0)</f>
        <v>0</v>
      </c>
      <c r="CE27" s="331">
        <f ca="1">IF(CE16&gt;='Assumption Sheet'!$B$15,-CD28,0)</f>
        <v>0</v>
      </c>
      <c r="CF27" s="331">
        <f ca="1">IF(CF16&gt;='Assumption Sheet'!$B$15,-CE28,0)</f>
        <v>0</v>
      </c>
      <c r="CG27" s="331">
        <f ca="1">IF(CG16&gt;='Assumption Sheet'!$B$15,-CF28,0)</f>
        <v>0</v>
      </c>
      <c r="CH27" s="331">
        <f ca="1">IF(CH16&gt;='Assumption Sheet'!$B$15,-CG28,0)</f>
        <v>0</v>
      </c>
      <c r="CI27" s="331">
        <f ca="1">IF(CI16&gt;='Assumption Sheet'!$B$15,-CH28,0)</f>
        <v>0</v>
      </c>
      <c r="CJ27" s="331">
        <f ca="1">IF(CJ16&gt;='Assumption Sheet'!$B$15,-CI28,0)</f>
        <v>0</v>
      </c>
      <c r="CK27" s="331">
        <f ca="1">IF(CK16&gt;='Assumption Sheet'!$B$15,-CJ28,0)</f>
        <v>0</v>
      </c>
      <c r="CL27" s="331">
        <f ca="1">IF(CL16&gt;='Assumption Sheet'!$B$15,-CK28,0)</f>
        <v>0</v>
      </c>
      <c r="CM27" s="331">
        <f ca="1">IF(CM16&gt;='Assumption Sheet'!$B$15,-CL28,0)</f>
        <v>0</v>
      </c>
      <c r="CN27" s="331">
        <f ca="1">IF(CN16&gt;='Assumption Sheet'!$B$15,-CM28,0)</f>
        <v>0</v>
      </c>
      <c r="CO27" s="331">
        <f ca="1">IF(CO16&gt;='Assumption Sheet'!$B$15,-CN28,0)</f>
        <v>0</v>
      </c>
      <c r="CP27" s="331">
        <f ca="1">IF(CP16&gt;='Assumption Sheet'!$B$15,-CO28,0)</f>
        <v>0</v>
      </c>
      <c r="CQ27" s="331">
        <f ca="1">IF(CQ16&gt;='Assumption Sheet'!$B$15,-CP28,0)</f>
        <v>0</v>
      </c>
      <c r="CR27" s="331">
        <f ca="1">IF(CR16&gt;='Assumption Sheet'!$B$15,-CQ28,0)</f>
        <v>0</v>
      </c>
      <c r="CS27" s="331">
        <f ca="1">IF(CS16&gt;='Assumption Sheet'!$B$15,-CR28,0)</f>
        <v>0</v>
      </c>
      <c r="CT27" s="331">
        <f ca="1">IF(CT16&gt;='Assumption Sheet'!$B$15,-CS28,0)</f>
        <v>0</v>
      </c>
      <c r="CU27" s="331">
        <f ca="1">IF(CU16&gt;='Assumption Sheet'!$B$15,-CT28,0)</f>
        <v>0</v>
      </c>
      <c r="CV27" s="331">
        <f ca="1">IF(CV16&gt;='Assumption Sheet'!$B$15,-CU28,0)</f>
        <v>0</v>
      </c>
      <c r="CW27" s="331">
        <f ca="1">IF(CW16&gt;='Assumption Sheet'!$B$15,-CV28,0)</f>
        <v>0</v>
      </c>
      <c r="CX27" s="331">
        <f ca="1">IF(CX16&gt;='Assumption Sheet'!$B$15,-CW28,0)</f>
        <v>0</v>
      </c>
      <c r="CY27" s="331">
        <f ca="1">IF(CY16&gt;='Assumption Sheet'!$B$15,-CX28,0)</f>
        <v>0</v>
      </c>
      <c r="CZ27" s="331">
        <f ca="1">IF(CZ16&gt;='Assumption Sheet'!$B$15,-CY28,0)</f>
        <v>0</v>
      </c>
      <c r="DA27" s="331">
        <f ca="1">IF(DA16&gt;='Assumption Sheet'!$B$15,-CZ28,0)</f>
        <v>0</v>
      </c>
      <c r="DB27" s="331">
        <f ca="1">IF(DB16&gt;='Assumption Sheet'!$B$15,-DA28,0)</f>
        <v>0</v>
      </c>
      <c r="DC27" s="331">
        <f ca="1">IF(DC16&gt;='Assumption Sheet'!$B$15,-DB28,0)</f>
        <v>0</v>
      </c>
      <c r="DD27" s="331">
        <f ca="1">IF(DD16&gt;='Assumption Sheet'!$B$15,-DC28,0)</f>
        <v>0</v>
      </c>
      <c r="DE27" s="331">
        <f ca="1">IF(DE16&gt;='Assumption Sheet'!$B$15,-DD28,0)</f>
        <v>0</v>
      </c>
      <c r="DF27" s="331">
        <f ca="1">IF(DF16&gt;='Assumption Sheet'!$B$15,-DE28,0)</f>
        <v>0</v>
      </c>
      <c r="DG27" s="331">
        <f ca="1">IF(DG16&gt;='Assumption Sheet'!$B$15,-DF28,0)</f>
        <v>0</v>
      </c>
      <c r="DH27" s="331">
        <f ca="1">IF(DH16&gt;='Assumption Sheet'!$B$15,-DG28,0)</f>
        <v>0</v>
      </c>
      <c r="DI27" s="331">
        <f ca="1">IF(DI16&gt;='Assumption Sheet'!$B$15,-DH28,0)</f>
        <v>0</v>
      </c>
      <c r="DJ27" s="331">
        <f ca="1">IF(DJ16&gt;='Assumption Sheet'!$B$15,-DI28,0)</f>
        <v>0</v>
      </c>
      <c r="DK27" s="331">
        <f ca="1">IF(DK16&gt;='Assumption Sheet'!$B$15,-DJ28,0)</f>
        <v>0</v>
      </c>
      <c r="DL27" s="331">
        <f ca="1">IF(DL16&gt;='Assumption Sheet'!$B$15,-DK28,0)</f>
        <v>0</v>
      </c>
      <c r="DM27" s="331">
        <f ca="1">IF(DM16&gt;='Assumption Sheet'!$B$15,-DL28,0)</f>
        <v>0</v>
      </c>
      <c r="DN27" s="331">
        <f ca="1">IF(DN16&gt;='Assumption Sheet'!$B$15,-DM28,0)</f>
        <v>0</v>
      </c>
      <c r="DO27" s="331">
        <f ca="1">IF(DO16&gt;='Assumption Sheet'!$B$15,-DN28,0)</f>
        <v>0</v>
      </c>
      <c r="DP27" s="331">
        <f ca="1">IF(DP16&gt;='Assumption Sheet'!$B$15,-DO28,0)</f>
        <v>0</v>
      </c>
      <c r="DQ27" s="331">
        <f ca="1">IF(DQ16&gt;='Assumption Sheet'!$B$15,-DP28,0)</f>
        <v>0</v>
      </c>
      <c r="DR27" s="331">
        <f ca="1">IF(DR16&gt;='Assumption Sheet'!$B$15,-DQ28,0)</f>
        <v>0</v>
      </c>
      <c r="DS27" s="331">
        <f ca="1">IF(DS16&gt;='Assumption Sheet'!$B$15,-DR28,0)</f>
        <v>0</v>
      </c>
      <c r="DT27" s="331">
        <f ca="1">IF(DT16&gt;='Assumption Sheet'!$B$15,-DS28,0)</f>
        <v>0</v>
      </c>
      <c r="DU27" s="331">
        <f ca="1">IF(DU16&gt;='Assumption Sheet'!$B$15,-DT28,0)</f>
        <v>0</v>
      </c>
      <c r="DV27" s="331">
        <f ca="1">IF(DV16&gt;='Assumption Sheet'!$B$15,-DU28,0)</f>
        <v>0</v>
      </c>
      <c r="DW27" s="331">
        <f ca="1">IF(DW16&gt;='Assumption Sheet'!$B$15,-DV28,0)</f>
        <v>0</v>
      </c>
      <c r="DX27" s="331">
        <f ca="1">IF(DX16&gt;='Assumption Sheet'!$B$15,-DW28,0)</f>
        <v>0</v>
      </c>
      <c r="DY27" s="331">
        <f ca="1">IF(DY16&gt;='Assumption Sheet'!$B$15,-DX28,0)</f>
        <v>0</v>
      </c>
      <c r="DZ27" s="331">
        <f ca="1">IF(DZ16&gt;='Assumption Sheet'!$B$15,-DY28,0)</f>
        <v>0</v>
      </c>
      <c r="EA27" s="331">
        <f ca="1">IF(EA16&gt;='Assumption Sheet'!$B$15,-DZ28,0)</f>
        <v>0</v>
      </c>
      <c r="EB27" s="331">
        <f ca="1">IF(EB16&gt;='Assumption Sheet'!$B$15,-EA28,0)</f>
        <v>0</v>
      </c>
    </row>
    <row r="28" spans="1:132" ht="12.75" customHeight="1" x14ac:dyDescent="0.3">
      <c r="A28" s="327" t="s">
        <v>66</v>
      </c>
      <c r="B28" s="329"/>
      <c r="C28" s="329"/>
      <c r="D28" s="328">
        <f t="shared" ref="D28:M28" ca="1" si="20">SUM(D23:D27)</f>
        <v>6.8097661006957679</v>
      </c>
      <c r="E28" s="328">
        <f t="shared" ca="1" si="20"/>
        <v>15.280406327519273</v>
      </c>
      <c r="F28" s="328">
        <f t="shared" ca="1" si="20"/>
        <v>21.263761110233901</v>
      </c>
      <c r="G28" s="328">
        <f t="shared" ca="1" si="20"/>
        <v>27.294923659833358</v>
      </c>
      <c r="H28" s="328">
        <f t="shared" ca="1" si="20"/>
        <v>33.374275966464907</v>
      </c>
      <c r="I28" s="328">
        <f t="shared" ca="1" si="20"/>
        <v>39.502203072425729</v>
      </c>
      <c r="J28" s="328">
        <f t="shared" ca="1" si="20"/>
        <v>45.679093096550005</v>
      </c>
      <c r="K28" s="328">
        <f t="shared" ca="1" si="20"/>
        <v>51.929737191247767</v>
      </c>
      <c r="L28" s="328">
        <f t="shared" ca="1" si="20"/>
        <v>56.097836032463178</v>
      </c>
      <c r="M28" s="328">
        <f t="shared" ca="1" si="20"/>
        <v>61.672991182742173</v>
      </c>
      <c r="N28" s="328">
        <f ca="1">SUM(N23:N27)</f>
        <v>65.174836198255946</v>
      </c>
      <c r="O28" s="328">
        <f ca="1">SUM(O23:O27)</f>
        <v>68.692042700476776</v>
      </c>
      <c r="P28" s="328">
        <f ca="1">SUM(P23:P27)</f>
        <v>76.206010668276534</v>
      </c>
      <c r="Q28" s="328">
        <f t="shared" ref="Q28:CB28" ca="1" si="21">SUM(Q23:Q27)</f>
        <v>83.222490217648797</v>
      </c>
      <c r="R28" s="328">
        <f t="shared" ca="1" si="21"/>
        <v>89.820481575283821</v>
      </c>
      <c r="S28" s="328">
        <f t="shared" ca="1" si="21"/>
        <v>96.447416234545429</v>
      </c>
      <c r="T28" s="328">
        <f t="shared" ca="1" si="21"/>
        <v>103.10342116054517</v>
      </c>
      <c r="U28" s="328">
        <f t="shared" ca="1" si="21"/>
        <v>109.7886238753505</v>
      </c>
      <c r="V28" s="328">
        <f t="shared" ca="1" si="21"/>
        <v>117.07984509546284</v>
      </c>
      <c r="W28" s="328">
        <f t="shared" ca="1" si="21"/>
        <v>123.85230507609784</v>
      </c>
      <c r="X28" s="328">
        <f t="shared" ca="1" si="21"/>
        <v>130.65447369703691</v>
      </c>
      <c r="Y28" s="328">
        <f t="shared" ca="1" si="21"/>
        <v>140.49306763280288</v>
      </c>
      <c r="Z28" s="328">
        <f t="shared" ca="1" si="21"/>
        <v>150.15370248457356</v>
      </c>
      <c r="AA28" s="328">
        <f t="shared" ca="1" si="21"/>
        <v>159.66943852970735</v>
      </c>
      <c r="AB28" s="328">
        <f t="shared" ca="1" si="21"/>
        <v>162.96804937579876</v>
      </c>
      <c r="AC28" s="328">
        <f t="shared" ca="1" si="21"/>
        <v>166.28113018456395</v>
      </c>
      <c r="AD28" s="328">
        <f t="shared" ca="1" si="21"/>
        <v>169.60874443115344</v>
      </c>
      <c r="AE28" s="328">
        <f t="shared" ca="1" si="21"/>
        <v>172.95095586916307</v>
      </c>
      <c r="AF28" s="328">
        <f t="shared" ca="1" si="21"/>
        <v>176.31864458020186</v>
      </c>
      <c r="AG28" s="328">
        <f t="shared" ca="1" si="21"/>
        <v>179.70110627666375</v>
      </c>
      <c r="AH28" s="328">
        <f t="shared" ca="1" si="21"/>
        <v>190.66549872573569</v>
      </c>
      <c r="AI28" s="328">
        <f t="shared" ca="1" si="21"/>
        <v>200.08659811043648</v>
      </c>
      <c r="AJ28" s="328">
        <f t="shared" ca="1" si="21"/>
        <v>209.14725713106023</v>
      </c>
      <c r="AK28" s="328">
        <f t="shared" ca="1" si="21"/>
        <v>215.6386548382799</v>
      </c>
      <c r="AL28" s="328">
        <f t="shared" ca="1" si="21"/>
        <v>222.15852825448948</v>
      </c>
      <c r="AM28" s="328">
        <f t="shared" ca="1" si="21"/>
        <v>228.70700229361952</v>
      </c>
      <c r="AN28" s="328">
        <f t="shared" ca="1" si="21"/>
        <v>235.28420241755856</v>
      </c>
      <c r="AO28" s="328">
        <f t="shared" ca="1" si="21"/>
        <v>241.91345845102595</v>
      </c>
      <c r="AP28" s="328">
        <f t="shared" ca="1" si="21"/>
        <v>248.57179493436607</v>
      </c>
      <c r="AQ28" s="328">
        <f t="shared" ca="1" si="21"/>
        <v>256.76762488626559</v>
      </c>
      <c r="AR28" s="328">
        <f t="shared" ca="1" si="21"/>
        <v>264.43943440205777</v>
      </c>
      <c r="AS28" s="328">
        <f t="shared" ca="1" si="21"/>
        <v>272.13591276120866</v>
      </c>
      <c r="AT28" s="328">
        <f t="shared" ca="1" si="21"/>
        <v>274.26901449654139</v>
      </c>
      <c r="AU28" s="328">
        <f t="shared" ca="1" si="21"/>
        <v>276.41147347464397</v>
      </c>
      <c r="AV28" s="328">
        <f t="shared" ca="1" si="21"/>
        <v>278.56333074278115</v>
      </c>
      <c r="AW28" s="328">
        <f t="shared" ca="1" si="21"/>
        <v>280.7246275282796</v>
      </c>
      <c r="AX28" s="328">
        <f t="shared" ca="1" si="21"/>
        <v>282.89540523931674</v>
      </c>
      <c r="AY28" s="328">
        <f t="shared" ca="1" si="21"/>
        <v>285.07570546571492</v>
      </c>
      <c r="AZ28" s="328">
        <f t="shared" ca="1" si="21"/>
        <v>288.2644941065418</v>
      </c>
      <c r="BA28" s="328">
        <f t="shared" ca="1" si="21"/>
        <v>290.47318134985636</v>
      </c>
      <c r="BB28" s="328">
        <f t="shared" ca="1" si="21"/>
        <v>292.69155740566185</v>
      </c>
      <c r="BC28" s="328">
        <f t="shared" ca="1" si="21"/>
        <v>294.91966477571509</v>
      </c>
      <c r="BD28" s="328">
        <f t="shared" ca="1" si="21"/>
        <v>297.15754614821424</v>
      </c>
      <c r="BE28" s="328">
        <f t="shared" ca="1" si="21"/>
        <v>300.00044746913852</v>
      </c>
      <c r="BF28" s="328">
        <f t="shared" ca="1" si="21"/>
        <v>300.00044746913846</v>
      </c>
      <c r="BG28" s="328">
        <f t="shared" ca="1" si="21"/>
        <v>300.00044746913852</v>
      </c>
      <c r="BH28" s="328">
        <f t="shared" ca="1" si="21"/>
        <v>300.00044746913846</v>
      </c>
      <c r="BI28" s="328">
        <f t="shared" ca="1" si="21"/>
        <v>300.00044746913852</v>
      </c>
      <c r="BJ28" s="328">
        <f t="shared" ca="1" si="21"/>
        <v>300.00044746913846</v>
      </c>
      <c r="BK28" s="328">
        <f ca="1">SUM(BK23:BK27)</f>
        <v>0</v>
      </c>
      <c r="BL28" s="328">
        <f t="shared" ca="1" si="21"/>
        <v>0</v>
      </c>
      <c r="BM28" s="328">
        <f t="shared" ca="1" si="21"/>
        <v>0</v>
      </c>
      <c r="BN28" s="328">
        <f t="shared" ca="1" si="21"/>
        <v>0</v>
      </c>
      <c r="BO28" s="328">
        <f t="shared" ca="1" si="21"/>
        <v>0</v>
      </c>
      <c r="BP28" s="328">
        <f t="shared" ca="1" si="21"/>
        <v>0</v>
      </c>
      <c r="BQ28" s="328">
        <f t="shared" ca="1" si="21"/>
        <v>0</v>
      </c>
      <c r="BR28" s="328">
        <f t="shared" ca="1" si="21"/>
        <v>0</v>
      </c>
      <c r="BS28" s="328">
        <f t="shared" ca="1" si="21"/>
        <v>0</v>
      </c>
      <c r="BT28" s="328">
        <f t="shared" ca="1" si="21"/>
        <v>0</v>
      </c>
      <c r="BU28" s="328">
        <f t="shared" ca="1" si="21"/>
        <v>0</v>
      </c>
      <c r="BV28" s="328">
        <f t="shared" ca="1" si="21"/>
        <v>0</v>
      </c>
      <c r="BW28" s="328">
        <f t="shared" ca="1" si="21"/>
        <v>0</v>
      </c>
      <c r="BX28" s="328">
        <f t="shared" ca="1" si="21"/>
        <v>0</v>
      </c>
      <c r="BY28" s="328">
        <f t="shared" ca="1" si="21"/>
        <v>0</v>
      </c>
      <c r="BZ28" s="328">
        <f t="shared" ca="1" si="21"/>
        <v>0</v>
      </c>
      <c r="CA28" s="328">
        <f t="shared" ca="1" si="21"/>
        <v>0</v>
      </c>
      <c r="CB28" s="328">
        <f t="shared" ca="1" si="21"/>
        <v>0</v>
      </c>
      <c r="CC28" s="328">
        <f t="shared" ref="CC28:EB28" ca="1" si="22">SUM(CC23:CC27)</f>
        <v>0</v>
      </c>
      <c r="CD28" s="328">
        <f t="shared" ca="1" si="22"/>
        <v>0</v>
      </c>
      <c r="CE28" s="328">
        <f t="shared" ca="1" si="22"/>
        <v>0</v>
      </c>
      <c r="CF28" s="328">
        <f t="shared" ca="1" si="22"/>
        <v>0</v>
      </c>
      <c r="CG28" s="328">
        <f t="shared" ca="1" si="22"/>
        <v>0</v>
      </c>
      <c r="CH28" s="328">
        <f t="shared" ca="1" si="22"/>
        <v>0</v>
      </c>
      <c r="CI28" s="328">
        <f t="shared" ca="1" si="22"/>
        <v>0</v>
      </c>
      <c r="CJ28" s="328">
        <f t="shared" ca="1" si="22"/>
        <v>0</v>
      </c>
      <c r="CK28" s="328">
        <f t="shared" ca="1" si="22"/>
        <v>0</v>
      </c>
      <c r="CL28" s="328">
        <f t="shared" ca="1" si="22"/>
        <v>0</v>
      </c>
      <c r="CM28" s="328">
        <f t="shared" ca="1" si="22"/>
        <v>0</v>
      </c>
      <c r="CN28" s="328">
        <f t="shared" ca="1" si="22"/>
        <v>0</v>
      </c>
      <c r="CO28" s="328">
        <f t="shared" ca="1" si="22"/>
        <v>0</v>
      </c>
      <c r="CP28" s="328">
        <f t="shared" ca="1" si="22"/>
        <v>0</v>
      </c>
      <c r="CQ28" s="328">
        <f t="shared" ca="1" si="22"/>
        <v>0</v>
      </c>
      <c r="CR28" s="328">
        <f t="shared" ca="1" si="22"/>
        <v>0</v>
      </c>
      <c r="CS28" s="328">
        <f t="shared" ca="1" si="22"/>
        <v>0</v>
      </c>
      <c r="CT28" s="328">
        <f t="shared" ca="1" si="22"/>
        <v>0</v>
      </c>
      <c r="CU28" s="328">
        <f t="shared" ca="1" si="22"/>
        <v>0</v>
      </c>
      <c r="CV28" s="328">
        <f t="shared" ca="1" si="22"/>
        <v>0</v>
      </c>
      <c r="CW28" s="328">
        <f t="shared" ca="1" si="22"/>
        <v>0</v>
      </c>
      <c r="CX28" s="328">
        <f t="shared" ca="1" si="22"/>
        <v>0</v>
      </c>
      <c r="CY28" s="328">
        <f t="shared" ca="1" si="22"/>
        <v>0</v>
      </c>
      <c r="CZ28" s="328">
        <f t="shared" ca="1" si="22"/>
        <v>0</v>
      </c>
      <c r="DA28" s="328">
        <f t="shared" ca="1" si="22"/>
        <v>0</v>
      </c>
      <c r="DB28" s="328">
        <f t="shared" ca="1" si="22"/>
        <v>0</v>
      </c>
      <c r="DC28" s="328">
        <f t="shared" ca="1" si="22"/>
        <v>0</v>
      </c>
      <c r="DD28" s="328">
        <f t="shared" ca="1" si="22"/>
        <v>0</v>
      </c>
      <c r="DE28" s="328">
        <f t="shared" ca="1" si="22"/>
        <v>0</v>
      </c>
      <c r="DF28" s="328">
        <f t="shared" ca="1" si="22"/>
        <v>0</v>
      </c>
      <c r="DG28" s="328">
        <f t="shared" ca="1" si="22"/>
        <v>0</v>
      </c>
      <c r="DH28" s="328">
        <f t="shared" ca="1" si="22"/>
        <v>0</v>
      </c>
      <c r="DI28" s="328">
        <f t="shared" ca="1" si="22"/>
        <v>0</v>
      </c>
      <c r="DJ28" s="328">
        <f t="shared" ca="1" si="22"/>
        <v>0</v>
      </c>
      <c r="DK28" s="328">
        <f t="shared" ca="1" si="22"/>
        <v>0</v>
      </c>
      <c r="DL28" s="328">
        <f t="shared" ca="1" si="22"/>
        <v>0</v>
      </c>
      <c r="DM28" s="328">
        <f t="shared" ca="1" si="22"/>
        <v>0</v>
      </c>
      <c r="DN28" s="328">
        <f t="shared" ca="1" si="22"/>
        <v>0</v>
      </c>
      <c r="DO28" s="328">
        <f t="shared" ca="1" si="22"/>
        <v>0</v>
      </c>
      <c r="DP28" s="328">
        <f t="shared" ca="1" si="22"/>
        <v>0</v>
      </c>
      <c r="DQ28" s="328">
        <f t="shared" ca="1" si="22"/>
        <v>0</v>
      </c>
      <c r="DR28" s="328">
        <f t="shared" ca="1" si="22"/>
        <v>0</v>
      </c>
      <c r="DS28" s="328">
        <f t="shared" ca="1" si="22"/>
        <v>0</v>
      </c>
      <c r="DT28" s="328">
        <f t="shared" ca="1" si="22"/>
        <v>0</v>
      </c>
      <c r="DU28" s="328">
        <f t="shared" ca="1" si="22"/>
        <v>0</v>
      </c>
      <c r="DV28" s="328">
        <f t="shared" ca="1" si="22"/>
        <v>0</v>
      </c>
      <c r="DW28" s="328">
        <f t="shared" ca="1" si="22"/>
        <v>0</v>
      </c>
      <c r="DX28" s="328">
        <f t="shared" ca="1" si="22"/>
        <v>0</v>
      </c>
      <c r="DY28" s="328">
        <f t="shared" ca="1" si="22"/>
        <v>0</v>
      </c>
      <c r="DZ28" s="328">
        <f t="shared" ca="1" si="22"/>
        <v>0</v>
      </c>
      <c r="EA28" s="328">
        <f t="shared" ca="1" si="22"/>
        <v>0</v>
      </c>
      <c r="EB28" s="328">
        <f t="shared" ca="1" si="22"/>
        <v>0</v>
      </c>
    </row>
    <row r="29" spans="1:132" ht="12.75" customHeight="1" x14ac:dyDescent="0.3">
      <c r="A29" s="312"/>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c r="DO29" s="319"/>
      <c r="DP29" s="319"/>
      <c r="DQ29" s="319"/>
      <c r="DR29" s="319"/>
      <c r="DS29" s="319"/>
      <c r="DT29" s="319"/>
      <c r="DU29" s="319"/>
      <c r="DV29" s="319"/>
      <c r="DW29" s="319"/>
      <c r="DX29" s="319"/>
      <c r="DY29" s="319"/>
      <c r="DZ29" s="319"/>
      <c r="EA29" s="319"/>
      <c r="EB29" s="319"/>
    </row>
    <row r="31" spans="1:132" x14ac:dyDescent="0.3">
      <c r="A31" s="333" t="s">
        <v>133</v>
      </c>
    </row>
    <row r="32" spans="1:132" x14ac:dyDescent="0.3">
      <c r="A32" s="312" t="s">
        <v>134</v>
      </c>
      <c r="B32" s="320">
        <f ca="1">SUM(D32:EB32)</f>
        <v>-85.802464749012245</v>
      </c>
      <c r="C32" s="326"/>
      <c r="D32" s="334">
        <f t="shared" ref="D32:AS32" ca="1" si="23">D26</f>
        <v>-5.4194388551370487E-2</v>
      </c>
      <c r="E32" s="334">
        <f t="shared" ca="1" si="23"/>
        <v>-8.7900477787272349E-2</v>
      </c>
      <c r="F32" s="334">
        <f t="shared" ca="1" si="23"/>
        <v>-0.14541533292939285</v>
      </c>
      <c r="G32" s="334">
        <f t="shared" ca="1" si="23"/>
        <v>-0.19322309981422595</v>
      </c>
      <c r="H32" s="334">
        <f t="shared" ca="1" si="23"/>
        <v>-0.24141285684631186</v>
      </c>
      <c r="I32" s="334">
        <f t="shared" ca="1" si="23"/>
        <v>-0.2899876561755857</v>
      </c>
      <c r="J32" s="334">
        <f t="shared" ca="1" si="23"/>
        <v>-0.33895057433904929</v>
      </c>
      <c r="K32" s="334">
        <f t="shared" ca="1" si="23"/>
        <v>-0.38840180385352863</v>
      </c>
      <c r="L32" s="334">
        <f t="shared" ca="1" si="23"/>
        <v>-0.42985971845268311</v>
      </c>
      <c r="M32" s="334">
        <f t="shared" ca="1" si="23"/>
        <v>-0.4686297499605046</v>
      </c>
      <c r="N32" s="334">
        <f t="shared" ca="1" si="23"/>
        <v>-0.50474864645355499</v>
      </c>
      <c r="O32" s="334">
        <f t="shared" ca="1" si="23"/>
        <v>-0.53267862228454066</v>
      </c>
      <c r="P32" s="334">
        <f t="shared" ca="1" si="23"/>
        <v>-0.57657350402983087</v>
      </c>
      <c r="Q32" s="334">
        <f t="shared" ca="1" si="23"/>
        <v>-0.63439257644191127</v>
      </c>
      <c r="R32" s="334">
        <f t="shared" ca="1" si="23"/>
        <v>-0.68856682525937785</v>
      </c>
      <c r="S32" s="334">
        <f t="shared" ca="1" si="23"/>
        <v>-0.74119101003494559</v>
      </c>
      <c r="T32" s="334">
        <f t="shared" ca="1" si="23"/>
        <v>-0.79404604046796468</v>
      </c>
      <c r="U32" s="334">
        <f t="shared" ca="1" si="23"/>
        <v>-0.84713292920533478</v>
      </c>
      <c r="V32" s="334">
        <f t="shared" ca="1" si="23"/>
        <v>-0.90274744944636154</v>
      </c>
      <c r="W32" s="334">
        <f t="shared" ca="1" si="23"/>
        <v>-0.95870918089100199</v>
      </c>
      <c r="X32" s="334">
        <f t="shared" ca="1" si="23"/>
        <v>-1.0127248905347652</v>
      </c>
      <c r="Y32" s="334">
        <f t="shared" ca="1" si="23"/>
        <v>-1.0789412582083209</v>
      </c>
      <c r="Z32" s="334">
        <f t="shared" ca="1" si="23"/>
        <v>-1.1565319394253937</v>
      </c>
      <c r="AA32" s="334">
        <f t="shared" ca="1" si="23"/>
        <v>-1.2328379152859927</v>
      </c>
      <c r="AB32" s="334">
        <f t="shared" ca="1" si="23"/>
        <v>-1.2838283372906596</v>
      </c>
      <c r="AC32" s="334">
        <f t="shared" ca="1" si="23"/>
        <v>-1.3101373603339432</v>
      </c>
      <c r="AD32" s="334">
        <f t="shared" ca="1" si="23"/>
        <v>-1.3365617927417091</v>
      </c>
      <c r="AE32" s="334">
        <f t="shared" ca="1" si="23"/>
        <v>-1.363102140778343</v>
      </c>
      <c r="AF32" s="334">
        <f t="shared" ca="1" si="23"/>
        <v>-1.3898019517880982</v>
      </c>
      <c r="AG32" s="334">
        <f t="shared" ca="1" si="23"/>
        <v>-1.4166619252846111</v>
      </c>
      <c r="AH32" s="334">
        <f t="shared" ca="1" si="23"/>
        <v>-1.4737504490720477</v>
      </c>
      <c r="AI32" s="334">
        <f t="shared" ca="1" si="23"/>
        <v>-1.5548677186606019</v>
      </c>
      <c r="AJ32" s="334">
        <f t="shared" ca="1" si="23"/>
        <v>-1.6284097156484556</v>
      </c>
      <c r="AK32" s="334">
        <f t="shared" ca="1" si="23"/>
        <v>-1.6902939413779994</v>
      </c>
      <c r="AL32" s="334">
        <f t="shared" ca="1" si="23"/>
        <v>-1.7420679577233116</v>
      </c>
      <c r="AM32" s="334">
        <f t="shared" ca="1" si="23"/>
        <v>-1.7940690903060172</v>
      </c>
      <c r="AN32" s="334">
        <f t="shared" ca="1" si="23"/>
        <v>-1.8462983354132294</v>
      </c>
      <c r="AO32" s="334">
        <f t="shared" ca="1" si="23"/>
        <v>-1.8988490255395758</v>
      </c>
      <c r="AP32" s="334">
        <f t="shared" ca="1" si="23"/>
        <v>-1.9517225707627057</v>
      </c>
      <c r="AQ32" s="334">
        <f t="shared" ca="1" si="23"/>
        <v>-2.01082977470293</v>
      </c>
      <c r="AR32" s="334">
        <f t="shared" ca="1" si="23"/>
        <v>-2.073969756751453</v>
      </c>
      <c r="AS32" s="334">
        <f t="shared" ca="1" si="23"/>
        <v>-2.1351227355871645</v>
      </c>
      <c r="AT32" s="334">
        <f t="shared" ref="AT32:DE32" ca="1" si="24">AT26</f>
        <v>-2.1742362730464637</v>
      </c>
      <c r="AU32" s="334">
        <f t="shared" ca="1" si="24"/>
        <v>-2.191249441718675</v>
      </c>
      <c r="AV32" s="334">
        <f t="shared" ca="1" si="24"/>
        <v>-2.2083372417818374</v>
      </c>
      <c r="AW32" s="334">
        <f t="shared" ca="1" si="24"/>
        <v>-2.2255000006202623</v>
      </c>
      <c r="AX32" s="334">
        <f t="shared" ca="1" si="24"/>
        <v>-2.2427380470543938</v>
      </c>
      <c r="AY32" s="334">
        <f t="shared" ca="1" si="24"/>
        <v>-2.260051711347105</v>
      </c>
      <c r="AZ32" s="334">
        <f t="shared" ca="1" si="24"/>
        <v>-2.2814162107979383</v>
      </c>
      <c r="BA32" s="334">
        <f t="shared" ca="1" si="24"/>
        <v>-2.3028936669202511</v>
      </c>
      <c r="BB32" s="334">
        <f t="shared" ca="1" si="24"/>
        <v>-2.3205096896313329</v>
      </c>
      <c r="BC32" s="334">
        <f t="shared" ca="1" si="24"/>
        <v>-2.3382029882633955</v>
      </c>
      <c r="BD32" s="334">
        <f t="shared" ca="1" si="24"/>
        <v>-2.3559739018014687</v>
      </c>
      <c r="BE32" s="334">
        <f t="shared" ca="1" si="24"/>
        <v>-2.3761911829357163</v>
      </c>
      <c r="BF32" s="334">
        <f t="shared" ca="1" si="24"/>
        <v>-2.3875035611085607</v>
      </c>
      <c r="BG32" s="334">
        <f t="shared" ca="1" si="24"/>
        <v>-2.3875035611085607</v>
      </c>
      <c r="BH32" s="334">
        <f t="shared" ca="1" si="24"/>
        <v>-2.3875035611085607</v>
      </c>
      <c r="BI32" s="334">
        <f t="shared" ca="1" si="24"/>
        <v>-2.3875035611085607</v>
      </c>
      <c r="BJ32" s="334">
        <f t="shared" ca="1" si="24"/>
        <v>-2.3875035611085607</v>
      </c>
      <c r="BK32" s="334">
        <f ca="1">BK26</f>
        <v>-2.3875035611085607</v>
      </c>
      <c r="BL32" s="334">
        <f t="shared" ca="1" si="24"/>
        <v>0</v>
      </c>
      <c r="BM32" s="334">
        <f t="shared" ca="1" si="24"/>
        <v>0</v>
      </c>
      <c r="BN32" s="334">
        <f t="shared" ca="1" si="24"/>
        <v>0</v>
      </c>
      <c r="BO32" s="334">
        <f t="shared" ca="1" si="24"/>
        <v>0</v>
      </c>
      <c r="BP32" s="334">
        <f t="shared" ca="1" si="24"/>
        <v>0</v>
      </c>
      <c r="BQ32" s="334">
        <f t="shared" ca="1" si="24"/>
        <v>0</v>
      </c>
      <c r="BR32" s="334">
        <f t="shared" ca="1" si="24"/>
        <v>0</v>
      </c>
      <c r="BS32" s="334">
        <f t="shared" ca="1" si="24"/>
        <v>0</v>
      </c>
      <c r="BT32" s="334">
        <f t="shared" ca="1" si="24"/>
        <v>0</v>
      </c>
      <c r="BU32" s="334">
        <f t="shared" ca="1" si="24"/>
        <v>0</v>
      </c>
      <c r="BV32" s="334">
        <f t="shared" ca="1" si="24"/>
        <v>0</v>
      </c>
      <c r="BW32" s="334">
        <f t="shared" ca="1" si="24"/>
        <v>0</v>
      </c>
      <c r="BX32" s="334">
        <f t="shared" ca="1" si="24"/>
        <v>0</v>
      </c>
      <c r="BY32" s="334">
        <f t="shared" ca="1" si="24"/>
        <v>0</v>
      </c>
      <c r="BZ32" s="334">
        <f t="shared" ca="1" si="24"/>
        <v>0</v>
      </c>
      <c r="CA32" s="334">
        <f t="shared" ca="1" si="24"/>
        <v>0</v>
      </c>
      <c r="CB32" s="334">
        <f t="shared" ca="1" si="24"/>
        <v>0</v>
      </c>
      <c r="CC32" s="334">
        <f t="shared" ca="1" si="24"/>
        <v>0</v>
      </c>
      <c r="CD32" s="334">
        <f t="shared" ca="1" si="24"/>
        <v>0</v>
      </c>
      <c r="CE32" s="334">
        <f t="shared" ca="1" si="24"/>
        <v>0</v>
      </c>
      <c r="CF32" s="334">
        <f t="shared" ca="1" si="24"/>
        <v>0</v>
      </c>
      <c r="CG32" s="334">
        <f t="shared" ca="1" si="24"/>
        <v>0</v>
      </c>
      <c r="CH32" s="334">
        <f t="shared" ca="1" si="24"/>
        <v>0</v>
      </c>
      <c r="CI32" s="334">
        <f t="shared" ca="1" si="24"/>
        <v>0</v>
      </c>
      <c r="CJ32" s="334">
        <f t="shared" ca="1" si="24"/>
        <v>0</v>
      </c>
      <c r="CK32" s="334">
        <f t="shared" ca="1" si="24"/>
        <v>0</v>
      </c>
      <c r="CL32" s="334">
        <f t="shared" ca="1" si="24"/>
        <v>0</v>
      </c>
      <c r="CM32" s="334">
        <f t="shared" ca="1" si="24"/>
        <v>0</v>
      </c>
      <c r="CN32" s="334">
        <f t="shared" ca="1" si="24"/>
        <v>0</v>
      </c>
      <c r="CO32" s="334">
        <f t="shared" ca="1" si="24"/>
        <v>0</v>
      </c>
      <c r="CP32" s="334">
        <f t="shared" ca="1" si="24"/>
        <v>0</v>
      </c>
      <c r="CQ32" s="334">
        <f t="shared" ca="1" si="24"/>
        <v>0</v>
      </c>
      <c r="CR32" s="334">
        <f t="shared" ca="1" si="24"/>
        <v>0</v>
      </c>
      <c r="CS32" s="334">
        <f t="shared" ca="1" si="24"/>
        <v>0</v>
      </c>
      <c r="CT32" s="334">
        <f t="shared" ca="1" si="24"/>
        <v>0</v>
      </c>
      <c r="CU32" s="334">
        <f t="shared" ca="1" si="24"/>
        <v>0</v>
      </c>
      <c r="CV32" s="334">
        <f t="shared" ca="1" si="24"/>
        <v>0</v>
      </c>
      <c r="CW32" s="334">
        <f t="shared" ca="1" si="24"/>
        <v>0</v>
      </c>
      <c r="CX32" s="334">
        <f t="shared" ca="1" si="24"/>
        <v>0</v>
      </c>
      <c r="CY32" s="334">
        <f t="shared" ca="1" si="24"/>
        <v>0</v>
      </c>
      <c r="CZ32" s="334">
        <f t="shared" ca="1" si="24"/>
        <v>0</v>
      </c>
      <c r="DA32" s="334">
        <f t="shared" ca="1" si="24"/>
        <v>0</v>
      </c>
      <c r="DB32" s="334">
        <f t="shared" ca="1" si="24"/>
        <v>0</v>
      </c>
      <c r="DC32" s="334">
        <f t="shared" ca="1" si="24"/>
        <v>0</v>
      </c>
      <c r="DD32" s="334">
        <f t="shared" ca="1" si="24"/>
        <v>0</v>
      </c>
      <c r="DE32" s="334">
        <f t="shared" ca="1" si="24"/>
        <v>0</v>
      </c>
      <c r="DF32" s="334">
        <f t="shared" ref="DF32:EB32" ca="1" si="25">DF26</f>
        <v>0</v>
      </c>
      <c r="DG32" s="334">
        <f t="shared" ca="1" si="25"/>
        <v>0</v>
      </c>
      <c r="DH32" s="334">
        <f t="shared" ca="1" si="25"/>
        <v>0</v>
      </c>
      <c r="DI32" s="334">
        <f t="shared" ca="1" si="25"/>
        <v>0</v>
      </c>
      <c r="DJ32" s="334">
        <f t="shared" ca="1" si="25"/>
        <v>0</v>
      </c>
      <c r="DK32" s="334">
        <f t="shared" ca="1" si="25"/>
        <v>0</v>
      </c>
      <c r="DL32" s="334">
        <f t="shared" ca="1" si="25"/>
        <v>0</v>
      </c>
      <c r="DM32" s="334">
        <f t="shared" ca="1" si="25"/>
        <v>0</v>
      </c>
      <c r="DN32" s="334">
        <f t="shared" ca="1" si="25"/>
        <v>0</v>
      </c>
      <c r="DO32" s="334">
        <f t="shared" ca="1" si="25"/>
        <v>0</v>
      </c>
      <c r="DP32" s="334">
        <f t="shared" ca="1" si="25"/>
        <v>0</v>
      </c>
      <c r="DQ32" s="334">
        <f t="shared" ca="1" si="25"/>
        <v>0</v>
      </c>
      <c r="DR32" s="334">
        <f t="shared" ca="1" si="25"/>
        <v>0</v>
      </c>
      <c r="DS32" s="334">
        <f t="shared" ca="1" si="25"/>
        <v>0</v>
      </c>
      <c r="DT32" s="334">
        <f t="shared" ca="1" si="25"/>
        <v>0</v>
      </c>
      <c r="DU32" s="334">
        <f t="shared" ca="1" si="25"/>
        <v>0</v>
      </c>
      <c r="DV32" s="334">
        <f t="shared" ca="1" si="25"/>
        <v>0</v>
      </c>
      <c r="DW32" s="334">
        <f t="shared" ca="1" si="25"/>
        <v>0</v>
      </c>
      <c r="DX32" s="334">
        <f t="shared" ca="1" si="25"/>
        <v>0</v>
      </c>
      <c r="DY32" s="334">
        <f t="shared" ca="1" si="25"/>
        <v>0</v>
      </c>
      <c r="DZ32" s="334">
        <f t="shared" ca="1" si="25"/>
        <v>0</v>
      </c>
      <c r="EA32" s="334">
        <f t="shared" ca="1" si="25"/>
        <v>0</v>
      </c>
      <c r="EB32" s="334">
        <f t="shared" ca="1" si="25"/>
        <v>0</v>
      </c>
    </row>
    <row r="33" spans="1:132" x14ac:dyDescent="0.3">
      <c r="A33" s="312"/>
      <c r="B33" s="324"/>
      <c r="C33" s="326"/>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c r="BU33" s="335"/>
      <c r="BV33" s="335"/>
      <c r="BW33" s="335"/>
      <c r="BX33" s="335"/>
      <c r="BY33" s="335"/>
      <c r="BZ33" s="335"/>
      <c r="CA33" s="335"/>
      <c r="CB33" s="335"/>
      <c r="CC33" s="335"/>
      <c r="CD33" s="335"/>
      <c r="CE33" s="335"/>
      <c r="CF33" s="335"/>
      <c r="CG33" s="335"/>
      <c r="CH33" s="335"/>
      <c r="CI33" s="335"/>
      <c r="CJ33" s="335"/>
      <c r="CK33" s="335"/>
      <c r="CL33" s="335"/>
      <c r="CM33" s="335"/>
      <c r="CN33" s="335"/>
      <c r="CO33" s="335"/>
      <c r="CP33" s="335"/>
      <c r="CQ33" s="335"/>
      <c r="CR33" s="335"/>
      <c r="CS33" s="335"/>
      <c r="CT33" s="335"/>
      <c r="CU33" s="335"/>
      <c r="CV33" s="335"/>
      <c r="CW33" s="335"/>
      <c r="CX33" s="335"/>
      <c r="CY33" s="335"/>
      <c r="CZ33" s="335"/>
      <c r="DA33" s="335"/>
      <c r="DB33" s="335"/>
      <c r="DC33" s="335"/>
      <c r="DD33" s="335"/>
      <c r="DE33" s="335"/>
      <c r="DF33" s="335"/>
      <c r="DG33" s="335"/>
      <c r="DH33" s="335"/>
      <c r="DI33" s="335"/>
      <c r="DJ33" s="335"/>
      <c r="DK33" s="335"/>
      <c r="DL33" s="335"/>
      <c r="DM33" s="335"/>
      <c r="DN33" s="335"/>
      <c r="DO33" s="335"/>
      <c r="DP33" s="335"/>
      <c r="DQ33" s="335"/>
      <c r="DR33" s="335"/>
      <c r="DS33" s="335"/>
      <c r="DT33" s="335"/>
      <c r="DU33" s="335"/>
      <c r="DV33" s="335"/>
      <c r="DW33" s="335"/>
      <c r="DX33" s="335"/>
      <c r="DY33" s="335"/>
      <c r="DZ33" s="335"/>
      <c r="EA33" s="335"/>
      <c r="EB33" s="335"/>
    </row>
    <row r="34" spans="1:132" x14ac:dyDescent="0.3">
      <c r="A34" s="312" t="s">
        <v>135</v>
      </c>
      <c r="B34" s="320">
        <f ca="1">SUM(D34:EB34)</f>
        <v>-35.812553416628404</v>
      </c>
      <c r="C34" s="326"/>
      <c r="D34" s="335">
        <f>IF(D16&gt;='Assumption Sheet'!$B$13,SUM(E32:G32),0)</f>
        <v>0</v>
      </c>
      <c r="E34" s="335">
        <f>IF(E16&gt;='Assumption Sheet'!$B$13,SUM(F32:H32),0)</f>
        <v>0</v>
      </c>
      <c r="F34" s="335">
        <f>IF(F16&gt;='Assumption Sheet'!$B$13,SUM(G32:I32),0)</f>
        <v>0</v>
      </c>
      <c r="G34" s="335">
        <f>IF(G16&gt;='Assumption Sheet'!$B$13,SUM(H32:J32),0)</f>
        <v>0</v>
      </c>
      <c r="H34" s="335">
        <f>IF(H16&gt;='Assumption Sheet'!$B$13,SUM(I32:K32),0)</f>
        <v>0</v>
      </c>
      <c r="I34" s="335">
        <f>IF(I16&gt;='Assumption Sheet'!$B$13,SUM(J32:L32),0)</f>
        <v>0</v>
      </c>
      <c r="J34" s="335">
        <f>IF(J16&gt;='Assumption Sheet'!$B$13,SUM(K32:M32),0)</f>
        <v>0</v>
      </c>
      <c r="K34" s="335">
        <f>IF(K16&gt;='Assumption Sheet'!$B$13,SUM(L32:N32),0)</f>
        <v>0</v>
      </c>
      <c r="L34" s="335">
        <f>IF(L16&gt;='Assumption Sheet'!$B$13,SUM(M32:O32),0)</f>
        <v>0</v>
      </c>
      <c r="M34" s="335">
        <f>IF(M16&gt;='Assumption Sheet'!$B$13,SUM(N32:P32),0)</f>
        <v>0</v>
      </c>
      <c r="N34" s="335">
        <f>IF(N16&gt;='Assumption Sheet'!$B$13,SUM(O32:Q32),0)</f>
        <v>0</v>
      </c>
      <c r="O34" s="335">
        <f>IF(O16&gt;='Assumption Sheet'!$B$13,SUM(P32:R32),0)</f>
        <v>0</v>
      </c>
      <c r="P34" s="335">
        <f>IF(P16&gt;='Assumption Sheet'!$B$13,SUM(Q32:S32),0)</f>
        <v>0</v>
      </c>
      <c r="Q34" s="335">
        <f>IF(Q16&gt;='Assumption Sheet'!$B$13,SUM(R32:T32),0)</f>
        <v>0</v>
      </c>
      <c r="R34" s="335">
        <f>IF(R16&gt;='Assumption Sheet'!$B$13,SUM(S32:U32),0)</f>
        <v>0</v>
      </c>
      <c r="S34" s="335">
        <f>IF(S16&gt;='Assumption Sheet'!$B$13,SUM(T32:V32),0)</f>
        <v>0</v>
      </c>
      <c r="T34" s="335">
        <f>IF(T16&gt;='Assumption Sheet'!$B$13,SUM(U32:W32),0)</f>
        <v>0</v>
      </c>
      <c r="U34" s="335">
        <f>IF(U16&gt;='Assumption Sheet'!$B$13,SUM(V32:X32),0)</f>
        <v>0</v>
      </c>
      <c r="V34" s="335">
        <f>IF(V16&gt;='Assumption Sheet'!$B$13,SUM(W32:Y32),0)</f>
        <v>0</v>
      </c>
      <c r="W34" s="335">
        <f>IF(W16&gt;='Assumption Sheet'!$B$13,SUM(X32:Z32),0)</f>
        <v>0</v>
      </c>
      <c r="X34" s="335">
        <f>IF(X16&gt;='Assumption Sheet'!$B$13,SUM(Y32:AA32),0)</f>
        <v>0</v>
      </c>
      <c r="Y34" s="335">
        <f>IF(Y16&gt;='Assumption Sheet'!$B$13,SUM(Z32:AB32),0)</f>
        <v>0</v>
      </c>
      <c r="Z34" s="335">
        <f>IF(Z16&gt;='Assumption Sheet'!$B$13,SUM(AA32:AC32),0)</f>
        <v>0</v>
      </c>
      <c r="AA34" s="335">
        <f>IF(AA16&gt;='Assumption Sheet'!$B$13,SUM(AB32:AD32),0)</f>
        <v>0</v>
      </c>
      <c r="AB34" s="335">
        <f>IF(AB16&gt;='Assumption Sheet'!$B$13,SUM(AC32:AE32),0)</f>
        <v>0</v>
      </c>
      <c r="AC34" s="335">
        <f>IF(AC16&gt;='Assumption Sheet'!$B$13,SUM(AD32:AF32),0)</f>
        <v>0</v>
      </c>
      <c r="AD34" s="335">
        <f>IF(AD16&gt;='Assumption Sheet'!$B$13,SUM(AE32:AG32),0)</f>
        <v>0</v>
      </c>
      <c r="AE34" s="335">
        <f>IF(AE16&gt;='Assumption Sheet'!$B$13,SUM(AF32:AH32),0)</f>
        <v>0</v>
      </c>
      <c r="AF34" s="335">
        <f>IF(AF16&gt;='Assumption Sheet'!$B$13,SUM(AG32:AI32),0)</f>
        <v>0</v>
      </c>
      <c r="AG34" s="335">
        <f>IF(AG16&gt;='Assumption Sheet'!$B$13,SUM(AH32:AJ32),0)</f>
        <v>0</v>
      </c>
      <c r="AH34" s="335">
        <f>IF(AH16&gt;='Assumption Sheet'!$B$13,SUM(AI32:AK32),0)</f>
        <v>0</v>
      </c>
      <c r="AI34" s="335">
        <f>IF(AI16&gt;='Assumption Sheet'!$B$13,SUM(AJ32:AL32),0)</f>
        <v>0</v>
      </c>
      <c r="AJ34" s="335">
        <f>IF(AJ16&gt;='Assumption Sheet'!$B$13,SUM(AK32:AM32),0)</f>
        <v>0</v>
      </c>
      <c r="AK34" s="335">
        <f>IF(AK16&gt;='Assumption Sheet'!$B$13,SUM(AL32:AN32),0)</f>
        <v>0</v>
      </c>
      <c r="AL34" s="335">
        <f>IF(AL16&gt;='Assumption Sheet'!$B$13,SUM(AM32:AO32),0)</f>
        <v>0</v>
      </c>
      <c r="AM34" s="335">
        <f>IF(AM16&gt;='Assumption Sheet'!$B$13,SUM(AN32:AP32),0)</f>
        <v>0</v>
      </c>
      <c r="AN34" s="335">
        <f>IF(AN16&gt;='Assumption Sheet'!$B$13,SUM(AO32:AQ32),0)</f>
        <v>0</v>
      </c>
      <c r="AO34" s="335">
        <f>IF(AO16&gt;='Assumption Sheet'!$B$13,SUM(AP32:AR32),0)</f>
        <v>0</v>
      </c>
      <c r="AP34" s="335">
        <f>IF(AP16&gt;='Assumption Sheet'!$B$13,SUM(AQ32:AS32),0)</f>
        <v>0</v>
      </c>
      <c r="AQ34" s="335">
        <f>IF(AQ16&gt;='Assumption Sheet'!$B$13,SUM(AR32:AT32),0)</f>
        <v>0</v>
      </c>
      <c r="AR34" s="335">
        <f>IF(AR16&gt;='Assumption Sheet'!$B$13,SUM(AS32:AU32),0)</f>
        <v>0</v>
      </c>
      <c r="AS34" s="335">
        <f>IF(AS16&gt;='Assumption Sheet'!$B$13,SUM(AT32:AV32),0)</f>
        <v>0</v>
      </c>
      <c r="AT34" s="335">
        <f>IF(AT16&gt;='Assumption Sheet'!$B$13,SUM(AU32:AW32),0)</f>
        <v>0</v>
      </c>
      <c r="AU34" s="335">
        <f>IF(AU16&gt;='Assumption Sheet'!$B$13,SUM(AV32:AX32),0)</f>
        <v>0</v>
      </c>
      <c r="AV34" s="335">
        <f>IF(AV16&gt;='Assumption Sheet'!$B$13,SUM(AW32:AY32),0)</f>
        <v>0</v>
      </c>
      <c r="AW34" s="335">
        <f>IF(AW16&gt;='Assumption Sheet'!$B$13,SUM(AX32:AZ32),0)</f>
        <v>0</v>
      </c>
      <c r="AX34" s="335">
        <f>IF(AX16&gt;='Assumption Sheet'!$B$13,SUM(AY32:BA32),0)</f>
        <v>0</v>
      </c>
      <c r="AY34" s="335">
        <f>IF(AY16&gt;='Assumption Sheet'!$B$13,SUM(AZ32:BB32),0)</f>
        <v>0</v>
      </c>
      <c r="AZ34" s="335">
        <f>IF(AZ16&gt;='Assumption Sheet'!$B$13,SUM(BA32:BC32),0)</f>
        <v>0</v>
      </c>
      <c r="BA34" s="335">
        <f>IF(BA16&gt;='Assumption Sheet'!$B$13,SUM(BB32:BD32),0)</f>
        <v>0</v>
      </c>
      <c r="BB34" s="335">
        <f>IF(BB16&gt;='Assumption Sheet'!$B$13,SUM(BC32:BE32),0)</f>
        <v>0</v>
      </c>
      <c r="BC34" s="335">
        <f>IF(BC16&gt;='Assumption Sheet'!$B$13,SUM(BD32:BF32),0)</f>
        <v>0</v>
      </c>
      <c r="BD34" s="335">
        <f>IF(BD16&gt;='Assumption Sheet'!$B$13,SUM(BE32:BG32),0)</f>
        <v>0</v>
      </c>
      <c r="BE34" s="335">
        <f ca="1">IF(BE16&gt;='Assumption Sheet'!$B$13,SUM(BF32:BH32),0)</f>
        <v>-7.1625106833256815</v>
      </c>
      <c r="BF34" s="335">
        <f ca="1">IF(BF16&gt;='Assumption Sheet'!$B$13,SUM(BG32:BI32),0)</f>
        <v>-7.1625106833256815</v>
      </c>
      <c r="BG34" s="335">
        <f ca="1">IF(BG16&gt;='Assumption Sheet'!$B$13,SUM(BH32:BJ32),0)</f>
        <v>-7.1625106833256815</v>
      </c>
      <c r="BH34" s="335">
        <f ca="1">IF(BH16&gt;='Assumption Sheet'!$B$13,SUM(BI32:BK32),0)</f>
        <v>-7.1625106833256815</v>
      </c>
      <c r="BI34" s="335">
        <f ca="1">IF(BI16&gt;='Assumption Sheet'!$B$13,SUM(BJ32:BL32),0)</f>
        <v>-4.7750071222171213</v>
      </c>
      <c r="BJ34" s="335">
        <f ca="1">IF(BJ16&gt;='Assumption Sheet'!$B$13,SUM(BK32:BM32),0)</f>
        <v>-2.3875035611085607</v>
      </c>
      <c r="BK34" s="335">
        <f ca="1">IF(BK16&gt;='Assumption Sheet'!$B$13,SUM(BL32:BN32),0)</f>
        <v>0</v>
      </c>
      <c r="BL34" s="335">
        <f ca="1">IF(BL16&gt;='Assumption Sheet'!$B$13,SUM(BM32:BO32),0)</f>
        <v>0</v>
      </c>
      <c r="BM34" s="335">
        <f ca="1">IF(BM16&gt;='Assumption Sheet'!$B$13,SUM(BN32:BP32),0)</f>
        <v>0</v>
      </c>
      <c r="BN34" s="335">
        <f ca="1">IF(BN16&gt;='Assumption Sheet'!$B$13,SUM(BO32:BQ32),0)</f>
        <v>0</v>
      </c>
      <c r="BO34" s="335">
        <f ca="1">IF(BO16&gt;='Assumption Sheet'!$B$13,SUM(BP32:BR32),0)</f>
        <v>0</v>
      </c>
      <c r="BP34" s="335">
        <f ca="1">IF(BP16&gt;='Assumption Sheet'!$B$13,SUM(BQ32:BS32),0)</f>
        <v>0</v>
      </c>
      <c r="BQ34" s="335">
        <f ca="1">IF(BQ16&gt;='Assumption Sheet'!$B$13,SUM(BR32:BT32),0)</f>
        <v>0</v>
      </c>
      <c r="BR34" s="335">
        <f ca="1">IF(BR16&gt;='Assumption Sheet'!$B$13,SUM(BS32:BU32),0)</f>
        <v>0</v>
      </c>
      <c r="BS34" s="335">
        <f ca="1">IF(BS16&gt;='Assumption Sheet'!$B$13,SUM(BT32:BV32),0)</f>
        <v>0</v>
      </c>
      <c r="BT34" s="335">
        <f ca="1">IF(BT16&gt;='Assumption Sheet'!$B$13,SUM(BU32:BW32),0)</f>
        <v>0</v>
      </c>
      <c r="BU34" s="335">
        <f ca="1">IF(BU16&gt;='Assumption Sheet'!$B$13,SUM(BV32:BX32),0)</f>
        <v>0</v>
      </c>
      <c r="BV34" s="335">
        <f ca="1">IF(BV16&gt;='Assumption Sheet'!$B$13,SUM(BW32:BY32),0)</f>
        <v>0</v>
      </c>
      <c r="BW34" s="335">
        <f ca="1">IF(BW16&gt;='Assumption Sheet'!$B$13,SUM(BX32:BZ32),0)</f>
        <v>0</v>
      </c>
      <c r="BX34" s="335">
        <f ca="1">IF(BX16&gt;='Assumption Sheet'!$B$13,SUM(BY32:CA32),0)</f>
        <v>0</v>
      </c>
      <c r="BY34" s="335">
        <f ca="1">IF(BY16&gt;='Assumption Sheet'!$B$13,SUM(BZ32:CB32),0)</f>
        <v>0</v>
      </c>
      <c r="BZ34" s="335">
        <f ca="1">IF(BZ16&gt;='Assumption Sheet'!$B$13,SUM(CA32:CC32),0)</f>
        <v>0</v>
      </c>
      <c r="CA34" s="335">
        <f ca="1">IF(CA16&gt;='Assumption Sheet'!$B$13,SUM(CB32:CD32),0)</f>
        <v>0</v>
      </c>
      <c r="CB34" s="335">
        <f ca="1">IF(CB16&gt;='Assumption Sheet'!$B$13,SUM(CC32:CE32),0)</f>
        <v>0</v>
      </c>
      <c r="CC34" s="335">
        <f ca="1">IF(CC16&gt;='Assumption Sheet'!$B$13,SUM(CD32:CF32),0)</f>
        <v>0</v>
      </c>
      <c r="CD34" s="335">
        <f ca="1">IF(CD16&gt;='Assumption Sheet'!$B$13,SUM(CE32:CG32),0)</f>
        <v>0</v>
      </c>
      <c r="CE34" s="335">
        <f ca="1">IF(CE16&gt;='Assumption Sheet'!$B$13,SUM(CF32:CH32),0)</f>
        <v>0</v>
      </c>
      <c r="CF34" s="335">
        <f ca="1">IF(CF16&gt;='Assumption Sheet'!$B$13,SUM(CG32:CI32),0)</f>
        <v>0</v>
      </c>
      <c r="CG34" s="335">
        <f ca="1">IF(CG16&gt;='Assumption Sheet'!$B$13,SUM(CH32:CJ32),0)</f>
        <v>0</v>
      </c>
      <c r="CH34" s="335">
        <f ca="1">IF(CH16&gt;='Assumption Sheet'!$B$13,SUM(CI32:CK32),0)</f>
        <v>0</v>
      </c>
      <c r="CI34" s="335">
        <f ca="1">IF(CI16&gt;='Assumption Sheet'!$B$13,SUM(CJ32:CL32),0)</f>
        <v>0</v>
      </c>
      <c r="CJ34" s="335">
        <f ca="1">IF(CJ16&gt;='Assumption Sheet'!$B$13,SUM(CK32:CM32),0)</f>
        <v>0</v>
      </c>
      <c r="CK34" s="335">
        <f ca="1">IF(CK16&gt;='Assumption Sheet'!$B$13,SUM(CL32:CN32),0)</f>
        <v>0</v>
      </c>
      <c r="CL34" s="335">
        <f ca="1">IF(CL16&gt;='Assumption Sheet'!$B$13,SUM(CM32:CO32),0)</f>
        <v>0</v>
      </c>
      <c r="CM34" s="335">
        <f ca="1">IF(CM16&gt;='Assumption Sheet'!$B$13,SUM(CN32:CP32),0)</f>
        <v>0</v>
      </c>
      <c r="CN34" s="335">
        <f ca="1">IF(CN16&gt;='Assumption Sheet'!$B$13,SUM(CO32:CQ32),0)</f>
        <v>0</v>
      </c>
      <c r="CO34" s="335">
        <f ca="1">IF(CO16&gt;='Assumption Sheet'!$B$13,SUM(CP32:CR32),0)</f>
        <v>0</v>
      </c>
      <c r="CP34" s="335">
        <f ca="1">IF(CP16&gt;='Assumption Sheet'!$B$13,SUM(CQ32:CS32),0)</f>
        <v>0</v>
      </c>
      <c r="CQ34" s="335">
        <f ca="1">IF(CQ16&gt;='Assumption Sheet'!$B$13,SUM(CR32:CT32),0)</f>
        <v>0</v>
      </c>
      <c r="CR34" s="335">
        <f ca="1">IF(CR16&gt;='Assumption Sheet'!$B$13,SUM(CS32:CU32),0)</f>
        <v>0</v>
      </c>
      <c r="CS34" s="335">
        <f ca="1">IF(CS16&gt;='Assumption Sheet'!$B$13,SUM(CT32:CV32),0)</f>
        <v>0</v>
      </c>
      <c r="CT34" s="335">
        <f ca="1">IF(CT16&gt;='Assumption Sheet'!$B$13,SUM(CU32:CW32),0)</f>
        <v>0</v>
      </c>
      <c r="CU34" s="335">
        <f ca="1">IF(CU16&gt;='Assumption Sheet'!$B$13,SUM(CV32:CX32),0)</f>
        <v>0</v>
      </c>
      <c r="CV34" s="335">
        <f ca="1">IF(CV16&gt;='Assumption Sheet'!$B$13,SUM(CW32:CY32),0)</f>
        <v>0</v>
      </c>
      <c r="CW34" s="335">
        <f ca="1">IF(CW16&gt;='Assumption Sheet'!$B$13,SUM(CX32:CZ32),0)</f>
        <v>0</v>
      </c>
      <c r="CX34" s="335">
        <f ca="1">IF(CX16&gt;='Assumption Sheet'!$B$13,SUM(CY32:DA32),0)</f>
        <v>0</v>
      </c>
      <c r="CY34" s="335">
        <f ca="1">IF(CY16&gt;='Assumption Sheet'!$B$13,SUM(CZ32:DB32),0)</f>
        <v>0</v>
      </c>
      <c r="CZ34" s="335">
        <f ca="1">IF(CZ16&gt;='Assumption Sheet'!$B$13,SUM(DA32:DC32),0)</f>
        <v>0</v>
      </c>
      <c r="DA34" s="335">
        <f ca="1">IF(DA16&gt;='Assumption Sheet'!$B$13,SUM(DB32:DD32),0)</f>
        <v>0</v>
      </c>
      <c r="DB34" s="335">
        <f ca="1">IF(DB16&gt;='Assumption Sheet'!$B$13,SUM(DC32:DE32),0)</f>
        <v>0</v>
      </c>
      <c r="DC34" s="335">
        <f ca="1">IF(DC16&gt;='Assumption Sheet'!$B$13,SUM(DD32:DF32),0)</f>
        <v>0</v>
      </c>
      <c r="DD34" s="335">
        <f ca="1">IF(DD16&gt;='Assumption Sheet'!$B$13,SUM(DE32:DG32),0)</f>
        <v>0</v>
      </c>
      <c r="DE34" s="335">
        <f ca="1">IF(DE16&gt;='Assumption Sheet'!$B$13,SUM(DF32:DH32),0)</f>
        <v>0</v>
      </c>
      <c r="DF34" s="335">
        <f ca="1">IF(DF16&gt;='Assumption Sheet'!$B$13,SUM(DG32:DI32),0)</f>
        <v>0</v>
      </c>
      <c r="DG34" s="335">
        <f ca="1">IF(DG16&gt;='Assumption Sheet'!$B$13,SUM(DH32:DJ32),0)</f>
        <v>0</v>
      </c>
      <c r="DH34" s="335">
        <f ca="1">IF(DH16&gt;='Assumption Sheet'!$B$13,SUM(DI32:DK32),0)</f>
        <v>0</v>
      </c>
      <c r="DI34" s="335">
        <f ca="1">IF(DI16&gt;='Assumption Sheet'!$B$13,SUM(DJ32:DL32),0)</f>
        <v>0</v>
      </c>
      <c r="DJ34" s="335">
        <f ca="1">IF(DJ16&gt;='Assumption Sheet'!$B$13,SUM(DK32:DM32),0)</f>
        <v>0</v>
      </c>
      <c r="DK34" s="335">
        <f ca="1">IF(DK16&gt;='Assumption Sheet'!$B$13,SUM(DL32:DN32),0)</f>
        <v>0</v>
      </c>
      <c r="DL34" s="335">
        <f ca="1">IF(DL16&gt;='Assumption Sheet'!$B$13,SUM(DM32:DO32),0)</f>
        <v>0</v>
      </c>
      <c r="DM34" s="335">
        <f ca="1">IF(DM16&gt;='Assumption Sheet'!$B$13,SUM(DN32:DP32),0)</f>
        <v>0</v>
      </c>
      <c r="DN34" s="335">
        <f ca="1">IF(DN16&gt;='Assumption Sheet'!$B$13,SUM(DO32:DQ32),0)</f>
        <v>0</v>
      </c>
      <c r="DO34" s="335">
        <f ca="1">IF(DO16&gt;='Assumption Sheet'!$B$13,SUM(DP32:DR32),0)</f>
        <v>0</v>
      </c>
      <c r="DP34" s="335">
        <f ca="1">IF(DP16&gt;='Assumption Sheet'!$B$13,SUM(DQ32:DS32),0)</f>
        <v>0</v>
      </c>
      <c r="DQ34" s="335">
        <f ca="1">IF(DQ16&gt;='Assumption Sheet'!$B$13,SUM(DR32:DT32),0)</f>
        <v>0</v>
      </c>
      <c r="DR34" s="335">
        <f ca="1">IF(DR16&gt;='Assumption Sheet'!$B$13,SUM(DS32:DU32),0)</f>
        <v>0</v>
      </c>
      <c r="DS34" s="335">
        <f ca="1">IF(DS16&gt;='Assumption Sheet'!$B$13,SUM(DT32:DV32),0)</f>
        <v>0</v>
      </c>
      <c r="DT34" s="335">
        <f ca="1">IF(DT16&gt;='Assumption Sheet'!$B$13,SUM(DU32:DW32),0)</f>
        <v>0</v>
      </c>
      <c r="DU34" s="335">
        <f ca="1">IF(DU16&gt;='Assumption Sheet'!$B$13,SUM(DV32:DX32),0)</f>
        <v>0</v>
      </c>
      <c r="DV34" s="335">
        <f ca="1">IF(DV16&gt;='Assumption Sheet'!$B$13,SUM(DW32:DY32),0)</f>
        <v>0</v>
      </c>
      <c r="DW34" s="335">
        <f ca="1">IF(DW16&gt;='Assumption Sheet'!$B$13,SUM(DX32:DZ32),0)</f>
        <v>0</v>
      </c>
      <c r="DX34" s="335">
        <f ca="1">IF(DX16&gt;='Assumption Sheet'!$B$13,SUM(DY32:EA32),0)</f>
        <v>0</v>
      </c>
      <c r="DY34" s="335">
        <f ca="1">IF(DY16&gt;='Assumption Sheet'!$B$13,SUM(DZ32:EB32),0)</f>
        <v>0</v>
      </c>
      <c r="DZ34" s="335">
        <f ca="1">IF(DZ16&gt;='Assumption Sheet'!$B$13,SUM(EA32:EC32),0)</f>
        <v>0</v>
      </c>
      <c r="EA34" s="335">
        <f ca="1">IF(EA16&gt;='Assumption Sheet'!$B$13,SUM(EB32:ED32),0)</f>
        <v>0</v>
      </c>
      <c r="EB34" s="335">
        <f>IF(EB16&gt;='Assumption Sheet'!$B$13,SUM(EC32:EE32),0)</f>
        <v>0</v>
      </c>
    </row>
    <row r="35" spans="1:132" x14ac:dyDescent="0.3">
      <c r="A35" s="312" t="s">
        <v>136</v>
      </c>
      <c r="B35" s="324"/>
      <c r="C35" s="326"/>
      <c r="D35" s="335">
        <v>0</v>
      </c>
      <c r="E35" s="335">
        <f>E34-D34</f>
        <v>0</v>
      </c>
      <c r="F35" s="335">
        <f t="shared" ref="F35:AT35" si="26">F34-E34</f>
        <v>0</v>
      </c>
      <c r="G35" s="335">
        <f t="shared" si="26"/>
        <v>0</v>
      </c>
      <c r="H35" s="335">
        <f t="shared" si="26"/>
        <v>0</v>
      </c>
      <c r="I35" s="335">
        <f t="shared" si="26"/>
        <v>0</v>
      </c>
      <c r="J35" s="335">
        <f t="shared" si="26"/>
        <v>0</v>
      </c>
      <c r="K35" s="335">
        <f t="shared" si="26"/>
        <v>0</v>
      </c>
      <c r="L35" s="335">
        <f t="shared" si="26"/>
        <v>0</v>
      </c>
      <c r="M35" s="335">
        <f t="shared" si="26"/>
        <v>0</v>
      </c>
      <c r="N35" s="335">
        <f t="shared" si="26"/>
        <v>0</v>
      </c>
      <c r="O35" s="335">
        <f t="shared" si="26"/>
        <v>0</v>
      </c>
      <c r="P35" s="335">
        <f t="shared" si="26"/>
        <v>0</v>
      </c>
      <c r="Q35" s="335">
        <f t="shared" si="26"/>
        <v>0</v>
      </c>
      <c r="R35" s="335">
        <f t="shared" si="26"/>
        <v>0</v>
      </c>
      <c r="S35" s="335">
        <f t="shared" si="26"/>
        <v>0</v>
      </c>
      <c r="T35" s="335">
        <f t="shared" si="26"/>
        <v>0</v>
      </c>
      <c r="U35" s="335">
        <f t="shared" si="26"/>
        <v>0</v>
      </c>
      <c r="V35" s="335">
        <f t="shared" si="26"/>
        <v>0</v>
      </c>
      <c r="W35" s="335">
        <f t="shared" si="26"/>
        <v>0</v>
      </c>
      <c r="X35" s="335">
        <f t="shared" si="26"/>
        <v>0</v>
      </c>
      <c r="Y35" s="335">
        <f t="shared" si="26"/>
        <v>0</v>
      </c>
      <c r="Z35" s="335">
        <f t="shared" si="26"/>
        <v>0</v>
      </c>
      <c r="AA35" s="335">
        <f t="shared" si="26"/>
        <v>0</v>
      </c>
      <c r="AB35" s="335">
        <f t="shared" si="26"/>
        <v>0</v>
      </c>
      <c r="AC35" s="335">
        <f t="shared" si="26"/>
        <v>0</v>
      </c>
      <c r="AD35" s="335">
        <f t="shared" si="26"/>
        <v>0</v>
      </c>
      <c r="AE35" s="335">
        <f t="shared" si="26"/>
        <v>0</v>
      </c>
      <c r="AF35" s="335">
        <f t="shared" si="26"/>
        <v>0</v>
      </c>
      <c r="AG35" s="335">
        <f t="shared" si="26"/>
        <v>0</v>
      </c>
      <c r="AH35" s="335">
        <f t="shared" si="26"/>
        <v>0</v>
      </c>
      <c r="AI35" s="335">
        <f t="shared" si="26"/>
        <v>0</v>
      </c>
      <c r="AJ35" s="335">
        <f t="shared" si="26"/>
        <v>0</v>
      </c>
      <c r="AK35" s="335">
        <f t="shared" si="26"/>
        <v>0</v>
      </c>
      <c r="AL35" s="335">
        <f t="shared" si="26"/>
        <v>0</v>
      </c>
      <c r="AM35" s="335">
        <f t="shared" si="26"/>
        <v>0</v>
      </c>
      <c r="AN35" s="335">
        <f t="shared" si="26"/>
        <v>0</v>
      </c>
      <c r="AO35" s="335">
        <f t="shared" si="26"/>
        <v>0</v>
      </c>
      <c r="AP35" s="335">
        <f t="shared" si="26"/>
        <v>0</v>
      </c>
      <c r="AQ35" s="335">
        <f t="shared" si="26"/>
        <v>0</v>
      </c>
      <c r="AR35" s="335">
        <f t="shared" si="26"/>
        <v>0</v>
      </c>
      <c r="AS35" s="335">
        <f t="shared" si="26"/>
        <v>0</v>
      </c>
      <c r="AT35" s="335">
        <f t="shared" si="26"/>
        <v>0</v>
      </c>
      <c r="AU35" s="335">
        <f t="shared" ref="AU35:DF35" si="27">AU34-AT34</f>
        <v>0</v>
      </c>
      <c r="AV35" s="335">
        <f t="shared" si="27"/>
        <v>0</v>
      </c>
      <c r="AW35" s="335">
        <f t="shared" si="27"/>
        <v>0</v>
      </c>
      <c r="AX35" s="335">
        <f t="shared" si="27"/>
        <v>0</v>
      </c>
      <c r="AY35" s="335">
        <f t="shared" si="27"/>
        <v>0</v>
      </c>
      <c r="AZ35" s="335">
        <f t="shared" si="27"/>
        <v>0</v>
      </c>
      <c r="BA35" s="335">
        <f t="shared" si="27"/>
        <v>0</v>
      </c>
      <c r="BB35" s="335">
        <f t="shared" si="27"/>
        <v>0</v>
      </c>
      <c r="BC35" s="335">
        <f t="shared" si="27"/>
        <v>0</v>
      </c>
      <c r="BD35" s="335">
        <f t="shared" si="27"/>
        <v>0</v>
      </c>
      <c r="BE35" s="335">
        <f t="shared" ca="1" si="27"/>
        <v>-7.1625106833256815</v>
      </c>
      <c r="BF35" s="335">
        <f t="shared" ca="1" si="27"/>
        <v>0</v>
      </c>
      <c r="BG35" s="335">
        <f t="shared" ca="1" si="27"/>
        <v>0</v>
      </c>
      <c r="BH35" s="335">
        <f t="shared" ca="1" si="27"/>
        <v>0</v>
      </c>
      <c r="BI35" s="335">
        <f t="shared" ca="1" si="27"/>
        <v>2.3875035611085602</v>
      </c>
      <c r="BJ35" s="335">
        <f t="shared" ca="1" si="27"/>
        <v>2.3875035611085607</v>
      </c>
      <c r="BK35" s="335">
        <f t="shared" ca="1" si="27"/>
        <v>2.3875035611085607</v>
      </c>
      <c r="BL35" s="335">
        <f t="shared" ca="1" si="27"/>
        <v>0</v>
      </c>
      <c r="BM35" s="335">
        <f t="shared" ca="1" si="27"/>
        <v>0</v>
      </c>
      <c r="BN35" s="335">
        <f t="shared" ca="1" si="27"/>
        <v>0</v>
      </c>
      <c r="BO35" s="335">
        <f t="shared" ca="1" si="27"/>
        <v>0</v>
      </c>
      <c r="BP35" s="335">
        <f t="shared" ca="1" si="27"/>
        <v>0</v>
      </c>
      <c r="BQ35" s="335">
        <f t="shared" ca="1" si="27"/>
        <v>0</v>
      </c>
      <c r="BR35" s="335">
        <f t="shared" ca="1" si="27"/>
        <v>0</v>
      </c>
      <c r="BS35" s="335">
        <f t="shared" ca="1" si="27"/>
        <v>0</v>
      </c>
      <c r="BT35" s="335">
        <f t="shared" ca="1" si="27"/>
        <v>0</v>
      </c>
      <c r="BU35" s="335">
        <f t="shared" ca="1" si="27"/>
        <v>0</v>
      </c>
      <c r="BV35" s="335">
        <f t="shared" ca="1" si="27"/>
        <v>0</v>
      </c>
      <c r="BW35" s="335">
        <f t="shared" ca="1" si="27"/>
        <v>0</v>
      </c>
      <c r="BX35" s="335">
        <f t="shared" ca="1" si="27"/>
        <v>0</v>
      </c>
      <c r="BY35" s="335">
        <f t="shared" ca="1" si="27"/>
        <v>0</v>
      </c>
      <c r="BZ35" s="335">
        <f t="shared" ca="1" si="27"/>
        <v>0</v>
      </c>
      <c r="CA35" s="335">
        <f t="shared" ca="1" si="27"/>
        <v>0</v>
      </c>
      <c r="CB35" s="335">
        <f t="shared" ca="1" si="27"/>
        <v>0</v>
      </c>
      <c r="CC35" s="335">
        <f t="shared" ca="1" si="27"/>
        <v>0</v>
      </c>
      <c r="CD35" s="335">
        <f t="shared" ca="1" si="27"/>
        <v>0</v>
      </c>
      <c r="CE35" s="335">
        <f t="shared" ca="1" si="27"/>
        <v>0</v>
      </c>
      <c r="CF35" s="335">
        <f t="shared" ca="1" si="27"/>
        <v>0</v>
      </c>
      <c r="CG35" s="335">
        <f t="shared" ca="1" si="27"/>
        <v>0</v>
      </c>
      <c r="CH35" s="335">
        <f t="shared" ca="1" si="27"/>
        <v>0</v>
      </c>
      <c r="CI35" s="335">
        <f t="shared" ca="1" si="27"/>
        <v>0</v>
      </c>
      <c r="CJ35" s="335">
        <f t="shared" ca="1" si="27"/>
        <v>0</v>
      </c>
      <c r="CK35" s="335">
        <f t="shared" ca="1" si="27"/>
        <v>0</v>
      </c>
      <c r="CL35" s="335">
        <f t="shared" ca="1" si="27"/>
        <v>0</v>
      </c>
      <c r="CM35" s="335">
        <f t="shared" ca="1" si="27"/>
        <v>0</v>
      </c>
      <c r="CN35" s="335">
        <f t="shared" ca="1" si="27"/>
        <v>0</v>
      </c>
      <c r="CO35" s="335">
        <f t="shared" ca="1" si="27"/>
        <v>0</v>
      </c>
      <c r="CP35" s="335">
        <f t="shared" ca="1" si="27"/>
        <v>0</v>
      </c>
      <c r="CQ35" s="335">
        <f t="shared" ca="1" si="27"/>
        <v>0</v>
      </c>
      <c r="CR35" s="335">
        <f t="shared" ca="1" si="27"/>
        <v>0</v>
      </c>
      <c r="CS35" s="335">
        <f t="shared" ca="1" si="27"/>
        <v>0</v>
      </c>
      <c r="CT35" s="335">
        <f t="shared" ca="1" si="27"/>
        <v>0</v>
      </c>
      <c r="CU35" s="335">
        <f t="shared" ca="1" si="27"/>
        <v>0</v>
      </c>
      <c r="CV35" s="335">
        <f t="shared" ca="1" si="27"/>
        <v>0</v>
      </c>
      <c r="CW35" s="335">
        <f t="shared" ca="1" si="27"/>
        <v>0</v>
      </c>
      <c r="CX35" s="335">
        <f t="shared" ca="1" si="27"/>
        <v>0</v>
      </c>
      <c r="CY35" s="335">
        <f t="shared" ca="1" si="27"/>
        <v>0</v>
      </c>
      <c r="CZ35" s="335">
        <f t="shared" ca="1" si="27"/>
        <v>0</v>
      </c>
      <c r="DA35" s="335">
        <f t="shared" ca="1" si="27"/>
        <v>0</v>
      </c>
      <c r="DB35" s="335">
        <f t="shared" ca="1" si="27"/>
        <v>0</v>
      </c>
      <c r="DC35" s="335">
        <f t="shared" ca="1" si="27"/>
        <v>0</v>
      </c>
      <c r="DD35" s="335">
        <f t="shared" ca="1" si="27"/>
        <v>0</v>
      </c>
      <c r="DE35" s="335">
        <f t="shared" ca="1" si="27"/>
        <v>0</v>
      </c>
      <c r="DF35" s="335">
        <f t="shared" ca="1" si="27"/>
        <v>0</v>
      </c>
      <c r="DG35" s="335">
        <f t="shared" ref="DG35:EB35" ca="1" si="28">DG34-DF34</f>
        <v>0</v>
      </c>
      <c r="DH35" s="335">
        <f t="shared" ca="1" si="28"/>
        <v>0</v>
      </c>
      <c r="DI35" s="335">
        <f t="shared" ca="1" si="28"/>
        <v>0</v>
      </c>
      <c r="DJ35" s="335">
        <f t="shared" ca="1" si="28"/>
        <v>0</v>
      </c>
      <c r="DK35" s="335">
        <f t="shared" ca="1" si="28"/>
        <v>0</v>
      </c>
      <c r="DL35" s="335">
        <f t="shared" ca="1" si="28"/>
        <v>0</v>
      </c>
      <c r="DM35" s="335">
        <f t="shared" ca="1" si="28"/>
        <v>0</v>
      </c>
      <c r="DN35" s="335">
        <f t="shared" ca="1" si="28"/>
        <v>0</v>
      </c>
      <c r="DO35" s="335">
        <f t="shared" ca="1" si="28"/>
        <v>0</v>
      </c>
      <c r="DP35" s="335">
        <f t="shared" ca="1" si="28"/>
        <v>0</v>
      </c>
      <c r="DQ35" s="335">
        <f t="shared" ca="1" si="28"/>
        <v>0</v>
      </c>
      <c r="DR35" s="335">
        <f t="shared" ca="1" si="28"/>
        <v>0</v>
      </c>
      <c r="DS35" s="335">
        <f t="shared" ca="1" si="28"/>
        <v>0</v>
      </c>
      <c r="DT35" s="335">
        <f t="shared" ca="1" si="28"/>
        <v>0</v>
      </c>
      <c r="DU35" s="335">
        <f t="shared" ca="1" si="28"/>
        <v>0</v>
      </c>
      <c r="DV35" s="335">
        <f t="shared" ca="1" si="28"/>
        <v>0</v>
      </c>
      <c r="DW35" s="335">
        <f t="shared" ca="1" si="28"/>
        <v>0</v>
      </c>
      <c r="DX35" s="335">
        <f t="shared" ca="1" si="28"/>
        <v>0</v>
      </c>
      <c r="DY35" s="335">
        <f t="shared" ca="1" si="28"/>
        <v>0</v>
      </c>
      <c r="DZ35" s="335">
        <f t="shared" ca="1" si="28"/>
        <v>0</v>
      </c>
      <c r="EA35" s="335">
        <f t="shared" ca="1" si="28"/>
        <v>0</v>
      </c>
      <c r="EB35" s="335">
        <f t="shared" ca="1" si="28"/>
        <v>0</v>
      </c>
    </row>
    <row r="37" spans="1:132" x14ac:dyDescent="0.3">
      <c r="E37" s="336"/>
    </row>
    <row r="40" spans="1:132" hidden="1" x14ac:dyDescent="0.3">
      <c r="A40" s="337" t="s">
        <v>206</v>
      </c>
      <c r="B40" s="338" t="s">
        <v>137</v>
      </c>
      <c r="C40" s="339" t="s">
        <v>138</v>
      </c>
    </row>
    <row r="41" spans="1:132" hidden="1" x14ac:dyDescent="0.3">
      <c r="B41" s="340"/>
      <c r="C41" s="341"/>
      <c r="D41" s="23"/>
      <c r="E41" s="23"/>
    </row>
    <row r="42" spans="1:132" hidden="1" x14ac:dyDescent="0.3">
      <c r="A42" s="70" t="e">
        <f>#REF!</f>
        <v>#REF!</v>
      </c>
      <c r="B42" s="342" t="e">
        <f>#REF!/#REF!*#REF!-#REF!</f>
        <v>#REF!</v>
      </c>
      <c r="C42" s="341">
        <f>'Assumption Sheet'!L28</f>
        <v>46053</v>
      </c>
      <c r="D42" s="37"/>
      <c r="E42" s="23"/>
    </row>
    <row r="43" spans="1:132" hidden="1" x14ac:dyDescent="0.3">
      <c r="A43" s="70" t="e">
        <f>#REF!</f>
        <v>#REF!</v>
      </c>
      <c r="B43" s="342" t="e">
        <f>#REF!/#REF!*#REF!-#REF!</f>
        <v>#REF!</v>
      </c>
      <c r="C43" s="341">
        <f>'Assumption Sheet'!L29</f>
        <v>46418</v>
      </c>
      <c r="D43" s="37"/>
      <c r="E43" s="23"/>
    </row>
    <row r="44" spans="1:132" hidden="1" x14ac:dyDescent="0.3">
      <c r="A44" s="70" t="e">
        <f>#REF!</f>
        <v>#REF!</v>
      </c>
      <c r="B44" s="342" t="e">
        <f>#REF!/#REF!*#REF!-#REF!</f>
        <v>#REF!</v>
      </c>
      <c r="C44" s="341">
        <f>'Assumption Sheet'!L30</f>
        <v>46691</v>
      </c>
      <c r="D44" s="37"/>
      <c r="E44" s="23"/>
    </row>
    <row r="45" spans="1:132" hidden="1" x14ac:dyDescent="0.3">
      <c r="A45" s="70" t="e">
        <f>#REF!</f>
        <v>#REF!</v>
      </c>
      <c r="B45" s="342" t="e">
        <f>#REF!/#REF!*#REF!-#REF!</f>
        <v>#REF!</v>
      </c>
      <c r="C45" s="341">
        <f>'Assumption Sheet'!L31</f>
        <v>46965</v>
      </c>
      <c r="D45" s="37"/>
      <c r="E45" s="23"/>
    </row>
    <row r="46" spans="1:132" hidden="1" x14ac:dyDescent="0.3">
      <c r="A46" s="70" t="e">
        <f>#REF!</f>
        <v>#REF!</v>
      </c>
      <c r="B46" s="342" t="e">
        <f>#REF!/#REF!*#REF!-#REF!</f>
        <v>#REF!</v>
      </c>
      <c r="C46" s="341">
        <f>'Assumption Sheet'!L32</f>
        <v>47238</v>
      </c>
      <c r="D46" s="37"/>
      <c r="E46" s="23"/>
    </row>
    <row r="47" spans="1:132" hidden="1" x14ac:dyDescent="0.3">
      <c r="A47" s="70" t="e">
        <f>#REF!</f>
        <v>#REF!</v>
      </c>
      <c r="B47" s="340" t="e">
        <f>#REF!/#REF!*#REF!-#REF!</f>
        <v>#REF!</v>
      </c>
      <c r="C47" s="341">
        <f>'Assumption Sheet'!L33</f>
        <v>0</v>
      </c>
      <c r="D47" s="37"/>
      <c r="E47" s="23"/>
    </row>
    <row r="48" spans="1:132" hidden="1" x14ac:dyDescent="0.3">
      <c r="A48" s="70" t="e">
        <f>#REF!</f>
        <v>#REF!</v>
      </c>
      <c r="B48" s="340" t="e">
        <f>#REF!/#REF!*#REF!-#REF!</f>
        <v>#REF!</v>
      </c>
      <c r="C48" s="341">
        <f>'Assumption Sheet'!L34</f>
        <v>0</v>
      </c>
      <c r="D48" s="37"/>
      <c r="E48" s="23"/>
    </row>
    <row r="49" spans="1:11" hidden="1" x14ac:dyDescent="0.3">
      <c r="A49" s="70" t="e">
        <f>#REF!</f>
        <v>#REF!</v>
      </c>
      <c r="B49" s="340" t="e">
        <f>#REF!/#REF!*#REF!-#REF!</f>
        <v>#REF!</v>
      </c>
      <c r="C49" s="341">
        <f>'Assumption Sheet'!L35</f>
        <v>0</v>
      </c>
      <c r="D49" s="37"/>
      <c r="E49" s="23"/>
    </row>
    <row r="50" spans="1:11" hidden="1" x14ac:dyDescent="0.3">
      <c r="A50" s="70" t="e">
        <f>#REF!</f>
        <v>#REF!</v>
      </c>
      <c r="B50" s="340" t="e">
        <f>#REF!/#REF!*#REF!-#REF!</f>
        <v>#REF!</v>
      </c>
      <c r="C50" s="341">
        <f>'Assumption Sheet'!L36</f>
        <v>0</v>
      </c>
      <c r="D50" s="37"/>
      <c r="E50" s="23"/>
    </row>
    <row r="51" spans="1:11" hidden="1" x14ac:dyDescent="0.3">
      <c r="A51" s="70" t="e">
        <f>#REF!</f>
        <v>#REF!</v>
      </c>
      <c r="B51" s="340" t="e">
        <f>#REF!/#REF!*#REF!-#REF!</f>
        <v>#REF!</v>
      </c>
      <c r="C51" s="341">
        <f>'Assumption Sheet'!L37</f>
        <v>0</v>
      </c>
      <c r="D51" s="37"/>
      <c r="E51" s="23"/>
    </row>
    <row r="52" spans="1:11" hidden="1" x14ac:dyDescent="0.3">
      <c r="B52" s="343" t="e">
        <f>SUM(B41:B51)</f>
        <v>#REF!</v>
      </c>
      <c r="D52" s="344"/>
      <c r="E52" s="344"/>
    </row>
    <row r="53" spans="1:11" hidden="1" x14ac:dyDescent="0.3">
      <c r="A53" s="29" t="s">
        <v>139</v>
      </c>
      <c r="B53" s="345" t="b">
        <f ca="1">ROUND(B19,4)=-ROUND(B27,4)</f>
        <v>0</v>
      </c>
      <c r="D53" s="346"/>
      <c r="E53" s="313"/>
    </row>
    <row r="54" spans="1:11" hidden="1" x14ac:dyDescent="0.3">
      <c r="B54" s="347" t="e">
        <f>B52-B19</f>
        <v>#REF!</v>
      </c>
      <c r="E54" s="313"/>
    </row>
    <row r="55" spans="1:11" hidden="1" x14ac:dyDescent="0.3"/>
    <row r="56" spans="1:11" hidden="1" x14ac:dyDescent="0.3">
      <c r="A56" s="348" t="s">
        <v>410</v>
      </c>
    </row>
    <row r="57" spans="1:11" hidden="1" x14ac:dyDescent="0.3">
      <c r="A57" s="348"/>
    </row>
    <row r="58" spans="1:11" hidden="1" x14ac:dyDescent="0.3">
      <c r="A58" s="321" t="s">
        <v>131</v>
      </c>
      <c r="B58" s="349">
        <f>SUM(D58:K58)</f>
        <v>0</v>
      </c>
      <c r="D58" s="350">
        <f>SUMIFS(19:19,$14:$14,#REF!)</f>
        <v>0</v>
      </c>
      <c r="E58" s="350">
        <f>SUMIFS(19:19,$14:$14,#REF!)</f>
        <v>0</v>
      </c>
      <c r="F58" s="350">
        <f>SUMIFS(19:19,$14:$14,#REF!)</f>
        <v>0</v>
      </c>
      <c r="G58" s="350">
        <f>SUMIFS(19:19,$14:$14,#REF!)</f>
        <v>0</v>
      </c>
      <c r="H58" s="350">
        <f>SUMIFS(19:19,$14:$14,#REF!)</f>
        <v>0</v>
      </c>
      <c r="I58" s="350">
        <f>SUMIFS(19:19,$14:$14,#REF!)</f>
        <v>0</v>
      </c>
      <c r="J58" s="350">
        <f>SUMIFS(19:19,$14:$14,#REF!)</f>
        <v>0</v>
      </c>
      <c r="K58" s="350">
        <f>SUMIFS(19:19,$14:$14,#REF!)</f>
        <v>0</v>
      </c>
    </row>
    <row r="59" spans="1:11" hidden="1" x14ac:dyDescent="0.3">
      <c r="A59" s="325"/>
    </row>
    <row r="60" spans="1:11" hidden="1" x14ac:dyDescent="0.3">
      <c r="A60" s="325"/>
    </row>
    <row r="61" spans="1:11" hidden="1" x14ac:dyDescent="0.3">
      <c r="A61" s="327" t="s">
        <v>45</v>
      </c>
      <c r="D61" s="350">
        <f>SUMIFS(23:23,$14:$14,#REF!)</f>
        <v>0</v>
      </c>
      <c r="E61" s="350">
        <f>SUMIFS(23:23,$14:$14,#REF!)</f>
        <v>0</v>
      </c>
      <c r="F61" s="350">
        <f>SUMIFS(23:23,$14:$14,#REF!)</f>
        <v>0</v>
      </c>
      <c r="G61" s="350">
        <f>SUMIFS(23:23,$14:$14,#REF!)</f>
        <v>0</v>
      </c>
      <c r="H61" s="350">
        <f>SUMIFS(23:23,$14:$14,#REF!)</f>
        <v>0</v>
      </c>
      <c r="I61" s="350">
        <f>SUMIFS(23:23,$14:$14,#REF!)</f>
        <v>0</v>
      </c>
      <c r="J61" s="350">
        <f>SUMIFS(23:23,$14:$14,#REF!)</f>
        <v>0</v>
      </c>
      <c r="K61" s="350">
        <f>SUMIFS(23:23,$14:$14,#REF!)</f>
        <v>0</v>
      </c>
    </row>
    <row r="62" spans="1:11" hidden="1" x14ac:dyDescent="0.3">
      <c r="A62" s="330" t="s">
        <v>51</v>
      </c>
      <c r="B62" s="349">
        <f t="shared" ref="B62:B65" si="29">SUM(D62:K62)</f>
        <v>0</v>
      </c>
      <c r="D62" s="350">
        <f>SUMIFS(24:24,$14:$14,#REF!)</f>
        <v>0</v>
      </c>
      <c r="E62" s="350">
        <f>SUMIFS(24:24,$14:$14,#REF!)</f>
        <v>0</v>
      </c>
      <c r="F62" s="350">
        <f>SUMIFS(24:24,$14:$14,#REF!)</f>
        <v>0</v>
      </c>
      <c r="G62" s="350">
        <f>SUMIFS(24:24,$14:$14,#REF!)</f>
        <v>0</v>
      </c>
      <c r="H62" s="350">
        <f>SUMIFS(24:24,$14:$14,#REF!)</f>
        <v>0</v>
      </c>
      <c r="I62" s="350"/>
      <c r="J62" s="350">
        <f>SUMIFS(24:24,$14:$14,#REF!)</f>
        <v>0</v>
      </c>
      <c r="K62" s="350">
        <f>SUMIFS(24:24,$14:$14,#REF!)</f>
        <v>0</v>
      </c>
    </row>
    <row r="63" spans="1:11" hidden="1" x14ac:dyDescent="0.3">
      <c r="A63" s="330" t="s">
        <v>63</v>
      </c>
      <c r="B63" s="349">
        <f t="shared" si="29"/>
        <v>0</v>
      </c>
    </row>
    <row r="64" spans="1:11" hidden="1" x14ac:dyDescent="0.3">
      <c r="A64" s="330" t="s">
        <v>64</v>
      </c>
      <c r="B64" s="349">
        <f t="shared" si="29"/>
        <v>0</v>
      </c>
    </row>
    <row r="65" spans="1:35" hidden="1" x14ac:dyDescent="0.3">
      <c r="A65" s="330" t="s">
        <v>65</v>
      </c>
      <c r="B65" s="349">
        <f t="shared" si="29"/>
        <v>0</v>
      </c>
    </row>
    <row r="66" spans="1:35" hidden="1" x14ac:dyDescent="0.3">
      <c r="A66" s="327" t="s">
        <v>66</v>
      </c>
    </row>
    <row r="67" spans="1:35" hidden="1" x14ac:dyDescent="0.3">
      <c r="A67" s="312"/>
    </row>
    <row r="68" spans="1:35" hidden="1" x14ac:dyDescent="0.3"/>
    <row r="69" spans="1:35" hidden="1" x14ac:dyDescent="0.3">
      <c r="A69" s="333" t="s">
        <v>133</v>
      </c>
    </row>
    <row r="70" spans="1:35" hidden="1" x14ac:dyDescent="0.3">
      <c r="A70" s="312" t="s">
        <v>134</v>
      </c>
    </row>
    <row r="71" spans="1:35" hidden="1" x14ac:dyDescent="0.3">
      <c r="A71" s="312"/>
    </row>
    <row r="72" spans="1:35" hidden="1" x14ac:dyDescent="0.3">
      <c r="A72" s="312" t="s">
        <v>135</v>
      </c>
    </row>
    <row r="73" spans="1:35" hidden="1" x14ac:dyDescent="0.3">
      <c r="A73" s="351" t="s">
        <v>136</v>
      </c>
    </row>
    <row r="74" spans="1:35" x14ac:dyDescent="0.3">
      <c r="A74" s="352" t="s">
        <v>160</v>
      </c>
      <c r="B74" s="353"/>
      <c r="C74" s="353"/>
      <c r="D74" s="354">
        <f>EOMONTH(D75,MOD(15-MONTH(D75),12))</f>
        <v>45747</v>
      </c>
      <c r="E74" s="354">
        <f t="shared" ref="E74:AH74" si="30">EOMONTH(E75,MOD(15-MONTH(E75),12))</f>
        <v>45747</v>
      </c>
      <c r="F74" s="354">
        <f t="shared" si="30"/>
        <v>45747</v>
      </c>
      <c r="G74" s="354">
        <f t="shared" si="30"/>
        <v>46112</v>
      </c>
      <c r="H74" s="354">
        <f t="shared" si="30"/>
        <v>46112</v>
      </c>
      <c r="I74" s="354">
        <f t="shared" si="30"/>
        <v>46112</v>
      </c>
      <c r="J74" s="354">
        <f t="shared" si="30"/>
        <v>46112</v>
      </c>
      <c r="K74" s="354">
        <f t="shared" si="30"/>
        <v>46477</v>
      </c>
      <c r="L74" s="354">
        <f t="shared" si="30"/>
        <v>46477</v>
      </c>
      <c r="M74" s="354">
        <f t="shared" si="30"/>
        <v>46477</v>
      </c>
      <c r="N74" s="354">
        <f t="shared" si="30"/>
        <v>46477</v>
      </c>
      <c r="O74" s="354">
        <f t="shared" si="30"/>
        <v>46843</v>
      </c>
      <c r="P74" s="354">
        <f t="shared" si="30"/>
        <v>46843</v>
      </c>
      <c r="Q74" s="354">
        <f t="shared" si="30"/>
        <v>46843</v>
      </c>
      <c r="R74" s="354">
        <f t="shared" si="30"/>
        <v>46843</v>
      </c>
      <c r="S74" s="354">
        <f t="shared" si="30"/>
        <v>47208</v>
      </c>
      <c r="T74" s="354">
        <f t="shared" si="30"/>
        <v>47208</v>
      </c>
      <c r="U74" s="354">
        <f t="shared" si="30"/>
        <v>47208</v>
      </c>
      <c r="V74" s="354">
        <f t="shared" si="30"/>
        <v>47208</v>
      </c>
      <c r="W74" s="354">
        <f t="shared" si="30"/>
        <v>47573</v>
      </c>
      <c r="X74" s="354">
        <f t="shared" si="30"/>
        <v>47573</v>
      </c>
      <c r="Y74" s="354">
        <f t="shared" si="30"/>
        <v>47573</v>
      </c>
      <c r="Z74" s="354">
        <f t="shared" si="30"/>
        <v>47573</v>
      </c>
      <c r="AA74" s="354">
        <f t="shared" si="30"/>
        <v>47938</v>
      </c>
      <c r="AB74" s="354">
        <f t="shared" si="30"/>
        <v>47938</v>
      </c>
      <c r="AC74" s="354">
        <f t="shared" si="30"/>
        <v>47938</v>
      </c>
      <c r="AD74" s="354">
        <f t="shared" si="30"/>
        <v>47938</v>
      </c>
      <c r="AE74" s="354">
        <f t="shared" si="30"/>
        <v>48304</v>
      </c>
      <c r="AF74" s="354">
        <f t="shared" si="30"/>
        <v>48304</v>
      </c>
      <c r="AG74" s="354">
        <f t="shared" si="30"/>
        <v>48304</v>
      </c>
      <c r="AH74" s="355">
        <f t="shared" si="30"/>
        <v>48304</v>
      </c>
    </row>
    <row r="75" spans="1:35" x14ac:dyDescent="0.3">
      <c r="A75" s="356" t="s">
        <v>433</v>
      </c>
      <c r="D75" s="357">
        <v>45565</v>
      </c>
      <c r="E75" s="357">
        <f>EOMONTH(D75,3)</f>
        <v>45657</v>
      </c>
      <c r="F75" s="357">
        <f t="shared" ref="F75:AH75" si="31">EOMONTH(E75,3)</f>
        <v>45747</v>
      </c>
      <c r="G75" s="357">
        <f t="shared" si="31"/>
        <v>45838</v>
      </c>
      <c r="H75" s="357">
        <f t="shared" si="31"/>
        <v>45930</v>
      </c>
      <c r="I75" s="357">
        <f t="shared" si="31"/>
        <v>46022</v>
      </c>
      <c r="J75" s="357">
        <f t="shared" si="31"/>
        <v>46112</v>
      </c>
      <c r="K75" s="357">
        <f t="shared" si="31"/>
        <v>46203</v>
      </c>
      <c r="L75" s="357">
        <f t="shared" si="31"/>
        <v>46295</v>
      </c>
      <c r="M75" s="357">
        <f t="shared" si="31"/>
        <v>46387</v>
      </c>
      <c r="N75" s="357">
        <f t="shared" si="31"/>
        <v>46477</v>
      </c>
      <c r="O75" s="357">
        <f t="shared" si="31"/>
        <v>46568</v>
      </c>
      <c r="P75" s="357">
        <f t="shared" si="31"/>
        <v>46660</v>
      </c>
      <c r="Q75" s="357">
        <f t="shared" si="31"/>
        <v>46752</v>
      </c>
      <c r="R75" s="357">
        <f t="shared" si="31"/>
        <v>46843</v>
      </c>
      <c r="S75" s="357">
        <f t="shared" si="31"/>
        <v>46934</v>
      </c>
      <c r="T75" s="357">
        <f t="shared" si="31"/>
        <v>47026</v>
      </c>
      <c r="U75" s="357">
        <f t="shared" si="31"/>
        <v>47118</v>
      </c>
      <c r="V75" s="357">
        <f t="shared" si="31"/>
        <v>47208</v>
      </c>
      <c r="W75" s="357">
        <f t="shared" si="31"/>
        <v>47299</v>
      </c>
      <c r="X75" s="357">
        <f t="shared" si="31"/>
        <v>47391</v>
      </c>
      <c r="Y75" s="357">
        <f t="shared" si="31"/>
        <v>47483</v>
      </c>
      <c r="Z75" s="357">
        <f t="shared" si="31"/>
        <v>47573</v>
      </c>
      <c r="AA75" s="357">
        <f t="shared" si="31"/>
        <v>47664</v>
      </c>
      <c r="AB75" s="357">
        <f t="shared" si="31"/>
        <v>47756</v>
      </c>
      <c r="AC75" s="357">
        <f t="shared" si="31"/>
        <v>47848</v>
      </c>
      <c r="AD75" s="357">
        <f t="shared" si="31"/>
        <v>47938</v>
      </c>
      <c r="AE75" s="357">
        <f t="shared" si="31"/>
        <v>48029</v>
      </c>
      <c r="AF75" s="357">
        <f t="shared" si="31"/>
        <v>48121</v>
      </c>
      <c r="AG75" s="357">
        <f t="shared" si="31"/>
        <v>48213</v>
      </c>
      <c r="AH75" s="358">
        <f t="shared" si="31"/>
        <v>48304</v>
      </c>
      <c r="AI75" s="357"/>
    </row>
    <row r="76" spans="1:35" x14ac:dyDescent="0.3">
      <c r="A76" s="359" t="s">
        <v>45</v>
      </c>
      <c r="D76" s="360">
        <v>0</v>
      </c>
      <c r="E76" s="313">
        <f ca="1">D79</f>
        <v>21.263761110233901</v>
      </c>
      <c r="F76" s="313">
        <f t="shared" ref="F76:AH76" ca="1" si="32">E79</f>
        <v>39.502203072425729</v>
      </c>
      <c r="G76" s="313">
        <f t="shared" ca="1" si="32"/>
        <v>56.097836032463178</v>
      </c>
      <c r="H76" s="313">
        <f t="shared" ca="1" si="32"/>
        <v>68.692042700476776</v>
      </c>
      <c r="I76" s="313">
        <f t="shared" ca="1" si="32"/>
        <v>89.820481575283821</v>
      </c>
      <c r="J76" s="313">
        <f t="shared" ca="1" si="32"/>
        <v>109.7886238753505</v>
      </c>
      <c r="K76" s="313">
        <f t="shared" ca="1" si="32"/>
        <v>130.65447369703691</v>
      </c>
      <c r="L76" s="313">
        <f t="shared" ca="1" si="32"/>
        <v>159.66943852970735</v>
      </c>
      <c r="M76" s="313">
        <f t="shared" ca="1" si="32"/>
        <v>169.60874443115344</v>
      </c>
      <c r="N76" s="313">
        <f t="shared" ca="1" si="32"/>
        <v>179.70110627666375</v>
      </c>
      <c r="O76" s="313">
        <f t="shared" ca="1" si="32"/>
        <v>209.14725713106023</v>
      </c>
      <c r="P76" s="313">
        <f t="shared" ca="1" si="32"/>
        <v>228.70700229361952</v>
      </c>
      <c r="Q76" s="313">
        <f t="shared" ca="1" si="32"/>
        <v>248.5717949343661</v>
      </c>
      <c r="R76" s="313">
        <f t="shared" ca="1" si="32"/>
        <v>272.13591276120866</v>
      </c>
      <c r="S76" s="313">
        <f t="shared" ca="1" si="32"/>
        <v>278.5633307427812</v>
      </c>
      <c r="T76" s="313">
        <f t="shared" ca="1" si="32"/>
        <v>285.07570546571492</v>
      </c>
      <c r="U76" s="313">
        <f t="shared" ca="1" si="32"/>
        <v>292.69155740566191</v>
      </c>
      <c r="V76" s="313">
        <f t="shared" ca="1" si="32"/>
        <v>300.00044746913852</v>
      </c>
      <c r="W76" s="313">
        <f t="shared" ca="1" si="32"/>
        <v>300.00044746913852</v>
      </c>
      <c r="X76" s="313">
        <f t="shared" ca="1" si="32"/>
        <v>0</v>
      </c>
      <c r="Y76" s="313">
        <f t="shared" ca="1" si="32"/>
        <v>0</v>
      </c>
      <c r="Z76" s="313">
        <f t="shared" ca="1" si="32"/>
        <v>0</v>
      </c>
      <c r="AA76" s="313">
        <f t="shared" ca="1" si="32"/>
        <v>0</v>
      </c>
      <c r="AB76" s="313">
        <f t="shared" ca="1" si="32"/>
        <v>0</v>
      </c>
      <c r="AC76" s="313">
        <f t="shared" ca="1" si="32"/>
        <v>0</v>
      </c>
      <c r="AD76" s="313">
        <f t="shared" ca="1" si="32"/>
        <v>0</v>
      </c>
      <c r="AE76" s="313">
        <f t="shared" ca="1" si="32"/>
        <v>0</v>
      </c>
      <c r="AF76" s="313">
        <f t="shared" ca="1" si="32"/>
        <v>0</v>
      </c>
      <c r="AG76" s="313">
        <f t="shared" ca="1" si="32"/>
        <v>0</v>
      </c>
      <c r="AH76" s="361">
        <f t="shared" ca="1" si="32"/>
        <v>0</v>
      </c>
    </row>
    <row r="77" spans="1:35" x14ac:dyDescent="0.3">
      <c r="A77" s="362" t="s">
        <v>63</v>
      </c>
      <c r="C77" s="363">
        <f ca="1">SUM(D77:AH77)</f>
        <v>300.00044746913852</v>
      </c>
      <c r="D77" s="360">
        <f t="shared" ref="D77:AH77" ca="1" si="33">SUMIFS(25:25,$15:$15,D75)</f>
        <v>21.263761110233901</v>
      </c>
      <c r="E77" s="360">
        <f t="shared" ca="1" si="33"/>
        <v>18.238441962191828</v>
      </c>
      <c r="F77" s="360">
        <f t="shared" ca="1" si="33"/>
        <v>16.595632960037449</v>
      </c>
      <c r="G77" s="360">
        <f t="shared" ca="1" si="33"/>
        <v>12.594206668013598</v>
      </c>
      <c r="H77" s="360">
        <f t="shared" ca="1" si="33"/>
        <v>21.128438874807046</v>
      </c>
      <c r="I77" s="360">
        <f t="shared" ca="1" si="33"/>
        <v>19.968142300066674</v>
      </c>
      <c r="J77" s="360">
        <f t="shared" ca="1" si="33"/>
        <v>20.86584982168641</v>
      </c>
      <c r="K77" s="360">
        <f t="shared" ca="1" si="33"/>
        <v>29.014964832670444</v>
      </c>
      <c r="L77" s="360">
        <f t="shared" ca="1" si="33"/>
        <v>9.9393059014460903</v>
      </c>
      <c r="M77" s="360">
        <f t="shared" ca="1" si="33"/>
        <v>10.092361845510311</v>
      </c>
      <c r="N77" s="360">
        <f t="shared" ca="1" si="33"/>
        <v>29.446150854396478</v>
      </c>
      <c r="O77" s="360">
        <f t="shared" ca="1" si="33"/>
        <v>19.559745162559295</v>
      </c>
      <c r="P77" s="360">
        <f t="shared" ca="1" si="33"/>
        <v>19.864792640746572</v>
      </c>
      <c r="Q77" s="360">
        <f t="shared" ca="1" si="33"/>
        <v>23.564117826842562</v>
      </c>
      <c r="R77" s="360">
        <f t="shared" ca="1" si="33"/>
        <v>6.4274179815725461</v>
      </c>
      <c r="S77" s="360">
        <f t="shared" ca="1" si="33"/>
        <v>6.5123747229337141</v>
      </c>
      <c r="T77" s="360">
        <f t="shared" ca="1" si="33"/>
        <v>7.6158519399469924</v>
      </c>
      <c r="U77" s="360">
        <f t="shared" ca="1" si="33"/>
        <v>7.3088900634766105</v>
      </c>
      <c r="V77" s="360">
        <f t="shared" ca="1" si="33"/>
        <v>0</v>
      </c>
      <c r="W77" s="360">
        <f t="shared" ca="1" si="33"/>
        <v>0</v>
      </c>
      <c r="X77" s="360">
        <f t="shared" ca="1" si="33"/>
        <v>0</v>
      </c>
      <c r="Y77" s="360">
        <f t="shared" ca="1" si="33"/>
        <v>0</v>
      </c>
      <c r="Z77" s="360">
        <f t="shared" ca="1" si="33"/>
        <v>0</v>
      </c>
      <c r="AA77" s="360">
        <f t="shared" ca="1" si="33"/>
        <v>0</v>
      </c>
      <c r="AB77" s="360">
        <f t="shared" ca="1" si="33"/>
        <v>0</v>
      </c>
      <c r="AC77" s="360">
        <f t="shared" ca="1" si="33"/>
        <v>0</v>
      </c>
      <c r="AD77" s="360">
        <f t="shared" ca="1" si="33"/>
        <v>0</v>
      </c>
      <c r="AE77" s="360">
        <f t="shared" ca="1" si="33"/>
        <v>0</v>
      </c>
      <c r="AF77" s="360">
        <f t="shared" ca="1" si="33"/>
        <v>0</v>
      </c>
      <c r="AG77" s="360">
        <f t="shared" ca="1" si="33"/>
        <v>0</v>
      </c>
      <c r="AH77" s="364">
        <f t="shared" ca="1" si="33"/>
        <v>0</v>
      </c>
    </row>
    <row r="78" spans="1:35" x14ac:dyDescent="0.3">
      <c r="A78" s="362" t="s">
        <v>65</v>
      </c>
      <c r="D78" s="360">
        <f t="shared" ref="D78:V78" si="34">SUMIFS(27:27,$15:$15,D75)</f>
        <v>0</v>
      </c>
      <c r="E78" s="360">
        <f t="shared" si="34"/>
        <v>0</v>
      </c>
      <c r="F78" s="360">
        <f t="shared" si="34"/>
        <v>0</v>
      </c>
      <c r="G78" s="360">
        <f t="shared" si="34"/>
        <v>0</v>
      </c>
      <c r="H78" s="360">
        <f t="shared" si="34"/>
        <v>0</v>
      </c>
      <c r="I78" s="360">
        <f t="shared" si="34"/>
        <v>0</v>
      </c>
      <c r="J78" s="360">
        <f t="shared" si="34"/>
        <v>0</v>
      </c>
      <c r="K78" s="360">
        <f t="shared" si="34"/>
        <v>0</v>
      </c>
      <c r="L78" s="360">
        <f t="shared" si="34"/>
        <v>0</v>
      </c>
      <c r="M78" s="360">
        <f t="shared" si="34"/>
        <v>0</v>
      </c>
      <c r="N78" s="360">
        <f t="shared" si="34"/>
        <v>0</v>
      </c>
      <c r="O78" s="360">
        <f t="shared" si="34"/>
        <v>0</v>
      </c>
      <c r="P78" s="360">
        <f t="shared" si="34"/>
        <v>0</v>
      </c>
      <c r="Q78" s="360">
        <f t="shared" si="34"/>
        <v>0</v>
      </c>
      <c r="R78" s="360">
        <f t="shared" si="34"/>
        <v>0</v>
      </c>
      <c r="S78" s="360">
        <f t="shared" si="34"/>
        <v>0</v>
      </c>
      <c r="T78" s="360">
        <f t="shared" si="34"/>
        <v>0</v>
      </c>
      <c r="U78" s="360">
        <f t="shared" si="34"/>
        <v>0</v>
      </c>
      <c r="V78" s="360">
        <f t="shared" si="34"/>
        <v>0</v>
      </c>
      <c r="W78" s="360">
        <f ca="1">-SUMIFS(27:27,$15:$15,W75)</f>
        <v>300.00044746913852</v>
      </c>
      <c r="X78" s="360">
        <f t="shared" ref="X78:AH78" ca="1" si="35">SUMIFS(27:27,$15:$15,X75)</f>
        <v>0</v>
      </c>
      <c r="Y78" s="360">
        <f t="shared" ca="1" si="35"/>
        <v>0</v>
      </c>
      <c r="Z78" s="360">
        <f t="shared" ca="1" si="35"/>
        <v>0</v>
      </c>
      <c r="AA78" s="360">
        <f t="shared" ca="1" si="35"/>
        <v>0</v>
      </c>
      <c r="AB78" s="360">
        <f t="shared" ca="1" si="35"/>
        <v>0</v>
      </c>
      <c r="AC78" s="360">
        <f t="shared" ca="1" si="35"/>
        <v>0</v>
      </c>
      <c r="AD78" s="360">
        <f t="shared" ca="1" si="35"/>
        <v>0</v>
      </c>
      <c r="AE78" s="360">
        <f t="shared" ca="1" si="35"/>
        <v>0</v>
      </c>
      <c r="AF78" s="360">
        <f t="shared" ca="1" si="35"/>
        <v>0</v>
      </c>
      <c r="AG78" s="360">
        <f t="shared" ca="1" si="35"/>
        <v>0</v>
      </c>
      <c r="AH78" s="364">
        <f t="shared" ca="1" si="35"/>
        <v>0</v>
      </c>
    </row>
    <row r="79" spans="1:35" x14ac:dyDescent="0.3">
      <c r="A79" s="359" t="s">
        <v>66</v>
      </c>
      <c r="D79" s="313">
        <f ca="1">D76+D77-D78</f>
        <v>21.263761110233901</v>
      </c>
      <c r="E79" s="313">
        <f t="shared" ref="E79:AH79" ca="1" si="36">E76+E77-E78</f>
        <v>39.502203072425729</v>
      </c>
      <c r="F79" s="313">
        <f t="shared" ca="1" si="36"/>
        <v>56.097836032463178</v>
      </c>
      <c r="G79" s="313">
        <f t="shared" ca="1" si="36"/>
        <v>68.692042700476776</v>
      </c>
      <c r="H79" s="313">
        <f t="shared" ca="1" si="36"/>
        <v>89.820481575283821</v>
      </c>
      <c r="I79" s="313">
        <f t="shared" ca="1" si="36"/>
        <v>109.7886238753505</v>
      </c>
      <c r="J79" s="313">
        <f t="shared" ca="1" si="36"/>
        <v>130.65447369703691</v>
      </c>
      <c r="K79" s="313">
        <f t="shared" ca="1" si="36"/>
        <v>159.66943852970735</v>
      </c>
      <c r="L79" s="313">
        <f t="shared" ca="1" si="36"/>
        <v>169.60874443115344</v>
      </c>
      <c r="M79" s="313">
        <f t="shared" ca="1" si="36"/>
        <v>179.70110627666375</v>
      </c>
      <c r="N79" s="313">
        <f t="shared" ca="1" si="36"/>
        <v>209.14725713106023</v>
      </c>
      <c r="O79" s="313">
        <f t="shared" ca="1" si="36"/>
        <v>228.70700229361952</v>
      </c>
      <c r="P79" s="313">
        <f t="shared" ca="1" si="36"/>
        <v>248.5717949343661</v>
      </c>
      <c r="Q79" s="313">
        <f t="shared" ca="1" si="36"/>
        <v>272.13591276120866</v>
      </c>
      <c r="R79" s="313">
        <f t="shared" ca="1" si="36"/>
        <v>278.5633307427812</v>
      </c>
      <c r="S79" s="313">
        <f t="shared" ca="1" si="36"/>
        <v>285.07570546571492</v>
      </c>
      <c r="T79" s="313">
        <f t="shared" ca="1" si="36"/>
        <v>292.69155740566191</v>
      </c>
      <c r="U79" s="313">
        <f t="shared" ca="1" si="36"/>
        <v>300.00044746913852</v>
      </c>
      <c r="V79" s="313">
        <f t="shared" ca="1" si="36"/>
        <v>300.00044746913852</v>
      </c>
      <c r="W79" s="313">
        <f t="shared" ca="1" si="36"/>
        <v>0</v>
      </c>
      <c r="X79" s="313">
        <f t="shared" ca="1" si="36"/>
        <v>0</v>
      </c>
      <c r="Y79" s="313">
        <f t="shared" ca="1" si="36"/>
        <v>0</v>
      </c>
      <c r="Z79" s="313">
        <f t="shared" ca="1" si="36"/>
        <v>0</v>
      </c>
      <c r="AA79" s="313">
        <f t="shared" ca="1" si="36"/>
        <v>0</v>
      </c>
      <c r="AB79" s="313">
        <f t="shared" ca="1" si="36"/>
        <v>0</v>
      </c>
      <c r="AC79" s="313">
        <f t="shared" ca="1" si="36"/>
        <v>0</v>
      </c>
      <c r="AD79" s="313">
        <f t="shared" ca="1" si="36"/>
        <v>0</v>
      </c>
      <c r="AE79" s="313">
        <f t="shared" ca="1" si="36"/>
        <v>0</v>
      </c>
      <c r="AF79" s="313">
        <f t="shared" ca="1" si="36"/>
        <v>0</v>
      </c>
      <c r="AG79" s="313">
        <f t="shared" ca="1" si="36"/>
        <v>0</v>
      </c>
      <c r="AH79" s="361">
        <f t="shared" ca="1" si="36"/>
        <v>0</v>
      </c>
    </row>
    <row r="80" spans="1:35" x14ac:dyDescent="0.3">
      <c r="A80" s="167"/>
      <c r="AH80" s="168"/>
    </row>
    <row r="81" spans="1:61" x14ac:dyDescent="0.3">
      <c r="A81" s="356" t="s">
        <v>434</v>
      </c>
      <c r="C81" s="363">
        <f ca="1">SUM(D81:AH81)</f>
        <v>71.477443382360917</v>
      </c>
      <c r="D81" s="360">
        <f ca="1">IF(D75&lt;='Assumption Sheet'!$B$13,-SUMIFS(32:32,15:15,D75),0)</f>
        <v>0.28751019926803567</v>
      </c>
      <c r="E81" s="360">
        <f ca="1">IF(E75&lt;='Assumption Sheet'!$B$13,-SUMIFS(32:32,15:15,E75),0)</f>
        <v>0.72462361283612342</v>
      </c>
      <c r="F81" s="360">
        <f ca="1">IF(F75&lt;='Assumption Sheet'!$B$13,-SUMIFS(32:32,15:15,F75),0)</f>
        <v>1.157212096645261</v>
      </c>
      <c r="G81" s="360">
        <f ca="1">IF(G75&lt;='Assumption Sheet'!$B$13,-SUMIFS(32:32,15:15,G75),0)</f>
        <v>1.5060570186986002</v>
      </c>
      <c r="H81" s="360">
        <f ca="1">IF(H75&lt;='Assumption Sheet'!$B$13,-SUMIFS(32:32,15:15,H75),0)</f>
        <v>1.8995329057311201</v>
      </c>
      <c r="I81" s="360">
        <f ca="1">IF(I75&lt;='Assumption Sheet'!$B$13,-SUMIFS(32:32,15:15,I75),0)</f>
        <v>2.3823699797082449</v>
      </c>
      <c r="J81" s="360">
        <f ca="1">IF(J75&lt;='Assumption Sheet'!$B$13,-SUMIFS(32:32,15:15,J75),0)</f>
        <v>2.8741815208721286</v>
      </c>
      <c r="K81" s="360">
        <f ca="1">IF(K75&lt;='Assumption Sheet'!$B$13,-SUMIFS(32:32,15:15,K75),0)</f>
        <v>3.4683111129197073</v>
      </c>
      <c r="L81" s="360">
        <f ca="1">IF(L75&lt;='Assumption Sheet'!$B$13,-SUMIFS(32:32,15:15,L75),0)</f>
        <v>3.9305274903663117</v>
      </c>
      <c r="M81" s="360">
        <f ca="1">IF(M75&lt;='Assumption Sheet'!$B$13,-SUMIFS(32:32,15:15,M75),0)</f>
        <v>4.1695660178510519</v>
      </c>
      <c r="N81" s="360">
        <f ca="1">IF(N75&lt;='Assumption Sheet'!$B$13,-SUMIFS(32:32,15:15,N75),0)</f>
        <v>4.6570278833811054</v>
      </c>
      <c r="O81" s="360">
        <f ca="1">IF(O75&lt;='Assumption Sheet'!$B$13,-SUMIFS(32:32,15:15,O75),0)</f>
        <v>5.2264309894073282</v>
      </c>
      <c r="P81" s="360">
        <f ca="1">IF(P75&lt;='Assumption Sheet'!$B$13,-SUMIFS(32:32,15:15,P75),0)</f>
        <v>5.6968699317155114</v>
      </c>
      <c r="Q81" s="360">
        <f ca="1">IF(Q75&lt;='Assumption Sheet'!$B$13,-SUMIFS(32:32,15:15,Q75),0)</f>
        <v>6.2199222670415475</v>
      </c>
      <c r="R81" s="360">
        <f ca="1">IF(R75&lt;='Assumption Sheet'!$B$13,-SUMIFS(32:32,15:15,R75),0)</f>
        <v>6.5738229565469766</v>
      </c>
      <c r="S81" s="360">
        <f ca="1">IF(S75&lt;='Assumption Sheet'!$B$13,-SUMIFS(32:32,15:15,S75),0)</f>
        <v>6.7282897590217612</v>
      </c>
      <c r="T81" s="360">
        <f ca="1">IF(T75&lt;='Assumption Sheet'!$B$13,-SUMIFS(32:32,15:15,T75),0)</f>
        <v>6.9048195673495218</v>
      </c>
      <c r="U81" s="360">
        <f ca="1">IF(U75&lt;='Assumption Sheet'!$B$13,-SUMIFS(32:32,15:15,U75),0)</f>
        <v>7.07036807300058</v>
      </c>
      <c r="V81" s="360">
        <f>IF(V75&lt;='Assumption Sheet'!$B$13,-SUMIFS(32:32,15:15,V75),0)</f>
        <v>0</v>
      </c>
      <c r="W81" s="360">
        <f>IF(W75&lt;='Assumption Sheet'!$B$13,-SUMIFS(32:32,15:15,W75),0)</f>
        <v>0</v>
      </c>
      <c r="X81" s="360">
        <f>IF(X75&lt;='Assumption Sheet'!$B$13,-SUMIFS(32:32,15:15,X75),0)</f>
        <v>0</v>
      </c>
      <c r="Y81" s="360">
        <f>IF(Y75&lt;='Assumption Sheet'!$B$13,-SUMIFS(32:32,15:15,Y75),0)</f>
        <v>0</v>
      </c>
      <c r="Z81" s="360">
        <f>IF(Z75&lt;='Assumption Sheet'!$B$13,-SUMIFS(32:32,15:15,Z75),0)</f>
        <v>0</v>
      </c>
      <c r="AA81" s="360">
        <f>IF(AA75&lt;='Assumption Sheet'!$B$13,-SUMIFS(32:32,15:15,AA75),0)</f>
        <v>0</v>
      </c>
      <c r="AB81" s="360">
        <f>IF(AB75&lt;='Assumption Sheet'!$B$13,-SUMIFS(32:32,15:15,AB75),0)</f>
        <v>0</v>
      </c>
      <c r="AC81" s="360">
        <f>IF(AC75&lt;='Assumption Sheet'!$B$13,-SUMIFS(32:32,15:15,AC75),0)</f>
        <v>0</v>
      </c>
      <c r="AD81" s="360">
        <f>IF(AD75&lt;='Assumption Sheet'!$B$13,-SUMIFS(32:32,15:15,AD75),0)</f>
        <v>0</v>
      </c>
      <c r="AE81" s="360">
        <f>IF(AE75&lt;='Assumption Sheet'!$B$13,-SUMIFS(32:32,15:15,AE75),0)</f>
        <v>0</v>
      </c>
      <c r="AF81" s="360">
        <f>IF(AF75&lt;='Assumption Sheet'!$B$13,-SUMIFS(32:32,15:15,AF75),0)</f>
        <v>0</v>
      </c>
      <c r="AG81" s="360">
        <f>IF(AG75&lt;='Assumption Sheet'!$B$13,-SUMIFS(32:32,15:15,AG75),0)</f>
        <v>0</v>
      </c>
      <c r="AH81" s="364">
        <f>IF(AH75&lt;='Assumption Sheet'!$B$13,-SUMIFS(32:32,15:15,AH75),0)</f>
        <v>0</v>
      </c>
    </row>
    <row r="82" spans="1:61" x14ac:dyDescent="0.3">
      <c r="A82" s="365" t="s">
        <v>435</v>
      </c>
      <c r="B82" s="366"/>
      <c r="C82" s="367">
        <f ca="1">SUM(D82:AH82)</f>
        <v>14.325021366651363</v>
      </c>
      <c r="D82" s="368">
        <f>IF(D75&lt;=$C$4,IF(D75&gt;'Assumption Sheet'!$B$13,-SUMIFS(32:32,15:15,D75),0))</f>
        <v>0</v>
      </c>
      <c r="E82" s="368">
        <f>IF(E75&lt;=$C$4,IF(E75&gt;'Assumption Sheet'!$B$13,-SUMIFS(32:32,15:15,E75),0))</f>
        <v>0</v>
      </c>
      <c r="F82" s="368">
        <f>IF(F75&lt;=$C$4,IF(F75&gt;'Assumption Sheet'!$B$13,-SUMIFS(32:32,15:15,F75),0))</f>
        <v>0</v>
      </c>
      <c r="G82" s="368">
        <f>IF(G75&lt;=$C$4,IF(G75&gt;'Assumption Sheet'!$B$13,-SUMIFS(32:32,15:15,G75),0))</f>
        <v>0</v>
      </c>
      <c r="H82" s="368">
        <f>IF(H75&lt;=$C$4,IF(H75&gt;'Assumption Sheet'!$B$13,-SUMIFS(32:32,15:15,H75),0))</f>
        <v>0</v>
      </c>
      <c r="I82" s="368">
        <f>IF(I75&lt;=$C$4,IF(I75&gt;'Assumption Sheet'!$B$13,-SUMIFS(32:32,15:15,I75),0))</f>
        <v>0</v>
      </c>
      <c r="J82" s="368">
        <f>IF(J75&lt;=$C$4,IF(J75&gt;'Assumption Sheet'!$B$13,-SUMIFS(32:32,15:15,J75),0))</f>
        <v>0</v>
      </c>
      <c r="K82" s="368">
        <f>IF(K75&lt;=$C$4,IF(K75&gt;'Assumption Sheet'!$B$13,-SUMIFS(32:32,15:15,K75),0))</f>
        <v>0</v>
      </c>
      <c r="L82" s="368">
        <f>IF(L75&lt;=$C$4,IF(L75&gt;'Assumption Sheet'!$B$13,-SUMIFS(32:32,15:15,L75),0))</f>
        <v>0</v>
      </c>
      <c r="M82" s="368">
        <f>IF(M75&lt;=$C$4,IF(M75&gt;'Assumption Sheet'!$B$13,-SUMIFS(32:32,15:15,M75),0))</f>
        <v>0</v>
      </c>
      <c r="N82" s="368">
        <f>IF(N75&lt;=$C$4,IF(N75&gt;'Assumption Sheet'!$B$13,-SUMIFS(32:32,15:15,N75),0))</f>
        <v>0</v>
      </c>
      <c r="O82" s="368">
        <f>IF(O75&lt;=$C$4,IF(O75&gt;'Assumption Sheet'!$B$13,-SUMIFS(32:32,15:15,O75),0))</f>
        <v>0</v>
      </c>
      <c r="P82" s="368">
        <f>IF(P75&lt;=$C$4,IF(P75&gt;'Assumption Sheet'!$B$13,-SUMIFS(32:32,15:15,P75),0))</f>
        <v>0</v>
      </c>
      <c r="Q82" s="368">
        <f>IF(Q75&lt;=$C$4,IF(Q75&gt;'Assumption Sheet'!$B$13,-SUMIFS(32:32,15:15,Q75),0))</f>
        <v>0</v>
      </c>
      <c r="R82" s="368">
        <f>IF(R75&lt;=$C$4,IF(R75&gt;'Assumption Sheet'!$B$13,-SUMIFS(32:32,15:15,R75),0))</f>
        <v>0</v>
      </c>
      <c r="S82" s="368">
        <f>IF(S75&lt;=$C$4,IF(S75&gt;'Assumption Sheet'!$B$13,-SUMIFS(32:32,15:15,S75),0))</f>
        <v>0</v>
      </c>
      <c r="T82" s="368">
        <f>IF(T75&lt;=$C$4,IF(T75&gt;'Assumption Sheet'!$B$13,-SUMIFS(32:32,15:15,T75),0))</f>
        <v>0</v>
      </c>
      <c r="U82" s="368">
        <f>IF(U75&lt;=$C$4,IF(U75&gt;'Assumption Sheet'!$B$13,-SUMIFS(32:32,15:15,U75),0))</f>
        <v>0</v>
      </c>
      <c r="V82" s="368">
        <f ca="1">IF(V75&lt;=$C$4,IF(V75&gt;'Assumption Sheet'!$B$13,-SUMIFS(32:32,15:15,V75),0))</f>
        <v>7.1625106833256815</v>
      </c>
      <c r="W82" s="368">
        <f ca="1">IF(W75&lt;=$C$4,IF(W75&gt;='Assumption Sheet'!$B$13,-SUMIFS(32:32,15:15,W75),0))</f>
        <v>7.1625106833256815</v>
      </c>
      <c r="X82" s="368" t="b">
        <f>IF(X75&lt;=$C$4,IF(X75&gt;='Assumption Sheet'!$B$13,-SUMIFS(32:32,15:15,X75),0))</f>
        <v>0</v>
      </c>
      <c r="Y82" s="368" t="b">
        <f>IF(Y75&lt;=$C$4,IF(Y75&gt;='Assumption Sheet'!$B$13,-SUMIFS(32:32,15:15,Y75),0))</f>
        <v>0</v>
      </c>
      <c r="Z82" s="368" t="b">
        <f>IF(Z75&lt;=$C$4,IF(Z75&gt;='Assumption Sheet'!$B$13,-SUMIFS(32:32,15:15,Z75),0))</f>
        <v>0</v>
      </c>
      <c r="AA82" s="368" t="b">
        <f>IF(AA75&lt;=$C$4,IF(AA75&gt;='Assumption Sheet'!$B$13,-SUMIFS(32:32,15:15,AA75),0))</f>
        <v>0</v>
      </c>
      <c r="AB82" s="368" t="b">
        <f>IF(AB75&lt;=$C$4,IF(AB75&gt;='Assumption Sheet'!$B$13,-SUMIFS(32:32,15:15,AB75),0))</f>
        <v>0</v>
      </c>
      <c r="AC82" s="368" t="b">
        <f>IF(AC75&lt;=$C$4,IF(AC75&gt;='Assumption Sheet'!$B$13,-SUMIFS(32:32,15:15,AC75),0))</f>
        <v>0</v>
      </c>
      <c r="AD82" s="368" t="b">
        <f>IF(AD75&lt;=$C$4,IF(AD75&gt;='Assumption Sheet'!$B$13,-SUMIFS(32:32,15:15,AD75),0))</f>
        <v>0</v>
      </c>
      <c r="AE82" s="368" t="b">
        <f>IF(AE75&lt;=$C$4,IF(AE75&gt;='Assumption Sheet'!$B$13,-SUMIFS(32:32,15:15,AE75),0))</f>
        <v>0</v>
      </c>
      <c r="AF82" s="368" t="b">
        <f>IF(AF75&lt;=$C$4,IF(AF75&gt;='Assumption Sheet'!$B$13,-SUMIFS(32:32,15:15,AF75),0))</f>
        <v>0</v>
      </c>
      <c r="AG82" s="368" t="b">
        <f>IF(AG75&lt;=$C$4,IF(AG75&gt;='Assumption Sheet'!$B$13,-SUMIFS(32:32,15:15,AG75),0))</f>
        <v>0</v>
      </c>
      <c r="AH82" s="369" t="b">
        <f>IF(AH75&lt;=$C$4,IF(AH75&gt;='Assumption Sheet'!$B$13,-SUMIFS(32:32,15:15,AH75),0))</f>
        <v>0</v>
      </c>
    </row>
    <row r="85" spans="1:61" x14ac:dyDescent="0.3">
      <c r="A85" s="370" t="s">
        <v>489</v>
      </c>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71"/>
    </row>
    <row r="86" spans="1:61" x14ac:dyDescent="0.3">
      <c r="A86" s="163" t="s">
        <v>480</v>
      </c>
      <c r="B86" s="372"/>
      <c r="C86" s="372">
        <v>45473</v>
      </c>
      <c r="D86" s="372">
        <f>D75</f>
        <v>45565</v>
      </c>
      <c r="E86" s="372">
        <f t="shared" ref="E86:BI86" si="37">EOMONTH(D86,3)</f>
        <v>45657</v>
      </c>
      <c r="F86" s="372">
        <f t="shared" si="37"/>
        <v>45747</v>
      </c>
      <c r="G86" s="372">
        <f t="shared" si="37"/>
        <v>45838</v>
      </c>
      <c r="H86" s="372">
        <f t="shared" si="37"/>
        <v>45930</v>
      </c>
      <c r="I86" s="372">
        <f t="shared" si="37"/>
        <v>46022</v>
      </c>
      <c r="J86" s="372">
        <f t="shared" si="37"/>
        <v>46112</v>
      </c>
      <c r="K86" s="372">
        <f t="shared" si="37"/>
        <v>46203</v>
      </c>
      <c r="L86" s="372">
        <f t="shared" si="37"/>
        <v>46295</v>
      </c>
      <c r="M86" s="372">
        <f t="shared" si="37"/>
        <v>46387</v>
      </c>
      <c r="N86" s="372">
        <f t="shared" si="37"/>
        <v>46477</v>
      </c>
      <c r="O86" s="372">
        <f t="shared" si="37"/>
        <v>46568</v>
      </c>
      <c r="P86" s="372">
        <f t="shared" si="37"/>
        <v>46660</v>
      </c>
      <c r="Q86" s="372">
        <f t="shared" si="37"/>
        <v>46752</v>
      </c>
      <c r="R86" s="372">
        <f t="shared" si="37"/>
        <v>46843</v>
      </c>
      <c r="S86" s="372">
        <f t="shared" si="37"/>
        <v>46934</v>
      </c>
      <c r="T86" s="372">
        <f t="shared" si="37"/>
        <v>47026</v>
      </c>
      <c r="U86" s="372">
        <f t="shared" si="37"/>
        <v>47118</v>
      </c>
      <c r="V86" s="372">
        <f t="shared" si="37"/>
        <v>47208</v>
      </c>
      <c r="W86" s="372">
        <f t="shared" si="37"/>
        <v>47299</v>
      </c>
      <c r="X86" s="372">
        <f t="shared" si="37"/>
        <v>47391</v>
      </c>
      <c r="Y86" s="372">
        <f t="shared" si="37"/>
        <v>47483</v>
      </c>
      <c r="Z86" s="372">
        <f t="shared" si="37"/>
        <v>47573</v>
      </c>
      <c r="AA86" s="372">
        <f t="shared" si="37"/>
        <v>47664</v>
      </c>
      <c r="AB86" s="372">
        <f t="shared" si="37"/>
        <v>47756</v>
      </c>
      <c r="AC86" s="372">
        <f t="shared" si="37"/>
        <v>47848</v>
      </c>
      <c r="AD86" s="372">
        <f t="shared" si="37"/>
        <v>47938</v>
      </c>
      <c r="AE86" s="372">
        <f t="shared" si="37"/>
        <v>48029</v>
      </c>
      <c r="AF86" s="372">
        <f t="shared" si="37"/>
        <v>48121</v>
      </c>
      <c r="AG86" s="372">
        <f t="shared" si="37"/>
        <v>48213</v>
      </c>
      <c r="AH86" s="372">
        <f t="shared" si="37"/>
        <v>48304</v>
      </c>
      <c r="AI86" s="372">
        <f t="shared" si="37"/>
        <v>48395</v>
      </c>
      <c r="AJ86" s="372">
        <f t="shared" si="37"/>
        <v>48487</v>
      </c>
      <c r="AK86" s="372">
        <f t="shared" si="37"/>
        <v>48579</v>
      </c>
      <c r="AL86" s="372">
        <f t="shared" si="37"/>
        <v>48669</v>
      </c>
      <c r="AM86" s="372">
        <f t="shared" si="37"/>
        <v>48760</v>
      </c>
      <c r="AN86" s="372">
        <f t="shared" si="37"/>
        <v>48852</v>
      </c>
      <c r="AO86" s="372">
        <f t="shared" si="37"/>
        <v>48944</v>
      </c>
      <c r="AP86" s="372">
        <f t="shared" si="37"/>
        <v>49034</v>
      </c>
      <c r="AQ86" s="372">
        <f t="shared" si="37"/>
        <v>49125</v>
      </c>
      <c r="AR86" s="372">
        <f t="shared" si="37"/>
        <v>49217</v>
      </c>
      <c r="AS86" s="372">
        <f t="shared" si="37"/>
        <v>49309</v>
      </c>
      <c r="AT86" s="372">
        <f t="shared" si="37"/>
        <v>49399</v>
      </c>
      <c r="AU86" s="372">
        <f t="shared" si="37"/>
        <v>49490</v>
      </c>
      <c r="AV86" s="372">
        <f t="shared" si="37"/>
        <v>49582</v>
      </c>
      <c r="AW86" s="372">
        <f t="shared" si="37"/>
        <v>49674</v>
      </c>
      <c r="AX86" s="372">
        <f t="shared" si="37"/>
        <v>49765</v>
      </c>
      <c r="AY86" s="372">
        <f t="shared" si="37"/>
        <v>49856</v>
      </c>
      <c r="AZ86" s="372">
        <f t="shared" si="37"/>
        <v>49948</v>
      </c>
      <c r="BA86" s="372">
        <f t="shared" si="37"/>
        <v>50040</v>
      </c>
      <c r="BB86" s="372">
        <f t="shared" si="37"/>
        <v>50130</v>
      </c>
      <c r="BC86" s="372">
        <f t="shared" si="37"/>
        <v>50221</v>
      </c>
      <c r="BD86" s="372">
        <f t="shared" si="37"/>
        <v>50313</v>
      </c>
      <c r="BE86" s="372">
        <f t="shared" si="37"/>
        <v>50405</v>
      </c>
      <c r="BF86" s="372">
        <f t="shared" si="37"/>
        <v>50495</v>
      </c>
      <c r="BG86" s="372">
        <f t="shared" si="37"/>
        <v>50586</v>
      </c>
      <c r="BH86" s="372">
        <f t="shared" si="37"/>
        <v>50678</v>
      </c>
      <c r="BI86" s="373">
        <f t="shared" si="37"/>
        <v>50770</v>
      </c>
    </row>
    <row r="87" spans="1:61" x14ac:dyDescent="0.3">
      <c r="A87" s="169" t="s">
        <v>481</v>
      </c>
      <c r="B87" s="44"/>
      <c r="C87" s="44"/>
      <c r="D87" s="44">
        <f ca="1">D77</f>
        <v>21.263761110233901</v>
      </c>
      <c r="E87" s="44">
        <f t="shared" ref="E87:BI87" ca="1" si="38">E77</f>
        <v>18.238441962191828</v>
      </c>
      <c r="F87" s="258">
        <f t="shared" ca="1" si="38"/>
        <v>16.595632960037449</v>
      </c>
      <c r="G87" s="258">
        <f t="shared" ca="1" si="38"/>
        <v>12.594206668013598</v>
      </c>
      <c r="H87" s="258">
        <f t="shared" ca="1" si="38"/>
        <v>21.128438874807046</v>
      </c>
      <c r="I87" s="258">
        <f t="shared" ca="1" si="38"/>
        <v>19.968142300066674</v>
      </c>
      <c r="J87" s="258">
        <f t="shared" ca="1" si="38"/>
        <v>20.86584982168641</v>
      </c>
      <c r="K87" s="258">
        <f t="shared" ca="1" si="38"/>
        <v>29.014964832670444</v>
      </c>
      <c r="L87" s="258">
        <f t="shared" ca="1" si="38"/>
        <v>9.9393059014460903</v>
      </c>
      <c r="M87" s="258">
        <f t="shared" ca="1" si="38"/>
        <v>10.092361845510311</v>
      </c>
      <c r="N87" s="258">
        <f t="shared" ca="1" si="38"/>
        <v>29.446150854396478</v>
      </c>
      <c r="O87" s="258">
        <f t="shared" ca="1" si="38"/>
        <v>19.559745162559295</v>
      </c>
      <c r="P87" s="258">
        <f t="shared" ca="1" si="38"/>
        <v>19.864792640746572</v>
      </c>
      <c r="Q87" s="258">
        <f t="shared" ca="1" si="38"/>
        <v>23.564117826842562</v>
      </c>
      <c r="R87" s="258">
        <f t="shared" ca="1" si="38"/>
        <v>6.4274179815725461</v>
      </c>
      <c r="S87" s="258">
        <f t="shared" ca="1" si="38"/>
        <v>6.5123747229337141</v>
      </c>
      <c r="T87" s="258">
        <f t="shared" ca="1" si="38"/>
        <v>7.6158519399469924</v>
      </c>
      <c r="U87" s="258">
        <f t="shared" ca="1" si="38"/>
        <v>7.3088900634766105</v>
      </c>
      <c r="V87" s="258">
        <f t="shared" ca="1" si="38"/>
        <v>0</v>
      </c>
      <c r="W87" s="258">
        <f t="shared" ca="1" si="38"/>
        <v>0</v>
      </c>
      <c r="X87" s="258">
        <f t="shared" ca="1" si="38"/>
        <v>0</v>
      </c>
      <c r="Y87" s="258">
        <f t="shared" ca="1" si="38"/>
        <v>0</v>
      </c>
      <c r="Z87" s="258">
        <f t="shared" ca="1" si="38"/>
        <v>0</v>
      </c>
      <c r="AA87" s="258">
        <f t="shared" ca="1" si="38"/>
        <v>0</v>
      </c>
      <c r="AB87" s="258">
        <f t="shared" ca="1" si="38"/>
        <v>0</v>
      </c>
      <c r="AC87" s="258">
        <f t="shared" ca="1" si="38"/>
        <v>0</v>
      </c>
      <c r="AD87" s="258">
        <f t="shared" ca="1" si="38"/>
        <v>0</v>
      </c>
      <c r="AE87" s="258">
        <f t="shared" ca="1" si="38"/>
        <v>0</v>
      </c>
      <c r="AF87" s="258">
        <f t="shared" ca="1" si="38"/>
        <v>0</v>
      </c>
      <c r="AG87" s="258">
        <f t="shared" ca="1" si="38"/>
        <v>0</v>
      </c>
      <c r="AH87" s="258">
        <f t="shared" ca="1" si="38"/>
        <v>0</v>
      </c>
      <c r="AI87" s="258">
        <f t="shared" si="38"/>
        <v>0</v>
      </c>
      <c r="AJ87" s="258">
        <f t="shared" si="38"/>
        <v>0</v>
      </c>
      <c r="AK87" s="258">
        <f t="shared" si="38"/>
        <v>0</v>
      </c>
      <c r="AL87" s="258">
        <f t="shared" si="38"/>
        <v>0</v>
      </c>
      <c r="AM87" s="258">
        <f t="shared" si="38"/>
        <v>0</v>
      </c>
      <c r="AN87" s="258">
        <f t="shared" si="38"/>
        <v>0</v>
      </c>
      <c r="AO87" s="258">
        <f t="shared" si="38"/>
        <v>0</v>
      </c>
      <c r="AP87" s="258">
        <f t="shared" si="38"/>
        <v>0</v>
      </c>
      <c r="AQ87" s="258">
        <f t="shared" si="38"/>
        <v>0</v>
      </c>
      <c r="AR87" s="258">
        <f t="shared" si="38"/>
        <v>0</v>
      </c>
      <c r="AS87" s="258">
        <f t="shared" si="38"/>
        <v>0</v>
      </c>
      <c r="AT87" s="258">
        <f t="shared" si="38"/>
        <v>0</v>
      </c>
      <c r="AU87" s="258">
        <f t="shared" si="38"/>
        <v>0</v>
      </c>
      <c r="AV87" s="258">
        <f t="shared" si="38"/>
        <v>0</v>
      </c>
      <c r="AW87" s="258">
        <f t="shared" si="38"/>
        <v>0</v>
      </c>
      <c r="AX87" s="258">
        <f t="shared" si="38"/>
        <v>0</v>
      </c>
      <c r="AY87" s="258">
        <f t="shared" si="38"/>
        <v>0</v>
      </c>
      <c r="AZ87" s="258">
        <f t="shared" si="38"/>
        <v>0</v>
      </c>
      <c r="BA87" s="258">
        <f t="shared" si="38"/>
        <v>0</v>
      </c>
      <c r="BB87" s="258">
        <f t="shared" si="38"/>
        <v>0</v>
      </c>
      <c r="BC87" s="258">
        <f t="shared" si="38"/>
        <v>0</v>
      </c>
      <c r="BD87" s="258">
        <f t="shared" si="38"/>
        <v>0</v>
      </c>
      <c r="BE87" s="258">
        <f t="shared" si="38"/>
        <v>0</v>
      </c>
      <c r="BF87" s="258">
        <f t="shared" si="38"/>
        <v>0</v>
      </c>
      <c r="BG87" s="258">
        <f t="shared" si="38"/>
        <v>0</v>
      </c>
      <c r="BH87" s="258">
        <f t="shared" si="38"/>
        <v>0</v>
      </c>
      <c r="BI87" s="246">
        <f t="shared" si="38"/>
        <v>0</v>
      </c>
    </row>
    <row r="88" spans="1:61" x14ac:dyDescent="0.3">
      <c r="A88" s="169" t="s">
        <v>482</v>
      </c>
      <c r="B88" s="44"/>
      <c r="C88" s="44"/>
      <c r="D88" s="258">
        <f>D78</f>
        <v>0</v>
      </c>
      <c r="E88" s="258">
        <f t="shared" ref="E88:BI88" si="39">E78</f>
        <v>0</v>
      </c>
      <c r="F88" s="258">
        <f t="shared" si="39"/>
        <v>0</v>
      </c>
      <c r="G88" s="258">
        <f t="shared" si="39"/>
        <v>0</v>
      </c>
      <c r="H88" s="258">
        <f t="shared" si="39"/>
        <v>0</v>
      </c>
      <c r="I88" s="258">
        <f t="shared" si="39"/>
        <v>0</v>
      </c>
      <c r="J88" s="258">
        <f t="shared" si="39"/>
        <v>0</v>
      </c>
      <c r="K88" s="258">
        <f t="shared" si="39"/>
        <v>0</v>
      </c>
      <c r="L88" s="258">
        <f t="shared" si="39"/>
        <v>0</v>
      </c>
      <c r="M88" s="258">
        <f t="shared" si="39"/>
        <v>0</v>
      </c>
      <c r="N88" s="258">
        <f t="shared" si="39"/>
        <v>0</v>
      </c>
      <c r="O88" s="258">
        <f t="shared" si="39"/>
        <v>0</v>
      </c>
      <c r="P88" s="258">
        <f t="shared" si="39"/>
        <v>0</v>
      </c>
      <c r="Q88" s="258">
        <f t="shared" si="39"/>
        <v>0</v>
      </c>
      <c r="R88" s="258">
        <f t="shared" si="39"/>
        <v>0</v>
      </c>
      <c r="S88" s="258">
        <f t="shared" si="39"/>
        <v>0</v>
      </c>
      <c r="T88" s="258">
        <f t="shared" si="39"/>
        <v>0</v>
      </c>
      <c r="U88" s="258">
        <f t="shared" si="39"/>
        <v>0</v>
      </c>
      <c r="V88" s="258">
        <f t="shared" si="39"/>
        <v>0</v>
      </c>
      <c r="W88" s="258">
        <f t="shared" ca="1" si="39"/>
        <v>300.00044746913852</v>
      </c>
      <c r="X88" s="258">
        <f t="shared" ca="1" si="39"/>
        <v>0</v>
      </c>
      <c r="Y88" s="258">
        <f t="shared" ca="1" si="39"/>
        <v>0</v>
      </c>
      <c r="Z88" s="258">
        <f t="shared" ca="1" si="39"/>
        <v>0</v>
      </c>
      <c r="AA88" s="258">
        <f t="shared" ca="1" si="39"/>
        <v>0</v>
      </c>
      <c r="AB88" s="258">
        <f t="shared" ca="1" si="39"/>
        <v>0</v>
      </c>
      <c r="AC88" s="258">
        <f t="shared" ca="1" si="39"/>
        <v>0</v>
      </c>
      <c r="AD88" s="258">
        <f t="shared" ca="1" si="39"/>
        <v>0</v>
      </c>
      <c r="AE88" s="258">
        <f t="shared" ca="1" si="39"/>
        <v>0</v>
      </c>
      <c r="AF88" s="258">
        <f t="shared" ca="1" si="39"/>
        <v>0</v>
      </c>
      <c r="AG88" s="258">
        <f t="shared" ca="1" si="39"/>
        <v>0</v>
      </c>
      <c r="AH88" s="258">
        <f t="shared" ca="1" si="39"/>
        <v>0</v>
      </c>
      <c r="AI88" s="258">
        <f t="shared" si="39"/>
        <v>0</v>
      </c>
      <c r="AJ88" s="258">
        <f t="shared" si="39"/>
        <v>0</v>
      </c>
      <c r="AK88" s="258">
        <f t="shared" si="39"/>
        <v>0</v>
      </c>
      <c r="AL88" s="258">
        <f t="shared" si="39"/>
        <v>0</v>
      </c>
      <c r="AM88" s="258">
        <f t="shared" si="39"/>
        <v>0</v>
      </c>
      <c r="AN88" s="258">
        <f t="shared" si="39"/>
        <v>0</v>
      </c>
      <c r="AO88" s="258">
        <f t="shared" si="39"/>
        <v>0</v>
      </c>
      <c r="AP88" s="258">
        <f t="shared" si="39"/>
        <v>0</v>
      </c>
      <c r="AQ88" s="258">
        <f t="shared" si="39"/>
        <v>0</v>
      </c>
      <c r="AR88" s="258">
        <f t="shared" si="39"/>
        <v>0</v>
      </c>
      <c r="AS88" s="258">
        <f t="shared" si="39"/>
        <v>0</v>
      </c>
      <c r="AT88" s="258">
        <f t="shared" si="39"/>
        <v>0</v>
      </c>
      <c r="AU88" s="258">
        <f t="shared" si="39"/>
        <v>0</v>
      </c>
      <c r="AV88" s="258">
        <f t="shared" si="39"/>
        <v>0</v>
      </c>
      <c r="AW88" s="258">
        <f t="shared" si="39"/>
        <v>0</v>
      </c>
      <c r="AX88" s="258">
        <f t="shared" si="39"/>
        <v>0</v>
      </c>
      <c r="AY88" s="258">
        <f t="shared" si="39"/>
        <v>0</v>
      </c>
      <c r="AZ88" s="258">
        <f t="shared" si="39"/>
        <v>0</v>
      </c>
      <c r="BA88" s="258">
        <f t="shared" si="39"/>
        <v>0</v>
      </c>
      <c r="BB88" s="258">
        <f t="shared" si="39"/>
        <v>0</v>
      </c>
      <c r="BC88" s="258">
        <f t="shared" si="39"/>
        <v>0</v>
      </c>
      <c r="BD88" s="258">
        <f t="shared" si="39"/>
        <v>0</v>
      </c>
      <c r="BE88" s="258">
        <f t="shared" si="39"/>
        <v>0</v>
      </c>
      <c r="BF88" s="258">
        <f t="shared" si="39"/>
        <v>0</v>
      </c>
      <c r="BG88" s="258">
        <f t="shared" si="39"/>
        <v>0</v>
      </c>
      <c r="BH88" s="258">
        <f t="shared" si="39"/>
        <v>0</v>
      </c>
      <c r="BI88" s="246">
        <f t="shared" si="39"/>
        <v>0</v>
      </c>
    </row>
    <row r="89" spans="1:61" x14ac:dyDescent="0.3">
      <c r="A89" s="169" t="s">
        <v>483</v>
      </c>
      <c r="B89" s="44"/>
      <c r="C89" s="44"/>
      <c r="D89" s="44">
        <f t="shared" ref="D89:BI89" ca="1" si="40">C89+D87-D88</f>
        <v>21.263761110233901</v>
      </c>
      <c r="E89" s="44">
        <f t="shared" ca="1" si="40"/>
        <v>39.502203072425729</v>
      </c>
      <c r="F89" s="258">
        <f t="shared" ca="1" si="40"/>
        <v>56.097836032463178</v>
      </c>
      <c r="G89" s="258">
        <f t="shared" ca="1" si="40"/>
        <v>68.692042700476776</v>
      </c>
      <c r="H89" s="258">
        <f t="shared" ca="1" si="40"/>
        <v>89.820481575283821</v>
      </c>
      <c r="I89" s="258">
        <f t="shared" ca="1" si="40"/>
        <v>109.7886238753505</v>
      </c>
      <c r="J89" s="258">
        <f t="shared" ca="1" si="40"/>
        <v>130.65447369703691</v>
      </c>
      <c r="K89" s="258">
        <f t="shared" ca="1" si="40"/>
        <v>159.66943852970735</v>
      </c>
      <c r="L89" s="258">
        <f t="shared" ca="1" si="40"/>
        <v>169.60874443115344</v>
      </c>
      <c r="M89" s="258">
        <f t="shared" ca="1" si="40"/>
        <v>179.70110627666375</v>
      </c>
      <c r="N89" s="258">
        <f t="shared" ca="1" si="40"/>
        <v>209.14725713106023</v>
      </c>
      <c r="O89" s="258">
        <f t="shared" ca="1" si="40"/>
        <v>228.70700229361952</v>
      </c>
      <c r="P89" s="258">
        <f t="shared" ca="1" si="40"/>
        <v>248.5717949343661</v>
      </c>
      <c r="Q89" s="258">
        <f t="shared" ca="1" si="40"/>
        <v>272.13591276120866</v>
      </c>
      <c r="R89" s="258">
        <f t="shared" ca="1" si="40"/>
        <v>278.5633307427812</v>
      </c>
      <c r="S89" s="258">
        <f t="shared" ca="1" si="40"/>
        <v>285.07570546571492</v>
      </c>
      <c r="T89" s="258">
        <f t="shared" ca="1" si="40"/>
        <v>292.69155740566191</v>
      </c>
      <c r="U89" s="258">
        <f t="shared" ca="1" si="40"/>
        <v>300.00044746913852</v>
      </c>
      <c r="V89" s="258">
        <f t="shared" ca="1" si="40"/>
        <v>300.00044746913852</v>
      </c>
      <c r="W89" s="258">
        <f t="shared" ca="1" si="40"/>
        <v>0</v>
      </c>
      <c r="X89" s="258">
        <f t="shared" ca="1" si="40"/>
        <v>0</v>
      </c>
      <c r="Y89" s="258">
        <f t="shared" ca="1" si="40"/>
        <v>0</v>
      </c>
      <c r="Z89" s="258">
        <f t="shared" ca="1" si="40"/>
        <v>0</v>
      </c>
      <c r="AA89" s="258">
        <f t="shared" ca="1" si="40"/>
        <v>0</v>
      </c>
      <c r="AB89" s="258">
        <f t="shared" ca="1" si="40"/>
        <v>0</v>
      </c>
      <c r="AC89" s="258">
        <f t="shared" ca="1" si="40"/>
        <v>0</v>
      </c>
      <c r="AD89" s="258">
        <f t="shared" ca="1" si="40"/>
        <v>0</v>
      </c>
      <c r="AE89" s="258">
        <f t="shared" ca="1" si="40"/>
        <v>0</v>
      </c>
      <c r="AF89" s="258">
        <f t="shared" ca="1" si="40"/>
        <v>0</v>
      </c>
      <c r="AG89" s="258">
        <f t="shared" ca="1" si="40"/>
        <v>0</v>
      </c>
      <c r="AH89" s="258">
        <f t="shared" ca="1" si="40"/>
        <v>0</v>
      </c>
      <c r="AI89" s="258">
        <f t="shared" ca="1" si="40"/>
        <v>0</v>
      </c>
      <c r="AJ89" s="258">
        <f t="shared" ca="1" si="40"/>
        <v>0</v>
      </c>
      <c r="AK89" s="258">
        <f t="shared" ca="1" si="40"/>
        <v>0</v>
      </c>
      <c r="AL89" s="258">
        <f t="shared" ca="1" si="40"/>
        <v>0</v>
      </c>
      <c r="AM89" s="258">
        <f t="shared" ca="1" si="40"/>
        <v>0</v>
      </c>
      <c r="AN89" s="258">
        <f t="shared" ca="1" si="40"/>
        <v>0</v>
      </c>
      <c r="AO89" s="258">
        <f t="shared" ca="1" si="40"/>
        <v>0</v>
      </c>
      <c r="AP89" s="258">
        <f t="shared" ca="1" si="40"/>
        <v>0</v>
      </c>
      <c r="AQ89" s="258">
        <f t="shared" ca="1" si="40"/>
        <v>0</v>
      </c>
      <c r="AR89" s="258">
        <f t="shared" ca="1" si="40"/>
        <v>0</v>
      </c>
      <c r="AS89" s="258">
        <f t="shared" ca="1" si="40"/>
        <v>0</v>
      </c>
      <c r="AT89" s="258">
        <f t="shared" ca="1" si="40"/>
        <v>0</v>
      </c>
      <c r="AU89" s="258">
        <f t="shared" ca="1" si="40"/>
        <v>0</v>
      </c>
      <c r="AV89" s="258">
        <f t="shared" ca="1" si="40"/>
        <v>0</v>
      </c>
      <c r="AW89" s="258">
        <f t="shared" ca="1" si="40"/>
        <v>0</v>
      </c>
      <c r="AX89" s="258">
        <f t="shared" ca="1" si="40"/>
        <v>0</v>
      </c>
      <c r="AY89" s="258">
        <f t="shared" ca="1" si="40"/>
        <v>0</v>
      </c>
      <c r="AZ89" s="258">
        <f t="shared" ca="1" si="40"/>
        <v>0</v>
      </c>
      <c r="BA89" s="258">
        <f t="shared" ca="1" si="40"/>
        <v>0</v>
      </c>
      <c r="BB89" s="258">
        <f t="shared" ca="1" si="40"/>
        <v>0</v>
      </c>
      <c r="BC89" s="258">
        <f t="shared" ca="1" si="40"/>
        <v>0</v>
      </c>
      <c r="BD89" s="258">
        <f t="shared" ca="1" si="40"/>
        <v>0</v>
      </c>
      <c r="BE89" s="258">
        <f t="shared" ca="1" si="40"/>
        <v>0</v>
      </c>
      <c r="BF89" s="258">
        <f t="shared" ca="1" si="40"/>
        <v>0</v>
      </c>
      <c r="BG89" s="258">
        <f t="shared" ca="1" si="40"/>
        <v>0</v>
      </c>
      <c r="BH89" s="258">
        <f t="shared" ca="1" si="40"/>
        <v>0</v>
      </c>
      <c r="BI89" s="246">
        <f t="shared" ca="1" si="40"/>
        <v>0</v>
      </c>
    </row>
    <row r="90" spans="1:61" ht="27.6" x14ac:dyDescent="0.3">
      <c r="A90" s="374" t="s">
        <v>484</v>
      </c>
      <c r="B90" s="375"/>
      <c r="C90" s="1"/>
      <c r="D90" s="1">
        <f>D86-C86</f>
        <v>92</v>
      </c>
      <c r="E90" s="1">
        <f t="shared" ref="E90:BI90" si="41">E86-D86</f>
        <v>92</v>
      </c>
      <c r="F90" s="258">
        <f t="shared" si="41"/>
        <v>90</v>
      </c>
      <c r="G90" s="258">
        <f t="shared" si="41"/>
        <v>91</v>
      </c>
      <c r="H90" s="258">
        <f t="shared" si="41"/>
        <v>92</v>
      </c>
      <c r="I90" s="258">
        <f t="shared" si="41"/>
        <v>92</v>
      </c>
      <c r="J90" s="258">
        <f t="shared" si="41"/>
        <v>90</v>
      </c>
      <c r="K90" s="258">
        <f t="shared" si="41"/>
        <v>91</v>
      </c>
      <c r="L90" s="258">
        <f t="shared" si="41"/>
        <v>92</v>
      </c>
      <c r="M90" s="258">
        <f t="shared" si="41"/>
        <v>92</v>
      </c>
      <c r="N90" s="258">
        <f t="shared" si="41"/>
        <v>90</v>
      </c>
      <c r="O90" s="258">
        <f t="shared" si="41"/>
        <v>91</v>
      </c>
      <c r="P90" s="258">
        <f t="shared" si="41"/>
        <v>92</v>
      </c>
      <c r="Q90" s="258">
        <f t="shared" si="41"/>
        <v>92</v>
      </c>
      <c r="R90" s="258">
        <f t="shared" si="41"/>
        <v>91</v>
      </c>
      <c r="S90" s="258">
        <f t="shared" si="41"/>
        <v>91</v>
      </c>
      <c r="T90" s="258">
        <f t="shared" si="41"/>
        <v>92</v>
      </c>
      <c r="U90" s="258">
        <f t="shared" si="41"/>
        <v>92</v>
      </c>
      <c r="V90" s="258">
        <f t="shared" si="41"/>
        <v>90</v>
      </c>
      <c r="W90" s="258">
        <f t="shared" si="41"/>
        <v>91</v>
      </c>
      <c r="X90" s="258">
        <f t="shared" si="41"/>
        <v>92</v>
      </c>
      <c r="Y90" s="258">
        <f t="shared" si="41"/>
        <v>92</v>
      </c>
      <c r="Z90" s="258">
        <f t="shared" si="41"/>
        <v>90</v>
      </c>
      <c r="AA90" s="258">
        <f t="shared" si="41"/>
        <v>91</v>
      </c>
      <c r="AB90" s="258">
        <f t="shared" si="41"/>
        <v>92</v>
      </c>
      <c r="AC90" s="258">
        <f t="shared" si="41"/>
        <v>92</v>
      </c>
      <c r="AD90" s="258">
        <f t="shared" si="41"/>
        <v>90</v>
      </c>
      <c r="AE90" s="258">
        <f t="shared" si="41"/>
        <v>91</v>
      </c>
      <c r="AF90" s="258">
        <f t="shared" si="41"/>
        <v>92</v>
      </c>
      <c r="AG90" s="258">
        <f t="shared" si="41"/>
        <v>92</v>
      </c>
      <c r="AH90" s="258">
        <f t="shared" si="41"/>
        <v>91</v>
      </c>
      <c r="AI90" s="258">
        <f t="shared" si="41"/>
        <v>91</v>
      </c>
      <c r="AJ90" s="258">
        <f t="shared" si="41"/>
        <v>92</v>
      </c>
      <c r="AK90" s="258">
        <f t="shared" si="41"/>
        <v>92</v>
      </c>
      <c r="AL90" s="258">
        <f t="shared" si="41"/>
        <v>90</v>
      </c>
      <c r="AM90" s="258">
        <f t="shared" si="41"/>
        <v>91</v>
      </c>
      <c r="AN90" s="258">
        <f t="shared" si="41"/>
        <v>92</v>
      </c>
      <c r="AO90" s="258">
        <f t="shared" si="41"/>
        <v>92</v>
      </c>
      <c r="AP90" s="258">
        <f t="shared" si="41"/>
        <v>90</v>
      </c>
      <c r="AQ90" s="258">
        <f t="shared" si="41"/>
        <v>91</v>
      </c>
      <c r="AR90" s="258">
        <f t="shared" si="41"/>
        <v>92</v>
      </c>
      <c r="AS90" s="258">
        <f t="shared" si="41"/>
        <v>92</v>
      </c>
      <c r="AT90" s="258">
        <f t="shared" si="41"/>
        <v>90</v>
      </c>
      <c r="AU90" s="258">
        <f t="shared" si="41"/>
        <v>91</v>
      </c>
      <c r="AV90" s="258">
        <f t="shared" si="41"/>
        <v>92</v>
      </c>
      <c r="AW90" s="258">
        <f t="shared" si="41"/>
        <v>92</v>
      </c>
      <c r="AX90" s="258">
        <f t="shared" si="41"/>
        <v>91</v>
      </c>
      <c r="AY90" s="258">
        <f t="shared" si="41"/>
        <v>91</v>
      </c>
      <c r="AZ90" s="258">
        <f t="shared" si="41"/>
        <v>92</v>
      </c>
      <c r="BA90" s="258">
        <f t="shared" si="41"/>
        <v>92</v>
      </c>
      <c r="BB90" s="258">
        <f t="shared" si="41"/>
        <v>90</v>
      </c>
      <c r="BC90" s="258">
        <f t="shared" si="41"/>
        <v>91</v>
      </c>
      <c r="BD90" s="258">
        <f t="shared" si="41"/>
        <v>92</v>
      </c>
      <c r="BE90" s="258">
        <f t="shared" si="41"/>
        <v>92</v>
      </c>
      <c r="BF90" s="258">
        <f t="shared" si="41"/>
        <v>90</v>
      </c>
      <c r="BG90" s="258">
        <f t="shared" si="41"/>
        <v>91</v>
      </c>
      <c r="BH90" s="258">
        <f t="shared" si="41"/>
        <v>92</v>
      </c>
      <c r="BI90" s="246">
        <f t="shared" si="41"/>
        <v>92</v>
      </c>
    </row>
    <row r="91" spans="1:61" x14ac:dyDescent="0.3">
      <c r="A91" s="169" t="s">
        <v>485</v>
      </c>
      <c r="B91" s="44"/>
      <c r="C91" s="44"/>
      <c r="D91" s="44">
        <f ca="1">IFERROR((D89*D90)/($C$11),0)</f>
        <v>6.5208770141676631</v>
      </c>
      <c r="E91" s="44">
        <f t="shared" ref="E91" ca="1" si="42">IFERROR((E89*E90)/($C$11),0)</f>
        <v>12.113990873420358</v>
      </c>
      <c r="F91" s="44">
        <f t="shared" ref="F91" ca="1" si="43">IFERROR((F89*F90)/($C$11),0)</f>
        <v>16.829325707726031</v>
      </c>
      <c r="G91" s="44">
        <f t="shared" ref="G91" ca="1" si="44">IFERROR((G89*G90)/($C$11),0)</f>
        <v>20.836555206759925</v>
      </c>
      <c r="H91" s="44">
        <f t="shared" ref="H91" ca="1" si="45">IFERROR((H89*H90)/($C$11),0)</f>
        <v>27.544906598101615</v>
      </c>
      <c r="I91" s="44">
        <f t="shared" ref="I91" ca="1" si="46">IFERROR((I89*I90)/($C$11),0)</f>
        <v>33.668461103116535</v>
      </c>
      <c r="J91" s="44">
        <f t="shared" ref="J91" ca="1" si="47">IFERROR((J89*J90)/($C$11),0)</f>
        <v>39.196283645353482</v>
      </c>
      <c r="K91" s="44">
        <f t="shared" ref="K91" ca="1" si="48">IFERROR((K89*K90)/($C$11),0)</f>
        <v>48.432990779782365</v>
      </c>
      <c r="L91" s="44">
        <f t="shared" ref="L91" ca="1" si="49">IFERROR((L89*L90)/($C$11),0)</f>
        <v>52.01327071110893</v>
      </c>
      <c r="M91" s="44">
        <f t="shared" ref="M91" ca="1" si="50">IFERROR((M89*M90)/($C$11),0)</f>
        <v>55.108257060695841</v>
      </c>
      <c r="N91" s="44">
        <f t="shared" ref="N91" ca="1" si="51">IFERROR((N89*N90)/($C$11),0)</f>
        <v>62.744083552514681</v>
      </c>
      <c r="O91" s="44">
        <f t="shared" ref="O91" ca="1" si="52">IFERROR((O89*O90)/($C$11),0)</f>
        <v>69.374353886123359</v>
      </c>
      <c r="P91" s="44">
        <f t="shared" ref="P91" ca="1" si="53">IFERROR((P89*P90)/($C$11),0)</f>
        <v>76.228570080096986</v>
      </c>
      <c r="Q91" s="44">
        <f t="shared" ref="Q91" ca="1" si="54">IFERROR((Q89*Q90)/($C$11),0)</f>
        <v>83.454888768480046</v>
      </c>
      <c r="R91" s="44">
        <f t="shared" ref="R91" ca="1" si="55">IFERROR((R89*R90)/($C$11),0)</f>
        <v>84.497417625354714</v>
      </c>
      <c r="S91" s="44">
        <f t="shared" ref="S91" ca="1" si="56">IFERROR((S89*S90)/($C$11),0)</f>
        <v>86.472835011516892</v>
      </c>
      <c r="T91" s="44">
        <f t="shared" ref="T91" ca="1" si="57">IFERROR((T89*T90)/($C$11),0)</f>
        <v>89.758610390376091</v>
      </c>
      <c r="U91" s="44">
        <f t="shared" ref="U91" ca="1" si="58">IFERROR((U89*U90)/($C$11),0)</f>
        <v>92</v>
      </c>
      <c r="V91" s="44">
        <f t="shared" ref="V91" ca="1" si="59">IFERROR((V89*V90)/($C$11),0)</f>
        <v>90</v>
      </c>
      <c r="W91" s="44">
        <f t="shared" ref="W91" ca="1" si="60">IFERROR((W89*W90)/($C$11),0)</f>
        <v>0</v>
      </c>
      <c r="X91" s="44">
        <f t="shared" ref="X91" ca="1" si="61">IFERROR((X89*X90)/($C$11),0)</f>
        <v>0</v>
      </c>
      <c r="Y91" s="44">
        <f t="shared" ref="Y91" ca="1" si="62">IFERROR((Y89*Y90)/($C$11),0)</f>
        <v>0</v>
      </c>
      <c r="Z91" s="44">
        <f t="shared" ref="Z91" ca="1" si="63">IFERROR((Z89*Z90)/($C$11),0)</f>
        <v>0</v>
      </c>
      <c r="AA91" s="44">
        <f t="shared" ref="AA91" ca="1" si="64">IFERROR((AA89*AA90)/($C$11),0)</f>
        <v>0</v>
      </c>
      <c r="AB91" s="44">
        <f t="shared" ref="AB91" ca="1" si="65">IFERROR((AB89*AB90)/($C$11),0)</f>
        <v>0</v>
      </c>
      <c r="AC91" s="44">
        <f t="shared" ref="AC91" ca="1" si="66">IFERROR((AC89*AC90)/($C$11),0)</f>
        <v>0</v>
      </c>
      <c r="AD91" s="44">
        <f t="shared" ref="AD91" ca="1" si="67">IFERROR((AD89*AD90)/($C$11),0)</f>
        <v>0</v>
      </c>
      <c r="AE91" s="44">
        <f t="shared" ref="AE91" ca="1" si="68">IFERROR((AE89*AE90)/($C$11),0)</f>
        <v>0</v>
      </c>
      <c r="AF91" s="44">
        <f t="shared" ref="AF91" ca="1" si="69">IFERROR((AF89*AF90)/($C$11),0)</f>
        <v>0</v>
      </c>
      <c r="AG91" s="44">
        <f t="shared" ref="AG91" ca="1" si="70">IFERROR((AG89*AG90)/($C$11),0)</f>
        <v>0</v>
      </c>
      <c r="AH91" s="44">
        <f t="shared" ref="AH91" ca="1" si="71">IFERROR((AH89*AH90)/($C$11),0)</f>
        <v>0</v>
      </c>
      <c r="AI91" s="44">
        <f t="shared" ref="AI91" ca="1" si="72">IFERROR((AI89*AI90)/($C$11),0)</f>
        <v>0</v>
      </c>
      <c r="AJ91" s="44">
        <f t="shared" ref="AJ91" ca="1" si="73">IFERROR((AJ89*AJ90)/($C$11),0)</f>
        <v>0</v>
      </c>
      <c r="AK91" s="44">
        <f t="shared" ref="AK91" ca="1" si="74">IFERROR((AK89*AK90)/($C$11),0)</f>
        <v>0</v>
      </c>
      <c r="AL91" s="44">
        <f t="shared" ref="AL91" ca="1" si="75">IFERROR((AL89*AL90)/($C$11),0)</f>
        <v>0</v>
      </c>
      <c r="AM91" s="44">
        <f t="shared" ref="AM91" ca="1" si="76">IFERROR((AM89*AM90)/($C$11),0)</f>
        <v>0</v>
      </c>
      <c r="AN91" s="44">
        <f t="shared" ref="AN91" ca="1" si="77">IFERROR((AN89*AN90)/($C$11),0)</f>
        <v>0</v>
      </c>
      <c r="AO91" s="44">
        <f t="shared" ref="AO91" ca="1" si="78">IFERROR((AO89*AO90)/($C$11),0)</f>
        <v>0</v>
      </c>
      <c r="AP91" s="44">
        <f t="shared" ref="AP91" ca="1" si="79">IFERROR((AP89*AP90)/($C$11),0)</f>
        <v>0</v>
      </c>
      <c r="AQ91" s="44">
        <f t="shared" ref="AQ91" ca="1" si="80">IFERROR((AQ89*AQ90)/($C$11),0)</f>
        <v>0</v>
      </c>
      <c r="AR91" s="44">
        <f t="shared" ref="AR91" ca="1" si="81">IFERROR((AR89*AR90)/($C$11),0)</f>
        <v>0</v>
      </c>
      <c r="AS91" s="44">
        <f t="shared" ref="AS91" ca="1" si="82">IFERROR((AS89*AS90)/($C$11),0)</f>
        <v>0</v>
      </c>
      <c r="AT91" s="44">
        <f t="shared" ref="AT91" ca="1" si="83">IFERROR((AT89*AT90)/($C$11),0)</f>
        <v>0</v>
      </c>
      <c r="AU91" s="44">
        <f t="shared" ref="AU91" ca="1" si="84">IFERROR((AU89*AU90)/($C$11),0)</f>
        <v>0</v>
      </c>
      <c r="AV91" s="44">
        <f t="shared" ref="AV91" ca="1" si="85">IFERROR((AV89*AV90)/($C$11),0)</f>
        <v>0</v>
      </c>
      <c r="AW91" s="44">
        <f t="shared" ref="AW91" ca="1" si="86">IFERROR((AW89*AW90)/($C$11),0)</f>
        <v>0</v>
      </c>
      <c r="AX91" s="44">
        <f t="shared" ref="AX91" ca="1" si="87">IFERROR((AX89*AX90)/($C$11),0)</f>
        <v>0</v>
      </c>
      <c r="AY91" s="44">
        <f t="shared" ref="AY91" ca="1" si="88">IFERROR((AY89*AY90)/($C$11),0)</f>
        <v>0</v>
      </c>
      <c r="AZ91" s="44">
        <f t="shared" ref="AZ91" ca="1" si="89">IFERROR((AZ89*AZ90)/($C$11),0)</f>
        <v>0</v>
      </c>
      <c r="BA91" s="44">
        <f t="shared" ref="BA91" ca="1" si="90">IFERROR((BA89*BA90)/($C$11),0)</f>
        <v>0</v>
      </c>
      <c r="BB91" s="44">
        <f t="shared" ref="BB91" ca="1" si="91">IFERROR((BB89*BB90)/($C$11),0)</f>
        <v>0</v>
      </c>
      <c r="BC91" s="44">
        <f t="shared" ref="BC91" ca="1" si="92">IFERROR((BC89*BC90)/($C$11),0)</f>
        <v>0</v>
      </c>
      <c r="BD91" s="44">
        <f t="shared" ref="BD91" ca="1" si="93">IFERROR((BD89*BD90)/($C$11),0)</f>
        <v>0</v>
      </c>
      <c r="BE91" s="44">
        <f t="shared" ref="BE91" ca="1" si="94">IFERROR((BE89*BE90)/($C$11),0)</f>
        <v>0</v>
      </c>
      <c r="BF91" s="44">
        <f t="shared" ref="BF91" ca="1" si="95">IFERROR((BF89*BF90)/($C$11),0)</f>
        <v>0</v>
      </c>
      <c r="BG91" s="44">
        <f t="shared" ref="BG91" ca="1" si="96">IFERROR((BG89*BG90)/($C$11),0)</f>
        <v>0</v>
      </c>
      <c r="BH91" s="44">
        <f t="shared" ref="BH91" ca="1" si="97">IFERROR((BH89*BH90)/($C$11),0)</f>
        <v>0</v>
      </c>
      <c r="BI91" s="376">
        <f t="shared" ref="BI91" ca="1" si="98">IFERROR((BI89*BI90)/($C$11),0)</f>
        <v>0</v>
      </c>
    </row>
    <row r="92" spans="1:61" x14ac:dyDescent="0.3">
      <c r="A92" s="169"/>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377"/>
    </row>
    <row r="93" spans="1:61" x14ac:dyDescent="0.3">
      <c r="A93" s="169" t="s">
        <v>486</v>
      </c>
      <c r="B93" s="242">
        <f ca="1">ROUND(SUM(B91:BI91),0)</f>
        <v>1047</v>
      </c>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377"/>
    </row>
    <row r="94" spans="1:61" x14ac:dyDescent="0.3">
      <c r="A94" s="169" t="s">
        <v>487</v>
      </c>
      <c r="B94" s="242">
        <f ca="1">ROUND((B93/365)*12,0)</f>
        <v>34</v>
      </c>
      <c r="C94" s="52"/>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377"/>
    </row>
    <row r="95" spans="1:61" x14ac:dyDescent="0.3">
      <c r="A95" s="276" t="s">
        <v>488</v>
      </c>
      <c r="B95" s="279">
        <f ca="1">ROUND((B93/365)*4,0)</f>
        <v>11</v>
      </c>
      <c r="C95" s="52"/>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377"/>
    </row>
    <row r="96" spans="1:61" x14ac:dyDescent="0.3">
      <c r="A96" s="378" t="s">
        <v>490</v>
      </c>
      <c r="B96" s="379">
        <f ca="1">B93/365</f>
        <v>2.8684931506849316</v>
      </c>
      <c r="C96" s="380"/>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381"/>
    </row>
  </sheetData>
  <pageMargins left="0.7" right="0.7" top="0.75" bottom="0.75" header="0.3" footer="0.3"/>
  <pageSetup orientation="portrait" r:id="rId1"/>
  <ignoredErrors>
    <ignoredError sqref="W78 BK2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1E854-CCD4-4A35-8553-5C2D03B69E12}">
  <dimension ref="B2:AO12"/>
  <sheetViews>
    <sheetView zoomScale="90" zoomScaleNormal="90" workbookViewId="0">
      <selection activeCell="E8" sqref="E8"/>
    </sheetView>
  </sheetViews>
  <sheetFormatPr defaultRowHeight="14.4" x14ac:dyDescent="0.3"/>
  <cols>
    <col min="2" max="2" width="51.33203125" bestFit="1" customWidth="1"/>
    <col min="3" max="3" width="9" bestFit="1" customWidth="1"/>
    <col min="4" max="41" width="9.77734375" bestFit="1" customWidth="1"/>
  </cols>
  <sheetData>
    <row r="2" spans="2:41" x14ac:dyDescent="0.3">
      <c r="B2" s="382" t="s">
        <v>457</v>
      </c>
      <c r="C2" s="383"/>
      <c r="D2" s="384">
        <f>'Dep &amp; Tax Schedule'!D1</f>
        <v>45382</v>
      </c>
      <c r="E2" s="384">
        <f t="shared" ref="E2:AO2" si="0">EOMONTH(D2,3)</f>
        <v>45473</v>
      </c>
      <c r="F2" s="384">
        <f t="shared" si="0"/>
        <v>45565</v>
      </c>
      <c r="G2" s="384">
        <f t="shared" si="0"/>
        <v>45657</v>
      </c>
      <c r="H2" s="384">
        <f t="shared" si="0"/>
        <v>45747</v>
      </c>
      <c r="I2" s="384">
        <f t="shared" si="0"/>
        <v>45838</v>
      </c>
      <c r="J2" s="384">
        <f t="shared" si="0"/>
        <v>45930</v>
      </c>
      <c r="K2" s="384">
        <f t="shared" si="0"/>
        <v>46022</v>
      </c>
      <c r="L2" s="384">
        <f t="shared" si="0"/>
        <v>46112</v>
      </c>
      <c r="M2" s="384">
        <f t="shared" si="0"/>
        <v>46203</v>
      </c>
      <c r="N2" s="384">
        <f t="shared" si="0"/>
        <v>46295</v>
      </c>
      <c r="O2" s="384">
        <f t="shared" si="0"/>
        <v>46387</v>
      </c>
      <c r="P2" s="384">
        <f t="shared" si="0"/>
        <v>46477</v>
      </c>
      <c r="Q2" s="384">
        <f t="shared" si="0"/>
        <v>46568</v>
      </c>
      <c r="R2" s="384">
        <f t="shared" si="0"/>
        <v>46660</v>
      </c>
      <c r="S2" s="384">
        <f t="shared" si="0"/>
        <v>46752</v>
      </c>
      <c r="T2" s="384">
        <f t="shared" si="0"/>
        <v>46843</v>
      </c>
      <c r="U2" s="384">
        <f t="shared" si="0"/>
        <v>46934</v>
      </c>
      <c r="V2" s="384">
        <f t="shared" si="0"/>
        <v>47026</v>
      </c>
      <c r="W2" s="384">
        <f t="shared" si="0"/>
        <v>47118</v>
      </c>
      <c r="X2" s="384">
        <f t="shared" si="0"/>
        <v>47208</v>
      </c>
      <c r="Y2" s="384">
        <f t="shared" si="0"/>
        <v>47299</v>
      </c>
      <c r="Z2" s="384">
        <f t="shared" si="0"/>
        <v>47391</v>
      </c>
      <c r="AA2" s="384">
        <f t="shared" si="0"/>
        <v>47483</v>
      </c>
      <c r="AB2" s="384">
        <f t="shared" si="0"/>
        <v>47573</v>
      </c>
      <c r="AC2" s="384">
        <f t="shared" si="0"/>
        <v>47664</v>
      </c>
      <c r="AD2" s="384">
        <f t="shared" si="0"/>
        <v>47756</v>
      </c>
      <c r="AE2" s="384">
        <f t="shared" si="0"/>
        <v>47848</v>
      </c>
      <c r="AF2" s="384">
        <f t="shared" si="0"/>
        <v>47938</v>
      </c>
      <c r="AG2" s="384">
        <f t="shared" si="0"/>
        <v>48029</v>
      </c>
      <c r="AH2" s="384">
        <f t="shared" si="0"/>
        <v>48121</v>
      </c>
      <c r="AI2" s="384">
        <f t="shared" si="0"/>
        <v>48213</v>
      </c>
      <c r="AJ2" s="384">
        <f t="shared" si="0"/>
        <v>48304</v>
      </c>
      <c r="AK2" s="384">
        <f t="shared" si="0"/>
        <v>48395</v>
      </c>
      <c r="AL2" s="384">
        <f t="shared" si="0"/>
        <v>48487</v>
      </c>
      <c r="AM2" s="384">
        <f t="shared" si="0"/>
        <v>48579</v>
      </c>
      <c r="AN2" s="385">
        <f t="shared" si="0"/>
        <v>48669</v>
      </c>
      <c r="AO2" s="386">
        <f t="shared" si="0"/>
        <v>48760</v>
      </c>
    </row>
    <row r="3" spans="2:41" x14ac:dyDescent="0.3">
      <c r="B3" s="36" t="s">
        <v>160</v>
      </c>
      <c r="C3" s="23"/>
      <c r="D3" s="387">
        <f t="shared" ref="D3:AO3" si="1">EOMONTH(D2,MOD(15-MONTH(D2),12))</f>
        <v>45382</v>
      </c>
      <c r="E3" s="387">
        <f t="shared" si="1"/>
        <v>45747</v>
      </c>
      <c r="F3" s="387">
        <f t="shared" si="1"/>
        <v>45747</v>
      </c>
      <c r="G3" s="387">
        <f t="shared" si="1"/>
        <v>45747</v>
      </c>
      <c r="H3" s="387">
        <f t="shared" si="1"/>
        <v>45747</v>
      </c>
      <c r="I3" s="387">
        <f t="shared" si="1"/>
        <v>46112</v>
      </c>
      <c r="J3" s="387">
        <f t="shared" si="1"/>
        <v>46112</v>
      </c>
      <c r="K3" s="387">
        <f t="shared" si="1"/>
        <v>46112</v>
      </c>
      <c r="L3" s="387">
        <f t="shared" si="1"/>
        <v>46112</v>
      </c>
      <c r="M3" s="387">
        <f t="shared" si="1"/>
        <v>46477</v>
      </c>
      <c r="N3" s="387">
        <f t="shared" si="1"/>
        <v>46477</v>
      </c>
      <c r="O3" s="387">
        <f t="shared" si="1"/>
        <v>46477</v>
      </c>
      <c r="P3" s="387">
        <f t="shared" si="1"/>
        <v>46477</v>
      </c>
      <c r="Q3" s="387">
        <f t="shared" si="1"/>
        <v>46843</v>
      </c>
      <c r="R3" s="387">
        <f t="shared" si="1"/>
        <v>46843</v>
      </c>
      <c r="S3" s="387">
        <f t="shared" si="1"/>
        <v>46843</v>
      </c>
      <c r="T3" s="387">
        <f t="shared" si="1"/>
        <v>46843</v>
      </c>
      <c r="U3" s="387">
        <f t="shared" si="1"/>
        <v>47208</v>
      </c>
      <c r="V3" s="387">
        <f t="shared" si="1"/>
        <v>47208</v>
      </c>
      <c r="W3" s="387">
        <f t="shared" si="1"/>
        <v>47208</v>
      </c>
      <c r="X3" s="387">
        <f t="shared" si="1"/>
        <v>47208</v>
      </c>
      <c r="Y3" s="387">
        <f t="shared" si="1"/>
        <v>47573</v>
      </c>
      <c r="Z3" s="387">
        <f t="shared" si="1"/>
        <v>47573</v>
      </c>
      <c r="AA3" s="387">
        <f t="shared" si="1"/>
        <v>47573</v>
      </c>
      <c r="AB3" s="387">
        <f t="shared" si="1"/>
        <v>47573</v>
      </c>
      <c r="AC3" s="387">
        <f t="shared" si="1"/>
        <v>47938</v>
      </c>
      <c r="AD3" s="387">
        <f t="shared" si="1"/>
        <v>47938</v>
      </c>
      <c r="AE3" s="387">
        <f t="shared" si="1"/>
        <v>47938</v>
      </c>
      <c r="AF3" s="387">
        <f t="shared" si="1"/>
        <v>47938</v>
      </c>
      <c r="AG3" s="387">
        <f t="shared" si="1"/>
        <v>48304</v>
      </c>
      <c r="AH3" s="387">
        <f t="shared" si="1"/>
        <v>48304</v>
      </c>
      <c r="AI3" s="387">
        <f t="shared" si="1"/>
        <v>48304</v>
      </c>
      <c r="AJ3" s="387">
        <f t="shared" si="1"/>
        <v>48304</v>
      </c>
      <c r="AK3" s="387">
        <f t="shared" si="1"/>
        <v>48669</v>
      </c>
      <c r="AL3" s="387">
        <f t="shared" si="1"/>
        <v>48669</v>
      </c>
      <c r="AM3" s="387">
        <f t="shared" si="1"/>
        <v>48669</v>
      </c>
      <c r="AN3" s="388">
        <f t="shared" si="1"/>
        <v>48669</v>
      </c>
      <c r="AO3" s="386">
        <f t="shared" si="1"/>
        <v>49034</v>
      </c>
    </row>
    <row r="4" spans="2:41" x14ac:dyDescent="0.3">
      <c r="B4" s="35" t="s">
        <v>453</v>
      </c>
      <c r="C4" s="23"/>
      <c r="D4" s="209">
        <f>0</f>
        <v>0</v>
      </c>
      <c r="E4" s="37">
        <f t="shared" ref="E4:AN4" si="2">D7</f>
        <v>0</v>
      </c>
      <c r="F4" s="37">
        <f t="shared" ca="1" si="2"/>
        <v>47.58</v>
      </c>
      <c r="G4" s="37">
        <f t="shared" ca="1" si="2"/>
        <v>49.704003168081499</v>
      </c>
      <c r="H4" s="37">
        <f t="shared" ca="1" si="2"/>
        <v>49.704003168081499</v>
      </c>
      <c r="I4" s="37">
        <f t="shared" ca="1" si="2"/>
        <v>49.704003168081499</v>
      </c>
      <c r="J4" s="37">
        <f t="shared" ca="1" si="2"/>
        <v>56.202580391299193</v>
      </c>
      <c r="K4" s="37">
        <f t="shared" ca="1" si="2"/>
        <v>73.489484925232233</v>
      </c>
      <c r="L4" s="37">
        <f t="shared" ca="1" si="2"/>
        <v>89.827055898014052</v>
      </c>
      <c r="M4" s="37">
        <f t="shared" ca="1" si="2"/>
        <v>106.89911484303018</v>
      </c>
      <c r="N4" s="37">
        <f t="shared" ca="1" si="2"/>
        <v>130.63863152430599</v>
      </c>
      <c r="O4" s="37">
        <f t="shared" ca="1" si="2"/>
        <v>138.7707908982164</v>
      </c>
      <c r="P4" s="37">
        <f t="shared" ca="1" si="2"/>
        <v>147.0281778627249</v>
      </c>
      <c r="Q4" s="37">
        <f t="shared" ca="1" si="2"/>
        <v>171.12048310723114</v>
      </c>
      <c r="R4" s="37">
        <f t="shared" ca="1" si="2"/>
        <v>187.12391096750687</v>
      </c>
      <c r="S4" s="37">
        <f t="shared" ca="1" si="2"/>
        <v>203.37692312811771</v>
      </c>
      <c r="T4" s="37">
        <f t="shared" ca="1" si="2"/>
        <v>222.65665589553436</v>
      </c>
      <c r="U4" s="37">
        <f t="shared" ca="1" si="2"/>
        <v>227.91545242591198</v>
      </c>
      <c r="V4" s="37">
        <f t="shared" ca="1" si="2"/>
        <v>233.24375901740325</v>
      </c>
      <c r="W4" s="37">
        <f t="shared" ca="1" si="2"/>
        <v>239.47491060463264</v>
      </c>
      <c r="X4" s="37">
        <f t="shared" ca="1" si="2"/>
        <v>251.53760326025505</v>
      </c>
      <c r="Y4" s="37">
        <f t="shared" ca="1" si="2"/>
        <v>251.53760326025505</v>
      </c>
      <c r="Z4" s="37">
        <f t="shared" ca="1" si="2"/>
        <v>251.53760326025505</v>
      </c>
      <c r="AA4" s="37">
        <f t="shared" ca="1" si="2"/>
        <v>251.53760326025505</v>
      </c>
      <c r="AB4" s="37">
        <f t="shared" ca="1" si="2"/>
        <v>251.53760326025505</v>
      </c>
      <c r="AC4" s="37">
        <f t="shared" ca="1" si="2"/>
        <v>251.53760326025505</v>
      </c>
      <c r="AD4" s="37">
        <f t="shared" ca="1" si="2"/>
        <v>251.53760326025505</v>
      </c>
      <c r="AE4" s="37">
        <f t="shared" ca="1" si="2"/>
        <v>251.53760326025505</v>
      </c>
      <c r="AF4" s="37">
        <f t="shared" ca="1" si="2"/>
        <v>251.53760326025505</v>
      </c>
      <c r="AG4" s="37">
        <f t="shared" ca="1" si="2"/>
        <v>251.53760326025505</v>
      </c>
      <c r="AH4" s="37">
        <f t="shared" ca="1" si="2"/>
        <v>251.53760326025505</v>
      </c>
      <c r="AI4" s="37">
        <f t="shared" ca="1" si="2"/>
        <v>251.53760326025505</v>
      </c>
      <c r="AJ4" s="37">
        <f t="shared" ca="1" si="2"/>
        <v>251.53760326025505</v>
      </c>
      <c r="AK4" s="37">
        <f t="shared" ca="1" si="2"/>
        <v>251.53760326025505</v>
      </c>
      <c r="AL4" s="37">
        <f t="shared" ca="1" si="2"/>
        <v>251.53760326025505</v>
      </c>
      <c r="AM4" s="37">
        <f t="shared" ca="1" si="2"/>
        <v>251.53760326025505</v>
      </c>
      <c r="AN4" s="389">
        <f t="shared" ca="1" si="2"/>
        <v>251.53760326025505</v>
      </c>
      <c r="AO4" s="23"/>
    </row>
    <row r="5" spans="2:41" x14ac:dyDescent="0.3">
      <c r="B5" s="35" t="s">
        <v>165</v>
      </c>
      <c r="C5" s="23"/>
      <c r="D5" s="209">
        <f>SUMIFS('Monthly Cashflow'!109:109,'Monthly Cashflow'!3:3,D2)</f>
        <v>0</v>
      </c>
      <c r="E5" s="209">
        <f ca="1">SUMIFS('Monthly Cashflow'!109:109,'Monthly Cashflow'!3:3,E2)</f>
        <v>47.58</v>
      </c>
      <c r="F5" s="209">
        <f ca="1">SUMIFS('Monthly Cashflow'!109:109,'Monthly Cashflow'!3:3,F2)</f>
        <v>2.1240031680815008</v>
      </c>
      <c r="G5" s="209">
        <f ca="1">SUMIFS('Monthly Cashflow'!109:109,'Monthly Cashflow'!3:3,G2)</f>
        <v>0</v>
      </c>
      <c r="H5" s="209">
        <f ca="1">SUMIFS('Monthly Cashflow'!109:109,'Monthly Cashflow'!3:3,H2)</f>
        <v>0</v>
      </c>
      <c r="I5" s="209">
        <f ca="1">SUMIFS('Monthly Cashflow'!109:109,'Monthly Cashflow'!3:3,I2)</f>
        <v>6.4985772232176942</v>
      </c>
      <c r="J5" s="209">
        <f ca="1">SUMIFS('Monthly Cashflow'!109:109,'Monthly Cashflow'!3:3,J2)</f>
        <v>17.28690453393304</v>
      </c>
      <c r="K5" s="209">
        <f ca="1">SUMIFS('Monthly Cashflow'!109:109,'Monthly Cashflow'!3:3,K2)</f>
        <v>16.337570972781819</v>
      </c>
      <c r="L5" s="209">
        <f ca="1">SUMIFS('Monthly Cashflow'!109:109,'Monthly Cashflow'!3:3,L2)</f>
        <v>17.072058945016124</v>
      </c>
      <c r="M5" s="209">
        <f ca="1">SUMIFS('Monthly Cashflow'!109:109,'Monthly Cashflow'!3:3,M2)</f>
        <v>23.739516681275816</v>
      </c>
      <c r="N5" s="209">
        <f ca="1">SUMIFS('Monthly Cashflow'!109:109,'Monthly Cashflow'!3:3,N2)</f>
        <v>8.1321593739104117</v>
      </c>
      <c r="O5" s="209">
        <f ca="1">SUMIFS('Monthly Cashflow'!109:109,'Monthly Cashflow'!3:3,O2)</f>
        <v>8.2573869645084983</v>
      </c>
      <c r="P5" s="209">
        <f ca="1">SUMIFS('Monthly Cashflow'!109:109,'Monthly Cashflow'!3:3,P2)</f>
        <v>24.092305244506235</v>
      </c>
      <c r="Q5" s="209">
        <f ca="1">SUMIFS('Monthly Cashflow'!109:109,'Monthly Cashflow'!3:3,Q2)</f>
        <v>16.003427860275735</v>
      </c>
      <c r="R5" s="209">
        <f ca="1">SUMIFS('Monthly Cashflow'!109:109,'Monthly Cashflow'!3:3,R2)</f>
        <v>16.253012160610837</v>
      </c>
      <c r="S5" s="209">
        <f ca="1">SUMIFS('Monthly Cashflow'!109:109,'Monthly Cashflow'!3:3,S2)</f>
        <v>19.279732767416647</v>
      </c>
      <c r="T5" s="209">
        <f ca="1">SUMIFS('Monthly Cashflow'!109:109,'Monthly Cashflow'!3:3,T2)</f>
        <v>5.258796530377623</v>
      </c>
      <c r="U5" s="209">
        <f ca="1">SUMIFS('Monthly Cashflow'!109:109,'Monthly Cashflow'!3:3,U2)</f>
        <v>5.3283065914912697</v>
      </c>
      <c r="V5" s="209">
        <f ca="1">SUMIFS('Monthly Cashflow'!109:109,'Monthly Cashflow'!3:3,V2)</f>
        <v>6.231151587229391</v>
      </c>
      <c r="W5" s="209">
        <f ca="1">SUMIFS('Monthly Cashflow'!109:109,'Monthly Cashflow'!3:3,W2)</f>
        <v>12.062692655622413</v>
      </c>
      <c r="X5" s="209">
        <f ca="1">SUMIFS('Monthly Cashflow'!109:109,'Monthly Cashflow'!3:3,X2)</f>
        <v>0</v>
      </c>
      <c r="Y5" s="209">
        <f ca="1">SUMIFS('Monthly Cashflow'!109:109,'Monthly Cashflow'!3:3,Y2)</f>
        <v>0</v>
      </c>
      <c r="Z5" s="209">
        <f ca="1">SUMIFS('Monthly Cashflow'!109:109,'Monthly Cashflow'!3:3,Z2)</f>
        <v>0</v>
      </c>
      <c r="AA5" s="209">
        <f ca="1">SUMIFS('Monthly Cashflow'!109:109,'Monthly Cashflow'!3:3,AA2)</f>
        <v>0</v>
      </c>
      <c r="AB5" s="209">
        <f ca="1">SUMIFS('Monthly Cashflow'!109:109,'Monthly Cashflow'!3:3,AB2)</f>
        <v>0</v>
      </c>
      <c r="AC5" s="209">
        <f ca="1">SUMIFS('Monthly Cashflow'!109:109,'Monthly Cashflow'!3:3,AC2)</f>
        <v>0</v>
      </c>
      <c r="AD5" s="209">
        <f ca="1">SUMIFS('Monthly Cashflow'!109:109,'Monthly Cashflow'!3:3,AD2)</f>
        <v>0</v>
      </c>
      <c r="AE5" s="209">
        <f ca="1">SUMIFS('Monthly Cashflow'!109:109,'Monthly Cashflow'!3:3,AE2)</f>
        <v>0</v>
      </c>
      <c r="AF5" s="209">
        <f ca="1">SUMIFS('Monthly Cashflow'!109:109,'Monthly Cashflow'!3:3,AF2)</f>
        <v>0</v>
      </c>
      <c r="AG5" s="209">
        <f ca="1">SUMIFS('Monthly Cashflow'!109:109,'Monthly Cashflow'!3:3,AG2)</f>
        <v>0</v>
      </c>
      <c r="AH5" s="209">
        <f ca="1">SUMIFS('Monthly Cashflow'!109:109,'Monthly Cashflow'!3:3,AH2)</f>
        <v>0</v>
      </c>
      <c r="AI5" s="209">
        <f ca="1">SUMIFS('Monthly Cashflow'!109:109,'Monthly Cashflow'!3:3,AI2)</f>
        <v>0</v>
      </c>
      <c r="AJ5" s="209">
        <f ca="1">SUMIFS('Monthly Cashflow'!109:109,'Monthly Cashflow'!3:3,AJ2)</f>
        <v>0</v>
      </c>
      <c r="AK5" s="209">
        <f ca="1">SUMIFS('Monthly Cashflow'!109:109,'Monthly Cashflow'!3:3,AK2)</f>
        <v>0</v>
      </c>
      <c r="AL5" s="209">
        <f ca="1">SUMIFS('Monthly Cashflow'!109:109,'Monthly Cashflow'!3:3,AL2)</f>
        <v>0</v>
      </c>
      <c r="AM5" s="209">
        <f ca="1">SUMIFS('Monthly Cashflow'!109:109,'Monthly Cashflow'!3:3,AM2)</f>
        <v>0</v>
      </c>
      <c r="AN5" s="209">
        <f ca="1">SUMIFS('Monthly Cashflow'!109:109,'Monthly Cashflow'!3:3,AN2)</f>
        <v>0</v>
      </c>
      <c r="AO5" s="23"/>
    </row>
    <row r="6" spans="2:41" x14ac:dyDescent="0.3">
      <c r="B6" s="35" t="s">
        <v>296</v>
      </c>
      <c r="C6" s="23"/>
      <c r="D6" s="209">
        <v>0</v>
      </c>
      <c r="E6" s="209">
        <v>0</v>
      </c>
      <c r="F6" s="209">
        <v>0</v>
      </c>
      <c r="G6" s="209">
        <v>0</v>
      </c>
      <c r="H6" s="209">
        <v>0</v>
      </c>
      <c r="I6" s="209">
        <v>0</v>
      </c>
      <c r="J6" s="209">
        <v>0</v>
      </c>
      <c r="K6" s="209">
        <v>0</v>
      </c>
      <c r="L6" s="209">
        <v>0</v>
      </c>
      <c r="M6" s="209">
        <v>0</v>
      </c>
      <c r="N6" s="209">
        <v>0</v>
      </c>
      <c r="O6" s="209">
        <v>0</v>
      </c>
      <c r="P6" s="209">
        <v>0</v>
      </c>
      <c r="Q6" s="209">
        <v>0</v>
      </c>
      <c r="R6" s="23"/>
      <c r="S6" s="23"/>
      <c r="T6" s="23"/>
      <c r="U6" s="23"/>
      <c r="V6" s="23"/>
      <c r="W6" s="23"/>
      <c r="X6" s="23"/>
      <c r="Y6" s="23"/>
      <c r="Z6" s="23"/>
      <c r="AA6" s="23"/>
      <c r="AB6" s="23"/>
      <c r="AC6" s="23"/>
      <c r="AD6" s="23"/>
      <c r="AE6" s="23"/>
      <c r="AF6" s="23"/>
      <c r="AG6" s="23"/>
      <c r="AH6" s="23"/>
      <c r="AI6" s="23"/>
      <c r="AJ6" s="23"/>
      <c r="AK6" s="23"/>
      <c r="AL6" s="23"/>
      <c r="AM6" s="23"/>
      <c r="AN6" s="390"/>
      <c r="AO6" s="23"/>
    </row>
    <row r="7" spans="2:41" x14ac:dyDescent="0.3">
      <c r="B7" s="391" t="s">
        <v>167</v>
      </c>
      <c r="C7" s="392"/>
      <c r="D7" s="393">
        <f t="shared" ref="D7:AN7" si="3">D4+D5-D6</f>
        <v>0</v>
      </c>
      <c r="E7" s="393">
        <f t="shared" ca="1" si="3"/>
        <v>47.58</v>
      </c>
      <c r="F7" s="393">
        <f t="shared" ca="1" si="3"/>
        <v>49.704003168081499</v>
      </c>
      <c r="G7" s="393">
        <f t="shared" ca="1" si="3"/>
        <v>49.704003168081499</v>
      </c>
      <c r="H7" s="393">
        <f t="shared" ca="1" si="3"/>
        <v>49.704003168081499</v>
      </c>
      <c r="I7" s="393">
        <f t="shared" ca="1" si="3"/>
        <v>56.202580391299193</v>
      </c>
      <c r="J7" s="393">
        <f t="shared" ca="1" si="3"/>
        <v>73.489484925232233</v>
      </c>
      <c r="K7" s="393">
        <f t="shared" ca="1" si="3"/>
        <v>89.827055898014052</v>
      </c>
      <c r="L7" s="393">
        <f t="shared" ca="1" si="3"/>
        <v>106.89911484303018</v>
      </c>
      <c r="M7" s="393">
        <f t="shared" ca="1" si="3"/>
        <v>130.63863152430599</v>
      </c>
      <c r="N7" s="393">
        <f t="shared" ca="1" si="3"/>
        <v>138.7707908982164</v>
      </c>
      <c r="O7" s="393">
        <f t="shared" ca="1" si="3"/>
        <v>147.0281778627249</v>
      </c>
      <c r="P7" s="393">
        <f t="shared" ca="1" si="3"/>
        <v>171.12048310723114</v>
      </c>
      <c r="Q7" s="393">
        <f t="shared" ca="1" si="3"/>
        <v>187.12391096750687</v>
      </c>
      <c r="R7" s="393">
        <f t="shared" ca="1" si="3"/>
        <v>203.37692312811771</v>
      </c>
      <c r="S7" s="393">
        <f t="shared" ca="1" si="3"/>
        <v>222.65665589553436</v>
      </c>
      <c r="T7" s="393">
        <f t="shared" ca="1" si="3"/>
        <v>227.91545242591198</v>
      </c>
      <c r="U7" s="393">
        <f t="shared" ca="1" si="3"/>
        <v>233.24375901740325</v>
      </c>
      <c r="V7" s="393">
        <f t="shared" ca="1" si="3"/>
        <v>239.47491060463264</v>
      </c>
      <c r="W7" s="393">
        <f t="shared" ca="1" si="3"/>
        <v>251.53760326025505</v>
      </c>
      <c r="X7" s="393">
        <f t="shared" ca="1" si="3"/>
        <v>251.53760326025505</v>
      </c>
      <c r="Y7" s="393">
        <f t="shared" ca="1" si="3"/>
        <v>251.53760326025505</v>
      </c>
      <c r="Z7" s="393">
        <f t="shared" ca="1" si="3"/>
        <v>251.53760326025505</v>
      </c>
      <c r="AA7" s="393">
        <f t="shared" ca="1" si="3"/>
        <v>251.53760326025505</v>
      </c>
      <c r="AB7" s="393">
        <f t="shared" ca="1" si="3"/>
        <v>251.53760326025505</v>
      </c>
      <c r="AC7" s="393">
        <f t="shared" ca="1" si="3"/>
        <v>251.53760326025505</v>
      </c>
      <c r="AD7" s="393">
        <f t="shared" ca="1" si="3"/>
        <v>251.53760326025505</v>
      </c>
      <c r="AE7" s="393">
        <f t="shared" ca="1" si="3"/>
        <v>251.53760326025505</v>
      </c>
      <c r="AF7" s="393">
        <f t="shared" ca="1" si="3"/>
        <v>251.53760326025505</v>
      </c>
      <c r="AG7" s="393">
        <f t="shared" ca="1" si="3"/>
        <v>251.53760326025505</v>
      </c>
      <c r="AH7" s="393">
        <f t="shared" ca="1" si="3"/>
        <v>251.53760326025505</v>
      </c>
      <c r="AI7" s="393">
        <f t="shared" ca="1" si="3"/>
        <v>251.53760326025505</v>
      </c>
      <c r="AJ7" s="393">
        <f t="shared" ca="1" si="3"/>
        <v>251.53760326025505</v>
      </c>
      <c r="AK7" s="393">
        <f t="shared" ca="1" si="3"/>
        <v>251.53760326025505</v>
      </c>
      <c r="AL7" s="393">
        <f t="shared" ca="1" si="3"/>
        <v>251.53760326025505</v>
      </c>
      <c r="AM7" s="393">
        <f t="shared" ca="1" si="3"/>
        <v>251.53760326025505</v>
      </c>
      <c r="AN7" s="394">
        <f t="shared" ca="1" si="3"/>
        <v>251.53760326025505</v>
      </c>
      <c r="AO7" s="23"/>
    </row>
    <row r="8" spans="2:41" x14ac:dyDescent="0.3">
      <c r="B8" s="25"/>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row>
    <row r="9" spans="2:41" x14ac:dyDescent="0.3">
      <c r="B9" s="25" t="s">
        <v>51</v>
      </c>
      <c r="C9" s="395">
        <f ca="1">SUM(D9:AN9)</f>
        <v>238.20482302083795</v>
      </c>
      <c r="D9" s="37">
        <f>AVERAGE(D4,D7)*'Assumption Sheet'!$B$19/(E2-D2)/365</f>
        <v>0</v>
      </c>
      <c r="E9" s="37">
        <f ca="1">AVERAGE(E4,E7)*'Assumption Sheet'!$B$19/(F2-E2)/365</f>
        <v>9.9184038117927344E-5</v>
      </c>
      <c r="F9" s="37">
        <f ca="1">AVERAGE(F4,F7)*'Assumption Sheet'!$B$19*((G2-F2)/365)</f>
        <v>1.7164629600066983</v>
      </c>
      <c r="G9" s="37">
        <f ca="1">AVERAGE(G4,G7)*'Assumption Sheet'!$B$19*((H2-G2)/365)</f>
        <v>1.7158094244324025</v>
      </c>
      <c r="H9" s="37">
        <f ca="1">AVERAGE(H4,H7)*'Assumption Sheet'!$B$19*((I2-H2)/365)</f>
        <v>1.7348739735927625</v>
      </c>
      <c r="I9" s="37">
        <f ca="1">AVERAGE(I4,I7)*'Assumption Sheet'!$B$19*((J2-I2)/365)</f>
        <v>1.8685983510203064</v>
      </c>
      <c r="J9" s="37">
        <f ca="1">AVERAGE(J4,J7)*'Assumption Sheet'!$B$19*((K2-J2)/365)</f>
        <v>2.2882654812012673</v>
      </c>
      <c r="K9" s="37">
        <f ca="1">AVERAGE(K4,K7)*'Assumption Sheet'!$B$19*((L2-K2)/365)</f>
        <v>2.8188882388669905</v>
      </c>
      <c r="L9" s="37">
        <f ca="1">AVERAGE(L4,L7)*'Assumption Sheet'!$B$19*((M2-L2)/365)</f>
        <v>3.4332759112889093</v>
      </c>
      <c r="M9" s="37">
        <f ca="1">AVERAGE(M4,M7)*'Assumption Sheet'!$B$19*((N2-M2)/365)</f>
        <v>4.1910769496045077</v>
      </c>
      <c r="N9" s="37">
        <f ca="1">AVERAGE(N4,N7)*'Assumption Sheet'!$B$19*((O2-N2)/365)</f>
        <v>4.753415562742588</v>
      </c>
      <c r="O9" s="37">
        <f ca="1">AVERAGE(O4,O7)*'Assumption Sheet'!$B$19*((P2-O2)/365)</f>
        <v>4.9329685019011782</v>
      </c>
      <c r="P9" s="37">
        <f ca="1">AVERAGE(P4,P7)*'Assumption Sheet'!$B$19*((Q2-P2)/365)</f>
        <v>5.552347864051014</v>
      </c>
      <c r="Q9" s="37">
        <f ca="1">AVERAGE(Q4,Q7)*'Assumption Sheet'!$B$19*((R2-Q2)/365)</f>
        <v>6.3208051995652417</v>
      </c>
      <c r="R9" s="37">
        <f ca="1">AVERAGE(R4,R7)*'Assumption Sheet'!$B$19*((S2-R2)/365)</f>
        <v>6.8899325248652667</v>
      </c>
      <c r="S9" s="37">
        <f ca="1">AVERAGE(S4,S7)*'Assumption Sheet'!$B$19*((T2-S2)/365)</f>
        <v>7.4351613654264765</v>
      </c>
      <c r="T9" s="37">
        <f ca="1">AVERAGE(T4,T7)*'Assumption Sheet'!$B$19*((U2-T2)/365)</f>
        <v>7.8634091233085295</v>
      </c>
      <c r="U9" s="37">
        <f ca="1">AVERAGE(U4,U7)*'Assumption Sheet'!$B$19*((V2-U2)/365)</f>
        <v>8.1366173197121938</v>
      </c>
      <c r="V9" s="37">
        <f ca="1">AVERAGE(V4,V7)*'Assumption Sheet'!$B$19*((W2-V2)/365)</f>
        <v>8.3405704996326353</v>
      </c>
      <c r="W9" s="37">
        <f ca="1">AVERAGE(W4,W7)*'Assumption Sheet'!$B$19*((X2-W2)/365)</f>
        <v>8.4750105132843636</v>
      </c>
      <c r="X9" s="37">
        <f ca="1">AVERAGE(X4,X7)*'Assumption Sheet'!$B$19*((Y2-X2)/365)</f>
        <v>8.7796960699606839</v>
      </c>
      <c r="Y9" s="37">
        <f ca="1">AVERAGE(Y4,Y7)*'Assumption Sheet'!$B$19*((Z2-Y2)/365)</f>
        <v>8.8761762465536602</v>
      </c>
      <c r="Z9" s="37">
        <f ca="1">AVERAGE(Z4,Z7)*'Assumption Sheet'!$B$19*((AA2-Z2)/365)</f>
        <v>8.8761762465536602</v>
      </c>
      <c r="AA9" s="37">
        <f ca="1">AVERAGE(AA4,AA7)*'Assumption Sheet'!$B$19*((AB2-AA2)/365)</f>
        <v>8.6832158933677093</v>
      </c>
      <c r="AB9" s="37">
        <f ca="1">AVERAGE(AB4,AB7)*'Assumption Sheet'!$B$19*((AC2-AB2)/365)</f>
        <v>8.7796960699606839</v>
      </c>
      <c r="AC9" s="37">
        <f ca="1">AVERAGE(AC4,AC7)*'Assumption Sheet'!$B$19*((AD2-AC2)/365)</f>
        <v>8.8761762465536602</v>
      </c>
      <c r="AD9" s="37">
        <f ca="1">AVERAGE(AD4,AD7)*'Assumption Sheet'!$B$19*((AE2-AD2)/365)</f>
        <v>8.8761762465536602</v>
      </c>
      <c r="AE9" s="37">
        <f ca="1">AVERAGE(AE4,AE7)*'Assumption Sheet'!$B$19*((AF2-AE2)/365)</f>
        <v>8.6832158933677093</v>
      </c>
      <c r="AF9" s="37">
        <f ca="1">AVERAGE(AF4,AF7)*'Assumption Sheet'!$B$19*((AG2-AF2)/365)</f>
        <v>8.7796960699606839</v>
      </c>
      <c r="AG9" s="37">
        <f ca="1">AVERAGE(AG4,AG7)*'Assumption Sheet'!$B$19*((AH2-AG2)/365)</f>
        <v>8.8761762465536602</v>
      </c>
      <c r="AH9" s="37">
        <f ca="1">AVERAGE(AH4,AH7)*'Assumption Sheet'!$B$19*((AI2-AH2)/365)</f>
        <v>8.8761762465536602</v>
      </c>
      <c r="AI9" s="37">
        <f ca="1">AVERAGE(AI4,AI7)*'Assumption Sheet'!$B$19*((AJ2-AI2)/365)</f>
        <v>8.7796960699606839</v>
      </c>
      <c r="AJ9" s="37">
        <f ca="1">AVERAGE(AJ4,AJ7)*'Assumption Sheet'!$B$19*((AK2-AJ2)/365)</f>
        <v>8.7796960699606839</v>
      </c>
      <c r="AK9" s="37">
        <f ca="1">AVERAGE(AK4,AK7)*'Assumption Sheet'!$B$19*((AL2-AK2)/365)</f>
        <v>8.8761762465536602</v>
      </c>
      <c r="AL9" s="37">
        <f ca="1">AVERAGE(AL4,AL7)*'Assumption Sheet'!$B$19*((AM2-AL2)/365)</f>
        <v>8.8761762465536602</v>
      </c>
      <c r="AM9" s="37">
        <f ca="1">AVERAGE(AM4,AM7)*'Assumption Sheet'!$B$19*((AN2-AM2)/365)</f>
        <v>8.6832158933677093</v>
      </c>
      <c r="AN9" s="37">
        <f ca="1">AVERAGE(AN4,AN7)*'Assumption Sheet'!$B$19*((AO2-AN2)/365)</f>
        <v>8.7796960699606839</v>
      </c>
      <c r="AO9" s="23"/>
    </row>
    <row r="10" spans="2:41" x14ac:dyDescent="0.3">
      <c r="B10" s="25" t="s">
        <v>454</v>
      </c>
      <c r="C10" s="23"/>
      <c r="D10" s="37">
        <f>D9</f>
        <v>0</v>
      </c>
      <c r="E10" s="37">
        <f t="shared" ref="E10:AN10" ca="1" si="4">D10+E9</f>
        <v>9.9184038117927344E-5</v>
      </c>
      <c r="F10" s="37">
        <f t="shared" ca="1" si="4"/>
        <v>1.7165621440448162</v>
      </c>
      <c r="G10" s="37">
        <f t="shared" ca="1" si="4"/>
        <v>3.4323715684772189</v>
      </c>
      <c r="H10" s="37">
        <f t="shared" ca="1" si="4"/>
        <v>5.1672455420699812</v>
      </c>
      <c r="I10" s="37">
        <f t="shared" ca="1" si="4"/>
        <v>7.0358438930902878</v>
      </c>
      <c r="J10" s="37">
        <f t="shared" ca="1" si="4"/>
        <v>9.324109374291556</v>
      </c>
      <c r="K10" s="37">
        <f t="shared" ca="1" si="4"/>
        <v>12.142997613158546</v>
      </c>
      <c r="L10" s="37">
        <f t="shared" ca="1" si="4"/>
        <v>15.576273524447455</v>
      </c>
      <c r="M10" s="37">
        <f t="shared" ca="1" si="4"/>
        <v>19.767350474051963</v>
      </c>
      <c r="N10" s="37">
        <f t="shared" ca="1" si="4"/>
        <v>24.520766036794551</v>
      </c>
      <c r="O10" s="37">
        <f t="shared" ca="1" si="4"/>
        <v>29.453734538695731</v>
      </c>
      <c r="P10" s="37">
        <f t="shared" ca="1" si="4"/>
        <v>35.006082402746742</v>
      </c>
      <c r="Q10" s="37">
        <f t="shared" ca="1" si="4"/>
        <v>41.326887602311984</v>
      </c>
      <c r="R10" s="37">
        <f t="shared" ca="1" si="4"/>
        <v>48.21682012717725</v>
      </c>
      <c r="S10" s="37">
        <f t="shared" ca="1" si="4"/>
        <v>55.651981492603724</v>
      </c>
      <c r="T10" s="37">
        <f t="shared" ca="1" si="4"/>
        <v>63.515390615912253</v>
      </c>
      <c r="U10" s="37">
        <f t="shared" ca="1" si="4"/>
        <v>71.652007935624454</v>
      </c>
      <c r="V10" s="37">
        <f t="shared" ca="1" si="4"/>
        <v>79.992578435257087</v>
      </c>
      <c r="W10" s="37">
        <f t="shared" ca="1" si="4"/>
        <v>88.467588948541447</v>
      </c>
      <c r="X10" s="37">
        <f t="shared" ca="1" si="4"/>
        <v>97.247285018502126</v>
      </c>
      <c r="Y10" s="37">
        <f t="shared" ca="1" si="4"/>
        <v>106.12346126505578</v>
      </c>
      <c r="Z10" s="37">
        <f t="shared" ca="1" si="4"/>
        <v>114.99963751160944</v>
      </c>
      <c r="AA10" s="37">
        <f t="shared" ca="1" si="4"/>
        <v>123.68285340497715</v>
      </c>
      <c r="AB10" s="37">
        <f t="shared" ca="1" si="4"/>
        <v>132.46254947493784</v>
      </c>
      <c r="AC10" s="37">
        <f t="shared" ca="1" si="4"/>
        <v>141.3387257214915</v>
      </c>
      <c r="AD10" s="37">
        <f t="shared" ca="1" si="4"/>
        <v>150.21490196804515</v>
      </c>
      <c r="AE10" s="37">
        <f t="shared" ca="1" si="4"/>
        <v>158.89811786141286</v>
      </c>
      <c r="AF10" s="37">
        <f t="shared" ca="1" si="4"/>
        <v>167.67781393137355</v>
      </c>
      <c r="AG10" s="37">
        <f t="shared" ca="1" si="4"/>
        <v>176.5539901779272</v>
      </c>
      <c r="AH10" s="37">
        <f t="shared" ca="1" si="4"/>
        <v>185.43016642448086</v>
      </c>
      <c r="AI10" s="37">
        <f t="shared" ca="1" si="4"/>
        <v>194.20986249444155</v>
      </c>
      <c r="AJ10" s="37">
        <f t="shared" ca="1" si="4"/>
        <v>202.98955856440224</v>
      </c>
      <c r="AK10" s="37">
        <f t="shared" ca="1" si="4"/>
        <v>211.8657348109559</v>
      </c>
      <c r="AL10" s="37">
        <f t="shared" ca="1" si="4"/>
        <v>220.74191105750955</v>
      </c>
      <c r="AM10" s="37">
        <f t="shared" ca="1" si="4"/>
        <v>229.42512695087726</v>
      </c>
      <c r="AN10" s="37">
        <f t="shared" ca="1" si="4"/>
        <v>238.20482302083795</v>
      </c>
      <c r="AO10" s="23"/>
    </row>
    <row r="11" spans="2:41" x14ac:dyDescent="0.3">
      <c r="B11" s="25" t="s">
        <v>458</v>
      </c>
      <c r="C11" s="395">
        <f ca="1">SUM(D11:AN11)</f>
        <v>88.467588948541447</v>
      </c>
      <c r="D11" s="186">
        <f>IF(D2&lt;='Assumption Sheet'!$B$13,SUMIFS($B9:$AO9,$B2:$AO2,D2),0)</f>
        <v>0</v>
      </c>
      <c r="E11" s="186">
        <f ca="1">IF(E2&lt;='Assumption Sheet'!$B$13,SUMIFS($B9:$AO9,$B2:$AO2,E2),0)</f>
        <v>9.9184038117927344E-5</v>
      </c>
      <c r="F11" s="186">
        <f ca="1">IF(F2&lt;='Assumption Sheet'!$B$13,SUMIFS($B9:$AO9,$B2:$AO2,F2),0)</f>
        <v>1.7164629600066983</v>
      </c>
      <c r="G11" s="186">
        <f ca="1">IF(G2&lt;='Assumption Sheet'!$B$13,SUMIFS($B9:$AO9,$B2:$AO2,G2),0)</f>
        <v>1.7158094244324025</v>
      </c>
      <c r="H11" s="186">
        <f ca="1">IF(H2&lt;='Assumption Sheet'!$B$13,SUMIFS($B9:$AO9,$B2:$AO2,H2),0)</f>
        <v>1.7348739735927625</v>
      </c>
      <c r="I11" s="186">
        <f ca="1">IF(I2&lt;='Assumption Sheet'!$B$13,SUMIFS($B9:$AO9,$B2:$AO2,I2),0)</f>
        <v>1.8685983510203064</v>
      </c>
      <c r="J11" s="186">
        <f ca="1">IF(J2&lt;='Assumption Sheet'!$B$13,SUMIFS($B9:$AO9,$B2:$AO2,J2),0)</f>
        <v>2.2882654812012673</v>
      </c>
      <c r="K11" s="186">
        <f ca="1">IF(K2&lt;='Assumption Sheet'!$B$13,SUMIFS($B9:$AO9,$B2:$AO2,K2),0)</f>
        <v>2.8188882388669905</v>
      </c>
      <c r="L11" s="186">
        <f ca="1">IF(L2&lt;='Assumption Sheet'!$B$13,SUMIFS($B9:$AO9,$B2:$AO2,L2),0)</f>
        <v>3.4332759112889093</v>
      </c>
      <c r="M11" s="186">
        <f ca="1">IF(M2&lt;='Assumption Sheet'!$B$13,SUMIFS($B9:$AO9,$B2:$AO2,M2),0)</f>
        <v>4.1910769496045077</v>
      </c>
      <c r="N11" s="186">
        <f ca="1">IF(N2&lt;='Assumption Sheet'!$B$13,SUMIFS($B9:$AO9,$B2:$AO2,N2),0)</f>
        <v>4.753415562742588</v>
      </c>
      <c r="O11" s="186">
        <f ca="1">IF(O2&lt;='Assumption Sheet'!$B$13,SUMIFS($B9:$AO9,$B2:$AO2,O2),0)</f>
        <v>4.9329685019011782</v>
      </c>
      <c r="P11" s="186">
        <f ca="1">IF(P2&lt;='Assumption Sheet'!$B$13,SUMIFS($B9:$AO9,$B2:$AO2,P2),0)</f>
        <v>5.552347864051014</v>
      </c>
      <c r="Q11" s="186">
        <f ca="1">IF(Q2&lt;='Assumption Sheet'!$B$13,SUMIFS($B9:$AO9,$B2:$AO2,Q2),0)</f>
        <v>6.3208051995652417</v>
      </c>
      <c r="R11" s="186">
        <f ca="1">IF(R2&lt;='Assumption Sheet'!$B$13,SUMIFS($B9:$AO9,$B2:$AO2,R2),0)</f>
        <v>6.8899325248652667</v>
      </c>
      <c r="S11" s="186">
        <f ca="1">IF(S2&lt;='Assumption Sheet'!$B$13,SUMIFS($B9:$AO9,$B2:$AO2,S2),0)</f>
        <v>7.4351613654264765</v>
      </c>
      <c r="T11" s="186">
        <f ca="1">IF(T2&lt;='Assumption Sheet'!$B$13,SUMIFS($B9:$AO9,$B2:$AO2,T2),0)</f>
        <v>7.8634091233085295</v>
      </c>
      <c r="U11" s="186">
        <f ca="1">IF(U2&lt;='Assumption Sheet'!$B$13,SUMIFS($B9:$AO9,$B2:$AO2,U2),0)</f>
        <v>8.1366173197121938</v>
      </c>
      <c r="V11" s="186">
        <f ca="1">IF(V2&lt;='Assumption Sheet'!$B$13,SUMIFS($B9:$AO9,$B2:$AO2,V2),0)</f>
        <v>8.3405704996326353</v>
      </c>
      <c r="W11" s="186">
        <f ca="1">IF(W2&lt;='Assumption Sheet'!$B$13,SUMIFS($B9:$AO9,$B2:$AO2,W2),0)</f>
        <v>8.4750105132843636</v>
      </c>
      <c r="X11" s="186">
        <f>IF(X2&lt;='Assumption Sheet'!$B$13,SUMIFS($B9:$AO9,$B2:$AO2,X2),0)</f>
        <v>0</v>
      </c>
      <c r="Y11" s="186">
        <f>IF(Y2&lt;='Assumption Sheet'!$B$13,SUMIFS($B9:$AO9,$B2:$AO2,Y2),0)</f>
        <v>0</v>
      </c>
      <c r="Z11" s="186">
        <f>IF(Z2&lt;='Assumption Sheet'!$B$13,SUMIFS($B9:$AO9,$B2:$AO2,Z2),0)</f>
        <v>0</v>
      </c>
      <c r="AA11" s="186">
        <f>IF(AA2&lt;='Assumption Sheet'!$B$13,SUMIFS($B9:$AO9,$B2:$AO2,AA2),0)</f>
        <v>0</v>
      </c>
      <c r="AB11" s="186">
        <f>IF(AB2&lt;='Assumption Sheet'!$B$13,SUMIFS($B9:$AO9,$B2:$AO2,AB2),0)</f>
        <v>0</v>
      </c>
      <c r="AC11" s="186">
        <f>IF(AC2&lt;='Assumption Sheet'!$B$13,SUMIFS($B9:$AO9,$B2:$AO2,AC2),0)</f>
        <v>0</v>
      </c>
      <c r="AD11" s="186">
        <f>IF(AD2&lt;='Assumption Sheet'!$B$13,SUMIFS($B9:$AO9,$B2:$AO2,AD2),0)</f>
        <v>0</v>
      </c>
      <c r="AE11" s="186">
        <f>IF(AE2&lt;='Assumption Sheet'!$B$13,SUMIFS($B9:$AO9,$B2:$AO2,AE2),0)</f>
        <v>0</v>
      </c>
      <c r="AF11" s="186">
        <f>IF(AF2&lt;='Assumption Sheet'!$B$13,SUMIFS($B9:$AO9,$B2:$AO2,AF2),0)</f>
        <v>0</v>
      </c>
      <c r="AG11" s="186">
        <f>IF(AG2&lt;='Assumption Sheet'!$B$13,SUMIFS($B9:$AO9,$B2:$AO2,AG2),0)</f>
        <v>0</v>
      </c>
      <c r="AH11" s="186">
        <f>IF(AH2&lt;='Assumption Sheet'!$B$13,SUMIFS($B9:$AO9,$B2:$AO2,AH2),0)</f>
        <v>0</v>
      </c>
      <c r="AI11" s="186">
        <f>IF(AI2&lt;='Assumption Sheet'!$B$13,SUMIFS($B9:$AO9,$B2:$AO2,AI2),0)</f>
        <v>0</v>
      </c>
      <c r="AJ11" s="186">
        <f>IF(AJ2&lt;='Assumption Sheet'!$B$13,SUMIFS($B9:$AO9,$B2:$AO2,AJ2),0)</f>
        <v>0</v>
      </c>
      <c r="AK11" s="186">
        <f>IF(AK2&lt;='Assumption Sheet'!$B$13,SUMIFS($B9:$AO9,$B2:$AO2,AK2),0)</f>
        <v>0</v>
      </c>
      <c r="AL11" s="186">
        <f>IF(AL2&lt;='Assumption Sheet'!$B$13,SUMIFS($B9:$AO9,$B2:$AO2,AL2),0)</f>
        <v>0</v>
      </c>
      <c r="AM11" s="186">
        <f>IF(AM2&lt;='Assumption Sheet'!$B$13,SUMIFS($B9:$AO9,$B2:$AO2,AM2),0)</f>
        <v>0</v>
      </c>
      <c r="AN11" s="186">
        <f>IF(AN2&lt;='Assumption Sheet'!$B$13,SUMIFS($B9:$AO9,$B2:$AO2,AN2),0)</f>
        <v>0</v>
      </c>
      <c r="AO11" s="23"/>
    </row>
    <row r="12" spans="2:41" x14ac:dyDescent="0.3">
      <c r="B12" s="25" t="s">
        <v>462</v>
      </c>
      <c r="C12" s="395">
        <f ca="1">SUM(D12:AN12)</f>
        <v>149.7372340722965</v>
      </c>
      <c r="D12" s="186">
        <f>IF(D2&gt;'Assumption Sheet'!$B$13,SUMIFS($B9:$AO9,$B2:$AO2,D2),0)</f>
        <v>0</v>
      </c>
      <c r="E12" s="186">
        <f>IF(E2&gt;'Assumption Sheet'!$B$13,SUMIFS($B9:$AO9,$B2:$AO2,E2),0)</f>
        <v>0</v>
      </c>
      <c r="F12" s="186">
        <f>IF(F2&gt;'Assumption Sheet'!$B$13,SUMIFS($B9:$AO9,$B2:$AO2,F2),0)</f>
        <v>0</v>
      </c>
      <c r="G12" s="186">
        <f>IF(G2&gt;'Assumption Sheet'!$B$13,SUMIFS($B9:$AO9,$B2:$AO2,G2),0)</f>
        <v>0</v>
      </c>
      <c r="H12" s="186">
        <f>IF(H2&gt;'Assumption Sheet'!$B$13,SUMIFS($B9:$AO9,$B2:$AO2,H2),0)</f>
        <v>0</v>
      </c>
      <c r="I12" s="186">
        <f>IF(I2&gt;'Assumption Sheet'!$B$13,SUMIFS($B9:$AO9,$B2:$AO2,I2),0)</f>
        <v>0</v>
      </c>
      <c r="J12" s="186">
        <f>IF(J2&gt;'Assumption Sheet'!$B$13,SUMIFS($B9:$AO9,$B2:$AO2,J2),0)</f>
        <v>0</v>
      </c>
      <c r="K12" s="186">
        <f>IF(K2&gt;'Assumption Sheet'!$B$13,SUMIFS($B9:$AO9,$B2:$AO2,K2),0)</f>
        <v>0</v>
      </c>
      <c r="L12" s="186">
        <f>IF(L2&gt;'Assumption Sheet'!$B$13,SUMIFS($B9:$AO9,$B2:$AO2,L2),0)</f>
        <v>0</v>
      </c>
      <c r="M12" s="186">
        <f>IF(M2&gt;'Assumption Sheet'!$B$13,SUMIFS($B9:$AO9,$B2:$AO2,M2),0)</f>
        <v>0</v>
      </c>
      <c r="N12" s="186">
        <f>IF(N2&gt;'Assumption Sheet'!$B$13,SUMIFS($B9:$AO9,$B2:$AO2,N2),0)</f>
        <v>0</v>
      </c>
      <c r="O12" s="186">
        <f>IF(O2&gt;'Assumption Sheet'!$B$13,SUMIFS($B9:$AO9,$B2:$AO2,O2),0)</f>
        <v>0</v>
      </c>
      <c r="P12" s="186">
        <f>IF(P2&gt;'Assumption Sheet'!$B$13,SUMIFS($B9:$AO9,$B2:$AO2,P2),0)</f>
        <v>0</v>
      </c>
      <c r="Q12" s="186">
        <f>IF(Q2&gt;'Assumption Sheet'!$B$13,SUMIFS($B9:$AO9,$B2:$AO2,Q2),0)</f>
        <v>0</v>
      </c>
      <c r="R12" s="186">
        <f>IF(R2&gt;'Assumption Sheet'!$B$13,SUMIFS($B9:$AO9,$B2:$AO2,R2),0)</f>
        <v>0</v>
      </c>
      <c r="S12" s="186">
        <f>IF(S2&gt;'Assumption Sheet'!$B$13,SUMIFS($B9:$AO9,$B2:$AO2,S2),0)</f>
        <v>0</v>
      </c>
      <c r="T12" s="186">
        <f>IF(T2&gt;'Assumption Sheet'!$B$13,SUMIFS($B9:$AO9,$B2:$AO2,T2),0)</f>
        <v>0</v>
      </c>
      <c r="U12" s="186">
        <f>IF(U2&gt;'Assumption Sheet'!$B$13,SUMIFS($B9:$AO9,$B2:$AO2,U2),0)</f>
        <v>0</v>
      </c>
      <c r="V12" s="186">
        <f>IF(V2&gt;'Assumption Sheet'!$B$13,SUMIFS($B9:$AO9,$B2:$AO2,V2),0)</f>
        <v>0</v>
      </c>
      <c r="W12" s="186">
        <f>IF(W2&gt;'Assumption Sheet'!$B$13,SUMIFS($B9:$AO9,$B2:$AO2,W2),0)</f>
        <v>0</v>
      </c>
      <c r="X12" s="186">
        <f ca="1">IF(X2&gt;'Assumption Sheet'!$B$13,SUMIFS($B9:$AO9,$B2:$AO2,X2),0)</f>
        <v>8.7796960699606839</v>
      </c>
      <c r="Y12" s="186">
        <f ca="1">IF(Y2&gt;'Assumption Sheet'!$B$13,SUMIFS($B9:$AO9,$B2:$AO2,Y2),0)</f>
        <v>8.8761762465536602</v>
      </c>
      <c r="Z12" s="186">
        <f ca="1">IF(Z2&gt;'Assumption Sheet'!$B$13,SUMIFS($B9:$AO9,$B2:$AO2,Z2),0)</f>
        <v>8.8761762465536602</v>
      </c>
      <c r="AA12" s="186">
        <f ca="1">IF(AA2&gt;'Assumption Sheet'!$B$13,SUMIFS($B9:$AO9,$B2:$AO2,AA2),0)</f>
        <v>8.6832158933677093</v>
      </c>
      <c r="AB12" s="186">
        <f ca="1">IF(AB2&gt;'Assumption Sheet'!$B$13,SUMIFS($B9:$AO9,$B2:$AO2,AB2),0)</f>
        <v>8.7796960699606839</v>
      </c>
      <c r="AC12" s="186">
        <f ca="1">IF(AC2&gt;'Assumption Sheet'!$B$13,SUMIFS($B9:$AO9,$B2:$AO2,AC2),0)</f>
        <v>8.8761762465536602</v>
      </c>
      <c r="AD12" s="186">
        <f ca="1">IF(AD2&gt;'Assumption Sheet'!$B$13,SUMIFS($B9:$AO9,$B2:$AO2,AD2),0)</f>
        <v>8.8761762465536602</v>
      </c>
      <c r="AE12" s="186">
        <f ca="1">IF(AE2&gt;'Assumption Sheet'!$B$13,SUMIFS($B9:$AO9,$B2:$AO2,AE2),0)</f>
        <v>8.6832158933677093</v>
      </c>
      <c r="AF12" s="186">
        <f ca="1">IF(AF2&gt;'Assumption Sheet'!$B$13,SUMIFS($B9:$AO9,$B2:$AO2,AF2),0)</f>
        <v>8.7796960699606839</v>
      </c>
      <c r="AG12" s="186">
        <f ca="1">IF(AG2&gt;'Assumption Sheet'!$B$13,SUMIFS($B9:$AO9,$B2:$AO2,AG2),0)</f>
        <v>8.8761762465536602</v>
      </c>
      <c r="AH12" s="186">
        <f ca="1">IF(AH2&gt;'Assumption Sheet'!$B$13,SUMIFS($B9:$AO9,$B2:$AO2,AH2),0)</f>
        <v>8.8761762465536602</v>
      </c>
      <c r="AI12" s="186">
        <f ca="1">IF(AI2&gt;'Assumption Sheet'!$B$13,SUMIFS($B9:$AO9,$B2:$AO2,AI2),0)</f>
        <v>8.7796960699606839</v>
      </c>
      <c r="AJ12" s="186">
        <f ca="1">IF(AJ2&gt;'Assumption Sheet'!$B$13,SUMIFS($B9:$AO9,$B2:$AO2,AJ2),0)</f>
        <v>8.7796960699606839</v>
      </c>
      <c r="AK12" s="186">
        <f ca="1">IF(AK2&gt;'Assumption Sheet'!$B$13,SUMIFS($B9:$AO9,$B2:$AO2,AK2),0)</f>
        <v>8.8761762465536602</v>
      </c>
      <c r="AL12" s="186">
        <f ca="1">IF(AL2&gt;'Assumption Sheet'!$B$13,SUMIFS($B9:$AO9,$B2:$AO2,AL2),0)</f>
        <v>8.8761762465536602</v>
      </c>
      <c r="AM12" s="186">
        <f ca="1">IF(AM2&gt;'Assumption Sheet'!$B$13,SUMIFS($B9:$AO9,$B2:$AO2,AM2),0)</f>
        <v>8.6832158933677093</v>
      </c>
      <c r="AN12" s="186">
        <f ca="1">IF(AN2&gt;'Assumption Sheet'!$B$13,SUMIFS($B9:$AO9,$B2:$AO2,AN2),0)</f>
        <v>8.7796960699606839</v>
      </c>
      <c r="AO12" s="2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AP62"/>
  <sheetViews>
    <sheetView showGridLines="0" zoomScale="90" zoomScaleNormal="90" workbookViewId="0">
      <pane xSplit="3" ySplit="2" topLeftCell="D3" activePane="bottomRight" state="frozen"/>
      <selection pane="topRight" activeCell="C1" sqref="C1"/>
      <selection pane="bottomLeft" activeCell="A3" sqref="A3"/>
      <selection pane="bottomRight" activeCell="E5" sqref="E5:F7"/>
    </sheetView>
  </sheetViews>
  <sheetFormatPr defaultColWidth="8.88671875" defaultRowHeight="13.8" x14ac:dyDescent="0.3"/>
  <cols>
    <col min="1" max="1" width="2.109375" style="23" customWidth="1"/>
    <col min="2" max="2" width="31.88671875" style="25" customWidth="1"/>
    <col min="3" max="3" width="8" style="23" customWidth="1"/>
    <col min="4" max="13" width="9.33203125" style="23" bestFit="1" customWidth="1"/>
    <col min="14" max="26" width="9.33203125" style="23" customWidth="1"/>
    <col min="27" max="16384" width="8.88671875" style="23"/>
  </cols>
  <sheetData>
    <row r="1" spans="2:26" x14ac:dyDescent="0.3">
      <c r="D1" s="387">
        <v>45382</v>
      </c>
      <c r="E1" s="387">
        <f>EOMONTH(D1,12)</f>
        <v>45747</v>
      </c>
      <c r="F1" s="387">
        <f t="shared" ref="F1:N1" si="0">EOMONTH(E1,12)</f>
        <v>46112</v>
      </c>
      <c r="G1" s="387">
        <f t="shared" si="0"/>
        <v>46477</v>
      </c>
      <c r="H1" s="387">
        <f t="shared" si="0"/>
        <v>46843</v>
      </c>
      <c r="I1" s="387">
        <f t="shared" si="0"/>
        <v>47208</v>
      </c>
      <c r="J1" s="387">
        <f t="shared" si="0"/>
        <v>47573</v>
      </c>
      <c r="K1" s="387">
        <f t="shared" si="0"/>
        <v>47938</v>
      </c>
      <c r="L1" s="387">
        <f t="shared" si="0"/>
        <v>48304</v>
      </c>
      <c r="M1" s="387">
        <f t="shared" si="0"/>
        <v>48669</v>
      </c>
      <c r="N1" s="387">
        <f t="shared" si="0"/>
        <v>49034</v>
      </c>
      <c r="O1" s="387">
        <f>EOMONTH(N1,12)</f>
        <v>49399</v>
      </c>
      <c r="P1" s="387">
        <f>EOMONTH(O1,12)</f>
        <v>49765</v>
      </c>
      <c r="Q1" s="387">
        <f>EOMONTH(P1,12)</f>
        <v>50130</v>
      </c>
      <c r="R1" s="387">
        <f t="shared" ref="R1:Z1" si="1">EOMONTH(Q1,12)</f>
        <v>50495</v>
      </c>
      <c r="S1" s="387">
        <f t="shared" si="1"/>
        <v>50860</v>
      </c>
      <c r="T1" s="387">
        <f t="shared" si="1"/>
        <v>51226</v>
      </c>
      <c r="U1" s="387">
        <f t="shared" si="1"/>
        <v>51591</v>
      </c>
      <c r="V1" s="387">
        <f t="shared" si="1"/>
        <v>51956</v>
      </c>
      <c r="W1" s="387">
        <f t="shared" si="1"/>
        <v>52321</v>
      </c>
      <c r="X1" s="387">
        <f t="shared" si="1"/>
        <v>52687</v>
      </c>
      <c r="Y1" s="387">
        <f t="shared" si="1"/>
        <v>53052</v>
      </c>
      <c r="Z1" s="387">
        <f t="shared" si="1"/>
        <v>53417</v>
      </c>
    </row>
    <row r="2" spans="2:26" x14ac:dyDescent="0.3">
      <c r="D2" s="23">
        <v>0</v>
      </c>
      <c r="E2" s="23">
        <f>D2+1</f>
        <v>1</v>
      </c>
      <c r="F2" s="23">
        <f t="shared" ref="F2:N2" si="2">E2+1</f>
        <v>2</v>
      </c>
      <c r="G2" s="23">
        <f t="shared" si="2"/>
        <v>3</v>
      </c>
      <c r="H2" s="23">
        <f t="shared" si="2"/>
        <v>4</v>
      </c>
      <c r="I2" s="23">
        <f t="shared" si="2"/>
        <v>5</v>
      </c>
      <c r="J2" s="23">
        <f t="shared" si="2"/>
        <v>6</v>
      </c>
      <c r="K2" s="23">
        <f t="shared" si="2"/>
        <v>7</v>
      </c>
      <c r="L2" s="23">
        <f t="shared" si="2"/>
        <v>8</v>
      </c>
      <c r="M2" s="23">
        <f t="shared" si="2"/>
        <v>9</v>
      </c>
      <c r="N2" s="23">
        <f t="shared" si="2"/>
        <v>10</v>
      </c>
      <c r="O2" s="23">
        <f>N2+1</f>
        <v>11</v>
      </c>
      <c r="P2" s="23">
        <f>O2+1</f>
        <v>12</v>
      </c>
      <c r="Q2" s="23">
        <f>P2+1</f>
        <v>13</v>
      </c>
      <c r="R2" s="23">
        <f t="shared" ref="R2:Z2" si="3">Q2+1</f>
        <v>14</v>
      </c>
      <c r="S2" s="23">
        <f t="shared" si="3"/>
        <v>15</v>
      </c>
      <c r="T2" s="23">
        <f t="shared" si="3"/>
        <v>16</v>
      </c>
      <c r="U2" s="23">
        <f t="shared" si="3"/>
        <v>17</v>
      </c>
      <c r="V2" s="23">
        <f t="shared" si="3"/>
        <v>18</v>
      </c>
      <c r="W2" s="23">
        <f t="shared" si="3"/>
        <v>19</v>
      </c>
      <c r="X2" s="23">
        <f t="shared" si="3"/>
        <v>20</v>
      </c>
      <c r="Y2" s="23">
        <f t="shared" si="3"/>
        <v>21</v>
      </c>
      <c r="Z2" s="23">
        <f t="shared" si="3"/>
        <v>22</v>
      </c>
    </row>
    <row r="3" spans="2:26" x14ac:dyDescent="0.3">
      <c r="B3" s="29" t="s">
        <v>169</v>
      </c>
    </row>
    <row r="4" spans="2:26" x14ac:dyDescent="0.3">
      <c r="B4" s="31" t="s">
        <v>170</v>
      </c>
    </row>
    <row r="5" spans="2:26" ht="15.6" x14ac:dyDescent="0.3">
      <c r="B5" s="396" t="s">
        <v>34</v>
      </c>
      <c r="C5" s="397">
        <f>SUM(D5:M5)</f>
        <v>47.58</v>
      </c>
      <c r="D5" s="398">
        <f>-SUMIF('Monthly Cashflow'!$A$6:$CN$6,'Dep &amp; Tax Schedule'!D$2,'Monthly Cashflow'!$A$16:$CN$16)</f>
        <v>0</v>
      </c>
      <c r="E5" s="398">
        <f>-SUMIF('Monthly Cashflow'!$A$6:$CN$6,'Dep &amp; Tax Schedule'!E$2,'Monthly Cashflow'!$A$16:$CN$16)</f>
        <v>47.58</v>
      </c>
      <c r="F5" s="398">
        <f>-SUMIF('Monthly Cashflow'!$A$6:$CN$6,'Dep &amp; Tax Schedule'!F$2,'Monthly Cashflow'!$A$16:$CN$16)</f>
        <v>0</v>
      </c>
      <c r="G5" s="398">
        <f>-SUMIF('Monthly Cashflow'!$A$6:$CN$6,'Dep &amp; Tax Schedule'!G$2,'Monthly Cashflow'!$A$16:$CN$16)</f>
        <v>0</v>
      </c>
      <c r="H5" s="398">
        <f>-SUMIF('Monthly Cashflow'!$A$6:$CN$6,'Dep &amp; Tax Schedule'!H$2,'Monthly Cashflow'!$A$16:$CN$16)</f>
        <v>0</v>
      </c>
      <c r="I5" s="398">
        <f>-SUMIF('Monthly Cashflow'!$A$6:$CN$6,'Dep &amp; Tax Schedule'!I$2,'Monthly Cashflow'!$A$16:$CN$16)</f>
        <v>0</v>
      </c>
      <c r="J5" s="398">
        <f>-SUMIF('Monthly Cashflow'!$A$6:$CN$6,'Dep &amp; Tax Schedule'!J$2,'Monthly Cashflow'!$A$16:$CN$16)</f>
        <v>0</v>
      </c>
      <c r="K5" s="398">
        <f>-SUMIF('Monthly Cashflow'!$A$6:$CN$6,'Dep &amp; Tax Schedule'!K$2,'Monthly Cashflow'!$A$16:$CN$16)</f>
        <v>0</v>
      </c>
      <c r="L5" s="398">
        <f>-SUMIF('Monthly Cashflow'!$A$6:$CN$6,'Dep &amp; Tax Schedule'!L$2,'Monthly Cashflow'!$A$16:$CN$16)</f>
        <v>0</v>
      </c>
      <c r="M5" s="399">
        <f>-SUMIF('Monthly Cashflow'!$A$6:$CN$6,'Dep &amp; Tax Schedule'!M$2,'Monthly Cashflow'!$A$16:$CN$16)</f>
        <v>0</v>
      </c>
      <c r="N5" s="398">
        <f>-SUMIF('Monthly Cashflow'!$A$6:$CN$6,'Dep &amp; Tax Schedule'!N$2,'Monthly Cashflow'!$A$16:$CN$16)</f>
        <v>0</v>
      </c>
      <c r="O5" s="398">
        <f>-SUMIF('Monthly Cashflow'!$A$6:$CN$6,'Dep &amp; Tax Schedule'!O$2,'Monthly Cashflow'!$A$16:$CN$16)</f>
        <v>0</v>
      </c>
      <c r="P5" s="398">
        <f>-SUMIF('Monthly Cashflow'!$A$6:$CN$6,'Dep &amp; Tax Schedule'!P$2,'Monthly Cashflow'!$A$16:$CN$16)</f>
        <v>0</v>
      </c>
      <c r="Q5" s="398">
        <f>-SUMIF('Monthly Cashflow'!$A$6:$CN$6,'Dep &amp; Tax Schedule'!Q$2,'Monthly Cashflow'!$A$16:$CN$16)</f>
        <v>0</v>
      </c>
      <c r="R5" s="398">
        <f>-SUMIF('Monthly Cashflow'!$A$6:$CN$6,'Dep &amp; Tax Schedule'!R$2,'Monthly Cashflow'!$A$16:$CN$16)</f>
        <v>0</v>
      </c>
      <c r="S5" s="398">
        <f>-SUMIF('Monthly Cashflow'!$A$6:$CN$6,'Dep &amp; Tax Schedule'!S$2,'Monthly Cashflow'!$A$16:$CN$16)</f>
        <v>0</v>
      </c>
      <c r="T5" s="398">
        <f>-SUMIF('Monthly Cashflow'!$A$6:$CN$6,'Dep &amp; Tax Schedule'!T$2,'Monthly Cashflow'!$A$16:$CN$16)</f>
        <v>0</v>
      </c>
      <c r="U5" s="398">
        <f>-SUMIF('Monthly Cashflow'!$A$6:$CN$6,'Dep &amp; Tax Schedule'!U$2,'Monthly Cashflow'!$A$16:$CN$16)</f>
        <v>0</v>
      </c>
      <c r="V5" s="398">
        <f>-SUMIF('Monthly Cashflow'!$A$6:$CN$6,'Dep &amp; Tax Schedule'!V$2,'Monthly Cashflow'!$A$16:$CN$16)</f>
        <v>0</v>
      </c>
      <c r="W5" s="398">
        <f>-SUMIF('Monthly Cashflow'!$A$6:$CN$6,'Dep &amp; Tax Schedule'!W$2,'Monthly Cashflow'!$A$16:$CN$16)</f>
        <v>0</v>
      </c>
      <c r="X5" s="398">
        <f>-SUMIF('Monthly Cashflow'!$A$6:$CN$6,'Dep &amp; Tax Schedule'!X$2,'Monthly Cashflow'!$A$16:$CN$16)</f>
        <v>0</v>
      </c>
      <c r="Y5" s="398">
        <f>-SUMIF('Monthly Cashflow'!$A$6:$CN$6,'Dep &amp; Tax Schedule'!Y$2,'Monthly Cashflow'!$A$16:$CN$16)</f>
        <v>0</v>
      </c>
      <c r="Z5" s="399">
        <f>-SUMIF('Monthly Cashflow'!$A$6:$CN$6,'Dep &amp; Tax Schedule'!Z$2,'Monthly Cashflow'!$A$16:$CN$16)</f>
        <v>0</v>
      </c>
    </row>
    <row r="6" spans="2:26" ht="15.6" x14ac:dyDescent="0.3">
      <c r="B6" s="35" t="s">
        <v>171</v>
      </c>
      <c r="C6" s="400">
        <f>SUM(D6:M6)</f>
        <v>316.05449939058008</v>
      </c>
      <c r="D6" s="209">
        <f>-SUMIF('Monthly Cashflow'!$A$6:$CN$6,'Dep &amp; Tax Schedule'!D$2,'Monthly Cashflow'!$A$17:$CN$17)-SUMIF('Monthly Cashflow'!$A$6:$CN$6,'Dep &amp; Tax Schedule'!D$2,'Monthly Cashflow'!$A$18:$CN$18)</f>
        <v>0</v>
      </c>
      <c r="E6" s="209">
        <f>-SUMIF('Monthly Cashflow'!$A$6:$CN$6,'Dep &amp; Tax Schedule'!E$2,'Monthly Cashflow'!$A$17:$CN$17)-SUMIF('Monthly Cashflow'!$A$6:$CN$6,'Dep &amp; Tax Schedule'!E$2,'Monthly Cashflow'!$A$18:$CN$18)</f>
        <v>40.712663725676514</v>
      </c>
      <c r="F6" s="209">
        <f>-SUMIF('Monthly Cashflow'!$A$6:$CN$6,'Dep &amp; Tax Schedule'!F$2,'Monthly Cashflow'!$A$17:$CN$17)-SUMIF('Monthly Cashflow'!$A$6:$CN$6,'Dep &amp; Tax Schedule'!F$2,'Monthly Cashflow'!$A$18:$CN$18)</f>
        <v>92.288462077558634</v>
      </c>
      <c r="G6" s="209">
        <f>-SUMIF('Monthly Cashflow'!$A$6:$CN$6,'Dep &amp; Tax Schedule'!G$2,'Monthly Cashflow'!$A$17:$CN$17)-SUMIF('Monthly Cashflow'!$A$6:$CN$6,'Dep &amp; Tax Schedule'!G$2,'Monthly Cashflow'!$A$18:$CN$18)</f>
        <v>93.723764413829556</v>
      </c>
      <c r="H6" s="209">
        <f>-SUMIF('Monthly Cashflow'!$A$6:$CN$6,'Dep &amp; Tax Schedule'!H$2,'Monthly Cashflow'!$A$17:$CN$17)-SUMIF('Monthly Cashflow'!$A$6:$CN$6,'Dep &amp; Tax Schedule'!H$2,'Monthly Cashflow'!$A$18:$CN$18)</f>
        <v>77.605642446702007</v>
      </c>
      <c r="I6" s="209">
        <f>-SUMIF('Monthly Cashflow'!$A$6:$CN$6,'Dep &amp; Tax Schedule'!I$2,'Monthly Cashflow'!$A$17:$CN$17)-SUMIF('Monthly Cashflow'!$A$6:$CN$6,'Dep &amp; Tax Schedule'!I$2,'Monthly Cashflow'!$A$18:$CN$18)</f>
        <v>11.723966726813375</v>
      </c>
      <c r="J6" s="209">
        <f>-SUMIF('Monthly Cashflow'!$A$6:$CN$6,'Dep &amp; Tax Schedule'!J$2,'Monthly Cashflow'!$A$17:$CN$17)-SUMIF('Monthly Cashflow'!$A$6:$CN$6,'Dep &amp; Tax Schedule'!J$2,'Monthly Cashflow'!$A$18:$CN$18)</f>
        <v>0</v>
      </c>
      <c r="K6" s="209">
        <f>-SUMIF('Monthly Cashflow'!$A$6:$CN$6,'Dep &amp; Tax Schedule'!K$2,'Monthly Cashflow'!$A$17:$CN$17)-SUMIF('Monthly Cashflow'!$A$6:$CN$6,'Dep &amp; Tax Schedule'!K$2,'Monthly Cashflow'!$A$18:$CN$18)</f>
        <v>0</v>
      </c>
      <c r="L6" s="209">
        <f>-SUMIF('Monthly Cashflow'!$A$6:$CN$6,'Dep &amp; Tax Schedule'!L$2,'Monthly Cashflow'!$A$17:$CN$17)-SUMIF('Monthly Cashflow'!$A$6:$CN$6,'Dep &amp; Tax Schedule'!L$2,'Monthly Cashflow'!$A$18:$CN$18)</f>
        <v>0</v>
      </c>
      <c r="M6" s="401">
        <f>-SUMIF('Monthly Cashflow'!$A$6:$CN$6,'Dep &amp; Tax Schedule'!M$2,'Monthly Cashflow'!$A$17:$CN$17)-SUMIF('Monthly Cashflow'!$A$6:$CN$6,'Dep &amp; Tax Schedule'!M$2,'Monthly Cashflow'!$A$18:$CN$18)</f>
        <v>0</v>
      </c>
      <c r="N6" s="209">
        <f>-SUMIF('Monthly Cashflow'!$A$6:$CN$6,'Dep &amp; Tax Schedule'!N$2,'Monthly Cashflow'!$A$17:$CN$17)-SUMIF('Monthly Cashflow'!$A$6:$CN$6,'Dep &amp; Tax Schedule'!N$2,'Monthly Cashflow'!$A$18:$CN$18)</f>
        <v>0</v>
      </c>
      <c r="O6" s="209">
        <f>-SUMIF('Monthly Cashflow'!$A$6:$CN$6,'Dep &amp; Tax Schedule'!O$2,'Monthly Cashflow'!$A$17:$CN$17)-SUMIF('Monthly Cashflow'!$A$6:$CN$6,'Dep &amp; Tax Schedule'!O$2,'Monthly Cashflow'!$A$18:$CN$18)</f>
        <v>0</v>
      </c>
      <c r="P6" s="209">
        <f>-SUMIF('Monthly Cashflow'!$A$6:$CN$6,'Dep &amp; Tax Schedule'!P$2,'Monthly Cashflow'!$A$17:$CN$17)-SUMIF('Monthly Cashflow'!$A$6:$CN$6,'Dep &amp; Tax Schedule'!P$2,'Monthly Cashflow'!$A$18:$CN$18)</f>
        <v>0</v>
      </c>
      <c r="Q6" s="209">
        <f>-SUMIF('Monthly Cashflow'!$A$6:$CN$6,'Dep &amp; Tax Schedule'!Q$2,'Monthly Cashflow'!$A$17:$CN$17)-SUMIF('Monthly Cashflow'!$A$6:$CN$6,'Dep &amp; Tax Schedule'!Q$2,'Monthly Cashflow'!$A$18:$CN$18)</f>
        <v>0</v>
      </c>
      <c r="R6" s="209">
        <f>-SUMIF('Monthly Cashflow'!$A$6:$CN$6,'Dep &amp; Tax Schedule'!R$2,'Monthly Cashflow'!$A$17:$CN$17)-SUMIF('Monthly Cashflow'!$A$6:$CN$6,'Dep &amp; Tax Schedule'!R$2,'Monthly Cashflow'!$A$18:$CN$18)</f>
        <v>0</v>
      </c>
      <c r="S6" s="209">
        <f>-SUMIF('Monthly Cashflow'!$A$6:$CN$6,'Dep &amp; Tax Schedule'!S$2,'Monthly Cashflow'!$A$17:$CN$17)-SUMIF('Monthly Cashflow'!$A$6:$CN$6,'Dep &amp; Tax Schedule'!S$2,'Monthly Cashflow'!$A$18:$CN$18)</f>
        <v>0</v>
      </c>
      <c r="T6" s="209">
        <f>-SUMIF('Monthly Cashflow'!$A$6:$CN$6,'Dep &amp; Tax Schedule'!T$2,'Monthly Cashflow'!$A$17:$CN$17)-SUMIF('Monthly Cashflow'!$A$6:$CN$6,'Dep &amp; Tax Schedule'!T$2,'Monthly Cashflow'!$A$18:$CN$18)</f>
        <v>0</v>
      </c>
      <c r="U6" s="209">
        <f>-SUMIF('Monthly Cashflow'!$A$6:$CN$6,'Dep &amp; Tax Schedule'!U$2,'Monthly Cashflow'!$A$17:$CN$17)-SUMIF('Monthly Cashflow'!$A$6:$CN$6,'Dep &amp; Tax Schedule'!U$2,'Monthly Cashflow'!$A$18:$CN$18)</f>
        <v>0</v>
      </c>
      <c r="V6" s="209">
        <f>-SUMIF('Monthly Cashflow'!$A$6:$CN$6,'Dep &amp; Tax Schedule'!V$2,'Monthly Cashflow'!$A$17:$CN$17)-SUMIF('Monthly Cashflow'!$A$6:$CN$6,'Dep &amp; Tax Schedule'!V$2,'Monthly Cashflow'!$A$18:$CN$18)</f>
        <v>0</v>
      </c>
      <c r="W6" s="209">
        <f>-SUMIF('Monthly Cashflow'!$A$6:$CN$6,'Dep &amp; Tax Schedule'!W$2,'Monthly Cashflow'!$A$17:$CN$17)-SUMIF('Monthly Cashflow'!$A$6:$CN$6,'Dep &amp; Tax Schedule'!W$2,'Monthly Cashflow'!$A$18:$CN$18)</f>
        <v>0</v>
      </c>
      <c r="X6" s="209">
        <f>-SUMIF('Monthly Cashflow'!$A$6:$CN$6,'Dep &amp; Tax Schedule'!X$2,'Monthly Cashflow'!$A$17:$CN$17)-SUMIF('Monthly Cashflow'!$A$6:$CN$6,'Dep &amp; Tax Schedule'!X$2,'Monthly Cashflow'!$A$18:$CN$18)</f>
        <v>0</v>
      </c>
      <c r="Y6" s="209">
        <f>-SUMIF('Monthly Cashflow'!$A$6:$CN$6,'Dep &amp; Tax Schedule'!Y$2,'Monthly Cashflow'!$A$17:$CN$17)-SUMIF('Monthly Cashflow'!$A$6:$CN$6,'Dep &amp; Tax Schedule'!Y$2,'Monthly Cashflow'!$A$18:$CN$18)</f>
        <v>0</v>
      </c>
      <c r="Z6" s="401">
        <f>-SUMIF('Monthly Cashflow'!$A$6:$CN$6,'Dep &amp; Tax Schedule'!Z$2,'Monthly Cashflow'!$A$17:$CN$17)-SUMIF('Monthly Cashflow'!$A$6:$CN$6,'Dep &amp; Tax Schedule'!Z$2,'Monthly Cashflow'!$A$18:$CN$18)</f>
        <v>0</v>
      </c>
    </row>
    <row r="7" spans="2:26" ht="15.6" x14ac:dyDescent="0.3">
      <c r="B7" s="35" t="s">
        <v>172</v>
      </c>
      <c r="C7" s="400">
        <f ca="1">SUM(D7:M7)</f>
        <v>103.53385385074678</v>
      </c>
      <c r="D7" s="209">
        <f>-SUMIF('Monthly Cashflow'!$A$6:$CN$6,'Dep &amp; Tax Schedule'!D$2,'Monthly Cashflow'!$A$19:$CN$19)-SUMIF('Monthly Cashflow'!$A$6:$CN$6,'Dep &amp; Tax Schedule'!D$2,'Monthly Cashflow'!$A$20:$CN$20)-SUMIF('Monthly Cashflow'!$A$6:$CN$6,'Dep &amp; Tax Schedule'!D$2,'Monthly Cashflow'!$A$22:$CN$22)-SUMIF('Monthly Cashflow'!$A$6:$CN$6,'Dep &amp; Tax Schedule'!D$2,'Monthly Cashflow'!$A$23:$CN$23)-SUMIF('Monthly Cashflow'!$A$6:$CN$6,'Dep &amp; Tax Schedule'!D$2,'Monthly Cashflow'!$A$25:$CN$25)</f>
        <v>0</v>
      </c>
      <c r="E7" s="209">
        <f ca="1">-SUMIF('Monthly Cashflow'!$A$6:$CN$6,'Dep &amp; Tax Schedule'!E$2,'Monthly Cashflow'!$A$19:$CN$19)-SUMIF('Monthly Cashflow'!$A$6:$CN$6,'Dep &amp; Tax Schedule'!E$2,'Monthly Cashflow'!$A$20:$CN$20)-SUMIF('Monthly Cashflow'!$A$6:$CN$6,'Dep &amp; Tax Schedule'!E$2,'Monthly Cashflow'!$A$22:$CN$22)-SUMIF('Monthly Cashflow'!$A$6:$CN$6,'Dep &amp; Tax Schedule'!E$2,'Monthly Cashflow'!$A$23:$CN$23)-SUMIF('Monthly Cashflow'!$A$6:$CN$6,'Dep &amp; Tax Schedule'!E$2,'Monthly Cashflow'!$A$21:$CN$21)-SUMIF('Monthly Cashflow'!$A$6:$CN$6,'Dep &amp; Tax Schedule'!E$2,'Monthly Cashflow'!$A$31:$CN$31)-SUMIF('Monthly Cashflow'!$A$6:$CN$6,'Dep &amp; Tax Schedule'!E$2,'Monthly Cashflow'!$A$25:$CN$25)</f>
        <v>15.339829566118746</v>
      </c>
      <c r="F7" s="209">
        <f>-SUMIF('Monthly Cashflow'!$A$6:$CN$6,'Dep &amp; Tax Schedule'!F$2,'Monthly Cashflow'!$A$19:$CN$19)-SUMIF('Monthly Cashflow'!$A$6:$CN$6,'Dep &amp; Tax Schedule'!F$2,'Monthly Cashflow'!$A$20:$CN$20)-SUMIF('Monthly Cashflow'!$A$6:$CN$6,'Dep &amp; Tax Schedule'!F$2,'Monthly Cashflow'!$A$22:$CN$22)-SUMIF('Monthly Cashflow'!$A$6:$CN$6,'Dep &amp; Tax Schedule'!F$2,'Monthly Cashflow'!$A$23:$CN$23)-SUMIF('Monthly Cashflow'!$A$6:$CN$6,'Dep &amp; Tax Schedule'!F$2,'Monthly Cashflow'!$A$21:$CN$21)-SUMIF('Monthly Cashflow'!$A$6:$CN$6,'Dep &amp; Tax Schedule'!F$2,'Monthly Cashflow'!$A$31:$CN$31)-SUMIF('Monthly Cashflow'!$A$6:$CN$6,'Dep &amp; Tax Schedule'!F$2,'Monthly Cashflow'!$A$25:$CN$25)</f>
        <v>29.754908529363693</v>
      </c>
      <c r="G7" s="209">
        <f>-SUMIF('Monthly Cashflow'!$A$6:$CN$6,'Dep &amp; Tax Schedule'!G$2,'Monthly Cashflow'!$A$19:$CN$19)-SUMIF('Monthly Cashflow'!$A$6:$CN$6,'Dep &amp; Tax Schedule'!G$2,'Monthly Cashflow'!$A$20:$CN$20)-SUMIF('Monthly Cashflow'!$A$6:$CN$6,'Dep &amp; Tax Schedule'!G$2,'Monthly Cashflow'!$A$22:$CN$22)-SUMIF('Monthly Cashflow'!$A$6:$CN$6,'Dep &amp; Tax Schedule'!G$2,'Monthly Cashflow'!$A$23:$CN$23)-SUMIF('Monthly Cashflow'!$A$6:$CN$6,'Dep &amp; Tax Schedule'!G$2,'Monthly Cashflow'!$A$21:$CN$21)-SUMIF('Monthly Cashflow'!$A$6:$CN$6,'Dep &amp; Tax Schedule'!G$2,'Monthly Cashflow'!$A$31:$CN$31)-SUMIF('Monthly Cashflow'!$A$6:$CN$6,'Dep &amp; Tax Schedule'!G$2,'Monthly Cashflow'!$A$25:$CN$25)</f>
        <v>30.738448244094766</v>
      </c>
      <c r="H7" s="209">
        <f>-SUMIF('Monthly Cashflow'!$A$6:$CN$6,'Dep &amp; Tax Schedule'!H$2,'Monthly Cashflow'!$A$19:$CN$19)-SUMIF('Monthly Cashflow'!$A$6:$CN$6,'Dep &amp; Tax Schedule'!H$2,'Monthly Cashflow'!$A$20:$CN$20)-SUMIF('Monthly Cashflow'!$A$6:$CN$6,'Dep &amp; Tax Schedule'!H$2,'Monthly Cashflow'!$A$22:$CN$22)-SUMIF('Monthly Cashflow'!$A$6:$CN$6,'Dep &amp; Tax Schedule'!H$2,'Monthly Cashflow'!$A$23:$CN$23)-SUMIF('Monthly Cashflow'!$A$6:$CN$6,'Dep &amp; Tax Schedule'!H$2,'Monthly Cashflow'!$A$21:$CN$21)-SUMIF('Monthly Cashflow'!$A$6:$CN$6,'Dep &amp; Tax Schedule'!H$2,'Monthly Cashflow'!$A$31:$CN$31)-SUMIF('Monthly Cashflow'!$A$6:$CN$6,'Dep &amp; Tax Schedule'!H$2,'Monthly Cashflow'!$A$25:$CN$25)</f>
        <v>24.043605559490643</v>
      </c>
      <c r="I7" s="209">
        <f>-SUMIF('Monthly Cashflow'!$A$6:$CN$6,'Dep &amp; Tax Schedule'!I$2,'Monthly Cashflow'!$A$19:$CN$19)-SUMIF('Monthly Cashflow'!$A$6:$CN$6,'Dep &amp; Tax Schedule'!I$2,'Monthly Cashflow'!$A$20:$CN$20)-SUMIF('Monthly Cashflow'!$A$6:$CN$6,'Dep &amp; Tax Schedule'!I$2,'Monthly Cashflow'!$A$22:$CN$22)-SUMIF('Monthly Cashflow'!$A$6:$CN$6,'Dep &amp; Tax Schedule'!I$2,'Monthly Cashflow'!$A$23:$CN$23)-SUMIF('Monthly Cashflow'!$A$6:$CN$6,'Dep &amp; Tax Schedule'!I$2,'Monthly Cashflow'!$A$21:$CN$21)-SUMIF('Monthly Cashflow'!$A$6:$CN$6,'Dep &amp; Tax Schedule'!I$2,'Monthly Cashflow'!$A$31:$CN$31)-SUMIF('Monthly Cashflow'!$A$6:$CN$6,'Dep &amp; Tax Schedule'!I$2,'Monthly Cashflow'!$A$25:$CN$25)</f>
        <v>3.6570619516789229</v>
      </c>
      <c r="J7" s="209">
        <f>-SUMIF('Monthly Cashflow'!$A$6:$CN$6,'Dep &amp; Tax Schedule'!J$2,'Monthly Cashflow'!$A$19:$CN$19)-SUMIF('Monthly Cashflow'!$A$6:$CN$6,'Dep &amp; Tax Schedule'!J$2,'Monthly Cashflow'!$A$20:$CN$20)-SUMIF('Monthly Cashflow'!$A$6:$CN$6,'Dep &amp; Tax Schedule'!J$2,'Monthly Cashflow'!$A$22:$CN$22)-SUMIF('Monthly Cashflow'!$A$6:$CN$6,'Dep &amp; Tax Schedule'!J$2,'Monthly Cashflow'!$A$23:$CN$23)</f>
        <v>0</v>
      </c>
      <c r="K7" s="209">
        <f>-SUMIF('Monthly Cashflow'!$A$6:$CN$6,'Dep &amp; Tax Schedule'!K$2,'Monthly Cashflow'!$A$19:$CN$19)-SUMIF('Monthly Cashflow'!$A$6:$CN$6,'Dep &amp; Tax Schedule'!K$2,'Monthly Cashflow'!$A$20:$CN$20)-SUMIF('Monthly Cashflow'!$A$6:$CN$6,'Dep &amp; Tax Schedule'!K$2,'Monthly Cashflow'!$A$22:$CN$22)-SUMIF('Monthly Cashflow'!$A$6:$CN$6,'Dep &amp; Tax Schedule'!K$2,'Monthly Cashflow'!$A$23:$CN$23)</f>
        <v>0</v>
      </c>
      <c r="L7" s="209">
        <f>-SUMIF('Monthly Cashflow'!$A$6:$CN$6,'Dep &amp; Tax Schedule'!L$2,'Monthly Cashflow'!$A$19:$CN$19)-SUMIF('Monthly Cashflow'!$A$6:$CN$6,'Dep &amp; Tax Schedule'!L$2,'Monthly Cashflow'!$A$20:$CN$20)-SUMIF('Monthly Cashflow'!$A$6:$CN$6,'Dep &amp; Tax Schedule'!L$2,'Monthly Cashflow'!$A$22:$CN$22)-SUMIF('Monthly Cashflow'!$A$6:$CN$6,'Dep &amp; Tax Schedule'!L$2,'Monthly Cashflow'!$A$23:$CN$23)</f>
        <v>0</v>
      </c>
      <c r="M7" s="401">
        <f>-SUMIF('Monthly Cashflow'!$A$6:$CN$6,'Dep &amp; Tax Schedule'!M$2,'Monthly Cashflow'!$A$19:$CN$19)-SUMIF('Monthly Cashflow'!$A$6:$CN$6,'Dep &amp; Tax Schedule'!M$2,'Monthly Cashflow'!$A$20:$CN$20)-SUMIF('Monthly Cashflow'!$A$6:$CN$6,'Dep &amp; Tax Schedule'!M$2,'Monthly Cashflow'!$A$22:$CN$22)-SUMIF('Monthly Cashflow'!$A$6:$CN$6,'Dep &amp; Tax Schedule'!M$2,'Monthly Cashflow'!$A$23:$CN$23)</f>
        <v>0</v>
      </c>
      <c r="N7" s="209">
        <f>-SUMIF('Monthly Cashflow'!$A$6:$CN$6,'Dep &amp; Tax Schedule'!N$2,'Monthly Cashflow'!$A$19:$CN$19)-SUMIF('Monthly Cashflow'!$A$6:$CN$6,'Dep &amp; Tax Schedule'!N$2,'Monthly Cashflow'!$A$20:$CN$20)-SUMIF('Monthly Cashflow'!$A$6:$CN$6,'Dep &amp; Tax Schedule'!N$2,'Monthly Cashflow'!$A$22:$CN$22)-SUMIF('Monthly Cashflow'!$A$6:$CN$6,'Dep &amp; Tax Schedule'!N$2,'Monthly Cashflow'!$A$23:$CN$23)</f>
        <v>0</v>
      </c>
      <c r="O7" s="209">
        <f>-SUMIF('Monthly Cashflow'!$A$6:$CN$6,'Dep &amp; Tax Schedule'!O$2,'Monthly Cashflow'!$A$19:$CN$19)-SUMIF('Monthly Cashflow'!$A$6:$CN$6,'Dep &amp; Tax Schedule'!O$2,'Monthly Cashflow'!$A$20:$CN$20)-SUMIF('Monthly Cashflow'!$A$6:$CN$6,'Dep &amp; Tax Schedule'!O$2,'Monthly Cashflow'!$A$22:$CN$22)-SUMIF('Monthly Cashflow'!$A$6:$CN$6,'Dep &amp; Tax Schedule'!O$2,'Monthly Cashflow'!$A$23:$CN$23)</f>
        <v>0</v>
      </c>
      <c r="P7" s="209">
        <f>-SUMIF('Monthly Cashflow'!$A$6:$CN$6,'Dep &amp; Tax Schedule'!P$2,'Monthly Cashflow'!$A$19:$CN$19)-SUMIF('Monthly Cashflow'!$A$6:$CN$6,'Dep &amp; Tax Schedule'!P$2,'Monthly Cashflow'!$A$20:$CN$20)-SUMIF('Monthly Cashflow'!$A$6:$CN$6,'Dep &amp; Tax Schedule'!P$2,'Monthly Cashflow'!$A$22:$CN$22)-SUMIF('Monthly Cashflow'!$A$6:$CN$6,'Dep &amp; Tax Schedule'!P$2,'Monthly Cashflow'!$A$23:$CN$23)</f>
        <v>0</v>
      </c>
      <c r="Q7" s="209">
        <f>-SUMIF('Monthly Cashflow'!$A$6:$CN$6,'Dep &amp; Tax Schedule'!Q$2,'Monthly Cashflow'!$A$19:$CN$19)-SUMIF('Monthly Cashflow'!$A$6:$CN$6,'Dep &amp; Tax Schedule'!Q$2,'Monthly Cashflow'!$A$20:$CN$20)-SUMIF('Monthly Cashflow'!$A$6:$CN$6,'Dep &amp; Tax Schedule'!Q$2,'Monthly Cashflow'!$A$22:$CN$22)-SUMIF('Monthly Cashflow'!$A$6:$CN$6,'Dep &amp; Tax Schedule'!Q$2,'Monthly Cashflow'!$A$23:$CN$23)</f>
        <v>0</v>
      </c>
      <c r="R7" s="209">
        <f>-SUMIF('Monthly Cashflow'!$A$6:$CN$6,'Dep &amp; Tax Schedule'!R$2,'Monthly Cashflow'!$A$19:$CN$19)-SUMIF('Monthly Cashflow'!$A$6:$CN$6,'Dep &amp; Tax Schedule'!R$2,'Monthly Cashflow'!$A$20:$CN$20)-SUMIF('Monthly Cashflow'!$A$6:$CN$6,'Dep &amp; Tax Schedule'!R$2,'Monthly Cashflow'!$A$22:$CN$22)-SUMIF('Monthly Cashflow'!$A$6:$CN$6,'Dep &amp; Tax Schedule'!R$2,'Monthly Cashflow'!$A$23:$CN$23)</f>
        <v>0</v>
      </c>
      <c r="S7" s="209">
        <f>-SUMIF('Monthly Cashflow'!$A$6:$CN$6,'Dep &amp; Tax Schedule'!S$2,'Monthly Cashflow'!$A$19:$CN$19)-SUMIF('Monthly Cashflow'!$A$6:$CN$6,'Dep &amp; Tax Schedule'!S$2,'Monthly Cashflow'!$A$20:$CN$20)-SUMIF('Monthly Cashflow'!$A$6:$CN$6,'Dep &amp; Tax Schedule'!S$2,'Monthly Cashflow'!$A$22:$CN$22)-SUMIF('Monthly Cashflow'!$A$6:$CN$6,'Dep &amp; Tax Schedule'!S$2,'Monthly Cashflow'!$A$23:$CN$23)</f>
        <v>0</v>
      </c>
      <c r="T7" s="209">
        <f>-SUMIF('Monthly Cashflow'!$A$6:$CN$6,'Dep &amp; Tax Schedule'!T$2,'Monthly Cashflow'!$A$19:$CN$19)-SUMIF('Monthly Cashflow'!$A$6:$CN$6,'Dep &amp; Tax Schedule'!T$2,'Monthly Cashflow'!$A$20:$CN$20)-SUMIF('Monthly Cashflow'!$A$6:$CN$6,'Dep &amp; Tax Schedule'!T$2,'Monthly Cashflow'!$A$22:$CN$22)-SUMIF('Monthly Cashflow'!$A$6:$CN$6,'Dep &amp; Tax Schedule'!T$2,'Monthly Cashflow'!$A$23:$CN$23)</f>
        <v>0</v>
      </c>
      <c r="U7" s="209">
        <f>-SUMIF('Monthly Cashflow'!$A$6:$CN$6,'Dep &amp; Tax Schedule'!U$2,'Monthly Cashflow'!$A$19:$CN$19)-SUMIF('Monthly Cashflow'!$A$6:$CN$6,'Dep &amp; Tax Schedule'!U$2,'Monthly Cashflow'!$A$20:$CN$20)-SUMIF('Monthly Cashflow'!$A$6:$CN$6,'Dep &amp; Tax Schedule'!U$2,'Monthly Cashflow'!$A$22:$CN$22)-SUMIF('Monthly Cashflow'!$A$6:$CN$6,'Dep &amp; Tax Schedule'!U$2,'Monthly Cashflow'!$A$23:$CN$23)</f>
        <v>0</v>
      </c>
      <c r="V7" s="209">
        <f>-SUMIF('Monthly Cashflow'!$A$6:$CN$6,'Dep &amp; Tax Schedule'!V$2,'Monthly Cashflow'!$A$19:$CN$19)-SUMIF('Monthly Cashflow'!$A$6:$CN$6,'Dep &amp; Tax Schedule'!V$2,'Monthly Cashflow'!$A$20:$CN$20)-SUMIF('Monthly Cashflow'!$A$6:$CN$6,'Dep &amp; Tax Schedule'!V$2,'Monthly Cashflow'!$A$22:$CN$22)-SUMIF('Monthly Cashflow'!$A$6:$CN$6,'Dep &amp; Tax Schedule'!V$2,'Monthly Cashflow'!$A$23:$CN$23)</f>
        <v>0</v>
      </c>
      <c r="W7" s="209">
        <f>-SUMIF('Monthly Cashflow'!$A$6:$CN$6,'Dep &amp; Tax Schedule'!W$2,'Monthly Cashflow'!$A$19:$CN$19)-SUMIF('Monthly Cashflow'!$A$6:$CN$6,'Dep &amp; Tax Schedule'!W$2,'Monthly Cashflow'!$A$20:$CN$20)-SUMIF('Monthly Cashflow'!$A$6:$CN$6,'Dep &amp; Tax Schedule'!W$2,'Monthly Cashflow'!$A$22:$CN$22)-SUMIF('Monthly Cashflow'!$A$6:$CN$6,'Dep &amp; Tax Schedule'!W$2,'Monthly Cashflow'!$A$23:$CN$23)</f>
        <v>0</v>
      </c>
      <c r="X7" s="209">
        <f>-SUMIF('Monthly Cashflow'!$A$6:$CN$6,'Dep &amp; Tax Schedule'!X$2,'Monthly Cashflow'!$A$19:$CN$19)-SUMIF('Monthly Cashflow'!$A$6:$CN$6,'Dep &amp; Tax Schedule'!X$2,'Monthly Cashflow'!$A$20:$CN$20)-SUMIF('Monthly Cashflow'!$A$6:$CN$6,'Dep &amp; Tax Schedule'!X$2,'Monthly Cashflow'!$A$22:$CN$22)-SUMIF('Monthly Cashflow'!$A$6:$CN$6,'Dep &amp; Tax Schedule'!X$2,'Monthly Cashflow'!$A$23:$CN$23)</f>
        <v>0</v>
      </c>
      <c r="Y7" s="209">
        <f>-SUMIF('Monthly Cashflow'!$A$6:$CN$6,'Dep &amp; Tax Schedule'!Y$2,'Monthly Cashflow'!$A$19:$CN$19)-SUMIF('Monthly Cashflow'!$A$6:$CN$6,'Dep &amp; Tax Schedule'!Y$2,'Monthly Cashflow'!$A$20:$CN$20)-SUMIF('Monthly Cashflow'!$A$6:$CN$6,'Dep &amp; Tax Schedule'!Y$2,'Monthly Cashflow'!$A$22:$CN$22)-SUMIF('Monthly Cashflow'!$A$6:$CN$6,'Dep &amp; Tax Schedule'!Y$2,'Monthly Cashflow'!$A$23:$CN$23)</f>
        <v>0</v>
      </c>
      <c r="Z7" s="401">
        <f>-SUMIF('Monthly Cashflow'!$A$6:$CN$6,'Dep &amp; Tax Schedule'!Z$2,'Monthly Cashflow'!$A$19:$CN$19)-SUMIF('Monthly Cashflow'!$A$6:$CN$6,'Dep &amp; Tax Schedule'!Z$2,'Monthly Cashflow'!$A$20:$CN$20)-SUMIF('Monthly Cashflow'!$A$6:$CN$6,'Dep &amp; Tax Schedule'!Z$2,'Monthly Cashflow'!$A$22:$CN$22)-SUMIF('Monthly Cashflow'!$A$6:$CN$6,'Dep &amp; Tax Schedule'!Z$2,'Monthly Cashflow'!$A$23:$CN$23)</f>
        <v>0</v>
      </c>
    </row>
    <row r="8" spans="2:26" ht="15.6" x14ac:dyDescent="0.3">
      <c r="B8" s="35" t="s">
        <v>173</v>
      </c>
      <c r="C8" s="400">
        <f ca="1">SUM(D8:M8)</f>
        <v>71.477443382360917</v>
      </c>
      <c r="D8" s="209">
        <f>IF(D1&lt;='Assumption Sheet'!$B$13,-SUMIF('Monthly Cashflow'!$A$6:$CN$6,'Dep &amp; Tax Schedule'!D$2,'Monthly Cashflow'!$A$32:$CN$32)-SUMIF('Monthly Cashflow'!$A$6:$CN$6,'Dep &amp; Tax Schedule'!D$2,'Monthly Cashflow'!$A$31:$CN$31),0)</f>
        <v>0</v>
      </c>
      <c r="E8" s="209">
        <f ca="1">-SUMIFS('Monthly Cashflow'!32:32,'Monthly Cashflow'!2:2,E1)</f>
        <v>2.1693459087494205</v>
      </c>
      <c r="F8" s="209">
        <f ca="1">-SUMIFS('Monthly Cashflow'!32:32,'Monthly Cashflow'!2:2,F1)</f>
        <v>8.6621414250100948</v>
      </c>
      <c r="G8" s="209">
        <f ca="1">-SUMIFS('Monthly Cashflow'!32:32,'Monthly Cashflow'!2:2,G1)</f>
        <v>16.225432504518174</v>
      </c>
      <c r="H8" s="209">
        <f ca="1">-SUMIFS('Monthly Cashflow'!32:32,'Monthly Cashflow'!2:2,H1)</f>
        <v>23.717046144711361</v>
      </c>
      <c r="I8" s="209">
        <f ca="1">-SUMIFS('Monthly Cashflow'!32:32,'Monthly Cashflow'!2:2,I1)+SUM('Monthly Cashflow'!BF32:BH32)</f>
        <v>20.703477399371859</v>
      </c>
      <c r="J8" s="209"/>
      <c r="K8" s="209">
        <f ca="1">-SUMIF('Monthly Cashflow'!$A$6:$CN$6,'Dep &amp; Tax Schedule'!K$2,'Monthly Cashflow'!$A$32:$CN$32)-SUMIF('Monthly Cashflow'!$A$6:$CN$6,'Dep &amp; Tax Schedule'!K$2,'Monthly Cashflow'!$A$31:$CN$31)</f>
        <v>0</v>
      </c>
      <c r="L8" s="209">
        <f ca="1">-SUMIF('Monthly Cashflow'!$A$6:$CN$6,'Dep &amp; Tax Schedule'!L$2,'Monthly Cashflow'!$A$32:$CN$32)-SUMIF('Monthly Cashflow'!$A$6:$CN$6,'Dep &amp; Tax Schedule'!L$2,'Monthly Cashflow'!$A$31:$CN$31)</f>
        <v>0</v>
      </c>
      <c r="M8" s="401">
        <f>-SUMIF('Monthly Cashflow'!$A$6:$CN$6,'Dep &amp; Tax Schedule'!M$2,'Monthly Cashflow'!$A$32:$CN$32)-SUMIF('Monthly Cashflow'!$A$6:$CN$6,'Dep &amp; Tax Schedule'!M$2,'Monthly Cashflow'!$A$31:$CN$31)</f>
        <v>0</v>
      </c>
      <c r="N8" s="209">
        <f>-SUMIF('Monthly Cashflow'!$A$6:$CN$6,'Dep &amp; Tax Schedule'!N$2,'Monthly Cashflow'!$A$32:$CN$32)-SUMIF('Monthly Cashflow'!$A$6:$CN$6,'Dep &amp; Tax Schedule'!N$2,'Monthly Cashflow'!$A$31:$CN$31)</f>
        <v>0</v>
      </c>
      <c r="O8" s="209">
        <f>-SUMIF('Monthly Cashflow'!$A$6:$CN$6,'Dep &amp; Tax Schedule'!O$2,'Monthly Cashflow'!$A$32:$CN$32)-SUMIF('Monthly Cashflow'!$A$6:$CN$6,'Dep &amp; Tax Schedule'!O$2,'Monthly Cashflow'!$A$31:$CN$31)</f>
        <v>0</v>
      </c>
      <c r="P8" s="209">
        <f>-SUMIF('Monthly Cashflow'!$A$6:$CN$6,'Dep &amp; Tax Schedule'!P$2,'Monthly Cashflow'!$A$32:$CN$32)-SUMIF('Monthly Cashflow'!$A$6:$CN$6,'Dep &amp; Tax Schedule'!P$2,'Monthly Cashflow'!$A$31:$CN$31)</f>
        <v>0</v>
      </c>
      <c r="Q8" s="209">
        <f>-SUMIF('Monthly Cashflow'!$A$6:$CN$6,'Dep &amp; Tax Schedule'!Q$2,'Monthly Cashflow'!$A$32:$CN$32)-SUMIF('Monthly Cashflow'!$A$6:$CN$6,'Dep &amp; Tax Schedule'!Q$2,'Monthly Cashflow'!$A$31:$CN$31)</f>
        <v>0</v>
      </c>
      <c r="R8" s="209">
        <f>-SUMIF('Monthly Cashflow'!$A$6:$CN$6,'Dep &amp; Tax Schedule'!R$2,'Monthly Cashflow'!$A$32:$CN$32)-SUMIF('Monthly Cashflow'!$A$6:$CN$6,'Dep &amp; Tax Schedule'!R$2,'Monthly Cashflow'!$A$31:$CN$31)</f>
        <v>0</v>
      </c>
      <c r="S8" s="209">
        <f>-SUMIF('Monthly Cashflow'!$A$6:$CN$6,'Dep &amp; Tax Schedule'!S$2,'Monthly Cashflow'!$A$32:$CN$32)-SUMIF('Monthly Cashflow'!$A$6:$CN$6,'Dep &amp; Tax Schedule'!S$2,'Monthly Cashflow'!$A$31:$CN$31)</f>
        <v>0</v>
      </c>
      <c r="T8" s="209">
        <f>-SUMIF('Monthly Cashflow'!$A$6:$CN$6,'Dep &amp; Tax Schedule'!T$2,'Monthly Cashflow'!$A$32:$CN$32)-SUMIF('Monthly Cashflow'!$A$6:$CN$6,'Dep &amp; Tax Schedule'!T$2,'Monthly Cashflow'!$A$31:$CN$31)</f>
        <v>0</v>
      </c>
      <c r="U8" s="209">
        <f>-SUMIF('Monthly Cashflow'!$A$6:$CN$6,'Dep &amp; Tax Schedule'!U$2,'Monthly Cashflow'!$A$32:$CN$32)-SUMIF('Monthly Cashflow'!$A$6:$CN$6,'Dep &amp; Tax Schedule'!U$2,'Monthly Cashflow'!$A$31:$CN$31)</f>
        <v>0</v>
      </c>
      <c r="V8" s="209">
        <f>-SUMIF('Monthly Cashflow'!$A$6:$CN$6,'Dep &amp; Tax Schedule'!V$2,'Monthly Cashflow'!$A$32:$CN$32)-SUMIF('Monthly Cashflow'!$A$6:$CN$6,'Dep &amp; Tax Schedule'!V$2,'Monthly Cashflow'!$A$31:$CN$31)</f>
        <v>0</v>
      </c>
      <c r="W8" s="209">
        <f>-SUMIF('Monthly Cashflow'!$A$6:$CN$6,'Dep &amp; Tax Schedule'!W$2,'Monthly Cashflow'!$A$32:$CN$32)-SUMIF('Monthly Cashflow'!$A$6:$CN$6,'Dep &amp; Tax Schedule'!W$2,'Monthly Cashflow'!$A$31:$CN$31)</f>
        <v>0</v>
      </c>
      <c r="X8" s="209">
        <f>-SUMIF('Monthly Cashflow'!$A$6:$CN$6,'Dep &amp; Tax Schedule'!X$2,'Monthly Cashflow'!$A$32:$CN$32)-SUMIF('Monthly Cashflow'!$A$6:$CN$6,'Dep &amp; Tax Schedule'!X$2,'Monthly Cashflow'!$A$31:$CN$31)</f>
        <v>0</v>
      </c>
      <c r="Y8" s="209">
        <f>-SUMIF('Monthly Cashflow'!$A$6:$CN$6,'Dep &amp; Tax Schedule'!Y$2,'Monthly Cashflow'!$A$32:$CN$32)-SUMIF('Monthly Cashflow'!$A$6:$CN$6,'Dep &amp; Tax Schedule'!Y$2,'Monthly Cashflow'!$A$31:$CN$31)</f>
        <v>0</v>
      </c>
      <c r="Z8" s="401">
        <f>-SUMIF('Monthly Cashflow'!$A$6:$CN$6,'Dep &amp; Tax Schedule'!Z$2,'Monthly Cashflow'!$A$32:$CN$32)-SUMIF('Monthly Cashflow'!$A$6:$CN$6,'Dep &amp; Tax Schedule'!Z$2,'Monthly Cashflow'!$A$31:$CN$31)</f>
        <v>0</v>
      </c>
    </row>
    <row r="9" spans="2:26" x14ac:dyDescent="0.3">
      <c r="B9" s="36" t="s">
        <v>157</v>
      </c>
      <c r="C9" s="402">
        <f t="shared" ref="C9:I9" ca="1" si="4">SUM(C5:C8)</f>
        <v>538.64579662368772</v>
      </c>
      <c r="D9" s="209">
        <f t="shared" si="4"/>
        <v>0</v>
      </c>
      <c r="E9" s="209">
        <f t="shared" ca="1" si="4"/>
        <v>105.80183920054468</v>
      </c>
      <c r="F9" s="209">
        <f t="shared" ca="1" si="4"/>
        <v>130.70551203193241</v>
      </c>
      <c r="G9" s="209">
        <f t="shared" ca="1" si="4"/>
        <v>140.68764516244249</v>
      </c>
      <c r="H9" s="209">
        <f t="shared" ca="1" si="4"/>
        <v>125.36629415090401</v>
      </c>
      <c r="I9" s="209">
        <f t="shared" ca="1" si="4"/>
        <v>36.084506077864155</v>
      </c>
      <c r="J9" s="209">
        <f t="shared" ref="J9:M9" si="5">SUM(J5:J8)</f>
        <v>0</v>
      </c>
      <c r="K9" s="209">
        <f ca="1">SUM(K5:K8)</f>
        <v>0</v>
      </c>
      <c r="L9" s="209">
        <f ca="1">SUM(L5:L8)</f>
        <v>0</v>
      </c>
      <c r="M9" s="401">
        <f t="shared" si="5"/>
        <v>0</v>
      </c>
      <c r="N9" s="209">
        <f>SUM(N5:N8)</f>
        <v>0</v>
      </c>
      <c r="O9" s="209">
        <f>SUM(O5:O8)</f>
        <v>0</v>
      </c>
      <c r="P9" s="209">
        <f>SUM(P5:P8)</f>
        <v>0</v>
      </c>
      <c r="Q9" s="209">
        <f>SUM(Q5:Q8)</f>
        <v>0</v>
      </c>
      <c r="R9" s="209">
        <f t="shared" ref="R9:Z9" si="6">SUM(R5:R8)</f>
        <v>0</v>
      </c>
      <c r="S9" s="209">
        <f t="shared" si="6"/>
        <v>0</v>
      </c>
      <c r="T9" s="209">
        <f t="shared" si="6"/>
        <v>0</v>
      </c>
      <c r="U9" s="209">
        <f t="shared" si="6"/>
        <v>0</v>
      </c>
      <c r="V9" s="209">
        <f t="shared" si="6"/>
        <v>0</v>
      </c>
      <c r="W9" s="209">
        <f t="shared" si="6"/>
        <v>0</v>
      </c>
      <c r="X9" s="209">
        <f t="shared" si="6"/>
        <v>0</v>
      </c>
      <c r="Y9" s="209">
        <f t="shared" si="6"/>
        <v>0</v>
      </c>
      <c r="Z9" s="401">
        <f t="shared" si="6"/>
        <v>0</v>
      </c>
    </row>
    <row r="10" spans="2:26" x14ac:dyDescent="0.3">
      <c r="B10" s="35" t="s">
        <v>175</v>
      </c>
      <c r="C10" s="209">
        <f ca="1">C9-C5</f>
        <v>491.06579662368773</v>
      </c>
      <c r="D10" s="209">
        <f t="shared" ref="D10:M10" si="7">D9-D5</f>
        <v>0</v>
      </c>
      <c r="E10" s="209">
        <f ca="1">E9-E5</f>
        <v>58.221839200544679</v>
      </c>
      <c r="F10" s="209">
        <f ca="1">F9-F5</f>
        <v>130.70551203193241</v>
      </c>
      <c r="G10" s="209">
        <f ca="1">G9-G5</f>
        <v>140.68764516244249</v>
      </c>
      <c r="H10" s="209">
        <f ca="1">H9-H5</f>
        <v>125.36629415090401</v>
      </c>
      <c r="I10" s="209">
        <f ca="1">I9-I5</f>
        <v>36.084506077864155</v>
      </c>
      <c r="J10" s="209">
        <f t="shared" si="7"/>
        <v>0</v>
      </c>
      <c r="K10" s="209">
        <f ca="1">K9-K5</f>
        <v>0</v>
      </c>
      <c r="L10" s="209">
        <f ca="1">L9-L5</f>
        <v>0</v>
      </c>
      <c r="M10" s="401">
        <f t="shared" si="7"/>
        <v>0</v>
      </c>
      <c r="N10" s="209">
        <f>N9-N5</f>
        <v>0</v>
      </c>
      <c r="O10" s="209">
        <f>O9-O5</f>
        <v>0</v>
      </c>
      <c r="P10" s="209">
        <f>P9-P5</f>
        <v>0</v>
      </c>
      <c r="Q10" s="209">
        <f>Q9-Q5</f>
        <v>0</v>
      </c>
      <c r="R10" s="209">
        <f t="shared" ref="R10:Z10" si="8">R9-R5</f>
        <v>0</v>
      </c>
      <c r="S10" s="209">
        <f t="shared" si="8"/>
        <v>0</v>
      </c>
      <c r="T10" s="209">
        <f t="shared" si="8"/>
        <v>0</v>
      </c>
      <c r="U10" s="209">
        <f t="shared" si="8"/>
        <v>0</v>
      </c>
      <c r="V10" s="209">
        <f t="shared" si="8"/>
        <v>0</v>
      </c>
      <c r="W10" s="209">
        <f t="shared" si="8"/>
        <v>0</v>
      </c>
      <c r="X10" s="209">
        <f t="shared" si="8"/>
        <v>0</v>
      </c>
      <c r="Y10" s="209">
        <f t="shared" si="8"/>
        <v>0</v>
      </c>
      <c r="Z10" s="401">
        <f t="shared" si="8"/>
        <v>0</v>
      </c>
    </row>
    <row r="11" spans="2:26" x14ac:dyDescent="0.3">
      <c r="B11" s="38" t="s">
        <v>176</v>
      </c>
      <c r="C11" s="403"/>
      <c r="D11" s="403">
        <f>D10</f>
        <v>0</v>
      </c>
      <c r="E11" s="403">
        <f t="shared" ref="E11:Q11" ca="1" si="9">D11+E10</f>
        <v>58.221839200544679</v>
      </c>
      <c r="F11" s="403">
        <f t="shared" ca="1" si="9"/>
        <v>188.92735123247709</v>
      </c>
      <c r="G11" s="403">
        <f t="shared" ca="1" si="9"/>
        <v>329.61499639491956</v>
      </c>
      <c r="H11" s="403">
        <f t="shared" ca="1" si="9"/>
        <v>454.98129054582358</v>
      </c>
      <c r="I11" s="403">
        <f t="shared" ca="1" si="9"/>
        <v>491.06579662368773</v>
      </c>
      <c r="J11" s="403">
        <f t="shared" ca="1" si="9"/>
        <v>491.06579662368773</v>
      </c>
      <c r="K11" s="403">
        <f t="shared" ca="1" si="9"/>
        <v>491.06579662368773</v>
      </c>
      <c r="L11" s="403">
        <f t="shared" ca="1" si="9"/>
        <v>491.06579662368773</v>
      </c>
      <c r="M11" s="404">
        <f t="shared" ca="1" si="9"/>
        <v>491.06579662368773</v>
      </c>
      <c r="N11" s="403">
        <f t="shared" ca="1" si="9"/>
        <v>491.06579662368773</v>
      </c>
      <c r="O11" s="403">
        <f t="shared" ca="1" si="9"/>
        <v>491.06579662368773</v>
      </c>
      <c r="P11" s="403">
        <f t="shared" ca="1" si="9"/>
        <v>491.06579662368773</v>
      </c>
      <c r="Q11" s="403">
        <f t="shared" ca="1" si="9"/>
        <v>491.06579662368773</v>
      </c>
      <c r="R11" s="403">
        <f t="shared" ref="R11" ca="1" si="10">Q11+R10</f>
        <v>491.06579662368773</v>
      </c>
      <c r="S11" s="403">
        <f t="shared" ref="S11" ca="1" si="11">R11+S10</f>
        <v>491.06579662368773</v>
      </c>
      <c r="T11" s="403">
        <f t="shared" ref="T11" ca="1" si="12">S11+T10</f>
        <v>491.06579662368773</v>
      </c>
      <c r="U11" s="403">
        <f t="shared" ref="U11" ca="1" si="13">T11+U10</f>
        <v>491.06579662368773</v>
      </c>
      <c r="V11" s="403">
        <f t="shared" ref="V11" ca="1" si="14">U11+V10</f>
        <v>491.06579662368773</v>
      </c>
      <c r="W11" s="403">
        <f t="shared" ref="W11" ca="1" si="15">V11+W10</f>
        <v>491.06579662368773</v>
      </c>
      <c r="X11" s="403">
        <f t="shared" ref="X11" ca="1" si="16">W11+X10</f>
        <v>491.06579662368773</v>
      </c>
      <c r="Y11" s="403">
        <f t="shared" ref="Y11" ca="1" si="17">X11+Y10</f>
        <v>491.06579662368773</v>
      </c>
      <c r="Z11" s="404">
        <f t="shared" ref="Z11" ca="1" si="18">Y11+Z10</f>
        <v>491.06579662368773</v>
      </c>
    </row>
    <row r="13" spans="2:26" x14ac:dyDescent="0.3">
      <c r="B13" s="396" t="s">
        <v>177</v>
      </c>
      <c r="C13" s="405"/>
      <c r="D13" s="406">
        <f>MAX(SUMIF(Leasing!$E$4:$FS$4,'Dep &amp; Tax Schedule'!D$2,Leasing!$E$24:$FY$24),0)</f>
        <v>0</v>
      </c>
      <c r="E13" s="406">
        <f>MAX(SUMIF(Leasing!$E$4:$FS$4,'Dep &amp; Tax Schedule'!E$2,Leasing!$E$24:$FY$24),0)</f>
        <v>0</v>
      </c>
      <c r="F13" s="406">
        <f>MAX(SUMIF(Leasing!$E$4:$FS$4,'Dep &amp; Tax Schedule'!F$2,Leasing!$E$24:$FY$24),0)</f>
        <v>255179.83111949998</v>
      </c>
      <c r="G13" s="406">
        <f>MAX(SUMIF(Leasing!$E$4:$FS$4,'Dep &amp; Tax Schedule'!G$2,Leasing!$E$24:$FY$24),0)</f>
        <v>494269.88677604997</v>
      </c>
      <c r="H13" s="406">
        <f>MAX(SUMIF(Leasing!$E$4:$FS$4,'Dep &amp; Tax Schedule'!H$2,Leasing!$E$24:$FY$24),0)</f>
        <v>206036.28768239997</v>
      </c>
      <c r="I13" s="406">
        <f>MAX(SUMIF(Leasing!$E$4:$FS$4,'Dep &amp; Tax Schedule'!I$2,Leasing!$E$24:$FY$24),0)</f>
        <v>442012.39012454997</v>
      </c>
      <c r="J13" s="406">
        <f>MAX(SUMIF(Leasing!$E$4:$FS$4,'Dep &amp; Tax Schedule'!J$2,Leasing!$E$24:$FY$24),0)</f>
        <v>92093.425793250091</v>
      </c>
      <c r="K13" s="406">
        <f>MAX(SUMIF(Leasing!$E$4:$FS$4,'Dep &amp; Tax Schedule'!K$2,Leasing!$E$24:$FY$24),0)</f>
        <v>0</v>
      </c>
      <c r="L13" s="406">
        <f>MAX(SUMIF(Leasing!$E$4:$FS$4,'Dep &amp; Tax Schedule'!L$2,Leasing!$E$24:$FY$24),0)</f>
        <v>0</v>
      </c>
      <c r="M13" s="407">
        <f>MAX(SUMIF(Leasing!$E$4:$FS$4,'Dep &amp; Tax Schedule'!M$2,Leasing!$E$24:$FY$24),0)</f>
        <v>0</v>
      </c>
      <c r="N13" s="406">
        <f>MAX(SUMIF(Leasing!$E$4:$FS$4,'Dep &amp; Tax Schedule'!N$2,Leasing!$E$24:$FY$24),0)</f>
        <v>0</v>
      </c>
      <c r="O13" s="406">
        <f>MAX(SUMIF(Leasing!$E$4:$FS$4,'Dep &amp; Tax Schedule'!O$2,Leasing!$E$24:$FY$24),0)</f>
        <v>0</v>
      </c>
      <c r="P13" s="406">
        <f>MAX(SUMIF(Leasing!$E$4:$FS$4,'Dep &amp; Tax Schedule'!P$2,Leasing!$E$24:$FY$24),0)</f>
        <v>0</v>
      </c>
      <c r="Q13" s="406">
        <f>MAX(SUMIF(Leasing!$E$4:$FS$4,'Dep &amp; Tax Schedule'!Q$2,Leasing!$E$24:$FY$24),0)</f>
        <v>0</v>
      </c>
      <c r="R13" s="406">
        <f>MAX(SUMIF(Leasing!$E$4:$FS$4,'Dep &amp; Tax Schedule'!R$2,Leasing!$E$24:$FY$24),0)</f>
        <v>0</v>
      </c>
      <c r="S13" s="406">
        <f>MAX(SUMIF(Leasing!$E$4:$FS$4,'Dep &amp; Tax Schedule'!S$2,Leasing!$E$24:$FY$24),0)</f>
        <v>0</v>
      </c>
      <c r="T13" s="406">
        <f>MAX(SUMIF(Leasing!$E$4:$FS$4,'Dep &amp; Tax Schedule'!T$2,Leasing!$E$24:$FY$24),0)</f>
        <v>0</v>
      </c>
      <c r="U13" s="406">
        <f>MAX(SUMIF(Leasing!$E$4:$FS$4,'Dep &amp; Tax Schedule'!U$2,Leasing!$E$24:$FY$24),0)</f>
        <v>0</v>
      </c>
      <c r="V13" s="406">
        <f>MAX(SUMIF(Leasing!$E$4:$FS$4,'Dep &amp; Tax Schedule'!V$2,Leasing!$E$24:$FY$24),0)</f>
        <v>0</v>
      </c>
      <c r="W13" s="406">
        <f>MAX(SUMIF(Leasing!$E$4:$FS$4,'Dep &amp; Tax Schedule'!W$2,Leasing!$E$24:$FY$24),0)</f>
        <v>0</v>
      </c>
      <c r="X13" s="406">
        <f>MAX(SUMIF(Leasing!$E$4:$FS$4,'Dep &amp; Tax Schedule'!X$2,Leasing!$E$24:$FY$24),0)</f>
        <v>0</v>
      </c>
      <c r="Y13" s="406">
        <f>MAX(SUMIF(Leasing!$E$4:$FS$4,'Dep &amp; Tax Schedule'!Y$2,Leasing!$E$24:$FY$24),0)</f>
        <v>0</v>
      </c>
      <c r="Z13" s="407">
        <f>MAX(SUMIF(Leasing!$E$4:$FS$4,'Dep &amp; Tax Schedule'!Z$2,Leasing!$E$24:$FY$24),0)</f>
        <v>0</v>
      </c>
    </row>
    <row r="14" spans="2:26" x14ac:dyDescent="0.3">
      <c r="B14" s="35" t="s">
        <v>178</v>
      </c>
      <c r="D14" s="408">
        <f>D13/'Assumption Sheet'!$C$38</f>
        <v>0</v>
      </c>
      <c r="E14" s="408">
        <f>E13/'Assumption Sheet'!$C$38</f>
        <v>0</v>
      </c>
      <c r="F14" s="408">
        <f>F13/'Assumption Sheet'!$C$38</f>
        <v>0.17130856079973988</v>
      </c>
      <c r="G14" s="408">
        <f>G13/'Assumption Sheet'!$C$38</f>
        <v>0.33181565556646031</v>
      </c>
      <c r="H14" s="408">
        <f>H13/'Assumption Sheet'!$C$38</f>
        <v>0.13831727907549324</v>
      </c>
      <c r="I14" s="408">
        <f>I13/'Assumption Sheet'!$C$38</f>
        <v>0.2967338996804576</v>
      </c>
      <c r="J14" s="408">
        <f>J13/'Assumption Sheet'!$C$38</f>
        <v>6.1824604877848979E-2</v>
      </c>
      <c r="K14" s="408">
        <f>K13/'Assumption Sheet'!$C$38</f>
        <v>0</v>
      </c>
      <c r="L14" s="408">
        <f>L13/'Assumption Sheet'!$C$38</f>
        <v>0</v>
      </c>
      <c r="M14" s="409">
        <f>M13/'Assumption Sheet'!$C$38</f>
        <v>0</v>
      </c>
      <c r="N14" s="408">
        <f>N13/'Assumption Sheet'!$C$38</f>
        <v>0</v>
      </c>
      <c r="O14" s="408">
        <f>O13/'Assumption Sheet'!$C$38</f>
        <v>0</v>
      </c>
      <c r="P14" s="408">
        <f>P13/'Assumption Sheet'!$C$38</f>
        <v>0</v>
      </c>
      <c r="Q14" s="408">
        <f>Q13/'Assumption Sheet'!$C$38</f>
        <v>0</v>
      </c>
      <c r="R14" s="408">
        <f>R13/'Assumption Sheet'!$C$38</f>
        <v>0</v>
      </c>
      <c r="S14" s="408">
        <f>S13/'Assumption Sheet'!$C$38</f>
        <v>0</v>
      </c>
      <c r="T14" s="408">
        <f>T13/'Assumption Sheet'!$C$38</f>
        <v>0</v>
      </c>
      <c r="U14" s="408">
        <f>U13/'Assumption Sheet'!$C$38</f>
        <v>0</v>
      </c>
      <c r="V14" s="408">
        <f>V13/'Assumption Sheet'!$C$38</f>
        <v>0</v>
      </c>
      <c r="W14" s="408">
        <f>W13/'Assumption Sheet'!$C$38</f>
        <v>0</v>
      </c>
      <c r="X14" s="408">
        <f>X13/'Assumption Sheet'!$C$38</f>
        <v>0</v>
      </c>
      <c r="Y14" s="408">
        <f>Y13/'Assumption Sheet'!$C$38</f>
        <v>0</v>
      </c>
      <c r="Z14" s="409">
        <f>Z13/'Assumption Sheet'!$C$38</f>
        <v>0</v>
      </c>
    </row>
    <row r="15" spans="2:26" x14ac:dyDescent="0.3">
      <c r="B15" s="35" t="s">
        <v>179</v>
      </c>
      <c r="D15" s="408">
        <f>D14</f>
        <v>0</v>
      </c>
      <c r="E15" s="408">
        <f>D15+E14</f>
        <v>0</v>
      </c>
      <c r="F15" s="408">
        <f t="shared" ref="F15:M15" si="19">E15+F14</f>
        <v>0.17130856079973988</v>
      </c>
      <c r="G15" s="408">
        <f t="shared" si="19"/>
        <v>0.50312421636620019</v>
      </c>
      <c r="H15" s="408">
        <f t="shared" si="19"/>
        <v>0.64144149544169338</v>
      </c>
      <c r="I15" s="408">
        <f t="shared" si="19"/>
        <v>0.93817539512215098</v>
      </c>
      <c r="J15" s="408">
        <f t="shared" si="19"/>
        <v>1</v>
      </c>
      <c r="K15" s="408">
        <f t="shared" si="19"/>
        <v>1</v>
      </c>
      <c r="L15" s="408">
        <f t="shared" si="19"/>
        <v>1</v>
      </c>
      <c r="M15" s="409">
        <f t="shared" si="19"/>
        <v>1</v>
      </c>
      <c r="N15" s="408">
        <f>M15+N14</f>
        <v>1</v>
      </c>
      <c r="O15" s="408">
        <f>N15+O14</f>
        <v>1</v>
      </c>
      <c r="P15" s="408">
        <f>O15+P14</f>
        <v>1</v>
      </c>
      <c r="Q15" s="408">
        <f>P15+Q14</f>
        <v>1</v>
      </c>
      <c r="R15" s="408">
        <f t="shared" ref="R15:Z15" si="20">Q15+R14</f>
        <v>1</v>
      </c>
      <c r="S15" s="408">
        <f t="shared" si="20"/>
        <v>1</v>
      </c>
      <c r="T15" s="408">
        <f t="shared" si="20"/>
        <v>1</v>
      </c>
      <c r="U15" s="408">
        <f t="shared" si="20"/>
        <v>1</v>
      </c>
      <c r="V15" s="408">
        <f t="shared" si="20"/>
        <v>1</v>
      </c>
      <c r="W15" s="408">
        <f t="shared" si="20"/>
        <v>1</v>
      </c>
      <c r="X15" s="408">
        <f t="shared" si="20"/>
        <v>1</v>
      </c>
      <c r="Y15" s="408">
        <f t="shared" si="20"/>
        <v>1</v>
      </c>
      <c r="Z15" s="409">
        <f t="shared" si="20"/>
        <v>1</v>
      </c>
    </row>
    <row r="16" spans="2:26" x14ac:dyDescent="0.3">
      <c r="B16" s="35" t="s">
        <v>180</v>
      </c>
      <c r="D16" s="590">
        <f>100%-D15</f>
        <v>1</v>
      </c>
      <c r="E16" s="590">
        <f t="shared" ref="E16:M16" si="21">100%-E15</f>
        <v>1</v>
      </c>
      <c r="F16" s="590">
        <f t="shared" si="21"/>
        <v>0.82869143920026012</v>
      </c>
      <c r="G16" s="590">
        <f t="shared" si="21"/>
        <v>0.49687578363379981</v>
      </c>
      <c r="H16" s="590">
        <f t="shared" si="21"/>
        <v>0.35855850455830662</v>
      </c>
      <c r="I16" s="590">
        <f t="shared" si="21"/>
        <v>6.1824604877849021E-2</v>
      </c>
      <c r="J16" s="590">
        <f t="shared" si="21"/>
        <v>0</v>
      </c>
      <c r="K16" s="590">
        <f t="shared" si="21"/>
        <v>0</v>
      </c>
      <c r="L16" s="590">
        <f t="shared" si="21"/>
        <v>0</v>
      </c>
      <c r="M16" s="410">
        <f t="shared" si="21"/>
        <v>0</v>
      </c>
      <c r="N16" s="590">
        <f>100%-N15</f>
        <v>0</v>
      </c>
      <c r="O16" s="590">
        <f>100%-O15</f>
        <v>0</v>
      </c>
      <c r="P16" s="590">
        <f>100%-P15</f>
        <v>0</v>
      </c>
      <c r="Q16" s="590">
        <f>100%-Q15</f>
        <v>0</v>
      </c>
      <c r="R16" s="590">
        <f t="shared" ref="R16:Z16" si="22">100%-R15</f>
        <v>0</v>
      </c>
      <c r="S16" s="590">
        <f t="shared" si="22"/>
        <v>0</v>
      </c>
      <c r="T16" s="590">
        <f t="shared" si="22"/>
        <v>0</v>
      </c>
      <c r="U16" s="590">
        <f t="shared" si="22"/>
        <v>0</v>
      </c>
      <c r="V16" s="590">
        <f t="shared" si="22"/>
        <v>0</v>
      </c>
      <c r="W16" s="590">
        <f t="shared" si="22"/>
        <v>0</v>
      </c>
      <c r="X16" s="590">
        <f t="shared" si="22"/>
        <v>0</v>
      </c>
      <c r="Y16" s="590">
        <f t="shared" si="22"/>
        <v>0</v>
      </c>
      <c r="Z16" s="410">
        <f t="shared" si="22"/>
        <v>0</v>
      </c>
    </row>
    <row r="17" spans="1:26" ht="27.6" x14ac:dyDescent="0.3">
      <c r="B17" s="411" t="s">
        <v>181</v>
      </c>
      <c r="C17" s="592">
        <f ca="1">SUM(D17:M17)</f>
        <v>491.06579662368773</v>
      </c>
      <c r="D17" s="209">
        <f ca="1">D18</f>
        <v>0</v>
      </c>
      <c r="E17" s="209">
        <f t="shared" ref="E17:Q17" ca="1" si="23">E18-D18</f>
        <v>0</v>
      </c>
      <c r="F17" s="209">
        <f t="shared" ca="1" si="23"/>
        <v>84.12377487758171</v>
      </c>
      <c r="G17" s="209">
        <f t="shared" ca="1" si="23"/>
        <v>162.94331923295499</v>
      </c>
      <c r="H17" s="209">
        <f t="shared" ca="1" si="23"/>
        <v>67.922884836028032</v>
      </c>
      <c r="I17" s="209">
        <f t="shared" ca="1" si="23"/>
        <v>145.71586883183733</v>
      </c>
      <c r="J17" s="209">
        <f t="shared" ca="1" si="23"/>
        <v>30.359948845285658</v>
      </c>
      <c r="K17" s="209">
        <f t="shared" ca="1" si="23"/>
        <v>0</v>
      </c>
      <c r="L17" s="209">
        <f t="shared" ca="1" si="23"/>
        <v>0</v>
      </c>
      <c r="M17" s="401">
        <f t="shared" ca="1" si="23"/>
        <v>0</v>
      </c>
      <c r="N17" s="209">
        <f t="shared" ca="1" si="23"/>
        <v>0</v>
      </c>
      <c r="O17" s="209">
        <f t="shared" ca="1" si="23"/>
        <v>0</v>
      </c>
      <c r="P17" s="209">
        <f t="shared" ca="1" si="23"/>
        <v>0</v>
      </c>
      <c r="Q17" s="209">
        <f t="shared" ca="1" si="23"/>
        <v>0</v>
      </c>
      <c r="R17" s="209">
        <f t="shared" ref="R17" ca="1" si="24">R18-Q18</f>
        <v>0</v>
      </c>
      <c r="S17" s="209">
        <f t="shared" ref="S17" ca="1" si="25">S18-R18</f>
        <v>0</v>
      </c>
      <c r="T17" s="209">
        <f t="shared" ref="T17" ca="1" si="26">T18-S18</f>
        <v>0</v>
      </c>
      <c r="U17" s="209">
        <f t="shared" ref="U17" ca="1" si="27">U18-T18</f>
        <v>0</v>
      </c>
      <c r="V17" s="209">
        <f t="shared" ref="V17" ca="1" si="28">V18-U18</f>
        <v>0</v>
      </c>
      <c r="W17" s="209">
        <f t="shared" ref="W17" ca="1" si="29">W18-V18</f>
        <v>0</v>
      </c>
      <c r="X17" s="209">
        <f t="shared" ref="X17" ca="1" si="30">X18-W18</f>
        <v>0</v>
      </c>
      <c r="Y17" s="209">
        <f t="shared" ref="Y17" ca="1" si="31">Y18-X18</f>
        <v>0</v>
      </c>
      <c r="Z17" s="401">
        <f t="shared" ref="Z17" ca="1" si="32">Z18-Y18</f>
        <v>0</v>
      </c>
    </row>
    <row r="18" spans="1:26" x14ac:dyDescent="0.3">
      <c r="B18" s="35" t="s">
        <v>182</v>
      </c>
      <c r="D18" s="209">
        <f t="shared" ref="D18:Q18" ca="1" si="33">(1-D16)*$C$10</f>
        <v>0</v>
      </c>
      <c r="E18" s="209">
        <f t="shared" ca="1" si="33"/>
        <v>0</v>
      </c>
      <c r="F18" s="209">
        <f t="shared" ca="1" si="33"/>
        <v>84.12377487758171</v>
      </c>
      <c r="G18" s="209">
        <f t="shared" ca="1" si="33"/>
        <v>247.06709411053671</v>
      </c>
      <c r="H18" s="209">
        <f t="shared" ca="1" si="33"/>
        <v>314.98997894656475</v>
      </c>
      <c r="I18" s="209">
        <f t="shared" ca="1" si="33"/>
        <v>460.70584777840207</v>
      </c>
      <c r="J18" s="209">
        <f t="shared" ca="1" si="33"/>
        <v>491.06579662368773</v>
      </c>
      <c r="K18" s="209">
        <f t="shared" ca="1" si="33"/>
        <v>491.06579662368773</v>
      </c>
      <c r="L18" s="209">
        <f t="shared" ca="1" si="33"/>
        <v>491.06579662368773</v>
      </c>
      <c r="M18" s="401">
        <f t="shared" ca="1" si="33"/>
        <v>491.06579662368773</v>
      </c>
      <c r="N18" s="209">
        <f t="shared" ca="1" si="33"/>
        <v>491.06579662368773</v>
      </c>
      <c r="O18" s="209">
        <f t="shared" ca="1" si="33"/>
        <v>491.06579662368773</v>
      </c>
      <c r="P18" s="209">
        <f t="shared" ca="1" si="33"/>
        <v>491.06579662368773</v>
      </c>
      <c r="Q18" s="209">
        <f t="shared" ca="1" si="33"/>
        <v>491.06579662368773</v>
      </c>
      <c r="R18" s="209">
        <f t="shared" ref="R18:Z18" ca="1" si="34">(1-R16)*$C$10</f>
        <v>491.06579662368773</v>
      </c>
      <c r="S18" s="209">
        <f t="shared" ca="1" si="34"/>
        <v>491.06579662368773</v>
      </c>
      <c r="T18" s="209">
        <f t="shared" ca="1" si="34"/>
        <v>491.06579662368773</v>
      </c>
      <c r="U18" s="209">
        <f t="shared" ca="1" si="34"/>
        <v>491.06579662368773</v>
      </c>
      <c r="V18" s="209">
        <f t="shared" ca="1" si="34"/>
        <v>491.06579662368773</v>
      </c>
      <c r="W18" s="209">
        <f t="shared" ca="1" si="34"/>
        <v>491.06579662368773</v>
      </c>
      <c r="X18" s="209">
        <f t="shared" ca="1" si="34"/>
        <v>491.06579662368773</v>
      </c>
      <c r="Y18" s="209">
        <f t="shared" ca="1" si="34"/>
        <v>491.06579662368773</v>
      </c>
      <c r="Z18" s="401">
        <f t="shared" ca="1" si="34"/>
        <v>491.06579662368773</v>
      </c>
    </row>
    <row r="19" spans="1:26" x14ac:dyDescent="0.3">
      <c r="B19" s="38" t="s">
        <v>168</v>
      </c>
      <c r="C19" s="393"/>
      <c r="D19" s="403">
        <f t="shared" ref="D19:Q19" ca="1" si="35">D11-D18</f>
        <v>0</v>
      </c>
      <c r="E19" s="403">
        <f t="shared" ca="1" si="35"/>
        <v>58.221839200544679</v>
      </c>
      <c r="F19" s="403">
        <f t="shared" ca="1" si="35"/>
        <v>104.80357635489538</v>
      </c>
      <c r="G19" s="403">
        <f t="shared" ca="1" si="35"/>
        <v>82.547902284382843</v>
      </c>
      <c r="H19" s="403">
        <f t="shared" ca="1" si="35"/>
        <v>139.99131159925884</v>
      </c>
      <c r="I19" s="403">
        <f t="shared" ca="1" si="35"/>
        <v>30.359948845285658</v>
      </c>
      <c r="J19" s="403">
        <f t="shared" ca="1" si="35"/>
        <v>0</v>
      </c>
      <c r="K19" s="403">
        <f t="shared" ca="1" si="35"/>
        <v>0</v>
      </c>
      <c r="L19" s="403">
        <f t="shared" ca="1" si="35"/>
        <v>0</v>
      </c>
      <c r="M19" s="404">
        <f t="shared" ca="1" si="35"/>
        <v>0</v>
      </c>
      <c r="N19" s="403">
        <f t="shared" ca="1" si="35"/>
        <v>0</v>
      </c>
      <c r="O19" s="403">
        <f t="shared" ca="1" si="35"/>
        <v>0</v>
      </c>
      <c r="P19" s="403">
        <f t="shared" ca="1" si="35"/>
        <v>0</v>
      </c>
      <c r="Q19" s="403">
        <f t="shared" ca="1" si="35"/>
        <v>0</v>
      </c>
      <c r="R19" s="403">
        <f t="shared" ref="R19:Z19" ca="1" si="36">R11-R18</f>
        <v>0</v>
      </c>
      <c r="S19" s="403">
        <f t="shared" ca="1" si="36"/>
        <v>0</v>
      </c>
      <c r="T19" s="403">
        <f t="shared" ca="1" si="36"/>
        <v>0</v>
      </c>
      <c r="U19" s="403">
        <f t="shared" ca="1" si="36"/>
        <v>0</v>
      </c>
      <c r="V19" s="403">
        <f t="shared" ca="1" si="36"/>
        <v>0</v>
      </c>
      <c r="W19" s="403">
        <f t="shared" ca="1" si="36"/>
        <v>0</v>
      </c>
      <c r="X19" s="403">
        <f t="shared" ca="1" si="36"/>
        <v>0</v>
      </c>
      <c r="Y19" s="403">
        <f t="shared" ca="1" si="36"/>
        <v>0</v>
      </c>
      <c r="Z19" s="404">
        <f t="shared" ca="1" si="36"/>
        <v>0</v>
      </c>
    </row>
    <row r="22" spans="1:26" x14ac:dyDescent="0.3">
      <c r="B22" s="31" t="s">
        <v>161</v>
      </c>
    </row>
    <row r="24" spans="1:26" x14ac:dyDescent="0.3">
      <c r="B24" s="25" t="s">
        <v>162</v>
      </c>
      <c r="C24" s="412">
        <f ca="1">M27</f>
        <v>491.06579662368773</v>
      </c>
    </row>
    <row r="25" spans="1:26" x14ac:dyDescent="0.3">
      <c r="B25" s="25" t="s">
        <v>163</v>
      </c>
      <c r="C25" s="413">
        <v>3.3300000000000003E-2</v>
      </c>
    </row>
    <row r="27" spans="1:26" x14ac:dyDescent="0.3">
      <c r="A27" s="414"/>
      <c r="B27" s="396" t="s">
        <v>164</v>
      </c>
      <c r="C27" s="405"/>
      <c r="D27" s="398">
        <v>0</v>
      </c>
      <c r="E27" s="398">
        <f t="shared" ref="E27:Q27" ca="1" si="37">D30</f>
        <v>0</v>
      </c>
      <c r="F27" s="398">
        <f t="shared" ca="1" si="37"/>
        <v>0</v>
      </c>
      <c r="G27" s="398">
        <f t="shared" ca="1" si="37"/>
        <v>84.12377487758171</v>
      </c>
      <c r="H27" s="398">
        <f t="shared" ca="1" si="37"/>
        <v>247.06709411053669</v>
      </c>
      <c r="I27" s="398">
        <f t="shared" ca="1" si="37"/>
        <v>314.98997894656475</v>
      </c>
      <c r="J27" s="398">
        <f t="shared" ca="1" si="37"/>
        <v>460.70584777840207</v>
      </c>
      <c r="K27" s="398">
        <f t="shared" ca="1" si="37"/>
        <v>491.06579662368773</v>
      </c>
      <c r="L27" s="398">
        <f t="shared" ca="1" si="37"/>
        <v>491.06579662368773</v>
      </c>
      <c r="M27" s="398">
        <f t="shared" ca="1" si="37"/>
        <v>491.06579662368773</v>
      </c>
      <c r="N27" s="398">
        <f t="shared" ca="1" si="37"/>
        <v>491.06579662368773</v>
      </c>
      <c r="O27" s="398">
        <f t="shared" ca="1" si="37"/>
        <v>491.06579662368773</v>
      </c>
      <c r="P27" s="398">
        <f t="shared" ca="1" si="37"/>
        <v>491.06579662368773</v>
      </c>
      <c r="Q27" s="398">
        <f t="shared" ca="1" si="37"/>
        <v>491.06579662368773</v>
      </c>
      <c r="R27" s="398">
        <f t="shared" ref="R27" ca="1" si="38">Q30</f>
        <v>491.06579662368773</v>
      </c>
      <c r="S27" s="398">
        <f t="shared" ref="S27" ca="1" si="39">R30</f>
        <v>491.06579662368773</v>
      </c>
      <c r="T27" s="398">
        <f t="shared" ref="T27" ca="1" si="40">S30</f>
        <v>491.06579662368773</v>
      </c>
      <c r="U27" s="398">
        <f t="shared" ref="U27" ca="1" si="41">T30</f>
        <v>491.06579662368773</v>
      </c>
      <c r="V27" s="398">
        <f t="shared" ref="V27" ca="1" si="42">U30</f>
        <v>491.06579662368773</v>
      </c>
      <c r="W27" s="398">
        <f t="shared" ref="W27" ca="1" si="43">V30</f>
        <v>491.06579662368773</v>
      </c>
      <c r="X27" s="398">
        <f t="shared" ref="X27" ca="1" si="44">W30</f>
        <v>491.06579662368773</v>
      </c>
      <c r="Y27" s="398">
        <f t="shared" ref="Y27" ca="1" si="45">X30</f>
        <v>491.06579662368773</v>
      </c>
      <c r="Z27" s="399">
        <f t="shared" ref="Z27" ca="1" si="46">Y30</f>
        <v>491.06579662368773</v>
      </c>
    </row>
    <row r="28" spans="1:26" x14ac:dyDescent="0.3">
      <c r="A28" s="415"/>
      <c r="B28" s="35" t="s">
        <v>165</v>
      </c>
      <c r="D28" s="209">
        <f t="shared" ref="D28:Q28" ca="1" si="47">D17</f>
        <v>0</v>
      </c>
      <c r="E28" s="209">
        <f t="shared" ca="1" si="47"/>
        <v>0</v>
      </c>
      <c r="F28" s="209">
        <f t="shared" ca="1" si="47"/>
        <v>84.12377487758171</v>
      </c>
      <c r="G28" s="209">
        <f t="shared" ca="1" si="47"/>
        <v>162.94331923295499</v>
      </c>
      <c r="H28" s="209">
        <f t="shared" ca="1" si="47"/>
        <v>67.922884836028032</v>
      </c>
      <c r="I28" s="209">
        <f t="shared" ca="1" si="47"/>
        <v>145.71586883183733</v>
      </c>
      <c r="J28" s="209">
        <f t="shared" ca="1" si="47"/>
        <v>30.359948845285658</v>
      </c>
      <c r="K28" s="209">
        <f t="shared" ca="1" si="47"/>
        <v>0</v>
      </c>
      <c r="L28" s="209">
        <f t="shared" ca="1" si="47"/>
        <v>0</v>
      </c>
      <c r="M28" s="209">
        <f t="shared" ca="1" si="47"/>
        <v>0</v>
      </c>
      <c r="N28" s="209">
        <f t="shared" ca="1" si="47"/>
        <v>0</v>
      </c>
      <c r="O28" s="209">
        <f t="shared" ca="1" si="47"/>
        <v>0</v>
      </c>
      <c r="P28" s="209">
        <f t="shared" ca="1" si="47"/>
        <v>0</v>
      </c>
      <c r="Q28" s="209">
        <f t="shared" ca="1" si="47"/>
        <v>0</v>
      </c>
      <c r="R28" s="209">
        <f t="shared" ref="R28:Z28" ca="1" si="48">R17</f>
        <v>0</v>
      </c>
      <c r="S28" s="209">
        <f t="shared" ca="1" si="48"/>
        <v>0</v>
      </c>
      <c r="T28" s="209">
        <f t="shared" ca="1" si="48"/>
        <v>0</v>
      </c>
      <c r="U28" s="209">
        <f t="shared" ca="1" si="48"/>
        <v>0</v>
      </c>
      <c r="V28" s="209">
        <f t="shared" ca="1" si="48"/>
        <v>0</v>
      </c>
      <c r="W28" s="209">
        <f t="shared" ca="1" si="48"/>
        <v>0</v>
      </c>
      <c r="X28" s="209">
        <f t="shared" ca="1" si="48"/>
        <v>0</v>
      </c>
      <c r="Y28" s="209">
        <f t="shared" ca="1" si="48"/>
        <v>0</v>
      </c>
      <c r="Z28" s="401">
        <f t="shared" ca="1" si="48"/>
        <v>0</v>
      </c>
    </row>
    <row r="29" spans="1:26" x14ac:dyDescent="0.3">
      <c r="A29" s="415"/>
      <c r="B29" s="35" t="s">
        <v>166</v>
      </c>
      <c r="D29" s="209">
        <v>0</v>
      </c>
      <c r="E29" s="209">
        <v>0</v>
      </c>
      <c r="F29" s="209">
        <v>0</v>
      </c>
      <c r="G29" s="209">
        <v>0</v>
      </c>
      <c r="H29" s="209">
        <v>0</v>
      </c>
      <c r="I29" s="209">
        <v>0</v>
      </c>
      <c r="J29" s="209">
        <v>0</v>
      </c>
      <c r="K29" s="209">
        <v>0</v>
      </c>
      <c r="L29" s="209">
        <v>0</v>
      </c>
      <c r="M29" s="209">
        <v>0</v>
      </c>
      <c r="N29" s="209">
        <v>0</v>
      </c>
      <c r="O29" s="209">
        <v>0</v>
      </c>
      <c r="P29" s="209">
        <v>0</v>
      </c>
      <c r="Q29" s="209">
        <v>0</v>
      </c>
      <c r="R29" s="209">
        <v>0</v>
      </c>
      <c r="S29" s="209">
        <v>0</v>
      </c>
      <c r="T29" s="209">
        <v>0</v>
      </c>
      <c r="U29" s="209">
        <v>0</v>
      </c>
      <c r="V29" s="209">
        <v>0</v>
      </c>
      <c r="W29" s="209">
        <v>0</v>
      </c>
      <c r="X29" s="209">
        <v>0</v>
      </c>
      <c r="Y29" s="209">
        <v>0</v>
      </c>
      <c r="Z29" s="401">
        <v>0</v>
      </c>
    </row>
    <row r="30" spans="1:26" x14ac:dyDescent="0.3">
      <c r="A30" s="415"/>
      <c r="B30" s="35" t="s">
        <v>167</v>
      </c>
      <c r="D30" s="209">
        <f t="shared" ref="D30:Q30" ca="1" si="49">D27+D28-D29</f>
        <v>0</v>
      </c>
      <c r="E30" s="209">
        <f t="shared" ca="1" si="49"/>
        <v>0</v>
      </c>
      <c r="F30" s="209">
        <f t="shared" ca="1" si="49"/>
        <v>84.12377487758171</v>
      </c>
      <c r="G30" s="209">
        <f t="shared" ca="1" si="49"/>
        <v>247.06709411053669</v>
      </c>
      <c r="H30" s="209">
        <f t="shared" ca="1" si="49"/>
        <v>314.98997894656475</v>
      </c>
      <c r="I30" s="209">
        <f t="shared" ca="1" si="49"/>
        <v>460.70584777840207</v>
      </c>
      <c r="J30" s="209">
        <f t="shared" ca="1" si="49"/>
        <v>491.06579662368773</v>
      </c>
      <c r="K30" s="209">
        <f t="shared" ca="1" si="49"/>
        <v>491.06579662368773</v>
      </c>
      <c r="L30" s="209">
        <f t="shared" ca="1" si="49"/>
        <v>491.06579662368773</v>
      </c>
      <c r="M30" s="209">
        <f t="shared" ca="1" si="49"/>
        <v>491.06579662368773</v>
      </c>
      <c r="N30" s="209">
        <f t="shared" ca="1" si="49"/>
        <v>491.06579662368773</v>
      </c>
      <c r="O30" s="209">
        <f t="shared" ca="1" si="49"/>
        <v>491.06579662368773</v>
      </c>
      <c r="P30" s="209">
        <f t="shared" ca="1" si="49"/>
        <v>491.06579662368773</v>
      </c>
      <c r="Q30" s="209">
        <f t="shared" ca="1" si="49"/>
        <v>491.06579662368773</v>
      </c>
      <c r="R30" s="209">
        <f t="shared" ref="R30:Z30" ca="1" si="50">R27+R28-R29</f>
        <v>491.06579662368773</v>
      </c>
      <c r="S30" s="209">
        <f t="shared" ca="1" si="50"/>
        <v>491.06579662368773</v>
      </c>
      <c r="T30" s="209">
        <f t="shared" ca="1" si="50"/>
        <v>491.06579662368773</v>
      </c>
      <c r="U30" s="209">
        <f t="shared" ca="1" si="50"/>
        <v>491.06579662368773</v>
      </c>
      <c r="V30" s="209">
        <f t="shared" ca="1" si="50"/>
        <v>491.06579662368773</v>
      </c>
      <c r="W30" s="209">
        <f t="shared" ca="1" si="50"/>
        <v>491.06579662368773</v>
      </c>
      <c r="X30" s="209">
        <f t="shared" ca="1" si="50"/>
        <v>491.06579662368773</v>
      </c>
      <c r="Y30" s="209">
        <f t="shared" ca="1" si="50"/>
        <v>491.06579662368773</v>
      </c>
      <c r="Z30" s="401">
        <f t="shared" ca="1" si="50"/>
        <v>491.06579662368773</v>
      </c>
    </row>
    <row r="31" spans="1:26" x14ac:dyDescent="0.3">
      <c r="A31" s="415"/>
      <c r="B31" s="35"/>
      <c r="D31" s="209"/>
      <c r="E31" s="209"/>
      <c r="F31" s="209"/>
      <c r="G31" s="209"/>
      <c r="H31" s="209"/>
      <c r="I31" s="209"/>
      <c r="J31" s="209"/>
      <c r="K31" s="209"/>
      <c r="L31" s="209"/>
      <c r="M31" s="209"/>
      <c r="N31" s="209"/>
      <c r="O31" s="209"/>
      <c r="P31" s="209"/>
      <c r="Q31" s="209"/>
      <c r="R31" s="209"/>
      <c r="S31" s="209"/>
      <c r="T31" s="209"/>
      <c r="U31" s="209"/>
      <c r="V31" s="209"/>
      <c r="W31" s="209"/>
      <c r="X31" s="209"/>
      <c r="Y31" s="209"/>
      <c r="Z31" s="401"/>
    </row>
    <row r="32" spans="1:26" x14ac:dyDescent="0.3">
      <c r="A32" s="415"/>
      <c r="B32" s="35" t="s">
        <v>168</v>
      </c>
      <c r="D32" s="209">
        <f t="shared" ref="D32:Q32" ca="1" si="51">D19</f>
        <v>0</v>
      </c>
      <c r="E32" s="209">
        <f t="shared" ca="1" si="51"/>
        <v>58.221839200544679</v>
      </c>
      <c r="F32" s="209">
        <f t="shared" ca="1" si="51"/>
        <v>104.80357635489538</v>
      </c>
      <c r="G32" s="209">
        <f t="shared" ca="1" si="51"/>
        <v>82.547902284382843</v>
      </c>
      <c r="H32" s="209">
        <f t="shared" ca="1" si="51"/>
        <v>139.99131159925884</v>
      </c>
      <c r="I32" s="209">
        <f t="shared" ca="1" si="51"/>
        <v>30.359948845285658</v>
      </c>
      <c r="J32" s="209">
        <f t="shared" ca="1" si="51"/>
        <v>0</v>
      </c>
      <c r="K32" s="209">
        <f t="shared" ca="1" si="51"/>
        <v>0</v>
      </c>
      <c r="L32" s="209">
        <f t="shared" ca="1" si="51"/>
        <v>0</v>
      </c>
      <c r="M32" s="209">
        <f t="shared" ca="1" si="51"/>
        <v>0</v>
      </c>
      <c r="N32" s="209">
        <f t="shared" ca="1" si="51"/>
        <v>0</v>
      </c>
      <c r="O32" s="209">
        <f t="shared" ca="1" si="51"/>
        <v>0</v>
      </c>
      <c r="P32" s="209">
        <f t="shared" ca="1" si="51"/>
        <v>0</v>
      </c>
      <c r="Q32" s="209">
        <f t="shared" ca="1" si="51"/>
        <v>0</v>
      </c>
      <c r="R32" s="209">
        <f t="shared" ref="R32:Z32" ca="1" si="52">R19</f>
        <v>0</v>
      </c>
      <c r="S32" s="209">
        <f t="shared" ca="1" si="52"/>
        <v>0</v>
      </c>
      <c r="T32" s="209">
        <f t="shared" ca="1" si="52"/>
        <v>0</v>
      </c>
      <c r="U32" s="209">
        <f t="shared" ca="1" si="52"/>
        <v>0</v>
      </c>
      <c r="V32" s="209">
        <f t="shared" ca="1" si="52"/>
        <v>0</v>
      </c>
      <c r="W32" s="209">
        <f t="shared" ca="1" si="52"/>
        <v>0</v>
      </c>
      <c r="X32" s="209">
        <f t="shared" ca="1" si="52"/>
        <v>0</v>
      </c>
      <c r="Y32" s="209">
        <f t="shared" ca="1" si="52"/>
        <v>0</v>
      </c>
      <c r="Z32" s="401">
        <f t="shared" ca="1" si="52"/>
        <v>0</v>
      </c>
    </row>
    <row r="33" spans="1:26" x14ac:dyDescent="0.3">
      <c r="A33" s="415"/>
      <c r="B33" s="35"/>
      <c r="D33" s="209"/>
      <c r="E33" s="209"/>
      <c r="F33" s="209"/>
      <c r="G33" s="209"/>
      <c r="H33" s="209"/>
      <c r="I33" s="209"/>
      <c r="J33" s="209"/>
      <c r="K33" s="209"/>
      <c r="L33" s="209"/>
      <c r="M33" s="209"/>
      <c r="N33" s="209"/>
      <c r="O33" s="209"/>
      <c r="P33" s="209"/>
      <c r="Q33" s="209"/>
      <c r="R33" s="209"/>
      <c r="S33" s="209"/>
      <c r="T33" s="209"/>
      <c r="U33" s="209"/>
      <c r="V33" s="209"/>
      <c r="W33" s="209"/>
      <c r="X33" s="209"/>
      <c r="Y33" s="209"/>
      <c r="Z33" s="401"/>
    </row>
    <row r="34" spans="1:26" x14ac:dyDescent="0.3">
      <c r="A34" s="415"/>
      <c r="B34" s="35" t="s">
        <v>183</v>
      </c>
      <c r="D34" s="209">
        <f ca="1">D30+SUM($D$5:D5)</f>
        <v>0</v>
      </c>
      <c r="E34" s="209">
        <f ca="1">E30+SUM($D$5:E5)</f>
        <v>47.58</v>
      </c>
      <c r="F34" s="209">
        <f ca="1">F30+SUM($D$5:F5)</f>
        <v>131.70377487758171</v>
      </c>
      <c r="G34" s="209">
        <f ca="1">G30+SUM($D$5:G5)</f>
        <v>294.64709411053667</v>
      </c>
      <c r="H34" s="209">
        <f ca="1">H30+SUM($D$5:H5)</f>
        <v>362.56997894656473</v>
      </c>
      <c r="I34" s="209">
        <f ca="1">I30+SUM($D$5:I5)</f>
        <v>508.28584777840206</v>
      </c>
      <c r="J34" s="209">
        <f ca="1">J30+SUM($D$5:J5)</f>
        <v>538.64579662368772</v>
      </c>
      <c r="K34" s="209">
        <f ca="1">K30+SUM($D$5:K5)</f>
        <v>538.64579662368772</v>
      </c>
      <c r="L34" s="209">
        <f ca="1">L30+SUM($D$5:L5)</f>
        <v>538.64579662368772</v>
      </c>
      <c r="M34" s="209">
        <f ca="1">M30+SUM($D$5:M5)</f>
        <v>538.64579662368772</v>
      </c>
      <c r="N34" s="209">
        <f ca="1">N30+SUM($D$5:N5)</f>
        <v>538.64579662368772</v>
      </c>
      <c r="O34" s="209">
        <f ca="1">O30+SUM($D$5:O5)</f>
        <v>538.64579662368772</v>
      </c>
      <c r="P34" s="209">
        <f ca="1">P30+SUM($D$5:P5)</f>
        <v>538.64579662368772</v>
      </c>
      <c r="Q34" s="209">
        <f ca="1">Q30+SUM($D$5:Q5)</f>
        <v>538.64579662368772</v>
      </c>
      <c r="R34" s="209">
        <f ca="1">R30+SUM($D$5:R5)</f>
        <v>538.64579662368772</v>
      </c>
      <c r="S34" s="209">
        <f ca="1">S30+SUM($D$5:S5)</f>
        <v>538.64579662368772</v>
      </c>
      <c r="T34" s="209">
        <f ca="1">T30+SUM($D$5:T5)</f>
        <v>538.64579662368772</v>
      </c>
      <c r="U34" s="209">
        <f ca="1">U30+SUM($D$5:U5)</f>
        <v>538.64579662368772</v>
      </c>
      <c r="V34" s="209">
        <f ca="1">V30+SUM($D$5:V5)</f>
        <v>538.64579662368772</v>
      </c>
      <c r="W34" s="209">
        <f ca="1">W30+SUM($D$5:W5)</f>
        <v>538.64579662368772</v>
      </c>
      <c r="X34" s="209">
        <f ca="1">X30+SUM($D$5:X5)</f>
        <v>538.64579662368772</v>
      </c>
      <c r="Y34" s="209">
        <f ca="1">Y30+SUM($D$5:Y5)</f>
        <v>538.64579662368772</v>
      </c>
      <c r="Z34" s="401">
        <f ca="1">Z30+SUM($D$5:Z5)</f>
        <v>538.64579662368772</v>
      </c>
    </row>
    <row r="35" spans="1:26" x14ac:dyDescent="0.3">
      <c r="A35" s="415"/>
      <c r="B35" s="35" t="s">
        <v>184</v>
      </c>
      <c r="D35" s="209">
        <f ca="1">D27*$C$25+D28*$C$25*0.5</f>
        <v>0</v>
      </c>
      <c r="E35" s="209">
        <f ca="1">E27*$C$25+E28*$C$25*0.5</f>
        <v>0</v>
      </c>
      <c r="F35" s="209">
        <f ca="1">AVERAGE(F28,F30)*$C$25</f>
        <v>2.8013217034234712</v>
      </c>
      <c r="G35" s="209">
        <f t="shared" ref="G35:Q35" ca="1" si="53">AVERAGE(G27,G30)*$C$25</f>
        <v>5.5143279686521716</v>
      </c>
      <c r="H35" s="209">
        <f t="shared" ca="1" si="53"/>
        <v>9.3582502664007396</v>
      </c>
      <c r="I35" s="209">
        <f t="shared" ca="1" si="53"/>
        <v>12.915335514970698</v>
      </c>
      <c r="J35" s="209">
        <f t="shared" ca="1" si="53"/>
        <v>15.846997879294797</v>
      </c>
      <c r="K35" s="209">
        <f t="shared" ca="1" si="53"/>
        <v>16.352491027568803</v>
      </c>
      <c r="L35" s="209">
        <f t="shared" ca="1" si="53"/>
        <v>16.352491027568803</v>
      </c>
      <c r="M35" s="209">
        <f t="shared" ca="1" si="53"/>
        <v>16.352491027568803</v>
      </c>
      <c r="N35" s="209">
        <f t="shared" ca="1" si="53"/>
        <v>16.352491027568803</v>
      </c>
      <c r="O35" s="209">
        <f t="shared" ca="1" si="53"/>
        <v>16.352491027568803</v>
      </c>
      <c r="P35" s="209">
        <f t="shared" ca="1" si="53"/>
        <v>16.352491027568803</v>
      </c>
      <c r="Q35" s="209">
        <f t="shared" ca="1" si="53"/>
        <v>16.352491027568803</v>
      </c>
      <c r="R35" s="209">
        <f t="shared" ref="R35:Z35" ca="1" si="54">AVERAGE(R27,R30)*$C$25</f>
        <v>16.352491027568803</v>
      </c>
      <c r="S35" s="209">
        <f t="shared" ca="1" si="54"/>
        <v>16.352491027568803</v>
      </c>
      <c r="T35" s="209">
        <f t="shared" ca="1" si="54"/>
        <v>16.352491027568803</v>
      </c>
      <c r="U35" s="209">
        <f t="shared" ca="1" si="54"/>
        <v>16.352491027568803</v>
      </c>
      <c r="V35" s="209">
        <f t="shared" ca="1" si="54"/>
        <v>16.352491027568803</v>
      </c>
      <c r="W35" s="209">
        <f t="shared" ca="1" si="54"/>
        <v>16.352491027568803</v>
      </c>
      <c r="X35" s="209">
        <f t="shared" ca="1" si="54"/>
        <v>16.352491027568803</v>
      </c>
      <c r="Y35" s="209">
        <f t="shared" ca="1" si="54"/>
        <v>16.352491027568803</v>
      </c>
      <c r="Z35" s="401">
        <f t="shared" ca="1" si="54"/>
        <v>16.352491027568803</v>
      </c>
    </row>
    <row r="36" spans="1:26" x14ac:dyDescent="0.3">
      <c r="A36" s="415"/>
      <c r="B36" s="35" t="s">
        <v>185</v>
      </c>
      <c r="D36" s="209">
        <f ca="1">D35</f>
        <v>0</v>
      </c>
      <c r="E36" s="209">
        <f t="shared" ref="E36:Q36" ca="1" si="55">D36+E35</f>
        <v>0</v>
      </c>
      <c r="F36" s="209">
        <f t="shared" ca="1" si="55"/>
        <v>2.8013217034234712</v>
      </c>
      <c r="G36" s="209">
        <f t="shared" ca="1" si="55"/>
        <v>8.3156496720756437</v>
      </c>
      <c r="H36" s="209">
        <f t="shared" ca="1" si="55"/>
        <v>17.673899938476382</v>
      </c>
      <c r="I36" s="209">
        <f t="shared" ca="1" si="55"/>
        <v>30.589235453447081</v>
      </c>
      <c r="J36" s="209">
        <f t="shared" ca="1" si="55"/>
        <v>46.436233332741878</v>
      </c>
      <c r="K36" s="209">
        <f t="shared" ca="1" si="55"/>
        <v>62.788724360310681</v>
      </c>
      <c r="L36" s="209">
        <f t="shared" ca="1" si="55"/>
        <v>79.141215387879484</v>
      </c>
      <c r="M36" s="209">
        <f t="shared" ca="1" si="55"/>
        <v>95.493706415448287</v>
      </c>
      <c r="N36" s="209">
        <f t="shared" ca="1" si="55"/>
        <v>111.84619744301709</v>
      </c>
      <c r="O36" s="209">
        <f t="shared" ca="1" si="55"/>
        <v>128.19868847058589</v>
      </c>
      <c r="P36" s="209">
        <f t="shared" ca="1" si="55"/>
        <v>144.55117949815468</v>
      </c>
      <c r="Q36" s="209">
        <f t="shared" ca="1" si="55"/>
        <v>160.9036705257235</v>
      </c>
      <c r="R36" s="209">
        <f t="shared" ref="R36" ca="1" si="56">Q36+R35</f>
        <v>177.25616155329232</v>
      </c>
      <c r="S36" s="209">
        <f t="shared" ref="S36" ca="1" si="57">R36+S35</f>
        <v>193.60865258086113</v>
      </c>
      <c r="T36" s="209">
        <f t="shared" ref="T36" ca="1" si="58">S36+T35</f>
        <v>209.96114360842995</v>
      </c>
      <c r="U36" s="209">
        <f t="shared" ref="U36" ca="1" si="59">T36+U35</f>
        <v>226.31363463599877</v>
      </c>
      <c r="V36" s="209">
        <f t="shared" ref="V36" ca="1" si="60">U36+V35</f>
        <v>242.66612566356758</v>
      </c>
      <c r="W36" s="209">
        <f t="shared" ref="W36" ca="1" si="61">V36+W35</f>
        <v>259.0186166911364</v>
      </c>
      <c r="X36" s="209">
        <f t="shared" ref="X36" ca="1" si="62">W36+X35</f>
        <v>275.37110771870522</v>
      </c>
      <c r="Y36" s="209">
        <f t="shared" ref="Y36" ca="1" si="63">X36+Y35</f>
        <v>291.72359874627404</v>
      </c>
      <c r="Z36" s="401">
        <f t="shared" ref="Z36" ca="1" si="64">Y36+Z35</f>
        <v>308.07608977384285</v>
      </c>
    </row>
    <row r="37" spans="1:26" x14ac:dyDescent="0.3">
      <c r="A37" s="415"/>
      <c r="B37" s="382" t="s">
        <v>186</v>
      </c>
      <c r="C37" s="416"/>
      <c r="D37" s="189">
        <f t="shared" ref="D37:Q37" ca="1" si="65">D34-D36</f>
        <v>0</v>
      </c>
      <c r="E37" s="189">
        <f t="shared" ca="1" si="65"/>
        <v>47.58</v>
      </c>
      <c r="F37" s="189">
        <f t="shared" ca="1" si="65"/>
        <v>128.90245317415824</v>
      </c>
      <c r="G37" s="189">
        <f t="shared" ca="1" si="65"/>
        <v>286.33144443846101</v>
      </c>
      <c r="H37" s="189">
        <f t="shared" ca="1" si="65"/>
        <v>344.89607900808835</v>
      </c>
      <c r="I37" s="189">
        <f t="shared" ca="1" si="65"/>
        <v>477.69661232495497</v>
      </c>
      <c r="J37" s="189">
        <f t="shared" ca="1" si="65"/>
        <v>492.20956329094582</v>
      </c>
      <c r="K37" s="189">
        <f t="shared" ca="1" si="65"/>
        <v>475.85707226337706</v>
      </c>
      <c r="L37" s="189">
        <f t="shared" ca="1" si="65"/>
        <v>459.50458123580825</v>
      </c>
      <c r="M37" s="189">
        <f t="shared" ca="1" si="65"/>
        <v>443.15209020823943</v>
      </c>
      <c r="N37" s="189">
        <f t="shared" ca="1" si="65"/>
        <v>426.79959918067061</v>
      </c>
      <c r="O37" s="189">
        <f t="shared" ca="1" si="65"/>
        <v>410.44710815310179</v>
      </c>
      <c r="P37" s="189">
        <f t="shared" ca="1" si="65"/>
        <v>394.09461712553303</v>
      </c>
      <c r="Q37" s="189">
        <f t="shared" ca="1" si="65"/>
        <v>377.74212609796422</v>
      </c>
      <c r="R37" s="189">
        <f t="shared" ref="R37:Z37" ca="1" si="66">R34-R36</f>
        <v>361.3896350703954</v>
      </c>
      <c r="S37" s="189">
        <f t="shared" ca="1" si="66"/>
        <v>345.03714404282658</v>
      </c>
      <c r="T37" s="189">
        <f t="shared" ca="1" si="66"/>
        <v>328.68465301525777</v>
      </c>
      <c r="U37" s="189">
        <f t="shared" ca="1" si="66"/>
        <v>312.33216198768895</v>
      </c>
      <c r="V37" s="189">
        <f t="shared" ca="1" si="66"/>
        <v>295.97967096012013</v>
      </c>
      <c r="W37" s="189">
        <f t="shared" ca="1" si="66"/>
        <v>279.62717993255131</v>
      </c>
      <c r="X37" s="189">
        <f t="shared" ca="1" si="66"/>
        <v>263.2746889049825</v>
      </c>
      <c r="Y37" s="189">
        <f t="shared" ca="1" si="66"/>
        <v>246.92219787741368</v>
      </c>
      <c r="Z37" s="417">
        <f t="shared" ca="1" si="66"/>
        <v>230.56970684984486</v>
      </c>
    </row>
    <row r="38" spans="1:26" x14ac:dyDescent="0.3">
      <c r="A38" s="415"/>
      <c r="B38" s="35"/>
    </row>
    <row r="39" spans="1:26" x14ac:dyDescent="0.3">
      <c r="A39" s="418"/>
      <c r="D39" s="591"/>
      <c r="E39" s="591"/>
      <c r="F39" s="591"/>
      <c r="G39" s="591"/>
      <c r="H39" s="591"/>
      <c r="I39" s="591"/>
      <c r="J39" s="591"/>
      <c r="K39" s="591"/>
      <c r="L39" s="591"/>
      <c r="M39" s="591"/>
      <c r="N39" s="591"/>
      <c r="O39" s="591"/>
      <c r="P39" s="591"/>
      <c r="Q39" s="591"/>
      <c r="R39" s="591"/>
      <c r="S39" s="591"/>
      <c r="T39" s="591"/>
      <c r="U39" s="591"/>
      <c r="V39" s="591"/>
      <c r="W39" s="591"/>
      <c r="X39" s="591"/>
      <c r="Y39" s="591"/>
      <c r="Z39" s="591"/>
    </row>
    <row r="41" spans="1:26" x14ac:dyDescent="0.3">
      <c r="B41" s="34" t="s">
        <v>229</v>
      </c>
      <c r="C41" s="405"/>
      <c r="D41" s="405"/>
      <c r="E41" s="405"/>
      <c r="F41" s="405"/>
      <c r="G41" s="405"/>
      <c r="H41" s="405"/>
      <c r="I41" s="405"/>
      <c r="J41" s="405"/>
      <c r="K41" s="405"/>
      <c r="L41" s="405"/>
      <c r="M41" s="420"/>
      <c r="N41" s="405"/>
      <c r="O41" s="405"/>
      <c r="P41" s="405"/>
      <c r="Q41" s="405"/>
      <c r="R41" s="405"/>
      <c r="S41" s="405"/>
      <c r="T41" s="405"/>
      <c r="U41" s="405"/>
      <c r="V41" s="405"/>
      <c r="W41" s="405"/>
      <c r="X41" s="405"/>
      <c r="Y41" s="405"/>
      <c r="Z41" s="420"/>
    </row>
    <row r="42" spans="1:26" x14ac:dyDescent="0.3">
      <c r="B42" s="36" t="s">
        <v>163</v>
      </c>
      <c r="C42" s="27">
        <v>0.125</v>
      </c>
      <c r="M42" s="390"/>
      <c r="Z42" s="390"/>
    </row>
    <row r="43" spans="1:26" x14ac:dyDescent="0.3">
      <c r="B43" s="36"/>
      <c r="M43" s="390"/>
      <c r="Z43" s="390"/>
    </row>
    <row r="44" spans="1:26" x14ac:dyDescent="0.3">
      <c r="B44" s="35" t="s">
        <v>187</v>
      </c>
      <c r="D44" s="209">
        <v>0</v>
      </c>
      <c r="E44" s="209">
        <f t="shared" ref="E44:Q44" ca="1" si="67">D48</f>
        <v>0</v>
      </c>
      <c r="F44" s="209">
        <f t="shared" ca="1" si="67"/>
        <v>0</v>
      </c>
      <c r="G44" s="209">
        <f t="shared" ca="1" si="67"/>
        <v>78.866038947732847</v>
      </c>
      <c r="H44" s="209">
        <f t="shared" ca="1" si="67"/>
        <v>221.76714586016155</v>
      </c>
      <c r="I44" s="209">
        <f t="shared" ca="1" si="67"/>
        <v>257.72395716141762</v>
      </c>
      <c r="J44" s="209">
        <f t="shared" ca="1" si="67"/>
        <v>362.11708954608793</v>
      </c>
      <c r="K44" s="209">
        <f t="shared" ca="1" si="67"/>
        <v>345.31490539528227</v>
      </c>
      <c r="L44" s="209">
        <f t="shared" ca="1" si="67"/>
        <v>302.15054222087201</v>
      </c>
      <c r="M44" s="401">
        <f t="shared" ca="1" si="67"/>
        <v>264.38172444326301</v>
      </c>
      <c r="N44" s="209">
        <f t="shared" ca="1" si="67"/>
        <v>231.33400888785513</v>
      </c>
      <c r="O44" s="209">
        <f t="shared" ca="1" si="67"/>
        <v>202.41725777687324</v>
      </c>
      <c r="P44" s="209">
        <f t="shared" ca="1" si="67"/>
        <v>177.1151005547641</v>
      </c>
      <c r="Q44" s="209">
        <f t="shared" ca="1" si="67"/>
        <v>154.9757129854186</v>
      </c>
      <c r="R44" s="209">
        <f t="shared" ref="R44" ca="1" si="68">Q48</f>
        <v>135.60374886224128</v>
      </c>
      <c r="S44" s="209">
        <f t="shared" ref="S44" ca="1" si="69">R48</f>
        <v>118.65328025446112</v>
      </c>
      <c r="T44" s="209">
        <f t="shared" ref="T44" ca="1" si="70">S48</f>
        <v>103.82162022265348</v>
      </c>
      <c r="U44" s="209">
        <f t="shared" ref="U44" ca="1" si="71">T48</f>
        <v>90.843917694821798</v>
      </c>
      <c r="V44" s="209">
        <f t="shared" ref="V44" ca="1" si="72">U48</f>
        <v>79.488427982969071</v>
      </c>
      <c r="W44" s="209">
        <f t="shared" ref="W44" ca="1" si="73">V48</f>
        <v>69.552374485097943</v>
      </c>
      <c r="X44" s="209">
        <f t="shared" ref="X44" ca="1" si="74">W48</f>
        <v>60.858327674460696</v>
      </c>
      <c r="Y44" s="209">
        <f t="shared" ref="Y44" ca="1" si="75">X48</f>
        <v>53.251036715153106</v>
      </c>
      <c r="Z44" s="401">
        <f t="shared" ref="Z44" ca="1" si="76">Y48</f>
        <v>46.594657125758971</v>
      </c>
    </row>
    <row r="45" spans="1:26" x14ac:dyDescent="0.3">
      <c r="B45" s="35" t="s">
        <v>63</v>
      </c>
      <c r="D45" s="209">
        <f t="shared" ref="D45:Q45" ca="1" si="77">D28</f>
        <v>0</v>
      </c>
      <c r="E45" s="209">
        <f t="shared" ca="1" si="77"/>
        <v>0</v>
      </c>
      <c r="F45" s="209">
        <f t="shared" ca="1" si="77"/>
        <v>84.12377487758171</v>
      </c>
      <c r="G45" s="209">
        <f t="shared" ca="1" si="77"/>
        <v>162.94331923295499</v>
      </c>
      <c r="H45" s="209">
        <f t="shared" ca="1" si="77"/>
        <v>67.922884836028032</v>
      </c>
      <c r="I45" s="209">
        <f t="shared" ca="1" si="77"/>
        <v>145.71586883183733</v>
      </c>
      <c r="J45" s="209">
        <f t="shared" ca="1" si="77"/>
        <v>30.359948845285658</v>
      </c>
      <c r="K45" s="209">
        <f t="shared" ca="1" si="77"/>
        <v>0</v>
      </c>
      <c r="L45" s="209">
        <f t="shared" ca="1" si="77"/>
        <v>0</v>
      </c>
      <c r="M45" s="401">
        <f t="shared" ca="1" si="77"/>
        <v>0</v>
      </c>
      <c r="N45" s="209">
        <f t="shared" ca="1" si="77"/>
        <v>0</v>
      </c>
      <c r="O45" s="209">
        <f t="shared" ca="1" si="77"/>
        <v>0</v>
      </c>
      <c r="P45" s="209">
        <f t="shared" ca="1" si="77"/>
        <v>0</v>
      </c>
      <c r="Q45" s="209">
        <f t="shared" ca="1" si="77"/>
        <v>0</v>
      </c>
      <c r="R45" s="209">
        <f t="shared" ref="R45:Z45" ca="1" si="78">R28</f>
        <v>0</v>
      </c>
      <c r="S45" s="209">
        <f t="shared" ca="1" si="78"/>
        <v>0</v>
      </c>
      <c r="T45" s="209">
        <f t="shared" ca="1" si="78"/>
        <v>0</v>
      </c>
      <c r="U45" s="209">
        <f t="shared" ca="1" si="78"/>
        <v>0</v>
      </c>
      <c r="V45" s="209">
        <f t="shared" ca="1" si="78"/>
        <v>0</v>
      </c>
      <c r="W45" s="209">
        <f t="shared" ca="1" si="78"/>
        <v>0</v>
      </c>
      <c r="X45" s="209">
        <f t="shared" ca="1" si="78"/>
        <v>0</v>
      </c>
      <c r="Y45" s="209">
        <f t="shared" ca="1" si="78"/>
        <v>0</v>
      </c>
      <c r="Z45" s="401">
        <f t="shared" ca="1" si="78"/>
        <v>0</v>
      </c>
    </row>
    <row r="46" spans="1:26" x14ac:dyDescent="0.3">
      <c r="B46" s="35" t="s">
        <v>166</v>
      </c>
      <c r="D46" s="209">
        <f>D29</f>
        <v>0</v>
      </c>
      <c r="E46" s="209">
        <f t="shared" ref="E46:M46" si="79">E29</f>
        <v>0</v>
      </c>
      <c r="F46" s="209">
        <f t="shared" si="79"/>
        <v>0</v>
      </c>
      <c r="G46" s="209">
        <f t="shared" si="79"/>
        <v>0</v>
      </c>
      <c r="H46" s="209">
        <f t="shared" si="79"/>
        <v>0</v>
      </c>
      <c r="I46" s="209">
        <f t="shared" si="79"/>
        <v>0</v>
      </c>
      <c r="J46" s="209">
        <f t="shared" si="79"/>
        <v>0</v>
      </c>
      <c r="K46" s="209">
        <f t="shared" si="79"/>
        <v>0</v>
      </c>
      <c r="L46" s="209">
        <f t="shared" si="79"/>
        <v>0</v>
      </c>
      <c r="M46" s="401">
        <f t="shared" si="79"/>
        <v>0</v>
      </c>
      <c r="N46" s="209">
        <f t="shared" ref="N46:Q46" si="80">N29</f>
        <v>0</v>
      </c>
      <c r="O46" s="209">
        <f t="shared" si="80"/>
        <v>0</v>
      </c>
      <c r="P46" s="209">
        <f t="shared" si="80"/>
        <v>0</v>
      </c>
      <c r="Q46" s="209">
        <f t="shared" si="80"/>
        <v>0</v>
      </c>
      <c r="R46" s="209">
        <f t="shared" ref="R46:Z46" si="81">R29</f>
        <v>0</v>
      </c>
      <c r="S46" s="209">
        <f t="shared" si="81"/>
        <v>0</v>
      </c>
      <c r="T46" s="209">
        <f t="shared" si="81"/>
        <v>0</v>
      </c>
      <c r="U46" s="209">
        <f t="shared" si="81"/>
        <v>0</v>
      </c>
      <c r="V46" s="209">
        <f t="shared" si="81"/>
        <v>0</v>
      </c>
      <c r="W46" s="209">
        <f t="shared" si="81"/>
        <v>0</v>
      </c>
      <c r="X46" s="209">
        <f t="shared" si="81"/>
        <v>0</v>
      </c>
      <c r="Y46" s="209">
        <f t="shared" si="81"/>
        <v>0</v>
      </c>
      <c r="Z46" s="401">
        <f t="shared" si="81"/>
        <v>0</v>
      </c>
    </row>
    <row r="47" spans="1:26" x14ac:dyDescent="0.3">
      <c r="B47" s="35" t="s">
        <v>184</v>
      </c>
      <c r="D47" s="209">
        <f t="shared" ref="D47:Q47" ca="1" si="82">D44*$C$42+D45*$C$42*0.5</f>
        <v>0</v>
      </c>
      <c r="E47" s="209">
        <f t="shared" ca="1" si="82"/>
        <v>0</v>
      </c>
      <c r="F47" s="209">
        <f t="shared" ca="1" si="82"/>
        <v>5.2577359298488568</v>
      </c>
      <c r="G47" s="209">
        <f t="shared" ca="1" si="82"/>
        <v>20.042212320526293</v>
      </c>
      <c r="H47" s="209">
        <f t="shared" ca="1" si="82"/>
        <v>31.966073534771944</v>
      </c>
      <c r="I47" s="209">
        <f t="shared" ca="1" si="82"/>
        <v>41.322736447167031</v>
      </c>
      <c r="J47" s="209">
        <f t="shared" ca="1" si="82"/>
        <v>47.162132996091344</v>
      </c>
      <c r="K47" s="209">
        <f t="shared" ca="1" si="82"/>
        <v>43.164363174410283</v>
      </c>
      <c r="L47" s="209">
        <f t="shared" ca="1" si="82"/>
        <v>37.768817777609001</v>
      </c>
      <c r="M47" s="401">
        <f t="shared" ca="1" si="82"/>
        <v>33.047715555407876</v>
      </c>
      <c r="N47" s="209">
        <f t="shared" ca="1" si="82"/>
        <v>28.916751110981892</v>
      </c>
      <c r="O47" s="209">
        <f t="shared" ca="1" si="82"/>
        <v>25.302157222109155</v>
      </c>
      <c r="P47" s="209">
        <f t="shared" ca="1" si="82"/>
        <v>22.139387569345512</v>
      </c>
      <c r="Q47" s="209">
        <f t="shared" ca="1" si="82"/>
        <v>19.371964123177325</v>
      </c>
      <c r="R47" s="209">
        <f t="shared" ref="R47:Z47" ca="1" si="83">R44*$C$42+R45*$C$42*0.5</f>
        <v>16.950468607780159</v>
      </c>
      <c r="S47" s="209">
        <f t="shared" ca="1" si="83"/>
        <v>14.83166003180764</v>
      </c>
      <c r="T47" s="209">
        <f t="shared" ca="1" si="83"/>
        <v>12.977702527831685</v>
      </c>
      <c r="U47" s="209">
        <f t="shared" ca="1" si="83"/>
        <v>11.355489711852725</v>
      </c>
      <c r="V47" s="209">
        <f t="shared" ca="1" si="83"/>
        <v>9.9360534978711339</v>
      </c>
      <c r="W47" s="209">
        <f t="shared" ca="1" si="83"/>
        <v>8.6940468106372428</v>
      </c>
      <c r="X47" s="209">
        <f t="shared" ca="1" si="83"/>
        <v>7.607290959307587</v>
      </c>
      <c r="Y47" s="209">
        <f t="shared" ca="1" si="83"/>
        <v>6.6563795893941382</v>
      </c>
      <c r="Z47" s="401">
        <f t="shared" ca="1" si="83"/>
        <v>5.8243321407198714</v>
      </c>
    </row>
    <row r="48" spans="1:26" x14ac:dyDescent="0.3">
      <c r="B48" s="38" t="s">
        <v>188</v>
      </c>
      <c r="C48" s="419"/>
      <c r="D48" s="403">
        <f t="shared" ref="D48:Q48" ca="1" si="84">D44+D45-D46-D47</f>
        <v>0</v>
      </c>
      <c r="E48" s="403">
        <f t="shared" ca="1" si="84"/>
        <v>0</v>
      </c>
      <c r="F48" s="403">
        <f t="shared" ca="1" si="84"/>
        <v>78.866038947732847</v>
      </c>
      <c r="G48" s="403">
        <f t="shared" ca="1" si="84"/>
        <v>221.76714586016155</v>
      </c>
      <c r="H48" s="403">
        <f t="shared" ca="1" si="84"/>
        <v>257.72395716141762</v>
      </c>
      <c r="I48" s="403">
        <f t="shared" ca="1" si="84"/>
        <v>362.11708954608793</v>
      </c>
      <c r="J48" s="403">
        <f t="shared" ca="1" si="84"/>
        <v>345.31490539528227</v>
      </c>
      <c r="K48" s="403">
        <f t="shared" ca="1" si="84"/>
        <v>302.15054222087201</v>
      </c>
      <c r="L48" s="403">
        <f t="shared" ca="1" si="84"/>
        <v>264.38172444326301</v>
      </c>
      <c r="M48" s="404">
        <f t="shared" ca="1" si="84"/>
        <v>231.33400888785513</v>
      </c>
      <c r="N48" s="403">
        <f t="shared" ca="1" si="84"/>
        <v>202.41725777687324</v>
      </c>
      <c r="O48" s="403">
        <f t="shared" ca="1" si="84"/>
        <v>177.1151005547641</v>
      </c>
      <c r="P48" s="403">
        <f t="shared" ca="1" si="84"/>
        <v>154.9757129854186</v>
      </c>
      <c r="Q48" s="403">
        <f t="shared" ca="1" si="84"/>
        <v>135.60374886224128</v>
      </c>
      <c r="R48" s="403">
        <f t="shared" ref="R48:Z48" ca="1" si="85">R44+R45-R46-R47</f>
        <v>118.65328025446112</v>
      </c>
      <c r="S48" s="403">
        <f t="shared" ca="1" si="85"/>
        <v>103.82162022265348</v>
      </c>
      <c r="T48" s="403">
        <f t="shared" ca="1" si="85"/>
        <v>90.843917694821798</v>
      </c>
      <c r="U48" s="403">
        <f t="shared" ca="1" si="85"/>
        <v>79.488427982969071</v>
      </c>
      <c r="V48" s="403">
        <f t="shared" ca="1" si="85"/>
        <v>69.552374485097943</v>
      </c>
      <c r="W48" s="403">
        <f t="shared" ca="1" si="85"/>
        <v>60.858327674460696</v>
      </c>
      <c r="X48" s="403">
        <f t="shared" ca="1" si="85"/>
        <v>53.251036715153106</v>
      </c>
      <c r="Y48" s="403">
        <f t="shared" ca="1" si="85"/>
        <v>46.594657125758971</v>
      </c>
      <c r="Z48" s="404">
        <f t="shared" ca="1" si="85"/>
        <v>40.770324985039096</v>
      </c>
    </row>
    <row r="50" spans="1:42" hidden="1" x14ac:dyDescent="0.3">
      <c r="B50" s="29" t="s">
        <v>210</v>
      </c>
      <c r="C50" s="41"/>
      <c r="D50" s="395"/>
      <c r="E50" s="395">
        <f ca="1">IFERROR((SUM(E32+E37)/'P&amp;L Statement'!E62),0)</f>
        <v>1.8860235382220156</v>
      </c>
      <c r="F50" s="395">
        <f ca="1">IFERROR((SUM(F32+F37)/'P&amp;L Statement'!F62),0)</f>
        <v>1.7467707973795024</v>
      </c>
      <c r="G50" s="395">
        <f ca="1">IFERROR((SUM(G32+G37)/'P&amp;L Statement'!G62),0)</f>
        <v>1.6892749352678689</v>
      </c>
      <c r="H50" s="395">
        <f ca="1">IFERROR((SUM(H32+H37)/'P&amp;L Statement'!H62),0)</f>
        <v>1.6702066378218017</v>
      </c>
      <c r="I50" s="395">
        <f ca="1">IFERROR((SUM(I32+I37)/'P&amp;L Statement'!I62),0)</f>
        <v>1.6017436784076369</v>
      </c>
      <c r="J50" s="395">
        <f ca="1">IFERROR((SUM(J32+J37)/'P&amp;L Statement'!J62),0)</f>
        <v>1.5535818332813831</v>
      </c>
      <c r="K50" s="395">
        <f ca="1">IFERROR((SUM(K32+K37)/'P&amp;L Statement'!K62),0)</f>
        <v>1.5272759929851614</v>
      </c>
      <c r="L50" s="395">
        <f ca="1">IFERROR((SUM(L32+L37)/'P&amp;L Statement'!L62),0)</f>
        <v>1.5111683031571685</v>
      </c>
      <c r="M50" s="395">
        <f ca="1">IFERROR((SUM(M32+M37)/'P&amp;L Statement'!M62),0)</f>
        <v>1.5056689658851021</v>
      </c>
      <c r="N50" s="395">
        <f ca="1">IFERROR((SUM(N32+N37)-'P&amp;L Statement'!N66)/'P&amp;L Statement'!N62,0)</f>
        <v>1.4598363208839358</v>
      </c>
      <c r="O50" s="395">
        <f ca="1">IFERROR((SUM(O32+O37)-'P&amp;L Statement'!O66)/'P&amp;L Statement'!O62,0)</f>
        <v>1.4735295293969004</v>
      </c>
      <c r="P50" s="395">
        <f ca="1">IFERROR((SUM(P32+P37)-'P&amp;L Statement'!P66)/'P&amp;L Statement'!P62,0)</f>
        <v>1.5039911498929976</v>
      </c>
      <c r="Q50" s="395">
        <f ca="1">IFERROR((SUM(Q32+Q37)-'P&amp;L Statement'!Q66)/'P&amp;L Statement'!Q62,0)</f>
        <v>1.5618226560793698</v>
      </c>
      <c r="R50" s="395">
        <f ca="1">IFERROR((SUM(R32+R37)-'P&amp;L Statement'!R66)/'P&amp;L Statement'!R62,0)</f>
        <v>1.6924927476892631</v>
      </c>
      <c r="S50" s="395">
        <f ca="1">IFERROR((SUM(S32+S37)-'P&amp;L Statement'!S66)/'P&amp;L Statement'!S62,0)</f>
        <v>1.8645306307857001</v>
      </c>
      <c r="T50" s="395">
        <f ca="1">IFERROR((SUM(T32+T37)-'P&amp;L Statement'!T66)/'P&amp;L Statement'!T62,0)</f>
        <v>2.1012750638236448</v>
      </c>
      <c r="U50" s="395">
        <f ca="1">IFERROR((SUM(U32+U37)-'P&amp;L Statement'!U66)/'P&amp;L Statement'!U62,0)</f>
        <v>2.4219522028839338</v>
      </c>
      <c r="V50" s="395">
        <f ca="1">IFERROR((SUM(V32+V37)-'P&amp;L Statement'!V66)/'P&amp;L Statement'!V62,0)</f>
        <v>3.0723487585748819</v>
      </c>
      <c r="W50" s="395">
        <f ca="1">IFERROR((SUM(W32+W37)-'P&amp;L Statement'!W66)/'P&amp;L Statement'!W62,0)</f>
        <v>4.4125534596344975</v>
      </c>
      <c r="X50" s="395">
        <f ca="1">IFERROR((SUM(X32+X37)-'P&amp;L Statement'!X66)/'P&amp;L Statement'!X62,0)</f>
        <v>9.5974994793309421</v>
      </c>
      <c r="Y50" s="395">
        <f ca="1">IFERROR((SUM(Y32+Y37)-'P&amp;L Statement'!Y66)/'P&amp;L Statement'!Y62,0)</f>
        <v>13.476829791553367</v>
      </c>
      <c r="Z50" s="395">
        <f ca="1">IFERROR((SUM(Z32+Z37)-'P&amp;L Statement'!Z66)/'P&amp;L Statement'!Z62,0)</f>
        <v>0</v>
      </c>
    </row>
    <row r="51" spans="1:42" hidden="1" x14ac:dyDescent="0.3">
      <c r="B51" s="29" t="s">
        <v>211</v>
      </c>
      <c r="C51" s="421">
        <f ca="1">AVERAGE(D50:J50)</f>
        <v>1.6912669033967014</v>
      </c>
    </row>
    <row r="52" spans="1:42" hidden="1" x14ac:dyDescent="0.3">
      <c r="B52" s="29" t="s">
        <v>424</v>
      </c>
      <c r="C52" s="421">
        <f ca="1">MIN(E50:L50)</f>
        <v>1.5111683031571685</v>
      </c>
    </row>
    <row r="55" spans="1:42" x14ac:dyDescent="0.3">
      <c r="A55" s="414"/>
      <c r="B55" s="382" t="s">
        <v>471</v>
      </c>
      <c r="C55" s="383"/>
      <c r="D55" s="384">
        <f>D1</f>
        <v>45382</v>
      </c>
      <c r="E55" s="384">
        <f t="shared" ref="E55:Q55" si="86">E1</f>
        <v>45747</v>
      </c>
      <c r="F55" s="384">
        <f t="shared" si="86"/>
        <v>46112</v>
      </c>
      <c r="G55" s="384">
        <f t="shared" si="86"/>
        <v>46477</v>
      </c>
      <c r="H55" s="384">
        <f t="shared" si="86"/>
        <v>46843</v>
      </c>
      <c r="I55" s="384">
        <f t="shared" si="86"/>
        <v>47208</v>
      </c>
      <c r="J55" s="384">
        <f t="shared" si="86"/>
        <v>47573</v>
      </c>
      <c r="K55" s="384">
        <f t="shared" si="86"/>
        <v>47938</v>
      </c>
      <c r="L55" s="384">
        <f t="shared" si="86"/>
        <v>48304</v>
      </c>
      <c r="M55" s="385">
        <f t="shared" si="86"/>
        <v>48669</v>
      </c>
      <c r="N55" s="384">
        <f t="shared" si="86"/>
        <v>49034</v>
      </c>
      <c r="O55" s="384">
        <f t="shared" si="86"/>
        <v>49399</v>
      </c>
      <c r="P55" s="384">
        <f t="shared" si="86"/>
        <v>49765</v>
      </c>
      <c r="Q55" s="384">
        <f t="shared" si="86"/>
        <v>50130</v>
      </c>
      <c r="R55" s="384">
        <f t="shared" ref="R55:Z55" si="87">R1</f>
        <v>50495</v>
      </c>
      <c r="S55" s="384">
        <f t="shared" si="87"/>
        <v>50860</v>
      </c>
      <c r="T55" s="384">
        <f t="shared" si="87"/>
        <v>51226</v>
      </c>
      <c r="U55" s="384">
        <f t="shared" si="87"/>
        <v>51591</v>
      </c>
      <c r="V55" s="384">
        <f t="shared" si="87"/>
        <v>51956</v>
      </c>
      <c r="W55" s="384">
        <f t="shared" si="87"/>
        <v>52321</v>
      </c>
      <c r="X55" s="384">
        <f t="shared" si="87"/>
        <v>52687</v>
      </c>
      <c r="Y55" s="384">
        <f t="shared" si="87"/>
        <v>53052</v>
      </c>
      <c r="Z55" s="385">
        <f t="shared" si="87"/>
        <v>53417</v>
      </c>
      <c r="AP55" s="387"/>
    </row>
    <row r="56" spans="1:42" x14ac:dyDescent="0.3">
      <c r="A56" s="415"/>
      <c r="B56" s="35" t="s">
        <v>472</v>
      </c>
      <c r="D56" s="209">
        <f ca="1">'P&amp;L Statement'!D23</f>
        <v>0</v>
      </c>
      <c r="E56" s="209">
        <f ca="1">'P&amp;L Statement'!E23</f>
        <v>0</v>
      </c>
      <c r="F56" s="209">
        <f ca="1">'P&amp;L Statement'!F23</f>
        <v>-2.3662400913647237</v>
      </c>
      <c r="G56" s="209">
        <f ca="1">'P&amp;L Statement'!G23</f>
        <v>1.3277438128782171</v>
      </c>
      <c r="H56" s="209">
        <f ca="1">'P&amp;L Statement'!H23</f>
        <v>10.108799565476799</v>
      </c>
      <c r="I56" s="209">
        <f ca="1">'P&amp;L Statement'!I23</f>
        <v>0.7473225481881336</v>
      </c>
      <c r="J56" s="209">
        <f ca="1">'P&amp;L Statement'!J23</f>
        <v>-41.18731114118134</v>
      </c>
      <c r="K56" s="209">
        <f ca="1">'P&amp;L Statement'!K23</f>
        <v>-37.140292194138482</v>
      </c>
      <c r="L56" s="209">
        <f ca="1">'P&amp;L Statement'!L23</f>
        <v>-34.716052772402207</v>
      </c>
      <c r="M56" s="401">
        <f ca="1">'P&amp;L Statement'!M23</f>
        <v>-31.808660522713936</v>
      </c>
      <c r="N56" s="209">
        <f ca="1">'P&amp;L Statement'!N23</f>
        <v>-28.670733817833849</v>
      </c>
      <c r="O56" s="209">
        <f ca="1">'P&amp;L Statement'!O23</f>
        <v>-25.16872296867642</v>
      </c>
      <c r="P56" s="209">
        <f ca="1">'P&amp;L Statement'!P23</f>
        <v>-21.297173787045146</v>
      </c>
      <c r="Q56" s="209">
        <f ca="1">'P&amp;L Statement'!Q23</f>
        <v>-17.018484327790219</v>
      </c>
      <c r="R56" s="209">
        <f ca="1">'P&amp;L Statement'!R23</f>
        <v>-12.262891253337898</v>
      </c>
      <c r="S56" s="209">
        <f ca="1">'P&amp;L Statement'!S23</f>
        <v>-7.1834558967952091</v>
      </c>
      <c r="T56" s="209">
        <f ca="1">'P&amp;L Statement'!T23</f>
        <v>-1.9647989435823874</v>
      </c>
      <c r="U56" s="209">
        <f ca="1">'P&amp;L Statement'!U23</f>
        <v>3.4000406861341759</v>
      </c>
      <c r="V56" s="209">
        <f ca="1">'P&amp;L Statement'!V23</f>
        <v>9.0458723163539787</v>
      </c>
      <c r="W56" s="209">
        <f ca="1">'P&amp;L Statement'!W23</f>
        <v>14.980370537593522</v>
      </c>
      <c r="X56" s="209">
        <f ca="1">'P&amp;L Statement'!X23</f>
        <v>21.084093479720636</v>
      </c>
      <c r="Y56" s="209">
        <f ca="1">'P&amp;L Statement'!Y23</f>
        <v>26.704095142250075</v>
      </c>
      <c r="Z56" s="401">
        <f>'P&amp;L Statement'!Z23</f>
        <v>0</v>
      </c>
    </row>
    <row r="57" spans="1:42" x14ac:dyDescent="0.3">
      <c r="A57" s="415"/>
      <c r="B57" s="35" t="s">
        <v>473</v>
      </c>
      <c r="D57" s="209">
        <f ca="1">D35</f>
        <v>0</v>
      </c>
      <c r="E57" s="209">
        <f t="shared" ref="E57:Q57" ca="1" si="88">E35</f>
        <v>0</v>
      </c>
      <c r="F57" s="209">
        <f t="shared" ca="1" si="88"/>
        <v>2.8013217034234712</v>
      </c>
      <c r="G57" s="209">
        <f t="shared" ca="1" si="88"/>
        <v>5.5143279686521716</v>
      </c>
      <c r="H57" s="209">
        <f t="shared" ca="1" si="88"/>
        <v>9.3582502664007396</v>
      </c>
      <c r="I57" s="209">
        <f t="shared" ca="1" si="88"/>
        <v>12.915335514970698</v>
      </c>
      <c r="J57" s="209">
        <f t="shared" ca="1" si="88"/>
        <v>15.846997879294797</v>
      </c>
      <c r="K57" s="209">
        <f t="shared" ca="1" si="88"/>
        <v>16.352491027568803</v>
      </c>
      <c r="L57" s="209">
        <f t="shared" ca="1" si="88"/>
        <v>16.352491027568803</v>
      </c>
      <c r="M57" s="401">
        <f t="shared" ca="1" si="88"/>
        <v>16.352491027568803</v>
      </c>
      <c r="N57" s="209">
        <f t="shared" ca="1" si="88"/>
        <v>16.352491027568803</v>
      </c>
      <c r="O57" s="209">
        <f t="shared" ca="1" si="88"/>
        <v>16.352491027568803</v>
      </c>
      <c r="P57" s="209">
        <f t="shared" ca="1" si="88"/>
        <v>16.352491027568803</v>
      </c>
      <c r="Q57" s="209">
        <f t="shared" ca="1" si="88"/>
        <v>16.352491027568803</v>
      </c>
      <c r="R57" s="209">
        <f t="shared" ref="R57:Z57" ca="1" si="89">R35</f>
        <v>16.352491027568803</v>
      </c>
      <c r="S57" s="209">
        <f t="shared" ca="1" si="89"/>
        <v>16.352491027568803</v>
      </c>
      <c r="T57" s="209">
        <f t="shared" ca="1" si="89"/>
        <v>16.352491027568803</v>
      </c>
      <c r="U57" s="209">
        <f t="shared" ca="1" si="89"/>
        <v>16.352491027568803</v>
      </c>
      <c r="V57" s="209">
        <f t="shared" ca="1" si="89"/>
        <v>16.352491027568803</v>
      </c>
      <c r="W57" s="209">
        <f t="shared" ca="1" si="89"/>
        <v>16.352491027568803</v>
      </c>
      <c r="X57" s="209">
        <f t="shared" ca="1" si="89"/>
        <v>16.352491027568803</v>
      </c>
      <c r="Y57" s="209">
        <f t="shared" ca="1" si="89"/>
        <v>16.352491027568803</v>
      </c>
      <c r="Z57" s="401">
        <f t="shared" ca="1" si="89"/>
        <v>16.352491027568803</v>
      </c>
    </row>
    <row r="58" spans="1:42" x14ac:dyDescent="0.3">
      <c r="A58" s="415"/>
      <c r="B58" s="35" t="s">
        <v>474</v>
      </c>
      <c r="D58" s="209">
        <f ca="1">D47</f>
        <v>0</v>
      </c>
      <c r="E58" s="209">
        <f t="shared" ref="E58:Q58" ca="1" si="90">E47</f>
        <v>0</v>
      </c>
      <c r="F58" s="209">
        <f t="shared" ca="1" si="90"/>
        <v>5.2577359298488568</v>
      </c>
      <c r="G58" s="209">
        <f t="shared" ca="1" si="90"/>
        <v>20.042212320526293</v>
      </c>
      <c r="H58" s="209">
        <f t="shared" ca="1" si="90"/>
        <v>31.966073534771944</v>
      </c>
      <c r="I58" s="209">
        <f t="shared" ca="1" si="90"/>
        <v>41.322736447167031</v>
      </c>
      <c r="J58" s="209">
        <f t="shared" ca="1" si="90"/>
        <v>47.162132996091344</v>
      </c>
      <c r="K58" s="209">
        <f t="shared" ca="1" si="90"/>
        <v>43.164363174410283</v>
      </c>
      <c r="L58" s="209">
        <f t="shared" ca="1" si="90"/>
        <v>37.768817777609001</v>
      </c>
      <c r="M58" s="401">
        <f t="shared" ca="1" si="90"/>
        <v>33.047715555407876</v>
      </c>
      <c r="N58" s="209">
        <f t="shared" ca="1" si="90"/>
        <v>28.916751110981892</v>
      </c>
      <c r="O58" s="209">
        <f t="shared" ca="1" si="90"/>
        <v>25.302157222109155</v>
      </c>
      <c r="P58" s="209">
        <f t="shared" ca="1" si="90"/>
        <v>22.139387569345512</v>
      </c>
      <c r="Q58" s="209">
        <f t="shared" ca="1" si="90"/>
        <v>19.371964123177325</v>
      </c>
      <c r="R58" s="209">
        <f t="shared" ref="R58:Z58" ca="1" si="91">R47</f>
        <v>16.950468607780159</v>
      </c>
      <c r="S58" s="209">
        <f t="shared" ca="1" si="91"/>
        <v>14.83166003180764</v>
      </c>
      <c r="T58" s="209">
        <f t="shared" ca="1" si="91"/>
        <v>12.977702527831685</v>
      </c>
      <c r="U58" s="209">
        <f t="shared" ca="1" si="91"/>
        <v>11.355489711852725</v>
      </c>
      <c r="V58" s="209">
        <f t="shared" ca="1" si="91"/>
        <v>9.9360534978711339</v>
      </c>
      <c r="W58" s="209">
        <f t="shared" ca="1" si="91"/>
        <v>8.6940468106372428</v>
      </c>
      <c r="X58" s="209">
        <f t="shared" ca="1" si="91"/>
        <v>7.607290959307587</v>
      </c>
      <c r="Y58" s="209">
        <f t="shared" ca="1" si="91"/>
        <v>6.6563795893941382</v>
      </c>
      <c r="Z58" s="401">
        <f t="shared" ca="1" si="91"/>
        <v>5.8243321407198714</v>
      </c>
    </row>
    <row r="59" spans="1:42" x14ac:dyDescent="0.3">
      <c r="A59" s="415"/>
      <c r="B59" s="35" t="s">
        <v>475</v>
      </c>
      <c r="D59" s="209">
        <f ca="1">D56+D57-D58</f>
        <v>0</v>
      </c>
      <c r="E59" s="209">
        <f t="shared" ref="E59:Q59" ca="1" si="92">E56+E57-E58</f>
        <v>0</v>
      </c>
      <c r="F59" s="209">
        <f t="shared" ca="1" si="92"/>
        <v>-4.8226543177901089</v>
      </c>
      <c r="G59" s="209">
        <f t="shared" ca="1" si="92"/>
        <v>-13.200140538995903</v>
      </c>
      <c r="H59" s="209">
        <f t="shared" ca="1" si="92"/>
        <v>-12.499023702894405</v>
      </c>
      <c r="I59" s="209">
        <f t="shared" ca="1" si="92"/>
        <v>-27.660078384008202</v>
      </c>
      <c r="J59" s="209">
        <f t="shared" ca="1" si="92"/>
        <v>-72.50244625797788</v>
      </c>
      <c r="K59" s="209">
        <f t="shared" ca="1" si="92"/>
        <v>-63.952164340979962</v>
      </c>
      <c r="L59" s="209">
        <f t="shared" ca="1" si="92"/>
        <v>-56.132379522442406</v>
      </c>
      <c r="M59" s="401">
        <f t="shared" ca="1" si="92"/>
        <v>-48.503885050553009</v>
      </c>
      <c r="N59" s="209">
        <f t="shared" ca="1" si="92"/>
        <v>-41.234993901246938</v>
      </c>
      <c r="O59" s="209">
        <f t="shared" ca="1" si="92"/>
        <v>-34.118389163216776</v>
      </c>
      <c r="P59" s="209">
        <f t="shared" ca="1" si="92"/>
        <v>-27.084070328821856</v>
      </c>
      <c r="Q59" s="209">
        <f t="shared" ca="1" si="92"/>
        <v>-20.037957423398741</v>
      </c>
      <c r="R59" s="209">
        <f t="shared" ref="R59:Z59" ca="1" si="93">R56+R57-R58</f>
        <v>-12.860868833549254</v>
      </c>
      <c r="S59" s="209">
        <f t="shared" ca="1" si="93"/>
        <v>-5.6626249010340466</v>
      </c>
      <c r="T59" s="209">
        <f t="shared" ca="1" si="93"/>
        <v>1.4099895561547306</v>
      </c>
      <c r="U59" s="209">
        <f t="shared" ca="1" si="93"/>
        <v>8.3970420018502541</v>
      </c>
      <c r="V59" s="209">
        <f t="shared" ca="1" si="93"/>
        <v>15.462309846051648</v>
      </c>
      <c r="W59" s="209">
        <f t="shared" ca="1" si="93"/>
        <v>22.638814754525082</v>
      </c>
      <c r="X59" s="209">
        <f t="shared" ca="1" si="93"/>
        <v>29.829293547981852</v>
      </c>
      <c r="Y59" s="209">
        <f t="shared" ca="1" si="93"/>
        <v>36.400206580424737</v>
      </c>
      <c r="Z59" s="401">
        <f t="shared" ca="1" si="93"/>
        <v>10.528158886848932</v>
      </c>
    </row>
    <row r="60" spans="1:42" x14ac:dyDescent="0.3">
      <c r="A60" s="418"/>
      <c r="B60" s="35" t="s">
        <v>476</v>
      </c>
      <c r="D60" s="209">
        <f ca="1">D59</f>
        <v>0</v>
      </c>
      <c r="E60" s="209">
        <f ca="1">D60+E59</f>
        <v>0</v>
      </c>
      <c r="F60" s="209">
        <f t="shared" ref="F60:Q60" ca="1" si="94">E60+F59</f>
        <v>-4.8226543177901089</v>
      </c>
      <c r="G60" s="209">
        <f t="shared" ca="1" si="94"/>
        <v>-18.022794856786014</v>
      </c>
      <c r="H60" s="209">
        <f t="shared" ca="1" si="94"/>
        <v>-30.521818559680419</v>
      </c>
      <c r="I60" s="209">
        <f t="shared" ca="1" si="94"/>
        <v>-58.181896943688621</v>
      </c>
      <c r="J60" s="209">
        <f t="shared" ca="1" si="94"/>
        <v>-130.68434320166651</v>
      </c>
      <c r="K60" s="209">
        <f t="shared" ca="1" si="94"/>
        <v>-194.63650754264648</v>
      </c>
      <c r="L60" s="209">
        <f t="shared" ca="1" si="94"/>
        <v>-250.7688870650889</v>
      </c>
      <c r="M60" s="401">
        <f t="shared" ca="1" si="94"/>
        <v>-299.27277211564194</v>
      </c>
      <c r="N60" s="209">
        <f t="shared" ca="1" si="94"/>
        <v>-340.50776601688887</v>
      </c>
      <c r="O60" s="209">
        <f t="shared" ca="1" si="94"/>
        <v>-374.62615518010563</v>
      </c>
      <c r="P60" s="209">
        <f t="shared" ca="1" si="94"/>
        <v>-401.71022550892746</v>
      </c>
      <c r="Q60" s="209">
        <f t="shared" ca="1" si="94"/>
        <v>-421.74818293232619</v>
      </c>
      <c r="R60" s="209">
        <f t="shared" ref="R60" ca="1" si="95">Q60+R59</f>
        <v>-434.60905176587545</v>
      </c>
      <c r="S60" s="209">
        <f t="shared" ref="S60" ca="1" si="96">R60+S59</f>
        <v>-440.27167666690951</v>
      </c>
      <c r="T60" s="209">
        <f t="shared" ref="T60" ca="1" si="97">S60+T59</f>
        <v>-438.86168711075476</v>
      </c>
      <c r="U60" s="209">
        <f t="shared" ref="U60" ca="1" si="98">T60+U59</f>
        <v>-430.46464510890451</v>
      </c>
      <c r="V60" s="209">
        <f t="shared" ref="V60" ca="1" si="99">U60+V59</f>
        <v>-415.00233526285285</v>
      </c>
      <c r="W60" s="209">
        <f t="shared" ref="W60" ca="1" si="100">V60+W59</f>
        <v>-392.36352050832778</v>
      </c>
      <c r="X60" s="209">
        <f t="shared" ref="X60" ca="1" si="101">W60+X59</f>
        <v>-362.5342269603459</v>
      </c>
      <c r="Y60" s="209">
        <f t="shared" ref="Y60" ca="1" si="102">X60+Y59</f>
        <v>-326.13402037992114</v>
      </c>
      <c r="Z60" s="401">
        <f t="shared" ref="Z60" ca="1" si="103">Y60+Z59</f>
        <v>-315.60586149307221</v>
      </c>
    </row>
    <row r="61" spans="1:42" x14ac:dyDescent="0.3">
      <c r="B61" s="36" t="s">
        <v>477</v>
      </c>
      <c r="C61" s="41"/>
      <c r="D61" s="402">
        <f ca="1">IF(D60&gt;0,D60*'Assumption Sheet'!$B$58,0)</f>
        <v>0</v>
      </c>
      <c r="E61" s="402">
        <f ca="1">IF(E60&gt;0,E60*'Assumption Sheet'!$B$58,0)</f>
        <v>0</v>
      </c>
      <c r="F61" s="402">
        <f ca="1">IF(F60&gt;0,F60*'Assumption Sheet'!$B$58,0)</f>
        <v>0</v>
      </c>
      <c r="G61" s="402">
        <f ca="1">IF(G60&gt;0,G60*'Assumption Sheet'!$B$58,0)</f>
        <v>0</v>
      </c>
      <c r="H61" s="402">
        <f ca="1">IF(H60&gt;0,H60*'Assumption Sheet'!$B$58,0)</f>
        <v>0</v>
      </c>
      <c r="I61" s="402">
        <f ca="1">IF(I60&gt;0,I60*'Assumption Sheet'!$B$58,0)</f>
        <v>0</v>
      </c>
      <c r="J61" s="402">
        <f ca="1">IF(J60&gt;0,J60*'Assumption Sheet'!$B$58,0)</f>
        <v>0</v>
      </c>
      <c r="K61" s="402">
        <f ca="1">IF(K60&gt;0,K60*'Assumption Sheet'!$B$58,0)</f>
        <v>0</v>
      </c>
      <c r="L61" s="402">
        <f ca="1">IF(L60&gt;0,L60*'Assumption Sheet'!$B$58,0)</f>
        <v>0</v>
      </c>
      <c r="M61" s="593">
        <f ca="1">IF(M60&gt;0,M60*'Assumption Sheet'!$B$58,0)</f>
        <v>0</v>
      </c>
      <c r="N61" s="402">
        <f ca="1">IF(N60&gt;0,N60*'Assumption Sheet'!$B$58,0)</f>
        <v>0</v>
      </c>
      <c r="O61" s="402">
        <f ca="1">IF(O60&gt;0,O60*'Assumption Sheet'!$B$58,0)</f>
        <v>0</v>
      </c>
      <c r="P61" s="402">
        <f ca="1">IF(P60&gt;0,P60*'Assumption Sheet'!$B$58,0)</f>
        <v>0</v>
      </c>
      <c r="Q61" s="402">
        <f ca="1">IF(Q60&gt;0,Q60*'Assumption Sheet'!$B$58,0)</f>
        <v>0</v>
      </c>
      <c r="R61" s="402">
        <f ca="1">IF(R60&gt;0,R60*'Assumption Sheet'!$B$58,0)</f>
        <v>0</v>
      </c>
      <c r="S61" s="402">
        <f ca="1">IF(S60&gt;0,S60*'Assumption Sheet'!$B$58,0)</f>
        <v>0</v>
      </c>
      <c r="T61" s="402">
        <f ca="1">IF(T60&gt;0,T60*'Assumption Sheet'!$B$58,0)</f>
        <v>0</v>
      </c>
      <c r="U61" s="402">
        <f ca="1">IF(U60&gt;0,U60*'Assumption Sheet'!$B$58,0)</f>
        <v>0</v>
      </c>
      <c r="V61" s="402">
        <f ca="1">IF(V60&gt;0,V60*'Assumption Sheet'!$B$58,0)</f>
        <v>0</v>
      </c>
      <c r="W61" s="402">
        <f ca="1">IF(W60&gt;0,W60*'Assumption Sheet'!$B$58,0)</f>
        <v>0</v>
      </c>
      <c r="X61" s="402">
        <f ca="1">IF(X60&gt;0,X60*'Assumption Sheet'!$B$58,0)</f>
        <v>0</v>
      </c>
      <c r="Y61" s="402">
        <f ca="1">IF(Y60&gt;0,Y60*'Assumption Sheet'!$B$58,0)</f>
        <v>0</v>
      </c>
      <c r="Z61" s="593">
        <f ca="1">IF(Z60&gt;0,Z60*'Assumption Sheet'!$B$58,0)</f>
        <v>0</v>
      </c>
    </row>
    <row r="62" spans="1:42" x14ac:dyDescent="0.3">
      <c r="B62" s="38" t="s">
        <v>478</v>
      </c>
      <c r="C62" s="419"/>
      <c r="D62" s="419"/>
      <c r="E62" s="419"/>
      <c r="F62" s="419"/>
      <c r="G62" s="419"/>
      <c r="H62" s="419"/>
      <c r="I62" s="419"/>
      <c r="J62" s="419"/>
      <c r="K62" s="419"/>
      <c r="L62" s="419"/>
      <c r="M62" s="594"/>
      <c r="N62" s="419"/>
      <c r="O62" s="419"/>
      <c r="P62" s="419"/>
      <c r="Q62" s="419"/>
      <c r="R62" s="419"/>
      <c r="S62" s="419"/>
      <c r="T62" s="419"/>
      <c r="U62" s="419"/>
      <c r="V62" s="419"/>
      <c r="W62" s="419"/>
      <c r="X62" s="419"/>
      <c r="Y62" s="419"/>
      <c r="Z62" s="594"/>
    </row>
  </sheetData>
  <pageMargins left="0.7" right="0.7" top="0.75" bottom="0.75" header="0.3" footer="0.3"/>
  <pageSetup orientation="portrait" r:id="rId1"/>
  <ignoredErrors>
    <ignoredError sqref="J9" 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118EA-CB57-4711-BC9A-736D1EC0A204}">
  <dimension ref="B2:KO45"/>
  <sheetViews>
    <sheetView showGridLines="0" zoomScale="90" zoomScaleNormal="90" workbookViewId="0">
      <pane xSplit="3" ySplit="5" topLeftCell="D20" activePane="bottomRight" state="frozen"/>
      <selection pane="topRight" activeCell="D1" sqref="D1"/>
      <selection pane="bottomLeft" activeCell="A6" sqref="A6"/>
      <selection pane="bottomRight" activeCell="I42" sqref="I42"/>
    </sheetView>
  </sheetViews>
  <sheetFormatPr defaultRowHeight="13.8" x14ac:dyDescent="0.3"/>
  <cols>
    <col min="1" max="1" width="8.88671875" style="1"/>
    <col min="2" max="2" width="44.44140625" style="1" bestFit="1" customWidth="1"/>
    <col min="3" max="3" width="8.88671875" style="1"/>
    <col min="4" max="13" width="9.33203125" style="1" bestFit="1" customWidth="1"/>
    <col min="14" max="25" width="9.33203125" style="1" customWidth="1"/>
    <col min="26" max="16384" width="8.88671875" style="1"/>
  </cols>
  <sheetData>
    <row r="2" spans="2:301" ht="14.4" thickBot="1" x14ac:dyDescent="0.35">
      <c r="B2" s="422" t="s">
        <v>391</v>
      </c>
    </row>
    <row r="3" spans="2:301" ht="14.4" thickTop="1" x14ac:dyDescent="0.3"/>
    <row r="4" spans="2:301" x14ac:dyDescent="0.3">
      <c r="B4" s="1" t="s">
        <v>315</v>
      </c>
      <c r="D4" s="423">
        <v>0</v>
      </c>
      <c r="E4" s="423">
        <f>D4+1</f>
        <v>1</v>
      </c>
      <c r="F4" s="423">
        <f t="shared" ref="F4:M4" si="0">E4+1</f>
        <v>2</v>
      </c>
      <c r="G4" s="423">
        <f t="shared" si="0"/>
        <v>3</v>
      </c>
      <c r="H4" s="423">
        <f t="shared" si="0"/>
        <v>4</v>
      </c>
      <c r="I4" s="423">
        <f t="shared" si="0"/>
        <v>5</v>
      </c>
      <c r="J4" s="423">
        <f t="shared" si="0"/>
        <v>6</v>
      </c>
      <c r="K4" s="423">
        <f t="shared" si="0"/>
        <v>7</v>
      </c>
      <c r="L4" s="423">
        <f t="shared" si="0"/>
        <v>8</v>
      </c>
      <c r="M4" s="423">
        <f t="shared" si="0"/>
        <v>9</v>
      </c>
    </row>
    <row r="5" spans="2:301" x14ac:dyDescent="0.3">
      <c r="B5" s="424" t="s">
        <v>208</v>
      </c>
      <c r="C5" s="425"/>
      <c r="D5" s="425">
        <v>45382</v>
      </c>
      <c r="E5" s="425">
        <f>EOMONTH(D5,12)</f>
        <v>45747</v>
      </c>
      <c r="F5" s="425">
        <f t="shared" ref="F5:M5" si="1">EOMONTH(E5,12)</f>
        <v>46112</v>
      </c>
      <c r="G5" s="425">
        <f t="shared" si="1"/>
        <v>46477</v>
      </c>
      <c r="H5" s="425">
        <f t="shared" si="1"/>
        <v>46843</v>
      </c>
      <c r="I5" s="425">
        <f t="shared" si="1"/>
        <v>47208</v>
      </c>
      <c r="J5" s="425">
        <f t="shared" si="1"/>
        <v>47573</v>
      </c>
      <c r="K5" s="425">
        <f t="shared" si="1"/>
        <v>47938</v>
      </c>
      <c r="L5" s="425">
        <f t="shared" si="1"/>
        <v>48304</v>
      </c>
      <c r="M5" s="426">
        <f t="shared" si="1"/>
        <v>48669</v>
      </c>
      <c r="N5" s="426">
        <f t="shared" ref="N5" si="2">EOMONTH(M5,12)</f>
        <v>49034</v>
      </c>
      <c r="O5" s="426">
        <f t="shared" ref="O5" si="3">EOMONTH(N5,12)</f>
        <v>49399</v>
      </c>
      <c r="P5" s="426">
        <f t="shared" ref="P5" si="4">EOMONTH(O5,12)</f>
        <v>49765</v>
      </c>
      <c r="Q5" s="426">
        <f t="shared" ref="Q5" si="5">EOMONTH(P5,12)</f>
        <v>50130</v>
      </c>
      <c r="R5" s="426">
        <f t="shared" ref="R5" si="6">EOMONTH(Q5,12)</f>
        <v>50495</v>
      </c>
      <c r="S5" s="426">
        <f t="shared" ref="S5" si="7">EOMONTH(R5,12)</f>
        <v>50860</v>
      </c>
      <c r="T5" s="426">
        <f t="shared" ref="T5" si="8">EOMONTH(S5,12)</f>
        <v>51226</v>
      </c>
      <c r="U5" s="426">
        <f t="shared" ref="U5" si="9">EOMONTH(T5,12)</f>
        <v>51591</v>
      </c>
      <c r="V5" s="426">
        <f t="shared" ref="V5" si="10">EOMONTH(U5,12)</f>
        <v>51956</v>
      </c>
      <c r="W5" s="426">
        <f t="shared" ref="W5" si="11">EOMONTH(V5,12)</f>
        <v>52321</v>
      </c>
      <c r="X5" s="426">
        <f t="shared" ref="X5" si="12">EOMONTH(W5,12)</f>
        <v>52687</v>
      </c>
      <c r="Y5" s="426">
        <f t="shared" ref="Y5" si="13">EOMONTH(X5,12)</f>
        <v>53052</v>
      </c>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c r="IM5" s="58"/>
      <c r="IN5" s="58"/>
      <c r="IO5" s="58"/>
      <c r="IP5" s="58"/>
      <c r="IQ5" s="58"/>
      <c r="IR5" s="58"/>
      <c r="IS5" s="58"/>
      <c r="IT5" s="58"/>
      <c r="IU5" s="58"/>
      <c r="IV5" s="58"/>
      <c r="IW5" s="58"/>
      <c r="IX5" s="58"/>
      <c r="IY5" s="58"/>
      <c r="IZ5" s="58"/>
      <c r="JA5" s="58"/>
      <c r="JB5" s="58"/>
      <c r="JC5" s="58"/>
      <c r="JD5" s="58"/>
      <c r="JE5" s="58"/>
      <c r="JF5" s="58"/>
      <c r="JG5" s="58"/>
      <c r="JH5" s="58"/>
      <c r="JI5" s="58"/>
      <c r="JJ5" s="58"/>
      <c r="JK5" s="58"/>
      <c r="JL5" s="58"/>
      <c r="JM5" s="58"/>
      <c r="JN5" s="58"/>
      <c r="JO5" s="58"/>
      <c r="JP5" s="58"/>
      <c r="JQ5" s="58"/>
      <c r="JR5" s="58"/>
      <c r="JS5" s="58"/>
      <c r="JT5" s="58"/>
      <c r="JU5" s="58"/>
      <c r="JV5" s="58"/>
      <c r="JW5" s="58"/>
      <c r="JX5" s="58"/>
      <c r="JY5" s="58"/>
      <c r="JZ5" s="58"/>
      <c r="KA5" s="58"/>
      <c r="KB5" s="58"/>
      <c r="KC5" s="58"/>
      <c r="KD5" s="58"/>
      <c r="KE5" s="58"/>
      <c r="KF5" s="58"/>
      <c r="KG5" s="58"/>
      <c r="KH5" s="58"/>
      <c r="KI5" s="58"/>
      <c r="KJ5" s="58"/>
      <c r="KK5" s="58"/>
      <c r="KL5" s="58"/>
      <c r="KM5" s="58"/>
      <c r="KN5" s="58"/>
      <c r="KO5" s="58"/>
    </row>
    <row r="6" spans="2:301" x14ac:dyDescent="0.3">
      <c r="B6" s="427" t="s">
        <v>356</v>
      </c>
      <c r="C6" s="428"/>
      <c r="D6" s="429"/>
      <c r="E6" s="428"/>
      <c r="F6" s="428"/>
      <c r="G6" s="428"/>
      <c r="H6" s="428"/>
      <c r="I6" s="428"/>
      <c r="J6" s="428"/>
      <c r="K6" s="428"/>
      <c r="L6" s="428"/>
      <c r="M6" s="430"/>
      <c r="N6" s="430"/>
      <c r="O6" s="430"/>
      <c r="P6" s="430"/>
      <c r="Q6" s="430"/>
      <c r="R6" s="430"/>
      <c r="S6" s="430"/>
      <c r="T6" s="430"/>
      <c r="U6" s="430"/>
      <c r="V6" s="430"/>
      <c r="W6" s="430"/>
      <c r="X6" s="430"/>
      <c r="Y6" s="430"/>
    </row>
    <row r="7" spans="2:301" x14ac:dyDescent="0.3">
      <c r="B7" s="169" t="s">
        <v>312</v>
      </c>
      <c r="D7" s="243">
        <f ca="1">SUMIFS('P&amp;L Statement'!23:23,'P&amp;L Statement'!4:4,D5)</f>
        <v>0</v>
      </c>
      <c r="E7" s="258">
        <f ca="1">SUMIFS('P&amp;L Statement'!23:23,'P&amp;L Statement'!4:4,E5)</f>
        <v>0</v>
      </c>
      <c r="F7" s="258">
        <f ca="1">SUMIFS('P&amp;L Statement'!23:23,'P&amp;L Statement'!4:4,F5)</f>
        <v>-2.3662400913647237</v>
      </c>
      <c r="G7" s="258">
        <f ca="1">SUMIFS('P&amp;L Statement'!23:23,'P&amp;L Statement'!4:4,G5)</f>
        <v>1.3277438128782171</v>
      </c>
      <c r="H7" s="258">
        <f ca="1">SUMIFS('P&amp;L Statement'!23:23,'P&amp;L Statement'!4:4,H5)</f>
        <v>10.108799565476799</v>
      </c>
      <c r="I7" s="258">
        <f ca="1">SUMIFS('P&amp;L Statement'!23:23,'P&amp;L Statement'!4:4,I5)</f>
        <v>0.7473225481881336</v>
      </c>
      <c r="J7" s="258">
        <f ca="1">SUMIFS('P&amp;L Statement'!23:23,'P&amp;L Statement'!4:4,J5)</f>
        <v>-41.18731114118134</v>
      </c>
      <c r="K7" s="258">
        <f ca="1">SUMIFS('P&amp;L Statement'!23:23,'P&amp;L Statement'!4:4,K5)</f>
        <v>-37.140292194138482</v>
      </c>
      <c r="L7" s="258">
        <f ca="1">SUMIFS('P&amp;L Statement'!23:23,'P&amp;L Statement'!4:4,L5)</f>
        <v>-34.716052772402207</v>
      </c>
      <c r="M7" s="246">
        <f ca="1">SUMIFS('P&amp;L Statement'!23:23,'P&amp;L Statement'!4:4,M5)</f>
        <v>-31.808660522713936</v>
      </c>
      <c r="N7" s="246">
        <f ca="1">SUMIFS('P&amp;L Statement'!23:23,'P&amp;L Statement'!4:4,N5)</f>
        <v>-28.670733817833849</v>
      </c>
      <c r="O7" s="246">
        <f ca="1">SUMIFS('P&amp;L Statement'!23:23,'P&amp;L Statement'!4:4,O5)</f>
        <v>-25.16872296867642</v>
      </c>
      <c r="P7" s="246">
        <f ca="1">SUMIFS('P&amp;L Statement'!23:23,'P&amp;L Statement'!4:4,P5)</f>
        <v>-21.297173787045146</v>
      </c>
      <c r="Q7" s="246">
        <f ca="1">SUMIFS('P&amp;L Statement'!23:23,'P&amp;L Statement'!4:4,Q5)</f>
        <v>-17.018484327790219</v>
      </c>
      <c r="R7" s="246">
        <f ca="1">SUMIFS('P&amp;L Statement'!23:23,'P&amp;L Statement'!4:4,R5)</f>
        <v>-12.262891253337898</v>
      </c>
      <c r="S7" s="246">
        <f ca="1">SUMIFS('P&amp;L Statement'!23:23,'P&amp;L Statement'!4:4,S5)</f>
        <v>-7.1834558967952091</v>
      </c>
      <c r="T7" s="246">
        <f ca="1">SUMIFS('P&amp;L Statement'!23:23,'P&amp;L Statement'!4:4,T5)</f>
        <v>-1.9647989435823874</v>
      </c>
      <c r="U7" s="246">
        <f ca="1">SUMIFS('P&amp;L Statement'!23:23,'P&amp;L Statement'!4:4,U5)</f>
        <v>3.4000406861341759</v>
      </c>
      <c r="V7" s="246">
        <f ca="1">SUMIFS('P&amp;L Statement'!23:23,'P&amp;L Statement'!4:4,V5)</f>
        <v>9.0458723163539787</v>
      </c>
      <c r="W7" s="246">
        <f ca="1">SUMIFS('P&amp;L Statement'!23:23,'P&amp;L Statement'!4:4,W5)</f>
        <v>14.980370537593522</v>
      </c>
      <c r="X7" s="246">
        <f ca="1">SUMIFS('P&amp;L Statement'!23:23,'P&amp;L Statement'!4:4,X5)</f>
        <v>21.084093479720636</v>
      </c>
      <c r="Y7" s="246">
        <f ca="1">SUMIFS('P&amp;L Statement'!23:23,'P&amp;L Statement'!4:4,Y5)</f>
        <v>26.704095142250075</v>
      </c>
    </row>
    <row r="8" spans="2:301" x14ac:dyDescent="0.3">
      <c r="B8" s="169" t="s">
        <v>468</v>
      </c>
      <c r="D8" s="169"/>
      <c r="M8" s="377"/>
      <c r="N8" s="377"/>
      <c r="O8" s="377"/>
      <c r="P8" s="377"/>
      <c r="Q8" s="377"/>
      <c r="R8" s="377"/>
      <c r="S8" s="377"/>
      <c r="T8" s="377"/>
      <c r="U8" s="377"/>
      <c r="V8" s="377"/>
      <c r="W8" s="377"/>
      <c r="X8" s="377"/>
      <c r="Y8" s="377"/>
    </row>
    <row r="9" spans="2:301" x14ac:dyDescent="0.3">
      <c r="B9" s="169" t="s">
        <v>469</v>
      </c>
      <c r="D9" s="243">
        <f ca="1">SUMIFS('P&amp;L Statement'!18:18,'P&amp;L Statement'!4:4,D5)</f>
        <v>0</v>
      </c>
      <c r="E9" s="258">
        <f ca="1">SUMIFS('P&amp;L Statement'!18:18,'P&amp;L Statement'!4:4,E5)</f>
        <v>0</v>
      </c>
      <c r="F9" s="258">
        <f ca="1">SUMIFS('P&amp;L Statement'!18:18,'P&amp;L Statement'!4:4,F5)</f>
        <v>2.8013217034234712</v>
      </c>
      <c r="G9" s="258">
        <f ca="1">SUMIFS('P&amp;L Statement'!18:18,'P&amp;L Statement'!4:4,G5)</f>
        <v>5.5143279686521716</v>
      </c>
      <c r="H9" s="258">
        <f ca="1">SUMIFS('P&amp;L Statement'!18:18,'P&amp;L Statement'!4:4,H5)</f>
        <v>9.3582502664007396</v>
      </c>
      <c r="I9" s="258">
        <f ca="1">SUMIFS('P&amp;L Statement'!18:18,'P&amp;L Statement'!4:4,I5)</f>
        <v>12.915335514970698</v>
      </c>
      <c r="J9" s="258">
        <f ca="1">SUMIFS('P&amp;L Statement'!18:18,'P&amp;L Statement'!4:4,J5)</f>
        <v>15.846997879294797</v>
      </c>
      <c r="K9" s="258">
        <f ca="1">SUMIFS('P&amp;L Statement'!18:18,'P&amp;L Statement'!4:4,K5)</f>
        <v>16.352491027568803</v>
      </c>
      <c r="L9" s="258">
        <f ca="1">SUMIFS('P&amp;L Statement'!18:18,'P&amp;L Statement'!4:4,L5)</f>
        <v>16.352491027568803</v>
      </c>
      <c r="M9" s="246">
        <f ca="1">SUMIFS('P&amp;L Statement'!18:18,'P&amp;L Statement'!4:4,M5)</f>
        <v>16.352491027568803</v>
      </c>
      <c r="N9" s="246">
        <f ca="1">SUMIFS('P&amp;L Statement'!18:18,'P&amp;L Statement'!4:4,N5)</f>
        <v>16.352491027568803</v>
      </c>
      <c r="O9" s="246">
        <f ca="1">SUMIFS('P&amp;L Statement'!18:18,'P&amp;L Statement'!4:4,O5)</f>
        <v>16.352491027568803</v>
      </c>
      <c r="P9" s="246">
        <f ca="1">SUMIFS('P&amp;L Statement'!18:18,'P&amp;L Statement'!4:4,P5)</f>
        <v>16.352491027568803</v>
      </c>
      <c r="Q9" s="246">
        <f ca="1">SUMIFS('P&amp;L Statement'!18:18,'P&amp;L Statement'!4:4,Q5)</f>
        <v>16.352491027568803</v>
      </c>
      <c r="R9" s="246">
        <f ca="1">SUMIFS('P&amp;L Statement'!18:18,'P&amp;L Statement'!4:4,R5)</f>
        <v>16.352491027568803</v>
      </c>
      <c r="S9" s="246">
        <f ca="1">SUMIFS('P&amp;L Statement'!18:18,'P&amp;L Statement'!4:4,S5)</f>
        <v>16.352491027568803</v>
      </c>
      <c r="T9" s="246">
        <f ca="1">SUMIFS('P&amp;L Statement'!18:18,'P&amp;L Statement'!4:4,T5)</f>
        <v>16.352491027568803</v>
      </c>
      <c r="U9" s="246">
        <f ca="1">SUMIFS('P&amp;L Statement'!18:18,'P&amp;L Statement'!4:4,U5)</f>
        <v>16.352491027568803</v>
      </c>
      <c r="V9" s="246">
        <f ca="1">SUMIFS('P&amp;L Statement'!18:18,'P&amp;L Statement'!4:4,V5)</f>
        <v>16.352491027568803</v>
      </c>
      <c r="W9" s="246">
        <f ca="1">SUMIFS('P&amp;L Statement'!18:18,'P&amp;L Statement'!4:4,W5)</f>
        <v>16.352491027568803</v>
      </c>
      <c r="X9" s="246">
        <f ca="1">SUMIFS('P&amp;L Statement'!18:18,'P&amp;L Statement'!4:4,X5)</f>
        <v>16.352491027568803</v>
      </c>
      <c r="Y9" s="246">
        <f ca="1">SUMIFS('P&amp;L Statement'!18:18,'P&amp;L Statement'!4:4,Y5)</f>
        <v>16.352491027568803</v>
      </c>
    </row>
    <row r="10" spans="2:301" x14ac:dyDescent="0.3">
      <c r="B10" s="169" t="s">
        <v>470</v>
      </c>
      <c r="D10" s="243">
        <f>SUMIFS('P&amp;L Statement'!19:19,'P&amp;L Statement'!4:4,D5)+SUMIFS('P&amp;L Statement'!21:21,'P&amp;L Statement'!4:4,D5)</f>
        <v>0</v>
      </c>
      <c r="E10" s="258">
        <f>SUMIFS('P&amp;L Statement'!19:19,'P&amp;L Statement'!4:4,E5)+SUMIFS('P&amp;L Statement'!21:21,'P&amp;L Statement'!4:4,E5)</f>
        <v>0</v>
      </c>
      <c r="F10" s="258">
        <f ca="1">SUMIFS('P&amp;L Statement'!19:19,'P&amp;L Statement'!4:4,F5)+SUMIFS('P&amp;L Statement'!21:21,'P&amp;L Statement'!4:4,F5)</f>
        <v>0</v>
      </c>
      <c r="G10" s="258">
        <f ca="1">SUMIFS('P&amp;L Statement'!19:19,'P&amp;L Statement'!4:4,G5)+SUMIFS('P&amp;L Statement'!21:21,'P&amp;L Statement'!4:4,G5)</f>
        <v>0</v>
      </c>
      <c r="H10" s="258">
        <f ca="1">SUMIFS('P&amp;L Statement'!19:19,'P&amp;L Statement'!4:4,H5)+SUMIFS('P&amp;L Statement'!21:21,'P&amp;L Statement'!4:4,H5)</f>
        <v>0</v>
      </c>
      <c r="I10" s="258">
        <f ca="1">SUMIFS('P&amp;L Statement'!19:19,'P&amp;L Statement'!4:4,I5)+SUMIFS('P&amp;L Statement'!21:21,'P&amp;L Statement'!4:4,I5)</f>
        <v>7.1625106833256815</v>
      </c>
      <c r="J10" s="258">
        <f ca="1">SUMIFS('P&amp;L Statement'!19:19,'P&amp;L Statement'!4:4,J5)+SUMIFS('P&amp;L Statement'!21:21,'P&amp;L Statement'!4:4,J5)</f>
        <v>26.23972663816787</v>
      </c>
      <c r="K10" s="258">
        <f ca="1">SUMIFS('P&amp;L Statement'!19:19,'P&amp;L Statement'!4:4,K5)+SUMIFS('P&amp;L Statement'!21:21,'P&amp;L Statement'!4:4,K5)</f>
        <v>25.149412511897214</v>
      </c>
      <c r="L10" s="258">
        <f ca="1">SUMIFS('P&amp;L Statement'!19:19,'P&amp;L Statement'!4:4,L5)+SUMIFS('P&amp;L Statement'!21:21,'P&amp;L Statement'!4:4,L5)</f>
        <v>24.607536703656091</v>
      </c>
      <c r="M10" s="246">
        <f ca="1">SUMIFS('P&amp;L Statement'!19:19,'P&amp;L Statement'!4:4,M5)+SUMIFS('P&amp;L Statement'!21:21,'P&amp;L Statement'!4:4,M5)</f>
        <v>23.87441061015338</v>
      </c>
      <c r="N10" s="246">
        <f ca="1">SUMIFS('P&amp;L Statement'!19:19,'P&amp;L Statement'!4:4,N5)+SUMIFS('P&amp;L Statement'!21:21,'P&amp;L Statement'!4:4,N5)</f>
        <v>22.918159183845503</v>
      </c>
      <c r="O10" s="246">
        <f ca="1">SUMIFS('P&amp;L Statement'!19:19,'P&amp;L Statement'!4:4,O5)+SUMIFS('P&amp;L Statement'!21:21,'P&amp;L Statement'!4:4,O5)</f>
        <v>21.706907377188855</v>
      </c>
      <c r="P10" s="246">
        <f ca="1">SUMIFS('P&amp;L Statement'!19:19,'P&amp;L Statement'!4:4,P5)+SUMIFS('P&amp;L Statement'!21:21,'P&amp;L Statement'!4:4,P5)</f>
        <v>20.240655190183439</v>
      </c>
      <c r="Q10" s="246">
        <f ca="1">SUMIFS('P&amp;L Statement'!19:19,'P&amp;L Statement'!4:4,Q5)+SUMIFS('P&amp;L Statement'!21:21,'P&amp;L Statement'!4:4,Q5)</f>
        <v>18.487527575285661</v>
      </c>
      <c r="R10" s="246">
        <f ca="1">SUMIFS('P&amp;L Statement'!19:19,'P&amp;L Statement'!4:4,R5)+SUMIFS('P&amp;L Statement'!21:21,'P&amp;L Statement'!4:4,R5)</f>
        <v>16.383774437408327</v>
      </c>
      <c r="S10" s="246">
        <f ca="1">SUMIFS('P&amp;L Statement'!19:19,'P&amp;L Statement'!4:4,S5)+SUMIFS('P&amp;L Statement'!21:21,'P&amp;L Statement'!4:4,S5)</f>
        <v>14.088771014269419</v>
      </c>
      <c r="T10" s="246">
        <f ca="1">SUMIFS('P&amp;L Statement'!19:19,'P&amp;L Statement'!4:4,T5)+SUMIFS('P&amp;L Statement'!21:21,'P&amp;L Statement'!4:4,T5)</f>
        <v>11.793767591130509</v>
      </c>
      <c r="U10" s="246">
        <f ca="1">SUMIFS('P&amp;L Statement'!19:19,'P&amp;L Statement'!4:4,U5)+SUMIFS('P&amp;L Statement'!21:21,'P&amp;L Statement'!4:4,U5)</f>
        <v>9.4987641679915988</v>
      </c>
      <c r="V10" s="246">
        <f ca="1">SUMIFS('P&amp;L Statement'!19:19,'P&amp;L Statement'!4:4,V5)+SUMIFS('P&amp;L Statement'!21:21,'P&amp;L Statement'!4:4,V5)</f>
        <v>7.0762605546783055</v>
      </c>
      <c r="W10" s="246">
        <f ca="1">SUMIFS('P&amp;L Statement'!19:19,'P&amp;L Statement'!4:4,W5)+SUMIFS('P&amp;L Statement'!21:21,'P&amp;L Statement'!4:4,W5)</f>
        <v>4.526256751190628</v>
      </c>
      <c r="X10" s="246">
        <f ca="1">SUMIFS('P&amp;L Statement'!19:19,'P&amp;L Statement'!4:4,X5)+SUMIFS('P&amp;L Statement'!21:21,'P&amp;L Statement'!4:4,X5)</f>
        <v>1.9762529477029496</v>
      </c>
      <c r="Y10" s="246">
        <f ca="1">SUMIFS('P&amp;L Statement'!19:19,'P&amp;L Statement'!4:4,Y5)+SUMIFS('P&amp;L Statement'!21:21,'P&amp;L Statement'!4:4,Y5)</f>
        <v>8.7656380744888171E-2</v>
      </c>
    </row>
    <row r="11" spans="2:301" x14ac:dyDescent="0.3">
      <c r="B11" s="169" t="s">
        <v>463</v>
      </c>
      <c r="D11" s="243"/>
      <c r="E11" s="258"/>
      <c r="F11" s="258"/>
      <c r="G11" s="258"/>
      <c r="H11" s="258"/>
      <c r="I11" s="258"/>
      <c r="J11" s="258"/>
      <c r="K11" s="258"/>
      <c r="L11" s="258"/>
      <c r="M11" s="246"/>
      <c r="N11" s="246"/>
      <c r="O11" s="246"/>
      <c r="P11" s="246"/>
      <c r="Q11" s="246"/>
      <c r="R11" s="246"/>
      <c r="S11" s="246"/>
      <c r="T11" s="246"/>
      <c r="U11" s="246"/>
      <c r="V11" s="246"/>
      <c r="W11" s="246"/>
      <c r="X11" s="246"/>
      <c r="Y11" s="246"/>
    </row>
    <row r="12" spans="2:301" x14ac:dyDescent="0.3">
      <c r="B12" s="431" t="s">
        <v>464</v>
      </c>
      <c r="D12" s="243">
        <f>SUMIFS('Quasi Equity_Schedule'!9:9,'Quasi Equity_Schedule'!3:3,D5)</f>
        <v>0</v>
      </c>
      <c r="E12" s="258">
        <f ca="1">SUMIFS('Quasi Equity_Schedule'!9:9,'Quasi Equity_Schedule'!3:3,E5)</f>
        <v>5.1672455420699812</v>
      </c>
      <c r="F12" s="258">
        <f ca="1">SUMIFS('Quasi Equity_Schedule'!9:9,'Quasi Equity_Schedule'!3:3,F5)</f>
        <v>10.409027982377474</v>
      </c>
      <c r="G12" s="258">
        <f ca="1">SUMIFS('Quasi Equity_Schedule'!9:9,'Quasi Equity_Schedule'!3:3,G5)</f>
        <v>19.429808878299291</v>
      </c>
      <c r="H12" s="258">
        <f ca="1">SUMIFS('Quasi Equity_Schedule'!9:9,'Quasi Equity_Schedule'!3:3,H5)</f>
        <v>28.509308213165514</v>
      </c>
      <c r="I12" s="258">
        <f ca="1">SUMIFS('Quasi Equity_Schedule'!9:9,'Quasi Equity_Schedule'!3:3,I5)</f>
        <v>33.731894402589873</v>
      </c>
      <c r="J12" s="258">
        <f ca="1">SUMIFS('Quasi Equity_Schedule'!9:9,'Quasi Equity_Schedule'!3:3,J5)</f>
        <v>35.215264456435712</v>
      </c>
      <c r="K12" s="258">
        <f ca="1">SUMIFS('Quasi Equity_Schedule'!9:9,'Quasi Equity_Schedule'!3:3,K5)</f>
        <v>35.215264456435712</v>
      </c>
      <c r="L12" s="258">
        <f ca="1">SUMIFS('Quasi Equity_Schedule'!9:9,'Quasi Equity_Schedule'!3:3,L5)</f>
        <v>35.311744633028688</v>
      </c>
      <c r="M12" s="246">
        <f ca="1">SUMIFS('Quasi Equity_Schedule'!9:9,'Quasi Equity_Schedule'!3:3,M5)</f>
        <v>35.215264456435712</v>
      </c>
      <c r="N12" s="246">
        <f ca="1">M12</f>
        <v>35.215264456435712</v>
      </c>
      <c r="O12" s="246">
        <f t="shared" ref="O12:Y12" ca="1" si="14">N12</f>
        <v>35.215264456435712</v>
      </c>
      <c r="P12" s="246">
        <f t="shared" ca="1" si="14"/>
        <v>35.215264456435712</v>
      </c>
      <c r="Q12" s="246">
        <f t="shared" ca="1" si="14"/>
        <v>35.215264456435712</v>
      </c>
      <c r="R12" s="246">
        <f t="shared" ca="1" si="14"/>
        <v>35.215264456435712</v>
      </c>
      <c r="S12" s="246">
        <f t="shared" ca="1" si="14"/>
        <v>35.215264456435712</v>
      </c>
      <c r="T12" s="246">
        <f t="shared" ca="1" si="14"/>
        <v>35.215264456435712</v>
      </c>
      <c r="U12" s="246">
        <f t="shared" ca="1" si="14"/>
        <v>35.215264456435712</v>
      </c>
      <c r="V12" s="246">
        <f t="shared" ca="1" si="14"/>
        <v>35.215264456435712</v>
      </c>
      <c r="W12" s="246">
        <f t="shared" ca="1" si="14"/>
        <v>35.215264456435712</v>
      </c>
      <c r="X12" s="246">
        <f t="shared" ca="1" si="14"/>
        <v>35.215264456435712</v>
      </c>
      <c r="Y12" s="246">
        <f t="shared" ca="1" si="14"/>
        <v>35.215264456435712</v>
      </c>
    </row>
    <row r="13" spans="2:301" x14ac:dyDescent="0.3">
      <c r="B13" s="431" t="s">
        <v>465</v>
      </c>
      <c r="D13" s="243">
        <f>-SUMIFS('Quasi Equity_Schedule'!11:11,'Quasi Equity_Schedule'!3:3,D5)</f>
        <v>0</v>
      </c>
      <c r="E13" s="258">
        <f ca="1">-SUMIFS('Quasi Equity_Schedule'!11:11,'Quasi Equity_Schedule'!3:3,E5)</f>
        <v>-5.1672455420699812</v>
      </c>
      <c r="F13" s="258">
        <f ca="1">-SUMIFS('Quasi Equity_Schedule'!11:11,'Quasi Equity_Schedule'!3:3,F5)</f>
        <v>-10.409027982377474</v>
      </c>
      <c r="G13" s="258">
        <f ca="1">-SUMIFS('Quasi Equity_Schedule'!11:11,'Quasi Equity_Schedule'!3:3,G5)</f>
        <v>-19.429808878299291</v>
      </c>
      <c r="H13" s="258">
        <f ca="1">-SUMIFS('Quasi Equity_Schedule'!11:11,'Quasi Equity_Schedule'!3:3,H5)</f>
        <v>-28.509308213165514</v>
      </c>
      <c r="I13" s="258">
        <f ca="1">-SUMIFS('Quasi Equity_Schedule'!11:11,'Quasi Equity_Schedule'!3:3,I5)</f>
        <v>-24.952198332629191</v>
      </c>
      <c r="J13" s="258">
        <f>-SUMIFS('Quasi Equity_Schedule'!11:11,'Quasi Equity_Schedule'!3:3,J5)</f>
        <v>0</v>
      </c>
      <c r="K13" s="258">
        <f>-SUMIFS('Quasi Equity_Schedule'!11:11,'Quasi Equity_Schedule'!3:3,K5)</f>
        <v>0</v>
      </c>
      <c r="L13" s="258">
        <f>-SUMIFS('Quasi Equity_Schedule'!11:11,'Quasi Equity_Schedule'!3:3,L5)</f>
        <v>0</v>
      </c>
      <c r="M13" s="246">
        <f>-SUMIFS('Quasi Equity_Schedule'!11:11,'Quasi Equity_Schedule'!3:3,M5)</f>
        <v>0</v>
      </c>
      <c r="N13" s="246">
        <f>-SUMIFS('Quasi Equity_Schedule'!11:11,'Quasi Equity_Schedule'!3:3,N5)</f>
        <v>0</v>
      </c>
      <c r="O13" s="246">
        <f>-SUMIFS('Quasi Equity_Schedule'!11:11,'Quasi Equity_Schedule'!3:3,O5)</f>
        <v>0</v>
      </c>
      <c r="P13" s="246">
        <f>-SUMIFS('Quasi Equity_Schedule'!11:11,'Quasi Equity_Schedule'!3:3,P5)</f>
        <v>0</v>
      </c>
      <c r="Q13" s="246">
        <f>-SUMIFS('Quasi Equity_Schedule'!11:11,'Quasi Equity_Schedule'!3:3,Q5)</f>
        <v>0</v>
      </c>
      <c r="R13" s="246">
        <f>-SUMIFS('Quasi Equity_Schedule'!11:11,'Quasi Equity_Schedule'!3:3,R5)</f>
        <v>0</v>
      </c>
      <c r="S13" s="246">
        <f>-SUMIFS('Quasi Equity_Schedule'!11:11,'Quasi Equity_Schedule'!3:3,S5)</f>
        <v>0</v>
      </c>
      <c r="T13" s="246">
        <f>-SUMIFS('Quasi Equity_Schedule'!11:11,'Quasi Equity_Schedule'!3:3,T5)</f>
        <v>0</v>
      </c>
      <c r="U13" s="246">
        <f>-SUMIFS('Quasi Equity_Schedule'!11:11,'Quasi Equity_Schedule'!3:3,U5)</f>
        <v>0</v>
      </c>
      <c r="V13" s="246">
        <f>-SUMIFS('Quasi Equity_Schedule'!11:11,'Quasi Equity_Schedule'!3:3,V5)</f>
        <v>0</v>
      </c>
      <c r="W13" s="246">
        <f>-SUMIFS('Quasi Equity_Schedule'!11:11,'Quasi Equity_Schedule'!3:3,W5)</f>
        <v>0</v>
      </c>
      <c r="X13" s="246">
        <f>-SUMIFS('Quasi Equity_Schedule'!11:11,'Quasi Equity_Schedule'!3:3,X5)</f>
        <v>0</v>
      </c>
      <c r="Y13" s="246">
        <f>-SUMIFS('Quasi Equity_Schedule'!11:11,'Quasi Equity_Schedule'!3:3,Y5)</f>
        <v>0</v>
      </c>
    </row>
    <row r="14" spans="2:301" x14ac:dyDescent="0.3">
      <c r="B14" s="431"/>
      <c r="D14" s="258"/>
      <c r="E14" s="258"/>
      <c r="F14" s="258"/>
      <c r="G14" s="258"/>
      <c r="H14" s="258"/>
      <c r="I14" s="258"/>
      <c r="J14" s="258"/>
      <c r="K14" s="258"/>
      <c r="L14" s="258"/>
      <c r="M14" s="246"/>
      <c r="N14" s="246"/>
      <c r="O14" s="246"/>
      <c r="P14" s="246"/>
      <c r="Q14" s="246"/>
      <c r="R14" s="246"/>
      <c r="S14" s="246"/>
      <c r="T14" s="246"/>
      <c r="U14" s="246"/>
      <c r="V14" s="246"/>
      <c r="W14" s="246"/>
      <c r="X14" s="246"/>
      <c r="Y14" s="246"/>
    </row>
    <row r="15" spans="2:301" x14ac:dyDescent="0.3">
      <c r="B15" s="432" t="s">
        <v>306</v>
      </c>
      <c r="C15" s="433"/>
      <c r="D15" s="434">
        <f ca="1">D7+D9+D10+D12</f>
        <v>0</v>
      </c>
      <c r="E15" s="434">
        <f t="shared" ref="E15:M15" ca="1" si="15">E7+E9+E10+E12+E13</f>
        <v>0</v>
      </c>
      <c r="F15" s="434">
        <f t="shared" ca="1" si="15"/>
        <v>0.43508161205874707</v>
      </c>
      <c r="G15" s="434">
        <f t="shared" ca="1" si="15"/>
        <v>6.8420717815303895</v>
      </c>
      <c r="H15" s="434">
        <f t="shared" ca="1" si="15"/>
        <v>19.467049831877542</v>
      </c>
      <c r="I15" s="434">
        <f t="shared" ca="1" si="15"/>
        <v>29.604864816445197</v>
      </c>
      <c r="J15" s="434">
        <f t="shared" ca="1" si="15"/>
        <v>36.114677832717035</v>
      </c>
      <c r="K15" s="434">
        <f t="shared" ca="1" si="15"/>
        <v>39.576875801763251</v>
      </c>
      <c r="L15" s="434">
        <f t="shared" ca="1" si="15"/>
        <v>41.555719591851371</v>
      </c>
      <c r="M15" s="435">
        <f t="shared" ca="1" si="15"/>
        <v>43.633505571443962</v>
      </c>
      <c r="N15" s="435">
        <f t="shared" ref="N15:Y15" ca="1" si="16">N7+N9+N10+N12+N13</f>
        <v>45.815180850016169</v>
      </c>
      <c r="O15" s="435">
        <f t="shared" ca="1" si="16"/>
        <v>48.10593989251695</v>
      </c>
      <c r="P15" s="435">
        <f t="shared" ca="1" si="16"/>
        <v>50.511236887142807</v>
      </c>
      <c r="Q15" s="435">
        <f t="shared" ca="1" si="16"/>
        <v>53.036798731499957</v>
      </c>
      <c r="R15" s="435">
        <f t="shared" ca="1" si="16"/>
        <v>55.688638668074944</v>
      </c>
      <c r="S15" s="435">
        <f t="shared" ca="1" si="16"/>
        <v>58.473070601478724</v>
      </c>
      <c r="T15" s="435">
        <f t="shared" ca="1" si="16"/>
        <v>61.396724131552638</v>
      </c>
      <c r="U15" s="435">
        <f t="shared" ca="1" si="16"/>
        <v>64.466560338130293</v>
      </c>
      <c r="V15" s="435">
        <f t="shared" ca="1" si="16"/>
        <v>67.6898883550368</v>
      </c>
      <c r="W15" s="435">
        <f t="shared" ca="1" si="16"/>
        <v>71.074382772788667</v>
      </c>
      <c r="X15" s="435">
        <f t="shared" ca="1" si="16"/>
        <v>74.628101911428104</v>
      </c>
      <c r="Y15" s="435">
        <f t="shared" ca="1" si="16"/>
        <v>78.359507006999479</v>
      </c>
    </row>
    <row r="16" spans="2:301" x14ac:dyDescent="0.3">
      <c r="B16" s="169"/>
      <c r="D16" s="169"/>
      <c r="E16" s="52"/>
      <c r="F16" s="52"/>
      <c r="G16" s="52"/>
      <c r="H16" s="52"/>
      <c r="I16" s="52"/>
      <c r="J16" s="52"/>
      <c r="K16" s="52"/>
      <c r="L16" s="52"/>
      <c r="M16" s="52"/>
      <c r="N16" s="52"/>
      <c r="O16" s="52"/>
      <c r="P16" s="52"/>
      <c r="Q16" s="52"/>
      <c r="R16" s="52"/>
      <c r="S16" s="52"/>
      <c r="T16" s="52"/>
      <c r="U16" s="52"/>
      <c r="V16" s="52"/>
      <c r="W16" s="52"/>
      <c r="X16" s="52"/>
      <c r="Y16" s="52"/>
    </row>
    <row r="17" spans="2:25" x14ac:dyDescent="0.3">
      <c r="B17" s="436" t="s">
        <v>357</v>
      </c>
      <c r="C17" s="294"/>
      <c r="D17" s="437"/>
      <c r="E17" s="294"/>
      <c r="F17" s="294"/>
      <c r="G17" s="294"/>
      <c r="H17" s="294"/>
      <c r="I17" s="294"/>
      <c r="J17" s="294"/>
      <c r="K17" s="294"/>
      <c r="L17" s="294"/>
      <c r="M17" s="381"/>
      <c r="N17" s="381"/>
      <c r="O17" s="381"/>
      <c r="P17" s="381"/>
      <c r="Q17" s="381"/>
      <c r="R17" s="381"/>
      <c r="S17" s="381"/>
      <c r="T17" s="381"/>
      <c r="U17" s="381"/>
      <c r="V17" s="381"/>
      <c r="W17" s="381"/>
      <c r="X17" s="381"/>
      <c r="Y17" s="381"/>
    </row>
    <row r="18" spans="2:25" x14ac:dyDescent="0.3">
      <c r="B18" s="169" t="s">
        <v>467</v>
      </c>
      <c r="D18" s="243">
        <f>SUMIFS('Dep &amp; Tax Schedule'!9:9,'Dep &amp; Tax Schedule'!1:1,D5)</f>
        <v>0</v>
      </c>
      <c r="E18" s="258">
        <f ca="1">SUMIFS('Dep &amp; Tax Schedule'!9:9,'Dep &amp; Tax Schedule'!1:1,E5)</f>
        <v>105.80183920054468</v>
      </c>
      <c r="F18" s="258">
        <f ca="1">SUMIFS('Dep &amp; Tax Schedule'!9:9,'Dep &amp; Tax Schedule'!1:1,F5)</f>
        <v>130.70551203193241</v>
      </c>
      <c r="G18" s="258">
        <f ca="1">SUMIFS('Dep &amp; Tax Schedule'!9:9,'Dep &amp; Tax Schedule'!1:1,G5)</f>
        <v>140.68764516244249</v>
      </c>
      <c r="H18" s="258">
        <f ca="1">SUMIFS('Dep &amp; Tax Schedule'!9:9,'Dep &amp; Tax Schedule'!1:1,H5)</f>
        <v>125.36629415090401</v>
      </c>
      <c r="I18" s="258">
        <f ca="1">SUMIFS('Dep &amp; Tax Schedule'!9:9,'Dep &amp; Tax Schedule'!1:1,I5)</f>
        <v>36.084506077864155</v>
      </c>
      <c r="J18" s="258">
        <f>SUMIFS('Dep &amp; Tax Schedule'!9:9,'Dep &amp; Tax Schedule'!1:1,J5)</f>
        <v>0</v>
      </c>
      <c r="K18" s="258">
        <f ca="1">SUMIFS('Dep &amp; Tax Schedule'!9:9,'Dep &amp; Tax Schedule'!1:1,K5)</f>
        <v>0</v>
      </c>
      <c r="L18" s="258">
        <f ca="1">SUMIFS('Dep &amp; Tax Schedule'!9:9,'Dep &amp; Tax Schedule'!1:1,L5)</f>
        <v>0</v>
      </c>
      <c r="M18" s="246">
        <f>SUMIFS('Dep &amp; Tax Schedule'!9:9,'Dep &amp; Tax Schedule'!1:1,M5)</f>
        <v>0</v>
      </c>
      <c r="N18" s="246">
        <f>SUMIFS('Dep &amp; Tax Schedule'!9:9,'Dep &amp; Tax Schedule'!1:1,N5)</f>
        <v>0</v>
      </c>
      <c r="O18" s="246">
        <f>SUMIFS('Dep &amp; Tax Schedule'!9:9,'Dep &amp; Tax Schedule'!1:1,O5)</f>
        <v>0</v>
      </c>
      <c r="P18" s="246">
        <f>SUMIFS('Dep &amp; Tax Schedule'!9:9,'Dep &amp; Tax Schedule'!1:1,P5)</f>
        <v>0</v>
      </c>
      <c r="Q18" s="246">
        <f>SUMIFS('Dep &amp; Tax Schedule'!9:9,'Dep &amp; Tax Schedule'!1:1,Q5)</f>
        <v>0</v>
      </c>
      <c r="R18" s="246">
        <f>SUMIFS('Dep &amp; Tax Schedule'!9:9,'Dep &amp; Tax Schedule'!1:1,R5)</f>
        <v>0</v>
      </c>
      <c r="S18" s="246">
        <f>SUMIFS('Dep &amp; Tax Schedule'!9:9,'Dep &amp; Tax Schedule'!1:1,S5)</f>
        <v>0</v>
      </c>
      <c r="T18" s="246">
        <f>SUMIFS('Dep &amp; Tax Schedule'!9:9,'Dep &amp; Tax Schedule'!1:1,T5)</f>
        <v>0</v>
      </c>
      <c r="U18" s="246">
        <f>SUMIFS('Dep &amp; Tax Schedule'!9:9,'Dep &amp; Tax Schedule'!1:1,U5)</f>
        <v>0</v>
      </c>
      <c r="V18" s="246">
        <f>SUMIFS('Dep &amp; Tax Schedule'!9:9,'Dep &amp; Tax Schedule'!1:1,V5)</f>
        <v>0</v>
      </c>
      <c r="W18" s="246">
        <f>SUMIFS('Dep &amp; Tax Schedule'!9:9,'Dep &amp; Tax Schedule'!1:1,W5)</f>
        <v>0</v>
      </c>
      <c r="X18" s="246">
        <f>SUMIFS('Dep &amp; Tax Schedule'!9:9,'Dep &amp; Tax Schedule'!1:1,X5)</f>
        <v>0</v>
      </c>
      <c r="Y18" s="246">
        <f>SUMIFS('Dep &amp; Tax Schedule'!9:9,'Dep &amp; Tax Schedule'!1:1,Y5)</f>
        <v>0</v>
      </c>
    </row>
    <row r="19" spans="2:25" x14ac:dyDescent="0.3">
      <c r="B19" s="169" t="s">
        <v>499</v>
      </c>
      <c r="D19" s="243">
        <f>-SUMIFS('Monthly Cashflow'!30:30,'Monthly Cashflow'!7:7,D5)</f>
        <v>0</v>
      </c>
      <c r="E19" s="258">
        <f>-SUMIFS('Monthly Cashflow'!30:30,'Monthly Cashflow'!7:7,E5)</f>
        <v>0</v>
      </c>
      <c r="F19" s="258">
        <f>-SUMIFS('Monthly Cashflow'!30:30,'Monthly Cashflow'!7:7,F5)</f>
        <v>0</v>
      </c>
      <c r="G19" s="258">
        <f>-SUMIFS('Monthly Cashflow'!30:30,'Monthly Cashflow'!7:7,G5)</f>
        <v>0</v>
      </c>
      <c r="H19" s="258">
        <f>-SUMIFS('Monthly Cashflow'!30:30,'Monthly Cashflow'!7:7,H5)</f>
        <v>0</v>
      </c>
      <c r="I19" s="258">
        <f ca="1">-SUMIFS('Monthly Cashflow'!30:30,'Monthly Cashflow'!7:7,I5)</f>
        <v>7.1625106833256815</v>
      </c>
      <c r="J19" s="258">
        <f ca="1">-SUMIFS('Monthly Cashflow'!30:30,'Monthly Cashflow'!7:7,J5)</f>
        <v>0</v>
      </c>
      <c r="K19" s="258">
        <f ca="1">-SUMIFS('Monthly Cashflow'!30:30,'Monthly Cashflow'!7:7,K5)</f>
        <v>0</v>
      </c>
      <c r="L19" s="258">
        <f ca="1">-SUMIFS('Monthly Cashflow'!30:30,'Monthly Cashflow'!7:7,L5)</f>
        <v>0</v>
      </c>
      <c r="M19" s="246">
        <f ca="1">-SUMIFS('Monthly Cashflow'!30:30,'Monthly Cashflow'!7:7,M5)</f>
        <v>0</v>
      </c>
      <c r="N19" s="246">
        <f ca="1">-SUMIFS('Monthly Cashflow'!30:30,'Monthly Cashflow'!7:7,N5)</f>
        <v>0</v>
      </c>
      <c r="O19" s="246">
        <f>-SUMIFS('Monthly Cashflow'!30:30,'Monthly Cashflow'!7:7,O5)</f>
        <v>0</v>
      </c>
      <c r="P19" s="246">
        <f>-SUMIFS('Monthly Cashflow'!30:30,'Monthly Cashflow'!7:7,P5)</f>
        <v>0</v>
      </c>
      <c r="Q19" s="246">
        <f>-SUMIFS('Monthly Cashflow'!30:30,'Monthly Cashflow'!7:7,Q5)</f>
        <v>0</v>
      </c>
      <c r="R19" s="246">
        <f>-SUMIFS('Monthly Cashflow'!30:30,'Monthly Cashflow'!7:7,R5)</f>
        <v>0</v>
      </c>
      <c r="S19" s="246">
        <f>-SUMIFS('Monthly Cashflow'!30:30,'Monthly Cashflow'!7:7,S5)</f>
        <v>0</v>
      </c>
      <c r="T19" s="246">
        <f>-SUMIFS('Monthly Cashflow'!30:30,'Monthly Cashflow'!7:7,T5)</f>
        <v>0</v>
      </c>
      <c r="U19" s="246">
        <f>-SUMIFS('Monthly Cashflow'!30:30,'Monthly Cashflow'!7:7,U5)</f>
        <v>0</v>
      </c>
      <c r="V19" s="246">
        <f>-SUMIFS('Monthly Cashflow'!30:30,'Monthly Cashflow'!7:7,V5)</f>
        <v>0</v>
      </c>
      <c r="W19" s="246">
        <f>-SUMIFS('Monthly Cashflow'!30:30,'Monthly Cashflow'!7:7,W5)</f>
        <v>0</v>
      </c>
      <c r="X19" s="246">
        <f>-SUMIFS('Monthly Cashflow'!30:30,'Monthly Cashflow'!7:7,X5)</f>
        <v>0</v>
      </c>
      <c r="Y19" s="246">
        <f>-SUMIFS('Monthly Cashflow'!30:30,'Monthly Cashflow'!7:7,Y5)</f>
        <v>0</v>
      </c>
    </row>
    <row r="20" spans="2:25" x14ac:dyDescent="0.3">
      <c r="B20" s="169" t="s">
        <v>398</v>
      </c>
      <c r="D20" s="258">
        <f>IF(D5&gt;'Assumption Sheet'!$B$15,C19,0)</f>
        <v>0</v>
      </c>
      <c r="E20" s="258">
        <f>IF(E5&gt;'Assumption Sheet'!$B$15,D19,0)</f>
        <v>0</v>
      </c>
      <c r="F20" s="258">
        <f>IF(F5&gt;'Assumption Sheet'!$B$15,E19,0)</f>
        <v>0</v>
      </c>
      <c r="G20" s="258">
        <f>IF(G5&gt;'Assumption Sheet'!$B$15,F19,0)</f>
        <v>0</v>
      </c>
      <c r="H20" s="258">
        <f>IF(H5&gt;'Assumption Sheet'!$B$15,G19,0)</f>
        <v>0</v>
      </c>
      <c r="I20" s="258">
        <f>IF(I5&gt;'Assumption Sheet'!$B$15,H19,0)</f>
        <v>0</v>
      </c>
      <c r="J20" s="258">
        <f ca="1">IF(J5&gt;'Assumption Sheet'!$B$15,I19,0)</f>
        <v>7.1625106833256815</v>
      </c>
      <c r="K20" s="258">
        <f t="shared" ref="K20:M20" ca="1" si="17">J19</f>
        <v>0</v>
      </c>
      <c r="L20" s="258">
        <f t="shared" ca="1" si="17"/>
        <v>0</v>
      </c>
      <c r="M20" s="246">
        <f t="shared" ca="1" si="17"/>
        <v>0</v>
      </c>
      <c r="N20" s="246">
        <f t="shared" ref="N20" ca="1" si="18">M19</f>
        <v>0</v>
      </c>
      <c r="O20" s="246">
        <f t="shared" ref="O20" ca="1" si="19">N19</f>
        <v>0</v>
      </c>
      <c r="P20" s="246">
        <f t="shared" ref="P20" si="20">O19</f>
        <v>0</v>
      </c>
      <c r="Q20" s="246">
        <f t="shared" ref="Q20" si="21">P19</f>
        <v>0</v>
      </c>
      <c r="R20" s="246">
        <f t="shared" ref="R20" si="22">Q19</f>
        <v>0</v>
      </c>
      <c r="S20" s="246">
        <f t="shared" ref="S20" si="23">R19</f>
        <v>0</v>
      </c>
      <c r="T20" s="246">
        <f t="shared" ref="T20" si="24">S19</f>
        <v>0</v>
      </c>
      <c r="U20" s="246">
        <f t="shared" ref="U20" si="25">T19</f>
        <v>0</v>
      </c>
      <c r="V20" s="246">
        <f t="shared" ref="V20" si="26">U19</f>
        <v>0</v>
      </c>
      <c r="W20" s="246">
        <f t="shared" ref="W20" si="27">V19</f>
        <v>0</v>
      </c>
      <c r="X20" s="246">
        <f t="shared" ref="X20" si="28">W19</f>
        <v>0</v>
      </c>
      <c r="Y20" s="246">
        <f t="shared" ref="Y20" si="29">X19</f>
        <v>0</v>
      </c>
    </row>
    <row r="21" spans="2:25" x14ac:dyDescent="0.3">
      <c r="B21" s="169" t="s">
        <v>500</v>
      </c>
      <c r="D21" s="258">
        <v>0</v>
      </c>
      <c r="E21" s="258">
        <v>0</v>
      </c>
      <c r="F21" s="258">
        <v>0</v>
      </c>
      <c r="G21" s="258">
        <v>0</v>
      </c>
      <c r="H21" s="258">
        <v>0</v>
      </c>
      <c r="I21" s="258">
        <f ca="1">'LRD - Combined'!F68</f>
        <v>5.1443045480469705</v>
      </c>
      <c r="J21" s="258">
        <f ca="1">'LRD - Combined'!G68</f>
        <v>2.4555505376048146</v>
      </c>
      <c r="K21" s="258">
        <f ca="1">'LRD - Combined'!H68</f>
        <v>0.42703188694435301</v>
      </c>
      <c r="L21" s="258">
        <f ca="1">'LRD - Combined'!I68</f>
        <v>0.3792193156289585</v>
      </c>
      <c r="M21" s="246">
        <f ca="1">'LRD - Combined'!J68</f>
        <v>0.51093826209587689</v>
      </c>
      <c r="N21" s="246">
        <f ca="1">'LRD - Combined'!K68</f>
        <v>0.44718816700868302</v>
      </c>
      <c r="O21" s="246">
        <f ca="1">'LRD - Combined'!L68</f>
        <v>0.38343807192149271</v>
      </c>
      <c r="P21" s="246">
        <f ca="1">'LRD - Combined'!M68</f>
        <v>0.49921949461661441</v>
      </c>
      <c r="Q21" s="246">
        <f ca="1">'LRD - Combined'!N68</f>
        <v>0.59906339353993587</v>
      </c>
      <c r="R21" s="246">
        <f ca="1">'LRD - Combined'!O68</f>
        <v>-0.57375085578472707</v>
      </c>
      <c r="S21" s="246">
        <f ca="1">'LRD - Combined'!P68</f>
        <v>-0.57375085578472884</v>
      </c>
      <c r="T21" s="246">
        <f ca="1">'LRD - Combined'!Q68</f>
        <v>-0.57375085578472707</v>
      </c>
      <c r="U21" s="246">
        <f ca="1">'LRD - Combined'!R68</f>
        <v>0.1443752153445228</v>
      </c>
      <c r="V21" s="246">
        <f ca="1">'LRD - Combined'!S68</f>
        <v>-0.63750095087191916</v>
      </c>
      <c r="W21" s="246">
        <f ca="1">'LRD - Combined'!T68</f>
        <v>-0.63750095087191916</v>
      </c>
      <c r="X21" s="246">
        <f ca="1">'LRD - Combined'!U68</f>
        <v>-5.9096572521176371</v>
      </c>
      <c r="Y21" s="246">
        <f ca="1">'LRD - Combined'!V68</f>
        <v>-2.0844171715365638</v>
      </c>
    </row>
    <row r="22" spans="2:25" x14ac:dyDescent="0.3">
      <c r="B22" s="169" t="s">
        <v>466</v>
      </c>
      <c r="D22" s="243">
        <f>SUMIFS('Monthly Cashflow'!41:41,'Monthly Cashflow'!2:2,D5)</f>
        <v>0</v>
      </c>
      <c r="E22" s="258">
        <f>SUMIFS('Monthly Cashflow'!41:41,'Monthly Cashflow'!2:2,E5)</f>
        <v>0</v>
      </c>
      <c r="F22" s="258">
        <f>SUMIFS('Monthly Cashflow'!41:41,'Monthly Cashflow'!2:2,F5)</f>
        <v>3.1387119227698497</v>
      </c>
      <c r="G22" s="258">
        <f>SUMIFS('Monthly Cashflow'!41:41,'Monthly Cashflow'!2:2,G5)</f>
        <v>6.0795196073454152</v>
      </c>
      <c r="H22" s="258">
        <f>SUMIFS('Monthly Cashflow'!41:41,'Monthly Cashflow'!2:2,H5)</f>
        <v>2.5342463384935199</v>
      </c>
      <c r="I22" s="258">
        <f>SUMIFS('Monthly Cashflow'!41:41,'Monthly Cashflow'!2:2,I5)</f>
        <v>5.436752398531965</v>
      </c>
      <c r="J22" s="258">
        <f>SUMIFS('Monthly Cashflow'!41:41,'Monthly Cashflow'!2:2,J5)</f>
        <v>1.1327491372569751</v>
      </c>
      <c r="K22" s="258">
        <f>SUMIFS('Monthly Cashflow'!41:41,'Monthly Cashflow'!2:2,K5)</f>
        <v>0</v>
      </c>
      <c r="L22" s="258">
        <f>SUMIFS('Monthly Cashflow'!41:41,'Monthly Cashflow'!2:2,L5)</f>
        <v>0</v>
      </c>
      <c r="M22" s="246">
        <f>SUMIFS('Monthly Cashflow'!41:41,'Monthly Cashflow'!2:2,M5)</f>
        <v>0</v>
      </c>
      <c r="N22" s="246">
        <f>SUMIFS('Monthly Cashflow'!41:41,'Monthly Cashflow'!2:2,N5)</f>
        <v>0</v>
      </c>
      <c r="O22" s="246">
        <f>SUMIFS('Monthly Cashflow'!41:41,'Monthly Cashflow'!2:2,O5)</f>
        <v>0</v>
      </c>
      <c r="P22" s="246">
        <f>SUMIFS('Monthly Cashflow'!41:41,'Monthly Cashflow'!2:2,P5)</f>
        <v>0</v>
      </c>
      <c r="Q22" s="246">
        <f>SUMIFS('Monthly Cashflow'!41:41,'Monthly Cashflow'!2:2,Q5)</f>
        <v>0</v>
      </c>
      <c r="R22" s="246">
        <f>SUMIFS('Monthly Cashflow'!41:41,'Monthly Cashflow'!2:2,R5)</f>
        <v>0</v>
      </c>
      <c r="S22" s="246">
        <f>SUMIFS('Monthly Cashflow'!41:41,'Monthly Cashflow'!2:2,S5)</f>
        <v>0</v>
      </c>
      <c r="T22" s="246">
        <f>SUMIFS('Monthly Cashflow'!41:41,'Monthly Cashflow'!2:2,T5)</f>
        <v>0</v>
      </c>
      <c r="U22" s="246">
        <f>SUMIFS('Monthly Cashflow'!41:41,'Monthly Cashflow'!2:2,U5)</f>
        <v>0</v>
      </c>
      <c r="V22" s="246">
        <f>SUMIFS('Monthly Cashflow'!41:41,'Monthly Cashflow'!2:2,V5)</f>
        <v>0</v>
      </c>
      <c r="W22" s="246">
        <f>SUMIFS('Monthly Cashflow'!41:41,'Monthly Cashflow'!2:2,W5)</f>
        <v>0</v>
      </c>
      <c r="X22" s="246">
        <f>SUMIFS('Monthly Cashflow'!41:41,'Monthly Cashflow'!2:2,X5)</f>
        <v>0</v>
      </c>
      <c r="Y22" s="246">
        <f>SUMIFS('Monthly Cashflow'!41:41,'Monthly Cashflow'!2:2,Y5)</f>
        <v>0</v>
      </c>
    </row>
    <row r="23" spans="2:25" x14ac:dyDescent="0.3">
      <c r="B23" s="169"/>
      <c r="D23" s="258"/>
      <c r="E23" s="258"/>
      <c r="F23" s="258"/>
      <c r="G23" s="258"/>
      <c r="H23" s="258"/>
      <c r="I23" s="258"/>
      <c r="J23" s="258"/>
      <c r="K23" s="258"/>
      <c r="L23" s="258"/>
      <c r="M23" s="246"/>
      <c r="N23" s="246"/>
      <c r="O23" s="246"/>
      <c r="P23" s="246"/>
      <c r="Q23" s="246"/>
      <c r="R23" s="246"/>
      <c r="S23" s="246"/>
      <c r="T23" s="246"/>
      <c r="U23" s="246"/>
      <c r="V23" s="246"/>
      <c r="W23" s="246"/>
      <c r="X23" s="246"/>
      <c r="Y23" s="246"/>
    </row>
    <row r="24" spans="2:25" x14ac:dyDescent="0.3">
      <c r="B24" s="432" t="s">
        <v>307</v>
      </c>
      <c r="C24" s="433"/>
      <c r="D24" s="434">
        <f t="shared" ref="D24:M24" si="30">D22-D19-D18+D20-D21</f>
        <v>0</v>
      </c>
      <c r="E24" s="434">
        <f t="shared" ca="1" si="30"/>
        <v>-105.80183920054468</v>
      </c>
      <c r="F24" s="434">
        <f t="shared" ca="1" si="30"/>
        <v>-127.56680010916257</v>
      </c>
      <c r="G24" s="434">
        <f t="shared" ca="1" si="30"/>
        <v>-134.60812555509708</v>
      </c>
      <c r="H24" s="434">
        <f t="shared" ca="1" si="30"/>
        <v>-122.83204781241049</v>
      </c>
      <c r="I24" s="434">
        <f t="shared" ca="1" si="30"/>
        <v>-42.954568910704843</v>
      </c>
      <c r="J24" s="434">
        <f t="shared" ca="1" si="30"/>
        <v>5.839709282977843</v>
      </c>
      <c r="K24" s="434">
        <f t="shared" ca="1" si="30"/>
        <v>-0.42703188694435301</v>
      </c>
      <c r="L24" s="434">
        <f t="shared" ca="1" si="30"/>
        <v>-0.3792193156289585</v>
      </c>
      <c r="M24" s="435">
        <f t="shared" ca="1" si="30"/>
        <v>-0.51093826209587689</v>
      </c>
      <c r="N24" s="435">
        <f t="shared" ref="N24:Y24" ca="1" si="31">N22-N19-N18+N20-N21</f>
        <v>-0.44718816700868302</v>
      </c>
      <c r="O24" s="435">
        <f t="shared" ca="1" si="31"/>
        <v>-0.38343807192149271</v>
      </c>
      <c r="P24" s="435">
        <f t="shared" ca="1" si="31"/>
        <v>-0.49921949461661441</v>
      </c>
      <c r="Q24" s="435">
        <f t="shared" ca="1" si="31"/>
        <v>-0.59906339353993587</v>
      </c>
      <c r="R24" s="435">
        <f t="shared" ca="1" si="31"/>
        <v>0.57375085578472707</v>
      </c>
      <c r="S24" s="435">
        <f t="shared" ca="1" si="31"/>
        <v>0.57375085578472884</v>
      </c>
      <c r="T24" s="435">
        <f t="shared" ca="1" si="31"/>
        <v>0.57375085578472707</v>
      </c>
      <c r="U24" s="435">
        <f t="shared" ca="1" si="31"/>
        <v>-0.1443752153445228</v>
      </c>
      <c r="V24" s="435">
        <f t="shared" ca="1" si="31"/>
        <v>0.63750095087191916</v>
      </c>
      <c r="W24" s="435">
        <f t="shared" ca="1" si="31"/>
        <v>0.63750095087191916</v>
      </c>
      <c r="X24" s="435">
        <f t="shared" ca="1" si="31"/>
        <v>5.9096572521176371</v>
      </c>
      <c r="Y24" s="435">
        <f t="shared" ca="1" si="31"/>
        <v>2.0844171715365638</v>
      </c>
    </row>
    <row r="25" spans="2:25" x14ac:dyDescent="0.3">
      <c r="B25" s="169"/>
      <c r="D25" s="169"/>
      <c r="M25" s="377"/>
      <c r="N25" s="377"/>
      <c r="O25" s="377"/>
      <c r="P25" s="377"/>
      <c r="Q25" s="377"/>
      <c r="R25" s="377"/>
      <c r="S25" s="377"/>
      <c r="T25" s="377"/>
      <c r="U25" s="377"/>
      <c r="V25" s="377"/>
      <c r="W25" s="377"/>
      <c r="X25" s="377"/>
      <c r="Y25" s="377"/>
    </row>
    <row r="26" spans="2:25" x14ac:dyDescent="0.3">
      <c r="B26" s="436" t="s">
        <v>358</v>
      </c>
      <c r="C26" s="294"/>
      <c r="D26" s="437"/>
      <c r="E26" s="294"/>
      <c r="F26" s="294"/>
      <c r="G26" s="294"/>
      <c r="H26" s="294"/>
      <c r="I26" s="294"/>
      <c r="J26" s="294"/>
      <c r="K26" s="294"/>
      <c r="L26" s="294"/>
      <c r="M26" s="381"/>
      <c r="N26" s="381"/>
      <c r="O26" s="381"/>
      <c r="P26" s="381"/>
      <c r="Q26" s="381"/>
      <c r="R26" s="381"/>
      <c r="S26" s="381"/>
      <c r="T26" s="381"/>
      <c r="U26" s="381"/>
      <c r="V26" s="381"/>
      <c r="W26" s="381"/>
      <c r="X26" s="381"/>
      <c r="Y26" s="381"/>
    </row>
    <row r="27" spans="2:25" x14ac:dyDescent="0.3">
      <c r="B27" s="169" t="s">
        <v>309</v>
      </c>
      <c r="D27" s="258">
        <f>SUMIFS('Monthly Cashflow'!99:99,'Monthly Cashflow'!89:89,D5)-SUM($C$27:C27)</f>
        <v>0</v>
      </c>
      <c r="E27" s="258">
        <f ca="1">SUMIFS('Monthly Cashflow'!99:99,'Monthly Cashflow'!89:89,E5)-SUM($C$27:D27)</f>
        <v>49.704003168081499</v>
      </c>
      <c r="F27" s="258">
        <f ca="1">SUMIFS('Monthly Cashflow'!99:99,'Monthly Cashflow'!89:89,F5)-SUM($C$27:E27)</f>
        <v>57.195111674948677</v>
      </c>
      <c r="G27" s="258">
        <f ca="1">SUMIFS('Monthly Cashflow'!99:99,'Monthly Cashflow'!89:89,G5)-SUM($C$27:F27)</f>
        <v>64.221368264200962</v>
      </c>
      <c r="H27" s="258">
        <f ca="1">SUMIFS('Monthly Cashflow'!99:99,'Monthly Cashflow'!89:89,H5)-SUM($C$27:G27)</f>
        <v>56.794969318680842</v>
      </c>
      <c r="I27" s="258">
        <f ca="1">SUMIFS('Monthly Cashflow'!99:99,'Monthly Cashflow'!89:89,I5)-SUM($C$27:H27)</f>
        <v>23.622150834343074</v>
      </c>
      <c r="J27" s="258">
        <f ca="1">SUMIFS('Monthly Cashflow'!99:99,'Monthly Cashflow'!89:89,J5)-SUM($C$27:I27)</f>
        <v>0</v>
      </c>
      <c r="K27" s="258">
        <f ca="1">SUMIFS('Monthly Cashflow'!99:99,'Monthly Cashflow'!89:89,K5)-SUM($C$27:J27)</f>
        <v>0</v>
      </c>
      <c r="L27" s="258">
        <f ca="1">SUMIFS('Monthly Cashflow'!99:99,'Monthly Cashflow'!89:89,L5)-SUM($C$27:K27)</f>
        <v>0</v>
      </c>
      <c r="M27" s="246">
        <f ca="1">SUMIFS('Monthly Cashflow'!99:99,'Monthly Cashflow'!89:89,M5)-SUM($C$27:L27)</f>
        <v>0</v>
      </c>
      <c r="N27" s="246">
        <f ca="1">SUMIFS('Monthly Cashflow'!99:99,'Monthly Cashflow'!89:89,N5)-SUM($C$27:M27)</f>
        <v>0</v>
      </c>
      <c r="O27" s="246">
        <f ca="1">SUMIFS('Monthly Cashflow'!99:99,'Monthly Cashflow'!89:89,O5)-SUM($C$27:N27)</f>
        <v>0</v>
      </c>
      <c r="P27" s="246">
        <f ca="1">SUMIFS('Monthly Cashflow'!99:99,'Monthly Cashflow'!89:89,P5)-SUM($C$27:O27)</f>
        <v>0</v>
      </c>
      <c r="Q27" s="246">
        <f ca="1">SUMIFS('Monthly Cashflow'!99:99,'Monthly Cashflow'!89:89,Q5)-SUM($C$27:P27)</f>
        <v>0</v>
      </c>
      <c r="R27" s="246">
        <f ca="1">SUMIFS('Monthly Cashflow'!99:99,'Monthly Cashflow'!89:89,R5)-SUM($C$27:Q27)</f>
        <v>0</v>
      </c>
      <c r="S27" s="246">
        <f ca="1">SUMIFS('Monthly Cashflow'!99:99,'Monthly Cashflow'!89:89,S5)-SUM($C$27:R27)</f>
        <v>0</v>
      </c>
      <c r="T27" s="246">
        <f ca="1">SUMIFS('Monthly Cashflow'!99:99,'Monthly Cashflow'!89:89,T5)-SUM($C$27:S27)</f>
        <v>0</v>
      </c>
      <c r="U27" s="246">
        <f ca="1">SUMIFS('Monthly Cashflow'!99:99,'Monthly Cashflow'!89:89,U5)-SUM($C$27:T27)</f>
        <v>0</v>
      </c>
      <c r="V27" s="246">
        <f ca="1">SUMIFS('Monthly Cashflow'!99:99,'Monthly Cashflow'!89:89,V5)-SUM($C$27:U27)</f>
        <v>0</v>
      </c>
      <c r="W27" s="246">
        <f ca="1">SUMIFS('Monthly Cashflow'!99:99,'Monthly Cashflow'!89:89,W5)-SUM($C$27:V27)</f>
        <v>0</v>
      </c>
      <c r="X27" s="246">
        <f ca="1">SUMIFS('Monthly Cashflow'!99:99,'Monthly Cashflow'!89:89,X5)-SUM($C$27:W27)</f>
        <v>0</v>
      </c>
      <c r="Y27" s="246">
        <f ca="1">SUMIFS('Monthly Cashflow'!99:99,'Monthly Cashflow'!89:89,Y5)-SUM($C$27:X27)</f>
        <v>0</v>
      </c>
    </row>
    <row r="28" spans="2:25" x14ac:dyDescent="0.3">
      <c r="B28" s="169" t="s">
        <v>313</v>
      </c>
      <c r="D28" s="243">
        <f>SUMIFS('Monthly Cashflow'!105:105,'Monthly Cashflow'!89:89,D5)-SUM($C$28:C28)</f>
        <v>0</v>
      </c>
      <c r="E28" s="258">
        <f ca="1">SUMIFS('Monthly Cashflow'!105:105,'Monthly Cashflow'!89:89,E5)-SUM($C$28:D28)</f>
        <v>56.097836032463178</v>
      </c>
      <c r="F28" s="258">
        <f ca="1">SUMIFS('Monthly Cashflow'!105:105,'Monthly Cashflow'!89:89,F5)-SUM($C$28:E28)</f>
        <v>74.556637664573728</v>
      </c>
      <c r="G28" s="258">
        <f ca="1">SUMIFS('Monthly Cashflow'!105:105,'Monthly Cashflow'!89:89,G5)-SUM($C$28:F28)</f>
        <v>78.492783434023323</v>
      </c>
      <c r="H28" s="258">
        <f ca="1">SUMIFS('Monthly Cashflow'!105:105,'Monthly Cashflow'!89:89,H5)-SUM($C$28:G28)</f>
        <v>69.416073611720975</v>
      </c>
      <c r="I28" s="258">
        <f ca="1">SUMIFS('Monthly Cashflow'!105:105,'Monthly Cashflow'!89:89,I5)-SUM($C$28:H28)</f>
        <v>21.437116726357317</v>
      </c>
      <c r="J28" s="258">
        <f ca="1">SUMIFS('Monthly Cashflow'!105:105,'Monthly Cashflow'!89:89,J5)-SUM($C$28:I28)</f>
        <v>0</v>
      </c>
      <c r="K28" s="258">
        <f ca="1">SUMIFS('Monthly Cashflow'!105:105,'Monthly Cashflow'!89:89,K5)-SUM($C$28:J28)</f>
        <v>0</v>
      </c>
      <c r="L28" s="258">
        <f ca="1">SUMIFS('Monthly Cashflow'!105:105,'Monthly Cashflow'!89:89,L5)-SUM($C$28:K28)</f>
        <v>0</v>
      </c>
      <c r="M28" s="246">
        <f ca="1">SUMIFS('Monthly Cashflow'!105:105,'Monthly Cashflow'!89:89,M5)-SUM($C$28:L28)</f>
        <v>0</v>
      </c>
      <c r="N28" s="246">
        <f ca="1">SUMIFS('Monthly Cashflow'!105:105,'Monthly Cashflow'!89:89,N5)-SUM($C$28:M28)</f>
        <v>0</v>
      </c>
      <c r="O28" s="246">
        <f ca="1">SUMIFS('Monthly Cashflow'!105:105,'Monthly Cashflow'!89:89,O5)-SUM($C$28:N28)</f>
        <v>0</v>
      </c>
      <c r="P28" s="246">
        <f ca="1">SUMIFS('Monthly Cashflow'!105:105,'Monthly Cashflow'!89:89,P5)-SUM($C$28:O28)</f>
        <v>0</v>
      </c>
      <c r="Q28" s="246">
        <f ca="1">SUMIFS('Monthly Cashflow'!105:105,'Monthly Cashflow'!89:89,Q5)-SUM($C$28:P28)</f>
        <v>0</v>
      </c>
      <c r="R28" s="246">
        <f ca="1">SUMIFS('Monthly Cashflow'!105:105,'Monthly Cashflow'!89:89,R5)-SUM($C$28:Q28)</f>
        <v>0</v>
      </c>
      <c r="S28" s="246">
        <f ca="1">SUMIFS('Monthly Cashflow'!105:105,'Monthly Cashflow'!89:89,S5)-SUM($C$28:R28)</f>
        <v>0</v>
      </c>
      <c r="T28" s="246">
        <f ca="1">SUMIFS('Monthly Cashflow'!105:105,'Monthly Cashflow'!89:89,T5)-SUM($C$28:S28)</f>
        <v>0</v>
      </c>
      <c r="U28" s="246">
        <f ca="1">SUMIFS('Monthly Cashflow'!105:105,'Monthly Cashflow'!89:89,U5)-SUM($C$28:T28)</f>
        <v>0</v>
      </c>
      <c r="V28" s="246">
        <f ca="1">SUMIFS('Monthly Cashflow'!105:105,'Monthly Cashflow'!89:89,V5)-SUM($C$28:U28)</f>
        <v>0</v>
      </c>
      <c r="W28" s="246">
        <f ca="1">SUMIFS('Monthly Cashflow'!105:105,'Monthly Cashflow'!89:89,W5)-SUM($C$28:V28)</f>
        <v>0</v>
      </c>
      <c r="X28" s="246">
        <f ca="1">SUMIFS('Monthly Cashflow'!105:105,'Monthly Cashflow'!89:89,X5)-SUM($C$28:W28)</f>
        <v>0</v>
      </c>
      <c r="Y28" s="246">
        <f ca="1">SUMIFS('Monthly Cashflow'!105:105,'Monthly Cashflow'!89:89,Y5)-SUM($C$28:X28)</f>
        <v>0</v>
      </c>
    </row>
    <row r="29" spans="2:25" x14ac:dyDescent="0.3">
      <c r="B29" s="169" t="s">
        <v>314</v>
      </c>
      <c r="D29" s="243">
        <f>SUMIFS('LRD - Combined'!48:48,'LRD - Combined'!46:46,D5)</f>
        <v>0</v>
      </c>
      <c r="E29" s="258">
        <f>SUMIFS('LRD - Combined'!48:48,'LRD - Combined'!46:46,E5)</f>
        <v>0</v>
      </c>
      <c r="F29" s="258">
        <f>SUMIFS('LRD - Combined'!48:48,'LRD - Combined'!46:46,F5)</f>
        <v>0</v>
      </c>
      <c r="G29" s="258">
        <f>SUMIFS('LRD - Combined'!48:48,'LRD - Combined'!46:46,G5)</f>
        <v>0</v>
      </c>
      <c r="H29" s="258">
        <f>SUMIFS('LRD - Combined'!48:48,'LRD - Combined'!46:46,H5)</f>
        <v>0</v>
      </c>
      <c r="I29" s="258">
        <f>SUMIFS('LRD - Combined'!48:48,'LRD - Combined'!46:46,I5)</f>
        <v>0</v>
      </c>
      <c r="J29" s="258">
        <f ca="1">SUMIFS('LRD - Combined'!48:48,'LRD - Combined'!46:46,J5)</f>
        <v>300.00044746913852</v>
      </c>
      <c r="K29" s="258">
        <f>SUMIFS('LRD - Combined'!48:48,'LRD - Combined'!46:46,K5)</f>
        <v>0</v>
      </c>
      <c r="L29" s="258">
        <f>SUMIFS('LRD - Combined'!48:48,'LRD - Combined'!46:46,L5)</f>
        <v>0</v>
      </c>
      <c r="M29" s="246">
        <f>SUMIFS('LRD - Combined'!48:48,'LRD - Combined'!46:46,M5)</f>
        <v>0</v>
      </c>
      <c r="N29" s="246">
        <f>SUMIFS('LRD - Combined'!48:48,'LRD - Combined'!46:46,N5)</f>
        <v>0</v>
      </c>
      <c r="O29" s="246">
        <f>SUMIFS('LRD - Combined'!48:48,'LRD - Combined'!46:46,O5)</f>
        <v>0</v>
      </c>
      <c r="P29" s="246">
        <f>SUMIFS('LRD - Combined'!48:48,'LRD - Combined'!46:46,P5)</f>
        <v>0</v>
      </c>
      <c r="Q29" s="246">
        <f>SUMIFS('LRD - Combined'!48:48,'LRD - Combined'!46:46,Q5)</f>
        <v>0</v>
      </c>
      <c r="R29" s="246">
        <f>SUMIFS('LRD - Combined'!48:48,'LRD - Combined'!46:46,R5)</f>
        <v>0</v>
      </c>
      <c r="S29" s="246">
        <f>SUMIFS('LRD - Combined'!48:48,'LRD - Combined'!46:46,S5)</f>
        <v>0</v>
      </c>
      <c r="T29" s="246">
        <f>SUMIFS('LRD - Combined'!48:48,'LRD - Combined'!46:46,T5)</f>
        <v>0</v>
      </c>
      <c r="U29" s="246">
        <f>SUMIFS('LRD - Combined'!48:48,'LRD - Combined'!46:46,U5)</f>
        <v>0</v>
      </c>
      <c r="V29" s="246">
        <f>SUMIFS('LRD - Combined'!48:48,'LRD - Combined'!46:46,V5)</f>
        <v>0</v>
      </c>
      <c r="W29" s="246">
        <f>SUMIFS('LRD - Combined'!48:48,'LRD - Combined'!46:46,W5)</f>
        <v>0</v>
      </c>
      <c r="X29" s="246">
        <f>SUMIFS('LRD - Combined'!48:48,'LRD - Combined'!46:46,X5)</f>
        <v>0</v>
      </c>
      <c r="Y29" s="246">
        <f>SUMIFS('LRD - Combined'!48:48,'LRD - Combined'!46:46,Y5)</f>
        <v>0</v>
      </c>
    </row>
    <row r="30" spans="2:25" x14ac:dyDescent="0.3">
      <c r="B30" s="169" t="s">
        <v>317</v>
      </c>
      <c r="D30" s="243">
        <f>-SUMIFS('Monthly Cashflow'!49:49,'Monthly Cashflow'!6:6,D4)</f>
        <v>0</v>
      </c>
      <c r="E30" s="258">
        <f>-SUMIFS('Monthly Cashflow'!49:49,'Monthly Cashflow'!6:6,E4)</f>
        <v>0</v>
      </c>
      <c r="F30" s="258">
        <f>-SUMIFS('Monthly Cashflow'!49:49,'Monthly Cashflow'!6:6,F4)</f>
        <v>0</v>
      </c>
      <c r="G30" s="258">
        <f>-SUMIFS('Monthly Cashflow'!49:49,'Monthly Cashflow'!6:6,G4)</f>
        <v>0</v>
      </c>
      <c r="H30" s="258">
        <f>-SUMIFS('Monthly Cashflow'!49:49,'Monthly Cashflow'!6:6,H4)</f>
        <v>0</v>
      </c>
      <c r="I30" s="258">
        <f>-SUMIFS('Monthly Cashflow'!49:49,'Monthly Cashflow'!6:6,I4)</f>
        <v>0</v>
      </c>
      <c r="J30" s="258">
        <f ca="1">-SUMIFS('Monthly Cashflow'!49:49,'Monthly Cashflow'!2:2,J5)</f>
        <v>300.00044746913846</v>
      </c>
      <c r="K30" s="258">
        <f ca="1">-SUMIFS('Monthly Cashflow'!49:49,'Monthly Cashflow'!6:6,K4)</f>
        <v>0</v>
      </c>
      <c r="L30" s="258">
        <f ca="1">-SUMIFS('Monthly Cashflow'!49:49,'Monthly Cashflow'!6:6,L4)</f>
        <v>0</v>
      </c>
      <c r="M30" s="246">
        <f ca="1">-SUMIFS('Monthly Cashflow'!49:49,'Monthly Cashflow'!6:6,M4)</f>
        <v>0</v>
      </c>
      <c r="N30" s="246">
        <f>-SUMIFS('Monthly Cashflow'!49:49,'Monthly Cashflow'!6:6,N4)</f>
        <v>0</v>
      </c>
      <c r="O30" s="246">
        <f>-SUMIFS('Monthly Cashflow'!49:49,'Monthly Cashflow'!6:6,O4)</f>
        <v>0</v>
      </c>
      <c r="P30" s="246">
        <f>-SUMIFS('Monthly Cashflow'!49:49,'Monthly Cashflow'!6:6,P4)</f>
        <v>0</v>
      </c>
      <c r="Q30" s="246">
        <f>-SUMIFS('Monthly Cashflow'!49:49,'Monthly Cashflow'!6:6,Q4)</f>
        <v>0</v>
      </c>
      <c r="R30" s="246">
        <f>-SUMIFS('Monthly Cashflow'!49:49,'Monthly Cashflow'!6:6,R4)</f>
        <v>0</v>
      </c>
      <c r="S30" s="246">
        <f>-SUMIFS('Monthly Cashflow'!49:49,'Monthly Cashflow'!6:6,S4)</f>
        <v>0</v>
      </c>
      <c r="T30" s="246">
        <f>-SUMIFS('Monthly Cashflow'!49:49,'Monthly Cashflow'!6:6,T4)</f>
        <v>0</v>
      </c>
      <c r="U30" s="246">
        <f>-SUMIFS('Monthly Cashflow'!49:49,'Monthly Cashflow'!6:6,U4)</f>
        <v>0</v>
      </c>
      <c r="V30" s="246">
        <f>-SUMIFS('Monthly Cashflow'!49:49,'Monthly Cashflow'!6:6,V4)</f>
        <v>0</v>
      </c>
      <c r="W30" s="246">
        <f>-SUMIFS('Monthly Cashflow'!49:49,'Monthly Cashflow'!6:6,W4)</f>
        <v>0</v>
      </c>
      <c r="X30" s="246">
        <f>-SUMIFS('Monthly Cashflow'!49:49,'Monthly Cashflow'!6:6,X4)</f>
        <v>0</v>
      </c>
      <c r="Y30" s="246">
        <f>-SUMIFS('Monthly Cashflow'!49:49,'Monthly Cashflow'!6:6,Y4)</f>
        <v>0</v>
      </c>
    </row>
    <row r="31" spans="2:25" x14ac:dyDescent="0.3">
      <c r="B31" s="169" t="s">
        <v>316</v>
      </c>
      <c r="D31" s="243">
        <f>SUMIFS('LRD - Combined'!49:49,'LRD - Combined'!46:46,D5)</f>
        <v>0</v>
      </c>
      <c r="E31" s="258">
        <f>SUMIFS('LRD - Combined'!49:49,'LRD - Combined'!46:46,E5)</f>
        <v>0</v>
      </c>
      <c r="F31" s="258">
        <f ca="1">SUMIFS('LRD - Combined'!49:49,'LRD - Combined'!46:46,F5)</f>
        <v>0</v>
      </c>
      <c r="G31" s="258">
        <f ca="1">SUMIFS('LRD - Combined'!49:49,'LRD - Combined'!46:46,G5)</f>
        <v>0</v>
      </c>
      <c r="H31" s="258">
        <f ca="1">SUMIFS('LRD - Combined'!49:49,'LRD - Combined'!46:46,H5)</f>
        <v>0</v>
      </c>
      <c r="I31" s="258">
        <f ca="1">SUMIFS('LRD - Combined'!49:49,'LRD - Combined'!46:46,I5)</f>
        <v>0</v>
      </c>
      <c r="J31" s="258">
        <f ca="1">SUMIFS('LRD - Combined'!49:49,'LRD - Combined'!46:46,J5)</f>
        <v>1.5000022373456927</v>
      </c>
      <c r="K31" s="258">
        <f ca="1">SUMIFS('LRD - Combined'!49:49,'LRD - Combined'!46:46,K5)</f>
        <v>5.2500078307099249</v>
      </c>
      <c r="L31" s="258">
        <f ca="1">SUMIFS('LRD - Combined'!49:49,'LRD - Combined'!46:46,L5)</f>
        <v>7.5000111867284636</v>
      </c>
      <c r="M31" s="246">
        <f ca="1">SUMIFS('LRD - Combined'!49:49,'LRD - Combined'!46:46,M5)</f>
        <v>9.7500145427470031</v>
      </c>
      <c r="N31" s="246">
        <f ca="1">SUMIFS('LRD - Combined'!49:49,'LRD - Combined'!46:46,N5)</f>
        <v>12.750019017438389</v>
      </c>
      <c r="O31" s="246">
        <f ca="1">SUMIFS('LRD - Combined'!49:49,'LRD - Combined'!46:46,O5)</f>
        <v>15.750023492129772</v>
      </c>
      <c r="P31" s="246">
        <f ca="1">SUMIFS('LRD - Combined'!49:49,'LRD - Combined'!46:46,P5)</f>
        <v>18.750027966821158</v>
      </c>
      <c r="Q31" s="246">
        <f ca="1">SUMIFS('LRD - Combined'!49:49,'LRD - Combined'!46:46,Q5)</f>
        <v>22.50003356018539</v>
      </c>
      <c r="R31" s="246">
        <f ca="1">SUMIFS('LRD - Combined'!49:49,'LRD - Combined'!46:46,R5)</f>
        <v>27.000040272222467</v>
      </c>
      <c r="S31" s="246">
        <f ca="1">SUMIFS('LRD - Combined'!49:49,'LRD - Combined'!46:46,S5)</f>
        <v>27.000040272222467</v>
      </c>
      <c r="T31" s="246">
        <f ca="1">SUMIFS('LRD - Combined'!49:49,'LRD - Combined'!46:46,T5)</f>
        <v>27.000040272222467</v>
      </c>
      <c r="U31" s="246">
        <f ca="1">SUMIFS('LRD - Combined'!49:49,'LRD - Combined'!46:46,U5)</f>
        <v>27.000040272222467</v>
      </c>
      <c r="V31" s="246">
        <f ca="1">SUMIFS('LRD - Combined'!49:49,'LRD - Combined'!46:46,V5)</f>
        <v>30.000044746913854</v>
      </c>
      <c r="W31" s="246">
        <f ca="1">SUMIFS('LRD - Combined'!49:49,'LRD - Combined'!46:46,W5)</f>
        <v>30.000044746913854</v>
      </c>
      <c r="X31" s="246">
        <f ca="1">SUMIFS('LRD - Combined'!49:49,'LRD - Combined'!46:46,X5)</f>
        <v>30.000044746913854</v>
      </c>
      <c r="Y31" s="246">
        <f ca="1">SUMIFS('LRD - Combined'!49:49,'LRD - Combined'!46:46,Y5)</f>
        <v>8.2500123054013663</v>
      </c>
    </row>
    <row r="32" spans="2:25" x14ac:dyDescent="0.3">
      <c r="B32" s="169" t="s">
        <v>319</v>
      </c>
      <c r="D32" s="243">
        <f>'P&amp;L Statement'!D19</f>
        <v>0</v>
      </c>
      <c r="E32" s="258">
        <f>'P&amp;L Statement'!E19</f>
        <v>0</v>
      </c>
      <c r="F32" s="258">
        <f>'P&amp;L Statement'!F19</f>
        <v>0</v>
      </c>
      <c r="G32" s="258">
        <f>'P&amp;L Statement'!G19</f>
        <v>0</v>
      </c>
      <c r="H32" s="258">
        <f>'P&amp;L Statement'!H19</f>
        <v>0</v>
      </c>
      <c r="I32" s="258">
        <f ca="1">'P&amp;L Statement'!I19</f>
        <v>7.1625106833256815</v>
      </c>
      <c r="J32" s="258">
        <f ca="1">'P&amp;L Statement'!J19</f>
        <v>7.1625106833256815</v>
      </c>
      <c r="K32" s="258">
        <f>'P&amp;L Statement'!K19</f>
        <v>0</v>
      </c>
      <c r="L32" s="258">
        <f>'P&amp;L Statement'!L19</f>
        <v>0</v>
      </c>
      <c r="M32" s="246">
        <f>'P&amp;L Statement'!M19</f>
        <v>0</v>
      </c>
      <c r="N32" s="246">
        <f>'P&amp;L Statement'!N19</f>
        <v>0</v>
      </c>
      <c r="O32" s="246">
        <f>'P&amp;L Statement'!O19</f>
        <v>0</v>
      </c>
      <c r="P32" s="246">
        <f>'P&amp;L Statement'!P19</f>
        <v>0</v>
      </c>
      <c r="Q32" s="246">
        <f>'P&amp;L Statement'!Q19</f>
        <v>0</v>
      </c>
      <c r="R32" s="246">
        <f>'P&amp;L Statement'!R19</f>
        <v>0</v>
      </c>
      <c r="S32" s="246">
        <f>'P&amp;L Statement'!S19</f>
        <v>0</v>
      </c>
      <c r="T32" s="246">
        <f>'P&amp;L Statement'!T19</f>
        <v>0</v>
      </c>
      <c r="U32" s="246">
        <f>'P&amp;L Statement'!U19</f>
        <v>0</v>
      </c>
      <c r="V32" s="246">
        <f>'P&amp;L Statement'!V19</f>
        <v>0</v>
      </c>
      <c r="W32" s="246">
        <f>'P&amp;L Statement'!W19</f>
        <v>0</v>
      </c>
      <c r="X32" s="246">
        <f>'P&amp;L Statement'!X19</f>
        <v>0</v>
      </c>
      <c r="Y32" s="246">
        <f>'P&amp;L Statement'!Y19</f>
        <v>0</v>
      </c>
    </row>
    <row r="33" spans="2:25" x14ac:dyDescent="0.3">
      <c r="B33" s="169" t="s">
        <v>318</v>
      </c>
      <c r="D33" s="243">
        <f>SUMIFS('LRD - Combined'!51:51,'LRD - Combined'!46:46,D5)</f>
        <v>0</v>
      </c>
      <c r="E33" s="258">
        <f>SUMIFS('LRD - Combined'!51:51,'LRD - Combined'!46:46,E5)</f>
        <v>0</v>
      </c>
      <c r="F33" s="258">
        <f ca="1">SUMIFS('LRD - Combined'!51:51,'LRD - Combined'!46:46,F5)</f>
        <v>0</v>
      </c>
      <c r="G33" s="258">
        <f ca="1">SUMIFS('LRD - Combined'!51:51,'LRD - Combined'!46:46,G5)</f>
        <v>0</v>
      </c>
      <c r="H33" s="258">
        <f ca="1">SUMIFS('LRD - Combined'!51:51,'LRD - Combined'!46:46,H5)</f>
        <v>0</v>
      </c>
      <c r="I33" s="258">
        <f ca="1">SUMIFS('LRD - Combined'!51:51,'LRD - Combined'!46:46,I5)</f>
        <v>0</v>
      </c>
      <c r="J33" s="258">
        <f ca="1">SUMIFS('LRD - Combined'!51:51,'LRD - Combined'!46:46,J5)</f>
        <v>19.077215954842188</v>
      </c>
      <c r="K33" s="258">
        <f ca="1">SUMIFS('LRD - Combined'!51:51,'LRD - Combined'!46:46,K5)</f>
        <v>25.149412511897214</v>
      </c>
      <c r="L33" s="258">
        <f ca="1">SUMIFS('LRD - Combined'!51:51,'LRD - Combined'!46:46,L5)</f>
        <v>24.607536703656091</v>
      </c>
      <c r="M33" s="246">
        <f ca="1">SUMIFS('LRD - Combined'!51:51,'LRD - Combined'!46:46,M5)</f>
        <v>23.87441061015338</v>
      </c>
      <c r="N33" s="246">
        <f ca="1">SUMIFS('LRD - Combined'!51:51,'LRD - Combined'!46:46,N5)</f>
        <v>22.918159183845503</v>
      </c>
      <c r="O33" s="246">
        <f ca="1">SUMIFS('LRD - Combined'!51:51,'LRD - Combined'!46:46,O5)</f>
        <v>21.706907377188855</v>
      </c>
      <c r="P33" s="246">
        <f ca="1">SUMIFS('LRD - Combined'!51:51,'LRD - Combined'!46:46,P5)</f>
        <v>20.240655190183439</v>
      </c>
      <c r="Q33" s="246">
        <f ca="1">SUMIFS('LRD - Combined'!51:51,'LRD - Combined'!46:46,Q5)</f>
        <v>18.487527575285661</v>
      </c>
      <c r="R33" s="246">
        <f ca="1">SUMIFS('LRD - Combined'!51:51,'LRD - Combined'!46:46,R5)</f>
        <v>16.383774437408327</v>
      </c>
      <c r="S33" s="246">
        <f ca="1">SUMIFS('LRD - Combined'!51:51,'LRD - Combined'!46:46,S5)</f>
        <v>14.088771014269419</v>
      </c>
      <c r="T33" s="246">
        <f ca="1">SUMIFS('LRD - Combined'!51:51,'LRD - Combined'!46:46,T5)</f>
        <v>11.793767591130509</v>
      </c>
      <c r="U33" s="246">
        <f ca="1">SUMIFS('LRD - Combined'!51:51,'LRD - Combined'!46:46,U5)</f>
        <v>9.4987641679915988</v>
      </c>
      <c r="V33" s="246">
        <f ca="1">SUMIFS('LRD - Combined'!51:51,'LRD - Combined'!46:46,V5)</f>
        <v>7.0762605546783055</v>
      </c>
      <c r="W33" s="246">
        <f ca="1">SUMIFS('LRD - Combined'!51:51,'LRD - Combined'!46:46,W5)</f>
        <v>4.526256751190628</v>
      </c>
      <c r="X33" s="246">
        <f ca="1">SUMIFS('LRD - Combined'!51:51,'LRD - Combined'!46:46,X5)</f>
        <v>1.9762529477029496</v>
      </c>
      <c r="Y33" s="246">
        <f ca="1">SUMIFS('LRD - Combined'!51:51,'LRD - Combined'!46:46,Y5)</f>
        <v>8.7656380744888171E-2</v>
      </c>
    </row>
    <row r="34" spans="2:25" x14ac:dyDescent="0.3">
      <c r="B34" s="169"/>
      <c r="D34" s="243"/>
      <c r="E34" s="258"/>
      <c r="F34" s="258"/>
      <c r="G34" s="258"/>
      <c r="H34" s="258"/>
      <c r="I34" s="258"/>
      <c r="J34" s="258"/>
      <c r="K34" s="258"/>
      <c r="L34" s="258"/>
      <c r="M34" s="246"/>
      <c r="N34" s="246"/>
      <c r="O34" s="246"/>
      <c r="P34" s="246"/>
      <c r="Q34" s="246"/>
      <c r="R34" s="246"/>
      <c r="S34" s="246"/>
      <c r="T34" s="246"/>
      <c r="U34" s="246"/>
      <c r="V34" s="246"/>
      <c r="W34" s="246"/>
      <c r="X34" s="246"/>
      <c r="Y34" s="246"/>
    </row>
    <row r="35" spans="2:25" x14ac:dyDescent="0.3">
      <c r="B35" s="432" t="s">
        <v>308</v>
      </c>
      <c r="C35" s="433"/>
      <c r="D35" s="438">
        <f t="shared" ref="D35:M35" si="32">SUM(D27:D29)-SUM(D30:D34)</f>
        <v>0</v>
      </c>
      <c r="E35" s="434">
        <f t="shared" ca="1" si="32"/>
        <v>105.80183920054468</v>
      </c>
      <c r="F35" s="434">
        <f t="shared" ca="1" si="32"/>
        <v>131.75174933952241</v>
      </c>
      <c r="G35" s="434">
        <f t="shared" ca="1" si="32"/>
        <v>142.71415169822427</v>
      </c>
      <c r="H35" s="434">
        <f t="shared" ca="1" si="32"/>
        <v>126.21104293040182</v>
      </c>
      <c r="I35" s="434">
        <f t="shared" ca="1" si="32"/>
        <v>37.896756877374713</v>
      </c>
      <c r="J35" s="434">
        <f t="shared" ca="1" si="32"/>
        <v>-27.739728875513549</v>
      </c>
      <c r="K35" s="434">
        <f t="shared" ca="1" si="32"/>
        <v>-30.39942034260714</v>
      </c>
      <c r="L35" s="434">
        <f t="shared" ca="1" si="32"/>
        <v>-32.107547890384552</v>
      </c>
      <c r="M35" s="435">
        <f t="shared" ca="1" si="32"/>
        <v>-33.624425152900386</v>
      </c>
      <c r="N35" s="435">
        <f t="shared" ref="N35:Y35" ca="1" si="33">SUM(N27:N29)-SUM(N30:N34)</f>
        <v>-35.668178201283894</v>
      </c>
      <c r="O35" s="435">
        <f t="shared" ca="1" si="33"/>
        <v>-37.456930869318626</v>
      </c>
      <c r="P35" s="435">
        <f t="shared" ca="1" si="33"/>
        <v>-38.990683157004597</v>
      </c>
      <c r="Q35" s="435">
        <f t="shared" ca="1" si="33"/>
        <v>-40.987561135471054</v>
      </c>
      <c r="R35" s="435">
        <f t="shared" ca="1" si="33"/>
        <v>-43.383814709630798</v>
      </c>
      <c r="S35" s="435">
        <f t="shared" ca="1" si="33"/>
        <v>-41.08881128649189</v>
      </c>
      <c r="T35" s="435">
        <f t="shared" ca="1" si="33"/>
        <v>-38.793807863352974</v>
      </c>
      <c r="U35" s="435">
        <f t="shared" ca="1" si="33"/>
        <v>-36.498804440214066</v>
      </c>
      <c r="V35" s="435">
        <f t="shared" ca="1" si="33"/>
        <v>-37.076305301592157</v>
      </c>
      <c r="W35" s="435">
        <f t="shared" ca="1" si="33"/>
        <v>-34.52630149810448</v>
      </c>
      <c r="X35" s="435">
        <f t="shared" ca="1" si="33"/>
        <v>-31.976297694616804</v>
      </c>
      <c r="Y35" s="435">
        <f t="shared" ca="1" si="33"/>
        <v>-8.3376686861462552</v>
      </c>
    </row>
    <row r="36" spans="2:25" x14ac:dyDescent="0.3">
      <c r="B36" s="169"/>
      <c r="D36" s="169"/>
      <c r="M36" s="377"/>
      <c r="N36" s="377"/>
      <c r="O36" s="377"/>
      <c r="P36" s="377"/>
      <c r="Q36" s="377"/>
      <c r="R36" s="377"/>
      <c r="S36" s="377"/>
      <c r="T36" s="377"/>
      <c r="U36" s="377"/>
      <c r="V36" s="377"/>
      <c r="W36" s="377"/>
      <c r="X36" s="377"/>
      <c r="Y36" s="377"/>
    </row>
    <row r="37" spans="2:25" x14ac:dyDescent="0.3">
      <c r="B37" s="169" t="s">
        <v>310</v>
      </c>
      <c r="D37" s="243">
        <v>0</v>
      </c>
      <c r="E37" s="258">
        <f ca="1">D39</f>
        <v>0</v>
      </c>
      <c r="F37" s="258">
        <f t="shared" ref="F37:M37" ca="1" si="34">E39</f>
        <v>0</v>
      </c>
      <c r="G37" s="258">
        <f t="shared" ca="1" si="34"/>
        <v>4.6200308424185863</v>
      </c>
      <c r="H37" s="258">
        <f t="shared" ca="1" si="34"/>
        <v>19.568128767076175</v>
      </c>
      <c r="I37" s="258">
        <f t="shared" ca="1" si="34"/>
        <v>42.414173716945044</v>
      </c>
      <c r="J37" s="258">
        <f t="shared" ca="1" si="34"/>
        <v>66.961226500060107</v>
      </c>
      <c r="K37" s="258">
        <f t="shared" ca="1" si="34"/>
        <v>81.175884740241372</v>
      </c>
      <c r="L37" s="258">
        <f t="shared" ca="1" si="34"/>
        <v>89.926308312453187</v>
      </c>
      <c r="M37" s="246">
        <f t="shared" ca="1" si="34"/>
        <v>98.995260698290991</v>
      </c>
      <c r="N37" s="246">
        <f t="shared" ref="N37" ca="1" si="35">M39</f>
        <v>108.49340285473875</v>
      </c>
      <c r="O37" s="246">
        <f t="shared" ref="O37" ca="1" si="36">N39</f>
        <v>118.19321733646228</v>
      </c>
      <c r="P37" s="246">
        <f t="shared" ref="P37" ca="1" si="37">O39</f>
        <v>128.45878828773917</v>
      </c>
      <c r="Q37" s="246">
        <f t="shared" ref="Q37" ca="1" si="38">P39</f>
        <v>139.48012252326072</v>
      </c>
      <c r="R37" s="246">
        <f t="shared" ref="R37" ca="1" si="39">Q39</f>
        <v>150.93029672574974</v>
      </c>
      <c r="S37" s="246">
        <f t="shared" ref="S37" ca="1" si="40">R39</f>
        <v>163.80887153997855</v>
      </c>
      <c r="T37" s="246">
        <f t="shared" ref="T37" ca="1" si="41">S39</f>
        <v>181.76688171075017</v>
      </c>
      <c r="U37" s="246">
        <f t="shared" ref="U37" ca="1" si="42">T39</f>
        <v>204.94354883473451</v>
      </c>
      <c r="V37" s="246">
        <f t="shared" ref="V37" ca="1" si="43">U39</f>
        <v>232.76692951730627</v>
      </c>
      <c r="W37" s="246">
        <f t="shared" ref="W37" ca="1" si="44">V39</f>
        <v>264.01801352162278</v>
      </c>
      <c r="X37" s="246">
        <f t="shared" ref="X37" ca="1" si="45">W39</f>
        <v>301.20359574717895</v>
      </c>
      <c r="Y37" s="246">
        <f t="shared" ref="Y37" ca="1" si="46">X39</f>
        <v>349.76505721610783</v>
      </c>
    </row>
    <row r="38" spans="2:25" x14ac:dyDescent="0.3">
      <c r="B38" s="169" t="s">
        <v>311</v>
      </c>
      <c r="D38" s="243">
        <f t="shared" ref="D38:M38" ca="1" si="47">D15+D24+D35</f>
        <v>0</v>
      </c>
      <c r="E38" s="258">
        <f t="shared" ca="1" si="47"/>
        <v>0</v>
      </c>
      <c r="F38" s="258">
        <f t="shared" ca="1" si="47"/>
        <v>4.6200308424185863</v>
      </c>
      <c r="G38" s="258">
        <f t="shared" ca="1" si="47"/>
        <v>14.948097924657588</v>
      </c>
      <c r="H38" s="258">
        <f t="shared" ca="1" si="47"/>
        <v>22.846044949868869</v>
      </c>
      <c r="I38" s="258">
        <f t="shared" ca="1" si="47"/>
        <v>24.547052783115067</v>
      </c>
      <c r="J38" s="258">
        <f t="shared" ca="1" si="47"/>
        <v>14.214658240181329</v>
      </c>
      <c r="K38" s="258">
        <f t="shared" ca="1" si="47"/>
        <v>8.7504235722117549</v>
      </c>
      <c r="L38" s="258">
        <f t="shared" ca="1" si="47"/>
        <v>9.0689523858378607</v>
      </c>
      <c r="M38" s="246">
        <f t="shared" ca="1" si="47"/>
        <v>9.4981421564476989</v>
      </c>
      <c r="N38" s="246">
        <f t="shared" ref="N38:Y38" ca="1" si="48">N15+N24+N35</f>
        <v>9.6998144817235925</v>
      </c>
      <c r="O38" s="246">
        <f t="shared" ca="1" si="48"/>
        <v>10.265570951276828</v>
      </c>
      <c r="P38" s="246">
        <f t="shared" ca="1" si="48"/>
        <v>11.021334235521593</v>
      </c>
      <c r="Q38" s="246">
        <f t="shared" ca="1" si="48"/>
        <v>11.450174202488967</v>
      </c>
      <c r="R38" s="246">
        <f t="shared" ca="1" si="48"/>
        <v>12.87857481422887</v>
      </c>
      <c r="S38" s="246">
        <f t="shared" ca="1" si="48"/>
        <v>17.958010170771566</v>
      </c>
      <c r="T38" s="246">
        <f t="shared" ca="1" si="48"/>
        <v>23.176667123984394</v>
      </c>
      <c r="U38" s="246">
        <f t="shared" ca="1" si="48"/>
        <v>27.823380682571702</v>
      </c>
      <c r="V38" s="246">
        <f t="shared" ca="1" si="48"/>
        <v>31.251084004316567</v>
      </c>
      <c r="W38" s="246">
        <f t="shared" ca="1" si="48"/>
        <v>37.185582225556111</v>
      </c>
      <c r="X38" s="246">
        <f t="shared" ca="1" si="48"/>
        <v>48.56146146892894</v>
      </c>
      <c r="Y38" s="246">
        <f t="shared" ca="1" si="48"/>
        <v>72.106255492389778</v>
      </c>
    </row>
    <row r="39" spans="2:25" x14ac:dyDescent="0.3">
      <c r="B39" s="432" t="s">
        <v>214</v>
      </c>
      <c r="C39" s="439"/>
      <c r="D39" s="440">
        <f ca="1">SUM(D37:D38)</f>
        <v>0</v>
      </c>
      <c r="E39" s="441">
        <f t="shared" ref="E39:K39" ca="1" si="49">SUM(E37:E38)</f>
        <v>0</v>
      </c>
      <c r="F39" s="441">
        <f t="shared" ca="1" si="49"/>
        <v>4.6200308424185863</v>
      </c>
      <c r="G39" s="441">
        <f t="shared" ca="1" si="49"/>
        <v>19.568128767076175</v>
      </c>
      <c r="H39" s="441">
        <f t="shared" ca="1" si="49"/>
        <v>42.414173716945044</v>
      </c>
      <c r="I39" s="441">
        <f t="shared" ca="1" si="49"/>
        <v>66.961226500060107</v>
      </c>
      <c r="J39" s="441">
        <f t="shared" ca="1" si="49"/>
        <v>81.175884740241429</v>
      </c>
      <c r="K39" s="441">
        <f t="shared" ca="1" si="49"/>
        <v>89.926308312453131</v>
      </c>
      <c r="L39" s="441">
        <f t="shared" ref="L39:M39" ca="1" si="50">SUM(L37:L38)</f>
        <v>98.995260698291048</v>
      </c>
      <c r="M39" s="442">
        <f t="shared" ca="1" si="50"/>
        <v>108.49340285473869</v>
      </c>
      <c r="N39" s="442">
        <f t="shared" ref="N39:Y39" ca="1" si="51">SUM(N37:N38)</f>
        <v>118.19321733646234</v>
      </c>
      <c r="O39" s="442">
        <f t="shared" ca="1" si="51"/>
        <v>128.45878828773911</v>
      </c>
      <c r="P39" s="442">
        <f t="shared" ca="1" si="51"/>
        <v>139.48012252326077</v>
      </c>
      <c r="Q39" s="442">
        <f t="shared" ca="1" si="51"/>
        <v>150.93029672574968</v>
      </c>
      <c r="R39" s="442">
        <f t="shared" ca="1" si="51"/>
        <v>163.80887153997861</v>
      </c>
      <c r="S39" s="442">
        <f t="shared" ca="1" si="51"/>
        <v>181.76688171075011</v>
      </c>
      <c r="T39" s="442">
        <f t="shared" ca="1" si="51"/>
        <v>204.94354883473457</v>
      </c>
      <c r="U39" s="442">
        <f t="shared" ca="1" si="51"/>
        <v>232.76692951730621</v>
      </c>
      <c r="V39" s="442">
        <f t="shared" ca="1" si="51"/>
        <v>264.01801352162283</v>
      </c>
      <c r="W39" s="442">
        <f t="shared" ca="1" si="51"/>
        <v>301.20359574717889</v>
      </c>
      <c r="X39" s="442">
        <f t="shared" ca="1" si="51"/>
        <v>349.76505721610789</v>
      </c>
      <c r="Y39" s="442">
        <f t="shared" ca="1" si="51"/>
        <v>421.87131270849761</v>
      </c>
    </row>
    <row r="43" spans="2:25" x14ac:dyDescent="0.3">
      <c r="F43" s="52"/>
    </row>
    <row r="44" spans="2:25" x14ac:dyDescent="0.3">
      <c r="E44" s="53"/>
      <c r="F44" s="53"/>
      <c r="G44" s="53"/>
      <c r="H44" s="53"/>
      <c r="I44" s="53"/>
    </row>
    <row r="45" spans="2:25" x14ac:dyDescent="0.3">
      <c r="E45" s="53"/>
      <c r="F45" s="53"/>
      <c r="G45" s="53"/>
      <c r="H45" s="53"/>
      <c r="I45" s="53"/>
    </row>
  </sheetData>
  <pageMargins left="0.7" right="0.7" top="0.75" bottom="0.75" header="0.3" footer="0.3"/>
  <ignoredErrors>
    <ignoredError sqref="J3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1FDA9C74BCB84E8E4AED49392D0FAB" ma:contentTypeVersion="19" ma:contentTypeDescription="Create a new document." ma:contentTypeScope="" ma:versionID="3f2fa19c836dad9e2f7aa70af640a46d">
  <xsd:schema xmlns:xsd="http://www.w3.org/2001/XMLSchema" xmlns:xs="http://www.w3.org/2001/XMLSchema" xmlns:p="http://schemas.microsoft.com/office/2006/metadata/properties" xmlns:ns1="http://schemas.microsoft.com/sharepoint/v3" xmlns:ns3="12589976-4c87-401a-ae62-662b2e19a989" xmlns:ns4="ba9b1009-9ae7-481a-8b68-587aedc1eb66" targetNamespace="http://schemas.microsoft.com/office/2006/metadata/properties" ma:root="true" ma:fieldsID="f82019337fc6ad7a2c1065513073716e" ns1:_="" ns3:_="" ns4:_="">
    <xsd:import namespace="http://schemas.microsoft.com/sharepoint/v3"/>
    <xsd:import namespace="12589976-4c87-401a-ae62-662b2e19a989"/>
    <xsd:import namespace="ba9b1009-9ae7-481a-8b68-587aedc1eb6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_activity" minOccurs="0"/>
                <xsd:element ref="ns1:_ip_UnifiedCompliancePolicyProperties" minOccurs="0"/>
                <xsd:element ref="ns1:_ip_UnifiedCompliancePolicyUIAction" minOccurs="0"/>
                <xsd:element ref="ns4:MediaServiceObjectDetectorVersions" minOccurs="0"/>
                <xsd:element ref="ns4:MediaServiceSystemTags" minOccurs="0"/>
                <xsd:element ref="ns4:MediaServiceLocation"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589976-4c87-401a-ae62-662b2e19a98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9b1009-9ae7-481a-8b68-587aedc1eb6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activity xmlns="ba9b1009-9ae7-481a-8b68-587aedc1eb66"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846DE5-F3D2-4437-8CB5-90984A09E0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589976-4c87-401a-ae62-662b2e19a989"/>
    <ds:schemaRef ds:uri="ba9b1009-9ae7-481a-8b68-587aedc1eb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97A87C-DB58-4981-931A-A7E53F7928E7}">
  <ds:schemaRefs>
    <ds:schemaRef ds:uri="http://schemas.microsoft.com/office/2006/metadata/properties"/>
    <ds:schemaRef ds:uri="http://schemas.microsoft.com/sharepoint/v3"/>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12589976-4c87-401a-ae62-662b2e19a989"/>
    <ds:schemaRef ds:uri="http://purl.org/dc/terms/"/>
    <ds:schemaRef ds:uri="ba9b1009-9ae7-481a-8b68-587aedc1eb66"/>
    <ds:schemaRef ds:uri="http://www.w3.org/XML/1998/namespace"/>
    <ds:schemaRef ds:uri="http://purl.org/dc/dcmitype/"/>
  </ds:schemaRefs>
</ds:datastoreItem>
</file>

<file path=customXml/itemProps3.xml><?xml version="1.0" encoding="utf-8"?>
<ds:datastoreItem xmlns:ds="http://schemas.openxmlformats.org/officeDocument/2006/customXml" ds:itemID="{F5B00497-AFB4-4EC4-9A63-2D8D2F2F93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Cost &amp; Means</vt:lpstr>
      <vt:lpstr>Assumption Sheet</vt:lpstr>
      <vt:lpstr>Cost Phasing</vt:lpstr>
      <vt:lpstr>Monthly Cashflow</vt:lpstr>
      <vt:lpstr>Quarterly Cashflow</vt:lpstr>
      <vt:lpstr>CF_Debt Schedule</vt:lpstr>
      <vt:lpstr>Quasi Equity_Schedule</vt:lpstr>
      <vt:lpstr>Dep &amp; Tax Schedule</vt:lpstr>
      <vt:lpstr>CF Statement</vt:lpstr>
      <vt:lpstr>P&amp;L Statement</vt:lpstr>
      <vt:lpstr>Balance sheet</vt:lpstr>
      <vt:lpstr>Leasing</vt:lpstr>
      <vt:lpstr>LRD - Combined</vt:lpstr>
      <vt:lpstr>LRD_Phase-wise</vt:lpstr>
      <vt:lpstr>Ratios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 Dave</dc:creator>
  <cp:lastModifiedBy>Author</cp:lastModifiedBy>
  <cp:lastPrinted>2022-06-10T10:52:08Z</cp:lastPrinted>
  <dcterms:created xsi:type="dcterms:W3CDTF">2019-11-19T11:03:51Z</dcterms:created>
  <dcterms:modified xsi:type="dcterms:W3CDTF">2024-05-17T08:58:54Z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0x010100E71FDA9C74BCB84E8E4AED49392D0FAB</vt:lpwstr>
  </property>
</Properties>
</file>